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7.xml" ContentType="application/vnd.openxmlformats-officedocument.spreadsheetml.comments+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0.xml" ContentType="application/vnd.openxmlformats-officedocument.spreadsheetml.comments+xml"/>
  <Override PartName="/xl/drawings/drawing23.xml" ContentType="application/vnd.openxmlformats-officedocument.drawing+xml"/>
  <Override PartName="/xl/comments11.xml" ContentType="application/vnd.openxmlformats-officedocument.spreadsheetml.comments+xml"/>
  <Override PartName="/xl/drawings/drawing24.xml" ContentType="application/vnd.openxmlformats-officedocument.drawing+xml"/>
  <Override PartName="/xl/comments12.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13.xml" ContentType="application/vnd.openxmlformats-officedocument.spreadsheetml.comments+xml"/>
  <Override PartName="/xl/drawings/drawing27.xml" ContentType="application/vnd.openxmlformats-officedocument.drawing+xml"/>
  <Override PartName="/xl/comments14.xml" ContentType="application/vnd.openxmlformats-officedocument.spreadsheetml.comments+xml"/>
  <Override PartName="/xl/drawings/drawing28.xml" ContentType="application/vnd.openxmlformats-officedocument.drawing+xml"/>
  <Override PartName="/xl/comments15.xml" ContentType="application/vnd.openxmlformats-officedocument.spreadsheetml.comments+xml"/>
  <Override PartName="/xl/drawings/drawing29.xml" ContentType="application/vnd.openxmlformats-officedocument.drawing+xml"/>
  <Override PartName="/xl/comments16.xml" ContentType="application/vnd.openxmlformats-officedocument.spreadsheetml.comments+xml"/>
  <Override PartName="/xl/drawings/drawing30.xml" ContentType="application/vnd.openxmlformats-officedocument.drawing+xml"/>
  <Override PartName="/xl/comments17.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8.xml" ContentType="application/vnd.openxmlformats-officedocument.spreadsheetml.comments+xml"/>
  <Override PartName="/xl/drawings/drawing34.xml" ContentType="application/vnd.openxmlformats-officedocument.drawing+xml"/>
  <Override PartName="/xl/comments19.xml" ContentType="application/vnd.openxmlformats-officedocument.spreadsheetml.comments+xml"/>
  <Override PartName="/xl/drawings/drawing35.xml" ContentType="application/vnd.openxmlformats-officedocument.drawing+xml"/>
  <Override PartName="/xl/comments20.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21.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omments22.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xml" ContentType="application/vnd.openxmlformats-officedocument.drawingml.chart+xml"/>
  <Override PartName="/xl/drawings/drawing6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Depts\Strategic Planning\FINANCE\Rates\COSA Studies\2017 COSA Study\Model\"/>
    </mc:Choice>
  </mc:AlternateContent>
  <bookViews>
    <workbookView xWindow="-45" yWindow="-75" windowWidth="25200" windowHeight="11835" tabRatio="867" firstSheet="53" activeTab="54"/>
  </bookViews>
  <sheets>
    <sheet name="Main" sheetId="81" r:id="rId1"/>
    <sheet name="Revenue" sheetId="85" state="hidden" r:id="rId2"/>
    <sheet name="Rev Req" sheetId="86" state="hidden" r:id="rId3"/>
    <sheet name="Fin Frcst" sheetId="87" state="hidden" r:id="rId4"/>
    <sheet name="COS" sheetId="88" state="hidden" r:id="rId5"/>
    <sheet name="Rate Dsn" sheetId="89" state="hidden" r:id="rId6"/>
    <sheet name="Other" sheetId="90" state="hidden" r:id="rId7"/>
    <sheet name="Support" sheetId="91" state="hidden" r:id="rId8"/>
    <sheet name="Index" sheetId="19" state="hidden" r:id="rId9"/>
    <sheet name="Billing Detail" sheetId="159" state="hidden" r:id="rId10"/>
    <sheet name="Street Lights" sheetId="168" state="hidden" r:id="rId11"/>
    <sheet name="Debt from Forecast14" sheetId="184" state="hidden" r:id="rId12"/>
    <sheet name="Debt from Forecast17" sheetId="225" r:id="rId13"/>
    <sheet name="Labor Exp 2016" sheetId="158" r:id="rId14"/>
    <sheet name="CIAC (MC)" sheetId="224" r:id="rId15"/>
    <sheet name="Budget (BV) 2017" sheetId="171" r:id="rId16"/>
    <sheet name="Lead Sheet 2015" sheetId="169" r:id="rId17"/>
    <sheet name="Capital Plan" sheetId="223" r:id="rId18"/>
    <sheet name="Plant Capital - Forecast16p" sheetId="185" state="hidden" r:id="rId19"/>
    <sheet name="Plant Capital - Forecast16" sheetId="226" r:id="rId20"/>
    <sheet name="Forecast (BV) 2017p" sheetId="172" state="hidden" r:id="rId21"/>
    <sheet name="Forecast (BV) 2017" sheetId="227" r:id="rId22"/>
    <sheet name="Net Power" sheetId="203" r:id="rId23"/>
    <sheet name="Cust_Detail" sheetId="13" r:id="rId24"/>
    <sheet name="Cust_Esca" sheetId="14" r:id="rId25"/>
    <sheet name="Rates" sheetId="164" r:id="rId26"/>
    <sheet name="City Taxes" sheetId="180" r:id="rId27"/>
    <sheet name="Rev" sheetId="16" r:id="rId28"/>
    <sheet name="O&amp;M_Detail - PRP" sheetId="175" r:id="rId29"/>
    <sheet name="O&amp;M_Detail - Elec" sheetId="28" r:id="rId30"/>
    <sheet name="Debt-PRP" sheetId="177" r:id="rId31"/>
    <sheet name="Debt_Sum - Elec" sheetId="20" r:id="rId32"/>
    <sheet name="CIP_E" sheetId="163" r:id="rId33"/>
    <sheet name="Other Inc_Summ." sheetId="30" r:id="rId34"/>
    <sheet name="Other Taxes" sheetId="186" r:id="rId35"/>
    <sheet name="O&amp;M_Summ" sheetId="70" r:id="rId36"/>
    <sheet name="Cash Balances (BV)" sheetId="179" r:id="rId37"/>
    <sheet name="Fin Forecast - PRP" sheetId="176" r:id="rId38"/>
    <sheet name="Fin Forecast - Elec" sheetId="157" r:id="rId39"/>
    <sheet name="Fin Forecast - Consolidated" sheetId="181" r:id="rId40"/>
    <sheet name="Dashboard" sheetId="92" r:id="rId41"/>
    <sheet name="TY_Units" sheetId="162" r:id="rId42"/>
    <sheet name="COS_RR (top sheet)" sheetId="96" r:id="rId43"/>
    <sheet name="Asset_Sum" sheetId="35" r:id="rId44"/>
    <sheet name="COS_RB" sheetId="36" r:id="rId45"/>
    <sheet name="COS_Supervised O&amp;M" sheetId="79" r:id="rId46"/>
    <sheet name="COS_RR" sheetId="34" r:id="rId47"/>
    <sheet name="COS_Units (sales)" sheetId="44" r:id="rId48"/>
    <sheet name="COS_Units (cust)" sheetId="72" r:id="rId49"/>
    <sheet name="COS_Alloc." sheetId="45" r:id="rId50"/>
    <sheet name="COS_Unbun." sheetId="46" r:id="rId51"/>
    <sheet name="COS_Unit" sheetId="93" r:id="rId52"/>
    <sheet name="COS_Summ" sheetId="78" r:id="rId53"/>
    <sheet name="COS_Summ (cumulative)" sheetId="195" r:id="rId54"/>
    <sheet name="Rate Pres Tables - 2017" sheetId="219" r:id="rId55"/>
    <sheet name="Rate Present Assumptions" sheetId="221" r:id="rId56"/>
    <sheet name="Tables for ES" sheetId="208" r:id="rId57"/>
    <sheet name="Rate Increases" sheetId="202" r:id="rId58"/>
    <sheet name="Allocation Factors" sheetId="210" r:id="rId59"/>
    <sheet name="RR Classification" sheetId="211" r:id="rId60"/>
    <sheet name="Capacity Allocation" sheetId="212" r:id="rId61"/>
    <sheet name="Sales Allocation Summ" sheetId="182" r:id="rId62"/>
    <sheet name="Table 1" sheetId="115" r:id="rId63"/>
    <sheet name="Table 2" sheetId="100" r:id="rId64"/>
    <sheet name="Table 3" sheetId="101" r:id="rId65"/>
    <sheet name="Table 4" sheetId="102" r:id="rId66"/>
    <sheet name="Table 5" sheetId="103" r:id="rId67"/>
    <sheet name="Table 6" sheetId="104" r:id="rId68"/>
    <sheet name="Table 7" sheetId="105" r:id="rId69"/>
    <sheet name="Table 8" sheetId="106" r:id="rId70"/>
    <sheet name="Table 8b" sheetId="217" r:id="rId71"/>
    <sheet name="Table 9" sheetId="107" r:id="rId72"/>
    <sheet name="Table 10" sheetId="166" r:id="rId73"/>
    <sheet name="Table 11" sheetId="165" r:id="rId74"/>
    <sheet name="Table 12" sheetId="207" r:id="rId75"/>
    <sheet name="Table 13" sheetId="213" r:id="rId76"/>
    <sheet name="Table RR" sheetId="215" r:id="rId77"/>
    <sheet name="Table 3-3" sheetId="209" r:id="rId78"/>
    <sheet name="Table - Allocators" sheetId="214" r:id="rId79"/>
    <sheet name="Function Cost by Rate Class" sheetId="218" r:id="rId80"/>
    <sheet name="Contacts" sheetId="112" state="hidden" r:id="rId81"/>
  </sheets>
  <externalReferences>
    <externalReference r:id="rId82"/>
    <externalReference r:id="rId83"/>
    <externalReference r:id="rId84"/>
    <externalReference r:id="rId85"/>
  </externalReferences>
  <definedNames>
    <definedName name="__123Graph_A" hidden="1">[1]DEGREE!$B$22:$M$22</definedName>
    <definedName name="__123Graph_ADEGDAY94" hidden="1">[1]DEGREE!$B$18:$L$18</definedName>
    <definedName name="__123Graph_AHEAT94" hidden="1">[1]DEGREE!$B$22:$M$22</definedName>
    <definedName name="__123Graph_B" hidden="1">[1]DEGREE!$B$21:$M$21</definedName>
    <definedName name="__123Graph_BDEGDAY94" hidden="1">[1]DEGREE!$B$21:$M$21</definedName>
    <definedName name="__123Graph_BHEAT94" hidden="1">[1]DEGREE!$B$21:$M$21</definedName>
    <definedName name="__123Graph_C" hidden="1">[1]DEGREE!$B$18:$M$18</definedName>
    <definedName name="__123Graph_CDEGDAY94" hidden="1">[1]DEGREE!$B$34:$M$34</definedName>
    <definedName name="__123Graph_CHEAT94" hidden="1">[1]DEGREE!$B$18:$M$18</definedName>
    <definedName name="__123Graph_D" hidden="1">[1]DEGREE!$B$34:$M$34</definedName>
    <definedName name="__123Graph_DHEAT94" hidden="1">[1]DEGREE!$B$34:$M$34</definedName>
    <definedName name="__123Graph_LBL_A" hidden="1">[1]DEGREE!$A$76:$A$76</definedName>
    <definedName name="__123Graph_LBL_ADEGDAY94" hidden="1">[1]DEGREE!$A$18:$A$18</definedName>
    <definedName name="__123Graph_LBL_AHEAT94" hidden="1">[1]DEGREE!$A$76:$A$76</definedName>
    <definedName name="__123Graph_LBL_B" hidden="1">[1]DEGREE!$A$77:$A$77</definedName>
    <definedName name="__123Graph_LBL_BDEGDAY94" hidden="1">[1]DEGREE!$A$21:$A$21</definedName>
    <definedName name="__123Graph_LBL_BHEAT94" hidden="1">[1]DEGREE!$A$77:$A$77</definedName>
    <definedName name="__123Graph_LBL_C" hidden="1">[1]DEGREE!$A$78:$A$78</definedName>
    <definedName name="__123Graph_LBL_CDEGDAY94" hidden="1">[1]DEGREE!$A$34:$A$34</definedName>
    <definedName name="__123Graph_LBL_CHEAT94" hidden="1">[1]DEGREE!$A$78:$A$78</definedName>
    <definedName name="__123Graph_LBL_D" hidden="1">[1]DEGREE!$A$79:$A$79</definedName>
    <definedName name="__123Graph_LBL_DHEAT94" hidden="1">[1]DEGREE!$A$79:$A$79</definedName>
    <definedName name="__123Graph_X" hidden="1">[1]DEGREE!$B$11:$M$11</definedName>
    <definedName name="__123Graph_XDEGDAY94" hidden="1">[1]DEGREE!$B$11:$M$11</definedName>
    <definedName name="__123Graph_XHEAT94" hidden="1">[1]DEGREE!$B$11:$M$11</definedName>
    <definedName name="_xlnm._FilterDatabase" localSheetId="15" hidden="1">'Budget (BV) 2017'!$A$6:$O$206</definedName>
    <definedName name="_xlnm._FilterDatabase" localSheetId="17" hidden="1">'Capital Plan'!$A$1:$AM$168</definedName>
    <definedName name="_xlnm._FilterDatabase" localSheetId="32" hidden="1">CIP_E!$D$8:$X$12</definedName>
    <definedName name="_xlnm._FilterDatabase" localSheetId="45" hidden="1">'COS_Supervised O&amp;M'!#REF!</definedName>
    <definedName name="_xlnm._FilterDatabase" localSheetId="13" hidden="1">'Labor Exp 2016'!$A$2:$K$220</definedName>
    <definedName name="_xlnm._FilterDatabase" localSheetId="16" hidden="1">'Lead Sheet 2015'!$B$618:$K$618</definedName>
    <definedName name="_Key1" localSheetId="39" hidden="1">#REF!</definedName>
    <definedName name="_Key1" localSheetId="37" hidden="1">#REF!</definedName>
    <definedName name="_Key1" localSheetId="78" hidden="1">#REF!</definedName>
    <definedName name="_Key1" localSheetId="72" hidden="1">#REF!</definedName>
    <definedName name="_Key1" localSheetId="73" hidden="1">#REF!</definedName>
    <definedName name="_Key1" localSheetId="75" hidden="1">#REF!</definedName>
    <definedName name="_Key1" localSheetId="77" hidden="1">#REF!</definedName>
    <definedName name="_Key1" localSheetId="70" hidden="1">#REF!</definedName>
    <definedName name="_Key1" localSheetId="76" hidden="1">#REF!</definedName>
    <definedName name="_Key1" hidden="1">#REF!</definedName>
    <definedName name="_key2" localSheetId="39" hidden="1">#REF!</definedName>
    <definedName name="_key2" localSheetId="37" hidden="1">#REF!</definedName>
    <definedName name="_key2" localSheetId="78" hidden="1">#REF!</definedName>
    <definedName name="_key2" localSheetId="72" hidden="1">#REF!</definedName>
    <definedName name="_key2" localSheetId="73" hidden="1">#REF!</definedName>
    <definedName name="_key2" localSheetId="75" hidden="1">#REF!</definedName>
    <definedName name="_key2" localSheetId="77" hidden="1">#REF!</definedName>
    <definedName name="_key2" localSheetId="70" hidden="1">#REF!</definedName>
    <definedName name="_key2" localSheetId="76" hidden="1">#REF!</definedName>
    <definedName name="_key2" hidden="1">#REF!</definedName>
    <definedName name="_Order1" hidden="1">0</definedName>
    <definedName name="_Order2" hidden="1">0</definedName>
    <definedName name="_rnd2" localSheetId="25">Rates!$Y$8</definedName>
    <definedName name="_Sort" localSheetId="39" hidden="1">#REF!</definedName>
    <definedName name="_Sort" localSheetId="37" hidden="1">#REF!</definedName>
    <definedName name="_Sort" localSheetId="78" hidden="1">#REF!</definedName>
    <definedName name="_Sort" localSheetId="72" hidden="1">#REF!</definedName>
    <definedName name="_Sort" localSheetId="73" hidden="1">#REF!</definedName>
    <definedName name="_Sort" localSheetId="75" hidden="1">#REF!</definedName>
    <definedName name="_Sort" localSheetId="77" hidden="1">#REF!</definedName>
    <definedName name="_Sort" localSheetId="70" hidden="1">#REF!</definedName>
    <definedName name="_Sort" localSheetId="76" hidden="1">#REF!</definedName>
    <definedName name="_Sort" hidden="1">#REF!</definedName>
    <definedName name="Allocation" localSheetId="78">'Table - Allocators'!$D$13:$D$55</definedName>
    <definedName name="Allocation">COS_RR!$E$260:$E$302</definedName>
    <definedName name="anscount" hidden="1">1</definedName>
    <definedName name="Assumptions" localSheetId="21">#REF!</definedName>
    <definedName name="Assumptions">#REF!</definedName>
    <definedName name="Aurora_Prices">"Monthly Price Summary'!$C$4:$H$63"</definedName>
    <definedName name="BLPH1" localSheetId="21" hidden="1">[2]LIBOR!#REF!</definedName>
    <definedName name="BLPH1" localSheetId="19" hidden="1">[2]LIBOR!#REF!</definedName>
    <definedName name="BLPH1" hidden="1">[2]LIBOR!#REF!</definedName>
    <definedName name="BLPH10" localSheetId="21" hidden="1">[3]TREAS!#REF!</definedName>
    <definedName name="BLPH10" localSheetId="19" hidden="1">[3]TREAS!#REF!</definedName>
    <definedName name="BLPH10" hidden="1">[3]TREAS!#REF!</definedName>
    <definedName name="BLPH102017" hidden="1">[3]TREAS!#REF!</definedName>
    <definedName name="BLPH11" localSheetId="21" hidden="1">[3]TREAS!#REF!</definedName>
    <definedName name="BLPH11" localSheetId="19" hidden="1">[3]TREAS!#REF!</definedName>
    <definedName name="BLPH11" hidden="1">[3]TREAS!#REF!</definedName>
    <definedName name="BLPH112017" hidden="1">[3]TREAS!#REF!</definedName>
    <definedName name="BLPH12" hidden="1">[3]TREAS!$A$5</definedName>
    <definedName name="BLPH13" localSheetId="21" hidden="1">[3]TREAS!#REF!</definedName>
    <definedName name="BLPH13" hidden="1">[3]TREAS!#REF!</definedName>
    <definedName name="BLPH2017" hidden="1">[2]LIBOR!#REF!</definedName>
    <definedName name="BLPH6" localSheetId="21" hidden="1">[2]LIBOR!#REF!</definedName>
    <definedName name="BLPH6" hidden="1">[2]LIBOR!#REF!</definedName>
    <definedName name="BLPH7" localSheetId="21" hidden="1">[3]TREAS!#REF!</definedName>
    <definedName name="BLPH7" hidden="1">[3]TREAS!#REF!</definedName>
    <definedName name="BLPH8" localSheetId="21" hidden="1">[3]TREAS!#REF!</definedName>
    <definedName name="BLPH8" hidden="1">[3]TREAS!#REF!</definedName>
    <definedName name="BLPH9" localSheetId="21" hidden="1">[3]TREAS!#REF!</definedName>
    <definedName name="BLPH9" hidden="1">[3]TREAS!#REF!</definedName>
    <definedName name="Budget_and_Forecast">'Forecast (BV) 2017'!$B$107:$U$159</definedName>
    <definedName name="CapacityAlloc" localSheetId="79">'COS_Units (sales)'!$CY$13:$CY$17</definedName>
    <definedName name="CapacityAlloc">'COS_Units (sales)'!$CY$13:$CY$17</definedName>
    <definedName name="CBWorkbookPriority" localSheetId="21" hidden="1">-1317558987</definedName>
    <definedName name="CBWorkbookPriority" localSheetId="19" hidden="1">-1317558987</definedName>
    <definedName name="CBWorkbookPriority" localSheetId="55" hidden="1">-1317558987</definedName>
    <definedName name="CBWorkbookPriority" hidden="1">-975096245</definedName>
    <definedName name="CBWorkbookPriority_1" hidden="1">-1317558987</definedName>
    <definedName name="Client">Main!$C$2</definedName>
    <definedName name="COS_RB">COS_RB!$E$339:$E$358</definedName>
    <definedName name="COSScenario">'COS_Summ (cumulative)'!$D$104:$D$106</definedName>
    <definedName name="Dashboard">Dashboard!$C$3</definedName>
    <definedName name="ee" localSheetId="32" hidden="1">{#N/A,#N/A,FALSE,"Month ";#N/A,#N/A,FALSE,"YTD";#N/A,#N/A,FALSE,"12 mo ended"}</definedName>
    <definedName name="ee" localSheetId="39" hidden="1">{#N/A,#N/A,FALSE,"Month ";#N/A,#N/A,FALSE,"YTD";#N/A,#N/A,FALSE,"12 mo ended"}</definedName>
    <definedName name="ee" localSheetId="38" hidden="1">{#N/A,#N/A,FALSE,"Month ";#N/A,#N/A,FALSE,"YTD";#N/A,#N/A,FALSE,"12 mo ended"}</definedName>
    <definedName name="ee" localSheetId="37" hidden="1">{#N/A,#N/A,FALSE,"Month ";#N/A,#N/A,FALSE,"YTD";#N/A,#N/A,FALSE,"12 mo ended"}</definedName>
    <definedName name="ee" localSheetId="79" hidden="1">{#N/A,#N/A,FALSE,"Month ";#N/A,#N/A,FALSE,"YTD";#N/A,#N/A,FALSE,"12 mo ended"}</definedName>
    <definedName name="ee" localSheetId="25" hidden="1">{#N/A,#N/A,FALSE,"Month ";#N/A,#N/A,FALSE,"YTD";#N/A,#N/A,FALSE,"12 mo ended"}</definedName>
    <definedName name="ee" localSheetId="77" hidden="1">{#N/A,#N/A,FALSE,"Month ";#N/A,#N/A,FALSE,"YTD";#N/A,#N/A,FALSE,"12 mo ended"}</definedName>
    <definedName name="ee" localSheetId="41" hidden="1">{#N/A,#N/A,FALSE,"Month ";#N/A,#N/A,FALSE,"YTD";#N/A,#N/A,FALSE,"12 mo ended"}</definedName>
    <definedName name="ee" hidden="1">{#N/A,#N/A,FALSE,"Month ";#N/A,#N/A,FALSE,"YTD";#N/A,#N/A,FALSE,"12 mo ended"}</definedName>
    <definedName name="fdasfdas"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2" hidden="1">{#N/A,#N/A,FALSE,"Month ";#N/A,#N/A,FALSE,"YTD";#N/A,#N/A,FALSE,"12 mo ended"}</definedName>
    <definedName name="fdsafdasfdsa" localSheetId="39" hidden="1">{#N/A,#N/A,FALSE,"Month ";#N/A,#N/A,FALSE,"YTD";#N/A,#N/A,FALSE,"12 mo ended"}</definedName>
    <definedName name="fdsafdasfdsa" localSheetId="38" hidden="1">{#N/A,#N/A,FALSE,"Month ";#N/A,#N/A,FALSE,"YTD";#N/A,#N/A,FALSE,"12 mo ended"}</definedName>
    <definedName name="fdsafdasfdsa" localSheetId="37" hidden="1">{#N/A,#N/A,FALSE,"Month ";#N/A,#N/A,FALSE,"YTD";#N/A,#N/A,FALSE,"12 mo ended"}</definedName>
    <definedName name="fdsafdasfdsa" localSheetId="79" hidden="1">{#N/A,#N/A,FALSE,"Month ";#N/A,#N/A,FALSE,"YTD";#N/A,#N/A,FALSE,"12 mo ended"}</definedName>
    <definedName name="fdsafdasfdsa" localSheetId="25" hidden="1">{#N/A,#N/A,FALSE,"Month ";#N/A,#N/A,FALSE,"YTD";#N/A,#N/A,FALSE,"12 mo ended"}</definedName>
    <definedName name="fdsafdasfdsa" localSheetId="77" hidden="1">{#N/A,#N/A,FALSE,"Month ";#N/A,#N/A,FALSE,"YTD";#N/A,#N/A,FALSE,"12 mo ended"}</definedName>
    <definedName name="fdsafdasfdsa" localSheetId="41" hidden="1">{#N/A,#N/A,FALSE,"Month ";#N/A,#N/A,FALSE,"YTD";#N/A,#N/A,FALSE,"12 mo ended"}</definedName>
    <definedName name="fdsafdasfdsa" hidden="1">{#N/A,#N/A,FALSE,"Month ";#N/A,#N/A,FALSE,"YTD";#N/A,#N/A,FALSE,"12 mo ended"}</definedName>
    <definedName name="k"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NetPowerScenario">'Net Power'!$A$89:$A$91</definedName>
    <definedName name="OM_Esc">'O&amp;M_Detail - Elec'!$H$178:$Z$208</definedName>
    <definedName name="p"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43">Asset_Sum!$A$1:$N$179</definedName>
    <definedName name="_xlnm.Print_Area" localSheetId="17">'Capital Plan'!$B$1:$AM$157</definedName>
    <definedName name="_xlnm.Print_Area" localSheetId="52">COS_Summ!$A$1:$I$60</definedName>
    <definedName name="_xlnm.Print_Area" localSheetId="53">'COS_Summ (cumulative)'!$A$1:$J$106</definedName>
    <definedName name="_xlnm.Print_Area" localSheetId="51">COS_Unit!$C$1:$Z$181</definedName>
    <definedName name="_xlnm.Print_Area" localSheetId="79">'Function Cost by Rate Class'!$C$6:$L$34</definedName>
    <definedName name="_xlnm.Print_Area" localSheetId="54">'Rate Pres Tables - 2017'!$B$1:$N$129</definedName>
    <definedName name="_xlnm.Print_Area" localSheetId="55">'Rate Present Assumptions'!$A$1:$L$21</definedName>
    <definedName name="_xlnm.Print_Area" localSheetId="61">'Sales Allocation Summ'!$C$1:$K$20</definedName>
    <definedName name="_xlnm.Print_Area" localSheetId="62">'Table 1'!$C$1:$G$69</definedName>
    <definedName name="_xlnm.Print_Area" localSheetId="72">'Table 10'!$C$1:$H$28</definedName>
    <definedName name="_xlnm.Print_Area" localSheetId="73">'Table 11'!$C$1:$F$33</definedName>
    <definedName name="_xlnm.Print_Area" localSheetId="63">'Table 2'!$C$1:$I$29</definedName>
    <definedName name="_xlnm.Print_Area" localSheetId="64">'Table 3'!$C$1:$AI$31</definedName>
    <definedName name="_xlnm.Print_Area" localSheetId="65">'Table 4'!$C$2:$X$28</definedName>
    <definedName name="_xlnm.Print_Area" localSheetId="66">'Table 5'!$C$1:$Y$79</definedName>
    <definedName name="_xlnm.Print_Area" localSheetId="67">'Table 6'!$C$1:$W$37</definedName>
    <definedName name="_xlnm.Print_Area" localSheetId="68">'Table 7'!$C$1:$V$28</definedName>
    <definedName name="_xlnm.Print_Area" localSheetId="69">'Table 8'!$C$1:$W$30</definedName>
    <definedName name="_xlnm.Print_Area" localSheetId="70">'Table 8b'!$C$1:$Z$30</definedName>
    <definedName name="_xlnm.Print_Area" localSheetId="71">'Table 9'!$C$1:$X$60</definedName>
    <definedName name="Print_Budget" localSheetId="21">'Forecast (BV) 2017'!$B$107:$U$142</definedName>
    <definedName name="Print_Complete">'Forecast (BV) 2017'!$B$5:$M$105</definedName>
    <definedName name="Print_Forecast" localSheetId="21">'Forecast (BV) 2017'!$B$144:$O$172</definedName>
    <definedName name="_xlnm.Print_Titles" localSheetId="43">Asset_Sum!$6:$7</definedName>
    <definedName name="_xlnm.Print_Titles" localSheetId="17">'Capital Plan'!$1:$1</definedName>
    <definedName name="_xlnm.Print_Titles" localSheetId="36">'Cash Balances (BV)'!$7:$7</definedName>
    <definedName name="_xlnm.Print_Titles" localSheetId="32">CIP_E!$7:$8</definedName>
    <definedName name="_xlnm.Print_Titles" localSheetId="49">COS_Alloc.!$5:$11</definedName>
    <definedName name="_xlnm.Print_Titles" localSheetId="44">COS_RB!$7:$10</definedName>
    <definedName name="_xlnm.Print_Titles" localSheetId="46">COS_RR!$8:$11</definedName>
    <definedName name="_xlnm.Print_Titles" localSheetId="45">'COS_Supervised O&amp;M'!$7:$10</definedName>
    <definedName name="_xlnm.Print_Titles" localSheetId="50">COS_Unbun.!$7:$10</definedName>
    <definedName name="_xlnm.Print_Titles" localSheetId="51">COS_Unit!$7:$10</definedName>
    <definedName name="_xlnm.Print_Titles" localSheetId="48">'COS_Units (cust)'!$7:$11</definedName>
    <definedName name="_xlnm.Print_Titles" localSheetId="47">'COS_Units (sales)'!$7:$11</definedName>
    <definedName name="_xlnm.Print_Titles" localSheetId="23">Cust_Detail!$6:$7</definedName>
    <definedName name="_xlnm.Print_Titles" localSheetId="30">'Debt-PRP'!$6:$6</definedName>
    <definedName name="_xlnm.Print_Titles" localSheetId="37">'Fin Forecast - PRP'!$6:$7</definedName>
    <definedName name="_xlnm.Print_Titles" localSheetId="29">'O&amp;M_Detail - Elec'!$6:$6</definedName>
    <definedName name="_xlnm.Print_Titles" localSheetId="35">'O&amp;M_Summ'!$5:$6</definedName>
    <definedName name="_xlnm.Print_Titles" localSheetId="25">Rates!$6:$7</definedName>
    <definedName name="_xlnm.Print_Titles" localSheetId="27">Rev!$6:$8</definedName>
    <definedName name="_xlnm.Print_Titles" localSheetId="78">'Table - Allocators'!$8:$11</definedName>
    <definedName name="_xlnm.Print_Titles" localSheetId="76">'Table RR'!$8:$11</definedName>
    <definedName name="ReturnSheets">"Return"</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StatFunctionsUpdateFreq">1</definedName>
    <definedName name="RiskTemplateSheetName">"myTemplate"</definedName>
    <definedName name="RiskUpdateDisplay">FALSE</definedName>
    <definedName name="RiskUpdateStatFunctions">FALSE</definedName>
    <definedName name="RiskUseDifferentSeedForEachSim">FALSE</definedName>
    <definedName name="RiskUseFixedSeed">FALSE</definedName>
    <definedName name="RiskUseMultipleCPUs">FALSE</definedName>
    <definedName name="SCH">#N/A</definedName>
    <definedName name="sencount" hidden="1">1</definedName>
    <definedName name="SHE">#N/A</definedName>
    <definedName name="SSS">#N/A</definedName>
    <definedName name="Ste">#N/A</definedName>
    <definedName name="Table1">#REF!</definedName>
    <definedName name="Title">Main!$C$4</definedName>
    <definedName name="USC">#N/A</definedName>
    <definedName name="we" localSheetId="32" hidden="1">{#N/A,#N/A,FALSE,"Pg 6b CustCount_Gas";#N/A,#N/A,FALSE,"QA";#N/A,#N/A,FALSE,"Report";#N/A,#N/A,FALSE,"forecast"}</definedName>
    <definedName name="we" localSheetId="39" hidden="1">{#N/A,#N/A,FALSE,"Pg 6b CustCount_Gas";#N/A,#N/A,FALSE,"QA";#N/A,#N/A,FALSE,"Report";#N/A,#N/A,FALSE,"forecast"}</definedName>
    <definedName name="we" localSheetId="38" hidden="1">{#N/A,#N/A,FALSE,"Pg 6b CustCount_Gas";#N/A,#N/A,FALSE,"QA";#N/A,#N/A,FALSE,"Report";#N/A,#N/A,FALSE,"forecast"}</definedName>
    <definedName name="we" localSheetId="37" hidden="1">{#N/A,#N/A,FALSE,"Pg 6b CustCount_Gas";#N/A,#N/A,FALSE,"QA";#N/A,#N/A,FALSE,"Report";#N/A,#N/A,FALSE,"forecast"}</definedName>
    <definedName name="we" localSheetId="79" hidden="1">{#N/A,#N/A,FALSE,"Pg 6b CustCount_Gas";#N/A,#N/A,FALSE,"QA";#N/A,#N/A,FALSE,"Report";#N/A,#N/A,FALSE,"forecast"}</definedName>
    <definedName name="we" localSheetId="25" hidden="1">{#N/A,#N/A,FALSE,"Pg 6b CustCount_Gas";#N/A,#N/A,FALSE,"QA";#N/A,#N/A,FALSE,"Report";#N/A,#N/A,FALSE,"forecast"}</definedName>
    <definedName name="we" localSheetId="77" hidden="1">{#N/A,#N/A,FALSE,"Pg 6b CustCount_Gas";#N/A,#N/A,FALSE,"QA";#N/A,#N/A,FALSE,"Report";#N/A,#N/A,FALSE,"forecast"}</definedName>
    <definedName name="we" localSheetId="41" hidden="1">{#N/A,#N/A,FALSE,"Pg 6b CustCount_Gas";#N/A,#N/A,FALSE,"QA";#N/A,#N/A,FALSE,"Report";#N/A,#N/A,FALSE,"forecast"}</definedName>
    <definedName name="we" hidden="1">{#N/A,#N/A,FALSE,"Pg 6b CustCount_Gas";#N/A,#N/A,FALSE,"QA";#N/A,#N/A,FALSE,"Report";#N/A,#N/A,FALSE,"forecast"}</definedName>
    <definedName name="wrn.Customer._.Counts._.Electric."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32" hidden="1">{#N/A,#N/A,FALSE,"Pg 6b CustCount_Gas";#N/A,#N/A,FALSE,"QA";#N/A,#N/A,FALSE,"Report";#N/A,#N/A,FALSE,"forecast"}</definedName>
    <definedName name="wrn.Customer._.Counts._.Gas." localSheetId="39" hidden="1">{#N/A,#N/A,FALSE,"Pg 6b CustCount_Gas";#N/A,#N/A,FALSE,"QA";#N/A,#N/A,FALSE,"Report";#N/A,#N/A,FALSE,"forecast"}</definedName>
    <definedName name="wrn.Customer._.Counts._.Gas." localSheetId="38" hidden="1">{#N/A,#N/A,FALSE,"Pg 6b CustCount_Gas";#N/A,#N/A,FALSE,"QA";#N/A,#N/A,FALSE,"Report";#N/A,#N/A,FALSE,"forecast"}</definedName>
    <definedName name="wrn.Customer._.Counts._.Gas." localSheetId="37" hidden="1">{#N/A,#N/A,FALSE,"Pg 6b CustCount_Gas";#N/A,#N/A,FALSE,"QA";#N/A,#N/A,FALSE,"Report";#N/A,#N/A,FALSE,"forecast"}</definedName>
    <definedName name="wrn.Customer._.Counts._.Gas." localSheetId="79" hidden="1">{#N/A,#N/A,FALSE,"Pg 6b CustCount_Gas";#N/A,#N/A,FALSE,"QA";#N/A,#N/A,FALSE,"Report";#N/A,#N/A,FALSE,"forecast"}</definedName>
    <definedName name="wrn.Customer._.Counts._.Gas." localSheetId="25" hidden="1">{#N/A,#N/A,FALSE,"Pg 6b CustCount_Gas";#N/A,#N/A,FALSE,"QA";#N/A,#N/A,FALSE,"Report";#N/A,#N/A,FALSE,"forecast"}</definedName>
    <definedName name="wrn.Customer._.Counts._.Gas." localSheetId="77" hidden="1">{#N/A,#N/A,FALSE,"Pg 6b CustCount_Gas";#N/A,#N/A,FALSE,"QA";#N/A,#N/A,FALSE,"Report";#N/A,#N/A,FALSE,"forecast"}</definedName>
    <definedName name="wrn.Customer._.Counts._.Gas." localSheetId="41" hidden="1">{#N/A,#N/A,FALSE,"Pg 6b CustCount_Gas";#N/A,#N/A,FALSE,"QA";#N/A,#N/A,FALSE,"Report";#N/A,#N/A,FALSE,"forecast"}</definedName>
    <definedName name="wrn.Customer._.Counts._.Gas." hidden="1">{#N/A,#N/A,FALSE,"Pg 6b CustCount_Gas";#N/A,#N/A,FALSE,"QA";#N/A,#N/A,FALSE,"Report";#N/A,#N/A,FALSE,"forecast"}</definedName>
    <definedName name="wrn.Incentive._.Overhead." localSheetId="32" hidden="1">{#N/A,#N/A,FALSE,"Coversheet";#N/A,#N/A,FALSE,"QA"}</definedName>
    <definedName name="wrn.Incentive._.Overhead." localSheetId="39" hidden="1">{#N/A,#N/A,FALSE,"Coversheet";#N/A,#N/A,FALSE,"QA"}</definedName>
    <definedName name="wrn.Incentive._.Overhead." localSheetId="38" hidden="1">{#N/A,#N/A,FALSE,"Coversheet";#N/A,#N/A,FALSE,"QA"}</definedName>
    <definedName name="wrn.Incentive._.Overhead." localSheetId="37" hidden="1">{#N/A,#N/A,FALSE,"Coversheet";#N/A,#N/A,FALSE,"QA"}</definedName>
    <definedName name="wrn.Incentive._.Overhead." localSheetId="79" hidden="1">{#N/A,#N/A,FALSE,"Coversheet";#N/A,#N/A,FALSE,"QA"}</definedName>
    <definedName name="wrn.Incentive._.Overhead." localSheetId="25" hidden="1">{#N/A,#N/A,FALSE,"Coversheet";#N/A,#N/A,FALSE,"QA"}</definedName>
    <definedName name="wrn.Incentive._.Overhead." localSheetId="77" hidden="1">{#N/A,#N/A,FALSE,"Coversheet";#N/A,#N/A,FALSE,"QA"}</definedName>
    <definedName name="wrn.Incentive._.Overhead." localSheetId="41" hidden="1">{#N/A,#N/A,FALSE,"Coversheet";#N/A,#N/A,FALSE,"QA"}</definedName>
    <definedName name="wrn.Incentive._.Overhead." hidden="1">{#N/A,#N/A,FALSE,"Coversheet";#N/A,#N/A,FALSE,"QA"}</definedName>
    <definedName name="wrn.MARGIN_WO_QTR." localSheetId="32" hidden="1">{#N/A,#N/A,FALSE,"Month ";#N/A,#N/A,FALSE,"YTD";#N/A,#N/A,FALSE,"12 mo ended"}</definedName>
    <definedName name="wrn.MARGIN_WO_QTR." localSheetId="39" hidden="1">{#N/A,#N/A,FALSE,"Month ";#N/A,#N/A,FALSE,"YTD";#N/A,#N/A,FALSE,"12 mo ended"}</definedName>
    <definedName name="wrn.MARGIN_WO_QTR." localSheetId="38" hidden="1">{#N/A,#N/A,FALSE,"Month ";#N/A,#N/A,FALSE,"YTD";#N/A,#N/A,FALSE,"12 mo ended"}</definedName>
    <definedName name="wrn.MARGIN_WO_QTR." localSheetId="37" hidden="1">{#N/A,#N/A,FALSE,"Month ";#N/A,#N/A,FALSE,"YTD";#N/A,#N/A,FALSE,"12 mo ended"}</definedName>
    <definedName name="wrn.MARGIN_WO_QTR." localSheetId="79" hidden="1">{#N/A,#N/A,FALSE,"Month ";#N/A,#N/A,FALSE,"YTD";#N/A,#N/A,FALSE,"12 mo ended"}</definedName>
    <definedName name="wrn.MARGIN_WO_QTR." localSheetId="25" hidden="1">{#N/A,#N/A,FALSE,"Month ";#N/A,#N/A,FALSE,"YTD";#N/A,#N/A,FALSE,"12 mo ended"}</definedName>
    <definedName name="wrn.MARGIN_WO_QTR." localSheetId="77" hidden="1">{#N/A,#N/A,FALSE,"Month ";#N/A,#N/A,FALSE,"YTD";#N/A,#N/A,FALSE,"12 mo ended"}</definedName>
    <definedName name="wrn.MARGIN_WO_QTR." localSheetId="41" hidden="1">{#N/A,#N/A,FALSE,"Month ";#N/A,#N/A,FALSE,"YTD";#N/A,#N/A,FALSE,"12 mo ended"}</definedName>
    <definedName name="wrn.MARGIN_WO_QTR." hidden="1">{#N/A,#N/A,FALSE,"Month ";#N/A,#N/A,FALSE,"YTD";#N/A,#N/A,FALSE,"12 mo ended"}</definedName>
    <definedName name="wrn.Municipal._.Reports."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y"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ZBY" hidden="1">[4]A!$C$12</definedName>
    <definedName name="ZDate" hidden="1">[4]A!$E$270</definedName>
    <definedName name="ZHEAD" hidden="1">[4]A!$E$18</definedName>
    <definedName name="ZNAME" hidden="1">[4]A!$F$12</definedName>
    <definedName name="ZRND2" hidden="1">[4]A!$D$281</definedName>
  </definedNames>
  <calcPr calcId="152511"/>
</workbook>
</file>

<file path=xl/calcChain.xml><?xml version="1.0" encoding="utf-8"?>
<calcChain xmlns="http://schemas.openxmlformats.org/spreadsheetml/2006/main">
  <c r="P177" i="175" l="1"/>
  <c r="T54" i="186" l="1"/>
  <c r="V54" i="186"/>
  <c r="W54" i="186"/>
  <c r="V57" i="186"/>
  <c r="T72" i="186"/>
  <c r="V72" i="186"/>
  <c r="W72" i="186"/>
  <c r="T93" i="96" l="1"/>
  <c r="T91" i="96"/>
  <c r="T88" i="96"/>
  <c r="T89" i="96"/>
  <c r="T87" i="96"/>
  <c r="T86" i="96"/>
  <c r="T80" i="96"/>
  <c r="T83" i="96"/>
  <c r="T81" i="96"/>
  <c r="T79" i="96"/>
  <c r="T78" i="96"/>
  <c r="T77" i="96"/>
  <c r="T76" i="96"/>
  <c r="T75" i="96"/>
  <c r="T74" i="96"/>
  <c r="T73" i="96"/>
  <c r="T72" i="96"/>
  <c r="T71" i="96"/>
  <c r="L95" i="208" l="1"/>
  <c r="L91" i="208"/>
  <c r="L96" i="208"/>
  <c r="L94" i="208"/>
  <c r="L93" i="208"/>
  <c r="L92" i="208"/>
  <c r="L90" i="208"/>
  <c r="L89" i="208"/>
  <c r="L88" i="208"/>
  <c r="D88" i="208"/>
  <c r="D89" i="208" s="1"/>
  <c r="D90" i="208" s="1"/>
  <c r="D91" i="208" s="1"/>
  <c r="D92" i="208" s="1"/>
  <c r="D93" i="208" s="1"/>
  <c r="D94" i="208" s="1"/>
  <c r="D95" i="208" s="1"/>
  <c r="D96" i="208" s="1"/>
  <c r="N124" i="219" l="1"/>
  <c r="N82" i="219"/>
  <c r="N81" i="219"/>
  <c r="N96" i="219"/>
  <c r="N95" i="219"/>
  <c r="N94" i="219"/>
  <c r="N93" i="219"/>
  <c r="N92" i="219"/>
  <c r="N91" i="219"/>
  <c r="N90" i="219"/>
  <c r="N89" i="219"/>
  <c r="N88" i="219"/>
  <c r="N87" i="219"/>
  <c r="N146" i="13" l="1"/>
  <c r="E10" i="213" s="1"/>
  <c r="N147" i="13"/>
  <c r="E11" i="213" s="1"/>
  <c r="N148" i="13"/>
  <c r="E12" i="213" s="1"/>
  <c r="N149" i="13"/>
  <c r="E13" i="213" s="1"/>
  <c r="N150" i="13"/>
  <c r="E14" i="213" s="1"/>
  <c r="N151" i="13"/>
  <c r="E15" i="213" s="1"/>
  <c r="S151" i="13"/>
  <c r="N152" i="13"/>
  <c r="E16" i="213" s="1"/>
  <c r="N154" i="13"/>
  <c r="E18" i="213" s="1"/>
  <c r="N155" i="13"/>
  <c r="E19" i="213" s="1"/>
  <c r="N170" i="13"/>
  <c r="N172" i="13"/>
  <c r="N173" i="13"/>
  <c r="N199" i="13"/>
  <c r="F16" i="213" s="1"/>
  <c r="N201" i="13"/>
  <c r="F18" i="213" s="1"/>
  <c r="C33" i="115"/>
  <c r="C35" i="115" s="1"/>
  <c r="C34" i="115"/>
  <c r="C36" i="115" l="1"/>
  <c r="AA14" i="78" l="1"/>
  <c r="AA15" i="78"/>
  <c r="AA16" i="78"/>
  <c r="AA17" i="78"/>
  <c r="AA18" i="78"/>
  <c r="AA19" i="78"/>
  <c r="AA20" i="78"/>
  <c r="AA21" i="78"/>
  <c r="AA22" i="78"/>
  <c r="AA23" i="78"/>
  <c r="I21" i="92" l="1"/>
  <c r="L97" i="219" l="1"/>
  <c r="M97" i="219"/>
  <c r="L59" i="219"/>
  <c r="M59" i="219"/>
  <c r="L60" i="219"/>
  <c r="M60" i="219"/>
  <c r="L61" i="219"/>
  <c r="M61" i="219"/>
  <c r="L62" i="219"/>
  <c r="M62" i="219"/>
  <c r="L63" i="219"/>
  <c r="M63" i="219"/>
  <c r="L64" i="219"/>
  <c r="M64" i="219"/>
  <c r="L65" i="219"/>
  <c r="M65" i="219"/>
  <c r="L66" i="219"/>
  <c r="M66" i="219"/>
  <c r="L67" i="219"/>
  <c r="M67" i="219"/>
  <c r="L68" i="219"/>
  <c r="M68" i="219"/>
  <c r="S21" i="92" l="1"/>
  <c r="R21" i="92"/>
  <c r="Q21" i="92"/>
  <c r="P21" i="92"/>
  <c r="O21" i="92"/>
  <c r="N21" i="92"/>
  <c r="M21" i="92"/>
  <c r="L21" i="92"/>
  <c r="K21" i="92"/>
  <c r="J21" i="92"/>
  <c r="S11" i="186"/>
  <c r="R11" i="186"/>
  <c r="Q11" i="186"/>
  <c r="P11" i="186"/>
  <c r="O11" i="186"/>
  <c r="N11" i="186"/>
  <c r="M11" i="186"/>
  <c r="L11" i="186"/>
  <c r="K11" i="186"/>
  <c r="R101" i="225"/>
  <c r="Q101" i="225"/>
  <c r="P101" i="225"/>
  <c r="O101" i="225"/>
  <c r="N101" i="225"/>
  <c r="M101" i="225"/>
  <c r="L101" i="225"/>
  <c r="K101" i="225"/>
  <c r="J101" i="225"/>
  <c r="I101" i="225"/>
  <c r="H101" i="225"/>
  <c r="G101" i="225"/>
  <c r="U38" i="176" l="1"/>
  <c r="T38" i="176"/>
  <c r="S38" i="176"/>
  <c r="R38" i="176"/>
  <c r="Q38" i="176"/>
  <c r="P38" i="176"/>
  <c r="O38" i="176"/>
  <c r="N38" i="176"/>
  <c r="M38" i="176"/>
  <c r="L38" i="176"/>
  <c r="K38" i="176"/>
  <c r="P23" i="177" l="1"/>
  <c r="F22" i="177"/>
  <c r="D22" i="177"/>
  <c r="E22" i="177"/>
  <c r="G22" i="177"/>
  <c r="H22" i="177"/>
  <c r="I22" i="177"/>
  <c r="J22" i="177"/>
  <c r="K22" i="177"/>
  <c r="L22" i="177"/>
  <c r="M22" i="177"/>
  <c r="N22" i="177"/>
  <c r="O22" i="177"/>
  <c r="P22" i="177"/>
  <c r="J45" i="176" l="1"/>
  <c r="I45" i="176"/>
  <c r="J159" i="175" l="1"/>
  <c r="K159" i="175"/>
  <c r="L159" i="175"/>
  <c r="M159" i="175"/>
  <c r="N159" i="175"/>
  <c r="O159" i="175"/>
  <c r="I159" i="175"/>
  <c r="C167" i="34"/>
  <c r="C168" i="34" s="1"/>
  <c r="C163" i="34"/>
  <c r="C164" i="34" s="1"/>
  <c r="D186" i="34"/>
  <c r="E186" i="34"/>
  <c r="D187" i="34"/>
  <c r="E187" i="34"/>
  <c r="D188" i="34"/>
  <c r="E188" i="34"/>
  <c r="D168" i="34"/>
  <c r="E168" i="34"/>
  <c r="E163" i="34"/>
  <c r="D163" i="34"/>
  <c r="G36" i="176"/>
  <c r="H36" i="176"/>
  <c r="P158" i="175" l="1"/>
  <c r="P154" i="175"/>
  <c r="P150" i="175"/>
  <c r="P146" i="175"/>
  <c r="P142" i="175"/>
  <c r="P138" i="175"/>
  <c r="P134" i="175"/>
  <c r="P130" i="175"/>
  <c r="P126" i="175"/>
  <c r="P122" i="175"/>
  <c r="P121" i="175"/>
  <c r="P147" i="175"/>
  <c r="P135" i="175"/>
  <c r="P127" i="175"/>
  <c r="P157" i="175"/>
  <c r="P153" i="175"/>
  <c r="P149" i="175"/>
  <c r="P145" i="175"/>
  <c r="P141" i="175"/>
  <c r="P137" i="175"/>
  <c r="P133" i="175"/>
  <c r="P129" i="175"/>
  <c r="P125" i="175"/>
  <c r="P139" i="175"/>
  <c r="P123" i="175"/>
  <c r="P156" i="175"/>
  <c r="P152" i="175"/>
  <c r="P148" i="175"/>
  <c r="P144" i="175"/>
  <c r="P140" i="175"/>
  <c r="P136" i="175"/>
  <c r="P132" i="175"/>
  <c r="P128" i="175"/>
  <c r="P124" i="175"/>
  <c r="P120" i="175"/>
  <c r="P155" i="175"/>
  <c r="P151" i="175"/>
  <c r="P143" i="175"/>
  <c r="P131" i="175"/>
  <c r="C169" i="34"/>
  <c r="C165" i="34"/>
  <c r="C166" i="34" s="1"/>
  <c r="P159" i="175" l="1"/>
  <c r="Q155" i="175" s="1"/>
  <c r="C171" i="34"/>
  <c r="C170" i="34"/>
  <c r="Q153" i="175" l="1"/>
  <c r="Q154" i="175"/>
  <c r="Q138" i="175"/>
  <c r="Q122" i="175"/>
  <c r="Q157" i="175"/>
  <c r="Q141" i="175"/>
  <c r="Q125" i="175"/>
  <c r="Q123" i="175"/>
  <c r="Q144" i="175"/>
  <c r="Q128" i="175"/>
  <c r="Q127" i="175"/>
  <c r="Q126" i="175"/>
  <c r="Q129" i="175"/>
  <c r="Q132" i="175"/>
  <c r="Q150" i="175"/>
  <c r="Q134" i="175"/>
  <c r="Q121" i="175"/>
  <c r="Q156" i="175"/>
  <c r="Q140" i="175"/>
  <c r="Q124" i="175"/>
  <c r="Q142" i="175"/>
  <c r="Q145" i="175"/>
  <c r="Q148" i="175"/>
  <c r="Q143" i="175"/>
  <c r="Q149" i="175"/>
  <c r="Q133" i="175"/>
  <c r="Q152" i="175"/>
  <c r="Q136" i="175"/>
  <c r="Q120" i="175"/>
  <c r="Q158" i="175"/>
  <c r="Q131" i="175"/>
  <c r="Q135" i="175"/>
  <c r="Q151" i="175"/>
  <c r="Q137" i="175"/>
  <c r="Q139" i="175"/>
  <c r="Q146" i="175"/>
  <c r="Q147" i="175"/>
  <c r="Q130" i="175"/>
  <c r="C172" i="34"/>
  <c r="C174" i="34"/>
  <c r="C173" i="34"/>
  <c r="C175" i="34" l="1"/>
  <c r="C176" i="34"/>
  <c r="C177" i="34" l="1"/>
  <c r="C178" i="34" s="1"/>
  <c r="C179" i="34" l="1"/>
  <c r="C180" i="34"/>
  <c r="C181" i="34" l="1"/>
  <c r="C184" i="34" l="1"/>
  <c r="C185" i="34" s="1"/>
  <c r="C186" i="34" s="1"/>
  <c r="C187" i="34" s="1"/>
  <c r="C188" i="34" s="1"/>
  <c r="C189" i="34" s="1"/>
  <c r="C182" i="34"/>
  <c r="C183" i="34" s="1"/>
  <c r="I20" i="92" l="1"/>
  <c r="L14" i="30"/>
  <c r="F139" i="70" l="1"/>
  <c r="G139" i="70"/>
  <c r="H139" i="70"/>
  <c r="I139" i="70"/>
  <c r="F140" i="70"/>
  <c r="G140" i="70"/>
  <c r="H140" i="70"/>
  <c r="I140" i="70"/>
  <c r="F141" i="70"/>
  <c r="G141" i="70"/>
  <c r="H141" i="70"/>
  <c r="I141" i="70"/>
  <c r="F123" i="70"/>
  <c r="G123" i="70"/>
  <c r="H123" i="70"/>
  <c r="I123" i="70"/>
  <c r="G119" i="70"/>
  <c r="H119" i="70"/>
  <c r="I119" i="70"/>
  <c r="F119" i="70"/>
  <c r="G23" i="179" l="1"/>
  <c r="H23" i="179"/>
  <c r="I23" i="179"/>
  <c r="J23" i="179"/>
  <c r="K23" i="179"/>
  <c r="L23" i="179"/>
  <c r="M23" i="179"/>
  <c r="N23" i="179"/>
  <c r="O23" i="179"/>
  <c r="P23" i="179"/>
  <c r="Q23" i="179"/>
  <c r="R23" i="179"/>
  <c r="S23" i="179"/>
  <c r="G24" i="179"/>
  <c r="H24" i="179"/>
  <c r="I24" i="179"/>
  <c r="J24" i="179"/>
  <c r="K24" i="179"/>
  <c r="L24" i="179"/>
  <c r="M24" i="179"/>
  <c r="N24" i="179"/>
  <c r="O24" i="179"/>
  <c r="P24" i="179"/>
  <c r="Q24" i="179"/>
  <c r="R24" i="179"/>
  <c r="S24" i="179"/>
  <c r="G25" i="179"/>
  <c r="H25" i="179"/>
  <c r="I25" i="179"/>
  <c r="J25" i="179"/>
  <c r="K25" i="179"/>
  <c r="L25" i="179"/>
  <c r="M25" i="179"/>
  <c r="N25" i="179"/>
  <c r="O25" i="179"/>
  <c r="P25" i="179"/>
  <c r="Q25" i="179"/>
  <c r="R25" i="179"/>
  <c r="S25" i="179"/>
  <c r="G26" i="179"/>
  <c r="H26" i="179"/>
  <c r="I26" i="179"/>
  <c r="J26" i="179"/>
  <c r="K26" i="179"/>
  <c r="L26" i="179"/>
  <c r="M26" i="179"/>
  <c r="N26" i="179"/>
  <c r="O26" i="179"/>
  <c r="P26" i="179"/>
  <c r="Q26" i="179"/>
  <c r="R26" i="179"/>
  <c r="S26" i="179"/>
  <c r="G27" i="179"/>
  <c r="H27" i="179"/>
  <c r="I27" i="179"/>
  <c r="J27" i="179"/>
  <c r="K27" i="179"/>
  <c r="L27" i="179"/>
  <c r="M27" i="179"/>
  <c r="N27" i="179"/>
  <c r="O27" i="179"/>
  <c r="P27" i="179"/>
  <c r="Q27" i="179"/>
  <c r="R27" i="179"/>
  <c r="S27" i="179"/>
  <c r="G28" i="179"/>
  <c r="H28" i="179"/>
  <c r="I28" i="179"/>
  <c r="J28" i="179"/>
  <c r="K28" i="179"/>
  <c r="L28" i="179"/>
  <c r="M28" i="179"/>
  <c r="N28" i="179"/>
  <c r="O28" i="179"/>
  <c r="P28" i="179"/>
  <c r="Q28" i="179"/>
  <c r="R28" i="179"/>
  <c r="S28" i="179"/>
  <c r="G29" i="179"/>
  <c r="H29" i="179"/>
  <c r="I29" i="179"/>
  <c r="J29" i="179"/>
  <c r="K29" i="179"/>
  <c r="L29" i="179"/>
  <c r="M29" i="179"/>
  <c r="N29" i="179"/>
  <c r="O29" i="179"/>
  <c r="P29" i="179"/>
  <c r="Q29" i="179"/>
  <c r="R29" i="179"/>
  <c r="S29" i="179"/>
  <c r="G30" i="179"/>
  <c r="H30" i="179"/>
  <c r="I30" i="179"/>
  <c r="J30" i="179"/>
  <c r="K30" i="179"/>
  <c r="L30" i="179"/>
  <c r="M30" i="179"/>
  <c r="N30" i="179"/>
  <c r="O30" i="179"/>
  <c r="P30" i="179"/>
  <c r="Q30" i="179"/>
  <c r="R30" i="179"/>
  <c r="S30" i="179"/>
  <c r="F19" i="179"/>
  <c r="G19" i="179"/>
  <c r="H19" i="179"/>
  <c r="I19" i="179"/>
  <c r="J19" i="179"/>
  <c r="K19" i="179"/>
  <c r="L19" i="179"/>
  <c r="M19" i="179"/>
  <c r="N19" i="179"/>
  <c r="O19" i="179"/>
  <c r="P19" i="179"/>
  <c r="Q19" i="179"/>
  <c r="R19" i="179"/>
  <c r="S19" i="179"/>
  <c r="G10" i="179"/>
  <c r="H10" i="179"/>
  <c r="I10" i="179"/>
  <c r="J10" i="179"/>
  <c r="K10" i="179"/>
  <c r="L10" i="179"/>
  <c r="M10" i="179"/>
  <c r="N10" i="179"/>
  <c r="O10" i="179"/>
  <c r="P10" i="179"/>
  <c r="Q10" i="179"/>
  <c r="R10" i="179"/>
  <c r="S10" i="179"/>
  <c r="G11" i="179"/>
  <c r="H11" i="179"/>
  <c r="I11" i="179"/>
  <c r="J11" i="179"/>
  <c r="K11" i="179"/>
  <c r="L11" i="179"/>
  <c r="M11" i="179"/>
  <c r="N11" i="179"/>
  <c r="O11" i="179"/>
  <c r="P11" i="179"/>
  <c r="Q11" i="179"/>
  <c r="R11" i="179"/>
  <c r="S11" i="179"/>
  <c r="G12" i="179"/>
  <c r="H12" i="179"/>
  <c r="I12" i="179"/>
  <c r="J12" i="179"/>
  <c r="K12" i="179"/>
  <c r="L12" i="179"/>
  <c r="M12" i="179"/>
  <c r="N12" i="179"/>
  <c r="O12" i="179"/>
  <c r="P12" i="179"/>
  <c r="Q12" i="179"/>
  <c r="R12" i="179"/>
  <c r="S12" i="179"/>
  <c r="G13" i="179"/>
  <c r="H13" i="179"/>
  <c r="I13" i="179"/>
  <c r="J13" i="179"/>
  <c r="K13" i="179"/>
  <c r="L13" i="179"/>
  <c r="M13" i="179"/>
  <c r="N13" i="179"/>
  <c r="O13" i="179"/>
  <c r="P13" i="179"/>
  <c r="Q13" i="179"/>
  <c r="R13" i="179"/>
  <c r="S13" i="179"/>
  <c r="G14" i="179"/>
  <c r="H14" i="179"/>
  <c r="I14" i="179"/>
  <c r="J14" i="179"/>
  <c r="K14" i="179"/>
  <c r="L14" i="179"/>
  <c r="M14" i="179"/>
  <c r="N14" i="179"/>
  <c r="O14" i="179"/>
  <c r="P14" i="179"/>
  <c r="Q14" i="179"/>
  <c r="R14" i="179"/>
  <c r="S14" i="179"/>
  <c r="G15" i="179"/>
  <c r="H15" i="179"/>
  <c r="I15" i="179"/>
  <c r="J15" i="179"/>
  <c r="K15" i="179"/>
  <c r="L15" i="179"/>
  <c r="M15" i="179"/>
  <c r="N15" i="179"/>
  <c r="O15" i="179"/>
  <c r="P15" i="179"/>
  <c r="Q15" i="179"/>
  <c r="R15" i="179"/>
  <c r="S15" i="179"/>
  <c r="G16" i="179"/>
  <c r="H16" i="179"/>
  <c r="I16" i="179"/>
  <c r="J16" i="179"/>
  <c r="K16" i="179"/>
  <c r="L16" i="179"/>
  <c r="M16" i="179"/>
  <c r="N16" i="179"/>
  <c r="O16" i="179"/>
  <c r="P16" i="179"/>
  <c r="Q16" i="179"/>
  <c r="R16" i="179"/>
  <c r="S16" i="179"/>
  <c r="G17" i="179"/>
  <c r="H17" i="179"/>
  <c r="I17" i="179"/>
  <c r="J17" i="179"/>
  <c r="K17" i="179"/>
  <c r="L17" i="179"/>
  <c r="M17" i="179"/>
  <c r="N17" i="179"/>
  <c r="O17" i="179"/>
  <c r="P17" i="179"/>
  <c r="Q17" i="179"/>
  <c r="R17" i="179"/>
  <c r="S17" i="179"/>
  <c r="G18" i="179"/>
  <c r="H18" i="179"/>
  <c r="I18" i="179"/>
  <c r="J18" i="179"/>
  <c r="K18" i="179"/>
  <c r="L18" i="179"/>
  <c r="M18" i="179"/>
  <c r="N18" i="179"/>
  <c r="O18" i="179"/>
  <c r="P18" i="179"/>
  <c r="Q18" i="179"/>
  <c r="R18" i="179"/>
  <c r="S18" i="179"/>
  <c r="Z74" i="227"/>
  <c r="L20" i="30" l="1"/>
  <c r="M20" i="30"/>
  <c r="N20" i="30"/>
  <c r="O20" i="30"/>
  <c r="P20" i="30"/>
  <c r="V14" i="30" l="1"/>
  <c r="U14" i="30"/>
  <c r="T14" i="30"/>
  <c r="S14" i="30"/>
  <c r="R14" i="30"/>
  <c r="Q14" i="30"/>
  <c r="P14" i="30"/>
  <c r="O14" i="30"/>
  <c r="N14" i="30"/>
  <c r="M14" i="30"/>
  <c r="K20" i="30"/>
  <c r="J20" i="30"/>
  <c r="I20" i="30"/>
  <c r="V9" i="30"/>
  <c r="U9" i="30"/>
  <c r="T9" i="30"/>
  <c r="S9" i="30"/>
  <c r="R9" i="30"/>
  <c r="Q9" i="30"/>
  <c r="P9" i="30"/>
  <c r="O9" i="30"/>
  <c r="N9" i="30"/>
  <c r="M9" i="30"/>
  <c r="L9" i="30"/>
  <c r="E197" i="16" l="1"/>
  <c r="F10" i="179" l="1"/>
  <c r="K206" i="171" l="1"/>
  <c r="J206" i="171"/>
  <c r="I206" i="171"/>
  <c r="H206" i="171"/>
  <c r="L205" i="171"/>
  <c r="L204" i="171"/>
  <c r="L203" i="171"/>
  <c r="L202" i="171"/>
  <c r="L201" i="171"/>
  <c r="L200" i="171"/>
  <c r="L199" i="171"/>
  <c r="L198" i="171"/>
  <c r="L197" i="171"/>
  <c r="L196" i="171"/>
  <c r="L195" i="171"/>
  <c r="L194" i="171"/>
  <c r="L193" i="171"/>
  <c r="L192" i="171"/>
  <c r="L191" i="171"/>
  <c r="L190" i="171"/>
  <c r="L189" i="171"/>
  <c r="L188" i="171"/>
  <c r="L187" i="171"/>
  <c r="L186" i="171"/>
  <c r="L185" i="171"/>
  <c r="L184" i="171"/>
  <c r="L183" i="171"/>
  <c r="L182" i="171"/>
  <c r="L181" i="171"/>
  <c r="L180" i="171"/>
  <c r="L179" i="171"/>
  <c r="L178" i="171"/>
  <c r="L177" i="171"/>
  <c r="L176" i="171"/>
  <c r="L175" i="171"/>
  <c r="L174" i="171"/>
  <c r="K171" i="171"/>
  <c r="J171" i="171"/>
  <c r="I171" i="171"/>
  <c r="H171" i="171"/>
  <c r="G171" i="171"/>
  <c r="L171" i="171" s="1"/>
  <c r="L170" i="171"/>
  <c r="L169" i="171"/>
  <c r="L168" i="171"/>
  <c r="L167" i="171"/>
  <c r="L166" i="171"/>
  <c r="L165" i="171"/>
  <c r="L164" i="171"/>
  <c r="L163" i="171"/>
  <c r="L162" i="171"/>
  <c r="L161" i="171"/>
  <c r="L160" i="171"/>
  <c r="L159" i="171"/>
  <c r="L158" i="171"/>
  <c r="L157" i="171"/>
  <c r="L156" i="171"/>
  <c r="L155" i="171"/>
  <c r="L154" i="171"/>
  <c r="L153" i="171"/>
  <c r="L152" i="171"/>
  <c r="L151" i="171"/>
  <c r="L150" i="171"/>
  <c r="L149" i="171"/>
  <c r="L148" i="171"/>
  <c r="L147" i="171"/>
  <c r="L146" i="171"/>
  <c r="L145" i="171"/>
  <c r="L144" i="171"/>
  <c r="L143" i="171"/>
  <c r="L142" i="171"/>
  <c r="L141" i="171"/>
  <c r="L140" i="171"/>
  <c r="L139" i="171"/>
  <c r="L138" i="171"/>
  <c r="L137" i="171"/>
  <c r="L136" i="171"/>
  <c r="L135" i="171"/>
  <c r="L134" i="171"/>
  <c r="L133" i="171"/>
  <c r="L132" i="171"/>
  <c r="L131" i="171"/>
  <c r="L130" i="171"/>
  <c r="L129" i="171"/>
  <c r="L128" i="171"/>
  <c r="L127" i="171"/>
  <c r="L126" i="171"/>
  <c r="L125" i="171"/>
  <c r="L124" i="171"/>
  <c r="L123" i="171"/>
  <c r="L122" i="171"/>
  <c r="L121" i="171"/>
  <c r="L120" i="171"/>
  <c r="L119" i="171"/>
  <c r="L118" i="171"/>
  <c r="L117" i="171"/>
  <c r="L116" i="171"/>
  <c r="L115" i="171"/>
  <c r="L114" i="171"/>
  <c r="L113" i="171"/>
  <c r="L112" i="171"/>
  <c r="L111" i="171"/>
  <c r="L110" i="171"/>
  <c r="L109" i="171"/>
  <c r="L108" i="171"/>
  <c r="L107" i="171"/>
  <c r="L106" i="171"/>
  <c r="L105" i="171"/>
  <c r="L104" i="171"/>
  <c r="L103" i="171"/>
  <c r="L102" i="171"/>
  <c r="L101" i="171"/>
  <c r="L100" i="171"/>
  <c r="L99" i="171"/>
  <c r="L98" i="171"/>
  <c r="L97" i="171"/>
  <c r="L96" i="171"/>
  <c r="L95" i="171"/>
  <c r="L94" i="171"/>
  <c r="L93" i="171"/>
  <c r="L92" i="171"/>
  <c r="L91" i="171"/>
  <c r="L90" i="171"/>
  <c r="L89" i="171"/>
  <c r="L88" i="171"/>
  <c r="L87" i="171"/>
  <c r="L86" i="171"/>
  <c r="L85" i="171"/>
  <c r="L84" i="171"/>
  <c r="L83" i="171"/>
  <c r="L82" i="171"/>
  <c r="L81" i="171"/>
  <c r="L80" i="171"/>
  <c r="L79" i="171"/>
  <c r="L78" i="171"/>
  <c r="L77" i="171"/>
  <c r="L76" i="171"/>
  <c r="L75" i="171"/>
  <c r="L74" i="171"/>
  <c r="L73" i="171"/>
  <c r="L72" i="171"/>
  <c r="L71" i="171"/>
  <c r="L70" i="171"/>
  <c r="L69" i="171"/>
  <c r="L68" i="171"/>
  <c r="L67" i="171"/>
  <c r="L66" i="171"/>
  <c r="L65" i="171"/>
  <c r="L64" i="171"/>
  <c r="L63" i="171"/>
  <c r="L62" i="171"/>
  <c r="L61" i="171"/>
  <c r="L60" i="171"/>
  <c r="L59" i="171"/>
  <c r="L58" i="171"/>
  <c r="L57" i="171"/>
  <c r="L56" i="171"/>
  <c r="L55" i="171"/>
  <c r="L54" i="171"/>
  <c r="L53" i="171"/>
  <c r="L52" i="171"/>
  <c r="L51" i="171"/>
  <c r="L50" i="171"/>
  <c r="L49" i="171"/>
  <c r="L48" i="171"/>
  <c r="L47" i="171"/>
  <c r="L46" i="171"/>
  <c r="L45" i="171"/>
  <c r="L44" i="171"/>
  <c r="L43" i="171"/>
  <c r="L42" i="171"/>
  <c r="L41" i="171"/>
  <c r="L40" i="171"/>
  <c r="L39" i="171"/>
  <c r="L38" i="171"/>
  <c r="L37" i="171"/>
  <c r="L36" i="171"/>
  <c r="L35" i="171"/>
  <c r="L34" i="171"/>
  <c r="L33" i="171"/>
  <c r="L32" i="171"/>
  <c r="L31" i="171"/>
  <c r="L30" i="171"/>
  <c r="L29" i="171"/>
  <c r="L28" i="171"/>
  <c r="L27" i="171"/>
  <c r="L26" i="171"/>
  <c r="L25" i="171"/>
  <c r="L24" i="171"/>
  <c r="L23" i="171"/>
  <c r="L22" i="171"/>
  <c r="L21" i="171"/>
  <c r="L20" i="171"/>
  <c r="L19" i="171"/>
  <c r="L18" i="171"/>
  <c r="L17" i="171"/>
  <c r="L16" i="171"/>
  <c r="L15" i="171"/>
  <c r="L14" i="171"/>
  <c r="L13" i="171"/>
  <c r="L12" i="171"/>
  <c r="L11" i="171"/>
  <c r="L10" i="171"/>
  <c r="L9" i="171"/>
  <c r="D206" i="171"/>
  <c r="E206" i="171" s="1"/>
  <c r="C206" i="171"/>
  <c r="E205" i="171"/>
  <c r="E204" i="171"/>
  <c r="E203" i="171"/>
  <c r="E202" i="171"/>
  <c r="E201" i="171"/>
  <c r="E200" i="171"/>
  <c r="E199" i="171"/>
  <c r="E198" i="171"/>
  <c r="E197" i="171"/>
  <c r="E196" i="171"/>
  <c r="E195" i="171"/>
  <c r="E194" i="171"/>
  <c r="E193" i="171"/>
  <c r="E192" i="171"/>
  <c r="E191" i="171"/>
  <c r="E190" i="171"/>
  <c r="E189" i="171"/>
  <c r="E188" i="171"/>
  <c r="E187" i="171"/>
  <c r="E186" i="171"/>
  <c r="E185" i="171"/>
  <c r="E184" i="171"/>
  <c r="E183" i="171"/>
  <c r="E182" i="171"/>
  <c r="E181" i="171"/>
  <c r="E180" i="171"/>
  <c r="E179" i="171"/>
  <c r="E178" i="171"/>
  <c r="E177" i="171"/>
  <c r="E176" i="171"/>
  <c r="E175" i="171"/>
  <c r="E174" i="171"/>
  <c r="E171" i="171"/>
  <c r="E170" i="171"/>
  <c r="E169" i="171"/>
  <c r="E168" i="171"/>
  <c r="E167" i="171"/>
  <c r="E166" i="171"/>
  <c r="E165" i="171"/>
  <c r="E164" i="171"/>
  <c r="E163" i="171"/>
  <c r="E162" i="171"/>
  <c r="E161" i="171"/>
  <c r="E160" i="171"/>
  <c r="E159" i="171"/>
  <c r="E158" i="171"/>
  <c r="E157" i="171"/>
  <c r="E156" i="171"/>
  <c r="E155" i="171"/>
  <c r="E154" i="171"/>
  <c r="E153" i="171"/>
  <c r="E152" i="171"/>
  <c r="E151" i="171"/>
  <c r="E150" i="171"/>
  <c r="E149" i="171"/>
  <c r="E148" i="171"/>
  <c r="E147" i="171"/>
  <c r="E146" i="171"/>
  <c r="E145" i="171"/>
  <c r="E144" i="171"/>
  <c r="E143" i="171"/>
  <c r="E142" i="171"/>
  <c r="E141" i="171"/>
  <c r="E140" i="171"/>
  <c r="E139" i="171"/>
  <c r="E138" i="171"/>
  <c r="E137" i="171"/>
  <c r="E136" i="171"/>
  <c r="E135" i="171"/>
  <c r="E134" i="171"/>
  <c r="E133" i="171"/>
  <c r="E132" i="171"/>
  <c r="E131" i="171"/>
  <c r="E130" i="171"/>
  <c r="E129" i="171"/>
  <c r="E128" i="171"/>
  <c r="E127" i="171"/>
  <c r="E126" i="171"/>
  <c r="E125" i="171"/>
  <c r="E124" i="171"/>
  <c r="E123" i="171"/>
  <c r="E122" i="171"/>
  <c r="E121" i="171"/>
  <c r="E120" i="171"/>
  <c r="E119" i="171"/>
  <c r="E118" i="171"/>
  <c r="E117" i="171"/>
  <c r="E116" i="171"/>
  <c r="E115" i="171"/>
  <c r="E114" i="171"/>
  <c r="E113" i="171"/>
  <c r="E112" i="171"/>
  <c r="E111" i="171"/>
  <c r="E110" i="171"/>
  <c r="E109" i="171"/>
  <c r="E108" i="171"/>
  <c r="E107" i="171"/>
  <c r="E106" i="171"/>
  <c r="E105" i="171"/>
  <c r="E104" i="171"/>
  <c r="E103" i="171"/>
  <c r="E102" i="171"/>
  <c r="E101" i="171"/>
  <c r="E100" i="171"/>
  <c r="E99" i="171"/>
  <c r="E98" i="171"/>
  <c r="E97" i="171"/>
  <c r="E96" i="171"/>
  <c r="E95" i="171"/>
  <c r="E94" i="171"/>
  <c r="E93" i="171"/>
  <c r="E92" i="171"/>
  <c r="E91" i="171"/>
  <c r="E90" i="171"/>
  <c r="E89" i="171"/>
  <c r="E88" i="171"/>
  <c r="E87" i="171"/>
  <c r="E86" i="171"/>
  <c r="E85" i="171"/>
  <c r="E84" i="171"/>
  <c r="E83" i="171"/>
  <c r="E82" i="171"/>
  <c r="E81" i="171"/>
  <c r="E80" i="171"/>
  <c r="E79" i="171"/>
  <c r="E78" i="171"/>
  <c r="E77" i="171"/>
  <c r="E76" i="171"/>
  <c r="E75" i="171"/>
  <c r="E74" i="171"/>
  <c r="E73" i="171"/>
  <c r="E72" i="171"/>
  <c r="E71" i="171"/>
  <c r="E70" i="171"/>
  <c r="E69" i="171"/>
  <c r="E68" i="171"/>
  <c r="E67" i="171"/>
  <c r="E66" i="171"/>
  <c r="E65" i="171"/>
  <c r="E64" i="171"/>
  <c r="E63" i="171"/>
  <c r="E62" i="171"/>
  <c r="E61" i="171"/>
  <c r="E60" i="171"/>
  <c r="E59" i="171"/>
  <c r="E58" i="171"/>
  <c r="E57" i="171"/>
  <c r="E56" i="171"/>
  <c r="E55" i="171"/>
  <c r="E54" i="171"/>
  <c r="E53" i="171"/>
  <c r="E52" i="171"/>
  <c r="E51" i="171"/>
  <c r="E50" i="171"/>
  <c r="E49" i="171"/>
  <c r="E48" i="171"/>
  <c r="E47" i="171"/>
  <c r="E46" i="171"/>
  <c r="E45" i="171"/>
  <c r="E44" i="171"/>
  <c r="E43" i="171"/>
  <c r="E42" i="171"/>
  <c r="E41" i="171"/>
  <c r="E40" i="171"/>
  <c r="E39" i="171"/>
  <c r="E38" i="171"/>
  <c r="E37" i="171"/>
  <c r="E36" i="171"/>
  <c r="E35" i="171"/>
  <c r="E34" i="171"/>
  <c r="E33" i="171"/>
  <c r="E32" i="171"/>
  <c r="E31" i="171"/>
  <c r="E30" i="171"/>
  <c r="E29" i="171"/>
  <c r="E28" i="171"/>
  <c r="E27" i="171"/>
  <c r="E26" i="171"/>
  <c r="E25" i="171"/>
  <c r="E24" i="171"/>
  <c r="E23" i="171"/>
  <c r="E22" i="171"/>
  <c r="E21" i="171"/>
  <c r="E20" i="171"/>
  <c r="E19" i="171"/>
  <c r="E18" i="171"/>
  <c r="E17" i="171"/>
  <c r="E16" i="171"/>
  <c r="E15" i="171"/>
  <c r="E14" i="171"/>
  <c r="E13" i="171"/>
  <c r="E12" i="171"/>
  <c r="E11" i="171"/>
  <c r="E10" i="171"/>
  <c r="E9" i="171"/>
  <c r="D171" i="171"/>
  <c r="C171" i="171"/>
  <c r="O154" i="171"/>
  <c r="N154" i="171"/>
  <c r="O138" i="171"/>
  <c r="N138" i="171"/>
  <c r="O54" i="171"/>
  <c r="N54" i="171"/>
  <c r="O44" i="171"/>
  <c r="N44" i="171"/>
  <c r="N45" i="171"/>
  <c r="O45" i="171"/>
  <c r="O194" i="171"/>
  <c r="N194" i="171"/>
  <c r="O189" i="171"/>
  <c r="N189" i="171"/>
  <c r="O188" i="171"/>
  <c r="N188" i="171"/>
  <c r="O186" i="171"/>
  <c r="N186" i="171"/>
  <c r="O177" i="171"/>
  <c r="N177" i="171"/>
  <c r="N178" i="171"/>
  <c r="O178" i="171"/>
  <c r="O169" i="171"/>
  <c r="N169" i="171"/>
  <c r="G206" i="171" l="1"/>
  <c r="L206" i="171" s="1"/>
  <c r="I8" i="186"/>
  <c r="F220" i="158"/>
  <c r="G220" i="158"/>
  <c r="H220" i="158"/>
  <c r="I220" i="158"/>
  <c r="J220" i="158"/>
  <c r="K220" i="158"/>
  <c r="H86" i="186" l="1"/>
  <c r="K45" i="176"/>
  <c r="M13" i="13" l="1"/>
  <c r="M17" i="13" s="1"/>
  <c r="L49" i="13" l="1"/>
  <c r="L48" i="13" s="1"/>
  <c r="L46" i="13"/>
  <c r="L53" i="13" s="1"/>
  <c r="K49" i="13" l="1"/>
  <c r="K48" i="13" s="1"/>
  <c r="K53" i="13"/>
  <c r="K46" i="13"/>
  <c r="W92" i="13" l="1"/>
  <c r="V92" i="13"/>
  <c r="U92" i="13"/>
  <c r="T92" i="13"/>
  <c r="S92" i="13"/>
  <c r="R92" i="13"/>
  <c r="Q92" i="13"/>
  <c r="P92" i="13"/>
  <c r="O92" i="13"/>
  <c r="N92" i="13"/>
  <c r="N95" i="13" s="1"/>
  <c r="N166" i="13" s="1"/>
  <c r="N195" i="13" s="1"/>
  <c r="F12" i="213" s="1"/>
  <c r="N155" i="164" l="1"/>
  <c r="G37" i="177"/>
  <c r="H37" i="177"/>
  <c r="I37" i="177"/>
  <c r="J37" i="177"/>
  <c r="K37" i="177"/>
  <c r="L37" i="177"/>
  <c r="M37" i="177"/>
  <c r="N37" i="177"/>
  <c r="O37" i="177"/>
  <c r="P37" i="177"/>
  <c r="F37" i="177"/>
  <c r="K20" i="13" l="1"/>
  <c r="L20" i="13"/>
  <c r="M20" i="13"/>
  <c r="N20" i="13"/>
  <c r="N144" i="13" s="1"/>
  <c r="E8" i="213" s="1"/>
  <c r="H45" i="176" l="1"/>
  <c r="L92" i="157"/>
  <c r="M92" i="157"/>
  <c r="N92" i="157"/>
  <c r="O92" i="157"/>
  <c r="P92" i="157"/>
  <c r="Q92" i="157"/>
  <c r="R92" i="157"/>
  <c r="S92" i="157"/>
  <c r="T92" i="157"/>
  <c r="U92" i="157"/>
  <c r="K92" i="157"/>
  <c r="J92" i="157"/>
  <c r="I92" i="157"/>
  <c r="H92" i="157"/>
  <c r="G92" i="157"/>
  <c r="G20" i="92"/>
  <c r="H20" i="92"/>
  <c r="F24" i="179"/>
  <c r="F25" i="179"/>
  <c r="F26" i="179"/>
  <c r="F27" i="179"/>
  <c r="F28" i="179"/>
  <c r="F29" i="179"/>
  <c r="F30" i="179"/>
  <c r="F23" i="179"/>
  <c r="F11" i="179"/>
  <c r="F12" i="179"/>
  <c r="F13" i="179"/>
  <c r="F14" i="179"/>
  <c r="F15" i="179"/>
  <c r="F16" i="179"/>
  <c r="F17" i="179"/>
  <c r="F18" i="179"/>
  <c r="F31" i="179" l="1"/>
  <c r="F20" i="179"/>
  <c r="AK76" i="227"/>
  <c r="AJ76" i="227"/>
  <c r="AI76" i="227"/>
  <c r="AH76" i="227"/>
  <c r="AG76" i="227"/>
  <c r="AF76" i="227"/>
  <c r="AE76" i="227"/>
  <c r="AD76" i="227"/>
  <c r="AC76" i="227"/>
  <c r="AB76" i="227"/>
  <c r="AA76" i="227"/>
  <c r="Z76" i="227"/>
  <c r="Y76" i="227"/>
  <c r="AK75" i="227"/>
  <c r="AJ75" i="227"/>
  <c r="AI75" i="227"/>
  <c r="AH75" i="227"/>
  <c r="AG75" i="227"/>
  <c r="AF75" i="227"/>
  <c r="AE75" i="227"/>
  <c r="AD75" i="227"/>
  <c r="AC75" i="227"/>
  <c r="AB75" i="227"/>
  <c r="AA75" i="227"/>
  <c r="Z75" i="227"/>
  <c r="Y75" i="227"/>
  <c r="AK74" i="227"/>
  <c r="AJ74" i="227"/>
  <c r="Z178" i="175" s="1"/>
  <c r="AI74" i="227"/>
  <c r="Y178" i="175" s="1"/>
  <c r="AH74" i="227"/>
  <c r="X178" i="175" s="1"/>
  <c r="AG74" i="227"/>
  <c r="W178" i="175" s="1"/>
  <c r="AF74" i="227"/>
  <c r="V178" i="175" s="1"/>
  <c r="AE74" i="227"/>
  <c r="U178" i="175" s="1"/>
  <c r="AD74" i="227"/>
  <c r="T178" i="175" s="1"/>
  <c r="AC74" i="227"/>
  <c r="S178" i="175" s="1"/>
  <c r="AB74" i="227"/>
  <c r="R178" i="175" s="1"/>
  <c r="AA74" i="227"/>
  <c r="Q178" i="175" s="1"/>
  <c r="Y74" i="227"/>
  <c r="AK73" i="227"/>
  <c r="AJ73" i="227"/>
  <c r="Z177" i="175" s="1"/>
  <c r="AI73" i="227"/>
  <c r="Y177" i="175" s="1"/>
  <c r="AH73" i="227"/>
  <c r="X177" i="175" s="1"/>
  <c r="AG73" i="227"/>
  <c r="W177" i="175" s="1"/>
  <c r="AF73" i="227"/>
  <c r="V177" i="175" s="1"/>
  <c r="AE73" i="227"/>
  <c r="U177" i="175" s="1"/>
  <c r="AD73" i="227"/>
  <c r="T177" i="175" s="1"/>
  <c r="AC73" i="227"/>
  <c r="S177" i="175" s="1"/>
  <c r="AB73" i="227"/>
  <c r="R177" i="175" s="1"/>
  <c r="AA73" i="227"/>
  <c r="Q177" i="175" s="1"/>
  <c r="Z73" i="227"/>
  <c r="Y73" i="227"/>
  <c r="AK72" i="227"/>
  <c r="AJ72" i="227"/>
  <c r="Z176" i="175" s="1"/>
  <c r="AI72" i="227"/>
  <c r="Y176" i="175" s="1"/>
  <c r="AH72" i="227"/>
  <c r="X176" i="175" s="1"/>
  <c r="AG72" i="227"/>
  <c r="W176" i="175" s="1"/>
  <c r="AF72" i="227"/>
  <c r="V176" i="175" s="1"/>
  <c r="AE72" i="227"/>
  <c r="U176" i="175" s="1"/>
  <c r="AD72" i="227"/>
  <c r="T176" i="175" s="1"/>
  <c r="AC72" i="227"/>
  <c r="S176" i="175" s="1"/>
  <c r="AB72" i="227"/>
  <c r="R176" i="175" s="1"/>
  <c r="AA72" i="227"/>
  <c r="Q176" i="175" s="1"/>
  <c r="Z72" i="227"/>
  <c r="P176" i="175" s="1"/>
  <c r="Y72" i="227"/>
  <c r="AK71" i="227"/>
  <c r="AJ71" i="227"/>
  <c r="Z175" i="175" s="1"/>
  <c r="AI71" i="227"/>
  <c r="Y175" i="175" s="1"/>
  <c r="AH71" i="227"/>
  <c r="X175" i="175" s="1"/>
  <c r="AG71" i="227"/>
  <c r="W175" i="175" s="1"/>
  <c r="AF71" i="227"/>
  <c r="V175" i="175" s="1"/>
  <c r="AE71" i="227"/>
  <c r="U175" i="175" s="1"/>
  <c r="AD71" i="227"/>
  <c r="T175" i="175" s="1"/>
  <c r="AC71" i="227"/>
  <c r="S175" i="175" s="1"/>
  <c r="AB71" i="227"/>
  <c r="R175" i="175" s="1"/>
  <c r="AA71" i="227"/>
  <c r="Q175" i="175" s="1"/>
  <c r="Z71" i="227"/>
  <c r="P175" i="175" s="1"/>
  <c r="Y71" i="227"/>
  <c r="AB60" i="227"/>
  <c r="AC60" i="227"/>
  <c r="AD60" i="227"/>
  <c r="AE60" i="227"/>
  <c r="AF60" i="227"/>
  <c r="AG60" i="227"/>
  <c r="AH60" i="227"/>
  <c r="AI60" i="227"/>
  <c r="AJ60" i="227"/>
  <c r="AK60" i="227"/>
  <c r="AB61" i="227"/>
  <c r="R182" i="28" s="1"/>
  <c r="AC61" i="227"/>
  <c r="S182" i="28" s="1"/>
  <c r="AD61" i="227"/>
  <c r="T182" i="28" s="1"/>
  <c r="AE61" i="227"/>
  <c r="U182" i="28" s="1"/>
  <c r="AF61" i="227"/>
  <c r="V182" i="28" s="1"/>
  <c r="AG61" i="227"/>
  <c r="W182" i="28" s="1"/>
  <c r="AH61" i="227"/>
  <c r="X182" i="28" s="1"/>
  <c r="AI61" i="227"/>
  <c r="Y182" i="28" s="1"/>
  <c r="AJ61" i="227"/>
  <c r="Z182" i="28" s="1"/>
  <c r="AK61" i="227"/>
  <c r="AB62" i="227"/>
  <c r="AC62" i="227"/>
  <c r="AD62" i="227"/>
  <c r="AE62" i="227"/>
  <c r="AF62" i="227"/>
  <c r="AG62" i="227"/>
  <c r="AH62" i="227"/>
  <c r="AI62" i="227"/>
  <c r="AJ62" i="227"/>
  <c r="AK62" i="227"/>
  <c r="AB63" i="227"/>
  <c r="R184" i="28" s="1"/>
  <c r="AC63" i="227"/>
  <c r="S184" i="28" s="1"/>
  <c r="AD63" i="227"/>
  <c r="T184" i="28" s="1"/>
  <c r="AE63" i="227"/>
  <c r="U184" i="28" s="1"/>
  <c r="AF63" i="227"/>
  <c r="V184" i="28" s="1"/>
  <c r="AG63" i="227"/>
  <c r="W184" i="28" s="1"/>
  <c r="AH63" i="227"/>
  <c r="X184" i="28" s="1"/>
  <c r="AI63" i="227"/>
  <c r="Y184" i="28" s="1"/>
  <c r="AJ63" i="227"/>
  <c r="Z184" i="28" s="1"/>
  <c r="AK63" i="227"/>
  <c r="AB64" i="227"/>
  <c r="R185" i="28" s="1"/>
  <c r="AC64" i="227"/>
  <c r="S185" i="28" s="1"/>
  <c r="AD64" i="227"/>
  <c r="T185" i="28" s="1"/>
  <c r="AE64" i="227"/>
  <c r="U185" i="28" s="1"/>
  <c r="AF64" i="227"/>
  <c r="V185" i="28" s="1"/>
  <c r="AG64" i="227"/>
  <c r="W185" i="28" s="1"/>
  <c r="AH64" i="227"/>
  <c r="X185" i="28" s="1"/>
  <c r="AI64" i="227"/>
  <c r="Y185" i="28" s="1"/>
  <c r="AJ64" i="227"/>
  <c r="Z185" i="28" s="1"/>
  <c r="AK64" i="227"/>
  <c r="AB65" i="227"/>
  <c r="R186" i="28" s="1"/>
  <c r="AC65" i="227"/>
  <c r="S186" i="28" s="1"/>
  <c r="AD65" i="227"/>
  <c r="T186" i="28" s="1"/>
  <c r="AE65" i="227"/>
  <c r="U186" i="28" s="1"/>
  <c r="AF65" i="227"/>
  <c r="V186" i="28" s="1"/>
  <c r="AG65" i="227"/>
  <c r="W186" i="28" s="1"/>
  <c r="AH65" i="227"/>
  <c r="X186" i="28" s="1"/>
  <c r="AI65" i="227"/>
  <c r="Y186" i="28" s="1"/>
  <c r="AJ65" i="227"/>
  <c r="Z186" i="28" s="1"/>
  <c r="AK65" i="227"/>
  <c r="AB66" i="227"/>
  <c r="R187" i="28" s="1"/>
  <c r="AC66" i="227"/>
  <c r="S187" i="28" s="1"/>
  <c r="AD66" i="227"/>
  <c r="T187" i="28" s="1"/>
  <c r="AE66" i="227"/>
  <c r="U187" i="28" s="1"/>
  <c r="AF66" i="227"/>
  <c r="V187" i="28" s="1"/>
  <c r="AG66" i="227"/>
  <c r="W187" i="28" s="1"/>
  <c r="AH66" i="227"/>
  <c r="X187" i="28" s="1"/>
  <c r="AI66" i="227"/>
  <c r="Y187" i="28" s="1"/>
  <c r="AJ66" i="227"/>
  <c r="Z187" i="28" s="1"/>
  <c r="AK66" i="227"/>
  <c r="AB67" i="227"/>
  <c r="AC67" i="227"/>
  <c r="AD67" i="227"/>
  <c r="AE67" i="227"/>
  <c r="AF67" i="227"/>
  <c r="AG67" i="227"/>
  <c r="AH67" i="227"/>
  <c r="AI67" i="227"/>
  <c r="AJ67" i="227"/>
  <c r="AK67" i="227"/>
  <c r="AB68" i="227"/>
  <c r="AC68" i="227"/>
  <c r="AD68" i="227"/>
  <c r="AE68" i="227"/>
  <c r="AF68" i="227"/>
  <c r="AG68" i="227"/>
  <c r="AH68" i="227"/>
  <c r="AI68" i="227"/>
  <c r="AJ68" i="227"/>
  <c r="AK68" i="227"/>
  <c r="AA61" i="227"/>
  <c r="Q182" i="28" s="1"/>
  <c r="AA62" i="227"/>
  <c r="AA63" i="227"/>
  <c r="Q184" i="28" s="1"/>
  <c r="AA64" i="227"/>
  <c r="Q185" i="28" s="1"/>
  <c r="AA65" i="227"/>
  <c r="Q186" i="28" s="1"/>
  <c r="AA66" i="227"/>
  <c r="Q187" i="28" s="1"/>
  <c r="AA67" i="227"/>
  <c r="AA68" i="227"/>
  <c r="AA60" i="227"/>
  <c r="Z61" i="227"/>
  <c r="P182" i="28" s="1"/>
  <c r="Z62" i="227"/>
  <c r="Z63" i="227"/>
  <c r="P184" i="28" s="1"/>
  <c r="Z64" i="227"/>
  <c r="P185" i="28" s="1"/>
  <c r="Z65" i="227"/>
  <c r="P186" i="28" s="1"/>
  <c r="Z66" i="227"/>
  <c r="P187" i="28" s="1"/>
  <c r="Z67" i="227"/>
  <c r="Z68" i="227"/>
  <c r="Y61" i="227"/>
  <c r="Y62" i="227"/>
  <c r="Y63" i="227"/>
  <c r="Y64" i="227"/>
  <c r="Y65" i="227"/>
  <c r="Y66" i="227"/>
  <c r="Y67" i="227"/>
  <c r="Y68" i="227"/>
  <c r="Y60" i="227"/>
  <c r="Z60" i="227"/>
  <c r="AR64" i="172"/>
  <c r="J20" i="92"/>
  <c r="K20" i="92"/>
  <c r="L20" i="92"/>
  <c r="M20" i="92"/>
  <c r="N20" i="92"/>
  <c r="O20" i="92"/>
  <c r="P20" i="92"/>
  <c r="Q20" i="92"/>
  <c r="R20" i="92"/>
  <c r="S20" i="92"/>
  <c r="M173" i="227" l="1"/>
  <c r="N173" i="227"/>
  <c r="O173" i="227"/>
  <c r="P173" i="227"/>
  <c r="Q173" i="227"/>
  <c r="R173" i="227"/>
  <c r="S173" i="227"/>
  <c r="T173" i="227"/>
  <c r="U173" i="227"/>
  <c r="V173" i="227"/>
  <c r="L173" i="227"/>
  <c r="K173" i="227"/>
  <c r="I173" i="227"/>
  <c r="G173" i="227"/>
  <c r="L69" i="181"/>
  <c r="M69" i="181"/>
  <c r="N69" i="181"/>
  <c r="O69" i="181"/>
  <c r="P69" i="181"/>
  <c r="Q69" i="181"/>
  <c r="R69" i="181"/>
  <c r="S69" i="181"/>
  <c r="T69" i="181"/>
  <c r="U69" i="181"/>
  <c r="L70" i="181"/>
  <c r="M70" i="181"/>
  <c r="N70" i="181"/>
  <c r="O70" i="181"/>
  <c r="P70" i="181"/>
  <c r="Q70" i="181"/>
  <c r="R70" i="181"/>
  <c r="S70" i="181"/>
  <c r="T70" i="181"/>
  <c r="U70" i="181"/>
  <c r="K70" i="181"/>
  <c r="K69" i="181"/>
  <c r="J70" i="181"/>
  <c r="J69" i="181"/>
  <c r="I70" i="181"/>
  <c r="I69" i="181"/>
  <c r="H70" i="181"/>
  <c r="H69" i="181"/>
  <c r="G70" i="181"/>
  <c r="G69" i="181"/>
  <c r="O45" i="163"/>
  <c r="P45" i="163"/>
  <c r="Q45" i="163"/>
  <c r="R45" i="163"/>
  <c r="S45" i="163"/>
  <c r="T45" i="163"/>
  <c r="U45" i="163"/>
  <c r="V45" i="163"/>
  <c r="W45" i="163"/>
  <c r="X45" i="163"/>
  <c r="N45" i="163"/>
  <c r="Q20" i="30"/>
  <c r="R20" i="30"/>
  <c r="S20" i="30"/>
  <c r="T20" i="30"/>
  <c r="U20" i="30"/>
  <c r="V20" i="30"/>
  <c r="L21" i="157"/>
  <c r="M21" i="157"/>
  <c r="N21" i="157"/>
  <c r="O21" i="157"/>
  <c r="P21" i="157"/>
  <c r="Q21" i="157"/>
  <c r="R21" i="157"/>
  <c r="S21" i="157"/>
  <c r="T21" i="157"/>
  <c r="U21" i="157"/>
  <c r="K21" i="157"/>
  <c r="I18" i="186" s="1"/>
  <c r="L12" i="176"/>
  <c r="M12" i="176"/>
  <c r="N12" i="176"/>
  <c r="O12" i="176"/>
  <c r="P12" i="176"/>
  <c r="Q12" i="176"/>
  <c r="R12" i="176"/>
  <c r="S12" i="176"/>
  <c r="T12" i="176"/>
  <c r="U12" i="176"/>
  <c r="K12" i="176"/>
  <c r="J12" i="176"/>
  <c r="I12" i="176"/>
  <c r="H12" i="176"/>
  <c r="G12" i="176"/>
  <c r="P121" i="172" l="1"/>
  <c r="L85" i="227"/>
  <c r="M85" i="227"/>
  <c r="R20" i="28" s="1"/>
  <c r="N85" i="227"/>
  <c r="S20" i="28" s="1"/>
  <c r="O85" i="227"/>
  <c r="T20" i="28" s="1"/>
  <c r="P85" i="227"/>
  <c r="Q85" i="227"/>
  <c r="V20" i="28" s="1"/>
  <c r="R85" i="227"/>
  <c r="W20" i="28" s="1"/>
  <c r="S85" i="227"/>
  <c r="X20" i="28" s="1"/>
  <c r="T85" i="227"/>
  <c r="Y20" i="28" s="1"/>
  <c r="U85" i="227"/>
  <c r="Z20" i="28" s="1"/>
  <c r="V85" i="227"/>
  <c r="L87" i="227"/>
  <c r="Q18" i="28" s="1"/>
  <c r="M87" i="227"/>
  <c r="R18" i="28" s="1"/>
  <c r="N87" i="227"/>
  <c r="S18" i="28" s="1"/>
  <c r="O87" i="227"/>
  <c r="T18" i="28" s="1"/>
  <c r="P87" i="227"/>
  <c r="U18" i="28" s="1"/>
  <c r="Q87" i="227"/>
  <c r="V18" i="28" s="1"/>
  <c r="R87" i="227"/>
  <c r="W18" i="28" s="1"/>
  <c r="S87" i="227"/>
  <c r="X18" i="28" s="1"/>
  <c r="T87" i="227"/>
  <c r="Y18" i="28" s="1"/>
  <c r="U87" i="227"/>
  <c r="Z18" i="28" s="1"/>
  <c r="V87" i="227"/>
  <c r="K87" i="227"/>
  <c r="P18" i="28" s="1"/>
  <c r="K85" i="227"/>
  <c r="P20" i="28" s="1"/>
  <c r="J169" i="227"/>
  <c r="J170" i="227" s="1"/>
  <c r="N169" i="227"/>
  <c r="N170" i="227" s="1"/>
  <c r="M169" i="227"/>
  <c r="M170" i="227" s="1"/>
  <c r="L169" i="227"/>
  <c r="K169" i="227"/>
  <c r="J153" i="227"/>
  <c r="J155" i="227" s="1"/>
  <c r="J159" i="227" s="1"/>
  <c r="F152" i="227"/>
  <c r="E152" i="227"/>
  <c r="F150" i="227"/>
  <c r="E150" i="227"/>
  <c r="I149" i="227"/>
  <c r="F149" i="227"/>
  <c r="E149" i="227"/>
  <c r="F148" i="227"/>
  <c r="E148" i="227"/>
  <c r="F147" i="227"/>
  <c r="E147" i="227"/>
  <c r="I146" i="227"/>
  <c r="F146" i="227"/>
  <c r="E146" i="227"/>
  <c r="K145" i="227"/>
  <c r="I145" i="227"/>
  <c r="F145" i="227"/>
  <c r="E145" i="227"/>
  <c r="I144" i="227"/>
  <c r="F144" i="227"/>
  <c r="E144" i="227"/>
  <c r="J140" i="227"/>
  <c r="F138" i="227"/>
  <c r="E138" i="227"/>
  <c r="I137" i="227"/>
  <c r="F137" i="227"/>
  <c r="E137" i="227"/>
  <c r="S136" i="227"/>
  <c r="F136" i="227"/>
  <c r="F158" i="227" s="1"/>
  <c r="E136" i="227"/>
  <c r="J131" i="227"/>
  <c r="F131" i="227"/>
  <c r="E131" i="227"/>
  <c r="J129" i="227"/>
  <c r="F129" i="227"/>
  <c r="E129" i="227"/>
  <c r="J127" i="227"/>
  <c r="F127" i="227"/>
  <c r="E127" i="227"/>
  <c r="P125" i="227"/>
  <c r="J125" i="227"/>
  <c r="F125" i="227"/>
  <c r="E125" i="227"/>
  <c r="J121" i="227"/>
  <c r="F120" i="227"/>
  <c r="E120" i="227"/>
  <c r="T119" i="227"/>
  <c r="F119" i="227"/>
  <c r="I118" i="227"/>
  <c r="F118" i="227"/>
  <c r="F117" i="227"/>
  <c r="J115" i="227"/>
  <c r="R114" i="227"/>
  <c r="F114" i="227"/>
  <c r="F113" i="227"/>
  <c r="E113" i="227"/>
  <c r="F112" i="227"/>
  <c r="E112" i="227"/>
  <c r="F111" i="227"/>
  <c r="E111" i="227"/>
  <c r="F110" i="227"/>
  <c r="E110" i="227"/>
  <c r="Q109" i="227"/>
  <c r="F109" i="227"/>
  <c r="K108" i="227"/>
  <c r="I108" i="227"/>
  <c r="F108" i="227"/>
  <c r="E108" i="227"/>
  <c r="I107" i="227"/>
  <c r="F107" i="227"/>
  <c r="E107" i="227"/>
  <c r="J104" i="227"/>
  <c r="J105" i="227" s="1"/>
  <c r="U98" i="227"/>
  <c r="Q98" i="227"/>
  <c r="M98" i="227"/>
  <c r="J98" i="227"/>
  <c r="F98" i="227"/>
  <c r="E98" i="227"/>
  <c r="V129" i="227"/>
  <c r="U129" i="227"/>
  <c r="T129" i="227"/>
  <c r="S129" i="227"/>
  <c r="R129" i="227"/>
  <c r="Q129" i="227"/>
  <c r="P129" i="227"/>
  <c r="O129" i="227"/>
  <c r="N129" i="227"/>
  <c r="M129" i="227"/>
  <c r="L129" i="227"/>
  <c r="K129" i="227"/>
  <c r="I129" i="227"/>
  <c r="U127" i="227"/>
  <c r="T127" i="227"/>
  <c r="S98" i="227"/>
  <c r="Q127" i="227"/>
  <c r="P127" i="227"/>
  <c r="O127" i="227"/>
  <c r="N98" i="227"/>
  <c r="M127" i="227"/>
  <c r="L127" i="227"/>
  <c r="K127" i="227"/>
  <c r="I127" i="227"/>
  <c r="M94" i="227"/>
  <c r="J94" i="227"/>
  <c r="I94" i="227"/>
  <c r="I154" i="227" s="1"/>
  <c r="F94" i="227"/>
  <c r="E94" i="227"/>
  <c r="E154" i="227" s="1"/>
  <c r="V94" i="227"/>
  <c r="U94" i="227"/>
  <c r="T94" i="227"/>
  <c r="S94" i="227"/>
  <c r="S154" i="227" s="1"/>
  <c r="R94" i="227"/>
  <c r="Q94" i="227"/>
  <c r="P94" i="227"/>
  <c r="O94" i="227"/>
  <c r="N94" i="227"/>
  <c r="N154" i="227" s="1"/>
  <c r="L94" i="227"/>
  <c r="K94" i="227"/>
  <c r="J88" i="227"/>
  <c r="F88" i="227"/>
  <c r="F89" i="227" s="1"/>
  <c r="E82" i="227"/>
  <c r="E88" i="227" s="1"/>
  <c r="E89" i="227" s="1"/>
  <c r="J77" i="227"/>
  <c r="F77" i="227"/>
  <c r="H13" i="176" s="1"/>
  <c r="V120" i="227"/>
  <c r="U120" i="227"/>
  <c r="T120" i="227"/>
  <c r="S120" i="227"/>
  <c r="R120" i="227"/>
  <c r="Q120" i="227"/>
  <c r="P120" i="227"/>
  <c r="O120" i="227"/>
  <c r="N120" i="227"/>
  <c r="M120" i="227"/>
  <c r="L120" i="227"/>
  <c r="K120" i="227"/>
  <c r="I120" i="227"/>
  <c r="V119" i="227"/>
  <c r="U119" i="227"/>
  <c r="S119" i="227"/>
  <c r="R119" i="227"/>
  <c r="Q119" i="227"/>
  <c r="P119" i="227"/>
  <c r="O119" i="227"/>
  <c r="N119" i="227"/>
  <c r="M119" i="227"/>
  <c r="L119" i="227"/>
  <c r="K119" i="227"/>
  <c r="I119" i="227"/>
  <c r="E119" i="227"/>
  <c r="V118" i="227"/>
  <c r="U118" i="227"/>
  <c r="T118" i="227"/>
  <c r="S118" i="227"/>
  <c r="R118" i="227"/>
  <c r="Q118" i="227"/>
  <c r="P118" i="227"/>
  <c r="O118" i="227"/>
  <c r="N118" i="227"/>
  <c r="M118" i="227"/>
  <c r="L118" i="227"/>
  <c r="K118" i="227"/>
  <c r="E118" i="227"/>
  <c r="V117" i="227"/>
  <c r="T117" i="227"/>
  <c r="S117" i="227"/>
  <c r="R117" i="227"/>
  <c r="P117" i="227"/>
  <c r="O117" i="227"/>
  <c r="N117" i="227"/>
  <c r="L117" i="227"/>
  <c r="K117" i="227"/>
  <c r="I117" i="227"/>
  <c r="J69" i="227"/>
  <c r="F69" i="227"/>
  <c r="V131" i="227"/>
  <c r="U131" i="227"/>
  <c r="S131" i="227"/>
  <c r="R131" i="227"/>
  <c r="Q131" i="227"/>
  <c r="O131" i="227"/>
  <c r="N131" i="227"/>
  <c r="M131" i="227"/>
  <c r="K131" i="227"/>
  <c r="I131" i="227"/>
  <c r="U152" i="227"/>
  <c r="P152" i="227"/>
  <c r="V114" i="227"/>
  <c r="U114" i="227"/>
  <c r="T114" i="227"/>
  <c r="S114" i="227"/>
  <c r="Q114" i="227"/>
  <c r="P114" i="227"/>
  <c r="O114" i="227"/>
  <c r="N114" i="227"/>
  <c r="M114" i="227"/>
  <c r="L114" i="227"/>
  <c r="K114" i="227"/>
  <c r="I114" i="227"/>
  <c r="E114" i="227"/>
  <c r="V113" i="227"/>
  <c r="U113" i="227"/>
  <c r="T113" i="227"/>
  <c r="S113" i="227"/>
  <c r="R113" i="227"/>
  <c r="Q113" i="227"/>
  <c r="P113" i="227"/>
  <c r="O113" i="227"/>
  <c r="N113" i="227"/>
  <c r="M113" i="227"/>
  <c r="L113" i="227"/>
  <c r="K113" i="227"/>
  <c r="I113" i="227"/>
  <c r="V112" i="227"/>
  <c r="U112" i="227"/>
  <c r="T112" i="227"/>
  <c r="S112" i="227"/>
  <c r="R112" i="227"/>
  <c r="Q112" i="227"/>
  <c r="P112" i="227"/>
  <c r="O112" i="227"/>
  <c r="N112" i="227"/>
  <c r="M112" i="227"/>
  <c r="L112" i="227"/>
  <c r="K112" i="227"/>
  <c r="I112" i="227"/>
  <c r="V111" i="227"/>
  <c r="U111" i="227"/>
  <c r="T111" i="227"/>
  <c r="S111" i="227"/>
  <c r="R111" i="227"/>
  <c r="Q111" i="227"/>
  <c r="P111" i="227"/>
  <c r="O111" i="227"/>
  <c r="N111" i="227"/>
  <c r="M111" i="227"/>
  <c r="L111" i="227"/>
  <c r="K111" i="227"/>
  <c r="I111" i="227"/>
  <c r="V110" i="227"/>
  <c r="U110" i="227"/>
  <c r="T110" i="227"/>
  <c r="S110" i="227"/>
  <c r="R110" i="227"/>
  <c r="Q110" i="227"/>
  <c r="P110" i="227"/>
  <c r="O110" i="227"/>
  <c r="N110" i="227"/>
  <c r="M110" i="227"/>
  <c r="L110" i="227"/>
  <c r="K110" i="227"/>
  <c r="I110" i="227"/>
  <c r="V109" i="227"/>
  <c r="U109" i="227"/>
  <c r="T109" i="227"/>
  <c r="S109" i="227"/>
  <c r="R109" i="227"/>
  <c r="P109" i="227"/>
  <c r="O109" i="227"/>
  <c r="N109" i="227"/>
  <c r="M109" i="227"/>
  <c r="L109" i="227"/>
  <c r="K109" i="227"/>
  <c r="I109" i="227"/>
  <c r="E109" i="227"/>
  <c r="V69" i="227"/>
  <c r="R69" i="227"/>
  <c r="N69" i="227"/>
  <c r="I69" i="227"/>
  <c r="F57" i="227"/>
  <c r="E57" i="227"/>
  <c r="J56" i="227"/>
  <c r="F56" i="227"/>
  <c r="E56" i="227"/>
  <c r="V150" i="227"/>
  <c r="U150" i="227"/>
  <c r="T150" i="227"/>
  <c r="S150" i="227"/>
  <c r="R150" i="227"/>
  <c r="Q150" i="227"/>
  <c r="P150" i="227"/>
  <c r="O150" i="227"/>
  <c r="N150" i="227"/>
  <c r="M150" i="227"/>
  <c r="L150" i="227"/>
  <c r="K150" i="227"/>
  <c r="I150" i="227"/>
  <c r="O56" i="227"/>
  <c r="V41" i="227"/>
  <c r="V44" i="227" s="1"/>
  <c r="U41" i="227"/>
  <c r="U44" i="227" s="1"/>
  <c r="R41" i="227"/>
  <c r="R44" i="227" s="1"/>
  <c r="Q41" i="227"/>
  <c r="Q44" i="227" s="1"/>
  <c r="N41" i="227"/>
  <c r="N44" i="227" s="1"/>
  <c r="M41" i="227"/>
  <c r="J41" i="227"/>
  <c r="J44" i="227" s="1"/>
  <c r="F41" i="227"/>
  <c r="F44" i="227" s="1"/>
  <c r="E41" i="227"/>
  <c r="E44" i="227" s="1"/>
  <c r="T41" i="227"/>
  <c r="T44" i="227" s="1"/>
  <c r="S41" i="227"/>
  <c r="S44" i="227" s="1"/>
  <c r="P41" i="227"/>
  <c r="P44" i="227" s="1"/>
  <c r="O41" i="227"/>
  <c r="O44" i="227" s="1"/>
  <c r="L41" i="227"/>
  <c r="L44" i="227" s="1"/>
  <c r="K41" i="227"/>
  <c r="K44" i="227" s="1"/>
  <c r="I41" i="227"/>
  <c r="I44" i="227" s="1"/>
  <c r="M44" i="227"/>
  <c r="U36" i="227"/>
  <c r="T36" i="227"/>
  <c r="Q36" i="227"/>
  <c r="P36" i="227"/>
  <c r="M36" i="227"/>
  <c r="L36" i="227"/>
  <c r="J36" i="227"/>
  <c r="F36" i="227"/>
  <c r="E36" i="227"/>
  <c r="V36" i="227"/>
  <c r="S36" i="227"/>
  <c r="R36" i="227"/>
  <c r="O36" i="227"/>
  <c r="N36" i="227"/>
  <c r="K36" i="227"/>
  <c r="I36" i="227"/>
  <c r="F32" i="227"/>
  <c r="E32" i="227"/>
  <c r="J29" i="227"/>
  <c r="F29" i="227"/>
  <c r="E29" i="227"/>
  <c r="I29" i="227"/>
  <c r="U29" i="227"/>
  <c r="Q29" i="227"/>
  <c r="M29" i="227"/>
  <c r="T29" i="227"/>
  <c r="S29" i="227"/>
  <c r="R29" i="227"/>
  <c r="P29" i="227"/>
  <c r="O29" i="227"/>
  <c r="N29" i="227"/>
  <c r="L29" i="227"/>
  <c r="K29" i="227"/>
  <c r="J19" i="227"/>
  <c r="F19" i="227"/>
  <c r="E19" i="227"/>
  <c r="S19" i="227"/>
  <c r="T19" i="227"/>
  <c r="P19" i="227"/>
  <c r="L19" i="227"/>
  <c r="L6" i="227"/>
  <c r="J30" i="227" l="1"/>
  <c r="U20" i="28"/>
  <c r="Q20" i="28"/>
  <c r="F30" i="227"/>
  <c r="K121" i="227"/>
  <c r="P121" i="227"/>
  <c r="F121" i="227"/>
  <c r="O169" i="227"/>
  <c r="J78" i="227"/>
  <c r="V29" i="227"/>
  <c r="F115" i="227"/>
  <c r="I169" i="227"/>
  <c r="I170" i="227" s="1"/>
  <c r="F78" i="227"/>
  <c r="S121" i="227"/>
  <c r="I115" i="227"/>
  <c r="L115" i="227"/>
  <c r="R115" i="227"/>
  <c r="E140" i="227"/>
  <c r="F140" i="227"/>
  <c r="S30" i="227"/>
  <c r="E30" i="227"/>
  <c r="L30" i="227"/>
  <c r="P30" i="227"/>
  <c r="T30" i="227"/>
  <c r="Q154" i="227"/>
  <c r="U154" i="227"/>
  <c r="N19" i="227"/>
  <c r="N30" i="227" s="1"/>
  <c r="R19" i="227"/>
  <c r="R30" i="227" s="1"/>
  <c r="V19" i="227"/>
  <c r="M146" i="227"/>
  <c r="M137" i="227"/>
  <c r="M56" i="227"/>
  <c r="Q137" i="227"/>
  <c r="Q146" i="227"/>
  <c r="Q56" i="227"/>
  <c r="U146" i="227"/>
  <c r="U137" i="227"/>
  <c r="U56" i="227"/>
  <c r="I147" i="227"/>
  <c r="I56" i="227"/>
  <c r="N147" i="227"/>
  <c r="R147" i="227"/>
  <c r="V147" i="227"/>
  <c r="I148" i="227"/>
  <c r="N148" i="227"/>
  <c r="N138" i="227"/>
  <c r="R148" i="227"/>
  <c r="R138" i="227"/>
  <c r="V148" i="227"/>
  <c r="V138" i="227"/>
  <c r="K149" i="227"/>
  <c r="O149" i="227"/>
  <c r="S149" i="227"/>
  <c r="M136" i="227"/>
  <c r="Q136" i="227"/>
  <c r="U136" i="227"/>
  <c r="M115" i="227"/>
  <c r="U115" i="227"/>
  <c r="U69" i="227"/>
  <c r="N77" i="227"/>
  <c r="N78" i="227" s="1"/>
  <c r="R154" i="227"/>
  <c r="V154" i="227"/>
  <c r="R127" i="227"/>
  <c r="R98" i="227"/>
  <c r="V127" i="227"/>
  <c r="V98" i="227"/>
  <c r="I98" i="227"/>
  <c r="N127" i="227"/>
  <c r="I138" i="227"/>
  <c r="O19" i="227"/>
  <c r="O30" i="227" s="1"/>
  <c r="R146" i="227"/>
  <c r="R137" i="227"/>
  <c r="R56" i="227"/>
  <c r="K147" i="227"/>
  <c r="O147" i="227"/>
  <c r="S147" i="227"/>
  <c r="S56" i="227"/>
  <c r="N115" i="227"/>
  <c r="V115" i="227"/>
  <c r="I152" i="227"/>
  <c r="I125" i="227"/>
  <c r="N152" i="227"/>
  <c r="N125" i="227"/>
  <c r="R152" i="227"/>
  <c r="R125" i="227"/>
  <c r="V152" i="227"/>
  <c r="V125" i="227"/>
  <c r="E117" i="227"/>
  <c r="E121" i="227" s="1"/>
  <c r="E77" i="227"/>
  <c r="G13" i="176" s="1"/>
  <c r="M117" i="227"/>
  <c r="M121" i="227" s="1"/>
  <c r="M77" i="227"/>
  <c r="Q117" i="227"/>
  <c r="Q121" i="227" s="1"/>
  <c r="Q77" i="227"/>
  <c r="U117" i="227"/>
  <c r="U121" i="227" s="1"/>
  <c r="U77" i="227"/>
  <c r="R77" i="227"/>
  <c r="R78" i="227" s="1"/>
  <c r="K154" i="227"/>
  <c r="O154" i="227"/>
  <c r="M154" i="227"/>
  <c r="Q115" i="227"/>
  <c r="S158" i="227"/>
  <c r="L145" i="227"/>
  <c r="L108" i="227"/>
  <c r="M6" i="227"/>
  <c r="K146" i="227"/>
  <c r="K137" i="227"/>
  <c r="O146" i="227"/>
  <c r="O137" i="227"/>
  <c r="S146" i="227"/>
  <c r="S137" i="227"/>
  <c r="L147" i="227"/>
  <c r="P147" i="227"/>
  <c r="T147" i="227"/>
  <c r="K69" i="227"/>
  <c r="O69" i="227"/>
  <c r="S69" i="227"/>
  <c r="K115" i="227"/>
  <c r="K123" i="227" s="1"/>
  <c r="O115" i="227"/>
  <c r="S115" i="227"/>
  <c r="S123" i="227" s="1"/>
  <c r="M69" i="227"/>
  <c r="V121" i="227"/>
  <c r="V77" i="227"/>
  <c r="V78" i="227" s="1"/>
  <c r="L154" i="227"/>
  <c r="P154" i="227"/>
  <c r="T154" i="227"/>
  <c r="K19" i="227"/>
  <c r="K30" i="227" s="1"/>
  <c r="N146" i="227"/>
  <c r="N137" i="227"/>
  <c r="N56" i="227"/>
  <c r="V146" i="227"/>
  <c r="V137" i="227"/>
  <c r="V56" i="227"/>
  <c r="I19" i="227"/>
  <c r="I30" i="227" s="1"/>
  <c r="M19" i="227"/>
  <c r="M30" i="227" s="1"/>
  <c r="Q19" i="227"/>
  <c r="Q30" i="227" s="1"/>
  <c r="U19" i="227"/>
  <c r="U30" i="227" s="1"/>
  <c r="L146" i="227"/>
  <c r="L137" i="227"/>
  <c r="L56" i="227"/>
  <c r="P146" i="227"/>
  <c r="P137" i="227"/>
  <c r="P56" i="227"/>
  <c r="T146" i="227"/>
  <c r="T137" i="227"/>
  <c r="T56" i="227"/>
  <c r="K56" i="227"/>
  <c r="L69" i="227"/>
  <c r="P69" i="227"/>
  <c r="T69" i="227"/>
  <c r="P115" i="227"/>
  <c r="T115" i="227"/>
  <c r="Q69" i="227"/>
  <c r="Q78" i="227" s="1"/>
  <c r="F151" i="227"/>
  <c r="F79" i="227"/>
  <c r="M147" i="227"/>
  <c r="Q147" i="227"/>
  <c r="U147" i="227"/>
  <c r="M148" i="227"/>
  <c r="M138" i="227"/>
  <c r="Q148" i="227"/>
  <c r="Q138" i="227"/>
  <c r="U148" i="227"/>
  <c r="U138" i="227"/>
  <c r="N149" i="227"/>
  <c r="R149" i="227"/>
  <c r="V149" i="227"/>
  <c r="L136" i="227"/>
  <c r="P136" i="227"/>
  <c r="T136" i="227"/>
  <c r="E115" i="227"/>
  <c r="E123" i="227" s="1"/>
  <c r="E133" i="227" s="1"/>
  <c r="M152" i="227"/>
  <c r="M125" i="227"/>
  <c r="Q152" i="227"/>
  <c r="Q125" i="227"/>
  <c r="L121" i="227"/>
  <c r="L123" i="227" s="1"/>
  <c r="T121" i="227"/>
  <c r="I77" i="227"/>
  <c r="I78" i="227" s="1"/>
  <c r="L98" i="227"/>
  <c r="P98" i="227"/>
  <c r="T98" i="227"/>
  <c r="J123" i="227"/>
  <c r="J133" i="227" s="1"/>
  <c r="J142" i="227" s="1"/>
  <c r="K136" i="227"/>
  <c r="K148" i="227"/>
  <c r="K138" i="227"/>
  <c r="O138" i="227"/>
  <c r="O148" i="227"/>
  <c r="S138" i="227"/>
  <c r="L149" i="227"/>
  <c r="P149" i="227"/>
  <c r="T149" i="227"/>
  <c r="I136" i="227"/>
  <c r="N136" i="227"/>
  <c r="R136" i="227"/>
  <c r="V136" i="227"/>
  <c r="K125" i="227"/>
  <c r="K152" i="227"/>
  <c r="O152" i="227"/>
  <c r="O125" i="227"/>
  <c r="S152" i="227"/>
  <c r="S125" i="227"/>
  <c r="L131" i="227"/>
  <c r="P131" i="227"/>
  <c r="T131" i="227"/>
  <c r="I121" i="227"/>
  <c r="N121" i="227"/>
  <c r="R121" i="227"/>
  <c r="R123" i="227" s="1"/>
  <c r="K77" i="227"/>
  <c r="O77" i="227"/>
  <c r="S77" i="227"/>
  <c r="I88" i="227"/>
  <c r="I89" i="227" s="1"/>
  <c r="U125" i="227"/>
  <c r="S127" i="227"/>
  <c r="S148" i="227"/>
  <c r="L148" i="227"/>
  <c r="L138" i="227"/>
  <c r="P148" i="227"/>
  <c r="P138" i="227"/>
  <c r="T148" i="227"/>
  <c r="T138" i="227"/>
  <c r="M149" i="227"/>
  <c r="Q149" i="227"/>
  <c r="U149" i="227"/>
  <c r="O136" i="227"/>
  <c r="L152" i="227"/>
  <c r="L125" i="227"/>
  <c r="T152" i="227"/>
  <c r="T125" i="227"/>
  <c r="E69" i="227"/>
  <c r="E78" i="227" s="1"/>
  <c r="O121" i="227"/>
  <c r="L77" i="227"/>
  <c r="P77" i="227"/>
  <c r="T77" i="227"/>
  <c r="K98" i="227"/>
  <c r="O98" i="227"/>
  <c r="F153" i="227"/>
  <c r="L170" i="227"/>
  <c r="K170" i="227"/>
  <c r="O170" i="227"/>
  <c r="M78" i="227" l="1"/>
  <c r="V30" i="227"/>
  <c r="F123" i="227"/>
  <c r="F133" i="227" s="1"/>
  <c r="F142" i="227" s="1"/>
  <c r="I123" i="227"/>
  <c r="I133" i="227" s="1"/>
  <c r="P123" i="227"/>
  <c r="E142" i="227"/>
  <c r="T123" i="227"/>
  <c r="F104" i="227"/>
  <c r="I151" i="227"/>
  <c r="I153" i="227" s="1"/>
  <c r="K79" i="227"/>
  <c r="R133" i="227"/>
  <c r="R151" i="227"/>
  <c r="L133" i="227"/>
  <c r="V151" i="227"/>
  <c r="E151" i="227"/>
  <c r="E153" i="227" s="1"/>
  <c r="E104" i="227"/>
  <c r="E79" i="227"/>
  <c r="V158" i="227"/>
  <c r="V140" i="227"/>
  <c r="N158" i="227"/>
  <c r="N140" i="227"/>
  <c r="K158" i="227"/>
  <c r="K140" i="227"/>
  <c r="P78" i="227"/>
  <c r="V104" i="227"/>
  <c r="M151" i="227"/>
  <c r="O123" i="227"/>
  <c r="S78" i="227"/>
  <c r="N123" i="227"/>
  <c r="N151" i="227"/>
  <c r="N153" i="227" s="1"/>
  <c r="R104" i="227"/>
  <c r="F155" i="227"/>
  <c r="F159" i="227" s="1"/>
  <c r="O158" i="227"/>
  <c r="O140" i="227"/>
  <c r="P158" i="227"/>
  <c r="P140" i="227"/>
  <c r="T133" i="227"/>
  <c r="L78" i="227"/>
  <c r="K133" i="227"/>
  <c r="K142" i="227" s="1"/>
  <c r="O78" i="227"/>
  <c r="U123" i="227"/>
  <c r="M158" i="227"/>
  <c r="M140" i="227"/>
  <c r="R158" i="227"/>
  <c r="R140" i="227"/>
  <c r="I158" i="227"/>
  <c r="I140" i="227"/>
  <c r="Q151" i="227"/>
  <c r="Q153" i="227" s="1"/>
  <c r="P133" i="227"/>
  <c r="V153" i="227"/>
  <c r="K78" i="227"/>
  <c r="M145" i="227"/>
  <c r="M108" i="227"/>
  <c r="N6" i="227"/>
  <c r="V123" i="227"/>
  <c r="R153" i="227"/>
  <c r="U78" i="227"/>
  <c r="M123" i="227"/>
  <c r="U158" i="227"/>
  <c r="U140" i="227"/>
  <c r="F105" i="227"/>
  <c r="T158" i="227"/>
  <c r="T140" i="227"/>
  <c r="L158" i="227"/>
  <c r="L140" i="227"/>
  <c r="T78" i="227"/>
  <c r="S133" i="227"/>
  <c r="S140" i="227"/>
  <c r="Q123" i="227"/>
  <c r="Q158" i="227"/>
  <c r="Q140" i="227"/>
  <c r="M153" i="227"/>
  <c r="M104" i="227" l="1"/>
  <c r="N104" i="227"/>
  <c r="I104" i="227"/>
  <c r="I105" i="227" s="1"/>
  <c r="P142" i="227"/>
  <c r="S142" i="227"/>
  <c r="R155" i="227"/>
  <c r="R159" i="227" s="1"/>
  <c r="N145" i="227"/>
  <c r="N108" i="227"/>
  <c r="O6" i="227"/>
  <c r="U133" i="227"/>
  <c r="U142" i="227" s="1"/>
  <c r="T142" i="227"/>
  <c r="N133" i="227"/>
  <c r="N142" i="227" s="1"/>
  <c r="T151" i="227"/>
  <c r="T153" i="227" s="1"/>
  <c r="T104" i="227"/>
  <c r="M133" i="227"/>
  <c r="M142" i="227" s="1"/>
  <c r="Q155" i="227"/>
  <c r="Q159" i="227" s="1"/>
  <c r="I155" i="227"/>
  <c r="I159" i="227" s="1"/>
  <c r="O151" i="227"/>
  <c r="O153" i="227" s="1"/>
  <c r="O104" i="227"/>
  <c r="Q104" i="227"/>
  <c r="S151" i="227"/>
  <c r="S153" i="227" s="1"/>
  <c r="E155" i="227"/>
  <c r="E159" i="227" s="1"/>
  <c r="Q133" i="227"/>
  <c r="Q142" i="227" s="1"/>
  <c r="U151" i="227"/>
  <c r="U153" i="227" s="1"/>
  <c r="U104" i="227"/>
  <c r="V155" i="227"/>
  <c r="V159" i="227" s="1"/>
  <c r="O133" i="227"/>
  <c r="O142" i="227" s="1"/>
  <c r="I142" i="227"/>
  <c r="S104" i="227"/>
  <c r="M155" i="227"/>
  <c r="M159" i="227" s="1"/>
  <c r="N155" i="227"/>
  <c r="N159" i="227" s="1"/>
  <c r="V133" i="227"/>
  <c r="V142" i="227" s="1"/>
  <c r="K151" i="227"/>
  <c r="K153" i="227" s="1"/>
  <c r="K104" i="227"/>
  <c r="L151" i="227"/>
  <c r="L153" i="227" s="1"/>
  <c r="L104" i="227"/>
  <c r="P151" i="227"/>
  <c r="P153" i="227" s="1"/>
  <c r="P104" i="227"/>
  <c r="L142" i="227"/>
  <c r="R142" i="227"/>
  <c r="O155" i="227" l="1"/>
  <c r="O159" i="227" s="1"/>
  <c r="K155" i="227"/>
  <c r="K159" i="227" s="1"/>
  <c r="K105" i="227"/>
  <c r="L105" i="227" s="1"/>
  <c r="M105" i="227" s="1"/>
  <c r="N105" i="227" s="1"/>
  <c r="O105" i="227" s="1"/>
  <c r="P105" i="227" s="1"/>
  <c r="Q105" i="227" s="1"/>
  <c r="R105" i="227" s="1"/>
  <c r="S105" i="227" s="1"/>
  <c r="T105" i="227" s="1"/>
  <c r="U105" i="227" s="1"/>
  <c r="V105" i="227" s="1"/>
  <c r="O145" i="227"/>
  <c r="O108" i="227"/>
  <c r="P6" i="227"/>
  <c r="P155" i="227"/>
  <c r="P159" i="227" s="1"/>
  <c r="U155" i="227"/>
  <c r="U159" i="227" s="1"/>
  <c r="L155" i="227"/>
  <c r="L159" i="227" s="1"/>
  <c r="S155" i="227"/>
  <c r="S159" i="227" s="1"/>
  <c r="T155" i="227"/>
  <c r="T159" i="227" s="1"/>
  <c r="P145" i="227" l="1"/>
  <c r="P108" i="227"/>
  <c r="Q6" i="227"/>
  <c r="Q145" i="227" l="1"/>
  <c r="Q108" i="227"/>
  <c r="R6" i="227"/>
  <c r="R145" i="227" l="1"/>
  <c r="R108" i="227"/>
  <c r="S6" i="227"/>
  <c r="S145" i="227" l="1"/>
  <c r="S108" i="227"/>
  <c r="T6" i="227"/>
  <c r="T145" i="227" l="1"/>
  <c r="T108" i="227"/>
  <c r="U6" i="227"/>
  <c r="U145" i="227" l="1"/>
  <c r="U108" i="227"/>
  <c r="V6" i="227"/>
  <c r="V145" i="227" l="1"/>
  <c r="V108" i="227"/>
  <c r="K19" i="172" l="1"/>
  <c r="L19" i="172"/>
  <c r="M19" i="172"/>
  <c r="N19" i="172"/>
  <c r="O19" i="172"/>
  <c r="P19" i="172"/>
  <c r="Q19" i="172"/>
  <c r="R19" i="172"/>
  <c r="S19" i="172"/>
  <c r="T19" i="172"/>
  <c r="U19" i="172"/>
  <c r="V19" i="172"/>
  <c r="W19" i="172"/>
  <c r="J19" i="172"/>
  <c r="N25" i="163" l="1"/>
  <c r="O25" i="163" l="1"/>
  <c r="P25" i="163"/>
  <c r="Q25" i="163"/>
  <c r="R25" i="163"/>
  <c r="S25" i="163"/>
  <c r="T25" i="163"/>
  <c r="U25" i="163"/>
  <c r="V25" i="163"/>
  <c r="W25" i="163"/>
  <c r="X25" i="163"/>
  <c r="O26" i="163"/>
  <c r="P26" i="163"/>
  <c r="Q26" i="163"/>
  <c r="R26" i="163"/>
  <c r="S26" i="163"/>
  <c r="T26" i="163"/>
  <c r="U26" i="163"/>
  <c r="V26" i="163"/>
  <c r="W26" i="163"/>
  <c r="X26" i="163"/>
  <c r="N26" i="163"/>
  <c r="N32" i="163"/>
  <c r="N31" i="163"/>
  <c r="N157" i="226" l="1"/>
  <c r="M157" i="226"/>
  <c r="L157" i="226"/>
  <c r="K157" i="226"/>
  <c r="J157" i="226"/>
  <c r="I157" i="226"/>
  <c r="H157" i="226"/>
  <c r="G157" i="226"/>
  <c r="F157" i="226"/>
  <c r="E157" i="226"/>
  <c r="O156" i="226"/>
  <c r="O155" i="226"/>
  <c r="N154" i="226"/>
  <c r="M154" i="226"/>
  <c r="M159" i="226" s="1"/>
  <c r="M163" i="226" s="1"/>
  <c r="L154" i="226"/>
  <c r="L159" i="226" s="1"/>
  <c r="L163" i="226" s="1"/>
  <c r="K154" i="226"/>
  <c r="K159" i="226" s="1"/>
  <c r="K163" i="226" s="1"/>
  <c r="J154" i="226"/>
  <c r="I154" i="226"/>
  <c r="I159" i="226" s="1"/>
  <c r="I163" i="226" s="1"/>
  <c r="H154" i="226"/>
  <c r="H159" i="226" s="1"/>
  <c r="H163" i="226" s="1"/>
  <c r="G154" i="226"/>
  <c r="G159" i="226" s="1"/>
  <c r="G163" i="226" s="1"/>
  <c r="F154" i="226"/>
  <c r="E154" i="226"/>
  <c r="E159" i="226" s="1"/>
  <c r="E163" i="226" s="1"/>
  <c r="O153" i="226"/>
  <c r="O152" i="226"/>
  <c r="F144" i="226"/>
  <c r="E144" i="226"/>
  <c r="G143" i="226"/>
  <c r="H141" i="226" s="1"/>
  <c r="G142" i="226"/>
  <c r="G141" i="226"/>
  <c r="H130" i="226"/>
  <c r="I130" i="226" s="1"/>
  <c r="J130" i="226" s="1"/>
  <c r="K130" i="226" s="1"/>
  <c r="L130" i="226" s="1"/>
  <c r="M130" i="226" s="1"/>
  <c r="N130" i="226" s="1"/>
  <c r="O130" i="226" s="1"/>
  <c r="P130" i="226" s="1"/>
  <c r="Q130" i="226" s="1"/>
  <c r="R130" i="226" s="1"/>
  <c r="G130" i="226"/>
  <c r="G129" i="226"/>
  <c r="H129" i="226" s="1"/>
  <c r="I129" i="226" s="1"/>
  <c r="J129" i="226" s="1"/>
  <c r="K129" i="226" s="1"/>
  <c r="L129" i="226" s="1"/>
  <c r="M129" i="226" s="1"/>
  <c r="N129" i="226" s="1"/>
  <c r="O129" i="226" s="1"/>
  <c r="P129" i="226" s="1"/>
  <c r="Q129" i="226" s="1"/>
  <c r="R129" i="226" s="1"/>
  <c r="G126" i="226"/>
  <c r="H126" i="226" s="1"/>
  <c r="I126" i="226" s="1"/>
  <c r="J126" i="226" s="1"/>
  <c r="K126" i="226" s="1"/>
  <c r="L126" i="226" s="1"/>
  <c r="M126" i="226" s="1"/>
  <c r="N126" i="226" s="1"/>
  <c r="O126" i="226" s="1"/>
  <c r="P126" i="226" s="1"/>
  <c r="Q126" i="226" s="1"/>
  <c r="R126" i="226" s="1"/>
  <c r="G125" i="226"/>
  <c r="H125" i="226" s="1"/>
  <c r="I125" i="226" s="1"/>
  <c r="J125" i="226" s="1"/>
  <c r="K125" i="226" s="1"/>
  <c r="L125" i="226" s="1"/>
  <c r="M125" i="226" s="1"/>
  <c r="N125" i="226" s="1"/>
  <c r="O125" i="226" s="1"/>
  <c r="P125" i="226" s="1"/>
  <c r="Q125" i="226" s="1"/>
  <c r="G124" i="226"/>
  <c r="G123" i="226"/>
  <c r="H123" i="226" s="1"/>
  <c r="I123" i="226" s="1"/>
  <c r="J123" i="226" s="1"/>
  <c r="K123" i="226" s="1"/>
  <c r="L123" i="226" s="1"/>
  <c r="M123" i="226" s="1"/>
  <c r="N123" i="226" s="1"/>
  <c r="O123" i="226" s="1"/>
  <c r="P123" i="226" s="1"/>
  <c r="Q123" i="226" s="1"/>
  <c r="R123" i="226" s="1"/>
  <c r="Q117" i="226"/>
  <c r="R117" i="226" s="1"/>
  <c r="H107" i="226"/>
  <c r="G107" i="226"/>
  <c r="F107" i="226"/>
  <c r="F109" i="226" s="1"/>
  <c r="G109" i="226" s="1"/>
  <c r="H109" i="226" s="1"/>
  <c r="E105" i="226"/>
  <c r="G101" i="226"/>
  <c r="F101" i="226"/>
  <c r="F103" i="226" s="1"/>
  <c r="G103" i="226" s="1"/>
  <c r="E99" i="226"/>
  <c r="E95" i="226"/>
  <c r="E88" i="226"/>
  <c r="J80" i="226"/>
  <c r="C80" i="226"/>
  <c r="G80" i="226" s="1"/>
  <c r="G77" i="226" s="1"/>
  <c r="H77" i="226" s="1"/>
  <c r="I77" i="226" s="1"/>
  <c r="J77" i="226" s="1"/>
  <c r="K77" i="226" s="1"/>
  <c r="L77" i="226" s="1"/>
  <c r="M77" i="226" s="1"/>
  <c r="N80" i="226" s="1"/>
  <c r="H72" i="226"/>
  <c r="H67" i="226"/>
  <c r="H73" i="226" s="1"/>
  <c r="R65" i="226"/>
  <c r="Q65" i="226"/>
  <c r="O65" i="226"/>
  <c r="N65" i="226"/>
  <c r="M65" i="226"/>
  <c r="K65" i="226"/>
  <c r="J65" i="226"/>
  <c r="I65" i="226"/>
  <c r="F65" i="226"/>
  <c r="J59" i="226"/>
  <c r="I59" i="226"/>
  <c r="J57" i="226"/>
  <c r="K57" i="226" s="1"/>
  <c r="K59" i="226" s="1"/>
  <c r="K61" i="226" s="1"/>
  <c r="F49" i="226"/>
  <c r="H101" i="226"/>
  <c r="O48" i="226"/>
  <c r="R45" i="226"/>
  <c r="R48" i="226" s="1"/>
  <c r="Q45" i="226"/>
  <c r="Q48" i="226" s="1"/>
  <c r="P45" i="226"/>
  <c r="P48" i="226" s="1"/>
  <c r="P25" i="226" s="1"/>
  <c r="O45" i="226"/>
  <c r="N45" i="226"/>
  <c r="N48" i="226" s="1"/>
  <c r="O101" i="226" s="1"/>
  <c r="M45" i="226"/>
  <c r="M48" i="226" s="1"/>
  <c r="L45" i="226"/>
  <c r="L48" i="226" s="1"/>
  <c r="K45" i="226"/>
  <c r="K48" i="226" s="1"/>
  <c r="J45" i="226"/>
  <c r="J48" i="226" s="1"/>
  <c r="K101" i="226" s="1"/>
  <c r="I45" i="226"/>
  <c r="I48" i="226" s="1"/>
  <c r="I25" i="226" s="1"/>
  <c r="H45" i="226"/>
  <c r="H48" i="226" s="1"/>
  <c r="H25" i="226" s="1"/>
  <c r="C42" i="226"/>
  <c r="R42" i="226"/>
  <c r="J42" i="226"/>
  <c r="R39" i="226"/>
  <c r="Q39" i="226"/>
  <c r="Q42" i="226" s="1"/>
  <c r="R107" i="226" s="1"/>
  <c r="P39" i="226"/>
  <c r="P42" i="226" s="1"/>
  <c r="O39" i="226"/>
  <c r="O42" i="226" s="1"/>
  <c r="N39" i="226"/>
  <c r="N42" i="226" s="1"/>
  <c r="M39" i="226"/>
  <c r="M42" i="226" s="1"/>
  <c r="N107" i="226" s="1"/>
  <c r="L39" i="226"/>
  <c r="L42" i="226" s="1"/>
  <c r="K39" i="226"/>
  <c r="K42" i="226" s="1"/>
  <c r="J39" i="226"/>
  <c r="I39" i="226"/>
  <c r="I42" i="226" s="1"/>
  <c r="J107" i="226" s="1"/>
  <c r="H39" i="226"/>
  <c r="H42" i="226" s="1"/>
  <c r="G36" i="226"/>
  <c r="F36" i="226"/>
  <c r="E36" i="226"/>
  <c r="E33" i="226"/>
  <c r="E34" i="226" s="1"/>
  <c r="G32" i="226"/>
  <c r="F32" i="226"/>
  <c r="G28" i="226"/>
  <c r="F27" i="226"/>
  <c r="H26" i="226"/>
  <c r="F25" i="226"/>
  <c r="F24" i="226"/>
  <c r="F29" i="226" s="1"/>
  <c r="E20" i="226"/>
  <c r="E21" i="226" s="1"/>
  <c r="F19" i="226"/>
  <c r="H13" i="226"/>
  <c r="F10" i="226"/>
  <c r="F16" i="226" s="1"/>
  <c r="O157" i="226" l="1"/>
  <c r="F31" i="226"/>
  <c r="F33" i="226" s="1"/>
  <c r="G31" i="226" s="1"/>
  <c r="G33" i="226" s="1"/>
  <c r="E35" i="226"/>
  <c r="H103" i="226"/>
  <c r="K107" i="226"/>
  <c r="J11" i="226"/>
  <c r="N11" i="226"/>
  <c r="O107" i="226"/>
  <c r="R11" i="226"/>
  <c r="L107" i="226"/>
  <c r="K11" i="226"/>
  <c r="P107" i="226"/>
  <c r="O11" i="226"/>
  <c r="I107" i="226"/>
  <c r="I109" i="226" s="1"/>
  <c r="J109" i="226" s="1"/>
  <c r="K109" i="226" s="1"/>
  <c r="H11" i="226"/>
  <c r="L101" i="226"/>
  <c r="K25" i="226"/>
  <c r="P101" i="226"/>
  <c r="O25" i="226"/>
  <c r="R25" i="226"/>
  <c r="G10" i="226"/>
  <c r="F21" i="226"/>
  <c r="F34" i="226"/>
  <c r="G24" i="226"/>
  <c r="M107" i="226"/>
  <c r="L11" i="226"/>
  <c r="Q107" i="226"/>
  <c r="P11" i="226"/>
  <c r="R125" i="226"/>
  <c r="Q127" i="226"/>
  <c r="N101" i="226"/>
  <c r="M25" i="226"/>
  <c r="R101" i="226"/>
  <c r="Q25" i="226"/>
  <c r="E111" i="226"/>
  <c r="C99" i="226" s="1"/>
  <c r="J101" i="226"/>
  <c r="I11" i="226"/>
  <c r="M11" i="226"/>
  <c r="Q11" i="226"/>
  <c r="N25" i="226"/>
  <c r="L57" i="226"/>
  <c r="Q101" i="226"/>
  <c r="F18" i="226"/>
  <c r="F20" i="226" s="1"/>
  <c r="G18" i="226" s="1"/>
  <c r="G20" i="226" s="1"/>
  <c r="J25" i="226"/>
  <c r="M101" i="226"/>
  <c r="L25" i="226"/>
  <c r="I61" i="226"/>
  <c r="J61" i="226"/>
  <c r="I101" i="226"/>
  <c r="I103" i="226" s="1"/>
  <c r="C105" i="226"/>
  <c r="G65" i="226"/>
  <c r="L65" i="226"/>
  <c r="P65" i="226"/>
  <c r="I141" i="226"/>
  <c r="G144" i="226"/>
  <c r="I144" i="226" s="1"/>
  <c r="F159" i="226"/>
  <c r="F163" i="226" s="1"/>
  <c r="J159" i="226"/>
  <c r="J163" i="226" s="1"/>
  <c r="N159" i="226"/>
  <c r="N163" i="226" s="1"/>
  <c r="R108" i="226"/>
  <c r="G127" i="226"/>
  <c r="H127" i="226" s="1"/>
  <c r="I127" i="226" s="1"/>
  <c r="J127" i="226" s="1"/>
  <c r="K127" i="226" s="1"/>
  <c r="L127" i="226" s="1"/>
  <c r="M127" i="226" s="1"/>
  <c r="N127" i="226" s="1"/>
  <c r="O127" i="226" s="1"/>
  <c r="P127" i="226" s="1"/>
  <c r="H124" i="226"/>
  <c r="I124" i="226" s="1"/>
  <c r="J124" i="226" s="1"/>
  <c r="K124" i="226" s="1"/>
  <c r="L124" i="226" s="1"/>
  <c r="M124" i="226" s="1"/>
  <c r="N124" i="226" s="1"/>
  <c r="O124" i="226" s="1"/>
  <c r="P124" i="226" s="1"/>
  <c r="O154" i="226"/>
  <c r="O159" i="226" s="1"/>
  <c r="H142" i="226"/>
  <c r="I142" i="226" s="1"/>
  <c r="H143" i="226" l="1"/>
  <c r="I143" i="226" s="1"/>
  <c r="J103" i="226"/>
  <c r="K103" i="226" s="1"/>
  <c r="L103" i="226" s="1"/>
  <c r="M103" i="226" s="1"/>
  <c r="N103" i="226" s="1"/>
  <c r="O103" i="226" s="1"/>
  <c r="P103" i="226" s="1"/>
  <c r="Q103" i="226" s="1"/>
  <c r="R103" i="226" s="1"/>
  <c r="L109" i="226"/>
  <c r="M109" i="226" s="1"/>
  <c r="N109" i="226" s="1"/>
  <c r="O109" i="226" s="1"/>
  <c r="P109" i="226" s="1"/>
  <c r="Q109" i="226" s="1"/>
  <c r="R109" i="226" s="1"/>
  <c r="R127" i="226"/>
  <c r="L59" i="226"/>
  <c r="M57" i="226"/>
  <c r="P102" i="226"/>
  <c r="L102" i="226"/>
  <c r="H102" i="226"/>
  <c r="O102" i="226"/>
  <c r="K102" i="226"/>
  <c r="G102" i="226"/>
  <c r="N102" i="226"/>
  <c r="F102" i="226"/>
  <c r="M102" i="226"/>
  <c r="I102" i="226"/>
  <c r="R102" i="226"/>
  <c r="Q102" i="226"/>
  <c r="J102" i="226"/>
  <c r="F35" i="226"/>
  <c r="F37" i="226" s="1"/>
  <c r="N108" i="226"/>
  <c r="J108" i="226"/>
  <c r="J110" i="226" s="1"/>
  <c r="J64" i="226" s="1"/>
  <c r="P108" i="226"/>
  <c r="K108" i="226"/>
  <c r="K110" i="226" s="1"/>
  <c r="K64" i="226" s="1"/>
  <c r="F108" i="226"/>
  <c r="F110" i="226" s="1"/>
  <c r="F64" i="226" s="1"/>
  <c r="F67" i="226" s="1"/>
  <c r="M108" i="226"/>
  <c r="G108" i="226"/>
  <c r="G110" i="226" s="1"/>
  <c r="G64" i="226" s="1"/>
  <c r="G67" i="226" s="1"/>
  <c r="L108" i="226"/>
  <c r="I108" i="226"/>
  <c r="I110" i="226" s="1"/>
  <c r="I64" i="226" s="1"/>
  <c r="H108" i="226"/>
  <c r="H110" i="226" s="1"/>
  <c r="Q108" i="226"/>
  <c r="O108" i="226"/>
  <c r="G11" i="226"/>
  <c r="G16" i="226" s="1"/>
  <c r="G29" i="226"/>
  <c r="G25" i="226"/>
  <c r="L104" i="226" l="1"/>
  <c r="L69" i="226" s="1"/>
  <c r="O110" i="226"/>
  <c r="O64" i="226" s="1"/>
  <c r="O13" i="226" s="1"/>
  <c r="L110" i="226"/>
  <c r="L64" i="226" s="1"/>
  <c r="L13" i="226" s="1"/>
  <c r="M104" i="226"/>
  <c r="M69" i="226" s="1"/>
  <c r="M72" i="226" s="1"/>
  <c r="K104" i="226"/>
  <c r="K69" i="226" s="1"/>
  <c r="P104" i="226"/>
  <c r="P69" i="226" s="1"/>
  <c r="P26" i="226" s="1"/>
  <c r="Q104" i="226"/>
  <c r="Q69" i="226" s="1"/>
  <c r="Q72" i="226" s="1"/>
  <c r="O104" i="226"/>
  <c r="O69" i="226" s="1"/>
  <c r="O72" i="226" s="1"/>
  <c r="H10" i="226"/>
  <c r="H16" i="226" s="1"/>
  <c r="G21" i="226"/>
  <c r="G35" i="226" s="1"/>
  <c r="G37" i="226" s="1"/>
  <c r="H24" i="226"/>
  <c r="H29" i="226" s="1"/>
  <c r="I24" i="226" s="1"/>
  <c r="G34" i="226"/>
  <c r="O67" i="226"/>
  <c r="L67" i="226"/>
  <c r="K67" i="226"/>
  <c r="K13" i="226"/>
  <c r="I118" i="226"/>
  <c r="I104" i="226"/>
  <c r="I69" i="226" s="1"/>
  <c r="G118" i="226"/>
  <c r="G104" i="226"/>
  <c r="G69" i="226" s="1"/>
  <c r="G72" i="226" s="1"/>
  <c r="G112" i="226"/>
  <c r="L72" i="226"/>
  <c r="L26" i="226"/>
  <c r="Q110" i="226"/>
  <c r="Q64" i="226" s="1"/>
  <c r="G73" i="226"/>
  <c r="P110" i="226"/>
  <c r="P64" i="226" s="1"/>
  <c r="R110" i="226"/>
  <c r="R64" i="226" s="1"/>
  <c r="J104" i="226"/>
  <c r="J69" i="226" s="1"/>
  <c r="J118" i="226"/>
  <c r="K72" i="226"/>
  <c r="K26" i="226"/>
  <c r="P72" i="226"/>
  <c r="M110" i="226"/>
  <c r="M64" i="226" s="1"/>
  <c r="J67" i="226"/>
  <c r="J13" i="226"/>
  <c r="F118" i="226"/>
  <c r="F104" i="226"/>
  <c r="F69" i="226" s="1"/>
  <c r="F72" i="226" s="1"/>
  <c r="F73" i="226" s="1"/>
  <c r="N57" i="226"/>
  <c r="M59" i="226"/>
  <c r="I67" i="226"/>
  <c r="I13" i="226"/>
  <c r="N110" i="226"/>
  <c r="N64" i="226" s="1"/>
  <c r="R104" i="226"/>
  <c r="R69" i="226" s="1"/>
  <c r="N104" i="226"/>
  <c r="N69" i="226" s="1"/>
  <c r="H104" i="226"/>
  <c r="H118" i="226"/>
  <c r="L61" i="226"/>
  <c r="Q26" i="226" l="1"/>
  <c r="O26" i="226"/>
  <c r="M26" i="226"/>
  <c r="L73" i="226"/>
  <c r="O73" i="226"/>
  <c r="N59" i="226"/>
  <c r="O57" i="226"/>
  <c r="N72" i="226"/>
  <c r="N26" i="226"/>
  <c r="M67" i="226"/>
  <c r="M73" i="226" s="1"/>
  <c r="M13" i="226"/>
  <c r="J72" i="226"/>
  <c r="J73" i="226" s="1"/>
  <c r="J26" i="226"/>
  <c r="Q67" i="226"/>
  <c r="Q73" i="226" s="1"/>
  <c r="Q13" i="226"/>
  <c r="R72" i="226"/>
  <c r="R26" i="226"/>
  <c r="R67" i="226"/>
  <c r="R13" i="226"/>
  <c r="I72" i="226"/>
  <c r="I73" i="226" s="1"/>
  <c r="I26" i="226"/>
  <c r="I29" i="226" s="1"/>
  <c r="J24" i="226" s="1"/>
  <c r="J29" i="226" s="1"/>
  <c r="K24" i="226" s="1"/>
  <c r="K29" i="226" s="1"/>
  <c r="L24" i="226" s="1"/>
  <c r="L29" i="226" s="1"/>
  <c r="M24" i="226" s="1"/>
  <c r="K73" i="226"/>
  <c r="H21" i="226"/>
  <c r="H35" i="226" s="1"/>
  <c r="I10" i="226"/>
  <c r="I16" i="226" s="1"/>
  <c r="N67" i="226"/>
  <c r="N13" i="226"/>
  <c r="M61" i="226"/>
  <c r="P67" i="226"/>
  <c r="P73" i="226" s="1"/>
  <c r="P13" i="226"/>
  <c r="M29" i="226" l="1"/>
  <c r="N24" i="226" s="1"/>
  <c r="N29" i="226"/>
  <c r="O24" i="226" s="1"/>
  <c r="O29" i="226" s="1"/>
  <c r="P24" i="226" s="1"/>
  <c r="P29" i="226" s="1"/>
  <c r="Q24" i="226" s="1"/>
  <c r="Q29" i="226" s="1"/>
  <c r="R24" i="226" s="1"/>
  <c r="R29" i="226" s="1"/>
  <c r="I21" i="226"/>
  <c r="I35" i="226" s="1"/>
  <c r="J10" i="226"/>
  <c r="J16" i="226" s="1"/>
  <c r="O59" i="226"/>
  <c r="P57" i="226"/>
  <c r="N61" i="226"/>
  <c r="N73" i="226"/>
  <c r="R73" i="226"/>
  <c r="P59" i="226" l="1"/>
  <c r="Q57" i="226"/>
  <c r="O61" i="226"/>
  <c r="J21" i="226"/>
  <c r="J35" i="226" s="1"/>
  <c r="K10" i="226"/>
  <c r="K16" i="226" s="1"/>
  <c r="L10" i="226" l="1"/>
  <c r="L16" i="226" s="1"/>
  <c r="K21" i="226"/>
  <c r="K35" i="226" s="1"/>
  <c r="R57" i="226"/>
  <c r="R59" i="226" s="1"/>
  <c r="Q59" i="226"/>
  <c r="P61" i="226"/>
  <c r="R61" i="226" l="1"/>
  <c r="L21" i="226"/>
  <c r="L35" i="226" s="1"/>
  <c r="M10" i="226"/>
  <c r="M16" i="226" s="1"/>
  <c r="Q61" i="226"/>
  <c r="M21" i="226" l="1"/>
  <c r="M35" i="226" s="1"/>
  <c r="N10" i="226"/>
  <c r="N16" i="226" s="1"/>
  <c r="N21" i="226" l="1"/>
  <c r="N35" i="226" s="1"/>
  <c r="O10" i="226"/>
  <c r="O16" i="226" s="1"/>
  <c r="O21" i="226" l="1"/>
  <c r="O35" i="226" s="1"/>
  <c r="P10" i="226"/>
  <c r="P16" i="226" s="1"/>
  <c r="P21" i="226" l="1"/>
  <c r="P35" i="226" s="1"/>
  <c r="Q10" i="226"/>
  <c r="Q16" i="226" s="1"/>
  <c r="Q21" i="226" l="1"/>
  <c r="Q35" i="226" s="1"/>
  <c r="R10" i="226"/>
  <c r="R16" i="226" s="1"/>
  <c r="R21" i="226" l="1"/>
  <c r="R35" i="226" s="1"/>
  <c r="M154" i="28" l="1"/>
  <c r="N154" i="28"/>
  <c r="M155" i="28"/>
  <c r="N155" i="28"/>
  <c r="M156" i="28"/>
  <c r="N156" i="28"/>
  <c r="M157" i="28"/>
  <c r="N157" i="28"/>
  <c r="M158" i="28"/>
  <c r="N158" i="28"/>
  <c r="M136" i="28"/>
  <c r="N136" i="28"/>
  <c r="M137" i="28"/>
  <c r="N137" i="28"/>
  <c r="M138" i="28"/>
  <c r="N138" i="28"/>
  <c r="M139" i="28"/>
  <c r="N139" i="28"/>
  <c r="M140" i="28"/>
  <c r="N140" i="28"/>
  <c r="M141" i="28"/>
  <c r="N141" i="28"/>
  <c r="M142" i="28"/>
  <c r="J139" i="70" s="1"/>
  <c r="N142" i="28"/>
  <c r="K139" i="70" s="1"/>
  <c r="M143" i="28"/>
  <c r="J140" i="70" s="1"/>
  <c r="N143" i="28"/>
  <c r="K140" i="70" s="1"/>
  <c r="M144" i="28"/>
  <c r="J141" i="70" s="1"/>
  <c r="N144" i="28"/>
  <c r="K141" i="70" s="1"/>
  <c r="M145" i="28"/>
  <c r="N145" i="28"/>
  <c r="M146" i="28"/>
  <c r="N146" i="28"/>
  <c r="M147" i="28"/>
  <c r="N147" i="28"/>
  <c r="M148" i="28"/>
  <c r="N148" i="28"/>
  <c r="M149" i="28"/>
  <c r="N149" i="28"/>
  <c r="M150" i="28"/>
  <c r="N150" i="28"/>
  <c r="M151" i="28"/>
  <c r="N151" i="28"/>
  <c r="M152" i="28"/>
  <c r="N152" i="28"/>
  <c r="M153" i="28"/>
  <c r="N153" i="28"/>
  <c r="N135" i="28"/>
  <c r="M135" i="28"/>
  <c r="N134" i="28"/>
  <c r="M134" i="28"/>
  <c r="N133" i="28"/>
  <c r="M133" i="28"/>
  <c r="N132" i="28"/>
  <c r="M132" i="28"/>
  <c r="N131" i="28"/>
  <c r="M131" i="28"/>
  <c r="N130" i="28"/>
  <c r="M130" i="28"/>
  <c r="N129" i="28"/>
  <c r="M129" i="28"/>
  <c r="N128" i="28"/>
  <c r="M128" i="28"/>
  <c r="N127" i="28"/>
  <c r="M127" i="28"/>
  <c r="N126" i="28"/>
  <c r="K123" i="70" s="1"/>
  <c r="M126" i="28"/>
  <c r="J123" i="70" s="1"/>
  <c r="N125" i="28"/>
  <c r="M125" i="28"/>
  <c r="N124" i="28"/>
  <c r="M124" i="28"/>
  <c r="N123" i="28"/>
  <c r="M123" i="28"/>
  <c r="N122" i="28"/>
  <c r="K119" i="70" s="1"/>
  <c r="M122" i="28"/>
  <c r="J119" i="70" s="1"/>
  <c r="N121" i="28"/>
  <c r="K118" i="70" s="1"/>
  <c r="M121" i="28"/>
  <c r="M115" i="28"/>
  <c r="N115" i="28"/>
  <c r="M116" i="28"/>
  <c r="N116" i="28"/>
  <c r="M117" i="28"/>
  <c r="N117" i="28"/>
  <c r="M118" i="28"/>
  <c r="N118" i="28"/>
  <c r="N114" i="28"/>
  <c r="M114" i="28"/>
  <c r="N113" i="28"/>
  <c r="M113" i="28"/>
  <c r="N112" i="28"/>
  <c r="M112" i="28"/>
  <c r="N111" i="28"/>
  <c r="M111" i="28"/>
  <c r="N110" i="28"/>
  <c r="M110" i="28"/>
  <c r="N109" i="28"/>
  <c r="M109" i="28"/>
  <c r="N108" i="28"/>
  <c r="M108" i="28"/>
  <c r="N107" i="28"/>
  <c r="M107" i="28"/>
  <c r="N106" i="28"/>
  <c r="M106" i="28"/>
  <c r="N105" i="28"/>
  <c r="M105" i="28"/>
  <c r="N104" i="28"/>
  <c r="M104" i="28"/>
  <c r="M95" i="28"/>
  <c r="N95" i="28"/>
  <c r="M96" i="28"/>
  <c r="N96" i="28"/>
  <c r="M97" i="28"/>
  <c r="N97" i="28"/>
  <c r="M98" i="28"/>
  <c r="N98" i="28"/>
  <c r="M99" i="28"/>
  <c r="N99" i="28"/>
  <c r="M100" i="28"/>
  <c r="N100" i="28"/>
  <c r="M101" i="28"/>
  <c r="N101" i="28"/>
  <c r="N94" i="28"/>
  <c r="M94" i="28"/>
  <c r="N93" i="28"/>
  <c r="M93" i="28"/>
  <c r="N92" i="28"/>
  <c r="M92" i="28"/>
  <c r="N91" i="28"/>
  <c r="M91" i="28"/>
  <c r="N88" i="28"/>
  <c r="M88" i="28"/>
  <c r="N87" i="28"/>
  <c r="M87" i="28"/>
  <c r="N86" i="28"/>
  <c r="M86" i="28"/>
  <c r="N85" i="28"/>
  <c r="M85" i="28"/>
  <c r="M69" i="28"/>
  <c r="N69" i="28"/>
  <c r="M70" i="28"/>
  <c r="N70" i="28"/>
  <c r="M71" i="28"/>
  <c r="N71" i="28"/>
  <c r="M72" i="28"/>
  <c r="N72" i="28"/>
  <c r="M73" i="28"/>
  <c r="N73" i="28"/>
  <c r="M74" i="28"/>
  <c r="N74" i="28"/>
  <c r="M75" i="28"/>
  <c r="N75" i="28"/>
  <c r="M76" i="28"/>
  <c r="N76" i="28"/>
  <c r="M77" i="28"/>
  <c r="N77" i="28"/>
  <c r="M78" i="28"/>
  <c r="N78" i="28"/>
  <c r="M79" i="28"/>
  <c r="N79" i="28"/>
  <c r="M80" i="28"/>
  <c r="N80" i="28"/>
  <c r="M81" i="28"/>
  <c r="N81" i="28"/>
  <c r="M82" i="28"/>
  <c r="N82" i="28"/>
  <c r="N68" i="28"/>
  <c r="M68" i="28"/>
  <c r="N67" i="28"/>
  <c r="M67" i="28"/>
  <c r="N66" i="28"/>
  <c r="M66" i="28"/>
  <c r="N65" i="28"/>
  <c r="M65" i="28"/>
  <c r="N64" i="28"/>
  <c r="M64" i="28"/>
  <c r="M58" i="28"/>
  <c r="N58" i="28"/>
  <c r="M59" i="28"/>
  <c r="N59" i="28"/>
  <c r="M60" i="28"/>
  <c r="N60" i="28"/>
  <c r="M61" i="28"/>
  <c r="N61" i="28"/>
  <c r="N57" i="28"/>
  <c r="M57" i="28"/>
  <c r="N56" i="28"/>
  <c r="M56" i="28"/>
  <c r="N55" i="28"/>
  <c r="M55" i="28"/>
  <c r="N54" i="28"/>
  <c r="M54" i="28"/>
  <c r="N53" i="28"/>
  <c r="M53" i="28"/>
  <c r="N52" i="28"/>
  <c r="M52" i="28"/>
  <c r="N51" i="28"/>
  <c r="M51" i="28"/>
  <c r="N50" i="28"/>
  <c r="M50" i="28"/>
  <c r="N49" i="28"/>
  <c r="M49" i="28"/>
  <c r="M39" i="28"/>
  <c r="N39" i="28"/>
  <c r="M40" i="28"/>
  <c r="N40" i="28"/>
  <c r="M41" i="28"/>
  <c r="N41" i="28"/>
  <c r="M42" i="28"/>
  <c r="N42" i="28"/>
  <c r="M43" i="28"/>
  <c r="N43" i="28"/>
  <c r="M44" i="28"/>
  <c r="N44" i="28"/>
  <c r="M45" i="28"/>
  <c r="N45" i="28"/>
  <c r="M46" i="28"/>
  <c r="N46" i="28"/>
  <c r="N38" i="28"/>
  <c r="M38" i="28"/>
  <c r="N37" i="28"/>
  <c r="M37" i="28"/>
  <c r="N36" i="28"/>
  <c r="M36" i="28"/>
  <c r="N35" i="28"/>
  <c r="M35" i="28"/>
  <c r="N34" i="28"/>
  <c r="M34" i="28"/>
  <c r="N33" i="28"/>
  <c r="M33" i="28"/>
  <c r="N32" i="28"/>
  <c r="M32" i="28"/>
  <c r="N31" i="28"/>
  <c r="M31" i="28"/>
  <c r="N30" i="28"/>
  <c r="M30" i="28"/>
  <c r="N29" i="28"/>
  <c r="M29" i="28"/>
  <c r="N28" i="28"/>
  <c r="M28" i="28"/>
  <c r="N27" i="28"/>
  <c r="M27" i="28"/>
  <c r="N26" i="28"/>
  <c r="M26" i="28"/>
  <c r="N25" i="28"/>
  <c r="M25" i="28"/>
  <c r="M10" i="28"/>
  <c r="N10" i="28"/>
  <c r="M11" i="28"/>
  <c r="N11" i="28"/>
  <c r="M14" i="28"/>
  <c r="N14" i="28"/>
  <c r="M15" i="28"/>
  <c r="N15" i="28"/>
  <c r="M16" i="28"/>
  <c r="N16" i="28"/>
  <c r="M17" i="28"/>
  <c r="N17" i="28"/>
  <c r="M18" i="28"/>
  <c r="N18" i="28"/>
  <c r="M19" i="28"/>
  <c r="N19" i="28"/>
  <c r="M20" i="28"/>
  <c r="N20" i="28"/>
  <c r="M21" i="28"/>
  <c r="N21" i="28"/>
  <c r="M22" i="28"/>
  <c r="N22" i="28"/>
  <c r="N9" i="28"/>
  <c r="M9" i="28"/>
  <c r="O126" i="28" l="1"/>
  <c r="O122" i="28"/>
  <c r="U800" i="169"/>
  <c r="U795" i="169"/>
  <c r="C840" i="169"/>
  <c r="K840" i="169"/>
  <c r="O142" i="28"/>
  <c r="O143" i="28"/>
  <c r="O144" i="28"/>
  <c r="O9" i="28"/>
  <c r="L140" i="70" l="1"/>
  <c r="L139" i="70"/>
  <c r="L119" i="70"/>
  <c r="L141" i="70"/>
  <c r="L123" i="70"/>
  <c r="J902" i="169"/>
  <c r="K902" i="169"/>
  <c r="J903" i="169"/>
  <c r="K903" i="169"/>
  <c r="J904" i="169"/>
  <c r="K904" i="169"/>
  <c r="J905" i="169"/>
  <c r="K905" i="169"/>
  <c r="J906" i="169"/>
  <c r="K906" i="169"/>
  <c r="J907" i="169"/>
  <c r="K907" i="169"/>
  <c r="J908" i="169"/>
  <c r="K908" i="169"/>
  <c r="J909" i="169"/>
  <c r="K909" i="169"/>
  <c r="J910" i="169"/>
  <c r="K910" i="169"/>
  <c r="J911" i="169"/>
  <c r="K911" i="169"/>
  <c r="J912" i="169"/>
  <c r="K912" i="169"/>
  <c r="J913" i="169"/>
  <c r="K913" i="169"/>
  <c r="J914" i="169"/>
  <c r="K914" i="169"/>
  <c r="J915" i="169"/>
  <c r="K915" i="169"/>
  <c r="J916" i="169"/>
  <c r="K916" i="169"/>
  <c r="J917" i="169"/>
  <c r="K917" i="169"/>
  <c r="J918" i="169"/>
  <c r="K918" i="169"/>
  <c r="J970" i="169"/>
  <c r="K970" i="169"/>
  <c r="K961" i="169"/>
  <c r="J961" i="169"/>
  <c r="K960" i="169"/>
  <c r="J960" i="169"/>
  <c r="K959" i="169"/>
  <c r="J959" i="169"/>
  <c r="K958" i="169"/>
  <c r="J958" i="169"/>
  <c r="J928" i="169"/>
  <c r="K928" i="169"/>
  <c r="J929" i="169"/>
  <c r="K929" i="169"/>
  <c r="J930" i="169"/>
  <c r="K930" i="169"/>
  <c r="J931" i="169"/>
  <c r="K931" i="169"/>
  <c r="J932" i="169"/>
  <c r="K932" i="169"/>
  <c r="J933" i="169"/>
  <c r="K933" i="169"/>
  <c r="J935" i="169"/>
  <c r="K935" i="169"/>
  <c r="J942" i="169"/>
  <c r="K942" i="169"/>
  <c r="J943" i="169"/>
  <c r="K943" i="169"/>
  <c r="J944" i="169"/>
  <c r="K944" i="169"/>
  <c r="J945" i="169"/>
  <c r="K945" i="169"/>
  <c r="J851" i="169"/>
  <c r="K851" i="169"/>
  <c r="J852" i="169"/>
  <c r="K852" i="169"/>
  <c r="J853" i="169"/>
  <c r="K853" i="169"/>
  <c r="J854" i="169"/>
  <c r="K854" i="169"/>
  <c r="J855" i="169"/>
  <c r="K855" i="169"/>
  <c r="J856" i="169"/>
  <c r="K856" i="169"/>
  <c r="J838" i="169"/>
  <c r="K838" i="169"/>
  <c r="J815" i="169"/>
  <c r="K815" i="169"/>
  <c r="J816" i="169"/>
  <c r="K816" i="169"/>
  <c r="J817" i="169"/>
  <c r="K817" i="169"/>
  <c r="J800" i="169"/>
  <c r="K800" i="169"/>
  <c r="J795" i="169"/>
  <c r="K795" i="169"/>
  <c r="J670" i="169"/>
  <c r="K670" i="169"/>
  <c r="D973" i="169"/>
  <c r="C973" i="169"/>
  <c r="D963" i="169"/>
  <c r="E963" i="169"/>
  <c r="C963" i="169"/>
  <c r="D955" i="169"/>
  <c r="C955" i="169"/>
  <c r="D937" i="169"/>
  <c r="C937" i="169"/>
  <c r="D920" i="169"/>
  <c r="C920" i="169"/>
  <c r="C965" i="169" s="1"/>
  <c r="D791" i="169"/>
  <c r="C791" i="169"/>
  <c r="D777" i="169"/>
  <c r="C777" i="169"/>
  <c r="D761" i="169"/>
  <c r="C761" i="169"/>
  <c r="D738" i="169"/>
  <c r="C738" i="169"/>
  <c r="D721" i="169"/>
  <c r="C721" i="169"/>
  <c r="D701" i="169"/>
  <c r="C701" i="169"/>
  <c r="D876" i="169"/>
  <c r="C876" i="169"/>
  <c r="D864" i="169"/>
  <c r="C864" i="169"/>
  <c r="D840" i="169"/>
  <c r="D965" i="169" l="1"/>
  <c r="D879" i="169"/>
  <c r="D881" i="169" s="1"/>
  <c r="D976" i="169" s="1"/>
  <c r="C879" i="169"/>
  <c r="C881" i="169" s="1"/>
  <c r="C976" i="169" s="1"/>
  <c r="J787" i="169" l="1"/>
  <c r="D51" i="203"/>
  <c r="I106" i="179" l="1"/>
  <c r="H94" i="179" l="1"/>
  <c r="I94" i="179"/>
  <c r="J94" i="179"/>
  <c r="K94" i="179"/>
  <c r="L94" i="179"/>
  <c r="M94" i="179"/>
  <c r="N94" i="179"/>
  <c r="O94" i="179"/>
  <c r="P94" i="179"/>
  <c r="Q94" i="179"/>
  <c r="R94" i="179"/>
  <c r="S94" i="179"/>
  <c r="H95" i="179"/>
  <c r="I95" i="179"/>
  <c r="J95" i="179"/>
  <c r="K95" i="179"/>
  <c r="L95" i="179"/>
  <c r="M95" i="179"/>
  <c r="N95" i="179"/>
  <c r="O95" i="179"/>
  <c r="P95" i="179"/>
  <c r="Q95" i="179"/>
  <c r="R95" i="179"/>
  <c r="S95" i="179"/>
  <c r="H96" i="179"/>
  <c r="I96" i="179"/>
  <c r="J96" i="179"/>
  <c r="K96" i="179"/>
  <c r="L96" i="179"/>
  <c r="M96" i="179"/>
  <c r="N96" i="179"/>
  <c r="O96" i="179"/>
  <c r="P96" i="179"/>
  <c r="Q96" i="179"/>
  <c r="R96" i="179"/>
  <c r="S96" i="179"/>
  <c r="G96" i="179"/>
  <c r="G95" i="179"/>
  <c r="G94" i="179"/>
  <c r="G93" i="179"/>
  <c r="H93" i="179"/>
  <c r="I93" i="179"/>
  <c r="J93" i="179"/>
  <c r="K93" i="179"/>
  <c r="L93" i="179"/>
  <c r="M93" i="179"/>
  <c r="N93" i="179"/>
  <c r="O93" i="179"/>
  <c r="P93" i="179"/>
  <c r="Q93" i="179"/>
  <c r="R93" i="179"/>
  <c r="S93" i="179"/>
  <c r="I28" i="177"/>
  <c r="J28" i="177"/>
  <c r="K28" i="177"/>
  <c r="L28" i="177"/>
  <c r="M28" i="177"/>
  <c r="N28" i="177"/>
  <c r="O28" i="177"/>
  <c r="P28" i="177"/>
  <c r="E28" i="177"/>
  <c r="F28" i="177"/>
  <c r="G28" i="177"/>
  <c r="H28" i="177"/>
  <c r="D28" i="177"/>
  <c r="G24" i="177"/>
  <c r="H24" i="177"/>
  <c r="I24" i="177"/>
  <c r="J24" i="177"/>
  <c r="K24" i="177"/>
  <c r="L24" i="177"/>
  <c r="M24" i="177"/>
  <c r="N24" i="177"/>
  <c r="O24" i="177"/>
  <c r="P24" i="177"/>
  <c r="D24" i="177"/>
  <c r="E24" i="177"/>
  <c r="F24" i="177"/>
  <c r="G23" i="177"/>
  <c r="H23" i="177"/>
  <c r="I23" i="177"/>
  <c r="J23" i="177"/>
  <c r="K23" i="177"/>
  <c r="L23" i="177"/>
  <c r="M23" i="177"/>
  <c r="N23" i="177"/>
  <c r="O23" i="177"/>
  <c r="D23" i="177"/>
  <c r="I36" i="176" s="1"/>
  <c r="E23" i="177"/>
  <c r="J36" i="176" s="1"/>
  <c r="F23" i="177"/>
  <c r="D26" i="177" l="1"/>
  <c r="G98" i="179"/>
  <c r="K36" i="176"/>
  <c r="F41" i="177"/>
  <c r="V21" i="20" l="1"/>
  <c r="W21" i="20"/>
  <c r="X21" i="20"/>
  <c r="U21" i="20"/>
  <c r="O38" i="20"/>
  <c r="P38" i="20"/>
  <c r="Q38" i="20"/>
  <c r="R38" i="20"/>
  <c r="S38" i="20"/>
  <c r="T38" i="20"/>
  <c r="U38" i="20"/>
  <c r="V38" i="20"/>
  <c r="W38" i="20"/>
  <c r="X38" i="20"/>
  <c r="M38" i="20"/>
  <c r="M40" i="20" s="1"/>
  <c r="M15" i="20"/>
  <c r="M14" i="20"/>
  <c r="M13" i="20"/>
  <c r="M26" i="20" s="1"/>
  <c r="L15" i="20"/>
  <c r="L14" i="20"/>
  <c r="L13" i="20"/>
  <c r="K15" i="20"/>
  <c r="K14" i="20"/>
  <c r="K13" i="20"/>
  <c r="N38" i="20"/>
  <c r="P13" i="20"/>
  <c r="P26" i="20" s="1"/>
  <c r="Q13" i="20"/>
  <c r="R13" i="20"/>
  <c r="S13" i="20"/>
  <c r="T13" i="20"/>
  <c r="U13" i="20"/>
  <c r="V13" i="20"/>
  <c r="W13" i="20"/>
  <c r="X13" i="20"/>
  <c r="P14" i="20"/>
  <c r="Q14" i="20"/>
  <c r="R14" i="20"/>
  <c r="S14" i="20"/>
  <c r="T14" i="20"/>
  <c r="U14" i="20"/>
  <c r="V14" i="20"/>
  <c r="W14" i="20"/>
  <c r="X14" i="20"/>
  <c r="P15" i="20"/>
  <c r="P27" i="20" s="1"/>
  <c r="Q15" i="20"/>
  <c r="R15" i="20"/>
  <c r="S15" i="20"/>
  <c r="T15" i="20"/>
  <c r="U15" i="20"/>
  <c r="V15" i="20"/>
  <c r="W15" i="20"/>
  <c r="X15" i="20"/>
  <c r="O15" i="20"/>
  <c r="O14" i="20"/>
  <c r="O13" i="20"/>
  <c r="N15" i="20"/>
  <c r="N14" i="20"/>
  <c r="N13" i="20"/>
  <c r="E14" i="184" l="1"/>
  <c r="N13" i="13" l="1"/>
  <c r="N160" i="13" s="1"/>
  <c r="N189" i="13" s="1"/>
  <c r="F5" i="213" s="1"/>
  <c r="N16" i="13"/>
  <c r="N143" i="13" s="1"/>
  <c r="N12" i="13"/>
  <c r="N142" i="13" s="1"/>
  <c r="E5" i="213" s="1"/>
  <c r="M12" i="13"/>
  <c r="M16" i="13" s="1"/>
  <c r="E6" i="213" l="1"/>
  <c r="N17" i="13"/>
  <c r="N161" i="13" s="1"/>
  <c r="M223" i="164"/>
  <c r="L197" i="16" s="1"/>
  <c r="L223" i="164"/>
  <c r="K197" i="16" s="1"/>
  <c r="K223" i="164"/>
  <c r="J197" i="16" s="1"/>
  <c r="J223" i="164"/>
  <c r="I197" i="16" s="1"/>
  <c r="I223" i="164"/>
  <c r="H197" i="16" s="1"/>
  <c r="H223" i="164"/>
  <c r="N190" i="13" l="1"/>
  <c r="F6" i="213" s="1"/>
  <c r="O49" i="163"/>
  <c r="P49" i="163"/>
  <c r="Q49" i="163"/>
  <c r="R49" i="163"/>
  <c r="N49" i="163"/>
  <c r="G48" i="224" l="1"/>
  <c r="N50" i="163" s="1"/>
  <c r="H48" i="224"/>
  <c r="O50" i="163" s="1"/>
  <c r="I48" i="224"/>
  <c r="P50" i="163" s="1"/>
  <c r="J48" i="224"/>
  <c r="Q50" i="163" s="1"/>
  <c r="K48" i="224"/>
  <c r="R50" i="163" s="1"/>
  <c r="F48" i="224"/>
  <c r="G44" i="224"/>
  <c r="N48" i="163" s="1"/>
  <c r="H44" i="224"/>
  <c r="O48" i="163" s="1"/>
  <c r="I44" i="224"/>
  <c r="J44" i="224"/>
  <c r="K44" i="224"/>
  <c r="R48" i="163" s="1"/>
  <c r="F44" i="224"/>
  <c r="G43" i="224"/>
  <c r="H43" i="224"/>
  <c r="I43" i="224"/>
  <c r="P47" i="163" s="1"/>
  <c r="J43" i="224"/>
  <c r="Q47" i="163" s="1"/>
  <c r="K43" i="224"/>
  <c r="F43" i="224"/>
  <c r="G38" i="224"/>
  <c r="H38" i="224"/>
  <c r="I38" i="224"/>
  <c r="J38" i="224"/>
  <c r="K38" i="224"/>
  <c r="F38" i="224"/>
  <c r="G37" i="224"/>
  <c r="H37" i="224"/>
  <c r="I37" i="224"/>
  <c r="I39" i="224" s="1"/>
  <c r="J37" i="224"/>
  <c r="J39" i="224" s="1"/>
  <c r="K37" i="224"/>
  <c r="F37" i="224"/>
  <c r="F50" i="224" l="1"/>
  <c r="L50" i="224" s="1"/>
  <c r="F39" i="224"/>
  <c r="H39" i="224"/>
  <c r="H50" i="224"/>
  <c r="O47" i="163"/>
  <c r="J50" i="224"/>
  <c r="Q48" i="163"/>
  <c r="K39" i="224"/>
  <c r="G39" i="224"/>
  <c r="K50" i="224"/>
  <c r="R47" i="163"/>
  <c r="G50" i="224"/>
  <c r="N47" i="163"/>
  <c r="I50" i="224"/>
  <c r="P48" i="163"/>
  <c r="K35" i="224"/>
  <c r="J35" i="224"/>
  <c r="I35" i="224"/>
  <c r="H35" i="224"/>
  <c r="G35" i="224"/>
  <c r="F35" i="224"/>
  <c r="E34" i="224"/>
  <c r="L31" i="224"/>
  <c r="L30" i="224"/>
  <c r="L29" i="224"/>
  <c r="L28" i="224"/>
  <c r="L27" i="224"/>
  <c r="L26" i="224"/>
  <c r="L25" i="224"/>
  <c r="L24" i="224"/>
  <c r="L23" i="224"/>
  <c r="L22" i="224"/>
  <c r="L21" i="224"/>
  <c r="L20" i="224"/>
  <c r="L19" i="224"/>
  <c r="L18" i="224"/>
  <c r="L17" i="224"/>
  <c r="L16" i="224"/>
  <c r="L15" i="224"/>
  <c r="L14" i="224"/>
  <c r="L13" i="224"/>
  <c r="L12" i="224"/>
  <c r="L11" i="224"/>
  <c r="L10" i="224"/>
  <c r="L9" i="224"/>
  <c r="L37" i="224" l="1"/>
  <c r="L39" i="224"/>
  <c r="L40" i="224"/>
  <c r="L38" i="224"/>
  <c r="L36" i="224"/>
  <c r="L35" i="224"/>
  <c r="O11" i="163" l="1"/>
  <c r="O12" i="163"/>
  <c r="N12" i="163"/>
  <c r="N11" i="163"/>
  <c r="AF157" i="223" a="1"/>
  <c r="AF157" i="223" s="1"/>
  <c r="AJ156" i="223" a="1"/>
  <c r="AJ156" i="223" s="1"/>
  <c r="AF156" i="223" a="1"/>
  <c r="AF156" i="223" s="1"/>
  <c r="AH153" i="223"/>
  <c r="AL153" i="223" s="1"/>
  <c r="D153" i="223"/>
  <c r="AL152" i="223"/>
  <c r="AH152" i="223"/>
  <c r="D152" i="223"/>
  <c r="AK151" i="223"/>
  <c r="AJ151" i="223"/>
  <c r="AI151" i="223"/>
  <c r="AI156" i="223" s="1" a="1"/>
  <c r="AI156" i="223" s="1"/>
  <c r="AG151" i="223"/>
  <c r="AF151" i="223"/>
  <c r="AE151" i="223"/>
  <c r="AD151" i="223"/>
  <c r="AC151" i="223"/>
  <c r="AB151" i="223"/>
  <c r="AA151" i="223"/>
  <c r="Z151" i="223"/>
  <c r="Y151" i="223"/>
  <c r="X151" i="223"/>
  <c r="W151" i="223"/>
  <c r="AH151" i="223" s="1"/>
  <c r="D151" i="223"/>
  <c r="AL150" i="223"/>
  <c r="W150" i="223"/>
  <c r="AH150" i="223" s="1"/>
  <c r="D150" i="223"/>
  <c r="AK149" i="223"/>
  <c r="AJ149" i="223"/>
  <c r="AI149" i="223"/>
  <c r="AG149" i="223"/>
  <c r="AF149" i="223"/>
  <c r="AE149" i="223"/>
  <c r="AD149" i="223"/>
  <c r="AC149" i="223"/>
  <c r="AB149" i="223"/>
  <c r="AA149" i="223"/>
  <c r="Z149" i="223"/>
  <c r="AH149" i="223" s="1"/>
  <c r="AL149" i="223" s="1"/>
  <c r="Y149" i="223"/>
  <c r="X149" i="223"/>
  <c r="W149" i="223"/>
  <c r="D149" i="223"/>
  <c r="AK148" i="223"/>
  <c r="AJ148" i="223"/>
  <c r="AI148" i="223"/>
  <c r="AG148" i="223"/>
  <c r="AF148" i="223"/>
  <c r="AE148" i="223"/>
  <c r="AD148" i="223"/>
  <c r="AC148" i="223"/>
  <c r="AB148" i="223"/>
  <c r="AA148" i="223"/>
  <c r="Z148" i="223"/>
  <c r="Y148" i="223"/>
  <c r="X148" i="223"/>
  <c r="W148" i="223"/>
  <c r="D148" i="223"/>
  <c r="AL147" i="223"/>
  <c r="AH147" i="223"/>
  <c r="D147" i="223"/>
  <c r="AH146" i="223"/>
  <c r="AL146" i="223" s="1"/>
  <c r="D146" i="223"/>
  <c r="AL145" i="223"/>
  <c r="W145" i="223"/>
  <c r="AH145" i="223" s="1"/>
  <c r="D145" i="223"/>
  <c r="AL144" i="223"/>
  <c r="AH144" i="223"/>
  <c r="D144" i="223"/>
  <c r="AH143" i="223"/>
  <c r="AL143" i="223" s="1"/>
  <c r="X143" i="223"/>
  <c r="W143" i="223"/>
  <c r="D143" i="223"/>
  <c r="Y142" i="223"/>
  <c r="X142" i="223"/>
  <c r="W142" i="223"/>
  <c r="D142" i="223"/>
  <c r="AK141" i="223"/>
  <c r="AJ141" i="223"/>
  <c r="AI141" i="223"/>
  <c r="AG141" i="223"/>
  <c r="AF141" i="223"/>
  <c r="AE141" i="223"/>
  <c r="AD141" i="223"/>
  <c r="AC141" i="223"/>
  <c r="AB141" i="223"/>
  <c r="AA141" i="223"/>
  <c r="Z141" i="223"/>
  <c r="AH141" i="223" s="1"/>
  <c r="AL141" i="223" s="1"/>
  <c r="Y141" i="223"/>
  <c r="X141" i="223"/>
  <c r="W141" i="223"/>
  <c r="D141" i="223"/>
  <c r="AK140" i="223"/>
  <c r="AJ140" i="223"/>
  <c r="AI140" i="223"/>
  <c r="AG140" i="223"/>
  <c r="AF140" i="223"/>
  <c r="AE140" i="223"/>
  <c r="AD140" i="223"/>
  <c r="AC140" i="223"/>
  <c r="AB140" i="223"/>
  <c r="AA140" i="223"/>
  <c r="Z140" i="223"/>
  <c r="Y140" i="223"/>
  <c r="X140" i="223"/>
  <c r="W140" i="223"/>
  <c r="D140" i="223"/>
  <c r="AL139" i="223"/>
  <c r="AH139" i="223"/>
  <c r="D139" i="223"/>
  <c r="AH138" i="223"/>
  <c r="AL138" i="223" s="1"/>
  <c r="X138" i="223"/>
  <c r="W138" i="223"/>
  <c r="D138" i="223"/>
  <c r="AL137" i="223"/>
  <c r="AH137" i="223"/>
  <c r="D137" i="223"/>
  <c r="AE136" i="223"/>
  <c r="Z136" i="223"/>
  <c r="Y136" i="223"/>
  <c r="X136" i="223"/>
  <c r="AH136" i="223" s="1"/>
  <c r="AL136" i="223" s="1"/>
  <c r="W136" i="223"/>
  <c r="D136" i="223"/>
  <c r="AK135" i="223"/>
  <c r="AJ135" i="223"/>
  <c r="AI135" i="223"/>
  <c r="AG135" i="223"/>
  <c r="AF135" i="223"/>
  <c r="AE135" i="223"/>
  <c r="AD135" i="223"/>
  <c r="AC135" i="223"/>
  <c r="AB135" i="223"/>
  <c r="AA135" i="223"/>
  <c r="Z135" i="223"/>
  <c r="Y135" i="223"/>
  <c r="X135" i="223"/>
  <c r="W135" i="223"/>
  <c r="D135" i="223"/>
  <c r="AK134" i="223"/>
  <c r="AJ134" i="223"/>
  <c r="AJ157" i="223" s="1" a="1"/>
  <c r="AJ157" i="223" s="1"/>
  <c r="AI134" i="223"/>
  <c r="AG134" i="223"/>
  <c r="AF134" i="223"/>
  <c r="AE134" i="223"/>
  <c r="AD134" i="223"/>
  <c r="AD157" i="223" s="1" a="1"/>
  <c r="AD157" i="223" s="1"/>
  <c r="AC134" i="223"/>
  <c r="AB134" i="223"/>
  <c r="AA134" i="223"/>
  <c r="Z134" i="223"/>
  <c r="AH134" i="223" s="1"/>
  <c r="AL134" i="223" s="1"/>
  <c r="Y134" i="223"/>
  <c r="X134" i="223"/>
  <c r="W134" i="223"/>
  <c r="D134" i="223"/>
  <c r="AH133" i="223"/>
  <c r="AL133" i="223" s="1"/>
  <c r="W133" i="223"/>
  <c r="D133" i="223"/>
  <c r="AH132" i="223"/>
  <c r="AL132" i="223" s="1"/>
  <c r="D132" i="223"/>
  <c r="AL131" i="223"/>
  <c r="AH131" i="223"/>
  <c r="D131" i="223"/>
  <c r="AH130" i="223"/>
  <c r="AL130" i="223" s="1"/>
  <c r="D130" i="223"/>
  <c r="AL129" i="223"/>
  <c r="AH129" i="223"/>
  <c r="D129" i="223"/>
  <c r="AH128" i="223"/>
  <c r="AL128" i="223" s="1"/>
  <c r="D128" i="223"/>
  <c r="AL127" i="223"/>
  <c r="AH127" i="223"/>
  <c r="D127" i="223"/>
  <c r="AH126" i="223"/>
  <c r="AL126" i="223" s="1"/>
  <c r="D126" i="223"/>
  <c r="AL125" i="223"/>
  <c r="AH125" i="223"/>
  <c r="D125" i="223"/>
  <c r="AH124" i="223"/>
  <c r="AL124" i="223" s="1"/>
  <c r="D124" i="223"/>
  <c r="AL123" i="223"/>
  <c r="AH123" i="223"/>
  <c r="D123" i="223"/>
  <c r="AH122" i="223"/>
  <c r="AL122" i="223" s="1"/>
  <c r="D122" i="223"/>
  <c r="AA121" i="223"/>
  <c r="Z121" i="223"/>
  <c r="Y121" i="223"/>
  <c r="X121" i="223"/>
  <c r="W121" i="223"/>
  <c r="AH121" i="223" s="1"/>
  <c r="AL121" i="223" s="1"/>
  <c r="D121" i="223"/>
  <c r="AE120" i="223"/>
  <c r="AD120" i="223"/>
  <c r="AC120" i="223"/>
  <c r="AB120" i="223"/>
  <c r="Y120" i="223"/>
  <c r="AH120" i="223" s="1"/>
  <c r="AL120" i="223" s="1"/>
  <c r="D120" i="223"/>
  <c r="AL119" i="223"/>
  <c r="AH119" i="223"/>
  <c r="D119" i="223"/>
  <c r="AH118" i="223"/>
  <c r="AL118" i="223" s="1"/>
  <c r="D118" i="223"/>
  <c r="AL117" i="223"/>
  <c r="AH117" i="223"/>
  <c r="D117" i="223"/>
  <c r="AH116" i="223"/>
  <c r="AL116" i="223" s="1"/>
  <c r="W116" i="223"/>
  <c r="D116" i="223"/>
  <c r="AH115" i="223"/>
  <c r="AL115" i="223" s="1"/>
  <c r="X115" i="223"/>
  <c r="W115" i="223"/>
  <c r="D115" i="223"/>
  <c r="AL114" i="223"/>
  <c r="AH114" i="223"/>
  <c r="D114" i="223"/>
  <c r="AH113" i="223"/>
  <c r="AL113" i="223" s="1"/>
  <c r="W113" i="223"/>
  <c r="D113" i="223"/>
  <c r="AH112" i="223"/>
  <c r="AL112" i="223" s="1"/>
  <c r="D112" i="223"/>
  <c r="Z111" i="223"/>
  <c r="Y111" i="223"/>
  <c r="X111" i="223"/>
  <c r="W111" i="223"/>
  <c r="AH111" i="223" s="1"/>
  <c r="AL111" i="223" s="1"/>
  <c r="D111" i="223"/>
  <c r="AH110" i="223"/>
  <c r="AL110" i="223" s="1"/>
  <c r="W110" i="223"/>
  <c r="D110" i="223"/>
  <c r="AH109" i="223"/>
  <c r="AL109" i="223" s="1"/>
  <c r="D109" i="223"/>
  <c r="AL108" i="223"/>
  <c r="AH108" i="223"/>
  <c r="D108" i="223"/>
  <c r="AH107" i="223"/>
  <c r="AL107" i="223" s="1"/>
  <c r="W107" i="223"/>
  <c r="D107" i="223"/>
  <c r="AH106" i="223"/>
  <c r="AL106" i="223" s="1"/>
  <c r="D106" i="223"/>
  <c r="AL105" i="223"/>
  <c r="AH105" i="223"/>
  <c r="D105" i="223"/>
  <c r="AH104" i="223"/>
  <c r="AL104" i="223" s="1"/>
  <c r="D104" i="223"/>
  <c r="AL103" i="223"/>
  <c r="AH103" i="223"/>
  <c r="D103" i="223"/>
  <c r="AH102" i="223"/>
  <c r="AL102" i="223" s="1"/>
  <c r="D102" i="223"/>
  <c r="AL101" i="223"/>
  <c r="AH101" i="223"/>
  <c r="D101" i="223"/>
  <c r="AH100" i="223"/>
  <c r="AL100" i="223" s="1"/>
  <c r="D100" i="223"/>
  <c r="AL99" i="223"/>
  <c r="AH99" i="223"/>
  <c r="D99" i="223"/>
  <c r="AH98" i="223"/>
  <c r="AL98" i="223" s="1"/>
  <c r="D98" i="223"/>
  <c r="AL97" i="223"/>
  <c r="AH97" i="223"/>
  <c r="D97" i="223"/>
  <c r="AH96" i="223"/>
  <c r="AL96" i="223" s="1"/>
  <c r="D96" i="223"/>
  <c r="AL95" i="223"/>
  <c r="AH95" i="223"/>
  <c r="D95" i="223"/>
  <c r="AH94" i="223"/>
  <c r="AL94" i="223" s="1"/>
  <c r="D94" i="223"/>
  <c r="AL93" i="223"/>
  <c r="AH93" i="223"/>
  <c r="D93" i="223"/>
  <c r="AH92" i="223"/>
  <c r="AL92" i="223" s="1"/>
  <c r="D92" i="223"/>
  <c r="AL91" i="223"/>
  <c r="AH91" i="223"/>
  <c r="D91" i="223"/>
  <c r="AH90" i="223"/>
  <c r="AL90" i="223" s="1"/>
  <c r="D90" i="223"/>
  <c r="AL89" i="223"/>
  <c r="AH89" i="223"/>
  <c r="D89" i="223"/>
  <c r="AH88" i="223"/>
  <c r="AL88" i="223" s="1"/>
  <c r="D88" i="223"/>
  <c r="AL87" i="223"/>
  <c r="AH87" i="223"/>
  <c r="D87" i="223"/>
  <c r="AH86" i="223"/>
  <c r="AL86" i="223" s="1"/>
  <c r="D86" i="223"/>
  <c r="Z85" i="223"/>
  <c r="Y85" i="223"/>
  <c r="X85" i="223"/>
  <c r="W85" i="223"/>
  <c r="D85" i="223"/>
  <c r="AH84" i="223"/>
  <c r="AL84" i="223" s="1"/>
  <c r="Z84" i="223"/>
  <c r="D84" i="223"/>
  <c r="AH83" i="223"/>
  <c r="AL83" i="223" s="1"/>
  <c r="D83" i="223"/>
  <c r="AL82" i="223"/>
  <c r="Z82" i="223"/>
  <c r="Y82" i="223"/>
  <c r="W82" i="223"/>
  <c r="AH82" i="223" s="1"/>
  <c r="D82" i="223"/>
  <c r="AL81" i="223"/>
  <c r="AH81" i="223"/>
  <c r="D81" i="223"/>
  <c r="AH80" i="223"/>
  <c r="AL80" i="223" s="1"/>
  <c r="D80" i="223"/>
  <c r="AL79" i="223"/>
  <c r="AH79" i="223"/>
  <c r="D79" i="223"/>
  <c r="AH78" i="223"/>
  <c r="AL78" i="223" s="1"/>
  <c r="AA78" i="223"/>
  <c r="D78" i="223"/>
  <c r="AH77" i="223"/>
  <c r="AL77" i="223" s="1"/>
  <c r="D77" i="223"/>
  <c r="AL76" i="223"/>
  <c r="AH76" i="223"/>
  <c r="D76" i="223"/>
  <c r="AH75" i="223"/>
  <c r="AL75" i="223" s="1"/>
  <c r="D75" i="223"/>
  <c r="AL74" i="223"/>
  <c r="AH74" i="223"/>
  <c r="D74" i="223"/>
  <c r="AH73" i="223"/>
  <c r="AL73" i="223" s="1"/>
  <c r="D73" i="223"/>
  <c r="AL72" i="223"/>
  <c r="AH72" i="223"/>
  <c r="D72" i="223"/>
  <c r="AH71" i="223"/>
  <c r="AL71" i="223" s="1"/>
  <c r="D71" i="223"/>
  <c r="AA70" i="223"/>
  <c r="Z70" i="223"/>
  <c r="Y70" i="223"/>
  <c r="X70" i="223"/>
  <c r="W70" i="223"/>
  <c r="D70" i="223"/>
  <c r="AL69" i="223"/>
  <c r="Y69" i="223"/>
  <c r="X69" i="223"/>
  <c r="W69" i="223"/>
  <c r="AH69" i="223" s="1"/>
  <c r="D69" i="223"/>
  <c r="AL68" i="223"/>
  <c r="AH68" i="223"/>
  <c r="D68" i="223"/>
  <c r="AH67" i="223"/>
  <c r="AL67" i="223" s="1"/>
  <c r="D67" i="223"/>
  <c r="AB66" i="223"/>
  <c r="AH66" i="223" s="1"/>
  <c r="AL66" i="223" s="1"/>
  <c r="AA66" i="223"/>
  <c r="D66" i="223"/>
  <c r="Y65" i="223"/>
  <c r="X65" i="223"/>
  <c r="AH65" i="223" s="1"/>
  <c r="AL65" i="223" s="1"/>
  <c r="D65" i="223"/>
  <c r="W64" i="223"/>
  <c r="AH64" i="223" s="1"/>
  <c r="AL64" i="223" s="1"/>
  <c r="D64" i="223"/>
  <c r="X63" i="223"/>
  <c r="W63" i="223"/>
  <c r="AH63" i="223" s="1"/>
  <c r="AL63" i="223" s="1"/>
  <c r="D63" i="223"/>
  <c r="AH62" i="223"/>
  <c r="AL62" i="223" s="1"/>
  <c r="D62" i="223"/>
  <c r="AL61" i="223"/>
  <c r="AH61" i="223"/>
  <c r="D61" i="223"/>
  <c r="AH60" i="223"/>
  <c r="AL60" i="223" s="1"/>
  <c r="D60" i="223"/>
  <c r="AL59" i="223"/>
  <c r="AH59" i="223"/>
  <c r="D59" i="223"/>
  <c r="AH58" i="223"/>
  <c r="AL58" i="223" s="1"/>
  <c r="D58" i="223"/>
  <c r="X57" i="223"/>
  <c r="W57" i="223"/>
  <c r="AH57" i="223" s="1"/>
  <c r="AL57" i="223" s="1"/>
  <c r="D57" i="223"/>
  <c r="Y56" i="223"/>
  <c r="X56" i="223"/>
  <c r="AH56" i="223" s="1"/>
  <c r="AL56" i="223" s="1"/>
  <c r="W56" i="223"/>
  <c r="D56" i="223"/>
  <c r="AA55" i="223"/>
  <c r="Z55" i="223"/>
  <c r="Y55" i="223"/>
  <c r="X55" i="223"/>
  <c r="AH55" i="223" s="1"/>
  <c r="AL55" i="223" s="1"/>
  <c r="W55" i="223"/>
  <c r="D55" i="223"/>
  <c r="AF54" i="223"/>
  <c r="AE54" i="223"/>
  <c r="AD54" i="223"/>
  <c r="AC54" i="223"/>
  <c r="AB54" i="223"/>
  <c r="AA54" i="223"/>
  <c r="Z54" i="223"/>
  <c r="Y54" i="223"/>
  <c r="X54" i="223"/>
  <c r="W54" i="223"/>
  <c r="AH54" i="223" s="1"/>
  <c r="AL54" i="223" s="1"/>
  <c r="D54" i="223"/>
  <c r="AL53" i="223"/>
  <c r="Y53" i="223"/>
  <c r="AH53" i="223" s="1"/>
  <c r="D53" i="223"/>
  <c r="AA52" i="223"/>
  <c r="Z52" i="223"/>
  <c r="Y52" i="223"/>
  <c r="X52" i="223"/>
  <c r="W52" i="223"/>
  <c r="D52" i="223"/>
  <c r="Z51" i="223"/>
  <c r="Y51" i="223"/>
  <c r="X51" i="223"/>
  <c r="W51" i="223"/>
  <c r="D51" i="223"/>
  <c r="Z50" i="223"/>
  <c r="Y50" i="223"/>
  <c r="X50" i="223"/>
  <c r="W50" i="223"/>
  <c r="AH50" i="223" s="1"/>
  <c r="AL50" i="223" s="1"/>
  <c r="D50" i="223"/>
  <c r="Z49" i="223"/>
  <c r="Y49" i="223"/>
  <c r="X49" i="223"/>
  <c r="W49" i="223"/>
  <c r="D49" i="223"/>
  <c r="AH48" i="223"/>
  <c r="AL48" i="223" s="1"/>
  <c r="D48" i="223"/>
  <c r="X47" i="223"/>
  <c r="W47" i="223"/>
  <c r="D47" i="223"/>
  <c r="AH46" i="223"/>
  <c r="AL46" i="223" s="1"/>
  <c r="D46" i="223"/>
  <c r="AL45" i="223"/>
  <c r="AH45" i="223"/>
  <c r="D45" i="223"/>
  <c r="AH44" i="223"/>
  <c r="AL44" i="223" s="1"/>
  <c r="X44" i="223"/>
  <c r="W44" i="223"/>
  <c r="D44" i="223"/>
  <c r="Y43" i="223"/>
  <c r="W43" i="223"/>
  <c r="D43" i="223"/>
  <c r="AH42" i="223"/>
  <c r="AL42" i="223" s="1"/>
  <c r="X42" i="223"/>
  <c r="W42" i="223"/>
  <c r="D42" i="223"/>
  <c r="AL41" i="223"/>
  <c r="X41" i="223"/>
  <c r="AH41" i="223" s="1"/>
  <c r="W41" i="223"/>
  <c r="D41" i="223"/>
  <c r="AH40" i="223"/>
  <c r="AL40" i="223" s="1"/>
  <c r="X40" i="223"/>
  <c r="W40" i="223"/>
  <c r="D40" i="223"/>
  <c r="X39" i="223"/>
  <c r="W39" i="223"/>
  <c r="D39" i="223"/>
  <c r="AH38" i="223"/>
  <c r="AL38" i="223" s="1"/>
  <c r="X38" i="223"/>
  <c r="W38" i="223"/>
  <c r="D38" i="223"/>
  <c r="AL37" i="223"/>
  <c r="W37" i="223"/>
  <c r="AH37" i="223" s="1"/>
  <c r="D37" i="223"/>
  <c r="Z36" i="223"/>
  <c r="Y36" i="223"/>
  <c r="X36" i="223"/>
  <c r="D36" i="223"/>
  <c r="AL35" i="223"/>
  <c r="W35" i="223"/>
  <c r="AH35" i="223" s="1"/>
  <c r="D35" i="223"/>
  <c r="Y34" i="223"/>
  <c r="X34" i="223"/>
  <c r="W34" i="223"/>
  <c r="D34" i="223"/>
  <c r="AL33" i="223"/>
  <c r="AH33" i="223"/>
  <c r="D33" i="223"/>
  <c r="AH32" i="223"/>
  <c r="AL32" i="223" s="1"/>
  <c r="Y32" i="223"/>
  <c r="X32" i="223"/>
  <c r="W32" i="223"/>
  <c r="D32" i="223"/>
  <c r="AC31" i="223"/>
  <c r="AB31" i="223"/>
  <c r="Z31" i="223"/>
  <c r="Y31" i="223"/>
  <c r="AH31" i="223" s="1"/>
  <c r="AL31" i="223" s="1"/>
  <c r="X31" i="223"/>
  <c r="W31" i="223"/>
  <c r="D31" i="223"/>
  <c r="AL30" i="223"/>
  <c r="AH30" i="223"/>
  <c r="D30" i="223"/>
  <c r="AK29" i="223"/>
  <c r="AJ29" i="223"/>
  <c r="AI29" i="223"/>
  <c r="AG29" i="223"/>
  <c r="AF29" i="223"/>
  <c r="AE29" i="223"/>
  <c r="AD29" i="223"/>
  <c r="AC29" i="223"/>
  <c r="AB29" i="223"/>
  <c r="AA29" i="223"/>
  <c r="Z29" i="223"/>
  <c r="Y29" i="223"/>
  <c r="X29" i="223"/>
  <c r="W29" i="223"/>
  <c r="AH29" i="223" s="1"/>
  <c r="AL29" i="223" s="1"/>
  <c r="D29" i="223"/>
  <c r="Y28" i="223"/>
  <c r="X28" i="223"/>
  <c r="W28" i="223"/>
  <c r="D28" i="223"/>
  <c r="AL27" i="223"/>
  <c r="AH27" i="223"/>
  <c r="D27" i="223"/>
  <c r="X26" i="223"/>
  <c r="W26" i="223"/>
  <c r="AH26" i="223" s="1"/>
  <c r="AL26" i="223" s="1"/>
  <c r="D26" i="223"/>
  <c r="AG25" i="223"/>
  <c r="AF25" i="223"/>
  <c r="AE25" i="223"/>
  <c r="AD25" i="223"/>
  <c r="AB25" i="223"/>
  <c r="AB156" i="223" s="1" a="1"/>
  <c r="AB156" i="223" s="1"/>
  <c r="AA25" i="223"/>
  <c r="Z25" i="223"/>
  <c r="Y25" i="223"/>
  <c r="X25" i="223"/>
  <c r="AH25" i="223" s="1"/>
  <c r="AL25" i="223" s="1"/>
  <c r="W25" i="223"/>
  <c r="D25" i="223"/>
  <c r="AH24" i="223"/>
  <c r="AL24" i="223" s="1"/>
  <c r="W24" i="223"/>
  <c r="D24" i="223"/>
  <c r="AH23" i="223"/>
  <c r="AL23" i="223" s="1"/>
  <c r="D23" i="223"/>
  <c r="AA22" i="223"/>
  <c r="Z22" i="223"/>
  <c r="Y22" i="223"/>
  <c r="X22" i="223"/>
  <c r="W22" i="223"/>
  <c r="AH22" i="223" s="1"/>
  <c r="AL22" i="223" s="1"/>
  <c r="D22" i="223"/>
  <c r="AA21" i="223"/>
  <c r="Z21" i="223"/>
  <c r="Y21" i="223"/>
  <c r="X21" i="223"/>
  <c r="W21" i="223"/>
  <c r="AH21" i="223" s="1"/>
  <c r="AL21" i="223" s="1"/>
  <c r="D21" i="223"/>
  <c r="AG20" i="223"/>
  <c r="AF20" i="223"/>
  <c r="AE20" i="223"/>
  <c r="AE157" i="223" s="1" a="1"/>
  <c r="AE157" i="223" s="1"/>
  <c r="AD20" i="223"/>
  <c r="AC20" i="223"/>
  <c r="AB20" i="223"/>
  <c r="AA20" i="223"/>
  <c r="Z20" i="223"/>
  <c r="Y20" i="223"/>
  <c r="X20" i="223"/>
  <c r="W20" i="223"/>
  <c r="AH20" i="223" s="1"/>
  <c r="AL20" i="223" s="1"/>
  <c r="D20" i="223"/>
  <c r="W19" i="223"/>
  <c r="AH19" i="223" s="1"/>
  <c r="AL19" i="223" s="1"/>
  <c r="D19" i="223"/>
  <c r="X18" i="223"/>
  <c r="W18" i="223"/>
  <c r="AH18" i="223" s="1"/>
  <c r="AL18" i="223" s="1"/>
  <c r="D18" i="223"/>
  <c r="X17" i="223"/>
  <c r="W17" i="223"/>
  <c r="AH17" i="223" s="1"/>
  <c r="AL17" i="223" s="1"/>
  <c r="D17" i="223"/>
  <c r="AL16" i="223"/>
  <c r="AH16" i="223"/>
  <c r="D16" i="223"/>
  <c r="AH15" i="223"/>
  <c r="AL15" i="223" s="1"/>
  <c r="AG15" i="223"/>
  <c r="W15" i="223"/>
  <c r="D15" i="223"/>
  <c r="AL14" i="223"/>
  <c r="AH14" i="223"/>
  <c r="D14" i="223"/>
  <c r="AH13" i="223"/>
  <c r="AL13" i="223" s="1"/>
  <c r="D13" i="223"/>
  <c r="AL12" i="223"/>
  <c r="AH12" i="223"/>
  <c r="D12" i="223"/>
  <c r="AH11" i="223"/>
  <c r="AL11" i="223" s="1"/>
  <c r="W11" i="223"/>
  <c r="D11" i="223"/>
  <c r="AH10" i="223"/>
  <c r="AL10" i="223" s="1"/>
  <c r="W10" i="223"/>
  <c r="D10" i="223"/>
  <c r="AB9" i="223"/>
  <c r="AA9" i="223"/>
  <c r="AA157" i="223" s="1" a="1"/>
  <c r="AA157" i="223" s="1"/>
  <c r="Z9" i="223"/>
  <c r="Y9" i="223"/>
  <c r="AH9" i="223" s="1"/>
  <c r="AL9" i="223" s="1"/>
  <c r="X9" i="223"/>
  <c r="D9" i="223"/>
  <c r="AG8" i="223"/>
  <c r="W8" i="223"/>
  <c r="AH8" i="223" s="1"/>
  <c r="AL8" i="223" s="1"/>
  <c r="D8" i="223"/>
  <c r="Y7" i="223"/>
  <c r="W7" i="223"/>
  <c r="AH7" i="223" s="1"/>
  <c r="AL7" i="223" s="1"/>
  <c r="D7" i="223"/>
  <c r="AH6" i="223"/>
  <c r="AL6" i="223" s="1"/>
  <c r="W6" i="223"/>
  <c r="D6" i="223"/>
  <c r="AK5" i="223"/>
  <c r="AK157" i="223" s="1" a="1"/>
  <c r="AK157" i="223" s="1"/>
  <c r="AJ5" i="223"/>
  <c r="AJ155" i="223" s="1"/>
  <c r="AI5" i="223"/>
  <c r="AG5" i="223"/>
  <c r="AF5" i="223"/>
  <c r="AF155" i="223" s="1"/>
  <c r="AE5" i="223"/>
  <c r="AD5" i="223"/>
  <c r="AC5" i="223"/>
  <c r="AC157" i="223" s="1" a="1"/>
  <c r="AC157" i="223" s="1"/>
  <c r="AB5" i="223"/>
  <c r="AB155" i="223" s="1"/>
  <c r="AA5" i="223"/>
  <c r="AA155" i="223" s="1"/>
  <c r="Z5" i="223"/>
  <c r="Y5" i="223"/>
  <c r="Y157" i="223" s="1" a="1"/>
  <c r="Y157" i="223" s="1"/>
  <c r="X5" i="223"/>
  <c r="W5" i="223"/>
  <c r="D5" i="223"/>
  <c r="Z4" i="223"/>
  <c r="Z155" i="223" s="1"/>
  <c r="Y4" i="223"/>
  <c r="W4" i="223"/>
  <c r="D4" i="223"/>
  <c r="X3" i="223"/>
  <c r="W3" i="223"/>
  <c r="D3" i="223"/>
  <c r="AH2" i="223"/>
  <c r="W2" i="223"/>
  <c r="D2" i="223"/>
  <c r="P53" i="163"/>
  <c r="AL2" i="223" l="1"/>
  <c r="W156" i="223" a="1"/>
  <c r="W156" i="223" s="1"/>
  <c r="AG157" i="223" a="1"/>
  <c r="AG157" i="223" s="1"/>
  <c r="X156" i="223" a="1"/>
  <c r="X156" i="223" s="1"/>
  <c r="AB157" i="223" a="1"/>
  <c r="AB157" i="223" s="1"/>
  <c r="X155" i="223"/>
  <c r="AH5" i="223"/>
  <c r="AL5" i="223" s="1"/>
  <c r="AH28" i="223"/>
  <c r="AL28" i="223" s="1"/>
  <c r="AH47" i="223"/>
  <c r="AL47" i="223" s="1"/>
  <c r="AH52" i="223"/>
  <c r="AL52" i="223" s="1"/>
  <c r="AH85" i="223"/>
  <c r="AL85" i="223" s="1"/>
  <c r="AC155" i="223"/>
  <c r="AK155" i="223"/>
  <c r="Z156" i="223" a="1"/>
  <c r="Z156" i="223" s="1"/>
  <c r="AD156" i="223" a="1"/>
  <c r="AD156" i="223" s="1"/>
  <c r="Z157" i="223" a="1"/>
  <c r="Z157" i="223" s="1"/>
  <c r="W155" i="223"/>
  <c r="AE155" i="223"/>
  <c r="AA156" i="223" a="1"/>
  <c r="AA156" i="223" s="1"/>
  <c r="AE156" i="223" a="1"/>
  <c r="AE156" i="223" s="1"/>
  <c r="W157" i="223" a="1"/>
  <c r="W157" i="223" s="1"/>
  <c r="AH49" i="223"/>
  <c r="AL49" i="223" s="1"/>
  <c r="AH51" i="223"/>
  <c r="AL51" i="223" s="1"/>
  <c r="AL151" i="223"/>
  <c r="Y155" i="223"/>
  <c r="AG155" i="223"/>
  <c r="X157" i="223" a="1"/>
  <c r="X157" i="223" s="1"/>
  <c r="AH3" i="223"/>
  <c r="AL3" i="223" s="1"/>
  <c r="AH4" i="223"/>
  <c r="AL4" i="223" s="1"/>
  <c r="AD155" i="223"/>
  <c r="AI157" i="223" a="1"/>
  <c r="AI157" i="223" s="1"/>
  <c r="AH34" i="223"/>
  <c r="AL34" i="223" s="1"/>
  <c r="AH36" i="223"/>
  <c r="AL36" i="223" s="1"/>
  <c r="AH39" i="223"/>
  <c r="AL39" i="223" s="1"/>
  <c r="AH43" i="223"/>
  <c r="AL43" i="223" s="1"/>
  <c r="AH70" i="223"/>
  <c r="AL70" i="223" s="1"/>
  <c r="AH135" i="223"/>
  <c r="AL135" i="223" s="1"/>
  <c r="AH140" i="223"/>
  <c r="AL140" i="223" s="1"/>
  <c r="AH142" i="223"/>
  <c r="AL142" i="223" s="1"/>
  <c r="AH148" i="223"/>
  <c r="AL148" i="223" s="1"/>
  <c r="AI155" i="223"/>
  <c r="Y156" i="223" a="1"/>
  <c r="Y156" i="223" s="1"/>
  <c r="AC156" i="223" a="1"/>
  <c r="AC156" i="223" s="1"/>
  <c r="AG156" i="223" a="1"/>
  <c r="AG156" i="223" s="1"/>
  <c r="AK156" i="223" a="1"/>
  <c r="AK156" i="223" s="1"/>
  <c r="AH157" i="223" l="1" a="1"/>
  <c r="AH157" i="223" s="1"/>
  <c r="AL155" i="223"/>
  <c r="AL157" i="223" a="1"/>
  <c r="AL157" i="223" s="1"/>
  <c r="AL156" i="223" a="1"/>
  <c r="AL156" i="223" s="1"/>
  <c r="AH156" i="223" a="1"/>
  <c r="AH156" i="223" s="1"/>
  <c r="AH155" i="223"/>
  <c r="N10" i="163" l="1"/>
  <c r="L226" i="164" l="1"/>
  <c r="M172" i="164"/>
  <c r="M225" i="164" s="1"/>
  <c r="L172" i="164"/>
  <c r="M171" i="164"/>
  <c r="M226" i="164" s="1"/>
  <c r="L171" i="164"/>
  <c r="L225" i="164" s="1"/>
  <c r="M77" i="164"/>
  <c r="L77" i="164"/>
  <c r="L76" i="164"/>
  <c r="M75" i="164"/>
  <c r="L75" i="164"/>
  <c r="M60" i="164"/>
  <c r="L60" i="164"/>
  <c r="M59" i="164"/>
  <c r="L59" i="164"/>
  <c r="M49" i="164"/>
  <c r="M50" i="164" s="1"/>
  <c r="L49" i="164"/>
  <c r="L50" i="164" s="1"/>
  <c r="M34" i="164"/>
  <c r="M61" i="164" s="1"/>
  <c r="L34" i="164"/>
  <c r="L61" i="164" s="1"/>
  <c r="M76" i="164" l="1"/>
  <c r="L116" i="13"/>
  <c r="L92" i="13" s="1"/>
  <c r="K116" i="13"/>
  <c r="K92" i="13" s="1"/>
  <c r="L109" i="13"/>
  <c r="K109" i="13"/>
  <c r="L102" i="13"/>
  <c r="L181" i="164" s="1"/>
  <c r="K102" i="13"/>
  <c r="K181" i="164" s="1"/>
  <c r="L95" i="13"/>
  <c r="L155" i="164" s="1"/>
  <c r="K95" i="13"/>
  <c r="K155" i="164" s="1"/>
  <c r="L85" i="13"/>
  <c r="L137" i="164" s="1"/>
  <c r="K85" i="13"/>
  <c r="K137" i="164" s="1"/>
  <c r="L78" i="13"/>
  <c r="L117" i="164" s="1"/>
  <c r="K78" i="13"/>
  <c r="K117" i="164" s="1"/>
  <c r="L71" i="13"/>
  <c r="K71" i="13"/>
  <c r="L64" i="13"/>
  <c r="K64" i="13"/>
  <c r="L50" i="13"/>
  <c r="K50" i="13"/>
  <c r="K56" i="13" s="1"/>
  <c r="K55" i="13" s="1"/>
  <c r="L43" i="13"/>
  <c r="K43" i="13"/>
  <c r="L30" i="13"/>
  <c r="K30" i="13"/>
  <c r="L56" i="13" l="1"/>
  <c r="L55" i="13" s="1"/>
  <c r="L57" i="13"/>
  <c r="K57" i="13"/>
  <c r="E840" i="169"/>
  <c r="M48" i="13" l="1"/>
  <c r="C4" i="218"/>
  <c r="C4" i="100"/>
  <c r="M55" i="13" l="1"/>
  <c r="M49" i="13"/>
  <c r="M56" i="13" s="1"/>
  <c r="J6" i="218" l="1"/>
  <c r="W6" i="218" s="1"/>
  <c r="I6" i="218"/>
  <c r="V6" i="218" s="1"/>
  <c r="K97" i="219" l="1"/>
  <c r="J97" i="219"/>
  <c r="I97" i="219"/>
  <c r="H97" i="219"/>
  <c r="G97" i="219"/>
  <c r="F97" i="219"/>
  <c r="E97" i="219"/>
  <c r="D97" i="219"/>
  <c r="N97" i="219" s="1"/>
  <c r="K68" i="219"/>
  <c r="J68" i="219"/>
  <c r="I68" i="219"/>
  <c r="H68" i="219"/>
  <c r="G68" i="219"/>
  <c r="F68" i="219"/>
  <c r="E68" i="219"/>
  <c r="D68" i="219"/>
  <c r="K65" i="219"/>
  <c r="J65" i="219"/>
  <c r="I65" i="219"/>
  <c r="H65" i="219"/>
  <c r="G65" i="219"/>
  <c r="F65" i="219"/>
  <c r="E65" i="219"/>
  <c r="D65" i="219"/>
  <c r="K62" i="219"/>
  <c r="J62" i="219"/>
  <c r="I62" i="219"/>
  <c r="H62" i="219"/>
  <c r="G62" i="219"/>
  <c r="F62" i="219"/>
  <c r="E62" i="219"/>
  <c r="D62" i="219"/>
  <c r="N68" i="219" l="1"/>
  <c r="N62" i="219"/>
  <c r="N65" i="219"/>
  <c r="C6" i="213"/>
  <c r="C7" i="213" l="1"/>
  <c r="C8" i="213" s="1"/>
  <c r="C9" i="213" s="1"/>
  <c r="D67" i="219"/>
  <c r="D64" i="219"/>
  <c r="D60" i="219"/>
  <c r="D66" i="219"/>
  <c r="D63" i="219"/>
  <c r="D61" i="219"/>
  <c r="D59" i="219"/>
  <c r="C10" i="213" l="1"/>
  <c r="C11" i="213" s="1"/>
  <c r="E63" i="219"/>
  <c r="E66" i="219"/>
  <c r="E60" i="219"/>
  <c r="E64" i="219"/>
  <c r="E67" i="219"/>
  <c r="E61" i="219"/>
  <c r="E59" i="219"/>
  <c r="C12" i="213" l="1"/>
  <c r="C13" i="213"/>
  <c r="C14" i="213" s="1"/>
  <c r="F67" i="219"/>
  <c r="F64" i="219"/>
  <c r="F60" i="219"/>
  <c r="F66" i="219"/>
  <c r="F63" i="219"/>
  <c r="F61" i="219"/>
  <c r="F59" i="219"/>
  <c r="E332" i="36"/>
  <c r="C15" i="213" l="1"/>
  <c r="C17" i="213"/>
  <c r="C18" i="213" s="1"/>
  <c r="C19" i="213" s="1"/>
  <c r="C16" i="213"/>
  <c r="G63" i="219"/>
  <c r="G66" i="219"/>
  <c r="G60" i="219"/>
  <c r="G64" i="219"/>
  <c r="G67" i="219"/>
  <c r="G61" i="219"/>
  <c r="G59" i="219"/>
  <c r="C20" i="213"/>
  <c r="E173" i="36"/>
  <c r="E59" i="36"/>
  <c r="E55" i="36"/>
  <c r="E56" i="36" s="1"/>
  <c r="H67" i="219" l="1"/>
  <c r="H64" i="219"/>
  <c r="H60" i="219"/>
  <c r="H66" i="219"/>
  <c r="H63" i="219"/>
  <c r="H61" i="219"/>
  <c r="H59" i="219"/>
  <c r="H114" i="79"/>
  <c r="H115" i="79"/>
  <c r="H116" i="79"/>
  <c r="H117" i="79"/>
  <c r="H118" i="79"/>
  <c r="H119" i="79"/>
  <c r="H113" i="79"/>
  <c r="H102" i="79"/>
  <c r="H103" i="79"/>
  <c r="H104" i="79"/>
  <c r="H105" i="79"/>
  <c r="H106" i="79"/>
  <c r="H107" i="79"/>
  <c r="H108" i="79"/>
  <c r="H109" i="79"/>
  <c r="H110" i="79"/>
  <c r="H101" i="79"/>
  <c r="H97" i="79"/>
  <c r="H96" i="79"/>
  <c r="H76" i="79"/>
  <c r="H77" i="79"/>
  <c r="H78" i="79"/>
  <c r="H79" i="79"/>
  <c r="H80" i="79"/>
  <c r="H81" i="79"/>
  <c r="H82" i="79"/>
  <c r="H83" i="79"/>
  <c r="H84" i="79"/>
  <c r="H85" i="79"/>
  <c r="H86" i="79"/>
  <c r="H87" i="79"/>
  <c r="H88" i="79"/>
  <c r="H89" i="79"/>
  <c r="H90" i="79"/>
  <c r="H91" i="79"/>
  <c r="H92" i="79"/>
  <c r="H93" i="79"/>
  <c r="H75" i="79"/>
  <c r="H61" i="79"/>
  <c r="H62" i="79"/>
  <c r="H63" i="79"/>
  <c r="H64" i="79"/>
  <c r="H65" i="79"/>
  <c r="H66" i="79"/>
  <c r="H67" i="79"/>
  <c r="H68" i="79"/>
  <c r="H69" i="79"/>
  <c r="H70" i="79"/>
  <c r="H71" i="79"/>
  <c r="H72" i="79"/>
  <c r="H60" i="79"/>
  <c r="H37" i="79"/>
  <c r="H38" i="79"/>
  <c r="H39" i="79"/>
  <c r="H40" i="79"/>
  <c r="H41" i="79"/>
  <c r="H42" i="79"/>
  <c r="H43" i="79"/>
  <c r="H44" i="79"/>
  <c r="H45" i="79"/>
  <c r="H46" i="79"/>
  <c r="H47" i="79"/>
  <c r="H48" i="79"/>
  <c r="H49" i="79"/>
  <c r="H50" i="79"/>
  <c r="H51" i="79"/>
  <c r="H52" i="79"/>
  <c r="H53" i="79"/>
  <c r="H54" i="79"/>
  <c r="H55" i="79"/>
  <c r="H56" i="79"/>
  <c r="H57" i="79"/>
  <c r="H36" i="79"/>
  <c r="H14" i="79"/>
  <c r="H15" i="79"/>
  <c r="H16" i="79"/>
  <c r="H17" i="79"/>
  <c r="H18" i="79"/>
  <c r="H19" i="79"/>
  <c r="H20" i="79"/>
  <c r="H21" i="79"/>
  <c r="H22" i="79"/>
  <c r="H23" i="79"/>
  <c r="H24" i="79"/>
  <c r="H25" i="79"/>
  <c r="H26" i="79"/>
  <c r="H27" i="79"/>
  <c r="H28" i="79"/>
  <c r="H29" i="79"/>
  <c r="H30" i="79"/>
  <c r="H31" i="79"/>
  <c r="H32" i="79"/>
  <c r="H33" i="79"/>
  <c r="H13" i="79"/>
  <c r="F17" i="79"/>
  <c r="F19" i="79"/>
  <c r="F21" i="79"/>
  <c r="F23" i="79"/>
  <c r="F25" i="79"/>
  <c r="F27" i="79"/>
  <c r="F15" i="79"/>
  <c r="E15" i="79"/>
  <c r="E16" i="79" s="1"/>
  <c r="E17" i="79"/>
  <c r="E18" i="79" s="1"/>
  <c r="E19" i="79"/>
  <c r="E20" i="79" s="1"/>
  <c r="E21" i="79"/>
  <c r="E22" i="79" s="1"/>
  <c r="E23" i="79"/>
  <c r="E24" i="79" s="1"/>
  <c r="E25" i="79"/>
  <c r="E26" i="79" s="1"/>
  <c r="E27" i="79"/>
  <c r="E28" i="79" s="1"/>
  <c r="I63" i="219" l="1"/>
  <c r="I66" i="219"/>
  <c r="I60" i="219"/>
  <c r="I64" i="219"/>
  <c r="I67" i="219"/>
  <c r="I61" i="219"/>
  <c r="I59" i="219"/>
  <c r="K67" i="219" l="1"/>
  <c r="J67" i="219"/>
  <c r="K64" i="219"/>
  <c r="J64" i="219"/>
  <c r="N64" i="219" s="1"/>
  <c r="K60" i="219"/>
  <c r="J60" i="219"/>
  <c r="K66" i="219"/>
  <c r="J66" i="219"/>
  <c r="N66" i="219" s="1"/>
  <c r="K63" i="219"/>
  <c r="J63" i="219"/>
  <c r="K61" i="219"/>
  <c r="J61" i="219"/>
  <c r="N61" i="219" s="1"/>
  <c r="K59" i="219"/>
  <c r="J59" i="219"/>
  <c r="N60" i="219" l="1"/>
  <c r="N59" i="219"/>
  <c r="N63" i="219"/>
  <c r="N67" i="219"/>
  <c r="C2" i="107"/>
  <c r="CE12" i="44"/>
  <c r="CR12" i="44" s="1"/>
  <c r="CS12" i="44" s="1"/>
  <c r="CT12" i="44" s="1"/>
  <c r="CU12" i="44" s="1"/>
  <c r="CE13" i="44"/>
  <c r="CR13" i="44" s="1"/>
  <c r="CS13" i="44" s="1"/>
  <c r="CT13" i="44" s="1"/>
  <c r="CU13" i="44" s="1"/>
  <c r="CE14" i="44"/>
  <c r="CR14" i="44" s="1"/>
  <c r="CS14" i="44" s="1"/>
  <c r="CT14" i="44" s="1"/>
  <c r="CU14" i="44" s="1"/>
  <c r="CE15" i="44"/>
  <c r="CR15" i="44" s="1"/>
  <c r="CS15" i="44" s="1"/>
  <c r="CT15" i="44" s="1"/>
  <c r="CU15" i="44" s="1"/>
  <c r="CE16" i="44"/>
  <c r="CR16" i="44" s="1"/>
  <c r="CS16" i="44" s="1"/>
  <c r="CT16" i="44" s="1"/>
  <c r="CU16" i="44" s="1"/>
  <c r="CE17" i="44"/>
  <c r="CR17" i="44" s="1"/>
  <c r="CS17" i="44" s="1"/>
  <c r="CT17" i="44" s="1"/>
  <c r="CU17" i="44" s="1"/>
  <c r="CE18" i="44"/>
  <c r="CR18" i="44"/>
  <c r="CS18" i="44" s="1"/>
  <c r="CT18" i="44" s="1"/>
  <c r="CU18" i="44" s="1"/>
  <c r="CE19" i="44"/>
  <c r="CR19" i="44" s="1"/>
  <c r="CS19" i="44" s="1"/>
  <c r="CT19" i="44" s="1"/>
  <c r="CU19" i="44" s="1"/>
  <c r="CE20" i="44"/>
  <c r="CR20" i="44" s="1"/>
  <c r="CS20" i="44" s="1"/>
  <c r="CT20" i="44" s="1"/>
  <c r="CU20" i="44" s="1"/>
  <c r="AA202" i="215"/>
  <c r="H202" i="215"/>
  <c r="E202" i="215"/>
  <c r="U26" i="181"/>
  <c r="R26" i="181"/>
  <c r="Q26" i="181"/>
  <c r="O26" i="181"/>
  <c r="N26" i="181"/>
  <c r="M26" i="181"/>
  <c r="K26" i="181"/>
  <c r="J26" i="181"/>
  <c r="I26" i="181"/>
  <c r="I83" i="181" s="1"/>
  <c r="E3" i="207"/>
  <c r="H7" i="202"/>
  <c r="H49" i="202" s="1"/>
  <c r="H7" i="181"/>
  <c r="G7" i="181" s="1"/>
  <c r="H7" i="157"/>
  <c r="H21" i="157" s="1"/>
  <c r="H20" i="181" s="1"/>
  <c r="H86" i="181" s="1"/>
  <c r="H7" i="176"/>
  <c r="G7" i="176" s="1"/>
  <c r="F7" i="179"/>
  <c r="J6" i="70"/>
  <c r="I6" i="70" s="1"/>
  <c r="H6" i="70" s="1"/>
  <c r="H160" i="70" s="1"/>
  <c r="M6" i="28"/>
  <c r="M162" i="28" s="1"/>
  <c r="M6" i="175"/>
  <c r="L6" i="175" s="1"/>
  <c r="G7" i="92"/>
  <c r="I7" i="157" s="1"/>
  <c r="D17" i="79"/>
  <c r="D19" i="79"/>
  <c r="Q27" i="217"/>
  <c r="Q29" i="217"/>
  <c r="V27" i="217"/>
  <c r="V29" i="217"/>
  <c r="C16" i="217"/>
  <c r="C17" i="217" s="1"/>
  <c r="C18" i="217" s="1"/>
  <c r="Y13" i="217"/>
  <c r="X13" i="217"/>
  <c r="M13" i="217"/>
  <c r="L13" i="217"/>
  <c r="I13" i="217"/>
  <c r="G13" i="217"/>
  <c r="C2" i="217"/>
  <c r="AK33" i="186"/>
  <c r="AJ33" i="186"/>
  <c r="AI33" i="186"/>
  <c r="AH33" i="186"/>
  <c r="AG33" i="186"/>
  <c r="AF33" i="186"/>
  <c r="AE33" i="186"/>
  <c r="AD33" i="186"/>
  <c r="AC33" i="186"/>
  <c r="AB33" i="186"/>
  <c r="AA33" i="186"/>
  <c r="Z33" i="186"/>
  <c r="Y33" i="186"/>
  <c r="X33" i="186"/>
  <c r="Q74" i="179"/>
  <c r="O74" i="179"/>
  <c r="M74" i="179"/>
  <c r="M73" i="179"/>
  <c r="N17" i="20"/>
  <c r="S72" i="179"/>
  <c r="Q72" i="179"/>
  <c r="T26" i="20"/>
  <c r="T89" i="20" s="1"/>
  <c r="K72" i="179"/>
  <c r="G73" i="179"/>
  <c r="G72" i="179"/>
  <c r="D15" i="100"/>
  <c r="U13" i="101"/>
  <c r="U14" i="101" s="1"/>
  <c r="U15" i="101" s="1"/>
  <c r="U16" i="101" s="1"/>
  <c r="U17" i="101" s="1"/>
  <c r="U18" i="101" s="1"/>
  <c r="U19" i="101" s="1"/>
  <c r="U20" i="101" s="1"/>
  <c r="U21" i="101" s="1"/>
  <c r="U22" i="101" s="1"/>
  <c r="U23" i="101" s="1"/>
  <c r="U24" i="101" s="1"/>
  <c r="U26" i="101" s="1"/>
  <c r="X158" i="215"/>
  <c r="C13" i="215"/>
  <c r="C38" i="215"/>
  <c r="C63" i="215"/>
  <c r="C79" i="215"/>
  <c r="C107" i="215"/>
  <c r="C112" i="215"/>
  <c r="C113" i="215"/>
  <c r="C127" i="215"/>
  <c r="C137" i="215"/>
  <c r="C182" i="215"/>
  <c r="C184" i="215"/>
  <c r="C190" i="215"/>
  <c r="C198" i="215"/>
  <c r="C204" i="215"/>
  <c r="C216" i="215"/>
  <c r="C224" i="215"/>
  <c r="C226" i="215"/>
  <c r="C14" i="215"/>
  <c r="F153" i="215"/>
  <c r="F152" i="215"/>
  <c r="F151" i="215"/>
  <c r="F30" i="215"/>
  <c r="F28" i="215"/>
  <c r="F26" i="215"/>
  <c r="F24" i="215"/>
  <c r="F22" i="215"/>
  <c r="F20" i="215"/>
  <c r="F18" i="215"/>
  <c r="AA222" i="215"/>
  <c r="H222" i="215"/>
  <c r="AA221" i="215"/>
  <c r="H221" i="215"/>
  <c r="AA220" i="215"/>
  <c r="H220" i="215"/>
  <c r="AA219" i="215"/>
  <c r="H219" i="215"/>
  <c r="AA218" i="215"/>
  <c r="H218" i="215"/>
  <c r="AA214" i="215"/>
  <c r="H214" i="215"/>
  <c r="AA213" i="215"/>
  <c r="H213" i="215"/>
  <c r="AA212" i="215"/>
  <c r="H212" i="215"/>
  <c r="AA211" i="215"/>
  <c r="H211" i="215"/>
  <c r="AA210" i="215"/>
  <c r="H210" i="215"/>
  <c r="AA209" i="215"/>
  <c r="H209" i="215"/>
  <c r="AA208" i="215"/>
  <c r="H208" i="215"/>
  <c r="AA207" i="215"/>
  <c r="H207" i="215"/>
  <c r="AA206" i="215"/>
  <c r="H206" i="215"/>
  <c r="AA201" i="215"/>
  <c r="H201" i="215"/>
  <c r="AA200" i="215"/>
  <c r="H200" i="215"/>
  <c r="AA196" i="215"/>
  <c r="H196" i="215"/>
  <c r="AA195" i="215"/>
  <c r="H195" i="215"/>
  <c r="AA194" i="215"/>
  <c r="H194" i="215"/>
  <c r="AA193" i="215"/>
  <c r="H193" i="215"/>
  <c r="AA192" i="215"/>
  <c r="H192" i="215"/>
  <c r="AA188" i="215"/>
  <c r="H188" i="215"/>
  <c r="AA187" i="215"/>
  <c r="H187" i="215"/>
  <c r="AA186" i="215"/>
  <c r="H186" i="215"/>
  <c r="AA180" i="215"/>
  <c r="H180" i="215"/>
  <c r="AA179" i="215"/>
  <c r="H179" i="215"/>
  <c r="AA178" i="215"/>
  <c r="H178" i="215"/>
  <c r="AA177" i="215"/>
  <c r="H177" i="215"/>
  <c r="AA176" i="215"/>
  <c r="H176" i="215"/>
  <c r="AA175" i="215"/>
  <c r="H175" i="215"/>
  <c r="AA174" i="215"/>
  <c r="H174" i="215"/>
  <c r="AA173" i="215"/>
  <c r="H173" i="215"/>
  <c r="AA172" i="215"/>
  <c r="H172" i="215"/>
  <c r="AA171" i="215"/>
  <c r="H171" i="215"/>
  <c r="AA170" i="215"/>
  <c r="H170" i="215"/>
  <c r="AA169" i="215"/>
  <c r="H169" i="215"/>
  <c r="AA168" i="215"/>
  <c r="H168" i="215"/>
  <c r="AA167" i="215"/>
  <c r="H167" i="215"/>
  <c r="AA166" i="215"/>
  <c r="H166" i="215"/>
  <c r="AA165" i="215"/>
  <c r="H165" i="215"/>
  <c r="AA164" i="215"/>
  <c r="H164" i="215"/>
  <c r="AA163" i="215"/>
  <c r="H163" i="215"/>
  <c r="AA162" i="215"/>
  <c r="H162" i="215"/>
  <c r="AA161" i="215"/>
  <c r="H161" i="215"/>
  <c r="AA153" i="215"/>
  <c r="H153" i="215"/>
  <c r="AA152" i="215"/>
  <c r="H152" i="215"/>
  <c r="AA151" i="215"/>
  <c r="H151" i="215"/>
  <c r="AA150" i="215"/>
  <c r="H150" i="215"/>
  <c r="AA149" i="215"/>
  <c r="H149" i="215"/>
  <c r="AA148" i="215"/>
  <c r="H148" i="215"/>
  <c r="AA147" i="215"/>
  <c r="H147" i="215"/>
  <c r="AA146" i="215"/>
  <c r="H146" i="215"/>
  <c r="AA145" i="215"/>
  <c r="H145" i="215"/>
  <c r="AA144" i="215"/>
  <c r="H144" i="215"/>
  <c r="AA143" i="215"/>
  <c r="H143" i="215"/>
  <c r="AA142" i="215"/>
  <c r="H142" i="215"/>
  <c r="AA141" i="215"/>
  <c r="H141" i="215"/>
  <c r="AA140" i="215"/>
  <c r="H140" i="215"/>
  <c r="AA139" i="215"/>
  <c r="H139" i="215"/>
  <c r="AA135" i="215"/>
  <c r="H135" i="215"/>
  <c r="AA134" i="215"/>
  <c r="H134" i="215"/>
  <c r="AA133" i="215"/>
  <c r="H133" i="215"/>
  <c r="AA132" i="215"/>
  <c r="H132" i="215"/>
  <c r="AA131" i="215"/>
  <c r="H131" i="215"/>
  <c r="AA130" i="215"/>
  <c r="H130" i="215"/>
  <c r="AA129" i="215"/>
  <c r="H129" i="215"/>
  <c r="AA125" i="215"/>
  <c r="H125" i="215"/>
  <c r="AA124" i="215"/>
  <c r="H124" i="215"/>
  <c r="AA123" i="215"/>
  <c r="H123" i="215"/>
  <c r="AA122" i="215"/>
  <c r="H122" i="215"/>
  <c r="AA121" i="215"/>
  <c r="H121" i="215"/>
  <c r="AA120" i="215"/>
  <c r="H120" i="215"/>
  <c r="AA119" i="215"/>
  <c r="H119" i="215"/>
  <c r="AA118" i="215"/>
  <c r="H118" i="215"/>
  <c r="AA117" i="215"/>
  <c r="H117" i="215"/>
  <c r="AA116" i="215"/>
  <c r="H116" i="215"/>
  <c r="AA115" i="215"/>
  <c r="H115" i="215"/>
  <c r="AA110" i="215"/>
  <c r="H110" i="215"/>
  <c r="AA109" i="215"/>
  <c r="H109" i="215"/>
  <c r="AA105" i="215"/>
  <c r="H105" i="215"/>
  <c r="AA104" i="215"/>
  <c r="H104" i="215"/>
  <c r="AA103" i="215"/>
  <c r="H103" i="215"/>
  <c r="AA102" i="215"/>
  <c r="H102" i="215"/>
  <c r="AA101" i="215"/>
  <c r="H101" i="215"/>
  <c r="AA100" i="215"/>
  <c r="H100" i="215"/>
  <c r="AA99" i="215"/>
  <c r="H99" i="215"/>
  <c r="AA98" i="215"/>
  <c r="H98" i="215"/>
  <c r="AA97" i="215"/>
  <c r="H97" i="215"/>
  <c r="AA96" i="215"/>
  <c r="H96" i="215"/>
  <c r="AA95" i="215"/>
  <c r="H95" i="215"/>
  <c r="AA94" i="215"/>
  <c r="H94" i="215"/>
  <c r="AA93" i="215"/>
  <c r="H93" i="215"/>
  <c r="AA92" i="215"/>
  <c r="H92" i="215"/>
  <c r="AA91" i="215"/>
  <c r="H91" i="215"/>
  <c r="AA90" i="215"/>
  <c r="H90" i="215"/>
  <c r="AA89" i="215"/>
  <c r="H89" i="215"/>
  <c r="AA88" i="215"/>
  <c r="H88" i="215"/>
  <c r="AA87" i="215"/>
  <c r="H87" i="215"/>
  <c r="AA77" i="215"/>
  <c r="H77" i="215"/>
  <c r="AA76" i="215"/>
  <c r="H76" i="215"/>
  <c r="AA75" i="215"/>
  <c r="H75" i="215"/>
  <c r="AA74" i="215"/>
  <c r="H74" i="215"/>
  <c r="AA73" i="215"/>
  <c r="H73" i="215"/>
  <c r="AA72" i="215"/>
  <c r="H72" i="215"/>
  <c r="AA71" i="215"/>
  <c r="H71" i="215"/>
  <c r="AA70" i="215"/>
  <c r="H70" i="215"/>
  <c r="AA69" i="215"/>
  <c r="H69" i="215"/>
  <c r="AA68" i="215"/>
  <c r="H68" i="215"/>
  <c r="AA67" i="215"/>
  <c r="H67" i="215"/>
  <c r="AA66" i="215"/>
  <c r="H66" i="215"/>
  <c r="H65" i="215"/>
  <c r="AA61" i="215"/>
  <c r="H61" i="215"/>
  <c r="AA60" i="215"/>
  <c r="H60" i="215"/>
  <c r="AA59" i="215"/>
  <c r="H59" i="215"/>
  <c r="AA58" i="215"/>
  <c r="H58" i="215"/>
  <c r="AA57" i="215"/>
  <c r="H57" i="215"/>
  <c r="AA56" i="215"/>
  <c r="H56" i="215"/>
  <c r="AA55" i="215"/>
  <c r="H55" i="215"/>
  <c r="AA54" i="215"/>
  <c r="H54" i="215"/>
  <c r="AA53" i="215"/>
  <c r="H53" i="215"/>
  <c r="AA52" i="215"/>
  <c r="H52" i="215"/>
  <c r="AA51" i="215"/>
  <c r="H51" i="215"/>
  <c r="AA50" i="215"/>
  <c r="H50" i="215"/>
  <c r="AA49" i="215"/>
  <c r="H49" i="215"/>
  <c r="AA48" i="215"/>
  <c r="H48" i="215"/>
  <c r="AA47" i="215"/>
  <c r="H47" i="215"/>
  <c r="AA46" i="215"/>
  <c r="H46" i="215"/>
  <c r="AA45" i="215"/>
  <c r="H45" i="215"/>
  <c r="AA44" i="215"/>
  <c r="H44" i="215"/>
  <c r="AA43" i="215"/>
  <c r="H43" i="215"/>
  <c r="AA42" i="215"/>
  <c r="H42" i="215"/>
  <c r="AA41" i="215"/>
  <c r="H41" i="215"/>
  <c r="AA40" i="215"/>
  <c r="H40" i="215"/>
  <c r="AA36" i="215"/>
  <c r="H36" i="215"/>
  <c r="AA35" i="215"/>
  <c r="H35" i="215"/>
  <c r="AA34" i="215"/>
  <c r="H34" i="215"/>
  <c r="AA33" i="215"/>
  <c r="H33" i="215"/>
  <c r="AA32" i="215"/>
  <c r="H32" i="215"/>
  <c r="AA31" i="215"/>
  <c r="H31" i="215"/>
  <c r="AA30" i="215"/>
  <c r="H30" i="215"/>
  <c r="AA29" i="215"/>
  <c r="H29" i="215"/>
  <c r="AA28" i="215"/>
  <c r="H28" i="215"/>
  <c r="AA27" i="215"/>
  <c r="H27" i="215"/>
  <c r="AA26" i="215"/>
  <c r="H26" i="215"/>
  <c r="AA25" i="215"/>
  <c r="H25" i="215"/>
  <c r="AA24" i="215"/>
  <c r="H24" i="215"/>
  <c r="AA23" i="215"/>
  <c r="H23" i="215"/>
  <c r="AA22" i="215"/>
  <c r="H22" i="215"/>
  <c r="AA21" i="215"/>
  <c r="H21" i="215"/>
  <c r="AA20" i="215"/>
  <c r="H20" i="215"/>
  <c r="AA19" i="215"/>
  <c r="H19" i="215"/>
  <c r="AA18" i="215"/>
  <c r="H18" i="215"/>
  <c r="AA17" i="215"/>
  <c r="H17" i="215"/>
  <c r="H16" i="215"/>
  <c r="E214" i="215"/>
  <c r="E213" i="215"/>
  <c r="E212" i="215"/>
  <c r="E201" i="215"/>
  <c r="E200" i="215"/>
  <c r="E188" i="215"/>
  <c r="E187" i="215"/>
  <c r="E186" i="215"/>
  <c r="E181" i="215"/>
  <c r="E180" i="215"/>
  <c r="D180" i="215"/>
  <c r="E179" i="215"/>
  <c r="D179" i="215"/>
  <c r="E178" i="215"/>
  <c r="D178" i="215"/>
  <c r="E177" i="215"/>
  <c r="D177" i="215"/>
  <c r="E176" i="215"/>
  <c r="D176" i="215"/>
  <c r="E175" i="215"/>
  <c r="D175" i="215"/>
  <c r="E174" i="215"/>
  <c r="D174" i="215"/>
  <c r="E173" i="215"/>
  <c r="D173" i="215"/>
  <c r="E172" i="215"/>
  <c r="D172" i="215"/>
  <c r="E171" i="215"/>
  <c r="D171" i="215"/>
  <c r="E170" i="215"/>
  <c r="D170" i="215"/>
  <c r="E169" i="215"/>
  <c r="D169" i="215"/>
  <c r="E168" i="215"/>
  <c r="D168" i="215"/>
  <c r="E167" i="215"/>
  <c r="D167" i="215"/>
  <c r="E166" i="215"/>
  <c r="D166" i="215"/>
  <c r="E165" i="215"/>
  <c r="D165" i="215"/>
  <c r="E164" i="215"/>
  <c r="D164" i="215"/>
  <c r="E163" i="215"/>
  <c r="D163" i="215"/>
  <c r="E162" i="215"/>
  <c r="D162" i="215"/>
  <c r="E161" i="215"/>
  <c r="D161" i="215"/>
  <c r="E153" i="215"/>
  <c r="D153" i="215"/>
  <c r="E152" i="215"/>
  <c r="D152" i="215"/>
  <c r="E151" i="215"/>
  <c r="D151" i="215"/>
  <c r="E150" i="215"/>
  <c r="D150" i="215"/>
  <c r="E149" i="215"/>
  <c r="D149" i="215"/>
  <c r="E148" i="215"/>
  <c r="D148" i="215"/>
  <c r="E147" i="215"/>
  <c r="D147" i="215"/>
  <c r="E146" i="215"/>
  <c r="D146" i="215"/>
  <c r="E145" i="215"/>
  <c r="D145" i="215"/>
  <c r="E144" i="215"/>
  <c r="D144" i="215"/>
  <c r="E143" i="215"/>
  <c r="D143" i="215"/>
  <c r="E142" i="215"/>
  <c r="D142" i="215"/>
  <c r="E141" i="215"/>
  <c r="D141" i="215"/>
  <c r="E140" i="215"/>
  <c r="D140" i="215"/>
  <c r="E139" i="215"/>
  <c r="D139" i="215"/>
  <c r="E136" i="215"/>
  <c r="E126" i="215"/>
  <c r="E111" i="215"/>
  <c r="E106" i="215"/>
  <c r="E78" i="215"/>
  <c r="E62" i="215"/>
  <c r="E61" i="215"/>
  <c r="D61" i="215"/>
  <c r="E60" i="215"/>
  <c r="D60" i="215"/>
  <c r="E59" i="215"/>
  <c r="D59" i="215"/>
  <c r="E58" i="215"/>
  <c r="D58" i="215"/>
  <c r="E57" i="215"/>
  <c r="D57" i="215"/>
  <c r="E56" i="215"/>
  <c r="D56" i="215"/>
  <c r="E55" i="215"/>
  <c r="D55" i="215"/>
  <c r="E54" i="215"/>
  <c r="D54" i="215"/>
  <c r="E53" i="215"/>
  <c r="D53" i="215"/>
  <c r="E52" i="215"/>
  <c r="D52" i="215"/>
  <c r="E51" i="215"/>
  <c r="D51" i="215"/>
  <c r="E50" i="215"/>
  <c r="D50" i="215"/>
  <c r="E49" i="215"/>
  <c r="D49" i="215"/>
  <c r="E48" i="215"/>
  <c r="D48" i="215"/>
  <c r="E47" i="215"/>
  <c r="D47" i="215"/>
  <c r="E46" i="215"/>
  <c r="D46" i="215"/>
  <c r="E45" i="215"/>
  <c r="D45" i="215"/>
  <c r="E44" i="215"/>
  <c r="D44" i="215"/>
  <c r="E43" i="215"/>
  <c r="D43" i="215"/>
  <c r="E42" i="215"/>
  <c r="D42" i="215"/>
  <c r="E41" i="215"/>
  <c r="D41" i="215"/>
  <c r="E40" i="215"/>
  <c r="D40" i="215"/>
  <c r="E37" i="215"/>
  <c r="X10" i="215"/>
  <c r="E2" i="215"/>
  <c r="D33" i="214"/>
  <c r="D34" i="214"/>
  <c r="D35" i="214"/>
  <c r="D36" i="214"/>
  <c r="D37" i="214"/>
  <c r="D38" i="214"/>
  <c r="D39" i="214"/>
  <c r="D40" i="214"/>
  <c r="D41" i="214"/>
  <c r="D42" i="214"/>
  <c r="D43" i="214"/>
  <c r="D44" i="214"/>
  <c r="D45" i="214"/>
  <c r="D46" i="214"/>
  <c r="D47" i="214"/>
  <c r="D48" i="214"/>
  <c r="D49" i="214"/>
  <c r="D50" i="214"/>
  <c r="D51" i="214"/>
  <c r="D52" i="214"/>
  <c r="D53" i="214"/>
  <c r="D54" i="214"/>
  <c r="D55" i="214"/>
  <c r="F33" i="214"/>
  <c r="G33" i="214"/>
  <c r="H33" i="214"/>
  <c r="I33" i="214"/>
  <c r="J33" i="214"/>
  <c r="K33" i="214"/>
  <c r="L33" i="214"/>
  <c r="M33" i="214"/>
  <c r="R33" i="214"/>
  <c r="S33" i="214"/>
  <c r="T33" i="214"/>
  <c r="U33" i="214"/>
  <c r="V33" i="214"/>
  <c r="W33" i="214"/>
  <c r="J34" i="214"/>
  <c r="J35" i="214"/>
  <c r="F36" i="214"/>
  <c r="G36" i="214"/>
  <c r="H36" i="214"/>
  <c r="I36" i="214"/>
  <c r="J36" i="214"/>
  <c r="K36" i="214"/>
  <c r="L36" i="214"/>
  <c r="M36" i="214"/>
  <c r="N36" i="214"/>
  <c r="O36" i="214"/>
  <c r="P36" i="214"/>
  <c r="Q36" i="214"/>
  <c r="R36" i="214"/>
  <c r="S36" i="214"/>
  <c r="T36" i="214"/>
  <c r="U36" i="214"/>
  <c r="V36" i="214"/>
  <c r="W36" i="214"/>
  <c r="F37" i="214"/>
  <c r="G37" i="214"/>
  <c r="H37" i="214"/>
  <c r="I37" i="214"/>
  <c r="J37" i="214"/>
  <c r="K37" i="214"/>
  <c r="L37" i="214"/>
  <c r="M37" i="214"/>
  <c r="N37" i="214"/>
  <c r="O37" i="214"/>
  <c r="P37" i="214"/>
  <c r="Q37" i="214"/>
  <c r="R37" i="214"/>
  <c r="S37" i="214"/>
  <c r="T37" i="214"/>
  <c r="U37" i="214"/>
  <c r="V37" i="214"/>
  <c r="W37" i="214"/>
  <c r="F38" i="214"/>
  <c r="G38" i="214"/>
  <c r="H38" i="214"/>
  <c r="I38" i="214"/>
  <c r="J38" i="214"/>
  <c r="K38" i="214"/>
  <c r="L38" i="214"/>
  <c r="M38" i="214"/>
  <c r="N38" i="214"/>
  <c r="O38" i="214"/>
  <c r="P38" i="214"/>
  <c r="Q38" i="214"/>
  <c r="R38" i="214"/>
  <c r="S38" i="214"/>
  <c r="T38" i="214"/>
  <c r="U38" i="214"/>
  <c r="V38" i="214"/>
  <c r="W38" i="214"/>
  <c r="J40" i="214"/>
  <c r="K40" i="214"/>
  <c r="L40" i="214"/>
  <c r="F53" i="214"/>
  <c r="G53" i="214"/>
  <c r="H53" i="214"/>
  <c r="I53" i="214"/>
  <c r="J53" i="214"/>
  <c r="K53" i="214"/>
  <c r="L53" i="214"/>
  <c r="M53" i="214"/>
  <c r="N53" i="214"/>
  <c r="O53" i="214"/>
  <c r="P53" i="214"/>
  <c r="Q53" i="214"/>
  <c r="R53" i="214"/>
  <c r="S53" i="214"/>
  <c r="T53" i="214"/>
  <c r="U53" i="214"/>
  <c r="V53" i="214"/>
  <c r="W53" i="214"/>
  <c r="F54" i="214"/>
  <c r="G54" i="214"/>
  <c r="H54" i="214"/>
  <c r="I54" i="214"/>
  <c r="J54" i="214"/>
  <c r="K54" i="214"/>
  <c r="L54" i="214"/>
  <c r="M54" i="214"/>
  <c r="N54" i="214"/>
  <c r="O54" i="214"/>
  <c r="P54" i="214"/>
  <c r="Q54" i="214"/>
  <c r="R54" i="214"/>
  <c r="S54" i="214"/>
  <c r="T54" i="214"/>
  <c r="U54" i="214"/>
  <c r="V54" i="214"/>
  <c r="W54" i="214"/>
  <c r="U10" i="214"/>
  <c r="D2" i="214"/>
  <c r="H4" i="211"/>
  <c r="O11" i="105"/>
  <c r="P11" i="105"/>
  <c r="L6" i="101"/>
  <c r="M6" i="101"/>
  <c r="N6" i="101"/>
  <c r="O6" i="101"/>
  <c r="P6" i="101"/>
  <c r="Q6" i="101"/>
  <c r="R6" i="101"/>
  <c r="S6" i="101"/>
  <c r="W6" i="101"/>
  <c r="X6" i="101"/>
  <c r="Y6" i="101"/>
  <c r="Z6" i="101"/>
  <c r="AA6" i="101"/>
  <c r="AB6" i="101"/>
  <c r="AC6" i="101"/>
  <c r="AD6" i="101"/>
  <c r="AE6" i="101"/>
  <c r="AF6" i="101"/>
  <c r="AG6" i="101"/>
  <c r="AH6" i="101"/>
  <c r="AI6" i="101"/>
  <c r="F18" i="36"/>
  <c r="L18" i="36" s="1"/>
  <c r="K19" i="103" s="1"/>
  <c r="F19" i="36"/>
  <c r="I19" i="36" s="1"/>
  <c r="H20" i="103" s="1"/>
  <c r="F20" i="36"/>
  <c r="F53" i="36"/>
  <c r="G217" i="36"/>
  <c r="G12" i="35"/>
  <c r="E91" i="34"/>
  <c r="D91" i="34"/>
  <c r="E90" i="34"/>
  <c r="D90" i="34"/>
  <c r="E89" i="34"/>
  <c r="D89" i="34"/>
  <c r="E88" i="34"/>
  <c r="D88" i="34"/>
  <c r="I47" i="70"/>
  <c r="H47" i="70"/>
  <c r="G47" i="70"/>
  <c r="F47" i="70"/>
  <c r="I46" i="70"/>
  <c r="H46" i="70"/>
  <c r="G46" i="70"/>
  <c r="F46" i="70"/>
  <c r="I45" i="70"/>
  <c r="H45" i="70"/>
  <c r="G45" i="70"/>
  <c r="F45" i="70"/>
  <c r="I44" i="70"/>
  <c r="H44" i="70"/>
  <c r="G44" i="70"/>
  <c r="F44" i="70"/>
  <c r="C4" i="210"/>
  <c r="C5" i="210" s="1"/>
  <c r="C6" i="210" s="1"/>
  <c r="C7" i="210" s="1"/>
  <c r="C8" i="210" s="1"/>
  <c r="C9" i="210" s="1"/>
  <c r="C10" i="210" s="1"/>
  <c r="C11" i="210" s="1"/>
  <c r="C12" i="210" s="1"/>
  <c r="C13" i="210" s="1"/>
  <c r="C14" i="210" s="1"/>
  <c r="C15" i="210" s="1"/>
  <c r="C16" i="210" s="1"/>
  <c r="C17" i="210" s="1"/>
  <c r="C18" i="210" s="1"/>
  <c r="C19" i="210" s="1"/>
  <c r="C20" i="210" s="1"/>
  <c r="C21" i="210" s="1"/>
  <c r="C22" i="210" s="1"/>
  <c r="C23" i="210" s="1"/>
  <c r="C24" i="210" s="1"/>
  <c r="C25" i="210" s="1"/>
  <c r="C26" i="210" s="1"/>
  <c r="C27" i="210" s="1"/>
  <c r="C28" i="210" s="1"/>
  <c r="C29" i="210" s="1"/>
  <c r="C30" i="210" s="1"/>
  <c r="C31" i="210" s="1"/>
  <c r="C32" i="210" s="1"/>
  <c r="C33" i="210" s="1"/>
  <c r="C34" i="210" s="1"/>
  <c r="C35" i="210" s="1"/>
  <c r="C36" i="210" s="1"/>
  <c r="C37" i="210" s="1"/>
  <c r="C38" i="210" s="1"/>
  <c r="C39" i="210" s="1"/>
  <c r="C40" i="210" s="1"/>
  <c r="C41" i="210" s="1"/>
  <c r="C42" i="210" s="1"/>
  <c r="C43" i="210" s="1"/>
  <c r="C44" i="210" s="1"/>
  <c r="C45" i="210" s="1"/>
  <c r="C80" i="209"/>
  <c r="C78" i="209"/>
  <c r="C76" i="209"/>
  <c r="C74" i="209"/>
  <c r="C72" i="209"/>
  <c r="C65" i="209"/>
  <c r="C63" i="209"/>
  <c r="C57" i="209"/>
  <c r="C55" i="209"/>
  <c r="C38" i="209"/>
  <c r="C36" i="209"/>
  <c r="C34" i="209"/>
  <c r="C32" i="209"/>
  <c r="D30" i="209"/>
  <c r="D29" i="209"/>
  <c r="D28" i="209"/>
  <c r="D27" i="209"/>
  <c r="D26" i="209"/>
  <c r="D25" i="209"/>
  <c r="D24" i="209"/>
  <c r="C22" i="209"/>
  <c r="C20" i="209"/>
  <c r="C11" i="209"/>
  <c r="C13" i="209" s="1"/>
  <c r="C2" i="209"/>
  <c r="D31" i="208"/>
  <c r="D32" i="208" s="1"/>
  <c r="D33" i="208" s="1"/>
  <c r="D34" i="208" s="1"/>
  <c r="D35" i="208" s="1"/>
  <c r="D36" i="208" s="1"/>
  <c r="D37" i="208" s="1"/>
  <c r="D38" i="208" s="1"/>
  <c r="D39" i="208" s="1"/>
  <c r="D40" i="208" s="1"/>
  <c r="D41" i="208" s="1"/>
  <c r="D42" i="208" s="1"/>
  <c r="D43" i="208" s="1"/>
  <c r="V19" i="208"/>
  <c r="W19" i="208"/>
  <c r="X19" i="208" s="1"/>
  <c r="Y19" i="208" s="1"/>
  <c r="Z19" i="208" s="1"/>
  <c r="AA19" i="208" s="1"/>
  <c r="AB19" i="208" s="1"/>
  <c r="AC19" i="208" s="1"/>
  <c r="AD19" i="208" s="1"/>
  <c r="AE19" i="208" s="1"/>
  <c r="AF19" i="208" s="1"/>
  <c r="V13" i="208"/>
  <c r="W13" i="208"/>
  <c r="X13" i="208"/>
  <c r="Y13" i="208"/>
  <c r="Z13" i="208"/>
  <c r="AA13" i="208"/>
  <c r="AB13" i="208"/>
  <c r="AC13" i="208"/>
  <c r="AD13" i="208"/>
  <c r="AE13" i="208"/>
  <c r="AF13" i="208"/>
  <c r="U13" i="208"/>
  <c r="Q42" i="208"/>
  <c r="Q41" i="208"/>
  <c r="Q40" i="208"/>
  <c r="Q39" i="208"/>
  <c r="Q38" i="208"/>
  <c r="Q37" i="208"/>
  <c r="Q36" i="208"/>
  <c r="Q35" i="208"/>
  <c r="Q34" i="208"/>
  <c r="Q33" i="208"/>
  <c r="Q32" i="208"/>
  <c r="Q31" i="208"/>
  <c r="Q30" i="208"/>
  <c r="E10" i="208"/>
  <c r="E20" i="208"/>
  <c r="N42" i="208" s="1"/>
  <c r="E21" i="208"/>
  <c r="D8" i="208"/>
  <c r="D9" i="208"/>
  <c r="J54" i="195"/>
  <c r="J66" i="195" s="1"/>
  <c r="D13" i="195"/>
  <c r="D75" i="195" s="1"/>
  <c r="F142" i="13"/>
  <c r="I142" i="13"/>
  <c r="F143" i="13"/>
  <c r="I143" i="13"/>
  <c r="F144" i="13"/>
  <c r="I144" i="13"/>
  <c r="F145" i="13"/>
  <c r="I145" i="13"/>
  <c r="F146" i="13"/>
  <c r="I146" i="13"/>
  <c r="F147" i="13"/>
  <c r="I147" i="13"/>
  <c r="F148" i="13"/>
  <c r="I148" i="13"/>
  <c r="F149" i="13"/>
  <c r="I149" i="13"/>
  <c r="F150" i="13"/>
  <c r="I150" i="13"/>
  <c r="F151" i="13"/>
  <c r="I151" i="13"/>
  <c r="F152" i="13"/>
  <c r="I152" i="13"/>
  <c r="F153" i="13"/>
  <c r="I153" i="13"/>
  <c r="F154" i="13"/>
  <c r="I154" i="13"/>
  <c r="F155" i="13"/>
  <c r="I155" i="13"/>
  <c r="K151" i="13"/>
  <c r="F15" i="207" s="1"/>
  <c r="L151" i="13"/>
  <c r="J155" i="13"/>
  <c r="E19" i="207" s="1"/>
  <c r="J154" i="13"/>
  <c r="E18" i="207" s="1"/>
  <c r="J153" i="13"/>
  <c r="E17" i="207" s="1"/>
  <c r="J152" i="13"/>
  <c r="E16" i="207" s="1"/>
  <c r="J151" i="13"/>
  <c r="E15" i="207" s="1"/>
  <c r="J150" i="13"/>
  <c r="E14" i="207" s="1"/>
  <c r="J149" i="13"/>
  <c r="E13" i="207" s="1"/>
  <c r="J148" i="13"/>
  <c r="E12" i="207" s="1"/>
  <c r="J147" i="13"/>
  <c r="E11" i="207" s="1"/>
  <c r="J146" i="13"/>
  <c r="E10" i="207" s="1"/>
  <c r="J145" i="13"/>
  <c r="E9" i="207" s="1"/>
  <c r="J144" i="13"/>
  <c r="E8" i="207" s="1"/>
  <c r="J143" i="13"/>
  <c r="E7" i="207" s="1"/>
  <c r="C7" i="207" s="1"/>
  <c r="J142" i="13"/>
  <c r="E6" i="207" s="1"/>
  <c r="C21" i="207"/>
  <c r="C22" i="207"/>
  <c r="C38" i="207"/>
  <c r="C39" i="207"/>
  <c r="D74" i="195"/>
  <c r="D61" i="195"/>
  <c r="G30" i="92"/>
  <c r="G40" i="92" s="1"/>
  <c r="H41" i="92"/>
  <c r="I41" i="92"/>
  <c r="J41" i="92"/>
  <c r="K41" i="92"/>
  <c r="L41" i="92"/>
  <c r="M41" i="92"/>
  <c r="N41" i="92"/>
  <c r="O41" i="92"/>
  <c r="P41" i="92"/>
  <c r="Q41" i="92"/>
  <c r="R41" i="92"/>
  <c r="S41" i="92"/>
  <c r="G41" i="92"/>
  <c r="G64" i="179"/>
  <c r="G63" i="179"/>
  <c r="D87" i="195"/>
  <c r="F53" i="34"/>
  <c r="F20" i="79" s="1"/>
  <c r="K14" i="70"/>
  <c r="I14" i="70"/>
  <c r="H14" i="70"/>
  <c r="G14" i="70"/>
  <c r="F14" i="70"/>
  <c r="E14" i="70"/>
  <c r="E24" i="215" s="1"/>
  <c r="D14" i="70"/>
  <c r="D25" i="215" s="1"/>
  <c r="I13" i="70"/>
  <c r="H13" i="70"/>
  <c r="G13" i="70"/>
  <c r="F13" i="70"/>
  <c r="E13" i="70"/>
  <c r="E52" i="34" s="1"/>
  <c r="D13" i="70"/>
  <c r="D52" i="34" s="1"/>
  <c r="G8" i="163"/>
  <c r="G27" i="163"/>
  <c r="G38" i="163"/>
  <c r="H27" i="163"/>
  <c r="H38" i="163" s="1"/>
  <c r="I27" i="163"/>
  <c r="I38" i="163"/>
  <c r="J27" i="163"/>
  <c r="J38" i="163" s="1"/>
  <c r="K27" i="163"/>
  <c r="K38" i="163"/>
  <c r="G39" i="163"/>
  <c r="H39" i="163"/>
  <c r="I39" i="163"/>
  <c r="J39" i="163"/>
  <c r="K39" i="163"/>
  <c r="G40" i="163"/>
  <c r="H40" i="163"/>
  <c r="I40" i="163"/>
  <c r="J40" i="163"/>
  <c r="G61" i="181" s="1"/>
  <c r="K40" i="163"/>
  <c r="H61" i="181" s="1"/>
  <c r="G51" i="163"/>
  <c r="H51" i="163"/>
  <c r="I51" i="163"/>
  <c r="J51" i="163"/>
  <c r="K51" i="163"/>
  <c r="M15" i="30"/>
  <c r="L32" i="157" s="1"/>
  <c r="R51" i="163"/>
  <c r="Q15" i="30"/>
  <c r="P32" i="157" s="1"/>
  <c r="T51" i="163"/>
  <c r="T15" i="30"/>
  <c r="S32" i="157" s="1"/>
  <c r="W51" i="163"/>
  <c r="H64" i="179"/>
  <c r="H56" i="179" s="1"/>
  <c r="I64" i="179"/>
  <c r="I56" i="179" s="1"/>
  <c r="J64" i="179"/>
  <c r="J56" i="179" s="1"/>
  <c r="K64" i="179"/>
  <c r="K56" i="179" s="1"/>
  <c r="L64" i="179"/>
  <c r="L56" i="179" s="1"/>
  <c r="M64" i="179"/>
  <c r="M56" i="179" s="1"/>
  <c r="N64" i="179"/>
  <c r="N56" i="179" s="1"/>
  <c r="O64" i="179"/>
  <c r="O56" i="179" s="1"/>
  <c r="P64" i="179"/>
  <c r="P56" i="179" s="1"/>
  <c r="Q64" i="179"/>
  <c r="Q56" i="179" s="1"/>
  <c r="R64" i="179"/>
  <c r="R56" i="179" s="1"/>
  <c r="S64" i="179"/>
  <c r="S56" i="179" s="1"/>
  <c r="H65" i="179"/>
  <c r="I65" i="179"/>
  <c r="J65" i="179"/>
  <c r="K65" i="179"/>
  <c r="L65" i="179"/>
  <c r="M65" i="179"/>
  <c r="N65" i="179"/>
  <c r="O65" i="179"/>
  <c r="P65" i="179"/>
  <c r="Q65" i="179"/>
  <c r="R65" i="179"/>
  <c r="S65" i="179"/>
  <c r="G65" i="179"/>
  <c r="D27" i="203"/>
  <c r="D29" i="203" s="1"/>
  <c r="D30" i="203" s="1"/>
  <c r="D19" i="203" s="1"/>
  <c r="K94" i="172" s="1"/>
  <c r="L13" i="70" s="1"/>
  <c r="L13" i="106"/>
  <c r="K13" i="106"/>
  <c r="J12" i="105"/>
  <c r="K12" i="105"/>
  <c r="J14" i="105"/>
  <c r="K14" i="105"/>
  <c r="J15" i="105"/>
  <c r="K15" i="105"/>
  <c r="J16" i="105"/>
  <c r="K16" i="105"/>
  <c r="J17" i="105"/>
  <c r="K17" i="105"/>
  <c r="J18" i="105"/>
  <c r="K18" i="105"/>
  <c r="J19" i="105"/>
  <c r="K19" i="105"/>
  <c r="J20" i="105"/>
  <c r="K20" i="105"/>
  <c r="J21" i="105"/>
  <c r="K21" i="105"/>
  <c r="J22" i="105"/>
  <c r="K22" i="105"/>
  <c r="J23" i="105"/>
  <c r="K23" i="105"/>
  <c r="J24" i="105"/>
  <c r="K24" i="105"/>
  <c r="J25" i="105"/>
  <c r="K25" i="105"/>
  <c r="O262" i="34"/>
  <c r="K15" i="214" s="1"/>
  <c r="P262" i="34"/>
  <c r="L15" i="214" s="1"/>
  <c r="O263" i="34"/>
  <c r="K16" i="214" s="1"/>
  <c r="P263" i="34"/>
  <c r="L16" i="214" s="1"/>
  <c r="O264" i="34"/>
  <c r="K17" i="214" s="1"/>
  <c r="P264" i="34"/>
  <c r="L17" i="214" s="1"/>
  <c r="Q264" i="34"/>
  <c r="M17" i="214" s="1"/>
  <c r="O265" i="34"/>
  <c r="K18" i="214" s="1"/>
  <c r="P265" i="34"/>
  <c r="L18" i="214" s="1"/>
  <c r="O266" i="34"/>
  <c r="K19" i="214" s="1"/>
  <c r="P266" i="34"/>
  <c r="L19" i="214" s="1"/>
  <c r="O268" i="34"/>
  <c r="K21" i="214" s="1"/>
  <c r="P268" i="34"/>
  <c r="L21" i="214" s="1"/>
  <c r="Q268" i="34"/>
  <c r="M21" i="214" s="1"/>
  <c r="O269" i="34"/>
  <c r="K22" i="214" s="1"/>
  <c r="P269" i="34"/>
  <c r="L22" i="214" s="1"/>
  <c r="Q269" i="34"/>
  <c r="M22" i="214" s="1"/>
  <c r="O270" i="34"/>
  <c r="K23" i="214" s="1"/>
  <c r="P270" i="34"/>
  <c r="L23" i="214" s="1"/>
  <c r="Q270" i="34"/>
  <c r="M23" i="214" s="1"/>
  <c r="O271" i="34"/>
  <c r="K24" i="214" s="1"/>
  <c r="P271" i="34"/>
  <c r="L24" i="214" s="1"/>
  <c r="Q271" i="34"/>
  <c r="M24" i="214" s="1"/>
  <c r="O272" i="34"/>
  <c r="K25" i="214" s="1"/>
  <c r="P272" i="34"/>
  <c r="L25" i="214" s="1"/>
  <c r="Q272" i="34"/>
  <c r="M25" i="214" s="1"/>
  <c r="O273" i="34"/>
  <c r="K26" i="214" s="1"/>
  <c r="P273" i="34"/>
  <c r="L26" i="214" s="1"/>
  <c r="Q273" i="34"/>
  <c r="M26" i="214" s="1"/>
  <c r="O274" i="34"/>
  <c r="K27" i="214" s="1"/>
  <c r="P274" i="34"/>
  <c r="L27" i="214" s="1"/>
  <c r="Q274" i="34"/>
  <c r="M27" i="214" s="1"/>
  <c r="O275" i="34"/>
  <c r="K28" i="214" s="1"/>
  <c r="P275" i="34"/>
  <c r="L28" i="214" s="1"/>
  <c r="Q275" i="34"/>
  <c r="M28" i="214" s="1"/>
  <c r="O276" i="34"/>
  <c r="K29" i="214" s="1"/>
  <c r="P276" i="34"/>
  <c r="L29" i="214" s="1"/>
  <c r="Q276" i="34"/>
  <c r="M29" i="214" s="1"/>
  <c r="O277" i="34"/>
  <c r="K30" i="214" s="1"/>
  <c r="P277" i="34"/>
  <c r="L30" i="214" s="1"/>
  <c r="Q277" i="34"/>
  <c r="M30" i="214" s="1"/>
  <c r="O278" i="34"/>
  <c r="K31" i="214" s="1"/>
  <c r="P278" i="34"/>
  <c r="L31" i="214" s="1"/>
  <c r="Q278" i="34"/>
  <c r="M31" i="214" s="1"/>
  <c r="O279" i="34"/>
  <c r="K32" i="214" s="1"/>
  <c r="P279" i="34"/>
  <c r="L32" i="214" s="1"/>
  <c r="AE301" i="34"/>
  <c r="AE300" i="34"/>
  <c r="F300" i="34"/>
  <c r="F301" i="34"/>
  <c r="K12" i="93"/>
  <c r="L12" i="93"/>
  <c r="J10" i="45"/>
  <c r="J13" i="106" s="1"/>
  <c r="E17" i="165" s="1"/>
  <c r="K59" i="45"/>
  <c r="L59" i="45"/>
  <c r="H101" i="157"/>
  <c r="H14" i="92"/>
  <c r="I14" i="92" s="1"/>
  <c r="J14" i="92" s="1"/>
  <c r="K14" i="92" s="1"/>
  <c r="L14" i="92" s="1"/>
  <c r="M14" i="92" s="1"/>
  <c r="N14" i="92" s="1"/>
  <c r="O14" i="92" s="1"/>
  <c r="P14" i="92" s="1"/>
  <c r="Q14" i="92" s="1"/>
  <c r="R14" i="92" s="1"/>
  <c r="S14" i="92" s="1"/>
  <c r="C11" i="92"/>
  <c r="C12" i="92" s="1"/>
  <c r="C14" i="92" s="1"/>
  <c r="C45" i="203"/>
  <c r="D45" i="203"/>
  <c r="D46" i="203" s="1"/>
  <c r="E45" i="203"/>
  <c r="E46" i="203" s="1"/>
  <c r="F45" i="203"/>
  <c r="F46" i="203" s="1"/>
  <c r="G45" i="203"/>
  <c r="H45" i="203"/>
  <c r="H46" i="203" s="1"/>
  <c r="I45" i="203"/>
  <c r="I46" i="203" s="1"/>
  <c r="J45" i="203"/>
  <c r="J46" i="203" s="1"/>
  <c r="K45" i="203"/>
  <c r="K46" i="203" s="1"/>
  <c r="L45" i="203"/>
  <c r="L46" i="203" s="1"/>
  <c r="M45" i="203"/>
  <c r="M46" i="203" s="1"/>
  <c r="N45" i="203"/>
  <c r="N46" i="203" s="1"/>
  <c r="O45" i="203"/>
  <c r="O46" i="203" s="1"/>
  <c r="C46" i="203"/>
  <c r="G46" i="203"/>
  <c r="C51" i="203"/>
  <c r="E51" i="203"/>
  <c r="F51" i="203"/>
  <c r="G51" i="203"/>
  <c r="H51" i="203"/>
  <c r="I51" i="203"/>
  <c r="J51" i="203"/>
  <c r="K51" i="203"/>
  <c r="L51" i="203"/>
  <c r="M51" i="203"/>
  <c r="N51" i="203"/>
  <c r="O51" i="203"/>
  <c r="C56" i="203"/>
  <c r="D56" i="203"/>
  <c r="E56" i="203"/>
  <c r="F56" i="203"/>
  <c r="G56" i="203"/>
  <c r="H56" i="203"/>
  <c r="I56" i="203"/>
  <c r="J56" i="203"/>
  <c r="K56" i="203"/>
  <c r="L56" i="203"/>
  <c r="M56" i="203"/>
  <c r="N56" i="203"/>
  <c r="O56" i="203"/>
  <c r="K95" i="172"/>
  <c r="J95" i="172"/>
  <c r="K18" i="70" s="1"/>
  <c r="J93" i="172"/>
  <c r="K20" i="70" s="1"/>
  <c r="AK8" i="186"/>
  <c r="AJ8" i="186"/>
  <c r="AI8" i="186"/>
  <c r="AH8" i="186"/>
  <c r="AG8" i="186"/>
  <c r="AF8" i="186"/>
  <c r="AE8" i="186"/>
  <c r="AD8" i="186"/>
  <c r="AC8" i="186"/>
  <c r="AB8" i="186"/>
  <c r="AA8" i="186"/>
  <c r="Z8" i="186"/>
  <c r="Y8" i="186"/>
  <c r="X8" i="186"/>
  <c r="S8" i="186"/>
  <c r="R8" i="186"/>
  <c r="T45" i="176" s="1"/>
  <c r="T53" i="181" s="1"/>
  <c r="Q8" i="186"/>
  <c r="P8" i="186"/>
  <c r="O8" i="186"/>
  <c r="N8" i="186"/>
  <c r="P45" i="176" s="1"/>
  <c r="P50" i="176" s="1"/>
  <c r="M8" i="186"/>
  <c r="L8" i="186"/>
  <c r="K8" i="186"/>
  <c r="J8" i="186"/>
  <c r="L45" i="176" s="1"/>
  <c r="L50" i="176" s="1"/>
  <c r="H8" i="186"/>
  <c r="G8" i="186"/>
  <c r="D16" i="203"/>
  <c r="K91" i="172" s="1"/>
  <c r="G20" i="44"/>
  <c r="AS23" i="44"/>
  <c r="AS25" i="44"/>
  <c r="O73" i="203"/>
  <c r="O8" i="203" s="1"/>
  <c r="N73" i="203"/>
  <c r="N8" i="203" s="1"/>
  <c r="M73" i="203"/>
  <c r="M8" i="203" s="1"/>
  <c r="L73" i="203"/>
  <c r="L8" i="203" s="1"/>
  <c r="K73" i="203"/>
  <c r="K8" i="203" s="1"/>
  <c r="J73" i="203"/>
  <c r="J8" i="203" s="1"/>
  <c r="I73" i="203"/>
  <c r="I8" i="203" s="1"/>
  <c r="H73" i="203"/>
  <c r="H8" i="203" s="1"/>
  <c r="G73" i="203"/>
  <c r="G8" i="203" s="1"/>
  <c r="F73" i="203"/>
  <c r="F8" i="203" s="1"/>
  <c r="E73" i="203"/>
  <c r="E8" i="203" s="1"/>
  <c r="D73" i="203"/>
  <c r="D8" i="203" s="1"/>
  <c r="C73" i="203"/>
  <c r="C8" i="203" s="1"/>
  <c r="C29" i="203"/>
  <c r="C30" i="203" s="1"/>
  <c r="C19" i="203" s="1"/>
  <c r="J94" i="172" s="1"/>
  <c r="K13" i="70" s="1"/>
  <c r="AG94" i="172"/>
  <c r="O28" i="203"/>
  <c r="N28" i="203"/>
  <c r="M28" i="203"/>
  <c r="L28" i="203"/>
  <c r="K28" i="203"/>
  <c r="J28" i="203"/>
  <c r="I28" i="203"/>
  <c r="H28" i="203"/>
  <c r="G28" i="203"/>
  <c r="F28" i="203"/>
  <c r="E28" i="203"/>
  <c r="D28" i="203"/>
  <c r="AN94" i="172"/>
  <c r="AL94" i="172"/>
  <c r="AK94" i="172"/>
  <c r="AI94" i="172"/>
  <c r="AH94" i="172"/>
  <c r="Z94" i="172"/>
  <c r="X94" i="172"/>
  <c r="O27" i="203"/>
  <c r="N27" i="203"/>
  <c r="M27" i="203"/>
  <c r="L27" i="203"/>
  <c r="L29" i="203" s="1"/>
  <c r="L30" i="203" s="1"/>
  <c r="L19" i="203" s="1"/>
  <c r="K27" i="203"/>
  <c r="J27" i="203"/>
  <c r="I27" i="203"/>
  <c r="H27" i="203"/>
  <c r="G27" i="203"/>
  <c r="F27" i="203"/>
  <c r="F29" i="203" s="1"/>
  <c r="F30" i="203" s="1"/>
  <c r="F19" i="203" s="1"/>
  <c r="E27" i="203"/>
  <c r="C25" i="203"/>
  <c r="C17" i="203" s="1"/>
  <c r="J92" i="172" s="1"/>
  <c r="L95" i="172"/>
  <c r="M18" i="70" s="1"/>
  <c r="AO93" i="172"/>
  <c r="AN93" i="172"/>
  <c r="AM93" i="172"/>
  <c r="AL93" i="172"/>
  <c r="AK93" i="172"/>
  <c r="AJ93" i="172"/>
  <c r="AI93" i="172"/>
  <c r="AH93" i="172"/>
  <c r="AG93" i="172"/>
  <c r="AF93" i="172"/>
  <c r="AE93" i="172"/>
  <c r="AD93" i="172"/>
  <c r="AC93" i="172"/>
  <c r="AB93" i="172"/>
  <c r="AA93" i="172"/>
  <c r="Z93" i="172"/>
  <c r="Y93" i="172"/>
  <c r="X93" i="172"/>
  <c r="W93" i="172"/>
  <c r="V93" i="172"/>
  <c r="W20" i="70" s="1"/>
  <c r="U93" i="172"/>
  <c r="V20" i="70" s="1"/>
  <c r="T93" i="172"/>
  <c r="U20" i="70" s="1"/>
  <c r="S93" i="172"/>
  <c r="T20" i="70" s="1"/>
  <c r="R93" i="172"/>
  <c r="S20" i="70" s="1"/>
  <c r="Q93" i="172"/>
  <c r="R20" i="70" s="1"/>
  <c r="P93" i="172"/>
  <c r="Q20" i="70" s="1"/>
  <c r="O93" i="172"/>
  <c r="P20" i="70" s="1"/>
  <c r="N93" i="172"/>
  <c r="O20" i="70" s="1"/>
  <c r="M93" i="172"/>
  <c r="N20" i="70" s="1"/>
  <c r="L93" i="172"/>
  <c r="M20" i="70" s="1"/>
  <c r="K93" i="172"/>
  <c r="AO91" i="172"/>
  <c r="AN91" i="172"/>
  <c r="AM91" i="172"/>
  <c r="AL91" i="172"/>
  <c r="AK91" i="172"/>
  <c r="AJ91" i="172"/>
  <c r="AI91" i="172"/>
  <c r="AH91" i="172"/>
  <c r="AG91" i="172"/>
  <c r="AF91" i="172"/>
  <c r="AE91" i="172"/>
  <c r="AD91" i="172"/>
  <c r="AC91" i="172"/>
  <c r="AB91" i="172"/>
  <c r="AA91" i="172"/>
  <c r="Z91" i="172"/>
  <c r="Y91" i="172"/>
  <c r="X91" i="172"/>
  <c r="O16" i="203"/>
  <c r="N16" i="203"/>
  <c r="M16" i="203"/>
  <c r="L16" i="203"/>
  <c r="K16" i="203"/>
  <c r="J16" i="203"/>
  <c r="I16" i="203"/>
  <c r="H16" i="203"/>
  <c r="G16" i="203"/>
  <c r="F16" i="203"/>
  <c r="E16" i="203"/>
  <c r="C16" i="203"/>
  <c r="J91" i="172" s="1"/>
  <c r="K12" i="70" s="1"/>
  <c r="C14" i="203"/>
  <c r="C7" i="203"/>
  <c r="U50" i="14"/>
  <c r="T50" i="14"/>
  <c r="S50" i="14"/>
  <c r="R50" i="14"/>
  <c r="Q50" i="14"/>
  <c r="P50" i="14"/>
  <c r="O50" i="14"/>
  <c r="N50" i="14"/>
  <c r="M50" i="14"/>
  <c r="L50" i="14"/>
  <c r="K50" i="14"/>
  <c r="U49" i="14"/>
  <c r="T49" i="14"/>
  <c r="S49" i="14"/>
  <c r="R49" i="14"/>
  <c r="Q49" i="14"/>
  <c r="P49" i="14"/>
  <c r="O49" i="14"/>
  <c r="N49" i="14"/>
  <c r="M49" i="14"/>
  <c r="L49" i="14"/>
  <c r="K49" i="14"/>
  <c r="U26" i="14"/>
  <c r="T26" i="14"/>
  <c r="S26" i="14"/>
  <c r="R26" i="14"/>
  <c r="Q26" i="14"/>
  <c r="P26" i="14"/>
  <c r="O26" i="14"/>
  <c r="N26" i="14"/>
  <c r="M26" i="14"/>
  <c r="L26" i="14"/>
  <c r="K26" i="14"/>
  <c r="U25" i="14"/>
  <c r="T25" i="14"/>
  <c r="S25" i="14"/>
  <c r="R25" i="14"/>
  <c r="Q25" i="14"/>
  <c r="P25" i="14"/>
  <c r="O25" i="14"/>
  <c r="N25" i="14"/>
  <c r="M25" i="14"/>
  <c r="L25" i="14"/>
  <c r="K25" i="14"/>
  <c r="U20" i="14"/>
  <c r="T20" i="14"/>
  <c r="S20" i="14"/>
  <c r="R20" i="14"/>
  <c r="Q20" i="14"/>
  <c r="P20" i="14"/>
  <c r="O20" i="14"/>
  <c r="N20" i="14"/>
  <c r="M20" i="14"/>
  <c r="L20" i="14"/>
  <c r="K20" i="14"/>
  <c r="U19" i="14"/>
  <c r="T19" i="14"/>
  <c r="S19" i="14"/>
  <c r="R19" i="14"/>
  <c r="Q19" i="14"/>
  <c r="P19" i="14"/>
  <c r="O19" i="14"/>
  <c r="N19" i="14"/>
  <c r="M19" i="14"/>
  <c r="L19" i="14"/>
  <c r="K19" i="14"/>
  <c r="E48" i="177"/>
  <c r="K37" i="176"/>
  <c r="H48" i="177"/>
  <c r="N37" i="176"/>
  <c r="J48" i="177"/>
  <c r="P37" i="176"/>
  <c r="Q37" i="176"/>
  <c r="R37" i="176"/>
  <c r="S37" i="176"/>
  <c r="P48" i="177"/>
  <c r="D48" i="177"/>
  <c r="L124" i="184"/>
  <c r="AH116" i="184"/>
  <c r="AG116" i="184"/>
  <c r="AF116" i="184"/>
  <c r="AE116" i="184"/>
  <c r="AD116" i="184"/>
  <c r="B115" i="184"/>
  <c r="B117" i="184" s="1"/>
  <c r="F110" i="184"/>
  <c r="G110" i="184" s="1"/>
  <c r="H110" i="184" s="1"/>
  <c r="I110" i="184" s="1"/>
  <c r="J110" i="184" s="1"/>
  <c r="K110" i="184" s="1"/>
  <c r="L110" i="184" s="1"/>
  <c r="M110" i="184" s="1"/>
  <c r="N110" i="184" s="1"/>
  <c r="O110" i="184" s="1"/>
  <c r="P110" i="184" s="1"/>
  <c r="Q110" i="184" s="1"/>
  <c r="R110" i="184" s="1"/>
  <c r="S110" i="184" s="1"/>
  <c r="T110" i="184" s="1"/>
  <c r="U110" i="184" s="1"/>
  <c r="V110" i="184" s="1"/>
  <c r="W110" i="184" s="1"/>
  <c r="X110" i="184" s="1"/>
  <c r="Y110" i="184" s="1"/>
  <c r="Z110" i="184" s="1"/>
  <c r="AA110" i="184" s="1"/>
  <c r="AB110" i="184" s="1"/>
  <c r="AC110" i="184" s="1"/>
  <c r="AD110" i="184" s="1"/>
  <c r="AE110" i="184" s="1"/>
  <c r="AF110" i="184" s="1"/>
  <c r="AG110" i="184" s="1"/>
  <c r="AH110" i="184" s="1"/>
  <c r="AH104" i="184"/>
  <c r="AD104" i="184"/>
  <c r="Z104" i="184"/>
  <c r="V104" i="184"/>
  <c r="S104" i="184"/>
  <c r="R104" i="184"/>
  <c r="N104" i="184"/>
  <c r="K104" i="184"/>
  <c r="J104" i="184"/>
  <c r="F104" i="184"/>
  <c r="B104" i="184"/>
  <c r="AE104" i="184"/>
  <c r="AA104" i="184"/>
  <c r="W104" i="184"/>
  <c r="O104" i="184"/>
  <c r="G104" i="184"/>
  <c r="C104" i="184"/>
  <c r="AG104" i="184"/>
  <c r="AF104" i="184"/>
  <c r="AC104" i="184"/>
  <c r="AB104" i="184"/>
  <c r="Y104" i="184"/>
  <c r="X104" i="184"/>
  <c r="U104" i="184"/>
  <c r="T104" i="184"/>
  <c r="Q104" i="184"/>
  <c r="P104" i="184"/>
  <c r="M104" i="184"/>
  <c r="L104" i="184"/>
  <c r="I104" i="184"/>
  <c r="H104" i="184"/>
  <c r="E104" i="184"/>
  <c r="D104" i="184"/>
  <c r="I98" i="184"/>
  <c r="E96" i="184"/>
  <c r="D96" i="184"/>
  <c r="G96" i="184"/>
  <c r="F96" i="184"/>
  <c r="C96" i="184"/>
  <c r="B96" i="184"/>
  <c r="V81" i="184"/>
  <c r="AH80" i="184"/>
  <c r="AH82" i="184" s="1"/>
  <c r="O80" i="184"/>
  <c r="C80" i="184"/>
  <c r="P79" i="184"/>
  <c r="AK77" i="184"/>
  <c r="AC75" i="184"/>
  <c r="AC116" i="184"/>
  <c r="AB75" i="184"/>
  <c r="AB116" i="184"/>
  <c r="AA75" i="184"/>
  <c r="AA116" i="184"/>
  <c r="Z75" i="184"/>
  <c r="Z116" i="184"/>
  <c r="Y75" i="184"/>
  <c r="Y116" i="184"/>
  <c r="X75" i="184"/>
  <c r="X116" i="184"/>
  <c r="W75" i="184"/>
  <c r="W116" i="184" s="1"/>
  <c r="V75" i="184"/>
  <c r="U75" i="184"/>
  <c r="T75" i="184"/>
  <c r="S75" i="184"/>
  <c r="R75" i="184"/>
  <c r="Q75" i="184"/>
  <c r="Q116" i="184"/>
  <c r="P75" i="184"/>
  <c r="P116" i="184"/>
  <c r="O75" i="184"/>
  <c r="N75" i="184"/>
  <c r="M75" i="184"/>
  <c r="L75" i="184"/>
  <c r="K75" i="184"/>
  <c r="J75" i="184"/>
  <c r="I75" i="184"/>
  <c r="H75" i="184"/>
  <c r="G75" i="184"/>
  <c r="F75" i="184"/>
  <c r="E75" i="184"/>
  <c r="D75" i="184"/>
  <c r="C75" i="184"/>
  <c r="I99" i="181" s="1"/>
  <c r="C116" i="184"/>
  <c r="B75" i="184"/>
  <c r="C70" i="184"/>
  <c r="AH67" i="184"/>
  <c r="B66" i="184"/>
  <c r="AH64" i="184"/>
  <c r="AG64" i="184"/>
  <c r="AF64" i="184"/>
  <c r="AE64" i="184"/>
  <c r="AD67" i="184" s="1"/>
  <c r="AD64" i="184"/>
  <c r="AC64" i="184"/>
  <c r="AB64" i="184"/>
  <c r="AA64" i="184"/>
  <c r="Z64" i="184"/>
  <c r="Y64" i="184"/>
  <c r="X64" i="184"/>
  <c r="W64" i="184"/>
  <c r="V67" i="184" s="1"/>
  <c r="V64" i="184"/>
  <c r="U64" i="184"/>
  <c r="T64" i="184"/>
  <c r="S64" i="184"/>
  <c r="S79" i="184" s="1"/>
  <c r="S82" i="184" s="1"/>
  <c r="R64" i="184"/>
  <c r="R79" i="184"/>
  <c r="Q64" i="184"/>
  <c r="Q79" i="184" s="1"/>
  <c r="P64" i="184"/>
  <c r="O64" i="184"/>
  <c r="N64" i="184"/>
  <c r="M64" i="184"/>
  <c r="M79" i="184"/>
  <c r="L64" i="184"/>
  <c r="L79" i="184" s="1"/>
  <c r="L82" i="184" s="1"/>
  <c r="K64" i="184"/>
  <c r="K79" i="184" s="1"/>
  <c r="J64" i="184"/>
  <c r="I64" i="184"/>
  <c r="H64" i="184"/>
  <c r="G64" i="184"/>
  <c r="F64" i="184"/>
  <c r="F79" i="184"/>
  <c r="E64" i="184"/>
  <c r="E79" i="184" s="1"/>
  <c r="E82" i="184" s="1"/>
  <c r="D64" i="184"/>
  <c r="D79" i="184"/>
  <c r="C64" i="184"/>
  <c r="C79" i="184" s="1"/>
  <c r="B64" i="184"/>
  <c r="AG63" i="184"/>
  <c r="AG66" i="184" s="1"/>
  <c r="AE63" i="184"/>
  <c r="Y63" i="184"/>
  <c r="U63" i="184"/>
  <c r="J63" i="184"/>
  <c r="C63" i="184"/>
  <c r="C66" i="184" s="1"/>
  <c r="B63" i="184"/>
  <c r="AG62" i="184"/>
  <c r="AC62" i="184"/>
  <c r="Y62" i="184"/>
  <c r="U62" i="184"/>
  <c r="T67" i="184"/>
  <c r="Q62" i="184"/>
  <c r="M62" i="184"/>
  <c r="I62" i="184"/>
  <c r="E62" i="184"/>
  <c r="B62" i="184"/>
  <c r="B65" i="184" s="1"/>
  <c r="AH81" i="184"/>
  <c r="AK55" i="184"/>
  <c r="AG81" i="184"/>
  <c r="AC81" i="184"/>
  <c r="Y81" i="184"/>
  <c r="U81" i="184"/>
  <c r="Q81" i="184"/>
  <c r="Q82" i="184" s="1"/>
  <c r="N81" i="184"/>
  <c r="M81" i="184"/>
  <c r="J81" i="184"/>
  <c r="I81" i="184"/>
  <c r="E81" i="184"/>
  <c r="C81" i="184"/>
  <c r="AH63" i="184"/>
  <c r="AH66" i="184"/>
  <c r="Z63" i="184"/>
  <c r="Y66" i="184" s="1"/>
  <c r="W80" i="184"/>
  <c r="S63" i="184"/>
  <c r="R80" i="184"/>
  <c r="O63" i="184"/>
  <c r="N66" i="184" s="1"/>
  <c r="N63" i="184"/>
  <c r="G120" i="184"/>
  <c r="F120" i="184"/>
  <c r="AC80" i="184"/>
  <c r="Z80" i="184"/>
  <c r="Y80" i="184"/>
  <c r="U80" i="184"/>
  <c r="U82" i="184" s="1"/>
  <c r="Q80" i="184"/>
  <c r="M80" i="184"/>
  <c r="J80" i="184"/>
  <c r="I80" i="184"/>
  <c r="E80" i="184"/>
  <c r="AK50" i="184"/>
  <c r="AK49" i="184"/>
  <c r="AD63" i="184"/>
  <c r="AD66" i="184" s="1"/>
  <c r="AA63" i="184"/>
  <c r="E63" i="184"/>
  <c r="AK48" i="184"/>
  <c r="AF63" i="184"/>
  <c r="AB63" i="184"/>
  <c r="X63" i="184"/>
  <c r="X66" i="184"/>
  <c r="W63" i="184"/>
  <c r="V63" i="184"/>
  <c r="T63" i="184"/>
  <c r="R63" i="184"/>
  <c r="P63" i="184"/>
  <c r="L63" i="184"/>
  <c r="K63" i="184"/>
  <c r="K66" i="184" s="1"/>
  <c r="I63" i="184"/>
  <c r="H63" i="184"/>
  <c r="G63" i="184"/>
  <c r="F63" i="184"/>
  <c r="D63" i="184"/>
  <c r="AF62" i="184"/>
  <c r="AB62" i="184"/>
  <c r="X62" i="184"/>
  <c r="X7" i="184" s="1"/>
  <c r="T62" i="184"/>
  <c r="P62" i="184"/>
  <c r="L62" i="184"/>
  <c r="H62" i="184"/>
  <c r="H7" i="184" s="1"/>
  <c r="C67" i="184"/>
  <c r="AH38" i="184"/>
  <c r="AG38" i="184"/>
  <c r="AF38" i="184"/>
  <c r="AE38" i="184"/>
  <c r="AD38" i="184"/>
  <c r="AC38" i="184"/>
  <c r="AB38" i="184"/>
  <c r="Y38" i="184"/>
  <c r="X38" i="184"/>
  <c r="U38" i="184"/>
  <c r="T38" i="184"/>
  <c r="Q38" i="184"/>
  <c r="P38" i="184"/>
  <c r="M38" i="184"/>
  <c r="L38" i="184"/>
  <c r="I38" i="184"/>
  <c r="H38" i="184"/>
  <c r="E38" i="184"/>
  <c r="D38" i="184"/>
  <c r="AH37" i="184"/>
  <c r="AG37" i="184"/>
  <c r="AF37" i="184"/>
  <c r="AE37" i="184"/>
  <c r="AD37" i="184"/>
  <c r="AD39" i="184"/>
  <c r="Z37" i="184"/>
  <c r="Y37" i="184"/>
  <c r="R37" i="184"/>
  <c r="Q37" i="184"/>
  <c r="J37" i="184"/>
  <c r="I37" i="184"/>
  <c r="B37" i="184"/>
  <c r="AH35" i="184"/>
  <c r="AG35" i="184"/>
  <c r="AG36" i="184" s="1"/>
  <c r="AF35" i="184"/>
  <c r="AE35" i="184"/>
  <c r="X35" i="184"/>
  <c r="W35" i="184"/>
  <c r="P35" i="184"/>
  <c r="O35" i="184"/>
  <c r="H35" i="184"/>
  <c r="G35" i="184"/>
  <c r="B35" i="184"/>
  <c r="AH34" i="184"/>
  <c r="AG34" i="184"/>
  <c r="AF34" i="184"/>
  <c r="AF36" i="184" s="1"/>
  <c r="AE34" i="184"/>
  <c r="AD34" i="184"/>
  <c r="Z34" i="184"/>
  <c r="Y34" i="184"/>
  <c r="V34" i="184"/>
  <c r="U34" i="184"/>
  <c r="T34" i="184"/>
  <c r="R34" i="184"/>
  <c r="Q34" i="184"/>
  <c r="Q14" i="184" s="1"/>
  <c r="P34" i="184"/>
  <c r="N34" i="184"/>
  <c r="J34" i="184"/>
  <c r="I34" i="184"/>
  <c r="F34" i="184"/>
  <c r="E34" i="184"/>
  <c r="D34" i="184"/>
  <c r="B34" i="184"/>
  <c r="B36" i="184" s="1"/>
  <c r="B105" i="184" s="1"/>
  <c r="AC35" i="184"/>
  <c r="AB37" i="184"/>
  <c r="AB39" i="184" s="1"/>
  <c r="Y35" i="184"/>
  <c r="X37" i="184"/>
  <c r="X39" i="184" s="1"/>
  <c r="V37" i="184"/>
  <c r="V39" i="184" s="1"/>
  <c r="U35" i="184"/>
  <c r="T37" i="184"/>
  <c r="Q35" i="184"/>
  <c r="P37" i="184"/>
  <c r="P39" i="184" s="1"/>
  <c r="N37" i="184"/>
  <c r="M35" i="184"/>
  <c r="L37" i="184"/>
  <c r="L39" i="184" s="1"/>
  <c r="I35" i="184"/>
  <c r="H37" i="184"/>
  <c r="H39" i="184" s="1"/>
  <c r="F37" i="184"/>
  <c r="E35" i="184"/>
  <c r="E36" i="184" s="1"/>
  <c r="E105" i="184" s="1"/>
  <c r="D37" i="184"/>
  <c r="AD35" i="184"/>
  <c r="AD36" i="184" s="1"/>
  <c r="AD105" i="184" s="1"/>
  <c r="AD106" i="184" s="1"/>
  <c r="AB35" i="184"/>
  <c r="AA35" i="184"/>
  <c r="Z35" i="184"/>
  <c r="V35" i="184"/>
  <c r="T35" i="184"/>
  <c r="S35" i="184"/>
  <c r="R35" i="184"/>
  <c r="N35" i="184"/>
  <c r="N36" i="184" s="1"/>
  <c r="N105" i="184" s="1"/>
  <c r="L35" i="184"/>
  <c r="K35" i="184"/>
  <c r="J35" i="184"/>
  <c r="F35" i="184"/>
  <c r="F36" i="184" s="1"/>
  <c r="F105" i="184" s="1"/>
  <c r="F106" i="184" s="1"/>
  <c r="D35" i="184"/>
  <c r="C35" i="184"/>
  <c r="C36" i="184" s="1"/>
  <c r="C105" i="184" s="1"/>
  <c r="C106" i="184" s="1"/>
  <c r="AC34" i="184"/>
  <c r="AC14" i="184" s="1"/>
  <c r="AA38" i="184"/>
  <c r="W38" i="184"/>
  <c r="S38" i="184"/>
  <c r="O38" i="184"/>
  <c r="M34" i="184"/>
  <c r="M14" i="184" s="1"/>
  <c r="K38" i="184"/>
  <c r="G38" i="184"/>
  <c r="C38" i="184"/>
  <c r="B18" i="184"/>
  <c r="AG14" i="184"/>
  <c r="AF14" i="184"/>
  <c r="AE14" i="184"/>
  <c r="AD14" i="184"/>
  <c r="Z14" i="184"/>
  <c r="U14" i="184"/>
  <c r="N14" i="184"/>
  <c r="F14" i="184"/>
  <c r="Y7" i="184"/>
  <c r="I7" i="184"/>
  <c r="O67" i="184"/>
  <c r="P7" i="184"/>
  <c r="W67" i="184"/>
  <c r="AF7" i="184"/>
  <c r="B38" i="184"/>
  <c r="C34" i="184"/>
  <c r="J38" i="184"/>
  <c r="J39" i="184" s="1"/>
  <c r="K34" i="184"/>
  <c r="R38" i="184"/>
  <c r="S34" i="184"/>
  <c r="Z38" i="184"/>
  <c r="Z39" i="184" s="1"/>
  <c r="AA34" i="184"/>
  <c r="AK22" i="184"/>
  <c r="U36" i="184"/>
  <c r="U105" i="184" s="1"/>
  <c r="U106" i="184" s="1"/>
  <c r="AC82" i="184"/>
  <c r="E120" i="184"/>
  <c r="AK23" i="184"/>
  <c r="AK24" i="184"/>
  <c r="AB34" i="184"/>
  <c r="AB14" i="184" s="1"/>
  <c r="E37" i="184"/>
  <c r="M37" i="184"/>
  <c r="U37" i="184"/>
  <c r="AC37" i="184"/>
  <c r="J62" i="184"/>
  <c r="N62" i="184"/>
  <c r="V62" i="184"/>
  <c r="Z62" i="184"/>
  <c r="Z65" i="184" s="1"/>
  <c r="AD62" i="184"/>
  <c r="AD7" i="184" s="1"/>
  <c r="C37" i="184"/>
  <c r="G37" i="184"/>
  <c r="K37" i="184"/>
  <c r="K39" i="184" s="1"/>
  <c r="O37" i="184"/>
  <c r="S37" i="184"/>
  <c r="S39" i="184"/>
  <c r="W37" i="184"/>
  <c r="W39" i="184" s="1"/>
  <c r="AA37" i="184"/>
  <c r="AA39" i="184"/>
  <c r="H34" i="184"/>
  <c r="H36" i="184" s="1"/>
  <c r="H105" i="184" s="1"/>
  <c r="X34" i="184"/>
  <c r="X36" i="184" s="1"/>
  <c r="AK46" i="184"/>
  <c r="C62" i="184"/>
  <c r="G62" i="184"/>
  <c r="K62" i="184"/>
  <c r="O62" i="184"/>
  <c r="S62" i="184"/>
  <c r="W62" i="184"/>
  <c r="AA62" i="184"/>
  <c r="AE62" i="184"/>
  <c r="M63" i="184"/>
  <c r="M66" i="184" s="1"/>
  <c r="Q63" i="184"/>
  <c r="AC63" i="184"/>
  <c r="AK47" i="184"/>
  <c r="G80" i="184"/>
  <c r="S80" i="184"/>
  <c r="AA80" i="184"/>
  <c r="AE80" i="184"/>
  <c r="AE82" i="184"/>
  <c r="AG65" i="184"/>
  <c r="U65" i="184"/>
  <c r="U86" i="184" s="1"/>
  <c r="D62" i="184"/>
  <c r="F38" i="184"/>
  <c r="G34" i="184"/>
  <c r="G36" i="184" s="1"/>
  <c r="G105" i="184" s="1"/>
  <c r="G106" i="184" s="1"/>
  <c r="N38" i="184"/>
  <c r="N39" i="184" s="1"/>
  <c r="O34" i="184"/>
  <c r="O36" i="184" s="1"/>
  <c r="O105" i="184" s="1"/>
  <c r="V38" i="184"/>
  <c r="W34" i="184"/>
  <c r="AG80" i="184"/>
  <c r="AG82" i="184" s="1"/>
  <c r="AH62" i="184"/>
  <c r="M7" i="184"/>
  <c r="U7" i="184"/>
  <c r="L34" i="184"/>
  <c r="L36" i="184" s="1"/>
  <c r="L105" i="184" s="1"/>
  <c r="L106" i="184" s="1"/>
  <c r="AF105" i="184"/>
  <c r="AG39" i="184"/>
  <c r="F62" i="184"/>
  <c r="R62" i="184"/>
  <c r="F80" i="184"/>
  <c r="N80" i="184"/>
  <c r="V80" i="184"/>
  <c r="V82" i="184" s="1"/>
  <c r="AD80" i="184"/>
  <c r="AD82" i="184" s="1"/>
  <c r="AK52" i="184"/>
  <c r="AK53" i="184"/>
  <c r="F81" i="184"/>
  <c r="R81" i="184"/>
  <c r="Z81" i="184"/>
  <c r="Z82" i="184" s="1"/>
  <c r="AD81" i="184"/>
  <c r="AK54" i="184"/>
  <c r="D80" i="184"/>
  <c r="H80" i="184"/>
  <c r="L80" i="184"/>
  <c r="P80" i="184"/>
  <c r="T80" i="184"/>
  <c r="X80" i="184"/>
  <c r="AB80" i="184"/>
  <c r="AB82" i="184" s="1"/>
  <c r="AF80" i="184"/>
  <c r="D81" i="184"/>
  <c r="D82" i="184" s="1"/>
  <c r="H81" i="184"/>
  <c r="L81" i="184"/>
  <c r="P81" i="184"/>
  <c r="T81" i="184"/>
  <c r="X81" i="184"/>
  <c r="X82" i="184" s="1"/>
  <c r="AB81" i="184"/>
  <c r="AF81" i="184"/>
  <c r="AF82" i="184" s="1"/>
  <c r="K80" i="184"/>
  <c r="D120" i="184"/>
  <c r="C120" i="184"/>
  <c r="G81" i="184"/>
  <c r="K81" i="184"/>
  <c r="K82" i="184" s="1"/>
  <c r="O81" i="184"/>
  <c r="S81" i="184"/>
  <c r="W81" i="184"/>
  <c r="W82" i="184" s="1"/>
  <c r="AA81" i="184"/>
  <c r="AE81" i="184"/>
  <c r="AK78" i="184"/>
  <c r="O14" i="184"/>
  <c r="AG113" i="184"/>
  <c r="AG115" i="184" s="1"/>
  <c r="AG117" i="184" s="1"/>
  <c r="J67" i="184"/>
  <c r="K7" i="184"/>
  <c r="X105" i="184"/>
  <c r="X14" i="184"/>
  <c r="N7" i="184"/>
  <c r="N65" i="184"/>
  <c r="N88" i="184" s="1"/>
  <c r="L66" i="184"/>
  <c r="L113" i="184" s="1"/>
  <c r="L115" i="184" s="1"/>
  <c r="R7" i="184"/>
  <c r="G14" i="184"/>
  <c r="W7" i="184"/>
  <c r="G65" i="184"/>
  <c r="G7" i="184"/>
  <c r="V65" i="184"/>
  <c r="E67" i="184"/>
  <c r="F7" i="184"/>
  <c r="M113" i="184"/>
  <c r="M115" i="184" s="1"/>
  <c r="B67" i="184"/>
  <c r="AB36" i="184"/>
  <c r="AB105" i="184" s="1"/>
  <c r="AB106" i="184" s="1"/>
  <c r="K14" i="184"/>
  <c r="S72" i="186"/>
  <c r="P72" i="186"/>
  <c r="Q72" i="186" s="1"/>
  <c r="O72" i="186"/>
  <c r="L72" i="186"/>
  <c r="K72" i="186"/>
  <c r="H72" i="186"/>
  <c r="I72" i="186" s="1"/>
  <c r="G72" i="186"/>
  <c r="Z68" i="186"/>
  <c r="Y68" i="186"/>
  <c r="Q68" i="186"/>
  <c r="M68" i="186"/>
  <c r="I68" i="186"/>
  <c r="Z67" i="186"/>
  <c r="Y67" i="186"/>
  <c r="Q67" i="186"/>
  <c r="M67" i="186"/>
  <c r="I67" i="186"/>
  <c r="Z66" i="186"/>
  <c r="Y66" i="186"/>
  <c r="Q66" i="186"/>
  <c r="M66" i="186"/>
  <c r="I66" i="186"/>
  <c r="Z65" i="186"/>
  <c r="Y65" i="186"/>
  <c r="Q65" i="186"/>
  <c r="M65" i="186"/>
  <c r="I65" i="186"/>
  <c r="Z64" i="186"/>
  <c r="Y64" i="186"/>
  <c r="Q64" i="186"/>
  <c r="M64" i="186"/>
  <c r="I64" i="186"/>
  <c r="Z63" i="186"/>
  <c r="Y63" i="186"/>
  <c r="Q63" i="186"/>
  <c r="M63" i="186"/>
  <c r="I63" i="186"/>
  <c r="Z62" i="186"/>
  <c r="Y62" i="186"/>
  <c r="Q62" i="186"/>
  <c r="M62" i="186"/>
  <c r="I62" i="186"/>
  <c r="Z61" i="186"/>
  <c r="Y61" i="186"/>
  <c r="Q61" i="186"/>
  <c r="I61" i="186"/>
  <c r="S57" i="186"/>
  <c r="P57" i="186"/>
  <c r="L57" i="186"/>
  <c r="H57" i="186"/>
  <c r="S54" i="186"/>
  <c r="P54" i="186"/>
  <c r="O54" i="186"/>
  <c r="L54" i="186"/>
  <c r="K54" i="186"/>
  <c r="H54" i="186"/>
  <c r="G54" i="186"/>
  <c r="Z51" i="186"/>
  <c r="Y51" i="186"/>
  <c r="Z50" i="186"/>
  <c r="Y50" i="186"/>
  <c r="Q50" i="186"/>
  <c r="M50" i="186"/>
  <c r="I50" i="186"/>
  <c r="Z49" i="186"/>
  <c r="Y49" i="186"/>
  <c r="Q49" i="186"/>
  <c r="M49" i="186"/>
  <c r="I49" i="186"/>
  <c r="Z48" i="186"/>
  <c r="Y48" i="186"/>
  <c r="Q48" i="186"/>
  <c r="M48" i="186"/>
  <c r="I48" i="186"/>
  <c r="Z47" i="186"/>
  <c r="Y47" i="186"/>
  <c r="Q47" i="186"/>
  <c r="M47" i="186"/>
  <c r="I47" i="186"/>
  <c r="Z46" i="186"/>
  <c r="Y46" i="186"/>
  <c r="Q46" i="186"/>
  <c r="M46" i="186"/>
  <c r="I46" i="186"/>
  <c r="Z45" i="186"/>
  <c r="Y45" i="186"/>
  <c r="Q45" i="186"/>
  <c r="M45" i="186"/>
  <c r="I45" i="186"/>
  <c r="Z44" i="186"/>
  <c r="Y44" i="186"/>
  <c r="Q44" i="186"/>
  <c r="M44" i="186"/>
  <c r="I44" i="186"/>
  <c r="Z43" i="186"/>
  <c r="Y43" i="186"/>
  <c r="M43" i="186"/>
  <c r="L88" i="186"/>
  <c r="M88" i="186" s="1"/>
  <c r="N88" i="186" s="1"/>
  <c r="O88" i="186" s="1"/>
  <c r="P88" i="186" s="1"/>
  <c r="Q88" i="186" s="1"/>
  <c r="R88" i="186" s="1"/>
  <c r="S88" i="186" s="1"/>
  <c r="T88" i="186" s="1"/>
  <c r="U88" i="186" s="1"/>
  <c r="V88" i="186" s="1"/>
  <c r="W88" i="186" s="1"/>
  <c r="L89" i="186"/>
  <c r="M89" i="186" s="1"/>
  <c r="L90" i="186"/>
  <c r="M90" i="186" s="1"/>
  <c r="N90" i="186" s="1"/>
  <c r="O90" i="186" s="1"/>
  <c r="P90" i="186" s="1"/>
  <c r="Q90" i="186" s="1"/>
  <c r="R90" i="186" s="1"/>
  <c r="S90" i="186" s="1"/>
  <c r="T90" i="186" s="1"/>
  <c r="U90" i="186" s="1"/>
  <c r="V90" i="186" s="1"/>
  <c r="W90" i="186" s="1"/>
  <c r="L91" i="186"/>
  <c r="L92" i="186"/>
  <c r="M92" i="186" s="1"/>
  <c r="N92" i="186" s="1"/>
  <c r="O92" i="186" s="1"/>
  <c r="P92" i="186" s="1"/>
  <c r="Q92" i="186" s="1"/>
  <c r="R92" i="186" s="1"/>
  <c r="S92" i="186" s="1"/>
  <c r="T92" i="186" s="1"/>
  <c r="U92" i="186" s="1"/>
  <c r="V92" i="186" s="1"/>
  <c r="W92" i="186" s="1"/>
  <c r="G93" i="186"/>
  <c r="O27" i="163"/>
  <c r="Q57" i="185"/>
  <c r="D26" i="185" s="1"/>
  <c r="D18" i="185" s="1"/>
  <c r="C110" i="185"/>
  <c r="AI76" i="185" s="1"/>
  <c r="D28" i="185"/>
  <c r="D22" i="185"/>
  <c r="D20" i="185"/>
  <c r="H138" i="185"/>
  <c r="I138" i="185" s="1"/>
  <c r="J138" i="185" s="1"/>
  <c r="K138" i="185" s="1"/>
  <c r="L138" i="185" s="1"/>
  <c r="M138" i="185" s="1"/>
  <c r="N138" i="185" s="1"/>
  <c r="O138" i="185" s="1"/>
  <c r="P138" i="185" s="1"/>
  <c r="F140" i="185"/>
  <c r="G140" i="185" s="1"/>
  <c r="H140" i="185" s="1"/>
  <c r="I140" i="185" s="1"/>
  <c r="J140" i="185" s="1"/>
  <c r="K140" i="185" s="1"/>
  <c r="L140" i="185" s="1"/>
  <c r="M140" i="185" s="1"/>
  <c r="N140" i="185" s="1"/>
  <c r="O140" i="185" s="1"/>
  <c r="O142" i="185" s="1"/>
  <c r="F138" i="185"/>
  <c r="G138" i="185" s="1"/>
  <c r="E138" i="185"/>
  <c r="N116" i="185"/>
  <c r="O122" i="185"/>
  <c r="D124" i="185"/>
  <c r="D122" i="185"/>
  <c r="C120" i="185"/>
  <c r="C126" i="185" s="1"/>
  <c r="B114" i="185" s="1"/>
  <c r="D116" i="185"/>
  <c r="D118" i="185" s="1"/>
  <c r="C114" i="185"/>
  <c r="E145" i="185"/>
  <c r="F145" i="185" s="1"/>
  <c r="G145" i="185" s="1"/>
  <c r="H145" i="185" s="1"/>
  <c r="I145" i="185" s="1"/>
  <c r="J145" i="185" s="1"/>
  <c r="K145" i="185" s="1"/>
  <c r="L145" i="185" s="1"/>
  <c r="M145" i="185" s="1"/>
  <c r="N145" i="185" s="1"/>
  <c r="O145" i="185" s="1"/>
  <c r="P145" i="185" s="1"/>
  <c r="Q145" i="185" s="1"/>
  <c r="R145" i="185" s="1"/>
  <c r="S145" i="185" s="1"/>
  <c r="T145" i="185" s="1"/>
  <c r="U145" i="185" s="1"/>
  <c r="V145" i="185" s="1"/>
  <c r="W145" i="185" s="1"/>
  <c r="X145" i="185" s="1"/>
  <c r="Y145" i="185" s="1"/>
  <c r="Z145" i="185" s="1"/>
  <c r="AA145" i="185" s="1"/>
  <c r="AB145" i="185" s="1"/>
  <c r="AC145" i="185" s="1"/>
  <c r="E144" i="185"/>
  <c r="F144" i="185"/>
  <c r="G144" i="185" s="1"/>
  <c r="H144" i="185" s="1"/>
  <c r="I144" i="185" s="1"/>
  <c r="J144" i="185" s="1"/>
  <c r="K144" i="185" s="1"/>
  <c r="L144" i="185" s="1"/>
  <c r="M144" i="185" s="1"/>
  <c r="N144" i="185" s="1"/>
  <c r="O144" i="185" s="1"/>
  <c r="P144" i="185" s="1"/>
  <c r="E141" i="185"/>
  <c r="F141" i="185" s="1"/>
  <c r="G141" i="185" s="1"/>
  <c r="H141" i="185" s="1"/>
  <c r="I141" i="185" s="1"/>
  <c r="J141" i="185" s="1"/>
  <c r="K141" i="185" s="1"/>
  <c r="L141" i="185" s="1"/>
  <c r="M141" i="185" s="1"/>
  <c r="N141" i="185" s="1"/>
  <c r="O141" i="185" s="1"/>
  <c r="P141" i="185" s="1"/>
  <c r="Q141" i="185" s="1"/>
  <c r="R141" i="185" s="1"/>
  <c r="S141" i="185" s="1"/>
  <c r="T141" i="185" s="1"/>
  <c r="U141" i="185" s="1"/>
  <c r="V141" i="185" s="1"/>
  <c r="W141" i="185" s="1"/>
  <c r="X141" i="185" s="1"/>
  <c r="Y141" i="185" s="1"/>
  <c r="E140" i="185"/>
  <c r="E139" i="185"/>
  <c r="O132" i="185"/>
  <c r="P132" i="185" s="1"/>
  <c r="C103" i="185"/>
  <c r="H95" i="185"/>
  <c r="B95" i="185"/>
  <c r="E95" i="185" s="1"/>
  <c r="E92" i="185" s="1"/>
  <c r="F92" i="185" s="1"/>
  <c r="G92" i="185" s="1"/>
  <c r="H68" i="185"/>
  <c r="H70" i="185" s="1"/>
  <c r="G68" i="185"/>
  <c r="G70" i="185" s="1"/>
  <c r="F68" i="185"/>
  <c r="F70" i="185" s="1"/>
  <c r="E68" i="185"/>
  <c r="E70" i="185"/>
  <c r="D68" i="185"/>
  <c r="E59" i="185"/>
  <c r="F58" i="185"/>
  <c r="G58" i="185" s="1"/>
  <c r="K57" i="185"/>
  <c r="M55" i="185" s="1"/>
  <c r="F57" i="185"/>
  <c r="O46" i="185"/>
  <c r="N46" i="185"/>
  <c r="M46" i="185"/>
  <c r="L46" i="185"/>
  <c r="E36" i="185"/>
  <c r="F36" i="185" s="1"/>
  <c r="G36" i="185"/>
  <c r="H36" i="185" s="1"/>
  <c r="I36" i="185" s="1"/>
  <c r="J36" i="185" s="1"/>
  <c r="K36" i="185"/>
  <c r="L36" i="185" s="1"/>
  <c r="M36" i="185" s="1"/>
  <c r="N36" i="185" s="1"/>
  <c r="O36" i="185" s="1"/>
  <c r="P36" i="185" s="1"/>
  <c r="Q36" i="185" s="1"/>
  <c r="R36" i="185" s="1"/>
  <c r="S36" i="185" s="1"/>
  <c r="T36" i="185" s="1"/>
  <c r="U36" i="185" s="1"/>
  <c r="V36" i="185" s="1"/>
  <c r="W36" i="185" s="1"/>
  <c r="X36" i="185" s="1"/>
  <c r="Y36" i="185" s="1"/>
  <c r="Z36" i="185" s="1"/>
  <c r="AA36" i="185" s="1"/>
  <c r="AB36" i="185" s="1"/>
  <c r="AC36" i="185" s="1"/>
  <c r="AD36" i="185" s="1"/>
  <c r="AE36" i="185" s="1"/>
  <c r="AF36" i="185" s="1"/>
  <c r="AG36" i="185" s="1"/>
  <c r="AH36" i="185" s="1"/>
  <c r="AI36" i="185" s="1"/>
  <c r="F20" i="185"/>
  <c r="F23" i="185"/>
  <c r="G20" i="185"/>
  <c r="G23" i="185" s="1"/>
  <c r="H122" i="185" s="1"/>
  <c r="H20" i="185"/>
  <c r="H23" i="185" s="1"/>
  <c r="I122" i="185" s="1"/>
  <c r="I20" i="185"/>
  <c r="I23" i="185" s="1"/>
  <c r="J122" i="185" s="1"/>
  <c r="I9" i="185"/>
  <c r="J20" i="185"/>
  <c r="J23" i="185"/>
  <c r="K20" i="185"/>
  <c r="K23" i="185" s="1"/>
  <c r="L122" i="185" s="1"/>
  <c r="K9" i="185"/>
  <c r="L20" i="185"/>
  <c r="M20" i="185"/>
  <c r="M23" i="185" s="1"/>
  <c r="N20" i="185"/>
  <c r="O20" i="185"/>
  <c r="O23" i="185" s="1"/>
  <c r="P122" i="185" s="1"/>
  <c r="O9" i="185"/>
  <c r="E20" i="185"/>
  <c r="F26" i="185"/>
  <c r="F30" i="185" s="1"/>
  <c r="G26" i="185"/>
  <c r="G30" i="185"/>
  <c r="H26" i="185"/>
  <c r="H30" i="185" s="1"/>
  <c r="I26" i="185"/>
  <c r="I30" i="185"/>
  <c r="J26" i="185"/>
  <c r="J30" i="185" s="1"/>
  <c r="K26" i="185"/>
  <c r="L26" i="185"/>
  <c r="L30" i="185" s="1"/>
  <c r="M116" i="185" s="1"/>
  <c r="L15" i="185"/>
  <c r="M26" i="185"/>
  <c r="N26" i="185"/>
  <c r="N30" i="185" s="1"/>
  <c r="O116" i="185" s="1"/>
  <c r="O26" i="185"/>
  <c r="E26" i="185"/>
  <c r="E30" i="185" s="1"/>
  <c r="O30" i="185"/>
  <c r="O15" i="185" s="1"/>
  <c r="N15" i="185"/>
  <c r="M30" i="185"/>
  <c r="M15" i="185"/>
  <c r="K30" i="185"/>
  <c r="L116" i="185" s="1"/>
  <c r="E23" i="185"/>
  <c r="N23" i="185"/>
  <c r="N9" i="185"/>
  <c r="L23" i="185"/>
  <c r="H9" i="185"/>
  <c r="G9" i="185"/>
  <c r="K15" i="185"/>
  <c r="D13" i="185"/>
  <c r="D7" i="185"/>
  <c r="D70" i="185"/>
  <c r="D23" i="185"/>
  <c r="O117" i="185"/>
  <c r="I117" i="185"/>
  <c r="G48" i="179"/>
  <c r="H85" i="179"/>
  <c r="I85" i="179"/>
  <c r="J85" i="179"/>
  <c r="K85" i="179"/>
  <c r="L85" i="179"/>
  <c r="M85" i="179"/>
  <c r="N85" i="179"/>
  <c r="O85" i="179"/>
  <c r="P85" i="179"/>
  <c r="Q85" i="179"/>
  <c r="R85" i="179"/>
  <c r="S85" i="179"/>
  <c r="G85" i="179"/>
  <c r="O189" i="28"/>
  <c r="O190" i="28"/>
  <c r="O191" i="28"/>
  <c r="O188" i="28"/>
  <c r="I19" i="209"/>
  <c r="O20" i="181"/>
  <c r="O86" i="181" s="1"/>
  <c r="L19" i="209"/>
  <c r="M19" i="209"/>
  <c r="P19" i="209"/>
  <c r="Q19" i="209"/>
  <c r="Q188" i="28"/>
  <c r="S188" i="28"/>
  <c r="T189" i="28"/>
  <c r="V189" i="28"/>
  <c r="P191" i="28"/>
  <c r="BU70" i="172"/>
  <c r="BT70" i="172"/>
  <c r="BS70" i="172"/>
  <c r="BR70" i="172"/>
  <c r="BQ70" i="172"/>
  <c r="BP70" i="172"/>
  <c r="BO70" i="172"/>
  <c r="BN70" i="172"/>
  <c r="BM70" i="172"/>
  <c r="BL70" i="172"/>
  <c r="BK70" i="172"/>
  <c r="BJ70" i="172"/>
  <c r="BI70" i="172"/>
  <c r="BH70" i="172"/>
  <c r="BG70" i="172"/>
  <c r="BF70" i="172"/>
  <c r="BE70" i="172"/>
  <c r="BD70" i="172"/>
  <c r="BC70" i="172"/>
  <c r="BB70" i="172"/>
  <c r="BA70" i="172"/>
  <c r="AZ70" i="172"/>
  <c r="AY70" i="172"/>
  <c r="AX70" i="172"/>
  <c r="AW70" i="172"/>
  <c r="AV70" i="172"/>
  <c r="AU70" i="172"/>
  <c r="AT70" i="172"/>
  <c r="AS70" i="172"/>
  <c r="AR70" i="172"/>
  <c r="BU69" i="172"/>
  <c r="BT69" i="172"/>
  <c r="BS69" i="172"/>
  <c r="BR69" i="172"/>
  <c r="BQ69" i="172"/>
  <c r="BP69" i="172"/>
  <c r="BO69" i="172"/>
  <c r="BN69" i="172"/>
  <c r="BM69" i="172"/>
  <c r="BL69" i="172"/>
  <c r="BK69" i="172"/>
  <c r="BJ69" i="172"/>
  <c r="BI69" i="172"/>
  <c r="BH69" i="172"/>
  <c r="BG69" i="172"/>
  <c r="BF69" i="172"/>
  <c r="BE69" i="172"/>
  <c r="BD69" i="172"/>
  <c r="BC69" i="172"/>
  <c r="BB69" i="172"/>
  <c r="BA69" i="172"/>
  <c r="AZ69" i="172"/>
  <c r="AY69" i="172"/>
  <c r="AX69" i="172"/>
  <c r="AW69" i="172"/>
  <c r="AV69" i="172"/>
  <c r="AU69" i="172"/>
  <c r="AT69" i="172"/>
  <c r="AS69" i="172"/>
  <c r="AR69" i="172"/>
  <c r="BU68" i="172"/>
  <c r="BT68" i="172"/>
  <c r="BS68" i="172"/>
  <c r="BR68" i="172"/>
  <c r="BQ68" i="172"/>
  <c r="BP68" i="172"/>
  <c r="BO68" i="172"/>
  <c r="BN68" i="172"/>
  <c r="BM68" i="172"/>
  <c r="BL68" i="172"/>
  <c r="BK68" i="172"/>
  <c r="BJ68" i="172"/>
  <c r="BI68" i="172"/>
  <c r="BH68" i="172"/>
  <c r="BG68" i="172"/>
  <c r="BF68" i="172"/>
  <c r="BE68" i="172"/>
  <c r="BD68" i="172"/>
  <c r="BC68" i="172"/>
  <c r="BB68" i="172"/>
  <c r="BA68" i="172"/>
  <c r="AZ68" i="172"/>
  <c r="AY68" i="172"/>
  <c r="AX68" i="172"/>
  <c r="AW68" i="172"/>
  <c r="AV68" i="172"/>
  <c r="AU68" i="172"/>
  <c r="AT68" i="172"/>
  <c r="AS68" i="172"/>
  <c r="AR68" i="172"/>
  <c r="BU67" i="172"/>
  <c r="BT67" i="172"/>
  <c r="BS67" i="172"/>
  <c r="BR67" i="172"/>
  <c r="BQ67" i="172"/>
  <c r="BP67" i="172"/>
  <c r="BO67" i="172"/>
  <c r="BN67" i="172"/>
  <c r="BM67" i="172"/>
  <c r="BL67" i="172"/>
  <c r="BK67" i="172"/>
  <c r="BJ67" i="172"/>
  <c r="BI67" i="172"/>
  <c r="BH67" i="172"/>
  <c r="BG67" i="172"/>
  <c r="BF67" i="172"/>
  <c r="BE67" i="172"/>
  <c r="BD67" i="172"/>
  <c r="BC67" i="172"/>
  <c r="BB67" i="172"/>
  <c r="BA67" i="172"/>
  <c r="AZ67" i="172"/>
  <c r="AY67" i="172"/>
  <c r="AX67" i="172"/>
  <c r="AW67" i="172"/>
  <c r="AV67" i="172"/>
  <c r="AU67" i="172"/>
  <c r="AT67" i="172"/>
  <c r="AS67" i="172"/>
  <c r="AR67" i="172"/>
  <c r="BU66" i="172"/>
  <c r="BT66" i="172"/>
  <c r="BS66" i="172"/>
  <c r="BR66" i="172"/>
  <c r="BQ66" i="172"/>
  <c r="BP66" i="172"/>
  <c r="BO66" i="172"/>
  <c r="BN66" i="172"/>
  <c r="BM66" i="172"/>
  <c r="BL66" i="172"/>
  <c r="BK66" i="172"/>
  <c r="BJ66" i="172"/>
  <c r="BI66" i="172"/>
  <c r="BH66" i="172"/>
  <c r="BG66" i="172"/>
  <c r="BF66" i="172"/>
  <c r="BE66" i="172"/>
  <c r="BD66" i="172"/>
  <c r="BC66" i="172"/>
  <c r="BB66" i="172"/>
  <c r="BA66" i="172"/>
  <c r="AZ66" i="172"/>
  <c r="AY66" i="172"/>
  <c r="AX66" i="172"/>
  <c r="AW66" i="172"/>
  <c r="AV66" i="172"/>
  <c r="AU66" i="172"/>
  <c r="AT66" i="172"/>
  <c r="AS66" i="172"/>
  <c r="AR66" i="172"/>
  <c r="BU65" i="172"/>
  <c r="BT65" i="172"/>
  <c r="BS65" i="172"/>
  <c r="BR65" i="172"/>
  <c r="BQ65" i="172"/>
  <c r="BP65" i="172"/>
  <c r="BO65" i="172"/>
  <c r="BN65" i="172"/>
  <c r="BM65" i="172"/>
  <c r="BL65" i="172"/>
  <c r="BK65" i="172"/>
  <c r="BJ65" i="172"/>
  <c r="BI65" i="172"/>
  <c r="BH65" i="172"/>
  <c r="BG65" i="172"/>
  <c r="BF65" i="172"/>
  <c r="BE65" i="172"/>
  <c r="BD65" i="172"/>
  <c r="BC65" i="172"/>
  <c r="BB65" i="172"/>
  <c r="BA65" i="172"/>
  <c r="AZ65" i="172"/>
  <c r="AY65" i="172"/>
  <c r="AX65" i="172"/>
  <c r="AW65" i="172"/>
  <c r="AV65" i="172"/>
  <c r="AU65" i="172"/>
  <c r="AT65" i="172"/>
  <c r="AS65" i="172"/>
  <c r="AR65" i="172"/>
  <c r="BU64" i="172"/>
  <c r="BT64" i="172"/>
  <c r="BS64" i="172"/>
  <c r="BR64" i="172"/>
  <c r="BQ64" i="172"/>
  <c r="BP64" i="172"/>
  <c r="BO64" i="172"/>
  <c r="BN64" i="172"/>
  <c r="BM64" i="172"/>
  <c r="BL64" i="172"/>
  <c r="BK64" i="172"/>
  <c r="BJ64" i="172"/>
  <c r="BI64" i="172"/>
  <c r="BH64" i="172"/>
  <c r="BG64" i="172"/>
  <c r="BF64" i="172"/>
  <c r="BE64" i="172"/>
  <c r="BD64" i="172"/>
  <c r="BC64" i="172"/>
  <c r="BB64" i="172"/>
  <c r="BA64" i="172"/>
  <c r="AZ64" i="172"/>
  <c r="AY64" i="172"/>
  <c r="AX64" i="172"/>
  <c r="AW64" i="172"/>
  <c r="AV64" i="172"/>
  <c r="AU64" i="172"/>
  <c r="AT64" i="172"/>
  <c r="AS64" i="172"/>
  <c r="AS76" i="172"/>
  <c r="P188" i="28" s="1"/>
  <c r="AT76" i="172"/>
  <c r="AU76" i="172"/>
  <c r="R188" i="28" s="1"/>
  <c r="AV76" i="172"/>
  <c r="AW76" i="172"/>
  <c r="AX76" i="172"/>
  <c r="U188" i="28" s="1"/>
  <c r="AY76" i="172"/>
  <c r="V188" i="28" s="1"/>
  <c r="AZ76" i="172"/>
  <c r="W188" i="28" s="1"/>
  <c r="BA76" i="172"/>
  <c r="BB76" i="172"/>
  <c r="Y188" i="28" s="1"/>
  <c r="BC76" i="172"/>
  <c r="Z188" i="28" s="1"/>
  <c r="BD76" i="172"/>
  <c r="BE76" i="172"/>
  <c r="BF76" i="172"/>
  <c r="BG76" i="172"/>
  <c r="BH76" i="172"/>
  <c r="BI76" i="172"/>
  <c r="BJ76" i="172"/>
  <c r="BK76" i="172"/>
  <c r="BL76" i="172"/>
  <c r="BM76" i="172"/>
  <c r="BN76" i="172"/>
  <c r="BO76" i="172"/>
  <c r="BP76" i="172"/>
  <c r="BQ76" i="172"/>
  <c r="BR76" i="172"/>
  <c r="BS76" i="172"/>
  <c r="BT76" i="172"/>
  <c r="BU76" i="172"/>
  <c r="AS77" i="172"/>
  <c r="P189" i="28" s="1"/>
  <c r="AT77" i="172"/>
  <c r="Q189" i="28" s="1"/>
  <c r="AU77" i="172"/>
  <c r="R189" i="28" s="1"/>
  <c r="AV77" i="172"/>
  <c r="S189" i="28" s="1"/>
  <c r="AW77" i="172"/>
  <c r="AX77" i="172"/>
  <c r="U189" i="28" s="1"/>
  <c r="AY77" i="172"/>
  <c r="AZ77" i="172"/>
  <c r="W189" i="28" s="1"/>
  <c r="BA77" i="172"/>
  <c r="X189" i="28" s="1"/>
  <c r="BB77" i="172"/>
  <c r="Y189" i="28" s="1"/>
  <c r="BC77" i="172"/>
  <c r="Z189" i="28" s="1"/>
  <c r="BD77" i="172"/>
  <c r="BE77" i="172"/>
  <c r="BF77" i="172"/>
  <c r="BG77" i="172"/>
  <c r="BH77" i="172"/>
  <c r="BI77" i="172"/>
  <c r="BJ77" i="172"/>
  <c r="BK77" i="172"/>
  <c r="BL77" i="172"/>
  <c r="BM77" i="172"/>
  <c r="BN77" i="172"/>
  <c r="BO77" i="172"/>
  <c r="BP77" i="172"/>
  <c r="BQ77" i="172"/>
  <c r="BR77" i="172"/>
  <c r="BS77" i="172"/>
  <c r="BT77" i="172"/>
  <c r="BU77" i="172"/>
  <c r="AS78" i="172"/>
  <c r="P190" i="28" s="1"/>
  <c r="AT78" i="172"/>
  <c r="Q190" i="28" s="1"/>
  <c r="AU78" i="172"/>
  <c r="R190" i="28" s="1"/>
  <c r="AV78" i="172"/>
  <c r="S190" i="28" s="1"/>
  <c r="AW78" i="172"/>
  <c r="T190" i="28" s="1"/>
  <c r="AX78" i="172"/>
  <c r="U190" i="28" s="1"/>
  <c r="AY78" i="172"/>
  <c r="AZ78" i="172"/>
  <c r="W190" i="28" s="1"/>
  <c r="BA78" i="172"/>
  <c r="X190" i="28" s="1"/>
  <c r="BB78" i="172"/>
  <c r="Y190" i="28" s="1"/>
  <c r="BC78" i="172"/>
  <c r="BD78" i="172"/>
  <c r="BE78" i="172"/>
  <c r="BF78" i="172"/>
  <c r="BG78" i="172"/>
  <c r="BH78" i="172"/>
  <c r="BI78" i="172"/>
  <c r="BJ78" i="172"/>
  <c r="BK78" i="172"/>
  <c r="BL78" i="172"/>
  <c r="BM78" i="172"/>
  <c r="BN78" i="172"/>
  <c r="BO78" i="172"/>
  <c r="BP78" i="172"/>
  <c r="BQ78" i="172"/>
  <c r="BR78" i="172"/>
  <c r="BS78" i="172"/>
  <c r="BT78" i="172"/>
  <c r="BU78" i="172"/>
  <c r="AS79" i="172"/>
  <c r="AT79" i="172"/>
  <c r="Q191" i="28" s="1"/>
  <c r="AU79" i="172"/>
  <c r="R191" i="28" s="1"/>
  <c r="AV79" i="172"/>
  <c r="S191" i="28" s="1"/>
  <c r="AW79" i="172"/>
  <c r="T191" i="28" s="1"/>
  <c r="AX79" i="172"/>
  <c r="U191" i="28" s="1"/>
  <c r="AY79" i="172"/>
  <c r="V191" i="28" s="1"/>
  <c r="AZ79" i="172"/>
  <c r="W191" i="28" s="1"/>
  <c r="BA79" i="172"/>
  <c r="X191" i="28" s="1"/>
  <c r="BB79" i="172"/>
  <c r="Y191" i="28" s="1"/>
  <c r="BC79" i="172"/>
  <c r="Z191" i="28" s="1"/>
  <c r="BD79" i="172"/>
  <c r="BE79" i="172"/>
  <c r="BF79" i="172"/>
  <c r="BG79" i="172"/>
  <c r="BH79" i="172"/>
  <c r="BI79" i="172"/>
  <c r="BJ79" i="172"/>
  <c r="BK79" i="172"/>
  <c r="BL79" i="172"/>
  <c r="BM79" i="172"/>
  <c r="BN79" i="172"/>
  <c r="BO79" i="172"/>
  <c r="BP79" i="172"/>
  <c r="BQ79" i="172"/>
  <c r="BR79" i="172"/>
  <c r="BS79" i="172"/>
  <c r="BT79" i="172"/>
  <c r="BU79" i="172"/>
  <c r="AR77" i="172"/>
  <c r="AR78" i="172"/>
  <c r="AR79" i="172"/>
  <c r="AR76" i="172"/>
  <c r="AO223" i="172"/>
  <c r="AN223" i="172"/>
  <c r="AM223" i="172"/>
  <c r="AL223" i="172"/>
  <c r="AK223" i="172"/>
  <c r="AJ223" i="172"/>
  <c r="AI223" i="172"/>
  <c r="AH223" i="172"/>
  <c r="AG223" i="172"/>
  <c r="AF223" i="172"/>
  <c r="AE223" i="172"/>
  <c r="AD223" i="172"/>
  <c r="AC223" i="172"/>
  <c r="AB223" i="172"/>
  <c r="AA223" i="172"/>
  <c r="Z223" i="172"/>
  <c r="Y223" i="172"/>
  <c r="X223" i="172"/>
  <c r="W223" i="172"/>
  <c r="V223" i="172"/>
  <c r="U223" i="172"/>
  <c r="T223" i="172"/>
  <c r="S223" i="172"/>
  <c r="R223" i="172"/>
  <c r="Q223" i="172"/>
  <c r="P223" i="172"/>
  <c r="O223" i="172"/>
  <c r="N223" i="172"/>
  <c r="M223" i="172"/>
  <c r="L223" i="172"/>
  <c r="K223" i="172"/>
  <c r="J223" i="172"/>
  <c r="H223" i="172"/>
  <c r="AO222" i="172"/>
  <c r="AN222" i="172"/>
  <c r="AM222" i="172"/>
  <c r="AL222" i="172"/>
  <c r="AK222" i="172"/>
  <c r="AJ222" i="172"/>
  <c r="AI222" i="172"/>
  <c r="AH222" i="172"/>
  <c r="AG222" i="172"/>
  <c r="AF222" i="172"/>
  <c r="AE222" i="172"/>
  <c r="AD222" i="172"/>
  <c r="AC222" i="172"/>
  <c r="AB222" i="172"/>
  <c r="AA222" i="172"/>
  <c r="Z222" i="172"/>
  <c r="Y222" i="172"/>
  <c r="X222" i="172"/>
  <c r="W222" i="172"/>
  <c r="V222" i="172"/>
  <c r="U222" i="172"/>
  <c r="T222" i="172"/>
  <c r="S222" i="172"/>
  <c r="R222" i="172"/>
  <c r="Q222" i="172"/>
  <c r="P222" i="172"/>
  <c r="O222" i="172"/>
  <c r="N222" i="172"/>
  <c r="M222" i="172"/>
  <c r="L222" i="172"/>
  <c r="K222" i="172"/>
  <c r="J222" i="172"/>
  <c r="H222" i="172"/>
  <c r="AO221" i="172"/>
  <c r="AN221" i="172"/>
  <c r="AM221" i="172"/>
  <c r="AL221" i="172"/>
  <c r="AK221" i="172"/>
  <c r="AJ221" i="172"/>
  <c r="AI221" i="172"/>
  <c r="AH221" i="172"/>
  <c r="AG221" i="172"/>
  <c r="AF221" i="172"/>
  <c r="AE221" i="172"/>
  <c r="AD221" i="172"/>
  <c r="AC221" i="172"/>
  <c r="AB221" i="172"/>
  <c r="AA221" i="172"/>
  <c r="Z221" i="172"/>
  <c r="Y221" i="172"/>
  <c r="X221" i="172"/>
  <c r="W221" i="172"/>
  <c r="V221" i="172"/>
  <c r="U221" i="172"/>
  <c r="T221" i="172"/>
  <c r="S221" i="172"/>
  <c r="R221" i="172"/>
  <c r="Q221" i="172"/>
  <c r="P221" i="172"/>
  <c r="O221" i="172"/>
  <c r="N221" i="172"/>
  <c r="M221" i="172"/>
  <c r="L221" i="172"/>
  <c r="K221" i="172"/>
  <c r="J221" i="172"/>
  <c r="H221" i="172"/>
  <c r="H217" i="172"/>
  <c r="AO216" i="172"/>
  <c r="AN216" i="172"/>
  <c r="AM216" i="172"/>
  <c r="AL216" i="172"/>
  <c r="AK216" i="172"/>
  <c r="AJ216" i="172"/>
  <c r="AI216" i="172"/>
  <c r="AH216" i="172"/>
  <c r="AG216" i="172"/>
  <c r="AF216" i="172"/>
  <c r="AE216" i="172"/>
  <c r="AD216" i="172"/>
  <c r="AC216" i="172"/>
  <c r="AB216" i="172"/>
  <c r="AA216" i="172"/>
  <c r="Z216" i="172"/>
  <c r="Y216" i="172"/>
  <c r="X216" i="172"/>
  <c r="W216" i="172"/>
  <c r="V216" i="172"/>
  <c r="U216" i="172"/>
  <c r="T216" i="172"/>
  <c r="S216" i="172"/>
  <c r="R216" i="172"/>
  <c r="Q216" i="172"/>
  <c r="P216" i="172"/>
  <c r="O216" i="172"/>
  <c r="N216" i="172"/>
  <c r="M216" i="172"/>
  <c r="L216" i="172"/>
  <c r="K216" i="172"/>
  <c r="J216" i="172"/>
  <c r="H216" i="172"/>
  <c r="AI215" i="172"/>
  <c r="AO205" i="172"/>
  <c r="AG205" i="172"/>
  <c r="Y205" i="172"/>
  <c r="W205" i="172"/>
  <c r="Q205" i="172"/>
  <c r="H205" i="172"/>
  <c r="I180" i="172"/>
  <c r="AM178" i="172"/>
  <c r="AI178" i="172"/>
  <c r="AE178" i="172"/>
  <c r="AA178" i="172"/>
  <c r="W178" i="172"/>
  <c r="U178" i="172"/>
  <c r="S178" i="172"/>
  <c r="O178" i="172"/>
  <c r="M178" i="172"/>
  <c r="K178" i="172"/>
  <c r="I178" i="172"/>
  <c r="I173" i="172"/>
  <c r="I175" i="172" s="1"/>
  <c r="AO172" i="172"/>
  <c r="AN172" i="172"/>
  <c r="AM172" i="172"/>
  <c r="AL172" i="172"/>
  <c r="AK172" i="172"/>
  <c r="AJ172" i="172"/>
  <c r="AI172" i="172"/>
  <c r="AH172" i="172"/>
  <c r="AG172" i="172"/>
  <c r="AF172" i="172"/>
  <c r="AE172" i="172"/>
  <c r="AD172" i="172"/>
  <c r="AC172" i="172"/>
  <c r="AB172" i="172"/>
  <c r="AA172" i="172"/>
  <c r="Z172" i="172"/>
  <c r="Y172" i="172"/>
  <c r="X172" i="172"/>
  <c r="W172" i="172"/>
  <c r="V172" i="172"/>
  <c r="U172" i="172"/>
  <c r="T172" i="172"/>
  <c r="S172" i="172"/>
  <c r="R172" i="172"/>
  <c r="Q172" i="172"/>
  <c r="P172" i="172"/>
  <c r="O172" i="172"/>
  <c r="N172" i="172"/>
  <c r="M172" i="172"/>
  <c r="L172" i="172"/>
  <c r="K172" i="172"/>
  <c r="J172" i="172"/>
  <c r="H172" i="172"/>
  <c r="AO170" i="172"/>
  <c r="AN170" i="172"/>
  <c r="AM170" i="172"/>
  <c r="AL170" i="172"/>
  <c r="AK170" i="172"/>
  <c r="AJ170" i="172"/>
  <c r="AI170" i="172"/>
  <c r="AH170" i="172"/>
  <c r="AG170" i="172"/>
  <c r="AF170" i="172"/>
  <c r="AE170" i="172"/>
  <c r="AD170" i="172"/>
  <c r="AC170" i="172"/>
  <c r="AB170" i="172"/>
  <c r="AA170" i="172"/>
  <c r="Z170" i="172"/>
  <c r="Y170" i="172"/>
  <c r="X170" i="172"/>
  <c r="W170" i="172"/>
  <c r="V170" i="172"/>
  <c r="U170" i="172"/>
  <c r="T170" i="172"/>
  <c r="S170" i="172"/>
  <c r="R170" i="172"/>
  <c r="Q170" i="172"/>
  <c r="P170" i="172"/>
  <c r="O170" i="172"/>
  <c r="N170" i="172"/>
  <c r="M170" i="172"/>
  <c r="L170" i="172"/>
  <c r="K170" i="172"/>
  <c r="J170" i="172"/>
  <c r="H170" i="172"/>
  <c r="AO169" i="172"/>
  <c r="AN169" i="172"/>
  <c r="AM169" i="172"/>
  <c r="AL169" i="172"/>
  <c r="AK169" i="172"/>
  <c r="AJ169" i="172"/>
  <c r="AI169" i="172"/>
  <c r="AH169" i="172"/>
  <c r="AG169" i="172"/>
  <c r="AF169" i="172"/>
  <c r="AE169" i="172"/>
  <c r="AD169" i="172"/>
  <c r="AC169" i="172"/>
  <c r="AB169" i="172"/>
  <c r="AA169" i="172"/>
  <c r="Z169" i="172"/>
  <c r="Y169" i="172"/>
  <c r="X169" i="172"/>
  <c r="W169" i="172"/>
  <c r="V169" i="172"/>
  <c r="U169" i="172"/>
  <c r="T169" i="172"/>
  <c r="S169" i="172"/>
  <c r="R169" i="172"/>
  <c r="Q169" i="172"/>
  <c r="P169" i="172"/>
  <c r="O169" i="172"/>
  <c r="N169" i="172"/>
  <c r="M169" i="172"/>
  <c r="L169" i="172"/>
  <c r="K169" i="172"/>
  <c r="J169" i="172"/>
  <c r="H169" i="172"/>
  <c r="AO168" i="172"/>
  <c r="AN168" i="172"/>
  <c r="AM168" i="172"/>
  <c r="AL168" i="172"/>
  <c r="AK168" i="172"/>
  <c r="AJ168" i="172"/>
  <c r="AI168" i="172"/>
  <c r="AH168" i="172"/>
  <c r="AG168" i="172"/>
  <c r="AF168" i="172"/>
  <c r="AE168" i="172"/>
  <c r="AD168" i="172"/>
  <c r="AC168" i="172"/>
  <c r="AB168" i="172"/>
  <c r="AA168" i="172"/>
  <c r="Z168" i="172"/>
  <c r="Y168" i="172"/>
  <c r="X168" i="172"/>
  <c r="W168" i="172"/>
  <c r="V168" i="172"/>
  <c r="U168" i="172"/>
  <c r="T168" i="172"/>
  <c r="S168" i="172"/>
  <c r="R168" i="172"/>
  <c r="Q168" i="172"/>
  <c r="P168" i="172"/>
  <c r="O168" i="172"/>
  <c r="N168" i="172"/>
  <c r="M168" i="172"/>
  <c r="L168" i="172"/>
  <c r="K168" i="172"/>
  <c r="J168" i="172"/>
  <c r="H168" i="172"/>
  <c r="AO167" i="172"/>
  <c r="AN167" i="172"/>
  <c r="AM167" i="172"/>
  <c r="AL167" i="172"/>
  <c r="AK167" i="172"/>
  <c r="AJ167" i="172"/>
  <c r="AI167" i="172"/>
  <c r="AH167" i="172"/>
  <c r="AG167" i="172"/>
  <c r="AF167" i="172"/>
  <c r="AE167" i="172"/>
  <c r="AD167" i="172"/>
  <c r="AC167" i="172"/>
  <c r="AB167" i="172"/>
  <c r="AA167" i="172"/>
  <c r="Z167" i="172"/>
  <c r="Y167" i="172"/>
  <c r="X167" i="172"/>
  <c r="W167" i="172"/>
  <c r="V167" i="172"/>
  <c r="U167" i="172"/>
  <c r="T167" i="172"/>
  <c r="S167" i="172"/>
  <c r="R167" i="172"/>
  <c r="Q167" i="172"/>
  <c r="P167" i="172"/>
  <c r="O167" i="172"/>
  <c r="N167" i="172"/>
  <c r="M167" i="172"/>
  <c r="L167" i="172"/>
  <c r="K167" i="172"/>
  <c r="J167" i="172"/>
  <c r="H167" i="172"/>
  <c r="AO166" i="172"/>
  <c r="AN166" i="172"/>
  <c r="AM166" i="172"/>
  <c r="AL166" i="172"/>
  <c r="AK166" i="172"/>
  <c r="AJ166" i="172"/>
  <c r="AI166" i="172"/>
  <c r="AH166" i="172"/>
  <c r="AG166" i="172"/>
  <c r="AF166" i="172"/>
  <c r="AE166" i="172"/>
  <c r="AD166" i="172"/>
  <c r="AC166" i="172"/>
  <c r="AB166" i="172"/>
  <c r="AA166" i="172"/>
  <c r="Z166" i="172"/>
  <c r="Y166" i="172"/>
  <c r="X166" i="172"/>
  <c r="W166" i="172"/>
  <c r="V166" i="172"/>
  <c r="U166" i="172"/>
  <c r="T166" i="172"/>
  <c r="S166" i="172"/>
  <c r="R166" i="172"/>
  <c r="Q166" i="172"/>
  <c r="P166" i="172"/>
  <c r="O166" i="172"/>
  <c r="N166" i="172"/>
  <c r="M166" i="172"/>
  <c r="L166" i="172"/>
  <c r="K166" i="172"/>
  <c r="J166" i="172"/>
  <c r="H166" i="172"/>
  <c r="AO159" i="172"/>
  <c r="AO232" i="172" s="1"/>
  <c r="AN159" i="172"/>
  <c r="AM159" i="172"/>
  <c r="AM232" i="172"/>
  <c r="AL159" i="172"/>
  <c r="AK159" i="172"/>
  <c r="AK232" i="172" s="1"/>
  <c r="AJ159" i="172"/>
  <c r="AJ232" i="172"/>
  <c r="AI159" i="172"/>
  <c r="AI232" i="172" s="1"/>
  <c r="AH159" i="172"/>
  <c r="AH232" i="172" s="1"/>
  <c r="AG159" i="172"/>
  <c r="AF159" i="172"/>
  <c r="AE159" i="172"/>
  <c r="AE232" i="172" s="1"/>
  <c r="AD159" i="172"/>
  <c r="AC159" i="172"/>
  <c r="AC232" i="172" s="1"/>
  <c r="AB159" i="172"/>
  <c r="AB232" i="172" s="1"/>
  <c r="AA159" i="172"/>
  <c r="AA232" i="172"/>
  <c r="Z159" i="172"/>
  <c r="Z232" i="172" s="1"/>
  <c r="Y159" i="172"/>
  <c r="Y232" i="172" s="1"/>
  <c r="X159" i="172"/>
  <c r="W159" i="172"/>
  <c r="W232" i="172" s="1"/>
  <c r="V159" i="172"/>
  <c r="U159" i="172"/>
  <c r="T159" i="172"/>
  <c r="T232" i="172" s="1"/>
  <c r="S159" i="172"/>
  <c r="S232" i="172" s="1"/>
  <c r="R159" i="172"/>
  <c r="Q159" i="172"/>
  <c r="P159" i="172"/>
  <c r="P232" i="172" s="1"/>
  <c r="O159" i="172"/>
  <c r="N159" i="172"/>
  <c r="N232" i="172" s="1"/>
  <c r="M159" i="172"/>
  <c r="L159" i="172"/>
  <c r="L232" i="172" s="1"/>
  <c r="K159" i="172"/>
  <c r="K232" i="172" s="1"/>
  <c r="J159" i="172"/>
  <c r="H159" i="172"/>
  <c r="AO158" i="172"/>
  <c r="AO231" i="172" s="1"/>
  <c r="AN158" i="172"/>
  <c r="AN231" i="172" s="1"/>
  <c r="AM158" i="172"/>
  <c r="AL158" i="172"/>
  <c r="AK158" i="172"/>
  <c r="AJ158" i="172"/>
  <c r="AI158" i="172"/>
  <c r="AI231" i="172" s="1"/>
  <c r="AH158" i="172"/>
  <c r="AG158" i="172"/>
  <c r="AG231" i="172" s="1"/>
  <c r="AF158" i="172"/>
  <c r="AF231" i="172" s="1"/>
  <c r="AE158" i="172"/>
  <c r="AD158" i="172"/>
  <c r="AC158" i="172"/>
  <c r="AC231" i="172" s="1"/>
  <c r="AB158" i="172"/>
  <c r="AA158" i="172"/>
  <c r="Z158" i="172"/>
  <c r="Y158" i="172"/>
  <c r="Y231" i="172" s="1"/>
  <c r="X158" i="172"/>
  <c r="X231" i="172" s="1"/>
  <c r="W158" i="172"/>
  <c r="V158" i="172"/>
  <c r="U158" i="172"/>
  <c r="T158" i="172"/>
  <c r="T231" i="172" s="1"/>
  <c r="S158" i="172"/>
  <c r="R158" i="172"/>
  <c r="R231" i="172" s="1"/>
  <c r="Q158" i="172"/>
  <c r="Q231" i="172" s="1"/>
  <c r="P158" i="172"/>
  <c r="P231" i="172"/>
  <c r="O158" i="172"/>
  <c r="N158" i="172"/>
  <c r="N231" i="172" s="1"/>
  <c r="M158" i="172"/>
  <c r="L158" i="172"/>
  <c r="K158" i="172"/>
  <c r="K231" i="172" s="1"/>
  <c r="J158" i="172"/>
  <c r="H158" i="172"/>
  <c r="AO157" i="172"/>
  <c r="AN157" i="172"/>
  <c r="AN161" i="172" s="1"/>
  <c r="AM157" i="172"/>
  <c r="AM180" i="172" s="1"/>
  <c r="AL157" i="172"/>
  <c r="AL180" i="172" s="1"/>
  <c r="AK157" i="172"/>
  <c r="AJ157" i="172"/>
  <c r="AJ180" i="172" s="1"/>
  <c r="AI157" i="172"/>
  <c r="AI180" i="172" s="1"/>
  <c r="AI233" i="172" s="1"/>
  <c r="AH157" i="172"/>
  <c r="AG157" i="172"/>
  <c r="AF157" i="172"/>
  <c r="AE157" i="172"/>
  <c r="AE180" i="172"/>
  <c r="AE206" i="172" s="1"/>
  <c r="AD157" i="172"/>
  <c r="AC157" i="172"/>
  <c r="AB157" i="172"/>
  <c r="AB180" i="172" s="1"/>
  <c r="AB233" i="172" s="1"/>
  <c r="AA157" i="172"/>
  <c r="Z157" i="172"/>
  <c r="Z180" i="172" s="1"/>
  <c r="Y157" i="172"/>
  <c r="X157" i="172"/>
  <c r="W157" i="172"/>
  <c r="V157" i="172"/>
  <c r="U157" i="172"/>
  <c r="T157" i="172"/>
  <c r="T180" i="172" s="1"/>
  <c r="T206" i="172"/>
  <c r="S157" i="172"/>
  <c r="S180" i="172"/>
  <c r="R157" i="172"/>
  <c r="R180" i="172"/>
  <c r="R206" i="172" s="1"/>
  <c r="Q157" i="172"/>
  <c r="P157" i="172"/>
  <c r="O157" i="172"/>
  <c r="O180" i="172" s="1"/>
  <c r="O233" i="172"/>
  <c r="N157" i="172"/>
  <c r="N180" i="172" s="1"/>
  <c r="N233" i="172" s="1"/>
  <c r="M157" i="172"/>
  <c r="L157" i="172"/>
  <c r="L180" i="172"/>
  <c r="L206" i="172" s="1"/>
  <c r="K157" i="172"/>
  <c r="K180" i="172" s="1"/>
  <c r="J157" i="172"/>
  <c r="H157" i="172"/>
  <c r="H180" i="172" s="1"/>
  <c r="H161" i="172"/>
  <c r="AJ231" i="172"/>
  <c r="AA231" i="172"/>
  <c r="R232" i="172"/>
  <c r="S231" i="172"/>
  <c r="AO152" i="172"/>
  <c r="AN152" i="172"/>
  <c r="AN205" i="172" s="1"/>
  <c r="AM152" i="172"/>
  <c r="AM205" i="172" s="1"/>
  <c r="AL152" i="172"/>
  <c r="AL205" i="172" s="1"/>
  <c r="AK152" i="172"/>
  <c r="AK205" i="172" s="1"/>
  <c r="AJ152" i="172"/>
  <c r="AJ205" i="172" s="1"/>
  <c r="AI152" i="172"/>
  <c r="AI205" i="172" s="1"/>
  <c r="AH152" i="172"/>
  <c r="AH205" i="172" s="1"/>
  <c r="AG152" i="172"/>
  <c r="AF152" i="172"/>
  <c r="AF205" i="172" s="1"/>
  <c r="AE152" i="172"/>
  <c r="AE205" i="172" s="1"/>
  <c r="AD152" i="172"/>
  <c r="AD205" i="172" s="1"/>
  <c r="AC152" i="172"/>
  <c r="AC205" i="172" s="1"/>
  <c r="AB152" i="172"/>
  <c r="AB205" i="172" s="1"/>
  <c r="AA152" i="172"/>
  <c r="AA205" i="172" s="1"/>
  <c r="Z152" i="172"/>
  <c r="Z205" i="172" s="1"/>
  <c r="Y152" i="172"/>
  <c r="X152" i="172"/>
  <c r="X205" i="172" s="1"/>
  <c r="W152" i="172"/>
  <c r="V152" i="172"/>
  <c r="V205" i="172" s="1"/>
  <c r="U152" i="172"/>
  <c r="U205" i="172" s="1"/>
  <c r="T152" i="172"/>
  <c r="T205" i="172" s="1"/>
  <c r="S152" i="172"/>
  <c r="S205" i="172" s="1"/>
  <c r="R152" i="172"/>
  <c r="R205" i="172" s="1"/>
  <c r="Q152" i="172"/>
  <c r="P152" i="172"/>
  <c r="P205" i="172" s="1"/>
  <c r="O152" i="172"/>
  <c r="O205" i="172" s="1"/>
  <c r="N152" i="172"/>
  <c r="N205" i="172" s="1"/>
  <c r="M152" i="172"/>
  <c r="M205" i="172" s="1"/>
  <c r="L152" i="172"/>
  <c r="L205" i="172" s="1"/>
  <c r="K152" i="172"/>
  <c r="K205" i="172" s="1"/>
  <c r="J152" i="172"/>
  <c r="J205" i="172" s="1"/>
  <c r="H152" i="172"/>
  <c r="AO150" i="172"/>
  <c r="AN150" i="172"/>
  <c r="AM150" i="172"/>
  <c r="AL150" i="172"/>
  <c r="AK150" i="172"/>
  <c r="AJ150" i="172"/>
  <c r="AI150" i="172"/>
  <c r="AH150" i="172"/>
  <c r="AG150" i="172"/>
  <c r="AF150" i="172"/>
  <c r="AE150" i="172"/>
  <c r="AD150" i="172"/>
  <c r="AC150" i="172"/>
  <c r="AB150" i="172"/>
  <c r="AA150" i="172"/>
  <c r="Z150" i="172"/>
  <c r="Y150" i="172"/>
  <c r="X150" i="172"/>
  <c r="W150" i="172"/>
  <c r="V150" i="172"/>
  <c r="U150" i="172"/>
  <c r="T150" i="172"/>
  <c r="S150" i="172"/>
  <c r="R150" i="172"/>
  <c r="Q150" i="172"/>
  <c r="P150" i="172"/>
  <c r="O150" i="172"/>
  <c r="N150" i="172"/>
  <c r="M150" i="172"/>
  <c r="L150" i="172"/>
  <c r="K150" i="172"/>
  <c r="J150" i="172"/>
  <c r="H150" i="172"/>
  <c r="AO148" i="172"/>
  <c r="AO178" i="172" s="1"/>
  <c r="AN148" i="172"/>
  <c r="AN178" i="172" s="1"/>
  <c r="AM148" i="172"/>
  <c r="AL148" i="172"/>
  <c r="AL178" i="172" s="1"/>
  <c r="AK148" i="172"/>
  <c r="AK178" i="172" s="1"/>
  <c r="AJ148" i="172"/>
  <c r="AJ178" i="172" s="1"/>
  <c r="AI148" i="172"/>
  <c r="AH148" i="172"/>
  <c r="AH178" i="172" s="1"/>
  <c r="AG148" i="172"/>
  <c r="AG178" i="172" s="1"/>
  <c r="AF148" i="172"/>
  <c r="AF178" i="172" s="1"/>
  <c r="AE148" i="172"/>
  <c r="AD148" i="172"/>
  <c r="AD178" i="172" s="1"/>
  <c r="AC148" i="172"/>
  <c r="AC178" i="172" s="1"/>
  <c r="AB148" i="172"/>
  <c r="AB178" i="172" s="1"/>
  <c r="AA148" i="172"/>
  <c r="Z148" i="172"/>
  <c r="Z178" i="172" s="1"/>
  <c r="Y148" i="172"/>
  <c r="Y178" i="172" s="1"/>
  <c r="X148" i="172"/>
  <c r="X178" i="172" s="1"/>
  <c r="W148" i="172"/>
  <c r="V148" i="172"/>
  <c r="V178" i="172" s="1"/>
  <c r="U148" i="172"/>
  <c r="T148" i="172"/>
  <c r="T178" i="172" s="1"/>
  <c r="S148" i="172"/>
  <c r="R148" i="172"/>
  <c r="R178" i="172" s="1"/>
  <c r="Q148" i="172"/>
  <c r="Q178" i="172" s="1"/>
  <c r="P148" i="172"/>
  <c r="P178" i="172" s="1"/>
  <c r="O148" i="172"/>
  <c r="N148" i="172"/>
  <c r="N178" i="172" s="1"/>
  <c r="M148" i="172"/>
  <c r="L148" i="172"/>
  <c r="L178" i="172" s="1"/>
  <c r="K148" i="172"/>
  <c r="J148" i="172"/>
  <c r="J178" i="172" s="1"/>
  <c r="H148" i="172"/>
  <c r="H178" i="172" s="1"/>
  <c r="AO146" i="172"/>
  <c r="AO229" i="172" s="1"/>
  <c r="AN146" i="172"/>
  <c r="AM146" i="172"/>
  <c r="AL146" i="172"/>
  <c r="AL229" i="172"/>
  <c r="AK146" i="172"/>
  <c r="AJ146" i="172"/>
  <c r="AJ229" i="172" s="1"/>
  <c r="AI146" i="172"/>
  <c r="AH146" i="172"/>
  <c r="AH229" i="172" s="1"/>
  <c r="AG146" i="172"/>
  <c r="AG229" i="172" s="1"/>
  <c r="AF146" i="172"/>
  <c r="AE146" i="172"/>
  <c r="AE229" i="172" s="1"/>
  <c r="AD146" i="172"/>
  <c r="AD229" i="172" s="1"/>
  <c r="AC146" i="172"/>
  <c r="AC229" i="172" s="1"/>
  <c r="AB146" i="172"/>
  <c r="AA146" i="172"/>
  <c r="AA229" i="172" s="1"/>
  <c r="Z146" i="172"/>
  <c r="Z229" i="172" s="1"/>
  <c r="Y146" i="172"/>
  <c r="Y229" i="172"/>
  <c r="X146" i="172"/>
  <c r="X229" i="172" s="1"/>
  <c r="W146" i="172"/>
  <c r="W229" i="172" s="1"/>
  <c r="V146" i="172"/>
  <c r="V229" i="172"/>
  <c r="U146" i="172"/>
  <c r="T146" i="172"/>
  <c r="T229" i="172" s="1"/>
  <c r="S146" i="172"/>
  <c r="R146" i="172"/>
  <c r="R229" i="172" s="1"/>
  <c r="Q146" i="172"/>
  <c r="Q229" i="172" s="1"/>
  <c r="P146" i="172"/>
  <c r="O146" i="172"/>
  <c r="N146" i="172"/>
  <c r="N229" i="172"/>
  <c r="M146" i="172"/>
  <c r="L146" i="172"/>
  <c r="L229" i="172" s="1"/>
  <c r="K146" i="172"/>
  <c r="K229" i="172" s="1"/>
  <c r="J146" i="172"/>
  <c r="J229" i="172" s="1"/>
  <c r="H146" i="172"/>
  <c r="H229" i="172" s="1"/>
  <c r="AK229" i="172"/>
  <c r="U229" i="172"/>
  <c r="M229" i="172"/>
  <c r="I142" i="172"/>
  <c r="AO141" i="172"/>
  <c r="AN141" i="172"/>
  <c r="AM141" i="172"/>
  <c r="AL141" i="172"/>
  <c r="AK141" i="172"/>
  <c r="AJ141" i="172"/>
  <c r="AI141" i="172"/>
  <c r="AH141" i="172"/>
  <c r="AG141" i="172"/>
  <c r="AF141" i="172"/>
  <c r="AE141" i="172"/>
  <c r="AD141" i="172"/>
  <c r="AC141" i="172"/>
  <c r="AB141" i="172"/>
  <c r="AA141" i="172"/>
  <c r="Z141" i="172"/>
  <c r="Y141" i="172"/>
  <c r="X141" i="172"/>
  <c r="W141" i="172"/>
  <c r="V141" i="172"/>
  <c r="U141" i="172"/>
  <c r="T141" i="172"/>
  <c r="S141" i="172"/>
  <c r="R141" i="172"/>
  <c r="Q141" i="172"/>
  <c r="P141" i="172"/>
  <c r="O141" i="172"/>
  <c r="N141" i="172"/>
  <c r="M141" i="172"/>
  <c r="L141" i="172"/>
  <c r="K141" i="172"/>
  <c r="J141" i="172"/>
  <c r="H141" i="172"/>
  <c r="AO140" i="172"/>
  <c r="AO142" i="172" s="1"/>
  <c r="AN140" i="172"/>
  <c r="AM140" i="172"/>
  <c r="AL140" i="172"/>
  <c r="AK140" i="172"/>
  <c r="AJ140" i="172"/>
  <c r="AI140" i="172"/>
  <c r="AH140" i="172"/>
  <c r="AG140" i="172"/>
  <c r="AG142" i="172" s="1"/>
  <c r="AF140" i="172"/>
  <c r="AE140" i="172"/>
  <c r="AD140" i="172"/>
  <c r="AC140" i="172"/>
  <c r="AB140" i="172"/>
  <c r="AA140" i="172"/>
  <c r="Z140" i="172"/>
  <c r="Y140" i="172"/>
  <c r="X140" i="172"/>
  <c r="W140" i="172"/>
  <c r="V140" i="172"/>
  <c r="U140" i="172"/>
  <c r="T140" i="172"/>
  <c r="S140" i="172"/>
  <c r="R140" i="172"/>
  <c r="Q140" i="172"/>
  <c r="Q142" i="172" s="1"/>
  <c r="P140" i="172"/>
  <c r="O140" i="172"/>
  <c r="N140" i="172"/>
  <c r="M140" i="172"/>
  <c r="L140" i="172"/>
  <c r="K140" i="172"/>
  <c r="J140" i="172"/>
  <c r="H140" i="172"/>
  <c r="AO139" i="172"/>
  <c r="AN139" i="172"/>
  <c r="AM139" i="172"/>
  <c r="AL139" i="172"/>
  <c r="AK139" i="172"/>
  <c r="AJ139" i="172"/>
  <c r="AI139" i="172"/>
  <c r="AH139" i="172"/>
  <c r="AG139" i="172"/>
  <c r="AF139" i="172"/>
  <c r="AE139" i="172"/>
  <c r="AD139" i="172"/>
  <c r="AC139" i="172"/>
  <c r="AC142" i="172"/>
  <c r="AB139" i="172"/>
  <c r="AA139" i="172"/>
  <c r="Z139" i="172"/>
  <c r="Y139" i="172"/>
  <c r="X139" i="172"/>
  <c r="W139" i="172"/>
  <c r="V139" i="172"/>
  <c r="U139" i="172"/>
  <c r="U142" i="172" s="1"/>
  <c r="T139" i="172"/>
  <c r="S139" i="172"/>
  <c r="R139" i="172"/>
  <c r="Q139" i="172"/>
  <c r="P139" i="172"/>
  <c r="O139" i="172"/>
  <c r="N139" i="172"/>
  <c r="M139" i="172"/>
  <c r="L139" i="172"/>
  <c r="K139" i="172"/>
  <c r="J139" i="172"/>
  <c r="H139" i="172"/>
  <c r="AO138" i="172"/>
  <c r="AN138" i="172"/>
  <c r="AM138" i="172"/>
  <c r="AL138" i="172"/>
  <c r="AK138" i="172"/>
  <c r="AK142" i="172" s="1"/>
  <c r="AJ138" i="172"/>
  <c r="AI138" i="172"/>
  <c r="AH138" i="172"/>
  <c r="AG138" i="172"/>
  <c r="AF138" i="172"/>
  <c r="AE138" i="172"/>
  <c r="AD138" i="172"/>
  <c r="AC138" i="172"/>
  <c r="AB138" i="172"/>
  <c r="AA138" i="172"/>
  <c r="Z138" i="172"/>
  <c r="Y138" i="172"/>
  <c r="X138" i="172"/>
  <c r="W138" i="172"/>
  <c r="V138" i="172"/>
  <c r="U138" i="172"/>
  <c r="T138" i="172"/>
  <c r="S138" i="172"/>
  <c r="R138" i="172"/>
  <c r="Q138" i="172"/>
  <c r="P138" i="172"/>
  <c r="O138" i="172"/>
  <c r="N138" i="172"/>
  <c r="M138" i="172"/>
  <c r="M142" i="172" s="1"/>
  <c r="L138" i="172"/>
  <c r="K138" i="172"/>
  <c r="J138" i="172"/>
  <c r="H138" i="172"/>
  <c r="I135" i="172"/>
  <c r="AO134" i="172"/>
  <c r="AN134" i="172"/>
  <c r="AM134" i="172"/>
  <c r="AL134" i="172"/>
  <c r="AL135" i="172" s="1"/>
  <c r="AK134" i="172"/>
  <c r="AJ134" i="172"/>
  <c r="AI134" i="172"/>
  <c r="AH134" i="172"/>
  <c r="AG134" i="172"/>
  <c r="AF134" i="172"/>
  <c r="AE134" i="172"/>
  <c r="AD134" i="172"/>
  <c r="AC134" i="172"/>
  <c r="AB134" i="172"/>
  <c r="AA134" i="172"/>
  <c r="Z134" i="172"/>
  <c r="Y134" i="172"/>
  <c r="X134" i="172"/>
  <c r="W134" i="172"/>
  <c r="V134" i="172"/>
  <c r="U134" i="172"/>
  <c r="T134" i="172"/>
  <c r="S134" i="172"/>
  <c r="R134" i="172"/>
  <c r="Q134" i="172"/>
  <c r="P134" i="172"/>
  <c r="O134" i="172"/>
  <c r="N134" i="172"/>
  <c r="M134" i="172"/>
  <c r="L134" i="172"/>
  <c r="K134" i="172"/>
  <c r="J134" i="172"/>
  <c r="H134" i="172"/>
  <c r="AO133" i="172"/>
  <c r="AN133" i="172"/>
  <c r="AM133" i="172"/>
  <c r="AL133" i="172"/>
  <c r="AK133" i="172"/>
  <c r="AJ133" i="172"/>
  <c r="AI133" i="172"/>
  <c r="AH133" i="172"/>
  <c r="AG133" i="172"/>
  <c r="AF133" i="172"/>
  <c r="AE133" i="172"/>
  <c r="AD133" i="172"/>
  <c r="AC133" i="172"/>
  <c r="AB133" i="172"/>
  <c r="AA133" i="172"/>
  <c r="Z133" i="172"/>
  <c r="Y133" i="172"/>
  <c r="X133" i="172"/>
  <c r="W133" i="172"/>
  <c r="V133" i="172"/>
  <c r="U133" i="172"/>
  <c r="T133" i="172"/>
  <c r="S133" i="172"/>
  <c r="R133" i="172"/>
  <c r="Q133" i="172"/>
  <c r="P133" i="172"/>
  <c r="O133" i="172"/>
  <c r="N133" i="172"/>
  <c r="M133" i="172"/>
  <c r="L133" i="172"/>
  <c r="K133" i="172"/>
  <c r="J133" i="172"/>
  <c r="H133" i="172"/>
  <c r="AO132" i="172"/>
  <c r="AN132" i="172"/>
  <c r="AM132" i="172"/>
  <c r="AL132" i="172"/>
  <c r="AK132" i="172"/>
  <c r="AJ132" i="172"/>
  <c r="AI132" i="172"/>
  <c r="AH132" i="172"/>
  <c r="AG132" i="172"/>
  <c r="AF132" i="172"/>
  <c r="AE132" i="172"/>
  <c r="AD132" i="172"/>
  <c r="AC132" i="172"/>
  <c r="AB132" i="172"/>
  <c r="AA132" i="172"/>
  <c r="Z132" i="172"/>
  <c r="Y132" i="172"/>
  <c r="X132" i="172"/>
  <c r="W132" i="172"/>
  <c r="V132" i="172"/>
  <c r="U132" i="172"/>
  <c r="T132" i="172"/>
  <c r="S132" i="172"/>
  <c r="R132" i="172"/>
  <c r="Q132" i="172"/>
  <c r="P132" i="172"/>
  <c r="O132" i="172"/>
  <c r="N132" i="172"/>
  <c r="M132" i="172"/>
  <c r="L132" i="172"/>
  <c r="K132" i="172"/>
  <c r="J132" i="172"/>
  <c r="H132" i="172"/>
  <c r="AO131" i="172"/>
  <c r="AN131" i="172"/>
  <c r="AM131" i="172"/>
  <c r="AL131" i="172"/>
  <c r="AK131" i="172"/>
  <c r="AJ131" i="172"/>
  <c r="AI131" i="172"/>
  <c r="AH131" i="172"/>
  <c r="AG131" i="172"/>
  <c r="AF131" i="172"/>
  <c r="AE131" i="172"/>
  <c r="AD131" i="172"/>
  <c r="AC131" i="172"/>
  <c r="AC135" i="172" s="1"/>
  <c r="AB131" i="172"/>
  <c r="AA131" i="172"/>
  <c r="Z131" i="172"/>
  <c r="Y131" i="172"/>
  <c r="X131" i="172"/>
  <c r="W131" i="172"/>
  <c r="V131" i="172"/>
  <c r="U131" i="172"/>
  <c r="T131" i="172"/>
  <c r="S131" i="172"/>
  <c r="R131" i="172"/>
  <c r="Q131" i="172"/>
  <c r="P131" i="172"/>
  <c r="O131" i="172"/>
  <c r="N131" i="172"/>
  <c r="M131" i="172"/>
  <c r="L131" i="172"/>
  <c r="K131" i="172"/>
  <c r="J131" i="172"/>
  <c r="H131" i="172"/>
  <c r="AO130" i="172"/>
  <c r="AN130" i="172"/>
  <c r="AM130" i="172"/>
  <c r="AL130" i="172"/>
  <c r="AK130" i="172"/>
  <c r="AJ130" i="172"/>
  <c r="AI130" i="172"/>
  <c r="AH130" i="172"/>
  <c r="AG130" i="172"/>
  <c r="AF130" i="172"/>
  <c r="AE130" i="172"/>
  <c r="AD130" i="172"/>
  <c r="AC130" i="172"/>
  <c r="AB130" i="172"/>
  <c r="AA130" i="172"/>
  <c r="Z130" i="172"/>
  <c r="Y130" i="172"/>
  <c r="X130" i="172"/>
  <c r="W130" i="172"/>
  <c r="V130" i="172"/>
  <c r="U130" i="172"/>
  <c r="T130" i="172"/>
  <c r="S130" i="172"/>
  <c r="R130" i="172"/>
  <c r="Q130" i="172"/>
  <c r="P130" i="172"/>
  <c r="O130" i="172"/>
  <c r="O135" i="172" s="1"/>
  <c r="N130" i="172"/>
  <c r="M130" i="172"/>
  <c r="L130" i="172"/>
  <c r="K130" i="172"/>
  <c r="J130" i="172"/>
  <c r="H130" i="172"/>
  <c r="AO129" i="172"/>
  <c r="AN129" i="172"/>
  <c r="AM129" i="172"/>
  <c r="AL129" i="172"/>
  <c r="AK129" i="172"/>
  <c r="AJ129" i="172"/>
  <c r="AI129" i="172"/>
  <c r="AH129" i="172"/>
  <c r="AG129" i="172"/>
  <c r="AF129" i="172"/>
  <c r="AE129" i="172"/>
  <c r="AD129" i="172"/>
  <c r="AC129" i="172"/>
  <c r="AB129" i="172"/>
  <c r="AB135" i="172" s="1"/>
  <c r="AA129" i="172"/>
  <c r="Z129" i="172"/>
  <c r="Y129" i="172"/>
  <c r="X129" i="172"/>
  <c r="X135" i="172" s="1"/>
  <c r="W129" i="172"/>
  <c r="V129" i="172"/>
  <c r="U129" i="172"/>
  <c r="T129" i="172"/>
  <c r="S129" i="172"/>
  <c r="R129" i="172"/>
  <c r="Q129" i="172"/>
  <c r="P129" i="172"/>
  <c r="P135" i="172" s="1"/>
  <c r="O129" i="172"/>
  <c r="N129" i="172"/>
  <c r="M129" i="172"/>
  <c r="L129" i="172"/>
  <c r="K129" i="172"/>
  <c r="J129" i="172"/>
  <c r="H129" i="172"/>
  <c r="H121" i="172"/>
  <c r="AO121" i="172"/>
  <c r="AN121" i="172"/>
  <c r="AM121" i="172"/>
  <c r="AL121" i="172"/>
  <c r="AK121" i="172"/>
  <c r="AJ121" i="172"/>
  <c r="AI121" i="172"/>
  <c r="AH121" i="172"/>
  <c r="AG121" i="172"/>
  <c r="AF121" i="172"/>
  <c r="AE121" i="172"/>
  <c r="AD121" i="172"/>
  <c r="AC121" i="172"/>
  <c r="AB121" i="172"/>
  <c r="AA121" i="172"/>
  <c r="Z121" i="172"/>
  <c r="Y121" i="172"/>
  <c r="X121" i="172"/>
  <c r="W121" i="172"/>
  <c r="V121" i="172"/>
  <c r="U121" i="172"/>
  <c r="T121" i="172"/>
  <c r="S121" i="172"/>
  <c r="R121" i="172"/>
  <c r="Q121" i="172"/>
  <c r="O121" i="172"/>
  <c r="N121" i="172"/>
  <c r="M121" i="172"/>
  <c r="L121" i="172"/>
  <c r="K121" i="172"/>
  <c r="J121" i="172"/>
  <c r="AI120" i="172"/>
  <c r="S120" i="172"/>
  <c r="O120" i="172"/>
  <c r="H237" i="172"/>
  <c r="H236" i="172"/>
  <c r="H232" i="172"/>
  <c r="H231" i="172"/>
  <c r="AO195" i="172"/>
  <c r="AN195" i="172"/>
  <c r="AM195" i="172"/>
  <c r="AL195" i="172"/>
  <c r="AK195" i="172"/>
  <c r="AJ195" i="172"/>
  <c r="AI195" i="172"/>
  <c r="AH195" i="172"/>
  <c r="AG195" i="172"/>
  <c r="AF195" i="172"/>
  <c r="AE195" i="172"/>
  <c r="AD195" i="172"/>
  <c r="AC195" i="172"/>
  <c r="AB195" i="172"/>
  <c r="AA195" i="172"/>
  <c r="Z195" i="172"/>
  <c r="Y195" i="172"/>
  <c r="X195" i="172"/>
  <c r="W195" i="172"/>
  <c r="V195" i="172"/>
  <c r="U195" i="172"/>
  <c r="T195" i="172"/>
  <c r="S195" i="172"/>
  <c r="R195" i="172"/>
  <c r="Q195" i="172"/>
  <c r="P195" i="172"/>
  <c r="O195" i="172"/>
  <c r="N195" i="172"/>
  <c r="M195" i="172"/>
  <c r="L195" i="172"/>
  <c r="K195" i="172"/>
  <c r="J195" i="172"/>
  <c r="H195" i="172"/>
  <c r="AO189" i="172"/>
  <c r="AN189" i="172"/>
  <c r="AM189" i="172"/>
  <c r="AL189" i="172"/>
  <c r="AK189" i="172"/>
  <c r="AJ189" i="172"/>
  <c r="AI189" i="172"/>
  <c r="AH189" i="172"/>
  <c r="AG189" i="172"/>
  <c r="AF189" i="172"/>
  <c r="AE189" i="172"/>
  <c r="AD189" i="172"/>
  <c r="AC189" i="172"/>
  <c r="AB189" i="172"/>
  <c r="AA189" i="172"/>
  <c r="Z189" i="172"/>
  <c r="Y189" i="172"/>
  <c r="X189" i="172"/>
  <c r="W189" i="172"/>
  <c r="V189" i="172"/>
  <c r="U189" i="172"/>
  <c r="T189" i="172"/>
  <c r="S189" i="172"/>
  <c r="R189" i="172"/>
  <c r="Q189" i="172"/>
  <c r="P189" i="172"/>
  <c r="O189" i="172"/>
  <c r="N189" i="172"/>
  <c r="M189" i="172"/>
  <c r="L189" i="172"/>
  <c r="K189" i="172"/>
  <c r="J189" i="172"/>
  <c r="H189" i="172"/>
  <c r="AO188" i="172"/>
  <c r="AN188" i="172"/>
  <c r="AM188" i="172"/>
  <c r="AL188" i="172"/>
  <c r="AK188" i="172"/>
  <c r="AJ188" i="172"/>
  <c r="AI188" i="172"/>
  <c r="AH188" i="172"/>
  <c r="AG188" i="172"/>
  <c r="AF188" i="172"/>
  <c r="AE188" i="172"/>
  <c r="AD188" i="172"/>
  <c r="AC188" i="172"/>
  <c r="AB188" i="172"/>
  <c r="AA188" i="172"/>
  <c r="Z188" i="172"/>
  <c r="Y188" i="172"/>
  <c r="X188" i="172"/>
  <c r="W188" i="172"/>
  <c r="V188" i="172"/>
  <c r="U188" i="172"/>
  <c r="T188" i="172"/>
  <c r="S188" i="172"/>
  <c r="R188" i="172"/>
  <c r="Q188" i="172"/>
  <c r="P188" i="172"/>
  <c r="O188" i="172"/>
  <c r="N188" i="172"/>
  <c r="M188" i="172"/>
  <c r="L188" i="172"/>
  <c r="K188" i="172"/>
  <c r="J188" i="172"/>
  <c r="I188" i="172"/>
  <c r="H188" i="172"/>
  <c r="AO237" i="172"/>
  <c r="AN237" i="172"/>
  <c r="AM237" i="172"/>
  <c r="AL237" i="172"/>
  <c r="AK237" i="172"/>
  <c r="AJ237" i="172"/>
  <c r="AI237" i="172"/>
  <c r="AH237" i="172"/>
  <c r="AG237" i="172"/>
  <c r="AF237" i="172"/>
  <c r="AE237" i="172"/>
  <c r="AD237" i="172"/>
  <c r="AC237" i="172"/>
  <c r="AB237" i="172"/>
  <c r="AA237" i="172"/>
  <c r="Z237" i="172"/>
  <c r="Y237" i="172"/>
  <c r="X237" i="172"/>
  <c r="W237" i="172"/>
  <c r="V237" i="172"/>
  <c r="U237" i="172"/>
  <c r="T237" i="172"/>
  <c r="S237" i="172"/>
  <c r="R237" i="172"/>
  <c r="Q237" i="172"/>
  <c r="P237" i="172"/>
  <c r="O237" i="172"/>
  <c r="N237" i="172"/>
  <c r="M237" i="172"/>
  <c r="L237" i="172"/>
  <c r="K237" i="172"/>
  <c r="J237" i="172"/>
  <c r="AO236" i="172"/>
  <c r="AN236" i="172"/>
  <c r="AM236" i="172"/>
  <c r="AL236" i="172"/>
  <c r="AK236" i="172"/>
  <c r="AJ236" i="172"/>
  <c r="AI236" i="172"/>
  <c r="AH236" i="172"/>
  <c r="AG236" i="172"/>
  <c r="AF236" i="172"/>
  <c r="AE236" i="172"/>
  <c r="AD236" i="172"/>
  <c r="AC236" i="172"/>
  <c r="AB236" i="172"/>
  <c r="AA236" i="172"/>
  <c r="Z236" i="172"/>
  <c r="Y236" i="172"/>
  <c r="X236" i="172"/>
  <c r="W236" i="172"/>
  <c r="V236" i="172"/>
  <c r="U236" i="172"/>
  <c r="T236" i="172"/>
  <c r="S236" i="172"/>
  <c r="R236" i="172"/>
  <c r="Q236" i="172"/>
  <c r="P236" i="172"/>
  <c r="O236" i="172"/>
  <c r="N236" i="172"/>
  <c r="M236" i="172"/>
  <c r="L236" i="172"/>
  <c r="K236" i="172"/>
  <c r="J236" i="172"/>
  <c r="AN232" i="172"/>
  <c r="AG232" i="172"/>
  <c r="AF232" i="172"/>
  <c r="X232" i="172"/>
  <c r="U232" i="172"/>
  <c r="Q232" i="172"/>
  <c r="M232" i="172"/>
  <c r="AL231" i="172"/>
  <c r="AK231" i="172"/>
  <c r="AH231" i="172"/>
  <c r="AD231" i="172"/>
  <c r="Z231" i="172"/>
  <c r="V231" i="172"/>
  <c r="U231" i="172"/>
  <c r="M231" i="172"/>
  <c r="J231" i="172"/>
  <c r="AN229" i="172"/>
  <c r="AM229" i="172"/>
  <c r="AI229" i="172"/>
  <c r="AF229" i="172"/>
  <c r="AB229" i="172"/>
  <c r="S229" i="172"/>
  <c r="P229" i="172"/>
  <c r="O229" i="172"/>
  <c r="I161" i="172"/>
  <c r="AO113" i="172"/>
  <c r="AN113" i="172"/>
  <c r="AM113" i="172"/>
  <c r="AL113" i="172"/>
  <c r="AK113" i="172"/>
  <c r="AJ113" i="172"/>
  <c r="AI113" i="172"/>
  <c r="AH113" i="172"/>
  <c r="AG113" i="172"/>
  <c r="AF113" i="172"/>
  <c r="AE113" i="172"/>
  <c r="AD113" i="172"/>
  <c r="AC113" i="172"/>
  <c r="AB113" i="172"/>
  <c r="AA113" i="172"/>
  <c r="Z113" i="172"/>
  <c r="Y113" i="172"/>
  <c r="X113" i="172"/>
  <c r="W113" i="172"/>
  <c r="V113" i="172"/>
  <c r="U113" i="172"/>
  <c r="T113" i="172"/>
  <c r="S113" i="172"/>
  <c r="R113" i="172"/>
  <c r="Q113" i="172"/>
  <c r="P113" i="172"/>
  <c r="O113" i="172"/>
  <c r="N113" i="172"/>
  <c r="M113" i="172"/>
  <c r="L113" i="172"/>
  <c r="K113" i="172"/>
  <c r="J113" i="172"/>
  <c r="AO105" i="172"/>
  <c r="AN105" i="172"/>
  <c r="AN174" i="172" s="1"/>
  <c r="AM105" i="172"/>
  <c r="AM174" i="172" s="1"/>
  <c r="AL105" i="172"/>
  <c r="AL174" i="172" s="1"/>
  <c r="AK105" i="172"/>
  <c r="AJ105" i="172"/>
  <c r="AJ174" i="172" s="1"/>
  <c r="AI105" i="172"/>
  <c r="AI174" i="172" s="1"/>
  <c r="AH105" i="172"/>
  <c r="AH174" i="172" s="1"/>
  <c r="AG105" i="172"/>
  <c r="AG174" i="172" s="1"/>
  <c r="AF105" i="172"/>
  <c r="AF174" i="172" s="1"/>
  <c r="AE105" i="172"/>
  <c r="AE174" i="172" s="1"/>
  <c r="AD105" i="172"/>
  <c r="AD174" i="172" s="1"/>
  <c r="AC105" i="172"/>
  <c r="AB105" i="172"/>
  <c r="AB174" i="172" s="1"/>
  <c r="AA105" i="172"/>
  <c r="AA174" i="172" s="1"/>
  <c r="Z105" i="172"/>
  <c r="Z174" i="172" s="1"/>
  <c r="Y105" i="172"/>
  <c r="X105" i="172"/>
  <c r="X174" i="172" s="1"/>
  <c r="W105" i="172"/>
  <c r="W174" i="172" s="1"/>
  <c r="V105" i="172"/>
  <c r="V174" i="172" s="1"/>
  <c r="U105" i="172"/>
  <c r="T105" i="172"/>
  <c r="T174" i="172" s="1"/>
  <c r="S105" i="172"/>
  <c r="S174" i="172" s="1"/>
  <c r="R105" i="172"/>
  <c r="R174" i="172" s="1"/>
  <c r="Q105" i="172"/>
  <c r="Q174" i="172" s="1"/>
  <c r="P105" i="172"/>
  <c r="P174" i="172" s="1"/>
  <c r="O105" i="172"/>
  <c r="O174" i="172" s="1"/>
  <c r="N105" i="172"/>
  <c r="N174" i="172" s="1"/>
  <c r="M105" i="172"/>
  <c r="L105" i="172"/>
  <c r="L174" i="172" s="1"/>
  <c r="K105" i="172"/>
  <c r="K174" i="172" s="1"/>
  <c r="J105" i="172"/>
  <c r="J174" i="172" s="1"/>
  <c r="AO82" i="172"/>
  <c r="AN82" i="172"/>
  <c r="AM82" i="172"/>
  <c r="AL82" i="172"/>
  <c r="AL84" i="172" s="1"/>
  <c r="AK82" i="172"/>
  <c r="AJ82" i="172"/>
  <c r="AI82" i="172"/>
  <c r="AH82" i="172"/>
  <c r="AG82" i="172"/>
  <c r="AF82" i="172"/>
  <c r="AE82" i="172"/>
  <c r="AD82" i="172"/>
  <c r="AD84" i="172" s="1"/>
  <c r="AC82" i="172"/>
  <c r="AB82" i="172"/>
  <c r="AA82" i="172"/>
  <c r="Z82" i="172"/>
  <c r="Z84" i="172" s="1"/>
  <c r="Y82" i="172"/>
  <c r="X82" i="172"/>
  <c r="W82" i="172"/>
  <c r="V82" i="172"/>
  <c r="V84" i="172" s="1"/>
  <c r="U82" i="172"/>
  <c r="T82" i="172"/>
  <c r="S82" i="172"/>
  <c r="R82" i="172"/>
  <c r="R84" i="172" s="1"/>
  <c r="Q82" i="172"/>
  <c r="P82" i="172"/>
  <c r="O82" i="172"/>
  <c r="N82" i="172"/>
  <c r="N84" i="172" s="1"/>
  <c r="M82" i="172"/>
  <c r="L82" i="172"/>
  <c r="K82" i="172"/>
  <c r="J82" i="172"/>
  <c r="J48" i="172" s="1"/>
  <c r="AO73" i="172"/>
  <c r="AN73" i="172"/>
  <c r="AN84" i="172"/>
  <c r="AM73" i="172"/>
  <c r="AM84" i="172" s="1"/>
  <c r="AL73" i="172"/>
  <c r="AK73" i="172"/>
  <c r="AK84" i="172" s="1"/>
  <c r="AJ73" i="172"/>
  <c r="AJ84" i="172" s="1"/>
  <c r="AI73" i="172"/>
  <c r="AI84" i="172" s="1"/>
  <c r="AH73" i="172"/>
  <c r="AH84" i="172" s="1"/>
  <c r="AG73" i="172"/>
  <c r="AF73" i="172"/>
  <c r="AF84" i="172"/>
  <c r="AE73" i="172"/>
  <c r="AE84" i="172" s="1"/>
  <c r="AE171" i="172" s="1"/>
  <c r="AD73" i="172"/>
  <c r="AC73" i="172"/>
  <c r="AC84" i="172" s="1"/>
  <c r="AB73" i="172"/>
  <c r="AB84" i="172"/>
  <c r="AA73" i="172"/>
  <c r="AA84" i="172" s="1"/>
  <c r="Z73" i="172"/>
  <c r="Y73" i="172"/>
  <c r="Y84" i="172" s="1"/>
  <c r="X73" i="172"/>
  <c r="X84" i="172"/>
  <c r="W73" i="172"/>
  <c r="W84" i="172" s="1"/>
  <c r="V73" i="172"/>
  <c r="U73" i="172"/>
  <c r="U84" i="172" s="1"/>
  <c r="T73" i="172"/>
  <c r="T84" i="172"/>
  <c r="S73" i="172"/>
  <c r="S84" i="172" s="1"/>
  <c r="R73" i="172"/>
  <c r="Q73" i="172"/>
  <c r="Q84" i="172" s="1"/>
  <c r="P73" i="172"/>
  <c r="P84" i="172"/>
  <c r="O73" i="172"/>
  <c r="O84" i="172" s="1"/>
  <c r="N73" i="172"/>
  <c r="M73" i="172"/>
  <c r="M84" i="172" s="1"/>
  <c r="M119" i="172" s="1"/>
  <c r="L73" i="172"/>
  <c r="L84" i="172" s="1"/>
  <c r="K73" i="172"/>
  <c r="K84" i="172"/>
  <c r="J73" i="172"/>
  <c r="AO59" i="172"/>
  <c r="AO220" i="172" s="1"/>
  <c r="AO224" i="172" s="1"/>
  <c r="AN59" i="172"/>
  <c r="AM59" i="172"/>
  <c r="AL59" i="172"/>
  <c r="AL220" i="172"/>
  <c r="AK59" i="172"/>
  <c r="AJ59" i="172"/>
  <c r="AJ220" i="172" s="1"/>
  <c r="AI59" i="172"/>
  <c r="AI220" i="172" s="1"/>
  <c r="AH59" i="172"/>
  <c r="AH220" i="172" s="1"/>
  <c r="AH224" i="172" s="1"/>
  <c r="AH226" i="172" s="1"/>
  <c r="AH199" i="172" s="1"/>
  <c r="AG59" i="172"/>
  <c r="AF59" i="172"/>
  <c r="AE59" i="172"/>
  <c r="AE220" i="172"/>
  <c r="AD59" i="172"/>
  <c r="AD220" i="172" s="1"/>
  <c r="AD224" i="172" s="1"/>
  <c r="AD226" i="172" s="1"/>
  <c r="AC59" i="172"/>
  <c r="AB59" i="172"/>
  <c r="AA59" i="172"/>
  <c r="AA220" i="172" s="1"/>
  <c r="Z59" i="172"/>
  <c r="Y59" i="172"/>
  <c r="X59" i="172"/>
  <c r="W59" i="172"/>
  <c r="W220" i="172" s="1"/>
  <c r="V59" i="172"/>
  <c r="V220" i="172" s="1"/>
  <c r="V224" i="172"/>
  <c r="V226" i="172" s="1"/>
  <c r="V199" i="172" s="1"/>
  <c r="U59" i="172"/>
  <c r="T59" i="172"/>
  <c r="S59" i="172"/>
  <c r="S220" i="172"/>
  <c r="R59" i="172"/>
  <c r="Q59" i="172"/>
  <c r="P59" i="172"/>
  <c r="O59" i="172"/>
  <c r="O220" i="172" s="1"/>
  <c r="O224" i="172" s="1"/>
  <c r="O226" i="172" s="1"/>
  <c r="O199" i="172" s="1"/>
  <c r="N59" i="172"/>
  <c r="N220" i="172"/>
  <c r="M59" i="172"/>
  <c r="L59" i="172"/>
  <c r="K59" i="172"/>
  <c r="K220" i="172" s="1"/>
  <c r="J59" i="172"/>
  <c r="J118" i="172" s="1"/>
  <c r="AO44" i="172"/>
  <c r="AN44" i="172"/>
  <c r="AM44" i="172"/>
  <c r="AL44" i="172"/>
  <c r="AK44" i="172"/>
  <c r="AJ44" i="172"/>
  <c r="AI44" i="172"/>
  <c r="AH44" i="172"/>
  <c r="AG44" i="172"/>
  <c r="AF44" i="172"/>
  <c r="AE44" i="172"/>
  <c r="AD44" i="172"/>
  <c r="AC44" i="172"/>
  <c r="AB44" i="172"/>
  <c r="AA44" i="172"/>
  <c r="Z44" i="172"/>
  <c r="Y44" i="172"/>
  <c r="X44" i="172"/>
  <c r="W44" i="172"/>
  <c r="V44" i="172"/>
  <c r="U44" i="172"/>
  <c r="T44" i="172"/>
  <c r="S44" i="172"/>
  <c r="R44" i="172"/>
  <c r="Q44" i="172"/>
  <c r="P44" i="172"/>
  <c r="O44" i="172"/>
  <c r="N44" i="172"/>
  <c r="M44" i="172"/>
  <c r="L44" i="172"/>
  <c r="K44" i="172"/>
  <c r="J44" i="172"/>
  <c r="AO38" i="172"/>
  <c r="AN38" i="172"/>
  <c r="AM38" i="172"/>
  <c r="AL38" i="172"/>
  <c r="AK38" i="172"/>
  <c r="AJ38" i="172"/>
  <c r="AI38" i="172"/>
  <c r="AH38" i="172"/>
  <c r="AG38" i="172"/>
  <c r="AF38" i="172"/>
  <c r="AE38" i="172"/>
  <c r="AD38" i="172"/>
  <c r="AC38" i="172"/>
  <c r="AB38" i="172"/>
  <c r="AA38" i="172"/>
  <c r="Z38" i="172"/>
  <c r="Y38" i="172"/>
  <c r="X38" i="172"/>
  <c r="W38" i="172"/>
  <c r="V38" i="172"/>
  <c r="U38" i="172"/>
  <c r="T38" i="172"/>
  <c r="S38" i="172"/>
  <c r="R38" i="172"/>
  <c r="Q38" i="172"/>
  <c r="P38" i="172"/>
  <c r="O38" i="172"/>
  <c r="N38" i="172"/>
  <c r="M38" i="172"/>
  <c r="L38" i="172"/>
  <c r="K38" i="172"/>
  <c r="J38" i="172"/>
  <c r="K30" i="172"/>
  <c r="L30" i="172"/>
  <c r="M30" i="172"/>
  <c r="N30" i="172"/>
  <c r="O30" i="172"/>
  <c r="P30" i="172"/>
  <c r="Q30" i="172"/>
  <c r="R30" i="172"/>
  <c r="S30" i="172"/>
  <c r="T30" i="172"/>
  <c r="U30" i="172"/>
  <c r="V30" i="172"/>
  <c r="W30" i="172"/>
  <c r="X30" i="172"/>
  <c r="Y30" i="172"/>
  <c r="Z30" i="172"/>
  <c r="AA30" i="172"/>
  <c r="AB30" i="172"/>
  <c r="AC30" i="172"/>
  <c r="AD30" i="172"/>
  <c r="AE30" i="172"/>
  <c r="AF30" i="172"/>
  <c r="AG30" i="172"/>
  <c r="AH30" i="172"/>
  <c r="AI30" i="172"/>
  <c r="AJ30" i="172"/>
  <c r="AK30" i="172"/>
  <c r="AL30" i="172"/>
  <c r="AM30" i="172"/>
  <c r="AN30" i="172"/>
  <c r="AO30" i="172"/>
  <c r="J30" i="172"/>
  <c r="M186" i="172"/>
  <c r="N186" i="172" s="1"/>
  <c r="X19" i="172"/>
  <c r="Y19" i="172"/>
  <c r="Y32" i="172" s="1"/>
  <c r="Z19" i="172"/>
  <c r="AA19" i="172"/>
  <c r="AB19" i="172"/>
  <c r="AC19" i="172"/>
  <c r="AD19" i="172"/>
  <c r="AE19" i="172"/>
  <c r="AF19" i="172"/>
  <c r="AG19" i="172"/>
  <c r="AH19" i="172"/>
  <c r="AI19" i="172"/>
  <c r="AJ19" i="172"/>
  <c r="AK19" i="172"/>
  <c r="AL19" i="172"/>
  <c r="AM19" i="172"/>
  <c r="AN19" i="172"/>
  <c r="AO19" i="172"/>
  <c r="AO32" i="172" s="1"/>
  <c r="M5" i="172"/>
  <c r="N5" i="172" s="1"/>
  <c r="O5" i="172" s="1"/>
  <c r="P5" i="172" s="1"/>
  <c r="Q5" i="172" s="1"/>
  <c r="R5" i="172" s="1"/>
  <c r="S5" i="172" s="1"/>
  <c r="T5" i="172" s="1"/>
  <c r="U5" i="172" s="1"/>
  <c r="V5" i="172" s="1"/>
  <c r="W5" i="172" s="1"/>
  <c r="X5" i="172" s="1"/>
  <c r="Y5" i="172" s="1"/>
  <c r="Z5" i="172" s="1"/>
  <c r="AA5" i="172" s="1"/>
  <c r="AB5" i="172" s="1"/>
  <c r="AC5" i="172" s="1"/>
  <c r="AD5" i="172" s="1"/>
  <c r="AE5" i="172" s="1"/>
  <c r="AF5" i="172" s="1"/>
  <c r="AG5" i="172" s="1"/>
  <c r="AH5" i="172" s="1"/>
  <c r="AI5" i="172" s="1"/>
  <c r="AJ5" i="172" s="1"/>
  <c r="AK5" i="172" s="1"/>
  <c r="AL5" i="172" s="1"/>
  <c r="AM5" i="172" s="1"/>
  <c r="AN5" i="172" s="1"/>
  <c r="E260" i="34"/>
  <c r="E261" i="34"/>
  <c r="D14" i="214" s="1"/>
  <c r="E262" i="34"/>
  <c r="D15" i="214" s="1"/>
  <c r="E263" i="34"/>
  <c r="E264" i="34"/>
  <c r="D17" i="214" s="1"/>
  <c r="E265" i="34"/>
  <c r="D18" i="214" s="1"/>
  <c r="E266" i="34"/>
  <c r="D19" i="214" s="1"/>
  <c r="E267" i="34"/>
  <c r="D20" i="214" s="1"/>
  <c r="E268" i="34"/>
  <c r="D21" i="214" s="1"/>
  <c r="E269" i="34"/>
  <c r="D22" i="214" s="1"/>
  <c r="E270" i="34"/>
  <c r="D23" i="214" s="1"/>
  <c r="E271" i="34"/>
  <c r="D24" i="214" s="1"/>
  <c r="E272" i="34"/>
  <c r="D25" i="214" s="1"/>
  <c r="E273" i="34"/>
  <c r="D26" i="214" s="1"/>
  <c r="E274" i="34"/>
  <c r="D27" i="214" s="1"/>
  <c r="E275" i="34"/>
  <c r="D28" i="214" s="1"/>
  <c r="E276" i="34"/>
  <c r="D29" i="214" s="1"/>
  <c r="E277" i="34"/>
  <c r="D30" i="214" s="1"/>
  <c r="E278" i="34"/>
  <c r="D31" i="214" s="1"/>
  <c r="E279" i="34"/>
  <c r="D32" i="214" s="1"/>
  <c r="X264" i="34"/>
  <c r="T17" i="214" s="1"/>
  <c r="X273" i="34"/>
  <c r="T26" i="214" s="1"/>
  <c r="X268" i="34"/>
  <c r="T21" i="214" s="1"/>
  <c r="X269" i="34"/>
  <c r="T22" i="214" s="1"/>
  <c r="X270" i="34"/>
  <c r="T23" i="214" s="1"/>
  <c r="X274" i="34"/>
  <c r="T27" i="214" s="1"/>
  <c r="X275" i="34"/>
  <c r="T28" i="214" s="1"/>
  <c r="X277" i="34"/>
  <c r="T30" i="214" s="1"/>
  <c r="X271" i="34"/>
  <c r="T24" i="214" s="1"/>
  <c r="X272" i="34"/>
  <c r="T25" i="214" s="1"/>
  <c r="X278" i="34"/>
  <c r="T31" i="214" s="1"/>
  <c r="N273" i="34"/>
  <c r="N268" i="34"/>
  <c r="J21" i="214" s="1"/>
  <c r="N269" i="34"/>
  <c r="J22" i="214" s="1"/>
  <c r="N262" i="34"/>
  <c r="J15" i="214" s="1"/>
  <c r="N270" i="34"/>
  <c r="J23" i="214" s="1"/>
  <c r="N274" i="34"/>
  <c r="J27" i="214" s="1"/>
  <c r="N275" i="34"/>
  <c r="J28" i="214" s="1"/>
  <c r="N277" i="34"/>
  <c r="J30" i="214" s="1"/>
  <c r="N271" i="34"/>
  <c r="J24" i="214" s="1"/>
  <c r="N272" i="34"/>
  <c r="J25" i="214" s="1"/>
  <c r="N278" i="34"/>
  <c r="J31" i="214" s="1"/>
  <c r="N265" i="34"/>
  <c r="J18" i="214" s="1"/>
  <c r="X276" i="34"/>
  <c r="T29" i="214" s="1"/>
  <c r="F49" i="34"/>
  <c r="F51" i="34"/>
  <c r="F55" i="34"/>
  <c r="F57" i="34"/>
  <c r="F59" i="34"/>
  <c r="F61" i="34"/>
  <c r="E70" i="34"/>
  <c r="E71" i="34"/>
  <c r="E72" i="34"/>
  <c r="E73" i="34"/>
  <c r="E74" i="34"/>
  <c r="E75" i="34"/>
  <c r="E76" i="34"/>
  <c r="E77" i="34"/>
  <c r="E78" i="34"/>
  <c r="E79" i="34"/>
  <c r="E80" i="34"/>
  <c r="E81" i="34"/>
  <c r="E82" i="34"/>
  <c r="E83" i="34"/>
  <c r="E84" i="34"/>
  <c r="E85" i="34"/>
  <c r="E86" i="34"/>
  <c r="E87" i="34"/>
  <c r="E164" i="34"/>
  <c r="E165" i="34"/>
  <c r="E166" i="34"/>
  <c r="E167" i="34"/>
  <c r="E169" i="34"/>
  <c r="E170" i="34"/>
  <c r="E171" i="34"/>
  <c r="E172" i="34"/>
  <c r="E173" i="34"/>
  <c r="E174" i="34"/>
  <c r="E175" i="34"/>
  <c r="E176" i="34"/>
  <c r="E177" i="34"/>
  <c r="E178" i="34"/>
  <c r="E179" i="34"/>
  <c r="E180" i="34"/>
  <c r="E181" i="34"/>
  <c r="E182" i="34"/>
  <c r="E183" i="34"/>
  <c r="E184" i="34"/>
  <c r="E185" i="34"/>
  <c r="E189" i="34"/>
  <c r="E190" i="34"/>
  <c r="E191" i="34"/>
  <c r="E192" i="34"/>
  <c r="E193" i="34"/>
  <c r="E194" i="34"/>
  <c r="E195" i="34"/>
  <c r="E196" i="34"/>
  <c r="E197" i="34"/>
  <c r="E198" i="34"/>
  <c r="E199" i="34"/>
  <c r="E200" i="34"/>
  <c r="E201" i="34"/>
  <c r="E202" i="34"/>
  <c r="J273" i="34"/>
  <c r="F26" i="214" s="1"/>
  <c r="J268" i="34"/>
  <c r="F21" i="214" s="1"/>
  <c r="J269" i="34"/>
  <c r="F22" i="214" s="1"/>
  <c r="J270" i="34"/>
  <c r="F23" i="214" s="1"/>
  <c r="J274" i="34"/>
  <c r="F27" i="214" s="1"/>
  <c r="J275" i="34"/>
  <c r="F28" i="214" s="1"/>
  <c r="J277" i="34"/>
  <c r="F30" i="214" s="1"/>
  <c r="J271" i="34"/>
  <c r="F24" i="214" s="1"/>
  <c r="J272" i="34"/>
  <c r="F25" i="214" s="1"/>
  <c r="J278" i="34"/>
  <c r="F31" i="214" s="1"/>
  <c r="K273" i="34"/>
  <c r="G26" i="214" s="1"/>
  <c r="K268" i="34"/>
  <c r="G21" i="214" s="1"/>
  <c r="K269" i="34"/>
  <c r="G22" i="214" s="1"/>
  <c r="K270" i="34"/>
  <c r="G23" i="214" s="1"/>
  <c r="K274" i="34"/>
  <c r="G27" i="214" s="1"/>
  <c r="K275" i="34"/>
  <c r="G28" i="214" s="1"/>
  <c r="K277" i="34"/>
  <c r="G30" i="214" s="1"/>
  <c r="K271" i="34"/>
  <c r="G24" i="214" s="1"/>
  <c r="K272" i="34"/>
  <c r="G25" i="214" s="1"/>
  <c r="K278" i="34"/>
  <c r="G31" i="214" s="1"/>
  <c r="L273" i="34"/>
  <c r="H26" i="214" s="1"/>
  <c r="L268" i="34"/>
  <c r="H21" i="214" s="1"/>
  <c r="L269" i="34"/>
  <c r="H22" i="214" s="1"/>
  <c r="L270" i="34"/>
  <c r="H23" i="214" s="1"/>
  <c r="L274" i="34"/>
  <c r="H27" i="214" s="1"/>
  <c r="L275" i="34"/>
  <c r="H28" i="214" s="1"/>
  <c r="L277" i="34"/>
  <c r="H30" i="214" s="1"/>
  <c r="L271" i="34"/>
  <c r="H24" i="214" s="1"/>
  <c r="L272" i="34"/>
  <c r="H25" i="214" s="1"/>
  <c r="L278" i="34"/>
  <c r="H31" i="214" s="1"/>
  <c r="M273" i="34"/>
  <c r="I26" i="214" s="1"/>
  <c r="M268" i="34"/>
  <c r="I21" i="214" s="1"/>
  <c r="M269" i="34"/>
  <c r="I22" i="214" s="1"/>
  <c r="M270" i="34"/>
  <c r="I23" i="214" s="1"/>
  <c r="M274" i="34"/>
  <c r="I27" i="214" s="1"/>
  <c r="M275" i="34"/>
  <c r="I28" i="214" s="1"/>
  <c r="M277" i="34"/>
  <c r="I30" i="214" s="1"/>
  <c r="M272" i="34"/>
  <c r="I25" i="214" s="1"/>
  <c r="M278" i="34"/>
  <c r="I31" i="214" s="1"/>
  <c r="R273" i="34"/>
  <c r="N26" i="214" s="1"/>
  <c r="R268" i="34"/>
  <c r="N21" i="214" s="1"/>
  <c r="R269" i="34"/>
  <c r="N22" i="214" s="1"/>
  <c r="R270" i="34"/>
  <c r="N23" i="214" s="1"/>
  <c r="R277" i="34"/>
  <c r="N30" i="214" s="1"/>
  <c r="R271" i="34"/>
  <c r="N24" i="214" s="1"/>
  <c r="R272" i="34"/>
  <c r="N25" i="214" s="1"/>
  <c r="R278" i="34"/>
  <c r="N31" i="214" s="1"/>
  <c r="S273" i="34"/>
  <c r="O26" i="214" s="1"/>
  <c r="S268" i="34"/>
  <c r="O21" i="214" s="1"/>
  <c r="S269" i="34"/>
  <c r="O22" i="214" s="1"/>
  <c r="S270" i="34"/>
  <c r="O23" i="214" s="1"/>
  <c r="S277" i="34"/>
  <c r="O30" i="214" s="1"/>
  <c r="S271" i="34"/>
  <c r="O24" i="214" s="1"/>
  <c r="S272" i="34"/>
  <c r="O25" i="214" s="1"/>
  <c r="S278" i="34"/>
  <c r="O31" i="214" s="1"/>
  <c r="T273" i="34"/>
  <c r="P26" i="214" s="1"/>
  <c r="T268" i="34"/>
  <c r="P21" i="214" s="1"/>
  <c r="T269" i="34"/>
  <c r="P22" i="214" s="1"/>
  <c r="T270" i="34"/>
  <c r="P23" i="214" s="1"/>
  <c r="T277" i="34"/>
  <c r="P30" i="214" s="1"/>
  <c r="T271" i="34"/>
  <c r="P24" i="214" s="1"/>
  <c r="T272" i="34"/>
  <c r="P25" i="214" s="1"/>
  <c r="T278" i="34"/>
  <c r="P31" i="214" s="1"/>
  <c r="U273" i="34"/>
  <c r="Q26" i="214" s="1"/>
  <c r="U268" i="34"/>
  <c r="Q21" i="214" s="1"/>
  <c r="U269" i="34"/>
  <c r="Q22" i="214" s="1"/>
  <c r="U270" i="34"/>
  <c r="Q23" i="214" s="1"/>
  <c r="U277" i="34"/>
  <c r="Q30" i="214" s="1"/>
  <c r="U271" i="34"/>
  <c r="Q24" i="214" s="1"/>
  <c r="U272" i="34"/>
  <c r="Q25" i="214" s="1"/>
  <c r="U278" i="34"/>
  <c r="Q31" i="214" s="1"/>
  <c r="V273" i="34"/>
  <c r="R26" i="214" s="1"/>
  <c r="V268" i="34"/>
  <c r="R21" i="214" s="1"/>
  <c r="V269" i="34"/>
  <c r="R22" i="214" s="1"/>
  <c r="V270" i="34"/>
  <c r="R23" i="214" s="1"/>
  <c r="V274" i="34"/>
  <c r="R27" i="214" s="1"/>
  <c r="V275" i="34"/>
  <c r="R28" i="214" s="1"/>
  <c r="V277" i="34"/>
  <c r="R30" i="214" s="1"/>
  <c r="V271" i="34"/>
  <c r="R24" i="214" s="1"/>
  <c r="V272" i="34"/>
  <c r="R25" i="214" s="1"/>
  <c r="V278" i="34"/>
  <c r="R31" i="214" s="1"/>
  <c r="W273" i="34"/>
  <c r="S26" i="214" s="1"/>
  <c r="W268" i="34"/>
  <c r="S21" i="214" s="1"/>
  <c r="W269" i="34"/>
  <c r="S22" i="214" s="1"/>
  <c r="W270" i="34"/>
  <c r="S23" i="214" s="1"/>
  <c r="W274" i="34"/>
  <c r="S27" i="214" s="1"/>
  <c r="W275" i="34"/>
  <c r="S28" i="214" s="1"/>
  <c r="W277" i="34"/>
  <c r="S30" i="214" s="1"/>
  <c r="W271" i="34"/>
  <c r="S24" i="214" s="1"/>
  <c r="W272" i="34"/>
  <c r="S25" i="214" s="1"/>
  <c r="W278" i="34"/>
  <c r="S31" i="214" s="1"/>
  <c r="Y273" i="34"/>
  <c r="U26" i="214" s="1"/>
  <c r="Y268" i="34"/>
  <c r="U21" i="214" s="1"/>
  <c r="Y269" i="34"/>
  <c r="U22" i="214" s="1"/>
  <c r="Y270" i="34"/>
  <c r="U23" i="214" s="1"/>
  <c r="Y274" i="34"/>
  <c r="U27" i="214" s="1"/>
  <c r="Y275" i="34"/>
  <c r="U28" i="214" s="1"/>
  <c r="Y277" i="34"/>
  <c r="U30" i="214" s="1"/>
  <c r="Y271" i="34"/>
  <c r="U24" i="214" s="1"/>
  <c r="Y272" i="34"/>
  <c r="U25" i="214" s="1"/>
  <c r="Y278" i="34"/>
  <c r="U31" i="214" s="1"/>
  <c r="Z273" i="34"/>
  <c r="V26" i="214" s="1"/>
  <c r="Z268" i="34"/>
  <c r="V21" i="214" s="1"/>
  <c r="Z269" i="34"/>
  <c r="V22" i="214" s="1"/>
  <c r="Z270" i="34"/>
  <c r="V23" i="214" s="1"/>
  <c r="Z274" i="34"/>
  <c r="V27" i="214" s="1"/>
  <c r="Z275" i="34"/>
  <c r="V28" i="214" s="1"/>
  <c r="Z277" i="34"/>
  <c r="V30" i="214" s="1"/>
  <c r="Z271" i="34"/>
  <c r="V24" i="214" s="1"/>
  <c r="Z272" i="34"/>
  <c r="V25" i="214" s="1"/>
  <c r="Z278" i="34"/>
  <c r="V31" i="214" s="1"/>
  <c r="AA273" i="34"/>
  <c r="W26" i="214" s="1"/>
  <c r="AA268" i="34"/>
  <c r="W21" i="214" s="1"/>
  <c r="AA269" i="34"/>
  <c r="W22" i="214" s="1"/>
  <c r="AA270" i="34"/>
  <c r="W23" i="214" s="1"/>
  <c r="AA274" i="34"/>
  <c r="W27" i="214" s="1"/>
  <c r="AA275" i="34"/>
  <c r="W28" i="214" s="1"/>
  <c r="AA277" i="34"/>
  <c r="W30" i="214" s="1"/>
  <c r="AA271" i="34"/>
  <c r="W24" i="214" s="1"/>
  <c r="AA272" i="34"/>
  <c r="W25" i="214" s="1"/>
  <c r="AA278" i="34"/>
  <c r="W31" i="214" s="1"/>
  <c r="N266" i="34"/>
  <c r="J19" i="214" s="1"/>
  <c r="AC5" i="195"/>
  <c r="I6" i="96" s="1"/>
  <c r="N279" i="34"/>
  <c r="J32" i="214" s="1"/>
  <c r="R54" i="195"/>
  <c r="R64" i="195" s="1"/>
  <c r="Q54" i="195"/>
  <c r="Q62" i="195" s="1"/>
  <c r="P54" i="195"/>
  <c r="O54" i="195"/>
  <c r="N54" i="195"/>
  <c r="M54" i="195"/>
  <c r="M64" i="195" s="1"/>
  <c r="L54" i="195"/>
  <c r="K54" i="195"/>
  <c r="I54" i="195"/>
  <c r="D514" i="202"/>
  <c r="D518" i="202" a="1"/>
  <c r="C517" i="202"/>
  <c r="C535" i="202"/>
  <c r="H536" i="202"/>
  <c r="G536" i="202"/>
  <c r="BY17" i="44"/>
  <c r="BZ17" i="44" s="1"/>
  <c r="CA17" i="44" s="1"/>
  <c r="CB17" i="44" s="1"/>
  <c r="BY20" i="44"/>
  <c r="BZ20" i="44" s="1"/>
  <c r="CA20" i="44" s="1"/>
  <c r="CB20" i="44" s="1"/>
  <c r="BF12" i="44"/>
  <c r="BG12" i="44" s="1"/>
  <c r="BH12" i="44" s="1"/>
  <c r="BI12" i="44" s="1"/>
  <c r="BF13" i="44"/>
  <c r="BG13" i="44" s="1"/>
  <c r="BH13" i="44" s="1"/>
  <c r="BI13" i="44" s="1"/>
  <c r="BF14" i="44"/>
  <c r="BG14" i="44" s="1"/>
  <c r="BH14" i="44" s="1"/>
  <c r="BI14" i="44" s="1"/>
  <c r="BF15" i="44"/>
  <c r="BG15" i="44" s="1"/>
  <c r="BH15" i="44" s="1"/>
  <c r="BI15" i="44" s="1"/>
  <c r="BF16" i="44"/>
  <c r="BG16" i="44" s="1"/>
  <c r="BH16" i="44" s="1"/>
  <c r="BI16" i="44" s="1"/>
  <c r="BF17" i="44"/>
  <c r="BG17" i="44" s="1"/>
  <c r="BH17" i="44" s="1"/>
  <c r="BI17" i="44" s="1"/>
  <c r="BF18" i="44"/>
  <c r="BG18" i="44" s="1"/>
  <c r="BH18" i="44" s="1"/>
  <c r="BI18" i="44" s="1"/>
  <c r="BF19" i="44"/>
  <c r="BG19" i="44" s="1"/>
  <c r="BH19" i="44" s="1"/>
  <c r="BI19" i="44" s="1"/>
  <c r="BF20" i="44"/>
  <c r="BG20" i="44" s="1"/>
  <c r="BH20" i="44" s="1"/>
  <c r="BI20" i="44" s="1"/>
  <c r="D8" i="202"/>
  <c r="D71" i="202" s="1"/>
  <c r="D117" i="202" a="1"/>
  <c r="D9" i="202"/>
  <c r="D142" i="202" a="1"/>
  <c r="D143" i="202" s="1"/>
  <c r="F143" i="202" s="1"/>
  <c r="D11" i="202"/>
  <c r="D163" i="202" s="1"/>
  <c r="D167" i="202" a="1"/>
  <c r="D178" i="202" s="1"/>
  <c r="D12" i="202"/>
  <c r="D192" i="202" a="1"/>
  <c r="D195" i="202" s="1"/>
  <c r="F195" i="202" s="1"/>
  <c r="D13" i="202"/>
  <c r="D217" i="202" a="1"/>
  <c r="D14" i="202"/>
  <c r="D242" i="202" a="1"/>
  <c r="D253" i="202" s="1"/>
  <c r="F253" i="202" s="1"/>
  <c r="D15" i="202"/>
  <c r="D57" i="202" s="1"/>
  <c r="D267" i="202" a="1"/>
  <c r="D16" i="202"/>
  <c r="D58" i="202" s="1"/>
  <c r="D292" i="202" a="1"/>
  <c r="D293" i="202" s="1"/>
  <c r="F293" i="202" s="1"/>
  <c r="D17" i="202"/>
  <c r="D38" i="202" s="1"/>
  <c r="D317" i="202" a="1"/>
  <c r="D18" i="202"/>
  <c r="D342" i="202" a="1"/>
  <c r="D349" i="202" s="1"/>
  <c r="F349" i="202" s="1"/>
  <c r="D19" i="202"/>
  <c r="D40" i="202" s="1"/>
  <c r="D367" i="202" a="1"/>
  <c r="D20" i="202"/>
  <c r="D392" i="202" a="1"/>
  <c r="D21" i="202"/>
  <c r="D84" i="202" s="1"/>
  <c r="D417" i="202" a="1"/>
  <c r="D22" i="202"/>
  <c r="D442" i="202" a="1"/>
  <c r="D447" i="202" s="1"/>
  <c r="D23" i="202"/>
  <c r="D65" i="202" s="1"/>
  <c r="D467" i="202" a="1"/>
  <c r="D24" i="202"/>
  <c r="D66" i="202"/>
  <c r="D492" i="202" a="1"/>
  <c r="G66" i="96"/>
  <c r="C16" i="44"/>
  <c r="C18" i="44"/>
  <c r="C21" i="44"/>
  <c r="C26" i="44"/>
  <c r="C31" i="44"/>
  <c r="C34" i="44"/>
  <c r="C37" i="44"/>
  <c r="C40" i="44"/>
  <c r="C43" i="44"/>
  <c r="C46" i="44"/>
  <c r="C49" i="44"/>
  <c r="C52" i="44"/>
  <c r="C55" i="44"/>
  <c r="C58" i="44"/>
  <c r="C61" i="44"/>
  <c r="C63" i="44"/>
  <c r="G23" i="44"/>
  <c r="G24" i="44" s="1"/>
  <c r="G36" i="44"/>
  <c r="G42" i="44" s="1"/>
  <c r="G28" i="44"/>
  <c r="G29" i="44" s="1"/>
  <c r="G33" i="44"/>
  <c r="G51" i="44"/>
  <c r="G57" i="44" s="1"/>
  <c r="S54" i="195"/>
  <c r="T54" i="195"/>
  <c r="U54" i="195"/>
  <c r="U69" i="195" s="1"/>
  <c r="V54" i="195"/>
  <c r="W54" i="195"/>
  <c r="W63" i="195" s="1"/>
  <c r="X54" i="195"/>
  <c r="C40" i="195"/>
  <c r="D39" i="195"/>
  <c r="D11" i="195" s="1"/>
  <c r="D40" i="195"/>
  <c r="D12" i="195" s="1"/>
  <c r="D42" i="195"/>
  <c r="D14" i="195" s="1"/>
  <c r="D43" i="195"/>
  <c r="D15" i="195" s="1"/>
  <c r="E15" i="195" s="1"/>
  <c r="E22" i="195" s="1"/>
  <c r="D44" i="195"/>
  <c r="D16" i="195" s="1"/>
  <c r="D78" i="195" s="1"/>
  <c r="D45" i="195"/>
  <c r="D17" i="195" s="1"/>
  <c r="D79" i="195" s="1"/>
  <c r="D46" i="195"/>
  <c r="D18" i="195" s="1"/>
  <c r="D47" i="195"/>
  <c r="D19" i="195" s="1"/>
  <c r="D48" i="195"/>
  <c r="D20" i="195" s="1"/>
  <c r="D82" i="195" s="1"/>
  <c r="E82" i="195" s="1"/>
  <c r="D49" i="195"/>
  <c r="D21" i="195" s="1"/>
  <c r="D83" i="195" s="1"/>
  <c r="D50" i="195"/>
  <c r="D22" i="195" s="1"/>
  <c r="D51" i="195"/>
  <c r="D23" i="195" s="1"/>
  <c r="D84" i="195" s="1"/>
  <c r="C9" i="202"/>
  <c r="C26" i="202"/>
  <c r="C27" i="202"/>
  <c r="D30" i="202"/>
  <c r="D31" i="202"/>
  <c r="D33" i="202"/>
  <c r="D35" i="202"/>
  <c r="D43" i="202"/>
  <c r="D45" i="202"/>
  <c r="C47" i="202"/>
  <c r="C48" i="202"/>
  <c r="D51" i="202"/>
  <c r="D52" i="202"/>
  <c r="D54" i="202"/>
  <c r="D56" i="202"/>
  <c r="D61" i="202"/>
  <c r="C68" i="202"/>
  <c r="C69" i="202"/>
  <c r="G71" i="202"/>
  <c r="H71" i="202"/>
  <c r="I71" i="202"/>
  <c r="D72" i="202"/>
  <c r="G72" i="202"/>
  <c r="H72" i="202"/>
  <c r="I72" i="202"/>
  <c r="D73" i="202"/>
  <c r="G73" i="202"/>
  <c r="H73" i="202"/>
  <c r="I73" i="202"/>
  <c r="G74" i="202"/>
  <c r="H74" i="202"/>
  <c r="I74" i="202"/>
  <c r="D75" i="202"/>
  <c r="G75" i="202"/>
  <c r="H75" i="202"/>
  <c r="I75" i="202"/>
  <c r="G76" i="202"/>
  <c r="H76" i="202"/>
  <c r="I76" i="202"/>
  <c r="D77" i="202"/>
  <c r="G77" i="202"/>
  <c r="H77" i="202"/>
  <c r="I77" i="202"/>
  <c r="G78" i="202"/>
  <c r="H78" i="202"/>
  <c r="I78" i="202"/>
  <c r="G79" i="202"/>
  <c r="H79" i="202"/>
  <c r="I79" i="202"/>
  <c r="G80" i="202"/>
  <c r="H80" i="202"/>
  <c r="I80" i="202"/>
  <c r="G81" i="202"/>
  <c r="H81" i="202"/>
  <c r="I81" i="202"/>
  <c r="G82" i="202"/>
  <c r="H82" i="202"/>
  <c r="I82" i="202"/>
  <c r="G83" i="202"/>
  <c r="H83" i="202"/>
  <c r="I83" i="202"/>
  <c r="G84" i="202"/>
  <c r="H84" i="202"/>
  <c r="I84" i="202"/>
  <c r="G85" i="202"/>
  <c r="H85" i="202"/>
  <c r="I85" i="202"/>
  <c r="G86" i="202"/>
  <c r="H86" i="202"/>
  <c r="I86" i="202"/>
  <c r="D87" i="202"/>
  <c r="G87" i="202"/>
  <c r="H87" i="202"/>
  <c r="I87" i="202"/>
  <c r="C89" i="202"/>
  <c r="C90" i="202"/>
  <c r="D93" i="202"/>
  <c r="D94" i="202"/>
  <c r="D96" i="202"/>
  <c r="D98" i="202"/>
  <c r="D104" i="202"/>
  <c r="D106" i="202"/>
  <c r="D108" i="202"/>
  <c r="C111" i="202"/>
  <c r="C116" i="202"/>
  <c r="C134" i="202"/>
  <c r="G135" i="202"/>
  <c r="G29" i="202" s="1"/>
  <c r="H135" i="202"/>
  <c r="H29" i="202" s="1"/>
  <c r="H31" i="202" s="1"/>
  <c r="D138" i="202"/>
  <c r="C141" i="202"/>
  <c r="C159" i="202"/>
  <c r="G160" i="202"/>
  <c r="G30" i="202" s="1"/>
  <c r="H160" i="202"/>
  <c r="H30" i="202" s="1"/>
  <c r="C166" i="202"/>
  <c r="C184" i="202"/>
  <c r="G185" i="202"/>
  <c r="G32" i="202" s="1"/>
  <c r="H185" i="202"/>
  <c r="H32" i="202" s="1"/>
  <c r="D188" i="202"/>
  <c r="C191" i="202"/>
  <c r="C209" i="202"/>
  <c r="G210" i="202"/>
  <c r="G33" i="202" s="1"/>
  <c r="H210" i="202"/>
  <c r="H33" i="202" s="1"/>
  <c r="C216" i="202"/>
  <c r="C234" i="202"/>
  <c r="G235" i="202"/>
  <c r="G34" i="202" s="1"/>
  <c r="H235" i="202"/>
  <c r="H34" i="202" s="1"/>
  <c r="D238" i="202"/>
  <c r="C241" i="202"/>
  <c r="C259" i="202"/>
  <c r="G260" i="202"/>
  <c r="G35" i="202" s="1"/>
  <c r="H260" i="202"/>
  <c r="H35" i="202" s="1"/>
  <c r="C266" i="202"/>
  <c r="C284" i="202"/>
  <c r="G285" i="202"/>
  <c r="G36" i="202" s="1"/>
  <c r="H285" i="202"/>
  <c r="H36" i="202" s="1"/>
  <c r="C291" i="202"/>
  <c r="C309" i="202"/>
  <c r="G310" i="202"/>
  <c r="G37" i="202" s="1"/>
  <c r="H310" i="202"/>
  <c r="H37" i="202" s="1"/>
  <c r="C316" i="202"/>
  <c r="C334" i="202"/>
  <c r="G335" i="202"/>
  <c r="G38" i="202" s="1"/>
  <c r="H335" i="202"/>
  <c r="H38" i="202" s="1"/>
  <c r="C341" i="202"/>
  <c r="C359" i="202"/>
  <c r="G360" i="202"/>
  <c r="G39" i="202" s="1"/>
  <c r="H360" i="202"/>
  <c r="H39" i="202" s="1"/>
  <c r="C366" i="202"/>
  <c r="C384" i="202"/>
  <c r="G385" i="202"/>
  <c r="G40" i="202" s="1"/>
  <c r="H385" i="202"/>
  <c r="H40" i="202" s="1"/>
  <c r="C391" i="202"/>
  <c r="C409" i="202"/>
  <c r="G410" i="202"/>
  <c r="G41" i="202" s="1"/>
  <c r="H410" i="202"/>
  <c r="H41" i="202" s="1"/>
  <c r="C416" i="202"/>
  <c r="C434" i="202"/>
  <c r="G435" i="202"/>
  <c r="G42" i="202" s="1"/>
  <c r="H435" i="202"/>
  <c r="H42" i="202" s="1"/>
  <c r="D438" i="202"/>
  <c r="C441" i="202"/>
  <c r="C459" i="202"/>
  <c r="G460" i="202"/>
  <c r="G43" i="202" s="1"/>
  <c r="H460" i="202"/>
  <c r="H43" i="202" s="1"/>
  <c r="C466" i="202"/>
  <c r="C484" i="202"/>
  <c r="G485" i="202"/>
  <c r="G44" i="202" s="1"/>
  <c r="H485" i="202"/>
  <c r="H44" i="202" s="1"/>
  <c r="D488" i="202"/>
  <c r="C491" i="202"/>
  <c r="C509" i="202"/>
  <c r="G510" i="202"/>
  <c r="G45" i="202" s="1"/>
  <c r="H510" i="202"/>
  <c r="H45" i="202" s="1"/>
  <c r="C1" i="112"/>
  <c r="C3" i="112"/>
  <c r="C2" i="165"/>
  <c r="C11" i="165"/>
  <c r="F10" i="45"/>
  <c r="F13" i="217" s="1"/>
  <c r="G13" i="106"/>
  <c r="E13" i="165" s="1"/>
  <c r="H13" i="106"/>
  <c r="E14" i="165" s="1"/>
  <c r="I10" i="45"/>
  <c r="J13" i="217" s="1"/>
  <c r="M10" i="45"/>
  <c r="L12" i="105" s="1"/>
  <c r="N10" i="45"/>
  <c r="O10" i="45"/>
  <c r="C2" i="166"/>
  <c r="C13" i="166"/>
  <c r="C15" i="166"/>
  <c r="E17" i="44"/>
  <c r="E14" i="45"/>
  <c r="AB13" i="44"/>
  <c r="AD13" i="44"/>
  <c r="AE13" i="44"/>
  <c r="N25" i="44"/>
  <c r="N62" i="44" s="1"/>
  <c r="N30" i="44"/>
  <c r="E15" i="72"/>
  <c r="E18" i="44"/>
  <c r="E15" i="45" s="1"/>
  <c r="E19" i="44"/>
  <c r="E20" i="44" s="1"/>
  <c r="E17" i="45" s="1"/>
  <c r="C14" i="166"/>
  <c r="D17" i="166"/>
  <c r="D27" i="166"/>
  <c r="D13" i="101"/>
  <c r="D13" i="102" s="1"/>
  <c r="D14" i="105" s="1"/>
  <c r="C14" i="107"/>
  <c r="C15" i="107" s="1"/>
  <c r="D14" i="101"/>
  <c r="V14" i="101" s="1"/>
  <c r="D15" i="101"/>
  <c r="D17" i="101"/>
  <c r="D17" i="102" s="1"/>
  <c r="D18" i="105" s="1"/>
  <c r="D18" i="101"/>
  <c r="V18" i="101" s="1"/>
  <c r="D19" i="101"/>
  <c r="D20" i="101"/>
  <c r="V20" i="101" s="1"/>
  <c r="D21" i="101"/>
  <c r="V21" i="101" s="1"/>
  <c r="D22" i="101"/>
  <c r="V22" i="101" s="1"/>
  <c r="D23" i="101"/>
  <c r="V23" i="101" s="1"/>
  <c r="D24" i="101"/>
  <c r="V24" i="101" s="1"/>
  <c r="C2" i="106"/>
  <c r="U13" i="106"/>
  <c r="E31" i="165"/>
  <c r="V13" i="106"/>
  <c r="E32" i="165"/>
  <c r="C16" i="106"/>
  <c r="C17" i="106"/>
  <c r="C2" i="105"/>
  <c r="F12" i="105"/>
  <c r="T12" i="105"/>
  <c r="U12" i="105"/>
  <c r="C14" i="105"/>
  <c r="C15" i="105" s="1"/>
  <c r="C16" i="105" s="1"/>
  <c r="T14" i="105"/>
  <c r="T15" i="105"/>
  <c r="T16" i="105"/>
  <c r="T17" i="105"/>
  <c r="T18" i="105"/>
  <c r="T19" i="105"/>
  <c r="T20" i="105"/>
  <c r="T21" i="105"/>
  <c r="T22" i="105"/>
  <c r="T25" i="105"/>
  <c r="C2" i="104"/>
  <c r="C14" i="104"/>
  <c r="C15" i="104" s="1"/>
  <c r="C16" i="104" s="1"/>
  <c r="D14" i="104"/>
  <c r="D15" i="104"/>
  <c r="D16" i="104"/>
  <c r="D17" i="104"/>
  <c r="D18" i="104"/>
  <c r="D19" i="104"/>
  <c r="D20" i="104"/>
  <c r="D21" i="104"/>
  <c r="D22" i="104"/>
  <c r="D23" i="104"/>
  <c r="D24" i="104"/>
  <c r="D25" i="104"/>
  <c r="D30" i="104"/>
  <c r="D31" i="104"/>
  <c r="C2" i="103"/>
  <c r="Y16" i="103"/>
  <c r="C17" i="103"/>
  <c r="Y17" i="103"/>
  <c r="C18" i="103"/>
  <c r="C19" i="103" s="1"/>
  <c r="Y18" i="103"/>
  <c r="Y19" i="103"/>
  <c r="Y20" i="103"/>
  <c r="Y21" i="103"/>
  <c r="Y25" i="103"/>
  <c r="Y26" i="103"/>
  <c r="Y27" i="103"/>
  <c r="Y28" i="103"/>
  <c r="Y29" i="103"/>
  <c r="Y30" i="103"/>
  <c r="Y31" i="103"/>
  <c r="Y32" i="103"/>
  <c r="Y33" i="103"/>
  <c r="Y34" i="103"/>
  <c r="Y38" i="103"/>
  <c r="Y39" i="103"/>
  <c r="Y40" i="103"/>
  <c r="Y41" i="103"/>
  <c r="Y42" i="103"/>
  <c r="Y43" i="103"/>
  <c r="Y44" i="103"/>
  <c r="Y45" i="103"/>
  <c r="Y46" i="103"/>
  <c r="Y47" i="103"/>
  <c r="Y48" i="103"/>
  <c r="Y49" i="103"/>
  <c r="Y50" i="103"/>
  <c r="Y51" i="103"/>
  <c r="Y52" i="103"/>
  <c r="Y58" i="103"/>
  <c r="Y59" i="103"/>
  <c r="Y60" i="103"/>
  <c r="Y61" i="103"/>
  <c r="Y62" i="103"/>
  <c r="Y63" i="103"/>
  <c r="Y64" i="103"/>
  <c r="Y65" i="103"/>
  <c r="Y66" i="103"/>
  <c r="Y67" i="103"/>
  <c r="Y68" i="103"/>
  <c r="Y69" i="103"/>
  <c r="Y70" i="103"/>
  <c r="Y71" i="103"/>
  <c r="Y72" i="103"/>
  <c r="Y73" i="103"/>
  <c r="Y74" i="103"/>
  <c r="Y75" i="103"/>
  <c r="C3" i="102"/>
  <c r="H11" i="102"/>
  <c r="K11" i="102"/>
  <c r="N11" i="102"/>
  <c r="Q11" i="102"/>
  <c r="T11" i="102"/>
  <c r="V11" i="102"/>
  <c r="X11" i="102"/>
  <c r="C13" i="102"/>
  <c r="C14" i="102"/>
  <c r="C2" i="101"/>
  <c r="E6" i="101"/>
  <c r="F6" i="101"/>
  <c r="G6" i="101"/>
  <c r="H6" i="101"/>
  <c r="I6" i="101"/>
  <c r="J6" i="101"/>
  <c r="K6" i="101"/>
  <c r="AE11" i="101"/>
  <c r="AG11" i="101"/>
  <c r="AI11" i="101"/>
  <c r="C13" i="101"/>
  <c r="R13" i="101"/>
  <c r="R17" i="101"/>
  <c r="R18" i="101"/>
  <c r="R19" i="101"/>
  <c r="R21" i="101"/>
  <c r="R22" i="101"/>
  <c r="R23" i="101"/>
  <c r="C14" i="101"/>
  <c r="C15" i="101" s="1"/>
  <c r="C16" i="101" s="1"/>
  <c r="C17" i="101" s="1"/>
  <c r="C18" i="101" s="1"/>
  <c r="C19" i="101" s="1"/>
  <c r="C20" i="101" s="1"/>
  <c r="C21" i="101" s="1"/>
  <c r="C22" i="101" s="1"/>
  <c r="C23" i="101" s="1"/>
  <c r="C24" i="101" s="1"/>
  <c r="C26" i="101" s="1"/>
  <c r="C28" i="101" s="1"/>
  <c r="C30" i="101" s="1"/>
  <c r="AE22" i="101"/>
  <c r="AF22" i="101"/>
  <c r="AE23" i="101"/>
  <c r="AF23" i="101"/>
  <c r="AE24" i="101"/>
  <c r="AF24" i="101"/>
  <c r="C2" i="100"/>
  <c r="C13" i="100"/>
  <c r="C14" i="100"/>
  <c r="D25" i="100"/>
  <c r="C2" i="115"/>
  <c r="E17" i="96"/>
  <c r="D15" i="115" s="1"/>
  <c r="C16" i="115"/>
  <c r="E18" i="96"/>
  <c r="D16" i="115" s="1"/>
  <c r="F16" i="115"/>
  <c r="F23" i="115" s="1"/>
  <c r="E19" i="96"/>
  <c r="D17" i="115" s="1"/>
  <c r="E20" i="96"/>
  <c r="D18" i="115" s="1"/>
  <c r="E21" i="96"/>
  <c r="D19" i="115" s="1"/>
  <c r="E22" i="96"/>
  <c r="D20" i="115" s="1"/>
  <c r="E23" i="96"/>
  <c r="D21" i="115" s="1"/>
  <c r="E24" i="96"/>
  <c r="D22" i="115" s="1"/>
  <c r="E25" i="96"/>
  <c r="D23" i="115" s="1"/>
  <c r="E27" i="96"/>
  <c r="D25" i="115" s="1"/>
  <c r="E28" i="96"/>
  <c r="D26" i="115" s="1"/>
  <c r="E30" i="96"/>
  <c r="D27" i="115" s="1"/>
  <c r="E31" i="96"/>
  <c r="D28" i="115" s="1"/>
  <c r="F28" i="115"/>
  <c r="E33" i="96"/>
  <c r="D30" i="115" s="1"/>
  <c r="E34" i="96"/>
  <c r="D31" i="115" s="1"/>
  <c r="E36" i="96"/>
  <c r="D33" i="115" s="1"/>
  <c r="E37" i="96"/>
  <c r="D34" i="115" s="1"/>
  <c r="E38" i="96"/>
  <c r="D35" i="115" s="1"/>
  <c r="E39" i="96"/>
  <c r="D36" i="115" s="1"/>
  <c r="F36" i="115"/>
  <c r="D38" i="115"/>
  <c r="D40" i="115"/>
  <c r="E45" i="96"/>
  <c r="D42" i="115" s="1"/>
  <c r="F43" i="115"/>
  <c r="E53" i="96"/>
  <c r="D50" i="115" s="1"/>
  <c r="F50" i="115"/>
  <c r="E54" i="96"/>
  <c r="D51" i="115" s="1"/>
  <c r="E55" i="96"/>
  <c r="D52" i="115" s="1"/>
  <c r="D54" i="115"/>
  <c r="D56" i="115"/>
  <c r="E60" i="96"/>
  <c r="D57" i="115" s="1"/>
  <c r="E61" i="96"/>
  <c r="D58" i="115" s="1"/>
  <c r="E62" i="96"/>
  <c r="D59" i="115" s="1"/>
  <c r="E63" i="96"/>
  <c r="D60" i="115" s="1"/>
  <c r="F61" i="115"/>
  <c r="C12" i="78"/>
  <c r="D12" i="78"/>
  <c r="C13" i="78"/>
  <c r="C14" i="78" s="1"/>
  <c r="D13" i="78"/>
  <c r="D14" i="100" s="1"/>
  <c r="O14" i="78"/>
  <c r="C15" i="78"/>
  <c r="D15" i="78"/>
  <c r="E11" i="208" s="1"/>
  <c r="D14" i="166"/>
  <c r="D16" i="78"/>
  <c r="E12" i="208" s="1"/>
  <c r="D16" i="101"/>
  <c r="V16" i="101" s="1"/>
  <c r="D17" i="78"/>
  <c r="E13" i="208" s="1"/>
  <c r="D20" i="166"/>
  <c r="D18" i="78"/>
  <c r="O18" i="78"/>
  <c r="D19" i="78"/>
  <c r="D22" i="166" s="1"/>
  <c r="O19" i="78"/>
  <c r="D20" i="78"/>
  <c r="D21" i="78"/>
  <c r="D22" i="78"/>
  <c r="O22" i="78" s="1"/>
  <c r="D23" i="78"/>
  <c r="O24" i="78"/>
  <c r="O25" i="78"/>
  <c r="P35" i="78"/>
  <c r="Q35" i="78"/>
  <c r="R35" i="78"/>
  <c r="P36" i="78"/>
  <c r="Q36" i="78"/>
  <c r="C37" i="78"/>
  <c r="E37" i="78"/>
  <c r="F37" i="78"/>
  <c r="F48" i="78" s="1"/>
  <c r="G37" i="78"/>
  <c r="O37" i="78"/>
  <c r="P38" i="78"/>
  <c r="Q38" i="78"/>
  <c r="P39" i="78"/>
  <c r="Q39" i="78"/>
  <c r="P40" i="78"/>
  <c r="Q40" i="78"/>
  <c r="P41" i="78"/>
  <c r="Q41" i="78"/>
  <c r="P42" i="78"/>
  <c r="Q42" i="78"/>
  <c r="P43" i="78"/>
  <c r="Q43" i="78"/>
  <c r="P45" i="78"/>
  <c r="Q45" i="78"/>
  <c r="P46" i="78"/>
  <c r="Q46" i="78"/>
  <c r="G48" i="78"/>
  <c r="G12" i="93"/>
  <c r="R12" i="93"/>
  <c r="U12" i="93"/>
  <c r="V12" i="93"/>
  <c r="C14" i="93"/>
  <c r="C16" i="93"/>
  <c r="C19" i="93"/>
  <c r="C24" i="93"/>
  <c r="C29" i="93"/>
  <c r="C31" i="93"/>
  <c r="C33" i="93"/>
  <c r="C35" i="93"/>
  <c r="C37" i="93"/>
  <c r="C39" i="93"/>
  <c r="C41" i="93"/>
  <c r="C43" i="93"/>
  <c r="C45" i="93"/>
  <c r="C47" i="93"/>
  <c r="C49" i="93"/>
  <c r="C51" i="93"/>
  <c r="C54" i="93"/>
  <c r="C56" i="93"/>
  <c r="E57" i="93"/>
  <c r="N57" i="93" s="1"/>
  <c r="H57" i="93"/>
  <c r="C58" i="93"/>
  <c r="E59" i="93"/>
  <c r="G59" i="93" s="1"/>
  <c r="C60" i="93"/>
  <c r="C65" i="93"/>
  <c r="C70" i="93"/>
  <c r="C72" i="93"/>
  <c r="C74" i="93"/>
  <c r="C76" i="93"/>
  <c r="C78" i="93"/>
  <c r="C80" i="93"/>
  <c r="C82" i="93"/>
  <c r="E83" i="93"/>
  <c r="G83" i="93"/>
  <c r="C84" i="93"/>
  <c r="E85" i="93"/>
  <c r="I85" i="93" s="1"/>
  <c r="C86" i="93"/>
  <c r="E87" i="93"/>
  <c r="J87" i="93" s="1"/>
  <c r="G87" i="93"/>
  <c r="C88" i="93"/>
  <c r="E89" i="93"/>
  <c r="C90" i="93"/>
  <c r="C99" i="93"/>
  <c r="C101" i="93"/>
  <c r="C103" i="93"/>
  <c r="C105" i="93"/>
  <c r="C110" i="93"/>
  <c r="C115" i="93"/>
  <c r="C117" i="93"/>
  <c r="C119" i="93"/>
  <c r="C121" i="93"/>
  <c r="C123" i="93"/>
  <c r="C125" i="93"/>
  <c r="C127" i="93"/>
  <c r="C129" i="93"/>
  <c r="C131" i="93"/>
  <c r="C133" i="93"/>
  <c r="C135" i="93"/>
  <c r="C144" i="93"/>
  <c r="C145" i="93"/>
  <c r="C147" i="93"/>
  <c r="C152" i="93"/>
  <c r="C157" i="93"/>
  <c r="C159" i="93"/>
  <c r="C161" i="93"/>
  <c r="C163" i="93"/>
  <c r="C165" i="93"/>
  <c r="C167" i="93"/>
  <c r="C169" i="93"/>
  <c r="C171" i="93"/>
  <c r="C173" i="93"/>
  <c r="C175" i="93"/>
  <c r="U9" i="46"/>
  <c r="C13" i="46"/>
  <c r="C14" i="46" s="1"/>
  <c r="C70" i="46"/>
  <c r="C71" i="46" s="1"/>
  <c r="C72" i="46" s="1"/>
  <c r="C73" i="46" s="1"/>
  <c r="C74" i="46" s="1"/>
  <c r="C75" i="46" s="1"/>
  <c r="C76" i="46" s="1"/>
  <c r="C77" i="46" s="1"/>
  <c r="C78" i="46" s="1"/>
  <c r="C79" i="46" s="1"/>
  <c r="C80" i="46" s="1"/>
  <c r="C81" i="46" s="1"/>
  <c r="C82" i="46" s="1"/>
  <c r="U8" i="45"/>
  <c r="P10" i="45"/>
  <c r="R13" i="217" s="1"/>
  <c r="Q10" i="45"/>
  <c r="R10" i="45"/>
  <c r="T13" i="217" s="1"/>
  <c r="S10" i="45"/>
  <c r="R12" i="105" s="1"/>
  <c r="T10" i="45"/>
  <c r="W10" i="45"/>
  <c r="C13" i="45"/>
  <c r="E13" i="45"/>
  <c r="C14" i="45"/>
  <c r="F13" i="72"/>
  <c r="G13" i="72"/>
  <c r="H13" i="72" s="1"/>
  <c r="I13" i="72" s="1"/>
  <c r="J13" i="72" s="1"/>
  <c r="K13" i="72" s="1"/>
  <c r="L13" i="72" s="1"/>
  <c r="M13" i="72" s="1"/>
  <c r="N13" i="72" s="1"/>
  <c r="O13" i="72" s="1"/>
  <c r="P13" i="72" s="1"/>
  <c r="Q13" i="72" s="1"/>
  <c r="R13" i="72" s="1"/>
  <c r="S13" i="72" s="1"/>
  <c r="T13" i="72" s="1"/>
  <c r="U13" i="72" s="1"/>
  <c r="V13" i="72" s="1"/>
  <c r="W13" i="72" s="1"/>
  <c r="X13" i="72" s="1"/>
  <c r="Y13" i="72" s="1"/>
  <c r="C17" i="72"/>
  <c r="C21" i="72"/>
  <c r="C22" i="72"/>
  <c r="P23" i="72"/>
  <c r="S23" i="72"/>
  <c r="C26" i="72"/>
  <c r="C37" i="72"/>
  <c r="I9" i="182"/>
  <c r="I16" i="182"/>
  <c r="H2" i="44"/>
  <c r="P2" i="44"/>
  <c r="AR21" i="44"/>
  <c r="AS21" i="44"/>
  <c r="AT21" i="44"/>
  <c r="BK21" i="44"/>
  <c r="BL21" i="44"/>
  <c r="BM21" i="44"/>
  <c r="AR23" i="44"/>
  <c r="AR25" i="44"/>
  <c r="E2" i="34"/>
  <c r="E4" i="34"/>
  <c r="Y10" i="34"/>
  <c r="E13" i="34"/>
  <c r="C17" i="34"/>
  <c r="C18" i="34"/>
  <c r="AE28" i="34"/>
  <c r="AE30" i="34"/>
  <c r="AE31" i="34"/>
  <c r="AE34" i="34"/>
  <c r="AE36" i="34"/>
  <c r="AE37" i="34"/>
  <c r="AE39" i="34"/>
  <c r="AE40" i="34"/>
  <c r="AE41" i="34"/>
  <c r="AE42" i="34"/>
  <c r="AE43" i="34"/>
  <c r="AE44" i="34"/>
  <c r="AE45" i="34"/>
  <c r="E67" i="34"/>
  <c r="AE68" i="34"/>
  <c r="AE69" i="34"/>
  <c r="D70" i="34"/>
  <c r="D71" i="34"/>
  <c r="D72" i="34"/>
  <c r="D73" i="34"/>
  <c r="D74" i="34"/>
  <c r="D75" i="34"/>
  <c r="D76" i="34"/>
  <c r="D77" i="34"/>
  <c r="D78" i="34"/>
  <c r="D79" i="34"/>
  <c r="D80" i="34"/>
  <c r="D81" i="34"/>
  <c r="D82" i="34"/>
  <c r="D83" i="34"/>
  <c r="D84" i="34"/>
  <c r="D85" i="34"/>
  <c r="D86" i="34"/>
  <c r="D87" i="34"/>
  <c r="E92" i="34"/>
  <c r="AE93" i="34"/>
  <c r="AE94" i="34"/>
  <c r="E108" i="34"/>
  <c r="AE109" i="34"/>
  <c r="AE110" i="34"/>
  <c r="E130" i="34"/>
  <c r="AE131" i="34"/>
  <c r="AE132" i="34"/>
  <c r="E135" i="34"/>
  <c r="AE136" i="34"/>
  <c r="AE137" i="34"/>
  <c r="AE138" i="34"/>
  <c r="E150" i="34"/>
  <c r="AE151" i="34"/>
  <c r="AE152" i="34"/>
  <c r="E160" i="34"/>
  <c r="AE161" i="34"/>
  <c r="AE162" i="34"/>
  <c r="D164" i="34"/>
  <c r="D165" i="34"/>
  <c r="D166" i="34"/>
  <c r="D167" i="34"/>
  <c r="D169" i="34"/>
  <c r="D170" i="34"/>
  <c r="D171" i="34"/>
  <c r="D172" i="34"/>
  <c r="D173" i="34"/>
  <c r="D174" i="34"/>
  <c r="D175" i="34"/>
  <c r="D176" i="34"/>
  <c r="D177" i="34"/>
  <c r="D178" i="34"/>
  <c r="D179" i="34"/>
  <c r="D180" i="34"/>
  <c r="D181" i="34"/>
  <c r="D182" i="34"/>
  <c r="D183" i="34"/>
  <c r="D184" i="34"/>
  <c r="D185" i="34"/>
  <c r="D189" i="34"/>
  <c r="D190" i="34"/>
  <c r="D191" i="34"/>
  <c r="D192" i="34"/>
  <c r="D193" i="34"/>
  <c r="D194" i="34"/>
  <c r="D195" i="34"/>
  <c r="D196" i="34"/>
  <c r="D197" i="34"/>
  <c r="D198" i="34"/>
  <c r="D199" i="34"/>
  <c r="D200" i="34"/>
  <c r="D201" i="34"/>
  <c r="D202" i="34"/>
  <c r="E203" i="34"/>
  <c r="AE204" i="34"/>
  <c r="AE206" i="34"/>
  <c r="AE207" i="34"/>
  <c r="E208" i="34"/>
  <c r="E209" i="34"/>
  <c r="E210" i="34"/>
  <c r="AE213" i="34"/>
  <c r="AE220" i="34"/>
  <c r="AE221" i="34"/>
  <c r="E222" i="34"/>
  <c r="E223" i="34"/>
  <c r="E224" i="34"/>
  <c r="E225" i="34"/>
  <c r="AE227" i="34"/>
  <c r="AE228" i="34"/>
  <c r="E235" i="34"/>
  <c r="E236" i="34"/>
  <c r="E237" i="34"/>
  <c r="AE239" i="34"/>
  <c r="AE249" i="34"/>
  <c r="AE251" i="34"/>
  <c r="E258" i="34"/>
  <c r="N263" i="34"/>
  <c r="J16" i="214" s="1"/>
  <c r="J264" i="34"/>
  <c r="F17" i="214" s="1"/>
  <c r="K264" i="34"/>
  <c r="G17" i="214" s="1"/>
  <c r="N264" i="34"/>
  <c r="J17" i="214" s="1"/>
  <c r="R264" i="34"/>
  <c r="N17" i="214" s="1"/>
  <c r="S264" i="34"/>
  <c r="O17" i="214" s="1"/>
  <c r="T264" i="34"/>
  <c r="P17" i="214" s="1"/>
  <c r="U264" i="34"/>
  <c r="Q17" i="214" s="1"/>
  <c r="V264" i="34"/>
  <c r="R17" i="214" s="1"/>
  <c r="W264" i="34"/>
  <c r="S17" i="214" s="1"/>
  <c r="Y264" i="34"/>
  <c r="U17" i="214" s="1"/>
  <c r="Z264" i="34"/>
  <c r="V17" i="214" s="1"/>
  <c r="AA264" i="34"/>
  <c r="W17" i="214" s="1"/>
  <c r="J276" i="34"/>
  <c r="F29" i="214" s="1"/>
  <c r="K276" i="34"/>
  <c r="G29" i="214" s="1"/>
  <c r="L276" i="34"/>
  <c r="H29" i="214" s="1"/>
  <c r="M276" i="34"/>
  <c r="N276" i="34"/>
  <c r="J29" i="214" s="1"/>
  <c r="R276" i="34"/>
  <c r="N29" i="214" s="1"/>
  <c r="S276" i="34"/>
  <c r="O29" i="214" s="1"/>
  <c r="T276" i="34"/>
  <c r="P29" i="214" s="1"/>
  <c r="U276" i="34"/>
  <c r="Q29" i="214" s="1"/>
  <c r="V276" i="34"/>
  <c r="R29" i="214" s="1"/>
  <c r="W276" i="34"/>
  <c r="S29" i="214" s="1"/>
  <c r="Y276" i="34"/>
  <c r="U29" i="214" s="1"/>
  <c r="Z276" i="34"/>
  <c r="V29" i="214" s="1"/>
  <c r="AA276" i="34"/>
  <c r="W29" i="214" s="1"/>
  <c r="F283" i="34"/>
  <c r="AE283" i="34"/>
  <c r="F284" i="34"/>
  <c r="AE284" i="34"/>
  <c r="F285" i="34"/>
  <c r="AE285" i="34"/>
  <c r="C2" i="79"/>
  <c r="X9" i="79"/>
  <c r="C12" i="79"/>
  <c r="C13" i="79" s="1"/>
  <c r="D12" i="79"/>
  <c r="D13" i="79"/>
  <c r="G13" i="79" s="1"/>
  <c r="E13" i="79"/>
  <c r="D14" i="79"/>
  <c r="G14" i="79" s="1"/>
  <c r="E14" i="79"/>
  <c r="D15" i="79"/>
  <c r="D21" i="79"/>
  <c r="D23" i="79"/>
  <c r="D25" i="79"/>
  <c r="D27" i="79"/>
  <c r="D29" i="79"/>
  <c r="G29" i="79" s="1"/>
  <c r="E29" i="79"/>
  <c r="D30" i="79"/>
  <c r="G30" i="79" s="1"/>
  <c r="E30" i="79"/>
  <c r="D31" i="79"/>
  <c r="G31" i="79" s="1"/>
  <c r="E31" i="79"/>
  <c r="D32" i="79"/>
  <c r="G32" i="79" s="1"/>
  <c r="E32" i="79"/>
  <c r="D33" i="79"/>
  <c r="G33" i="79" s="1"/>
  <c r="E33" i="79"/>
  <c r="D35" i="79"/>
  <c r="D36" i="79"/>
  <c r="G36" i="79" s="1"/>
  <c r="E36" i="79"/>
  <c r="D37" i="79"/>
  <c r="G37" i="79" s="1"/>
  <c r="E37" i="79"/>
  <c r="D38" i="79"/>
  <c r="G38" i="79" s="1"/>
  <c r="E38" i="79"/>
  <c r="D39" i="79"/>
  <c r="G39" i="79" s="1"/>
  <c r="E39" i="79"/>
  <c r="D40" i="79"/>
  <c r="G40" i="79" s="1"/>
  <c r="E40" i="79"/>
  <c r="D41" i="79"/>
  <c r="G41" i="79" s="1"/>
  <c r="E41" i="79"/>
  <c r="D42" i="79"/>
  <c r="G42" i="79" s="1"/>
  <c r="E42" i="79"/>
  <c r="D43" i="79"/>
  <c r="G43" i="79" s="1"/>
  <c r="E43" i="79"/>
  <c r="D44" i="79"/>
  <c r="G44" i="79" s="1"/>
  <c r="E44" i="79"/>
  <c r="D45" i="79"/>
  <c r="G45" i="79" s="1"/>
  <c r="E45" i="79"/>
  <c r="D46" i="79"/>
  <c r="G46" i="79" s="1"/>
  <c r="E46" i="79"/>
  <c r="D47" i="79"/>
  <c r="G47" i="79" s="1"/>
  <c r="E47" i="79"/>
  <c r="D48" i="79"/>
  <c r="G48" i="79" s="1"/>
  <c r="E48" i="79"/>
  <c r="D49" i="79"/>
  <c r="G49" i="79" s="1"/>
  <c r="E49" i="79"/>
  <c r="D50" i="79"/>
  <c r="G50" i="79" s="1"/>
  <c r="E50" i="79"/>
  <c r="D51" i="79"/>
  <c r="G51" i="79" s="1"/>
  <c r="E51" i="79"/>
  <c r="D52" i="79"/>
  <c r="G52" i="79" s="1"/>
  <c r="E52" i="79"/>
  <c r="D53" i="79"/>
  <c r="G53" i="79" s="1"/>
  <c r="E53" i="79"/>
  <c r="D54" i="79"/>
  <c r="G54" i="79" s="1"/>
  <c r="E54" i="79"/>
  <c r="D55" i="79"/>
  <c r="G55" i="79" s="1"/>
  <c r="E55" i="79"/>
  <c r="D56" i="79"/>
  <c r="G56" i="79" s="1"/>
  <c r="E56" i="79"/>
  <c r="D57" i="79"/>
  <c r="G57" i="79" s="1"/>
  <c r="E57" i="79"/>
  <c r="D59" i="79"/>
  <c r="D60" i="79"/>
  <c r="G60" i="79" s="1"/>
  <c r="E60" i="79"/>
  <c r="D61" i="79"/>
  <c r="G61" i="79" s="1"/>
  <c r="E61" i="79"/>
  <c r="D62" i="79"/>
  <c r="G62" i="79" s="1"/>
  <c r="E62" i="79"/>
  <c r="D63" i="79"/>
  <c r="G63" i="79" s="1"/>
  <c r="E63" i="79"/>
  <c r="D64" i="79"/>
  <c r="G64" i="79" s="1"/>
  <c r="E64" i="79"/>
  <c r="D65" i="79"/>
  <c r="G65" i="79" s="1"/>
  <c r="E65" i="79"/>
  <c r="D66" i="79"/>
  <c r="G66" i="79" s="1"/>
  <c r="E66" i="79"/>
  <c r="D67" i="79"/>
  <c r="G67" i="79" s="1"/>
  <c r="E67" i="79"/>
  <c r="D68" i="79"/>
  <c r="G68" i="79" s="1"/>
  <c r="E68" i="79"/>
  <c r="D69" i="79"/>
  <c r="G69" i="79" s="1"/>
  <c r="E69" i="79"/>
  <c r="D70" i="79"/>
  <c r="G70" i="79" s="1"/>
  <c r="E70" i="79"/>
  <c r="D71" i="79"/>
  <c r="G71" i="79" s="1"/>
  <c r="E71" i="79"/>
  <c r="D72" i="79"/>
  <c r="G72" i="79" s="1"/>
  <c r="E72" i="79"/>
  <c r="D74" i="79"/>
  <c r="D75" i="79"/>
  <c r="E75" i="79"/>
  <c r="D76" i="79"/>
  <c r="G76" i="79" s="1"/>
  <c r="E76" i="79"/>
  <c r="D77" i="79"/>
  <c r="G77" i="79" s="1"/>
  <c r="E77" i="79"/>
  <c r="D78" i="79"/>
  <c r="E78" i="79"/>
  <c r="D79" i="79"/>
  <c r="E79" i="79"/>
  <c r="D80" i="79"/>
  <c r="G80" i="79" s="1"/>
  <c r="E80" i="79"/>
  <c r="D81" i="79"/>
  <c r="G81" i="79" s="1"/>
  <c r="E81" i="79"/>
  <c r="D82" i="79"/>
  <c r="E82" i="79"/>
  <c r="D83" i="79"/>
  <c r="G83" i="79" s="1"/>
  <c r="E83" i="79"/>
  <c r="D84" i="79"/>
  <c r="E84" i="79"/>
  <c r="D85" i="79"/>
  <c r="E85" i="79"/>
  <c r="D86" i="79"/>
  <c r="E86" i="79"/>
  <c r="D87" i="79"/>
  <c r="G87" i="79" s="1"/>
  <c r="E87" i="79"/>
  <c r="D88" i="79"/>
  <c r="E88" i="79"/>
  <c r="D89" i="79"/>
  <c r="E89" i="79"/>
  <c r="D90" i="79"/>
  <c r="G90" i="79" s="1"/>
  <c r="E90" i="79"/>
  <c r="D91" i="79"/>
  <c r="G91" i="79" s="1"/>
  <c r="E91" i="79"/>
  <c r="D92" i="79"/>
  <c r="G92" i="79" s="1"/>
  <c r="E92" i="79"/>
  <c r="D93" i="79"/>
  <c r="G93" i="79" s="1"/>
  <c r="E93" i="79"/>
  <c r="D95" i="79"/>
  <c r="D96" i="79"/>
  <c r="G96" i="79" s="1"/>
  <c r="E96" i="79"/>
  <c r="D97" i="79"/>
  <c r="G97" i="79" s="1"/>
  <c r="E97" i="79"/>
  <c r="D99" i="79"/>
  <c r="D100" i="79"/>
  <c r="G100" i="79" s="1"/>
  <c r="E100" i="79"/>
  <c r="D101" i="79"/>
  <c r="G101" i="79" s="1"/>
  <c r="E101" i="79"/>
  <c r="D102" i="79"/>
  <c r="G102" i="79" s="1"/>
  <c r="E102" i="79"/>
  <c r="D103" i="79"/>
  <c r="G103" i="79" s="1"/>
  <c r="E103" i="79"/>
  <c r="D104" i="79"/>
  <c r="G104" i="79" s="1"/>
  <c r="E104" i="79"/>
  <c r="D105" i="79"/>
  <c r="G105" i="79" s="1"/>
  <c r="E105" i="79"/>
  <c r="D106" i="79"/>
  <c r="G106" i="79" s="1"/>
  <c r="E106" i="79"/>
  <c r="D107" i="79"/>
  <c r="G107" i="79" s="1"/>
  <c r="E107" i="79"/>
  <c r="D108" i="79"/>
  <c r="G108" i="79" s="1"/>
  <c r="E108" i="79"/>
  <c r="D109" i="79"/>
  <c r="G109" i="79" s="1"/>
  <c r="E109" i="79"/>
  <c r="D110" i="79"/>
  <c r="G110" i="79" s="1"/>
  <c r="E110" i="79"/>
  <c r="D112" i="79"/>
  <c r="D113" i="79"/>
  <c r="G113" i="79" s="1"/>
  <c r="E113" i="79"/>
  <c r="D114" i="79"/>
  <c r="G114" i="79" s="1"/>
  <c r="E114" i="79"/>
  <c r="D115" i="79"/>
  <c r="G115" i="79" s="1"/>
  <c r="E115" i="79"/>
  <c r="D116" i="79"/>
  <c r="G116" i="79" s="1"/>
  <c r="E116" i="79"/>
  <c r="D117" i="79"/>
  <c r="G117" i="79" s="1"/>
  <c r="E117" i="79"/>
  <c r="D118" i="79"/>
  <c r="G118" i="79" s="1"/>
  <c r="E118" i="79"/>
  <c r="D119" i="79"/>
  <c r="G119" i="79" s="1"/>
  <c r="E119" i="79"/>
  <c r="E123" i="79"/>
  <c r="C2" i="36"/>
  <c r="E14" i="36"/>
  <c r="E178" i="36" s="1"/>
  <c r="C15" i="36"/>
  <c r="E15" i="36"/>
  <c r="F15" i="36"/>
  <c r="E16" i="36"/>
  <c r="E180" i="36" s="1"/>
  <c r="F16" i="36"/>
  <c r="E17" i="36"/>
  <c r="E18" i="36"/>
  <c r="E182" i="36" s="1"/>
  <c r="E19" i="36"/>
  <c r="E20" i="36"/>
  <c r="E184" i="36" s="1"/>
  <c r="E21" i="36"/>
  <c r="F21" i="36"/>
  <c r="P21" i="36" s="1"/>
  <c r="O21" i="103" s="1"/>
  <c r="E22" i="36"/>
  <c r="Z24" i="36"/>
  <c r="E25" i="36"/>
  <c r="E189" i="36" s="1"/>
  <c r="Z25" i="36"/>
  <c r="E26" i="36"/>
  <c r="F26" i="36"/>
  <c r="E27" i="36"/>
  <c r="F27" i="36"/>
  <c r="P27" i="36" s="1"/>
  <c r="O26" i="103" s="1"/>
  <c r="E28" i="36"/>
  <c r="F28" i="36"/>
  <c r="W28" i="36" s="1"/>
  <c r="V27" i="103" s="1"/>
  <c r="E29" i="36"/>
  <c r="F29" i="36"/>
  <c r="E30" i="36"/>
  <c r="E194" i="36" s="1"/>
  <c r="F30" i="36"/>
  <c r="E31" i="36"/>
  <c r="F31" i="36"/>
  <c r="I31" i="36" s="1"/>
  <c r="H30" i="103" s="1"/>
  <c r="E32" i="36"/>
  <c r="E196" i="36" s="1"/>
  <c r="F32" i="36"/>
  <c r="S32" i="36" s="1"/>
  <c r="R31" i="103" s="1"/>
  <c r="E33" i="36"/>
  <c r="F33" i="36"/>
  <c r="W33" i="36" s="1"/>
  <c r="V32" i="103" s="1"/>
  <c r="E34" i="36"/>
  <c r="E33" i="103" s="1"/>
  <c r="F34" i="36"/>
  <c r="J34" i="36" s="1"/>
  <c r="I33" i="103" s="1"/>
  <c r="E35" i="36"/>
  <c r="E199" i="36" s="1"/>
  <c r="F35" i="36"/>
  <c r="M35" i="36" s="1"/>
  <c r="L34" i="103" s="1"/>
  <c r="E36" i="36"/>
  <c r="Z38" i="36"/>
  <c r="E39" i="36"/>
  <c r="E203" i="36" s="1"/>
  <c r="Z39" i="36"/>
  <c r="E40" i="36"/>
  <c r="E204" i="36" s="1"/>
  <c r="F40" i="36"/>
  <c r="E41" i="36"/>
  <c r="F41" i="36"/>
  <c r="J41" i="36" s="1"/>
  <c r="E42" i="36"/>
  <c r="E206" i="36" s="1"/>
  <c r="F42" i="36"/>
  <c r="Q42" i="36" s="1"/>
  <c r="P40" i="103" s="1"/>
  <c r="E43" i="36"/>
  <c r="F43" i="36"/>
  <c r="E44" i="36"/>
  <c r="F44" i="36"/>
  <c r="E45" i="36"/>
  <c r="E209" i="36" s="1"/>
  <c r="F45" i="36"/>
  <c r="M45" i="36" s="1"/>
  <c r="L43" i="103" s="1"/>
  <c r="E46" i="36"/>
  <c r="F46" i="36"/>
  <c r="E47" i="36"/>
  <c r="F47" i="36"/>
  <c r="V47" i="36" s="1"/>
  <c r="U45" i="103" s="1"/>
  <c r="E48" i="36"/>
  <c r="E46" i="103" s="1"/>
  <c r="F48" i="36"/>
  <c r="I48" i="36" s="1"/>
  <c r="H46" i="103" s="1"/>
  <c r="E49" i="36"/>
  <c r="E47" i="103" s="1"/>
  <c r="F49" i="36"/>
  <c r="U49" i="36" s="1"/>
  <c r="T47" i="103" s="1"/>
  <c r="E50" i="36"/>
  <c r="E48" i="103" s="1"/>
  <c r="F50" i="36"/>
  <c r="R50" i="36" s="1"/>
  <c r="Q48" i="103" s="1"/>
  <c r="E51" i="36"/>
  <c r="F51" i="36"/>
  <c r="E52" i="36"/>
  <c r="F52" i="36"/>
  <c r="R52" i="36" s="1"/>
  <c r="Q50" i="103" s="1"/>
  <c r="E53" i="36"/>
  <c r="E51" i="103" s="1"/>
  <c r="E54" i="36"/>
  <c r="F54" i="36"/>
  <c r="O54" i="36" s="1"/>
  <c r="N52" i="103" s="1"/>
  <c r="E219" i="36"/>
  <c r="E220" i="36" s="1"/>
  <c r="Z57" i="36"/>
  <c r="E61" i="36"/>
  <c r="E222" i="36" s="1"/>
  <c r="Z61" i="36"/>
  <c r="E62" i="36"/>
  <c r="E223" i="36" s="1"/>
  <c r="F62" i="36"/>
  <c r="E63" i="36"/>
  <c r="E224" i="36" s="1"/>
  <c r="F63" i="36"/>
  <c r="E64" i="36"/>
  <c r="E225" i="36" s="1"/>
  <c r="F64" i="36"/>
  <c r="L64" i="36" s="1"/>
  <c r="E65" i="36"/>
  <c r="E226" i="36" s="1"/>
  <c r="F65" i="36"/>
  <c r="N65" i="36" s="1"/>
  <c r="E66" i="36"/>
  <c r="E227" i="36" s="1"/>
  <c r="F66" i="36"/>
  <c r="E67" i="36"/>
  <c r="E228" i="36" s="1"/>
  <c r="F67" i="36"/>
  <c r="L67" i="36" s="1"/>
  <c r="E68" i="36"/>
  <c r="E229" i="36" s="1"/>
  <c r="F68" i="36"/>
  <c r="E69" i="36"/>
  <c r="E230" i="36" s="1"/>
  <c r="F69" i="36"/>
  <c r="N69" i="36" s="1"/>
  <c r="E70" i="36"/>
  <c r="E231" i="36" s="1"/>
  <c r="F70" i="36"/>
  <c r="E71" i="36"/>
  <c r="E232" i="36" s="1"/>
  <c r="F71" i="36"/>
  <c r="E72" i="36"/>
  <c r="E233" i="36" s="1"/>
  <c r="F72" i="36"/>
  <c r="L72" i="36" s="1"/>
  <c r="E73" i="36"/>
  <c r="E234" i="36" s="1"/>
  <c r="F73" i="36"/>
  <c r="E74" i="36"/>
  <c r="E235" i="36" s="1"/>
  <c r="F74" i="36"/>
  <c r="E75" i="36"/>
  <c r="E236" i="36" s="1"/>
  <c r="F75" i="36"/>
  <c r="E76" i="36"/>
  <c r="E237" i="36" s="1"/>
  <c r="F76" i="36"/>
  <c r="E77" i="36"/>
  <c r="E238" i="36" s="1"/>
  <c r="F77" i="36"/>
  <c r="E78" i="36"/>
  <c r="E239" i="36" s="1"/>
  <c r="F78" i="36"/>
  <c r="E79" i="36"/>
  <c r="E240" i="36" s="1"/>
  <c r="F79" i="36"/>
  <c r="E80" i="36"/>
  <c r="E241" i="36" s="1"/>
  <c r="F80" i="36"/>
  <c r="E81" i="36"/>
  <c r="E242" i="36" s="1"/>
  <c r="F81" i="36"/>
  <c r="E82" i="36"/>
  <c r="E243" i="36" s="1"/>
  <c r="F82" i="36"/>
  <c r="E83" i="36"/>
  <c r="E244" i="36" s="1"/>
  <c r="F83" i="36"/>
  <c r="E84" i="36"/>
  <c r="E245" i="36" s="1"/>
  <c r="F84" i="36"/>
  <c r="E85" i="36"/>
  <c r="E246" i="36" s="1"/>
  <c r="F85" i="36"/>
  <c r="E86" i="36"/>
  <c r="E247" i="36" s="1"/>
  <c r="F86" i="36"/>
  <c r="E87" i="36"/>
  <c r="E248" i="36" s="1"/>
  <c r="F87" i="36"/>
  <c r="E88" i="36"/>
  <c r="E249" i="36" s="1"/>
  <c r="F88" i="36"/>
  <c r="E89" i="36"/>
  <c r="E250" i="36" s="1"/>
  <c r="F89" i="36"/>
  <c r="E90" i="36"/>
  <c r="E251" i="36" s="1"/>
  <c r="F90" i="36"/>
  <c r="E91" i="36"/>
  <c r="E252" i="36" s="1"/>
  <c r="F91" i="36"/>
  <c r="E92" i="36"/>
  <c r="E60" i="103" s="1"/>
  <c r="F92" i="36"/>
  <c r="E93" i="36"/>
  <c r="E254" i="36" s="1"/>
  <c r="F93" i="36"/>
  <c r="E94" i="36"/>
  <c r="E255" i="36" s="1"/>
  <c r="F94" i="36"/>
  <c r="E95" i="36"/>
  <c r="E256" i="36" s="1"/>
  <c r="F95" i="36"/>
  <c r="E96" i="36"/>
  <c r="E257" i="36" s="1"/>
  <c r="F96" i="36"/>
  <c r="E97" i="36"/>
  <c r="E258" i="36" s="1"/>
  <c r="F97" i="36"/>
  <c r="E98" i="36"/>
  <c r="E259" i="36" s="1"/>
  <c r="F98" i="36"/>
  <c r="E99" i="36"/>
  <c r="E260" i="36" s="1"/>
  <c r="F99" i="36"/>
  <c r="E100" i="36"/>
  <c r="E261" i="36" s="1"/>
  <c r="F100" i="36"/>
  <c r="E101" i="36"/>
  <c r="E262" i="36" s="1"/>
  <c r="F101" i="36"/>
  <c r="E102" i="36"/>
  <c r="E263" i="36" s="1"/>
  <c r="F102" i="36"/>
  <c r="E103" i="36"/>
  <c r="F103" i="36"/>
  <c r="E104" i="36"/>
  <c r="E265" i="36" s="1"/>
  <c r="F104" i="36"/>
  <c r="E105" i="36"/>
  <c r="F105" i="36"/>
  <c r="E106" i="36"/>
  <c r="E267" i="36" s="1"/>
  <c r="F106" i="36"/>
  <c r="E107" i="36"/>
  <c r="E268" i="36" s="1"/>
  <c r="F107" i="36"/>
  <c r="E108" i="36"/>
  <c r="E269" i="36" s="1"/>
  <c r="F108" i="36"/>
  <c r="E109" i="36"/>
  <c r="E270" i="36" s="1"/>
  <c r="F109" i="36"/>
  <c r="E110" i="36"/>
  <c r="E271" i="36" s="1"/>
  <c r="F110" i="36"/>
  <c r="E111" i="36"/>
  <c r="E272" i="36" s="1"/>
  <c r="F111" i="36"/>
  <c r="E112" i="36"/>
  <c r="E273" i="36" s="1"/>
  <c r="F112" i="36"/>
  <c r="E113" i="36"/>
  <c r="E274" i="36" s="1"/>
  <c r="F113" i="36"/>
  <c r="E114" i="36"/>
  <c r="E275" i="36" s="1"/>
  <c r="F114" i="36"/>
  <c r="E115" i="36"/>
  <c r="E276" i="36" s="1"/>
  <c r="F115" i="36"/>
  <c r="E116" i="36"/>
  <c r="E277" i="36" s="1"/>
  <c r="F116" i="36"/>
  <c r="E117" i="36"/>
  <c r="E278" i="36" s="1"/>
  <c r="F117" i="36"/>
  <c r="E118" i="36"/>
  <c r="E279" i="36" s="1"/>
  <c r="F118" i="36"/>
  <c r="E119" i="36"/>
  <c r="E280" i="36" s="1"/>
  <c r="F119" i="36"/>
  <c r="E120" i="36"/>
  <c r="E281" i="36" s="1"/>
  <c r="F120" i="36"/>
  <c r="E121" i="36"/>
  <c r="E282" i="36" s="1"/>
  <c r="F121" i="36"/>
  <c r="E122" i="36"/>
  <c r="E283" i="36" s="1"/>
  <c r="F122" i="36"/>
  <c r="E123" i="36"/>
  <c r="E284" i="36" s="1"/>
  <c r="F123" i="36"/>
  <c r="E124" i="36"/>
  <c r="E285" i="36" s="1"/>
  <c r="F124" i="36"/>
  <c r="E125" i="36"/>
  <c r="E66" i="103" s="1"/>
  <c r="F125" i="36"/>
  <c r="E126" i="36"/>
  <c r="E67" i="103" s="1"/>
  <c r="F126" i="36"/>
  <c r="E127" i="36"/>
  <c r="E288" i="36" s="1"/>
  <c r="F127" i="36"/>
  <c r="E128" i="36"/>
  <c r="E289" i="36" s="1"/>
  <c r="F128" i="36"/>
  <c r="E129" i="36"/>
  <c r="E290" i="36" s="1"/>
  <c r="F129" i="36"/>
  <c r="E130" i="36"/>
  <c r="E291" i="36" s="1"/>
  <c r="F130" i="36"/>
  <c r="E131" i="36"/>
  <c r="E292" i="36" s="1"/>
  <c r="F131" i="36"/>
  <c r="E132" i="36"/>
  <c r="E293" i="36" s="1"/>
  <c r="F132" i="36"/>
  <c r="E133" i="36"/>
  <c r="E294" i="36" s="1"/>
  <c r="F133" i="36"/>
  <c r="E134" i="36"/>
  <c r="E295" i="36" s="1"/>
  <c r="F134" i="36"/>
  <c r="E135" i="36"/>
  <c r="E296" i="36" s="1"/>
  <c r="F135" i="36"/>
  <c r="E136" i="36"/>
  <c r="E297" i="36" s="1"/>
  <c r="F136" i="36"/>
  <c r="E137" i="36"/>
  <c r="E298" i="36" s="1"/>
  <c r="F137" i="36"/>
  <c r="E138" i="36"/>
  <c r="E299" i="36" s="1"/>
  <c r="F138" i="36"/>
  <c r="E139" i="36"/>
  <c r="E300" i="36" s="1"/>
  <c r="F139" i="36"/>
  <c r="E140" i="36"/>
  <c r="E301" i="36" s="1"/>
  <c r="F140" i="36"/>
  <c r="E141" i="36"/>
  <c r="E302" i="36" s="1"/>
  <c r="F141" i="36"/>
  <c r="E142" i="36"/>
  <c r="E303" i="36" s="1"/>
  <c r="F142" i="36"/>
  <c r="E143" i="36"/>
  <c r="E304" i="36" s="1"/>
  <c r="F143" i="36"/>
  <c r="E144" i="36"/>
  <c r="E305" i="36" s="1"/>
  <c r="F144" i="36"/>
  <c r="E145" i="36"/>
  <c r="E306" i="36" s="1"/>
  <c r="F145" i="36"/>
  <c r="E146" i="36"/>
  <c r="E307" i="36" s="1"/>
  <c r="F146" i="36"/>
  <c r="E147" i="36"/>
  <c r="E308" i="36" s="1"/>
  <c r="F147" i="36"/>
  <c r="E148" i="36"/>
  <c r="E309" i="36" s="1"/>
  <c r="F148" i="36"/>
  <c r="E149" i="36"/>
  <c r="E310" i="36" s="1"/>
  <c r="F149" i="36"/>
  <c r="E150" i="36"/>
  <c r="E311" i="36" s="1"/>
  <c r="F150" i="36"/>
  <c r="E151" i="36"/>
  <c r="E312" i="36" s="1"/>
  <c r="F151" i="36"/>
  <c r="E152" i="36"/>
  <c r="F152" i="36"/>
  <c r="E153" i="36"/>
  <c r="F153" i="36"/>
  <c r="L153" i="36" s="1"/>
  <c r="K69" i="103" s="1"/>
  <c r="E154" i="36"/>
  <c r="F154" i="36"/>
  <c r="N154" i="36" s="1"/>
  <c r="M70" i="103" s="1"/>
  <c r="E155" i="36"/>
  <c r="F155" i="36"/>
  <c r="L155" i="36" s="1"/>
  <c r="K71" i="103" s="1"/>
  <c r="E156" i="36"/>
  <c r="E72" i="103" s="1"/>
  <c r="F156" i="36"/>
  <c r="L156" i="36" s="1"/>
  <c r="K72" i="103" s="1"/>
  <c r="E157" i="36"/>
  <c r="F157" i="36"/>
  <c r="E158" i="36"/>
  <c r="F158" i="36"/>
  <c r="M158" i="36" s="1"/>
  <c r="L74" i="103" s="1"/>
  <c r="E159" i="36"/>
  <c r="E320" i="36" s="1"/>
  <c r="F159" i="36"/>
  <c r="E160" i="36"/>
  <c r="E321" i="36" s="1"/>
  <c r="F160" i="36"/>
  <c r="E161" i="36"/>
  <c r="E322" i="36" s="1"/>
  <c r="F161" i="36"/>
  <c r="E162" i="36"/>
  <c r="E323" i="36" s="1"/>
  <c r="F162" i="36"/>
  <c r="E163" i="36"/>
  <c r="F163" i="36"/>
  <c r="E164" i="36"/>
  <c r="E325" i="36" s="1"/>
  <c r="F164" i="36"/>
  <c r="E165" i="36"/>
  <c r="E326" i="36" s="1"/>
  <c r="F165" i="36"/>
  <c r="E166" i="36"/>
  <c r="E327" i="36" s="1"/>
  <c r="F166" i="36"/>
  <c r="E167" i="36"/>
  <c r="Z169" i="36"/>
  <c r="E170" i="36"/>
  <c r="E171" i="36" s="1"/>
  <c r="Z176" i="36"/>
  <c r="Z177" i="36"/>
  <c r="Z178" i="36"/>
  <c r="G179" i="36"/>
  <c r="G180" i="36"/>
  <c r="G181" i="36"/>
  <c r="G182" i="36"/>
  <c r="G183" i="36"/>
  <c r="G184" i="36"/>
  <c r="G185" i="36"/>
  <c r="Z188" i="36"/>
  <c r="Z189" i="36"/>
  <c r="G190" i="36"/>
  <c r="G191" i="36"/>
  <c r="G192" i="36"/>
  <c r="G193" i="36"/>
  <c r="G194" i="36"/>
  <c r="G195" i="36"/>
  <c r="G196" i="36"/>
  <c r="G197" i="36"/>
  <c r="G198" i="36"/>
  <c r="G199" i="36"/>
  <c r="Z202" i="36"/>
  <c r="Z203" i="36"/>
  <c r="G204" i="36"/>
  <c r="G205" i="36"/>
  <c r="G206" i="36"/>
  <c r="G207" i="36"/>
  <c r="G208" i="36"/>
  <c r="G209" i="36"/>
  <c r="G210" i="36"/>
  <c r="G211" i="36"/>
  <c r="G212" i="36"/>
  <c r="G213" i="36"/>
  <c r="G214" i="36"/>
  <c r="G215" i="36"/>
  <c r="G216" i="36"/>
  <c r="G218" i="36"/>
  <c r="Z221" i="36"/>
  <c r="Z222" i="36"/>
  <c r="G223" i="36"/>
  <c r="G224" i="36"/>
  <c r="G225" i="36"/>
  <c r="G226" i="36"/>
  <c r="G227" i="36"/>
  <c r="G228" i="36"/>
  <c r="G229" i="36"/>
  <c r="G230" i="36"/>
  <c r="G231" i="36"/>
  <c r="G232" i="36"/>
  <c r="G233" i="36"/>
  <c r="G234" i="36"/>
  <c r="G235" i="36"/>
  <c r="G236" i="36"/>
  <c r="G237" i="36"/>
  <c r="G238" i="36"/>
  <c r="G239" i="36"/>
  <c r="G240" i="36"/>
  <c r="G241" i="36"/>
  <c r="G242" i="36"/>
  <c r="G243" i="36"/>
  <c r="G244" i="36"/>
  <c r="G245" i="36"/>
  <c r="G246" i="36"/>
  <c r="G247" i="36"/>
  <c r="G248" i="36"/>
  <c r="G249" i="36"/>
  <c r="G250" i="36"/>
  <c r="G251" i="36"/>
  <c r="G252" i="36"/>
  <c r="G253" i="36"/>
  <c r="G254" i="36"/>
  <c r="G255" i="36"/>
  <c r="G256" i="36"/>
  <c r="G257" i="36"/>
  <c r="G258" i="36"/>
  <c r="G259" i="36"/>
  <c r="G260" i="36"/>
  <c r="G261" i="36"/>
  <c r="G262" i="36"/>
  <c r="G263" i="36"/>
  <c r="G264" i="36"/>
  <c r="G265" i="36"/>
  <c r="G266" i="36"/>
  <c r="G267" i="36"/>
  <c r="G268" i="36"/>
  <c r="G269" i="36"/>
  <c r="G270" i="36"/>
  <c r="G271" i="36"/>
  <c r="G272" i="36"/>
  <c r="G273" i="36"/>
  <c r="G274" i="36"/>
  <c r="G275" i="36"/>
  <c r="G276" i="36"/>
  <c r="G277" i="36"/>
  <c r="G278" i="36"/>
  <c r="G279" i="36"/>
  <c r="G280" i="36"/>
  <c r="G281" i="36"/>
  <c r="G282" i="36"/>
  <c r="G283" i="36"/>
  <c r="G284" i="36"/>
  <c r="G285" i="36"/>
  <c r="G286" i="36"/>
  <c r="G287" i="36"/>
  <c r="G288" i="36"/>
  <c r="G289" i="36"/>
  <c r="G290" i="36"/>
  <c r="G291" i="36"/>
  <c r="G292" i="36"/>
  <c r="G293" i="36"/>
  <c r="G294" i="36"/>
  <c r="G295" i="36"/>
  <c r="G296" i="36"/>
  <c r="G297" i="36"/>
  <c r="G298" i="36"/>
  <c r="G299" i="36"/>
  <c r="G300" i="36"/>
  <c r="G301" i="36"/>
  <c r="G302" i="36"/>
  <c r="G303" i="36"/>
  <c r="G304" i="36"/>
  <c r="G305" i="36"/>
  <c r="G306" i="36"/>
  <c r="G307" i="36"/>
  <c r="AD307" i="36"/>
  <c r="G308" i="36"/>
  <c r="G309" i="36"/>
  <c r="G310" i="36"/>
  <c r="G311" i="36"/>
  <c r="G312" i="36"/>
  <c r="G313" i="36"/>
  <c r="G314" i="36"/>
  <c r="G315" i="36"/>
  <c r="G316" i="36"/>
  <c r="G317" i="36"/>
  <c r="G318" i="36"/>
  <c r="G319" i="36"/>
  <c r="G320" i="36"/>
  <c r="G321" i="36"/>
  <c r="G322" i="36"/>
  <c r="G323" i="36"/>
  <c r="G324" i="36"/>
  <c r="Z330" i="36"/>
  <c r="F347" i="36"/>
  <c r="F348" i="36"/>
  <c r="F349" i="36"/>
  <c r="K350" i="36"/>
  <c r="F351" i="36"/>
  <c r="F352" i="36"/>
  <c r="R274" i="34"/>
  <c r="N27" i="214" s="1"/>
  <c r="S274" i="34"/>
  <c r="O27" i="214" s="1"/>
  <c r="T274" i="34"/>
  <c r="P27" i="214" s="1"/>
  <c r="U274" i="34"/>
  <c r="Q27" i="214" s="1"/>
  <c r="U275" i="34"/>
  <c r="Q28" i="214" s="1"/>
  <c r="F355" i="36"/>
  <c r="F356" i="36"/>
  <c r="F357" i="36"/>
  <c r="F2" i="35"/>
  <c r="C10" i="35"/>
  <c r="E10" i="35"/>
  <c r="D15" i="36" s="1"/>
  <c r="D179" i="36" s="1"/>
  <c r="I10" i="35"/>
  <c r="L10" i="35"/>
  <c r="M10" i="35" s="1"/>
  <c r="F179" i="36" s="1"/>
  <c r="E11" i="35"/>
  <c r="D16" i="36"/>
  <c r="D17" i="103" s="1"/>
  <c r="I11" i="35"/>
  <c r="L11" i="35"/>
  <c r="M11" i="35" s="1"/>
  <c r="F180" i="36" s="1"/>
  <c r="E12" i="35"/>
  <c r="D17" i="36" s="1"/>
  <c r="D18" i="103" s="1"/>
  <c r="E13" i="35"/>
  <c r="D18" i="36" s="1"/>
  <c r="D19" i="103" s="1"/>
  <c r="I13" i="35"/>
  <c r="L13" i="35"/>
  <c r="M13" i="35" s="1"/>
  <c r="F182" i="36" s="1"/>
  <c r="E14" i="35"/>
  <c r="D19" i="36" s="1"/>
  <c r="I14" i="35"/>
  <c r="L14" i="35"/>
  <c r="E15" i="35"/>
  <c r="D20" i="36" s="1"/>
  <c r="D184" i="36" s="1"/>
  <c r="I15" i="35"/>
  <c r="L15" i="35"/>
  <c r="M15" i="35" s="1"/>
  <c r="F184" i="36" s="1"/>
  <c r="E16" i="35"/>
  <c r="D21" i="36" s="1"/>
  <c r="D21" i="103" s="1"/>
  <c r="I16" i="35"/>
  <c r="K16" i="35"/>
  <c r="L16" i="35"/>
  <c r="M16" i="35" s="1"/>
  <c r="F185" i="36" s="1"/>
  <c r="I185" i="36" s="1"/>
  <c r="J18" i="35"/>
  <c r="E21" i="35"/>
  <c r="D26" i="36" s="1"/>
  <c r="I21" i="35"/>
  <c r="K21" i="35"/>
  <c r="L21" i="35"/>
  <c r="M21" i="35" s="1"/>
  <c r="F190" i="36" s="1"/>
  <c r="E22" i="35"/>
  <c r="D27" i="36" s="1"/>
  <c r="D26" i="103" s="1"/>
  <c r="I22" i="35"/>
  <c r="K22" i="35"/>
  <c r="L22" i="35"/>
  <c r="M22" i="35" s="1"/>
  <c r="F191" i="36" s="1"/>
  <c r="J191" i="36" s="1"/>
  <c r="E23" i="35"/>
  <c r="D28" i="36" s="1"/>
  <c r="I23" i="35"/>
  <c r="L23" i="35"/>
  <c r="M23" i="35" s="1"/>
  <c r="F192" i="36" s="1"/>
  <c r="W192" i="36" s="1"/>
  <c r="E24" i="35"/>
  <c r="D29" i="36" s="1"/>
  <c r="D28" i="103" s="1"/>
  <c r="I24" i="35"/>
  <c r="L24" i="35"/>
  <c r="M24" i="35" s="1"/>
  <c r="F193" i="36" s="1"/>
  <c r="U193" i="36" s="1"/>
  <c r="E25" i="35"/>
  <c r="D30" i="36" s="1"/>
  <c r="I25" i="35"/>
  <c r="L25" i="35"/>
  <c r="M25" i="35" s="1"/>
  <c r="F194" i="36" s="1"/>
  <c r="E26" i="35"/>
  <c r="D31" i="36" s="1"/>
  <c r="D30" i="103" s="1"/>
  <c r="I26" i="35"/>
  <c r="L26" i="35"/>
  <c r="M26" i="35" s="1"/>
  <c r="F195" i="36" s="1"/>
  <c r="S195" i="36" s="1"/>
  <c r="E27" i="35"/>
  <c r="D32" i="36" s="1"/>
  <c r="I27" i="35"/>
  <c r="L27" i="35"/>
  <c r="M27" i="35" s="1"/>
  <c r="F196" i="36" s="1"/>
  <c r="E28" i="35"/>
  <c r="D33" i="36"/>
  <c r="I28" i="35"/>
  <c r="L28" i="35"/>
  <c r="M28" i="35" s="1"/>
  <c r="F197" i="36" s="1"/>
  <c r="E29" i="35"/>
  <c r="D34" i="36"/>
  <c r="D33" i="103" s="1"/>
  <c r="I29" i="35"/>
  <c r="L29" i="35"/>
  <c r="M29" i="35" s="1"/>
  <c r="F198" i="36" s="1"/>
  <c r="E30" i="35"/>
  <c r="D35" i="36" s="1"/>
  <c r="I30" i="35"/>
  <c r="L30" i="35"/>
  <c r="M30" i="35" s="1"/>
  <c r="F199" i="36" s="1"/>
  <c r="U199" i="36" s="1"/>
  <c r="G32" i="35"/>
  <c r="J32" i="35"/>
  <c r="E35" i="35"/>
  <c r="D40" i="36" s="1"/>
  <c r="I35" i="35"/>
  <c r="K35" i="35"/>
  <c r="L35" i="35"/>
  <c r="M35" i="35" s="1"/>
  <c r="F204" i="36" s="1"/>
  <c r="E36" i="35"/>
  <c r="D41" i="36" s="1"/>
  <c r="I36" i="35"/>
  <c r="K36" i="35"/>
  <c r="L36" i="35"/>
  <c r="M36" i="35" s="1"/>
  <c r="F205" i="36" s="1"/>
  <c r="X205" i="36" s="1"/>
  <c r="E37" i="35"/>
  <c r="D42" i="36" s="1"/>
  <c r="I37" i="35"/>
  <c r="K37" i="35"/>
  <c r="L37" i="35"/>
  <c r="M37" i="35" s="1"/>
  <c r="F206" i="36" s="1"/>
  <c r="E38" i="35"/>
  <c r="D43" i="36" s="1"/>
  <c r="I38" i="35"/>
  <c r="K38" i="35"/>
  <c r="L38" i="35"/>
  <c r="M38" i="35" s="1"/>
  <c r="F207" i="36" s="1"/>
  <c r="S207" i="36" s="1"/>
  <c r="E39" i="35"/>
  <c r="D44" i="36" s="1"/>
  <c r="D208" i="36" s="1"/>
  <c r="I39" i="35"/>
  <c r="K39" i="35"/>
  <c r="L39" i="35"/>
  <c r="M39" i="35" s="1"/>
  <c r="F208" i="36" s="1"/>
  <c r="E40" i="35"/>
  <c r="D45" i="36" s="1"/>
  <c r="D209" i="36" s="1"/>
  <c r="I40" i="35"/>
  <c r="K40" i="35"/>
  <c r="L40" i="35"/>
  <c r="M40" i="35" s="1"/>
  <c r="F209" i="36" s="1"/>
  <c r="L209" i="36" s="1"/>
  <c r="E41" i="35"/>
  <c r="D46" i="36" s="1"/>
  <c r="I41" i="35"/>
  <c r="K41" i="35"/>
  <c r="L41" i="35"/>
  <c r="M41" i="35" s="1"/>
  <c r="F210" i="36" s="1"/>
  <c r="E42" i="35"/>
  <c r="D47" i="36"/>
  <c r="D211" i="36" s="1"/>
  <c r="I42" i="35"/>
  <c r="K42" i="35"/>
  <c r="L42" i="35"/>
  <c r="M42" i="35" s="1"/>
  <c r="F211" i="36" s="1"/>
  <c r="O211" i="36" s="1"/>
  <c r="E43" i="35"/>
  <c r="D48" i="36" s="1"/>
  <c r="I43" i="35"/>
  <c r="K43" i="35"/>
  <c r="L43" i="35"/>
  <c r="M43" i="35" s="1"/>
  <c r="F212" i="36" s="1"/>
  <c r="E44" i="35"/>
  <c r="D49" i="36"/>
  <c r="D47" i="103" s="1"/>
  <c r="I44" i="35"/>
  <c r="K44" i="35"/>
  <c r="L44" i="35"/>
  <c r="M44" i="35" s="1"/>
  <c r="F213" i="36" s="1"/>
  <c r="K213" i="36" s="1"/>
  <c r="E45" i="35"/>
  <c r="D50" i="36" s="1"/>
  <c r="D214" i="36" s="1"/>
  <c r="I45" i="35"/>
  <c r="K45" i="35"/>
  <c r="L45" i="35"/>
  <c r="M45" i="35" s="1"/>
  <c r="E46" i="35"/>
  <c r="D51" i="36" s="1"/>
  <c r="D215" i="36" s="1"/>
  <c r="I46" i="35"/>
  <c r="K46" i="35"/>
  <c r="L46" i="35"/>
  <c r="M46" i="35" s="1"/>
  <c r="F215" i="36" s="1"/>
  <c r="E47" i="35"/>
  <c r="D52" i="36" s="1"/>
  <c r="D50" i="103" s="1"/>
  <c r="I47" i="35"/>
  <c r="K47" i="35"/>
  <c r="L47" i="35"/>
  <c r="M47" i="35" s="1"/>
  <c r="F216" i="36" s="1"/>
  <c r="O216" i="36" s="1"/>
  <c r="E48" i="35"/>
  <c r="D53" i="36" s="1"/>
  <c r="I48" i="35"/>
  <c r="K48" i="35"/>
  <c r="L48" i="35"/>
  <c r="E49" i="35"/>
  <c r="D54" i="36" s="1"/>
  <c r="I49" i="35"/>
  <c r="K49" i="35"/>
  <c r="L49" i="35"/>
  <c r="M49" i="35"/>
  <c r="F218" i="36" s="1"/>
  <c r="X218" i="36" s="1"/>
  <c r="E50" i="35"/>
  <c r="G51" i="35"/>
  <c r="J51" i="35"/>
  <c r="E54" i="35"/>
  <c r="D62" i="36" s="1"/>
  <c r="D223" i="36" s="1"/>
  <c r="I54" i="35"/>
  <c r="L54" i="35"/>
  <c r="M54" i="35" s="1"/>
  <c r="F223" i="36" s="1"/>
  <c r="E55" i="35"/>
  <c r="D63" i="36" s="1"/>
  <c r="D224" i="36" s="1"/>
  <c r="I55" i="35"/>
  <c r="L55" i="35"/>
  <c r="M55" i="35" s="1"/>
  <c r="F224" i="36" s="1"/>
  <c r="Y224" i="36" s="1"/>
  <c r="E56" i="35"/>
  <c r="D64" i="36" s="1"/>
  <c r="D225" i="36" s="1"/>
  <c r="I56" i="35"/>
  <c r="L56" i="35"/>
  <c r="M56" i="35" s="1"/>
  <c r="F225" i="36" s="1"/>
  <c r="E57" i="35"/>
  <c r="D65" i="36" s="1"/>
  <c r="D226" i="36" s="1"/>
  <c r="I57" i="35"/>
  <c r="L57" i="35"/>
  <c r="M57" i="35" s="1"/>
  <c r="E58" i="35"/>
  <c r="D66" i="36" s="1"/>
  <c r="D227" i="36" s="1"/>
  <c r="I58" i="35"/>
  <c r="L58" i="35"/>
  <c r="M58" i="35" s="1"/>
  <c r="F227" i="36" s="1"/>
  <c r="E59" i="35"/>
  <c r="D67" i="36"/>
  <c r="D228" i="36" s="1"/>
  <c r="I59" i="35"/>
  <c r="L59" i="35"/>
  <c r="M59" i="35" s="1"/>
  <c r="F228" i="36" s="1"/>
  <c r="L228" i="36" s="1"/>
  <c r="E60" i="35"/>
  <c r="D68" i="36" s="1"/>
  <c r="D229" i="36" s="1"/>
  <c r="I60" i="35"/>
  <c r="L60" i="35"/>
  <c r="M60" i="35" s="1"/>
  <c r="F229" i="36" s="1"/>
  <c r="E61" i="35"/>
  <c r="D69" i="36" s="1"/>
  <c r="D230" i="36" s="1"/>
  <c r="I61" i="35"/>
  <c r="L61" i="35"/>
  <c r="M61" i="35" s="1"/>
  <c r="F230" i="36" s="1"/>
  <c r="N230" i="36" s="1"/>
  <c r="E62" i="35"/>
  <c r="D70" i="36" s="1"/>
  <c r="D231" i="36" s="1"/>
  <c r="I62" i="35"/>
  <c r="L62" i="35"/>
  <c r="M62" i="35" s="1"/>
  <c r="F231" i="36" s="1"/>
  <c r="E63" i="35"/>
  <c r="D71" i="36" s="1"/>
  <c r="D232" i="36" s="1"/>
  <c r="I63" i="35"/>
  <c r="L63" i="35"/>
  <c r="M63" i="35" s="1"/>
  <c r="F232" i="36" s="1"/>
  <c r="E64" i="35"/>
  <c r="D72" i="36" s="1"/>
  <c r="D233" i="36" s="1"/>
  <c r="I64" i="35"/>
  <c r="L64" i="35"/>
  <c r="M64" i="35"/>
  <c r="F233" i="36" s="1"/>
  <c r="E65" i="35"/>
  <c r="D73" i="36" s="1"/>
  <c r="D234" i="36" s="1"/>
  <c r="I65" i="35"/>
  <c r="L65" i="35"/>
  <c r="M65" i="35" s="1"/>
  <c r="F234" i="36" s="1"/>
  <c r="L234" i="36" s="1"/>
  <c r="E66" i="35"/>
  <c r="D74" i="36" s="1"/>
  <c r="D235" i="36" s="1"/>
  <c r="I66" i="35"/>
  <c r="L66" i="35"/>
  <c r="M66" i="35" s="1"/>
  <c r="F235" i="36" s="1"/>
  <c r="E67" i="35"/>
  <c r="D75" i="36" s="1"/>
  <c r="D236" i="36" s="1"/>
  <c r="I67" i="35"/>
  <c r="L67" i="35"/>
  <c r="M67" i="35" s="1"/>
  <c r="F236" i="36" s="1"/>
  <c r="E68" i="35"/>
  <c r="D76" i="36" s="1"/>
  <c r="D237" i="36" s="1"/>
  <c r="I68" i="35"/>
  <c r="L68" i="35"/>
  <c r="M68" i="35"/>
  <c r="F237" i="36" s="1"/>
  <c r="E69" i="35"/>
  <c r="D77" i="36" s="1"/>
  <c r="D238" i="36" s="1"/>
  <c r="I69" i="35"/>
  <c r="L69" i="35"/>
  <c r="M69" i="35" s="1"/>
  <c r="F238" i="36" s="1"/>
  <c r="E70" i="35"/>
  <c r="D78" i="36" s="1"/>
  <c r="D239" i="36" s="1"/>
  <c r="I70" i="35"/>
  <c r="L70" i="35"/>
  <c r="M70" i="35"/>
  <c r="F239" i="36" s="1"/>
  <c r="E71" i="35"/>
  <c r="D79" i="36" s="1"/>
  <c r="D240" i="36" s="1"/>
  <c r="I71" i="35"/>
  <c r="L71" i="35"/>
  <c r="M71" i="35" s="1"/>
  <c r="F240" i="36"/>
  <c r="E72" i="35"/>
  <c r="D80" i="36" s="1"/>
  <c r="D241" i="36" s="1"/>
  <c r="I72" i="35"/>
  <c r="L72" i="35"/>
  <c r="M72" i="35"/>
  <c r="F241" i="36" s="1"/>
  <c r="E73" i="35"/>
  <c r="D81" i="36" s="1"/>
  <c r="D242" i="36" s="1"/>
  <c r="I73" i="35"/>
  <c r="L73" i="35"/>
  <c r="M73" i="35" s="1"/>
  <c r="F242" i="36"/>
  <c r="E74" i="35"/>
  <c r="D82" i="36" s="1"/>
  <c r="D243" i="36" s="1"/>
  <c r="I74" i="35"/>
  <c r="L74" i="35"/>
  <c r="M74" i="35" s="1"/>
  <c r="F243" i="36" s="1"/>
  <c r="E75" i="35"/>
  <c r="D83" i="36" s="1"/>
  <c r="D244" i="36" s="1"/>
  <c r="I75" i="35"/>
  <c r="L75" i="35"/>
  <c r="M75" i="35" s="1"/>
  <c r="F244" i="36" s="1"/>
  <c r="E76" i="35"/>
  <c r="D84" i="36"/>
  <c r="D245" i="36" s="1"/>
  <c r="I76" i="35"/>
  <c r="L76" i="35"/>
  <c r="M76" i="35" s="1"/>
  <c r="F245" i="36" s="1"/>
  <c r="E77" i="35"/>
  <c r="D85" i="36" s="1"/>
  <c r="D246" i="36" s="1"/>
  <c r="I77" i="35"/>
  <c r="L77" i="35"/>
  <c r="M77" i="35" s="1"/>
  <c r="F246" i="36" s="1"/>
  <c r="E78" i="35"/>
  <c r="D86" i="36" s="1"/>
  <c r="D247" i="36" s="1"/>
  <c r="I78" i="35"/>
  <c r="L78" i="35"/>
  <c r="M78" i="35" s="1"/>
  <c r="F247" i="36" s="1"/>
  <c r="E79" i="35"/>
  <c r="D87" i="36" s="1"/>
  <c r="D248" i="36" s="1"/>
  <c r="I79" i="35"/>
  <c r="L79" i="35"/>
  <c r="M79" i="35" s="1"/>
  <c r="F248" i="36" s="1"/>
  <c r="E80" i="35"/>
  <c r="D88" i="36"/>
  <c r="D249" i="36" s="1"/>
  <c r="I80" i="35"/>
  <c r="L80" i="35"/>
  <c r="M80" i="35" s="1"/>
  <c r="F249" i="36" s="1"/>
  <c r="E81" i="35"/>
  <c r="D89" i="36" s="1"/>
  <c r="D250" i="36" s="1"/>
  <c r="I81" i="35"/>
  <c r="L81" i="35"/>
  <c r="M81" i="35" s="1"/>
  <c r="F250" i="36" s="1"/>
  <c r="E82" i="35"/>
  <c r="D90" i="36" s="1"/>
  <c r="D251" i="36" s="1"/>
  <c r="I82" i="35"/>
  <c r="L82" i="35"/>
  <c r="M82" i="35" s="1"/>
  <c r="F251" i="36" s="1"/>
  <c r="E83" i="35"/>
  <c r="D91" i="36" s="1"/>
  <c r="D252" i="36" s="1"/>
  <c r="I83" i="35"/>
  <c r="L83" i="35"/>
  <c r="M83" i="35" s="1"/>
  <c r="F252" i="36" s="1"/>
  <c r="E84" i="35"/>
  <c r="D92" i="36" s="1"/>
  <c r="I84" i="35"/>
  <c r="L84" i="35"/>
  <c r="M84" i="35" s="1"/>
  <c r="F253" i="36" s="1"/>
  <c r="E85" i="35"/>
  <c r="D93" i="36" s="1"/>
  <c r="D254" i="36" s="1"/>
  <c r="I85" i="35"/>
  <c r="L85" i="35"/>
  <c r="M85" i="35" s="1"/>
  <c r="F254" i="36" s="1"/>
  <c r="E86" i="35"/>
  <c r="D94" i="36" s="1"/>
  <c r="D255" i="36" s="1"/>
  <c r="I86" i="35"/>
  <c r="L86" i="35"/>
  <c r="M86" i="35" s="1"/>
  <c r="F255" i="36" s="1"/>
  <c r="E87" i="35"/>
  <c r="D95" i="36" s="1"/>
  <c r="D256" i="36" s="1"/>
  <c r="I87" i="35"/>
  <c r="L87" i="35"/>
  <c r="M87" i="35" s="1"/>
  <c r="F256" i="36" s="1"/>
  <c r="E88" i="35"/>
  <c r="D96" i="36" s="1"/>
  <c r="D257" i="36" s="1"/>
  <c r="I88" i="35"/>
  <c r="L88" i="35"/>
  <c r="M88" i="35" s="1"/>
  <c r="F257" i="36" s="1"/>
  <c r="U257" i="36" s="1"/>
  <c r="E89" i="35"/>
  <c r="D97" i="36" s="1"/>
  <c r="D258" i="36" s="1"/>
  <c r="I89" i="35"/>
  <c r="L89" i="35"/>
  <c r="M89" i="35" s="1"/>
  <c r="F258" i="36" s="1"/>
  <c r="E90" i="35"/>
  <c r="D98" i="36" s="1"/>
  <c r="D259" i="36" s="1"/>
  <c r="I90" i="35"/>
  <c r="L90" i="35"/>
  <c r="M90" i="35" s="1"/>
  <c r="F259" i="36" s="1"/>
  <c r="E91" i="35"/>
  <c r="D99" i="36" s="1"/>
  <c r="D260" i="36" s="1"/>
  <c r="I91" i="35"/>
  <c r="L91" i="35"/>
  <c r="M91" i="35" s="1"/>
  <c r="F260" i="36" s="1"/>
  <c r="E92" i="35"/>
  <c r="D100" i="36" s="1"/>
  <c r="D261" i="36" s="1"/>
  <c r="I92" i="35"/>
  <c r="L92" i="35"/>
  <c r="M92" i="35" s="1"/>
  <c r="F261" i="36" s="1"/>
  <c r="E93" i="35"/>
  <c r="D101" i="36" s="1"/>
  <c r="D262" i="36" s="1"/>
  <c r="I93" i="35"/>
  <c r="L93" i="35"/>
  <c r="M93" i="35" s="1"/>
  <c r="F262" i="36" s="1"/>
  <c r="E94" i="35"/>
  <c r="D102" i="36" s="1"/>
  <c r="D263" i="36" s="1"/>
  <c r="I94" i="35"/>
  <c r="L94" i="35"/>
  <c r="M94" i="35" s="1"/>
  <c r="F263" i="36" s="1"/>
  <c r="E95" i="35"/>
  <c r="D103" i="36"/>
  <c r="D264" i="36" s="1"/>
  <c r="I95" i="35"/>
  <c r="L95" i="35"/>
  <c r="M95" i="35" s="1"/>
  <c r="F264" i="36" s="1"/>
  <c r="E96" i="35"/>
  <c r="D104" i="36" s="1"/>
  <c r="D265" i="36" s="1"/>
  <c r="I96" i="35"/>
  <c r="L96" i="35"/>
  <c r="M96" i="35" s="1"/>
  <c r="F265" i="36" s="1"/>
  <c r="E97" i="35"/>
  <c r="D105" i="36" s="1"/>
  <c r="I97" i="35"/>
  <c r="L97" i="35"/>
  <c r="M97" i="35" s="1"/>
  <c r="F266" i="36" s="1"/>
  <c r="E98" i="35"/>
  <c r="D106" i="36" s="1"/>
  <c r="I98" i="35"/>
  <c r="L98" i="35"/>
  <c r="M98" i="35" s="1"/>
  <c r="F267" i="36" s="1"/>
  <c r="E99" i="35"/>
  <c r="D107" i="36"/>
  <c r="D268" i="36" s="1"/>
  <c r="I99" i="35"/>
  <c r="L99" i="35"/>
  <c r="M99" i="35" s="1"/>
  <c r="F268" i="36" s="1"/>
  <c r="E100" i="35"/>
  <c r="D108" i="36" s="1"/>
  <c r="D269" i="36" s="1"/>
  <c r="I100" i="35"/>
  <c r="L100" i="35"/>
  <c r="M100" i="35" s="1"/>
  <c r="F269" i="36" s="1"/>
  <c r="E101" i="35"/>
  <c r="D109" i="36" s="1"/>
  <c r="D270" i="36" s="1"/>
  <c r="I101" i="35"/>
  <c r="L101" i="35"/>
  <c r="M101" i="35" s="1"/>
  <c r="F270" i="36" s="1"/>
  <c r="E102" i="35"/>
  <c r="D110" i="36" s="1"/>
  <c r="D271" i="36" s="1"/>
  <c r="I102" i="35"/>
  <c r="L102" i="35"/>
  <c r="M102" i="35" s="1"/>
  <c r="F271" i="36" s="1"/>
  <c r="E103" i="35"/>
  <c r="D111" i="36" s="1"/>
  <c r="D272" i="36" s="1"/>
  <c r="I103" i="35"/>
  <c r="L103" i="35"/>
  <c r="M103" i="35" s="1"/>
  <c r="F272" i="36" s="1"/>
  <c r="E104" i="35"/>
  <c r="D112" i="36" s="1"/>
  <c r="D273" i="36" s="1"/>
  <c r="I104" i="35"/>
  <c r="L104" i="35"/>
  <c r="M104" i="35" s="1"/>
  <c r="F273" i="36" s="1"/>
  <c r="E105" i="35"/>
  <c r="D113" i="36" s="1"/>
  <c r="I105" i="35"/>
  <c r="L105" i="35"/>
  <c r="M105" i="35" s="1"/>
  <c r="F274" i="36" s="1"/>
  <c r="E106" i="35"/>
  <c r="D114" i="36" s="1"/>
  <c r="D275" i="36" s="1"/>
  <c r="I106" i="35"/>
  <c r="L106" i="35"/>
  <c r="M106" i="35" s="1"/>
  <c r="F275" i="36" s="1"/>
  <c r="E107" i="35"/>
  <c r="D115" i="36" s="1"/>
  <c r="D276" i="36" s="1"/>
  <c r="I107" i="35"/>
  <c r="L107" i="35"/>
  <c r="M107" i="35" s="1"/>
  <c r="F276" i="36" s="1"/>
  <c r="E108" i="35"/>
  <c r="D116" i="36" s="1"/>
  <c r="D277" i="36" s="1"/>
  <c r="I108" i="35"/>
  <c r="L108" i="35"/>
  <c r="M108" i="35" s="1"/>
  <c r="F277" i="36" s="1"/>
  <c r="E109" i="35"/>
  <c r="D117" i="36" s="1"/>
  <c r="D278" i="36" s="1"/>
  <c r="I109" i="35"/>
  <c r="L109" i="35"/>
  <c r="M109" i="35" s="1"/>
  <c r="F278" i="36" s="1"/>
  <c r="U278" i="36" s="1"/>
  <c r="E110" i="35"/>
  <c r="D118" i="36" s="1"/>
  <c r="D279" i="36" s="1"/>
  <c r="I110" i="35"/>
  <c r="L110" i="35"/>
  <c r="M110" i="35"/>
  <c r="F279" i="36" s="1"/>
  <c r="E111" i="35"/>
  <c r="D119" i="36" s="1"/>
  <c r="D280" i="36" s="1"/>
  <c r="I111" i="35"/>
  <c r="L111" i="35"/>
  <c r="M111" i="35" s="1"/>
  <c r="F280" i="36"/>
  <c r="E112" i="35"/>
  <c r="D120" i="36" s="1"/>
  <c r="D281" i="36" s="1"/>
  <c r="I112" i="35"/>
  <c r="L112" i="35"/>
  <c r="M112" i="35"/>
  <c r="F281" i="36" s="1"/>
  <c r="E113" i="35"/>
  <c r="D121" i="36" s="1"/>
  <c r="D282" i="36" s="1"/>
  <c r="I113" i="35"/>
  <c r="L113" i="35"/>
  <c r="M113" i="35" s="1"/>
  <c r="F282" i="36" s="1"/>
  <c r="E114" i="35"/>
  <c r="D122" i="36" s="1"/>
  <c r="D283" i="36" s="1"/>
  <c r="I114" i="35"/>
  <c r="L114" i="35"/>
  <c r="M114" i="35"/>
  <c r="F283" i="36" s="1"/>
  <c r="E115" i="35"/>
  <c r="D123" i="36" s="1"/>
  <c r="D284" i="36" s="1"/>
  <c r="I115" i="35"/>
  <c r="L115" i="35"/>
  <c r="M115" i="35" s="1"/>
  <c r="F284" i="36" s="1"/>
  <c r="E116" i="35"/>
  <c r="D124" i="36" s="1"/>
  <c r="D285" i="36" s="1"/>
  <c r="I116" i="35"/>
  <c r="L116" i="35"/>
  <c r="M116" i="35" s="1"/>
  <c r="F285" i="36" s="1"/>
  <c r="U285" i="36" s="1"/>
  <c r="E117" i="35"/>
  <c r="D125" i="36" s="1"/>
  <c r="D66" i="103" s="1"/>
  <c r="I117" i="35"/>
  <c r="L117" i="35"/>
  <c r="M117" i="35" s="1"/>
  <c r="F286" i="36" s="1"/>
  <c r="E118" i="35"/>
  <c r="D126" i="36" s="1"/>
  <c r="D67" i="103" s="1"/>
  <c r="I118" i="35"/>
  <c r="L118" i="35"/>
  <c r="M118" i="35" s="1"/>
  <c r="F287" i="36" s="1"/>
  <c r="E119" i="35"/>
  <c r="D127" i="36" s="1"/>
  <c r="D288" i="36" s="1"/>
  <c r="I119" i="35"/>
  <c r="L119" i="35"/>
  <c r="M119" i="35" s="1"/>
  <c r="F288" i="36" s="1"/>
  <c r="E120" i="35"/>
  <c r="D128" i="36" s="1"/>
  <c r="D289" i="36" s="1"/>
  <c r="I120" i="35"/>
  <c r="L120" i="35"/>
  <c r="M120" i="35" s="1"/>
  <c r="F289" i="36" s="1"/>
  <c r="E121" i="35"/>
  <c r="D129" i="36"/>
  <c r="D290" i="36" s="1"/>
  <c r="I121" i="35"/>
  <c r="L121" i="35"/>
  <c r="M121" i="35" s="1"/>
  <c r="F290" i="36" s="1"/>
  <c r="E122" i="35"/>
  <c r="D130" i="36" s="1"/>
  <c r="D291" i="36" s="1"/>
  <c r="I122" i="35"/>
  <c r="L122" i="35"/>
  <c r="M122" i="35" s="1"/>
  <c r="F291" i="36" s="1"/>
  <c r="E123" i="35"/>
  <c r="D131" i="36" s="1"/>
  <c r="D292" i="36" s="1"/>
  <c r="I123" i="35"/>
  <c r="L123" i="35"/>
  <c r="M123" i="35" s="1"/>
  <c r="F292" i="36" s="1"/>
  <c r="E124" i="35"/>
  <c r="D132" i="36" s="1"/>
  <c r="D293" i="36" s="1"/>
  <c r="I124" i="35"/>
  <c r="L124" i="35"/>
  <c r="M124" i="35" s="1"/>
  <c r="F293" i="36" s="1"/>
  <c r="E125" i="35"/>
  <c r="D133" i="36" s="1"/>
  <c r="D294" i="36" s="1"/>
  <c r="I125" i="35"/>
  <c r="L125" i="35"/>
  <c r="M125" i="35" s="1"/>
  <c r="F294" i="36" s="1"/>
  <c r="E126" i="35"/>
  <c r="D134" i="36" s="1"/>
  <c r="D295" i="36" s="1"/>
  <c r="I126" i="35"/>
  <c r="L126" i="35"/>
  <c r="M126" i="35" s="1"/>
  <c r="F295" i="36" s="1"/>
  <c r="E127" i="35"/>
  <c r="D135" i="36" s="1"/>
  <c r="D296" i="36" s="1"/>
  <c r="I127" i="35"/>
  <c r="L127" i="35"/>
  <c r="M127" i="35" s="1"/>
  <c r="F296" i="36" s="1"/>
  <c r="E128" i="35"/>
  <c r="D136" i="36" s="1"/>
  <c r="D297" i="36" s="1"/>
  <c r="I128" i="35"/>
  <c r="L128" i="35"/>
  <c r="M128" i="35" s="1"/>
  <c r="F297" i="36" s="1"/>
  <c r="E129" i="35"/>
  <c r="D137" i="36" s="1"/>
  <c r="D298" i="36" s="1"/>
  <c r="I129" i="35"/>
  <c r="L129" i="35"/>
  <c r="M129" i="35" s="1"/>
  <c r="F298" i="36" s="1"/>
  <c r="E130" i="35"/>
  <c r="D138" i="36" s="1"/>
  <c r="D299" i="36" s="1"/>
  <c r="I130" i="35"/>
  <c r="L130" i="35"/>
  <c r="M130" i="35" s="1"/>
  <c r="F299" i="36" s="1"/>
  <c r="E131" i="35"/>
  <c r="D139" i="36" s="1"/>
  <c r="D300" i="36" s="1"/>
  <c r="I131" i="35"/>
  <c r="L131" i="35"/>
  <c r="M131" i="35" s="1"/>
  <c r="F300" i="36" s="1"/>
  <c r="E132" i="35"/>
  <c r="D140" i="36" s="1"/>
  <c r="D301" i="36" s="1"/>
  <c r="I132" i="35"/>
  <c r="L132" i="35"/>
  <c r="M132" i="35" s="1"/>
  <c r="F301" i="36" s="1"/>
  <c r="E133" i="35"/>
  <c r="D141" i="36" s="1"/>
  <c r="D302" i="36" s="1"/>
  <c r="I133" i="35"/>
  <c r="L133" i="35"/>
  <c r="M133" i="35" s="1"/>
  <c r="F302" i="36" s="1"/>
  <c r="E134" i="35"/>
  <c r="D142" i="36" s="1"/>
  <c r="D303" i="36" s="1"/>
  <c r="I134" i="35"/>
  <c r="L134" i="35"/>
  <c r="M134" i="35" s="1"/>
  <c r="F303" i="36" s="1"/>
  <c r="E135" i="35"/>
  <c r="D143" i="36" s="1"/>
  <c r="D304" i="36" s="1"/>
  <c r="I135" i="35"/>
  <c r="L135" i="35"/>
  <c r="M135" i="35" s="1"/>
  <c r="F304" i="36" s="1"/>
  <c r="E136" i="35"/>
  <c r="D144" i="36" s="1"/>
  <c r="D305" i="36" s="1"/>
  <c r="I136" i="35"/>
  <c r="L136" i="35"/>
  <c r="M136" i="35" s="1"/>
  <c r="F305" i="36" s="1"/>
  <c r="E137" i="35"/>
  <c r="D145" i="36" s="1"/>
  <c r="D306" i="36" s="1"/>
  <c r="I137" i="35"/>
  <c r="L137" i="35"/>
  <c r="M137" i="35" s="1"/>
  <c r="F306" i="36" s="1"/>
  <c r="E138" i="35"/>
  <c r="D146" i="36" s="1"/>
  <c r="D307" i="36" s="1"/>
  <c r="I138" i="35"/>
  <c r="L138" i="35"/>
  <c r="M138" i="35" s="1"/>
  <c r="F307" i="36" s="1"/>
  <c r="E139" i="35"/>
  <c r="D147" i="36" s="1"/>
  <c r="D308" i="36" s="1"/>
  <c r="I139" i="35"/>
  <c r="L139" i="35"/>
  <c r="M139" i="35"/>
  <c r="F308" i="36" s="1"/>
  <c r="E140" i="35"/>
  <c r="D148" i="36" s="1"/>
  <c r="D309" i="36" s="1"/>
  <c r="I140" i="35"/>
  <c r="L140" i="35"/>
  <c r="M140" i="35" s="1"/>
  <c r="F309" i="36"/>
  <c r="E141" i="35"/>
  <c r="D149" i="36" s="1"/>
  <c r="D310" i="36" s="1"/>
  <c r="I141" i="35"/>
  <c r="L141" i="35"/>
  <c r="M141" i="35" s="1"/>
  <c r="F310" i="36" s="1"/>
  <c r="E142" i="35"/>
  <c r="D150" i="36" s="1"/>
  <c r="D311" i="36" s="1"/>
  <c r="I142" i="35"/>
  <c r="L142" i="35"/>
  <c r="M142" i="35" s="1"/>
  <c r="F311" i="36" s="1"/>
  <c r="E143" i="35"/>
  <c r="D151" i="36"/>
  <c r="D312" i="36" s="1"/>
  <c r="I143" i="35"/>
  <c r="L143" i="35"/>
  <c r="M143" i="35" s="1"/>
  <c r="F312" i="36" s="1"/>
  <c r="E144" i="35"/>
  <c r="D152" i="36" s="1"/>
  <c r="I144" i="35"/>
  <c r="L144" i="35"/>
  <c r="M144" i="35" s="1"/>
  <c r="F313" i="36" s="1"/>
  <c r="E145" i="35"/>
  <c r="D153" i="36" s="1"/>
  <c r="I145" i="35"/>
  <c r="L145" i="35"/>
  <c r="M145" i="35" s="1"/>
  <c r="F314" i="36" s="1"/>
  <c r="N314" i="36" s="1"/>
  <c r="E146" i="35"/>
  <c r="D154" i="36" s="1"/>
  <c r="D315" i="36" s="1"/>
  <c r="I146" i="35"/>
  <c r="L146" i="35"/>
  <c r="M146" i="35" s="1"/>
  <c r="F315" i="36" s="1"/>
  <c r="E147" i="35"/>
  <c r="D155" i="36" s="1"/>
  <c r="I147" i="35"/>
  <c r="L147" i="35"/>
  <c r="M147" i="35" s="1"/>
  <c r="F316" i="36" s="1"/>
  <c r="E148" i="35"/>
  <c r="D156" i="36" s="1"/>
  <c r="I148" i="35"/>
  <c r="L148" i="35"/>
  <c r="M148" i="35" s="1"/>
  <c r="F317" i="36" s="1"/>
  <c r="N317" i="36" s="1"/>
  <c r="E149" i="35"/>
  <c r="D157" i="36" s="1"/>
  <c r="I149" i="35"/>
  <c r="L149" i="35"/>
  <c r="M149" i="35" s="1"/>
  <c r="F318" i="36" s="1"/>
  <c r="E150" i="35"/>
  <c r="D158" i="36" s="1"/>
  <c r="I150" i="35"/>
  <c r="L150" i="35"/>
  <c r="M150" i="35" s="1"/>
  <c r="F319" i="36" s="1"/>
  <c r="L319" i="36" s="1"/>
  <c r="E151" i="35"/>
  <c r="D159" i="36" s="1"/>
  <c r="D320" i="36" s="1"/>
  <c r="I151" i="35"/>
  <c r="L151" i="35"/>
  <c r="M151" i="35" s="1"/>
  <c r="F320" i="36" s="1"/>
  <c r="E152" i="35"/>
  <c r="D160" i="36" s="1"/>
  <c r="D321" i="36" s="1"/>
  <c r="I152" i="35"/>
  <c r="L152" i="35"/>
  <c r="M152" i="35" s="1"/>
  <c r="F321" i="36" s="1"/>
  <c r="E153" i="35"/>
  <c r="D161" i="36" s="1"/>
  <c r="D322" i="36" s="1"/>
  <c r="I153" i="35"/>
  <c r="L153" i="35"/>
  <c r="M153" i="35" s="1"/>
  <c r="F322" i="36" s="1"/>
  <c r="E154" i="35"/>
  <c r="D162" i="36" s="1"/>
  <c r="D323" i="36" s="1"/>
  <c r="I154" i="35"/>
  <c r="L154" i="35"/>
  <c r="M154" i="35" s="1"/>
  <c r="F323" i="36" s="1"/>
  <c r="E155" i="35"/>
  <c r="D163" i="36" s="1"/>
  <c r="I155" i="35"/>
  <c r="L155" i="35"/>
  <c r="M155" i="35" s="1"/>
  <c r="F324" i="36" s="1"/>
  <c r="E156" i="35"/>
  <c r="D164" i="36" s="1"/>
  <c r="D325" i="36" s="1"/>
  <c r="I156" i="35"/>
  <c r="L156" i="35"/>
  <c r="M156" i="35" s="1"/>
  <c r="F325" i="36" s="1"/>
  <c r="E157" i="35"/>
  <c r="D165" i="36" s="1"/>
  <c r="D326" i="36" s="1"/>
  <c r="I157" i="35"/>
  <c r="L157" i="35"/>
  <c r="M157" i="35" s="1"/>
  <c r="F326" i="36" s="1"/>
  <c r="E158" i="35"/>
  <c r="D166" i="36" s="1"/>
  <c r="D327" i="36" s="1"/>
  <c r="I158" i="35"/>
  <c r="L158" i="35"/>
  <c r="M158" i="35"/>
  <c r="F327" i="36" s="1"/>
  <c r="G160" i="35"/>
  <c r="J160" i="35"/>
  <c r="G164" i="35"/>
  <c r="F335" i="36" s="1"/>
  <c r="E2" i="96"/>
  <c r="C17" i="96"/>
  <c r="G25" i="96"/>
  <c r="E29" i="96"/>
  <c r="G31" i="96"/>
  <c r="E35" i="96"/>
  <c r="D32" i="115" s="1"/>
  <c r="G39" i="96"/>
  <c r="G55" i="96"/>
  <c r="C12" i="162"/>
  <c r="C14" i="162" s="1"/>
  <c r="D12" i="162"/>
  <c r="D14" i="162"/>
  <c r="D16" i="162"/>
  <c r="D18" i="162"/>
  <c r="D20" i="162"/>
  <c r="D22" i="162"/>
  <c r="D24" i="162"/>
  <c r="D27" i="162" s="1"/>
  <c r="D25" i="162"/>
  <c r="D26" i="162"/>
  <c r="D29" i="162"/>
  <c r="D32" i="162" s="1"/>
  <c r="D30" i="162"/>
  <c r="D31" i="162"/>
  <c r="D34" i="162"/>
  <c r="D40" i="162" s="1"/>
  <c r="D35" i="162"/>
  <c r="D36" i="162"/>
  <c r="D37" i="162"/>
  <c r="D38" i="162"/>
  <c r="D39" i="162"/>
  <c r="D42" i="162"/>
  <c r="D45" i="162" s="1"/>
  <c r="D43" i="162"/>
  <c r="D44" i="162"/>
  <c r="D47" i="162"/>
  <c r="D50" i="162" s="1"/>
  <c r="D48" i="162"/>
  <c r="D49" i="162"/>
  <c r="D52" i="162"/>
  <c r="D55" i="162" s="1"/>
  <c r="D53" i="162"/>
  <c r="D54" i="162"/>
  <c r="D57" i="162"/>
  <c r="D59" i="162"/>
  <c r="D61" i="162"/>
  <c r="D63" i="162"/>
  <c r="C2" i="181"/>
  <c r="C12" i="181"/>
  <c r="C13" i="181" s="1"/>
  <c r="D22" i="181"/>
  <c r="C24" i="181"/>
  <c r="C29" i="181"/>
  <c r="C31" i="181"/>
  <c r="C47" i="181"/>
  <c r="G53" i="181"/>
  <c r="C56" i="181"/>
  <c r="C58" i="181"/>
  <c r="I61" i="181"/>
  <c r="J61" i="181"/>
  <c r="K61" i="181"/>
  <c r="L61" i="181"/>
  <c r="M61" i="181"/>
  <c r="N61" i="181"/>
  <c r="O61" i="181"/>
  <c r="P61" i="181"/>
  <c r="Q61" i="181"/>
  <c r="R61" i="181"/>
  <c r="S61" i="181"/>
  <c r="T61" i="181"/>
  <c r="U61" i="181"/>
  <c r="C62" i="181"/>
  <c r="D64" i="181"/>
  <c r="G64" i="181"/>
  <c r="H64" i="181"/>
  <c r="D65" i="181"/>
  <c r="G65" i="181"/>
  <c r="H65" i="181"/>
  <c r="D66" i="181"/>
  <c r="G66" i="181"/>
  <c r="H66" i="181"/>
  <c r="I66" i="181"/>
  <c r="J66" i="181"/>
  <c r="K66" i="181"/>
  <c r="L66" i="181"/>
  <c r="M66" i="181"/>
  <c r="N66" i="181"/>
  <c r="O66" i="181"/>
  <c r="P66" i="181"/>
  <c r="Q66" i="181"/>
  <c r="R66" i="181"/>
  <c r="S66" i="181"/>
  <c r="T66" i="181"/>
  <c r="U66" i="181"/>
  <c r="C67" i="181"/>
  <c r="C71" i="181"/>
  <c r="C73" i="181"/>
  <c r="C2" i="157"/>
  <c r="C12" i="157"/>
  <c r="C13" i="157" s="1"/>
  <c r="C22" i="157"/>
  <c r="C24" i="157"/>
  <c r="D26" i="157"/>
  <c r="E46" i="96" s="1"/>
  <c r="D43" i="115" s="1"/>
  <c r="D27" i="157"/>
  <c r="E207" i="215" s="1"/>
  <c r="D28" i="157"/>
  <c r="E48" i="96" s="1"/>
  <c r="D45" i="115" s="1"/>
  <c r="D29" i="157"/>
  <c r="E209" i="215" s="1"/>
  <c r="D30" i="157"/>
  <c r="E50" i="96" s="1"/>
  <c r="D47" i="115" s="1"/>
  <c r="D31" i="157"/>
  <c r="E211" i="215" s="1"/>
  <c r="D32" i="157"/>
  <c r="E52" i="96" s="1"/>
  <c r="D49" i="115" s="1"/>
  <c r="C34" i="157"/>
  <c r="C36" i="157"/>
  <c r="C39" i="157"/>
  <c r="D40" i="157" a="1"/>
  <c r="C57" i="157"/>
  <c r="G58" i="157"/>
  <c r="G18" i="181" s="1"/>
  <c r="H58" i="157"/>
  <c r="H18" i="181" s="1"/>
  <c r="C59" i="157"/>
  <c r="C61" i="157"/>
  <c r="G65" i="157"/>
  <c r="G35" i="181" s="1"/>
  <c r="C76" i="157"/>
  <c r="C78" i="157"/>
  <c r="I81" i="157"/>
  <c r="E60" i="209" s="1"/>
  <c r="J81" i="157"/>
  <c r="F60" i="209" s="1"/>
  <c r="K81" i="157"/>
  <c r="G60" i="209" s="1"/>
  <c r="L81" i="157"/>
  <c r="H60" i="209" s="1"/>
  <c r="M81" i="157"/>
  <c r="I60" i="209" s="1"/>
  <c r="N81" i="157"/>
  <c r="J60" i="209" s="1"/>
  <c r="O81" i="157"/>
  <c r="K60" i="209" s="1"/>
  <c r="P81" i="157"/>
  <c r="L60" i="209" s="1"/>
  <c r="Q81" i="157"/>
  <c r="M60" i="209" s="1"/>
  <c r="R81" i="157"/>
  <c r="N60" i="209" s="1"/>
  <c r="S81" i="157"/>
  <c r="O60" i="209" s="1"/>
  <c r="T81" i="157"/>
  <c r="P60" i="209" s="1"/>
  <c r="U81" i="157"/>
  <c r="Q60" i="209" s="1"/>
  <c r="C84" i="157"/>
  <c r="C86" i="157"/>
  <c r="G60" i="181"/>
  <c r="C94" i="157"/>
  <c r="C96" i="157"/>
  <c r="C98" i="157"/>
  <c r="C100" i="157"/>
  <c r="C102" i="157"/>
  <c r="C12" i="176"/>
  <c r="H26" i="181"/>
  <c r="H83" i="181" s="1"/>
  <c r="C14" i="176"/>
  <c r="C16" i="176"/>
  <c r="G19" i="176"/>
  <c r="G27" i="181" s="1"/>
  <c r="G98" i="181" s="1"/>
  <c r="H19" i="176"/>
  <c r="I19" i="176"/>
  <c r="I27" i="181" s="1"/>
  <c r="I98" i="181" s="1"/>
  <c r="C20" i="176"/>
  <c r="C22" i="176"/>
  <c r="C24" i="176"/>
  <c r="C32" i="176"/>
  <c r="C34" i="176"/>
  <c r="G40" i="176"/>
  <c r="G54" i="181" s="1"/>
  <c r="I39" i="176"/>
  <c r="C41" i="176"/>
  <c r="C43" i="176"/>
  <c r="H53" i="181"/>
  <c r="I50" i="176"/>
  <c r="J50" i="176"/>
  <c r="M45" i="176"/>
  <c r="N45" i="176"/>
  <c r="N50" i="176" s="1"/>
  <c r="O45" i="176"/>
  <c r="O50" i="176" s="1"/>
  <c r="Q45" i="176"/>
  <c r="Q50" i="176" s="1"/>
  <c r="R45" i="176"/>
  <c r="R50" i="176" s="1"/>
  <c r="S45" i="176"/>
  <c r="S53" i="181" s="1"/>
  <c r="U45" i="176"/>
  <c r="U53" i="181" s="1"/>
  <c r="C46" i="176"/>
  <c r="G50" i="176"/>
  <c r="C51" i="176"/>
  <c r="C53" i="176"/>
  <c r="C55" i="176"/>
  <c r="C57" i="176"/>
  <c r="C59" i="176"/>
  <c r="C2" i="92"/>
  <c r="G12" i="92"/>
  <c r="H12" i="92"/>
  <c r="I12" i="92"/>
  <c r="J12" i="92"/>
  <c r="K12" i="92"/>
  <c r="L12" i="92"/>
  <c r="M12" i="92"/>
  <c r="N12" i="92"/>
  <c r="O12" i="92"/>
  <c r="P12" i="92"/>
  <c r="Q12" i="92"/>
  <c r="R12" i="92"/>
  <c r="F178" i="202" s="1"/>
  <c r="S12" i="92"/>
  <c r="H15" i="92"/>
  <c r="H26" i="92"/>
  <c r="E35" i="177" s="1"/>
  <c r="F34" i="92"/>
  <c r="H40" i="92"/>
  <c r="I40" i="92"/>
  <c r="J40" i="92"/>
  <c r="K40" i="92"/>
  <c r="L40" i="92"/>
  <c r="M40" i="92"/>
  <c r="N40" i="92"/>
  <c r="O40" i="92"/>
  <c r="P40" i="92"/>
  <c r="Q40" i="92"/>
  <c r="R40" i="92"/>
  <c r="S40" i="92"/>
  <c r="F42" i="92"/>
  <c r="G39" i="92" s="1"/>
  <c r="G53" i="92"/>
  <c r="H53" i="92"/>
  <c r="I53" i="92"/>
  <c r="J53" i="92"/>
  <c r="K53" i="92"/>
  <c r="L53" i="92"/>
  <c r="M53" i="92"/>
  <c r="N53" i="92"/>
  <c r="O53" i="92"/>
  <c r="P53" i="92"/>
  <c r="Q53" i="92"/>
  <c r="R53" i="92"/>
  <c r="S53" i="92"/>
  <c r="J72" i="179"/>
  <c r="N72" i="179"/>
  <c r="O72" i="179"/>
  <c r="R72" i="179"/>
  <c r="H73" i="179"/>
  <c r="L73" i="179"/>
  <c r="P73" i="179"/>
  <c r="G74" i="179"/>
  <c r="J74" i="179"/>
  <c r="K74" i="179"/>
  <c r="N74" i="179"/>
  <c r="R74" i="179"/>
  <c r="S74" i="179"/>
  <c r="H80" i="179"/>
  <c r="J80" i="179"/>
  <c r="G80" i="179"/>
  <c r="I80" i="179"/>
  <c r="K80" i="179"/>
  <c r="L80" i="179"/>
  <c r="M80" i="179"/>
  <c r="N80" i="179"/>
  <c r="O80" i="179"/>
  <c r="P80" i="179"/>
  <c r="Q80" i="179"/>
  <c r="R80" i="179"/>
  <c r="S80" i="179"/>
  <c r="G106" i="179"/>
  <c r="H106" i="179"/>
  <c r="J106" i="179"/>
  <c r="K106" i="179"/>
  <c r="L106" i="179"/>
  <c r="M106" i="179"/>
  <c r="N106" i="179"/>
  <c r="O106" i="179"/>
  <c r="P106" i="179"/>
  <c r="Q106" i="179"/>
  <c r="R106" i="179"/>
  <c r="S106" i="179"/>
  <c r="C2" i="70"/>
  <c r="C6" i="70"/>
  <c r="D9" i="70"/>
  <c r="D16" i="215" s="1"/>
  <c r="E9" i="70"/>
  <c r="H9" i="70"/>
  <c r="C10" i="70"/>
  <c r="D10" i="70"/>
  <c r="E10" i="70"/>
  <c r="K10" i="70"/>
  <c r="D11" i="70"/>
  <c r="D48" i="34" s="1"/>
  <c r="E11" i="70"/>
  <c r="E48" i="34" s="1"/>
  <c r="G11" i="70"/>
  <c r="D12" i="70"/>
  <c r="D50" i="34" s="1"/>
  <c r="E12" i="70"/>
  <c r="F12" i="70"/>
  <c r="G12" i="70"/>
  <c r="H12" i="70"/>
  <c r="I12" i="70"/>
  <c r="D15" i="70"/>
  <c r="D57" i="34" s="1"/>
  <c r="E15" i="70"/>
  <c r="E56" i="34" s="1"/>
  <c r="I15" i="70"/>
  <c r="K15" i="70"/>
  <c r="D16" i="70"/>
  <c r="D59" i="34" s="1"/>
  <c r="E16" i="70"/>
  <c r="H16" i="70"/>
  <c r="K16" i="70"/>
  <c r="D17" i="70"/>
  <c r="D60" i="34" s="1"/>
  <c r="E17" i="70"/>
  <c r="E60" i="34" s="1"/>
  <c r="D18" i="70"/>
  <c r="D32" i="215" s="1"/>
  <c r="E18" i="70"/>
  <c r="H18" i="70"/>
  <c r="D19" i="70"/>
  <c r="E19" i="70"/>
  <c r="H19" i="70"/>
  <c r="K19" i="70"/>
  <c r="D20" i="70"/>
  <c r="E20" i="70"/>
  <c r="H20" i="70"/>
  <c r="D21" i="70"/>
  <c r="E21" i="70"/>
  <c r="E35" i="215" s="1"/>
  <c r="F21" i="70"/>
  <c r="K21" i="70"/>
  <c r="D22" i="70"/>
  <c r="D36" i="215" s="1"/>
  <c r="E22" i="70"/>
  <c r="E36" i="215" s="1"/>
  <c r="G22" i="70"/>
  <c r="K22" i="70"/>
  <c r="G28" i="70"/>
  <c r="I34" i="70"/>
  <c r="G36" i="70"/>
  <c r="I36" i="70"/>
  <c r="F37" i="70"/>
  <c r="F39" i="70"/>
  <c r="G40" i="70"/>
  <c r="H43" i="70"/>
  <c r="D51" i="70"/>
  <c r="D65" i="215" s="1"/>
  <c r="E51" i="70"/>
  <c r="G51" i="70"/>
  <c r="D52" i="70"/>
  <c r="D66" i="215" s="1"/>
  <c r="E52" i="70"/>
  <c r="E66" i="215" s="1"/>
  <c r="H52" i="70"/>
  <c r="D53" i="70"/>
  <c r="E53" i="70"/>
  <c r="E67" i="215" s="1"/>
  <c r="D54" i="70"/>
  <c r="E54" i="70"/>
  <c r="E68" i="215" s="1"/>
  <c r="H54" i="70"/>
  <c r="D55" i="70"/>
  <c r="E55" i="70"/>
  <c r="G55" i="70"/>
  <c r="D56" i="70"/>
  <c r="E56" i="70"/>
  <c r="E70" i="215" s="1"/>
  <c r="D57" i="70"/>
  <c r="D71" i="215" s="1"/>
  <c r="E57" i="70"/>
  <c r="E71" i="215" s="1"/>
  <c r="D58" i="70"/>
  <c r="E58" i="70"/>
  <c r="E72" i="215" s="1"/>
  <c r="K58" i="70"/>
  <c r="M58" i="70"/>
  <c r="D59" i="70"/>
  <c r="E59" i="70"/>
  <c r="E73" i="215" s="1"/>
  <c r="H59" i="70"/>
  <c r="D60" i="70"/>
  <c r="D74" i="215" s="1"/>
  <c r="E60" i="70"/>
  <c r="E74" i="215" s="1"/>
  <c r="G60" i="70"/>
  <c r="D61" i="70"/>
  <c r="E61" i="70"/>
  <c r="E75" i="215" s="1"/>
  <c r="D62" i="70"/>
  <c r="E62" i="70"/>
  <c r="E76" i="215" s="1"/>
  <c r="F62" i="70"/>
  <c r="D63" i="70"/>
  <c r="D77" i="215" s="1"/>
  <c r="E63" i="70"/>
  <c r="D67" i="70"/>
  <c r="D87" i="215" s="1"/>
  <c r="E67" i="70"/>
  <c r="D68" i="70"/>
  <c r="D88" i="215" s="1"/>
  <c r="E68" i="70"/>
  <c r="D69" i="70"/>
  <c r="E69" i="70"/>
  <c r="D70" i="70"/>
  <c r="D90" i="215" s="1"/>
  <c r="E70" i="70"/>
  <c r="D71" i="70"/>
  <c r="D91" i="215" s="1"/>
  <c r="E71" i="70"/>
  <c r="D72" i="70"/>
  <c r="E72" i="70"/>
  <c r="D73" i="70"/>
  <c r="D93" i="215" s="1"/>
  <c r="E73" i="70"/>
  <c r="I73" i="70"/>
  <c r="D74" i="70"/>
  <c r="D94" i="215" s="1"/>
  <c r="E74" i="70"/>
  <c r="D75" i="70"/>
  <c r="D95" i="215" s="1"/>
  <c r="E75" i="70"/>
  <c r="D76" i="70"/>
  <c r="D96" i="215" s="1"/>
  <c r="E76" i="70"/>
  <c r="D77" i="70"/>
  <c r="D97" i="215" s="1"/>
  <c r="E77" i="70"/>
  <c r="D78" i="70"/>
  <c r="D98" i="215" s="1"/>
  <c r="E78" i="70"/>
  <c r="D79" i="70"/>
  <c r="D99" i="215" s="1"/>
  <c r="E79" i="70"/>
  <c r="D80" i="70"/>
  <c r="D100" i="215" s="1"/>
  <c r="E80" i="70"/>
  <c r="D81" i="70"/>
  <c r="D101" i="215" s="1"/>
  <c r="E81" i="70"/>
  <c r="I81" i="70"/>
  <c r="D82" i="70"/>
  <c r="E82" i="70"/>
  <c r="E102" i="215" s="1"/>
  <c r="H82" i="70"/>
  <c r="D83" i="70"/>
  <c r="E83" i="70"/>
  <c r="E103" i="215" s="1"/>
  <c r="D84" i="70"/>
  <c r="E84" i="70"/>
  <c r="E104" i="215" s="1"/>
  <c r="D85" i="70"/>
  <c r="E85" i="70"/>
  <c r="E105" i="215" s="1"/>
  <c r="D89" i="70"/>
  <c r="E89" i="70"/>
  <c r="E109" i="215" s="1"/>
  <c r="D90" i="70"/>
  <c r="E90" i="70"/>
  <c r="E110" i="215" s="1"/>
  <c r="F90" i="70"/>
  <c r="D94" i="70"/>
  <c r="D115" i="215" s="1"/>
  <c r="E94" i="70"/>
  <c r="E115" i="215" s="1"/>
  <c r="D95" i="70"/>
  <c r="D116" i="215" s="1"/>
  <c r="E95" i="70"/>
  <c r="E116" i="215" s="1"/>
  <c r="D96" i="70"/>
  <c r="D117" i="215" s="1"/>
  <c r="E96" i="70"/>
  <c r="E117" i="215" s="1"/>
  <c r="G96" i="70"/>
  <c r="D97" i="70"/>
  <c r="E97" i="70"/>
  <c r="E118" i="215" s="1"/>
  <c r="D98" i="70"/>
  <c r="E98" i="70"/>
  <c r="E119" i="215" s="1"/>
  <c r="I98" i="70"/>
  <c r="D99" i="70"/>
  <c r="D120" i="215" s="1"/>
  <c r="E99" i="70"/>
  <c r="E120" i="215" s="1"/>
  <c r="D100" i="70"/>
  <c r="D121" i="215" s="1"/>
  <c r="E100" i="70"/>
  <c r="E121" i="215" s="1"/>
  <c r="D101" i="70"/>
  <c r="D122" i="215" s="1"/>
  <c r="E101" i="70"/>
  <c r="E122" i="215" s="1"/>
  <c r="D102" i="70"/>
  <c r="D123" i="215" s="1"/>
  <c r="E102" i="70"/>
  <c r="E123" i="215" s="1"/>
  <c r="D103" i="70"/>
  <c r="D124" i="215" s="1"/>
  <c r="E103" i="70"/>
  <c r="E124" i="215" s="1"/>
  <c r="D104" i="70"/>
  <c r="D125" i="215" s="1"/>
  <c r="E104" i="70"/>
  <c r="E125" i="215" s="1"/>
  <c r="D108" i="70"/>
  <c r="D129" i="215" s="1"/>
  <c r="E108" i="70"/>
  <c r="E129" i="215" s="1"/>
  <c r="D109" i="70"/>
  <c r="D130" i="215" s="1"/>
  <c r="E109" i="70"/>
  <c r="E130" i="215" s="1"/>
  <c r="D110" i="70"/>
  <c r="D131" i="215" s="1"/>
  <c r="E110" i="70"/>
  <c r="E131" i="215" s="1"/>
  <c r="D111" i="70"/>
  <c r="D132" i="215" s="1"/>
  <c r="E111" i="70"/>
  <c r="E132" i="215" s="1"/>
  <c r="D112" i="70"/>
  <c r="D133" i="215" s="1"/>
  <c r="E112" i="70"/>
  <c r="E133" i="215" s="1"/>
  <c r="D113" i="70"/>
  <c r="D134" i="215" s="1"/>
  <c r="E113" i="70"/>
  <c r="E134" i="215" s="1"/>
  <c r="D114" i="70"/>
  <c r="E114" i="70"/>
  <c r="E135" i="215" s="1"/>
  <c r="F126" i="70"/>
  <c r="F130" i="70"/>
  <c r="C2" i="28"/>
  <c r="G9" i="70"/>
  <c r="I9" i="70"/>
  <c r="C10" i="28"/>
  <c r="F10" i="70"/>
  <c r="H10" i="70"/>
  <c r="I10" i="70"/>
  <c r="C11" i="28"/>
  <c r="C12" i="28" s="1"/>
  <c r="F11" i="70"/>
  <c r="H11" i="70"/>
  <c r="F15" i="70"/>
  <c r="G15" i="70"/>
  <c r="H15" i="70"/>
  <c r="F16" i="70"/>
  <c r="G16" i="70"/>
  <c r="I16" i="70"/>
  <c r="F17" i="70"/>
  <c r="G17" i="70"/>
  <c r="H17" i="70"/>
  <c r="F18" i="70"/>
  <c r="G18" i="70"/>
  <c r="I18" i="70"/>
  <c r="F19" i="70"/>
  <c r="G19" i="70"/>
  <c r="I19" i="70"/>
  <c r="F20" i="70"/>
  <c r="G20" i="70"/>
  <c r="I20" i="70"/>
  <c r="G21" i="70"/>
  <c r="H21" i="70"/>
  <c r="I21" i="70"/>
  <c r="F22" i="70"/>
  <c r="H22" i="70"/>
  <c r="I22" i="70"/>
  <c r="G23" i="28"/>
  <c r="G163" i="28" s="1"/>
  <c r="H23" i="28"/>
  <c r="G26" i="70"/>
  <c r="H26" i="70"/>
  <c r="I26" i="70"/>
  <c r="F27" i="70"/>
  <c r="H27" i="70"/>
  <c r="I27" i="70"/>
  <c r="F28" i="70"/>
  <c r="I28" i="70"/>
  <c r="F29" i="70"/>
  <c r="G29" i="70"/>
  <c r="H29" i="70"/>
  <c r="I29" i="70"/>
  <c r="F30" i="70"/>
  <c r="G30" i="70"/>
  <c r="H30" i="70"/>
  <c r="I30" i="70"/>
  <c r="F31" i="70"/>
  <c r="G31" i="70"/>
  <c r="H31" i="70"/>
  <c r="I31" i="70"/>
  <c r="F32" i="70"/>
  <c r="G32" i="70"/>
  <c r="H32" i="70"/>
  <c r="I32" i="70"/>
  <c r="F33" i="70"/>
  <c r="G33" i="70"/>
  <c r="H33" i="70"/>
  <c r="I33" i="70"/>
  <c r="F34" i="70"/>
  <c r="G34" i="70"/>
  <c r="H34" i="70"/>
  <c r="F35" i="70"/>
  <c r="G35" i="70"/>
  <c r="H35" i="70"/>
  <c r="I35" i="70"/>
  <c r="F36" i="70"/>
  <c r="H36" i="70"/>
  <c r="G37" i="70"/>
  <c r="H37" i="70"/>
  <c r="I37" i="70"/>
  <c r="F38" i="70"/>
  <c r="G38" i="70"/>
  <c r="H38" i="70"/>
  <c r="I38" i="70"/>
  <c r="G39" i="70"/>
  <c r="H39" i="70"/>
  <c r="I39" i="70"/>
  <c r="F40" i="70"/>
  <c r="H40" i="70"/>
  <c r="I40" i="70"/>
  <c r="F41" i="70"/>
  <c r="G41" i="70"/>
  <c r="H41" i="70"/>
  <c r="I41" i="70"/>
  <c r="F42" i="70"/>
  <c r="G42" i="70"/>
  <c r="H42" i="70"/>
  <c r="I42" i="70"/>
  <c r="F43" i="70"/>
  <c r="G43" i="70"/>
  <c r="I43" i="70"/>
  <c r="G47" i="28"/>
  <c r="G164" i="28" s="1"/>
  <c r="H47" i="28"/>
  <c r="H164" i="28" s="1"/>
  <c r="H51" i="70"/>
  <c r="I51" i="70"/>
  <c r="F52" i="70"/>
  <c r="I52" i="70"/>
  <c r="F53" i="70"/>
  <c r="G53" i="70"/>
  <c r="H53" i="70"/>
  <c r="I53" i="70"/>
  <c r="F54" i="70"/>
  <c r="G54" i="70"/>
  <c r="I54" i="70"/>
  <c r="F55" i="70"/>
  <c r="H55" i="70"/>
  <c r="I55" i="70"/>
  <c r="F56" i="70"/>
  <c r="G56" i="70"/>
  <c r="H56" i="70"/>
  <c r="I56" i="70"/>
  <c r="F57" i="70"/>
  <c r="G57" i="70"/>
  <c r="I57" i="70"/>
  <c r="F58" i="70"/>
  <c r="G58" i="70"/>
  <c r="H58" i="70"/>
  <c r="F59" i="70"/>
  <c r="G59" i="70"/>
  <c r="I59" i="70"/>
  <c r="F60" i="70"/>
  <c r="H60" i="70"/>
  <c r="I60" i="70"/>
  <c r="F61" i="70"/>
  <c r="G61" i="70"/>
  <c r="H61" i="70"/>
  <c r="I61" i="70"/>
  <c r="G62" i="70"/>
  <c r="H62" i="70"/>
  <c r="I62" i="70"/>
  <c r="F63" i="70"/>
  <c r="G63" i="70"/>
  <c r="H63" i="70"/>
  <c r="I63" i="70"/>
  <c r="G62" i="28"/>
  <c r="G165" i="28" s="1"/>
  <c r="H62" i="28"/>
  <c r="H165" i="28" s="1"/>
  <c r="F67" i="70"/>
  <c r="G67" i="70"/>
  <c r="I67" i="70"/>
  <c r="F68" i="70"/>
  <c r="G68" i="70"/>
  <c r="H68" i="70"/>
  <c r="I68" i="70"/>
  <c r="F69" i="70"/>
  <c r="H69" i="70"/>
  <c r="I69" i="70"/>
  <c r="F70" i="70"/>
  <c r="G70" i="70"/>
  <c r="H70" i="70"/>
  <c r="I70" i="70"/>
  <c r="F71" i="70"/>
  <c r="G71" i="70"/>
  <c r="H71" i="70"/>
  <c r="F72" i="70"/>
  <c r="G72" i="70"/>
  <c r="H72" i="70"/>
  <c r="I72" i="70"/>
  <c r="F73" i="70"/>
  <c r="G73" i="70"/>
  <c r="H73" i="70"/>
  <c r="F74" i="70"/>
  <c r="G74" i="70"/>
  <c r="H74" i="70"/>
  <c r="I74" i="70"/>
  <c r="F75" i="70"/>
  <c r="G75" i="70"/>
  <c r="H75" i="70"/>
  <c r="I75" i="70"/>
  <c r="F76" i="70"/>
  <c r="G76" i="70"/>
  <c r="H76" i="70"/>
  <c r="I76" i="70"/>
  <c r="F77" i="70"/>
  <c r="G77" i="70"/>
  <c r="H77" i="70"/>
  <c r="I77" i="70"/>
  <c r="F78" i="70"/>
  <c r="G78" i="70"/>
  <c r="H78" i="70"/>
  <c r="I78" i="70"/>
  <c r="F79" i="70"/>
  <c r="G79" i="70"/>
  <c r="H79" i="70"/>
  <c r="I79" i="70"/>
  <c r="F80" i="70"/>
  <c r="G80" i="70"/>
  <c r="H80" i="70"/>
  <c r="I80" i="70"/>
  <c r="F81" i="70"/>
  <c r="G81" i="70"/>
  <c r="H81" i="70"/>
  <c r="F82" i="70"/>
  <c r="G82" i="70"/>
  <c r="I82" i="70"/>
  <c r="F83" i="70"/>
  <c r="G83" i="70"/>
  <c r="H83" i="70"/>
  <c r="I83" i="70"/>
  <c r="F84" i="70"/>
  <c r="G84" i="70"/>
  <c r="H84" i="70"/>
  <c r="I84" i="70"/>
  <c r="F85" i="70"/>
  <c r="G85" i="70"/>
  <c r="H85" i="70"/>
  <c r="I85" i="70"/>
  <c r="G83" i="28"/>
  <c r="G166" i="28" s="1"/>
  <c r="H83" i="28"/>
  <c r="H166" i="28" s="1"/>
  <c r="I83" i="28"/>
  <c r="I166" i="28" s="1"/>
  <c r="I89" i="28"/>
  <c r="I167" i="28" s="1"/>
  <c r="L89" i="28"/>
  <c r="L167" i="28" s="1"/>
  <c r="F89" i="70"/>
  <c r="G89" i="70"/>
  <c r="H89" i="70"/>
  <c r="I89" i="70"/>
  <c r="G90" i="70"/>
  <c r="H90" i="70"/>
  <c r="I90" i="70"/>
  <c r="G89" i="28"/>
  <c r="G167" i="28" s="1"/>
  <c r="H89" i="28"/>
  <c r="H167" i="28" s="1"/>
  <c r="J89" i="28"/>
  <c r="J167" i="28" s="1"/>
  <c r="K89" i="28"/>
  <c r="K167" i="28" s="1"/>
  <c r="F94" i="70"/>
  <c r="H94" i="70"/>
  <c r="I94" i="70"/>
  <c r="F95" i="70"/>
  <c r="G95" i="70"/>
  <c r="H95" i="70"/>
  <c r="I95" i="70"/>
  <c r="H96" i="70"/>
  <c r="I96" i="70"/>
  <c r="F97" i="70"/>
  <c r="G97" i="70"/>
  <c r="H97" i="70"/>
  <c r="I97" i="70"/>
  <c r="F98" i="70"/>
  <c r="G98" i="70"/>
  <c r="F99" i="70"/>
  <c r="G99" i="70"/>
  <c r="H99" i="70"/>
  <c r="I99" i="70"/>
  <c r="F100" i="70"/>
  <c r="G100" i="70"/>
  <c r="H100" i="70"/>
  <c r="I100" i="70"/>
  <c r="K100" i="70"/>
  <c r="F101" i="70"/>
  <c r="G101" i="70"/>
  <c r="H101" i="70"/>
  <c r="I101" i="70"/>
  <c r="F102" i="70"/>
  <c r="G102" i="70"/>
  <c r="H102" i="70"/>
  <c r="I102" i="70"/>
  <c r="F103" i="70"/>
  <c r="G103" i="70"/>
  <c r="H103" i="70"/>
  <c r="I103" i="70"/>
  <c r="F104" i="70"/>
  <c r="G104" i="70"/>
  <c r="H104" i="70"/>
  <c r="I104" i="70"/>
  <c r="G102" i="28"/>
  <c r="G168" i="28" s="1"/>
  <c r="H102" i="28"/>
  <c r="H168" i="28" s="1"/>
  <c r="I119" i="28"/>
  <c r="I169" i="28" s="1"/>
  <c r="J119" i="28"/>
  <c r="J169" i="28" s="1"/>
  <c r="F108" i="70"/>
  <c r="G108" i="70"/>
  <c r="H108" i="70"/>
  <c r="I108" i="70"/>
  <c r="F109" i="70"/>
  <c r="G109" i="70"/>
  <c r="H109" i="70"/>
  <c r="I109" i="70"/>
  <c r="F110" i="70"/>
  <c r="G110" i="70"/>
  <c r="H110" i="70"/>
  <c r="I110" i="70"/>
  <c r="F111" i="70"/>
  <c r="G111" i="70"/>
  <c r="H111" i="70"/>
  <c r="I111" i="70"/>
  <c r="F112" i="70"/>
  <c r="G112" i="70"/>
  <c r="H112" i="70"/>
  <c r="I112" i="70"/>
  <c r="F113" i="70"/>
  <c r="G113" i="70"/>
  <c r="H113" i="70"/>
  <c r="I113" i="70"/>
  <c r="F114" i="70"/>
  <c r="G114" i="70"/>
  <c r="H114" i="70"/>
  <c r="I114" i="70"/>
  <c r="G119" i="28"/>
  <c r="G169" i="28" s="1"/>
  <c r="H119" i="28"/>
  <c r="H169" i="28" s="1"/>
  <c r="G120" i="70"/>
  <c r="H120" i="70"/>
  <c r="I120" i="70"/>
  <c r="F121" i="70"/>
  <c r="G121" i="70"/>
  <c r="H121" i="70"/>
  <c r="I121" i="70"/>
  <c r="F122" i="70"/>
  <c r="G122" i="70"/>
  <c r="H122" i="70"/>
  <c r="F124" i="70"/>
  <c r="G124" i="70"/>
  <c r="H124" i="70"/>
  <c r="I124" i="70"/>
  <c r="F125" i="70"/>
  <c r="G125" i="70"/>
  <c r="H125" i="70"/>
  <c r="I125" i="70"/>
  <c r="G126" i="70"/>
  <c r="H126" i="70"/>
  <c r="I126" i="70"/>
  <c r="F127" i="70"/>
  <c r="G127" i="70"/>
  <c r="H127" i="70"/>
  <c r="I127" i="70"/>
  <c r="F128" i="70"/>
  <c r="G128" i="70"/>
  <c r="H128" i="70"/>
  <c r="I128" i="70"/>
  <c r="F129" i="70"/>
  <c r="G129" i="70"/>
  <c r="H129" i="70"/>
  <c r="I129" i="70"/>
  <c r="G130" i="70"/>
  <c r="H130" i="70"/>
  <c r="I130" i="70"/>
  <c r="F131" i="70"/>
  <c r="G131" i="70"/>
  <c r="H131" i="70"/>
  <c r="I131" i="70"/>
  <c r="F132" i="70"/>
  <c r="G132" i="70"/>
  <c r="H132" i="70"/>
  <c r="I132" i="70"/>
  <c r="F133" i="70"/>
  <c r="G133" i="70"/>
  <c r="H133" i="70"/>
  <c r="I133" i="70"/>
  <c r="F134" i="70"/>
  <c r="G134" i="70"/>
  <c r="H134" i="70"/>
  <c r="I134" i="70"/>
  <c r="F135" i="70"/>
  <c r="G135" i="70"/>
  <c r="H135" i="70"/>
  <c r="I135" i="70"/>
  <c r="F136" i="70"/>
  <c r="G136" i="70"/>
  <c r="H136" i="70"/>
  <c r="I136" i="70"/>
  <c r="F137" i="70"/>
  <c r="G137" i="70"/>
  <c r="H137" i="70"/>
  <c r="I137" i="70"/>
  <c r="F138" i="70"/>
  <c r="G138" i="70"/>
  <c r="H138" i="70"/>
  <c r="I138" i="70"/>
  <c r="F142" i="70"/>
  <c r="G142" i="70"/>
  <c r="H142" i="70"/>
  <c r="I142" i="70"/>
  <c r="F143" i="70"/>
  <c r="G143" i="70"/>
  <c r="H143" i="70"/>
  <c r="I143" i="70"/>
  <c r="F144" i="70"/>
  <c r="G144" i="70"/>
  <c r="H144" i="70"/>
  <c r="I144" i="70"/>
  <c r="F145" i="70"/>
  <c r="G145" i="70"/>
  <c r="H145" i="70"/>
  <c r="I145" i="70"/>
  <c r="F146" i="70"/>
  <c r="G146" i="70"/>
  <c r="H146" i="70"/>
  <c r="I146" i="70"/>
  <c r="F147" i="70"/>
  <c r="G147" i="70"/>
  <c r="H147" i="70"/>
  <c r="I147" i="70"/>
  <c r="F148" i="70"/>
  <c r="G148" i="70"/>
  <c r="H148" i="70"/>
  <c r="I148" i="70"/>
  <c r="F149" i="70"/>
  <c r="G149" i="70"/>
  <c r="H149" i="70"/>
  <c r="I149" i="70"/>
  <c r="F150" i="70"/>
  <c r="G150" i="70"/>
  <c r="H150" i="70"/>
  <c r="I150" i="70"/>
  <c r="F151" i="70"/>
  <c r="G151" i="70"/>
  <c r="H151" i="70"/>
  <c r="I151" i="70"/>
  <c r="F152" i="70"/>
  <c r="G152" i="70"/>
  <c r="H152" i="70"/>
  <c r="I152" i="70"/>
  <c r="F153" i="70"/>
  <c r="G153" i="70"/>
  <c r="H153" i="70"/>
  <c r="I153" i="70"/>
  <c r="F154" i="70"/>
  <c r="G154" i="70"/>
  <c r="H154" i="70"/>
  <c r="I154" i="70"/>
  <c r="F155" i="70"/>
  <c r="G155" i="70"/>
  <c r="H155" i="70"/>
  <c r="I155" i="70"/>
  <c r="G159" i="28"/>
  <c r="G170" i="28" s="1"/>
  <c r="H159" i="28"/>
  <c r="H170" i="28" s="1"/>
  <c r="H163" i="28"/>
  <c r="O192" i="28"/>
  <c r="O193" i="28"/>
  <c r="O194" i="28"/>
  <c r="C10" i="175"/>
  <c r="G20" i="175"/>
  <c r="G163" i="175" s="1"/>
  <c r="H20" i="175"/>
  <c r="H163" i="175" s="1"/>
  <c r="I20" i="175"/>
  <c r="I163" i="175" s="1"/>
  <c r="J20" i="175"/>
  <c r="J163" i="175" s="1"/>
  <c r="K20" i="175"/>
  <c r="L20" i="175"/>
  <c r="L163" i="175" s="1"/>
  <c r="M20" i="175"/>
  <c r="M163" i="175" s="1"/>
  <c r="G26" i="175"/>
  <c r="G167" i="175" s="1"/>
  <c r="H26" i="175"/>
  <c r="H167" i="175"/>
  <c r="I26" i="175"/>
  <c r="I167" i="175" s="1"/>
  <c r="J26" i="175"/>
  <c r="J167" i="175" s="1"/>
  <c r="K26" i="175"/>
  <c r="K167" i="175" s="1"/>
  <c r="L26" i="175"/>
  <c r="M26" i="175"/>
  <c r="M167" i="175" s="1"/>
  <c r="G67" i="175"/>
  <c r="H67" i="175"/>
  <c r="H164" i="175" s="1"/>
  <c r="I67" i="175"/>
  <c r="I164" i="175" s="1"/>
  <c r="J67" i="175"/>
  <c r="J164" i="175" s="1"/>
  <c r="K67" i="175"/>
  <c r="K164" i="175" s="1"/>
  <c r="L67" i="175"/>
  <c r="L164" i="175" s="1"/>
  <c r="G27" i="176" s="1"/>
  <c r="G49" i="181" s="1"/>
  <c r="M67" i="175"/>
  <c r="M164" i="175" s="1"/>
  <c r="H27" i="176" s="1"/>
  <c r="H49" i="181" s="1"/>
  <c r="G84" i="175"/>
  <c r="G165" i="175" s="1"/>
  <c r="H84" i="175"/>
  <c r="H165" i="175" s="1"/>
  <c r="I84" i="175"/>
  <c r="J84" i="175"/>
  <c r="J165" i="175" s="1"/>
  <c r="K84" i="175"/>
  <c r="K165" i="175" s="1"/>
  <c r="L84" i="175"/>
  <c r="L165" i="175" s="1"/>
  <c r="G28" i="176" s="1"/>
  <c r="G50" i="181" s="1"/>
  <c r="M84" i="175"/>
  <c r="M165" i="175" s="1"/>
  <c r="H28" i="176" s="1"/>
  <c r="G105" i="175"/>
  <c r="H105" i="175"/>
  <c r="I105" i="175"/>
  <c r="J105" i="175"/>
  <c r="K105" i="175"/>
  <c r="L105" i="175"/>
  <c r="M105" i="175"/>
  <c r="G118" i="175"/>
  <c r="H118" i="175"/>
  <c r="I118" i="175"/>
  <c r="J118" i="175"/>
  <c r="K118" i="175"/>
  <c r="L118" i="175"/>
  <c r="M118" i="175"/>
  <c r="G159" i="175"/>
  <c r="G166" i="175" s="1"/>
  <c r="H159" i="175"/>
  <c r="H166" i="175" s="1"/>
  <c r="I166" i="175"/>
  <c r="J166" i="175"/>
  <c r="K166" i="175"/>
  <c r="L166" i="175"/>
  <c r="M166" i="175"/>
  <c r="K163" i="175"/>
  <c r="G164" i="175"/>
  <c r="I165" i="175"/>
  <c r="P179" i="175"/>
  <c r="P192" i="28" s="1"/>
  <c r="P180" i="175"/>
  <c r="P181" i="175"/>
  <c r="P194" i="28" s="1"/>
  <c r="G9" i="186"/>
  <c r="H9" i="186"/>
  <c r="I9" i="186"/>
  <c r="K9" i="186"/>
  <c r="L9" i="186"/>
  <c r="M9" i="186"/>
  <c r="O9" i="186"/>
  <c r="P9" i="186"/>
  <c r="Q9" i="186"/>
  <c r="S9" i="186"/>
  <c r="C2" i="30"/>
  <c r="C10" i="30"/>
  <c r="N34" i="163"/>
  <c r="O34" i="163"/>
  <c r="P34" i="163"/>
  <c r="Q34" i="163"/>
  <c r="R34" i="163"/>
  <c r="S34" i="163"/>
  <c r="T34" i="163"/>
  <c r="U34" i="163"/>
  <c r="V34" i="163"/>
  <c r="W34" i="163"/>
  <c r="X34" i="163"/>
  <c r="N35" i="163"/>
  <c r="O35" i="163"/>
  <c r="P35" i="163"/>
  <c r="Q35" i="163"/>
  <c r="R35" i="163"/>
  <c r="S35" i="163"/>
  <c r="T35" i="163"/>
  <c r="U35" i="163"/>
  <c r="V35" i="163"/>
  <c r="W35" i="163"/>
  <c r="X35" i="163"/>
  <c r="N36" i="163"/>
  <c r="O36" i="163"/>
  <c r="P36" i="163"/>
  <c r="Q36" i="163"/>
  <c r="R36" i="163"/>
  <c r="S36" i="163"/>
  <c r="T36" i="163"/>
  <c r="U36" i="163"/>
  <c r="V36" i="163"/>
  <c r="W36" i="163"/>
  <c r="X36" i="163"/>
  <c r="Q53" i="163"/>
  <c r="R53" i="163" s="1"/>
  <c r="S53" i="163" s="1"/>
  <c r="T53" i="163" s="1"/>
  <c r="U53" i="163" s="1"/>
  <c r="V53" i="163" s="1"/>
  <c r="W53" i="163" s="1"/>
  <c r="X53" i="163" s="1"/>
  <c r="H7" i="20"/>
  <c r="I7" i="20" s="1"/>
  <c r="J7" i="20" s="1"/>
  <c r="C14" i="20"/>
  <c r="E17" i="20"/>
  <c r="F17" i="20"/>
  <c r="G17" i="20"/>
  <c r="H17" i="20"/>
  <c r="I17" i="20"/>
  <c r="J17" i="20"/>
  <c r="K17" i="20"/>
  <c r="E23" i="20"/>
  <c r="F23" i="20"/>
  <c r="G23" i="20"/>
  <c r="H23" i="20"/>
  <c r="I23" i="20"/>
  <c r="J23" i="20"/>
  <c r="K23" i="20"/>
  <c r="L23" i="20"/>
  <c r="M23" i="20"/>
  <c r="N23" i="20"/>
  <c r="O23" i="20"/>
  <c r="P23" i="20"/>
  <c r="Q23" i="20"/>
  <c r="R23" i="20"/>
  <c r="S23" i="20"/>
  <c r="T23" i="20"/>
  <c r="U23" i="20"/>
  <c r="V23" i="20"/>
  <c r="W23" i="20"/>
  <c r="X23" i="20"/>
  <c r="C26" i="20"/>
  <c r="C27" i="20" s="1"/>
  <c r="C29" i="20" s="1"/>
  <c r="E26" i="20"/>
  <c r="E89" i="20" s="1"/>
  <c r="F26" i="20"/>
  <c r="F89" i="20" s="1"/>
  <c r="G26" i="20"/>
  <c r="G89" i="20" s="1"/>
  <c r="H26" i="20"/>
  <c r="H89" i="20" s="1"/>
  <c r="I26" i="20"/>
  <c r="I89" i="20" s="1"/>
  <c r="J26" i="20"/>
  <c r="J89" i="20" s="1"/>
  <c r="K26" i="20"/>
  <c r="K89" i="20" s="1"/>
  <c r="O26" i="20"/>
  <c r="O89" i="20" s="1"/>
  <c r="Q26" i="20"/>
  <c r="Q89" i="20" s="1"/>
  <c r="S26" i="20"/>
  <c r="S89" i="20" s="1"/>
  <c r="V26" i="20"/>
  <c r="V89" i="20" s="1"/>
  <c r="W26" i="20"/>
  <c r="X26" i="20"/>
  <c r="X89" i="20" s="1"/>
  <c r="E27" i="20"/>
  <c r="F27" i="20"/>
  <c r="F29" i="20" s="1"/>
  <c r="G27" i="20"/>
  <c r="G90" i="20" s="1"/>
  <c r="H27" i="20"/>
  <c r="I27" i="20"/>
  <c r="J27" i="20"/>
  <c r="J29" i="20" s="1"/>
  <c r="K27" i="20"/>
  <c r="K90" i="20" s="1"/>
  <c r="C37" i="20"/>
  <c r="C38" i="20"/>
  <c r="E40" i="20"/>
  <c r="F40" i="20"/>
  <c r="G40" i="20"/>
  <c r="H40" i="20"/>
  <c r="I40" i="20"/>
  <c r="J40" i="20"/>
  <c r="K40" i="20"/>
  <c r="L40" i="20"/>
  <c r="N40" i="20"/>
  <c r="O40" i="20"/>
  <c r="P40" i="20"/>
  <c r="Q40" i="20"/>
  <c r="R40" i="20"/>
  <c r="S40" i="20"/>
  <c r="T40" i="20"/>
  <c r="U40" i="20"/>
  <c r="V40" i="20"/>
  <c r="W40" i="20"/>
  <c r="X40" i="20"/>
  <c r="C43" i="20"/>
  <c r="E46" i="20"/>
  <c r="F46" i="20"/>
  <c r="G46" i="20"/>
  <c r="H46" i="20"/>
  <c r="I46" i="20"/>
  <c r="J46" i="20"/>
  <c r="K46" i="20"/>
  <c r="L46" i="20"/>
  <c r="M46" i="20"/>
  <c r="N46" i="20"/>
  <c r="O46" i="20"/>
  <c r="P46" i="20"/>
  <c r="Q46" i="20"/>
  <c r="R46" i="20"/>
  <c r="S46" i="20"/>
  <c r="T46" i="20"/>
  <c r="U46" i="20"/>
  <c r="V46" i="20"/>
  <c r="W46" i="20"/>
  <c r="X46" i="20"/>
  <c r="E52" i="20"/>
  <c r="F52" i="20"/>
  <c r="G52" i="20"/>
  <c r="H52" i="20"/>
  <c r="I52" i="20"/>
  <c r="J52" i="20"/>
  <c r="K52" i="20"/>
  <c r="L52" i="20"/>
  <c r="M52" i="20"/>
  <c r="N52" i="20"/>
  <c r="O52" i="20"/>
  <c r="P52" i="20"/>
  <c r="Q52" i="20"/>
  <c r="R52" i="20"/>
  <c r="S52" i="20"/>
  <c r="T52" i="20"/>
  <c r="U52" i="20"/>
  <c r="V52" i="20"/>
  <c r="W52" i="20"/>
  <c r="X52" i="20"/>
  <c r="E55" i="20"/>
  <c r="F55" i="20"/>
  <c r="F95" i="20" s="1"/>
  <c r="G55" i="20"/>
  <c r="H55" i="20"/>
  <c r="I55" i="20"/>
  <c r="J55" i="20"/>
  <c r="J95" i="20" s="1"/>
  <c r="K55" i="20"/>
  <c r="K95" i="20" s="1"/>
  <c r="L55" i="20"/>
  <c r="M55" i="20"/>
  <c r="N55" i="20"/>
  <c r="N95" i="20" s="1"/>
  <c r="O55" i="20"/>
  <c r="O95" i="20" s="1"/>
  <c r="P55" i="20"/>
  <c r="Q55" i="20"/>
  <c r="R55" i="20"/>
  <c r="S55" i="20"/>
  <c r="S95" i="20" s="1"/>
  <c r="T55" i="20"/>
  <c r="U55" i="20"/>
  <c r="V55" i="20"/>
  <c r="V95" i="20" s="1"/>
  <c r="W55" i="20"/>
  <c r="X55" i="20"/>
  <c r="E56" i="20"/>
  <c r="E96" i="20" s="1"/>
  <c r="F56" i="20"/>
  <c r="F96" i="20" s="1"/>
  <c r="G56" i="20"/>
  <c r="H56" i="20"/>
  <c r="I56" i="20"/>
  <c r="I96" i="20" s="1"/>
  <c r="J56" i="20"/>
  <c r="J96" i="20" s="1"/>
  <c r="K56" i="20"/>
  <c r="L56" i="20"/>
  <c r="M56" i="20"/>
  <c r="M96" i="20" s="1"/>
  <c r="N56" i="20"/>
  <c r="N96" i="20" s="1"/>
  <c r="O56" i="20"/>
  <c r="P56" i="20"/>
  <c r="P96" i="20" s="1"/>
  <c r="Q56" i="20"/>
  <c r="Q96" i="20" s="1"/>
  <c r="R56" i="20"/>
  <c r="R96" i="20" s="1"/>
  <c r="S56" i="20"/>
  <c r="T56" i="20"/>
  <c r="U56" i="20"/>
  <c r="U96" i="20" s="1"/>
  <c r="V56" i="20"/>
  <c r="V96" i="20" s="1"/>
  <c r="W56" i="20"/>
  <c r="X56" i="20"/>
  <c r="X58" i="20" s="1"/>
  <c r="U82" i="157" s="1"/>
  <c r="Q61" i="209" s="1"/>
  <c r="C64" i="20"/>
  <c r="E67" i="20"/>
  <c r="G69" i="20"/>
  <c r="H69" i="20"/>
  <c r="I69" i="20"/>
  <c r="J69" i="20"/>
  <c r="K69" i="20"/>
  <c r="L69" i="20"/>
  <c r="M69" i="20"/>
  <c r="N69" i="20"/>
  <c r="O69" i="20"/>
  <c r="P69" i="20"/>
  <c r="Q69" i="20"/>
  <c r="R69" i="20"/>
  <c r="S69" i="20"/>
  <c r="T69" i="20"/>
  <c r="U69" i="20"/>
  <c r="V69" i="20"/>
  <c r="W69" i="20"/>
  <c r="X69" i="20"/>
  <c r="F70" i="20"/>
  <c r="G70" i="20"/>
  <c r="H70" i="20"/>
  <c r="I70" i="20"/>
  <c r="J70" i="20"/>
  <c r="K70" i="20"/>
  <c r="L70" i="20"/>
  <c r="M70" i="20"/>
  <c r="N70" i="20"/>
  <c r="O70" i="20"/>
  <c r="P70" i="20"/>
  <c r="Q70" i="20"/>
  <c r="R70" i="20"/>
  <c r="S70" i="20"/>
  <c r="T70" i="20"/>
  <c r="U70" i="20"/>
  <c r="V70" i="20"/>
  <c r="W70" i="20"/>
  <c r="X70" i="20"/>
  <c r="F71" i="20"/>
  <c r="G71" i="20" s="1"/>
  <c r="H71" i="20" s="1"/>
  <c r="I71" i="20" s="1"/>
  <c r="J71" i="20" s="1"/>
  <c r="K71" i="20" s="1"/>
  <c r="L71" i="20" s="1"/>
  <c r="M71" i="20" s="1"/>
  <c r="N71" i="20" s="1"/>
  <c r="O71" i="20" s="1"/>
  <c r="P71" i="20" s="1"/>
  <c r="Q71" i="20" s="1"/>
  <c r="R71" i="20" s="1"/>
  <c r="S71" i="20" s="1"/>
  <c r="T71" i="20" s="1"/>
  <c r="U71" i="20" s="1"/>
  <c r="V71" i="20" s="1"/>
  <c r="W71" i="20" s="1"/>
  <c r="X71" i="20" s="1"/>
  <c r="F74" i="20"/>
  <c r="F67" i="20" s="1"/>
  <c r="G74" i="20"/>
  <c r="G67" i="20" s="1"/>
  <c r="H74" i="20"/>
  <c r="H67" i="20" s="1"/>
  <c r="I74" i="20"/>
  <c r="I67" i="20" s="1"/>
  <c r="J74" i="20"/>
  <c r="J67" i="20" s="1"/>
  <c r="J65" i="20" s="1"/>
  <c r="K74" i="20"/>
  <c r="K67" i="20" s="1"/>
  <c r="K65" i="20" s="1"/>
  <c r="L74" i="20"/>
  <c r="L67" i="20" s="1"/>
  <c r="M74" i="20"/>
  <c r="M67" i="20" s="1"/>
  <c r="M65" i="20" s="1"/>
  <c r="N74" i="20"/>
  <c r="N67" i="20" s="1"/>
  <c r="O74" i="20"/>
  <c r="O67" i="20" s="1"/>
  <c r="O65" i="20" s="1"/>
  <c r="P74" i="20"/>
  <c r="P67" i="20" s="1"/>
  <c r="Q74" i="20"/>
  <c r="Q67" i="20" s="1"/>
  <c r="Q65" i="20" s="1"/>
  <c r="R74" i="20"/>
  <c r="R67" i="20" s="1"/>
  <c r="S80" i="20" s="1"/>
  <c r="S74" i="20"/>
  <c r="S67" i="20" s="1"/>
  <c r="S65" i="20" s="1"/>
  <c r="T74" i="20"/>
  <c r="T67" i="20" s="1"/>
  <c r="T65" i="20" s="1"/>
  <c r="U74" i="20"/>
  <c r="U67" i="20" s="1"/>
  <c r="U65" i="20" s="1"/>
  <c r="V74" i="20"/>
  <c r="V67" i="20" s="1"/>
  <c r="V65" i="20" s="1"/>
  <c r="W74" i="20"/>
  <c r="W67" i="20" s="1"/>
  <c r="W65" i="20" s="1"/>
  <c r="X74" i="20"/>
  <c r="X67" i="20" s="1"/>
  <c r="X65" i="20" s="1"/>
  <c r="F75" i="20"/>
  <c r="G75" i="20" s="1"/>
  <c r="H75" i="20" s="1"/>
  <c r="I75" i="20" s="1"/>
  <c r="J75" i="20" s="1"/>
  <c r="K75" i="20" s="1"/>
  <c r="L75" i="20" s="1"/>
  <c r="M75" i="20" s="1"/>
  <c r="N75" i="20" s="1"/>
  <c r="O75" i="20" s="1"/>
  <c r="P75" i="20" s="1"/>
  <c r="Q75" i="20" s="1"/>
  <c r="R75" i="20" s="1"/>
  <c r="S75" i="20" s="1"/>
  <c r="T75" i="20" s="1"/>
  <c r="U75" i="20" s="1"/>
  <c r="V75" i="20" s="1"/>
  <c r="W75" i="20" s="1"/>
  <c r="X75" i="20" s="1"/>
  <c r="K79" i="20"/>
  <c r="L79" i="20" s="1"/>
  <c r="M79" i="20" s="1"/>
  <c r="N79" i="20" s="1"/>
  <c r="O79" i="20" s="1"/>
  <c r="P79" i="20" s="1"/>
  <c r="Q79" i="20" s="1"/>
  <c r="R79" i="20" s="1"/>
  <c r="S79" i="20" s="1"/>
  <c r="T79" i="20" s="1"/>
  <c r="U79" i="20" s="1"/>
  <c r="V79" i="20" s="1"/>
  <c r="W79" i="20" s="1"/>
  <c r="X79" i="20" s="1"/>
  <c r="E82" i="20"/>
  <c r="F82" i="20"/>
  <c r="G82" i="20"/>
  <c r="C89" i="20"/>
  <c r="C90" i="20" s="1"/>
  <c r="I90" i="20"/>
  <c r="I102" i="20" s="1"/>
  <c r="J90" i="20"/>
  <c r="G95" i="20"/>
  <c r="H95" i="20"/>
  <c r="L95" i="20"/>
  <c r="T95" i="20"/>
  <c r="W95" i="20"/>
  <c r="X95" i="20"/>
  <c r="X96" i="20"/>
  <c r="F9" i="177"/>
  <c r="F12" i="177"/>
  <c r="D33" i="177"/>
  <c r="D34" i="177" s="1"/>
  <c r="E33" i="177"/>
  <c r="F33" i="177"/>
  <c r="G33" i="177"/>
  <c r="H33" i="177"/>
  <c r="I33" i="177"/>
  <c r="J33" i="177"/>
  <c r="K33" i="177"/>
  <c r="L33" i="177"/>
  <c r="M33" i="177"/>
  <c r="N33" i="177"/>
  <c r="O33" i="177"/>
  <c r="P33" i="177"/>
  <c r="D35" i="177"/>
  <c r="D49" i="177"/>
  <c r="E8" i="16"/>
  <c r="F8" i="16"/>
  <c r="C13" i="16"/>
  <c r="H15" i="16"/>
  <c r="I15" i="16"/>
  <c r="D19" i="16"/>
  <c r="D21" i="16"/>
  <c r="H26" i="16"/>
  <c r="I26" i="16"/>
  <c r="D30" i="16"/>
  <c r="D32" i="16"/>
  <c r="D34" i="16"/>
  <c r="E50" i="16"/>
  <c r="F50" i="16"/>
  <c r="G50" i="16"/>
  <c r="H50" i="16"/>
  <c r="I50" i="16"/>
  <c r="E51" i="16"/>
  <c r="E52" i="16"/>
  <c r="D53" i="16"/>
  <c r="D55" i="16"/>
  <c r="E69" i="16"/>
  <c r="F69" i="16"/>
  <c r="G69" i="16"/>
  <c r="H69" i="16"/>
  <c r="I69" i="16"/>
  <c r="E70" i="16"/>
  <c r="E71" i="16"/>
  <c r="D72" i="16"/>
  <c r="D74" i="16"/>
  <c r="D76" i="16"/>
  <c r="F85" i="16"/>
  <c r="G85" i="16"/>
  <c r="H85" i="16"/>
  <c r="I85" i="16"/>
  <c r="F86" i="16"/>
  <c r="G86" i="16"/>
  <c r="H86" i="16"/>
  <c r="I86" i="16"/>
  <c r="D87" i="16"/>
  <c r="D89" i="16"/>
  <c r="F96" i="16"/>
  <c r="G96" i="16"/>
  <c r="H96" i="16"/>
  <c r="I96" i="16"/>
  <c r="F97" i="16"/>
  <c r="G97" i="16"/>
  <c r="H97" i="16"/>
  <c r="I97" i="16"/>
  <c r="D98" i="16"/>
  <c r="D100" i="16"/>
  <c r="F106" i="16"/>
  <c r="G106" i="16"/>
  <c r="H106" i="16"/>
  <c r="I106" i="16"/>
  <c r="F107" i="16"/>
  <c r="G107" i="16"/>
  <c r="H107" i="16"/>
  <c r="I107" i="16"/>
  <c r="D108" i="16"/>
  <c r="D110" i="16"/>
  <c r="F116" i="16"/>
  <c r="G116" i="16"/>
  <c r="H116" i="16"/>
  <c r="I116" i="16"/>
  <c r="F117" i="16"/>
  <c r="G117" i="16"/>
  <c r="H117" i="16"/>
  <c r="I117" i="16"/>
  <c r="D118" i="16"/>
  <c r="D120" i="16"/>
  <c r="H126" i="16"/>
  <c r="I126" i="16"/>
  <c r="E130" i="16"/>
  <c r="F130" i="16"/>
  <c r="G130" i="16"/>
  <c r="H130" i="16"/>
  <c r="I130" i="16"/>
  <c r="E131" i="16"/>
  <c r="F131" i="16"/>
  <c r="G131" i="16"/>
  <c r="H131" i="16"/>
  <c r="I131" i="16"/>
  <c r="D132" i="16"/>
  <c r="D134" i="16"/>
  <c r="H140" i="16"/>
  <c r="I140" i="16"/>
  <c r="E143" i="16"/>
  <c r="F143" i="16"/>
  <c r="G143" i="16"/>
  <c r="H143" i="16"/>
  <c r="I143" i="16"/>
  <c r="E144" i="16"/>
  <c r="F144" i="16"/>
  <c r="G144" i="16"/>
  <c r="H144" i="16"/>
  <c r="I144" i="16"/>
  <c r="D145" i="16"/>
  <c r="D147" i="16"/>
  <c r="H153" i="16"/>
  <c r="I153" i="16"/>
  <c r="E157" i="16"/>
  <c r="G157" i="16"/>
  <c r="H157" i="16"/>
  <c r="I157" i="16"/>
  <c r="E158" i="16"/>
  <c r="G158" i="16"/>
  <c r="H158" i="16"/>
  <c r="I158" i="16"/>
  <c r="E159" i="16"/>
  <c r="F159" i="16"/>
  <c r="G159" i="16"/>
  <c r="H159" i="16"/>
  <c r="I159" i="16"/>
  <c r="E160" i="16"/>
  <c r="F160" i="16"/>
  <c r="G160" i="16"/>
  <c r="H160" i="16"/>
  <c r="I160" i="16"/>
  <c r="E161" i="16"/>
  <c r="F161" i="16"/>
  <c r="G161" i="16"/>
  <c r="H161" i="16"/>
  <c r="I161" i="16"/>
  <c r="D162" i="16"/>
  <c r="D164" i="16"/>
  <c r="H170" i="16"/>
  <c r="I170" i="16"/>
  <c r="E174" i="16"/>
  <c r="F174" i="16"/>
  <c r="G174" i="16"/>
  <c r="H174" i="16"/>
  <c r="I174" i="16"/>
  <c r="E175" i="16"/>
  <c r="F175" i="16"/>
  <c r="G175" i="16"/>
  <c r="H175" i="16"/>
  <c r="I175" i="16"/>
  <c r="D176" i="16"/>
  <c r="D178" i="16"/>
  <c r="H184" i="16"/>
  <c r="I184" i="16"/>
  <c r="E187" i="16"/>
  <c r="F187" i="16"/>
  <c r="G187" i="16"/>
  <c r="H187" i="16"/>
  <c r="I187" i="16"/>
  <c r="E188" i="16"/>
  <c r="F188" i="16"/>
  <c r="G188" i="16"/>
  <c r="H188" i="16"/>
  <c r="I188" i="16"/>
  <c r="D189" i="16"/>
  <c r="D191" i="16"/>
  <c r="E199" i="16"/>
  <c r="E200" i="16"/>
  <c r="D201" i="16"/>
  <c r="D203" i="16"/>
  <c r="D220" i="16"/>
  <c r="K261" i="16"/>
  <c r="D224" i="16"/>
  <c r="H224" i="16"/>
  <c r="H242" i="16" s="1"/>
  <c r="G17" i="157" s="1"/>
  <c r="G17" i="181" s="1"/>
  <c r="I224" i="16"/>
  <c r="I242" i="16" s="1"/>
  <c r="H17" i="157" s="1"/>
  <c r="H17" i="181" s="1"/>
  <c r="D228" i="16"/>
  <c r="J228" i="16"/>
  <c r="D232" i="16"/>
  <c r="J232" i="16"/>
  <c r="E242" i="16"/>
  <c r="F242" i="16"/>
  <c r="G242" i="16"/>
  <c r="E261" i="16"/>
  <c r="F261" i="16"/>
  <c r="G261" i="16"/>
  <c r="H261" i="16"/>
  <c r="I261" i="16"/>
  <c r="E50" i="207" s="1"/>
  <c r="E262" i="16"/>
  <c r="F262" i="16"/>
  <c r="G262" i="16"/>
  <c r="E263" i="16"/>
  <c r="F263" i="16"/>
  <c r="G263" i="16"/>
  <c r="H263" i="16"/>
  <c r="I263" i="16"/>
  <c r="E52" i="207" s="1"/>
  <c r="E264" i="16"/>
  <c r="F264" i="16"/>
  <c r="G264" i="16"/>
  <c r="H264" i="16"/>
  <c r="I264" i="16"/>
  <c r="E53" i="207" s="1"/>
  <c r="H7" i="180"/>
  <c r="G7" i="180" s="1"/>
  <c r="F7" i="180" s="1"/>
  <c r="E7" i="180" s="1"/>
  <c r="J7" i="180"/>
  <c r="K7" i="180" s="1"/>
  <c r="M7" i="180" s="1"/>
  <c r="N7" i="180" s="1"/>
  <c r="O7" i="180" s="1"/>
  <c r="P7" i="180" s="1"/>
  <c r="Q7" i="180" s="1"/>
  <c r="R7" i="180" s="1"/>
  <c r="S7" i="180" s="1"/>
  <c r="T7" i="180" s="1"/>
  <c r="U7" i="180" s="1"/>
  <c r="V7" i="180" s="1"/>
  <c r="H8" i="180"/>
  <c r="G8" i="180" s="1"/>
  <c r="F8" i="180" s="1"/>
  <c r="E8" i="180" s="1"/>
  <c r="J8" i="180"/>
  <c r="K8" i="180"/>
  <c r="M8" i="180" s="1"/>
  <c r="N8" i="180" s="1"/>
  <c r="O8" i="180" s="1"/>
  <c r="P8" i="180" s="1"/>
  <c r="Q8" i="180" s="1"/>
  <c r="R8" i="180" s="1"/>
  <c r="S8" i="180" s="1"/>
  <c r="T8" i="180" s="1"/>
  <c r="U8" i="180" s="1"/>
  <c r="V8" i="180" s="1"/>
  <c r="H9" i="180"/>
  <c r="G9" i="180" s="1"/>
  <c r="F9" i="180" s="1"/>
  <c r="E9" i="180" s="1"/>
  <c r="J9" i="180"/>
  <c r="K9" i="180" s="1"/>
  <c r="M9" i="180"/>
  <c r="N9" i="180" s="1"/>
  <c r="O9" i="180" s="1"/>
  <c r="P9" i="180" s="1"/>
  <c r="Q9" i="180" s="1"/>
  <c r="R9" i="180" s="1"/>
  <c r="S9" i="180" s="1"/>
  <c r="T9" i="180" s="1"/>
  <c r="U9" i="180" s="1"/>
  <c r="V9" i="180" s="1"/>
  <c r="F10" i="180"/>
  <c r="E10" i="180" s="1"/>
  <c r="H10" i="180"/>
  <c r="G10" i="180" s="1"/>
  <c r="J10" i="180"/>
  <c r="K10" i="180" s="1"/>
  <c r="M10" i="180" s="1"/>
  <c r="N10" i="180" s="1"/>
  <c r="O10" i="180" s="1"/>
  <c r="P10" i="180" s="1"/>
  <c r="Q10" i="180" s="1"/>
  <c r="R10" i="180" s="1"/>
  <c r="S10" i="180" s="1"/>
  <c r="T10" i="180" s="1"/>
  <c r="U10" i="180" s="1"/>
  <c r="V10" i="180" s="1"/>
  <c r="H11" i="180"/>
  <c r="G11" i="180" s="1"/>
  <c r="F11" i="180" s="1"/>
  <c r="E11" i="180" s="1"/>
  <c r="J11" i="180"/>
  <c r="K11" i="180" s="1"/>
  <c r="M11" i="180" s="1"/>
  <c r="N11" i="180" s="1"/>
  <c r="O11" i="180" s="1"/>
  <c r="P11" i="180" s="1"/>
  <c r="Q11" i="180" s="1"/>
  <c r="R11" i="180" s="1"/>
  <c r="S11" i="180" s="1"/>
  <c r="T11" i="180" s="1"/>
  <c r="U11" i="180" s="1"/>
  <c r="V11" i="180" s="1"/>
  <c r="H12" i="180"/>
  <c r="G12" i="180" s="1"/>
  <c r="F12" i="180" s="1"/>
  <c r="E12" i="180" s="1"/>
  <c r="J12" i="180"/>
  <c r="K12" i="180" s="1"/>
  <c r="M12" i="180"/>
  <c r="N12" i="180" s="1"/>
  <c r="O12" i="180" s="1"/>
  <c r="P12" i="180" s="1"/>
  <c r="Q12" i="180" s="1"/>
  <c r="R12" i="180" s="1"/>
  <c r="S12" i="180" s="1"/>
  <c r="T12" i="180" s="1"/>
  <c r="U12" i="180" s="1"/>
  <c r="V12" i="180" s="1"/>
  <c r="H13" i="180"/>
  <c r="G13" i="180" s="1"/>
  <c r="F13" i="180" s="1"/>
  <c r="E13" i="180" s="1"/>
  <c r="J13" i="180"/>
  <c r="K13" i="180" s="1"/>
  <c r="M13" i="180"/>
  <c r="N13" i="180" s="1"/>
  <c r="O13" i="180" s="1"/>
  <c r="P13" i="180" s="1"/>
  <c r="Q13" i="180" s="1"/>
  <c r="R13" i="180" s="1"/>
  <c r="S13" i="180" s="1"/>
  <c r="T13" i="180" s="1"/>
  <c r="U13" i="180" s="1"/>
  <c r="V13" i="180" s="1"/>
  <c r="H14" i="180"/>
  <c r="G14" i="180" s="1"/>
  <c r="F14" i="180" s="1"/>
  <c r="E14" i="180" s="1"/>
  <c r="J14" i="180"/>
  <c r="K14" i="180" s="1"/>
  <c r="M14" i="180"/>
  <c r="N14" i="180" s="1"/>
  <c r="O14" i="180" s="1"/>
  <c r="P14" i="180" s="1"/>
  <c r="Q14" i="180" s="1"/>
  <c r="R14" i="180" s="1"/>
  <c r="S14" i="180" s="1"/>
  <c r="T14" i="180" s="1"/>
  <c r="U14" i="180" s="1"/>
  <c r="V14" i="180" s="1"/>
  <c r="H15" i="180"/>
  <c r="G15" i="180" s="1"/>
  <c r="F15" i="180" s="1"/>
  <c r="E15" i="180" s="1"/>
  <c r="J15" i="180"/>
  <c r="K15" i="180" s="1"/>
  <c r="M15" i="180" s="1"/>
  <c r="N15" i="180" s="1"/>
  <c r="O15" i="180" s="1"/>
  <c r="P15" i="180" s="1"/>
  <c r="Q15" i="180" s="1"/>
  <c r="R15" i="180" s="1"/>
  <c r="S15" i="180" s="1"/>
  <c r="T15" i="180" s="1"/>
  <c r="U15" i="180" s="1"/>
  <c r="V15" i="180" s="1"/>
  <c r="G7" i="164"/>
  <c r="C12" i="164"/>
  <c r="M16" i="164"/>
  <c r="N16" i="164" s="1"/>
  <c r="O16" i="164" s="1"/>
  <c r="P16" i="164" s="1"/>
  <c r="Q16" i="164" s="1"/>
  <c r="R16" i="164" s="1"/>
  <c r="S16" i="164" s="1"/>
  <c r="T16" i="164" s="1"/>
  <c r="U16" i="164" s="1"/>
  <c r="V16" i="164" s="1"/>
  <c r="W16" i="164" s="1"/>
  <c r="N18" i="164"/>
  <c r="O18" i="164" s="1"/>
  <c r="P18" i="164" s="1"/>
  <c r="Q18" i="164" s="1"/>
  <c r="R18" i="164" s="1"/>
  <c r="S18" i="164" s="1"/>
  <c r="T18" i="164" s="1"/>
  <c r="U18" i="164" s="1"/>
  <c r="V18" i="164" s="1"/>
  <c r="W18" i="164" s="1"/>
  <c r="F20" i="164"/>
  <c r="N20" i="164"/>
  <c r="O20" i="164" s="1"/>
  <c r="P20" i="164" s="1"/>
  <c r="Q20" i="164" s="1"/>
  <c r="R20" i="164" s="1"/>
  <c r="S20" i="164" s="1"/>
  <c r="T20" i="164" s="1"/>
  <c r="U20" i="164" s="1"/>
  <c r="V20" i="164" s="1"/>
  <c r="W20" i="164" s="1"/>
  <c r="M22" i="164"/>
  <c r="N22" i="164" s="1"/>
  <c r="O22" i="164" s="1"/>
  <c r="P22" i="164" s="1"/>
  <c r="Q22" i="164" s="1"/>
  <c r="R22" i="164" s="1"/>
  <c r="S22" i="164" s="1"/>
  <c r="T22" i="164" s="1"/>
  <c r="U22" i="164" s="1"/>
  <c r="V22" i="164" s="1"/>
  <c r="W22" i="164" s="1"/>
  <c r="N29" i="164"/>
  <c r="O29" i="164" s="1"/>
  <c r="P29" i="164" s="1"/>
  <c r="Q29" i="164" s="1"/>
  <c r="R29" i="164" s="1"/>
  <c r="S29" i="164" s="1"/>
  <c r="T29" i="164" s="1"/>
  <c r="U29" i="164" s="1"/>
  <c r="V29" i="164" s="1"/>
  <c r="W29" i="164" s="1"/>
  <c r="F32" i="164"/>
  <c r="G32" i="164"/>
  <c r="G59" i="164" s="1"/>
  <c r="N32" i="164"/>
  <c r="O32" i="164" s="1"/>
  <c r="P32" i="164" s="1"/>
  <c r="Q32" i="164" s="1"/>
  <c r="R32" i="164" s="1"/>
  <c r="S32" i="164" s="1"/>
  <c r="T32" i="164" s="1"/>
  <c r="U32" i="164"/>
  <c r="V32" i="164" s="1"/>
  <c r="W32" i="164" s="1"/>
  <c r="F33" i="164"/>
  <c r="F60" i="164" s="1"/>
  <c r="G33" i="164"/>
  <c r="G60" i="164" s="1"/>
  <c r="N33" i="164"/>
  <c r="O33" i="164" s="1"/>
  <c r="P33" i="164" s="1"/>
  <c r="Q33" i="164" s="1"/>
  <c r="R33" i="164" s="1"/>
  <c r="S33" i="164" s="1"/>
  <c r="T33" i="164" s="1"/>
  <c r="U33" i="164" s="1"/>
  <c r="V33" i="164" s="1"/>
  <c r="W33" i="164" s="1"/>
  <c r="F34" i="164"/>
  <c r="F61" i="164" s="1"/>
  <c r="G34" i="164"/>
  <c r="G61" i="164" s="1"/>
  <c r="H34" i="164"/>
  <c r="I34" i="164"/>
  <c r="J34" i="164"/>
  <c r="K34" i="164"/>
  <c r="G35" i="164"/>
  <c r="N35" i="164"/>
  <c r="O35" i="164" s="1"/>
  <c r="P35" i="164" s="1"/>
  <c r="Q35" i="164" s="1"/>
  <c r="R35" i="164" s="1"/>
  <c r="S35" i="164" s="1"/>
  <c r="T35" i="164" s="1"/>
  <c r="U35" i="164" s="1"/>
  <c r="V35" i="164" s="1"/>
  <c r="W35" i="164" s="1"/>
  <c r="G36" i="164"/>
  <c r="G22" i="13" s="1"/>
  <c r="N36" i="164"/>
  <c r="O36" i="164" s="1"/>
  <c r="P36" i="164" s="1"/>
  <c r="Q36" i="164" s="1"/>
  <c r="R36" i="164" s="1"/>
  <c r="S36" i="164" s="1"/>
  <c r="T36" i="164" s="1"/>
  <c r="U36" i="164" s="1"/>
  <c r="V36" i="164" s="1"/>
  <c r="W36" i="164" s="1"/>
  <c r="G37" i="164"/>
  <c r="N37" i="164"/>
  <c r="O37" i="164" s="1"/>
  <c r="P37" i="164" s="1"/>
  <c r="Q37" i="164" s="1"/>
  <c r="R37" i="164" s="1"/>
  <c r="S37" i="164" s="1"/>
  <c r="T37" i="164" s="1"/>
  <c r="U37" i="164" s="1"/>
  <c r="V37" i="164" s="1"/>
  <c r="W37" i="164" s="1"/>
  <c r="H40" i="164"/>
  <c r="I40" i="164"/>
  <c r="J40" i="164" s="1"/>
  <c r="K40" i="164" s="1"/>
  <c r="L40" i="164" s="1"/>
  <c r="M40" i="164" s="1"/>
  <c r="N40" i="164" s="1"/>
  <c r="O40" i="164" s="1"/>
  <c r="P40" i="164" s="1"/>
  <c r="Q40" i="164" s="1"/>
  <c r="R40" i="164" s="1"/>
  <c r="S40" i="164" s="1"/>
  <c r="T40" i="164" s="1"/>
  <c r="U40" i="164" s="1"/>
  <c r="V40" i="164" s="1"/>
  <c r="W40" i="164" s="1"/>
  <c r="H41" i="164"/>
  <c r="H42" i="164"/>
  <c r="I42" i="164" s="1"/>
  <c r="N43" i="164"/>
  <c r="O43" i="164" s="1"/>
  <c r="P43" i="164" s="1"/>
  <c r="Q43" i="164" s="1"/>
  <c r="R43" i="164" s="1"/>
  <c r="S43" i="164" s="1"/>
  <c r="T43" i="164" s="1"/>
  <c r="U43" i="164" s="1"/>
  <c r="V43" i="164" s="1"/>
  <c r="W43" i="164" s="1"/>
  <c r="N44" i="164"/>
  <c r="O44" i="164" s="1"/>
  <c r="P44" i="164" s="1"/>
  <c r="Q44" i="164" s="1"/>
  <c r="R44" i="164" s="1"/>
  <c r="S44" i="164" s="1"/>
  <c r="T44" i="164" s="1"/>
  <c r="U44" i="164" s="1"/>
  <c r="V44" i="164" s="1"/>
  <c r="W44" i="164" s="1"/>
  <c r="N45" i="164"/>
  <c r="O45" i="164" s="1"/>
  <c r="P45" i="164" s="1"/>
  <c r="Q45" i="164" s="1"/>
  <c r="R45" i="164" s="1"/>
  <c r="S45" i="164" s="1"/>
  <c r="T45" i="164" s="1"/>
  <c r="U45" i="164" s="1"/>
  <c r="V45" i="164" s="1"/>
  <c r="W45" i="164" s="1"/>
  <c r="N48" i="164"/>
  <c r="O48" i="164" s="1"/>
  <c r="P48" i="164" s="1"/>
  <c r="Q48" i="164" s="1"/>
  <c r="R48" i="164" s="1"/>
  <c r="S48" i="164" s="1"/>
  <c r="T48" i="164" s="1"/>
  <c r="U48" i="164" s="1"/>
  <c r="V48" i="164" s="1"/>
  <c r="W48" i="164" s="1"/>
  <c r="G49" i="164"/>
  <c r="H49" i="164"/>
  <c r="I49" i="164"/>
  <c r="J49" i="164"/>
  <c r="I51" i="16" s="1"/>
  <c r="K49" i="164"/>
  <c r="N51" i="164"/>
  <c r="O51" i="164" s="1"/>
  <c r="P51" i="164" s="1"/>
  <c r="Q51" i="164" s="1"/>
  <c r="R51" i="164" s="1"/>
  <c r="S51" i="164" s="1"/>
  <c r="T51" i="164" s="1"/>
  <c r="U51" i="164" s="1"/>
  <c r="V51" i="164" s="1"/>
  <c r="W51" i="164" s="1"/>
  <c r="N52" i="164"/>
  <c r="O52" i="164" s="1"/>
  <c r="P52" i="164" s="1"/>
  <c r="Q52" i="164" s="1"/>
  <c r="R52" i="164" s="1"/>
  <c r="S52" i="164" s="1"/>
  <c r="T52" i="164" s="1"/>
  <c r="U52" i="164" s="1"/>
  <c r="V52" i="164" s="1"/>
  <c r="W52" i="164" s="1"/>
  <c r="N53" i="164"/>
  <c r="O53" i="164" s="1"/>
  <c r="P53" i="164" s="1"/>
  <c r="Q53" i="164" s="1"/>
  <c r="R53" i="164" s="1"/>
  <c r="S53" i="164" s="1"/>
  <c r="T53" i="164" s="1"/>
  <c r="U53" i="164" s="1"/>
  <c r="V53" i="164" s="1"/>
  <c r="W53" i="164" s="1"/>
  <c r="N56" i="164"/>
  <c r="O56" i="164" s="1"/>
  <c r="P56" i="164" s="1"/>
  <c r="Q56" i="164" s="1"/>
  <c r="R56" i="164" s="1"/>
  <c r="S56" i="164" s="1"/>
  <c r="T56" i="164" s="1"/>
  <c r="U56" i="164" s="1"/>
  <c r="V56" i="164" s="1"/>
  <c r="W56" i="164" s="1"/>
  <c r="F59" i="164"/>
  <c r="H59" i="164"/>
  <c r="I59" i="164"/>
  <c r="J59" i="164"/>
  <c r="K59" i="164"/>
  <c r="N59" i="164"/>
  <c r="O59" i="164" s="1"/>
  <c r="P59" i="164" s="1"/>
  <c r="Q59" i="164" s="1"/>
  <c r="R59" i="164" s="1"/>
  <c r="S59" i="164" s="1"/>
  <c r="T59" i="164" s="1"/>
  <c r="U59" i="164" s="1"/>
  <c r="V59" i="164" s="1"/>
  <c r="W59" i="164" s="1"/>
  <c r="H60" i="164"/>
  <c r="I60" i="164"/>
  <c r="J60" i="164"/>
  <c r="K60" i="164"/>
  <c r="N60" i="164"/>
  <c r="O60" i="164" s="1"/>
  <c r="P60" i="164" s="1"/>
  <c r="Q60" i="164" s="1"/>
  <c r="R60" i="164" s="1"/>
  <c r="S60" i="164" s="1"/>
  <c r="T60" i="164" s="1"/>
  <c r="U60" i="164" s="1"/>
  <c r="V60" i="164" s="1"/>
  <c r="W60" i="164" s="1"/>
  <c r="H61" i="164"/>
  <c r="I61" i="164"/>
  <c r="J61" i="164"/>
  <c r="G62" i="164"/>
  <c r="G34" i="13" s="1"/>
  <c r="N62" i="164"/>
  <c r="O62" i="164" s="1"/>
  <c r="P62" i="164" s="1"/>
  <c r="Q62" i="164" s="1"/>
  <c r="R62" i="164" s="1"/>
  <c r="S62" i="164" s="1"/>
  <c r="T62" i="164" s="1"/>
  <c r="U62" i="164" s="1"/>
  <c r="V62" i="164" s="1"/>
  <c r="W62" i="164" s="1"/>
  <c r="G63" i="164"/>
  <c r="N63" i="164"/>
  <c r="O63" i="164" s="1"/>
  <c r="P63" i="164" s="1"/>
  <c r="Q63" i="164" s="1"/>
  <c r="R63" i="164" s="1"/>
  <c r="S63" i="164" s="1"/>
  <c r="T63" i="164" s="1"/>
  <c r="U63" i="164" s="1"/>
  <c r="V63" i="164" s="1"/>
  <c r="W63" i="164" s="1"/>
  <c r="G64" i="164"/>
  <c r="G36" i="13" s="1"/>
  <c r="N64" i="164"/>
  <c r="O64" i="164" s="1"/>
  <c r="P64" i="164"/>
  <c r="Q64" i="164" s="1"/>
  <c r="R64" i="164" s="1"/>
  <c r="S64" i="164" s="1"/>
  <c r="T64" i="164" s="1"/>
  <c r="U64" i="164" s="1"/>
  <c r="V64" i="164" s="1"/>
  <c r="W64" i="164" s="1"/>
  <c r="H67" i="164"/>
  <c r="I67" i="164"/>
  <c r="J67" i="164" s="1"/>
  <c r="K67" i="164" s="1"/>
  <c r="H68" i="164"/>
  <c r="I68" i="164" s="1"/>
  <c r="J68" i="164" s="1"/>
  <c r="H69" i="164"/>
  <c r="I69" i="164"/>
  <c r="J69" i="164" s="1"/>
  <c r="K69" i="164" s="1"/>
  <c r="L69" i="164" s="1"/>
  <c r="M69" i="164" s="1"/>
  <c r="N69" i="164"/>
  <c r="O69" i="164" s="1"/>
  <c r="P69" i="164" s="1"/>
  <c r="Q69" i="164" s="1"/>
  <c r="R69" i="164" s="1"/>
  <c r="S69" i="164" s="1"/>
  <c r="T69" i="164" s="1"/>
  <c r="U69" i="164" s="1"/>
  <c r="V69" i="164" s="1"/>
  <c r="W69" i="164" s="1"/>
  <c r="N70" i="164"/>
  <c r="O70" i="164" s="1"/>
  <c r="P70" i="164" s="1"/>
  <c r="Q70" i="164" s="1"/>
  <c r="R70" i="164" s="1"/>
  <c r="S70" i="164" s="1"/>
  <c r="T70" i="164" s="1"/>
  <c r="U70" i="164" s="1"/>
  <c r="V70" i="164" s="1"/>
  <c r="W70" i="164" s="1"/>
  <c r="N71" i="164"/>
  <c r="O71" i="164" s="1"/>
  <c r="P71" i="164" s="1"/>
  <c r="Q71" i="164" s="1"/>
  <c r="R71" i="164" s="1"/>
  <c r="S71" i="164" s="1"/>
  <c r="T71" i="164" s="1"/>
  <c r="U71" i="164" s="1"/>
  <c r="V71" i="164" s="1"/>
  <c r="W71" i="164" s="1"/>
  <c r="N72" i="164"/>
  <c r="O72" i="164" s="1"/>
  <c r="P72" i="164" s="1"/>
  <c r="Q72" i="164" s="1"/>
  <c r="R72" i="164" s="1"/>
  <c r="S72" i="164" s="1"/>
  <c r="T72" i="164" s="1"/>
  <c r="U72" i="164" s="1"/>
  <c r="V72" i="164" s="1"/>
  <c r="W72" i="164" s="1"/>
  <c r="N75" i="164"/>
  <c r="O75" i="164" s="1"/>
  <c r="P75" i="164" s="1"/>
  <c r="Q75" i="164" s="1"/>
  <c r="R75" i="164" s="1"/>
  <c r="S75" i="164" s="1"/>
  <c r="T75" i="164" s="1"/>
  <c r="U75" i="164" s="1"/>
  <c r="V75" i="164" s="1"/>
  <c r="W75" i="164" s="1"/>
  <c r="G76" i="164"/>
  <c r="H76" i="164"/>
  <c r="I76" i="164"/>
  <c r="J76" i="164"/>
  <c r="J77" i="164" s="1"/>
  <c r="I71" i="16" s="1"/>
  <c r="K76" i="164"/>
  <c r="H78" i="164"/>
  <c r="H79" i="164"/>
  <c r="I79" i="164"/>
  <c r="J79" i="164" s="1"/>
  <c r="K79" i="164" s="1"/>
  <c r="L79" i="164" s="1"/>
  <c r="M79" i="164" s="1"/>
  <c r="N79" i="164" s="1"/>
  <c r="O79" i="164" s="1"/>
  <c r="P79" i="164" s="1"/>
  <c r="Q79" i="164" s="1"/>
  <c r="R79" i="164" s="1"/>
  <c r="S79" i="164" s="1"/>
  <c r="T79" i="164" s="1"/>
  <c r="U79" i="164" s="1"/>
  <c r="V79" i="164" s="1"/>
  <c r="W79" i="164" s="1"/>
  <c r="F80" i="164"/>
  <c r="G80" i="164"/>
  <c r="H86" i="164"/>
  <c r="H88" i="164"/>
  <c r="N88" i="164"/>
  <c r="O88" i="164" s="1"/>
  <c r="P88" i="164" s="1"/>
  <c r="Q88" i="164" s="1"/>
  <c r="R88" i="164" s="1"/>
  <c r="S88" i="164" s="1"/>
  <c r="T88" i="164" s="1"/>
  <c r="U88" i="164" s="1"/>
  <c r="V88" i="164" s="1"/>
  <c r="W88" i="164" s="1"/>
  <c r="N90" i="164"/>
  <c r="O90" i="164" s="1"/>
  <c r="P90" i="164" s="1"/>
  <c r="Q90" i="164" s="1"/>
  <c r="R90" i="164" s="1"/>
  <c r="S90" i="164" s="1"/>
  <c r="T90" i="164" s="1"/>
  <c r="U90" i="164" s="1"/>
  <c r="V90" i="164" s="1"/>
  <c r="W90" i="164" s="1"/>
  <c r="H92" i="164"/>
  <c r="M92" i="164"/>
  <c r="N92" i="164" s="1"/>
  <c r="O92" i="164" s="1"/>
  <c r="P92" i="164" s="1"/>
  <c r="Q92" i="164" s="1"/>
  <c r="R92" i="164" s="1"/>
  <c r="S92" i="164" s="1"/>
  <c r="T92" i="164" s="1"/>
  <c r="U92" i="164" s="1"/>
  <c r="V92" i="164" s="1"/>
  <c r="W92" i="164" s="1"/>
  <c r="F95" i="164"/>
  <c r="E116" i="16" s="1"/>
  <c r="N95" i="164"/>
  <c r="O95" i="164" s="1"/>
  <c r="P95" i="164" s="1"/>
  <c r="Q95" i="164" s="1"/>
  <c r="R95" i="164" s="1"/>
  <c r="S95" i="164" s="1"/>
  <c r="T95" i="164" s="1"/>
  <c r="U95" i="164" s="1"/>
  <c r="V95" i="164" s="1"/>
  <c r="W95" i="164" s="1"/>
  <c r="F96" i="164"/>
  <c r="E86" i="16" s="1"/>
  <c r="N96" i="164"/>
  <c r="O96" i="164" s="1"/>
  <c r="P96" i="164" s="1"/>
  <c r="Q96" i="164" s="1"/>
  <c r="R96" i="164" s="1"/>
  <c r="S96" i="164" s="1"/>
  <c r="T96" i="164" s="1"/>
  <c r="U96" i="164" s="1"/>
  <c r="V96" i="164" s="1"/>
  <c r="W96" i="164" s="1"/>
  <c r="H97" i="164"/>
  <c r="L97" i="164"/>
  <c r="M97" i="164" s="1"/>
  <c r="N97" i="164" s="1"/>
  <c r="O97" i="164" s="1"/>
  <c r="P97" i="164" s="1"/>
  <c r="Q97" i="164" s="1"/>
  <c r="R97" i="164" s="1"/>
  <c r="S97" i="164" s="1"/>
  <c r="T97" i="164" s="1"/>
  <c r="U97" i="164" s="1"/>
  <c r="V97" i="164" s="1"/>
  <c r="W97" i="164" s="1"/>
  <c r="H98" i="164"/>
  <c r="L98" i="164"/>
  <c r="M98" i="164"/>
  <c r="N98" i="164" s="1"/>
  <c r="O98" i="164" s="1"/>
  <c r="P98" i="164" s="1"/>
  <c r="Q98" i="164" s="1"/>
  <c r="R98" i="164" s="1"/>
  <c r="S98" i="164" s="1"/>
  <c r="T98" i="164" s="1"/>
  <c r="U98" i="164" s="1"/>
  <c r="V98" i="164" s="1"/>
  <c r="W98" i="164" s="1"/>
  <c r="H101" i="164"/>
  <c r="I101" i="164" s="1"/>
  <c r="I54" i="13" s="1"/>
  <c r="H103" i="164"/>
  <c r="N103" i="164"/>
  <c r="O103" i="164" s="1"/>
  <c r="P103" i="164" s="1"/>
  <c r="Q103" i="164" s="1"/>
  <c r="R103" i="164" s="1"/>
  <c r="S103" i="164" s="1"/>
  <c r="T103" i="164" s="1"/>
  <c r="U103" i="164" s="1"/>
  <c r="V103" i="164" s="1"/>
  <c r="W103" i="164" s="1"/>
  <c r="N105" i="164"/>
  <c r="O105" i="164" s="1"/>
  <c r="P105" i="164" s="1"/>
  <c r="Q105" i="164" s="1"/>
  <c r="R105" i="164" s="1"/>
  <c r="S105" i="164" s="1"/>
  <c r="T105" i="164" s="1"/>
  <c r="U105" i="164" s="1"/>
  <c r="V105" i="164" s="1"/>
  <c r="W105" i="164" s="1"/>
  <c r="H107" i="164"/>
  <c r="M107" i="164"/>
  <c r="N107" i="164" s="1"/>
  <c r="O107" i="164" s="1"/>
  <c r="P107" i="164" s="1"/>
  <c r="Q107" i="164" s="1"/>
  <c r="R107" i="164" s="1"/>
  <c r="S107" i="164" s="1"/>
  <c r="T107" i="164" s="1"/>
  <c r="U107" i="164" s="1"/>
  <c r="V107" i="164" s="1"/>
  <c r="W107" i="164" s="1"/>
  <c r="F110" i="164"/>
  <c r="N110" i="164"/>
  <c r="O110" i="164" s="1"/>
  <c r="P110" i="164" s="1"/>
  <c r="Q110" i="164" s="1"/>
  <c r="R110" i="164" s="1"/>
  <c r="S110" i="164" s="1"/>
  <c r="T110" i="164" s="1"/>
  <c r="U110" i="164" s="1"/>
  <c r="V110" i="164" s="1"/>
  <c r="W110" i="164" s="1"/>
  <c r="F111" i="164"/>
  <c r="N111" i="164"/>
  <c r="O111" i="164" s="1"/>
  <c r="P111" i="164" s="1"/>
  <c r="Q111" i="164" s="1"/>
  <c r="R111" i="164" s="1"/>
  <c r="S111" i="164" s="1"/>
  <c r="T111" i="164" s="1"/>
  <c r="U111" i="164" s="1"/>
  <c r="V111" i="164" s="1"/>
  <c r="W111" i="164" s="1"/>
  <c r="H112" i="164"/>
  <c r="L112" i="164"/>
  <c r="M112" i="164" s="1"/>
  <c r="N112" i="164" s="1"/>
  <c r="O112" i="164" s="1"/>
  <c r="P112" i="164" s="1"/>
  <c r="Q112" i="164" s="1"/>
  <c r="R112" i="164" s="1"/>
  <c r="S112" i="164" s="1"/>
  <c r="T112" i="164" s="1"/>
  <c r="U112" i="164" s="1"/>
  <c r="V112" i="164" s="1"/>
  <c r="W112" i="164" s="1"/>
  <c r="H113" i="164"/>
  <c r="L113" i="164"/>
  <c r="M113" i="164" s="1"/>
  <c r="N113" i="164" s="1"/>
  <c r="O113" i="164" s="1"/>
  <c r="P113" i="164" s="1"/>
  <c r="Q113" i="164" s="1"/>
  <c r="R113" i="164" s="1"/>
  <c r="S113" i="164" s="1"/>
  <c r="T113" i="164" s="1"/>
  <c r="U113" i="164" s="1"/>
  <c r="V113" i="164" s="1"/>
  <c r="W113" i="164" s="1"/>
  <c r="H117" i="164"/>
  <c r="H119" i="164"/>
  <c r="I119" i="164"/>
  <c r="J119" i="164" s="1"/>
  <c r="N119" i="164"/>
  <c r="O119" i="164" s="1"/>
  <c r="P119" i="164" s="1"/>
  <c r="Q119" i="164" s="1"/>
  <c r="R119" i="164" s="1"/>
  <c r="S119" i="164" s="1"/>
  <c r="T119" i="164"/>
  <c r="U119" i="164" s="1"/>
  <c r="V119" i="164" s="1"/>
  <c r="W119" i="164" s="1"/>
  <c r="N121" i="164"/>
  <c r="O121" i="164" s="1"/>
  <c r="P121" i="164" s="1"/>
  <c r="Q121" i="164" s="1"/>
  <c r="R121" i="164" s="1"/>
  <c r="S121" i="164" s="1"/>
  <c r="T121" i="164" s="1"/>
  <c r="U121" i="164" s="1"/>
  <c r="V121" i="164" s="1"/>
  <c r="W121" i="164" s="1"/>
  <c r="N123" i="164"/>
  <c r="O123" i="164" s="1"/>
  <c r="P123" i="164" s="1"/>
  <c r="Q123" i="164" s="1"/>
  <c r="R123" i="164" s="1"/>
  <c r="S123" i="164" s="1"/>
  <c r="T123" i="164" s="1"/>
  <c r="U123" i="164" s="1"/>
  <c r="V123" i="164" s="1"/>
  <c r="W123" i="164" s="1"/>
  <c r="H125" i="164"/>
  <c r="N125" i="164"/>
  <c r="O125" i="164" s="1"/>
  <c r="P125" i="164" s="1"/>
  <c r="Q125" i="164" s="1"/>
  <c r="R125" i="164" s="1"/>
  <c r="S125" i="164" s="1"/>
  <c r="T125" i="164" s="1"/>
  <c r="U125" i="164" s="1"/>
  <c r="V125" i="164" s="1"/>
  <c r="W125" i="164" s="1"/>
  <c r="H127" i="164"/>
  <c r="N127" i="164"/>
  <c r="O127" i="164" s="1"/>
  <c r="P127" i="164" s="1"/>
  <c r="Q127" i="164" s="1"/>
  <c r="R127" i="164" s="1"/>
  <c r="S127" i="164" s="1"/>
  <c r="T127" i="164" s="1"/>
  <c r="U127" i="164" s="1"/>
  <c r="V127" i="164" s="1"/>
  <c r="W127" i="164" s="1"/>
  <c r="N130" i="164"/>
  <c r="O130" i="164" s="1"/>
  <c r="P130" i="164" s="1"/>
  <c r="Q130" i="164" s="1"/>
  <c r="R130" i="164" s="1"/>
  <c r="S130" i="164" s="1"/>
  <c r="T130" i="164" s="1"/>
  <c r="U130" i="164" s="1"/>
  <c r="V130" i="164" s="1"/>
  <c r="W130" i="164" s="1"/>
  <c r="N131" i="164"/>
  <c r="O131" i="164" s="1"/>
  <c r="P131" i="164" s="1"/>
  <c r="Q131" i="164" s="1"/>
  <c r="R131" i="164" s="1"/>
  <c r="S131" i="164" s="1"/>
  <c r="T131" i="164" s="1"/>
  <c r="U131" i="164" s="1"/>
  <c r="V131" i="164" s="1"/>
  <c r="W131" i="164" s="1"/>
  <c r="H132" i="164"/>
  <c r="L132" i="164"/>
  <c r="M132" i="164" s="1"/>
  <c r="N132" i="164" s="1"/>
  <c r="O132" i="164" s="1"/>
  <c r="P132" i="164"/>
  <c r="Q132" i="164" s="1"/>
  <c r="R132" i="164" s="1"/>
  <c r="S132" i="164" s="1"/>
  <c r="T132" i="164" s="1"/>
  <c r="U132" i="164" s="1"/>
  <c r="V132" i="164" s="1"/>
  <c r="W132" i="164" s="1"/>
  <c r="H133" i="164"/>
  <c r="L133" i="164"/>
  <c r="M133" i="164" s="1"/>
  <c r="N133" i="164" s="1"/>
  <c r="O133" i="164" s="1"/>
  <c r="P133" i="164" s="1"/>
  <c r="Q133" i="164" s="1"/>
  <c r="R133" i="164" s="1"/>
  <c r="S133" i="164" s="1"/>
  <c r="T133" i="164" s="1"/>
  <c r="U133" i="164" s="1"/>
  <c r="V133" i="164" s="1"/>
  <c r="W133" i="164" s="1"/>
  <c r="H137" i="164"/>
  <c r="H139" i="164"/>
  <c r="N139" i="164"/>
  <c r="O139" i="164" s="1"/>
  <c r="P139" i="164" s="1"/>
  <c r="Q139" i="164" s="1"/>
  <c r="R139" i="164" s="1"/>
  <c r="S139" i="164" s="1"/>
  <c r="T139" i="164" s="1"/>
  <c r="U139" i="164" s="1"/>
  <c r="V139" i="164" s="1"/>
  <c r="W139" i="164" s="1"/>
  <c r="N141" i="164"/>
  <c r="O141" i="164" s="1"/>
  <c r="P141" i="164" s="1"/>
  <c r="Q141" i="164" s="1"/>
  <c r="R141" i="164" s="1"/>
  <c r="S141" i="164" s="1"/>
  <c r="T141" i="164" s="1"/>
  <c r="U141" i="164" s="1"/>
  <c r="V141" i="164" s="1"/>
  <c r="W141" i="164" s="1"/>
  <c r="N143" i="164"/>
  <c r="O143" i="164" s="1"/>
  <c r="P143" i="164" s="1"/>
  <c r="Q143" i="164" s="1"/>
  <c r="R143" i="164" s="1"/>
  <c r="S143" i="164" s="1"/>
  <c r="T143" i="164" s="1"/>
  <c r="U143" i="164" s="1"/>
  <c r="V143" i="164" s="1"/>
  <c r="W143" i="164" s="1"/>
  <c r="H145" i="164"/>
  <c r="N145" i="164"/>
  <c r="O145" i="164" s="1"/>
  <c r="P145" i="164" s="1"/>
  <c r="Q145" i="164" s="1"/>
  <c r="R145" i="164" s="1"/>
  <c r="N148" i="164"/>
  <c r="O148" i="164" s="1"/>
  <c r="P148" i="164" s="1"/>
  <c r="Q148" i="164" s="1"/>
  <c r="R148" i="164" s="1"/>
  <c r="S148" i="164" s="1"/>
  <c r="T148" i="164" s="1"/>
  <c r="U148" i="164" s="1"/>
  <c r="V148" i="164" s="1"/>
  <c r="W148" i="164" s="1"/>
  <c r="N149" i="164"/>
  <c r="O149" i="164" s="1"/>
  <c r="P149" i="164" s="1"/>
  <c r="Q149" i="164" s="1"/>
  <c r="R149" i="164" s="1"/>
  <c r="S149" i="164" s="1"/>
  <c r="T149" i="164" s="1"/>
  <c r="U149" i="164" s="1"/>
  <c r="V149" i="164" s="1"/>
  <c r="W149" i="164" s="1"/>
  <c r="H150" i="164"/>
  <c r="L150" i="164"/>
  <c r="M150" i="164" s="1"/>
  <c r="N150" i="164" s="1"/>
  <c r="O150" i="164" s="1"/>
  <c r="P150" i="164" s="1"/>
  <c r="Q150" i="164" s="1"/>
  <c r="R150" i="164" s="1"/>
  <c r="S150" i="164" s="1"/>
  <c r="T150" i="164" s="1"/>
  <c r="U150" i="164" s="1"/>
  <c r="V150" i="164" s="1"/>
  <c r="W150" i="164" s="1"/>
  <c r="H151" i="164"/>
  <c r="L151" i="164"/>
  <c r="M151" i="164" s="1"/>
  <c r="N151" i="164" s="1"/>
  <c r="O151" i="164" s="1"/>
  <c r="P151" i="164" s="1"/>
  <c r="Q151" i="164" s="1"/>
  <c r="R151" i="164" s="1"/>
  <c r="S151" i="164" s="1"/>
  <c r="T151" i="164" s="1"/>
  <c r="U151" i="164" s="1"/>
  <c r="V151" i="164" s="1"/>
  <c r="W151" i="164" s="1"/>
  <c r="H155" i="164"/>
  <c r="H157" i="164"/>
  <c r="N157" i="164"/>
  <c r="O157" i="164" s="1"/>
  <c r="P157" i="164" s="1"/>
  <c r="Q157" i="164" s="1"/>
  <c r="R157" i="164" s="1"/>
  <c r="S157" i="164" s="1"/>
  <c r="T157" i="164" s="1"/>
  <c r="U157" i="164" s="1"/>
  <c r="V157" i="164" s="1"/>
  <c r="W157" i="164" s="1"/>
  <c r="N159" i="164"/>
  <c r="O159" i="164" s="1"/>
  <c r="P159" i="164" s="1"/>
  <c r="Q159" i="164" s="1"/>
  <c r="R159" i="164" s="1"/>
  <c r="S159" i="164" s="1"/>
  <c r="T159" i="164" s="1"/>
  <c r="U159" i="164" s="1"/>
  <c r="V159" i="164" s="1"/>
  <c r="W159" i="164" s="1"/>
  <c r="N161" i="164"/>
  <c r="O161" i="164" s="1"/>
  <c r="P161" i="164" s="1"/>
  <c r="Q161" i="164" s="1"/>
  <c r="R161" i="164" s="1"/>
  <c r="S161" i="164" s="1"/>
  <c r="T161" i="164" s="1"/>
  <c r="U161" i="164" s="1"/>
  <c r="V161" i="164" s="1"/>
  <c r="W161" i="164" s="1"/>
  <c r="H163" i="164"/>
  <c r="N163" i="164"/>
  <c r="O163" i="164" s="1"/>
  <c r="P163" i="164" s="1"/>
  <c r="Q163" i="164" s="1"/>
  <c r="R163" i="164" s="1"/>
  <c r="S163" i="164" s="1"/>
  <c r="T163" i="164" s="1"/>
  <c r="H165" i="164"/>
  <c r="N165" i="164"/>
  <c r="O165" i="164" s="1"/>
  <c r="P165" i="164" s="1"/>
  <c r="Q165" i="164"/>
  <c r="R165" i="164" s="1"/>
  <c r="S165" i="164" s="1"/>
  <c r="T165" i="164" s="1"/>
  <c r="U165" i="164" s="1"/>
  <c r="V165" i="164" s="1"/>
  <c r="W165" i="164" s="1"/>
  <c r="G168" i="164"/>
  <c r="N168" i="164"/>
  <c r="O168" i="164" s="1"/>
  <c r="P168" i="164" s="1"/>
  <c r="Q168" i="164" s="1"/>
  <c r="R168" i="164" s="1"/>
  <c r="S168" i="164" s="1"/>
  <c r="T168" i="164" s="1"/>
  <c r="U168" i="164" s="1"/>
  <c r="V168" i="164" s="1"/>
  <c r="W168" i="164" s="1"/>
  <c r="G169" i="164"/>
  <c r="F158" i="16" s="1"/>
  <c r="N169" i="164"/>
  <c r="O169" i="164" s="1"/>
  <c r="P169" i="164" s="1"/>
  <c r="Q169" i="164" s="1"/>
  <c r="R169" i="164" s="1"/>
  <c r="S169" i="164" s="1"/>
  <c r="T169" i="164" s="1"/>
  <c r="U169" i="164" s="1"/>
  <c r="V169" i="164" s="1"/>
  <c r="W169" i="164" s="1"/>
  <c r="N170" i="164"/>
  <c r="O170" i="164" s="1"/>
  <c r="P170" i="164" s="1"/>
  <c r="Q170" i="164" s="1"/>
  <c r="R170" i="164" s="1"/>
  <c r="S170" i="164" s="1"/>
  <c r="T170" i="164" s="1"/>
  <c r="U170" i="164" s="1"/>
  <c r="V170" i="164" s="1"/>
  <c r="W170" i="164" s="1"/>
  <c r="K171" i="164"/>
  <c r="K172" i="164"/>
  <c r="N172" i="164" s="1"/>
  <c r="O172" i="164" s="1"/>
  <c r="P172" i="164" s="1"/>
  <c r="Q172" i="164" s="1"/>
  <c r="R172" i="164" s="1"/>
  <c r="S172" i="164" s="1"/>
  <c r="T172" i="164" s="1"/>
  <c r="U172" i="164" s="1"/>
  <c r="V172" i="164" s="1"/>
  <c r="W172" i="164" s="1"/>
  <c r="G173" i="164"/>
  <c r="H173" i="164" s="1"/>
  <c r="L173" i="164"/>
  <c r="M173" i="164" s="1"/>
  <c r="N173" i="164" s="1"/>
  <c r="O173" i="164" s="1"/>
  <c r="P173" i="164" s="1"/>
  <c r="Q173" i="164" s="1"/>
  <c r="R173" i="164" s="1"/>
  <c r="S173" i="164" s="1"/>
  <c r="T173" i="164" s="1"/>
  <c r="U173" i="164" s="1"/>
  <c r="V173" i="164" s="1"/>
  <c r="W173" i="164" s="1"/>
  <c r="G174" i="164"/>
  <c r="H174" i="164" s="1"/>
  <c r="L174" i="164"/>
  <c r="M174" i="164" s="1"/>
  <c r="N174" i="164" s="1"/>
  <c r="O174" i="164" s="1"/>
  <c r="P174" i="164" s="1"/>
  <c r="Q174" i="164" s="1"/>
  <c r="R174" i="164" s="1"/>
  <c r="S174" i="164" s="1"/>
  <c r="T174" i="164" s="1"/>
  <c r="U174" i="164" s="1"/>
  <c r="V174" i="164" s="1"/>
  <c r="W174" i="164" s="1"/>
  <c r="L175" i="164"/>
  <c r="M175" i="164"/>
  <c r="N175" i="164" s="1"/>
  <c r="O175" i="164"/>
  <c r="P175" i="164" s="1"/>
  <c r="Q175" i="164" s="1"/>
  <c r="R175" i="164" s="1"/>
  <c r="S175" i="164" s="1"/>
  <c r="T175" i="164" s="1"/>
  <c r="U175" i="164" s="1"/>
  <c r="V175" i="164" s="1"/>
  <c r="W175" i="164" s="1"/>
  <c r="L176" i="164"/>
  <c r="M176" i="164" s="1"/>
  <c r="N176" i="164" s="1"/>
  <c r="O176" i="164" s="1"/>
  <c r="P176" i="164" s="1"/>
  <c r="Q176" i="164" s="1"/>
  <c r="R176" i="164" s="1"/>
  <c r="S176" i="164" s="1"/>
  <c r="T176" i="164" s="1"/>
  <c r="U176" i="164" s="1"/>
  <c r="V176" i="164" s="1"/>
  <c r="W176" i="164" s="1"/>
  <c r="L177" i="164"/>
  <c r="M177" i="164" s="1"/>
  <c r="N177" i="164" s="1"/>
  <c r="O177" i="164" s="1"/>
  <c r="P177" i="164" s="1"/>
  <c r="Q177" i="164" s="1"/>
  <c r="R177" i="164" s="1"/>
  <c r="S177" i="164" s="1"/>
  <c r="T177" i="164" s="1"/>
  <c r="U177" i="164"/>
  <c r="V177" i="164" s="1"/>
  <c r="W177" i="164" s="1"/>
  <c r="H181" i="164"/>
  <c r="H183" i="164"/>
  <c r="N183" i="164"/>
  <c r="O183" i="164" s="1"/>
  <c r="P183" i="164" s="1"/>
  <c r="Q183" i="164" s="1"/>
  <c r="R183" i="164" s="1"/>
  <c r="S183" i="164" s="1"/>
  <c r="T183" i="164" s="1"/>
  <c r="U183" i="164" s="1"/>
  <c r="V183" i="164" s="1"/>
  <c r="W183" i="164" s="1"/>
  <c r="N185" i="164"/>
  <c r="O185" i="164" s="1"/>
  <c r="P185" i="164" s="1"/>
  <c r="Q185" i="164" s="1"/>
  <c r="R185" i="164" s="1"/>
  <c r="S185" i="164" s="1"/>
  <c r="T185" i="164" s="1"/>
  <c r="U185" i="164" s="1"/>
  <c r="V185" i="164" s="1"/>
  <c r="W185" i="164" s="1"/>
  <c r="N187" i="164"/>
  <c r="O187" i="164" s="1"/>
  <c r="P187" i="164" s="1"/>
  <c r="Q187" i="164" s="1"/>
  <c r="R187" i="164" s="1"/>
  <c r="S187" i="164" s="1"/>
  <c r="T187" i="164" s="1"/>
  <c r="U187" i="164" s="1"/>
  <c r="V187" i="164" s="1"/>
  <c r="W187" i="164" s="1"/>
  <c r="H189" i="164"/>
  <c r="L189" i="164"/>
  <c r="M189" i="164"/>
  <c r="N189" i="164" s="1"/>
  <c r="O189" i="164"/>
  <c r="P189" i="164" s="1"/>
  <c r="H191" i="164"/>
  <c r="K191" i="164"/>
  <c r="L191" i="164" s="1"/>
  <c r="M191" i="164"/>
  <c r="N191" i="164" s="1"/>
  <c r="O191" i="164" s="1"/>
  <c r="P191" i="164" s="1"/>
  <c r="Q191" i="164" s="1"/>
  <c r="R191" i="164" s="1"/>
  <c r="S191" i="164" s="1"/>
  <c r="T191" i="164" s="1"/>
  <c r="U191" i="164"/>
  <c r="V191" i="164" s="1"/>
  <c r="W191" i="164" s="1"/>
  <c r="N194" i="164"/>
  <c r="O194" i="164" s="1"/>
  <c r="P194" i="164" s="1"/>
  <c r="Q194" i="164" s="1"/>
  <c r="R194" i="164" s="1"/>
  <c r="S194" i="164" s="1"/>
  <c r="T194" i="164" s="1"/>
  <c r="U194" i="164" s="1"/>
  <c r="V194" i="164" s="1"/>
  <c r="W194" i="164" s="1"/>
  <c r="N195" i="164"/>
  <c r="O195" i="164" s="1"/>
  <c r="P195" i="164" s="1"/>
  <c r="Q195" i="164" s="1"/>
  <c r="R195" i="164" s="1"/>
  <c r="S195" i="164" s="1"/>
  <c r="T195" i="164" s="1"/>
  <c r="U195" i="164" s="1"/>
  <c r="V195" i="164" s="1"/>
  <c r="W195" i="164" s="1"/>
  <c r="H196" i="164"/>
  <c r="L196" i="164"/>
  <c r="M196" i="164" s="1"/>
  <c r="N196" i="164" s="1"/>
  <c r="O196" i="164" s="1"/>
  <c r="P196" i="164" s="1"/>
  <c r="Q196" i="164" s="1"/>
  <c r="R196" i="164" s="1"/>
  <c r="S196" i="164" s="1"/>
  <c r="T196" i="164" s="1"/>
  <c r="U196" i="164" s="1"/>
  <c r="V196" i="164" s="1"/>
  <c r="W196" i="164" s="1"/>
  <c r="H197" i="164"/>
  <c r="L197" i="164"/>
  <c r="M197" i="164" s="1"/>
  <c r="N197" i="164" s="1"/>
  <c r="O197" i="164" s="1"/>
  <c r="P197" i="164" s="1"/>
  <c r="Q197" i="164" s="1"/>
  <c r="R197" i="164" s="1"/>
  <c r="S197" i="164" s="1"/>
  <c r="T197" i="164" s="1"/>
  <c r="U197" i="164" s="1"/>
  <c r="V197" i="164" s="1"/>
  <c r="W197" i="164" s="1"/>
  <c r="H201" i="164"/>
  <c r="I201" i="164"/>
  <c r="J201" i="164" s="1"/>
  <c r="K201" i="164" s="1"/>
  <c r="L201" i="164" s="1"/>
  <c r="M201" i="164" s="1"/>
  <c r="N201" i="164" s="1"/>
  <c r="O201" i="164" s="1"/>
  <c r="P201" i="164" s="1"/>
  <c r="Q201" i="164" s="1"/>
  <c r="R201" i="164" s="1"/>
  <c r="S201" i="164" s="1"/>
  <c r="T201" i="164" s="1"/>
  <c r="U201" i="164" s="1"/>
  <c r="V201" i="164" s="1"/>
  <c r="W201" i="164" s="1"/>
  <c r="H203" i="164"/>
  <c r="N203" i="164"/>
  <c r="O203" i="164" s="1"/>
  <c r="P203" i="164"/>
  <c r="Q203" i="164" s="1"/>
  <c r="R203" i="164" s="1"/>
  <c r="S203" i="164" s="1"/>
  <c r="T203" i="164" s="1"/>
  <c r="U203" i="164" s="1"/>
  <c r="V203" i="164" s="1"/>
  <c r="W203" i="164" s="1"/>
  <c r="N205" i="164"/>
  <c r="O205" i="164" s="1"/>
  <c r="P205" i="164" s="1"/>
  <c r="Q205" i="164" s="1"/>
  <c r="R205" i="164" s="1"/>
  <c r="S205" i="164" s="1"/>
  <c r="T205" i="164" s="1"/>
  <c r="U205" i="164" s="1"/>
  <c r="V205" i="164" s="1"/>
  <c r="W205" i="164" s="1"/>
  <c r="N207" i="164"/>
  <c r="O207" i="164" s="1"/>
  <c r="P207" i="164" s="1"/>
  <c r="Q207" i="164" s="1"/>
  <c r="R207" i="164" s="1"/>
  <c r="S207" i="164" s="1"/>
  <c r="T207" i="164" s="1"/>
  <c r="U207" i="164" s="1"/>
  <c r="V207" i="164" s="1"/>
  <c r="W207" i="164" s="1"/>
  <c r="H209" i="164"/>
  <c r="K209" i="164"/>
  <c r="L209" i="164" s="1"/>
  <c r="M209" i="164" s="1"/>
  <c r="N209" i="164" s="1"/>
  <c r="O209" i="164" s="1"/>
  <c r="P209" i="164" s="1"/>
  <c r="Q209" i="164" s="1"/>
  <c r="R209" i="164" s="1"/>
  <c r="N212" i="164"/>
  <c r="O212" i="164" s="1"/>
  <c r="P212" i="164" s="1"/>
  <c r="Q212" i="164" s="1"/>
  <c r="R212" i="164" s="1"/>
  <c r="S212" i="164" s="1"/>
  <c r="T212" i="164" s="1"/>
  <c r="U212" i="164" s="1"/>
  <c r="V212" i="164" s="1"/>
  <c r="W212" i="164" s="1"/>
  <c r="N213" i="164"/>
  <c r="O213" i="164" s="1"/>
  <c r="P213" i="164" s="1"/>
  <c r="Q213" i="164" s="1"/>
  <c r="R213" i="164" s="1"/>
  <c r="S213" i="164" s="1"/>
  <c r="T213" i="164" s="1"/>
  <c r="U213" i="164" s="1"/>
  <c r="V213" i="164" s="1"/>
  <c r="W213" i="164" s="1"/>
  <c r="H214" i="164"/>
  <c r="L214" i="164"/>
  <c r="M214" i="164" s="1"/>
  <c r="N214" i="164" s="1"/>
  <c r="O214" i="164" s="1"/>
  <c r="P214" i="164" s="1"/>
  <c r="Q214" i="164" s="1"/>
  <c r="R214" i="164" s="1"/>
  <c r="S214" i="164" s="1"/>
  <c r="T214" i="164" s="1"/>
  <c r="U214" i="164" s="1"/>
  <c r="V214" i="164" s="1"/>
  <c r="W214" i="164" s="1"/>
  <c r="H215" i="164"/>
  <c r="L215" i="164"/>
  <c r="M215" i="164" s="1"/>
  <c r="N215" i="164" s="1"/>
  <c r="O215" i="164" s="1"/>
  <c r="P215" i="164" s="1"/>
  <c r="Q215" i="164" s="1"/>
  <c r="R215" i="164" s="1"/>
  <c r="S215" i="164" s="1"/>
  <c r="T215" i="164" s="1"/>
  <c r="U215" i="164" s="1"/>
  <c r="V215" i="164" s="1"/>
  <c r="W215" i="164" s="1"/>
  <c r="H221" i="164"/>
  <c r="I221" i="164" s="1"/>
  <c r="H225" i="164"/>
  <c r="G199" i="16" s="1"/>
  <c r="I225" i="164"/>
  <c r="H199" i="16" s="1"/>
  <c r="J225" i="164"/>
  <c r="I199" i="16" s="1"/>
  <c r="H226" i="164"/>
  <c r="G200" i="16" s="1"/>
  <c r="I226" i="164"/>
  <c r="H200" i="16" s="1"/>
  <c r="J226" i="164"/>
  <c r="I200" i="16" s="1"/>
  <c r="H230" i="164"/>
  <c r="I230" i="164"/>
  <c r="J230" i="164" s="1"/>
  <c r="K230" i="164"/>
  <c r="N232" i="164"/>
  <c r="O232" i="164" s="1"/>
  <c r="N233" i="164"/>
  <c r="O233" i="164" s="1"/>
  <c r="P233" i="164" s="1"/>
  <c r="N234" i="164"/>
  <c r="O234" i="164" s="1"/>
  <c r="P234" i="164" s="1"/>
  <c r="Q234" i="164" s="1"/>
  <c r="R234" i="164" s="1"/>
  <c r="S234" i="164" s="1"/>
  <c r="N237" i="164"/>
  <c r="O237" i="164" s="1"/>
  <c r="P237" i="164" s="1"/>
  <c r="Q237" i="164" s="1"/>
  <c r="R237" i="164" s="1"/>
  <c r="N238" i="164"/>
  <c r="O238" i="164" s="1"/>
  <c r="P238" i="164" s="1"/>
  <c r="Q238" i="164" s="1"/>
  <c r="R238" i="164" s="1"/>
  <c r="S238" i="164" s="1"/>
  <c r="T238" i="164" s="1"/>
  <c r="U238" i="164" s="1"/>
  <c r="V238" i="164" s="1"/>
  <c r="N239" i="164"/>
  <c r="N242" i="164"/>
  <c r="N244" i="164"/>
  <c r="O244" i="164" s="1"/>
  <c r="F5" i="14"/>
  <c r="G5" i="14" s="1"/>
  <c r="H5" i="14" s="1"/>
  <c r="I5" i="14" s="1"/>
  <c r="J5" i="14" s="1"/>
  <c r="K5" i="14" s="1"/>
  <c r="L5" i="14" s="1"/>
  <c r="M5" i="14" s="1"/>
  <c r="N5" i="14" s="1"/>
  <c r="O5" i="14" s="1"/>
  <c r="P5" i="14" s="1"/>
  <c r="Q5" i="14" s="1"/>
  <c r="R5" i="14" s="1"/>
  <c r="S5" i="14" s="1"/>
  <c r="T5" i="14" s="1"/>
  <c r="U5" i="14" s="1"/>
  <c r="E7" i="14"/>
  <c r="F7" i="14"/>
  <c r="C11" i="14"/>
  <c r="H7" i="13"/>
  <c r="C12" i="13"/>
  <c r="C13" i="13" s="1"/>
  <c r="D12" i="13"/>
  <c r="F21" i="13"/>
  <c r="G21" i="13"/>
  <c r="F42" i="16" s="1"/>
  <c r="F22" i="13"/>
  <c r="F23" i="13"/>
  <c r="G23" i="13"/>
  <c r="F24" i="13"/>
  <c r="F25" i="13"/>
  <c r="F26" i="13"/>
  <c r="F30" i="13"/>
  <c r="F162" i="13" s="1"/>
  <c r="F191" i="13" s="1"/>
  <c r="G30" i="13"/>
  <c r="H30" i="13"/>
  <c r="I30" i="13"/>
  <c r="J30" i="13"/>
  <c r="J162" i="13" s="1"/>
  <c r="J191" i="13" s="1"/>
  <c r="E25" i="207" s="1"/>
  <c r="X30" i="13"/>
  <c r="F34" i="13"/>
  <c r="F35" i="13"/>
  <c r="G35" i="13"/>
  <c r="F36" i="13"/>
  <c r="F37" i="13"/>
  <c r="F38" i="13"/>
  <c r="F39" i="13"/>
  <c r="F43" i="13"/>
  <c r="G43" i="13"/>
  <c r="H43" i="13"/>
  <c r="I43" i="13"/>
  <c r="I162" i="13" s="1"/>
  <c r="I191" i="13" s="1"/>
  <c r="J43" i="13"/>
  <c r="F47" i="13"/>
  <c r="G47" i="13"/>
  <c r="F50" i="13"/>
  <c r="G50" i="13"/>
  <c r="H50" i="13"/>
  <c r="I50" i="13"/>
  <c r="J50" i="13"/>
  <c r="F54" i="13"/>
  <c r="G54" i="13"/>
  <c r="H54" i="13"/>
  <c r="F57" i="13"/>
  <c r="G57" i="13"/>
  <c r="H57" i="13"/>
  <c r="I57" i="13"/>
  <c r="J57" i="13"/>
  <c r="F64" i="13"/>
  <c r="G64" i="13"/>
  <c r="G163" i="13" s="1"/>
  <c r="G192" i="13" s="1"/>
  <c r="H64" i="13"/>
  <c r="I64" i="13"/>
  <c r="J64" i="13"/>
  <c r="F71" i="13"/>
  <c r="G71" i="13"/>
  <c r="H71" i="13"/>
  <c r="I71" i="13"/>
  <c r="J71" i="13"/>
  <c r="F78" i="13"/>
  <c r="G78" i="13"/>
  <c r="H78" i="13"/>
  <c r="H164" i="13" s="1"/>
  <c r="I78" i="13"/>
  <c r="I164" i="13" s="1"/>
  <c r="I193" i="13" s="1"/>
  <c r="J78" i="13"/>
  <c r="F85" i="13"/>
  <c r="F82" i="13" s="1"/>
  <c r="E140" i="16" s="1"/>
  <c r="G85" i="13"/>
  <c r="H85" i="13"/>
  <c r="I85" i="13"/>
  <c r="I137" i="164" s="1"/>
  <c r="J85" i="13"/>
  <c r="F95" i="13"/>
  <c r="G95" i="13"/>
  <c r="H95" i="13"/>
  <c r="I95" i="13"/>
  <c r="I155" i="164" s="1"/>
  <c r="J95" i="13"/>
  <c r="J155" i="164" s="1"/>
  <c r="F99" i="13"/>
  <c r="E170" i="16" s="1"/>
  <c r="F102" i="13"/>
  <c r="G102" i="13"/>
  <c r="H102" i="13"/>
  <c r="H99" i="13" s="1"/>
  <c r="G170" i="16" s="1"/>
  <c r="I102" i="13"/>
  <c r="I167" i="13" s="1"/>
  <c r="J102" i="13"/>
  <c r="F106" i="13"/>
  <c r="E184" i="16" s="1"/>
  <c r="F109" i="13"/>
  <c r="G109" i="13"/>
  <c r="G106" i="13" s="1"/>
  <c r="F184" i="16" s="1"/>
  <c r="H109" i="13"/>
  <c r="I109" i="13"/>
  <c r="I168" i="13" s="1"/>
  <c r="I197" i="13" s="1"/>
  <c r="J109" i="13"/>
  <c r="J168" i="13"/>
  <c r="J197" i="13" s="1"/>
  <c r="E31" i="207" s="1"/>
  <c r="F116" i="13"/>
  <c r="F169" i="13" s="1"/>
  <c r="F198" i="13" s="1"/>
  <c r="G116" i="13"/>
  <c r="G169" i="13" s="1"/>
  <c r="G198" i="13" s="1"/>
  <c r="H116" i="13"/>
  <c r="I116" i="13"/>
  <c r="I169" i="13" s="1"/>
  <c r="I198" i="13" s="1"/>
  <c r="J116" i="13"/>
  <c r="J169" i="13" s="1"/>
  <c r="J198" i="13" s="1"/>
  <c r="E32" i="207" s="1"/>
  <c r="F160" i="13"/>
  <c r="F189" i="13" s="1"/>
  <c r="I160" i="13"/>
  <c r="I189" i="13" s="1"/>
  <c r="J160" i="13"/>
  <c r="J189" i="13" s="1"/>
  <c r="F161" i="13"/>
  <c r="I161" i="13"/>
  <c r="I190" i="13" s="1"/>
  <c r="J161" i="13"/>
  <c r="J190" i="13" s="1"/>
  <c r="E24" i="207" s="1"/>
  <c r="H162" i="13"/>
  <c r="H191" i="13" s="1"/>
  <c r="H193" i="13"/>
  <c r="H165" i="13"/>
  <c r="H194" i="13" s="1"/>
  <c r="I165" i="13"/>
  <c r="I194" i="13" s="1"/>
  <c r="I166" i="13"/>
  <c r="I195" i="13" s="1"/>
  <c r="F167" i="13"/>
  <c r="F168" i="13"/>
  <c r="F197" i="13" s="1"/>
  <c r="H169" i="13"/>
  <c r="H198" i="13" s="1"/>
  <c r="F170" i="13"/>
  <c r="F199" i="13" s="1"/>
  <c r="I170" i="13"/>
  <c r="I199" i="13" s="1"/>
  <c r="J170" i="13"/>
  <c r="J199" i="13" s="1"/>
  <c r="E33" i="207" s="1"/>
  <c r="F171" i="13"/>
  <c r="F200" i="13" s="1"/>
  <c r="I171" i="13"/>
  <c r="J171" i="13"/>
  <c r="J200" i="13" s="1"/>
  <c r="E34" i="207" s="1"/>
  <c r="F172" i="13"/>
  <c r="F201" i="13" s="1"/>
  <c r="I172" i="13"/>
  <c r="I201" i="13" s="1"/>
  <c r="J172" i="13"/>
  <c r="J201" i="13" s="1"/>
  <c r="E35" i="207" s="1"/>
  <c r="F173" i="13"/>
  <c r="F202" i="13" s="1"/>
  <c r="I173" i="13"/>
  <c r="I202" i="13" s="1"/>
  <c r="J173" i="13"/>
  <c r="J202" i="13" s="1"/>
  <c r="E36" i="207" s="1"/>
  <c r="F186" i="13"/>
  <c r="G186" i="13"/>
  <c r="H186" i="13"/>
  <c r="E189" i="13"/>
  <c r="D190" i="13"/>
  <c r="D191" i="13" s="1"/>
  <c r="E190" i="13"/>
  <c r="F190" i="13"/>
  <c r="E191" i="13"/>
  <c r="D192" i="13"/>
  <c r="D193" i="13" s="1"/>
  <c r="D194" i="13" s="1"/>
  <c r="D195" i="13" s="1"/>
  <c r="D196" i="13" s="1"/>
  <c r="D197" i="13" s="1"/>
  <c r="E192" i="13"/>
  <c r="E193" i="13"/>
  <c r="E194" i="13"/>
  <c r="E195" i="13"/>
  <c r="E196" i="13"/>
  <c r="F196" i="13"/>
  <c r="E197" i="13"/>
  <c r="D198" i="13"/>
  <c r="D199" i="13" s="1"/>
  <c r="D200" i="13" s="1"/>
  <c r="D201" i="13" s="1"/>
  <c r="D202" i="13" s="1"/>
  <c r="D203" i="13" s="1"/>
  <c r="E198" i="13"/>
  <c r="E199" i="13"/>
  <c r="E200" i="13"/>
  <c r="I200" i="13"/>
  <c r="E201" i="13"/>
  <c r="E202" i="13"/>
  <c r="E32" i="185"/>
  <c r="F32" i="185" s="1"/>
  <c r="G32" i="185"/>
  <c r="H32" i="185" s="1"/>
  <c r="I32" i="185" s="1"/>
  <c r="J32" i="185" s="1"/>
  <c r="J624" i="169"/>
  <c r="K624" i="169"/>
  <c r="J625" i="169"/>
  <c r="K625" i="169"/>
  <c r="I631" i="169"/>
  <c r="J631" i="169"/>
  <c r="K631" i="169"/>
  <c r="J637" i="169"/>
  <c r="K637" i="169"/>
  <c r="J638" i="169"/>
  <c r="K638" i="169"/>
  <c r="J639" i="169"/>
  <c r="K639" i="169"/>
  <c r="J645" i="169"/>
  <c r="K645" i="169"/>
  <c r="J646" i="169"/>
  <c r="K646" i="169"/>
  <c r="J647" i="169"/>
  <c r="K647" i="169"/>
  <c r="J653" i="169"/>
  <c r="K653" i="169"/>
  <c r="J654" i="169"/>
  <c r="K654" i="169"/>
  <c r="J655" i="169"/>
  <c r="K655" i="169"/>
  <c r="J656" i="169"/>
  <c r="K656" i="169"/>
  <c r="J657" i="169"/>
  <c r="K657" i="169"/>
  <c r="J658" i="169"/>
  <c r="K658" i="169"/>
  <c r="J659" i="169"/>
  <c r="K659" i="169"/>
  <c r="J660" i="169"/>
  <c r="K660" i="169"/>
  <c r="J661" i="169"/>
  <c r="K661" i="169"/>
  <c r="J667" i="169"/>
  <c r="K667" i="169"/>
  <c r="J668" i="169"/>
  <c r="K668" i="169"/>
  <c r="J669" i="169"/>
  <c r="K669" i="169"/>
  <c r="J676" i="169"/>
  <c r="K676" i="169"/>
  <c r="J677" i="169"/>
  <c r="K677" i="169"/>
  <c r="J678" i="169"/>
  <c r="K678" i="169"/>
  <c r="J679" i="169"/>
  <c r="K679" i="169"/>
  <c r="J689" i="169"/>
  <c r="K689" i="169"/>
  <c r="J690" i="169"/>
  <c r="K690" i="169"/>
  <c r="J691" i="169"/>
  <c r="K691" i="169"/>
  <c r="J692" i="169"/>
  <c r="K692" i="169"/>
  <c r="J693" i="169"/>
  <c r="K693" i="169"/>
  <c r="J694" i="169"/>
  <c r="K694" i="169"/>
  <c r="J695" i="169"/>
  <c r="K695" i="169"/>
  <c r="J696" i="169"/>
  <c r="K696" i="169"/>
  <c r="J697" i="169"/>
  <c r="K697" i="169"/>
  <c r="J698" i="169"/>
  <c r="K698" i="169"/>
  <c r="J699" i="169"/>
  <c r="K699" i="169"/>
  <c r="J705" i="169"/>
  <c r="K705" i="169"/>
  <c r="J706" i="169"/>
  <c r="K706" i="169"/>
  <c r="J707" i="169"/>
  <c r="K707" i="169"/>
  <c r="J708" i="169"/>
  <c r="K708" i="169"/>
  <c r="J709" i="169"/>
  <c r="K709" i="169"/>
  <c r="J710" i="169"/>
  <c r="K710" i="169"/>
  <c r="J711" i="169"/>
  <c r="K711" i="169"/>
  <c r="J712" i="169"/>
  <c r="K712" i="169"/>
  <c r="J713" i="169"/>
  <c r="K713" i="169"/>
  <c r="J714" i="169"/>
  <c r="K714" i="169"/>
  <c r="J715" i="169"/>
  <c r="K715" i="169"/>
  <c r="J716" i="169"/>
  <c r="K716" i="169"/>
  <c r="J717" i="169"/>
  <c r="K717" i="169"/>
  <c r="J718" i="169"/>
  <c r="K718" i="169"/>
  <c r="J719" i="169"/>
  <c r="K719" i="169"/>
  <c r="J725" i="169"/>
  <c r="K725" i="169"/>
  <c r="J726" i="169"/>
  <c r="K726" i="169"/>
  <c r="J727" i="169"/>
  <c r="K727" i="169"/>
  <c r="J728" i="169"/>
  <c r="K728" i="169"/>
  <c r="J729" i="169"/>
  <c r="K729" i="169"/>
  <c r="J730" i="169"/>
  <c r="K730" i="169"/>
  <c r="J731" i="169"/>
  <c r="K731" i="169"/>
  <c r="J732" i="169"/>
  <c r="K732" i="169"/>
  <c r="J733" i="169"/>
  <c r="K733" i="169"/>
  <c r="J734" i="169"/>
  <c r="K734" i="169"/>
  <c r="J735" i="169"/>
  <c r="K735" i="169"/>
  <c r="J736" i="169"/>
  <c r="K736" i="169"/>
  <c r="J742" i="169"/>
  <c r="K742" i="169"/>
  <c r="J743" i="169"/>
  <c r="K743" i="169"/>
  <c r="J744" i="169"/>
  <c r="K744" i="169"/>
  <c r="J745" i="169"/>
  <c r="K745" i="169"/>
  <c r="J746" i="169"/>
  <c r="K746" i="169"/>
  <c r="J747" i="169"/>
  <c r="K747" i="169"/>
  <c r="J748" i="169"/>
  <c r="K748" i="169"/>
  <c r="J749" i="169"/>
  <c r="K749" i="169"/>
  <c r="J750" i="169"/>
  <c r="K750" i="169"/>
  <c r="J751" i="169"/>
  <c r="K751" i="169"/>
  <c r="J752" i="169"/>
  <c r="K752" i="169"/>
  <c r="J753" i="169"/>
  <c r="K753" i="169"/>
  <c r="J754" i="169"/>
  <c r="K754" i="169"/>
  <c r="J755" i="169"/>
  <c r="K755" i="169"/>
  <c r="J756" i="169"/>
  <c r="K756" i="169"/>
  <c r="J757" i="169"/>
  <c r="K757" i="169"/>
  <c r="J758" i="169"/>
  <c r="K758" i="169"/>
  <c r="J765" i="169"/>
  <c r="K765" i="169"/>
  <c r="J766" i="169"/>
  <c r="K766" i="169"/>
  <c r="J767" i="169"/>
  <c r="K767" i="169"/>
  <c r="J768" i="169"/>
  <c r="K768" i="169"/>
  <c r="J769" i="169"/>
  <c r="K769" i="169"/>
  <c r="J770" i="169"/>
  <c r="K770" i="169"/>
  <c r="J771" i="169"/>
  <c r="K771" i="169"/>
  <c r="J772" i="169"/>
  <c r="K772" i="169"/>
  <c r="J773" i="169"/>
  <c r="K773" i="169"/>
  <c r="J774" i="169"/>
  <c r="K774" i="169"/>
  <c r="J775" i="169"/>
  <c r="K775" i="169"/>
  <c r="J781" i="169"/>
  <c r="K781" i="169"/>
  <c r="J782" i="169"/>
  <c r="K782" i="169"/>
  <c r="J783" i="169"/>
  <c r="K783" i="169"/>
  <c r="J784" i="169"/>
  <c r="K784" i="169"/>
  <c r="J785" i="169"/>
  <c r="K785" i="169"/>
  <c r="J786" i="169"/>
  <c r="K786" i="169"/>
  <c r="K787" i="169"/>
  <c r="J788" i="169"/>
  <c r="K788" i="169"/>
  <c r="J789" i="169"/>
  <c r="K789" i="169"/>
  <c r="J799" i="169"/>
  <c r="K799" i="169"/>
  <c r="J801" i="169"/>
  <c r="K801" i="169"/>
  <c r="J802" i="169"/>
  <c r="K802" i="169"/>
  <c r="J803" i="169"/>
  <c r="K803" i="169"/>
  <c r="J804" i="169"/>
  <c r="K804" i="169"/>
  <c r="J805" i="169"/>
  <c r="K805" i="169"/>
  <c r="J806" i="169"/>
  <c r="K806" i="169"/>
  <c r="J807" i="169"/>
  <c r="K807" i="169"/>
  <c r="J809" i="169"/>
  <c r="K809" i="169"/>
  <c r="J810" i="169"/>
  <c r="K810" i="169"/>
  <c r="J811" i="169"/>
  <c r="K811" i="169"/>
  <c r="J812" i="169"/>
  <c r="K812" i="169"/>
  <c r="J813" i="169"/>
  <c r="K813" i="169"/>
  <c r="J814" i="169"/>
  <c r="K814" i="169"/>
  <c r="J818" i="169"/>
  <c r="K818" i="169"/>
  <c r="J820" i="169"/>
  <c r="K820" i="169"/>
  <c r="J822" i="169"/>
  <c r="K822" i="169"/>
  <c r="J824" i="169"/>
  <c r="K824" i="169"/>
  <c r="J826" i="169"/>
  <c r="K826" i="169"/>
  <c r="J828" i="169"/>
  <c r="K828" i="169"/>
  <c r="J829" i="169"/>
  <c r="K829" i="169"/>
  <c r="J830" i="169"/>
  <c r="K830" i="169"/>
  <c r="J831" i="169"/>
  <c r="K831" i="169"/>
  <c r="J832" i="169"/>
  <c r="K832" i="169"/>
  <c r="J835" i="169"/>
  <c r="K835" i="169"/>
  <c r="J836" i="169"/>
  <c r="K836" i="169"/>
  <c r="J796" i="169"/>
  <c r="K796" i="169"/>
  <c r="J797" i="169"/>
  <c r="K797" i="169"/>
  <c r="J798" i="169"/>
  <c r="K798" i="169"/>
  <c r="J808" i="169"/>
  <c r="K808" i="169"/>
  <c r="J819" i="169"/>
  <c r="K819" i="169"/>
  <c r="J821" i="169"/>
  <c r="K821" i="169"/>
  <c r="J823" i="169"/>
  <c r="K823" i="169"/>
  <c r="J825" i="169"/>
  <c r="K825" i="169"/>
  <c r="J827" i="169"/>
  <c r="K827" i="169"/>
  <c r="J833" i="169"/>
  <c r="K833" i="169"/>
  <c r="J834" i="169"/>
  <c r="K834" i="169"/>
  <c r="J837" i="169"/>
  <c r="K837" i="169"/>
  <c r="F840" i="169"/>
  <c r="G840" i="169"/>
  <c r="J857" i="169"/>
  <c r="K857" i="169"/>
  <c r="J858" i="169"/>
  <c r="K858" i="169"/>
  <c r="J859" i="169"/>
  <c r="K859" i="169"/>
  <c r="J860" i="169"/>
  <c r="K860" i="169"/>
  <c r="J861" i="169"/>
  <c r="K861" i="169"/>
  <c r="J862" i="169"/>
  <c r="K862" i="169"/>
  <c r="J844" i="169"/>
  <c r="K844" i="169"/>
  <c r="J845" i="169"/>
  <c r="K845" i="169"/>
  <c r="J846" i="169"/>
  <c r="K846" i="169"/>
  <c r="J847" i="169"/>
  <c r="K847" i="169"/>
  <c r="J848" i="169"/>
  <c r="K848" i="169"/>
  <c r="J849" i="169"/>
  <c r="K849" i="169"/>
  <c r="J850" i="169"/>
  <c r="K850" i="169"/>
  <c r="J868" i="169"/>
  <c r="K868" i="169"/>
  <c r="J869" i="169"/>
  <c r="K869" i="169"/>
  <c r="J870" i="169"/>
  <c r="K870" i="169"/>
  <c r="J871" i="169"/>
  <c r="K871" i="169"/>
  <c r="J872" i="169"/>
  <c r="K872" i="169"/>
  <c r="J873" i="169"/>
  <c r="K873" i="169"/>
  <c r="J874" i="169"/>
  <c r="K874" i="169"/>
  <c r="J886" i="169"/>
  <c r="K886" i="169"/>
  <c r="J887" i="169"/>
  <c r="K887" i="169"/>
  <c r="J888" i="169"/>
  <c r="K888" i="169"/>
  <c r="J889" i="169"/>
  <c r="K889" i="169"/>
  <c r="J890" i="169"/>
  <c r="K890" i="169"/>
  <c r="J891" i="169"/>
  <c r="K891" i="169"/>
  <c r="J893" i="169"/>
  <c r="K893" i="169"/>
  <c r="J895" i="169"/>
  <c r="K895" i="169"/>
  <c r="J896" i="169"/>
  <c r="K896" i="169"/>
  <c r="J897" i="169"/>
  <c r="K897" i="169"/>
  <c r="J898" i="169"/>
  <c r="K898" i="169"/>
  <c r="J900" i="169"/>
  <c r="K900" i="169"/>
  <c r="J901" i="169"/>
  <c r="K901" i="169"/>
  <c r="J894" i="169"/>
  <c r="K894" i="169"/>
  <c r="J899" i="169"/>
  <c r="K899" i="169"/>
  <c r="J892" i="169"/>
  <c r="K892" i="169"/>
  <c r="J924" i="169"/>
  <c r="K924" i="169"/>
  <c r="J925" i="169"/>
  <c r="K925" i="169"/>
  <c r="J927" i="169"/>
  <c r="K927" i="169"/>
  <c r="J934" i="169"/>
  <c r="K934" i="169"/>
  <c r="J926" i="169"/>
  <c r="K926" i="169"/>
  <c r="J941" i="169"/>
  <c r="K941" i="169"/>
  <c r="J946" i="169"/>
  <c r="K946" i="169"/>
  <c r="J947" i="169"/>
  <c r="K947" i="169"/>
  <c r="J948" i="169"/>
  <c r="K948" i="169"/>
  <c r="J949" i="169"/>
  <c r="K949" i="169"/>
  <c r="J950" i="169"/>
  <c r="K950" i="169"/>
  <c r="J951" i="169"/>
  <c r="K951" i="169"/>
  <c r="J952" i="169"/>
  <c r="K952" i="169"/>
  <c r="J953" i="169"/>
  <c r="K953" i="169"/>
  <c r="J969" i="169"/>
  <c r="K969" i="169"/>
  <c r="J971" i="169"/>
  <c r="K971" i="169"/>
  <c r="H19" i="172"/>
  <c r="H32" i="172" s="1"/>
  <c r="H30" i="172"/>
  <c r="H38" i="172"/>
  <c r="H44" i="172"/>
  <c r="H59" i="172"/>
  <c r="C73" i="172"/>
  <c r="D73" i="172"/>
  <c r="E73" i="172"/>
  <c r="E84" i="172" s="1"/>
  <c r="F73" i="172"/>
  <c r="F84" i="172" s="1"/>
  <c r="F171" i="172" s="1"/>
  <c r="G73" i="172"/>
  <c r="H73" i="172"/>
  <c r="C82" i="172"/>
  <c r="D82" i="172"/>
  <c r="E82" i="172"/>
  <c r="F82" i="172"/>
  <c r="G82" i="172"/>
  <c r="G84" i="172" s="1"/>
  <c r="H82" i="172"/>
  <c r="H96" i="172"/>
  <c r="H97" i="172" s="1"/>
  <c r="H105" i="172"/>
  <c r="H113" i="172"/>
  <c r="C118" i="172"/>
  <c r="D118" i="172"/>
  <c r="E118" i="172"/>
  <c r="F118" i="172"/>
  <c r="C120" i="172"/>
  <c r="D120" i="172"/>
  <c r="E120" i="172"/>
  <c r="F120" i="172"/>
  <c r="C121" i="172"/>
  <c r="E121" i="172"/>
  <c r="C129" i="172"/>
  <c r="D129" i="172"/>
  <c r="E129" i="172"/>
  <c r="F129" i="172"/>
  <c r="C130" i="172"/>
  <c r="D130" i="172"/>
  <c r="E130" i="172"/>
  <c r="F130" i="172"/>
  <c r="C131" i="172"/>
  <c r="D131" i="172"/>
  <c r="E131" i="172"/>
  <c r="F131" i="172"/>
  <c r="C132" i="172"/>
  <c r="D132" i="172"/>
  <c r="E132" i="172"/>
  <c r="F132" i="172"/>
  <c r="C133" i="172"/>
  <c r="D133" i="172"/>
  <c r="E133" i="172"/>
  <c r="F133" i="172"/>
  <c r="C134" i="172"/>
  <c r="D134" i="172"/>
  <c r="E134" i="172"/>
  <c r="F134" i="172"/>
  <c r="A138" i="172"/>
  <c r="C138" i="172"/>
  <c r="D138" i="172"/>
  <c r="E138" i="172"/>
  <c r="F138" i="172"/>
  <c r="A139" i="172"/>
  <c r="C139" i="172"/>
  <c r="D139" i="172"/>
  <c r="E139" i="172"/>
  <c r="F139" i="172"/>
  <c r="F142" i="172" s="1"/>
  <c r="A140" i="172"/>
  <c r="C140" i="172"/>
  <c r="D140" i="172"/>
  <c r="E140" i="172"/>
  <c r="F140" i="172"/>
  <c r="A141" i="172"/>
  <c r="C141" i="172"/>
  <c r="D141" i="172"/>
  <c r="D142" i="172" s="1"/>
  <c r="E141" i="172"/>
  <c r="F141" i="172"/>
  <c r="C146" i="172"/>
  <c r="D146" i="172"/>
  <c r="E146" i="172"/>
  <c r="F146" i="172"/>
  <c r="C148" i="172"/>
  <c r="D148" i="172"/>
  <c r="E148" i="172"/>
  <c r="F148" i="172"/>
  <c r="C150" i="172"/>
  <c r="D150" i="172"/>
  <c r="E150" i="172"/>
  <c r="F150" i="172"/>
  <c r="C152" i="172"/>
  <c r="D152" i="172"/>
  <c r="D205" i="172" s="1"/>
  <c r="E152" i="172"/>
  <c r="F152" i="172"/>
  <c r="F205" i="172"/>
  <c r="C157" i="172"/>
  <c r="C161" i="172" s="1"/>
  <c r="D157" i="172"/>
  <c r="F157" i="172"/>
  <c r="C158" i="172"/>
  <c r="D158" i="172"/>
  <c r="E158" i="172"/>
  <c r="F158" i="172"/>
  <c r="C159" i="172"/>
  <c r="D159" i="172"/>
  <c r="E159" i="172"/>
  <c r="F159" i="172"/>
  <c r="G161" i="172"/>
  <c r="G163" i="172"/>
  <c r="C166" i="172"/>
  <c r="D166" i="172"/>
  <c r="F166" i="172"/>
  <c r="C167" i="172"/>
  <c r="D167" i="172"/>
  <c r="E167" i="172"/>
  <c r="F167" i="172"/>
  <c r="C168" i="172"/>
  <c r="D168" i="172"/>
  <c r="E168" i="172"/>
  <c r="F168" i="172"/>
  <c r="C169" i="172"/>
  <c r="D169" i="172"/>
  <c r="F169" i="172"/>
  <c r="C170" i="172"/>
  <c r="D170" i="172"/>
  <c r="F170" i="172"/>
  <c r="C172" i="172"/>
  <c r="D172" i="172"/>
  <c r="E172" i="172"/>
  <c r="F172" i="172"/>
  <c r="C174" i="172"/>
  <c r="D174" i="172"/>
  <c r="E174" i="172"/>
  <c r="F174" i="172"/>
  <c r="C188" i="172"/>
  <c r="D188" i="172"/>
  <c r="E188" i="172"/>
  <c r="F188" i="172"/>
  <c r="G204" i="172"/>
  <c r="E205" i="172"/>
  <c r="G205" i="172"/>
  <c r="D206" i="172"/>
  <c r="E206" i="172"/>
  <c r="F206" i="172"/>
  <c r="G206" i="172"/>
  <c r="N9" i="171"/>
  <c r="O9" i="171"/>
  <c r="N10" i="171"/>
  <c r="O10" i="171"/>
  <c r="N11" i="171"/>
  <c r="O11" i="171"/>
  <c r="N12" i="171"/>
  <c r="O12" i="171"/>
  <c r="N13" i="171"/>
  <c r="O13" i="171"/>
  <c r="N14" i="171"/>
  <c r="O14" i="171"/>
  <c r="N15" i="171"/>
  <c r="O15" i="171"/>
  <c r="N16" i="171"/>
  <c r="O16" i="171"/>
  <c r="N17" i="171"/>
  <c r="O17" i="171"/>
  <c r="N18" i="171"/>
  <c r="O18" i="171"/>
  <c r="N19" i="171"/>
  <c r="O19" i="171"/>
  <c r="N20" i="171"/>
  <c r="O20" i="171"/>
  <c r="N21" i="171"/>
  <c r="O21" i="171"/>
  <c r="N22" i="171"/>
  <c r="O22" i="171"/>
  <c r="N23" i="171"/>
  <c r="K27" i="70"/>
  <c r="O23" i="171"/>
  <c r="N24" i="171"/>
  <c r="K26" i="70"/>
  <c r="O24" i="171"/>
  <c r="N25" i="171"/>
  <c r="O25" i="171"/>
  <c r="N26" i="171"/>
  <c r="O26" i="171"/>
  <c r="N27" i="171"/>
  <c r="O27" i="171"/>
  <c r="N28" i="171"/>
  <c r="O28" i="171"/>
  <c r="N29" i="171"/>
  <c r="O29" i="171"/>
  <c r="N30" i="171"/>
  <c r="O30" i="171"/>
  <c r="N31" i="171"/>
  <c r="K33" i="70"/>
  <c r="O31" i="171"/>
  <c r="N32" i="171"/>
  <c r="O32" i="171"/>
  <c r="N33" i="171"/>
  <c r="O33" i="171"/>
  <c r="N34" i="171"/>
  <c r="O34" i="171"/>
  <c r="N35" i="171"/>
  <c r="O35" i="171"/>
  <c r="N36" i="171"/>
  <c r="O36" i="171"/>
  <c r="N37" i="171"/>
  <c r="O37" i="171"/>
  <c r="N38" i="171"/>
  <c r="O38" i="171"/>
  <c r="N39" i="171"/>
  <c r="O39" i="171"/>
  <c r="N40" i="171"/>
  <c r="O40" i="171"/>
  <c r="N41" i="171"/>
  <c r="O41" i="171"/>
  <c r="N42" i="171"/>
  <c r="O42" i="171"/>
  <c r="N43" i="171"/>
  <c r="O43" i="171"/>
  <c r="N46" i="171"/>
  <c r="O46" i="171"/>
  <c r="N47" i="171"/>
  <c r="O47" i="171"/>
  <c r="N48" i="171"/>
  <c r="O48" i="171"/>
  <c r="N49" i="171"/>
  <c r="O49" i="171"/>
  <c r="N50" i="171"/>
  <c r="O50" i="171"/>
  <c r="N51" i="171"/>
  <c r="O51" i="171"/>
  <c r="N52" i="171"/>
  <c r="O52" i="171"/>
  <c r="N53" i="171"/>
  <c r="O53" i="171"/>
  <c r="N55" i="171"/>
  <c r="O55" i="171"/>
  <c r="N56" i="171"/>
  <c r="O56" i="171"/>
  <c r="N57" i="171"/>
  <c r="K45" i="70"/>
  <c r="O57" i="171"/>
  <c r="N58" i="171"/>
  <c r="K46" i="70"/>
  <c r="O58" i="171"/>
  <c r="N59" i="171"/>
  <c r="O59" i="171"/>
  <c r="N60" i="171"/>
  <c r="O60" i="171"/>
  <c r="N61" i="171"/>
  <c r="O61" i="171"/>
  <c r="N62" i="171"/>
  <c r="O62" i="171"/>
  <c r="N63" i="171"/>
  <c r="O63" i="171"/>
  <c r="N64" i="171"/>
  <c r="O64" i="171"/>
  <c r="N65" i="171"/>
  <c r="O65" i="171"/>
  <c r="N66" i="171"/>
  <c r="O66" i="171"/>
  <c r="N67" i="171"/>
  <c r="O67" i="171"/>
  <c r="N68" i="171"/>
  <c r="K57" i="70"/>
  <c r="O68" i="171"/>
  <c r="N69" i="171"/>
  <c r="O69" i="171"/>
  <c r="N70" i="171"/>
  <c r="O70" i="171"/>
  <c r="N71" i="171"/>
  <c r="O71" i="171"/>
  <c r="N72" i="171"/>
  <c r="O72" i="171"/>
  <c r="N73" i="171"/>
  <c r="O73" i="171"/>
  <c r="N74" i="171"/>
  <c r="O74" i="171"/>
  <c r="N75" i="171"/>
  <c r="O75" i="171"/>
  <c r="N76" i="171"/>
  <c r="O76" i="171"/>
  <c r="N77" i="171"/>
  <c r="O77" i="171"/>
  <c r="N78" i="171"/>
  <c r="O78" i="171"/>
  <c r="N79" i="171"/>
  <c r="O79" i="171"/>
  <c r="N80" i="171"/>
  <c r="O80" i="171"/>
  <c r="N81" i="171"/>
  <c r="O81" i="171"/>
  <c r="N82" i="171"/>
  <c r="O82" i="171"/>
  <c r="N83" i="171"/>
  <c r="O83" i="171"/>
  <c r="N84" i="171"/>
  <c r="O84" i="171"/>
  <c r="N85" i="171"/>
  <c r="O85" i="171"/>
  <c r="N86" i="171"/>
  <c r="O86" i="171"/>
  <c r="N87" i="171"/>
  <c r="K76" i="70"/>
  <c r="N88" i="171"/>
  <c r="N89" i="171"/>
  <c r="O89" i="171"/>
  <c r="N90" i="171"/>
  <c r="O90" i="171"/>
  <c r="N91" i="171"/>
  <c r="O91" i="171"/>
  <c r="N92" i="171"/>
  <c r="O92" i="171"/>
  <c r="N93" i="171"/>
  <c r="O93" i="171"/>
  <c r="N94" i="171"/>
  <c r="O94" i="171"/>
  <c r="N95" i="171"/>
  <c r="O95" i="171"/>
  <c r="N96" i="171"/>
  <c r="O96" i="171"/>
  <c r="N97" i="171"/>
  <c r="O97" i="171"/>
  <c r="N98" i="171"/>
  <c r="O98" i="171"/>
  <c r="N99" i="171"/>
  <c r="P85" i="28" s="1"/>
  <c r="O99" i="171"/>
  <c r="N100" i="171"/>
  <c r="P86" i="28" s="1"/>
  <c r="O100" i="171"/>
  <c r="N101" i="171"/>
  <c r="P87" i="28" s="1"/>
  <c r="O101" i="171"/>
  <c r="N102" i="171"/>
  <c r="O102" i="171"/>
  <c r="N103" i="171"/>
  <c r="O103" i="171"/>
  <c r="N104" i="171"/>
  <c r="O104" i="171"/>
  <c r="N105" i="171"/>
  <c r="O105" i="171"/>
  <c r="N106" i="171"/>
  <c r="O106" i="171"/>
  <c r="N107" i="171"/>
  <c r="O107" i="171"/>
  <c r="N108" i="171"/>
  <c r="K97" i="70"/>
  <c r="O108" i="171"/>
  <c r="N109" i="171"/>
  <c r="O109" i="171"/>
  <c r="N110" i="171"/>
  <c r="O110" i="171"/>
  <c r="N111" i="171"/>
  <c r="O111" i="171"/>
  <c r="N112" i="171"/>
  <c r="O112" i="171"/>
  <c r="N113" i="171"/>
  <c r="O113" i="171"/>
  <c r="N114" i="171"/>
  <c r="O114" i="171"/>
  <c r="N115" i="171"/>
  <c r="O115" i="171"/>
  <c r="N116" i="171"/>
  <c r="O116" i="171"/>
  <c r="N117" i="171"/>
  <c r="O117" i="171"/>
  <c r="N118" i="171"/>
  <c r="O118" i="171"/>
  <c r="N119" i="171"/>
  <c r="O119" i="171"/>
  <c r="N120" i="171"/>
  <c r="O120" i="171"/>
  <c r="N121" i="171"/>
  <c r="O121" i="171"/>
  <c r="N122" i="171"/>
  <c r="O122" i="171"/>
  <c r="N123" i="171"/>
  <c r="O123" i="171"/>
  <c r="N124" i="171"/>
  <c r="O124" i="171"/>
  <c r="N125" i="171"/>
  <c r="O125" i="171"/>
  <c r="N126" i="171"/>
  <c r="O126" i="171"/>
  <c r="N127" i="171"/>
  <c r="K110" i="70"/>
  <c r="O127" i="171"/>
  <c r="N128" i="171"/>
  <c r="O128" i="171"/>
  <c r="N129" i="171"/>
  <c r="O129" i="171"/>
  <c r="N130" i="171"/>
  <c r="O130" i="171"/>
  <c r="N131" i="171"/>
  <c r="O131" i="171"/>
  <c r="N132" i="171"/>
  <c r="O132" i="171"/>
  <c r="N133" i="171"/>
  <c r="O133" i="171"/>
  <c r="N134" i="171"/>
  <c r="O134" i="171"/>
  <c r="N135" i="171"/>
  <c r="O135" i="171"/>
  <c r="N136" i="171"/>
  <c r="O136" i="171"/>
  <c r="N137" i="171"/>
  <c r="O137" i="171"/>
  <c r="N139" i="171"/>
  <c r="O139" i="171"/>
  <c r="N140" i="171"/>
  <c r="O140" i="171"/>
  <c r="N141" i="171"/>
  <c r="O141" i="171"/>
  <c r="N142" i="171"/>
  <c r="O142" i="171"/>
  <c r="N143" i="171"/>
  <c r="K128" i="70"/>
  <c r="O143" i="171"/>
  <c r="N144" i="171"/>
  <c r="O144" i="171"/>
  <c r="N145" i="171"/>
  <c r="O145" i="171"/>
  <c r="N146" i="171"/>
  <c r="O146" i="171"/>
  <c r="N147" i="171"/>
  <c r="O147" i="171"/>
  <c r="N148" i="171"/>
  <c r="O148" i="171"/>
  <c r="N149" i="171"/>
  <c r="O149" i="171"/>
  <c r="N150" i="171"/>
  <c r="O150" i="171"/>
  <c r="N151" i="171"/>
  <c r="O151" i="171"/>
  <c r="N152" i="171"/>
  <c r="K137" i="70"/>
  <c r="O152" i="171"/>
  <c r="N153" i="171"/>
  <c r="K138" i="70"/>
  <c r="O153" i="171"/>
  <c r="N155" i="171"/>
  <c r="O155" i="171"/>
  <c r="N156" i="171"/>
  <c r="O156" i="171"/>
  <c r="N157" i="171"/>
  <c r="O157" i="171"/>
  <c r="N158" i="171"/>
  <c r="O158" i="171"/>
  <c r="N159" i="171"/>
  <c r="O159" i="171"/>
  <c r="N160" i="171"/>
  <c r="K146" i="70"/>
  <c r="O160" i="171"/>
  <c r="N161" i="171"/>
  <c r="O161" i="171"/>
  <c r="N162" i="171"/>
  <c r="O162" i="171"/>
  <c r="N163" i="171"/>
  <c r="O163" i="171"/>
  <c r="N164" i="171"/>
  <c r="O164" i="171"/>
  <c r="N165" i="171"/>
  <c r="K151" i="70"/>
  <c r="O165" i="171"/>
  <c r="N166" i="171"/>
  <c r="K152" i="70"/>
  <c r="O166" i="171"/>
  <c r="N167" i="171"/>
  <c r="O167" i="171"/>
  <c r="N168" i="171"/>
  <c r="O168" i="171"/>
  <c r="N170" i="171"/>
  <c r="O170" i="171"/>
  <c r="N174" i="171"/>
  <c r="O174" i="171"/>
  <c r="N175" i="171"/>
  <c r="O175" i="171"/>
  <c r="N176" i="171"/>
  <c r="O176" i="171"/>
  <c r="N179" i="171"/>
  <c r="O179" i="171"/>
  <c r="N180" i="171"/>
  <c r="O180" i="171"/>
  <c r="N181" i="171"/>
  <c r="O181" i="171"/>
  <c r="N182" i="171"/>
  <c r="O182" i="171"/>
  <c r="N183" i="171"/>
  <c r="O183" i="171"/>
  <c r="N184" i="171"/>
  <c r="O184" i="171"/>
  <c r="N185" i="171"/>
  <c r="O185" i="171"/>
  <c r="N187" i="171"/>
  <c r="O187" i="171"/>
  <c r="N190" i="171"/>
  <c r="O190" i="171"/>
  <c r="N191" i="171"/>
  <c r="O191" i="171"/>
  <c r="N192" i="171"/>
  <c r="O192" i="171"/>
  <c r="N193" i="171"/>
  <c r="O193" i="171"/>
  <c r="N195" i="171"/>
  <c r="O195" i="171"/>
  <c r="N196" i="171"/>
  <c r="O196" i="171"/>
  <c r="N197" i="171"/>
  <c r="O197" i="171"/>
  <c r="N198" i="171"/>
  <c r="O198" i="171"/>
  <c r="N199" i="171"/>
  <c r="O199" i="171"/>
  <c r="N200" i="171"/>
  <c r="O200" i="171"/>
  <c r="N201" i="171"/>
  <c r="O201" i="171"/>
  <c r="N202" i="171"/>
  <c r="O202" i="171"/>
  <c r="N203" i="171"/>
  <c r="O203" i="171"/>
  <c r="N204" i="171"/>
  <c r="O204" i="171"/>
  <c r="N205" i="171"/>
  <c r="O205" i="171"/>
  <c r="F222" i="158"/>
  <c r="G222" i="158"/>
  <c r="H222" i="158"/>
  <c r="I222" i="158"/>
  <c r="J222" i="158"/>
  <c r="K222" i="158"/>
  <c r="F223" i="158"/>
  <c r="G223" i="158"/>
  <c r="H223" i="158"/>
  <c r="I223" i="158"/>
  <c r="J223" i="158"/>
  <c r="J224" i="158" s="1"/>
  <c r="K223" i="158"/>
  <c r="F2" i="168"/>
  <c r="G2" i="168" s="1"/>
  <c r="H2" i="168" s="1"/>
  <c r="I2" i="168" s="1"/>
  <c r="J2" i="168" s="1"/>
  <c r="K2" i="168" s="1"/>
  <c r="L2" i="168" s="1"/>
  <c r="M2" i="168" s="1"/>
  <c r="N2" i="168" s="1"/>
  <c r="O2" i="168" s="1"/>
  <c r="P2" i="168" s="1"/>
  <c r="Q2" i="168" s="1"/>
  <c r="R2" i="168" s="1"/>
  <c r="S2" i="168" s="1"/>
  <c r="T2" i="168" s="1"/>
  <c r="U2" i="168" s="1"/>
  <c r="V2" i="168" s="1"/>
  <c r="W2" i="168" s="1"/>
  <c r="X2" i="168" s="1"/>
  <c r="Y2" i="168" s="1"/>
  <c r="C7" i="168"/>
  <c r="C8" i="168"/>
  <c r="C10" i="168"/>
  <c r="C11" i="168"/>
  <c r="C13" i="168"/>
  <c r="C14" i="168"/>
  <c r="C16" i="168"/>
  <c r="C17" i="168"/>
  <c r="C19" i="168"/>
  <c r="C20" i="168"/>
  <c r="C22" i="168"/>
  <c r="C23" i="168"/>
  <c r="C25" i="168"/>
  <c r="C26" i="168"/>
  <c r="C28" i="168"/>
  <c r="C29" i="168"/>
  <c r="C31" i="168"/>
  <c r="C32" i="168"/>
  <c r="C34" i="168"/>
  <c r="C35" i="168"/>
  <c r="C37" i="168"/>
  <c r="C38" i="168"/>
  <c r="C40" i="168"/>
  <c r="C41" i="168"/>
  <c r="C44" i="168"/>
  <c r="W44" i="168"/>
  <c r="C45" i="168"/>
  <c r="C7" i="159"/>
  <c r="C17" i="159" s="1"/>
  <c r="D7" i="159"/>
  <c r="E7" i="159"/>
  <c r="E17" i="159" s="1"/>
  <c r="F7" i="159"/>
  <c r="F17" i="159" s="1"/>
  <c r="G7" i="159"/>
  <c r="G17" i="159" s="1"/>
  <c r="D17" i="159"/>
  <c r="C26" i="159"/>
  <c r="D26" i="159"/>
  <c r="E26" i="159"/>
  <c r="F26" i="159"/>
  <c r="G26" i="159"/>
  <c r="C31" i="159"/>
  <c r="D31" i="159"/>
  <c r="E31" i="159"/>
  <c r="F31" i="159"/>
  <c r="G31" i="159"/>
  <c r="D34" i="159"/>
  <c r="D37" i="159"/>
  <c r="C39" i="159"/>
  <c r="E39" i="159"/>
  <c r="F39" i="159"/>
  <c r="F47" i="159" s="1"/>
  <c r="F55" i="159" s="1"/>
  <c r="G39" i="159"/>
  <c r="C44" i="159"/>
  <c r="C47" i="159" s="1"/>
  <c r="D44" i="159"/>
  <c r="E44" i="159"/>
  <c r="F44" i="159"/>
  <c r="G44" i="159"/>
  <c r="G47" i="159" s="1"/>
  <c r="C53" i="159"/>
  <c r="D53" i="159"/>
  <c r="E53" i="159"/>
  <c r="I52" i="159" s="1"/>
  <c r="F53" i="159"/>
  <c r="G53" i="159"/>
  <c r="E62" i="159"/>
  <c r="E63" i="159"/>
  <c r="E64" i="159"/>
  <c r="E65" i="159"/>
  <c r="E66" i="159"/>
  <c r="D76" i="159"/>
  <c r="D46" i="159" s="1"/>
  <c r="D81" i="159"/>
  <c r="D86" i="159"/>
  <c r="D35" i="159" s="1"/>
  <c r="D91" i="159"/>
  <c r="D36" i="159" s="1"/>
  <c r="D96" i="159"/>
  <c r="C11" i="19"/>
  <c r="C12" i="19"/>
  <c r="C11" i="91"/>
  <c r="C11" i="90"/>
  <c r="C11" i="89"/>
  <c r="C11" i="88"/>
  <c r="C11" i="87"/>
  <c r="C11" i="86"/>
  <c r="C12" i="86" s="1"/>
  <c r="C11" i="85"/>
  <c r="C12" i="85" s="1"/>
  <c r="AD199" i="172"/>
  <c r="T161" i="172"/>
  <c r="L231" i="172"/>
  <c r="AB231" i="172"/>
  <c r="O232" i="172"/>
  <c r="AI161" i="172"/>
  <c r="S161" i="172"/>
  <c r="K161" i="172"/>
  <c r="J232" i="172"/>
  <c r="V232" i="172"/>
  <c r="AD232" i="172"/>
  <c r="AL232" i="172"/>
  <c r="Z161" i="172"/>
  <c r="R161" i="172"/>
  <c r="N161" i="172"/>
  <c r="O231" i="172"/>
  <c r="W231" i="172"/>
  <c r="AE231" i="172"/>
  <c r="AM231" i="172"/>
  <c r="AC144" i="172"/>
  <c r="AH32" i="172"/>
  <c r="Z32" i="172"/>
  <c r="N32" i="172"/>
  <c r="AL32" i="172"/>
  <c r="AD32" i="172"/>
  <c r="V32" i="172"/>
  <c r="R32" i="172"/>
  <c r="AK32" i="172"/>
  <c r="AG32" i="172"/>
  <c r="AC32" i="172"/>
  <c r="U32" i="172"/>
  <c r="Q32" i="172"/>
  <c r="M32" i="172"/>
  <c r="C84" i="172"/>
  <c r="C171" i="172" s="1"/>
  <c r="E190" i="172"/>
  <c r="F161" i="172"/>
  <c r="H84" i="172"/>
  <c r="F119" i="172"/>
  <c r="G190" i="172"/>
  <c r="E171" i="172"/>
  <c r="F135" i="172"/>
  <c r="C142" i="172"/>
  <c r="C135" i="172"/>
  <c r="E135" i="172"/>
  <c r="K85" i="172"/>
  <c r="J18" i="186"/>
  <c r="K18" i="186"/>
  <c r="H60" i="181"/>
  <c r="M20" i="181"/>
  <c r="M86" i="181" s="1"/>
  <c r="F173" i="172"/>
  <c r="E119" i="172"/>
  <c r="E122" i="172" s="1"/>
  <c r="F190" i="172"/>
  <c r="N18" i="186"/>
  <c r="L85" i="172"/>
  <c r="P20" i="181"/>
  <c r="P86" i="181" s="1"/>
  <c r="Q20" i="181"/>
  <c r="Q86" i="181" s="1"/>
  <c r="T188" i="28"/>
  <c r="M16" i="70"/>
  <c r="O18" i="186"/>
  <c r="V190" i="28"/>
  <c r="N16" i="70"/>
  <c r="O16" i="70"/>
  <c r="X188" i="28"/>
  <c r="P16" i="70"/>
  <c r="S18" i="186"/>
  <c r="U20" i="181"/>
  <c r="U86" i="181" s="1"/>
  <c r="Q16" i="70"/>
  <c r="Z190" i="28"/>
  <c r="R16" i="70"/>
  <c r="S16" i="70"/>
  <c r="T16" i="70"/>
  <c r="U16" i="70"/>
  <c r="V16" i="70"/>
  <c r="W16" i="70"/>
  <c r="H29" i="176"/>
  <c r="H51" i="181" s="1"/>
  <c r="Q181" i="175"/>
  <c r="R181" i="175" s="1"/>
  <c r="P193" i="28"/>
  <c r="Q180" i="175"/>
  <c r="R180" i="175" s="1"/>
  <c r="D219" i="202"/>
  <c r="F219" i="202" s="1"/>
  <c r="D232" i="202"/>
  <c r="F232" i="202" s="1"/>
  <c r="D229" i="202"/>
  <c r="F229" i="202" s="1"/>
  <c r="D170" i="202"/>
  <c r="F170" i="202"/>
  <c r="D176" i="202"/>
  <c r="F176" i="202" s="1"/>
  <c r="D182" i="202"/>
  <c r="F182" i="202" s="1"/>
  <c r="C10" i="203"/>
  <c r="J29" i="203"/>
  <c r="J30" i="203" s="1"/>
  <c r="J19" i="203" s="1"/>
  <c r="AM94" i="172"/>
  <c r="M95" i="172"/>
  <c r="N18" i="70" s="1"/>
  <c r="AC94" i="172"/>
  <c r="AA94" i="172"/>
  <c r="H29" i="203"/>
  <c r="H30" i="203" s="1"/>
  <c r="H19" i="203" s="1"/>
  <c r="AE94" i="172"/>
  <c r="AO94" i="172"/>
  <c r="P53" i="181"/>
  <c r="N89" i="186"/>
  <c r="G54" i="44"/>
  <c r="G48" i="44"/>
  <c r="G39" i="44"/>
  <c r="G45" i="44"/>
  <c r="G168" i="13"/>
  <c r="G197" i="13" s="1"/>
  <c r="J264" i="16"/>
  <c r="F53" i="207" s="1"/>
  <c r="K232" i="16"/>
  <c r="G32" i="157"/>
  <c r="G22" i="181" s="1"/>
  <c r="G121" i="181" s="1"/>
  <c r="G31" i="157"/>
  <c r="G30" i="157"/>
  <c r="G29" i="157"/>
  <c r="H27" i="181"/>
  <c r="H98" i="181" s="1"/>
  <c r="E49" i="96"/>
  <c r="D46" i="115" s="1"/>
  <c r="E232" i="34"/>
  <c r="N89" i="93"/>
  <c r="H85" i="93"/>
  <c r="N85" i="93"/>
  <c r="J85" i="93"/>
  <c r="J83" i="93"/>
  <c r="J59" i="93"/>
  <c r="G89" i="93"/>
  <c r="O87" i="93"/>
  <c r="I87" i="93"/>
  <c r="G85" i="93"/>
  <c r="O83" i="93"/>
  <c r="I83" i="93"/>
  <c r="O59" i="93"/>
  <c r="I59" i="93"/>
  <c r="G57" i="93"/>
  <c r="E38" i="107"/>
  <c r="E30" i="107"/>
  <c r="N87" i="93"/>
  <c r="H87" i="93"/>
  <c r="N83" i="93"/>
  <c r="H83" i="93"/>
  <c r="N59" i="93"/>
  <c r="H59" i="93"/>
  <c r="E39" i="107"/>
  <c r="O89" i="93"/>
  <c r="I89" i="93"/>
  <c r="O85" i="93"/>
  <c r="O57" i="93"/>
  <c r="I57" i="93"/>
  <c r="D21" i="100"/>
  <c r="D23" i="166"/>
  <c r="O23" i="78"/>
  <c r="D17" i="100"/>
  <c r="D26" i="166"/>
  <c r="D23" i="100"/>
  <c r="D19" i="100"/>
  <c r="O21" i="78"/>
  <c r="O17" i="78"/>
  <c r="D22" i="100"/>
  <c r="D18" i="100"/>
  <c r="D16" i="100"/>
  <c r="P12" i="105"/>
  <c r="W12" i="93"/>
  <c r="G12" i="105"/>
  <c r="H12" i="93"/>
  <c r="Q12" i="105"/>
  <c r="N13" i="106"/>
  <c r="E22" i="165" s="1"/>
  <c r="Q13" i="106"/>
  <c r="E27" i="165" s="1"/>
  <c r="P13" i="106"/>
  <c r="E26" i="165" s="1"/>
  <c r="S12" i="105"/>
  <c r="O12" i="105"/>
  <c r="W13" i="106"/>
  <c r="E33" i="165"/>
  <c r="S13" i="106"/>
  <c r="E29" i="165"/>
  <c r="T13" i="106"/>
  <c r="E30" i="165"/>
  <c r="L302" i="34"/>
  <c r="H55" i="214" s="1"/>
  <c r="K302" i="34"/>
  <c r="G55" i="214" s="1"/>
  <c r="J302" i="34"/>
  <c r="F55" i="214" s="1"/>
  <c r="AO226" i="172"/>
  <c r="AO199" i="172" s="1"/>
  <c r="AO118" i="172"/>
  <c r="AA180" i="172"/>
  <c r="AA161" i="172"/>
  <c r="AM206" i="172"/>
  <c r="AE161" i="172"/>
  <c r="AM161" i="172"/>
  <c r="X180" i="172"/>
  <c r="X233" i="172" s="1"/>
  <c r="X206" i="172"/>
  <c r="X161" i="172"/>
  <c r="AB206" i="172"/>
  <c r="AJ233" i="172"/>
  <c r="AJ206" i="172"/>
  <c r="L233" i="172"/>
  <c r="AH118" i="172"/>
  <c r="J220" i="172"/>
  <c r="J224" i="172"/>
  <c r="J226" i="172" s="1"/>
  <c r="J199" i="172" s="1"/>
  <c r="M180" i="172"/>
  <c r="M161" i="172"/>
  <c r="J180" i="172"/>
  <c r="J206" i="172" s="1"/>
  <c r="J161" i="172"/>
  <c r="AK180" i="172"/>
  <c r="AK233" i="172" s="1"/>
  <c r="AK161" i="172"/>
  <c r="S233" i="172"/>
  <c r="S206" i="172"/>
  <c r="V161" i="172"/>
  <c r="V180" i="172"/>
  <c r="V233" i="172" s="1"/>
  <c r="AD180" i="172"/>
  <c r="AD161" i="172"/>
  <c r="P161" i="172"/>
  <c r="P180" i="172"/>
  <c r="P206" i="172" s="1"/>
  <c r="T233" i="172"/>
  <c r="AM220" i="172"/>
  <c r="AM224" i="172" s="1"/>
  <c r="AM226" i="172" s="1"/>
  <c r="AM199" i="172" s="1"/>
  <c r="AM118" i="172"/>
  <c r="Y180" i="172"/>
  <c r="Y233" i="172" s="1"/>
  <c r="Y161" i="172"/>
  <c r="AC161" i="172"/>
  <c r="AC180" i="172"/>
  <c r="N118" i="172"/>
  <c r="V118" i="172"/>
  <c r="AD118" i="172"/>
  <c r="L161" i="172"/>
  <c r="AM233" i="172"/>
  <c r="AE233" i="172"/>
  <c r="O206" i="172"/>
  <c r="K224" i="172"/>
  <c r="K226" i="172" s="1"/>
  <c r="K199" i="172" s="1"/>
  <c r="S224" i="172"/>
  <c r="S226" i="172" s="1"/>
  <c r="S199" i="172" s="1"/>
  <c r="AA224" i="172"/>
  <c r="AA226" i="172" s="1"/>
  <c r="AI224" i="172"/>
  <c r="AI226" i="172" s="1"/>
  <c r="AI199" i="172" s="1"/>
  <c r="AJ118" i="172"/>
  <c r="AG161" i="172"/>
  <c r="AG180" i="172"/>
  <c r="AN180" i="172"/>
  <c r="AN206" i="172" s="1"/>
  <c r="AD233" i="172"/>
  <c r="AK206" i="172"/>
  <c r="L220" i="172"/>
  <c r="L224" i="172" s="1"/>
  <c r="L226" i="172" s="1"/>
  <c r="L199" i="172" s="1"/>
  <c r="L118" i="172"/>
  <c r="P220" i="172"/>
  <c r="P224" i="172"/>
  <c r="P226" i="172" s="1"/>
  <c r="P199" i="172" s="1"/>
  <c r="P118" i="172"/>
  <c r="T220" i="172"/>
  <c r="T224" i="172" s="1"/>
  <c r="T118" i="172"/>
  <c r="X220" i="172"/>
  <c r="X224" i="172" s="1"/>
  <c r="X226" i="172" s="1"/>
  <c r="X199" i="172" s="1"/>
  <c r="X118" i="172"/>
  <c r="AB220" i="172"/>
  <c r="AB224" i="172" s="1"/>
  <c r="AB226" i="172" s="1"/>
  <c r="AB199" i="172" s="1"/>
  <c r="AB118" i="172"/>
  <c r="AF220" i="172"/>
  <c r="AF224" i="172" s="1"/>
  <c r="AF226" i="172" s="1"/>
  <c r="AF199" i="172" s="1"/>
  <c r="AF118" i="172"/>
  <c r="AN220" i="172"/>
  <c r="AN224" i="172"/>
  <c r="AN226" i="172" s="1"/>
  <c r="AN118" i="172"/>
  <c r="K206" i="172"/>
  <c r="K233" i="172"/>
  <c r="N206" i="172"/>
  <c r="AL206" i="172"/>
  <c r="AL233" i="172"/>
  <c r="M220" i="172"/>
  <c r="M224" i="172"/>
  <c r="M226" i="172" s="1"/>
  <c r="M199" i="172" s="1"/>
  <c r="M118" i="172"/>
  <c r="Q220" i="172"/>
  <c r="Q224" i="172" s="1"/>
  <c r="Q226" i="172" s="1"/>
  <c r="Q199" i="172" s="1"/>
  <c r="Q118" i="172"/>
  <c r="U220" i="172"/>
  <c r="U224" i="172"/>
  <c r="U226" i="172" s="1"/>
  <c r="U199" i="172" s="1"/>
  <c r="U118" i="172"/>
  <c r="Y220" i="172"/>
  <c r="Y224" i="172" s="1"/>
  <c r="Y226" i="172" s="1"/>
  <c r="Y118" i="172"/>
  <c r="AC220" i="172"/>
  <c r="AC224" i="172"/>
  <c r="AC226" i="172" s="1"/>
  <c r="AC199" i="172" s="1"/>
  <c r="AC118" i="172"/>
  <c r="AG220" i="172"/>
  <c r="AG224" i="172" s="1"/>
  <c r="AG226" i="172" s="1"/>
  <c r="AG199" i="172" s="1"/>
  <c r="AG118" i="172"/>
  <c r="AK220" i="172"/>
  <c r="AK224" i="172" s="1"/>
  <c r="AK226" i="172" s="1"/>
  <c r="AK199" i="172" s="1"/>
  <c r="AK118" i="172"/>
  <c r="Q161" i="172"/>
  <c r="Q180" i="172"/>
  <c r="W180" i="172"/>
  <c r="W233" i="172" s="1"/>
  <c r="W161" i="172"/>
  <c r="Z206" i="172"/>
  <c r="Z233" i="172"/>
  <c r="AH180" i="172"/>
  <c r="AH233" i="172" s="1"/>
  <c r="AH161" i="172"/>
  <c r="R233" i="172"/>
  <c r="K118" i="172"/>
  <c r="O118" i="172"/>
  <c r="S118" i="172"/>
  <c r="W118" i="172"/>
  <c r="AA118" i="172"/>
  <c r="AE118" i="172"/>
  <c r="AI118" i="172"/>
  <c r="AL118" i="172"/>
  <c r="O161" i="172"/>
  <c r="AJ161" i="172"/>
  <c r="AD206" i="172"/>
  <c r="V206" i="172"/>
  <c r="AA199" i="172"/>
  <c r="W206" i="172"/>
  <c r="Y199" i="172"/>
  <c r="AN233" i="172"/>
  <c r="AN199" i="172"/>
  <c r="T226" i="172"/>
  <c r="T199" i="172" s="1"/>
  <c r="K23" i="28"/>
  <c r="K163" i="28" s="1"/>
  <c r="K159" i="28"/>
  <c r="K170" i="28" s="1"/>
  <c r="I58" i="70"/>
  <c r="L62" i="28"/>
  <c r="L165" i="28" s="1"/>
  <c r="G70" i="157" s="1"/>
  <c r="G39" i="181" s="1"/>
  <c r="H57" i="70"/>
  <c r="K62" i="28"/>
  <c r="K165" i="28" s="1"/>
  <c r="G66" i="157"/>
  <c r="G36" i="181" s="1"/>
  <c r="G115" i="181" s="1"/>
  <c r="I17" i="70"/>
  <c r="L23" i="28"/>
  <c r="L163" i="28" s="1"/>
  <c r="I122" i="70"/>
  <c r="L159" i="28"/>
  <c r="L170" i="28" s="1"/>
  <c r="G74" i="157" s="1"/>
  <c r="G43" i="181" s="1"/>
  <c r="F120" i="70"/>
  <c r="F156" i="70" s="1"/>
  <c r="I159" i="28"/>
  <c r="I170" i="28" s="1"/>
  <c r="G52" i="70"/>
  <c r="J62" i="28"/>
  <c r="J165" i="28" s="1"/>
  <c r="L119" i="28"/>
  <c r="L169" i="28" s="1"/>
  <c r="G73" i="157" s="1"/>
  <c r="G42" i="181" s="1"/>
  <c r="K119" i="28"/>
  <c r="K169" i="28" s="1"/>
  <c r="L102" i="28"/>
  <c r="L168" i="28" s="1"/>
  <c r="G72" i="157" s="1"/>
  <c r="G41" i="181" s="1"/>
  <c r="H98" i="70"/>
  <c r="K102" i="28"/>
  <c r="K168" i="28" s="1"/>
  <c r="I71" i="70"/>
  <c r="L83" i="28"/>
  <c r="L166" i="28" s="1"/>
  <c r="F26" i="70"/>
  <c r="I47" i="28"/>
  <c r="I164" i="28" s="1"/>
  <c r="G27" i="70"/>
  <c r="J47" i="28"/>
  <c r="J164" i="28" s="1"/>
  <c r="J159" i="28"/>
  <c r="J170" i="28" s="1"/>
  <c r="F96" i="70"/>
  <c r="I102" i="28"/>
  <c r="I168" i="28" s="1"/>
  <c r="H28" i="70"/>
  <c r="K47" i="28"/>
  <c r="K164" i="28" s="1"/>
  <c r="G94" i="70"/>
  <c r="J102" i="28"/>
  <c r="J168" i="28" s="1"/>
  <c r="G69" i="70"/>
  <c r="J83" i="28"/>
  <c r="J166" i="28" s="1"/>
  <c r="H67" i="70"/>
  <c r="K83" i="28"/>
  <c r="K166" i="28" s="1"/>
  <c r="F51" i="70"/>
  <c r="I62" i="28"/>
  <c r="I165" i="28" s="1"/>
  <c r="F9" i="70"/>
  <c r="I23" i="28"/>
  <c r="I163" i="28" s="1"/>
  <c r="L47" i="28"/>
  <c r="L164" i="28" s="1"/>
  <c r="I11" i="70"/>
  <c r="G64" i="157"/>
  <c r="J23" i="28"/>
  <c r="J163" i="28" s="1"/>
  <c r="G10" i="70"/>
  <c r="C11" i="30"/>
  <c r="C12" i="30" s="1"/>
  <c r="G27" i="157"/>
  <c r="F17" i="30"/>
  <c r="C10" i="163"/>
  <c r="C11" i="163"/>
  <c r="C12" i="163" s="1"/>
  <c r="R62" i="195"/>
  <c r="X56" i="195"/>
  <c r="R55" i="195"/>
  <c r="V65" i="195"/>
  <c r="Q65" i="195"/>
  <c r="O64" i="195"/>
  <c r="G29" i="92"/>
  <c r="D167" i="202"/>
  <c r="D54" i="157"/>
  <c r="D505" i="202"/>
  <c r="F505" i="202" s="1"/>
  <c r="D532" i="202"/>
  <c r="F532" i="202" s="1"/>
  <c r="F62" i="16"/>
  <c r="F104" i="16"/>
  <c r="F114" i="16"/>
  <c r="O71" i="195"/>
  <c r="O70" i="195"/>
  <c r="O55" i="195"/>
  <c r="O67" i="195"/>
  <c r="V71" i="195"/>
  <c r="V70" i="195"/>
  <c r="K65" i="195"/>
  <c r="O56" i="195"/>
  <c r="O62" i="195"/>
  <c r="U67" i="195"/>
  <c r="V66" i="195"/>
  <c r="I67" i="195"/>
  <c r="I55" i="195"/>
  <c r="I64" i="195"/>
  <c r="M56" i="195"/>
  <c r="Q55" i="195"/>
  <c r="U64" i="195"/>
  <c r="L56" i="195"/>
  <c r="W70" i="195"/>
  <c r="S71" i="195"/>
  <c r="S70" i="195"/>
  <c r="S63" i="195"/>
  <c r="S66" i="195"/>
  <c r="S55" i="195"/>
  <c r="K66" i="195"/>
  <c r="K70" i="195"/>
  <c r="D10" i="208"/>
  <c r="D80" i="195"/>
  <c r="D67" i="195" s="1"/>
  <c r="E18" i="195"/>
  <c r="E14" i="195"/>
  <c r="D76" i="195"/>
  <c r="D69" i="195"/>
  <c r="D95" i="195" s="1"/>
  <c r="E95" i="195" s="1"/>
  <c r="E13" i="195"/>
  <c r="E80" i="195"/>
  <c r="F38" i="115"/>
  <c r="F52" i="115"/>
  <c r="C17" i="115"/>
  <c r="C18" i="115" s="1"/>
  <c r="Q53" i="181"/>
  <c r="M50" i="176"/>
  <c r="M53" i="181"/>
  <c r="D101" i="202"/>
  <c r="D80" i="202"/>
  <c r="D78" i="202"/>
  <c r="D123" i="202"/>
  <c r="F123" i="202" s="1"/>
  <c r="D125" i="202"/>
  <c r="F125" i="202" s="1"/>
  <c r="D132" i="202"/>
  <c r="F132" i="202" s="1"/>
  <c r="D126" i="202"/>
  <c r="F126" i="202" s="1"/>
  <c r="D121" i="202"/>
  <c r="F121" i="202" s="1"/>
  <c r="D131" i="202"/>
  <c r="F131" i="202" s="1"/>
  <c r="D127" i="202"/>
  <c r="F127" i="202" s="1"/>
  <c r="D130" i="202"/>
  <c r="F130" i="202" s="1"/>
  <c r="D64" i="202"/>
  <c r="D85" i="202"/>
  <c r="D62" i="202"/>
  <c r="D41" i="202"/>
  <c r="D83" i="202"/>
  <c r="D388" i="202"/>
  <c r="D292" i="202"/>
  <c r="E292" i="202" s="1"/>
  <c r="D95" i="202"/>
  <c r="D32" i="202"/>
  <c r="D493" i="202"/>
  <c r="F493" i="202" s="1"/>
  <c r="D501" i="202"/>
  <c r="D373" i="202"/>
  <c r="F373" i="202" s="1"/>
  <c r="D60" i="202"/>
  <c r="D81" i="202"/>
  <c r="C10" i="202"/>
  <c r="D526" i="202"/>
  <c r="F526" i="202" s="1"/>
  <c r="E19" i="30"/>
  <c r="D61" i="34"/>
  <c r="G17" i="30"/>
  <c r="G26" i="157"/>
  <c r="H17" i="30"/>
  <c r="D58" i="34"/>
  <c r="F19" i="30"/>
  <c r="G28" i="157"/>
  <c r="H19" i="30"/>
  <c r="G19" i="30"/>
  <c r="C12" i="209"/>
  <c r="E17" i="30"/>
  <c r="C15" i="102"/>
  <c r="C18" i="106"/>
  <c r="C16" i="166"/>
  <c r="C16" i="107"/>
  <c r="C17" i="104"/>
  <c r="M14" i="35"/>
  <c r="C18" i="104"/>
  <c r="C13" i="214"/>
  <c r="C14" i="214" s="1"/>
  <c r="C15" i="215"/>
  <c r="E37" i="214"/>
  <c r="C11" i="35"/>
  <c r="J33" i="35"/>
  <c r="E208" i="215"/>
  <c r="E231" i="34"/>
  <c r="D121" i="172"/>
  <c r="N53" i="181"/>
  <c r="T50" i="176"/>
  <c r="R9" i="186"/>
  <c r="N9" i="186"/>
  <c r="J9" i="186"/>
  <c r="D194" i="202"/>
  <c r="F194" i="202" s="1"/>
  <c r="D477" i="202"/>
  <c r="F477" i="202" s="1"/>
  <c r="D479" i="202"/>
  <c r="F479" i="202" s="1"/>
  <c r="D372" i="202"/>
  <c r="F372" i="202" s="1"/>
  <c r="D379" i="202"/>
  <c r="F379" i="202" s="1"/>
  <c r="D377" i="202"/>
  <c r="F377" i="202" s="1"/>
  <c r="D375" i="202"/>
  <c r="D381" i="202"/>
  <c r="F381" i="202" s="1"/>
  <c r="W69" i="195"/>
  <c r="W56" i="195"/>
  <c r="W55" i="195"/>
  <c r="W65" i="195"/>
  <c r="W67" i="195"/>
  <c r="W71" i="195"/>
  <c r="W62" i="195"/>
  <c r="W66" i="195"/>
  <c r="D248" i="202"/>
  <c r="F248" i="202" s="1"/>
  <c r="D251" i="202"/>
  <c r="F251" i="202" s="1"/>
  <c r="D256" i="202"/>
  <c r="F256" i="202" s="1"/>
  <c r="D158" i="202"/>
  <c r="W64" i="195"/>
  <c r="D254" i="202"/>
  <c r="F254" i="202" s="1"/>
  <c r="D508" i="202"/>
  <c r="F508" i="202" s="1"/>
  <c r="D500" i="202"/>
  <c r="F500" i="202" s="1"/>
  <c r="D503" i="202"/>
  <c r="D506" i="202"/>
  <c r="F506" i="202" s="1"/>
  <c r="D328" i="202"/>
  <c r="D318" i="202"/>
  <c r="F318" i="202" s="1"/>
  <c r="D320" i="202"/>
  <c r="D333" i="202"/>
  <c r="F333" i="202" s="1"/>
  <c r="D270" i="202"/>
  <c r="D275" i="202"/>
  <c r="F275" i="202" s="1"/>
  <c r="D276" i="202"/>
  <c r="F276" i="202" s="1"/>
  <c r="D277" i="202"/>
  <c r="F277" i="202" s="1"/>
  <c r="D283" i="202"/>
  <c r="F283" i="202"/>
  <c r="D274" i="202"/>
  <c r="D279" i="202"/>
  <c r="F279" i="202" s="1"/>
  <c r="D267" i="202"/>
  <c r="D523" i="202"/>
  <c r="F523" i="202" s="1"/>
  <c r="D519" i="202"/>
  <c r="F519" i="202" s="1"/>
  <c r="D521" i="202"/>
  <c r="R71" i="195"/>
  <c r="R65" i="195"/>
  <c r="S69" i="195"/>
  <c r="S64" i="195"/>
  <c r="S65" i="195"/>
  <c r="S67" i="195"/>
  <c r="S68" i="195"/>
  <c r="S62" i="195"/>
  <c r="S56" i="195"/>
  <c r="D533" i="202"/>
  <c r="K71" i="195"/>
  <c r="K68" i="195"/>
  <c r="K55" i="195"/>
  <c r="K63" i="195"/>
  <c r="K64" i="195"/>
  <c r="K62" i="195"/>
  <c r="N69" i="195"/>
  <c r="N70" i="195"/>
  <c r="N67" i="195"/>
  <c r="N65" i="195"/>
  <c r="Q67" i="195"/>
  <c r="R68" i="195"/>
  <c r="G66" i="179"/>
  <c r="H63" i="179" s="1"/>
  <c r="R27" i="163"/>
  <c r="V51" i="163"/>
  <c r="H8" i="163"/>
  <c r="I8" i="163" s="1"/>
  <c r="J8" i="163" s="1"/>
  <c r="D502" i="202"/>
  <c r="F502" i="202" s="1"/>
  <c r="D499" i="202"/>
  <c r="D497" i="202"/>
  <c r="F497" i="202" s="1"/>
  <c r="D498" i="202"/>
  <c r="F498" i="202" s="1"/>
  <c r="D496" i="202"/>
  <c r="F496" i="202" s="1"/>
  <c r="D504" i="202"/>
  <c r="D492" i="202"/>
  <c r="E492" i="202" s="1"/>
  <c r="D507" i="202"/>
  <c r="F507" i="202" s="1"/>
  <c r="D494" i="202"/>
  <c r="D495" i="202"/>
  <c r="F495" i="202" s="1"/>
  <c r="D152" i="202"/>
  <c r="F152" i="202" s="1"/>
  <c r="D40" i="157"/>
  <c r="D52" i="157"/>
  <c r="F52" i="157" s="1"/>
  <c r="D224" i="202"/>
  <c r="F224" i="202" s="1"/>
  <c r="D226" i="202"/>
  <c r="F226" i="202" s="1"/>
  <c r="D227" i="202"/>
  <c r="F227" i="202" s="1"/>
  <c r="D222" i="202"/>
  <c r="F222" i="202" s="1"/>
  <c r="D218" i="202"/>
  <c r="F218" i="202" s="1"/>
  <c r="D231" i="202"/>
  <c r="D225" i="202"/>
  <c r="F225" i="202" s="1"/>
  <c r="D221" i="202"/>
  <c r="F221" i="202" s="1"/>
  <c r="D217" i="202"/>
  <c r="D175" i="202"/>
  <c r="F175" i="202" s="1"/>
  <c r="D177" i="202"/>
  <c r="F177" i="202" s="1"/>
  <c r="D173" i="202"/>
  <c r="F173" i="202" s="1"/>
  <c r="D183" i="202"/>
  <c r="D180" i="202"/>
  <c r="F180" i="202" s="1"/>
  <c r="D172" i="202"/>
  <c r="F172" i="202" s="1"/>
  <c r="D168" i="202"/>
  <c r="F168" i="202" s="1"/>
  <c r="D181" i="202"/>
  <c r="F181" i="202"/>
  <c r="D442" i="202"/>
  <c r="E442" i="202" s="1"/>
  <c r="D448" i="202"/>
  <c r="F448" i="202"/>
  <c r="D451" i="202"/>
  <c r="F451" i="202" s="1"/>
  <c r="D443" i="202"/>
  <c r="F443" i="202" s="1"/>
  <c r="D456" i="202"/>
  <c r="F456" i="202" s="1"/>
  <c r="D454" i="202"/>
  <c r="D445" i="202"/>
  <c r="D449" i="202"/>
  <c r="D452" i="202"/>
  <c r="F452" i="202"/>
  <c r="D458" i="202"/>
  <c r="D455" i="202"/>
  <c r="F455" i="202" s="1"/>
  <c r="D534" i="202"/>
  <c r="F534" i="202" s="1"/>
  <c r="D531" i="202"/>
  <c r="D520" i="202"/>
  <c r="F520" i="202" s="1"/>
  <c r="D528" i="202"/>
  <c r="F528" i="202" s="1"/>
  <c r="W68" i="195"/>
  <c r="T68" i="195"/>
  <c r="D444" i="202"/>
  <c r="D518" i="202"/>
  <c r="N68" i="195"/>
  <c r="Q68" i="195"/>
  <c r="I15" i="92"/>
  <c r="J15" i="92" s="1"/>
  <c r="K15" i="92" s="1"/>
  <c r="F231" i="202"/>
  <c r="F494" i="202"/>
  <c r="L15" i="92"/>
  <c r="M15" i="92" s="1"/>
  <c r="N15" i="92" s="1"/>
  <c r="O15" i="92" s="1"/>
  <c r="P15" i="92" s="1"/>
  <c r="Q15" i="92" s="1"/>
  <c r="R15" i="92" s="1"/>
  <c r="S15" i="92" s="1"/>
  <c r="D6" i="177"/>
  <c r="K8" i="163"/>
  <c r="I6" i="180"/>
  <c r="J7" i="13"/>
  <c r="J186" i="13" s="1"/>
  <c r="H7" i="14"/>
  <c r="K7" i="20"/>
  <c r="I6" i="30"/>
  <c r="J7" i="164"/>
  <c r="I8" i="16"/>
  <c r="F121" i="172"/>
  <c r="F442" i="202"/>
  <c r="F292" i="202"/>
  <c r="D202" i="202"/>
  <c r="F202" i="202" s="1"/>
  <c r="D201" i="202"/>
  <c r="F201" i="202" s="1"/>
  <c r="D142" i="202"/>
  <c r="F142" i="202" s="1"/>
  <c r="I69" i="195"/>
  <c r="I66" i="195"/>
  <c r="I62" i="195"/>
  <c r="I63" i="195"/>
  <c r="I70" i="195"/>
  <c r="I56" i="195"/>
  <c r="I71" i="195"/>
  <c r="I68" i="195"/>
  <c r="I65" i="195"/>
  <c r="N66" i="195"/>
  <c r="N62" i="195"/>
  <c r="N64" i="195"/>
  <c r="N71" i="195"/>
  <c r="N55" i="195"/>
  <c r="N56" i="195"/>
  <c r="N63" i="195"/>
  <c r="R66" i="195"/>
  <c r="R69" i="195"/>
  <c r="R56" i="195"/>
  <c r="T71" i="195"/>
  <c r="D467" i="202"/>
  <c r="E467" i="202" s="1"/>
  <c r="D427" i="202"/>
  <c r="F427" i="202" s="1"/>
  <c r="D424" i="202"/>
  <c r="D418" i="202"/>
  <c r="F418" i="202" s="1"/>
  <c r="D421" i="202"/>
  <c r="F421" i="202" s="1"/>
  <c r="D429" i="202"/>
  <c r="F429" i="202" s="1"/>
  <c r="D374" i="202"/>
  <c r="D380" i="202"/>
  <c r="F380" i="202" s="1"/>
  <c r="D382" i="202"/>
  <c r="F382" i="202" s="1"/>
  <c r="D369" i="202"/>
  <c r="F369" i="202" s="1"/>
  <c r="D371" i="202"/>
  <c r="D370" i="202"/>
  <c r="D383" i="202"/>
  <c r="F383" i="202" s="1"/>
  <c r="D376" i="202"/>
  <c r="F376" i="202" s="1"/>
  <c r="D368" i="202"/>
  <c r="D367" i="202"/>
  <c r="E367" i="202" s="1"/>
  <c r="D378" i="202"/>
  <c r="D324" i="202"/>
  <c r="F324" i="202"/>
  <c r="D330" i="202"/>
  <c r="F330" i="202"/>
  <c r="D321" i="202"/>
  <c r="F321" i="202"/>
  <c r="D322" i="202"/>
  <c r="F322" i="202"/>
  <c r="D331" i="202"/>
  <c r="F331" i="202"/>
  <c r="D319" i="202"/>
  <c r="F319" i="202"/>
  <c r="D327" i="202"/>
  <c r="F327" i="202"/>
  <c r="D325" i="202"/>
  <c r="F325" i="202"/>
  <c r="D272" i="202"/>
  <c r="F272" i="202"/>
  <c r="D278" i="202"/>
  <c r="D269" i="202"/>
  <c r="F269" i="202" s="1"/>
  <c r="D271" i="202"/>
  <c r="F271" i="202" s="1"/>
  <c r="D280" i="202"/>
  <c r="F280" i="202" s="1"/>
  <c r="D281" i="202"/>
  <c r="F281" i="202" s="1"/>
  <c r="D273" i="202"/>
  <c r="F273" i="202" s="1"/>
  <c r="D220" i="202"/>
  <c r="D233" i="202"/>
  <c r="F233" i="202" s="1"/>
  <c r="D228" i="202"/>
  <c r="D223" i="202"/>
  <c r="F223" i="202" s="1"/>
  <c r="D230" i="202"/>
  <c r="F230" i="202" s="1"/>
  <c r="D169" i="202"/>
  <c r="F169" i="202" s="1"/>
  <c r="D179" i="202"/>
  <c r="F179" i="202" s="1"/>
  <c r="D171" i="202"/>
  <c r="F171" i="202" s="1"/>
  <c r="D174" i="202"/>
  <c r="D129" i="202"/>
  <c r="F129" i="202" s="1"/>
  <c r="D119" i="202"/>
  <c r="F119" i="202" s="1"/>
  <c r="D124" i="202"/>
  <c r="F124" i="202" s="1"/>
  <c r="D122" i="202"/>
  <c r="F122" i="202" s="1"/>
  <c r="D117" i="202"/>
  <c r="E117" i="202" s="1"/>
  <c r="D118" i="202"/>
  <c r="D133" i="202"/>
  <c r="F133" i="202" s="1"/>
  <c r="D120" i="202"/>
  <c r="D128" i="202"/>
  <c r="D527" i="202"/>
  <c r="F527" i="202" s="1"/>
  <c r="D530" i="202"/>
  <c r="F530" i="202" s="1"/>
  <c r="D529" i="202"/>
  <c r="D522" i="202"/>
  <c r="F522" i="202" s="1"/>
  <c r="D524" i="202"/>
  <c r="D525" i="202"/>
  <c r="F525" i="202" s="1"/>
  <c r="V69" i="195"/>
  <c r="V62" i="195"/>
  <c r="V56" i="195"/>
  <c r="V64" i="195"/>
  <c r="V55" i="195"/>
  <c r="V63" i="195"/>
  <c r="D296" i="202"/>
  <c r="D308" i="202"/>
  <c r="F308" i="202" s="1"/>
  <c r="D306" i="202"/>
  <c r="F306" i="202" s="1"/>
  <c r="F167" i="202"/>
  <c r="E167" i="202"/>
  <c r="D396" i="202"/>
  <c r="D401" i="202"/>
  <c r="F401" i="202" s="1"/>
  <c r="D392" i="202"/>
  <c r="D395" i="202"/>
  <c r="F395" i="202" s="1"/>
  <c r="D393" i="202"/>
  <c r="F393" i="202" s="1"/>
  <c r="D407" i="202"/>
  <c r="F407" i="202" s="1"/>
  <c r="D408" i="202"/>
  <c r="F408" i="202" s="1"/>
  <c r="D400" i="202"/>
  <c r="F400" i="202" s="1"/>
  <c r="D404" i="202"/>
  <c r="F404" i="202" s="1"/>
  <c r="D402" i="202"/>
  <c r="F402" i="202" s="1"/>
  <c r="D398" i="202"/>
  <c r="F398" i="202" s="1"/>
  <c r="D397" i="202"/>
  <c r="F397" i="202" s="1"/>
  <c r="D406" i="202"/>
  <c r="F406" i="202" s="1"/>
  <c r="D399" i="202"/>
  <c r="F399" i="202" s="1"/>
  <c r="D403" i="202"/>
  <c r="F403" i="202" s="1"/>
  <c r="D394" i="202"/>
  <c r="F394" i="202" s="1"/>
  <c r="D405" i="202"/>
  <c r="F405" i="202" s="1"/>
  <c r="D348" i="202"/>
  <c r="F348" i="202" s="1"/>
  <c r="D345" i="202"/>
  <c r="F345" i="202" s="1"/>
  <c r="D344" i="202"/>
  <c r="F344" i="202" s="1"/>
  <c r="D357" i="202"/>
  <c r="F357" i="202" s="1"/>
  <c r="D355" i="202"/>
  <c r="F355" i="202" s="1"/>
  <c r="D358" i="202"/>
  <c r="F358" i="202" s="1"/>
  <c r="L69" i="195"/>
  <c r="L55" i="195"/>
  <c r="L66" i="195"/>
  <c r="L68" i="195"/>
  <c r="P65" i="195"/>
  <c r="P70" i="195"/>
  <c r="F492" i="202"/>
  <c r="F118" i="202"/>
  <c r="T64" i="195"/>
  <c r="T65" i="195"/>
  <c r="D473" i="202"/>
  <c r="F473" i="202" s="1"/>
  <c r="D481" i="202"/>
  <c r="F481" i="202" s="1"/>
  <c r="D478" i="202"/>
  <c r="D469" i="202"/>
  <c r="F469" i="202" s="1"/>
  <c r="D471" i="202"/>
  <c r="F471" i="202" s="1"/>
  <c r="D483" i="202"/>
  <c r="D472" i="202"/>
  <c r="F472" i="202" s="1"/>
  <c r="D470" i="202"/>
  <c r="D476" i="202"/>
  <c r="F476" i="202" s="1"/>
  <c r="D426" i="202"/>
  <c r="F426" i="202"/>
  <c r="D419" i="202"/>
  <c r="F419" i="202" s="1"/>
  <c r="D433" i="202"/>
  <c r="F433" i="202" s="1"/>
  <c r="D432" i="202"/>
  <c r="F432" i="202" s="1"/>
  <c r="D431" i="202"/>
  <c r="F431" i="202" s="1"/>
  <c r="D417" i="202"/>
  <c r="F417" i="202" s="1"/>
  <c r="D428" i="202"/>
  <c r="X70" i="195"/>
  <c r="X69" i="195"/>
  <c r="X63" i="195"/>
  <c r="X71" i="195"/>
  <c r="U56" i="195"/>
  <c r="M67" i="195"/>
  <c r="K69" i="195"/>
  <c r="K67" i="195"/>
  <c r="K56" i="195"/>
  <c r="O69" i="195"/>
  <c r="O63" i="195"/>
  <c r="O66" i="195"/>
  <c r="O65" i="195"/>
  <c r="D329" i="202"/>
  <c r="F329" i="202" s="1"/>
  <c r="D332" i="202"/>
  <c r="F332" i="202" s="1"/>
  <c r="D323" i="202"/>
  <c r="F323" i="202" s="1"/>
  <c r="D317" i="202"/>
  <c r="E317" i="202" s="1"/>
  <c r="D326" i="202"/>
  <c r="F326" i="202" s="1"/>
  <c r="D268" i="202"/>
  <c r="F268" i="202" s="1"/>
  <c r="D282" i="202"/>
  <c r="F282" i="202" s="1"/>
  <c r="F524" i="202"/>
  <c r="F375" i="202"/>
  <c r="J63" i="195"/>
  <c r="J64" i="195"/>
  <c r="J56" i="195"/>
  <c r="F504" i="202"/>
  <c r="F371" i="202"/>
  <c r="V68" i="195"/>
  <c r="V67" i="195"/>
  <c r="D446" i="202"/>
  <c r="D450" i="202"/>
  <c r="F450" i="202" s="1"/>
  <c r="D457" i="202"/>
  <c r="D453" i="202"/>
  <c r="I160" i="70"/>
  <c r="O68" i="195"/>
  <c r="F117" i="202"/>
  <c r="E142" i="202"/>
  <c r="F467" i="202"/>
  <c r="F317" i="202"/>
  <c r="F457" i="202"/>
  <c r="L26" i="181"/>
  <c r="P26" i="181"/>
  <c r="P83" i="181" s="1"/>
  <c r="S26" i="181"/>
  <c r="S83" i="181" s="1"/>
  <c r="T26" i="181"/>
  <c r="D62" i="195"/>
  <c r="E75" i="195"/>
  <c r="D77" i="195"/>
  <c r="E77" i="195" s="1"/>
  <c r="E17" i="195"/>
  <c r="D65" i="195"/>
  <c r="E78" i="195"/>
  <c r="E76" i="195"/>
  <c r="D63" i="195"/>
  <c r="E16" i="195"/>
  <c r="C41" i="195"/>
  <c r="C42" i="195" s="1"/>
  <c r="E19" i="195"/>
  <c r="D81" i="195"/>
  <c r="E81" i="195" s="1"/>
  <c r="E69" i="195"/>
  <c r="D71" i="195"/>
  <c r="E84" i="195"/>
  <c r="E21" i="195"/>
  <c r="D66" i="195"/>
  <c r="E66" i="195" s="1"/>
  <c r="E79" i="195"/>
  <c r="E23" i="195"/>
  <c r="E20" i="195"/>
  <c r="O13" i="217"/>
  <c r="M12" i="105"/>
  <c r="N12" i="93"/>
  <c r="K77" i="70"/>
  <c r="F353" i="36"/>
  <c r="T275" i="34"/>
  <c r="P28" i="214" s="1"/>
  <c r="S275" i="34"/>
  <c r="O28" i="214" s="1"/>
  <c r="R275" i="34"/>
  <c r="N28" i="214" s="1"/>
  <c r="E34" i="103"/>
  <c r="E63" i="103"/>
  <c r="M48" i="35"/>
  <c r="F214" i="36"/>
  <c r="T214" i="36" s="1"/>
  <c r="D88" i="195"/>
  <c r="E88" i="195" s="1"/>
  <c r="E62" i="195"/>
  <c r="D89" i="195"/>
  <c r="E89" i="195" s="1"/>
  <c r="E63" i="195"/>
  <c r="E65" i="195"/>
  <c r="D91" i="195"/>
  <c r="E91" i="195"/>
  <c r="E71" i="195"/>
  <c r="D97" i="195"/>
  <c r="E97" i="195" s="1"/>
  <c r="D68" i="195"/>
  <c r="D94" i="195" s="1"/>
  <c r="E94" i="195" s="1"/>
  <c r="N34" i="208" l="1"/>
  <c r="E90" i="208"/>
  <c r="N32" i="208"/>
  <c r="E88" i="208"/>
  <c r="N35" i="208"/>
  <c r="E91" i="208"/>
  <c r="N33" i="208"/>
  <c r="E89" i="208"/>
  <c r="X98" i="20"/>
  <c r="J58" i="20"/>
  <c r="G82" i="157" s="1"/>
  <c r="I78" i="20"/>
  <c r="I29" i="20"/>
  <c r="E29" i="203"/>
  <c r="E30" i="203" s="1"/>
  <c r="E19" i="203" s="1"/>
  <c r="I29" i="203"/>
  <c r="I30" i="203" s="1"/>
  <c r="I19" i="203" s="1"/>
  <c r="M29" i="203"/>
  <c r="M30" i="203" s="1"/>
  <c r="M19" i="203" s="1"/>
  <c r="F499" i="202"/>
  <c r="F521" i="202"/>
  <c r="I88" i="202"/>
  <c r="U66" i="195"/>
  <c r="M70" i="195"/>
  <c r="U65" i="195"/>
  <c r="F470" i="202"/>
  <c r="D303" i="202"/>
  <c r="F303" i="202" s="1"/>
  <c r="D299" i="202"/>
  <c r="F299" i="202" s="1"/>
  <c r="F529" i="202"/>
  <c r="F120" i="202"/>
  <c r="F174" i="202"/>
  <c r="F220" i="202"/>
  <c r="D150" i="202"/>
  <c r="F150" i="202" s="1"/>
  <c r="D200" i="202"/>
  <c r="D197" i="202"/>
  <c r="F197" i="202" s="1"/>
  <c r="D193" i="202"/>
  <c r="F193" i="202" s="1"/>
  <c r="D207" i="202"/>
  <c r="F207" i="202" s="1"/>
  <c r="M69" i="195"/>
  <c r="F445" i="202"/>
  <c r="D307" i="202"/>
  <c r="F307" i="202" s="1"/>
  <c r="D155" i="202"/>
  <c r="F155" i="202" s="1"/>
  <c r="D147" i="202"/>
  <c r="F147" i="202" s="1"/>
  <c r="D145" i="202"/>
  <c r="F145" i="202" s="1"/>
  <c r="D146" i="202"/>
  <c r="F146" i="202" s="1"/>
  <c r="Q71" i="195"/>
  <c r="F270" i="202"/>
  <c r="F328" i="202"/>
  <c r="D250" i="202"/>
  <c r="F250" i="202" s="1"/>
  <c r="D255" i="202"/>
  <c r="D246" i="202"/>
  <c r="F246" i="202" s="1"/>
  <c r="D199" i="202"/>
  <c r="F199" i="202" s="1"/>
  <c r="D252" i="202"/>
  <c r="F252" i="202" s="1"/>
  <c r="D304" i="202"/>
  <c r="D346" i="202"/>
  <c r="F346" i="202" s="1"/>
  <c r="M62" i="195"/>
  <c r="Q63" i="195"/>
  <c r="U55" i="195"/>
  <c r="D297" i="202"/>
  <c r="F297" i="202" s="1"/>
  <c r="D342" i="202"/>
  <c r="F453" i="202"/>
  <c r="M63" i="195"/>
  <c r="U71" i="195"/>
  <c r="U63" i="195"/>
  <c r="F478" i="202"/>
  <c r="D295" i="202"/>
  <c r="F295" i="202" s="1"/>
  <c r="D302" i="202"/>
  <c r="F302" i="202" s="1"/>
  <c r="F228" i="202"/>
  <c r="F374" i="202"/>
  <c r="F424" i="202"/>
  <c r="D154" i="202"/>
  <c r="F154" i="202" s="1"/>
  <c r="D198" i="202"/>
  <c r="F198" i="202" s="1"/>
  <c r="D203" i="202"/>
  <c r="F203" i="202" s="1"/>
  <c r="D208" i="202"/>
  <c r="F208" i="202" s="1"/>
  <c r="D353" i="202"/>
  <c r="D298" i="202"/>
  <c r="F298" i="202" s="1"/>
  <c r="U68" i="195"/>
  <c r="D151" i="202"/>
  <c r="D153" i="202"/>
  <c r="F153" i="202" s="1"/>
  <c r="D149" i="202"/>
  <c r="F149" i="202" s="1"/>
  <c r="D156" i="202"/>
  <c r="Q56" i="195"/>
  <c r="Q69" i="195"/>
  <c r="F274" i="202"/>
  <c r="F320" i="202"/>
  <c r="F503" i="202"/>
  <c r="D206" i="202"/>
  <c r="F206" i="202" s="1"/>
  <c r="D242" i="202"/>
  <c r="E242" i="202" s="1"/>
  <c r="D249" i="202"/>
  <c r="F249" i="202" s="1"/>
  <c r="D247" i="202"/>
  <c r="D196" i="202"/>
  <c r="F196" i="202" s="1"/>
  <c r="D305" i="202"/>
  <c r="F305" i="202" s="1"/>
  <c r="U62" i="195"/>
  <c r="Q66" i="195"/>
  <c r="M55" i="195"/>
  <c r="U70" i="195"/>
  <c r="D294" i="202"/>
  <c r="F294" i="202" s="1"/>
  <c r="M65" i="195"/>
  <c r="D356" i="202"/>
  <c r="F356" i="202" s="1"/>
  <c r="F367" i="202"/>
  <c r="M66" i="195"/>
  <c r="F428" i="202"/>
  <c r="D343" i="202"/>
  <c r="F343" i="202" s="1"/>
  <c r="D352" i="202"/>
  <c r="F352" i="202" s="1"/>
  <c r="D347" i="202"/>
  <c r="F347" i="202" s="1"/>
  <c r="D354" i="202"/>
  <c r="F354" i="202" s="1"/>
  <c r="D351" i="202"/>
  <c r="F351" i="202" s="1"/>
  <c r="D350" i="202"/>
  <c r="F350" i="202" s="1"/>
  <c r="D300" i="202"/>
  <c r="F128" i="202"/>
  <c r="F278" i="202"/>
  <c r="F378" i="202"/>
  <c r="D157" i="202"/>
  <c r="F157" i="202" s="1"/>
  <c r="D205" i="202"/>
  <c r="F205" i="202" s="1"/>
  <c r="D192" i="202"/>
  <c r="D204" i="202"/>
  <c r="M68" i="195"/>
  <c r="F449" i="202"/>
  <c r="D301" i="202"/>
  <c r="F301" i="202" s="1"/>
  <c r="D144" i="202"/>
  <c r="F144" i="202" s="1"/>
  <c r="D148" i="202"/>
  <c r="F148" i="202" s="1"/>
  <c r="Q64" i="195"/>
  <c r="D243" i="202"/>
  <c r="F243" i="202" s="1"/>
  <c r="D257" i="202"/>
  <c r="Q70" i="195"/>
  <c r="M71" i="195"/>
  <c r="G7" i="157"/>
  <c r="G88" i="157" s="1"/>
  <c r="H88" i="157"/>
  <c r="I90" i="157"/>
  <c r="E69" i="209" s="1"/>
  <c r="I21" i="157"/>
  <c r="G18" i="186" s="1"/>
  <c r="I88" i="157"/>
  <c r="I15" i="30"/>
  <c r="I10" i="30"/>
  <c r="W80" i="20"/>
  <c r="J98" i="20"/>
  <c r="X101" i="20"/>
  <c r="O101" i="20"/>
  <c r="K101" i="20"/>
  <c r="E34" i="177"/>
  <c r="E37" i="177"/>
  <c r="I156" i="70"/>
  <c r="H156" i="70"/>
  <c r="G156" i="70"/>
  <c r="C11" i="175"/>
  <c r="C12" i="175" s="1"/>
  <c r="L67" i="164"/>
  <c r="M67" i="164" s="1"/>
  <c r="N67" i="164" s="1"/>
  <c r="O67" i="164" s="1"/>
  <c r="P67" i="164" s="1"/>
  <c r="Q67" i="164" s="1"/>
  <c r="R67" i="164" s="1"/>
  <c r="S67" i="164" s="1"/>
  <c r="T67" i="164" s="1"/>
  <c r="U67" i="164" s="1"/>
  <c r="V67" i="164" s="1"/>
  <c r="W67" i="164" s="1"/>
  <c r="N230" i="164"/>
  <c r="O230" i="164" s="1"/>
  <c r="P230" i="164" s="1"/>
  <c r="Q230" i="164" s="1"/>
  <c r="R230" i="164" s="1"/>
  <c r="S230" i="164" s="1"/>
  <c r="T230" i="164" s="1"/>
  <c r="U230" i="164" s="1"/>
  <c r="V230" i="164" s="1"/>
  <c r="W230" i="164" s="1"/>
  <c r="L230" i="164"/>
  <c r="M230" i="164" s="1"/>
  <c r="J50" i="164"/>
  <c r="I52" i="16" s="1"/>
  <c r="I70" i="16"/>
  <c r="G12" i="13"/>
  <c r="I163" i="13"/>
  <c r="I192" i="13" s="1"/>
  <c r="F165" i="13"/>
  <c r="F194" i="13" s="1"/>
  <c r="G162" i="13"/>
  <c r="G191" i="13" s="1"/>
  <c r="I117" i="164"/>
  <c r="K18" i="36"/>
  <c r="J19" i="103" s="1"/>
  <c r="R18" i="36"/>
  <c r="Q19" i="103" s="1"/>
  <c r="P34" i="177"/>
  <c r="P35" i="177" s="1"/>
  <c r="S26" i="92" s="1"/>
  <c r="L34" i="177"/>
  <c r="L35" i="177" s="1"/>
  <c r="O26" i="92" s="1"/>
  <c r="H34" i="177"/>
  <c r="H35" i="177" s="1"/>
  <c r="K26" i="92" s="1"/>
  <c r="O34" i="177"/>
  <c r="O44" i="177" s="1"/>
  <c r="O35" i="177"/>
  <c r="R26" i="92" s="1"/>
  <c r="K34" i="177"/>
  <c r="K35" i="177" s="1"/>
  <c r="N26" i="92" s="1"/>
  <c r="G34" i="177"/>
  <c r="G35" i="177" s="1"/>
  <c r="J26" i="92" s="1"/>
  <c r="N34" i="177"/>
  <c r="N35" i="177" s="1"/>
  <c r="Q26" i="92" s="1"/>
  <c r="J34" i="177"/>
  <c r="J44" i="177" s="1"/>
  <c r="J35" i="177"/>
  <c r="M26" i="92" s="1"/>
  <c r="F34" i="177"/>
  <c r="F35" i="177" s="1"/>
  <c r="I26" i="92" s="1"/>
  <c r="M34" i="177"/>
  <c r="M35" i="177" s="1"/>
  <c r="P26" i="92" s="1"/>
  <c r="I34" i="177"/>
  <c r="I44" i="177" s="1"/>
  <c r="I35" i="177"/>
  <c r="L26" i="92" s="1"/>
  <c r="L93" i="186"/>
  <c r="N98" i="20"/>
  <c r="P71" i="175"/>
  <c r="P75" i="175"/>
  <c r="P79" i="175"/>
  <c r="P83" i="175"/>
  <c r="Q83" i="175" s="1"/>
  <c r="R83" i="175" s="1"/>
  <c r="S83" i="175" s="1"/>
  <c r="T83" i="175" s="1"/>
  <c r="U83" i="175" s="1"/>
  <c r="V83" i="175" s="1"/>
  <c r="W83" i="175" s="1"/>
  <c r="X83" i="175" s="1"/>
  <c r="Y83" i="175" s="1"/>
  <c r="Z83" i="175" s="1"/>
  <c r="P69" i="175"/>
  <c r="P77" i="175"/>
  <c r="P70" i="175"/>
  <c r="P82" i="175"/>
  <c r="Q82" i="175" s="1"/>
  <c r="R82" i="175" s="1"/>
  <c r="S82" i="175" s="1"/>
  <c r="T82" i="175" s="1"/>
  <c r="U82" i="175" s="1"/>
  <c r="V82" i="175" s="1"/>
  <c r="W82" i="175" s="1"/>
  <c r="X82" i="175" s="1"/>
  <c r="Y82" i="175" s="1"/>
  <c r="Z82" i="175" s="1"/>
  <c r="P72" i="175"/>
  <c r="P76" i="175"/>
  <c r="P80" i="175"/>
  <c r="Q80" i="175" s="1"/>
  <c r="R80" i="175" s="1"/>
  <c r="S80" i="175" s="1"/>
  <c r="T80" i="175" s="1"/>
  <c r="U80" i="175" s="1"/>
  <c r="V80" i="175" s="1"/>
  <c r="W80" i="175" s="1"/>
  <c r="X80" i="175" s="1"/>
  <c r="Y80" i="175" s="1"/>
  <c r="Z80" i="175" s="1"/>
  <c r="P73" i="175"/>
  <c r="Q73" i="175" s="1"/>
  <c r="R73" i="175" s="1"/>
  <c r="S73" i="175" s="1"/>
  <c r="T73" i="175" s="1"/>
  <c r="U73" i="175" s="1"/>
  <c r="V73" i="175" s="1"/>
  <c r="W73" i="175" s="1"/>
  <c r="X73" i="175" s="1"/>
  <c r="Y73" i="175" s="1"/>
  <c r="Z73" i="175" s="1"/>
  <c r="P81" i="175"/>
  <c r="P74" i="175"/>
  <c r="P78" i="175"/>
  <c r="N91" i="172"/>
  <c r="R12" i="28"/>
  <c r="M83" i="227"/>
  <c r="V91" i="172"/>
  <c r="Z12" i="28"/>
  <c r="W12" i="70" s="1"/>
  <c r="U83" i="227"/>
  <c r="O91" i="172"/>
  <c r="S12" i="28"/>
  <c r="P12" i="70" s="1"/>
  <c r="N83" i="227"/>
  <c r="W91" i="172"/>
  <c r="V83" i="227"/>
  <c r="L91" i="172"/>
  <c r="P12" i="28"/>
  <c r="M12" i="70" s="1"/>
  <c r="K83" i="227"/>
  <c r="P91" i="172"/>
  <c r="T12" i="28"/>
  <c r="O65" i="157" s="1"/>
  <c r="O83" i="227"/>
  <c r="T91" i="172"/>
  <c r="X12" i="28"/>
  <c r="U12" i="70" s="1"/>
  <c r="S83" i="227"/>
  <c r="R91" i="172"/>
  <c r="V12" i="28"/>
  <c r="Q83" i="227"/>
  <c r="S91" i="172"/>
  <c r="W12" i="28"/>
  <c r="T12" i="70" s="1"/>
  <c r="R83" i="227"/>
  <c r="M91" i="172"/>
  <c r="Q12" i="28"/>
  <c r="N12" i="70" s="1"/>
  <c r="L83" i="227"/>
  <c r="Q91" i="172"/>
  <c r="U12" i="28"/>
  <c r="P83" i="227"/>
  <c r="U91" i="172"/>
  <c r="Y12" i="28"/>
  <c r="V12" i="70" s="1"/>
  <c r="T83" i="227"/>
  <c r="M94" i="172"/>
  <c r="L86" i="227"/>
  <c r="Q13" i="28" s="1"/>
  <c r="Q94" i="172"/>
  <c r="P86" i="227"/>
  <c r="U13" i="28" s="1"/>
  <c r="L94" i="172"/>
  <c r="K86" i="227"/>
  <c r="P13" i="28" s="1"/>
  <c r="P94" i="172"/>
  <c r="O86" i="227"/>
  <c r="T13" i="28" s="1"/>
  <c r="T94" i="172"/>
  <c r="S86" i="227"/>
  <c r="X13" i="28" s="1"/>
  <c r="O94" i="172"/>
  <c r="N86" i="227"/>
  <c r="S13" i="28" s="1"/>
  <c r="S94" i="172"/>
  <c r="R86" i="227"/>
  <c r="W13" i="28" s="1"/>
  <c r="W94" i="172"/>
  <c r="V86" i="227"/>
  <c r="F54" i="115"/>
  <c r="G41" i="96"/>
  <c r="G42" i="92"/>
  <c r="H39" i="92" s="1"/>
  <c r="H42" i="92" s="1"/>
  <c r="I39" i="92" s="1"/>
  <c r="L53" i="181"/>
  <c r="U50" i="176"/>
  <c r="Q194" i="28"/>
  <c r="P116" i="175"/>
  <c r="I168" i="175"/>
  <c r="E129" i="34"/>
  <c r="J65" i="195"/>
  <c r="J71" i="195"/>
  <c r="J68" i="195"/>
  <c r="J55" i="195"/>
  <c r="J67" i="195"/>
  <c r="J69" i="195"/>
  <c r="J70" i="195"/>
  <c r="J62" i="195"/>
  <c r="G67" i="179"/>
  <c r="G68" i="179" s="1"/>
  <c r="H31" i="179"/>
  <c r="K144" i="70"/>
  <c r="K149" i="70"/>
  <c r="K147" i="70"/>
  <c r="K145" i="70"/>
  <c r="K142" i="70"/>
  <c r="K134" i="70"/>
  <c r="K135" i="70"/>
  <c r="K127" i="70"/>
  <c r="K126" i="70"/>
  <c r="K121" i="70"/>
  <c r="K111" i="70"/>
  <c r="K99" i="70"/>
  <c r="K83" i="70"/>
  <c r="K82" i="70"/>
  <c r="K90" i="70"/>
  <c r="P88" i="28"/>
  <c r="K85" i="70"/>
  <c r="K71" i="70"/>
  <c r="K60" i="70"/>
  <c r="K54" i="70"/>
  <c r="K55" i="70"/>
  <c r="K43" i="70"/>
  <c r="K38" i="70"/>
  <c r="K112" i="70"/>
  <c r="K109" i="70"/>
  <c r="K81" i="70"/>
  <c r="K75" i="70"/>
  <c r="K74" i="70"/>
  <c r="K70" i="70"/>
  <c r="K68" i="70"/>
  <c r="K61" i="70"/>
  <c r="K56" i="70"/>
  <c r="K51" i="70"/>
  <c r="K41" i="70"/>
  <c r="K39" i="70"/>
  <c r="K34" i="70"/>
  <c r="K30" i="70"/>
  <c r="K32" i="70"/>
  <c r="K28" i="70"/>
  <c r="K114" i="70"/>
  <c r="K155" i="70"/>
  <c r="K154" i="70"/>
  <c r="K136" i="70"/>
  <c r="K132" i="70"/>
  <c r="K101" i="70"/>
  <c r="K96" i="70"/>
  <c r="K62" i="70"/>
  <c r="K53" i="70"/>
  <c r="K52" i="70"/>
  <c r="K42" i="70"/>
  <c r="K35" i="70"/>
  <c r="P14" i="175"/>
  <c r="M91" i="186"/>
  <c r="S50" i="176"/>
  <c r="O53" i="181"/>
  <c r="R53" i="181"/>
  <c r="X45" i="36"/>
  <c r="W43" i="103" s="1"/>
  <c r="AN32" i="172"/>
  <c r="AJ32" i="172"/>
  <c r="AE32" i="172"/>
  <c r="AA32" i="172"/>
  <c r="X32" i="172"/>
  <c r="T32" i="172"/>
  <c r="O32" i="172"/>
  <c r="K32" i="172"/>
  <c r="L15" i="30"/>
  <c r="K32" i="157" s="1"/>
  <c r="I14" i="186" s="1"/>
  <c r="N51" i="163"/>
  <c r="R18" i="186"/>
  <c r="T20" i="181"/>
  <c r="T86" i="181" s="1"/>
  <c r="P112" i="175"/>
  <c r="P110" i="175"/>
  <c r="Q77" i="175"/>
  <c r="R77" i="175" s="1"/>
  <c r="S77" i="175" s="1"/>
  <c r="T77" i="175" s="1"/>
  <c r="U77" i="175" s="1"/>
  <c r="V77" i="175" s="1"/>
  <c r="W77" i="175" s="1"/>
  <c r="X77" i="175" s="1"/>
  <c r="Y77" i="175" s="1"/>
  <c r="Z77" i="175" s="1"/>
  <c r="Q72" i="175"/>
  <c r="R72" i="175" s="1"/>
  <c r="S72" i="175" s="1"/>
  <c r="T72" i="175" s="1"/>
  <c r="U72" i="175" s="1"/>
  <c r="V72" i="175" s="1"/>
  <c r="W72" i="175" s="1"/>
  <c r="X72" i="175" s="1"/>
  <c r="Y72" i="175" s="1"/>
  <c r="Z72" i="175" s="1"/>
  <c r="H91" i="70"/>
  <c r="H166" i="70" s="1"/>
  <c r="G171" i="28"/>
  <c r="D148" i="34"/>
  <c r="E102" i="34"/>
  <c r="D101" i="34"/>
  <c r="G71" i="157"/>
  <c r="G40" i="181" s="1"/>
  <c r="H171" i="28"/>
  <c r="P19" i="175"/>
  <c r="F169" i="70"/>
  <c r="P15" i="175"/>
  <c r="Q76" i="175"/>
  <c r="R76" i="175" s="1"/>
  <c r="S76" i="175" s="1"/>
  <c r="T76" i="175" s="1"/>
  <c r="U76" i="175" s="1"/>
  <c r="V76" i="175" s="1"/>
  <c r="W76" i="175" s="1"/>
  <c r="X76" i="175" s="1"/>
  <c r="Y76" i="175" s="1"/>
  <c r="Z76" i="175" s="1"/>
  <c r="Q70" i="175"/>
  <c r="R70" i="175" s="1"/>
  <c r="S70" i="175" s="1"/>
  <c r="T70" i="175" s="1"/>
  <c r="U70" i="175" s="1"/>
  <c r="V70" i="175" s="1"/>
  <c r="W70" i="175" s="1"/>
  <c r="X70" i="175" s="1"/>
  <c r="Y70" i="175" s="1"/>
  <c r="Z70" i="175" s="1"/>
  <c r="Q79" i="175"/>
  <c r="R79" i="175" s="1"/>
  <c r="S79" i="175" s="1"/>
  <c r="T79" i="175" s="1"/>
  <c r="U79" i="175" s="1"/>
  <c r="V79" i="175" s="1"/>
  <c r="W79" i="175" s="1"/>
  <c r="X79" i="175" s="1"/>
  <c r="Y79" i="175" s="1"/>
  <c r="Z79" i="175" s="1"/>
  <c r="Q71" i="175"/>
  <c r="R71" i="175" s="1"/>
  <c r="S71" i="175" s="1"/>
  <c r="T71" i="175" s="1"/>
  <c r="U71" i="175" s="1"/>
  <c r="V71" i="175" s="1"/>
  <c r="W71" i="175" s="1"/>
  <c r="X71" i="175" s="1"/>
  <c r="Y71" i="175" s="1"/>
  <c r="Z71" i="175" s="1"/>
  <c r="D112" i="34"/>
  <c r="P17" i="175"/>
  <c r="P12" i="175"/>
  <c r="D156" i="34"/>
  <c r="D144" i="34"/>
  <c r="D115" i="34"/>
  <c r="P13" i="175"/>
  <c r="P10" i="175"/>
  <c r="D62" i="34"/>
  <c r="O14" i="28"/>
  <c r="J10" i="70"/>
  <c r="J14" i="70"/>
  <c r="J18" i="70"/>
  <c r="J22" i="70"/>
  <c r="O156" i="28"/>
  <c r="O152" i="28"/>
  <c r="O148" i="28"/>
  <c r="O141" i="28"/>
  <c r="O137" i="28"/>
  <c r="O133" i="28"/>
  <c r="O129" i="28"/>
  <c r="O124" i="28"/>
  <c r="O117" i="28"/>
  <c r="O113" i="28"/>
  <c r="O109" i="28"/>
  <c r="O105" i="28"/>
  <c r="O99" i="28"/>
  <c r="O95" i="28"/>
  <c r="O91" i="28"/>
  <c r="O85" i="28"/>
  <c r="Q85" i="28" s="1"/>
  <c r="R85" i="28" s="1"/>
  <c r="S85" i="28" s="1"/>
  <c r="T85" i="28" s="1"/>
  <c r="U85" i="28" s="1"/>
  <c r="V85" i="28" s="1"/>
  <c r="O79" i="28"/>
  <c r="O75" i="28"/>
  <c r="O71" i="28"/>
  <c r="O67" i="28"/>
  <c r="O61" i="28"/>
  <c r="O57" i="28"/>
  <c r="O53" i="28"/>
  <c r="O49" i="28"/>
  <c r="O43" i="28"/>
  <c r="O39" i="28"/>
  <c r="O35" i="28"/>
  <c r="O31" i="28"/>
  <c r="O27" i="28"/>
  <c r="O11" i="28"/>
  <c r="O17" i="28"/>
  <c r="O21" i="28"/>
  <c r="O18" i="28"/>
  <c r="L18" i="70" s="1"/>
  <c r="J20" i="70"/>
  <c r="O135" i="28"/>
  <c r="O121" i="28"/>
  <c r="O97" i="28"/>
  <c r="O73" i="28"/>
  <c r="O51" i="28"/>
  <c r="O37" i="28"/>
  <c r="O29" i="28"/>
  <c r="O19" i="28"/>
  <c r="L19" i="70" s="1"/>
  <c r="J15" i="70"/>
  <c r="J19" i="70"/>
  <c r="O155" i="28"/>
  <c r="O151" i="28"/>
  <c r="O147" i="28"/>
  <c r="O140" i="28"/>
  <c r="O136" i="28"/>
  <c r="O132" i="28"/>
  <c r="O128" i="28"/>
  <c r="O123" i="28"/>
  <c r="O116" i="28"/>
  <c r="O112" i="28"/>
  <c r="O108" i="28"/>
  <c r="O104" i="28"/>
  <c r="O98" i="28"/>
  <c r="O94" i="28"/>
  <c r="O88" i="28"/>
  <c r="L90" i="70" s="1"/>
  <c r="O82" i="28"/>
  <c r="O78" i="28"/>
  <c r="O74" i="28"/>
  <c r="O70" i="28"/>
  <c r="O66" i="28"/>
  <c r="O60" i="28"/>
  <c r="O56" i="28"/>
  <c r="L58" i="70" s="1"/>
  <c r="O52" i="28"/>
  <c r="O46" i="28"/>
  <c r="O42" i="28"/>
  <c r="O38" i="28"/>
  <c r="O34" i="28"/>
  <c r="O30" i="28"/>
  <c r="O26" i="28"/>
  <c r="L14" i="70"/>
  <c r="O22" i="28"/>
  <c r="J16" i="70"/>
  <c r="O154" i="28"/>
  <c r="O146" i="28"/>
  <c r="O131" i="28"/>
  <c r="O111" i="28"/>
  <c r="O101" i="28"/>
  <c r="O87" i="28"/>
  <c r="O77" i="28"/>
  <c r="O65" i="28"/>
  <c r="O55" i="28"/>
  <c r="O41" i="28"/>
  <c r="O25" i="28"/>
  <c r="J13" i="70"/>
  <c r="J21" i="70"/>
  <c r="O157" i="28"/>
  <c r="O153" i="28"/>
  <c r="O149" i="28"/>
  <c r="O145" i="28"/>
  <c r="O138" i="28"/>
  <c r="O134" i="28"/>
  <c r="O130" i="28"/>
  <c r="O125" i="28"/>
  <c r="O118" i="28"/>
  <c r="O114" i="28"/>
  <c r="O110" i="28"/>
  <c r="O106" i="28"/>
  <c r="O100" i="28"/>
  <c r="O96" i="28"/>
  <c r="O92" i="28"/>
  <c r="O86" i="28"/>
  <c r="Q86" i="28" s="1"/>
  <c r="R86" i="28" s="1"/>
  <c r="S86" i="28" s="1"/>
  <c r="T86" i="28" s="1"/>
  <c r="U86" i="28" s="1"/>
  <c r="V86" i="28" s="1"/>
  <c r="W86" i="28" s="1"/>
  <c r="X86" i="28" s="1"/>
  <c r="Y86" i="28" s="1"/>
  <c r="Z86" i="28" s="1"/>
  <c r="O80" i="28"/>
  <c r="O76" i="28"/>
  <c r="O72" i="28"/>
  <c r="O68" i="28"/>
  <c r="O64" i="28"/>
  <c r="O58" i="28"/>
  <c r="O54" i="28"/>
  <c r="O50" i="28"/>
  <c r="O44" i="28"/>
  <c r="O40" i="28"/>
  <c r="O36" i="28"/>
  <c r="O32" i="28"/>
  <c r="O28" i="28"/>
  <c r="O10" i="28"/>
  <c r="P10" i="28" s="1"/>
  <c r="O16" i="28"/>
  <c r="L16" i="70" s="1"/>
  <c r="O20" i="28"/>
  <c r="L20" i="70" s="1"/>
  <c r="O158" i="28"/>
  <c r="O150" i="28"/>
  <c r="O139" i="28"/>
  <c r="O127" i="28"/>
  <c r="O115" i="28"/>
  <c r="O107" i="28"/>
  <c r="O93" i="28"/>
  <c r="O81" i="28"/>
  <c r="O69" i="28"/>
  <c r="O59" i="28"/>
  <c r="O45" i="28"/>
  <c r="O33" i="28"/>
  <c r="O15" i="28"/>
  <c r="P15" i="28" s="1"/>
  <c r="E57" i="34"/>
  <c r="K92" i="20"/>
  <c r="H80" i="157" s="1"/>
  <c r="N58" i="20"/>
  <c r="K82" i="157" s="1"/>
  <c r="G61" i="209" s="1"/>
  <c r="L14" i="184"/>
  <c r="H14" i="184"/>
  <c r="K36" i="184"/>
  <c r="N113" i="184"/>
  <c r="N115" i="184" s="1"/>
  <c r="V17" i="20"/>
  <c r="BY16" i="44"/>
  <c r="BZ16" i="44" s="1"/>
  <c r="CA16" i="44" s="1"/>
  <c r="CB16" i="44" s="1"/>
  <c r="BN21" i="44"/>
  <c r="BF24" i="44"/>
  <c r="BG24" i="44" s="1"/>
  <c r="BH24" i="44" s="1"/>
  <c r="BI24" i="44" s="1"/>
  <c r="BY15" i="44"/>
  <c r="BZ15" i="44" s="1"/>
  <c r="CA15" i="44" s="1"/>
  <c r="CB15" i="44" s="1"/>
  <c r="BF23" i="44"/>
  <c r="BG23" i="44" s="1"/>
  <c r="BH23" i="44" s="1"/>
  <c r="BI23" i="44" s="1"/>
  <c r="BY19" i="44"/>
  <c r="BZ19" i="44" s="1"/>
  <c r="CA19" i="44" s="1"/>
  <c r="CB19" i="44" s="1"/>
  <c r="BF25" i="44"/>
  <c r="BG25" i="44" s="1"/>
  <c r="BH25" i="44" s="1"/>
  <c r="BI25" i="44" s="1"/>
  <c r="BY18" i="44"/>
  <c r="BZ18" i="44" s="1"/>
  <c r="CA18" i="44" s="1"/>
  <c r="CB18" i="44" s="1"/>
  <c r="BY14" i="44"/>
  <c r="BZ14" i="44" s="1"/>
  <c r="CA14" i="44" s="1"/>
  <c r="CB14" i="44" s="1"/>
  <c r="K48" i="177"/>
  <c r="H44" i="177"/>
  <c r="G226" i="164"/>
  <c r="F200" i="16" s="1"/>
  <c r="L261" i="16"/>
  <c r="H50" i="207" s="1"/>
  <c r="H70" i="202"/>
  <c r="K7" i="13"/>
  <c r="K186" i="13" s="1"/>
  <c r="G7" i="202"/>
  <c r="G70" i="202" s="1"/>
  <c r="I89" i="157"/>
  <c r="E68" i="209" s="1"/>
  <c r="L8" i="163"/>
  <c r="O54" i="163" s="1"/>
  <c r="H28" i="202"/>
  <c r="I7" i="14"/>
  <c r="J6" i="180"/>
  <c r="H91" i="202"/>
  <c r="U54" i="163"/>
  <c r="J160" i="70"/>
  <c r="J8" i="16"/>
  <c r="M174" i="175"/>
  <c r="L6" i="28"/>
  <c r="L177" i="28" s="1"/>
  <c r="L162" i="175"/>
  <c r="K6" i="175"/>
  <c r="K174" i="175" s="1"/>
  <c r="L174" i="175"/>
  <c r="M162" i="175"/>
  <c r="J6" i="30"/>
  <c r="G6" i="70"/>
  <c r="M177" i="28"/>
  <c r="E83" i="195"/>
  <c r="D70" i="195"/>
  <c r="I9" i="30"/>
  <c r="H26" i="157" s="1"/>
  <c r="I11" i="30"/>
  <c r="E417" i="202"/>
  <c r="O44" i="168"/>
  <c r="E44" i="168"/>
  <c r="V45" i="168"/>
  <c r="I78" i="164"/>
  <c r="I80" i="164" s="1"/>
  <c r="H80" i="164"/>
  <c r="G30" i="176"/>
  <c r="G52" i="181" s="1"/>
  <c r="L167" i="175"/>
  <c r="L168" i="175" s="1"/>
  <c r="D70" i="215"/>
  <c r="D100" i="34"/>
  <c r="E33" i="215"/>
  <c r="E63" i="34"/>
  <c r="D56" i="157"/>
  <c r="D55" i="157"/>
  <c r="D53" i="157"/>
  <c r="D46" i="157"/>
  <c r="E46" i="157" s="1"/>
  <c r="D43" i="157"/>
  <c r="E43" i="157" s="1"/>
  <c r="D44" i="157"/>
  <c r="D51" i="157"/>
  <c r="D42" i="157"/>
  <c r="D48" i="157"/>
  <c r="E48" i="157" s="1"/>
  <c r="X66" i="195"/>
  <c r="X62" i="195"/>
  <c r="X67" i="195"/>
  <c r="X68" i="195"/>
  <c r="T62" i="195"/>
  <c r="T67" i="195"/>
  <c r="T70" i="195"/>
  <c r="D468" i="202"/>
  <c r="F468" i="202" s="1"/>
  <c r="D482" i="202"/>
  <c r="F482" i="202" s="1"/>
  <c r="D430" i="202"/>
  <c r="F430" i="202" s="1"/>
  <c r="D422" i="202"/>
  <c r="F422" i="202" s="1"/>
  <c r="L65" i="195"/>
  <c r="L67" i="195"/>
  <c r="L63" i="195"/>
  <c r="L70" i="195"/>
  <c r="L62" i="195"/>
  <c r="L64" i="195"/>
  <c r="P71" i="195"/>
  <c r="P64" i="195"/>
  <c r="P67" i="195"/>
  <c r="P69" i="195"/>
  <c r="F21" i="215"/>
  <c r="F18" i="79"/>
  <c r="D92" i="195"/>
  <c r="E92" i="195" s="1"/>
  <c r="D64" i="195"/>
  <c r="K47" i="70"/>
  <c r="N89" i="28"/>
  <c r="N167" i="28" s="1"/>
  <c r="I14" i="30"/>
  <c r="H31" i="157" s="1"/>
  <c r="X64" i="195"/>
  <c r="X65" i="195"/>
  <c r="D420" i="202"/>
  <c r="F420" i="202" s="1"/>
  <c r="D425" i="202"/>
  <c r="F425" i="202" s="1"/>
  <c r="D480" i="202"/>
  <c r="F480" i="202" s="1"/>
  <c r="D474" i="202"/>
  <c r="F474" i="202" s="1"/>
  <c r="I12" i="30"/>
  <c r="P56" i="195"/>
  <c r="L71" i="195"/>
  <c r="D423" i="202"/>
  <c r="F423" i="202" s="1"/>
  <c r="D475" i="202"/>
  <c r="F475" i="202" s="1"/>
  <c r="D41" i="157"/>
  <c r="D49" i="157"/>
  <c r="C14" i="209"/>
  <c r="C15" i="209" s="1"/>
  <c r="F44" i="16"/>
  <c r="D47" i="157"/>
  <c r="AH206" i="172"/>
  <c r="P233" i="172"/>
  <c r="L45" i="168"/>
  <c r="I224" i="158"/>
  <c r="K224" i="158"/>
  <c r="G224" i="158"/>
  <c r="K150" i="70"/>
  <c r="K125" i="70"/>
  <c r="K124" i="70"/>
  <c r="K37" i="70"/>
  <c r="D135" i="172"/>
  <c r="D144" i="172" s="1"/>
  <c r="D154" i="172" s="1"/>
  <c r="D163" i="172" s="1"/>
  <c r="H168" i="13"/>
  <c r="H197" i="13" s="1"/>
  <c r="H106" i="13"/>
  <c r="G184" i="16" s="1"/>
  <c r="I86" i="164"/>
  <c r="H47" i="13"/>
  <c r="H77" i="164"/>
  <c r="G71" i="16" s="1"/>
  <c r="G70" i="16"/>
  <c r="E93" i="16"/>
  <c r="E139" i="16"/>
  <c r="E141" i="16" s="1"/>
  <c r="E145" i="16" s="1"/>
  <c r="E25" i="16"/>
  <c r="E125" i="16"/>
  <c r="I105" i="70"/>
  <c r="I167" i="70" s="1"/>
  <c r="D34" i="215"/>
  <c r="D64" i="34"/>
  <c r="E51" i="34"/>
  <c r="E50" i="34"/>
  <c r="C190" i="172"/>
  <c r="C119" i="172"/>
  <c r="AC228" i="172"/>
  <c r="AC154" i="172"/>
  <c r="K153" i="70"/>
  <c r="K143" i="70"/>
  <c r="D69" i="215"/>
  <c r="D99" i="34"/>
  <c r="E17" i="215"/>
  <c r="E47" i="34"/>
  <c r="AG86" i="184"/>
  <c r="AG83" i="184"/>
  <c r="E52" i="157"/>
  <c r="H27" i="157"/>
  <c r="K102" i="70"/>
  <c r="L102" i="70"/>
  <c r="G99" i="13"/>
  <c r="F170" i="16" s="1"/>
  <c r="G167" i="13"/>
  <c r="G196" i="13" s="1"/>
  <c r="J137" i="164"/>
  <c r="J165" i="13"/>
  <c r="J194" i="13" s="1"/>
  <c r="E28" i="207" s="1"/>
  <c r="G164" i="13"/>
  <c r="G193" i="13" s="1"/>
  <c r="G75" i="13"/>
  <c r="F126" i="16" s="1"/>
  <c r="K225" i="164"/>
  <c r="J160" i="16"/>
  <c r="N171" i="164"/>
  <c r="O171" i="164" s="1"/>
  <c r="P171" i="164" s="1"/>
  <c r="Q171" i="164" s="1"/>
  <c r="R171" i="164" s="1"/>
  <c r="S171" i="164" s="1"/>
  <c r="T171" i="164" s="1"/>
  <c r="U171" i="164" s="1"/>
  <c r="V171" i="164" s="1"/>
  <c r="W171" i="164" s="1"/>
  <c r="K36" i="70"/>
  <c r="I13" i="30"/>
  <c r="C14" i="163"/>
  <c r="F518" i="202"/>
  <c r="E518" i="202"/>
  <c r="D50" i="157"/>
  <c r="E50" i="157" s="1"/>
  <c r="X55" i="195"/>
  <c r="D45" i="157"/>
  <c r="Y206" i="172"/>
  <c r="J233" i="172"/>
  <c r="C144" i="172"/>
  <c r="C154" i="172" s="1"/>
  <c r="C163" i="172" s="1"/>
  <c r="C12" i="87"/>
  <c r="C13" i="87" s="1"/>
  <c r="G55" i="159"/>
  <c r="C55" i="159"/>
  <c r="G166" i="13"/>
  <c r="G195" i="13" s="1"/>
  <c r="G89" i="13"/>
  <c r="F153" i="16" s="1"/>
  <c r="K226" i="164"/>
  <c r="N226" i="164" s="1"/>
  <c r="O226" i="164" s="1"/>
  <c r="P226" i="164" s="1"/>
  <c r="Q226" i="164" s="1"/>
  <c r="R226" i="164" s="1"/>
  <c r="S226" i="164" s="1"/>
  <c r="T226" i="164" s="1"/>
  <c r="U226" i="164" s="1"/>
  <c r="V226" i="164" s="1"/>
  <c r="W226" i="164" s="1"/>
  <c r="E97" i="16"/>
  <c r="E107" i="16"/>
  <c r="F65" i="16"/>
  <c r="F61" i="16"/>
  <c r="T96" i="20"/>
  <c r="T58" i="20"/>
  <c r="Q82" i="157" s="1"/>
  <c r="M61" i="209" s="1"/>
  <c r="L58" i="20"/>
  <c r="I82" i="157" s="1"/>
  <c r="E61" i="209" s="1"/>
  <c r="L96" i="20"/>
  <c r="H96" i="20"/>
  <c r="H58" i="20"/>
  <c r="R95" i="20"/>
  <c r="R98" i="20" s="1"/>
  <c r="R58" i="20"/>
  <c r="O82" i="157" s="1"/>
  <c r="K61" i="209" s="1"/>
  <c r="E29" i="20"/>
  <c r="E90" i="20"/>
  <c r="I92" i="20"/>
  <c r="E92" i="20"/>
  <c r="D35" i="215"/>
  <c r="D65" i="34"/>
  <c r="E58" i="34"/>
  <c r="E59" i="34"/>
  <c r="K53" i="181"/>
  <c r="K50" i="176"/>
  <c r="G26" i="181"/>
  <c r="G114" i="181" s="1"/>
  <c r="G15" i="176"/>
  <c r="G21" i="176" s="1"/>
  <c r="G23" i="176" s="1"/>
  <c r="C19" i="34"/>
  <c r="C20" i="34" s="1"/>
  <c r="F296" i="202"/>
  <c r="F158" i="202"/>
  <c r="E47" i="159"/>
  <c r="E45" i="168"/>
  <c r="T45" i="168"/>
  <c r="N76" i="164"/>
  <c r="O76" i="164" s="1"/>
  <c r="P76" i="164" s="1"/>
  <c r="Q76" i="164" s="1"/>
  <c r="R76" i="164" s="1"/>
  <c r="S76" i="164" s="1"/>
  <c r="T76" i="164" s="1"/>
  <c r="U76" i="164" s="1"/>
  <c r="V76" i="164" s="1"/>
  <c r="W76" i="164" s="1"/>
  <c r="K77" i="164"/>
  <c r="N77" i="164" s="1"/>
  <c r="O77" i="164" s="1"/>
  <c r="P77" i="164" s="1"/>
  <c r="Q77" i="164" s="1"/>
  <c r="R77" i="164" s="1"/>
  <c r="S77" i="164" s="1"/>
  <c r="T77" i="164" s="1"/>
  <c r="U77" i="164" s="1"/>
  <c r="V77" i="164" s="1"/>
  <c r="W77" i="164" s="1"/>
  <c r="T98" i="20"/>
  <c r="W58" i="20"/>
  <c r="T82" i="157" s="1"/>
  <c r="P61" i="209" s="1"/>
  <c r="W96" i="20"/>
  <c r="W98" i="20" s="1"/>
  <c r="O58" i="20"/>
  <c r="L82" i="157" s="1"/>
  <c r="H61" i="209" s="1"/>
  <c r="O96" i="20"/>
  <c r="O98" i="20" s="1"/>
  <c r="G58" i="20"/>
  <c r="G96" i="20"/>
  <c r="G102" i="20" s="1"/>
  <c r="H29" i="20"/>
  <c r="H90" i="20"/>
  <c r="H102" i="20" s="1"/>
  <c r="W13" i="217"/>
  <c r="T12" i="93"/>
  <c r="F17" i="36"/>
  <c r="U17" i="36" s="1"/>
  <c r="I12" i="35"/>
  <c r="I18" i="35" s="1"/>
  <c r="E38" i="214"/>
  <c r="F396" i="202"/>
  <c r="F204" i="202"/>
  <c r="F458" i="202"/>
  <c r="F242" i="202"/>
  <c r="I50" i="159"/>
  <c r="H53" i="159"/>
  <c r="K104" i="70"/>
  <c r="D161" i="172"/>
  <c r="J166" i="13"/>
  <c r="J195" i="13" s="1"/>
  <c r="E29" i="207" s="1"/>
  <c r="F166" i="13"/>
  <c r="F195" i="13" s="1"/>
  <c r="F89" i="13"/>
  <c r="E153" i="16" s="1"/>
  <c r="H50" i="164"/>
  <c r="G52" i="16" s="1"/>
  <c r="G51" i="16"/>
  <c r="F43" i="16"/>
  <c r="L98" i="20"/>
  <c r="M80" i="20"/>
  <c r="J101" i="20"/>
  <c r="J168" i="175"/>
  <c r="D135" i="215"/>
  <c r="D159" i="34"/>
  <c r="D92" i="215"/>
  <c r="D116" i="34"/>
  <c r="C13" i="176"/>
  <c r="C15" i="176" s="1"/>
  <c r="N118" i="175"/>
  <c r="P18" i="175"/>
  <c r="J181" i="164"/>
  <c r="J167" i="13"/>
  <c r="J196" i="13" s="1"/>
  <c r="E30" i="207" s="1"/>
  <c r="H75" i="13"/>
  <c r="G126" i="16" s="1"/>
  <c r="J163" i="13"/>
  <c r="J192" i="13" s="1"/>
  <c r="E26" i="207" s="1"/>
  <c r="E65" i="16"/>
  <c r="K228" i="16"/>
  <c r="J263" i="16"/>
  <c r="F52" i="207" s="1"/>
  <c r="F90" i="20"/>
  <c r="F102" i="20" s="1"/>
  <c r="G29" i="176"/>
  <c r="G51" i="181" s="1"/>
  <c r="H168" i="175"/>
  <c r="P98" i="175"/>
  <c r="D155" i="34"/>
  <c r="D145" i="34"/>
  <c r="D139" i="34"/>
  <c r="K119" i="172"/>
  <c r="K171" i="172"/>
  <c r="Q215" i="172"/>
  <c r="Q171" i="172"/>
  <c r="Q190" i="172"/>
  <c r="AA215" i="172"/>
  <c r="AA171" i="172"/>
  <c r="AK119" i="172"/>
  <c r="AK171" i="172"/>
  <c r="AK190" i="172"/>
  <c r="F224" i="158"/>
  <c r="H224" i="158"/>
  <c r="H166" i="13"/>
  <c r="H195" i="13" s="1"/>
  <c r="H89" i="13"/>
  <c r="G153" i="16" s="1"/>
  <c r="G82" i="13"/>
  <c r="F140" i="16" s="1"/>
  <c r="G165" i="13"/>
  <c r="G194" i="13" s="1"/>
  <c r="H98" i="20"/>
  <c r="V80" i="20"/>
  <c r="R80" i="20"/>
  <c r="N80" i="20"/>
  <c r="E102" i="20"/>
  <c r="H60" i="20"/>
  <c r="I60" i="20" s="1"/>
  <c r="J60" i="20" s="1"/>
  <c r="K60" i="20" s="1"/>
  <c r="L60" i="20" s="1"/>
  <c r="F101" i="20"/>
  <c r="K168" i="175"/>
  <c r="D89" i="215"/>
  <c r="D113" i="34"/>
  <c r="G91" i="181"/>
  <c r="I160" i="35"/>
  <c r="S210" i="36"/>
  <c r="K182" i="36"/>
  <c r="Z13" i="217"/>
  <c r="V12" i="105"/>
  <c r="E17" i="208"/>
  <c r="D24" i="166"/>
  <c r="G88" i="202"/>
  <c r="M194" i="172"/>
  <c r="Q194" i="172"/>
  <c r="U194" i="172"/>
  <c r="Y194" i="172"/>
  <c r="AC194" i="172"/>
  <c r="AG194" i="172"/>
  <c r="AK194" i="172"/>
  <c r="AO194" i="172"/>
  <c r="O171" i="172"/>
  <c r="O173" i="172" s="1"/>
  <c r="O119" i="172"/>
  <c r="O122" i="172" s="1"/>
  <c r="O197" i="172" s="1"/>
  <c r="U119" i="172"/>
  <c r="U171" i="172"/>
  <c r="U190" i="172"/>
  <c r="F163" i="13"/>
  <c r="F192" i="13" s="1"/>
  <c r="E62" i="16"/>
  <c r="E48" i="16"/>
  <c r="E85" i="16"/>
  <c r="P58" i="20"/>
  <c r="M82" i="157" s="1"/>
  <c r="I61" i="209" s="1"/>
  <c r="S101" i="20"/>
  <c r="K29" i="20"/>
  <c r="M168" i="175"/>
  <c r="G168" i="175"/>
  <c r="G91" i="70"/>
  <c r="G166" i="70" s="1"/>
  <c r="X212" i="36"/>
  <c r="Q198" i="36"/>
  <c r="O196" i="36"/>
  <c r="H194" i="36"/>
  <c r="I32" i="35"/>
  <c r="O13" i="106"/>
  <c r="E23" i="165" s="1"/>
  <c r="P13" i="217"/>
  <c r="C17" i="44"/>
  <c r="C19" i="44" s="1"/>
  <c r="C20" i="44" s="1"/>
  <c r="C22" i="44" s="1"/>
  <c r="D55" i="202"/>
  <c r="D213" i="202"/>
  <c r="AM32" i="172"/>
  <c r="AI32" i="172"/>
  <c r="S171" i="172"/>
  <c r="S173" i="172" s="1"/>
  <c r="S215" i="172"/>
  <c r="S119" i="172"/>
  <c r="S122" i="172" s="1"/>
  <c r="S197" i="172" s="1"/>
  <c r="Y215" i="172"/>
  <c r="Y119" i="172"/>
  <c r="Y122" i="172" s="1"/>
  <c r="Y197" i="172" s="1"/>
  <c r="Y190" i="172"/>
  <c r="W135" i="172"/>
  <c r="AM135" i="172"/>
  <c r="N135" i="172"/>
  <c r="N144" i="172" s="1"/>
  <c r="V135" i="172"/>
  <c r="V144" i="172" s="1"/>
  <c r="K27" i="105"/>
  <c r="C15" i="45"/>
  <c r="C16" i="45" s="1"/>
  <c r="D34" i="202"/>
  <c r="W32" i="172"/>
  <c r="S32" i="172"/>
  <c r="R118" i="172"/>
  <c r="R220" i="172"/>
  <c r="R224" i="172" s="1"/>
  <c r="R226" i="172" s="1"/>
  <c r="R199" i="172" s="1"/>
  <c r="J84" i="172"/>
  <c r="W171" i="172"/>
  <c r="W215" i="172"/>
  <c r="AC119" i="172"/>
  <c r="AC122" i="172" s="1"/>
  <c r="AC197" i="172" s="1"/>
  <c r="AC215" i="172"/>
  <c r="AC190" i="172"/>
  <c r="K76" i="185"/>
  <c r="AA76" i="185"/>
  <c r="M76" i="185"/>
  <c r="AC76" i="185"/>
  <c r="S76" i="185"/>
  <c r="U76" i="185"/>
  <c r="E76" i="185"/>
  <c r="I208" i="36"/>
  <c r="S43" i="36"/>
  <c r="R41" i="103" s="1"/>
  <c r="P37" i="78"/>
  <c r="F25" i="215"/>
  <c r="F22" i="79"/>
  <c r="AF32" i="172"/>
  <c r="AB32" i="172"/>
  <c r="P32" i="172"/>
  <c r="L32" i="172"/>
  <c r="L194" i="172"/>
  <c r="P194" i="172"/>
  <c r="X194" i="172"/>
  <c r="AF194" i="172"/>
  <c r="AN194" i="172"/>
  <c r="Z118" i="172"/>
  <c r="Z220" i="172"/>
  <c r="Z224" i="172" s="1"/>
  <c r="Z226" i="172" s="1"/>
  <c r="Z199" i="172" s="1"/>
  <c r="AM171" i="172"/>
  <c r="AM215" i="172"/>
  <c r="Y174" i="172"/>
  <c r="Y120" i="172"/>
  <c r="AO174" i="172"/>
  <c r="AO120" i="172"/>
  <c r="AE119" i="172"/>
  <c r="AE122" i="172" s="1"/>
  <c r="AE197" i="172" s="1"/>
  <c r="AE135" i="172"/>
  <c r="AC36" i="184"/>
  <c r="AC105" i="184" s="1"/>
  <c r="AC106" i="184" s="1"/>
  <c r="I79" i="184"/>
  <c r="I82" i="184" s="1"/>
  <c r="H67" i="184"/>
  <c r="B68" i="184"/>
  <c r="L36" i="176"/>
  <c r="F116" i="184"/>
  <c r="N29" i="203"/>
  <c r="N30" i="203" s="1"/>
  <c r="N19" i="203" s="1"/>
  <c r="Y94" i="172"/>
  <c r="L87" i="93"/>
  <c r="T101" i="20"/>
  <c r="P44" i="36"/>
  <c r="O42" i="103" s="1"/>
  <c r="F29" i="215"/>
  <c r="F26" i="79"/>
  <c r="J194" i="172"/>
  <c r="N194" i="172"/>
  <c r="R194" i="172"/>
  <c r="V194" i="172"/>
  <c r="Z194" i="172"/>
  <c r="AD194" i="172"/>
  <c r="AH194" i="172"/>
  <c r="AL194" i="172"/>
  <c r="AI190" i="172"/>
  <c r="AI119" i="172"/>
  <c r="AI122" i="172" s="1"/>
  <c r="AI197" i="172" s="1"/>
  <c r="U135" i="172"/>
  <c r="U144" i="172" s="1"/>
  <c r="Y142" i="172"/>
  <c r="G88" i="184"/>
  <c r="G97" i="184" s="1"/>
  <c r="G98" i="184" s="1"/>
  <c r="F27" i="215"/>
  <c r="F24" i="79"/>
  <c r="K194" i="172"/>
  <c r="O194" i="172"/>
  <c r="S194" i="172"/>
  <c r="W194" i="172"/>
  <c r="AA194" i="172"/>
  <c r="AE194" i="172"/>
  <c r="AI194" i="172"/>
  <c r="AM194" i="172"/>
  <c r="AG84" i="172"/>
  <c r="AO84" i="172"/>
  <c r="AG120" i="172"/>
  <c r="AF180" i="172"/>
  <c r="AF161" i="172"/>
  <c r="F122" i="185"/>
  <c r="E9" i="185"/>
  <c r="C39" i="184"/>
  <c r="C113" i="184"/>
  <c r="C115" i="184" s="1"/>
  <c r="C117" i="184" s="1"/>
  <c r="S14" i="184"/>
  <c r="S36" i="184"/>
  <c r="S105" i="184" s="1"/>
  <c r="S106" i="184" s="1"/>
  <c r="W66" i="184"/>
  <c r="W68" i="184" s="1"/>
  <c r="W90" i="184" s="1"/>
  <c r="W65" i="184"/>
  <c r="U66" i="184"/>
  <c r="T66" i="184"/>
  <c r="T68" i="184" s="1"/>
  <c r="E116" i="184"/>
  <c r="K99" i="181"/>
  <c r="AK135" i="172"/>
  <c r="AK144" i="172" s="1"/>
  <c r="L9" i="185"/>
  <c r="M122" i="185"/>
  <c r="I116" i="185"/>
  <c r="H15" i="185"/>
  <c r="Y54" i="186"/>
  <c r="I54" i="186"/>
  <c r="Q54" i="186"/>
  <c r="Y72" i="186"/>
  <c r="S65" i="184"/>
  <c r="S83" i="184" s="1"/>
  <c r="C65" i="184"/>
  <c r="C86" i="184" s="1"/>
  <c r="G39" i="184"/>
  <c r="I36" i="184"/>
  <c r="I105" i="184" s="1"/>
  <c r="I14" i="184"/>
  <c r="Q36" i="184"/>
  <c r="Q105" i="184" s="1"/>
  <c r="Q106" i="184" s="1"/>
  <c r="K113" i="184"/>
  <c r="K115" i="184" s="1"/>
  <c r="AE66" i="184"/>
  <c r="T79" i="184"/>
  <c r="T82" i="184" s="1"/>
  <c r="S67" i="184"/>
  <c r="S68" i="184" s="1"/>
  <c r="S90" i="184" s="1"/>
  <c r="X65" i="184"/>
  <c r="AF65" i="184"/>
  <c r="AF86" i="184" s="1"/>
  <c r="AE67" i="184"/>
  <c r="AE68" i="184" s="1"/>
  <c r="G29" i="203"/>
  <c r="G30" i="203" s="1"/>
  <c r="G19" i="203" s="1"/>
  <c r="AE120" i="172"/>
  <c r="L135" i="172"/>
  <c r="M135" i="172"/>
  <c r="M144" i="172" s="1"/>
  <c r="AD135" i="172"/>
  <c r="AD144" i="172" s="1"/>
  <c r="J142" i="172"/>
  <c r="N142" i="172"/>
  <c r="R142" i="172"/>
  <c r="V142" i="172"/>
  <c r="Z142" i="172"/>
  <c r="AD142" i="172"/>
  <c r="AH142" i="172"/>
  <c r="AL142" i="172"/>
  <c r="I181" i="172"/>
  <c r="H92" i="185"/>
  <c r="I92" i="185" s="1"/>
  <c r="J92" i="185" s="1"/>
  <c r="K92" i="185" s="1"/>
  <c r="L95" i="185" s="1"/>
  <c r="H117" i="185"/>
  <c r="J117" i="185"/>
  <c r="P116" i="185"/>
  <c r="Z7" i="184"/>
  <c r="AE65" i="184"/>
  <c r="AE7" i="184"/>
  <c r="O65" i="184"/>
  <c r="O88" i="184" s="1"/>
  <c r="O7" i="184"/>
  <c r="O39" i="184"/>
  <c r="N106" i="184"/>
  <c r="F39" i="184"/>
  <c r="E13" i="184"/>
  <c r="E17" i="184" s="1"/>
  <c r="F13" i="184" s="1"/>
  <c r="F17" i="184" s="1"/>
  <c r="G13" i="184" s="1"/>
  <c r="G17" i="184" s="1"/>
  <c r="H13" i="184" s="1"/>
  <c r="H17" i="184" s="1"/>
  <c r="I13" i="184" s="1"/>
  <c r="I17" i="184" s="1"/>
  <c r="J13" i="184" s="1"/>
  <c r="D36" i="184"/>
  <c r="D105" i="184" s="1"/>
  <c r="D106" i="184" s="1"/>
  <c r="Y36" i="184"/>
  <c r="Y105" i="184" s="1"/>
  <c r="Y106" i="184" s="1"/>
  <c r="Y14" i="184"/>
  <c r="V66" i="184"/>
  <c r="Y113" i="184"/>
  <c r="Y115" i="184" s="1"/>
  <c r="Y117" i="184" s="1"/>
  <c r="Q7" i="184"/>
  <c r="P67" i="184"/>
  <c r="AB67" i="184"/>
  <c r="AC7" i="184"/>
  <c r="N79" i="184"/>
  <c r="N82" i="184" s="1"/>
  <c r="M67" i="184"/>
  <c r="M68" i="184" s="1"/>
  <c r="H76" i="185"/>
  <c r="AG76" i="185"/>
  <c r="Y76" i="185"/>
  <c r="Q76" i="185"/>
  <c r="I76" i="185"/>
  <c r="T27" i="163"/>
  <c r="P27" i="163"/>
  <c r="V27" i="163"/>
  <c r="N27" i="163"/>
  <c r="H106" i="184"/>
  <c r="P82" i="184"/>
  <c r="AA82" i="184"/>
  <c r="K65" i="184"/>
  <c r="K86" i="184" s="1"/>
  <c r="D39" i="184"/>
  <c r="T39" i="184"/>
  <c r="Z36" i="184"/>
  <c r="Z105" i="184" s="1"/>
  <c r="Z106" i="184" s="1"/>
  <c r="AF39" i="184"/>
  <c r="G66" i="184"/>
  <c r="G113" i="184" s="1"/>
  <c r="G115" i="184" s="1"/>
  <c r="E66" i="184"/>
  <c r="E113" i="184" s="1"/>
  <c r="E115" i="184" s="1"/>
  <c r="S66" i="184"/>
  <c r="J99" i="181"/>
  <c r="D116" i="184"/>
  <c r="O116" i="184"/>
  <c r="U99" i="181"/>
  <c r="R116" i="184"/>
  <c r="AD94" i="172"/>
  <c r="E20" i="207"/>
  <c r="G15" i="207"/>
  <c r="AE76" i="185"/>
  <c r="W76" i="185"/>
  <c r="O76" i="185"/>
  <c r="G76" i="185"/>
  <c r="M54" i="186"/>
  <c r="M36" i="184"/>
  <c r="M105" i="184" s="1"/>
  <c r="M106" i="184" s="1"/>
  <c r="P65" i="184"/>
  <c r="P86" i="184" s="1"/>
  <c r="Y67" i="184"/>
  <c r="Y68" i="184" s="1"/>
  <c r="D25" i="203"/>
  <c r="D17" i="203" s="1"/>
  <c r="K92" i="172" s="1"/>
  <c r="B39" i="184"/>
  <c r="R39" i="184"/>
  <c r="AH39" i="184"/>
  <c r="Q39" i="184"/>
  <c r="C68" i="184"/>
  <c r="R66" i="184"/>
  <c r="AB66" i="184"/>
  <c r="AB113" i="184" s="1"/>
  <c r="AB115" i="184" s="1"/>
  <c r="AB117" i="184" s="1"/>
  <c r="Y82" i="184"/>
  <c r="E106" i="184"/>
  <c r="E54" i="214"/>
  <c r="F23" i="215"/>
  <c r="O17" i="20"/>
  <c r="S27" i="20"/>
  <c r="S90" i="20" s="1"/>
  <c r="S92" i="20" s="1"/>
  <c r="P80" i="157" s="1"/>
  <c r="M27" i="20"/>
  <c r="M90" i="20" s="1"/>
  <c r="M102" i="20" s="1"/>
  <c r="Q27" i="20"/>
  <c r="Q90" i="20" s="1"/>
  <c r="Q102" i="20" s="1"/>
  <c r="U27" i="20"/>
  <c r="U90" i="20" s="1"/>
  <c r="U102" i="20" s="1"/>
  <c r="I91" i="181"/>
  <c r="C43" i="195"/>
  <c r="C44" i="195" s="1"/>
  <c r="C45" i="195" s="1"/>
  <c r="D93" i="195"/>
  <c r="E93" i="195" s="1"/>
  <c r="E67" i="195"/>
  <c r="E68" i="195"/>
  <c r="T63" i="195"/>
  <c r="T66" i="195"/>
  <c r="T55" i="195"/>
  <c r="T69" i="195"/>
  <c r="T56" i="195"/>
  <c r="R63" i="195"/>
  <c r="R70" i="195"/>
  <c r="R67" i="195"/>
  <c r="P68" i="195"/>
  <c r="P63" i="195"/>
  <c r="P62" i="195"/>
  <c r="P55" i="195"/>
  <c r="P66" i="195"/>
  <c r="F19" i="215"/>
  <c r="F16" i="79"/>
  <c r="F34" i="195"/>
  <c r="E12" i="195"/>
  <c r="I65" i="181"/>
  <c r="I64" i="181"/>
  <c r="H66" i="179"/>
  <c r="I63" i="179" s="1"/>
  <c r="I66" i="179" s="1"/>
  <c r="AA35" i="195"/>
  <c r="AF35" i="195"/>
  <c r="AA36" i="195"/>
  <c r="G35" i="195"/>
  <c r="AF36" i="195"/>
  <c r="E11" i="195"/>
  <c r="I42" i="92"/>
  <c r="J39" i="92" s="1"/>
  <c r="J42" i="92" s="1"/>
  <c r="K39" i="92" s="1"/>
  <c r="K42" i="92" s="1"/>
  <c r="L39" i="92" s="1"/>
  <c r="L42" i="92" s="1"/>
  <c r="M39" i="92" s="1"/>
  <c r="M42" i="92" s="1"/>
  <c r="N39" i="92" s="1"/>
  <c r="N42" i="92" s="1"/>
  <c r="O39" i="92" s="1"/>
  <c r="O42" i="92" s="1"/>
  <c r="P39" i="92" s="1"/>
  <c r="P42" i="92" s="1"/>
  <c r="Q39" i="92" s="1"/>
  <c r="Q42" i="92" s="1"/>
  <c r="R39" i="92" s="1"/>
  <c r="R42" i="92" s="1"/>
  <c r="S39" i="92" s="1"/>
  <c r="S42" i="92" s="1"/>
  <c r="J27" i="105"/>
  <c r="F31" i="215"/>
  <c r="F28" i="79"/>
  <c r="G8" i="115"/>
  <c r="D6" i="72"/>
  <c r="E8" i="115"/>
  <c r="W3" i="202"/>
  <c r="D6" i="44"/>
  <c r="AP12" i="44" s="1"/>
  <c r="H5" i="162"/>
  <c r="C3" i="162" s="1"/>
  <c r="F10" i="96"/>
  <c r="E5" i="34"/>
  <c r="H198" i="36"/>
  <c r="H12" i="105"/>
  <c r="M13" i="106"/>
  <c r="E20" i="165" s="1"/>
  <c r="V13" i="101"/>
  <c r="D19" i="217"/>
  <c r="D19" i="106"/>
  <c r="D17" i="107" s="1"/>
  <c r="D33" i="107" s="1"/>
  <c r="D51" i="107" s="1"/>
  <c r="V17" i="101"/>
  <c r="D21" i="102"/>
  <c r="D22" i="105" s="1"/>
  <c r="D23" i="106" s="1"/>
  <c r="D21" i="107" s="1"/>
  <c r="D37" i="107" s="1"/>
  <c r="D55" i="107" s="1"/>
  <c r="D20" i="102"/>
  <c r="D21" i="105" s="1"/>
  <c r="D22" i="106" s="1"/>
  <c r="D20" i="107" s="1"/>
  <c r="D36" i="107" s="1"/>
  <c r="D54" i="107" s="1"/>
  <c r="D18" i="102"/>
  <c r="D19" i="105" s="1"/>
  <c r="D20" i="217" s="1"/>
  <c r="D14" i="102"/>
  <c r="D15" i="105" s="1"/>
  <c r="D16" i="217" s="1"/>
  <c r="D22" i="102"/>
  <c r="D23" i="105" s="1"/>
  <c r="D24" i="217" s="1"/>
  <c r="BY13" i="44"/>
  <c r="BZ13" i="44" s="1"/>
  <c r="CA13" i="44" s="1"/>
  <c r="CB13" i="44" s="1"/>
  <c r="BO21" i="44"/>
  <c r="O29" i="44"/>
  <c r="O39" i="44"/>
  <c r="O28" i="44"/>
  <c r="O33" i="44"/>
  <c r="O51" i="44"/>
  <c r="O60" i="44"/>
  <c r="O12" i="93"/>
  <c r="E12" i="105"/>
  <c r="N12" i="105"/>
  <c r="I13" i="106"/>
  <c r="E16" i="165" s="1"/>
  <c r="K13" i="217"/>
  <c r="G60" i="44"/>
  <c r="E21" i="44"/>
  <c r="D15" i="106"/>
  <c r="D13" i="107" s="1"/>
  <c r="D29" i="107" s="1"/>
  <c r="D47" i="107" s="1"/>
  <c r="D15" i="217"/>
  <c r="F13" i="106"/>
  <c r="E12" i="165" s="1"/>
  <c r="I12" i="93"/>
  <c r="N13" i="217"/>
  <c r="M12" i="93"/>
  <c r="D16" i="102"/>
  <c r="D17" i="105" s="1"/>
  <c r="F12" i="93"/>
  <c r="I12" i="105"/>
  <c r="J12" i="93"/>
  <c r="D23" i="102"/>
  <c r="D24" i="105" s="1"/>
  <c r="L321" i="36"/>
  <c r="N321" i="36"/>
  <c r="D73" i="103"/>
  <c r="D318" i="36"/>
  <c r="F226" i="36"/>
  <c r="F329" i="36" s="1"/>
  <c r="M160" i="35"/>
  <c r="U197" i="36"/>
  <c r="N197" i="36"/>
  <c r="T215" i="36"/>
  <c r="U215" i="36"/>
  <c r="L51" i="35"/>
  <c r="P18" i="36"/>
  <c r="O19" i="103" s="1"/>
  <c r="M32" i="35"/>
  <c r="J162" i="35"/>
  <c r="L32" i="35"/>
  <c r="O18" i="36"/>
  <c r="N19" i="103" s="1"/>
  <c r="W19" i="36"/>
  <c r="V20" i="103" s="1"/>
  <c r="T18" i="36"/>
  <c r="S19" i="103" s="1"/>
  <c r="L160" i="35"/>
  <c r="I51" i="35"/>
  <c r="G18" i="35"/>
  <c r="G162" i="35" s="1"/>
  <c r="G166" i="35" s="1"/>
  <c r="L12" i="35"/>
  <c r="M12" i="35" s="1"/>
  <c r="F181" i="36" s="1"/>
  <c r="K181" i="36" s="1"/>
  <c r="I18" i="36"/>
  <c r="H19" i="103" s="1"/>
  <c r="X18" i="36"/>
  <c r="W19" i="103" s="1"/>
  <c r="H18" i="36"/>
  <c r="G19" i="103" s="1"/>
  <c r="S18" i="36"/>
  <c r="R19" i="103" s="1"/>
  <c r="O47" i="36"/>
  <c r="N45" i="103" s="1"/>
  <c r="Q43" i="36"/>
  <c r="P41" i="103" s="1"/>
  <c r="U18" i="36"/>
  <c r="T19" i="103" s="1"/>
  <c r="M18" i="36"/>
  <c r="L19" i="103" s="1"/>
  <c r="W18" i="36"/>
  <c r="V19" i="103" s="1"/>
  <c r="N18" i="36"/>
  <c r="M19" i="103" s="1"/>
  <c r="V18" i="36"/>
  <c r="U19" i="103" s="1"/>
  <c r="Y18" i="36"/>
  <c r="X19" i="103" s="1"/>
  <c r="Q18" i="36"/>
  <c r="P19" i="103" s="1"/>
  <c r="J18" i="36"/>
  <c r="I19" i="103" s="1"/>
  <c r="T47" i="36"/>
  <c r="S45" i="103" s="1"/>
  <c r="Y195" i="36"/>
  <c r="R194" i="36"/>
  <c r="D55" i="34"/>
  <c r="E49" i="34"/>
  <c r="H105" i="70"/>
  <c r="H167" i="70" s="1"/>
  <c r="D149" i="34"/>
  <c r="D140" i="34"/>
  <c r="D120" i="34"/>
  <c r="E106" i="34"/>
  <c r="E55" i="34"/>
  <c r="D24" i="215"/>
  <c r="F23" i="70"/>
  <c r="F162" i="70" s="1"/>
  <c r="D54" i="34"/>
  <c r="G115" i="70"/>
  <c r="G168" i="70" s="1"/>
  <c r="D157" i="34"/>
  <c r="D153" i="34"/>
  <c r="D146" i="34"/>
  <c r="D141" i="34"/>
  <c r="E127" i="34"/>
  <c r="E126" i="34"/>
  <c r="D124" i="34"/>
  <c r="D121" i="34"/>
  <c r="D118" i="34"/>
  <c r="D117" i="34"/>
  <c r="D96" i="34"/>
  <c r="D95" i="34"/>
  <c r="E66" i="34"/>
  <c r="D46" i="34"/>
  <c r="F48" i="70"/>
  <c r="F163" i="70" s="1"/>
  <c r="H86" i="70"/>
  <c r="H165" i="70" s="1"/>
  <c r="F64" i="70"/>
  <c r="F164" i="70" s="1"/>
  <c r="G105" i="70"/>
  <c r="G167" i="70" s="1"/>
  <c r="D158" i="34"/>
  <c r="D154" i="34"/>
  <c r="D147" i="34"/>
  <c r="E143" i="34"/>
  <c r="E134" i="34"/>
  <c r="E128" i="34"/>
  <c r="D125" i="34"/>
  <c r="D122" i="34"/>
  <c r="D111" i="34"/>
  <c r="E105" i="34"/>
  <c r="E104" i="34"/>
  <c r="E103" i="34"/>
  <c r="E98" i="34"/>
  <c r="H23" i="70"/>
  <c r="H162" i="70" s="1"/>
  <c r="I48" i="70"/>
  <c r="I163" i="70" s="1"/>
  <c r="E25" i="215"/>
  <c r="I115" i="70"/>
  <c r="I168" i="70" s="1"/>
  <c r="D49" i="34"/>
  <c r="G64" i="70"/>
  <c r="G164" i="70" s="1"/>
  <c r="I169" i="70"/>
  <c r="H169" i="70"/>
  <c r="E54" i="34"/>
  <c r="E53" i="34"/>
  <c r="G23" i="70"/>
  <c r="G162" i="70" s="1"/>
  <c r="H115" i="70"/>
  <c r="H168" i="70" s="1"/>
  <c r="F105" i="70"/>
  <c r="F167" i="70" s="1"/>
  <c r="G169" i="70"/>
  <c r="E159" i="34"/>
  <c r="E158" i="34"/>
  <c r="E157" i="34"/>
  <c r="E156" i="34"/>
  <c r="E155" i="34"/>
  <c r="E154" i="34"/>
  <c r="E153" i="34"/>
  <c r="E149" i="34"/>
  <c r="E148" i="34"/>
  <c r="E147" i="34"/>
  <c r="E146" i="34"/>
  <c r="E145" i="34"/>
  <c r="E144" i="34"/>
  <c r="E142" i="34"/>
  <c r="E141" i="34"/>
  <c r="E140" i="34"/>
  <c r="E139" i="34"/>
  <c r="E133" i="34"/>
  <c r="D123" i="34"/>
  <c r="D119" i="34"/>
  <c r="D114" i="34"/>
  <c r="D107" i="34"/>
  <c r="D104" i="34"/>
  <c r="E101" i="34"/>
  <c r="E100" i="34"/>
  <c r="E97" i="34"/>
  <c r="E96" i="34"/>
  <c r="D66" i="34"/>
  <c r="E65" i="34"/>
  <c r="P11" i="175"/>
  <c r="Q78" i="175"/>
  <c r="R78" i="175" s="1"/>
  <c r="S78" i="175" s="1"/>
  <c r="T78" i="175" s="1"/>
  <c r="U78" i="175" s="1"/>
  <c r="V78" i="175" s="1"/>
  <c r="W78" i="175" s="1"/>
  <c r="X78" i="175" s="1"/>
  <c r="Y78" i="175" s="1"/>
  <c r="Z78" i="175" s="1"/>
  <c r="R193" i="28"/>
  <c r="S180" i="175"/>
  <c r="R194" i="28"/>
  <c r="S181" i="175"/>
  <c r="P114" i="175"/>
  <c r="Q114" i="175" s="1"/>
  <c r="Q193" i="28"/>
  <c r="Q75" i="175"/>
  <c r="R75" i="175" s="1"/>
  <c r="S75" i="175" s="1"/>
  <c r="T75" i="175" s="1"/>
  <c r="U75" i="175" s="1"/>
  <c r="V75" i="175" s="1"/>
  <c r="W75" i="175" s="1"/>
  <c r="X75" i="175" s="1"/>
  <c r="Y75" i="175" s="1"/>
  <c r="Z75" i="175" s="1"/>
  <c r="P109" i="175"/>
  <c r="Q109" i="175" s="1"/>
  <c r="H30" i="176"/>
  <c r="H52" i="181" s="1"/>
  <c r="P107" i="175"/>
  <c r="Q107" i="175" s="1"/>
  <c r="Q179" i="175"/>
  <c r="P117" i="175"/>
  <c r="Q117" i="175" s="1"/>
  <c r="P115" i="175"/>
  <c r="Q115" i="175" s="1"/>
  <c r="P111" i="175"/>
  <c r="Q111" i="175" s="1"/>
  <c r="P108" i="175"/>
  <c r="Q108" i="175" s="1"/>
  <c r="Q81" i="175"/>
  <c r="R81" i="175" s="1"/>
  <c r="S81" i="175" s="1"/>
  <c r="T81" i="175" s="1"/>
  <c r="U81" i="175" s="1"/>
  <c r="V81" i="175" s="1"/>
  <c r="W81" i="175" s="1"/>
  <c r="X81" i="175" s="1"/>
  <c r="Y81" i="175" s="1"/>
  <c r="Z81" i="175" s="1"/>
  <c r="Q74" i="175"/>
  <c r="R74" i="175" s="1"/>
  <c r="S74" i="175" s="1"/>
  <c r="T74" i="175" s="1"/>
  <c r="U74" i="175" s="1"/>
  <c r="V74" i="175" s="1"/>
  <c r="W74" i="175" s="1"/>
  <c r="X74" i="175" s="1"/>
  <c r="Y74" i="175" s="1"/>
  <c r="Z74" i="175" s="1"/>
  <c r="N26" i="175"/>
  <c r="I30" i="176" s="1"/>
  <c r="I52" i="181" s="1"/>
  <c r="P113" i="175"/>
  <c r="Q113" i="175" s="1"/>
  <c r="P96" i="175"/>
  <c r="Q116" i="175"/>
  <c r="P94" i="175"/>
  <c r="P93" i="175"/>
  <c r="N67" i="175"/>
  <c r="N164" i="175" s="1"/>
  <c r="I27" i="176" s="1"/>
  <c r="I49" i="181" s="1"/>
  <c r="P16" i="175"/>
  <c r="P99" i="175"/>
  <c r="P102" i="175"/>
  <c r="P88" i="175"/>
  <c r="P92" i="175"/>
  <c r="P103" i="175"/>
  <c r="P100" i="175"/>
  <c r="P97" i="175"/>
  <c r="P91" i="175"/>
  <c r="P89" i="175"/>
  <c r="P86" i="175"/>
  <c r="P95" i="175"/>
  <c r="P101" i="175"/>
  <c r="P104" i="175"/>
  <c r="P87" i="175"/>
  <c r="J53" i="181"/>
  <c r="I53" i="181"/>
  <c r="E229" i="34"/>
  <c r="I164" i="35"/>
  <c r="L164" i="35" s="1"/>
  <c r="M164" i="35" s="1"/>
  <c r="E210" i="215"/>
  <c r="G21" i="181"/>
  <c r="G87" i="181" s="1"/>
  <c r="E233" i="34"/>
  <c r="E230" i="34"/>
  <c r="E234" i="34"/>
  <c r="E51" i="96"/>
  <c r="D48" i="115" s="1"/>
  <c r="E47" i="96"/>
  <c r="D44" i="115" s="1"/>
  <c r="V54" i="163"/>
  <c r="N54" i="163"/>
  <c r="T54" i="163"/>
  <c r="S27" i="163"/>
  <c r="Q27" i="163"/>
  <c r="Q54" i="163"/>
  <c r="R54" i="163"/>
  <c r="W27" i="163"/>
  <c r="R15" i="30"/>
  <c r="Q32" i="157" s="1"/>
  <c r="U15" i="30"/>
  <c r="T32" i="157" s="1"/>
  <c r="P54" i="163"/>
  <c r="S54" i="163"/>
  <c r="X54" i="163"/>
  <c r="W54" i="163"/>
  <c r="U27" i="163"/>
  <c r="U37" i="176"/>
  <c r="K40" i="177"/>
  <c r="G40" i="177"/>
  <c r="J40" i="177"/>
  <c r="D40" i="177"/>
  <c r="I37" i="176"/>
  <c r="N40" i="177"/>
  <c r="F48" i="177"/>
  <c r="I48" i="177"/>
  <c r="K44" i="177"/>
  <c r="O40" i="177"/>
  <c r="O37" i="176"/>
  <c r="M40" i="177"/>
  <c r="I40" i="177"/>
  <c r="G44" i="177"/>
  <c r="F40" i="177"/>
  <c r="N48" i="177"/>
  <c r="D50" i="202"/>
  <c r="D99" i="202"/>
  <c r="J261" i="16"/>
  <c r="F50" i="207" s="1"/>
  <c r="D105" i="202"/>
  <c r="G50" i="207"/>
  <c r="D76" i="202"/>
  <c r="D263" i="202"/>
  <c r="D74" i="202"/>
  <c r="D413" i="202"/>
  <c r="D82" i="202"/>
  <c r="D29" i="202"/>
  <c r="D53" i="202"/>
  <c r="D36" i="202"/>
  <c r="D59" i="202"/>
  <c r="D463" i="202"/>
  <c r="D113" i="202"/>
  <c r="D92" i="202"/>
  <c r="D86" i="202"/>
  <c r="D63" i="202"/>
  <c r="D44" i="202"/>
  <c r="D42" i="202"/>
  <c r="D97" i="202"/>
  <c r="D313" i="202"/>
  <c r="D363" i="202"/>
  <c r="D107" i="202"/>
  <c r="D103" i="202"/>
  <c r="I262" i="16"/>
  <c r="E51" i="207" s="1"/>
  <c r="F108" i="16"/>
  <c r="F109" i="16" s="1"/>
  <c r="H12" i="13"/>
  <c r="H142" i="13" s="1"/>
  <c r="G142" i="13"/>
  <c r="H262" i="16"/>
  <c r="E66" i="16"/>
  <c r="E82" i="16"/>
  <c r="E83" i="16" s="1"/>
  <c r="E87" i="16" s="1"/>
  <c r="E44" i="16"/>
  <c r="E42" i="16"/>
  <c r="E63" i="16"/>
  <c r="E152" i="16"/>
  <c r="E114" i="16"/>
  <c r="E14" i="16"/>
  <c r="F110" i="16"/>
  <c r="C8" i="207"/>
  <c r="E47" i="16"/>
  <c r="F118" i="16"/>
  <c r="F119" i="16" s="1"/>
  <c r="E67" i="16"/>
  <c r="E40" i="16"/>
  <c r="E61" i="16"/>
  <c r="E183" i="16"/>
  <c r="E43" i="16"/>
  <c r="E169" i="16"/>
  <c r="E46" i="16"/>
  <c r="E196" i="16"/>
  <c r="S22" i="181"/>
  <c r="S95" i="181" s="1"/>
  <c r="Q14" i="186"/>
  <c r="N15" i="30"/>
  <c r="M32" i="157" s="1"/>
  <c r="P51" i="163"/>
  <c r="P22" i="181"/>
  <c r="P95" i="181" s="1"/>
  <c r="L30" i="209"/>
  <c r="N14" i="186"/>
  <c r="S51" i="163"/>
  <c r="O30" i="209"/>
  <c r="O19" i="209"/>
  <c r="Q18" i="186"/>
  <c r="S20" i="181"/>
  <c r="S86" i="181" s="1"/>
  <c r="P15" i="30"/>
  <c r="O32" i="157" s="1"/>
  <c r="F38" i="179"/>
  <c r="J114" i="181"/>
  <c r="J83" i="181"/>
  <c r="N114" i="181"/>
  <c r="N83" i="181"/>
  <c r="R119" i="181"/>
  <c r="R83" i="181"/>
  <c r="S91" i="181"/>
  <c r="O91" i="181"/>
  <c r="K91" i="181"/>
  <c r="J14" i="186"/>
  <c r="L22" i="181"/>
  <c r="L95" i="181" s="1"/>
  <c r="H30" i="209"/>
  <c r="O51" i="163"/>
  <c r="V15" i="30"/>
  <c r="U32" i="157" s="1"/>
  <c r="X51" i="163"/>
  <c r="U51" i="163"/>
  <c r="S15" i="30"/>
  <c r="R32" i="157" s="1"/>
  <c r="N30" i="209" s="1"/>
  <c r="O15" i="30"/>
  <c r="N32" i="157" s="1"/>
  <c r="Q51" i="163"/>
  <c r="F37" i="179"/>
  <c r="N19" i="209"/>
  <c r="P18" i="186"/>
  <c r="R20" i="181"/>
  <c r="R86" i="181" s="1"/>
  <c r="J19" i="209"/>
  <c r="L18" i="186"/>
  <c r="N20" i="181"/>
  <c r="N86" i="181" s="1"/>
  <c r="M114" i="181"/>
  <c r="M83" i="181"/>
  <c r="Q114" i="181"/>
  <c r="Q83" i="181"/>
  <c r="U119" i="181"/>
  <c r="U83" i="181"/>
  <c r="T91" i="181"/>
  <c r="P91" i="181"/>
  <c r="L91" i="181"/>
  <c r="H50" i="176"/>
  <c r="H19" i="209"/>
  <c r="L20" i="181"/>
  <c r="L86" i="181" s="1"/>
  <c r="K114" i="181"/>
  <c r="K83" i="181"/>
  <c r="K19" i="209"/>
  <c r="M18" i="186"/>
  <c r="G19" i="209"/>
  <c r="K20" i="181"/>
  <c r="K86" i="181" s="1"/>
  <c r="T114" i="181"/>
  <c r="T83" i="181"/>
  <c r="L119" i="181"/>
  <c r="L83" i="181"/>
  <c r="R91" i="181"/>
  <c r="N91" i="181"/>
  <c r="J91" i="181"/>
  <c r="O119" i="181"/>
  <c r="O83" i="181"/>
  <c r="H15" i="176"/>
  <c r="H21" i="176" s="1"/>
  <c r="H23" i="176" s="1"/>
  <c r="H91" i="181"/>
  <c r="U91" i="181"/>
  <c r="Q91" i="181"/>
  <c r="M91" i="181"/>
  <c r="S12" i="70"/>
  <c r="M65" i="157"/>
  <c r="M35" i="181" s="1"/>
  <c r="P65" i="157"/>
  <c r="R12" i="70"/>
  <c r="J65" i="157"/>
  <c r="L12" i="70"/>
  <c r="N95" i="172"/>
  <c r="O18" i="70" s="1"/>
  <c r="R65" i="157"/>
  <c r="N44" i="209" s="1"/>
  <c r="J90" i="172"/>
  <c r="C21" i="203"/>
  <c r="C12" i="203" s="1"/>
  <c r="AB94" i="172"/>
  <c r="AF94" i="172"/>
  <c r="I65" i="157"/>
  <c r="K29" i="203"/>
  <c r="K30" i="203" s="1"/>
  <c r="K19" i="203" s="1"/>
  <c r="O29" i="203"/>
  <c r="O30" i="203" s="1"/>
  <c r="O19" i="203" s="1"/>
  <c r="AJ94" i="172"/>
  <c r="J37" i="176"/>
  <c r="N44" i="177"/>
  <c r="Q73" i="179"/>
  <c r="Q75" i="179" s="1"/>
  <c r="I73" i="179"/>
  <c r="T27" i="20"/>
  <c r="T90" i="20" s="1"/>
  <c r="T102" i="20" s="1"/>
  <c r="T104" i="20" s="1"/>
  <c r="P89" i="20"/>
  <c r="R17" i="20"/>
  <c r="X27" i="20"/>
  <c r="M48" i="177"/>
  <c r="F44" i="177"/>
  <c r="L27" i="20"/>
  <c r="Q92" i="20"/>
  <c r="N80" i="157" s="1"/>
  <c r="J59" i="209" s="1"/>
  <c r="M37" i="176"/>
  <c r="L40" i="177"/>
  <c r="V27" i="20"/>
  <c r="V90" i="20" s="1"/>
  <c r="V102" i="20" s="1"/>
  <c r="O27" i="20"/>
  <c r="O29" i="20" s="1"/>
  <c r="M89" i="20"/>
  <c r="H74" i="179"/>
  <c r="Q29" i="20"/>
  <c r="R27" i="20"/>
  <c r="R90" i="20" s="1"/>
  <c r="R102" i="20" s="1"/>
  <c r="S17" i="20"/>
  <c r="W89" i="20"/>
  <c r="O48" i="177"/>
  <c r="T37" i="176"/>
  <c r="G100" i="179"/>
  <c r="M17" i="20"/>
  <c r="H72" i="179"/>
  <c r="U17" i="20"/>
  <c r="P72" i="179"/>
  <c r="U26" i="20"/>
  <c r="M44" i="177"/>
  <c r="E44" i="177"/>
  <c r="L74" i="179"/>
  <c r="J73" i="179"/>
  <c r="J75" i="179" s="1"/>
  <c r="G75" i="179"/>
  <c r="G48" i="177"/>
  <c r="L37" i="176"/>
  <c r="P40" i="177"/>
  <c r="L26" i="20"/>
  <c r="L89" i="20" s="1"/>
  <c r="L101" i="20" s="1"/>
  <c r="L17" i="20"/>
  <c r="I72" i="179"/>
  <c r="N26" i="20"/>
  <c r="M72" i="179"/>
  <c r="M75" i="179" s="1"/>
  <c r="R26" i="20"/>
  <c r="K73" i="179"/>
  <c r="K75" i="179" s="1"/>
  <c r="P17" i="20"/>
  <c r="P90" i="20"/>
  <c r="P102" i="20" s="1"/>
  <c r="O73" i="179"/>
  <c r="O75" i="179" s="1"/>
  <c r="T17" i="20"/>
  <c r="S73" i="179"/>
  <c r="S75" i="179" s="1"/>
  <c r="X17" i="20"/>
  <c r="X31" i="20" s="1"/>
  <c r="N27" i="20"/>
  <c r="N90" i="20" s="1"/>
  <c r="N102" i="20" s="1"/>
  <c r="I74" i="179"/>
  <c r="Q17" i="20"/>
  <c r="L72" i="179"/>
  <c r="W27" i="20"/>
  <c r="W90" i="20" s="1"/>
  <c r="W102" i="20" s="1"/>
  <c r="R73" i="179"/>
  <c r="R75" i="179" s="1"/>
  <c r="W17" i="20"/>
  <c r="P74" i="179"/>
  <c r="N73" i="179"/>
  <c r="N75" i="179" s="1"/>
  <c r="L48" i="177"/>
  <c r="G89" i="179"/>
  <c r="G90" i="179" s="1"/>
  <c r="G38" i="179" s="1"/>
  <c r="I107" i="181" s="1"/>
  <c r="J49" i="36"/>
  <c r="I47" i="103" s="1"/>
  <c r="R35" i="36"/>
  <c r="Q34" i="103" s="1"/>
  <c r="O31" i="36"/>
  <c r="N30" i="103" s="1"/>
  <c r="K33" i="36"/>
  <c r="J32" i="103" s="1"/>
  <c r="L35" i="36"/>
  <c r="K34" i="103" s="1"/>
  <c r="N208" i="36"/>
  <c r="K205" i="36"/>
  <c r="D58" i="103"/>
  <c r="I212" i="36"/>
  <c r="I218" i="36"/>
  <c r="H185" i="36"/>
  <c r="F168" i="36"/>
  <c r="Q195" i="36"/>
  <c r="W211" i="36"/>
  <c r="W196" i="36"/>
  <c r="L313" i="36"/>
  <c r="M318" i="36"/>
  <c r="O204" i="36"/>
  <c r="F220" i="36"/>
  <c r="R45" i="36"/>
  <c r="Q43" i="103" s="1"/>
  <c r="S193" i="36"/>
  <c r="V21" i="36"/>
  <c r="U21" i="103" s="1"/>
  <c r="H35" i="36"/>
  <c r="G34" i="103" s="1"/>
  <c r="O33" i="36"/>
  <c r="N32" i="103" s="1"/>
  <c r="X35" i="36"/>
  <c r="W34" i="103" s="1"/>
  <c r="K193" i="36"/>
  <c r="R211" i="36"/>
  <c r="L43" i="36"/>
  <c r="K41" i="103" s="1"/>
  <c r="D182" i="36"/>
  <c r="N35" i="36"/>
  <c r="M34" i="103" s="1"/>
  <c r="R21" i="36"/>
  <c r="Q21" i="103" s="1"/>
  <c r="Y47" i="36"/>
  <c r="X45" i="103" s="1"/>
  <c r="I195" i="36"/>
  <c r="X196" i="36"/>
  <c r="J205" i="36"/>
  <c r="N212" i="36"/>
  <c r="R212" i="36"/>
  <c r="K216" i="36"/>
  <c r="K191" i="36"/>
  <c r="P195" i="36"/>
  <c r="U195" i="36"/>
  <c r="J185" i="36"/>
  <c r="U192" i="36"/>
  <c r="D43" i="103"/>
  <c r="D198" i="36"/>
  <c r="U205" i="36"/>
  <c r="J212" i="36"/>
  <c r="V212" i="36"/>
  <c r="H205" i="36"/>
  <c r="H212" i="36"/>
  <c r="D216" i="36"/>
  <c r="M216" i="36"/>
  <c r="L191" i="36"/>
  <c r="E213" i="36"/>
  <c r="M195" i="36"/>
  <c r="R192" i="36"/>
  <c r="E217" i="36"/>
  <c r="T204" i="36"/>
  <c r="L190" i="36"/>
  <c r="F201" i="36"/>
  <c r="M152" i="36"/>
  <c r="L49" i="36"/>
  <c r="K47" i="103" s="1"/>
  <c r="O43" i="36"/>
  <c r="N41" i="103" s="1"/>
  <c r="U210" i="36"/>
  <c r="M21" i="36"/>
  <c r="L21" i="103" s="1"/>
  <c r="P43" i="36"/>
  <c r="O41" i="103" s="1"/>
  <c r="Y182" i="36"/>
  <c r="X207" i="36"/>
  <c r="I35" i="36"/>
  <c r="H34" i="103" s="1"/>
  <c r="J21" i="36"/>
  <c r="I21" i="103" s="1"/>
  <c r="H21" i="36"/>
  <c r="G21" i="103" s="1"/>
  <c r="S35" i="36"/>
  <c r="R34" i="103" s="1"/>
  <c r="E317" i="36"/>
  <c r="O35" i="36"/>
  <c r="N34" i="103" s="1"/>
  <c r="K31" i="36"/>
  <c r="J30" i="103" s="1"/>
  <c r="T21" i="36"/>
  <c r="S21" i="103" s="1"/>
  <c r="Q49" i="36"/>
  <c r="P47" i="103" s="1"/>
  <c r="F23" i="36"/>
  <c r="H181" i="36"/>
  <c r="L207" i="36"/>
  <c r="I213" i="36"/>
  <c r="N21" i="36"/>
  <c r="M21" i="103" s="1"/>
  <c r="N224" i="36"/>
  <c r="Q208" i="36"/>
  <c r="I43" i="36"/>
  <c r="H41" i="103" s="1"/>
  <c r="R224" i="36"/>
  <c r="K21" i="36"/>
  <c r="J21" i="103" s="1"/>
  <c r="R41" i="36"/>
  <c r="Q39" i="103" s="1"/>
  <c r="V35" i="36"/>
  <c r="U34" i="103" s="1"/>
  <c r="N234" i="36"/>
  <c r="X33" i="36"/>
  <c r="W32" i="103" s="1"/>
  <c r="Q21" i="36"/>
  <c r="P21" i="103" s="1"/>
  <c r="T40" i="36"/>
  <c r="S38" i="103" s="1"/>
  <c r="F56" i="36"/>
  <c r="O26" i="36"/>
  <c r="N25" i="103" s="1"/>
  <c r="F37" i="36"/>
  <c r="X216" i="36"/>
  <c r="W216" i="36"/>
  <c r="N193" i="36"/>
  <c r="O193" i="36"/>
  <c r="V42" i="36"/>
  <c r="U40" i="103" s="1"/>
  <c r="Q214" i="36"/>
  <c r="P211" i="36"/>
  <c r="T211" i="36"/>
  <c r="Q211" i="36"/>
  <c r="T216" i="36"/>
  <c r="R216" i="36"/>
  <c r="I191" i="36"/>
  <c r="S191" i="36"/>
  <c r="H193" i="36"/>
  <c r="J193" i="36"/>
  <c r="I204" i="36"/>
  <c r="D48" i="103"/>
  <c r="N211" i="36"/>
  <c r="U211" i="36"/>
  <c r="P209" i="36"/>
  <c r="H191" i="36"/>
  <c r="L204" i="36"/>
  <c r="R204" i="36"/>
  <c r="Y211" i="36"/>
  <c r="S211" i="36"/>
  <c r="V216" i="36"/>
  <c r="Y216" i="36"/>
  <c r="W191" i="36"/>
  <c r="V191" i="36"/>
  <c r="D42" i="103"/>
  <c r="I182" i="36"/>
  <c r="M193" i="36"/>
  <c r="R193" i="36"/>
  <c r="P207" i="36"/>
  <c r="L44" i="36"/>
  <c r="K42" i="103" s="1"/>
  <c r="P204" i="36"/>
  <c r="Q44" i="36"/>
  <c r="P42" i="103" s="1"/>
  <c r="L154" i="36"/>
  <c r="K70" i="103" s="1"/>
  <c r="N207" i="36"/>
  <c r="J182" i="36"/>
  <c r="W182" i="36"/>
  <c r="M207" i="36"/>
  <c r="U207" i="36"/>
  <c r="E212" i="36"/>
  <c r="I49" i="36"/>
  <c r="H47" i="103" s="1"/>
  <c r="Y49" i="36"/>
  <c r="X47" i="103" s="1"/>
  <c r="D16" i="103"/>
  <c r="X224" i="36"/>
  <c r="N228" i="36"/>
  <c r="V208" i="36"/>
  <c r="M27" i="36"/>
  <c r="L26" i="103" s="1"/>
  <c r="X43" i="36"/>
  <c r="W41" i="103" s="1"/>
  <c r="U45" i="36"/>
  <c r="T43" i="103" s="1"/>
  <c r="O45" i="36"/>
  <c r="N43" i="103" s="1"/>
  <c r="T182" i="36"/>
  <c r="H207" i="36"/>
  <c r="K207" i="36"/>
  <c r="N198" i="36"/>
  <c r="S21" i="36"/>
  <c r="R21" i="103" s="1"/>
  <c r="U21" i="36"/>
  <c r="T21" i="103" s="1"/>
  <c r="U35" i="36"/>
  <c r="T34" i="103" s="1"/>
  <c r="T35" i="36"/>
  <c r="S34" i="103" s="1"/>
  <c r="O41" i="36"/>
  <c r="N39" i="103" s="1"/>
  <c r="Q213" i="36"/>
  <c r="J31" i="36"/>
  <c r="I30" i="103" s="1"/>
  <c r="P33" i="36"/>
  <c r="O32" i="103" s="1"/>
  <c r="X21" i="36"/>
  <c r="W21" i="103" s="1"/>
  <c r="L21" i="36"/>
  <c r="K21" i="103" s="1"/>
  <c r="X49" i="36"/>
  <c r="W47" i="103" s="1"/>
  <c r="E19" i="103"/>
  <c r="E328" i="36"/>
  <c r="E329" i="36" s="1"/>
  <c r="E168" i="36"/>
  <c r="J208" i="36"/>
  <c r="N313" i="36"/>
  <c r="J213" i="36"/>
  <c r="K49" i="36"/>
  <c r="J47" i="103" s="1"/>
  <c r="M47" i="36"/>
  <c r="L45" i="103" s="1"/>
  <c r="M43" i="36"/>
  <c r="L41" i="103" s="1"/>
  <c r="E287" i="36"/>
  <c r="D213" i="36"/>
  <c r="H43" i="36"/>
  <c r="G41" i="103" s="1"/>
  <c r="I45" i="36"/>
  <c r="H43" i="103" s="1"/>
  <c r="L45" i="36"/>
  <c r="K43" i="103" s="1"/>
  <c r="R207" i="36"/>
  <c r="J35" i="36"/>
  <c r="I34" i="103" s="1"/>
  <c r="W21" i="36"/>
  <c r="V21" i="103" s="1"/>
  <c r="I21" i="36"/>
  <c r="H21" i="103" s="1"/>
  <c r="O21" i="36"/>
  <c r="N21" i="103" s="1"/>
  <c r="P35" i="36"/>
  <c r="O34" i="103" s="1"/>
  <c r="K35" i="36"/>
  <c r="J34" i="103" s="1"/>
  <c r="Y35" i="36"/>
  <c r="X34" i="103" s="1"/>
  <c r="X198" i="36"/>
  <c r="X54" i="36"/>
  <c r="W52" i="103" s="1"/>
  <c r="D65" i="103"/>
  <c r="M313" i="36"/>
  <c r="T31" i="36"/>
  <c r="S30" i="103" s="1"/>
  <c r="Y21" i="36"/>
  <c r="X21" i="103" s="1"/>
  <c r="S31" i="36"/>
  <c r="R30" i="103" s="1"/>
  <c r="T224" i="36"/>
  <c r="D266" i="36"/>
  <c r="D62" i="103"/>
  <c r="D61" i="103"/>
  <c r="D68" i="103"/>
  <c r="D313" i="36"/>
  <c r="D63" i="103"/>
  <c r="D267" i="36"/>
  <c r="D51" i="103"/>
  <c r="D217" i="36"/>
  <c r="T212" i="36"/>
  <c r="S212" i="36"/>
  <c r="Q212" i="36"/>
  <c r="P212" i="36"/>
  <c r="U212" i="36"/>
  <c r="M212" i="36"/>
  <c r="W212" i="36"/>
  <c r="N205" i="36"/>
  <c r="L205" i="36"/>
  <c r="O205" i="36"/>
  <c r="R205" i="36"/>
  <c r="T205" i="36"/>
  <c r="P205" i="36"/>
  <c r="V205" i="36"/>
  <c r="I205" i="36"/>
  <c r="S205" i="36"/>
  <c r="D205" i="36"/>
  <c r="D39" i="103"/>
  <c r="D38" i="103"/>
  <c r="D204" i="36"/>
  <c r="T196" i="36"/>
  <c r="J196" i="36"/>
  <c r="U196" i="36"/>
  <c r="S196" i="36"/>
  <c r="R196" i="36"/>
  <c r="Y196" i="36"/>
  <c r="N196" i="36"/>
  <c r="L196" i="36"/>
  <c r="Q196" i="36"/>
  <c r="K195" i="36"/>
  <c r="T195" i="36"/>
  <c r="V195" i="36"/>
  <c r="H195" i="36"/>
  <c r="R195" i="36"/>
  <c r="J195" i="36"/>
  <c r="L194" i="36"/>
  <c r="K194" i="36"/>
  <c r="W194" i="36"/>
  <c r="O194" i="36"/>
  <c r="U194" i="36"/>
  <c r="X194" i="36"/>
  <c r="N194" i="36"/>
  <c r="M194" i="36"/>
  <c r="T194" i="36"/>
  <c r="S194" i="36"/>
  <c r="J194" i="36"/>
  <c r="Y194" i="36"/>
  <c r="V194" i="36"/>
  <c r="P194" i="36"/>
  <c r="I194" i="36"/>
  <c r="Q194" i="36"/>
  <c r="T192" i="36"/>
  <c r="S192" i="36"/>
  <c r="K192" i="36"/>
  <c r="N192" i="36"/>
  <c r="H192" i="36"/>
  <c r="Y192" i="36"/>
  <c r="N185" i="36"/>
  <c r="M185" i="36"/>
  <c r="Y185" i="36"/>
  <c r="L185" i="36"/>
  <c r="E211" i="36"/>
  <c r="E45" i="103"/>
  <c r="E28" i="103"/>
  <c r="E193" i="36"/>
  <c r="Z52" i="79"/>
  <c r="H216" i="36"/>
  <c r="V211" i="36"/>
  <c r="L211" i="36"/>
  <c r="M211" i="36"/>
  <c r="X211" i="36"/>
  <c r="N216" i="36"/>
  <c r="L216" i="36"/>
  <c r="I216" i="36"/>
  <c r="J216" i="36"/>
  <c r="P216" i="36"/>
  <c r="P191" i="36"/>
  <c r="N191" i="36"/>
  <c r="M228" i="36"/>
  <c r="H50" i="36"/>
  <c r="G48" i="103" s="1"/>
  <c r="I193" i="36"/>
  <c r="J40" i="36"/>
  <c r="P224" i="36"/>
  <c r="R191" i="36"/>
  <c r="U191" i="36"/>
  <c r="Y193" i="36"/>
  <c r="V193" i="36"/>
  <c r="X193" i="36"/>
  <c r="W193" i="36"/>
  <c r="X204" i="36"/>
  <c r="M204" i="36"/>
  <c r="M230" i="36"/>
  <c r="M314" i="36"/>
  <c r="L230" i="36"/>
  <c r="H52" i="36"/>
  <c r="G50" i="103" s="1"/>
  <c r="E200" i="36"/>
  <c r="E201" i="36" s="1"/>
  <c r="E37" i="36"/>
  <c r="E186" i="36"/>
  <c r="E187" i="36" s="1"/>
  <c r="E23" i="36"/>
  <c r="H211" i="36"/>
  <c r="K211" i="36"/>
  <c r="I211" i="36"/>
  <c r="J211" i="36"/>
  <c r="U216" i="36"/>
  <c r="S216" i="36"/>
  <c r="Q216" i="36"/>
  <c r="T191" i="36"/>
  <c r="X191" i="36"/>
  <c r="Q224" i="36"/>
  <c r="M46" i="79"/>
  <c r="H40" i="36"/>
  <c r="V224" i="36"/>
  <c r="M191" i="36"/>
  <c r="T193" i="36"/>
  <c r="L193" i="36"/>
  <c r="P193" i="36"/>
  <c r="Q193" i="36"/>
  <c r="J204" i="36"/>
  <c r="K204" i="36"/>
  <c r="D45" i="103"/>
  <c r="L314" i="36"/>
  <c r="O42" i="36"/>
  <c r="N40" i="103" s="1"/>
  <c r="D191" i="36"/>
  <c r="M234" i="36"/>
  <c r="P28" i="36"/>
  <c r="O27" i="103" s="1"/>
  <c r="D180" i="36"/>
  <c r="V218" i="36"/>
  <c r="W218" i="36"/>
  <c r="J218" i="36"/>
  <c r="H218" i="36"/>
  <c r="K218" i="36"/>
  <c r="N218" i="36"/>
  <c r="Y218" i="36"/>
  <c r="P218" i="36"/>
  <c r="T218" i="36"/>
  <c r="L215" i="36"/>
  <c r="K215" i="36"/>
  <c r="O215" i="36"/>
  <c r="P215" i="36"/>
  <c r="J215" i="36"/>
  <c r="X215" i="36"/>
  <c r="R215" i="36"/>
  <c r="N215" i="36"/>
  <c r="J206" i="36"/>
  <c r="W206" i="36"/>
  <c r="O206" i="36"/>
  <c r="M206" i="36"/>
  <c r="H206" i="36"/>
  <c r="K199" i="36"/>
  <c r="S199" i="36"/>
  <c r="H199" i="36"/>
  <c r="P199" i="36"/>
  <c r="S197" i="36"/>
  <c r="X197" i="36"/>
  <c r="Y197" i="36"/>
  <c r="M197" i="36"/>
  <c r="R30" i="36"/>
  <c r="Q29" i="103" s="1"/>
  <c r="Y30" i="36"/>
  <c r="X29" i="103" s="1"/>
  <c r="T30" i="36"/>
  <c r="S29" i="103" s="1"/>
  <c r="V30" i="36"/>
  <c r="U29" i="103" s="1"/>
  <c r="N30" i="36"/>
  <c r="M29" i="103" s="1"/>
  <c r="H26" i="36"/>
  <c r="L26" i="36"/>
  <c r="T213" i="36"/>
  <c r="O213" i="36"/>
  <c r="U213" i="36"/>
  <c r="I215" i="36"/>
  <c r="H215" i="36"/>
  <c r="Q215" i="36"/>
  <c r="M218" i="36"/>
  <c r="L218" i="36"/>
  <c r="N54" i="36"/>
  <c r="M52" i="103" s="1"/>
  <c r="X210" i="36"/>
  <c r="U50" i="36"/>
  <c r="T48" i="103" s="1"/>
  <c r="O46" i="79"/>
  <c r="Q40" i="36"/>
  <c r="T197" i="36"/>
  <c r="S42" i="36"/>
  <c r="R40" i="103" s="1"/>
  <c r="J54" i="36"/>
  <c r="I52" i="103" s="1"/>
  <c r="N52" i="36"/>
  <c r="M50" i="103" s="1"/>
  <c r="J26" i="36"/>
  <c r="F167" i="36"/>
  <c r="E218" i="36"/>
  <c r="E52" i="103"/>
  <c r="I106" i="79"/>
  <c r="O17" i="36"/>
  <c r="R214" i="36"/>
  <c r="X213" i="36"/>
  <c r="V213" i="36"/>
  <c r="W213" i="36"/>
  <c r="Y215" i="36"/>
  <c r="V215" i="36"/>
  <c r="O218" i="36"/>
  <c r="U218" i="36"/>
  <c r="Q52" i="36"/>
  <c r="P50" i="103" s="1"/>
  <c r="S52" i="36"/>
  <c r="R50" i="103" s="1"/>
  <c r="E65" i="103"/>
  <c r="H210" i="36"/>
  <c r="I210" i="36"/>
  <c r="D286" i="36"/>
  <c r="W40" i="36"/>
  <c r="N199" i="36"/>
  <c r="O199" i="36"/>
  <c r="L197" i="36"/>
  <c r="Y42" i="36"/>
  <c r="X40" i="103" s="1"/>
  <c r="R206" i="36"/>
  <c r="E31" i="103"/>
  <c r="J30" i="36"/>
  <c r="I29" i="103" s="1"/>
  <c r="U44" i="36"/>
  <c r="T42" i="103" s="1"/>
  <c r="T206" i="36"/>
  <c r="O34" i="36"/>
  <c r="N33" i="103" s="1"/>
  <c r="X19" i="36"/>
  <c r="W20" i="103" s="1"/>
  <c r="K30" i="36"/>
  <c r="J29" i="103" s="1"/>
  <c r="D253" i="36"/>
  <c r="D60" i="103"/>
  <c r="M224" i="36"/>
  <c r="U224" i="36"/>
  <c r="I224" i="36"/>
  <c r="W224" i="36"/>
  <c r="J224" i="36"/>
  <c r="L224" i="36"/>
  <c r="O224" i="36"/>
  <c r="K224" i="36"/>
  <c r="H224" i="36"/>
  <c r="S224" i="36"/>
  <c r="D44" i="103"/>
  <c r="D210" i="36"/>
  <c r="M208" i="36"/>
  <c r="U208" i="36"/>
  <c r="W208" i="36"/>
  <c r="Y208" i="36"/>
  <c r="K208" i="36"/>
  <c r="P208" i="36"/>
  <c r="V207" i="36"/>
  <c r="I207" i="36"/>
  <c r="T207" i="36"/>
  <c r="O207" i="36"/>
  <c r="Y207" i="36"/>
  <c r="Q207" i="36"/>
  <c r="W207" i="36"/>
  <c r="J207" i="36"/>
  <c r="D207" i="36"/>
  <c r="D41" i="103"/>
  <c r="D199" i="36"/>
  <c r="D34" i="103"/>
  <c r="D32" i="103"/>
  <c r="D197" i="36"/>
  <c r="Q182" i="36"/>
  <c r="X182" i="36"/>
  <c r="P182" i="36"/>
  <c r="L182" i="36"/>
  <c r="M182" i="36"/>
  <c r="N182" i="36"/>
  <c r="H182" i="36"/>
  <c r="H209" i="36"/>
  <c r="R209" i="36"/>
  <c r="O209" i="36"/>
  <c r="O210" i="36"/>
  <c r="J210" i="36"/>
  <c r="Q210" i="36"/>
  <c r="T210" i="36"/>
  <c r="V210" i="36"/>
  <c r="K210" i="36"/>
  <c r="W210" i="36"/>
  <c r="D40" i="103"/>
  <c r="D206" i="36"/>
  <c r="U198" i="36"/>
  <c r="M198" i="36"/>
  <c r="R54" i="36"/>
  <c r="Q52" i="103" s="1"/>
  <c r="M54" i="36"/>
  <c r="L52" i="103" s="1"/>
  <c r="U54" i="36"/>
  <c r="T52" i="103" s="1"/>
  <c r="I54" i="36"/>
  <c r="H52" i="103" s="1"/>
  <c r="Y54" i="36"/>
  <c r="X52" i="103" s="1"/>
  <c r="M52" i="36"/>
  <c r="L50" i="103" s="1"/>
  <c r="O52" i="36"/>
  <c r="N50" i="103" s="1"/>
  <c r="U52" i="36"/>
  <c r="T50" i="103" s="1"/>
  <c r="Y52" i="36"/>
  <c r="X50" i="103" s="1"/>
  <c r="P52" i="36"/>
  <c r="O50" i="103" s="1"/>
  <c r="L52" i="36"/>
  <c r="K50" i="103" s="1"/>
  <c r="K52" i="36"/>
  <c r="J50" i="103" s="1"/>
  <c r="W52" i="36"/>
  <c r="V50" i="103" s="1"/>
  <c r="X52" i="36"/>
  <c r="W50" i="103" s="1"/>
  <c r="J50" i="36"/>
  <c r="I48" i="103" s="1"/>
  <c r="I50" i="36"/>
  <c r="H48" i="103" s="1"/>
  <c r="P50" i="36"/>
  <c r="O48" i="103" s="1"/>
  <c r="L50" i="36"/>
  <c r="K48" i="103" s="1"/>
  <c r="T50" i="36"/>
  <c r="S48" i="103" s="1"/>
  <c r="W50" i="36"/>
  <c r="V48" i="103" s="1"/>
  <c r="S44" i="36"/>
  <c r="R42" i="103" s="1"/>
  <c r="T44" i="36"/>
  <c r="S42" i="103" s="1"/>
  <c r="J44" i="36"/>
  <c r="I42" i="103" s="1"/>
  <c r="V44" i="36"/>
  <c r="U42" i="103" s="1"/>
  <c r="X44" i="36"/>
  <c r="W42" i="103" s="1"/>
  <c r="N44" i="36"/>
  <c r="M42" i="103" s="1"/>
  <c r="K44" i="36"/>
  <c r="J42" i="103" s="1"/>
  <c r="W44" i="36"/>
  <c r="V42" i="103" s="1"/>
  <c r="Y44" i="36"/>
  <c r="X42" i="103" s="1"/>
  <c r="X42" i="36"/>
  <c r="W40" i="103" s="1"/>
  <c r="R42" i="36"/>
  <c r="Q40" i="103" s="1"/>
  <c r="I42" i="36"/>
  <c r="H40" i="103" s="1"/>
  <c r="U42" i="36"/>
  <c r="T40" i="103" s="1"/>
  <c r="L42" i="36"/>
  <c r="K40" i="103" s="1"/>
  <c r="H42" i="36"/>
  <c r="G40" i="103" s="1"/>
  <c r="W42" i="36"/>
  <c r="V40" i="103" s="1"/>
  <c r="M40" i="36"/>
  <c r="R40" i="36"/>
  <c r="V40" i="36"/>
  <c r="U40" i="36"/>
  <c r="O40" i="36"/>
  <c r="P40" i="36"/>
  <c r="X40" i="36"/>
  <c r="S40" i="36"/>
  <c r="N40" i="36"/>
  <c r="I34" i="36"/>
  <c r="H33" i="103" s="1"/>
  <c r="Y34" i="36"/>
  <c r="X33" i="103" s="1"/>
  <c r="M34" i="36"/>
  <c r="L33" i="103" s="1"/>
  <c r="V28" i="36"/>
  <c r="U27" i="103" s="1"/>
  <c r="T28" i="36"/>
  <c r="S27" i="103" s="1"/>
  <c r="S28" i="36"/>
  <c r="R27" i="103" s="1"/>
  <c r="O28" i="36"/>
  <c r="N27" i="103" s="1"/>
  <c r="K106" i="79"/>
  <c r="O52" i="79"/>
  <c r="D13" i="214"/>
  <c r="K77" i="79"/>
  <c r="D49" i="103"/>
  <c r="I40" i="36"/>
  <c r="R199" i="36"/>
  <c r="O197" i="36"/>
  <c r="I44" i="36"/>
  <c r="H42" i="103" s="1"/>
  <c r="T198" i="36"/>
  <c r="J42" i="36"/>
  <c r="I40" i="103" s="1"/>
  <c r="M44" i="36"/>
  <c r="L42" i="103" s="1"/>
  <c r="S213" i="36"/>
  <c r="I28" i="36"/>
  <c r="H27" i="103" s="1"/>
  <c r="H44" i="36"/>
  <c r="G42" i="103" s="1"/>
  <c r="L320" i="36"/>
  <c r="N320" i="36"/>
  <c r="E192" i="36"/>
  <c r="E27" i="103"/>
  <c r="Y213" i="36"/>
  <c r="R213" i="36"/>
  <c r="M213" i="36"/>
  <c r="M215" i="36"/>
  <c r="S215" i="36"/>
  <c r="S218" i="36"/>
  <c r="Q218" i="36"/>
  <c r="R218" i="36"/>
  <c r="J52" i="36"/>
  <c r="I50" i="103" s="1"/>
  <c r="Y210" i="36"/>
  <c r="P210" i="36"/>
  <c r="H48" i="36"/>
  <c r="G46" i="103" s="1"/>
  <c r="K50" i="36"/>
  <c r="J48" i="103" s="1"/>
  <c r="J40" i="79"/>
  <c r="K40" i="36"/>
  <c r="L40" i="36"/>
  <c r="Y199" i="36"/>
  <c r="Y40" i="36"/>
  <c r="W197" i="36"/>
  <c r="P42" i="36"/>
  <c r="O40" i="103" s="1"/>
  <c r="S30" i="36"/>
  <c r="R29" i="103" s="1"/>
  <c r="W30" i="36"/>
  <c r="V29" i="103" s="1"/>
  <c r="R44" i="36"/>
  <c r="Q42" i="103" s="1"/>
  <c r="M320" i="36"/>
  <c r="L206" i="36"/>
  <c r="R34" i="36"/>
  <c r="Q33" i="103" s="1"/>
  <c r="N42" i="36"/>
  <c r="M40" i="103" s="1"/>
  <c r="O44" i="36"/>
  <c r="N42" i="103" s="1"/>
  <c r="T54" i="36"/>
  <c r="S52" i="103" s="1"/>
  <c r="U26" i="36"/>
  <c r="K28" i="36"/>
  <c r="J27" i="103" s="1"/>
  <c r="E319" i="36"/>
  <c r="E74" i="103"/>
  <c r="D71" i="103"/>
  <c r="D316" i="36"/>
  <c r="M73" i="36"/>
  <c r="L73" i="36"/>
  <c r="N71" i="36"/>
  <c r="L71" i="36"/>
  <c r="L69" i="36"/>
  <c r="M69" i="36"/>
  <c r="E210" i="36"/>
  <c r="E44" i="103"/>
  <c r="E42" i="103"/>
  <c r="E208" i="36"/>
  <c r="E25" i="103"/>
  <c r="E190" i="36"/>
  <c r="E22" i="214"/>
  <c r="D16" i="214"/>
  <c r="L42" i="79"/>
  <c r="X50" i="79"/>
  <c r="Z77" i="79"/>
  <c r="J47" i="36"/>
  <c r="I45" i="103" s="1"/>
  <c r="K47" i="36"/>
  <c r="J45" i="103" s="1"/>
  <c r="R47" i="36"/>
  <c r="Q45" i="103" s="1"/>
  <c r="U47" i="36"/>
  <c r="T45" i="103" s="1"/>
  <c r="L47" i="36"/>
  <c r="K45" i="103" s="1"/>
  <c r="P47" i="36"/>
  <c r="O45" i="103" s="1"/>
  <c r="S47" i="36"/>
  <c r="R45" i="103" s="1"/>
  <c r="X47" i="36"/>
  <c r="W45" i="103" s="1"/>
  <c r="M33" i="36"/>
  <c r="L32" i="103" s="1"/>
  <c r="L33" i="36"/>
  <c r="K32" i="103" s="1"/>
  <c r="I33" i="36"/>
  <c r="H32" i="103" s="1"/>
  <c r="T33" i="36"/>
  <c r="S32" i="103" s="1"/>
  <c r="Y33" i="36"/>
  <c r="X32" i="103" s="1"/>
  <c r="N33" i="36"/>
  <c r="M32" i="103" s="1"/>
  <c r="H33" i="36"/>
  <c r="G32" i="103" s="1"/>
  <c r="Q33" i="36"/>
  <c r="P32" i="103" s="1"/>
  <c r="U33" i="36"/>
  <c r="T32" i="103" s="1"/>
  <c r="J33" i="36"/>
  <c r="I32" i="103" s="1"/>
  <c r="L214" i="36"/>
  <c r="N49" i="36"/>
  <c r="M47" i="103" s="1"/>
  <c r="F276" i="34"/>
  <c r="N43" i="36"/>
  <c r="M41" i="103" s="1"/>
  <c r="M321" i="36"/>
  <c r="X54" i="79"/>
  <c r="M110" i="79"/>
  <c r="X110" i="79"/>
  <c r="R106" i="79"/>
  <c r="X77" i="79"/>
  <c r="V40" i="79"/>
  <c r="X42" i="79"/>
  <c r="E58" i="103"/>
  <c r="V43" i="36"/>
  <c r="U41" i="103" s="1"/>
  <c r="K43" i="36"/>
  <c r="J41" i="103" s="1"/>
  <c r="Y43" i="36"/>
  <c r="X41" i="103" s="1"/>
  <c r="S45" i="36"/>
  <c r="R43" i="103" s="1"/>
  <c r="K45" i="36"/>
  <c r="J43" i="103" s="1"/>
  <c r="P45" i="36"/>
  <c r="O43" i="103" s="1"/>
  <c r="N67" i="36"/>
  <c r="M71" i="36"/>
  <c r="N156" i="36"/>
  <c r="M72" i="103" s="1"/>
  <c r="Y31" i="36"/>
  <c r="X30" i="103" s="1"/>
  <c r="R33" i="36"/>
  <c r="Q32" i="103" s="1"/>
  <c r="Q47" i="36"/>
  <c r="P45" i="103" s="1"/>
  <c r="H47" i="36"/>
  <c r="G45" i="103" s="1"/>
  <c r="L208" i="36"/>
  <c r="H208" i="36"/>
  <c r="R208" i="36"/>
  <c r="S208" i="36"/>
  <c r="E266" i="36"/>
  <c r="E62" i="103"/>
  <c r="E61" i="103"/>
  <c r="E264" i="36"/>
  <c r="S54" i="36"/>
  <c r="R52" i="103" s="1"/>
  <c r="V54" i="36"/>
  <c r="U52" i="103" s="1"/>
  <c r="K54" i="36"/>
  <c r="W54" i="36"/>
  <c r="V52" i="103" s="1"/>
  <c r="L54" i="36"/>
  <c r="K52" i="103" s="1"/>
  <c r="P54" i="36"/>
  <c r="O52" i="103" s="1"/>
  <c r="Q54" i="36"/>
  <c r="P52" i="103" s="1"/>
  <c r="H54" i="36"/>
  <c r="G52" i="103" s="1"/>
  <c r="T52" i="36"/>
  <c r="S50" i="103" s="1"/>
  <c r="V52" i="36"/>
  <c r="U50" i="103" s="1"/>
  <c r="I52" i="36"/>
  <c r="H50" i="103" s="1"/>
  <c r="N50" i="36"/>
  <c r="M48" i="103" s="1"/>
  <c r="Y50" i="36"/>
  <c r="X48" i="103" s="1"/>
  <c r="O50" i="36"/>
  <c r="N48" i="103" s="1"/>
  <c r="V50" i="36"/>
  <c r="U48" i="103" s="1"/>
  <c r="V34" i="36"/>
  <c r="U33" i="103" s="1"/>
  <c r="U34" i="36"/>
  <c r="T33" i="103" s="1"/>
  <c r="N34" i="36"/>
  <c r="M33" i="103" s="1"/>
  <c r="X34" i="36"/>
  <c r="W33" i="103" s="1"/>
  <c r="P30" i="36"/>
  <c r="O29" i="103" s="1"/>
  <c r="Q30" i="36"/>
  <c r="P29" i="103" s="1"/>
  <c r="O30" i="36"/>
  <c r="N29" i="103" s="1"/>
  <c r="I30" i="36"/>
  <c r="H29" i="103" s="1"/>
  <c r="M30" i="36"/>
  <c r="L29" i="103" s="1"/>
  <c r="X30" i="36"/>
  <c r="W29" i="103" s="1"/>
  <c r="L30" i="36"/>
  <c r="K29" i="103" s="1"/>
  <c r="H30" i="36"/>
  <c r="G29" i="103" s="1"/>
  <c r="U30" i="36"/>
  <c r="T29" i="103" s="1"/>
  <c r="L28" i="36"/>
  <c r="K27" i="103" s="1"/>
  <c r="Q28" i="36"/>
  <c r="P27" i="103" s="1"/>
  <c r="U28" i="36"/>
  <c r="T27" i="103" s="1"/>
  <c r="X28" i="36"/>
  <c r="W27" i="103" s="1"/>
  <c r="H28" i="36"/>
  <c r="G27" i="103" s="1"/>
  <c r="R28" i="36"/>
  <c r="Q27" i="103" s="1"/>
  <c r="J28" i="36"/>
  <c r="I27" i="103" s="1"/>
  <c r="Y28" i="36"/>
  <c r="X27" i="103" s="1"/>
  <c r="Q26" i="36"/>
  <c r="Y26" i="36"/>
  <c r="R26" i="36"/>
  <c r="L158" i="36"/>
  <c r="K74" i="103" s="1"/>
  <c r="N158" i="36"/>
  <c r="M74" i="103" s="1"/>
  <c r="N73" i="36"/>
  <c r="L106" i="79"/>
  <c r="I50" i="79"/>
  <c r="Z44" i="79"/>
  <c r="M154" i="36"/>
  <c r="L70" i="103" s="1"/>
  <c r="E40" i="103"/>
  <c r="O49" i="36"/>
  <c r="N47" i="103" s="1"/>
  <c r="V49" i="36"/>
  <c r="U47" i="103" s="1"/>
  <c r="T49" i="36"/>
  <c r="S47" i="103" s="1"/>
  <c r="P49" i="36"/>
  <c r="O47" i="103" s="1"/>
  <c r="W49" i="36"/>
  <c r="V47" i="103" s="1"/>
  <c r="P41" i="36"/>
  <c r="O39" i="103" s="1"/>
  <c r="T41" i="36"/>
  <c r="S39" i="103" s="1"/>
  <c r="L41" i="36"/>
  <c r="S41" i="36"/>
  <c r="R39" i="103" s="1"/>
  <c r="Q41" i="36"/>
  <c r="P39" i="103" s="1"/>
  <c r="Q31" i="36"/>
  <c r="P30" i="103" s="1"/>
  <c r="L31" i="36"/>
  <c r="K30" i="103" s="1"/>
  <c r="H31" i="36"/>
  <c r="G30" i="103" s="1"/>
  <c r="W31" i="36"/>
  <c r="V30" i="103" s="1"/>
  <c r="M31" i="36"/>
  <c r="L30" i="103" s="1"/>
  <c r="V31" i="36"/>
  <c r="U30" i="103" s="1"/>
  <c r="X31" i="36"/>
  <c r="W30" i="103" s="1"/>
  <c r="U31" i="36"/>
  <c r="T30" i="103" s="1"/>
  <c r="R31" i="36"/>
  <c r="Q30" i="103" s="1"/>
  <c r="AE275" i="34"/>
  <c r="M49" i="36"/>
  <c r="L47" i="103" s="1"/>
  <c r="S49" i="36"/>
  <c r="R47" i="103" s="1"/>
  <c r="R49" i="36"/>
  <c r="Q47" i="103" s="1"/>
  <c r="AE272" i="34"/>
  <c r="N47" i="36"/>
  <c r="M45" i="103" s="1"/>
  <c r="T43" i="36"/>
  <c r="S41" i="103" s="1"/>
  <c r="K190" i="36"/>
  <c r="M67" i="36"/>
  <c r="W40" i="79"/>
  <c r="W48" i="79"/>
  <c r="V48" i="79"/>
  <c r="S31" i="79"/>
  <c r="O31" i="79"/>
  <c r="J43" i="36"/>
  <c r="I41" i="103" s="1"/>
  <c r="W45" i="36"/>
  <c r="V43" i="103" s="1"/>
  <c r="Y45" i="36"/>
  <c r="X43" i="103" s="1"/>
  <c r="J45" i="36"/>
  <c r="I43" i="103" s="1"/>
  <c r="E29" i="103"/>
  <c r="X41" i="36"/>
  <c r="W39" i="103" s="1"/>
  <c r="E38" i="103"/>
  <c r="U41" i="36"/>
  <c r="T39" i="103" s="1"/>
  <c r="M156" i="36"/>
  <c r="L72" i="103" s="1"/>
  <c r="N31" i="36"/>
  <c r="M30" i="103" s="1"/>
  <c r="P31" i="36"/>
  <c r="O30" i="103" s="1"/>
  <c r="S33" i="36"/>
  <c r="R32" i="103" s="1"/>
  <c r="V33" i="36"/>
  <c r="U32" i="103" s="1"/>
  <c r="W47" i="36"/>
  <c r="V45" i="103" s="1"/>
  <c r="I47" i="36"/>
  <c r="H45" i="103" s="1"/>
  <c r="H49" i="36"/>
  <c r="G47" i="103" s="1"/>
  <c r="D69" i="103"/>
  <c r="D314" i="36"/>
  <c r="Y204" i="36"/>
  <c r="U204" i="36"/>
  <c r="V204" i="36"/>
  <c r="N204" i="36"/>
  <c r="H204" i="36"/>
  <c r="S204" i="36"/>
  <c r="W204" i="36"/>
  <c r="Q204" i="36"/>
  <c r="D190" i="36"/>
  <c r="D25" i="103"/>
  <c r="D181" i="36"/>
  <c r="E64" i="103"/>
  <c r="E49" i="103"/>
  <c r="E215" i="36"/>
  <c r="E197" i="36"/>
  <c r="E32" i="103"/>
  <c r="E16" i="103"/>
  <c r="E179" i="36"/>
  <c r="E30" i="214"/>
  <c r="E23" i="214"/>
  <c r="N227" i="36"/>
  <c r="M227" i="36"/>
  <c r="X51" i="36"/>
  <c r="W49" i="103" s="1"/>
  <c r="L51" i="36"/>
  <c r="K49" i="103" s="1"/>
  <c r="Q51" i="36"/>
  <c r="P49" i="103" s="1"/>
  <c r="E207" i="36"/>
  <c r="E41" i="103"/>
  <c r="S29" i="36"/>
  <c r="R28" i="103" s="1"/>
  <c r="T29" i="36"/>
  <c r="S28" i="103" s="1"/>
  <c r="E324" i="36"/>
  <c r="E75" i="103"/>
  <c r="K32" i="36"/>
  <c r="J31" i="103" s="1"/>
  <c r="O51" i="36"/>
  <c r="N49" i="103" s="1"/>
  <c r="Q27" i="36"/>
  <c r="P26" i="103" s="1"/>
  <c r="F270" i="34"/>
  <c r="L27" i="36"/>
  <c r="K26" i="103" s="1"/>
  <c r="E59" i="103"/>
  <c r="N72" i="36"/>
  <c r="X190" i="36"/>
  <c r="V190" i="36"/>
  <c r="F200" i="36"/>
  <c r="M65" i="36"/>
  <c r="D59" i="103"/>
  <c r="Q199" i="36"/>
  <c r="W199" i="36"/>
  <c r="V199" i="36"/>
  <c r="J199" i="36"/>
  <c r="I198" i="36"/>
  <c r="S198" i="36"/>
  <c r="V198" i="36"/>
  <c r="R198" i="36"/>
  <c r="Y198" i="36"/>
  <c r="P198" i="36"/>
  <c r="W198" i="36"/>
  <c r="J198" i="36"/>
  <c r="H197" i="36"/>
  <c r="I197" i="36"/>
  <c r="Q197" i="36"/>
  <c r="P197" i="36"/>
  <c r="K197" i="36"/>
  <c r="J197" i="36"/>
  <c r="R197" i="36"/>
  <c r="V197" i="36"/>
  <c r="D31" i="103"/>
  <c r="D196" i="36"/>
  <c r="Q50" i="36"/>
  <c r="P48" i="103" s="1"/>
  <c r="X50" i="36"/>
  <c r="W48" i="103" s="1"/>
  <c r="S50" i="36"/>
  <c r="R48" i="103" s="1"/>
  <c r="M50" i="36"/>
  <c r="L48" i="103" s="1"/>
  <c r="N45" i="36"/>
  <c r="M43" i="103" s="1"/>
  <c r="V45" i="36"/>
  <c r="U43" i="103" s="1"/>
  <c r="T45" i="36"/>
  <c r="S43" i="103" s="1"/>
  <c r="Q45" i="36"/>
  <c r="P43" i="103" s="1"/>
  <c r="H45" i="36"/>
  <c r="G43" i="103" s="1"/>
  <c r="W43" i="36"/>
  <c r="V41" i="103" s="1"/>
  <c r="R43" i="36"/>
  <c r="Q41" i="103" s="1"/>
  <c r="U43" i="36"/>
  <c r="T41" i="103" s="1"/>
  <c r="W41" i="36"/>
  <c r="V39" i="103" s="1"/>
  <c r="M41" i="36"/>
  <c r="L39" i="103" s="1"/>
  <c r="N41" i="36"/>
  <c r="M39" i="103" s="1"/>
  <c r="Y41" i="36"/>
  <c r="X39" i="103" s="1"/>
  <c r="H41" i="36"/>
  <c r="G39" i="103" s="1"/>
  <c r="I41" i="36"/>
  <c r="H39" i="103" s="1"/>
  <c r="V41" i="36"/>
  <c r="U39" i="103" s="1"/>
  <c r="K41" i="36"/>
  <c r="J39" i="103" s="1"/>
  <c r="H34" i="36"/>
  <c r="G33" i="103" s="1"/>
  <c r="K34" i="36"/>
  <c r="J33" i="103" s="1"/>
  <c r="P34" i="36"/>
  <c r="O33" i="103" s="1"/>
  <c r="L34" i="36"/>
  <c r="K33" i="103" s="1"/>
  <c r="Q34" i="36"/>
  <c r="P33" i="103" s="1"/>
  <c r="W34" i="36"/>
  <c r="V33" i="103" s="1"/>
  <c r="S34" i="36"/>
  <c r="R33" i="103" s="1"/>
  <c r="T34" i="36"/>
  <c r="S33" i="103" s="1"/>
  <c r="E30" i="103"/>
  <c r="E195" i="36"/>
  <c r="Z54" i="79"/>
  <c r="N46" i="79"/>
  <c r="K42" i="79"/>
  <c r="D183" i="36"/>
  <c r="D20" i="103"/>
  <c r="J48" i="36"/>
  <c r="I46" i="103" s="1"/>
  <c r="W48" i="36"/>
  <c r="V46" i="103" s="1"/>
  <c r="V48" i="36"/>
  <c r="U46" i="103" s="1"/>
  <c r="V46" i="36"/>
  <c r="U44" i="103" s="1"/>
  <c r="P46" i="36"/>
  <c r="O44" i="103" s="1"/>
  <c r="J32" i="36"/>
  <c r="I31" i="103" s="1"/>
  <c r="E286" i="36"/>
  <c r="J29" i="36"/>
  <c r="I28" i="103" s="1"/>
  <c r="D74" i="103"/>
  <c r="D319" i="36"/>
  <c r="N157" i="36"/>
  <c r="M73" i="103" s="1"/>
  <c r="L157" i="36"/>
  <c r="K73" i="103" s="1"/>
  <c r="M155" i="36"/>
  <c r="L71" i="103" s="1"/>
  <c r="N155" i="36"/>
  <c r="M71" i="103" s="1"/>
  <c r="M153" i="36"/>
  <c r="L69" i="103" s="1"/>
  <c r="N153" i="36"/>
  <c r="M69" i="103" s="1"/>
  <c r="E68" i="103"/>
  <c r="E313" i="36"/>
  <c r="P214" i="36"/>
  <c r="T32" i="36"/>
  <c r="S31" i="103" s="1"/>
  <c r="S51" i="36"/>
  <c r="R49" i="103" s="1"/>
  <c r="M72" i="36"/>
  <c r="H29" i="36"/>
  <c r="G28" i="103" s="1"/>
  <c r="D287" i="36"/>
  <c r="D185" i="36"/>
  <c r="L227" i="36"/>
  <c r="M157" i="36"/>
  <c r="L73" i="103" s="1"/>
  <c r="N318" i="36"/>
  <c r="L318" i="36"/>
  <c r="L65" i="36"/>
  <c r="M319" i="36"/>
  <c r="N319" i="36"/>
  <c r="D218" i="36"/>
  <c r="D52" i="103"/>
  <c r="L213" i="36"/>
  <c r="N213" i="36"/>
  <c r="P213" i="36"/>
  <c r="H213" i="36"/>
  <c r="D46" i="103"/>
  <c r="D212" i="36"/>
  <c r="L210" i="36"/>
  <c r="M210" i="36"/>
  <c r="R210" i="36"/>
  <c r="N210" i="36"/>
  <c r="V206" i="36"/>
  <c r="N206" i="36"/>
  <c r="P206" i="36"/>
  <c r="Y206" i="36"/>
  <c r="X206" i="36"/>
  <c r="Q206" i="36"/>
  <c r="K206" i="36"/>
  <c r="I206" i="36"/>
  <c r="U206" i="36"/>
  <c r="S206" i="36"/>
  <c r="E318" i="36"/>
  <c r="E73" i="103"/>
  <c r="E28" i="214"/>
  <c r="W215" i="36"/>
  <c r="AE278" i="34"/>
  <c r="K48" i="79"/>
  <c r="F274" i="34"/>
  <c r="F269" i="34"/>
  <c r="E27" i="214"/>
  <c r="E205" i="36"/>
  <c r="E39" i="103"/>
  <c r="X27" i="36"/>
  <c r="W26" i="103" s="1"/>
  <c r="U27" i="36"/>
  <c r="T26" i="103" s="1"/>
  <c r="T27" i="36"/>
  <c r="S26" i="103" s="1"/>
  <c r="J27" i="36"/>
  <c r="I26" i="103" s="1"/>
  <c r="H190" i="36"/>
  <c r="Y48" i="36"/>
  <c r="X46" i="103" s="1"/>
  <c r="X48" i="36"/>
  <c r="W46" i="103" s="1"/>
  <c r="K48" i="36"/>
  <c r="J46" i="103" s="1"/>
  <c r="U51" i="36"/>
  <c r="T49" i="103" s="1"/>
  <c r="S48" i="79"/>
  <c r="AE273" i="34"/>
  <c r="R51" i="36"/>
  <c r="Q49" i="103" s="1"/>
  <c r="P190" i="36"/>
  <c r="J46" i="36"/>
  <c r="I44" i="103" s="1"/>
  <c r="Q19" i="36"/>
  <c r="P20" i="103" s="1"/>
  <c r="N19" i="36"/>
  <c r="M20" i="103" s="1"/>
  <c r="M19" i="36"/>
  <c r="L20" i="103" s="1"/>
  <c r="K19" i="36"/>
  <c r="J20" i="103" s="1"/>
  <c r="P19" i="36"/>
  <c r="O20" i="103" s="1"/>
  <c r="S19" i="36"/>
  <c r="R20" i="103" s="1"/>
  <c r="V19" i="36"/>
  <c r="U20" i="103" s="1"/>
  <c r="U19" i="36"/>
  <c r="T20" i="103" s="1"/>
  <c r="O19" i="36"/>
  <c r="N20" i="103" s="1"/>
  <c r="F275" i="34"/>
  <c r="E214" i="36"/>
  <c r="N38" i="79"/>
  <c r="AE270" i="34"/>
  <c r="W190" i="36"/>
  <c r="H32" i="36"/>
  <c r="G31" i="103" s="1"/>
  <c r="V32" i="36"/>
  <c r="U31" i="103" s="1"/>
  <c r="Y32" i="36"/>
  <c r="X31" i="103" s="1"/>
  <c r="P32" i="36"/>
  <c r="O31" i="103" s="1"/>
  <c r="O32" i="36"/>
  <c r="N31" i="103" s="1"/>
  <c r="Q48" i="36"/>
  <c r="P46" i="103" s="1"/>
  <c r="S48" i="36"/>
  <c r="R46" i="103" s="1"/>
  <c r="V51" i="36"/>
  <c r="U49" i="103" s="1"/>
  <c r="J51" i="36"/>
  <c r="I49" i="103" s="1"/>
  <c r="T110" i="79"/>
  <c r="M104" i="79"/>
  <c r="P54" i="79"/>
  <c r="W52" i="79"/>
  <c r="Q87" i="79"/>
  <c r="K44" i="79"/>
  <c r="S44" i="79"/>
  <c r="U108" i="79"/>
  <c r="Q44" i="79"/>
  <c r="T56" i="79"/>
  <c r="M54" i="79"/>
  <c r="X106" i="79"/>
  <c r="T54" i="79"/>
  <c r="M38" i="79"/>
  <c r="J46" i="79"/>
  <c r="AE269" i="34"/>
  <c r="Y27" i="36"/>
  <c r="X26" i="103" s="1"/>
  <c r="S27" i="36"/>
  <c r="R26" i="103" s="1"/>
  <c r="W27" i="36"/>
  <c r="V26" i="103" s="1"/>
  <c r="F268" i="34"/>
  <c r="F278" i="34"/>
  <c r="E253" i="36"/>
  <c r="D195" i="36"/>
  <c r="R29" i="36"/>
  <c r="X46" i="36"/>
  <c r="W44" i="103" s="1"/>
  <c r="N29" i="36"/>
  <c r="M28" i="103" s="1"/>
  <c r="D70" i="103"/>
  <c r="L19" i="36"/>
  <c r="K20" i="103" s="1"/>
  <c r="T19" i="36"/>
  <c r="S20" i="103" s="1"/>
  <c r="Y212" i="36"/>
  <c r="K212" i="36"/>
  <c r="O212" i="36"/>
  <c r="L212" i="36"/>
  <c r="Q209" i="36"/>
  <c r="M209" i="36"/>
  <c r="K209" i="36"/>
  <c r="Y209" i="36"/>
  <c r="T209" i="36"/>
  <c r="J209" i="36"/>
  <c r="X209" i="36"/>
  <c r="S209" i="36"/>
  <c r="I209" i="36"/>
  <c r="W209" i="36"/>
  <c r="U209" i="36"/>
  <c r="N209" i="36"/>
  <c r="V209" i="36"/>
  <c r="Y205" i="36"/>
  <c r="Q205" i="36"/>
  <c r="M205" i="36"/>
  <c r="L199" i="36"/>
  <c r="I199" i="36"/>
  <c r="T199" i="36"/>
  <c r="M199" i="36"/>
  <c r="X199" i="36"/>
  <c r="L195" i="36"/>
  <c r="W195" i="36"/>
  <c r="X195" i="36"/>
  <c r="O195" i="36"/>
  <c r="N195" i="36"/>
  <c r="Q191" i="36"/>
  <c r="Y191" i="36"/>
  <c r="O191" i="36"/>
  <c r="P185" i="36"/>
  <c r="X185" i="36"/>
  <c r="K185" i="36"/>
  <c r="S185" i="36"/>
  <c r="V185" i="36"/>
  <c r="W185" i="36"/>
  <c r="Q185" i="36"/>
  <c r="T185" i="36"/>
  <c r="R185" i="36"/>
  <c r="U185" i="36"/>
  <c r="V181" i="36"/>
  <c r="Y181" i="36"/>
  <c r="E18" i="103"/>
  <c r="E181" i="36"/>
  <c r="T190" i="36"/>
  <c r="Q190" i="36"/>
  <c r="J190" i="36"/>
  <c r="R190" i="36"/>
  <c r="I190" i="36"/>
  <c r="U190" i="36"/>
  <c r="D75" i="103"/>
  <c r="D324" i="36"/>
  <c r="D72" i="103"/>
  <c r="D317" i="36"/>
  <c r="M64" i="36"/>
  <c r="N64" i="36"/>
  <c r="H51" i="36"/>
  <c r="G49" i="103" s="1"/>
  <c r="N51" i="36"/>
  <c r="M49" i="103" s="1"/>
  <c r="K51" i="36"/>
  <c r="J49" i="103" s="1"/>
  <c r="M51" i="36"/>
  <c r="L49" i="103" s="1"/>
  <c r="W51" i="36"/>
  <c r="V49" i="103" s="1"/>
  <c r="R48" i="36"/>
  <c r="Q46" i="103" s="1"/>
  <c r="U48" i="36"/>
  <c r="T46" i="103" s="1"/>
  <c r="N48" i="36"/>
  <c r="M46" i="103" s="1"/>
  <c r="O48" i="36"/>
  <c r="N46" i="103" s="1"/>
  <c r="L48" i="36"/>
  <c r="K46" i="103" s="1"/>
  <c r="Q46" i="36"/>
  <c r="P44" i="103" s="1"/>
  <c r="K46" i="36"/>
  <c r="J44" i="103" s="1"/>
  <c r="R46" i="36"/>
  <c r="Q44" i="103" s="1"/>
  <c r="W46" i="36"/>
  <c r="V44" i="103" s="1"/>
  <c r="Y46" i="36"/>
  <c r="X44" i="103" s="1"/>
  <c r="H46" i="36"/>
  <c r="G44" i="103" s="1"/>
  <c r="F55" i="36"/>
  <c r="M46" i="36"/>
  <c r="L44" i="103" s="1"/>
  <c r="N46" i="36"/>
  <c r="M44" i="103" s="1"/>
  <c r="I46" i="36"/>
  <c r="H44" i="103" s="1"/>
  <c r="S46" i="36"/>
  <c r="R44" i="103" s="1"/>
  <c r="W29" i="36"/>
  <c r="V28" i="103" s="1"/>
  <c r="O29" i="36"/>
  <c r="N28" i="103" s="1"/>
  <c r="Y29" i="36"/>
  <c r="X28" i="103" s="1"/>
  <c r="P29" i="36"/>
  <c r="O28" i="103" s="1"/>
  <c r="L29" i="36"/>
  <c r="K28" i="103" s="1"/>
  <c r="U29" i="36"/>
  <c r="V29" i="36"/>
  <c r="U28" i="103" s="1"/>
  <c r="X29" i="36"/>
  <c r="W28" i="103" s="1"/>
  <c r="O27" i="36"/>
  <c r="N26" i="103" s="1"/>
  <c r="W32" i="36"/>
  <c r="V31" i="103" s="1"/>
  <c r="F36" i="36"/>
  <c r="I32" i="36"/>
  <c r="H31" i="103" s="1"/>
  <c r="R32" i="36"/>
  <c r="Q31" i="103" s="1"/>
  <c r="N32" i="36"/>
  <c r="M31" i="103" s="1"/>
  <c r="Q54" i="79"/>
  <c r="T42" i="79"/>
  <c r="F277" i="34"/>
  <c r="K27" i="36"/>
  <c r="J26" i="103" s="1"/>
  <c r="V27" i="36"/>
  <c r="U26" i="103" s="1"/>
  <c r="F272" i="34"/>
  <c r="Q29" i="36"/>
  <c r="P28" i="103" s="1"/>
  <c r="N190" i="36"/>
  <c r="T51" i="36"/>
  <c r="S49" i="103" s="1"/>
  <c r="K29" i="36"/>
  <c r="J28" i="103" s="1"/>
  <c r="U46" i="36"/>
  <c r="T44" i="103" s="1"/>
  <c r="O46" i="36"/>
  <c r="N44" i="103" s="1"/>
  <c r="N316" i="36"/>
  <c r="L316" i="36"/>
  <c r="M316" i="36"/>
  <c r="L315" i="36"/>
  <c r="N315" i="36"/>
  <c r="D64" i="103"/>
  <c r="D274" i="36"/>
  <c r="D29" i="103"/>
  <c r="D194" i="36"/>
  <c r="D27" i="103"/>
  <c r="D192" i="36"/>
  <c r="J26" i="214"/>
  <c r="E26" i="214" s="1"/>
  <c r="F273" i="34"/>
  <c r="T38" i="79"/>
  <c r="P106" i="79"/>
  <c r="V102" i="79"/>
  <c r="AE274" i="34"/>
  <c r="L17" i="36"/>
  <c r="I17" i="36"/>
  <c r="N17" i="36"/>
  <c r="Q17" i="36"/>
  <c r="N27" i="36"/>
  <c r="M26" i="103" s="1"/>
  <c r="AE277" i="34"/>
  <c r="AE268" i="34"/>
  <c r="M317" i="36"/>
  <c r="Q32" i="36"/>
  <c r="P31" i="103" s="1"/>
  <c r="U32" i="36"/>
  <c r="T31" i="103" s="1"/>
  <c r="X32" i="36"/>
  <c r="W31" i="103" s="1"/>
  <c r="L32" i="36"/>
  <c r="K31" i="103" s="1"/>
  <c r="M32" i="36"/>
  <c r="L31" i="103" s="1"/>
  <c r="L317" i="36"/>
  <c r="T48" i="36"/>
  <c r="S46" i="103" s="1"/>
  <c r="P48" i="36"/>
  <c r="O46" i="103" s="1"/>
  <c r="Y51" i="36"/>
  <c r="X49" i="103" s="1"/>
  <c r="P51" i="36"/>
  <c r="O49" i="103" s="1"/>
  <c r="S54" i="79"/>
  <c r="U42" i="79"/>
  <c r="V77" i="79"/>
  <c r="N50" i="79"/>
  <c r="I38" i="79"/>
  <c r="Y102" i="79"/>
  <c r="U110" i="79"/>
  <c r="J38" i="79"/>
  <c r="Q52" i="79"/>
  <c r="P110" i="79"/>
  <c r="V106" i="79"/>
  <c r="T106" i="79"/>
  <c r="X46" i="79"/>
  <c r="Y110" i="79"/>
  <c r="N42" i="79"/>
  <c r="H27" i="36"/>
  <c r="G26" i="103" s="1"/>
  <c r="R27" i="36"/>
  <c r="Q26" i="103" s="1"/>
  <c r="I27" i="36"/>
  <c r="H26" i="103" s="1"/>
  <c r="O106" i="79"/>
  <c r="E25" i="214"/>
  <c r="E43" i="103"/>
  <c r="D193" i="36"/>
  <c r="Q77" i="79"/>
  <c r="I29" i="36"/>
  <c r="M29" i="36"/>
  <c r="L28" i="103" s="1"/>
  <c r="I51" i="36"/>
  <c r="H49" i="103" s="1"/>
  <c r="Y190" i="36"/>
  <c r="E198" i="36"/>
  <c r="L46" i="36"/>
  <c r="K44" i="103" s="1"/>
  <c r="O190" i="36"/>
  <c r="R19" i="36"/>
  <c r="Q20" i="103" s="1"/>
  <c r="H19" i="36"/>
  <c r="G20" i="103" s="1"/>
  <c r="T46" i="36"/>
  <c r="S44" i="103" s="1"/>
  <c r="M48" i="36"/>
  <c r="L46" i="103" s="1"/>
  <c r="Y19" i="36"/>
  <c r="X20" i="103" s="1"/>
  <c r="J19" i="36"/>
  <c r="I20" i="103" s="1"/>
  <c r="M315" i="36"/>
  <c r="I196" i="36"/>
  <c r="H196" i="36"/>
  <c r="K196" i="36"/>
  <c r="P196" i="36"/>
  <c r="V196" i="36"/>
  <c r="I192" i="36"/>
  <c r="V192" i="36"/>
  <c r="L192" i="36"/>
  <c r="P192" i="36"/>
  <c r="M192" i="36"/>
  <c r="X192" i="36"/>
  <c r="J192" i="36"/>
  <c r="Q192" i="36"/>
  <c r="R182" i="36"/>
  <c r="U182" i="36"/>
  <c r="V182" i="36"/>
  <c r="S182" i="36"/>
  <c r="O182" i="36"/>
  <c r="E185" i="36"/>
  <c r="E21" i="103"/>
  <c r="N119" i="79"/>
  <c r="O117" i="79"/>
  <c r="M115" i="79"/>
  <c r="O113" i="79"/>
  <c r="M96" i="79"/>
  <c r="M71" i="79"/>
  <c r="V69" i="79"/>
  <c r="R67" i="79"/>
  <c r="Q65" i="79"/>
  <c r="W63" i="79"/>
  <c r="J61" i="79"/>
  <c r="U32" i="79"/>
  <c r="I30" i="79"/>
  <c r="I29" i="214"/>
  <c r="E29" i="214" s="1"/>
  <c r="AE276" i="34"/>
  <c r="L232" i="36"/>
  <c r="N232" i="36"/>
  <c r="X208" i="36"/>
  <c r="O208" i="36"/>
  <c r="T208" i="36"/>
  <c r="N26" i="36"/>
  <c r="V26" i="36"/>
  <c r="P26" i="36"/>
  <c r="T26" i="36"/>
  <c r="X26" i="36"/>
  <c r="M26" i="36"/>
  <c r="I26" i="36"/>
  <c r="K26" i="36"/>
  <c r="S26" i="36"/>
  <c r="W26" i="36"/>
  <c r="I110" i="79"/>
  <c r="V108" i="79"/>
  <c r="W106" i="79"/>
  <c r="N104" i="79"/>
  <c r="S102" i="79"/>
  <c r="L81" i="79"/>
  <c r="J77" i="79"/>
  <c r="L56" i="79"/>
  <c r="R54" i="79"/>
  <c r="L52" i="79"/>
  <c r="M50" i="79"/>
  <c r="Y48" i="79"/>
  <c r="R46" i="79"/>
  <c r="Y44" i="79"/>
  <c r="W42" i="79"/>
  <c r="O40" i="79"/>
  <c r="Q38" i="79"/>
  <c r="X36" i="79"/>
  <c r="E31" i="214"/>
  <c r="W205" i="36"/>
  <c r="M196" i="36"/>
  <c r="O192" i="36"/>
  <c r="K198" i="36"/>
  <c r="L198" i="36"/>
  <c r="E315" i="36"/>
  <c r="E70" i="103"/>
  <c r="N152" i="36"/>
  <c r="L152" i="36"/>
  <c r="T42" i="36"/>
  <c r="S40" i="103" s="1"/>
  <c r="M42" i="36"/>
  <c r="L40" i="103" s="1"/>
  <c r="K42" i="36"/>
  <c r="J40" i="103" s="1"/>
  <c r="W35" i="36"/>
  <c r="V34" i="103" s="1"/>
  <c r="Q35" i="36"/>
  <c r="P34" i="103" s="1"/>
  <c r="E183" i="36"/>
  <c r="E20" i="103"/>
  <c r="M83" i="79"/>
  <c r="O198" i="36"/>
  <c r="O116" i="79"/>
  <c r="M114" i="79"/>
  <c r="N97" i="79"/>
  <c r="V72" i="79"/>
  <c r="T70" i="79"/>
  <c r="N68" i="79"/>
  <c r="L66" i="79"/>
  <c r="O64" i="79"/>
  <c r="R62" i="79"/>
  <c r="M60" i="79"/>
  <c r="P33" i="79"/>
  <c r="I31" i="79"/>
  <c r="V29" i="79"/>
  <c r="O185" i="36"/>
  <c r="M232" i="36"/>
  <c r="E17" i="103"/>
  <c r="N107" i="79"/>
  <c r="O105" i="79"/>
  <c r="R103" i="79"/>
  <c r="L101" i="79"/>
  <c r="O57" i="79"/>
  <c r="K55" i="79"/>
  <c r="Z53" i="79"/>
  <c r="O51" i="79"/>
  <c r="U49" i="79"/>
  <c r="S47" i="79"/>
  <c r="Q45" i="79"/>
  <c r="U43" i="79"/>
  <c r="Q41" i="79"/>
  <c r="J37" i="79"/>
  <c r="G96" i="181"/>
  <c r="M119" i="181"/>
  <c r="R114" i="181"/>
  <c r="N96" i="181"/>
  <c r="T119" i="181"/>
  <c r="J119" i="181"/>
  <c r="R96" i="181"/>
  <c r="J96" i="181"/>
  <c r="L114" i="181"/>
  <c r="H28" i="181"/>
  <c r="T96" i="181"/>
  <c r="P96" i="181"/>
  <c r="L96" i="181"/>
  <c r="I96" i="181"/>
  <c r="G95" i="181"/>
  <c r="H119" i="181"/>
  <c r="H114" i="181"/>
  <c r="N119" i="181"/>
  <c r="U96" i="181"/>
  <c r="Q96" i="181"/>
  <c r="M96" i="181"/>
  <c r="Q48" i="79"/>
  <c r="T44" i="79"/>
  <c r="N44" i="79"/>
  <c r="S106" i="79"/>
  <c r="W54" i="79"/>
  <c r="L46" i="79"/>
  <c r="W33" i="79"/>
  <c r="Z46" i="79"/>
  <c r="I64" i="79"/>
  <c r="P50" i="79"/>
  <c r="R33" i="79"/>
  <c r="V56" i="79"/>
  <c r="K50" i="79"/>
  <c r="L50" i="79"/>
  <c r="N48" i="79"/>
  <c r="Q40" i="79"/>
  <c r="O54" i="79"/>
  <c r="M40" i="79"/>
  <c r="T77" i="79"/>
  <c r="I42" i="79"/>
  <c r="N31" i="79"/>
  <c r="Z106" i="79"/>
  <c r="Y54" i="79"/>
  <c r="N54" i="79"/>
  <c r="Z40" i="79"/>
  <c r="N40" i="79"/>
  <c r="N106" i="79"/>
  <c r="Y56" i="79"/>
  <c r="Q102" i="79"/>
  <c r="V54" i="79"/>
  <c r="U38" i="79"/>
  <c r="I54" i="79"/>
  <c r="Z38" i="79"/>
  <c r="M106" i="79"/>
  <c r="U54" i="79"/>
  <c r="X72" i="79"/>
  <c r="W77" i="79"/>
  <c r="Q46" i="79"/>
  <c r="V33" i="79"/>
  <c r="Q50" i="79"/>
  <c r="M44" i="79"/>
  <c r="M56" i="79"/>
  <c r="Q106" i="79"/>
  <c r="S50" i="79"/>
  <c r="K54" i="79"/>
  <c r="I40" i="79"/>
  <c r="J54" i="79"/>
  <c r="O44" i="79"/>
  <c r="S40" i="79"/>
  <c r="L54" i="79"/>
  <c r="X40" i="79"/>
  <c r="O42" i="79"/>
  <c r="R48" i="79"/>
  <c r="P40" i="79"/>
  <c r="P56" i="79"/>
  <c r="N77" i="79"/>
  <c r="V38" i="79"/>
  <c r="J52" i="79"/>
  <c r="Y77" i="79"/>
  <c r="L77" i="79"/>
  <c r="R77" i="79"/>
  <c r="K38" i="79"/>
  <c r="L38" i="79"/>
  <c r="M42" i="79"/>
  <c r="I44" i="79"/>
  <c r="G25" i="79"/>
  <c r="T25" i="79" s="1"/>
  <c r="D26" i="79"/>
  <c r="G26" i="79" s="1"/>
  <c r="G19" i="79"/>
  <c r="P19" i="79" s="1"/>
  <c r="D20" i="79"/>
  <c r="G20" i="79" s="1"/>
  <c r="D16" i="79"/>
  <c r="G15" i="79"/>
  <c r="X15" i="79" s="1"/>
  <c r="O114" i="79"/>
  <c r="J31" i="79"/>
  <c r="Q31" i="79"/>
  <c r="L31" i="79"/>
  <c r="R31" i="79"/>
  <c r="S66" i="79"/>
  <c r="O33" i="79"/>
  <c r="X70" i="79"/>
  <c r="U33" i="79"/>
  <c r="X57" i="79"/>
  <c r="G27" i="79"/>
  <c r="P27" i="79" s="1"/>
  <c r="D28" i="79"/>
  <c r="D22" i="79"/>
  <c r="G22" i="79" s="1"/>
  <c r="G21" i="79"/>
  <c r="Z21" i="79" s="1"/>
  <c r="G17" i="79"/>
  <c r="U17" i="79" s="1"/>
  <c r="D18" i="79"/>
  <c r="G18" i="79" s="1"/>
  <c r="K33" i="79"/>
  <c r="I72" i="79"/>
  <c r="T31" i="79"/>
  <c r="M33" i="79"/>
  <c r="T72" i="79"/>
  <c r="Q64" i="79"/>
  <c r="J33" i="79"/>
  <c r="P37" i="79"/>
  <c r="N57" i="79"/>
  <c r="T49" i="79"/>
  <c r="Z66" i="79"/>
  <c r="U31" i="79"/>
  <c r="D24" i="79"/>
  <c r="G24" i="79" s="1"/>
  <c r="G23" i="79"/>
  <c r="I23" i="79" s="1"/>
  <c r="C14" i="79"/>
  <c r="C15" i="79" s="1"/>
  <c r="C17" i="79" s="1"/>
  <c r="Q33" i="79"/>
  <c r="L33" i="79"/>
  <c r="Z31" i="79"/>
  <c r="N33" i="79"/>
  <c r="V31" i="79"/>
  <c r="T33" i="79"/>
  <c r="P31" i="79"/>
  <c r="Y33" i="79"/>
  <c r="X31" i="79"/>
  <c r="M31" i="79"/>
  <c r="W31" i="79"/>
  <c r="I33" i="79"/>
  <c r="Z33" i="79"/>
  <c r="K31" i="79"/>
  <c r="X33" i="79"/>
  <c r="Y31" i="79"/>
  <c r="S33" i="79"/>
  <c r="N61" i="79"/>
  <c r="S61" i="79"/>
  <c r="V81" i="79"/>
  <c r="N63" i="79"/>
  <c r="X67" i="79"/>
  <c r="X65" i="79"/>
  <c r="R30" i="79"/>
  <c r="O41" i="79"/>
  <c r="T65" i="79"/>
  <c r="P71" i="79"/>
  <c r="K57" i="79"/>
  <c r="O115" i="79"/>
  <c r="Q57" i="79"/>
  <c r="R29" i="79"/>
  <c r="J53" i="79"/>
  <c r="Z65" i="79"/>
  <c r="Y67" i="79"/>
  <c r="S57" i="79"/>
  <c r="Z61" i="79"/>
  <c r="O67" i="79"/>
  <c r="N81" i="79"/>
  <c r="Y61" i="79"/>
  <c r="X61" i="79"/>
  <c r="M113" i="79"/>
  <c r="R49" i="79"/>
  <c r="V61" i="79"/>
  <c r="Q61" i="79"/>
  <c r="U61" i="79"/>
  <c r="N72" i="79"/>
  <c r="M119" i="79"/>
  <c r="W69" i="79"/>
  <c r="T48" i="79"/>
  <c r="J63" i="79"/>
  <c r="M61" i="79"/>
  <c r="T50" i="79"/>
  <c r="U44" i="79"/>
  <c r="O70" i="79"/>
  <c r="R61" i="79"/>
  <c r="K46" i="79"/>
  <c r="R44" i="79"/>
  <c r="Y40" i="79"/>
  <c r="R42" i="79"/>
  <c r="Y50" i="79"/>
  <c r="X48" i="79"/>
  <c r="U48" i="79"/>
  <c r="K61" i="79"/>
  <c r="L72" i="79"/>
  <c r="Y65" i="79"/>
  <c r="R69" i="79"/>
  <c r="J50" i="79"/>
  <c r="X44" i="79"/>
  <c r="Z48" i="79"/>
  <c r="O61" i="79"/>
  <c r="P69" i="79"/>
  <c r="Q36" i="79"/>
  <c r="P61" i="79"/>
  <c r="Q71" i="79"/>
  <c r="I70" i="79"/>
  <c r="W38" i="79"/>
  <c r="Z62" i="79"/>
  <c r="M63" i="79"/>
  <c r="T61" i="79"/>
  <c r="M65" i="79"/>
  <c r="Y38" i="79"/>
  <c r="W72" i="79"/>
  <c r="U71" i="79"/>
  <c r="S38" i="79"/>
  <c r="V44" i="79"/>
  <c r="K65" i="79"/>
  <c r="R38" i="79"/>
  <c r="K64" i="79"/>
  <c r="S65" i="79"/>
  <c r="Q42" i="79"/>
  <c r="R40" i="79"/>
  <c r="U72" i="79"/>
  <c r="T46" i="79"/>
  <c r="Z42" i="79"/>
  <c r="J44" i="79"/>
  <c r="S42" i="79"/>
  <c r="P42" i="79"/>
  <c r="O65" i="79"/>
  <c r="Y62" i="79"/>
  <c r="V42" i="79"/>
  <c r="V50" i="79"/>
  <c r="K40" i="79"/>
  <c r="O69" i="79"/>
  <c r="J69" i="79"/>
  <c r="I48" i="79"/>
  <c r="Y46" i="79"/>
  <c r="P44" i="79"/>
  <c r="W44" i="79"/>
  <c r="O48" i="79"/>
  <c r="L48" i="79"/>
  <c r="T40" i="79"/>
  <c r="L44" i="79"/>
  <c r="I61" i="79"/>
  <c r="N113" i="79"/>
  <c r="N45" i="79"/>
  <c r="P38" i="79"/>
  <c r="W46" i="79"/>
  <c r="U40" i="79"/>
  <c r="W61" i="79"/>
  <c r="Y42" i="79"/>
  <c r="L61" i="79"/>
  <c r="W36" i="79"/>
  <c r="O119" i="79"/>
  <c r="W65" i="79"/>
  <c r="J65" i="79"/>
  <c r="X38" i="79"/>
  <c r="R36" i="79"/>
  <c r="Y64" i="79"/>
  <c r="P72" i="79"/>
  <c r="O72" i="79"/>
  <c r="P66" i="79"/>
  <c r="O38" i="79"/>
  <c r="W71" i="79"/>
  <c r="W49" i="79"/>
  <c r="K66" i="79"/>
  <c r="K70" i="79"/>
  <c r="M117" i="79"/>
  <c r="J42" i="79"/>
  <c r="L40" i="79"/>
  <c r="M105" i="79"/>
  <c r="I51" i="79"/>
  <c r="R57" i="79"/>
  <c r="Q53" i="79"/>
  <c r="U57" i="79"/>
  <c r="U55" i="79"/>
  <c r="N47" i="79"/>
  <c r="O55" i="79"/>
  <c r="Q70" i="79"/>
  <c r="M57" i="79"/>
  <c r="U37" i="79"/>
  <c r="V66" i="79"/>
  <c r="U70" i="79"/>
  <c r="W64" i="79"/>
  <c r="T57" i="79"/>
  <c r="J57" i="79"/>
  <c r="P57" i="79"/>
  <c r="K101" i="79"/>
  <c r="Y72" i="79"/>
  <c r="Z72" i="79"/>
  <c r="R72" i="79"/>
  <c r="I62" i="79"/>
  <c r="J72" i="79"/>
  <c r="M64" i="79"/>
  <c r="Q72" i="79"/>
  <c r="W101" i="79"/>
  <c r="Q32" i="79"/>
  <c r="G88" i="79"/>
  <c r="J88" i="79" s="1"/>
  <c r="V105" i="79"/>
  <c r="I53" i="79"/>
  <c r="N114" i="79"/>
  <c r="Z51" i="79"/>
  <c r="N101" i="79"/>
  <c r="M70" i="79"/>
  <c r="Z70" i="79"/>
  <c r="L70" i="79"/>
  <c r="J64" i="79"/>
  <c r="N103" i="79"/>
  <c r="X103" i="79"/>
  <c r="W103" i="79"/>
  <c r="Z103" i="79"/>
  <c r="V103" i="79"/>
  <c r="I103" i="79"/>
  <c r="U103" i="79"/>
  <c r="O103" i="79"/>
  <c r="U53" i="79"/>
  <c r="O53" i="79"/>
  <c r="X53" i="79"/>
  <c r="V53" i="79"/>
  <c r="K53" i="79"/>
  <c r="T53" i="79"/>
  <c r="L53" i="79"/>
  <c r="N53" i="79"/>
  <c r="W53" i="79"/>
  <c r="V30" i="79"/>
  <c r="J107" i="79"/>
  <c r="Q105" i="79"/>
  <c r="S101" i="79"/>
  <c r="T55" i="79"/>
  <c r="L103" i="79"/>
  <c r="P105" i="79"/>
  <c r="N118" i="79"/>
  <c r="M118" i="79"/>
  <c r="O118" i="79"/>
  <c r="S60" i="79"/>
  <c r="P60" i="79"/>
  <c r="W60" i="79"/>
  <c r="R60" i="79"/>
  <c r="Z47" i="79"/>
  <c r="U47" i="79"/>
  <c r="J13" i="79"/>
  <c r="X13" i="79"/>
  <c r="M13" i="79"/>
  <c r="T101" i="79"/>
  <c r="M53" i="79"/>
  <c r="P103" i="79"/>
  <c r="X47" i="79"/>
  <c r="O30" i="79"/>
  <c r="Y43" i="79"/>
  <c r="S105" i="79"/>
  <c r="R101" i="79"/>
  <c r="M51" i="79"/>
  <c r="Y53" i="79"/>
  <c r="V51" i="79"/>
  <c r="O45" i="79"/>
  <c r="W45" i="79"/>
  <c r="N60" i="79"/>
  <c r="Z60" i="79"/>
  <c r="O96" i="79"/>
  <c r="N96" i="79"/>
  <c r="L67" i="79"/>
  <c r="Z67" i="79"/>
  <c r="R65" i="79"/>
  <c r="P65" i="79"/>
  <c r="N65" i="79"/>
  <c r="V65" i="79"/>
  <c r="I65" i="79"/>
  <c r="L65" i="79"/>
  <c r="U65" i="79"/>
  <c r="P63" i="79"/>
  <c r="U63" i="79"/>
  <c r="V63" i="79"/>
  <c r="Z63" i="79"/>
  <c r="I63" i="79"/>
  <c r="O63" i="79"/>
  <c r="Q63" i="79"/>
  <c r="X63" i="79"/>
  <c r="Y63" i="79"/>
  <c r="K63" i="79"/>
  <c r="U109" i="79"/>
  <c r="V109" i="79"/>
  <c r="M101" i="79"/>
  <c r="J101" i="79"/>
  <c r="O101" i="79"/>
  <c r="Y101" i="79"/>
  <c r="X101" i="79"/>
  <c r="N51" i="79"/>
  <c r="K51" i="79"/>
  <c r="T51" i="79"/>
  <c r="Y51" i="79"/>
  <c r="Q51" i="79"/>
  <c r="R51" i="79"/>
  <c r="U51" i="79"/>
  <c r="M107" i="79"/>
  <c r="U107" i="79"/>
  <c r="O107" i="79"/>
  <c r="W107" i="79"/>
  <c r="S107" i="79"/>
  <c r="Z107" i="79"/>
  <c r="K107" i="79"/>
  <c r="L107" i="79"/>
  <c r="P107" i="79"/>
  <c r="N105" i="79"/>
  <c r="J105" i="79"/>
  <c r="I105" i="79"/>
  <c r="K105" i="79"/>
  <c r="Y55" i="79"/>
  <c r="L55" i="79"/>
  <c r="N55" i="79"/>
  <c r="W55" i="79"/>
  <c r="V55" i="79"/>
  <c r="R55" i="79"/>
  <c r="M55" i="79"/>
  <c r="J55" i="79"/>
  <c r="I55" i="79"/>
  <c r="S55" i="79"/>
  <c r="V32" i="79"/>
  <c r="O32" i="79"/>
  <c r="J32" i="79"/>
  <c r="U30" i="79"/>
  <c r="T30" i="79"/>
  <c r="K30" i="79"/>
  <c r="S30" i="79"/>
  <c r="L30" i="79"/>
  <c r="R107" i="79"/>
  <c r="P53" i="79"/>
  <c r="T103" i="79"/>
  <c r="U101" i="79"/>
  <c r="Q103" i="79"/>
  <c r="S103" i="79"/>
  <c r="L105" i="79"/>
  <c r="M116" i="79"/>
  <c r="N116" i="79"/>
  <c r="M62" i="79"/>
  <c r="N62" i="79"/>
  <c r="X62" i="79"/>
  <c r="V62" i="79"/>
  <c r="J62" i="79"/>
  <c r="P49" i="79"/>
  <c r="I49" i="79"/>
  <c r="J49" i="79"/>
  <c r="Q49" i="79"/>
  <c r="L49" i="79"/>
  <c r="X49" i="79"/>
  <c r="V49" i="79"/>
  <c r="Y49" i="79"/>
  <c r="W41" i="79"/>
  <c r="K41" i="79"/>
  <c r="M45" i="79"/>
  <c r="R53" i="79"/>
  <c r="R43" i="79"/>
  <c r="S109" i="79"/>
  <c r="V60" i="79"/>
  <c r="Z49" i="79"/>
  <c r="X41" i="79"/>
  <c r="S53" i="79"/>
  <c r="T105" i="79"/>
  <c r="Z55" i="79"/>
  <c r="X55" i="79"/>
  <c r="T107" i="79"/>
  <c r="P62" i="79"/>
  <c r="Y107" i="79"/>
  <c r="Y105" i="79"/>
  <c r="J41" i="79"/>
  <c r="J60" i="79"/>
  <c r="I108" i="79"/>
  <c r="K108" i="79"/>
  <c r="M108" i="79"/>
  <c r="R108" i="79"/>
  <c r="G79" i="79"/>
  <c r="U79" i="79" s="1"/>
  <c r="P77" i="79"/>
  <c r="S77" i="79"/>
  <c r="U77" i="79"/>
  <c r="M77" i="79"/>
  <c r="I77" i="79"/>
  <c r="O77" i="79"/>
  <c r="G75" i="79"/>
  <c r="N56" i="79"/>
  <c r="W56" i="79"/>
  <c r="R56" i="79"/>
  <c r="Q56" i="79"/>
  <c r="I56" i="79"/>
  <c r="X56" i="79"/>
  <c r="O56" i="79"/>
  <c r="J56" i="79"/>
  <c r="Z56" i="79"/>
  <c r="S56" i="79"/>
  <c r="K56" i="79"/>
  <c r="U56" i="79"/>
  <c r="I39" i="79"/>
  <c r="M39" i="79"/>
  <c r="Q39" i="79"/>
  <c r="W39" i="79"/>
  <c r="K39" i="79"/>
  <c r="J39" i="79"/>
  <c r="R39" i="79"/>
  <c r="X39" i="79"/>
  <c r="T39" i="79"/>
  <c r="Z39" i="79"/>
  <c r="Y39" i="79"/>
  <c r="U39" i="79"/>
  <c r="O39" i="79"/>
  <c r="N39" i="79"/>
  <c r="L39" i="79"/>
  <c r="S39" i="79"/>
  <c r="R104" i="79"/>
  <c r="W104" i="79"/>
  <c r="Z104" i="79"/>
  <c r="J104" i="79"/>
  <c r="V104" i="79"/>
  <c r="Y104" i="79"/>
  <c r="K104" i="79"/>
  <c r="I104" i="79"/>
  <c r="X104" i="79"/>
  <c r="R87" i="79"/>
  <c r="X87" i="79"/>
  <c r="K87" i="79"/>
  <c r="V87" i="79"/>
  <c r="M87" i="79"/>
  <c r="N87" i="79"/>
  <c r="P87" i="79"/>
  <c r="Z87" i="79"/>
  <c r="I87" i="79"/>
  <c r="O87" i="79"/>
  <c r="T87" i="79"/>
  <c r="Y37" i="79"/>
  <c r="O37" i="79"/>
  <c r="R37" i="79"/>
  <c r="W37" i="79"/>
  <c r="N37" i="79"/>
  <c r="Z37" i="79"/>
  <c r="T37" i="79"/>
  <c r="V37" i="79"/>
  <c r="M37" i="79"/>
  <c r="S37" i="79"/>
  <c r="Q37" i="79"/>
  <c r="I37" i="79"/>
  <c r="Y14" i="79"/>
  <c r="P14" i="79"/>
  <c r="X14" i="79"/>
  <c r="Z14" i="79"/>
  <c r="T14" i="79"/>
  <c r="J14" i="79"/>
  <c r="O14" i="79"/>
  <c r="K14" i="79"/>
  <c r="M14" i="79"/>
  <c r="W14" i="79"/>
  <c r="Q14" i="79"/>
  <c r="R14" i="79"/>
  <c r="I14" i="79"/>
  <c r="K37" i="79"/>
  <c r="P104" i="79"/>
  <c r="O13" i="79"/>
  <c r="J29" i="79"/>
  <c r="S87" i="79"/>
  <c r="X37" i="79"/>
  <c r="T104" i="79"/>
  <c r="V14" i="79"/>
  <c r="T29" i="79"/>
  <c r="S104" i="79"/>
  <c r="Y87" i="79"/>
  <c r="S14" i="79"/>
  <c r="Z29" i="79"/>
  <c r="L14" i="79"/>
  <c r="L104" i="79"/>
  <c r="M97" i="79"/>
  <c r="J87" i="79"/>
  <c r="O104" i="79"/>
  <c r="K67" i="79"/>
  <c r="N14" i="79"/>
  <c r="V80" i="79"/>
  <c r="G111" i="79"/>
  <c r="G89" i="79"/>
  <c r="X80" i="79"/>
  <c r="I29" i="79"/>
  <c r="Y29" i="79"/>
  <c r="X29" i="79"/>
  <c r="N29" i="79"/>
  <c r="K29" i="79"/>
  <c r="W29" i="79"/>
  <c r="O29" i="79"/>
  <c r="U29" i="79"/>
  <c r="Q29" i="79"/>
  <c r="N13" i="79"/>
  <c r="U13" i="79"/>
  <c r="I13" i="79"/>
  <c r="S13" i="79"/>
  <c r="Y13" i="79"/>
  <c r="V13" i="79"/>
  <c r="K13" i="79"/>
  <c r="W13" i="79"/>
  <c r="R13" i="79"/>
  <c r="L13" i="79"/>
  <c r="P13" i="79"/>
  <c r="T13" i="79"/>
  <c r="P29" i="79"/>
  <c r="M29" i="79"/>
  <c r="L37" i="79"/>
  <c r="Z13" i="79"/>
  <c r="U14" i="79"/>
  <c r="Q13" i="79"/>
  <c r="W87" i="79"/>
  <c r="U87" i="79"/>
  <c r="Z110" i="79"/>
  <c r="V110" i="79"/>
  <c r="K110" i="79"/>
  <c r="J110" i="79"/>
  <c r="L110" i="79"/>
  <c r="R110" i="79"/>
  <c r="N110" i="79"/>
  <c r="W110" i="79"/>
  <c r="S110" i="79"/>
  <c r="O110" i="79"/>
  <c r="Q110" i="79"/>
  <c r="Z108" i="79"/>
  <c r="N108" i="79"/>
  <c r="L108" i="79"/>
  <c r="Q108" i="79"/>
  <c r="P108" i="79"/>
  <c r="S108" i="79"/>
  <c r="W108" i="79"/>
  <c r="X108" i="79"/>
  <c r="T108" i="79"/>
  <c r="J108" i="79"/>
  <c r="G86" i="79"/>
  <c r="G84" i="79"/>
  <c r="G82" i="79"/>
  <c r="O71" i="79"/>
  <c r="Y71" i="79"/>
  <c r="Z71" i="79"/>
  <c r="R71" i="79"/>
  <c r="N71" i="79"/>
  <c r="T71" i="79"/>
  <c r="K71" i="79"/>
  <c r="J71" i="79"/>
  <c r="S71" i="79"/>
  <c r="X71" i="79"/>
  <c r="L71" i="79"/>
  <c r="V71" i="79"/>
  <c r="I71" i="79"/>
  <c r="U69" i="79"/>
  <c r="Y69" i="79"/>
  <c r="N69" i="79"/>
  <c r="T69" i="79"/>
  <c r="S69" i="79"/>
  <c r="I69" i="79"/>
  <c r="M69" i="79"/>
  <c r="Q69" i="79"/>
  <c r="L69" i="79"/>
  <c r="X69" i="79"/>
  <c r="K69" i="79"/>
  <c r="Z69" i="79"/>
  <c r="V67" i="79"/>
  <c r="M67" i="79"/>
  <c r="W67" i="79"/>
  <c r="J67" i="79"/>
  <c r="P67" i="79"/>
  <c r="S67" i="79"/>
  <c r="Q67" i="79"/>
  <c r="U67" i="79"/>
  <c r="T67" i="79"/>
  <c r="I67" i="79"/>
  <c r="N67" i="79"/>
  <c r="Q47" i="79"/>
  <c r="W47" i="79"/>
  <c r="P47" i="79"/>
  <c r="K47" i="79"/>
  <c r="I47" i="79"/>
  <c r="O47" i="79"/>
  <c r="J47" i="79"/>
  <c r="M47" i="79"/>
  <c r="V47" i="79"/>
  <c r="I43" i="79"/>
  <c r="S43" i="79"/>
  <c r="K43" i="79"/>
  <c r="N43" i="79"/>
  <c r="X43" i="79"/>
  <c r="V43" i="79"/>
  <c r="M43" i="79"/>
  <c r="W43" i="79"/>
  <c r="O43" i="79"/>
  <c r="L43" i="79"/>
  <c r="T43" i="79"/>
  <c r="P43" i="79"/>
  <c r="Z43" i="79"/>
  <c r="J43" i="79"/>
  <c r="Q43" i="79"/>
  <c r="Z41" i="79"/>
  <c r="V41" i="79"/>
  <c r="Y41" i="79"/>
  <c r="P41" i="79"/>
  <c r="N41" i="79"/>
  <c r="M41" i="79"/>
  <c r="U41" i="79"/>
  <c r="L32" i="79"/>
  <c r="Y32" i="79"/>
  <c r="N32" i="79"/>
  <c r="P32" i="79"/>
  <c r="Z32" i="79"/>
  <c r="K32" i="79"/>
  <c r="T32" i="79"/>
  <c r="M32" i="79"/>
  <c r="I32" i="79"/>
  <c r="X32" i="79"/>
  <c r="S32" i="79"/>
  <c r="W32" i="79"/>
  <c r="R32" i="79"/>
  <c r="J30" i="79"/>
  <c r="X30" i="79"/>
  <c r="Q30" i="79"/>
  <c r="M30" i="79"/>
  <c r="Y30" i="79"/>
  <c r="Z30" i="79"/>
  <c r="W30" i="79"/>
  <c r="P30" i="79"/>
  <c r="N30" i="79"/>
  <c r="V107" i="79"/>
  <c r="Q107" i="79"/>
  <c r="X107" i="79"/>
  <c r="I107" i="79"/>
  <c r="U105" i="79"/>
  <c r="X105" i="79"/>
  <c r="W105" i="79"/>
  <c r="R105" i="79"/>
  <c r="Z105" i="79"/>
  <c r="M103" i="79"/>
  <c r="K103" i="79"/>
  <c r="Y103" i="79"/>
  <c r="J103" i="79"/>
  <c r="P101" i="79"/>
  <c r="V101" i="79"/>
  <c r="I60" i="79"/>
  <c r="Y60" i="79"/>
  <c r="X60" i="79"/>
  <c r="K60" i="79"/>
  <c r="O60" i="79"/>
  <c r="T60" i="79"/>
  <c r="L60" i="79"/>
  <c r="L51" i="79"/>
  <c r="J51" i="79"/>
  <c r="P51" i="79"/>
  <c r="X51" i="79"/>
  <c r="W51" i="79"/>
  <c r="S51" i="79"/>
  <c r="J70" i="79"/>
  <c r="Y70" i="79"/>
  <c r="W70" i="79"/>
  <c r="S70" i="79"/>
  <c r="N70" i="79"/>
  <c r="R70" i="79"/>
  <c r="V70" i="79"/>
  <c r="P70" i="79"/>
  <c r="N66" i="79"/>
  <c r="T66" i="79"/>
  <c r="V64" i="79"/>
  <c r="S64" i="79"/>
  <c r="L64" i="79"/>
  <c r="R64" i="79"/>
  <c r="P64" i="79"/>
  <c r="Z64" i="79"/>
  <c r="U64" i="79"/>
  <c r="X64" i="79"/>
  <c r="T62" i="79"/>
  <c r="U62" i="79"/>
  <c r="L62" i="79"/>
  <c r="O62" i="79"/>
  <c r="K62" i="79"/>
  <c r="Q62" i="79"/>
  <c r="W62" i="79"/>
  <c r="S62" i="79"/>
  <c r="I57" i="79"/>
  <c r="Y57" i="79"/>
  <c r="V57" i="79"/>
  <c r="Z57" i="79"/>
  <c r="O50" i="79"/>
  <c r="U50" i="79"/>
  <c r="W50" i="79"/>
  <c r="Z50" i="79"/>
  <c r="R50" i="79"/>
  <c r="J48" i="79"/>
  <c r="P48" i="79"/>
  <c r="M48" i="79"/>
  <c r="I46" i="79"/>
  <c r="S46" i="79"/>
  <c r="U46" i="79"/>
  <c r="V46" i="79"/>
  <c r="P46" i="79"/>
  <c r="M36" i="79"/>
  <c r="Y45" i="79"/>
  <c r="R66" i="79"/>
  <c r="O66" i="79"/>
  <c r="Z109" i="79"/>
  <c r="O109" i="79"/>
  <c r="Y66" i="79"/>
  <c r="X45" i="79"/>
  <c r="P45" i="79"/>
  <c r="Z102" i="79"/>
  <c r="J66" i="79"/>
  <c r="T68" i="79"/>
  <c r="M102" i="79"/>
  <c r="R109" i="79"/>
  <c r="Q109" i="79"/>
  <c r="N64" i="79"/>
  <c r="T64" i="79"/>
  <c r="L57" i="79"/>
  <c r="W57" i="79"/>
  <c r="Q55" i="79"/>
  <c r="P55" i="79"/>
  <c r="S41" i="79"/>
  <c r="I41" i="79"/>
  <c r="T41" i="79"/>
  <c r="L41" i="79"/>
  <c r="R41" i="79"/>
  <c r="V39" i="79"/>
  <c r="P39" i="79"/>
  <c r="R68" i="79"/>
  <c r="K68" i="79"/>
  <c r="U66" i="79"/>
  <c r="X66" i="79"/>
  <c r="N52" i="79"/>
  <c r="P52" i="79"/>
  <c r="Y36" i="79"/>
  <c r="O36" i="79"/>
  <c r="X52" i="79"/>
  <c r="P68" i="79"/>
  <c r="K102" i="79"/>
  <c r="V36" i="79"/>
  <c r="R52" i="79"/>
  <c r="X102" i="79"/>
  <c r="V45" i="79"/>
  <c r="O102" i="79"/>
  <c r="P109" i="79"/>
  <c r="P36" i="79"/>
  <c r="N115" i="79"/>
  <c r="X109" i="79"/>
  <c r="X68" i="79"/>
  <c r="O68" i="79"/>
  <c r="M66" i="79"/>
  <c r="V68" i="79"/>
  <c r="I102" i="79"/>
  <c r="T109" i="79"/>
  <c r="K36" i="79"/>
  <c r="L102" i="79"/>
  <c r="T36" i="79"/>
  <c r="S68" i="79"/>
  <c r="Y68" i="79"/>
  <c r="K45" i="79"/>
  <c r="J109" i="79"/>
  <c r="Z36" i="79"/>
  <c r="Y52" i="79"/>
  <c r="N102" i="79"/>
  <c r="Y109" i="79"/>
  <c r="J36" i="79"/>
  <c r="I68" i="79"/>
  <c r="I66" i="79"/>
  <c r="U45" i="79"/>
  <c r="J45" i="79"/>
  <c r="J102" i="79"/>
  <c r="T52" i="79"/>
  <c r="Q66" i="79"/>
  <c r="K109" i="79"/>
  <c r="W68" i="79"/>
  <c r="I109" i="79"/>
  <c r="N36" i="79"/>
  <c r="W109" i="79"/>
  <c r="Z45" i="79"/>
  <c r="N117" i="79"/>
  <c r="T45" i="79"/>
  <c r="I36" i="79"/>
  <c r="P102" i="79"/>
  <c r="G58" i="79"/>
  <c r="Y108" i="79"/>
  <c r="O108" i="79"/>
  <c r="I101" i="79"/>
  <c r="Z101" i="79"/>
  <c r="Q101" i="79"/>
  <c r="G78" i="79"/>
  <c r="G73" i="79"/>
  <c r="U60" i="79"/>
  <c r="Q60" i="79"/>
  <c r="S29" i="79"/>
  <c r="L29" i="79"/>
  <c r="S36" i="79"/>
  <c r="R45" i="79"/>
  <c r="K52" i="79"/>
  <c r="L68" i="79"/>
  <c r="T102" i="79"/>
  <c r="M109" i="79"/>
  <c r="U68" i="79"/>
  <c r="I52" i="79"/>
  <c r="S45" i="79"/>
  <c r="U52" i="79"/>
  <c r="N109" i="79"/>
  <c r="V52" i="79"/>
  <c r="I45" i="79"/>
  <c r="L45" i="79"/>
  <c r="M52" i="79"/>
  <c r="U102" i="79"/>
  <c r="L109" i="79"/>
  <c r="R102" i="79"/>
  <c r="O97" i="79"/>
  <c r="U36" i="79"/>
  <c r="S52" i="79"/>
  <c r="Z68" i="79"/>
  <c r="L36" i="79"/>
  <c r="Q68" i="79"/>
  <c r="M68" i="79"/>
  <c r="J68" i="79"/>
  <c r="W102" i="79"/>
  <c r="W66" i="79"/>
  <c r="G98" i="79"/>
  <c r="G120" i="79"/>
  <c r="Y106" i="79"/>
  <c r="J106" i="79"/>
  <c r="U106" i="79"/>
  <c r="U104" i="79"/>
  <c r="Q104" i="79"/>
  <c r="G85" i="79"/>
  <c r="M72" i="79"/>
  <c r="K72" i="79"/>
  <c r="S72" i="79"/>
  <c r="R63" i="79"/>
  <c r="S63" i="79"/>
  <c r="L63" i="79"/>
  <c r="T63" i="79"/>
  <c r="O49" i="79"/>
  <c r="K49" i="79"/>
  <c r="S49" i="79"/>
  <c r="M49" i="79"/>
  <c r="N49" i="79"/>
  <c r="R47" i="79"/>
  <c r="Y47" i="79"/>
  <c r="L47" i="79"/>
  <c r="T47" i="79"/>
  <c r="O76" i="79"/>
  <c r="X81" i="79"/>
  <c r="S81" i="79"/>
  <c r="I81" i="79"/>
  <c r="J81" i="79"/>
  <c r="Q81" i="79"/>
  <c r="O81" i="79"/>
  <c r="T81" i="79"/>
  <c r="Y81" i="79"/>
  <c r="Z81" i="79"/>
  <c r="W81" i="79"/>
  <c r="P81" i="79"/>
  <c r="R81" i="79"/>
  <c r="W80" i="79"/>
  <c r="M81" i="79"/>
  <c r="U81" i="79"/>
  <c r="K81" i="79"/>
  <c r="P114" i="181"/>
  <c r="P119" i="181"/>
  <c r="G69" i="157"/>
  <c r="G38" i="181" s="1"/>
  <c r="L171" i="28"/>
  <c r="O171" i="171"/>
  <c r="O206" i="171" s="1"/>
  <c r="Q189" i="164"/>
  <c r="H50" i="181"/>
  <c r="O214" i="36"/>
  <c r="V214" i="36"/>
  <c r="J214" i="36"/>
  <c r="K214" i="36"/>
  <c r="X214" i="36"/>
  <c r="U214" i="36"/>
  <c r="W214" i="36"/>
  <c r="H214" i="36"/>
  <c r="M214" i="36"/>
  <c r="I214" i="36"/>
  <c r="S214" i="36"/>
  <c r="N214" i="36"/>
  <c r="Y214" i="36"/>
  <c r="I39" i="103"/>
  <c r="S119" i="181"/>
  <c r="S114" i="181"/>
  <c r="F533" i="202"/>
  <c r="E267" i="202"/>
  <c r="F267" i="202"/>
  <c r="F483" i="202"/>
  <c r="F300" i="202"/>
  <c r="C15" i="214"/>
  <c r="C13" i="30"/>
  <c r="C14" i="30" s="1"/>
  <c r="G67" i="157"/>
  <c r="G37" i="181" s="1"/>
  <c r="K130" i="70"/>
  <c r="K129" i="70"/>
  <c r="U163" i="164"/>
  <c r="S145" i="164"/>
  <c r="E21" i="214"/>
  <c r="N171" i="171"/>
  <c r="N206" i="171" s="1"/>
  <c r="F255" i="202"/>
  <c r="F247" i="202"/>
  <c r="F257" i="202"/>
  <c r="M51" i="35"/>
  <c r="F217" i="36"/>
  <c r="N167" i="175"/>
  <c r="Q119" i="181"/>
  <c r="K119" i="181"/>
  <c r="F200" i="202"/>
  <c r="G21" i="157"/>
  <c r="G20" i="181" s="1"/>
  <c r="G86" i="181" s="1"/>
  <c r="C15" i="92"/>
  <c r="E41" i="157"/>
  <c r="F41" i="157"/>
  <c r="O83" i="79"/>
  <c r="N83" i="79"/>
  <c r="AC233" i="172"/>
  <c r="AC234" i="172" s="1"/>
  <c r="AC206" i="172"/>
  <c r="N105" i="175"/>
  <c r="S209" i="164"/>
  <c r="F446" i="202"/>
  <c r="F368" i="202"/>
  <c r="F370" i="202"/>
  <c r="F353" i="202"/>
  <c r="F454" i="202"/>
  <c r="F151" i="202"/>
  <c r="F156" i="202"/>
  <c r="C12" i="35"/>
  <c r="F501" i="202"/>
  <c r="F304" i="202"/>
  <c r="O89" i="186"/>
  <c r="K73" i="70"/>
  <c r="N83" i="28"/>
  <c r="N166" i="28" s="1"/>
  <c r="U114" i="181"/>
  <c r="I28" i="181"/>
  <c r="I114" i="181"/>
  <c r="H32" i="157"/>
  <c r="H22" i="181" s="1"/>
  <c r="F531" i="202"/>
  <c r="F183" i="202"/>
  <c r="F217" i="202"/>
  <c r="E217" i="202"/>
  <c r="M220" i="16"/>
  <c r="C17" i="107"/>
  <c r="K148" i="70"/>
  <c r="K98" i="70"/>
  <c r="K95" i="70"/>
  <c r="K94" i="70"/>
  <c r="N102" i="28"/>
  <c r="N168" i="28" s="1"/>
  <c r="I72" i="157" s="1"/>
  <c r="K68" i="164"/>
  <c r="O114" i="181"/>
  <c r="I119" i="181"/>
  <c r="E392" i="202"/>
  <c r="F392" i="202"/>
  <c r="F444" i="202"/>
  <c r="AA206" i="172"/>
  <c r="AA233" i="172"/>
  <c r="D37" i="177"/>
  <c r="D44" i="177"/>
  <c r="E192" i="202"/>
  <c r="F192" i="202"/>
  <c r="V101" i="20"/>
  <c r="C16" i="102"/>
  <c r="C17" i="102"/>
  <c r="E54" i="157"/>
  <c r="F54" i="157"/>
  <c r="AL122" i="172"/>
  <c r="AL197" i="172" s="1"/>
  <c r="E23" i="207"/>
  <c r="F122" i="172"/>
  <c r="C12" i="90"/>
  <c r="K84" i="70"/>
  <c r="K67" i="70"/>
  <c r="K63" i="70"/>
  <c r="N62" i="28"/>
  <c r="N165" i="28" s="1"/>
  <c r="I70" i="157" s="1"/>
  <c r="K44" i="70"/>
  <c r="K31" i="70"/>
  <c r="K29" i="70"/>
  <c r="N47" i="28"/>
  <c r="N164" i="28" s="1"/>
  <c r="I69" i="157" s="1"/>
  <c r="N20" i="175"/>
  <c r="N163" i="175" s="1"/>
  <c r="C173" i="172"/>
  <c r="C175" i="172" s="1"/>
  <c r="C181" i="172" s="1"/>
  <c r="J117" i="164"/>
  <c r="J164" i="13"/>
  <c r="J193" i="13" s="1"/>
  <c r="E27" i="207" s="1"/>
  <c r="F164" i="13"/>
  <c r="F193" i="13" s="1"/>
  <c r="F75" i="13"/>
  <c r="E126" i="16" s="1"/>
  <c r="N240" i="164"/>
  <c r="T234" i="164"/>
  <c r="N49" i="164"/>
  <c r="O49" i="164" s="1"/>
  <c r="P49" i="164" s="1"/>
  <c r="Q49" i="164" s="1"/>
  <c r="R49" i="164" s="1"/>
  <c r="S49" i="164" s="1"/>
  <c r="T49" i="164" s="1"/>
  <c r="U49" i="164" s="1"/>
  <c r="V49" i="164" s="1"/>
  <c r="W49" i="164" s="1"/>
  <c r="K50" i="164"/>
  <c r="N50" i="164" s="1"/>
  <c r="O50" i="164" s="1"/>
  <c r="P50" i="164" s="1"/>
  <c r="Q50" i="164" s="1"/>
  <c r="R50" i="164" s="1"/>
  <c r="S50" i="164" s="1"/>
  <c r="T50" i="164" s="1"/>
  <c r="U50" i="164" s="1"/>
  <c r="V50" i="164" s="1"/>
  <c r="W50" i="164" s="1"/>
  <c r="F51" i="16"/>
  <c r="G50" i="164"/>
  <c r="F52" i="16" s="1"/>
  <c r="J78" i="20"/>
  <c r="I82" i="20"/>
  <c r="M190" i="36"/>
  <c r="S190" i="36"/>
  <c r="F183" i="36"/>
  <c r="M18" i="35"/>
  <c r="C17" i="166"/>
  <c r="C18" i="166" s="1"/>
  <c r="C9" i="207"/>
  <c r="C19" i="115"/>
  <c r="I171" i="28"/>
  <c r="K171" i="28"/>
  <c r="C13" i="175"/>
  <c r="C14" i="175" s="1"/>
  <c r="F175" i="172"/>
  <c r="F181" i="172" s="1"/>
  <c r="F204" i="172"/>
  <c r="F207" i="172" s="1"/>
  <c r="H215" i="172"/>
  <c r="H218" i="172" s="1"/>
  <c r="H171" i="172"/>
  <c r="H119" i="172"/>
  <c r="H190" i="172"/>
  <c r="H85" i="172"/>
  <c r="H31" i="159"/>
  <c r="I29" i="159"/>
  <c r="I31" i="159" s="1"/>
  <c r="J31" i="159" s="1"/>
  <c r="K80" i="70"/>
  <c r="I196" i="13"/>
  <c r="I203" i="13" s="1"/>
  <c r="I175" i="13"/>
  <c r="I177" i="13" s="1"/>
  <c r="P244" i="164"/>
  <c r="W238" i="164"/>
  <c r="Q233" i="164"/>
  <c r="P232" i="164"/>
  <c r="J221" i="164"/>
  <c r="F53" i="157"/>
  <c r="E53" i="157"/>
  <c r="K22" i="181"/>
  <c r="G30" i="209"/>
  <c r="C19" i="106"/>
  <c r="C20" i="106"/>
  <c r="G33" i="157"/>
  <c r="C11" i="202"/>
  <c r="C12" i="202" s="1"/>
  <c r="F43" i="157"/>
  <c r="J171" i="28"/>
  <c r="Q206" i="172"/>
  <c r="Q233" i="172"/>
  <c r="AG206" i="172"/>
  <c r="AG233" i="172"/>
  <c r="K120" i="70"/>
  <c r="N159" i="28"/>
  <c r="N170" i="28" s="1"/>
  <c r="I74" i="157" s="1"/>
  <c r="N119" i="28"/>
  <c r="N169" i="28" s="1"/>
  <c r="I73" i="157" s="1"/>
  <c r="F46" i="16"/>
  <c r="F66" i="16"/>
  <c r="F47" i="16"/>
  <c r="F67" i="16"/>
  <c r="F48" i="16"/>
  <c r="C20" i="115"/>
  <c r="L232" i="16"/>
  <c r="K264" i="16"/>
  <c r="F44" i="168"/>
  <c r="J44" i="168"/>
  <c r="N44" i="168"/>
  <c r="R44" i="168"/>
  <c r="V44" i="168"/>
  <c r="D44" i="168"/>
  <c r="H44" i="168"/>
  <c r="L44" i="168"/>
  <c r="P44" i="168"/>
  <c r="T44" i="168"/>
  <c r="X44" i="168"/>
  <c r="I44" i="168"/>
  <c r="Q44" i="168"/>
  <c r="Y44" i="168"/>
  <c r="G44" i="168"/>
  <c r="S44" i="168"/>
  <c r="K44" i="168"/>
  <c r="U44" i="168"/>
  <c r="G45" i="168"/>
  <c r="K45" i="168"/>
  <c r="O45" i="168"/>
  <c r="S45" i="168"/>
  <c r="W45" i="168"/>
  <c r="H45" i="168"/>
  <c r="P45" i="168"/>
  <c r="X45" i="168"/>
  <c r="D45" i="168"/>
  <c r="N45" i="168"/>
  <c r="F45" i="168"/>
  <c r="R45" i="168"/>
  <c r="K133" i="70"/>
  <c r="K108" i="70"/>
  <c r="K89" i="70"/>
  <c r="K91" i="70" s="1"/>
  <c r="K166" i="70" s="1"/>
  <c r="K69" i="70"/>
  <c r="K59" i="70"/>
  <c r="N84" i="175"/>
  <c r="N165" i="175" s="1"/>
  <c r="I28" i="176" s="1"/>
  <c r="I50" i="181" s="1"/>
  <c r="K40" i="70"/>
  <c r="C14" i="13"/>
  <c r="C13" i="14"/>
  <c r="C14" i="14" s="1"/>
  <c r="D17" i="13" s="1"/>
  <c r="D13" i="13"/>
  <c r="N236" i="164"/>
  <c r="F63" i="16"/>
  <c r="H40" i="177"/>
  <c r="E40" i="177"/>
  <c r="J92" i="20"/>
  <c r="G80" i="157" s="1"/>
  <c r="G83" i="157" s="1"/>
  <c r="G45" i="181" s="1"/>
  <c r="J102" i="20"/>
  <c r="J104" i="20" s="1"/>
  <c r="H92" i="20"/>
  <c r="H101" i="20"/>
  <c r="F46" i="157"/>
  <c r="E40" i="157"/>
  <c r="F40" i="157"/>
  <c r="G69" i="179"/>
  <c r="C16" i="214"/>
  <c r="C19" i="104"/>
  <c r="C20" i="104" s="1"/>
  <c r="C21" i="104" s="1"/>
  <c r="C15" i="163"/>
  <c r="M233" i="172"/>
  <c r="M206" i="172"/>
  <c r="J45" i="168"/>
  <c r="M44" i="168"/>
  <c r="H220" i="172"/>
  <c r="H224" i="172" s="1"/>
  <c r="H226" i="172" s="1"/>
  <c r="H199" i="172" s="1"/>
  <c r="H118" i="172"/>
  <c r="J29" i="70"/>
  <c r="J31" i="70"/>
  <c r="J35" i="70"/>
  <c r="J37" i="70"/>
  <c r="J41" i="70"/>
  <c r="J47" i="70"/>
  <c r="J53" i="70"/>
  <c r="J57" i="70"/>
  <c r="J58" i="70"/>
  <c r="J63" i="70"/>
  <c r="J69" i="70"/>
  <c r="J72" i="70"/>
  <c r="J74" i="70"/>
  <c r="J81" i="70"/>
  <c r="J83" i="70"/>
  <c r="J84" i="70"/>
  <c r="J97" i="70"/>
  <c r="J98" i="70"/>
  <c r="J104" i="70"/>
  <c r="J110" i="70"/>
  <c r="J112" i="70"/>
  <c r="J113" i="70"/>
  <c r="J121" i="70"/>
  <c r="J127" i="70"/>
  <c r="J128" i="70"/>
  <c r="J130" i="70"/>
  <c r="J132" i="70"/>
  <c r="J134" i="70"/>
  <c r="J136" i="70"/>
  <c r="J138" i="70"/>
  <c r="J146" i="70"/>
  <c r="J149" i="70"/>
  <c r="J33" i="70"/>
  <c r="J38" i="70"/>
  <c r="J40" i="70"/>
  <c r="J42" i="70"/>
  <c r="J44" i="70"/>
  <c r="J52" i="70"/>
  <c r="J56" i="70"/>
  <c r="J61" i="70"/>
  <c r="J70" i="70"/>
  <c r="J76" i="70"/>
  <c r="J78" i="70"/>
  <c r="J80" i="70"/>
  <c r="J100" i="70"/>
  <c r="J101" i="70"/>
  <c r="J103" i="70"/>
  <c r="J122" i="70"/>
  <c r="J125" i="70"/>
  <c r="J143" i="70"/>
  <c r="J148" i="70"/>
  <c r="J151" i="70"/>
  <c r="J153" i="70"/>
  <c r="J30" i="70"/>
  <c r="J43" i="70"/>
  <c r="J59" i="70"/>
  <c r="J68" i="70"/>
  <c r="J71" i="70"/>
  <c r="J90" i="70"/>
  <c r="J99" i="70"/>
  <c r="J102" i="70"/>
  <c r="J108" i="70"/>
  <c r="J152" i="70"/>
  <c r="J27" i="70"/>
  <c r="J28" i="70"/>
  <c r="J32" i="70"/>
  <c r="J45" i="70"/>
  <c r="J54" i="70"/>
  <c r="J55" i="70"/>
  <c r="J62" i="70"/>
  <c r="J73" i="70"/>
  <c r="J95" i="70"/>
  <c r="J126" i="70"/>
  <c r="J129" i="70"/>
  <c r="J144" i="70"/>
  <c r="J147" i="70"/>
  <c r="J154" i="70"/>
  <c r="J34" i="70"/>
  <c r="J36" i="70"/>
  <c r="J39" i="70"/>
  <c r="J77" i="70"/>
  <c r="J85" i="70"/>
  <c r="J120" i="70"/>
  <c r="J124" i="70"/>
  <c r="J135" i="70"/>
  <c r="J145" i="70"/>
  <c r="J46" i="70"/>
  <c r="J60" i="70"/>
  <c r="J79" i="70"/>
  <c r="J96" i="70"/>
  <c r="J114" i="70"/>
  <c r="J137" i="70"/>
  <c r="J82" i="70"/>
  <c r="J89" i="70"/>
  <c r="J109" i="70"/>
  <c r="J131" i="70"/>
  <c r="J142" i="70"/>
  <c r="J155" i="70"/>
  <c r="J75" i="70"/>
  <c r="J111" i="70"/>
  <c r="J133" i="70"/>
  <c r="J150" i="70"/>
  <c r="O239" i="164"/>
  <c r="S237" i="164"/>
  <c r="E96" i="16"/>
  <c r="E106" i="16"/>
  <c r="I41" i="164"/>
  <c r="C13" i="164"/>
  <c r="C14" i="164" s="1"/>
  <c r="N65" i="20"/>
  <c r="O80" i="20"/>
  <c r="AC163" i="172"/>
  <c r="C13" i="85"/>
  <c r="C14" i="85" s="1"/>
  <c r="I25" i="159"/>
  <c r="I24" i="159"/>
  <c r="I26" i="159" s="1"/>
  <c r="K78" i="70"/>
  <c r="K72" i="70"/>
  <c r="D84" i="172"/>
  <c r="I181" i="164"/>
  <c r="H64" i="70"/>
  <c r="H164" i="70" s="1"/>
  <c r="F144" i="172"/>
  <c r="F154" i="172" s="1"/>
  <c r="F163" i="172" s="1"/>
  <c r="AK154" i="172"/>
  <c r="AK163" i="172" s="1"/>
  <c r="AK228" i="172"/>
  <c r="AK234" i="172" s="1"/>
  <c r="C12" i="88"/>
  <c r="C13" i="19"/>
  <c r="C14" i="19"/>
  <c r="D39" i="159"/>
  <c r="D47" i="159" s="1"/>
  <c r="D55" i="159" s="1"/>
  <c r="I30" i="159"/>
  <c r="K131" i="70"/>
  <c r="K122" i="70"/>
  <c r="K113" i="70"/>
  <c r="K103" i="70"/>
  <c r="E161" i="172"/>
  <c r="C122" i="172"/>
  <c r="C123" i="172" s="1"/>
  <c r="F175" i="13"/>
  <c r="G8" i="16"/>
  <c r="I7" i="13"/>
  <c r="O242" i="164"/>
  <c r="F157" i="16"/>
  <c r="G225" i="164"/>
  <c r="F199" i="16" s="1"/>
  <c r="J101" i="164"/>
  <c r="J54" i="13" s="1"/>
  <c r="H70" i="16"/>
  <c r="I77" i="164"/>
  <c r="H71" i="16" s="1"/>
  <c r="J42" i="164"/>
  <c r="C14" i="16"/>
  <c r="C15" i="16" s="1"/>
  <c r="P65" i="20"/>
  <c r="Q80" i="20"/>
  <c r="H65" i="20"/>
  <c r="H78" i="20"/>
  <c r="H82" i="20" s="1"/>
  <c r="L65" i="20"/>
  <c r="L80" i="20"/>
  <c r="S58" i="20"/>
  <c r="P82" i="157" s="1"/>
  <c r="L61" i="209" s="1"/>
  <c r="S96" i="20"/>
  <c r="S98" i="20" s="1"/>
  <c r="K96" i="20"/>
  <c r="K98" i="20" s="1"/>
  <c r="K58" i="20"/>
  <c r="H82" i="157" s="1"/>
  <c r="H83" i="157" s="1"/>
  <c r="H45" i="181" s="1"/>
  <c r="U58" i="20"/>
  <c r="R82" i="157" s="1"/>
  <c r="U95" i="20"/>
  <c r="Q58" i="20"/>
  <c r="N82" i="157" s="1"/>
  <c r="Q95" i="20"/>
  <c r="M58" i="20"/>
  <c r="J82" i="157" s="1"/>
  <c r="F61" i="209" s="1"/>
  <c r="M95" i="20"/>
  <c r="I58" i="20"/>
  <c r="I95" i="20"/>
  <c r="E58" i="20"/>
  <c r="E95" i="20"/>
  <c r="F104" i="20"/>
  <c r="D104" i="215"/>
  <c r="D128" i="34"/>
  <c r="E91" i="215"/>
  <c r="E115" i="34"/>
  <c r="E87" i="215"/>
  <c r="E111" i="34"/>
  <c r="D72" i="215"/>
  <c r="D102" i="34"/>
  <c r="E32" i="215"/>
  <c r="E62" i="34"/>
  <c r="E69" i="103"/>
  <c r="E314" i="36"/>
  <c r="C16" i="36"/>
  <c r="Q144" i="185"/>
  <c r="P30" i="185"/>
  <c r="C13" i="86"/>
  <c r="C12" i="89"/>
  <c r="H26" i="159"/>
  <c r="I51" i="159"/>
  <c r="K79" i="70"/>
  <c r="E173" i="172"/>
  <c r="E142" i="172"/>
  <c r="E144" i="172" s="1"/>
  <c r="E154" i="172" s="1"/>
  <c r="H174" i="172"/>
  <c r="H120" i="172"/>
  <c r="H82" i="13"/>
  <c r="G140" i="16" s="1"/>
  <c r="H163" i="13"/>
  <c r="H192" i="13" s="1"/>
  <c r="C15" i="13"/>
  <c r="G77" i="164"/>
  <c r="F71" i="16" s="1"/>
  <c r="F70" i="16"/>
  <c r="I50" i="164"/>
  <c r="H52" i="16" s="1"/>
  <c r="H51" i="16"/>
  <c r="K61" i="164"/>
  <c r="N61" i="164" s="1"/>
  <c r="O61" i="164" s="1"/>
  <c r="P61" i="164" s="1"/>
  <c r="Q61" i="164" s="1"/>
  <c r="R61" i="164" s="1"/>
  <c r="S61" i="164" s="1"/>
  <c r="T61" i="164" s="1"/>
  <c r="U61" i="164" s="1"/>
  <c r="V61" i="164" s="1"/>
  <c r="W61" i="164" s="1"/>
  <c r="N34" i="164"/>
  <c r="O34" i="164" s="1"/>
  <c r="P34" i="164" s="1"/>
  <c r="Q34" i="164" s="1"/>
  <c r="R34" i="164" s="1"/>
  <c r="S34" i="164" s="1"/>
  <c r="T34" i="164" s="1"/>
  <c r="U34" i="164" s="1"/>
  <c r="V34" i="164" s="1"/>
  <c r="W34" i="164" s="1"/>
  <c r="E15" i="16"/>
  <c r="E26" i="16"/>
  <c r="G14" i="164"/>
  <c r="F14" i="16" s="1"/>
  <c r="H7" i="164"/>
  <c r="E117" i="16"/>
  <c r="U80" i="20"/>
  <c r="X80" i="20"/>
  <c r="T80" i="20"/>
  <c r="P80" i="20"/>
  <c r="R65" i="20"/>
  <c r="C65" i="20"/>
  <c r="G29" i="20"/>
  <c r="C15" i="20"/>
  <c r="C17" i="20" s="1"/>
  <c r="F91" i="70"/>
  <c r="F166" i="70" s="1"/>
  <c r="I86" i="70"/>
  <c r="I165" i="70" s="1"/>
  <c r="E101" i="215"/>
  <c r="E125" i="34"/>
  <c r="E97" i="215"/>
  <c r="E121" i="34"/>
  <c r="E92" i="215"/>
  <c r="E116" i="34"/>
  <c r="E88" i="215"/>
  <c r="E112" i="34"/>
  <c r="D76" i="215"/>
  <c r="D106" i="34"/>
  <c r="E19" i="215"/>
  <c r="E18" i="215"/>
  <c r="J79" i="20"/>
  <c r="I64" i="70"/>
  <c r="I164" i="70" s="1"/>
  <c r="H48" i="70"/>
  <c r="H163" i="70" s="1"/>
  <c r="D118" i="215"/>
  <c r="D142" i="34"/>
  <c r="D109" i="215"/>
  <c r="D133" i="34"/>
  <c r="E93" i="215"/>
  <c r="E117" i="34"/>
  <c r="E89" i="215"/>
  <c r="E113" i="34"/>
  <c r="D33" i="215"/>
  <c r="D63" i="34"/>
  <c r="D26" i="215"/>
  <c r="D27" i="215"/>
  <c r="D56" i="34"/>
  <c r="M28" i="36"/>
  <c r="N28" i="36"/>
  <c r="M27" i="103" s="1"/>
  <c r="G101" i="20"/>
  <c r="G104" i="20" s="1"/>
  <c r="G92" i="20"/>
  <c r="F70" i="209"/>
  <c r="F115" i="70"/>
  <c r="F168" i="70" s="1"/>
  <c r="G48" i="70"/>
  <c r="G163" i="70" s="1"/>
  <c r="D102" i="215"/>
  <c r="D126" i="34"/>
  <c r="E99" i="215"/>
  <c r="E123" i="34"/>
  <c r="E95" i="215"/>
  <c r="E119" i="34"/>
  <c r="E90" i="215"/>
  <c r="E114" i="34"/>
  <c r="E77" i="215"/>
  <c r="E107" i="34"/>
  <c r="D67" i="215"/>
  <c r="D97" i="34"/>
  <c r="E34" i="215"/>
  <c r="E64" i="34"/>
  <c r="D20" i="215"/>
  <c r="D21" i="215"/>
  <c r="D51" i="34"/>
  <c r="D17" i="215"/>
  <c r="D47" i="34"/>
  <c r="E206" i="215"/>
  <c r="I49" i="159"/>
  <c r="I53" i="159" s="1"/>
  <c r="J53" i="159" s="1"/>
  <c r="I34" i="159"/>
  <c r="I39" i="159" s="1"/>
  <c r="Y45" i="168"/>
  <c r="U45" i="168"/>
  <c r="Q45" i="168"/>
  <c r="M45" i="168"/>
  <c r="I45" i="168"/>
  <c r="H167" i="13"/>
  <c r="H196" i="13" s="1"/>
  <c r="E59" i="16"/>
  <c r="E104" i="16"/>
  <c r="E108" i="16" s="1"/>
  <c r="V98" i="20"/>
  <c r="P95" i="20"/>
  <c r="F98" i="20"/>
  <c r="V58" i="20"/>
  <c r="S82" i="157" s="1"/>
  <c r="O61" i="209" s="1"/>
  <c r="F58" i="20"/>
  <c r="I91" i="70"/>
  <c r="I166" i="70" s="1"/>
  <c r="D119" i="215"/>
  <c r="D143" i="34"/>
  <c r="D110" i="215"/>
  <c r="D134" i="34"/>
  <c r="D103" i="215"/>
  <c r="D127" i="34"/>
  <c r="E98" i="215"/>
  <c r="E122" i="34"/>
  <c r="E94" i="215"/>
  <c r="E118" i="34"/>
  <c r="D73" i="215"/>
  <c r="D103" i="34"/>
  <c r="D68" i="215"/>
  <c r="D98" i="34"/>
  <c r="E16" i="215"/>
  <c r="C16" i="215" s="1"/>
  <c r="E46" i="34"/>
  <c r="E19" i="209"/>
  <c r="I20" i="181"/>
  <c r="I86" i="181" s="1"/>
  <c r="H194" i="172"/>
  <c r="F13" i="177"/>
  <c r="C92" i="20"/>
  <c r="C44" i="20"/>
  <c r="C40" i="20"/>
  <c r="F86" i="70"/>
  <c r="F165" i="70" s="1"/>
  <c r="G86" i="70"/>
  <c r="G165" i="70" s="1"/>
  <c r="I23" i="70"/>
  <c r="I162" i="70" s="1"/>
  <c r="D105" i="215"/>
  <c r="D129" i="34"/>
  <c r="E100" i="215"/>
  <c r="E124" i="34"/>
  <c r="E96" i="215"/>
  <c r="E120" i="34"/>
  <c r="D75" i="215"/>
  <c r="D105" i="34"/>
  <c r="E69" i="215"/>
  <c r="E99" i="34"/>
  <c r="E65" i="215"/>
  <c r="E95" i="34"/>
  <c r="E30" i="215"/>
  <c r="E31" i="215"/>
  <c r="E61" i="34"/>
  <c r="D28" i="215"/>
  <c r="D29" i="215"/>
  <c r="C11" i="70"/>
  <c r="C16" i="162"/>
  <c r="C18" i="96"/>
  <c r="C19" i="96"/>
  <c r="D30" i="215"/>
  <c r="D31" i="215"/>
  <c r="D18" i="215"/>
  <c r="D19" i="215"/>
  <c r="C14" i="157"/>
  <c r="G57" i="96"/>
  <c r="E216" i="36"/>
  <c r="E50" i="103"/>
  <c r="S13" i="217"/>
  <c r="Q12" i="93"/>
  <c r="C20" i="103"/>
  <c r="C21" i="103" s="1"/>
  <c r="AD145" i="185"/>
  <c r="AC146" i="185"/>
  <c r="C13" i="28"/>
  <c r="E28" i="215"/>
  <c r="E29" i="215"/>
  <c r="E26" i="215"/>
  <c r="E27" i="215"/>
  <c r="E21" i="215"/>
  <c r="E20" i="215"/>
  <c r="C14" i="181"/>
  <c r="F354" i="36"/>
  <c r="M271" i="34"/>
  <c r="F350" i="36"/>
  <c r="E71" i="103"/>
  <c r="E316" i="36"/>
  <c r="E191" i="36"/>
  <c r="E26" i="103"/>
  <c r="L89" i="93"/>
  <c r="K89" i="93"/>
  <c r="M89" i="93"/>
  <c r="J89" i="93"/>
  <c r="E40" i="107"/>
  <c r="E8" i="208"/>
  <c r="N30" i="208" s="1"/>
  <c r="D13" i="100"/>
  <c r="C12" i="165"/>
  <c r="C13" i="165" s="1"/>
  <c r="F447" i="202"/>
  <c r="D102" i="202"/>
  <c r="D338" i="202"/>
  <c r="D244" i="202"/>
  <c r="D258" i="202"/>
  <c r="M190" i="172"/>
  <c r="AL144" i="172"/>
  <c r="U180" i="172"/>
  <c r="U161" i="172"/>
  <c r="Z173" i="172"/>
  <c r="AD173" i="172"/>
  <c r="H173" i="172"/>
  <c r="D9" i="185"/>
  <c r="E122" i="185"/>
  <c r="E124" i="185" s="1"/>
  <c r="F124" i="185" s="1"/>
  <c r="G124" i="185" s="1"/>
  <c r="H124" i="185" s="1"/>
  <c r="I124" i="185" s="1"/>
  <c r="J124" i="185" s="1"/>
  <c r="K124" i="185" s="1"/>
  <c r="L124" i="185" s="1"/>
  <c r="M124" i="185" s="1"/>
  <c r="N124" i="185" s="1"/>
  <c r="O124" i="185" s="1"/>
  <c r="P124" i="185" s="1"/>
  <c r="F116" i="185"/>
  <c r="E15" i="185"/>
  <c r="I15" i="185"/>
  <c r="J116" i="185"/>
  <c r="G15" i="185"/>
  <c r="H116" i="185"/>
  <c r="P117" i="185"/>
  <c r="P123" i="185"/>
  <c r="Q132" i="185"/>
  <c r="R13" i="106"/>
  <c r="E28" i="165" s="1"/>
  <c r="P12" i="93"/>
  <c r="C146" i="93"/>
  <c r="C17" i="93"/>
  <c r="C15" i="93"/>
  <c r="E18" i="208"/>
  <c r="D25" i="166"/>
  <c r="E16" i="208"/>
  <c r="O20" i="78"/>
  <c r="E14" i="208"/>
  <c r="D21" i="166"/>
  <c r="O13" i="78"/>
  <c r="E9" i="208"/>
  <c r="N31" i="208" s="1"/>
  <c r="O48" i="44"/>
  <c r="O25" i="44"/>
  <c r="D288" i="202"/>
  <c r="D37" i="202"/>
  <c r="J32" i="172"/>
  <c r="N224" i="172"/>
  <c r="N226" i="172" s="1"/>
  <c r="N199" i="172" s="1"/>
  <c r="L119" i="172"/>
  <c r="L190" i="172"/>
  <c r="L215" i="172"/>
  <c r="L171" i="172"/>
  <c r="N215" i="172"/>
  <c r="N171" i="172"/>
  <c r="N173" i="172" s="1"/>
  <c r="N119" i="172"/>
  <c r="N190" i="172"/>
  <c r="N85" i="172"/>
  <c r="P119" i="172"/>
  <c r="P190" i="172"/>
  <c r="P215" i="172"/>
  <c r="P171" i="172"/>
  <c r="P173" i="172" s="1"/>
  <c r="R215" i="172"/>
  <c r="R171" i="172"/>
  <c r="R173" i="172" s="1"/>
  <c r="R119" i="172"/>
  <c r="R190" i="172"/>
  <c r="T119" i="172"/>
  <c r="T122" i="172" s="1"/>
  <c r="T197" i="172" s="1"/>
  <c r="T190" i="172"/>
  <c r="T215" i="172"/>
  <c r="T171" i="172"/>
  <c r="V215" i="172"/>
  <c r="V171" i="172"/>
  <c r="V173" i="172" s="1"/>
  <c r="V119" i="172"/>
  <c r="V190" i="172"/>
  <c r="X119" i="172"/>
  <c r="X122" i="172" s="1"/>
  <c r="X197" i="172" s="1"/>
  <c r="X190" i="172"/>
  <c r="X215" i="172"/>
  <c r="X171" i="172"/>
  <c r="X173" i="172" s="1"/>
  <c r="Z215" i="172"/>
  <c r="Z171" i="172"/>
  <c r="Z119" i="172"/>
  <c r="Z190" i="172"/>
  <c r="AB119" i="172"/>
  <c r="AB122" i="172" s="1"/>
  <c r="AB197" i="172" s="1"/>
  <c r="AB190" i="172"/>
  <c r="AB215" i="172"/>
  <c r="AB171" i="172"/>
  <c r="AB173" i="172" s="1"/>
  <c r="AD215" i="172"/>
  <c r="AD171" i="172"/>
  <c r="AD119" i="172"/>
  <c r="AD190" i="172"/>
  <c r="AF119" i="172"/>
  <c r="AF190" i="172"/>
  <c r="AF215" i="172"/>
  <c r="AF171" i="172"/>
  <c r="AH215" i="172"/>
  <c r="AH171" i="172"/>
  <c r="AH173" i="172" s="1"/>
  <c r="AH119" i="172"/>
  <c r="AH190" i="172"/>
  <c r="AJ119" i="172"/>
  <c r="AJ122" i="172" s="1"/>
  <c r="AJ197" i="172" s="1"/>
  <c r="AJ190" i="172"/>
  <c r="AJ215" i="172"/>
  <c r="AJ171" i="172"/>
  <c r="AJ173" i="172" s="1"/>
  <c r="AL215" i="172"/>
  <c r="AL171" i="172"/>
  <c r="AL173" i="172" s="1"/>
  <c r="AL119" i="172"/>
  <c r="AL190" i="172"/>
  <c r="AN119" i="172"/>
  <c r="AN122" i="172" s="1"/>
  <c r="AN197" i="172" s="1"/>
  <c r="AN190" i="172"/>
  <c r="AN215" i="172"/>
  <c r="AN171" i="172"/>
  <c r="AN173" i="172" s="1"/>
  <c r="M174" i="172"/>
  <c r="M120" i="172"/>
  <c r="M122" i="172" s="1"/>
  <c r="M197" i="172" s="1"/>
  <c r="U174" i="172"/>
  <c r="U120" i="172"/>
  <c r="U122" i="172" s="1"/>
  <c r="U197" i="172" s="1"/>
  <c r="AC174" i="172"/>
  <c r="AC120" i="172"/>
  <c r="AK174" i="172"/>
  <c r="AK120" i="172"/>
  <c r="AK122" i="172" s="1"/>
  <c r="AK197" i="172" s="1"/>
  <c r="O190" i="172"/>
  <c r="W190" i="172"/>
  <c r="AE190" i="172"/>
  <c r="AM190" i="172"/>
  <c r="R122" i="172"/>
  <c r="R197" i="172" s="1"/>
  <c r="Q119" i="172"/>
  <c r="AA119" i="172"/>
  <c r="AM119" i="172"/>
  <c r="AM122" i="172" s="1"/>
  <c r="AM197" i="172" s="1"/>
  <c r="Q120" i="172"/>
  <c r="Q122" i="172" s="1"/>
  <c r="Q197" i="172" s="1"/>
  <c r="AA120" i="172"/>
  <c r="AM120" i="172"/>
  <c r="H135" i="172"/>
  <c r="R135" i="172"/>
  <c r="R144" i="172" s="1"/>
  <c r="Y135" i="172"/>
  <c r="Y144" i="172" s="1"/>
  <c r="AO135" i="172"/>
  <c r="AO144" i="172" s="1"/>
  <c r="AI206" i="172"/>
  <c r="K173" i="172"/>
  <c r="W173" i="172"/>
  <c r="AA173" i="172"/>
  <c r="AE173" i="172"/>
  <c r="AM173" i="172"/>
  <c r="M171" i="172"/>
  <c r="M173" i="172" s="1"/>
  <c r="Y171" i="172"/>
  <c r="Y173" i="172" s="1"/>
  <c r="AI171" i="172"/>
  <c r="AI173" i="172" s="1"/>
  <c r="K215" i="172"/>
  <c r="U215" i="172"/>
  <c r="AE215" i="172"/>
  <c r="P140" i="185"/>
  <c r="C16" i="46"/>
  <c r="E48" i="78"/>
  <c r="P48" i="78" s="1"/>
  <c r="H37" i="78"/>
  <c r="Q37" i="78"/>
  <c r="V19" i="101"/>
  <c r="D19" i="102"/>
  <c r="D20" i="105" s="1"/>
  <c r="E16" i="72"/>
  <c r="D100" i="202"/>
  <c r="D39" i="202"/>
  <c r="H46" i="202"/>
  <c r="T194" i="172"/>
  <c r="AB194" i="172"/>
  <c r="AJ194" i="172"/>
  <c r="AE224" i="172"/>
  <c r="AE226" i="172" s="1"/>
  <c r="AE199" i="172" s="1"/>
  <c r="J135" i="172"/>
  <c r="P144" i="172"/>
  <c r="S135" i="172"/>
  <c r="Z135" i="172"/>
  <c r="AF135" i="172"/>
  <c r="AI135" i="172"/>
  <c r="H142" i="172"/>
  <c r="L142" i="172"/>
  <c r="L144" i="172" s="1"/>
  <c r="P142" i="172"/>
  <c r="T142" i="172"/>
  <c r="X142" i="172"/>
  <c r="X144" i="172" s="1"/>
  <c r="AB142" i="172"/>
  <c r="AB144" i="172" s="1"/>
  <c r="AF142" i="172"/>
  <c r="AJ142" i="172"/>
  <c r="AN142" i="172"/>
  <c r="AB161" i="172"/>
  <c r="M215" i="172"/>
  <c r="Y142" i="185"/>
  <c r="Z141" i="185"/>
  <c r="B82" i="184"/>
  <c r="T65" i="184"/>
  <c r="T7" i="184"/>
  <c r="D66" i="184"/>
  <c r="AK63" i="184"/>
  <c r="I66" i="184"/>
  <c r="H66" i="184"/>
  <c r="I65" i="184"/>
  <c r="R113" i="184"/>
  <c r="R115" i="184" s="1"/>
  <c r="W113" i="184"/>
  <c r="W115" i="184" s="1"/>
  <c r="W117" i="184" s="1"/>
  <c r="AB68" i="184"/>
  <c r="AB90" i="184" s="1"/>
  <c r="AA66" i="184"/>
  <c r="AA65" i="184"/>
  <c r="Z66" i="184"/>
  <c r="J79" i="184"/>
  <c r="J82" i="184" s="1"/>
  <c r="AK64" i="184"/>
  <c r="I116" i="184"/>
  <c r="M116" i="184"/>
  <c r="S116" i="184"/>
  <c r="C82" i="184"/>
  <c r="AK80" i="184"/>
  <c r="B98" i="184"/>
  <c r="H96" i="181"/>
  <c r="C18" i="162"/>
  <c r="E16" i="45"/>
  <c r="U13" i="217"/>
  <c r="S12" i="93"/>
  <c r="H89" i="93"/>
  <c r="M57" i="93"/>
  <c r="K57" i="93"/>
  <c r="L57" i="93"/>
  <c r="E29" i="107"/>
  <c r="J57" i="93"/>
  <c r="E19" i="208"/>
  <c r="N41" i="208" s="1"/>
  <c r="D24" i="100"/>
  <c r="E15" i="208"/>
  <c r="D20" i="100"/>
  <c r="C16" i="78"/>
  <c r="O12" i="78"/>
  <c r="C17" i="105"/>
  <c r="C18" i="105"/>
  <c r="D24" i="102"/>
  <c r="D25" i="105" s="1"/>
  <c r="V15" i="101"/>
  <c r="D15" i="102"/>
  <c r="D16" i="105" s="1"/>
  <c r="O17" i="44"/>
  <c r="O30" i="44"/>
  <c r="O54" i="44"/>
  <c r="O20" i="44"/>
  <c r="J17" i="45" s="1"/>
  <c r="I15" i="105" s="1"/>
  <c r="O23" i="44"/>
  <c r="O24" i="44"/>
  <c r="O57" i="44"/>
  <c r="O42" i="44"/>
  <c r="O45" i="44"/>
  <c r="G31" i="202"/>
  <c r="G46" i="202" s="1"/>
  <c r="D79" i="202"/>
  <c r="H88" i="202"/>
  <c r="D245" i="202"/>
  <c r="W224" i="172"/>
  <c r="W226" i="172" s="1"/>
  <c r="W199" i="172" s="1"/>
  <c r="AJ224" i="172"/>
  <c r="AJ226" i="172" s="1"/>
  <c r="AJ199" i="172" s="1"/>
  <c r="AL224" i="172"/>
  <c r="AL226" i="172" s="1"/>
  <c r="AL199" i="172" s="1"/>
  <c r="M85" i="172"/>
  <c r="K190" i="172"/>
  <c r="S190" i="172"/>
  <c r="AA190" i="172"/>
  <c r="W119" i="172"/>
  <c r="AG119" i="172"/>
  <c r="AG122" i="172" s="1"/>
  <c r="AG197" i="172" s="1"/>
  <c r="K120" i="172"/>
  <c r="K122" i="172" s="1"/>
  <c r="K197" i="172" s="1"/>
  <c r="W120" i="172"/>
  <c r="AA135" i="172"/>
  <c r="AG135" i="172"/>
  <c r="AG144" i="172" s="1"/>
  <c r="AJ135" i="172"/>
  <c r="AL161" i="172"/>
  <c r="H206" i="172"/>
  <c r="H233" i="172"/>
  <c r="Q173" i="172"/>
  <c r="U173" i="172"/>
  <c r="AK173" i="172"/>
  <c r="AC171" i="172"/>
  <c r="AC173" i="172" s="1"/>
  <c r="O215" i="172"/>
  <c r="AK215" i="172"/>
  <c r="N122" i="185"/>
  <c r="M9" i="185"/>
  <c r="J9" i="185"/>
  <c r="K122" i="185"/>
  <c r="C58" i="185"/>
  <c r="M57" i="185" s="1"/>
  <c r="C57" i="185"/>
  <c r="M56" i="185" s="1"/>
  <c r="Q138" i="185"/>
  <c r="K135" i="172"/>
  <c r="Q135" i="172"/>
  <c r="Q144" i="172" s="1"/>
  <c r="T135" i="172"/>
  <c r="AH135" i="172"/>
  <c r="AH144" i="172" s="1"/>
  <c r="AN135" i="172"/>
  <c r="I144" i="172"/>
  <c r="I154" i="172" s="1"/>
  <c r="I163" i="172" s="1"/>
  <c r="K142" i="172"/>
  <c r="O142" i="172"/>
  <c r="O144" i="172" s="1"/>
  <c r="S142" i="172"/>
  <c r="W142" i="172"/>
  <c r="W144" i="172" s="1"/>
  <c r="AA142" i="172"/>
  <c r="AE142" i="172"/>
  <c r="AE144" i="172" s="1"/>
  <c r="AI142" i="172"/>
  <c r="AM142" i="172"/>
  <c r="AM144" i="172" s="1"/>
  <c r="AO180" i="172"/>
  <c r="AO161" i="172"/>
  <c r="L173" i="172"/>
  <c r="T173" i="172"/>
  <c r="AF173" i="172"/>
  <c r="K116" i="185"/>
  <c r="J15" i="185"/>
  <c r="F9" i="185"/>
  <c r="G122" i="185"/>
  <c r="T36" i="184"/>
  <c r="T105" i="184" s="1"/>
  <c r="T106" i="184" s="1"/>
  <c r="T14" i="184"/>
  <c r="AG105" i="184"/>
  <c r="AG106" i="184" s="1"/>
  <c r="AG88" i="184"/>
  <c r="I39" i="184"/>
  <c r="G86" i="184"/>
  <c r="G83" i="184"/>
  <c r="G116" i="185"/>
  <c r="F15" i="185"/>
  <c r="D30" i="185"/>
  <c r="AH65" i="184"/>
  <c r="AH7" i="184"/>
  <c r="AG67" i="184"/>
  <c r="AG68" i="184" s="1"/>
  <c r="AG90" i="184" s="1"/>
  <c r="Q66" i="184"/>
  <c r="P66" i="184"/>
  <c r="Q65" i="184"/>
  <c r="K88" i="184"/>
  <c r="K105" i="184"/>
  <c r="K106" i="184" s="1"/>
  <c r="J36" i="184"/>
  <c r="J105" i="184" s="1"/>
  <c r="J106" i="184" s="1"/>
  <c r="J14" i="184"/>
  <c r="V36" i="184"/>
  <c r="V105" i="184" s="1"/>
  <c r="V106" i="184" s="1"/>
  <c r="V14" i="184"/>
  <c r="E25" i="203"/>
  <c r="E17" i="203" s="1"/>
  <c r="N86" i="184"/>
  <c r="N83" i="184"/>
  <c r="D65" i="184"/>
  <c r="K67" i="184"/>
  <c r="K68" i="184" s="1"/>
  <c r="K90" i="184" s="1"/>
  <c r="L7" i="184"/>
  <c r="L65" i="184"/>
  <c r="AB7" i="184"/>
  <c r="AA67" i="184"/>
  <c r="AB65" i="184"/>
  <c r="V113" i="184"/>
  <c r="V115" i="184" s="1"/>
  <c r="V68" i="184"/>
  <c r="V90" i="184" s="1"/>
  <c r="X113" i="184"/>
  <c r="X115" i="184" s="1"/>
  <c r="X117" i="184" s="1"/>
  <c r="H65" i="184"/>
  <c r="H79" i="184"/>
  <c r="H82" i="184" s="1"/>
  <c r="G67" i="184"/>
  <c r="G116" i="184"/>
  <c r="K116" i="184"/>
  <c r="K117" i="184" s="1"/>
  <c r="U116" i="184"/>
  <c r="I106" i="184"/>
  <c r="L59" i="93"/>
  <c r="K59" i="93"/>
  <c r="O16" i="78"/>
  <c r="O15" i="78"/>
  <c r="C15" i="100"/>
  <c r="C16" i="100" s="1"/>
  <c r="J120" i="172"/>
  <c r="N120" i="172"/>
  <c r="R120" i="172"/>
  <c r="V120" i="172"/>
  <c r="Z120" i="172"/>
  <c r="AD120" i="172"/>
  <c r="AH120" i="172"/>
  <c r="AL120" i="172"/>
  <c r="B120" i="185"/>
  <c r="M117" i="185"/>
  <c r="E117" i="185"/>
  <c r="F59" i="185"/>
  <c r="G57" i="185"/>
  <c r="G59" i="185" s="1"/>
  <c r="I68" i="185"/>
  <c r="Z54" i="186"/>
  <c r="Z72" i="186"/>
  <c r="M72" i="186"/>
  <c r="Z83" i="184"/>
  <c r="Z84" i="184" s="1"/>
  <c r="Z88" i="184"/>
  <c r="Z86" i="184"/>
  <c r="M117" i="184"/>
  <c r="V83" i="184"/>
  <c r="V84" i="184" s="1"/>
  <c r="V86" i="184"/>
  <c r="W14" i="184"/>
  <c r="W36" i="184"/>
  <c r="U67" i="184"/>
  <c r="V7" i="184"/>
  <c r="U39" i="184"/>
  <c r="U113" i="184"/>
  <c r="U115" i="184" s="1"/>
  <c r="S113" i="184"/>
  <c r="S115" i="184" s="1"/>
  <c r="B86" i="184"/>
  <c r="B88" i="184"/>
  <c r="B97" i="184" s="1"/>
  <c r="I99" i="184" s="1"/>
  <c r="M59" i="93"/>
  <c r="M87" i="93"/>
  <c r="K87" i="93"/>
  <c r="L85" i="93"/>
  <c r="M85" i="93"/>
  <c r="K85" i="93"/>
  <c r="K83" i="93"/>
  <c r="M83" i="93"/>
  <c r="L83" i="93"/>
  <c r="L120" i="172"/>
  <c r="P120" i="172"/>
  <c r="T120" i="172"/>
  <c r="X120" i="172"/>
  <c r="AB120" i="172"/>
  <c r="AF120" i="172"/>
  <c r="AJ120" i="172"/>
  <c r="AN120" i="172"/>
  <c r="G117" i="185"/>
  <c r="D117" i="185"/>
  <c r="N117" i="185"/>
  <c r="F117" i="185"/>
  <c r="K117" i="185"/>
  <c r="L117" i="185"/>
  <c r="F139" i="185"/>
  <c r="G139" i="185" s="1"/>
  <c r="H139" i="185" s="1"/>
  <c r="I139" i="185" s="1"/>
  <c r="J139" i="185" s="1"/>
  <c r="K139" i="185" s="1"/>
  <c r="L139" i="185" s="1"/>
  <c r="M139" i="185" s="1"/>
  <c r="N139" i="185" s="1"/>
  <c r="O139" i="185" s="1"/>
  <c r="P139" i="185" s="1"/>
  <c r="Q139" i="185" s="1"/>
  <c r="R139" i="185" s="1"/>
  <c r="S139" i="185" s="1"/>
  <c r="T139" i="185" s="1"/>
  <c r="U139" i="185" s="1"/>
  <c r="V139" i="185" s="1"/>
  <c r="W139" i="185" s="1"/>
  <c r="X139" i="185" s="1"/>
  <c r="Y139" i="185" s="1"/>
  <c r="Z139" i="185" s="1"/>
  <c r="AA139" i="185" s="1"/>
  <c r="AB139" i="185" s="1"/>
  <c r="AC139" i="185" s="1"/>
  <c r="AD139" i="185" s="1"/>
  <c r="AE139" i="185" s="1"/>
  <c r="AF139" i="185" s="1"/>
  <c r="AG139" i="185" s="1"/>
  <c r="AH139" i="185" s="1"/>
  <c r="AI139" i="185" s="1"/>
  <c r="E142" i="185"/>
  <c r="F142" i="185" s="1"/>
  <c r="G142" i="185" s="1"/>
  <c r="H142" i="185" s="1"/>
  <c r="I142" i="185" s="1"/>
  <c r="J142" i="185" s="1"/>
  <c r="K142" i="185" s="1"/>
  <c r="L142" i="185" s="1"/>
  <c r="M142" i="185" s="1"/>
  <c r="N142" i="185" s="1"/>
  <c r="O86" i="184"/>
  <c r="R65" i="184"/>
  <c r="Q67" i="184"/>
  <c r="AD65" i="184"/>
  <c r="AC67" i="184"/>
  <c r="J7" i="184"/>
  <c r="I67" i="184"/>
  <c r="J65" i="184"/>
  <c r="E39" i="184"/>
  <c r="AA36" i="184"/>
  <c r="AA105" i="184" s="1"/>
  <c r="AA106" i="184" s="1"/>
  <c r="AA14" i="184"/>
  <c r="AH76" i="185"/>
  <c r="AD76" i="185"/>
  <c r="Z76" i="185"/>
  <c r="V76" i="185"/>
  <c r="R76" i="185"/>
  <c r="N76" i="185"/>
  <c r="J76" i="185"/>
  <c r="F76" i="185"/>
  <c r="AG84" i="184"/>
  <c r="AC66" i="184"/>
  <c r="AC65" i="184"/>
  <c r="Z67" i="184"/>
  <c r="AA7" i="184"/>
  <c r="K83" i="184"/>
  <c r="K84" i="184" s="1"/>
  <c r="AC39" i="184"/>
  <c r="R14" i="184"/>
  <c r="R36" i="184"/>
  <c r="R105" i="184" s="1"/>
  <c r="R106" i="184" s="1"/>
  <c r="AE36" i="184"/>
  <c r="AH14" i="184"/>
  <c r="AH36" i="184"/>
  <c r="AH105" i="184" s="1"/>
  <c r="AH106" i="184" s="1"/>
  <c r="Y39" i="184"/>
  <c r="AE39" i="184"/>
  <c r="F66" i="184"/>
  <c r="F65" i="184"/>
  <c r="AF66" i="184"/>
  <c r="AD68" i="184"/>
  <c r="AD90" i="184" s="1"/>
  <c r="AD113" i="184"/>
  <c r="AD115" i="184" s="1"/>
  <c r="AD117" i="184" s="1"/>
  <c r="O66" i="184"/>
  <c r="AH68" i="184"/>
  <c r="AH90" i="184" s="1"/>
  <c r="AH113" i="184"/>
  <c r="AH115" i="184" s="1"/>
  <c r="AH117" i="184" s="1"/>
  <c r="D67" i="184"/>
  <c r="E7" i="184"/>
  <c r="E65" i="184"/>
  <c r="AG7" i="184"/>
  <c r="AF67" i="184"/>
  <c r="J66" i="184"/>
  <c r="AE113" i="184"/>
  <c r="AE115" i="184" s="1"/>
  <c r="AE117" i="184" s="1"/>
  <c r="G79" i="184"/>
  <c r="G82" i="184" s="1"/>
  <c r="F67" i="184"/>
  <c r="S84" i="184"/>
  <c r="H116" i="184"/>
  <c r="L116" i="184"/>
  <c r="L117" i="184" s="1"/>
  <c r="V116" i="184"/>
  <c r="D53" i="34"/>
  <c r="D22" i="215"/>
  <c r="D23" i="215"/>
  <c r="D76" i="185"/>
  <c r="AF76" i="185"/>
  <c r="AB76" i="185"/>
  <c r="X76" i="185"/>
  <c r="T76" i="185"/>
  <c r="P76" i="185"/>
  <c r="L76" i="185"/>
  <c r="T113" i="184"/>
  <c r="T115" i="184" s="1"/>
  <c r="U83" i="184"/>
  <c r="U84" i="184" s="1"/>
  <c r="U88" i="184"/>
  <c r="R67" i="184"/>
  <c r="R68" i="184" s="1"/>
  <c r="R90" i="184" s="1"/>
  <c r="S7" i="184"/>
  <c r="AK62" i="184"/>
  <c r="M39" i="184"/>
  <c r="N117" i="184"/>
  <c r="P36" i="184"/>
  <c r="P105" i="184" s="1"/>
  <c r="P106" i="184" s="1"/>
  <c r="P14" i="184"/>
  <c r="E68" i="184"/>
  <c r="AK81" i="184"/>
  <c r="M65" i="184"/>
  <c r="X67" i="184"/>
  <c r="X68" i="184" s="1"/>
  <c r="X90" i="184" s="1"/>
  <c r="Y65" i="184"/>
  <c r="U68" i="184"/>
  <c r="F82" i="184"/>
  <c r="M82" i="184"/>
  <c r="O79" i="184"/>
  <c r="O82" i="184" s="1"/>
  <c r="N67" i="184"/>
  <c r="N68" i="184" s="1"/>
  <c r="N90" i="184" s="1"/>
  <c r="R82" i="184"/>
  <c r="AF88" i="184"/>
  <c r="AF83" i="184"/>
  <c r="AF84" i="184" s="1"/>
  <c r="L67" i="184"/>
  <c r="L68" i="184" s="1"/>
  <c r="L90" i="184" s="1"/>
  <c r="J116" i="184"/>
  <c r="N116" i="184"/>
  <c r="T116" i="184"/>
  <c r="X106" i="184"/>
  <c r="AF106" i="184"/>
  <c r="O106" i="184"/>
  <c r="B106" i="184"/>
  <c r="D11" i="208"/>
  <c r="E53" i="214"/>
  <c r="J157" i="13"/>
  <c r="I157" i="13"/>
  <c r="C16" i="92"/>
  <c r="E23" i="215"/>
  <c r="E22" i="215"/>
  <c r="F157" i="13"/>
  <c r="E36" i="214"/>
  <c r="C19" i="217"/>
  <c r="K7" i="164"/>
  <c r="K14" i="164" s="1"/>
  <c r="L7" i="20"/>
  <c r="G7" i="186"/>
  <c r="N6" i="28"/>
  <c r="H40" i="176"/>
  <c r="H54" i="181" s="1"/>
  <c r="E7" i="209"/>
  <c r="E40" i="209" s="1"/>
  <c r="I7" i="176"/>
  <c r="I7" i="202"/>
  <c r="N6" i="175"/>
  <c r="H7" i="92"/>
  <c r="K6" i="70"/>
  <c r="G7" i="179"/>
  <c r="I7" i="181"/>
  <c r="F3" i="207"/>
  <c r="S96" i="181"/>
  <c r="O96" i="181"/>
  <c r="K96" i="181"/>
  <c r="N36" i="208" l="1"/>
  <c r="E92" i="208"/>
  <c r="N40" i="208"/>
  <c r="E96" i="208"/>
  <c r="N37" i="208"/>
  <c r="E93" i="208"/>
  <c r="N38" i="208"/>
  <c r="E94" i="208"/>
  <c r="N39" i="208"/>
  <c r="E95" i="208"/>
  <c r="L44" i="177"/>
  <c r="P44" i="177"/>
  <c r="Q12" i="70"/>
  <c r="N65" i="157"/>
  <c r="N35" i="181" s="1"/>
  <c r="G28" i="202"/>
  <c r="G91" i="202"/>
  <c r="E342" i="202"/>
  <c r="F342" i="202"/>
  <c r="G20" i="157"/>
  <c r="G19" i="181" s="1"/>
  <c r="C12" i="70"/>
  <c r="I12" i="186"/>
  <c r="I13" i="186"/>
  <c r="H30" i="157"/>
  <c r="J9" i="30"/>
  <c r="J10" i="30"/>
  <c r="J12" i="30"/>
  <c r="J14" i="30"/>
  <c r="J13" i="30"/>
  <c r="J15" i="30"/>
  <c r="I32" i="157" s="1"/>
  <c r="J11" i="30"/>
  <c r="H29" i="157"/>
  <c r="H28" i="157"/>
  <c r="K102" i="20"/>
  <c r="K104" i="20" s="1"/>
  <c r="F92" i="20"/>
  <c r="T92" i="20"/>
  <c r="Q80" i="157" s="1"/>
  <c r="M59" i="209" s="1"/>
  <c r="L33" i="70"/>
  <c r="L151" i="70"/>
  <c r="L27" i="70"/>
  <c r="L43" i="70"/>
  <c r="L112" i="70"/>
  <c r="L152" i="70"/>
  <c r="L100" i="70"/>
  <c r="L28" i="70"/>
  <c r="L153" i="70"/>
  <c r="K156" i="70"/>
  <c r="L96" i="70"/>
  <c r="L56" i="70"/>
  <c r="L127" i="70"/>
  <c r="L146" i="70"/>
  <c r="L85" i="70"/>
  <c r="L38" i="70"/>
  <c r="L118" i="70"/>
  <c r="L32" i="70"/>
  <c r="L51" i="70"/>
  <c r="L138" i="70"/>
  <c r="J156" i="70"/>
  <c r="L61" i="70"/>
  <c r="L147" i="70"/>
  <c r="L41" i="70"/>
  <c r="L150" i="70"/>
  <c r="L35" i="70"/>
  <c r="L54" i="70"/>
  <c r="L144" i="70"/>
  <c r="L53" i="70"/>
  <c r="L132" i="70"/>
  <c r="L126" i="70"/>
  <c r="L145" i="70"/>
  <c r="L111" i="70"/>
  <c r="L155" i="70"/>
  <c r="L45" i="70"/>
  <c r="L83" i="70"/>
  <c r="L114" i="70"/>
  <c r="L135" i="70"/>
  <c r="L154" i="70"/>
  <c r="L42" i="70"/>
  <c r="L77" i="70"/>
  <c r="L97" i="70"/>
  <c r="L76" i="70"/>
  <c r="L149" i="70"/>
  <c r="U65" i="157"/>
  <c r="Q44" i="209" s="1"/>
  <c r="Q110" i="175"/>
  <c r="Q112" i="175"/>
  <c r="R112" i="175" s="1"/>
  <c r="L68" i="164"/>
  <c r="M68" i="164" s="1"/>
  <c r="N68" i="164" s="1"/>
  <c r="O68" i="164" s="1"/>
  <c r="P68" i="164" s="1"/>
  <c r="Q68" i="164" s="1"/>
  <c r="R68" i="164" s="1"/>
  <c r="S68" i="164" s="1"/>
  <c r="T68" i="164" s="1"/>
  <c r="U68" i="164" s="1"/>
  <c r="V68" i="164" s="1"/>
  <c r="W68" i="164" s="1"/>
  <c r="J86" i="164"/>
  <c r="I47" i="13"/>
  <c r="F203" i="13"/>
  <c r="C10" i="207"/>
  <c r="C11" i="207" s="1"/>
  <c r="F328" i="36"/>
  <c r="R181" i="36"/>
  <c r="S181" i="36"/>
  <c r="Q181" i="36"/>
  <c r="F22" i="36"/>
  <c r="M17" i="36"/>
  <c r="M23" i="36" s="1"/>
  <c r="P17" i="36"/>
  <c r="O18" i="103" s="1"/>
  <c r="X17" i="36"/>
  <c r="X23" i="36" s="1"/>
  <c r="H17" i="36"/>
  <c r="G18" i="103" s="1"/>
  <c r="W17" i="36"/>
  <c r="W23" i="36" s="1"/>
  <c r="V17" i="36"/>
  <c r="V23" i="36" s="1"/>
  <c r="S17" i="36"/>
  <c r="S23" i="36" s="1"/>
  <c r="K17" i="36"/>
  <c r="J18" i="103" s="1"/>
  <c r="J17" i="36"/>
  <c r="J23" i="36" s="1"/>
  <c r="R17" i="36"/>
  <c r="R23" i="36" s="1"/>
  <c r="T17" i="36"/>
  <c r="T23" i="36" s="1"/>
  <c r="Y17" i="36"/>
  <c r="X18" i="103" s="1"/>
  <c r="Q22" i="181"/>
  <c r="U22" i="181"/>
  <c r="P30" i="209"/>
  <c r="O22" i="181"/>
  <c r="V92" i="20"/>
  <c r="S80" i="157" s="1"/>
  <c r="S83" i="157" s="1"/>
  <c r="S29" i="20"/>
  <c r="I44" i="209"/>
  <c r="U35" i="181"/>
  <c r="T65" i="157"/>
  <c r="S65" i="157"/>
  <c r="S35" i="181" s="1"/>
  <c r="Q65" i="157"/>
  <c r="L65" i="157"/>
  <c r="K65" i="157"/>
  <c r="O12" i="70"/>
  <c r="N94" i="172"/>
  <c r="M86" i="227"/>
  <c r="R13" i="28" s="1"/>
  <c r="P13" i="70"/>
  <c r="Q13" i="70"/>
  <c r="R13" i="70"/>
  <c r="R94" i="172"/>
  <c r="Q86" i="227"/>
  <c r="V13" i="28" s="1"/>
  <c r="U94" i="172"/>
  <c r="T86" i="227"/>
  <c r="Y13" i="28" s="1"/>
  <c r="V94" i="172"/>
  <c r="U86" i="227"/>
  <c r="Z13" i="28" s="1"/>
  <c r="T13" i="70"/>
  <c r="U13" i="70"/>
  <c r="M13" i="70"/>
  <c r="N13" i="70"/>
  <c r="L92" i="172"/>
  <c r="K84" i="227"/>
  <c r="G119" i="181"/>
  <c r="C17" i="176"/>
  <c r="G28" i="181"/>
  <c r="G83" i="181"/>
  <c r="G55" i="181"/>
  <c r="I31" i="179"/>
  <c r="G31" i="179"/>
  <c r="N91" i="186"/>
  <c r="M93" i="186"/>
  <c r="H20" i="157"/>
  <c r="H19" i="181" s="1"/>
  <c r="H120" i="181" s="1"/>
  <c r="I162" i="35"/>
  <c r="H67" i="179"/>
  <c r="H68" i="179" s="1"/>
  <c r="H69" i="179" s="1"/>
  <c r="F33" i="179"/>
  <c r="L70" i="70"/>
  <c r="L21" i="70"/>
  <c r="P25" i="79"/>
  <c r="K17" i="79"/>
  <c r="S25" i="79"/>
  <c r="L121" i="70"/>
  <c r="J44" i="209"/>
  <c r="O67" i="175"/>
  <c r="Q88" i="28"/>
  <c r="O159" i="28"/>
  <c r="P127" i="28" s="1"/>
  <c r="L63" i="70"/>
  <c r="L128" i="70"/>
  <c r="L82" i="70"/>
  <c r="L125" i="70"/>
  <c r="X25" i="79"/>
  <c r="V25" i="79"/>
  <c r="K25" i="79"/>
  <c r="W25" i="79"/>
  <c r="L134" i="70"/>
  <c r="R113" i="175"/>
  <c r="R115" i="175"/>
  <c r="R107" i="175"/>
  <c r="O25" i="79"/>
  <c r="Y25" i="79"/>
  <c r="Q25" i="79"/>
  <c r="N25" i="79"/>
  <c r="L22" i="70"/>
  <c r="L30" i="70"/>
  <c r="J91" i="70"/>
  <c r="J166" i="70" s="1"/>
  <c r="L137" i="70"/>
  <c r="M19" i="70"/>
  <c r="L47" i="70"/>
  <c r="L68" i="70"/>
  <c r="L57" i="70"/>
  <c r="L101" i="70"/>
  <c r="L10" i="70"/>
  <c r="L62" i="70"/>
  <c r="L15" i="70"/>
  <c r="L124" i="70"/>
  <c r="L60" i="70"/>
  <c r="L99" i="70"/>
  <c r="L26" i="70"/>
  <c r="Q14" i="28"/>
  <c r="L74" i="70"/>
  <c r="L81" i="70"/>
  <c r="L36" i="70"/>
  <c r="L104" i="70"/>
  <c r="L34" i="70"/>
  <c r="L136" i="70"/>
  <c r="L143" i="70"/>
  <c r="L39" i="70"/>
  <c r="L75" i="70"/>
  <c r="L9" i="70"/>
  <c r="L71" i="70"/>
  <c r="L46" i="70"/>
  <c r="L142" i="70"/>
  <c r="L52" i="70"/>
  <c r="H65" i="157"/>
  <c r="H35" i="181" s="1"/>
  <c r="J12" i="70"/>
  <c r="T23" i="79"/>
  <c r="V23" i="79"/>
  <c r="X29" i="20"/>
  <c r="X90" i="20"/>
  <c r="M92" i="20"/>
  <c r="J80" i="157" s="1"/>
  <c r="F59" i="209" s="1"/>
  <c r="M29" i="20"/>
  <c r="E90" i="184"/>
  <c r="J17" i="184"/>
  <c r="K13" i="184" s="1"/>
  <c r="K17" i="184" s="1"/>
  <c r="L13" i="184" s="1"/>
  <c r="L17" i="184" s="1"/>
  <c r="M13" i="184" s="1"/>
  <c r="M17" i="184" s="1"/>
  <c r="N13" i="184" s="1"/>
  <c r="N17" i="184" s="1"/>
  <c r="O13" i="184" s="1"/>
  <c r="O17" i="184" s="1"/>
  <c r="P13" i="184" s="1"/>
  <c r="P17" i="184" s="1"/>
  <c r="Q13" i="184" s="1"/>
  <c r="Q17" i="184" s="1"/>
  <c r="R13" i="184" s="1"/>
  <c r="M60" i="181"/>
  <c r="L109" i="70"/>
  <c r="L99" i="181"/>
  <c r="U36" i="176"/>
  <c r="G49" i="202"/>
  <c r="I52" i="179"/>
  <c r="K6" i="28"/>
  <c r="K162" i="28" s="1"/>
  <c r="E94" i="16"/>
  <c r="E98" i="16" s="1"/>
  <c r="E99" i="16" s="1"/>
  <c r="E100" i="16" s="1"/>
  <c r="K52" i="179"/>
  <c r="L162" i="28"/>
  <c r="H44" i="181"/>
  <c r="H89" i="181" s="1"/>
  <c r="H93" i="157"/>
  <c r="J6" i="175"/>
  <c r="K162" i="175"/>
  <c r="E128" i="16"/>
  <c r="G160" i="70"/>
  <c r="F6" i="70"/>
  <c r="F160" i="70" s="1"/>
  <c r="I19" i="30"/>
  <c r="I29" i="157" s="1"/>
  <c r="E27" i="209" s="1"/>
  <c r="C17" i="45"/>
  <c r="C18" i="45"/>
  <c r="C19" i="45" s="1"/>
  <c r="C20" i="45" s="1"/>
  <c r="P122" i="172"/>
  <c r="P197" i="172" s="1"/>
  <c r="J215" i="172"/>
  <c r="J119" i="172"/>
  <c r="J122" i="172" s="1"/>
  <c r="J197" i="172" s="1"/>
  <c r="J190" i="172"/>
  <c r="J171" i="172"/>
  <c r="J173" i="172" s="1"/>
  <c r="J85" i="172"/>
  <c r="I35" i="159"/>
  <c r="I43" i="159"/>
  <c r="I38" i="159"/>
  <c r="I46" i="159"/>
  <c r="H47" i="159"/>
  <c r="E56" i="157"/>
  <c r="F56" i="157"/>
  <c r="C88" i="184"/>
  <c r="C97" i="184" s="1"/>
  <c r="C98" i="184" s="1"/>
  <c r="J144" i="172"/>
  <c r="J154" i="172" s="1"/>
  <c r="J163" i="172" s="1"/>
  <c r="I37" i="159"/>
  <c r="I17" i="30"/>
  <c r="M12" i="195"/>
  <c r="G28" i="79"/>
  <c r="L110" i="70"/>
  <c r="AD228" i="172"/>
  <c r="AD234" i="172" s="1"/>
  <c r="AD154" i="172"/>
  <c r="AD163" i="172" s="1"/>
  <c r="AG215" i="172"/>
  <c r="AG190" i="172"/>
  <c r="AG171" i="172"/>
  <c r="AG173" i="172" s="1"/>
  <c r="AG175" i="172" s="1"/>
  <c r="AG181" i="172" s="1"/>
  <c r="E42" i="157"/>
  <c r="F42" i="157"/>
  <c r="P88" i="184"/>
  <c r="S86" i="184"/>
  <c r="Y90" i="184"/>
  <c r="V88" i="184"/>
  <c r="V117" i="184"/>
  <c r="C83" i="184"/>
  <c r="W122" i="172"/>
  <c r="W197" i="172" s="1"/>
  <c r="Z144" i="172"/>
  <c r="AA122" i="172"/>
  <c r="AA197" i="172" s="1"/>
  <c r="I42" i="159"/>
  <c r="I44" i="159" s="1"/>
  <c r="C20" i="20"/>
  <c r="E27" i="16"/>
  <c r="E28" i="16" s="1"/>
  <c r="E29" i="16" s="1"/>
  <c r="E30" i="16" s="1"/>
  <c r="J199" i="16"/>
  <c r="G9" i="157"/>
  <c r="G9" i="181" s="1"/>
  <c r="J175" i="13"/>
  <c r="J177" i="13" s="1"/>
  <c r="G31" i="176"/>
  <c r="G52" i="176" s="1"/>
  <c r="G54" i="176" s="1"/>
  <c r="M162" i="35"/>
  <c r="M166" i="35" s="1"/>
  <c r="F48" i="157"/>
  <c r="J78" i="164"/>
  <c r="F50" i="157"/>
  <c r="Q12" i="195"/>
  <c r="H31" i="176"/>
  <c r="H52" i="176" s="1"/>
  <c r="G16" i="79"/>
  <c r="O95" i="172"/>
  <c r="P18" i="70" s="1"/>
  <c r="N52" i="179"/>
  <c r="L70" i="209"/>
  <c r="L37" i="70"/>
  <c r="Q102" i="175"/>
  <c r="R102" i="175" s="1"/>
  <c r="AE86" i="184"/>
  <c r="AE83" i="184"/>
  <c r="AE84" i="184" s="1"/>
  <c r="M154" i="172"/>
  <c r="M163" i="172" s="1"/>
  <c r="M228" i="172"/>
  <c r="M234" i="172" s="1"/>
  <c r="T90" i="184"/>
  <c r="AF233" i="172"/>
  <c r="AF206" i="172"/>
  <c r="M52" i="179"/>
  <c r="K70" i="209"/>
  <c r="H98" i="179"/>
  <c r="C14" i="87"/>
  <c r="F45" i="157"/>
  <c r="E45" i="157"/>
  <c r="F49" i="157"/>
  <c r="E49" i="157"/>
  <c r="F51" i="157"/>
  <c r="E51" i="157"/>
  <c r="E70" i="195"/>
  <c r="D96" i="195"/>
  <c r="E96" i="195" s="1"/>
  <c r="C15" i="85"/>
  <c r="L29" i="20"/>
  <c r="AK12" i="186"/>
  <c r="AJ12" i="186"/>
  <c r="AI12" i="186"/>
  <c r="S12" i="186"/>
  <c r="AD12" i="186"/>
  <c r="N12" i="186"/>
  <c r="AC12" i="186"/>
  <c r="M12" i="186"/>
  <c r="AB12" i="186"/>
  <c r="L12" i="186"/>
  <c r="AA12" i="186"/>
  <c r="K12" i="186"/>
  <c r="G12" i="186"/>
  <c r="H12" i="186"/>
  <c r="AH12" i="186"/>
  <c r="Y12" i="186"/>
  <c r="X12" i="186"/>
  <c r="Q12" i="186"/>
  <c r="AG12" i="186"/>
  <c r="AF12" i="186"/>
  <c r="AE12" i="186"/>
  <c r="Z12" i="186"/>
  <c r="R12" i="186"/>
  <c r="P12" i="186"/>
  <c r="O12" i="186"/>
  <c r="J12" i="186"/>
  <c r="W86" i="184"/>
  <c r="W83" i="184"/>
  <c r="W84" i="184" s="1"/>
  <c r="AO215" i="172"/>
  <c r="AO119" i="172"/>
  <c r="AO122" i="172" s="1"/>
  <c r="AO197" i="172" s="1"/>
  <c r="AO190" i="172"/>
  <c r="P83" i="184"/>
  <c r="P84" i="184" s="1"/>
  <c r="T117" i="184"/>
  <c r="G68" i="184"/>
  <c r="G90" i="184" s="1"/>
  <c r="T144" i="172"/>
  <c r="AO171" i="172"/>
  <c r="AO173" i="172" s="1"/>
  <c r="I36" i="159"/>
  <c r="J6" i="28"/>
  <c r="J177" i="28" s="1"/>
  <c r="K12" i="195"/>
  <c r="L19" i="79"/>
  <c r="I98" i="179"/>
  <c r="J98" i="179" s="1"/>
  <c r="K98" i="179" s="1"/>
  <c r="L98" i="179" s="1"/>
  <c r="M98" i="179" s="1"/>
  <c r="N98" i="179" s="1"/>
  <c r="O98" i="179" s="1"/>
  <c r="P98" i="179" s="1"/>
  <c r="Q98" i="179" s="1"/>
  <c r="R98" i="179" s="1"/>
  <c r="S98" i="179" s="1"/>
  <c r="Q94" i="175"/>
  <c r="R94" i="175" s="1"/>
  <c r="O84" i="184"/>
  <c r="S88" i="184"/>
  <c r="O83" i="184"/>
  <c r="U117" i="184"/>
  <c r="N84" i="184"/>
  <c r="AJ144" i="172"/>
  <c r="C84" i="184"/>
  <c r="R117" i="184"/>
  <c r="C90" i="184"/>
  <c r="S144" i="172"/>
  <c r="V29" i="20"/>
  <c r="E55" i="159"/>
  <c r="H104" i="20"/>
  <c r="C23" i="34"/>
  <c r="I71" i="157"/>
  <c r="I40" i="181" s="1"/>
  <c r="P12" i="195"/>
  <c r="R12" i="195"/>
  <c r="M11" i="195"/>
  <c r="I19" i="79"/>
  <c r="W19" i="79"/>
  <c r="O90" i="20"/>
  <c r="O92" i="20" s="1"/>
  <c r="L80" i="157" s="1"/>
  <c r="E117" i="184"/>
  <c r="X86" i="184"/>
  <c r="X88" i="184"/>
  <c r="X83" i="184"/>
  <c r="X84" i="184" s="1"/>
  <c r="AE13" i="186"/>
  <c r="O13" i="186"/>
  <c r="Z13" i="186"/>
  <c r="J13" i="186"/>
  <c r="Y13" i="186"/>
  <c r="AB13" i="186"/>
  <c r="L13" i="186"/>
  <c r="AH13" i="186"/>
  <c r="R13" i="186"/>
  <c r="AG13" i="186"/>
  <c r="Q13" i="186"/>
  <c r="AJ13" i="186"/>
  <c r="AA13" i="186"/>
  <c r="X13" i="186"/>
  <c r="K13" i="186"/>
  <c r="AK13" i="186"/>
  <c r="G13" i="186"/>
  <c r="H13" i="186"/>
  <c r="S13" i="186"/>
  <c r="N13" i="186"/>
  <c r="M13" i="186"/>
  <c r="P13" i="186"/>
  <c r="AI13" i="186"/>
  <c r="AD13" i="186"/>
  <c r="AC13" i="186"/>
  <c r="AF13" i="186"/>
  <c r="U154" i="172"/>
  <c r="U163" i="172" s="1"/>
  <c r="U228" i="172"/>
  <c r="B90" i="184"/>
  <c r="J52" i="179"/>
  <c r="H70" i="209"/>
  <c r="L228" i="16"/>
  <c r="K263" i="16"/>
  <c r="G98" i="20"/>
  <c r="C21" i="34"/>
  <c r="C22" i="34" s="1"/>
  <c r="F47" i="157"/>
  <c r="E47" i="157"/>
  <c r="D90" i="195"/>
  <c r="E90" i="195" s="1"/>
  <c r="E64" i="195"/>
  <c r="W12" i="195" s="1"/>
  <c r="E44" i="157"/>
  <c r="F44" i="157"/>
  <c r="F55" i="157"/>
  <c r="E55" i="157"/>
  <c r="AO16" i="44"/>
  <c r="AO13" i="44"/>
  <c r="AP18" i="44"/>
  <c r="K42" i="44" s="1"/>
  <c r="J11" i="195"/>
  <c r="V11" i="195"/>
  <c r="Q11" i="195"/>
  <c r="X11" i="195"/>
  <c r="T11" i="195"/>
  <c r="K11" i="195"/>
  <c r="S11" i="195"/>
  <c r="O11" i="195"/>
  <c r="AO17" i="44"/>
  <c r="AO19" i="44"/>
  <c r="AO15" i="44"/>
  <c r="AN16" i="44"/>
  <c r="AP13" i="44"/>
  <c r="AP14" i="44"/>
  <c r="AO14" i="44"/>
  <c r="AP25" i="44"/>
  <c r="J67" i="44" s="1"/>
  <c r="AO20" i="44"/>
  <c r="AO18" i="44"/>
  <c r="AP23" i="44"/>
  <c r="J64" i="44" s="1"/>
  <c r="I28" i="101" s="1"/>
  <c r="I5" i="78"/>
  <c r="X13" i="78" s="1"/>
  <c r="AP19" i="44"/>
  <c r="K45" i="44" s="1"/>
  <c r="AN19" i="44"/>
  <c r="AN15" i="44"/>
  <c r="AN20" i="44"/>
  <c r="AN13" i="44"/>
  <c r="AN12" i="44"/>
  <c r="AP20" i="44"/>
  <c r="K48" i="44" s="1"/>
  <c r="F10" i="44"/>
  <c r="AN14" i="44"/>
  <c r="AP24" i="44"/>
  <c r="AN17" i="44"/>
  <c r="AN18" i="44"/>
  <c r="AP17" i="44"/>
  <c r="K39" i="44" s="1"/>
  <c r="AP15" i="44"/>
  <c r="K33" i="44" s="1"/>
  <c r="AP16" i="44"/>
  <c r="K36" i="44" s="1"/>
  <c r="F19" i="103"/>
  <c r="D24" i="106"/>
  <c r="D22" i="107" s="1"/>
  <c r="D38" i="107" s="1"/>
  <c r="D56" i="107" s="1"/>
  <c r="D23" i="217"/>
  <c r="D22" i="217"/>
  <c r="D20" i="106"/>
  <c r="D18" i="107" s="1"/>
  <c r="D34" i="107" s="1"/>
  <c r="D52" i="107" s="1"/>
  <c r="D16" i="106"/>
  <c r="D14" i="107" s="1"/>
  <c r="D30" i="107" s="1"/>
  <c r="D48" i="107" s="1"/>
  <c r="E22" i="44"/>
  <c r="E18" i="45"/>
  <c r="BQ21" i="44"/>
  <c r="BP21" i="44"/>
  <c r="D25" i="106"/>
  <c r="D23" i="107" s="1"/>
  <c r="D39" i="107" s="1"/>
  <c r="D57" i="107" s="1"/>
  <c r="D25" i="217"/>
  <c r="D18" i="106"/>
  <c r="D16" i="107" s="1"/>
  <c r="D32" i="107" s="1"/>
  <c r="D50" i="107" s="1"/>
  <c r="D18" i="217"/>
  <c r="I181" i="36"/>
  <c r="O181" i="36"/>
  <c r="W181" i="36"/>
  <c r="L181" i="36"/>
  <c r="M181" i="36"/>
  <c r="X181" i="36"/>
  <c r="U181" i="36"/>
  <c r="P181" i="36"/>
  <c r="F187" i="36"/>
  <c r="F332" i="36" s="1"/>
  <c r="J181" i="36"/>
  <c r="T181" i="36"/>
  <c r="N181" i="36"/>
  <c r="L18" i="35"/>
  <c r="L162" i="35" s="1"/>
  <c r="L166" i="35" s="1"/>
  <c r="Z18" i="36"/>
  <c r="W15" i="79"/>
  <c r="T19" i="79"/>
  <c r="Z19" i="79"/>
  <c r="N19" i="79"/>
  <c r="O19" i="79"/>
  <c r="G68" i="157"/>
  <c r="G75" i="157" s="1"/>
  <c r="L23" i="79"/>
  <c r="N21" i="79"/>
  <c r="W23" i="79"/>
  <c r="R21" i="79"/>
  <c r="R23" i="79"/>
  <c r="R19" i="79"/>
  <c r="J19" i="79"/>
  <c r="S19" i="79"/>
  <c r="U19" i="79"/>
  <c r="I170" i="70"/>
  <c r="I172" i="70" s="1"/>
  <c r="P21" i="79"/>
  <c r="Q23" i="79"/>
  <c r="S23" i="79"/>
  <c r="J23" i="79"/>
  <c r="Y19" i="79"/>
  <c r="Q19" i="79"/>
  <c r="K19" i="79"/>
  <c r="H170" i="70"/>
  <c r="H172" i="70" s="1"/>
  <c r="K88" i="79"/>
  <c r="K23" i="79"/>
  <c r="O23" i="79"/>
  <c r="L17" i="79"/>
  <c r="V17" i="79"/>
  <c r="Y17" i="79"/>
  <c r="L21" i="79"/>
  <c r="S88" i="79"/>
  <c r="N23" i="79"/>
  <c r="L25" i="79"/>
  <c r="R25" i="79"/>
  <c r="Q17" i="79"/>
  <c r="T17" i="79"/>
  <c r="F170" i="70"/>
  <c r="F172" i="70" s="1"/>
  <c r="Z88" i="79"/>
  <c r="T88" i="79"/>
  <c r="W88" i="79"/>
  <c r="Z23" i="79"/>
  <c r="M23" i="79"/>
  <c r="X17" i="79"/>
  <c r="S27" i="79"/>
  <c r="Y23" i="79"/>
  <c r="U88" i="79"/>
  <c r="P23" i="79"/>
  <c r="K21" i="79"/>
  <c r="M21" i="79"/>
  <c r="M27" i="79"/>
  <c r="U23" i="79"/>
  <c r="Z25" i="79"/>
  <c r="X23" i="79"/>
  <c r="Q100" i="175"/>
  <c r="R100" i="175" s="1"/>
  <c r="R111" i="175"/>
  <c r="R110" i="175"/>
  <c r="Q86" i="175"/>
  <c r="R86" i="175" s="1"/>
  <c r="Q93" i="175"/>
  <c r="R93" i="175" s="1"/>
  <c r="Q96" i="175"/>
  <c r="R96" i="175" s="1"/>
  <c r="Q97" i="175"/>
  <c r="R97" i="175" s="1"/>
  <c r="Q99" i="175"/>
  <c r="R99" i="175" s="1"/>
  <c r="Q98" i="175"/>
  <c r="R98" i="175" s="1"/>
  <c r="R114" i="175"/>
  <c r="O118" i="175"/>
  <c r="Q101" i="175"/>
  <c r="R101" i="175" s="1"/>
  <c r="P118" i="175"/>
  <c r="Q89" i="175"/>
  <c r="R89" i="175" s="1"/>
  <c r="Q87" i="175"/>
  <c r="R87" i="175" s="1"/>
  <c r="Q103" i="175"/>
  <c r="R103" i="175" s="1"/>
  <c r="R117" i="175"/>
  <c r="Q88" i="175"/>
  <c r="R88" i="175" s="1"/>
  <c r="R109" i="175"/>
  <c r="S193" i="28"/>
  <c r="T180" i="175"/>
  <c r="T181" i="175"/>
  <c r="S194" i="28"/>
  <c r="Q192" i="28"/>
  <c r="Q16" i="175" s="1"/>
  <c r="R179" i="175"/>
  <c r="Q104" i="175"/>
  <c r="R104" i="175" s="1"/>
  <c r="Q95" i="175"/>
  <c r="R95" i="175" s="1"/>
  <c r="Q91" i="175"/>
  <c r="R91" i="175" s="1"/>
  <c r="Q92" i="175"/>
  <c r="R92" i="175" s="1"/>
  <c r="R116" i="175"/>
  <c r="N166" i="175"/>
  <c r="N168" i="175" s="1"/>
  <c r="H33" i="157"/>
  <c r="I166" i="35"/>
  <c r="M14" i="186"/>
  <c r="Q30" i="209"/>
  <c r="L121" i="181"/>
  <c r="O14" i="186"/>
  <c r="M30" i="209"/>
  <c r="K60" i="181"/>
  <c r="P121" i="181"/>
  <c r="K30" i="209"/>
  <c r="S14" i="186"/>
  <c r="T22" i="181"/>
  <c r="R14" i="186"/>
  <c r="I40" i="176"/>
  <c r="I54" i="181" s="1"/>
  <c r="G47" i="92"/>
  <c r="E201" i="16"/>
  <c r="E118" i="16"/>
  <c r="E119" i="16" s="1"/>
  <c r="E120" i="16" s="1"/>
  <c r="E72" i="16"/>
  <c r="E73" i="16" s="1"/>
  <c r="E74" i="16" s="1"/>
  <c r="E127" i="16"/>
  <c r="E146" i="16"/>
  <c r="E147" i="16" s="1"/>
  <c r="E256" i="16" s="1"/>
  <c r="E172" i="16"/>
  <c r="E171" i="16"/>
  <c r="E53" i="16"/>
  <c r="E155" i="16"/>
  <c r="E154" i="16"/>
  <c r="E88" i="16"/>
  <c r="E89" i="16" s="1"/>
  <c r="F120" i="16"/>
  <c r="E16" i="16"/>
  <c r="E17" i="16" s="1"/>
  <c r="E18" i="16" s="1"/>
  <c r="E185" i="16"/>
  <c r="E189" i="16" s="1"/>
  <c r="Q10" i="28"/>
  <c r="M10" i="70"/>
  <c r="P14" i="186"/>
  <c r="S121" i="181"/>
  <c r="F39" i="179"/>
  <c r="M21" i="70"/>
  <c r="Q21" i="28"/>
  <c r="I30" i="209"/>
  <c r="M22" i="181"/>
  <c r="K14" i="186"/>
  <c r="Q15" i="28"/>
  <c r="M15" i="70"/>
  <c r="Q22" i="28"/>
  <c r="M22" i="70"/>
  <c r="Q118" i="175"/>
  <c r="R108" i="175"/>
  <c r="R22" i="181"/>
  <c r="R121" i="181" s="1"/>
  <c r="R35" i="181"/>
  <c r="J30" i="209"/>
  <c r="N22" i="181"/>
  <c r="L14" i="186"/>
  <c r="G120" i="181"/>
  <c r="G85" i="181"/>
  <c r="K17" i="70"/>
  <c r="I66" i="157"/>
  <c r="O44" i="209"/>
  <c r="I35" i="181"/>
  <c r="E44" i="209"/>
  <c r="K44" i="209"/>
  <c r="O35" i="181"/>
  <c r="J217" i="172"/>
  <c r="J218" i="172" s="1"/>
  <c r="J225" i="172" s="1"/>
  <c r="J198" i="172" s="1"/>
  <c r="P95" i="172"/>
  <c r="Q18" i="70" s="1"/>
  <c r="J96" i="172"/>
  <c r="J97" i="172" s="1"/>
  <c r="P44" i="209"/>
  <c r="T35" i="181"/>
  <c r="J35" i="181"/>
  <c r="F44" i="209"/>
  <c r="L44" i="209"/>
  <c r="P35" i="181"/>
  <c r="L90" i="20"/>
  <c r="L92" i="20" s="1"/>
  <c r="I80" i="157" s="1"/>
  <c r="V104" i="20"/>
  <c r="T29" i="20"/>
  <c r="I75" i="179"/>
  <c r="Q31" i="20"/>
  <c r="H75" i="179"/>
  <c r="X92" i="20"/>
  <c r="U80" i="157" s="1"/>
  <c r="X102" i="20"/>
  <c r="X104" i="20" s="1"/>
  <c r="W31" i="20"/>
  <c r="R89" i="20"/>
  <c r="R29" i="20"/>
  <c r="R31" i="20"/>
  <c r="M31" i="20"/>
  <c r="N31" i="20"/>
  <c r="P31" i="20"/>
  <c r="P29" i="20"/>
  <c r="P75" i="179"/>
  <c r="W29" i="20"/>
  <c r="P92" i="20"/>
  <c r="M80" i="157" s="1"/>
  <c r="H31" i="20"/>
  <c r="G31" i="20"/>
  <c r="L31" i="20"/>
  <c r="J31" i="20"/>
  <c r="K31" i="20"/>
  <c r="I31" i="20"/>
  <c r="E31" i="20"/>
  <c r="F31" i="20"/>
  <c r="U89" i="20"/>
  <c r="U92" i="20" s="1"/>
  <c r="R80" i="157" s="1"/>
  <c r="N59" i="209" s="1"/>
  <c r="U29" i="20"/>
  <c r="S31" i="20"/>
  <c r="O31" i="20"/>
  <c r="L75" i="179"/>
  <c r="T31" i="20"/>
  <c r="N89" i="20"/>
  <c r="N29" i="20"/>
  <c r="U31" i="20"/>
  <c r="W92" i="20"/>
  <c r="T80" i="157" s="1"/>
  <c r="W101" i="20"/>
  <c r="W104" i="20" s="1"/>
  <c r="V31" i="20"/>
  <c r="L168" i="36"/>
  <c r="N168" i="36"/>
  <c r="L68" i="103"/>
  <c r="M168" i="36"/>
  <c r="S220" i="36"/>
  <c r="U220" i="36"/>
  <c r="P220" i="36"/>
  <c r="H220" i="36"/>
  <c r="X220" i="36"/>
  <c r="R220" i="36"/>
  <c r="M201" i="36"/>
  <c r="T201" i="36"/>
  <c r="V201" i="36"/>
  <c r="Q220" i="36"/>
  <c r="N220" i="36"/>
  <c r="L220" i="36"/>
  <c r="K220" i="36"/>
  <c r="M220" i="36"/>
  <c r="I220" i="36"/>
  <c r="Y220" i="36"/>
  <c r="J220" i="36"/>
  <c r="W220" i="36"/>
  <c r="V220" i="36"/>
  <c r="T220" i="36"/>
  <c r="O220" i="36"/>
  <c r="K201" i="36"/>
  <c r="R201" i="36"/>
  <c r="P201" i="36"/>
  <c r="H201" i="36"/>
  <c r="L201" i="36"/>
  <c r="Y201" i="36"/>
  <c r="N201" i="36"/>
  <c r="J201" i="36"/>
  <c r="W201" i="36"/>
  <c r="I201" i="36"/>
  <c r="X201" i="36"/>
  <c r="S201" i="36"/>
  <c r="O201" i="36"/>
  <c r="U201" i="36"/>
  <c r="Q201" i="36"/>
  <c r="F171" i="36"/>
  <c r="F173" i="36" s="1"/>
  <c r="K68" i="103"/>
  <c r="K38" i="103"/>
  <c r="L56" i="36"/>
  <c r="M68" i="103"/>
  <c r="U38" i="103"/>
  <c r="V56" i="36"/>
  <c r="J38" i="103"/>
  <c r="K56" i="36"/>
  <c r="Q38" i="103"/>
  <c r="R56" i="36"/>
  <c r="P38" i="103"/>
  <c r="Q56" i="36"/>
  <c r="R38" i="103"/>
  <c r="S56" i="36"/>
  <c r="T38" i="103"/>
  <c r="U56" i="36"/>
  <c r="I38" i="103"/>
  <c r="J56" i="36"/>
  <c r="W38" i="103"/>
  <c r="X56" i="36"/>
  <c r="O38" i="103"/>
  <c r="P56" i="36"/>
  <c r="X38" i="103"/>
  <c r="Y56" i="36"/>
  <c r="N38" i="103"/>
  <c r="O56" i="36"/>
  <c r="V38" i="103"/>
  <c r="W56" i="36"/>
  <c r="G38" i="103"/>
  <c r="H56" i="36"/>
  <c r="T56" i="36"/>
  <c r="H38" i="103"/>
  <c r="I56" i="36"/>
  <c r="M38" i="103"/>
  <c r="N56" i="36"/>
  <c r="L38" i="103"/>
  <c r="M56" i="36"/>
  <c r="R25" i="103"/>
  <c r="R35" i="103" s="1"/>
  <c r="S37" i="36"/>
  <c r="M25" i="103"/>
  <c r="M35" i="103" s="1"/>
  <c r="N37" i="36"/>
  <c r="P25" i="103"/>
  <c r="P35" i="103" s="1"/>
  <c r="Q37" i="36"/>
  <c r="S25" i="103"/>
  <c r="S35" i="103" s="1"/>
  <c r="T37" i="36"/>
  <c r="K25" i="103"/>
  <c r="K35" i="103" s="1"/>
  <c r="L37" i="36"/>
  <c r="V25" i="103"/>
  <c r="V35" i="103" s="1"/>
  <c r="W37" i="36"/>
  <c r="L25" i="103"/>
  <c r="M37" i="36"/>
  <c r="U25" i="103"/>
  <c r="U35" i="103" s="1"/>
  <c r="V37" i="36"/>
  <c r="X25" i="103"/>
  <c r="X35" i="103" s="1"/>
  <c r="Y37" i="36"/>
  <c r="I25" i="103"/>
  <c r="I35" i="103" s="1"/>
  <c r="J37" i="36"/>
  <c r="W25" i="103"/>
  <c r="W35" i="103" s="1"/>
  <c r="X37" i="36"/>
  <c r="J25" i="103"/>
  <c r="J35" i="103" s="1"/>
  <c r="K37" i="36"/>
  <c r="T25" i="103"/>
  <c r="U37" i="36"/>
  <c r="H25" i="103"/>
  <c r="I37" i="36"/>
  <c r="O25" i="103"/>
  <c r="O35" i="103" s="1"/>
  <c r="P37" i="36"/>
  <c r="Q25" i="103"/>
  <c r="R37" i="36"/>
  <c r="G25" i="103"/>
  <c r="G35" i="103" s="1"/>
  <c r="H37" i="36"/>
  <c r="O37" i="36"/>
  <c r="P18" i="103"/>
  <c r="Q23" i="36"/>
  <c r="H18" i="103"/>
  <c r="I23" i="36"/>
  <c r="Q18" i="103"/>
  <c r="N18" i="103"/>
  <c r="O23" i="36"/>
  <c r="T18" i="103"/>
  <c r="U23" i="36"/>
  <c r="M18" i="103"/>
  <c r="N23" i="36"/>
  <c r="K18" i="103"/>
  <c r="L23" i="36"/>
  <c r="Z193" i="36"/>
  <c r="Z211" i="36"/>
  <c r="F21" i="103"/>
  <c r="F170" i="36"/>
  <c r="F172" i="36" s="1"/>
  <c r="Z216" i="36"/>
  <c r="Z21" i="36"/>
  <c r="Z194" i="36"/>
  <c r="F58" i="36"/>
  <c r="N200" i="36"/>
  <c r="F59" i="36"/>
  <c r="Z197" i="36"/>
  <c r="Z44" i="36"/>
  <c r="Z204" i="36"/>
  <c r="Z224" i="36"/>
  <c r="Z207" i="36"/>
  <c r="Z54" i="36"/>
  <c r="Z218" i="36"/>
  <c r="F45" i="103"/>
  <c r="Z40" i="36"/>
  <c r="Z215" i="36"/>
  <c r="F32" i="103"/>
  <c r="Z52" i="36"/>
  <c r="Z30" i="36"/>
  <c r="Z47" i="36"/>
  <c r="S200" i="36"/>
  <c r="Z31" i="36"/>
  <c r="L36" i="36"/>
  <c r="U200" i="36"/>
  <c r="F33" i="103"/>
  <c r="Z43" i="36"/>
  <c r="J52" i="103"/>
  <c r="F52" i="103" s="1"/>
  <c r="Z41" i="36"/>
  <c r="K39" i="103"/>
  <c r="F39" i="103" s="1"/>
  <c r="X287" i="34"/>
  <c r="T40" i="214" s="1"/>
  <c r="Z49" i="36"/>
  <c r="Z206" i="36"/>
  <c r="Z210" i="36"/>
  <c r="Z213" i="36"/>
  <c r="F48" i="103"/>
  <c r="F50" i="103"/>
  <c r="F47" i="103"/>
  <c r="Z33" i="36"/>
  <c r="Z50" i="36"/>
  <c r="J36" i="36"/>
  <c r="M200" i="36"/>
  <c r="Y287" i="34"/>
  <c r="U40" i="214" s="1"/>
  <c r="R287" i="34"/>
  <c r="Q76" i="79" s="1"/>
  <c r="S287" i="34"/>
  <c r="O40" i="214" s="1"/>
  <c r="Z45" i="36"/>
  <c r="Z34" i="36"/>
  <c r="F41" i="103"/>
  <c r="W287" i="34"/>
  <c r="S40" i="214" s="1"/>
  <c r="L200" i="36"/>
  <c r="R200" i="36"/>
  <c r="Z205" i="36"/>
  <c r="H200" i="36"/>
  <c r="X87" i="93"/>
  <c r="Z35" i="36"/>
  <c r="Z46" i="36"/>
  <c r="Z198" i="36"/>
  <c r="Z182" i="36"/>
  <c r="Q200" i="36"/>
  <c r="I36" i="36"/>
  <c r="Z209" i="36"/>
  <c r="W36" i="36"/>
  <c r="V287" i="34"/>
  <c r="U76" i="79" s="1"/>
  <c r="F26" i="103"/>
  <c r="P200" i="36"/>
  <c r="F20" i="103"/>
  <c r="S36" i="36"/>
  <c r="L287" i="34"/>
  <c r="K76" i="79" s="1"/>
  <c r="I200" i="36"/>
  <c r="H28" i="103"/>
  <c r="T287" i="34"/>
  <c r="P40" i="214" s="1"/>
  <c r="U287" i="34"/>
  <c r="Q40" i="214" s="1"/>
  <c r="Z192" i="36"/>
  <c r="R36" i="36"/>
  <c r="Z42" i="36"/>
  <c r="Z208" i="36"/>
  <c r="X200" i="36"/>
  <c r="V200" i="36"/>
  <c r="K200" i="36"/>
  <c r="O200" i="36"/>
  <c r="U36" i="36"/>
  <c r="J200" i="36"/>
  <c r="Z185" i="36"/>
  <c r="Z195" i="36"/>
  <c r="Z199" i="36"/>
  <c r="Z212" i="36"/>
  <c r="W200" i="36"/>
  <c r="Z29" i="36"/>
  <c r="Z51" i="36"/>
  <c r="M287" i="34"/>
  <c r="L76" i="79" s="1"/>
  <c r="Y200" i="36"/>
  <c r="F44" i="103"/>
  <c r="Z191" i="36"/>
  <c r="T200" i="36"/>
  <c r="Z287" i="34"/>
  <c r="V40" i="214" s="1"/>
  <c r="Q28" i="103"/>
  <c r="V36" i="36"/>
  <c r="K287" i="34"/>
  <c r="J76" i="79" s="1"/>
  <c r="X36" i="36"/>
  <c r="Z27" i="36"/>
  <c r="H36" i="36"/>
  <c r="AD54" i="79"/>
  <c r="T28" i="103"/>
  <c r="P36" i="36"/>
  <c r="Z196" i="36"/>
  <c r="Q36" i="36"/>
  <c r="Q287" i="34"/>
  <c r="P76" i="79" s="1"/>
  <c r="AA287" i="34"/>
  <c r="Z76" i="79" s="1"/>
  <c r="Z19" i="36"/>
  <c r="O36" i="36"/>
  <c r="Z32" i="36"/>
  <c r="F49" i="103"/>
  <c r="Z48" i="36"/>
  <c r="Y36" i="36"/>
  <c r="T36" i="36"/>
  <c r="J287" i="34"/>
  <c r="F40" i="214" s="1"/>
  <c r="F46" i="103"/>
  <c r="Z26" i="36"/>
  <c r="K36" i="36"/>
  <c r="N35" i="103"/>
  <c r="N88" i="79"/>
  <c r="Y88" i="79"/>
  <c r="O17" i="79"/>
  <c r="W17" i="79"/>
  <c r="M17" i="79"/>
  <c r="T27" i="79"/>
  <c r="S17" i="79"/>
  <c r="P17" i="79"/>
  <c r="I88" i="79"/>
  <c r="V88" i="79"/>
  <c r="L88" i="79"/>
  <c r="O15" i="79"/>
  <c r="I17" i="79"/>
  <c r="J17" i="79"/>
  <c r="R17" i="79"/>
  <c r="W27" i="79"/>
  <c r="Z17" i="79"/>
  <c r="N17" i="79"/>
  <c r="U15" i="79"/>
  <c r="T15" i="79"/>
  <c r="V15" i="79"/>
  <c r="N15" i="79"/>
  <c r="Q15" i="79"/>
  <c r="Q21" i="79"/>
  <c r="O27" i="79"/>
  <c r="R88" i="79"/>
  <c r="P88" i="79"/>
  <c r="M88" i="79"/>
  <c r="X88" i="79"/>
  <c r="O88" i="79"/>
  <c r="Y21" i="79"/>
  <c r="M15" i="79"/>
  <c r="S15" i="79"/>
  <c r="N27" i="79"/>
  <c r="L27" i="79"/>
  <c r="X27" i="79"/>
  <c r="Z27" i="79"/>
  <c r="Y27" i="79"/>
  <c r="U21" i="79"/>
  <c r="J21" i="79"/>
  <c r="L15" i="79"/>
  <c r="S21" i="79"/>
  <c r="V21" i="79"/>
  <c r="X21" i="79"/>
  <c r="I25" i="79"/>
  <c r="U25" i="79"/>
  <c r="J25" i="79"/>
  <c r="I21" i="79"/>
  <c r="K27" i="79"/>
  <c r="K15" i="79"/>
  <c r="J27" i="79"/>
  <c r="R27" i="79"/>
  <c r="V27" i="79"/>
  <c r="I27" i="79"/>
  <c r="Q88" i="79"/>
  <c r="W21" i="79"/>
  <c r="R15" i="79"/>
  <c r="Z15" i="79"/>
  <c r="J15" i="79"/>
  <c r="P15" i="79"/>
  <c r="U27" i="79"/>
  <c r="Q27" i="79"/>
  <c r="T21" i="79"/>
  <c r="O21" i="79"/>
  <c r="I15" i="79"/>
  <c r="Y15" i="79"/>
  <c r="V19" i="79"/>
  <c r="M19" i="79"/>
  <c r="X19" i="79"/>
  <c r="M25" i="79"/>
  <c r="AD31" i="79"/>
  <c r="AD33" i="79"/>
  <c r="Y79" i="79"/>
  <c r="W79" i="79"/>
  <c r="AD61" i="79"/>
  <c r="AD67" i="79"/>
  <c r="AD44" i="79"/>
  <c r="P79" i="79"/>
  <c r="N84" i="79"/>
  <c r="O75" i="79"/>
  <c r="R79" i="79"/>
  <c r="AD53" i="79"/>
  <c r="AD42" i="79"/>
  <c r="AD40" i="79"/>
  <c r="AD38" i="79"/>
  <c r="T73" i="79"/>
  <c r="O84" i="79"/>
  <c r="M75" i="79"/>
  <c r="L79" i="79"/>
  <c r="N75" i="79"/>
  <c r="M86" i="79"/>
  <c r="K89" i="79"/>
  <c r="Z79" i="79"/>
  <c r="AD65" i="79"/>
  <c r="X79" i="79"/>
  <c r="N79" i="79"/>
  <c r="W78" i="79"/>
  <c r="N100" i="79"/>
  <c r="N111" i="79" s="1"/>
  <c r="M79" i="79"/>
  <c r="AD51" i="79"/>
  <c r="AD107" i="79"/>
  <c r="AD13" i="79"/>
  <c r="AD56" i="79"/>
  <c r="AD77" i="79"/>
  <c r="S100" i="79"/>
  <c r="S111" i="79" s="1"/>
  <c r="V73" i="79"/>
  <c r="N98" i="79"/>
  <c r="O120" i="79"/>
  <c r="Q79" i="79"/>
  <c r="T79" i="79"/>
  <c r="Z80" i="79"/>
  <c r="S79" i="79"/>
  <c r="O79" i="79"/>
  <c r="O98" i="79"/>
  <c r="J100" i="79"/>
  <c r="J111" i="79" s="1"/>
  <c r="X58" i="79"/>
  <c r="I79" i="79"/>
  <c r="Y89" i="79"/>
  <c r="T80" i="79"/>
  <c r="O89" i="79"/>
  <c r="P89" i="79"/>
  <c r="U89" i="79"/>
  <c r="S78" i="79"/>
  <c r="N58" i="79"/>
  <c r="R100" i="79"/>
  <c r="R111" i="79" s="1"/>
  <c r="AD48" i="79"/>
  <c r="AD30" i="79"/>
  <c r="AD43" i="79"/>
  <c r="AD47" i="79"/>
  <c r="AD69" i="79"/>
  <c r="AD71" i="79"/>
  <c r="AD110" i="79"/>
  <c r="V100" i="79"/>
  <c r="V111" i="79" s="1"/>
  <c r="AD29" i="79"/>
  <c r="Q58" i="79"/>
  <c r="R58" i="79"/>
  <c r="K100" i="79"/>
  <c r="K111" i="79" s="1"/>
  <c r="L58" i="79"/>
  <c r="Y58" i="79"/>
  <c r="K79" i="79"/>
  <c r="J79" i="79"/>
  <c r="V79" i="79"/>
  <c r="T89" i="79"/>
  <c r="N120" i="79"/>
  <c r="Z73" i="79"/>
  <c r="I100" i="79"/>
  <c r="I111" i="79" s="1"/>
  <c r="I73" i="79"/>
  <c r="L100" i="79"/>
  <c r="L111" i="79" s="1"/>
  <c r="AD57" i="79"/>
  <c r="J73" i="79"/>
  <c r="Y73" i="79"/>
  <c r="M58" i="79"/>
  <c r="X73" i="79"/>
  <c r="P100" i="79"/>
  <c r="P111" i="79" s="1"/>
  <c r="M100" i="79"/>
  <c r="M111" i="79" s="1"/>
  <c r="AD32" i="79"/>
  <c r="N89" i="79"/>
  <c r="I89" i="79"/>
  <c r="N78" i="79"/>
  <c r="I58" i="79"/>
  <c r="AD102" i="79"/>
  <c r="AD68" i="79"/>
  <c r="K58" i="79"/>
  <c r="M73" i="79"/>
  <c r="O58" i="79"/>
  <c r="AD55" i="79"/>
  <c r="AD46" i="79"/>
  <c r="AD50" i="79"/>
  <c r="AD62" i="79"/>
  <c r="AD70" i="79"/>
  <c r="AD103" i="79"/>
  <c r="AD105" i="79"/>
  <c r="W58" i="79"/>
  <c r="N86" i="79"/>
  <c r="J89" i="79"/>
  <c r="M98" i="79"/>
  <c r="AD37" i="79"/>
  <c r="G94" i="79"/>
  <c r="R80" i="79"/>
  <c r="J78" i="79"/>
  <c r="J80" i="79"/>
  <c r="L80" i="79"/>
  <c r="O100" i="79"/>
  <c r="O111" i="79" s="1"/>
  <c r="AD14" i="79"/>
  <c r="Z89" i="79"/>
  <c r="O80" i="79"/>
  <c r="P80" i="79"/>
  <c r="O86" i="79"/>
  <c r="W89" i="79"/>
  <c r="M89" i="79"/>
  <c r="R89" i="79"/>
  <c r="M84" i="79"/>
  <c r="O78" i="79"/>
  <c r="S80" i="79"/>
  <c r="Q80" i="79"/>
  <c r="S89" i="79"/>
  <c r="R78" i="79"/>
  <c r="M80" i="79"/>
  <c r="Y80" i="79"/>
  <c r="X89" i="79"/>
  <c r="I80" i="79"/>
  <c r="U80" i="79"/>
  <c r="P78" i="79"/>
  <c r="Z100" i="79"/>
  <c r="Z111" i="79" s="1"/>
  <c r="AD66" i="79"/>
  <c r="V89" i="79"/>
  <c r="Q89" i="79"/>
  <c r="K80" i="79"/>
  <c r="N80" i="79"/>
  <c r="L89" i="79"/>
  <c r="AD49" i="79"/>
  <c r="L73" i="79"/>
  <c r="AD72" i="79"/>
  <c r="AD104" i="79"/>
  <c r="AD106" i="79"/>
  <c r="W73" i="79"/>
  <c r="Q73" i="79"/>
  <c r="U58" i="79"/>
  <c r="U100" i="79"/>
  <c r="U111" i="79" s="1"/>
  <c r="V58" i="79"/>
  <c r="AD52" i="79"/>
  <c r="M120" i="79"/>
  <c r="S58" i="79"/>
  <c r="U73" i="79"/>
  <c r="Q100" i="79"/>
  <c r="Q111" i="79" s="1"/>
  <c r="AD108" i="79"/>
  <c r="W100" i="79"/>
  <c r="W111" i="79" s="1"/>
  <c r="AD109" i="79"/>
  <c r="AD45" i="79"/>
  <c r="AD36" i="79"/>
  <c r="Z58" i="79"/>
  <c r="S73" i="79"/>
  <c r="T100" i="79"/>
  <c r="T111" i="79" s="1"/>
  <c r="O73" i="79"/>
  <c r="P58" i="79"/>
  <c r="X100" i="79"/>
  <c r="X111" i="79" s="1"/>
  <c r="P73" i="79"/>
  <c r="AD39" i="79"/>
  <c r="AD41" i="79"/>
  <c r="AD64" i="79"/>
  <c r="Z82" i="79"/>
  <c r="Q82" i="79"/>
  <c r="J82" i="79"/>
  <c r="I82" i="79"/>
  <c r="P82" i="79"/>
  <c r="M82" i="79"/>
  <c r="U82" i="79"/>
  <c r="V82" i="79"/>
  <c r="W82" i="79"/>
  <c r="Y82" i="79"/>
  <c r="T82" i="79"/>
  <c r="S82" i="79"/>
  <c r="K82" i="79"/>
  <c r="X82" i="79"/>
  <c r="L82" i="79"/>
  <c r="O82" i="79"/>
  <c r="N82" i="79"/>
  <c r="R82" i="79"/>
  <c r="T58" i="79"/>
  <c r="AD60" i="79"/>
  <c r="Y100" i="79"/>
  <c r="Y111" i="79" s="1"/>
  <c r="N73" i="79"/>
  <c r="AD101" i="79"/>
  <c r="M76" i="79"/>
  <c r="N76" i="79"/>
  <c r="R73" i="79"/>
  <c r="J58" i="79"/>
  <c r="O85" i="79"/>
  <c r="V78" i="79"/>
  <c r="K73" i="79"/>
  <c r="AD63" i="79"/>
  <c r="N85" i="79"/>
  <c r="M85" i="79"/>
  <c r="X78" i="79"/>
  <c r="L78" i="79"/>
  <c r="M78" i="79"/>
  <c r="U78" i="79"/>
  <c r="K78" i="79"/>
  <c r="Z78" i="79"/>
  <c r="Y78" i="79"/>
  <c r="I78" i="79"/>
  <c r="T78" i="79"/>
  <c r="Q78" i="79"/>
  <c r="AD81" i="79"/>
  <c r="F30" i="103"/>
  <c r="X85" i="93"/>
  <c r="X59" i="93"/>
  <c r="F42" i="103"/>
  <c r="Z214" i="36"/>
  <c r="X83" i="93"/>
  <c r="X89" i="93"/>
  <c r="N36" i="36"/>
  <c r="AB154" i="172"/>
  <c r="AB163" i="172" s="1"/>
  <c r="AB228" i="172"/>
  <c r="AB234" i="172" s="1"/>
  <c r="L154" i="172"/>
  <c r="L163" i="172" s="1"/>
  <c r="L228" i="172"/>
  <c r="L234" i="172" s="1"/>
  <c r="AL204" i="172"/>
  <c r="AL175" i="172"/>
  <c r="AL181" i="172" s="1"/>
  <c r="X154" i="172"/>
  <c r="X163" i="172" s="1"/>
  <c r="X228" i="172"/>
  <c r="X234" i="172" s="1"/>
  <c r="N204" i="172"/>
  <c r="N175" i="172"/>
  <c r="N181" i="172" s="1"/>
  <c r="E70" i="209"/>
  <c r="AO204" i="172"/>
  <c r="AO175" i="172"/>
  <c r="AO181" i="172" s="1"/>
  <c r="M204" i="172"/>
  <c r="M175" i="172"/>
  <c r="M181" i="172" s="1"/>
  <c r="AN204" i="172"/>
  <c r="AN175" i="172"/>
  <c r="AN181" i="172" s="1"/>
  <c r="AB204" i="172"/>
  <c r="AB175" i="172"/>
  <c r="AB181" i="172" s="1"/>
  <c r="X204" i="172"/>
  <c r="X175" i="172"/>
  <c r="X181" i="172" s="1"/>
  <c r="AI204" i="172"/>
  <c r="AI175" i="172"/>
  <c r="AI181" i="172" s="1"/>
  <c r="V204" i="172"/>
  <c r="V175" i="172"/>
  <c r="V181" i="172" s="1"/>
  <c r="AC204" i="172"/>
  <c r="AC175" i="172"/>
  <c r="AC181" i="172" s="1"/>
  <c r="F7" i="209"/>
  <c r="F40" i="209" s="1"/>
  <c r="J7" i="181"/>
  <c r="J7" i="202"/>
  <c r="I6" i="195"/>
  <c r="J7" i="176"/>
  <c r="K6" i="30"/>
  <c r="H7" i="179"/>
  <c r="L6" i="70"/>
  <c r="O6" i="175"/>
  <c r="G3" i="207"/>
  <c r="H7" i="186"/>
  <c r="J7" i="157"/>
  <c r="O6" i="28"/>
  <c r="E6" i="177"/>
  <c r="K6" i="180"/>
  <c r="L7" i="164"/>
  <c r="L14" i="164" s="1"/>
  <c r="M8" i="163"/>
  <c r="M7" i="20"/>
  <c r="J7" i="14"/>
  <c r="L7" i="13"/>
  <c r="I7" i="92"/>
  <c r="E34" i="203" s="1"/>
  <c r="E35" i="203" s="1"/>
  <c r="K8" i="16"/>
  <c r="F25" i="203"/>
  <c r="F17" i="203" s="1"/>
  <c r="Q86" i="184"/>
  <c r="Q83" i="184"/>
  <c r="Q84" i="184" s="1"/>
  <c r="Q88" i="184"/>
  <c r="T204" i="172"/>
  <c r="T175" i="172"/>
  <c r="T181" i="172" s="1"/>
  <c r="D17" i="217"/>
  <c r="D17" i="106"/>
  <c r="D15" i="107" s="1"/>
  <c r="D31" i="107" s="1"/>
  <c r="D49" i="107" s="1"/>
  <c r="I83" i="184"/>
  <c r="I84" i="184" s="1"/>
  <c r="I88" i="184"/>
  <c r="I86" i="184"/>
  <c r="K204" i="172"/>
  <c r="K175" i="172"/>
  <c r="K181" i="172" s="1"/>
  <c r="R154" i="172"/>
  <c r="R163" i="172" s="1"/>
  <c r="R228" i="172"/>
  <c r="R234" i="172" s="1"/>
  <c r="AF122" i="172"/>
  <c r="AF197" i="172" s="1"/>
  <c r="V92" i="79"/>
  <c r="K92" i="79"/>
  <c r="L92" i="79"/>
  <c r="X92" i="79"/>
  <c r="I92" i="79"/>
  <c r="Q92" i="79"/>
  <c r="U92" i="79"/>
  <c r="J92" i="79"/>
  <c r="P92" i="79"/>
  <c r="R92" i="79"/>
  <c r="W92" i="79"/>
  <c r="M92" i="79"/>
  <c r="O92" i="79"/>
  <c r="T92" i="79"/>
  <c r="Y92" i="79"/>
  <c r="S92" i="79"/>
  <c r="Z92" i="79"/>
  <c r="N92" i="79"/>
  <c r="P98" i="20"/>
  <c r="P101" i="20"/>
  <c r="P104" i="20" s="1"/>
  <c r="E202" i="16"/>
  <c r="E203" i="16" s="1"/>
  <c r="E260" i="16" s="1"/>
  <c r="I7" i="164"/>
  <c r="J208" i="16" s="1"/>
  <c r="H14" i="164"/>
  <c r="G14" i="16" s="1"/>
  <c r="J214" i="16"/>
  <c r="J213" i="16"/>
  <c r="I215" i="16"/>
  <c r="I42" i="16"/>
  <c r="I63" i="16"/>
  <c r="J219" i="16"/>
  <c r="J61" i="209"/>
  <c r="N83" i="157"/>
  <c r="I186" i="13"/>
  <c r="G7" i="14"/>
  <c r="H8" i="16"/>
  <c r="L72" i="70"/>
  <c r="J26" i="159"/>
  <c r="I55" i="159"/>
  <c r="J41" i="164"/>
  <c r="T237" i="164"/>
  <c r="H64" i="157"/>
  <c r="J11" i="70"/>
  <c r="L59" i="70"/>
  <c r="L133" i="70"/>
  <c r="G53" i="207"/>
  <c r="H225" i="172"/>
  <c r="H198" i="172" s="1"/>
  <c r="H16" i="177"/>
  <c r="G17" i="177"/>
  <c r="G18" i="177"/>
  <c r="I214" i="16"/>
  <c r="K48" i="70"/>
  <c r="K163" i="70" s="1"/>
  <c r="L84" i="70"/>
  <c r="N220" i="16"/>
  <c r="M261" i="16"/>
  <c r="P89" i="186"/>
  <c r="N235" i="164"/>
  <c r="O95" i="181"/>
  <c r="O121" i="181"/>
  <c r="N174" i="175"/>
  <c r="N162" i="175"/>
  <c r="T36" i="176"/>
  <c r="T99" i="181"/>
  <c r="M86" i="184"/>
  <c r="M88" i="184"/>
  <c r="M83" i="184"/>
  <c r="M90" i="184"/>
  <c r="R36" i="176"/>
  <c r="R99" i="181"/>
  <c r="S117" i="184"/>
  <c r="O123" i="185"/>
  <c r="O125" i="185" s="1"/>
  <c r="O75" i="185" s="1"/>
  <c r="M123" i="185"/>
  <c r="M125" i="185" s="1"/>
  <c r="M75" i="185" s="1"/>
  <c r="I123" i="185"/>
  <c r="I125" i="185" s="1"/>
  <c r="I75" i="185" s="1"/>
  <c r="J123" i="185"/>
  <c r="J125" i="185" s="1"/>
  <c r="J75" i="185" s="1"/>
  <c r="E123" i="185"/>
  <c r="E125" i="185" s="1"/>
  <c r="E75" i="185" s="1"/>
  <c r="F123" i="185"/>
  <c r="F125" i="185" s="1"/>
  <c r="F75" i="185" s="1"/>
  <c r="H123" i="185"/>
  <c r="D123" i="185"/>
  <c r="D125" i="185" s="1"/>
  <c r="D75" i="185" s="1"/>
  <c r="L123" i="185"/>
  <c r="L125" i="185" s="1"/>
  <c r="L75" i="185" s="1"/>
  <c r="N123" i="185"/>
  <c r="N125" i="185" s="1"/>
  <c r="N75" i="185" s="1"/>
  <c r="G123" i="185"/>
  <c r="G125" i="185" s="1"/>
  <c r="G75" i="185" s="1"/>
  <c r="K123" i="185"/>
  <c r="K125" i="185" s="1"/>
  <c r="K75" i="185" s="1"/>
  <c r="H88" i="184"/>
  <c r="H86" i="184"/>
  <c r="H83" i="184"/>
  <c r="P113" i="184"/>
  <c r="P115" i="184" s="1"/>
  <c r="P117" i="184" s="1"/>
  <c r="P68" i="184"/>
  <c r="P90" i="184" s="1"/>
  <c r="P204" i="172"/>
  <c r="P175" i="172"/>
  <c r="P181" i="172" s="1"/>
  <c r="AM228" i="172"/>
  <c r="AM234" i="172" s="1"/>
  <c r="AM154" i="172"/>
  <c r="AM163" i="172" s="1"/>
  <c r="W154" i="172"/>
  <c r="W163" i="172" s="1"/>
  <c r="W228" i="172"/>
  <c r="W234" i="172" s="1"/>
  <c r="Q154" i="172"/>
  <c r="Q163" i="172" s="1"/>
  <c r="Q228" i="172"/>
  <c r="Q234" i="172" s="1"/>
  <c r="S99" i="181"/>
  <c r="S36" i="176"/>
  <c r="R17" i="184"/>
  <c r="S13" i="184" s="1"/>
  <c r="S17" i="184" s="1"/>
  <c r="T13" i="184" s="1"/>
  <c r="T17" i="184" s="1"/>
  <c r="U13" i="184" s="1"/>
  <c r="U17" i="184" s="1"/>
  <c r="V13" i="184" s="1"/>
  <c r="V17" i="184" s="1"/>
  <c r="W13" i="184" s="1"/>
  <c r="W17" i="184" s="1"/>
  <c r="X13" i="184" s="1"/>
  <c r="X17" i="184" s="1"/>
  <c r="Y13" i="184" s="1"/>
  <c r="Y17" i="184" s="1"/>
  <c r="Z13" i="184" s="1"/>
  <c r="Z17" i="184" s="1"/>
  <c r="AA13" i="184" s="1"/>
  <c r="AA17" i="184" s="1"/>
  <c r="AB13" i="184" s="1"/>
  <c r="AB17" i="184" s="1"/>
  <c r="AC13" i="184" s="1"/>
  <c r="AC17" i="184" s="1"/>
  <c r="AD13" i="184" s="1"/>
  <c r="AD17" i="184" s="1"/>
  <c r="AE13" i="184" s="1"/>
  <c r="AE17" i="184" s="1"/>
  <c r="AF13" i="184" s="1"/>
  <c r="AF17" i="184" s="1"/>
  <c r="AG13" i="184" s="1"/>
  <c r="AG17" i="184" s="1"/>
  <c r="AH13" i="184" s="1"/>
  <c r="AH17" i="184" s="1"/>
  <c r="S228" i="172"/>
  <c r="S234" i="172" s="1"/>
  <c r="S154" i="172"/>
  <c r="S163" i="172" s="1"/>
  <c r="W204" i="172"/>
  <c r="W175" i="172"/>
  <c r="W181" i="172" s="1"/>
  <c r="AD204" i="172"/>
  <c r="AD175" i="172"/>
  <c r="AD181" i="172" s="1"/>
  <c r="C15" i="157"/>
  <c r="F15" i="177"/>
  <c r="C14" i="86"/>
  <c r="M101" i="20"/>
  <c r="M104" i="20" s="1"/>
  <c r="M98" i="20"/>
  <c r="U98" i="20"/>
  <c r="G218" i="16"/>
  <c r="G46" i="16"/>
  <c r="G67" i="16"/>
  <c r="G213" i="16"/>
  <c r="G211" i="16"/>
  <c r="G219" i="16"/>
  <c r="G214" i="16"/>
  <c r="G217" i="16"/>
  <c r="G215" i="16"/>
  <c r="G104" i="16"/>
  <c r="G108" i="16" s="1"/>
  <c r="G65" i="16"/>
  <c r="G208" i="16"/>
  <c r="G48" i="16"/>
  <c r="G209" i="16"/>
  <c r="G66" i="16"/>
  <c r="G207" i="16"/>
  <c r="G114" i="16"/>
  <c r="G118" i="16" s="1"/>
  <c r="G216" i="16"/>
  <c r="G210" i="16"/>
  <c r="G212" i="16"/>
  <c r="L103" i="70"/>
  <c r="E163" i="172"/>
  <c r="C15" i="164"/>
  <c r="M119" i="28"/>
  <c r="M169" i="28" s="1"/>
  <c r="H73" i="157" s="1"/>
  <c r="H42" i="181" s="1"/>
  <c r="J94" i="70"/>
  <c r="J105" i="70" s="1"/>
  <c r="J167" i="70" s="1"/>
  <c r="M102" i="28"/>
  <c r="M168" i="28" s="1"/>
  <c r="H72" i="157" s="1"/>
  <c r="H41" i="181" s="1"/>
  <c r="M47" i="28"/>
  <c r="M164" i="28" s="1"/>
  <c r="H69" i="157" s="1"/>
  <c r="H38" i="181" s="1"/>
  <c r="J26" i="70"/>
  <c r="J48" i="70" s="1"/>
  <c r="J163" i="70" s="1"/>
  <c r="L55" i="70"/>
  <c r="K64" i="70"/>
  <c r="K164" i="70" s="1"/>
  <c r="M232" i="16"/>
  <c r="L264" i="16"/>
  <c r="H53" i="207" s="1"/>
  <c r="K9" i="70"/>
  <c r="N243" i="164"/>
  <c r="C21" i="115"/>
  <c r="C22" i="115" s="1"/>
  <c r="C23" i="115" s="1"/>
  <c r="J183" i="36"/>
  <c r="N183" i="36"/>
  <c r="H183" i="36"/>
  <c r="H187" i="36" s="1"/>
  <c r="S183" i="36"/>
  <c r="V183" i="36"/>
  <c r="V187" i="36" s="1"/>
  <c r="T183" i="36"/>
  <c r="K183" i="36"/>
  <c r="K187" i="36" s="1"/>
  <c r="Y183" i="36"/>
  <c r="Y187" i="36" s="1"/>
  <c r="Q183" i="36"/>
  <c r="O183" i="36"/>
  <c r="W183" i="36"/>
  <c r="M183" i="36"/>
  <c r="F186" i="36"/>
  <c r="X183" i="36"/>
  <c r="L183" i="36"/>
  <c r="R183" i="36"/>
  <c r="U183" i="36"/>
  <c r="I183" i="36"/>
  <c r="P183" i="36"/>
  <c r="Q95" i="181"/>
  <c r="Q121" i="181"/>
  <c r="K105" i="70"/>
  <c r="K167" i="70" s="1"/>
  <c r="C18" i="107"/>
  <c r="C19" i="107" s="1"/>
  <c r="F34" i="103"/>
  <c r="C18" i="92"/>
  <c r="H21" i="181"/>
  <c r="H87" i="181" s="1"/>
  <c r="V163" i="164"/>
  <c r="U90" i="184"/>
  <c r="C18" i="184"/>
  <c r="G84" i="184"/>
  <c r="AE88" i="184"/>
  <c r="AE105" i="184"/>
  <c r="AE106" i="184" s="1"/>
  <c r="AC86" i="184"/>
  <c r="AC83" i="184"/>
  <c r="AC84" i="184" s="1"/>
  <c r="AC88" i="184"/>
  <c r="M36" i="176"/>
  <c r="M99" i="181"/>
  <c r="G117" i="184"/>
  <c r="D88" i="184"/>
  <c r="D97" i="184" s="1"/>
  <c r="D98" i="184" s="1"/>
  <c r="D83" i="184"/>
  <c r="D84" i="184" s="1"/>
  <c r="D86" i="184"/>
  <c r="R60" i="181"/>
  <c r="P52" i="179"/>
  <c r="Q113" i="184"/>
  <c r="Q115" i="184" s="1"/>
  <c r="Q117" i="184" s="1"/>
  <c r="Q68" i="184"/>
  <c r="Q90" i="184" s="1"/>
  <c r="E116" i="185"/>
  <c r="E118" i="185" s="1"/>
  <c r="F118" i="185" s="1"/>
  <c r="G118" i="185" s="1"/>
  <c r="H118" i="185" s="1"/>
  <c r="D15" i="185"/>
  <c r="L204" i="172"/>
  <c r="L175" i="172"/>
  <c r="L181" i="172" s="1"/>
  <c r="AN144" i="172"/>
  <c r="K144" i="172"/>
  <c r="Y204" i="172"/>
  <c r="Y175" i="172"/>
  <c r="Y181" i="172" s="1"/>
  <c r="AG154" i="172"/>
  <c r="AG163" i="172" s="1"/>
  <c r="AG228" i="172"/>
  <c r="AG234" i="172" s="1"/>
  <c r="D26" i="217"/>
  <c r="D26" i="106"/>
  <c r="D24" i="107" s="1"/>
  <c r="D40" i="107" s="1"/>
  <c r="D58" i="107" s="1"/>
  <c r="C19" i="105"/>
  <c r="C17" i="78"/>
  <c r="I68" i="184"/>
  <c r="I90" i="184" s="1"/>
  <c r="I113" i="184"/>
  <c r="I115" i="184" s="1"/>
  <c r="I117" i="184" s="1"/>
  <c r="T88" i="184"/>
  <c r="T83" i="184"/>
  <c r="T84" i="184" s="1"/>
  <c r="T86" i="184"/>
  <c r="AI144" i="172"/>
  <c r="P154" i="172"/>
  <c r="P163" i="172" s="1"/>
  <c r="P228" i="172"/>
  <c r="P234" i="172" s="1"/>
  <c r="S204" i="172"/>
  <c r="S175" i="172"/>
  <c r="S181" i="172" s="1"/>
  <c r="AO228" i="172"/>
  <c r="AO154" i="172"/>
  <c r="AO163" i="172" s="1"/>
  <c r="AH122" i="172"/>
  <c r="AH197" i="172" s="1"/>
  <c r="AD122" i="172"/>
  <c r="AD197" i="172" s="1"/>
  <c r="Z122" i="172"/>
  <c r="Z197" i="172" s="1"/>
  <c r="V122" i="172"/>
  <c r="V197" i="172" s="1"/>
  <c r="H204" i="172"/>
  <c r="H175" i="172"/>
  <c r="H181" i="172" s="1"/>
  <c r="Z204" i="172"/>
  <c r="Z175" i="172"/>
  <c r="Z181" i="172" s="1"/>
  <c r="F258" i="202"/>
  <c r="I24" i="214"/>
  <c r="E24" i="214" s="1"/>
  <c r="F271" i="34"/>
  <c r="AE271" i="34"/>
  <c r="L87" i="79"/>
  <c r="AD87" i="79" s="1"/>
  <c r="C22" i="103"/>
  <c r="C24" i="103" s="1"/>
  <c r="C20" i="96"/>
  <c r="C20" i="162"/>
  <c r="C22" i="162" s="1"/>
  <c r="C13" i="70"/>
  <c r="C14" i="70" s="1"/>
  <c r="G170" i="70"/>
  <c r="G172" i="70" s="1"/>
  <c r="P15" i="185"/>
  <c r="Q116" i="185"/>
  <c r="N61" i="209"/>
  <c r="C95" i="20"/>
  <c r="C96" i="20" s="1"/>
  <c r="K101" i="164"/>
  <c r="L78" i="70"/>
  <c r="P239" i="164"/>
  <c r="M62" i="28"/>
  <c r="M165" i="28" s="1"/>
  <c r="H70" i="157" s="1"/>
  <c r="H39" i="181" s="1"/>
  <c r="J51" i="70"/>
  <c r="J64" i="70" s="1"/>
  <c r="J164" i="70" s="1"/>
  <c r="J9" i="70"/>
  <c r="M23" i="28"/>
  <c r="M163" i="28" s="1"/>
  <c r="C22" i="104"/>
  <c r="O236" i="164"/>
  <c r="G13" i="13"/>
  <c r="H13" i="13" s="1"/>
  <c r="L69" i="70"/>
  <c r="L108" i="70"/>
  <c r="O119" i="28"/>
  <c r="O169" i="28" s="1"/>
  <c r="J73" i="157" s="1"/>
  <c r="E52" i="209"/>
  <c r="I42" i="181"/>
  <c r="K95" i="181"/>
  <c r="K121" i="181"/>
  <c r="C16" i="85"/>
  <c r="C16" i="209"/>
  <c r="C18" i="209" s="1"/>
  <c r="C19" i="166"/>
  <c r="I93" i="16"/>
  <c r="E48" i="209"/>
  <c r="I38" i="181"/>
  <c r="L31" i="70"/>
  <c r="K86" i="70"/>
  <c r="K165" i="70" s="1"/>
  <c r="O59" i="209"/>
  <c r="S102" i="20"/>
  <c r="S104" i="20" s="1"/>
  <c r="J80" i="164"/>
  <c r="K78" i="164"/>
  <c r="O102" i="28"/>
  <c r="O168" i="28" s="1"/>
  <c r="J72" i="157" s="1"/>
  <c r="L94" i="70"/>
  <c r="C13" i="35"/>
  <c r="C14" i="35" s="1"/>
  <c r="F31" i="103"/>
  <c r="T209" i="164"/>
  <c r="P90" i="175"/>
  <c r="O105" i="175"/>
  <c r="J63" i="179"/>
  <c r="J66" i="179" s="1"/>
  <c r="I67" i="179"/>
  <c r="I68" i="179" s="1"/>
  <c r="I69" i="179" s="1"/>
  <c r="F219" i="36"/>
  <c r="F29" i="103"/>
  <c r="O166" i="175"/>
  <c r="C15" i="30"/>
  <c r="C17" i="30" s="1"/>
  <c r="C17" i="214"/>
  <c r="H55" i="181"/>
  <c r="R84" i="184"/>
  <c r="J113" i="184"/>
  <c r="J115" i="184" s="1"/>
  <c r="J117" i="184" s="1"/>
  <c r="J68" i="184"/>
  <c r="J90" i="184" s="1"/>
  <c r="O68" i="184"/>
  <c r="O90" i="184" s="1"/>
  <c r="O113" i="184"/>
  <c r="O115" i="184" s="1"/>
  <c r="O117" i="184" s="1"/>
  <c r="F83" i="184"/>
  <c r="F84" i="184" s="1"/>
  <c r="F88" i="184"/>
  <c r="F97" i="184" s="1"/>
  <c r="F98" i="184" s="1"/>
  <c r="F86" i="184"/>
  <c r="J88" i="184"/>
  <c r="J83" i="184"/>
  <c r="J84" i="184" s="1"/>
  <c r="J86" i="184"/>
  <c r="AD83" i="184"/>
  <c r="AD84" i="184" s="1"/>
  <c r="AD88" i="184"/>
  <c r="AD86" i="184"/>
  <c r="R83" i="184"/>
  <c r="R88" i="184"/>
  <c r="R86" i="184"/>
  <c r="G133" i="185"/>
  <c r="W105" i="184"/>
  <c r="W106" i="184" s="1"/>
  <c r="W88" i="184"/>
  <c r="H84" i="184"/>
  <c r="AB83" i="184"/>
  <c r="AB84" i="184" s="1"/>
  <c r="AB88" i="184"/>
  <c r="AB86" i="184"/>
  <c r="AJ204" i="172"/>
  <c r="AJ175" i="172"/>
  <c r="AJ181" i="172" s="1"/>
  <c r="AO233" i="172"/>
  <c r="AO206" i="172"/>
  <c r="T154" i="172"/>
  <c r="T163" i="172" s="1"/>
  <c r="T228" i="172"/>
  <c r="T234" i="172" s="1"/>
  <c r="R138" i="185"/>
  <c r="Q204" i="172"/>
  <c r="Q175" i="172"/>
  <c r="Q181" i="172" s="1"/>
  <c r="AA83" i="184"/>
  <c r="AA84" i="184" s="1"/>
  <c r="AA86" i="184"/>
  <c r="AA88" i="184"/>
  <c r="D68" i="184"/>
  <c r="D90" i="184" s="1"/>
  <c r="D113" i="184"/>
  <c r="D115" i="184" s="1"/>
  <c r="D117" i="184" s="1"/>
  <c r="Z142" i="185"/>
  <c r="AA141" i="185"/>
  <c r="Z228" i="172"/>
  <c r="Z234" i="172" s="1"/>
  <c r="Z154" i="172"/>
  <c r="Z163" i="172" s="1"/>
  <c r="Q140" i="185"/>
  <c r="P142" i="185"/>
  <c r="P23" i="185" s="1"/>
  <c r="AA204" i="172"/>
  <c r="AA175" i="172"/>
  <c r="AA181" i="172" s="1"/>
  <c r="P125" i="185"/>
  <c r="P75" i="185" s="1"/>
  <c r="AH204" i="172"/>
  <c r="AH175" i="172"/>
  <c r="AH181" i="172" s="1"/>
  <c r="R204" i="172"/>
  <c r="R175" i="172"/>
  <c r="R181" i="172" s="1"/>
  <c r="AL154" i="172"/>
  <c r="AL163" i="172" s="1"/>
  <c r="AL228" i="172"/>
  <c r="AL234" i="172" s="1"/>
  <c r="C14" i="165"/>
  <c r="C15" i="165" s="1"/>
  <c r="C16" i="165" s="1"/>
  <c r="C15" i="181"/>
  <c r="V154" i="172"/>
  <c r="V163" i="172" s="1"/>
  <c r="V228" i="172"/>
  <c r="V234" i="172" s="1"/>
  <c r="Q48" i="78"/>
  <c r="H52" i="179"/>
  <c r="J60" i="181"/>
  <c r="C17" i="36"/>
  <c r="L113" i="70"/>
  <c r="M83" i="28"/>
  <c r="M166" i="28" s="1"/>
  <c r="J67" i="70"/>
  <c r="J86" i="70" s="1"/>
  <c r="J165" i="70" s="1"/>
  <c r="L89" i="70"/>
  <c r="L91" i="70" s="1"/>
  <c r="L166" i="70" s="1"/>
  <c r="O89" i="28"/>
  <c r="O167" i="28" s="1"/>
  <c r="L120" i="70"/>
  <c r="C13" i="202"/>
  <c r="K221" i="164"/>
  <c r="L221" i="164" s="1"/>
  <c r="M221" i="164" s="1"/>
  <c r="I196" i="16"/>
  <c r="E37" i="207"/>
  <c r="D38" i="177"/>
  <c r="D45" i="177" s="1"/>
  <c r="D46" i="177" s="1"/>
  <c r="D41" i="177"/>
  <c r="D42" i="177" s="1"/>
  <c r="I6" i="28"/>
  <c r="I41" i="181"/>
  <c r="E51" i="209"/>
  <c r="U95" i="181"/>
  <c r="U121" i="181"/>
  <c r="R189" i="164"/>
  <c r="D12" i="208"/>
  <c r="F113" i="184"/>
  <c r="F115" i="184" s="1"/>
  <c r="F117" i="184" s="1"/>
  <c r="F68" i="184"/>
  <c r="F90" i="184" s="1"/>
  <c r="AH86" i="184"/>
  <c r="AH83" i="184"/>
  <c r="AH84" i="184" s="1"/>
  <c r="AH88" i="184"/>
  <c r="AF204" i="172"/>
  <c r="AF175" i="172"/>
  <c r="AF181" i="172" s="1"/>
  <c r="T60" i="181"/>
  <c r="R52" i="179"/>
  <c r="AJ228" i="172"/>
  <c r="AJ234" i="172" s="1"/>
  <c r="AJ154" i="172"/>
  <c r="AJ163" i="172" s="1"/>
  <c r="AA113" i="184"/>
  <c r="AA115" i="184" s="1"/>
  <c r="AA117" i="184" s="1"/>
  <c r="AA68" i="184"/>
  <c r="AA90" i="184" s="1"/>
  <c r="H113" i="184"/>
  <c r="H115" i="184" s="1"/>
  <c r="H117" i="184" s="1"/>
  <c r="H68" i="184"/>
  <c r="H90" i="184" s="1"/>
  <c r="AM204" i="172"/>
  <c r="AM175" i="172"/>
  <c r="AM181" i="172" s="1"/>
  <c r="H144" i="172"/>
  <c r="L122" i="172"/>
  <c r="L197" i="172" s="1"/>
  <c r="C17" i="46"/>
  <c r="C19" i="46" s="1"/>
  <c r="C14" i="28"/>
  <c r="N228" i="172"/>
  <c r="N234" i="172" s="1"/>
  <c r="N154" i="172"/>
  <c r="N163" i="172" s="1"/>
  <c r="E109" i="16"/>
  <c r="E110" i="16" s="1"/>
  <c r="C67" i="20"/>
  <c r="E204" i="172"/>
  <c r="E207" i="172" s="1"/>
  <c r="E175" i="172"/>
  <c r="E181" i="172" s="1"/>
  <c r="C13" i="89"/>
  <c r="C23" i="44"/>
  <c r="F45" i="177"/>
  <c r="F46" i="177" s="1"/>
  <c r="F42" i="177"/>
  <c r="N60" i="181"/>
  <c r="L52" i="179"/>
  <c r="E98" i="20"/>
  <c r="E101" i="20"/>
  <c r="E104" i="20" s="1"/>
  <c r="N241" i="164"/>
  <c r="L122" i="70"/>
  <c r="C13" i="88"/>
  <c r="C14" i="88" s="1"/>
  <c r="G17" i="13"/>
  <c r="H17" i="13" s="1"/>
  <c r="L40" i="70"/>
  <c r="C17" i="215"/>
  <c r="K169" i="70"/>
  <c r="C16" i="163"/>
  <c r="R233" i="164"/>
  <c r="F208" i="172"/>
  <c r="F209" i="172"/>
  <c r="F211" i="172" s="1"/>
  <c r="C15" i="175"/>
  <c r="C16" i="175" s="1"/>
  <c r="I14" i="16"/>
  <c r="I16" i="16" s="1"/>
  <c r="O240" i="164"/>
  <c r="P9" i="175"/>
  <c r="O20" i="175"/>
  <c r="O163" i="175" s="1"/>
  <c r="L44" i="70"/>
  <c r="L67" i="70"/>
  <c r="O83" i="28"/>
  <c r="O166" i="28" s="1"/>
  <c r="C13" i="90"/>
  <c r="L98" i="70"/>
  <c r="L129" i="70"/>
  <c r="F43" i="103"/>
  <c r="I49" i="202"/>
  <c r="I70" i="202"/>
  <c r="I91" i="202"/>
  <c r="I28" i="202"/>
  <c r="N177" i="28"/>
  <c r="N162" i="28"/>
  <c r="K160" i="70"/>
  <c r="C20" i="217"/>
  <c r="C21" i="217" s="1"/>
  <c r="P99" i="181"/>
  <c r="P36" i="176"/>
  <c r="M84" i="184"/>
  <c r="Y86" i="184"/>
  <c r="Y83" i="184"/>
  <c r="Y84" i="184" s="1"/>
  <c r="Y88" i="184"/>
  <c r="N99" i="181"/>
  <c r="N36" i="176"/>
  <c r="E86" i="184"/>
  <c r="E88" i="184"/>
  <c r="E97" i="184" s="1"/>
  <c r="E98" i="184" s="1"/>
  <c r="E83" i="184"/>
  <c r="E84" i="184" s="1"/>
  <c r="AF113" i="184"/>
  <c r="AF115" i="184" s="1"/>
  <c r="AF117" i="184" s="1"/>
  <c r="AF68" i="184"/>
  <c r="AF90" i="184" s="1"/>
  <c r="AC68" i="184"/>
  <c r="AC90" i="184" s="1"/>
  <c r="AC113" i="184"/>
  <c r="AC115" i="184" s="1"/>
  <c r="AC117" i="184" s="1"/>
  <c r="D119" i="185"/>
  <c r="D80" i="185" s="1"/>
  <c r="E119" i="185"/>
  <c r="E80" i="185" s="1"/>
  <c r="C17" i="100"/>
  <c r="C18" i="100" s="1"/>
  <c r="Q36" i="176"/>
  <c r="Q99" i="181"/>
  <c r="L83" i="184"/>
  <c r="L84" i="184" s="1"/>
  <c r="L88" i="184"/>
  <c r="L86" i="184"/>
  <c r="AE90" i="184"/>
  <c r="S60" i="181"/>
  <c r="Q52" i="179"/>
  <c r="AE154" i="172"/>
  <c r="AE163" i="172" s="1"/>
  <c r="AE228" i="172"/>
  <c r="AE234" i="172" s="1"/>
  <c r="O154" i="172"/>
  <c r="O163" i="172" s="1"/>
  <c r="O228" i="172"/>
  <c r="O234" i="172" s="1"/>
  <c r="AH154" i="172"/>
  <c r="AH163" i="172" s="1"/>
  <c r="AH228" i="172"/>
  <c r="AH234" i="172" s="1"/>
  <c r="AK175" i="172"/>
  <c r="AK181" i="172" s="1"/>
  <c r="AK204" i="172"/>
  <c r="U175" i="172"/>
  <c r="U181" i="172" s="1"/>
  <c r="U204" i="172"/>
  <c r="AA144" i="172"/>
  <c r="F245" i="202"/>
  <c r="O36" i="44"/>
  <c r="O62" i="44" s="1"/>
  <c r="J14" i="45"/>
  <c r="X57" i="93"/>
  <c r="O99" i="181"/>
  <c r="O36" i="176"/>
  <c r="Z68" i="184"/>
  <c r="Z90" i="184" s="1"/>
  <c r="Z113" i="184"/>
  <c r="Z115" i="184" s="1"/>
  <c r="Z117" i="184" s="1"/>
  <c r="O52" i="179"/>
  <c r="Q60" i="181"/>
  <c r="AF144" i="172"/>
  <c r="J228" i="172"/>
  <c r="J234" i="172" s="1"/>
  <c r="D21" i="106"/>
  <c r="D19" i="107" s="1"/>
  <c r="D35" i="107" s="1"/>
  <c r="D53" i="107" s="1"/>
  <c r="D21" i="217"/>
  <c r="H48" i="78"/>
  <c r="I48" i="78" s="1"/>
  <c r="I37" i="78"/>
  <c r="C19" i="79"/>
  <c r="AE175" i="172"/>
  <c r="AE181" i="172" s="1"/>
  <c r="AE204" i="172"/>
  <c r="O204" i="172"/>
  <c r="O175" i="172"/>
  <c r="O181" i="172" s="1"/>
  <c r="Y154" i="172"/>
  <c r="Y163" i="172" s="1"/>
  <c r="Y228" i="172"/>
  <c r="Y234" i="172" s="1"/>
  <c r="N122" i="172"/>
  <c r="N197" i="172" s="1"/>
  <c r="C18" i="93"/>
  <c r="C20" i="93"/>
  <c r="C148" i="93"/>
  <c r="Q117" i="185"/>
  <c r="Q123" i="185"/>
  <c r="R132" i="185"/>
  <c r="U206" i="172"/>
  <c r="U233" i="172"/>
  <c r="F244" i="202"/>
  <c r="AD146" i="185"/>
  <c r="AE145" i="185"/>
  <c r="C46" i="20"/>
  <c r="I47" i="159"/>
  <c r="J47" i="159" s="1"/>
  <c r="Z28" i="36"/>
  <c r="L27" i="103"/>
  <c r="M36" i="36"/>
  <c r="C21" i="20"/>
  <c r="C23" i="20" s="1"/>
  <c r="K199" i="16"/>
  <c r="N225" i="164"/>
  <c r="O225" i="164" s="1"/>
  <c r="P225" i="164" s="1"/>
  <c r="Q225" i="164" s="1"/>
  <c r="R225" i="164" s="1"/>
  <c r="S225" i="164" s="1"/>
  <c r="T225" i="164" s="1"/>
  <c r="U225" i="164" s="1"/>
  <c r="V225" i="164" s="1"/>
  <c r="W225" i="164" s="1"/>
  <c r="L79" i="70"/>
  <c r="C15" i="86"/>
  <c r="Q30" i="185"/>
  <c r="R144" i="185"/>
  <c r="I101" i="20"/>
  <c r="I104" i="20" s="1"/>
  <c r="I98" i="20"/>
  <c r="Q98" i="20"/>
  <c r="Q101" i="20"/>
  <c r="Q104" i="20" s="1"/>
  <c r="C16" i="16"/>
  <c r="C17" i="16" s="1"/>
  <c r="K42" i="164"/>
  <c r="P242" i="164"/>
  <c r="L131" i="70"/>
  <c r="C15" i="19"/>
  <c r="C16" i="19"/>
  <c r="L59" i="209"/>
  <c r="P83" i="157"/>
  <c r="D190" i="172"/>
  <c r="D119" i="172"/>
  <c r="D122" i="172" s="1"/>
  <c r="D123" i="172" s="1"/>
  <c r="D171" i="172"/>
  <c r="D173" i="172" s="1"/>
  <c r="G47" i="16"/>
  <c r="J169" i="70"/>
  <c r="M159" i="28"/>
  <c r="M170" i="28" s="1"/>
  <c r="H74" i="157" s="1"/>
  <c r="H43" i="181" s="1"/>
  <c r="J115" i="70"/>
  <c r="J168" i="70" s="1"/>
  <c r="M89" i="28"/>
  <c r="M167" i="28" s="1"/>
  <c r="H66" i="157"/>
  <c r="H36" i="181" s="1"/>
  <c r="J17" i="70"/>
  <c r="H122" i="172"/>
  <c r="H197" i="172" s="1"/>
  <c r="E41" i="177"/>
  <c r="E42" i="177" s="1"/>
  <c r="E38" i="177"/>
  <c r="E45" i="177" s="1"/>
  <c r="E46" i="177" s="1"/>
  <c r="D16" i="13"/>
  <c r="C16" i="14"/>
  <c r="C16" i="13"/>
  <c r="C17" i="13" s="1"/>
  <c r="O84" i="175"/>
  <c r="O165" i="175" s="1"/>
  <c r="J28" i="176" s="1"/>
  <c r="J50" i="181" s="1"/>
  <c r="K115" i="70"/>
  <c r="K168" i="70" s="1"/>
  <c r="I43" i="181"/>
  <c r="E53" i="209"/>
  <c r="C14" i="202"/>
  <c r="C21" i="106"/>
  <c r="Q232" i="164"/>
  <c r="Q244" i="164"/>
  <c r="L80" i="70"/>
  <c r="C24" i="34"/>
  <c r="C25" i="34" s="1"/>
  <c r="C17" i="163"/>
  <c r="H9" i="157"/>
  <c r="H9" i="181" s="1"/>
  <c r="R95" i="181"/>
  <c r="I216" i="16"/>
  <c r="I25" i="16"/>
  <c r="I27" i="16" s="1"/>
  <c r="K78" i="20"/>
  <c r="J82" i="20"/>
  <c r="U234" i="164"/>
  <c r="L29" i="70"/>
  <c r="O47" i="28"/>
  <c r="O164" i="28" s="1"/>
  <c r="J69" i="157" s="1"/>
  <c r="I39" i="181"/>
  <c r="E49" i="209"/>
  <c r="J203" i="13"/>
  <c r="C18" i="102"/>
  <c r="L95" i="70"/>
  <c r="L148" i="70"/>
  <c r="H95" i="181"/>
  <c r="H121" i="181"/>
  <c r="L73" i="70"/>
  <c r="Z190" i="36"/>
  <c r="G44" i="181"/>
  <c r="G93" i="157"/>
  <c r="F40" i="103"/>
  <c r="W85" i="28"/>
  <c r="T145" i="164"/>
  <c r="Q159" i="175"/>
  <c r="P166" i="175"/>
  <c r="L130" i="70"/>
  <c r="O62" i="28"/>
  <c r="O165" i="28" s="1"/>
  <c r="J70" i="157" s="1"/>
  <c r="C46" i="195"/>
  <c r="M90" i="70"/>
  <c r="U18" i="103" l="1"/>
  <c r="P23" i="36"/>
  <c r="O102" i="20"/>
  <c r="O104" i="20" s="1"/>
  <c r="L102" i="20"/>
  <c r="L104" i="20" s="1"/>
  <c r="Q83" i="157"/>
  <c r="M62" i="209" s="1"/>
  <c r="J21" i="157"/>
  <c r="J88" i="157"/>
  <c r="C18" i="176"/>
  <c r="W18" i="103"/>
  <c r="E30" i="209"/>
  <c r="I22" i="181"/>
  <c r="G14" i="186"/>
  <c r="K9" i="30"/>
  <c r="K11" i="30"/>
  <c r="L11" i="30" s="1"/>
  <c r="K13" i="30"/>
  <c r="L13" i="30" s="1"/>
  <c r="K15" i="30"/>
  <c r="J32" i="157" s="1"/>
  <c r="K10" i="30"/>
  <c r="K12" i="30"/>
  <c r="K14" i="30"/>
  <c r="M124" i="70"/>
  <c r="P152" i="28"/>
  <c r="P95" i="28"/>
  <c r="P73" i="28"/>
  <c r="P112" i="28"/>
  <c r="P80" i="28"/>
  <c r="P115" i="28"/>
  <c r="P129" i="28"/>
  <c r="P71" i="28"/>
  <c r="P52" i="28"/>
  <c r="P131" i="28"/>
  <c r="P153" i="28"/>
  <c r="P40" i="28"/>
  <c r="P107" i="28"/>
  <c r="P49" i="28"/>
  <c r="L156" i="70"/>
  <c r="P140" i="28"/>
  <c r="P30" i="28"/>
  <c r="P92" i="28"/>
  <c r="P36" i="28"/>
  <c r="P79" i="28"/>
  <c r="P27" i="28"/>
  <c r="P29" i="28"/>
  <c r="P116" i="28"/>
  <c r="P60" i="28"/>
  <c r="P55" i="28"/>
  <c r="P68" i="28"/>
  <c r="O170" i="28"/>
  <c r="J74" i="157" s="1"/>
  <c r="P143" i="28"/>
  <c r="P122" i="28"/>
  <c r="P126" i="28"/>
  <c r="P144" i="28"/>
  <c r="P142" i="28"/>
  <c r="P75" i="28"/>
  <c r="P94" i="28"/>
  <c r="P38" i="28"/>
  <c r="P157" i="28"/>
  <c r="P118" i="28"/>
  <c r="P28" i="28"/>
  <c r="P53" i="28"/>
  <c r="P51" i="28"/>
  <c r="P128" i="28"/>
  <c r="P77" i="28"/>
  <c r="P96" i="28"/>
  <c r="P59" i="28"/>
  <c r="P124" i="28"/>
  <c r="P121" i="28"/>
  <c r="P123" i="28"/>
  <c r="P66" i="28"/>
  <c r="P111" i="28"/>
  <c r="P130" i="28"/>
  <c r="P72" i="28"/>
  <c r="P45" i="28"/>
  <c r="P137" i="28"/>
  <c r="P61" i="28"/>
  <c r="P155" i="28"/>
  <c r="P42" i="28"/>
  <c r="P154" i="28"/>
  <c r="P145" i="28"/>
  <c r="P50" i="28"/>
  <c r="P81" i="28"/>
  <c r="P133" i="28"/>
  <c r="P57" i="28"/>
  <c r="P151" i="28"/>
  <c r="P146" i="28"/>
  <c r="P64" i="28"/>
  <c r="P158" i="28"/>
  <c r="P69" i="28"/>
  <c r="P148" i="28"/>
  <c r="P109" i="28"/>
  <c r="P35" i="28"/>
  <c r="P108" i="28"/>
  <c r="P34" i="28"/>
  <c r="P25" i="28"/>
  <c r="P134" i="28"/>
  <c r="P76" i="28"/>
  <c r="P150" i="28"/>
  <c r="P105" i="28"/>
  <c r="P31" i="28"/>
  <c r="P37" i="28"/>
  <c r="P104" i="28"/>
  <c r="P46" i="28"/>
  <c r="P65" i="28"/>
  <c r="P54" i="28"/>
  <c r="P139" i="28"/>
  <c r="P117" i="28"/>
  <c r="P97" i="28"/>
  <c r="P98" i="28"/>
  <c r="P125" i="28"/>
  <c r="P32" i="28"/>
  <c r="P33" i="28"/>
  <c r="P113" i="28"/>
  <c r="P39" i="28"/>
  <c r="P132" i="28"/>
  <c r="P74" i="28"/>
  <c r="P41" i="28"/>
  <c r="P138" i="28"/>
  <c r="P100" i="28"/>
  <c r="P44" i="28"/>
  <c r="P91" i="28"/>
  <c r="P135" i="28"/>
  <c r="P147" i="28"/>
  <c r="P70" i="28"/>
  <c r="P114" i="28"/>
  <c r="P58" i="28"/>
  <c r="P141" i="28"/>
  <c r="P67" i="28"/>
  <c r="P82" i="28"/>
  <c r="P149" i="28"/>
  <c r="P110" i="28"/>
  <c r="P93" i="28"/>
  <c r="P156" i="28"/>
  <c r="P99" i="28"/>
  <c r="P43" i="28"/>
  <c r="P136" i="28"/>
  <c r="P78" i="28"/>
  <c r="P26" i="28"/>
  <c r="P101" i="28"/>
  <c r="P106" i="28"/>
  <c r="O164" i="175"/>
  <c r="J27" i="176" s="1"/>
  <c r="J49" i="181" s="1"/>
  <c r="P30" i="175"/>
  <c r="P34" i="175"/>
  <c r="P38" i="175"/>
  <c r="P42" i="175"/>
  <c r="P50" i="175"/>
  <c r="P31" i="175"/>
  <c r="P35" i="175"/>
  <c r="P39" i="175"/>
  <c r="P43" i="175"/>
  <c r="P47" i="175"/>
  <c r="P51" i="175"/>
  <c r="P55" i="175"/>
  <c r="P59" i="175"/>
  <c r="P63" i="175"/>
  <c r="P36" i="175"/>
  <c r="P40" i="175"/>
  <c r="P48" i="175"/>
  <c r="P52" i="175"/>
  <c r="P60" i="175"/>
  <c r="P29" i="175"/>
  <c r="P37" i="175"/>
  <c r="P45" i="175"/>
  <c r="P49" i="175"/>
  <c r="P57" i="175"/>
  <c r="P65" i="175"/>
  <c r="P54" i="175"/>
  <c r="P62" i="175"/>
  <c r="P32" i="175"/>
  <c r="P44" i="175"/>
  <c r="P56" i="175"/>
  <c r="P64" i="175"/>
  <c r="P28" i="175"/>
  <c r="P33" i="175"/>
  <c r="P41" i="175"/>
  <c r="P53" i="175"/>
  <c r="P61" i="175"/>
  <c r="P46" i="175"/>
  <c r="P58" i="175"/>
  <c r="P66" i="175"/>
  <c r="E132" i="16"/>
  <c r="L42" i="164"/>
  <c r="M42" i="164" s="1"/>
  <c r="N42" i="164" s="1"/>
  <c r="O42" i="164" s="1"/>
  <c r="P42" i="164" s="1"/>
  <c r="Q42" i="164" s="1"/>
  <c r="R42" i="164" s="1"/>
  <c r="S42" i="164" s="1"/>
  <c r="T42" i="164" s="1"/>
  <c r="U42" i="164" s="1"/>
  <c r="V42" i="164" s="1"/>
  <c r="W42" i="164" s="1"/>
  <c r="L101" i="164"/>
  <c r="K54" i="13"/>
  <c r="K86" i="164"/>
  <c r="J47" i="13"/>
  <c r="I50" i="207"/>
  <c r="G16" i="213"/>
  <c r="H16" i="213" s="1"/>
  <c r="E37" i="203"/>
  <c r="E14" i="203" s="1"/>
  <c r="K82" i="227" s="1"/>
  <c r="E38" i="203"/>
  <c r="L18" i="103"/>
  <c r="V18" i="103"/>
  <c r="S18" i="103"/>
  <c r="R187" i="36"/>
  <c r="I18" i="103"/>
  <c r="R18" i="103"/>
  <c r="Q187" i="36"/>
  <c r="H23" i="36"/>
  <c r="Y23" i="36"/>
  <c r="K23" i="36"/>
  <c r="S187" i="36"/>
  <c r="Z17" i="36"/>
  <c r="J83" i="157"/>
  <c r="F62" i="209" s="1"/>
  <c r="K35" i="181"/>
  <c r="G44" i="209"/>
  <c r="L35" i="181"/>
  <c r="H44" i="209"/>
  <c r="M44" i="209"/>
  <c r="Q35" i="181"/>
  <c r="V13" i="70"/>
  <c r="O13" i="70"/>
  <c r="W13" i="70"/>
  <c r="S13" i="70"/>
  <c r="M92" i="172"/>
  <c r="L84" i="227"/>
  <c r="P9" i="28"/>
  <c r="M9" i="70" s="1"/>
  <c r="K88" i="227"/>
  <c r="K89" i="227" s="1"/>
  <c r="H33" i="176"/>
  <c r="H42" i="176" s="1"/>
  <c r="G33" i="176"/>
  <c r="G42" i="176" s="1"/>
  <c r="G56" i="176"/>
  <c r="G58" i="176" s="1"/>
  <c r="R158" i="175"/>
  <c r="R154" i="175"/>
  <c r="R150" i="175"/>
  <c r="R146" i="175"/>
  <c r="R142" i="175"/>
  <c r="R138" i="175"/>
  <c r="R134" i="175"/>
  <c r="R130" i="175"/>
  <c r="R126" i="175"/>
  <c r="R122" i="175"/>
  <c r="R155" i="175"/>
  <c r="R151" i="175"/>
  <c r="R147" i="175"/>
  <c r="R143" i="175"/>
  <c r="R139" i="175"/>
  <c r="R135" i="175"/>
  <c r="R131" i="175"/>
  <c r="R127" i="175"/>
  <c r="R157" i="175"/>
  <c r="R149" i="175"/>
  <c r="R141" i="175"/>
  <c r="R133" i="175"/>
  <c r="R125" i="175"/>
  <c r="R156" i="175"/>
  <c r="R153" i="175"/>
  <c r="R145" i="175"/>
  <c r="R137" i="175"/>
  <c r="R129" i="175"/>
  <c r="R120" i="175"/>
  <c r="R152" i="175"/>
  <c r="R144" i="175"/>
  <c r="R136" i="175"/>
  <c r="R128" i="175"/>
  <c r="R140" i="175"/>
  <c r="R132" i="175"/>
  <c r="R123" i="175"/>
  <c r="R148" i="175"/>
  <c r="R124" i="175"/>
  <c r="R121" i="175"/>
  <c r="J31" i="179"/>
  <c r="I29" i="176"/>
  <c r="I31" i="176" s="1"/>
  <c r="I52" i="176" s="1"/>
  <c r="O91" i="186"/>
  <c r="N93" i="186"/>
  <c r="M149" i="70"/>
  <c r="S113" i="175"/>
  <c r="M100" i="70"/>
  <c r="Q19" i="28"/>
  <c r="N19" i="70" s="1"/>
  <c r="M127" i="70"/>
  <c r="G34" i="79"/>
  <c r="G122" i="79" s="1"/>
  <c r="G250" i="34" s="1"/>
  <c r="G227" i="215" s="1"/>
  <c r="M155" i="70"/>
  <c r="M97" i="70"/>
  <c r="M53" i="70"/>
  <c r="E50" i="209"/>
  <c r="M14" i="70"/>
  <c r="M96" i="70"/>
  <c r="M147" i="70"/>
  <c r="M153" i="70"/>
  <c r="M61" i="70"/>
  <c r="M126" i="70"/>
  <c r="M56" i="70"/>
  <c r="M151" i="70"/>
  <c r="M42" i="70"/>
  <c r="P32" i="20"/>
  <c r="N223" i="164"/>
  <c r="F25" i="177"/>
  <c r="F49" i="177" s="1"/>
  <c r="K177" i="28"/>
  <c r="I31" i="157"/>
  <c r="E29" i="209" s="1"/>
  <c r="J162" i="28"/>
  <c r="J162" i="175"/>
  <c r="J174" i="175"/>
  <c r="I6" i="175"/>
  <c r="M228" i="16"/>
  <c r="L263" i="16"/>
  <c r="H52" i="207" s="1"/>
  <c r="H59" i="209"/>
  <c r="L83" i="157"/>
  <c r="I169" i="16"/>
  <c r="I171" i="16" s="1"/>
  <c r="C20" i="166"/>
  <c r="C22" i="166" s="1"/>
  <c r="E133" i="185"/>
  <c r="C21" i="166"/>
  <c r="I62" i="16"/>
  <c r="J123" i="172"/>
  <c r="K123" i="172" s="1"/>
  <c r="L123" i="172" s="1"/>
  <c r="M123" i="172" s="1"/>
  <c r="C16" i="181"/>
  <c r="C17" i="181" s="1"/>
  <c r="I44" i="16"/>
  <c r="I59" i="16"/>
  <c r="I48" i="16"/>
  <c r="U234" i="172"/>
  <c r="I218" i="16"/>
  <c r="I201" i="16"/>
  <c r="I210" i="16"/>
  <c r="I104" i="16"/>
  <c r="I108" i="16" s="1"/>
  <c r="I109" i="16" s="1"/>
  <c r="I110" i="16" s="1"/>
  <c r="I43" i="16"/>
  <c r="AO234" i="172"/>
  <c r="I66" i="16"/>
  <c r="I183" i="16"/>
  <c r="I185" i="16" s="1"/>
  <c r="I189" i="16" s="1"/>
  <c r="J100" i="179"/>
  <c r="I213" i="16"/>
  <c r="I208" i="16"/>
  <c r="I114" i="16"/>
  <c r="I118" i="16" s="1"/>
  <c r="I119" i="16" s="1"/>
  <c r="I120" i="16" s="1"/>
  <c r="I219" i="16"/>
  <c r="J216" i="16"/>
  <c r="J207" i="16"/>
  <c r="AG204" i="172"/>
  <c r="S88" i="175"/>
  <c r="G52" i="207"/>
  <c r="N12" i="195"/>
  <c r="U11" i="195"/>
  <c r="I82" i="16"/>
  <c r="I83" i="16" s="1"/>
  <c r="I87" i="16" s="1"/>
  <c r="I217" i="16"/>
  <c r="I46" i="16"/>
  <c r="I61" i="16"/>
  <c r="J217" i="16"/>
  <c r="I40" i="16"/>
  <c r="J218" i="16"/>
  <c r="J215" i="16"/>
  <c r="J212" i="16"/>
  <c r="O21" i="195"/>
  <c r="S20" i="195"/>
  <c r="V18" i="195"/>
  <c r="S17" i="195"/>
  <c r="P15" i="195"/>
  <c r="M13" i="195"/>
  <c r="K14" i="195"/>
  <c r="O19" i="195"/>
  <c r="T21" i="195"/>
  <c r="P18" i="195"/>
  <c r="W22" i="195"/>
  <c r="O17" i="195"/>
  <c r="R14" i="195"/>
  <c r="W13" i="195"/>
  <c r="M21" i="195"/>
  <c r="R17" i="195"/>
  <c r="M22" i="195"/>
  <c r="S15" i="195"/>
  <c r="T17" i="195"/>
  <c r="I16" i="195"/>
  <c r="N21" i="195"/>
  <c r="P14" i="195"/>
  <c r="Q14" i="195"/>
  <c r="J14" i="195"/>
  <c r="U18" i="195"/>
  <c r="Q21" i="195"/>
  <c r="X21" i="195"/>
  <c r="O16" i="195"/>
  <c r="U23" i="195"/>
  <c r="X13" i="195"/>
  <c r="U19" i="195"/>
  <c r="J22" i="195"/>
  <c r="V21" i="195"/>
  <c r="U13" i="195"/>
  <c r="Q16" i="195"/>
  <c r="N16" i="195"/>
  <c r="T15" i="195"/>
  <c r="W16" i="195"/>
  <c r="J21" i="195"/>
  <c r="R22" i="195"/>
  <c r="S22" i="195"/>
  <c r="N23" i="195"/>
  <c r="M20" i="195"/>
  <c r="R23" i="195"/>
  <c r="Q23" i="195"/>
  <c r="K18" i="195"/>
  <c r="W17" i="195"/>
  <c r="P20" i="195"/>
  <c r="U22" i="195"/>
  <c r="L19" i="195"/>
  <c r="O22" i="195"/>
  <c r="P19" i="195"/>
  <c r="X23" i="195"/>
  <c r="U15" i="195"/>
  <c r="O20" i="195"/>
  <c r="I22" i="195"/>
  <c r="T20" i="195"/>
  <c r="N17" i="195"/>
  <c r="I17" i="195"/>
  <c r="L23" i="195"/>
  <c r="Q13" i="195"/>
  <c r="K15" i="195"/>
  <c r="L22" i="195"/>
  <c r="P22" i="195"/>
  <c r="Q17" i="195"/>
  <c r="V19" i="195"/>
  <c r="W21" i="195"/>
  <c r="J23" i="195"/>
  <c r="I20" i="195"/>
  <c r="V16" i="195"/>
  <c r="Q15" i="195"/>
  <c r="P13" i="195"/>
  <c r="M14" i="195"/>
  <c r="I14" i="195"/>
  <c r="T19" i="195"/>
  <c r="X15" i="195"/>
  <c r="J16" i="195"/>
  <c r="Q18" i="195"/>
  <c r="T16" i="195"/>
  <c r="T18" i="195"/>
  <c r="K19" i="195"/>
  <c r="U20" i="195"/>
  <c r="W11" i="195"/>
  <c r="V15" i="195"/>
  <c r="R15" i="195"/>
  <c r="M16" i="195"/>
  <c r="J19" i="195"/>
  <c r="T23" i="195"/>
  <c r="S23" i="195"/>
  <c r="S13" i="195"/>
  <c r="M18" i="195"/>
  <c r="N20" i="195"/>
  <c r="O23" i="195"/>
  <c r="P16" i="195"/>
  <c r="M17" i="195"/>
  <c r="N22" i="195"/>
  <c r="M15" i="195"/>
  <c r="T22" i="195"/>
  <c r="J17" i="195"/>
  <c r="P23" i="195"/>
  <c r="V20" i="195"/>
  <c r="L16" i="195"/>
  <c r="L18" i="195"/>
  <c r="M23" i="195"/>
  <c r="N19" i="195"/>
  <c r="U21" i="195"/>
  <c r="W23" i="195"/>
  <c r="W14" i="195"/>
  <c r="O14" i="195"/>
  <c r="T14" i="195"/>
  <c r="J15" i="195"/>
  <c r="O15" i="195"/>
  <c r="S18" i="195"/>
  <c r="W20" i="195"/>
  <c r="K23" i="195"/>
  <c r="K16" i="195"/>
  <c r="X22" i="195"/>
  <c r="L21" i="195"/>
  <c r="V17" i="195"/>
  <c r="R13" i="195"/>
  <c r="R20" i="195"/>
  <c r="L20" i="195"/>
  <c r="V23" i="195"/>
  <c r="N15" i="195"/>
  <c r="I18" i="195"/>
  <c r="Q19" i="195"/>
  <c r="O18" i="195"/>
  <c r="W18" i="195"/>
  <c r="I21" i="195"/>
  <c r="K13" i="195"/>
  <c r="U14" i="195"/>
  <c r="U17" i="195"/>
  <c r="X16" i="195"/>
  <c r="K22" i="195"/>
  <c r="N18" i="195"/>
  <c r="V22" i="195"/>
  <c r="L13" i="195"/>
  <c r="L15" i="195"/>
  <c r="W15" i="195"/>
  <c r="J20" i="195"/>
  <c r="N13" i="195"/>
  <c r="S21" i="195"/>
  <c r="L14" i="195"/>
  <c r="K17" i="195"/>
  <c r="N14" i="195"/>
  <c r="S14" i="195"/>
  <c r="X14" i="195"/>
  <c r="V14" i="195"/>
  <c r="J13" i="195"/>
  <c r="X19" i="195"/>
  <c r="X17" i="195"/>
  <c r="L17" i="195"/>
  <c r="R18" i="195"/>
  <c r="T13" i="195"/>
  <c r="I23" i="195"/>
  <c r="K20" i="195"/>
  <c r="I19" i="195"/>
  <c r="Q22" i="195"/>
  <c r="R16" i="195"/>
  <c r="Q20" i="195"/>
  <c r="R19" i="195"/>
  <c r="U16" i="195"/>
  <c r="P17" i="195"/>
  <c r="J18" i="195"/>
  <c r="M19" i="195"/>
  <c r="P21" i="195"/>
  <c r="V13" i="195"/>
  <c r="X18" i="195"/>
  <c r="S16" i="195"/>
  <c r="W19" i="195"/>
  <c r="R21" i="195"/>
  <c r="I13" i="195"/>
  <c r="I15" i="195"/>
  <c r="O13" i="195"/>
  <c r="S19" i="195"/>
  <c r="K21" i="195"/>
  <c r="J12" i="195"/>
  <c r="X20" i="195"/>
  <c r="N11" i="195"/>
  <c r="V12" i="195"/>
  <c r="O12" i="195"/>
  <c r="X12" i="195"/>
  <c r="C18" i="36"/>
  <c r="I125" i="16"/>
  <c r="I127" i="16" s="1"/>
  <c r="I152" i="16"/>
  <c r="I207" i="16"/>
  <c r="G119" i="185"/>
  <c r="G80" i="185" s="1"/>
  <c r="I211" i="16"/>
  <c r="I67" i="16"/>
  <c r="I65" i="16"/>
  <c r="H100" i="179"/>
  <c r="F119" i="185"/>
  <c r="F80" i="185" s="1"/>
  <c r="I139" i="16"/>
  <c r="I212" i="16"/>
  <c r="I209" i="16"/>
  <c r="J211" i="16"/>
  <c r="J210" i="16"/>
  <c r="J209" i="16"/>
  <c r="R11" i="195"/>
  <c r="L11" i="195"/>
  <c r="I12" i="195"/>
  <c r="L12" i="195"/>
  <c r="S12" i="195"/>
  <c r="U12" i="195"/>
  <c r="I11" i="195"/>
  <c r="J175" i="172"/>
  <c r="J181" i="172" s="1"/>
  <c r="J204" i="172"/>
  <c r="P11" i="195"/>
  <c r="T12" i="195"/>
  <c r="X187" i="36"/>
  <c r="O187" i="36"/>
  <c r="J187" i="36"/>
  <c r="K24" i="44"/>
  <c r="K23" i="44"/>
  <c r="U187" i="36"/>
  <c r="E7" i="100"/>
  <c r="E8" i="101" s="1"/>
  <c r="E7" i="78"/>
  <c r="F3" i="208" s="1"/>
  <c r="K28" i="44"/>
  <c r="K29" i="44"/>
  <c r="I187" i="36"/>
  <c r="Z181" i="36"/>
  <c r="M187" i="36"/>
  <c r="BR21" i="44"/>
  <c r="E23" i="44"/>
  <c r="E19" i="45"/>
  <c r="P187" i="36"/>
  <c r="L187" i="36"/>
  <c r="W187" i="36"/>
  <c r="T187" i="36"/>
  <c r="N187" i="36"/>
  <c r="AD23" i="79"/>
  <c r="Y34" i="79"/>
  <c r="S116" i="175"/>
  <c r="S101" i="175"/>
  <c r="S97" i="175"/>
  <c r="S99" i="175"/>
  <c r="S100" i="175"/>
  <c r="Q12" i="175"/>
  <c r="S91" i="175"/>
  <c r="S94" i="175"/>
  <c r="S98" i="175"/>
  <c r="S95" i="175"/>
  <c r="S102" i="175"/>
  <c r="S96" i="175"/>
  <c r="S93" i="175"/>
  <c r="S104" i="175"/>
  <c r="R192" i="28"/>
  <c r="S179" i="175"/>
  <c r="S117" i="175"/>
  <c r="S112" i="175"/>
  <c r="R16" i="175"/>
  <c r="S92" i="175"/>
  <c r="Q14" i="175"/>
  <c r="Q13" i="175"/>
  <c r="Q11" i="175"/>
  <c r="Q15" i="175"/>
  <c r="Q10" i="175"/>
  <c r="Q19" i="175"/>
  <c r="Q18" i="175"/>
  <c r="U181" i="175"/>
  <c r="T194" i="28"/>
  <c r="T193" i="28"/>
  <c r="U180" i="175"/>
  <c r="Q17" i="175"/>
  <c r="S103" i="175"/>
  <c r="S110" i="175"/>
  <c r="S115" i="175"/>
  <c r="S107" i="175"/>
  <c r="R14" i="28"/>
  <c r="N14" i="70"/>
  <c r="S111" i="175"/>
  <c r="S109" i="175"/>
  <c r="S87" i="175"/>
  <c r="S89" i="175"/>
  <c r="T89" i="175" s="1"/>
  <c r="S114" i="175"/>
  <c r="T95" i="181"/>
  <c r="T121" i="181"/>
  <c r="X27" i="163"/>
  <c r="Q45" i="181"/>
  <c r="E253" i="16"/>
  <c r="E190" i="16"/>
  <c r="E191" i="16" s="1"/>
  <c r="E259" i="16" s="1"/>
  <c r="I21" i="202"/>
  <c r="L161" i="13"/>
  <c r="K160" i="13"/>
  <c r="H21" i="202"/>
  <c r="H63" i="202" s="1"/>
  <c r="I24" i="202"/>
  <c r="I23" i="202"/>
  <c r="I467" i="202" s="1"/>
  <c r="I485" i="202" s="1"/>
  <c r="I44" i="202" s="1"/>
  <c r="I65" i="202" s="1"/>
  <c r="E176" i="16"/>
  <c r="E162" i="16"/>
  <c r="E54" i="16"/>
  <c r="E55" i="16" s="1"/>
  <c r="M95" i="181"/>
  <c r="M121" i="181"/>
  <c r="R10" i="28"/>
  <c r="N10" i="70"/>
  <c r="N21" i="70"/>
  <c r="R21" i="28"/>
  <c r="R22" i="28"/>
  <c r="N22" i="70"/>
  <c r="L169" i="70"/>
  <c r="L64" i="70"/>
  <c r="L164" i="70" s="1"/>
  <c r="L48" i="70"/>
  <c r="L163" i="70" s="1"/>
  <c r="N95" i="181"/>
  <c r="N121" i="181"/>
  <c r="S108" i="175"/>
  <c r="R118" i="175"/>
  <c r="R15" i="28"/>
  <c r="N15" i="70"/>
  <c r="G46" i="181"/>
  <c r="G57" i="181" s="1"/>
  <c r="G88" i="181" s="1"/>
  <c r="G89" i="181"/>
  <c r="G95" i="157"/>
  <c r="G97" i="157" s="1"/>
  <c r="I36" i="181"/>
  <c r="I115" i="181" s="1"/>
  <c r="E45" i="209"/>
  <c r="Q95" i="172"/>
  <c r="R18" i="70" s="1"/>
  <c r="N32" i="20"/>
  <c r="Q32" i="20"/>
  <c r="R83" i="157"/>
  <c r="N62" i="209" s="1"/>
  <c r="U83" i="157"/>
  <c r="Q59" i="209"/>
  <c r="M32" i="20"/>
  <c r="H32" i="20"/>
  <c r="G32" i="20"/>
  <c r="F32" i="20"/>
  <c r="I32" i="20"/>
  <c r="M83" i="157"/>
  <c r="I59" i="209"/>
  <c r="E32" i="20"/>
  <c r="K32" i="20"/>
  <c r="U101" i="20"/>
  <c r="U104" i="20" s="1"/>
  <c r="T32" i="20"/>
  <c r="S32" i="20"/>
  <c r="R92" i="20"/>
  <c r="O80" i="157" s="1"/>
  <c r="R101" i="20"/>
  <c r="R104" i="20" s="1"/>
  <c r="X32" i="20"/>
  <c r="L32" i="20"/>
  <c r="N92" i="20"/>
  <c r="K80" i="157" s="1"/>
  <c r="N101" i="20"/>
  <c r="N104" i="20" s="1"/>
  <c r="O32" i="20"/>
  <c r="J32" i="20"/>
  <c r="U32" i="20"/>
  <c r="P59" i="209"/>
  <c r="T83" i="157"/>
  <c r="V32" i="20"/>
  <c r="W32" i="20"/>
  <c r="R32" i="20"/>
  <c r="F174" i="36"/>
  <c r="Z220" i="36"/>
  <c r="T35" i="103"/>
  <c r="F38" i="103"/>
  <c r="H35" i="103"/>
  <c r="F25" i="103"/>
  <c r="Q35" i="103"/>
  <c r="M340" i="36"/>
  <c r="O261" i="34" s="1"/>
  <c r="K14" i="214" s="1"/>
  <c r="R40" i="214"/>
  <c r="R76" i="79"/>
  <c r="V76" i="79"/>
  <c r="W76" i="79"/>
  <c r="J340" i="36"/>
  <c r="L261" i="34" s="1"/>
  <c r="H14" i="214" s="1"/>
  <c r="L340" i="36"/>
  <c r="N261" i="34" s="1"/>
  <c r="J14" i="214" s="1"/>
  <c r="N340" i="36"/>
  <c r="P261" i="34" s="1"/>
  <c r="L14" i="214" s="1"/>
  <c r="N40" i="214"/>
  <c r="X76" i="79"/>
  <c r="M40" i="214"/>
  <c r="Y76" i="79"/>
  <c r="S76" i="79"/>
  <c r="T76" i="79"/>
  <c r="H40" i="214"/>
  <c r="W40" i="214"/>
  <c r="F28" i="103"/>
  <c r="Z200" i="36"/>
  <c r="AE287" i="34"/>
  <c r="F287" i="34"/>
  <c r="I40" i="214"/>
  <c r="G40" i="214"/>
  <c r="I76" i="79"/>
  <c r="AD17" i="79"/>
  <c r="R34" i="79"/>
  <c r="L34" i="79"/>
  <c r="O34" i="79"/>
  <c r="P34" i="79"/>
  <c r="W34" i="79"/>
  <c r="AD15" i="79"/>
  <c r="S34" i="79"/>
  <c r="N34" i="79"/>
  <c r="T34" i="79"/>
  <c r="AD19" i="79"/>
  <c r="V34" i="79"/>
  <c r="AD88" i="79"/>
  <c r="J34" i="79"/>
  <c r="AD21" i="79"/>
  <c r="AD25" i="79"/>
  <c r="Z34" i="79"/>
  <c r="AD27" i="79"/>
  <c r="K34" i="79"/>
  <c r="U34" i="79"/>
  <c r="Q34" i="79"/>
  <c r="X34" i="79"/>
  <c r="M34" i="79"/>
  <c r="I34" i="79"/>
  <c r="AD79" i="79"/>
  <c r="AD89" i="79"/>
  <c r="AD100" i="79"/>
  <c r="AD80" i="79"/>
  <c r="AD82" i="79"/>
  <c r="AD78" i="79"/>
  <c r="Z183" i="36"/>
  <c r="F123" i="172"/>
  <c r="E123" i="172"/>
  <c r="E31" i="16"/>
  <c r="E32" i="16" s="1"/>
  <c r="E250" i="16" s="1"/>
  <c r="E252" i="16"/>
  <c r="C23" i="166"/>
  <c r="C24" i="166" s="1"/>
  <c r="K82" i="20"/>
  <c r="L78" i="20"/>
  <c r="I26" i="157"/>
  <c r="I20" i="157" s="1"/>
  <c r="AF154" i="172"/>
  <c r="AF163" i="172" s="1"/>
  <c r="AF228" i="172"/>
  <c r="AF234" i="172" s="1"/>
  <c r="D83" i="185"/>
  <c r="D14" i="185"/>
  <c r="D16" i="185" s="1"/>
  <c r="E13" i="185" s="1"/>
  <c r="Q9" i="175"/>
  <c r="P20" i="175"/>
  <c r="P163" i="175" s="1"/>
  <c r="K29" i="176" s="1"/>
  <c r="K51" i="181" s="1"/>
  <c r="C26" i="115"/>
  <c r="J196" i="16"/>
  <c r="N123" i="172"/>
  <c r="O123" i="172" s="1"/>
  <c r="P123" i="172" s="1"/>
  <c r="Q123" i="172" s="1"/>
  <c r="R123" i="172" s="1"/>
  <c r="S123" i="172" s="1"/>
  <c r="T123" i="172" s="1"/>
  <c r="U123" i="172" s="1"/>
  <c r="V123" i="172" s="1"/>
  <c r="W123" i="172" s="1"/>
  <c r="X123" i="172" s="1"/>
  <c r="Y123" i="172" s="1"/>
  <c r="Z123" i="172" s="1"/>
  <c r="AA123" i="172" s="1"/>
  <c r="AB123" i="172" s="1"/>
  <c r="AC123" i="172" s="1"/>
  <c r="AD123" i="172" s="1"/>
  <c r="AE123" i="172" s="1"/>
  <c r="AF123" i="172" s="1"/>
  <c r="AG123" i="172" s="1"/>
  <c r="AH123" i="172" s="1"/>
  <c r="AI123" i="172" s="1"/>
  <c r="AJ123" i="172" s="1"/>
  <c r="AK123" i="172" s="1"/>
  <c r="AL123" i="172" s="1"/>
  <c r="AM123" i="172" s="1"/>
  <c r="AN123" i="172" s="1"/>
  <c r="AO123" i="172" s="1"/>
  <c r="M113" i="70"/>
  <c r="P9" i="185"/>
  <c r="Q122" i="185"/>
  <c r="Q124" i="185" s="1"/>
  <c r="AB141" i="185"/>
  <c r="AA142" i="185"/>
  <c r="G83" i="185"/>
  <c r="G14" i="185"/>
  <c r="E133" i="16"/>
  <c r="E134" i="16" s="1"/>
  <c r="F51" i="209"/>
  <c r="J41" i="181"/>
  <c r="M69" i="70"/>
  <c r="P236" i="164"/>
  <c r="H67" i="157"/>
  <c r="H37" i="181" s="1"/>
  <c r="M171" i="28"/>
  <c r="N232" i="16"/>
  <c r="M264" i="16"/>
  <c r="G119" i="16"/>
  <c r="G120" i="16" s="1"/>
  <c r="C24" i="162"/>
  <c r="C16" i="157"/>
  <c r="K78" i="185"/>
  <c r="K8" i="185"/>
  <c r="D78" i="185"/>
  <c r="D8" i="185"/>
  <c r="D10" i="185" s="1"/>
  <c r="E7" i="185" s="1"/>
  <c r="J8" i="185"/>
  <c r="J78" i="185"/>
  <c r="AD92" i="79"/>
  <c r="G52" i="179"/>
  <c r="I60" i="181"/>
  <c r="J39" i="181"/>
  <c r="F49" i="209"/>
  <c r="V234" i="164"/>
  <c r="C12" i="207"/>
  <c r="M130" i="70"/>
  <c r="M95" i="70"/>
  <c r="C19" i="102"/>
  <c r="J38" i="181"/>
  <c r="F48" i="209"/>
  <c r="I28" i="16"/>
  <c r="I29" i="16" s="1"/>
  <c r="I30" i="16" s="1"/>
  <c r="I27" i="157"/>
  <c r="E25" i="209" s="1"/>
  <c r="R244" i="164"/>
  <c r="R232" i="164"/>
  <c r="Q69" i="175"/>
  <c r="P84" i="175"/>
  <c r="P165" i="175" s="1"/>
  <c r="K28" i="176" s="1"/>
  <c r="K50" i="181" s="1"/>
  <c r="D20" i="13"/>
  <c r="C17" i="14"/>
  <c r="C19" i="14"/>
  <c r="D33" i="13" s="1"/>
  <c r="H115" i="181"/>
  <c r="L62" i="209"/>
  <c r="P45" i="181"/>
  <c r="M131" i="70"/>
  <c r="Q242" i="164"/>
  <c r="S144" i="185"/>
  <c r="R30" i="185"/>
  <c r="E19" i="16"/>
  <c r="F27" i="103"/>
  <c r="L35" i="103"/>
  <c r="C21" i="93"/>
  <c r="I14" i="105"/>
  <c r="E14" i="185"/>
  <c r="E83" i="185"/>
  <c r="C22" i="217"/>
  <c r="C23" i="217" s="1"/>
  <c r="M129" i="70"/>
  <c r="M98" i="70"/>
  <c r="M67" i="70"/>
  <c r="P83" i="28"/>
  <c r="P166" i="28" s="1"/>
  <c r="P240" i="164"/>
  <c r="I17" i="16"/>
  <c r="I18" i="16" s="1"/>
  <c r="I19" i="16" s="1"/>
  <c r="C17" i="175"/>
  <c r="C15" i="88"/>
  <c r="C16" i="88" s="1"/>
  <c r="C69" i="20"/>
  <c r="C70" i="20" s="1"/>
  <c r="P159" i="28"/>
  <c r="P170" i="28" s="1"/>
  <c r="K74" i="157" s="1"/>
  <c r="M120" i="70"/>
  <c r="C18" i="16"/>
  <c r="L91" i="79"/>
  <c r="M91" i="79"/>
  <c r="U91" i="79"/>
  <c r="O91" i="79"/>
  <c r="J91" i="79"/>
  <c r="X91" i="79"/>
  <c r="Y91" i="79"/>
  <c r="R91" i="79"/>
  <c r="V91" i="79"/>
  <c r="P91" i="79"/>
  <c r="Z91" i="79"/>
  <c r="W91" i="79"/>
  <c r="S91" i="79"/>
  <c r="N91" i="79"/>
  <c r="K91" i="79"/>
  <c r="T91" i="79"/>
  <c r="I91" i="79"/>
  <c r="Q91" i="79"/>
  <c r="C18" i="181"/>
  <c r="P78" i="185"/>
  <c r="P8" i="185"/>
  <c r="C15" i="35"/>
  <c r="C16" i="35" s="1"/>
  <c r="L78" i="164"/>
  <c r="M78" i="164" s="1"/>
  <c r="N78" i="164" s="1"/>
  <c r="O78" i="164" s="1"/>
  <c r="P78" i="164" s="1"/>
  <c r="Q78" i="164" s="1"/>
  <c r="R78" i="164" s="1"/>
  <c r="S78" i="164" s="1"/>
  <c r="T78" i="164" s="1"/>
  <c r="U78" i="164" s="1"/>
  <c r="V78" i="164" s="1"/>
  <c r="W78" i="164" s="1"/>
  <c r="K80" i="164"/>
  <c r="L80" i="164" s="1"/>
  <c r="M80" i="164" s="1"/>
  <c r="N80" i="164" s="1"/>
  <c r="O80" i="164" s="1"/>
  <c r="P80" i="164" s="1"/>
  <c r="Q80" i="164" s="1"/>
  <c r="R80" i="164" s="1"/>
  <c r="S80" i="164" s="1"/>
  <c r="T80" i="164" s="1"/>
  <c r="U80" i="164" s="1"/>
  <c r="V80" i="164" s="1"/>
  <c r="W80" i="164" s="1"/>
  <c r="O62" i="209"/>
  <c r="S45" i="181"/>
  <c r="M31" i="70"/>
  <c r="L115" i="70"/>
  <c r="L168" i="70" s="1"/>
  <c r="S86" i="175"/>
  <c r="E254" i="16"/>
  <c r="C18" i="78"/>
  <c r="C19" i="78"/>
  <c r="U60" i="181"/>
  <c r="S52" i="179"/>
  <c r="O243" i="164"/>
  <c r="C16" i="86"/>
  <c r="C17" i="165"/>
  <c r="N78" i="185"/>
  <c r="N8" i="185"/>
  <c r="F8" i="185"/>
  <c r="F78" i="185"/>
  <c r="M8" i="185"/>
  <c r="M78" i="185"/>
  <c r="F14" i="185"/>
  <c r="F83" i="185"/>
  <c r="Q89" i="186"/>
  <c r="O220" i="16"/>
  <c r="N261" i="16"/>
  <c r="J50" i="207" s="1"/>
  <c r="M84" i="70"/>
  <c r="M133" i="70"/>
  <c r="K41" i="164"/>
  <c r="I47" i="16"/>
  <c r="H208" i="16"/>
  <c r="H215" i="16"/>
  <c r="H219" i="16"/>
  <c r="H82" i="16"/>
  <c r="H216" i="16"/>
  <c r="H40" i="16"/>
  <c r="H213" i="16"/>
  <c r="H218" i="16"/>
  <c r="H61" i="16"/>
  <c r="H214" i="16"/>
  <c r="H63" i="16"/>
  <c r="H59" i="16"/>
  <c r="H139" i="16"/>
  <c r="H209" i="16"/>
  <c r="H67" i="16"/>
  <c r="H169" i="16"/>
  <c r="H14" i="16"/>
  <c r="H16" i="16" s="1"/>
  <c r="H62" i="16"/>
  <c r="H207" i="16"/>
  <c r="H211" i="16"/>
  <c r="H46" i="16"/>
  <c r="H210" i="16"/>
  <c r="H104" i="16"/>
  <c r="H108" i="16" s="1"/>
  <c r="H152" i="16"/>
  <c r="H217" i="16"/>
  <c r="H42" i="16"/>
  <c r="H44" i="16"/>
  <c r="H25" i="16"/>
  <c r="H27" i="16" s="1"/>
  <c r="H125" i="16"/>
  <c r="H65" i="16"/>
  <c r="H43" i="16"/>
  <c r="H114" i="16"/>
  <c r="H118" i="16" s="1"/>
  <c r="H212" i="16"/>
  <c r="H183" i="16"/>
  <c r="H93" i="16"/>
  <c r="H48" i="16"/>
  <c r="H196" i="16"/>
  <c r="H23" i="202"/>
  <c r="H66" i="16"/>
  <c r="C97" i="20"/>
  <c r="C98" i="20" s="1"/>
  <c r="G25" i="203"/>
  <c r="G17" i="203" s="1"/>
  <c r="K211" i="16"/>
  <c r="K217" i="16"/>
  <c r="K213" i="16"/>
  <c r="K207" i="16"/>
  <c r="K208" i="16"/>
  <c r="K214" i="16"/>
  <c r="K219" i="16"/>
  <c r="K212" i="16"/>
  <c r="K209" i="16"/>
  <c r="K215" i="16"/>
  <c r="K210" i="16"/>
  <c r="K218" i="16"/>
  <c r="K216" i="16"/>
  <c r="J90" i="157"/>
  <c r="J89" i="157"/>
  <c r="F68" i="209" s="1"/>
  <c r="L160" i="70"/>
  <c r="I87" i="195"/>
  <c r="I61" i="195"/>
  <c r="I36" i="195"/>
  <c r="I74" i="195"/>
  <c r="C23" i="104"/>
  <c r="D13" i="208"/>
  <c r="U145" i="164"/>
  <c r="X85" i="28"/>
  <c r="M29" i="70"/>
  <c r="P47" i="28"/>
  <c r="P164" i="28" s="1"/>
  <c r="K69" i="157" s="1"/>
  <c r="I30" i="157"/>
  <c r="E28" i="209" s="1"/>
  <c r="F26" i="177"/>
  <c r="I89" i="179" s="1"/>
  <c r="I90" i="179" s="1"/>
  <c r="K39" i="176"/>
  <c r="K40" i="176" s="1"/>
  <c r="K54" i="181" s="1"/>
  <c r="C26" i="34"/>
  <c r="M80" i="70"/>
  <c r="G16" i="13"/>
  <c r="H16" i="13" s="1"/>
  <c r="D175" i="172"/>
  <c r="D181" i="172" s="1"/>
  <c r="D204" i="172"/>
  <c r="D207" i="172" s="1"/>
  <c r="C19" i="19"/>
  <c r="Q15" i="185"/>
  <c r="R116" i="185"/>
  <c r="AA154" i="172"/>
  <c r="AA163" i="172" s="1"/>
  <c r="AA228" i="172"/>
  <c r="AA234" i="172" s="1"/>
  <c r="C19" i="100"/>
  <c r="J71" i="157"/>
  <c r="F26" i="16"/>
  <c r="G161" i="13"/>
  <c r="G190" i="13" s="1"/>
  <c r="O241" i="164"/>
  <c r="H228" i="172"/>
  <c r="H234" i="172" s="1"/>
  <c r="H154" i="172"/>
  <c r="H163" i="172" s="1"/>
  <c r="J43" i="181"/>
  <c r="F53" i="209"/>
  <c r="H71" i="157"/>
  <c r="H40" i="181" s="1"/>
  <c r="Q93" i="79"/>
  <c r="U93" i="79"/>
  <c r="N93" i="79"/>
  <c r="V93" i="79"/>
  <c r="X93" i="79"/>
  <c r="J93" i="79"/>
  <c r="O93" i="79"/>
  <c r="L93" i="79"/>
  <c r="Y93" i="79"/>
  <c r="R93" i="79"/>
  <c r="Z93" i="79"/>
  <c r="T93" i="79"/>
  <c r="W93" i="79"/>
  <c r="K93" i="79"/>
  <c r="P93" i="79"/>
  <c r="M93" i="79"/>
  <c r="I93" i="79"/>
  <c r="S93" i="79"/>
  <c r="C24" i="44"/>
  <c r="C18" i="214"/>
  <c r="J29" i="176"/>
  <c r="C47" i="195"/>
  <c r="Q90" i="175"/>
  <c r="P105" i="175"/>
  <c r="L105" i="70"/>
  <c r="L167" i="70" s="1"/>
  <c r="I94" i="16"/>
  <c r="I98" i="16" s="1"/>
  <c r="M108" i="70"/>
  <c r="P119" i="28"/>
  <c r="P169" i="28" s="1"/>
  <c r="K73" i="157" s="1"/>
  <c r="G160" i="13"/>
  <c r="F15" i="16"/>
  <c r="F16" i="16" s="1"/>
  <c r="C19" i="209"/>
  <c r="M78" i="70"/>
  <c r="G45" i="177"/>
  <c r="G46" i="177" s="1"/>
  <c r="G41" i="177"/>
  <c r="G42" i="177" s="1"/>
  <c r="C21" i="96"/>
  <c r="C20" i="105"/>
  <c r="C21" i="105" s="1"/>
  <c r="K154" i="172"/>
  <c r="K163" i="172" s="1"/>
  <c r="K228" i="172"/>
  <c r="K234" i="172" s="1"/>
  <c r="O10" i="163"/>
  <c r="F331" i="36"/>
  <c r="H24" i="202"/>
  <c r="M55" i="70"/>
  <c r="M103" i="70"/>
  <c r="H22" i="202"/>
  <c r="G109" i="16"/>
  <c r="G110" i="16" s="1"/>
  <c r="C17" i="86"/>
  <c r="E25" i="177"/>
  <c r="E26" i="177" s="1"/>
  <c r="C21" i="79"/>
  <c r="C23" i="79" s="1"/>
  <c r="L78" i="185"/>
  <c r="L8" i="185"/>
  <c r="E8" i="185"/>
  <c r="E78" i="185"/>
  <c r="E84" i="185" s="1"/>
  <c r="O8" i="185"/>
  <c r="O78" i="185"/>
  <c r="G19" i="177"/>
  <c r="G25" i="177" s="1"/>
  <c r="H47" i="16"/>
  <c r="M72" i="70"/>
  <c r="K142" i="13"/>
  <c r="J14" i="16"/>
  <c r="J62" i="209"/>
  <c r="N45" i="181"/>
  <c r="H3" i="207"/>
  <c r="G7" i="209"/>
  <c r="G40" i="209" s="1"/>
  <c r="K7" i="202"/>
  <c r="J6" i="195"/>
  <c r="K7" i="176"/>
  <c r="K7" i="157"/>
  <c r="P6" i="28"/>
  <c r="L6" i="30"/>
  <c r="I7" i="179"/>
  <c r="M6" i="70"/>
  <c r="K7" i="181"/>
  <c r="P6" i="175"/>
  <c r="I7" i="186"/>
  <c r="N8" i="163"/>
  <c r="L6" i="180"/>
  <c r="F6" i="177"/>
  <c r="L8" i="16"/>
  <c r="J7" i="92"/>
  <c r="N7" i="20"/>
  <c r="K7" i="14"/>
  <c r="M7" i="13"/>
  <c r="M7" i="164"/>
  <c r="J70" i="202"/>
  <c r="J49" i="202"/>
  <c r="J23" i="202"/>
  <c r="J21" i="202"/>
  <c r="J91" i="202"/>
  <c r="J24" i="202"/>
  <c r="J28" i="202"/>
  <c r="R88" i="28"/>
  <c r="N90" i="70"/>
  <c r="M73" i="70"/>
  <c r="M148" i="70"/>
  <c r="I128" i="16"/>
  <c r="E59" i="209"/>
  <c r="I83" i="157"/>
  <c r="L86" i="70"/>
  <c r="L165" i="70" s="1"/>
  <c r="I155" i="16"/>
  <c r="I154" i="16"/>
  <c r="S233" i="164"/>
  <c r="M122" i="70"/>
  <c r="C14" i="89"/>
  <c r="G15" i="16"/>
  <c r="G16" i="16" s="1"/>
  <c r="H160" i="13"/>
  <c r="C25" i="103"/>
  <c r="C26" i="103" s="1"/>
  <c r="AN154" i="172"/>
  <c r="AN163" i="172" s="1"/>
  <c r="AN228" i="172"/>
  <c r="AN234" i="172" s="1"/>
  <c r="W163" i="164"/>
  <c r="O235" i="164"/>
  <c r="I141" i="16"/>
  <c r="I145" i="16" s="1"/>
  <c r="I16" i="177"/>
  <c r="H17" i="177"/>
  <c r="H18" i="177"/>
  <c r="M59" i="70"/>
  <c r="Q166" i="175"/>
  <c r="C13" i="207"/>
  <c r="C22" i="106"/>
  <c r="C27" i="115"/>
  <c r="C19" i="36"/>
  <c r="C20" i="36" s="1"/>
  <c r="C21" i="36" s="1"/>
  <c r="M79" i="70"/>
  <c r="Z36" i="36"/>
  <c r="C49" i="20"/>
  <c r="C25" i="162"/>
  <c r="AF145" i="185"/>
  <c r="AE146" i="185"/>
  <c r="R123" i="185"/>
  <c r="S132" i="185"/>
  <c r="R117" i="185"/>
  <c r="D133" i="185"/>
  <c r="M44" i="70"/>
  <c r="C18" i="163"/>
  <c r="M40" i="70"/>
  <c r="C18" i="13"/>
  <c r="H161" i="13"/>
  <c r="H190" i="13" s="1"/>
  <c r="G26" i="16"/>
  <c r="E208" i="172"/>
  <c r="E209" i="172" s="1"/>
  <c r="C20" i="46"/>
  <c r="S189" i="164"/>
  <c r="H6" i="28"/>
  <c r="I162" i="28"/>
  <c r="C15" i="202"/>
  <c r="M89" i="70"/>
  <c r="M91" i="70" s="1"/>
  <c r="M166" i="70" s="1"/>
  <c r="P89" i="28"/>
  <c r="P167" i="28" s="1"/>
  <c r="Q87" i="28"/>
  <c r="U90" i="79"/>
  <c r="N90" i="79"/>
  <c r="P90" i="79"/>
  <c r="T90" i="79"/>
  <c r="Q90" i="79"/>
  <c r="Z90" i="79"/>
  <c r="K90" i="79"/>
  <c r="S90" i="79"/>
  <c r="W90" i="79"/>
  <c r="X90" i="79"/>
  <c r="I90" i="79"/>
  <c r="Y90" i="79"/>
  <c r="M90" i="79"/>
  <c r="O90" i="79"/>
  <c r="V90" i="79"/>
  <c r="R90" i="79"/>
  <c r="L90" i="79"/>
  <c r="J90" i="79"/>
  <c r="C15" i="28"/>
  <c r="C16" i="28" s="1"/>
  <c r="C149" i="93"/>
  <c r="Q142" i="185"/>
  <c r="Q23" i="185" s="1"/>
  <c r="R140" i="185"/>
  <c r="S138" i="185"/>
  <c r="J67" i="179"/>
  <c r="J68" i="179" s="1"/>
  <c r="J69" i="179" s="1"/>
  <c r="K63" i="179"/>
  <c r="K66" i="179" s="1"/>
  <c r="U209" i="164"/>
  <c r="C20" i="107"/>
  <c r="P102" i="28"/>
  <c r="P168" i="28" s="1"/>
  <c r="K72" i="157" s="1"/>
  <c r="M94" i="70"/>
  <c r="J42" i="181"/>
  <c r="F52" i="209"/>
  <c r="J23" i="70"/>
  <c r="J162" i="70" s="1"/>
  <c r="J170" i="70" s="1"/>
  <c r="Q239" i="164"/>
  <c r="C16" i="164"/>
  <c r="C15" i="70"/>
  <c r="AI154" i="172"/>
  <c r="AI163" i="172" s="1"/>
  <c r="AI228" i="172"/>
  <c r="AI234" i="172" s="1"/>
  <c r="I118" i="185"/>
  <c r="H119" i="185"/>
  <c r="H80" i="185" s="1"/>
  <c r="D18" i="184"/>
  <c r="E6" i="184"/>
  <c r="E10" i="184" s="1"/>
  <c r="H54" i="176"/>
  <c r="H56" i="176"/>
  <c r="H58" i="176" s="1"/>
  <c r="P62" i="28"/>
  <c r="P165" i="28" s="1"/>
  <c r="K70" i="157" s="1"/>
  <c r="C19" i="92"/>
  <c r="I100" i="179"/>
  <c r="G78" i="185"/>
  <c r="G84" i="185" s="1"/>
  <c r="G8" i="185"/>
  <c r="H125" i="185"/>
  <c r="H75" i="185" s="1"/>
  <c r="H133" i="185"/>
  <c r="I8" i="185"/>
  <c r="I78" i="185"/>
  <c r="F133" i="185"/>
  <c r="U237" i="164"/>
  <c r="C18" i="215"/>
  <c r="L186" i="13"/>
  <c r="E40" i="203"/>
  <c r="O162" i="28"/>
  <c r="O177" i="28"/>
  <c r="O162" i="175"/>
  <c r="O174" i="175"/>
  <c r="J19" i="176"/>
  <c r="J27" i="181" s="1"/>
  <c r="C21" i="46"/>
  <c r="C14" i="90"/>
  <c r="C21" i="45"/>
  <c r="C22" i="45" s="1"/>
  <c r="J20" i="181" l="1"/>
  <c r="J86" i="181" s="1"/>
  <c r="F19" i="209"/>
  <c r="H18" i="186"/>
  <c r="C19" i="176"/>
  <c r="M13" i="30"/>
  <c r="L12" i="30"/>
  <c r="M12" i="30" s="1"/>
  <c r="M11" i="30"/>
  <c r="N11" i="30" s="1"/>
  <c r="I121" i="181"/>
  <c r="I95" i="181"/>
  <c r="L10" i="30"/>
  <c r="H14" i="186"/>
  <c r="J22" i="181"/>
  <c r="F30" i="209"/>
  <c r="M10" i="30"/>
  <c r="N15" i="163"/>
  <c r="N20" i="163" s="1"/>
  <c r="N38" i="163" s="1"/>
  <c r="N16" i="163"/>
  <c r="N21" i="163" s="1"/>
  <c r="N39" i="163" s="1"/>
  <c r="G70" i="209" s="1"/>
  <c r="N17" i="163"/>
  <c r="N22" i="163" s="1"/>
  <c r="N40" i="163" s="1"/>
  <c r="Q106" i="28"/>
  <c r="Q136" i="28"/>
  <c r="Q93" i="28"/>
  <c r="N96" i="70" s="1"/>
  <c r="Q67" i="28"/>
  <c r="N70" i="70" s="1"/>
  <c r="M70" i="70"/>
  <c r="Q70" i="28"/>
  <c r="Q41" i="28"/>
  <c r="N42" i="70" s="1"/>
  <c r="Q113" i="28"/>
  <c r="N109" i="70" s="1"/>
  <c r="M109" i="70"/>
  <c r="Q98" i="28"/>
  <c r="N101" i="70" s="1"/>
  <c r="M101" i="70"/>
  <c r="Q139" i="28"/>
  <c r="N136" i="70" s="1"/>
  <c r="M136" i="70"/>
  <c r="Q104" i="28"/>
  <c r="Q25" i="28"/>
  <c r="N26" i="70" s="1"/>
  <c r="M26" i="70"/>
  <c r="Q109" i="28"/>
  <c r="Q64" i="28"/>
  <c r="Q133" i="28"/>
  <c r="Q145" i="28"/>
  <c r="N142" i="70" s="1"/>
  <c r="M142" i="70"/>
  <c r="M63" i="70"/>
  <c r="Q72" i="28"/>
  <c r="N75" i="70" s="1"/>
  <c r="M75" i="70"/>
  <c r="Q123" i="28"/>
  <c r="Q118" i="28"/>
  <c r="M114" i="70"/>
  <c r="Q75" i="28"/>
  <c r="Q126" i="28"/>
  <c r="N123" i="70" s="1"/>
  <c r="M123" i="70"/>
  <c r="Q68" i="28"/>
  <c r="N71" i="70" s="1"/>
  <c r="M71" i="70"/>
  <c r="Q29" i="28"/>
  <c r="N30" i="70" s="1"/>
  <c r="M30" i="70"/>
  <c r="Q36" i="28"/>
  <c r="N37" i="70" s="1"/>
  <c r="M37" i="70"/>
  <c r="Q40" i="28"/>
  <c r="M41" i="70"/>
  <c r="Q71" i="28"/>
  <c r="N74" i="70" s="1"/>
  <c r="M74" i="70"/>
  <c r="Q80" i="28"/>
  <c r="M83" i="70"/>
  <c r="Q152" i="28"/>
  <c r="N149" i="70" s="1"/>
  <c r="Q101" i="28"/>
  <c r="N104" i="70" s="1"/>
  <c r="M104" i="70"/>
  <c r="Q43" i="28"/>
  <c r="Q110" i="28"/>
  <c r="Q141" i="28"/>
  <c r="N138" i="70" s="1"/>
  <c r="M138" i="70"/>
  <c r="Q147" i="28"/>
  <c r="N144" i="70" s="1"/>
  <c r="M144" i="70"/>
  <c r="Q44" i="28"/>
  <c r="M45" i="70"/>
  <c r="Q74" i="28"/>
  <c r="M77" i="70"/>
  <c r="Q33" i="28"/>
  <c r="N34" i="70" s="1"/>
  <c r="M34" i="70"/>
  <c r="Q97" i="28"/>
  <c r="N100" i="70" s="1"/>
  <c r="Q37" i="28"/>
  <c r="M38" i="70"/>
  <c r="Q150" i="28"/>
  <c r="N147" i="70" s="1"/>
  <c r="Q34" i="28"/>
  <c r="N35" i="70" s="1"/>
  <c r="M35" i="70"/>
  <c r="Q148" i="28"/>
  <c r="M145" i="70"/>
  <c r="Q146" i="28"/>
  <c r="N143" i="70" s="1"/>
  <c r="M143" i="70"/>
  <c r="Q154" i="28"/>
  <c r="N151" i="70" s="1"/>
  <c r="Q137" i="28"/>
  <c r="N134" i="70" s="1"/>
  <c r="M134" i="70"/>
  <c r="Q130" i="28"/>
  <c r="N127" i="70" s="1"/>
  <c r="Q121" i="28"/>
  <c r="M118" i="70"/>
  <c r="Q96" i="28"/>
  <c r="N99" i="70" s="1"/>
  <c r="M99" i="70"/>
  <c r="Q157" i="28"/>
  <c r="M154" i="70"/>
  <c r="Q122" i="28"/>
  <c r="N119" i="70" s="1"/>
  <c r="M119" i="70"/>
  <c r="M57" i="70"/>
  <c r="Q27" i="28"/>
  <c r="N28" i="70" s="1"/>
  <c r="M28" i="70"/>
  <c r="Q92" i="28"/>
  <c r="M51" i="70"/>
  <c r="Q153" i="28"/>
  <c r="M150" i="70"/>
  <c r="Q129" i="28"/>
  <c r="N126" i="70" s="1"/>
  <c r="Q112" i="28"/>
  <c r="Q26" i="28"/>
  <c r="M27" i="70"/>
  <c r="Q99" i="28"/>
  <c r="N102" i="70" s="1"/>
  <c r="M102" i="70"/>
  <c r="Q149" i="28"/>
  <c r="M146" i="70"/>
  <c r="M60" i="70"/>
  <c r="Q135" i="28"/>
  <c r="M132" i="70"/>
  <c r="Q100" i="28"/>
  <c r="Q132" i="28"/>
  <c r="Q32" i="28"/>
  <c r="N33" i="70" s="1"/>
  <c r="M33" i="70"/>
  <c r="Q117" i="28"/>
  <c r="Q65" i="28"/>
  <c r="N68" i="70" s="1"/>
  <c r="M68" i="70"/>
  <c r="Q31" i="28"/>
  <c r="N32" i="70" s="1"/>
  <c r="M32" i="70"/>
  <c r="Q76" i="28"/>
  <c r="Q108" i="28"/>
  <c r="Q69" i="28"/>
  <c r="Q151" i="28"/>
  <c r="Q81" i="28"/>
  <c r="Q42" i="28"/>
  <c r="N43" i="70" s="1"/>
  <c r="M43" i="70"/>
  <c r="Q111" i="28"/>
  <c r="Q124" i="28"/>
  <c r="N121" i="70" s="1"/>
  <c r="M121" i="70"/>
  <c r="Q77" i="28"/>
  <c r="Q38" i="28"/>
  <c r="N39" i="70" s="1"/>
  <c r="M39" i="70"/>
  <c r="Q142" i="28"/>
  <c r="N139" i="70" s="1"/>
  <c r="M139" i="70"/>
  <c r="Q143" i="28"/>
  <c r="N140" i="70" s="1"/>
  <c r="M140" i="70"/>
  <c r="M62" i="70"/>
  <c r="Q79" i="28"/>
  <c r="N82" i="70" s="1"/>
  <c r="M82" i="70"/>
  <c r="Q30" i="28"/>
  <c r="Q131" i="28"/>
  <c r="N128" i="70" s="1"/>
  <c r="M128" i="70"/>
  <c r="Q73" i="28"/>
  <c r="M76" i="70"/>
  <c r="Q127" i="28"/>
  <c r="N124" i="70" s="1"/>
  <c r="Q78" i="28"/>
  <c r="N81" i="70" s="1"/>
  <c r="M81" i="70"/>
  <c r="Q156" i="28"/>
  <c r="N153" i="70" s="1"/>
  <c r="Q82" i="28"/>
  <c r="M85" i="70"/>
  <c r="Q114" i="28"/>
  <c r="N110" i="70" s="1"/>
  <c r="M110" i="70"/>
  <c r="Q91" i="28"/>
  <c r="Q138" i="28"/>
  <c r="M135" i="70"/>
  <c r="Q39" i="28"/>
  <c r="Q125" i="28"/>
  <c r="Q46" i="28"/>
  <c r="N47" i="70" s="1"/>
  <c r="M47" i="70"/>
  <c r="Q105" i="28"/>
  <c r="Q134" i="28"/>
  <c r="Q35" i="28"/>
  <c r="N36" i="70" s="1"/>
  <c r="M36" i="70"/>
  <c r="Q158" i="28"/>
  <c r="N155" i="70" s="1"/>
  <c r="M52" i="70"/>
  <c r="Q155" i="28"/>
  <c r="N152" i="70" s="1"/>
  <c r="M152" i="70"/>
  <c r="Q45" i="28"/>
  <c r="N46" i="70" s="1"/>
  <c r="M46" i="70"/>
  <c r="Q66" i="28"/>
  <c r="Q128" i="28"/>
  <c r="N125" i="70" s="1"/>
  <c r="M125" i="70"/>
  <c r="Q28" i="28"/>
  <c r="Q94" i="28"/>
  <c r="N97" i="70" s="1"/>
  <c r="Q144" i="28"/>
  <c r="N141" i="70" s="1"/>
  <c r="M141" i="70"/>
  <c r="Q116" i="28"/>
  <c r="M112" i="70"/>
  <c r="Q140" i="28"/>
  <c r="N137" i="70" s="1"/>
  <c r="M137" i="70"/>
  <c r="Q107" i="28"/>
  <c r="M54" i="70"/>
  <c r="M64" i="70" s="1"/>
  <c r="M164" i="70" s="1"/>
  <c r="Q115" i="28"/>
  <c r="N111" i="70" s="1"/>
  <c r="M111" i="70"/>
  <c r="Q95" i="28"/>
  <c r="P67" i="175"/>
  <c r="P164" i="175" s="1"/>
  <c r="K27" i="176" s="1"/>
  <c r="K49" i="181" s="1"/>
  <c r="Q53" i="175"/>
  <c r="C18" i="175"/>
  <c r="Q56" i="175"/>
  <c r="Q31" i="175"/>
  <c r="M101" i="164"/>
  <c r="L54" i="13"/>
  <c r="N41" i="164"/>
  <c r="O41" i="164" s="1"/>
  <c r="P41" i="164" s="1"/>
  <c r="Q41" i="164" s="1"/>
  <c r="R41" i="164" s="1"/>
  <c r="S41" i="164" s="1"/>
  <c r="T41" i="164" s="1"/>
  <c r="U41" i="164" s="1"/>
  <c r="V41" i="164" s="1"/>
  <c r="W41" i="164" s="1"/>
  <c r="L41" i="164"/>
  <c r="M41" i="164" s="1"/>
  <c r="O223" i="164"/>
  <c r="M197" i="16"/>
  <c r="L86" i="164"/>
  <c r="K47" i="13"/>
  <c r="I53" i="207"/>
  <c r="G19" i="213"/>
  <c r="F18" i="103"/>
  <c r="P17" i="28"/>
  <c r="J45" i="181"/>
  <c r="N92" i="172"/>
  <c r="M84" i="227"/>
  <c r="Q9" i="28"/>
  <c r="N9" i="70" s="1"/>
  <c r="R159" i="175"/>
  <c r="S132" i="175" s="1"/>
  <c r="N118" i="70"/>
  <c r="K31" i="179"/>
  <c r="I51" i="181"/>
  <c r="I55" i="181" s="1"/>
  <c r="P91" i="186"/>
  <c r="O93" i="186"/>
  <c r="N76" i="70"/>
  <c r="T113" i="175"/>
  <c r="R10" i="175"/>
  <c r="R14" i="175"/>
  <c r="N38" i="70"/>
  <c r="N77" i="70"/>
  <c r="N85" i="70"/>
  <c r="R19" i="28"/>
  <c r="O19" i="70" s="1"/>
  <c r="N135" i="70"/>
  <c r="R17" i="175"/>
  <c r="R15" i="175"/>
  <c r="N41" i="70"/>
  <c r="N146" i="70"/>
  <c r="N45" i="70"/>
  <c r="N114" i="70"/>
  <c r="N27" i="70"/>
  <c r="N83" i="70"/>
  <c r="N112" i="70"/>
  <c r="N132" i="70"/>
  <c r="N154" i="70"/>
  <c r="N150" i="70"/>
  <c r="J19" i="30"/>
  <c r="J27" i="157" s="1"/>
  <c r="I28" i="157"/>
  <c r="E26" i="209" s="1"/>
  <c r="J17" i="30"/>
  <c r="I53" i="16"/>
  <c r="I54" i="16" s="1"/>
  <c r="I55" i="16" s="1"/>
  <c r="I107" i="202"/>
  <c r="K161" i="13"/>
  <c r="K190" i="13" s="1"/>
  <c r="F24" i="207" s="1"/>
  <c r="J15" i="16"/>
  <c r="I172" i="16"/>
  <c r="I176" i="16" s="1"/>
  <c r="I177" i="16" s="1"/>
  <c r="I178" i="16" s="1"/>
  <c r="I258" i="16" s="1"/>
  <c r="H6" i="175"/>
  <c r="I162" i="175"/>
  <c r="I72" i="16"/>
  <c r="I73" i="16" s="1"/>
  <c r="I74" i="16" s="1"/>
  <c r="I252" i="16" s="1"/>
  <c r="H12" i="202" s="1"/>
  <c r="H54" i="202" s="1"/>
  <c r="E118" i="202" a="1"/>
  <c r="E122" i="202" s="1"/>
  <c r="E343" i="202" a="1"/>
  <c r="E357" i="202" s="1"/>
  <c r="E418" i="202" a="1"/>
  <c r="E422" i="202" s="1"/>
  <c r="J16" i="16"/>
  <c r="J17" i="16" s="1"/>
  <c r="J18" i="16" s="1"/>
  <c r="H19" i="177"/>
  <c r="H25" i="177" s="1"/>
  <c r="M39" i="176" s="1"/>
  <c r="M40" i="176" s="1"/>
  <c r="M54" i="181" s="1"/>
  <c r="M160" i="70"/>
  <c r="C101" i="20"/>
  <c r="C102" i="20" s="1"/>
  <c r="C18" i="86"/>
  <c r="C19" i="86" s="1"/>
  <c r="C23" i="36"/>
  <c r="C25" i="166"/>
  <c r="E243" i="202" a="1"/>
  <c r="E468" i="202" a="1"/>
  <c r="E218" i="202" a="1"/>
  <c r="E393" i="202" a="1"/>
  <c r="E318" i="202" a="1"/>
  <c r="E368" i="202" a="1"/>
  <c r="J28" i="181"/>
  <c r="J98" i="181"/>
  <c r="E10" i="185"/>
  <c r="F7" i="185" s="1"/>
  <c r="T88" i="175"/>
  <c r="E143" i="202" a="1"/>
  <c r="E168" i="202" a="1"/>
  <c r="E193" i="202" a="1"/>
  <c r="I492" i="202"/>
  <c r="I510" i="202" s="1"/>
  <c r="I45" i="202" s="1"/>
  <c r="I66" i="202" s="1"/>
  <c r="E443" i="202" a="1"/>
  <c r="E268" i="202" a="1"/>
  <c r="N145" i="70"/>
  <c r="N228" i="16"/>
  <c r="M263" i="16"/>
  <c r="I105" i="202"/>
  <c r="E493" i="202" a="1"/>
  <c r="E293" i="202" a="1"/>
  <c r="H62" i="209"/>
  <c r="L45" i="181"/>
  <c r="J65" i="181"/>
  <c r="F69" i="209"/>
  <c r="E20" i="45"/>
  <c r="J20" i="45" s="1"/>
  <c r="E18" i="72"/>
  <c r="E24" i="44"/>
  <c r="BS21" i="44"/>
  <c r="H46" i="181"/>
  <c r="H57" i="181" s="1"/>
  <c r="H88" i="181" s="1"/>
  <c r="R18" i="175"/>
  <c r="R11" i="175"/>
  <c r="R12" i="175"/>
  <c r="T95" i="175"/>
  <c r="T87" i="175"/>
  <c r="T98" i="175"/>
  <c r="T97" i="175"/>
  <c r="T103" i="175"/>
  <c r="T92" i="175"/>
  <c r="O14" i="70"/>
  <c r="S14" i="28"/>
  <c r="T117" i="175"/>
  <c r="T110" i="175"/>
  <c r="T99" i="175"/>
  <c r="T104" i="175"/>
  <c r="T102" i="175"/>
  <c r="T91" i="175"/>
  <c r="T94" i="175"/>
  <c r="R19" i="175"/>
  <c r="R13" i="175"/>
  <c r="T112" i="175"/>
  <c r="T116" i="175"/>
  <c r="T96" i="175"/>
  <c r="T109" i="175"/>
  <c r="T107" i="175"/>
  <c r="U194" i="28"/>
  <c r="V181" i="175"/>
  <c r="S192" i="28"/>
  <c r="T179" i="175"/>
  <c r="T114" i="175"/>
  <c r="T111" i="175"/>
  <c r="T115" i="175"/>
  <c r="U193" i="28"/>
  <c r="V180" i="175"/>
  <c r="T100" i="175"/>
  <c r="T101" i="175"/>
  <c r="T93" i="175"/>
  <c r="K71" i="157"/>
  <c r="G50" i="209" s="1"/>
  <c r="R45" i="181"/>
  <c r="H105" i="202"/>
  <c r="I417" i="202"/>
  <c r="I435" i="202" s="1"/>
  <c r="I42" i="202" s="1"/>
  <c r="I63" i="202" s="1"/>
  <c r="I132" i="16"/>
  <c r="I133" i="16" s="1"/>
  <c r="I134" i="16" s="1"/>
  <c r="I255" i="16" s="1"/>
  <c r="E251" i="16"/>
  <c r="E76" i="16"/>
  <c r="E240" i="16" s="1"/>
  <c r="I162" i="16"/>
  <c r="E177" i="16"/>
  <c r="E178" i="16" s="1"/>
  <c r="E258" i="16" s="1"/>
  <c r="K26" i="16"/>
  <c r="I108" i="202"/>
  <c r="H201" i="16"/>
  <c r="H202" i="16" s="1"/>
  <c r="H203" i="16" s="1"/>
  <c r="H260" i="16" s="1"/>
  <c r="J26" i="16"/>
  <c r="E163" i="16"/>
  <c r="E164" i="16" s="1"/>
  <c r="S21" i="28"/>
  <c r="O21" i="70"/>
  <c r="O10" i="70"/>
  <c r="S10" i="28"/>
  <c r="G78" i="181"/>
  <c r="J28" i="157"/>
  <c r="J31" i="157"/>
  <c r="O22" i="70"/>
  <c r="S22" i="28"/>
  <c r="O15" i="70"/>
  <c r="S15" i="28"/>
  <c r="T108" i="175"/>
  <c r="S118" i="175"/>
  <c r="G72" i="181"/>
  <c r="H85" i="181"/>
  <c r="G113" i="181"/>
  <c r="G116" i="181" s="1"/>
  <c r="J30" i="157"/>
  <c r="R95" i="172"/>
  <c r="S18" i="70" s="1"/>
  <c r="Q62" i="209"/>
  <c r="U45" i="181"/>
  <c r="I62" i="209"/>
  <c r="M45" i="181"/>
  <c r="P62" i="209"/>
  <c r="T45" i="181"/>
  <c r="K83" i="157"/>
  <c r="G59" i="209"/>
  <c r="K59" i="209"/>
  <c r="O83" i="157"/>
  <c r="O340" i="36"/>
  <c r="Q261" i="34" s="1"/>
  <c r="M14" i="214" s="1"/>
  <c r="Q340" i="36"/>
  <c r="S261" i="34" s="1"/>
  <c r="O14" i="214" s="1"/>
  <c r="U340" i="36"/>
  <c r="W261" i="34" s="1"/>
  <c r="S14" i="214" s="1"/>
  <c r="V340" i="36"/>
  <c r="X261" i="34" s="1"/>
  <c r="T14" i="214" s="1"/>
  <c r="W340" i="36"/>
  <c r="Y261" i="34" s="1"/>
  <c r="U14" i="214" s="1"/>
  <c r="I340" i="36"/>
  <c r="K261" i="34" s="1"/>
  <c r="G14" i="214" s="1"/>
  <c r="X340" i="36"/>
  <c r="Z261" i="34" s="1"/>
  <c r="V14" i="214" s="1"/>
  <c r="T340" i="36"/>
  <c r="V261" i="34" s="1"/>
  <c r="R14" i="214" s="1"/>
  <c r="S340" i="36"/>
  <c r="U261" i="34" s="1"/>
  <c r="Q14" i="214" s="1"/>
  <c r="P340" i="36"/>
  <c r="R261" i="34" s="1"/>
  <c r="N14" i="214" s="1"/>
  <c r="H340" i="36"/>
  <c r="J261" i="34" s="1"/>
  <c r="F14" i="214" s="1"/>
  <c r="K340" i="36"/>
  <c r="M261" i="34" s="1"/>
  <c r="I14" i="214" s="1"/>
  <c r="R340" i="36"/>
  <c r="T261" i="34" s="1"/>
  <c r="P14" i="214" s="1"/>
  <c r="Y340" i="36"/>
  <c r="AA261" i="34" s="1"/>
  <c r="W14" i="214" s="1"/>
  <c r="AD76" i="79"/>
  <c r="F35" i="103"/>
  <c r="E40" i="214"/>
  <c r="N94" i="79"/>
  <c r="N122" i="79" s="1"/>
  <c r="N123" i="79" s="1"/>
  <c r="M346" i="36" s="1"/>
  <c r="O94" i="79"/>
  <c r="O122" i="79" s="1"/>
  <c r="O123" i="79" s="1"/>
  <c r="N346" i="36" s="1"/>
  <c r="I20" i="16"/>
  <c r="I21" i="16" s="1"/>
  <c r="C26" i="166"/>
  <c r="C27" i="166" s="1"/>
  <c r="E255" i="16"/>
  <c r="I146" i="16"/>
  <c r="I147" i="16" s="1"/>
  <c r="I256" i="16" s="1"/>
  <c r="G17" i="16"/>
  <c r="C22" i="105"/>
  <c r="I99" i="16"/>
  <c r="I100" i="16" s="1"/>
  <c r="I254" i="16" s="1"/>
  <c r="H14" i="202" s="1"/>
  <c r="G203" i="172"/>
  <c r="G207" i="172" s="1"/>
  <c r="E211" i="172"/>
  <c r="O26" i="175"/>
  <c r="E39" i="203"/>
  <c r="E7" i="203"/>
  <c r="C19" i="215"/>
  <c r="C20" i="215" s="1"/>
  <c r="V237" i="164"/>
  <c r="I190" i="16"/>
  <c r="I191" i="16" s="1"/>
  <c r="I259" i="16" s="1"/>
  <c r="G87" i="185"/>
  <c r="G86" i="185"/>
  <c r="C20" i="92"/>
  <c r="C21" i="92"/>
  <c r="C150" i="93"/>
  <c r="R87" i="28"/>
  <c r="Q89" i="28"/>
  <c r="Q167" i="28" s="1"/>
  <c r="N89" i="70"/>
  <c r="N91" i="70" s="1"/>
  <c r="N166" i="70" s="1"/>
  <c r="T189" i="164"/>
  <c r="N40" i="70"/>
  <c r="C19" i="163"/>
  <c r="N44" i="70"/>
  <c r="S117" i="185"/>
  <c r="S123" i="185"/>
  <c r="T132" i="185"/>
  <c r="N79" i="70"/>
  <c r="H49" i="177"/>
  <c r="N122" i="70"/>
  <c r="N148" i="70"/>
  <c r="H49" i="195"/>
  <c r="J417" i="202"/>
  <c r="M14" i="164"/>
  <c r="L7" i="181"/>
  <c r="H7" i="209"/>
  <c r="H40" i="209" s="1"/>
  <c r="L7" i="202"/>
  <c r="N6" i="70"/>
  <c r="J7" i="186"/>
  <c r="I3" i="207"/>
  <c r="L7" i="157"/>
  <c r="Q6" i="175"/>
  <c r="Q6" i="28"/>
  <c r="M6" i="30"/>
  <c r="K6" i="195"/>
  <c r="L7" i="176"/>
  <c r="J7" i="179"/>
  <c r="O8" i="163"/>
  <c r="N7" i="13"/>
  <c r="N186" i="13" s="1"/>
  <c r="M6" i="180"/>
  <c r="M8" i="16"/>
  <c r="N7" i="164"/>
  <c r="N14" i="164" s="1"/>
  <c r="K7" i="92"/>
  <c r="L7" i="14"/>
  <c r="O7" i="20"/>
  <c r="G6" i="177"/>
  <c r="G34" i="203"/>
  <c r="G35" i="203" s="1"/>
  <c r="F34" i="203"/>
  <c r="F35" i="203" s="1"/>
  <c r="K90" i="157"/>
  <c r="K89" i="157"/>
  <c r="G68" i="209" s="1"/>
  <c r="G49" i="177"/>
  <c r="L39" i="176"/>
  <c r="L40" i="176" s="1"/>
  <c r="L54" i="181" s="1"/>
  <c r="G26" i="177"/>
  <c r="J89" i="179" s="1"/>
  <c r="J90" i="179" s="1"/>
  <c r="J39" i="176"/>
  <c r="J40" i="176" s="1"/>
  <c r="J54" i="181" s="1"/>
  <c r="H89" i="179"/>
  <c r="H90" i="179" s="1"/>
  <c r="E49" i="177"/>
  <c r="H64" i="202"/>
  <c r="H106" i="202"/>
  <c r="N103" i="70"/>
  <c r="N108" i="70"/>
  <c r="Q119" i="28"/>
  <c r="J51" i="181"/>
  <c r="C22" i="36"/>
  <c r="J40" i="181"/>
  <c r="F50" i="209"/>
  <c r="K143" i="13"/>
  <c r="F7" i="207" s="1"/>
  <c r="J25" i="16"/>
  <c r="G25" i="16"/>
  <c r="G27" i="16" s="1"/>
  <c r="H143" i="13"/>
  <c r="N80" i="70"/>
  <c r="Y85" i="28"/>
  <c r="V145" i="164"/>
  <c r="H128" i="16"/>
  <c r="H127" i="16"/>
  <c r="R89" i="186"/>
  <c r="P243" i="164"/>
  <c r="C17" i="28"/>
  <c r="N120" i="70"/>
  <c r="Q159" i="28"/>
  <c r="C15" i="89"/>
  <c r="N67" i="70"/>
  <c r="Q83" i="28"/>
  <c r="G33" i="13"/>
  <c r="F59" i="16" s="1"/>
  <c r="F72" i="16" s="1"/>
  <c r="J59" i="16"/>
  <c r="S244" i="164"/>
  <c r="I31" i="16"/>
  <c r="I32" i="16" s="1"/>
  <c r="I250" i="16" s="1"/>
  <c r="F10" i="185"/>
  <c r="G7" i="185" s="1"/>
  <c r="G10" i="185" s="1"/>
  <c r="H7" i="185" s="1"/>
  <c r="Q236" i="164"/>
  <c r="I88" i="16"/>
  <c r="I89" i="16" s="1"/>
  <c r="N113" i="70"/>
  <c r="N221" i="164"/>
  <c r="O221" i="164" s="1"/>
  <c r="P221" i="164" s="1"/>
  <c r="Q221" i="164" s="1"/>
  <c r="R221" i="164" s="1"/>
  <c r="S221" i="164" s="1"/>
  <c r="T221" i="164" s="1"/>
  <c r="U221" i="164" s="1"/>
  <c r="V221" i="164" s="1"/>
  <c r="W221" i="164" s="1"/>
  <c r="K196" i="16"/>
  <c r="E24" i="209"/>
  <c r="C23" i="45"/>
  <c r="C24" i="45" s="1"/>
  <c r="C15" i="90"/>
  <c r="C16" i="90" s="1"/>
  <c r="C18" i="35"/>
  <c r="H14" i="185"/>
  <c r="H83" i="185"/>
  <c r="R239" i="164"/>
  <c r="I13" i="176"/>
  <c r="I54" i="176"/>
  <c r="G51" i="209"/>
  <c r="K41" i="181"/>
  <c r="V209" i="164"/>
  <c r="T138" i="185"/>
  <c r="C18" i="28"/>
  <c r="M94" i="79"/>
  <c r="M122" i="79" s="1"/>
  <c r="C16" i="202"/>
  <c r="C17" i="202" s="1"/>
  <c r="G6" i="28"/>
  <c r="G162" i="28" s="1"/>
  <c r="H162" i="28"/>
  <c r="J16" i="177"/>
  <c r="I18" i="177"/>
  <c r="I17" i="177"/>
  <c r="H189" i="13"/>
  <c r="I45" i="181"/>
  <c r="E62" i="209"/>
  <c r="H51" i="195"/>
  <c r="J492" i="202"/>
  <c r="J467" i="202"/>
  <c r="M186" i="13"/>
  <c r="L208" i="16"/>
  <c r="L217" i="16"/>
  <c r="L207" i="16"/>
  <c r="L213" i="16"/>
  <c r="L209" i="16"/>
  <c r="L214" i="16"/>
  <c r="L219" i="16"/>
  <c r="L212" i="16"/>
  <c r="L215" i="16"/>
  <c r="L211" i="16"/>
  <c r="L218" i="16"/>
  <c r="L210" i="16"/>
  <c r="L216" i="16"/>
  <c r="F6" i="207"/>
  <c r="C21" i="209"/>
  <c r="H66" i="202"/>
  <c r="H108" i="202"/>
  <c r="C21" i="107"/>
  <c r="K189" i="13"/>
  <c r="R90" i="175"/>
  <c r="Q105" i="175"/>
  <c r="C48" i="195"/>
  <c r="C49" i="195" s="1"/>
  <c r="C22" i="46"/>
  <c r="C24" i="46" s="1"/>
  <c r="C25" i="46" s="1"/>
  <c r="C25" i="44"/>
  <c r="C20" i="19"/>
  <c r="G143" i="13"/>
  <c r="F25" i="16"/>
  <c r="F27" i="16" s="1"/>
  <c r="C20" i="14"/>
  <c r="N29" i="70"/>
  <c r="Q47" i="28"/>
  <c r="J64" i="181"/>
  <c r="H65" i="202"/>
  <c r="H107" i="202"/>
  <c r="H119" i="16"/>
  <c r="H120" i="16" s="1"/>
  <c r="H28" i="16"/>
  <c r="H29" i="16" s="1"/>
  <c r="H154" i="16"/>
  <c r="H155" i="16"/>
  <c r="H17" i="16"/>
  <c r="H18" i="16" s="1"/>
  <c r="H53" i="16"/>
  <c r="N133" i="70"/>
  <c r="F84" i="185"/>
  <c r="C20" i="78"/>
  <c r="C19" i="16"/>
  <c r="C26" i="162"/>
  <c r="C27" i="162" s="1"/>
  <c r="C74" i="20"/>
  <c r="C78" i="20" s="1"/>
  <c r="Q240" i="164"/>
  <c r="C22" i="93"/>
  <c r="E244" i="16"/>
  <c r="E20" i="16"/>
  <c r="E21" i="16" s="1"/>
  <c r="S116" i="185"/>
  <c r="R15" i="185"/>
  <c r="N95" i="70"/>
  <c r="D84" i="185"/>
  <c r="C17" i="157"/>
  <c r="C25" i="79"/>
  <c r="C23" i="106"/>
  <c r="C24" i="106" s="1"/>
  <c r="J172" i="70"/>
  <c r="AB142" i="185"/>
  <c r="AC141" i="185"/>
  <c r="C28" i="115"/>
  <c r="E16" i="185"/>
  <c r="F13" i="185" s="1"/>
  <c r="F16" i="185" s="1"/>
  <c r="G13" i="185" s="1"/>
  <c r="G16" i="185" s="1"/>
  <c r="H13" i="185" s="1"/>
  <c r="L82" i="20"/>
  <c r="M78" i="20"/>
  <c r="C20" i="86"/>
  <c r="D14" i="208"/>
  <c r="C18" i="165"/>
  <c r="K19" i="176"/>
  <c r="K27" i="181" s="1"/>
  <c r="H78" i="185"/>
  <c r="H84" i="185" s="1"/>
  <c r="H87" i="185" s="1"/>
  <c r="H8" i="185"/>
  <c r="K39" i="181"/>
  <c r="G49" i="209"/>
  <c r="J118" i="185"/>
  <c r="I119" i="185"/>
  <c r="I80" i="185" s="1"/>
  <c r="C17" i="164"/>
  <c r="N94" i="70"/>
  <c r="Q102" i="28"/>
  <c r="S140" i="185"/>
  <c r="R142" i="185"/>
  <c r="R23" i="185" s="1"/>
  <c r="C50" i="20"/>
  <c r="P235" i="164"/>
  <c r="N73" i="70"/>
  <c r="P162" i="175"/>
  <c r="P174" i="175"/>
  <c r="J61" i="195"/>
  <c r="J36" i="195"/>
  <c r="J74" i="195"/>
  <c r="J87" i="195"/>
  <c r="N72" i="70"/>
  <c r="E87" i="185"/>
  <c r="E86" i="185"/>
  <c r="F333" i="36"/>
  <c r="N78" i="70"/>
  <c r="F17" i="16"/>
  <c r="K42" i="181"/>
  <c r="G52" i="209"/>
  <c r="I202" i="16"/>
  <c r="I203" i="16" s="1"/>
  <c r="I260" i="16" s="1"/>
  <c r="P241" i="164"/>
  <c r="C19" i="13"/>
  <c r="C20" i="13" s="1"/>
  <c r="D209" i="172"/>
  <c r="D211" i="172" s="1"/>
  <c r="D208" i="172"/>
  <c r="I38" i="179"/>
  <c r="C24" i="104"/>
  <c r="C25" i="104" s="1"/>
  <c r="H25" i="203"/>
  <c r="H17" i="203" s="1"/>
  <c r="H94" i="16"/>
  <c r="H98" i="16" s="1"/>
  <c r="H109" i="16"/>
  <c r="H110" i="16" s="1"/>
  <c r="H171" i="16"/>
  <c r="H172" i="16"/>
  <c r="H141" i="16"/>
  <c r="H145" i="16" s="1"/>
  <c r="N84" i="70"/>
  <c r="O261" i="16"/>
  <c r="K50" i="207" s="1"/>
  <c r="P220" i="16"/>
  <c r="T86" i="175"/>
  <c r="G53" i="209"/>
  <c r="K43" i="181"/>
  <c r="N98" i="70"/>
  <c r="N129" i="70"/>
  <c r="T144" i="185"/>
  <c r="S30" i="185"/>
  <c r="R242" i="164"/>
  <c r="D21" i="13"/>
  <c r="S232" i="164"/>
  <c r="C19" i="175"/>
  <c r="C14" i="207"/>
  <c r="C15" i="207" s="1"/>
  <c r="W234" i="164"/>
  <c r="C20" i="102"/>
  <c r="N69" i="70"/>
  <c r="Q20" i="175"/>
  <c r="Q163" i="175" s="1"/>
  <c r="R9" i="175"/>
  <c r="C19" i="88"/>
  <c r="C20" i="100"/>
  <c r="L142" i="13"/>
  <c r="K14" i="16"/>
  <c r="F6" i="184"/>
  <c r="F10" i="184" s="1"/>
  <c r="E18" i="184"/>
  <c r="K67" i="179"/>
  <c r="K68" i="179" s="1"/>
  <c r="K69" i="179" s="1"/>
  <c r="L63" i="179"/>
  <c r="L66" i="179" s="1"/>
  <c r="Q9" i="185"/>
  <c r="R122" i="185"/>
  <c r="R124" i="185" s="1"/>
  <c r="AD90" i="79"/>
  <c r="L190" i="13"/>
  <c r="C21" i="100"/>
  <c r="AF146" i="185"/>
  <c r="AG145" i="185"/>
  <c r="K100" i="179"/>
  <c r="T233" i="164"/>
  <c r="S88" i="28"/>
  <c r="O90" i="70"/>
  <c r="P177" i="28"/>
  <c r="P162" i="28"/>
  <c r="K91" i="202"/>
  <c r="K24" i="202"/>
  <c r="C40" i="219" s="1"/>
  <c r="K28" i="202"/>
  <c r="K23" i="202"/>
  <c r="K49" i="202"/>
  <c r="K70" i="202"/>
  <c r="K21" i="202"/>
  <c r="C34" i="219" s="1"/>
  <c r="H68" i="157"/>
  <c r="H75" i="157" s="1"/>
  <c r="H95" i="157" s="1"/>
  <c r="H97" i="157" s="1"/>
  <c r="C22" i="96"/>
  <c r="C18" i="164"/>
  <c r="G189" i="13"/>
  <c r="C50" i="195"/>
  <c r="C51" i="195" s="1"/>
  <c r="AD93" i="79"/>
  <c r="C27" i="34"/>
  <c r="G48" i="209"/>
  <c r="K38" i="181"/>
  <c r="H185" i="16"/>
  <c r="H189" i="16" s="1"/>
  <c r="H72" i="16"/>
  <c r="H83" i="16"/>
  <c r="H87" i="16" s="1"/>
  <c r="H45" i="177"/>
  <c r="H46" i="177" s="1"/>
  <c r="H41" i="177"/>
  <c r="H42" i="177" s="1"/>
  <c r="N31" i="70"/>
  <c r="C19" i="214"/>
  <c r="AD91" i="79"/>
  <c r="C17" i="88"/>
  <c r="C18" i="88" s="1"/>
  <c r="C20" i="88"/>
  <c r="Q125" i="185"/>
  <c r="Q75" i="185" s="1"/>
  <c r="N131" i="70"/>
  <c r="G20" i="13"/>
  <c r="R69" i="175"/>
  <c r="Q84" i="175"/>
  <c r="Q165" i="175" s="1"/>
  <c r="L28" i="176" s="1"/>
  <c r="L50" i="181" s="1"/>
  <c r="N130" i="70"/>
  <c r="N264" i="16"/>
  <c r="J53" i="207" s="1"/>
  <c r="O232" i="16"/>
  <c r="C16" i="70"/>
  <c r="C24" i="217"/>
  <c r="C27" i="103"/>
  <c r="C19" i="181"/>
  <c r="C104" i="20" l="1"/>
  <c r="Q38" i="175"/>
  <c r="Q34" i="175"/>
  <c r="Q45" i="175"/>
  <c r="Q62" i="175"/>
  <c r="Q57" i="175"/>
  <c r="Q37" i="175"/>
  <c r="Q46" i="175"/>
  <c r="M48" i="70"/>
  <c r="M163" i="70" s="1"/>
  <c r="M156" i="70"/>
  <c r="M169" i="70" s="1"/>
  <c r="M105" i="70"/>
  <c r="M167" i="70" s="1"/>
  <c r="M115" i="70"/>
  <c r="M168" i="70" s="1"/>
  <c r="M86" i="70"/>
  <c r="M165" i="70" s="1"/>
  <c r="Q63" i="175"/>
  <c r="Q41" i="175"/>
  <c r="Q51" i="175"/>
  <c r="Q39" i="175"/>
  <c r="Q61" i="175"/>
  <c r="N12" i="30"/>
  <c r="O12" i="30" s="1"/>
  <c r="Q52" i="175"/>
  <c r="Q58" i="175"/>
  <c r="Q60" i="175"/>
  <c r="Q40" i="175"/>
  <c r="Q50" i="175"/>
  <c r="N10" i="30"/>
  <c r="O10" i="30" s="1"/>
  <c r="C22" i="92"/>
  <c r="O11" i="30"/>
  <c r="P11" i="30" s="1"/>
  <c r="C21" i="176"/>
  <c r="C17" i="70"/>
  <c r="C18" i="70" s="1"/>
  <c r="J121" i="181"/>
  <c r="J95" i="181"/>
  <c r="P12" i="30"/>
  <c r="P10" i="30"/>
  <c r="Q10" i="30" s="1"/>
  <c r="N13" i="30"/>
  <c r="O13" i="30" s="1"/>
  <c r="O15" i="163"/>
  <c r="O20" i="163" s="1"/>
  <c r="O38" i="163" s="1"/>
  <c r="O17" i="163"/>
  <c r="O22" i="163" s="1"/>
  <c r="O40" i="163" s="1"/>
  <c r="O16" i="163"/>
  <c r="O21" i="163" s="1"/>
  <c r="O39" i="163" s="1"/>
  <c r="L60" i="181" s="1"/>
  <c r="Q47" i="175"/>
  <c r="Q54" i="175"/>
  <c r="Q36" i="175"/>
  <c r="Q64" i="175"/>
  <c r="Q42" i="175"/>
  <c r="Q29" i="175"/>
  <c r="Q28" i="175"/>
  <c r="Q30" i="175"/>
  <c r="Q48" i="175"/>
  <c r="Q33" i="175"/>
  <c r="P24" i="175"/>
  <c r="P25" i="175"/>
  <c r="P22" i="175"/>
  <c r="P23" i="175"/>
  <c r="Q35" i="175"/>
  <c r="Q49" i="175"/>
  <c r="Q66" i="175"/>
  <c r="Q55" i="175"/>
  <c r="Q32" i="175"/>
  <c r="Q43" i="175"/>
  <c r="Q65" i="175"/>
  <c r="Q59" i="175"/>
  <c r="Q44" i="175"/>
  <c r="M86" i="164"/>
  <c r="L47" i="13"/>
  <c r="P223" i="164"/>
  <c r="N197" i="16"/>
  <c r="N101" i="164"/>
  <c r="O101" i="164" s="1"/>
  <c r="P101" i="164" s="1"/>
  <c r="Q101" i="164" s="1"/>
  <c r="R101" i="164" s="1"/>
  <c r="S101" i="164" s="1"/>
  <c r="T101" i="164" s="1"/>
  <c r="U101" i="164" s="1"/>
  <c r="V101" i="164" s="1"/>
  <c r="W101" i="164" s="1"/>
  <c r="M54" i="13"/>
  <c r="I52" i="207"/>
  <c r="G18" i="213"/>
  <c r="G38" i="203"/>
  <c r="G37" i="203"/>
  <c r="F38" i="203"/>
  <c r="F37" i="203"/>
  <c r="O92" i="172"/>
  <c r="N84" i="227"/>
  <c r="R9" i="28"/>
  <c r="O9" i="70" s="1"/>
  <c r="E345" i="202"/>
  <c r="Q170" i="28"/>
  <c r="L74" i="157" s="1"/>
  <c r="L43" i="181" s="1"/>
  <c r="R155" i="28"/>
  <c r="R151" i="28"/>
  <c r="R147" i="28"/>
  <c r="R143" i="28"/>
  <c r="R139" i="28"/>
  <c r="R135" i="28"/>
  <c r="R131" i="28"/>
  <c r="R127" i="28"/>
  <c r="R123" i="28"/>
  <c r="R158" i="28"/>
  <c r="R148" i="28"/>
  <c r="R145" i="28"/>
  <c r="R142" i="28"/>
  <c r="R132" i="28"/>
  <c r="R129" i="28"/>
  <c r="R126" i="28"/>
  <c r="R152" i="28"/>
  <c r="R149" i="28"/>
  <c r="R156" i="28"/>
  <c r="R150" i="28"/>
  <c r="R141" i="28"/>
  <c r="R137" i="28"/>
  <c r="R133" i="28"/>
  <c r="R122" i="28"/>
  <c r="R157" i="28"/>
  <c r="R144" i="28"/>
  <c r="R140" i="28"/>
  <c r="R136" i="28"/>
  <c r="R125" i="28"/>
  <c r="R121" i="28"/>
  <c r="R153" i="28"/>
  <c r="R146" i="28"/>
  <c r="R128" i="28"/>
  <c r="R124" i="28"/>
  <c r="R154" i="28"/>
  <c r="R138" i="28"/>
  <c r="R134" i="28"/>
  <c r="R130" i="28"/>
  <c r="Q169" i="28"/>
  <c r="L73" i="157" s="1"/>
  <c r="R116" i="28"/>
  <c r="R112" i="28"/>
  <c r="R108" i="28"/>
  <c r="R104" i="28"/>
  <c r="R115" i="28"/>
  <c r="R111" i="28"/>
  <c r="R107" i="28"/>
  <c r="R118" i="28"/>
  <c r="R114" i="28"/>
  <c r="R110" i="28"/>
  <c r="R109" i="28"/>
  <c r="R117" i="28"/>
  <c r="R106" i="28"/>
  <c r="R113" i="28"/>
  <c r="R105" i="28"/>
  <c r="Q168" i="28"/>
  <c r="L72" i="157" s="1"/>
  <c r="R99" i="28"/>
  <c r="R95" i="28"/>
  <c r="R91" i="28"/>
  <c r="R98" i="28"/>
  <c r="R94" i="28"/>
  <c r="R101" i="28"/>
  <c r="R97" i="28"/>
  <c r="R93" i="28"/>
  <c r="R100" i="28"/>
  <c r="R96" i="28"/>
  <c r="R92" i="28"/>
  <c r="Q166" i="28"/>
  <c r="R80" i="28"/>
  <c r="R76" i="28"/>
  <c r="R72" i="28"/>
  <c r="R68" i="28"/>
  <c r="R64" i="28"/>
  <c r="R79" i="28"/>
  <c r="R75" i="28"/>
  <c r="R71" i="28"/>
  <c r="R67" i="28"/>
  <c r="R78" i="28"/>
  <c r="R70" i="28"/>
  <c r="R77" i="28"/>
  <c r="R69" i="28"/>
  <c r="R82" i="28"/>
  <c r="R74" i="28"/>
  <c r="R66" i="28"/>
  <c r="R81" i="28"/>
  <c r="R73" i="28"/>
  <c r="R65" i="28"/>
  <c r="Q164" i="28"/>
  <c r="L69" i="157" s="1"/>
  <c r="R44" i="28"/>
  <c r="R40" i="28"/>
  <c r="R36" i="28"/>
  <c r="R32" i="28"/>
  <c r="R28" i="28"/>
  <c r="O29" i="70" s="1"/>
  <c r="R43" i="28"/>
  <c r="R39" i="28"/>
  <c r="R35" i="28"/>
  <c r="R31" i="28"/>
  <c r="O32" i="70" s="1"/>
  <c r="R45" i="28"/>
  <c r="R37" i="28"/>
  <c r="R29" i="28"/>
  <c r="R26" i="28"/>
  <c r="R42" i="28"/>
  <c r="R34" i="28"/>
  <c r="R30" i="28"/>
  <c r="R27" i="28"/>
  <c r="R41" i="28"/>
  <c r="R33" i="28"/>
  <c r="R46" i="28"/>
  <c r="R38" i="28"/>
  <c r="R25" i="28"/>
  <c r="S120" i="175"/>
  <c r="S124" i="175"/>
  <c r="S151" i="175"/>
  <c r="S155" i="175"/>
  <c r="S158" i="175"/>
  <c r="S128" i="175"/>
  <c r="S145" i="175"/>
  <c r="S121" i="175"/>
  <c r="S157" i="175"/>
  <c r="S142" i="175"/>
  <c r="S141" i="175"/>
  <c r="S148" i="175"/>
  <c r="S143" i="175"/>
  <c r="S152" i="175"/>
  <c r="S139" i="175"/>
  <c r="S146" i="175"/>
  <c r="S149" i="175"/>
  <c r="S123" i="175"/>
  <c r="S137" i="175"/>
  <c r="S147" i="175"/>
  <c r="S138" i="175"/>
  <c r="S133" i="175"/>
  <c r="S144" i="175"/>
  <c r="S129" i="175"/>
  <c r="S131" i="175"/>
  <c r="S122" i="175"/>
  <c r="S150" i="175"/>
  <c r="S135" i="175"/>
  <c r="S136" i="175"/>
  <c r="R166" i="175"/>
  <c r="S126" i="175"/>
  <c r="S153" i="175"/>
  <c r="S154" i="175"/>
  <c r="S127" i="175"/>
  <c r="S140" i="175"/>
  <c r="S125" i="175"/>
  <c r="S130" i="175"/>
  <c r="S156" i="175"/>
  <c r="S134" i="175"/>
  <c r="N156" i="70"/>
  <c r="N169" i="70" s="1"/>
  <c r="E121" i="202"/>
  <c r="E125" i="202"/>
  <c r="E131" i="202"/>
  <c r="E426" i="202"/>
  <c r="E123" i="202"/>
  <c r="L31" i="179"/>
  <c r="Q91" i="186"/>
  <c r="P93" i="186"/>
  <c r="U113" i="175"/>
  <c r="S14" i="175"/>
  <c r="U111" i="175"/>
  <c r="S19" i="28"/>
  <c r="T19" i="28" s="1"/>
  <c r="S18" i="175"/>
  <c r="I33" i="157"/>
  <c r="E31" i="209" s="1"/>
  <c r="I21" i="181"/>
  <c r="I87" i="181" s="1"/>
  <c r="O111" i="70"/>
  <c r="K40" i="181"/>
  <c r="O33" i="70"/>
  <c r="O112" i="70"/>
  <c r="J29" i="157"/>
  <c r="H26" i="177"/>
  <c r="K89" i="179" s="1"/>
  <c r="K90" i="179" s="1"/>
  <c r="E133" i="202"/>
  <c r="E130" i="202"/>
  <c r="E126" i="202"/>
  <c r="E119" i="202"/>
  <c r="E132" i="202"/>
  <c r="E124" i="202"/>
  <c r="E118" i="202"/>
  <c r="E129" i="202"/>
  <c r="E120" i="202"/>
  <c r="E128" i="202"/>
  <c r="E127" i="202"/>
  <c r="E351" i="202"/>
  <c r="E355" i="202"/>
  <c r="E354" i="202"/>
  <c r="E352" i="202"/>
  <c r="E344" i="202"/>
  <c r="E356" i="202"/>
  <c r="E419" i="202"/>
  <c r="E427" i="202"/>
  <c r="E350" i="202"/>
  <c r="E343" i="202"/>
  <c r="E358" i="202"/>
  <c r="E430" i="202"/>
  <c r="E423" i="202"/>
  <c r="E418" i="202"/>
  <c r="J418" i="202" s="1"/>
  <c r="J435" i="202" s="1"/>
  <c r="C3" i="219"/>
  <c r="H96" i="202"/>
  <c r="E347" i="202"/>
  <c r="E421" i="202"/>
  <c r="E433" i="202"/>
  <c r="E424" i="202"/>
  <c r="E429" i="202"/>
  <c r="E432" i="202"/>
  <c r="E420" i="202"/>
  <c r="E425" i="202"/>
  <c r="E428" i="202"/>
  <c r="E431" i="202"/>
  <c r="E346" i="202"/>
  <c r="E349" i="202"/>
  <c r="E348" i="202"/>
  <c r="E353" i="202"/>
  <c r="G6" i="175"/>
  <c r="G162" i="175" s="1"/>
  <c r="H162" i="175"/>
  <c r="C153" i="93"/>
  <c r="C154" i="93" s="1"/>
  <c r="N160" i="70"/>
  <c r="O145" i="70"/>
  <c r="E206" i="202"/>
  <c r="E208" i="202"/>
  <c r="E203" i="202"/>
  <c r="E204" i="202"/>
  <c r="E197" i="202"/>
  <c r="E207" i="202"/>
  <c r="E201" i="202"/>
  <c r="E198" i="202"/>
  <c r="E193" i="202"/>
  <c r="E202" i="202"/>
  <c r="E200" i="202"/>
  <c r="E205" i="202"/>
  <c r="E196" i="202"/>
  <c r="E195" i="202"/>
  <c r="E199" i="202"/>
  <c r="E194" i="202"/>
  <c r="E253" i="202"/>
  <c r="E251" i="202"/>
  <c r="E248" i="202"/>
  <c r="E255" i="202"/>
  <c r="E254" i="202"/>
  <c r="E243" i="202"/>
  <c r="E257" i="202"/>
  <c r="E245" i="202"/>
  <c r="E252" i="202"/>
  <c r="E246" i="202"/>
  <c r="E256" i="202"/>
  <c r="E247" i="202"/>
  <c r="E258" i="202"/>
  <c r="E250" i="202"/>
  <c r="E249" i="202"/>
  <c r="E244" i="202"/>
  <c r="K28" i="181"/>
  <c r="K98" i="181"/>
  <c r="C151" i="93"/>
  <c r="C17" i="90"/>
  <c r="C18" i="90" s="1"/>
  <c r="L144" i="13"/>
  <c r="H72" i="181"/>
  <c r="U114" i="175"/>
  <c r="U109" i="175"/>
  <c r="N263" i="16"/>
  <c r="J52" i="207" s="1"/>
  <c r="O228" i="16"/>
  <c r="E448" i="202"/>
  <c r="E449" i="202"/>
  <c r="E453" i="202"/>
  <c r="E443" i="202"/>
  <c r="E456" i="202"/>
  <c r="E454" i="202"/>
  <c r="E444" i="202"/>
  <c r="E457" i="202"/>
  <c r="E450" i="202"/>
  <c r="E455" i="202"/>
  <c r="E447" i="202"/>
  <c r="E446" i="202"/>
  <c r="E451" i="202"/>
  <c r="E445" i="202"/>
  <c r="E458" i="202"/>
  <c r="E452" i="202"/>
  <c r="E373" i="202"/>
  <c r="E378" i="202"/>
  <c r="E381" i="202"/>
  <c r="E380" i="202"/>
  <c r="E377" i="202"/>
  <c r="E379" i="202"/>
  <c r="E371" i="202"/>
  <c r="E370" i="202"/>
  <c r="E376" i="202"/>
  <c r="E375" i="202"/>
  <c r="E369" i="202"/>
  <c r="E382" i="202"/>
  <c r="E374" i="202"/>
  <c r="E372" i="202"/>
  <c r="E383" i="202"/>
  <c r="E368" i="202"/>
  <c r="E483" i="202"/>
  <c r="E481" i="202"/>
  <c r="E472" i="202"/>
  <c r="E474" i="202"/>
  <c r="E469" i="202"/>
  <c r="E473" i="202"/>
  <c r="E480" i="202"/>
  <c r="E482" i="202"/>
  <c r="E478" i="202"/>
  <c r="E479" i="202"/>
  <c r="E470" i="202"/>
  <c r="E475" i="202"/>
  <c r="E468" i="202"/>
  <c r="J468" i="202" s="1"/>
  <c r="J485" i="202" s="1"/>
  <c r="E471" i="202"/>
  <c r="E477" i="202"/>
  <c r="E476" i="202"/>
  <c r="C21" i="88"/>
  <c r="I19" i="177"/>
  <c r="I25" i="177" s="1"/>
  <c r="I26" i="177" s="1"/>
  <c r="L89" i="179" s="1"/>
  <c r="L90" i="179" s="1"/>
  <c r="C52" i="20"/>
  <c r="C55" i="20" s="1"/>
  <c r="H78" i="181"/>
  <c r="E299" i="202"/>
  <c r="E298" i="202"/>
  <c r="E301" i="202"/>
  <c r="E302" i="202"/>
  <c r="E305" i="202"/>
  <c r="E295" i="202"/>
  <c r="E294" i="202"/>
  <c r="E300" i="202"/>
  <c r="E307" i="202"/>
  <c r="E296" i="202"/>
  <c r="E306" i="202"/>
  <c r="E304" i="202"/>
  <c r="E293" i="202"/>
  <c r="E303" i="202"/>
  <c r="E297" i="202"/>
  <c r="E308" i="202"/>
  <c r="E170" i="202"/>
  <c r="E169" i="202"/>
  <c r="E175" i="202"/>
  <c r="E180" i="202"/>
  <c r="E183" i="202"/>
  <c r="E179" i="202"/>
  <c r="E168" i="202"/>
  <c r="E177" i="202"/>
  <c r="E171" i="202"/>
  <c r="E174" i="202"/>
  <c r="E181" i="202"/>
  <c r="E176" i="202"/>
  <c r="E182" i="202"/>
  <c r="E173" i="202"/>
  <c r="E178" i="202"/>
  <c r="E172" i="202"/>
  <c r="E398" i="202"/>
  <c r="E399" i="202"/>
  <c r="E393" i="202"/>
  <c r="E394" i="202"/>
  <c r="E405" i="202"/>
  <c r="E404" i="202"/>
  <c r="E408" i="202"/>
  <c r="E401" i="202"/>
  <c r="E395" i="202"/>
  <c r="E406" i="202"/>
  <c r="E407" i="202"/>
  <c r="E402" i="202"/>
  <c r="E396" i="202"/>
  <c r="E400" i="202"/>
  <c r="E403" i="202"/>
  <c r="E397" i="202"/>
  <c r="L160" i="13"/>
  <c r="L189" i="13" s="1"/>
  <c r="K15" i="16"/>
  <c r="K16" i="16" s="1"/>
  <c r="E320" i="202"/>
  <c r="E326" i="202"/>
  <c r="E322" i="202"/>
  <c r="E327" i="202"/>
  <c r="E330" i="202"/>
  <c r="E319" i="202"/>
  <c r="E324" i="202"/>
  <c r="E318" i="202"/>
  <c r="E325" i="202"/>
  <c r="E321" i="202"/>
  <c r="E329" i="202"/>
  <c r="E323" i="202"/>
  <c r="E331" i="202"/>
  <c r="E332" i="202"/>
  <c r="E333" i="202"/>
  <c r="E328" i="202"/>
  <c r="H113" i="181"/>
  <c r="H116" i="181" s="1"/>
  <c r="E508" i="202"/>
  <c r="E502" i="202"/>
  <c r="E495" i="202"/>
  <c r="E504" i="202"/>
  <c r="E497" i="202"/>
  <c r="E501" i="202"/>
  <c r="E499" i="202"/>
  <c r="E505" i="202"/>
  <c r="E503" i="202"/>
  <c r="E506" i="202"/>
  <c r="E496" i="202"/>
  <c r="E500" i="202"/>
  <c r="E493" i="202"/>
  <c r="J493" i="202" s="1"/>
  <c r="J510" i="202" s="1"/>
  <c r="E507" i="202"/>
  <c r="E498" i="202"/>
  <c r="E494" i="202"/>
  <c r="E268" i="202"/>
  <c r="E271" i="202"/>
  <c r="E279" i="202"/>
  <c r="E270" i="202"/>
  <c r="E277" i="202"/>
  <c r="E274" i="202"/>
  <c r="E272" i="202"/>
  <c r="E281" i="202"/>
  <c r="E276" i="202"/>
  <c r="E273" i="202"/>
  <c r="E269" i="202"/>
  <c r="E278" i="202"/>
  <c r="E275" i="202"/>
  <c r="E282" i="202"/>
  <c r="E280" i="202"/>
  <c r="E283" i="202"/>
  <c r="E153" i="202"/>
  <c r="E143" i="202"/>
  <c r="E149" i="202"/>
  <c r="E144" i="202"/>
  <c r="E156" i="202"/>
  <c r="E157" i="202"/>
  <c r="E148" i="202"/>
  <c r="E155" i="202"/>
  <c r="E152" i="202"/>
  <c r="E154" i="202"/>
  <c r="E150" i="202"/>
  <c r="E146" i="202"/>
  <c r="E147" i="202"/>
  <c r="E151" i="202"/>
  <c r="E158" i="202"/>
  <c r="E145" i="202"/>
  <c r="E218" i="202"/>
  <c r="E219" i="202"/>
  <c r="E233" i="202"/>
  <c r="E222" i="202"/>
  <c r="E232" i="202"/>
  <c r="E230" i="202"/>
  <c r="E220" i="202"/>
  <c r="E231" i="202"/>
  <c r="E224" i="202"/>
  <c r="E228" i="202"/>
  <c r="E226" i="202"/>
  <c r="E223" i="202"/>
  <c r="E221" i="202"/>
  <c r="E229" i="202"/>
  <c r="E227" i="202"/>
  <c r="E225" i="202"/>
  <c r="K65" i="181"/>
  <c r="G69" i="209"/>
  <c r="C23" i="105"/>
  <c r="C28" i="103"/>
  <c r="C29" i="103" s="1"/>
  <c r="E25" i="44"/>
  <c r="E21" i="45"/>
  <c r="J21" i="45" s="1"/>
  <c r="E19" i="72"/>
  <c r="BT21" i="44"/>
  <c r="S13" i="175"/>
  <c r="S11" i="175"/>
  <c r="U115" i="175"/>
  <c r="S15" i="175"/>
  <c r="U107" i="175"/>
  <c r="U112" i="175"/>
  <c r="U110" i="175"/>
  <c r="S10" i="175"/>
  <c r="S16" i="175"/>
  <c r="U87" i="175"/>
  <c r="S12" i="175"/>
  <c r="S17" i="175"/>
  <c r="U116" i="175"/>
  <c r="U94" i="175"/>
  <c r="U95" i="175"/>
  <c r="U91" i="175"/>
  <c r="U88" i="175"/>
  <c r="U100" i="175"/>
  <c r="V193" i="28"/>
  <c r="W180" i="175"/>
  <c r="U96" i="175"/>
  <c r="S19" i="175"/>
  <c r="U104" i="175"/>
  <c r="V104" i="175" s="1"/>
  <c r="U117" i="175"/>
  <c r="U93" i="175"/>
  <c r="U97" i="175"/>
  <c r="U89" i="175"/>
  <c r="V89" i="175" s="1"/>
  <c r="U99" i="175"/>
  <c r="U98" i="175"/>
  <c r="U101" i="175"/>
  <c r="U179" i="175"/>
  <c r="T192" i="28"/>
  <c r="W181" i="175"/>
  <c r="V194" i="28"/>
  <c r="U102" i="175"/>
  <c r="V102" i="175" s="1"/>
  <c r="T14" i="28"/>
  <c r="P14" i="70"/>
  <c r="U103" i="175"/>
  <c r="U92" i="175"/>
  <c r="V92" i="175" s="1"/>
  <c r="P19" i="70"/>
  <c r="I244" i="16"/>
  <c r="H162" i="16"/>
  <c r="H163" i="16" s="1"/>
  <c r="H164" i="16" s="1"/>
  <c r="H257" i="16" s="1"/>
  <c r="E257" i="16"/>
  <c r="E241" i="16"/>
  <c r="E245" i="16"/>
  <c r="E246" i="16" s="1"/>
  <c r="J27" i="16"/>
  <c r="J28" i="16" s="1"/>
  <c r="J29" i="16" s="1"/>
  <c r="H30" i="16"/>
  <c r="H31" i="16" s="1"/>
  <c r="H132" i="16"/>
  <c r="H133" i="16" s="1"/>
  <c r="H134" i="16" s="1"/>
  <c r="H255" i="16" s="1"/>
  <c r="I163" i="16"/>
  <c r="I164" i="16" s="1"/>
  <c r="I257" i="16" s="1"/>
  <c r="E46" i="207" s="1"/>
  <c r="H176" i="16"/>
  <c r="H177" i="16" s="1"/>
  <c r="H178" i="16" s="1"/>
  <c r="H258" i="16" s="1"/>
  <c r="H33" i="13"/>
  <c r="G59" i="16" s="1"/>
  <c r="K17" i="30"/>
  <c r="P10" i="70"/>
  <c r="T10" i="28"/>
  <c r="T21" i="28"/>
  <c r="P21" i="70"/>
  <c r="T15" i="28"/>
  <c r="P15" i="70"/>
  <c r="K19" i="30"/>
  <c r="N115" i="70"/>
  <c r="N168" i="70" s="1"/>
  <c r="U108" i="175"/>
  <c r="T118" i="175"/>
  <c r="P22" i="70"/>
  <c r="T22" i="28"/>
  <c r="L71" i="157"/>
  <c r="L40" i="181" s="1"/>
  <c r="S95" i="172"/>
  <c r="T18" i="70" s="1"/>
  <c r="G62" i="209"/>
  <c r="K45" i="181"/>
  <c r="O45" i="181"/>
  <c r="K62" i="209"/>
  <c r="F261" i="34"/>
  <c r="E14" i="214"/>
  <c r="AE261" i="34"/>
  <c r="F340" i="36"/>
  <c r="N94" i="36"/>
  <c r="N53" i="36"/>
  <c r="N217" i="36"/>
  <c r="N219" i="36" s="1"/>
  <c r="M130" i="36"/>
  <c r="M53" i="36"/>
  <c r="M217" i="36"/>
  <c r="M219" i="36" s="1"/>
  <c r="M301" i="36"/>
  <c r="M300" i="36"/>
  <c r="M240" i="36"/>
  <c r="M109" i="36"/>
  <c r="N68" i="36"/>
  <c r="M307" i="36"/>
  <c r="M309" i="36"/>
  <c r="M308" i="36"/>
  <c r="M237" i="36"/>
  <c r="M302" i="36"/>
  <c r="M93" i="36"/>
  <c r="M110" i="36"/>
  <c r="M137" i="36"/>
  <c r="M247" i="36"/>
  <c r="M62" i="36"/>
  <c r="M126" i="36"/>
  <c r="L67" i="103" s="1"/>
  <c r="M78" i="36"/>
  <c r="M132" i="36"/>
  <c r="M66" i="36"/>
  <c r="M312" i="36"/>
  <c r="M235" i="36"/>
  <c r="M233" i="36"/>
  <c r="M298" i="36"/>
  <c r="M260" i="36"/>
  <c r="M242" i="36"/>
  <c r="M151" i="36"/>
  <c r="M141" i="36"/>
  <c r="M107" i="36"/>
  <c r="M118" i="36"/>
  <c r="M262" i="36"/>
  <c r="M135" i="36"/>
  <c r="M91" i="36"/>
  <c r="M276" i="36"/>
  <c r="M68" i="36"/>
  <c r="M179" i="36"/>
  <c r="M88" i="36"/>
  <c r="M139" i="36"/>
  <c r="M256" i="36"/>
  <c r="M229" i="36"/>
  <c r="M81" i="36"/>
  <c r="M116" i="36"/>
  <c r="M92" i="36"/>
  <c r="L60" i="103" s="1"/>
  <c r="M85" i="36"/>
  <c r="M270" i="36"/>
  <c r="M323" i="36"/>
  <c r="M105" i="36"/>
  <c r="L62" i="103" s="1"/>
  <c r="M74" i="36"/>
  <c r="L59" i="103" s="1"/>
  <c r="M326" i="36"/>
  <c r="N159" i="36"/>
  <c r="N115" i="36"/>
  <c r="N286" i="36"/>
  <c r="N91" i="36"/>
  <c r="N226" i="36"/>
  <c r="N263" i="36"/>
  <c r="N184" i="36"/>
  <c r="M325" i="36"/>
  <c r="M269" i="36"/>
  <c r="M294" i="36"/>
  <c r="M114" i="36"/>
  <c r="M165" i="36"/>
  <c r="M263" i="36"/>
  <c r="M238" i="36"/>
  <c r="M82" i="36"/>
  <c r="M236" i="36"/>
  <c r="M127" i="36"/>
  <c r="M305" i="36"/>
  <c r="M80" i="36"/>
  <c r="M119" i="36"/>
  <c r="M101" i="36"/>
  <c r="M98" i="36"/>
  <c r="M122" i="36"/>
  <c r="M258" i="36"/>
  <c r="M133" i="36"/>
  <c r="M79" i="36"/>
  <c r="M125" i="36"/>
  <c r="L66" i="103" s="1"/>
  <c r="M95" i="36"/>
  <c r="M90" i="36"/>
  <c r="M310" i="36"/>
  <c r="N97" i="36"/>
  <c r="N77" i="36"/>
  <c r="N165" i="36"/>
  <c r="N310" i="36"/>
  <c r="M184" i="36"/>
  <c r="M280" i="36"/>
  <c r="M115" i="36"/>
  <c r="M148" i="36"/>
  <c r="M150" i="36"/>
  <c r="M180" i="36"/>
  <c r="M111" i="36"/>
  <c r="M120" i="36"/>
  <c r="M324" i="36"/>
  <c r="M268" i="36"/>
  <c r="M134" i="36"/>
  <c r="M293" i="36"/>
  <c r="M124" i="36"/>
  <c r="M138" i="36"/>
  <c r="M113" i="36"/>
  <c r="L64" i="103" s="1"/>
  <c r="M131" i="36"/>
  <c r="M295" i="36"/>
  <c r="M306" i="36"/>
  <c r="M259" i="36"/>
  <c r="M296" i="36"/>
  <c r="M267" i="36"/>
  <c r="M303" i="36"/>
  <c r="M63" i="36"/>
  <c r="M299" i="36"/>
  <c r="N295" i="36"/>
  <c r="N124" i="36"/>
  <c r="N270" i="36"/>
  <c r="N123" i="36"/>
  <c r="M65" i="103" s="1"/>
  <c r="N128" i="36"/>
  <c r="N244" i="36"/>
  <c r="N15" i="36"/>
  <c r="N102" i="36"/>
  <c r="N101" i="36"/>
  <c r="N247" i="36"/>
  <c r="N294" i="36"/>
  <c r="N82" i="36"/>
  <c r="N325" i="36"/>
  <c r="N66" i="36"/>
  <c r="N274" i="36"/>
  <c r="N245" i="36"/>
  <c r="N291" i="36"/>
  <c r="N258" i="36"/>
  <c r="N142" i="36"/>
  <c r="N151" i="36"/>
  <c r="N271" i="36"/>
  <c r="N148" i="36"/>
  <c r="N269" i="36"/>
  <c r="N20" i="36"/>
  <c r="N83" i="36"/>
  <c r="N63" i="36"/>
  <c r="N122" i="36"/>
  <c r="N140" i="36"/>
  <c r="N249" i="36"/>
  <c r="N275" i="36"/>
  <c r="N273" i="36"/>
  <c r="N150" i="36"/>
  <c r="N289" i="36"/>
  <c r="N290" i="36"/>
  <c r="N268" i="36"/>
  <c r="N144" i="36"/>
  <c r="N90" i="36"/>
  <c r="N121" i="36"/>
  <c r="N164" i="36"/>
  <c r="N327" i="36"/>
  <c r="N180" i="36"/>
  <c r="N264" i="36"/>
  <c r="N299" i="36"/>
  <c r="N293" i="36"/>
  <c r="N309" i="36"/>
  <c r="N324" i="36"/>
  <c r="N260" i="36"/>
  <c r="N137" i="36"/>
  <c r="N326" i="36"/>
  <c r="N297" i="36"/>
  <c r="N146" i="36"/>
  <c r="N133" i="36"/>
  <c r="N100" i="36"/>
  <c r="N92" i="36"/>
  <c r="M60" i="103" s="1"/>
  <c r="N112" i="36"/>
  <c r="N166" i="36"/>
  <c r="N283" i="36"/>
  <c r="N98" i="36"/>
  <c r="N303" i="36"/>
  <c r="N132" i="36"/>
  <c r="N76" i="36"/>
  <c r="N267" i="36"/>
  <c r="N89" i="36"/>
  <c r="N236" i="36"/>
  <c r="N235" i="36"/>
  <c r="N88" i="36"/>
  <c r="N231" i="36"/>
  <c r="N87" i="36"/>
  <c r="N85" i="36"/>
  <c r="N147" i="36"/>
  <c r="N129" i="36"/>
  <c r="N225" i="36"/>
  <c r="N107" i="36"/>
  <c r="N110" i="36"/>
  <c r="N238" i="36"/>
  <c r="N138" i="36"/>
  <c r="N250" i="36"/>
  <c r="N277" i="36"/>
  <c r="N240" i="36"/>
  <c r="N134" i="36"/>
  <c r="N104" i="36"/>
  <c r="N109" i="36"/>
  <c r="M250" i="36"/>
  <c r="M103" i="36"/>
  <c r="L61" i="103" s="1"/>
  <c r="M136" i="36"/>
  <c r="M285" i="36"/>
  <c r="M146" i="36"/>
  <c r="M273" i="36"/>
  <c r="M112" i="36"/>
  <c r="M265" i="36"/>
  <c r="M241" i="36"/>
  <c r="M291" i="36"/>
  <c r="M102" i="36"/>
  <c r="M225" i="36"/>
  <c r="M272" i="36"/>
  <c r="M77" i="36"/>
  <c r="M128" i="36"/>
  <c r="M261" i="36"/>
  <c r="M147" i="36"/>
  <c r="M292" i="36"/>
  <c r="M162" i="36"/>
  <c r="M96" i="36"/>
  <c r="M89" i="36"/>
  <c r="M287" i="36"/>
  <c r="M264" i="36"/>
  <c r="M163" i="36"/>
  <c r="L75" i="103" s="1"/>
  <c r="M327" i="36"/>
  <c r="M255" i="36"/>
  <c r="M16" i="36"/>
  <c r="L17" i="103" s="1"/>
  <c r="M251" i="36"/>
  <c r="M75" i="36"/>
  <c r="M286" i="36"/>
  <c r="M304" i="36"/>
  <c r="M99" i="36"/>
  <c r="M76" i="36"/>
  <c r="M246" i="36"/>
  <c r="M278" i="36"/>
  <c r="M149" i="36"/>
  <c r="M83" i="36"/>
  <c r="M84" i="36"/>
  <c r="M20" i="36"/>
  <c r="M140" i="36"/>
  <c r="M231" i="36"/>
  <c r="O267" i="34"/>
  <c r="M94" i="36"/>
  <c r="M164" i="36"/>
  <c r="M121" i="36"/>
  <c r="M117" i="36"/>
  <c r="M249" i="36"/>
  <c r="M257" i="36"/>
  <c r="M266" i="36"/>
  <c r="M87" i="36"/>
  <c r="M145" i="36"/>
  <c r="M166" i="36"/>
  <c r="M283" i="36"/>
  <c r="M281" i="36"/>
  <c r="M15" i="36"/>
  <c r="M160" i="36"/>
  <c r="M129" i="36"/>
  <c r="M245" i="36"/>
  <c r="M159" i="36"/>
  <c r="M252" i="36"/>
  <c r="M279" i="36"/>
  <c r="M297" i="36"/>
  <c r="M284" i="36"/>
  <c r="M282" i="36"/>
  <c r="M277" i="36"/>
  <c r="M226" i="36"/>
  <c r="M144" i="36"/>
  <c r="M271" i="36"/>
  <c r="M311" i="36"/>
  <c r="M100" i="36"/>
  <c r="M106" i="36"/>
  <c r="L63" i="103" s="1"/>
  <c r="M239" i="36"/>
  <c r="M248" i="36"/>
  <c r="M322" i="36"/>
  <c r="M244" i="36"/>
  <c r="M70" i="36"/>
  <c r="M275" i="36"/>
  <c r="M161" i="36"/>
  <c r="M143" i="36"/>
  <c r="M97" i="36"/>
  <c r="M288" i="36"/>
  <c r="M108" i="36"/>
  <c r="M253" i="36"/>
  <c r="M123" i="36"/>
  <c r="L65" i="103" s="1"/>
  <c r="M290" i="36"/>
  <c r="M243" i="36"/>
  <c r="M289" i="36"/>
  <c r="M86" i="36"/>
  <c r="M223" i="36"/>
  <c r="M254" i="36"/>
  <c r="M104" i="36"/>
  <c r="M274" i="36"/>
  <c r="M142" i="36"/>
  <c r="N162" i="36"/>
  <c r="N237" i="36"/>
  <c r="N80" i="36"/>
  <c r="N278" i="36"/>
  <c r="N298" i="36"/>
  <c r="N323" i="36"/>
  <c r="N246" i="36"/>
  <c r="N81" i="36"/>
  <c r="N282" i="36"/>
  <c r="N296" i="36"/>
  <c r="N301" i="36"/>
  <c r="N306" i="36"/>
  <c r="N261" i="36"/>
  <c r="N322" i="36"/>
  <c r="N272" i="36"/>
  <c r="N252" i="36"/>
  <c r="N111" i="36"/>
  <c r="N242" i="36"/>
  <c r="N78" i="36"/>
  <c r="N75" i="36"/>
  <c r="N302" i="36"/>
  <c r="N259" i="36"/>
  <c r="N241" i="36"/>
  <c r="N103" i="36"/>
  <c r="M61" i="103" s="1"/>
  <c r="N62" i="36"/>
  <c r="N139" i="36"/>
  <c r="N308" i="36"/>
  <c r="N93" i="36"/>
  <c r="N255" i="36"/>
  <c r="N163" i="36"/>
  <c r="M75" i="103" s="1"/>
  <c r="N74" i="36"/>
  <c r="M59" i="103" s="1"/>
  <c r="N70" i="36"/>
  <c r="N253" i="36"/>
  <c r="N300" i="36"/>
  <c r="N95" i="36"/>
  <c r="N251" i="36"/>
  <c r="N127" i="36"/>
  <c r="N311" i="36"/>
  <c r="N161" i="36"/>
  <c r="N149" i="36"/>
  <c r="N292" i="36"/>
  <c r="N279" i="36"/>
  <c r="N114" i="36"/>
  <c r="N288" i="36"/>
  <c r="N160" i="36"/>
  <c r="N229" i="36"/>
  <c r="N284" i="36"/>
  <c r="N265" i="36"/>
  <c r="N305" i="36"/>
  <c r="N79" i="36"/>
  <c r="N145" i="36"/>
  <c r="P267" i="34"/>
  <c r="N84" i="36"/>
  <c r="N266" i="36"/>
  <c r="N136" i="36"/>
  <c r="N312" i="36"/>
  <c r="N120" i="36"/>
  <c r="N248" i="36"/>
  <c r="N141" i="36"/>
  <c r="N262" i="36"/>
  <c r="N287" i="36"/>
  <c r="N179" i="36"/>
  <c r="N254" i="36"/>
  <c r="N257" i="36"/>
  <c r="N307" i="36"/>
  <c r="N285" i="36"/>
  <c r="N256" i="36"/>
  <c r="N130" i="36"/>
  <c r="N281" i="36"/>
  <c r="N118" i="36"/>
  <c r="N125" i="36"/>
  <c r="M66" i="103" s="1"/>
  <c r="N126" i="36"/>
  <c r="M67" i="103" s="1"/>
  <c r="N96" i="36"/>
  <c r="N223" i="36"/>
  <c r="N280" i="36"/>
  <c r="N304" i="36"/>
  <c r="N116" i="36"/>
  <c r="N239" i="36"/>
  <c r="N119" i="36"/>
  <c r="N135" i="36"/>
  <c r="N16" i="36"/>
  <c r="M17" i="103" s="1"/>
  <c r="N276" i="36"/>
  <c r="N86" i="36"/>
  <c r="N108" i="36"/>
  <c r="N143" i="36"/>
  <c r="N106" i="36"/>
  <c r="M63" i="103" s="1"/>
  <c r="N99" i="36"/>
  <c r="N131" i="36"/>
  <c r="N117" i="36"/>
  <c r="N233" i="36"/>
  <c r="N243" i="36"/>
  <c r="N105" i="36"/>
  <c r="M62" i="103" s="1"/>
  <c r="N113" i="36"/>
  <c r="M64" i="103" s="1"/>
  <c r="C79" i="20"/>
  <c r="C26" i="46"/>
  <c r="C27" i="46" s="1"/>
  <c r="H56" i="202"/>
  <c r="H98" i="202"/>
  <c r="I251" i="16"/>
  <c r="I76" i="16"/>
  <c r="I240" i="16" s="1"/>
  <c r="H15" i="157" s="1"/>
  <c r="H15" i="181" s="1"/>
  <c r="C29" i="162"/>
  <c r="C30" i="162" s="1"/>
  <c r="E41" i="207"/>
  <c r="H9" i="202"/>
  <c r="E48" i="207"/>
  <c r="H19" i="202"/>
  <c r="E47" i="207"/>
  <c r="H18" i="202"/>
  <c r="H88" i="16"/>
  <c r="H89" i="16" s="1"/>
  <c r="R125" i="185"/>
  <c r="R75" i="185" s="1"/>
  <c r="E49" i="207"/>
  <c r="H20" i="202"/>
  <c r="F40" i="16"/>
  <c r="F53" i="16" s="1"/>
  <c r="G144" i="13"/>
  <c r="C21" i="214"/>
  <c r="C20" i="214"/>
  <c r="K40" i="16"/>
  <c r="K144" i="13"/>
  <c r="J40" i="16"/>
  <c r="Q8" i="185"/>
  <c r="Q78" i="185"/>
  <c r="H190" i="16"/>
  <c r="H191" i="16" s="1"/>
  <c r="H259" i="16" s="1"/>
  <c r="K492" i="202"/>
  <c r="F18" i="184"/>
  <c r="G6" i="184"/>
  <c r="G10" i="184" s="1"/>
  <c r="H21" i="13"/>
  <c r="G42" i="16" s="1"/>
  <c r="D22" i="13"/>
  <c r="D24" i="13"/>
  <c r="J42" i="16"/>
  <c r="D23" i="13"/>
  <c r="T116" i="185"/>
  <c r="S15" i="185"/>
  <c r="H146" i="16"/>
  <c r="H147" i="16" s="1"/>
  <c r="H256" i="16" s="1"/>
  <c r="H99" i="16"/>
  <c r="H100" i="16" s="1"/>
  <c r="H254" i="16" s="1"/>
  <c r="C22" i="100"/>
  <c r="C23" i="100" s="1"/>
  <c r="C24" i="100" s="1"/>
  <c r="C25" i="100" s="1"/>
  <c r="F18" i="16"/>
  <c r="F19" i="16" s="1"/>
  <c r="Q235" i="164"/>
  <c r="S122" i="185"/>
  <c r="S124" i="185" s="1"/>
  <c r="R9" i="185"/>
  <c r="L41" i="181"/>
  <c r="H51" i="209"/>
  <c r="I83" i="185"/>
  <c r="I84" i="185" s="1"/>
  <c r="I14" i="185"/>
  <c r="C19" i="165"/>
  <c r="C20" i="165" s="1"/>
  <c r="N78" i="20"/>
  <c r="M82" i="20"/>
  <c r="AD141" i="185"/>
  <c r="AC142" i="185"/>
  <c r="C18" i="157"/>
  <c r="C20" i="157" s="1"/>
  <c r="F25" i="209"/>
  <c r="N48" i="70"/>
  <c r="N163" i="70" s="1"/>
  <c r="D34" i="13"/>
  <c r="M142" i="13"/>
  <c r="L14" i="16"/>
  <c r="N250" i="34"/>
  <c r="M227" i="215"/>
  <c r="M123" i="79"/>
  <c r="L346" i="36" s="1"/>
  <c r="C22" i="35"/>
  <c r="C21" i="35"/>
  <c r="R236" i="164"/>
  <c r="C20" i="181"/>
  <c r="C21" i="181" s="1"/>
  <c r="T244" i="164"/>
  <c r="F28" i="209"/>
  <c r="O80" i="70"/>
  <c r="J19" i="16"/>
  <c r="K64" i="181"/>
  <c r="M213" i="16"/>
  <c r="M219" i="16"/>
  <c r="M208" i="16"/>
  <c r="M207" i="16"/>
  <c r="M212" i="16"/>
  <c r="M209" i="16"/>
  <c r="M214" i="16"/>
  <c r="M217" i="16"/>
  <c r="M211" i="16"/>
  <c r="M215" i="16"/>
  <c r="M218" i="16"/>
  <c r="M216" i="16"/>
  <c r="M210" i="16"/>
  <c r="Q162" i="28"/>
  <c r="Q177" i="28"/>
  <c r="P26" i="175"/>
  <c r="G18" i="16"/>
  <c r="G19" i="16" s="1"/>
  <c r="E45" i="207"/>
  <c r="H16" i="202"/>
  <c r="E44" i="207"/>
  <c r="H15" i="202"/>
  <c r="C25" i="217"/>
  <c r="C26" i="217" s="1"/>
  <c r="S69" i="175"/>
  <c r="R84" i="175"/>
  <c r="R165" i="175" s="1"/>
  <c r="M28" i="176" s="1"/>
  <c r="M50" i="181" s="1"/>
  <c r="H20" i="13"/>
  <c r="O31" i="70"/>
  <c r="K25" i="16"/>
  <c r="L143" i="13"/>
  <c r="E7" i="213" s="1"/>
  <c r="C52" i="195"/>
  <c r="C22" i="107"/>
  <c r="C23" i="107" s="1"/>
  <c r="P90" i="70"/>
  <c r="T88" i="28"/>
  <c r="O69" i="70"/>
  <c r="C22" i="14"/>
  <c r="U144" i="185"/>
  <c r="T30" i="185"/>
  <c r="O129" i="70"/>
  <c r="I41" i="177"/>
  <c r="I42" i="177" s="1"/>
  <c r="I45" i="177"/>
  <c r="I46" i="177" s="1"/>
  <c r="O84" i="70"/>
  <c r="C16" i="207"/>
  <c r="S142" i="185"/>
  <c r="S23" i="185" s="1"/>
  <c r="T140" i="185"/>
  <c r="N105" i="70"/>
  <c r="N167" i="70" s="1"/>
  <c r="C19" i="164"/>
  <c r="K118" i="185"/>
  <c r="J119" i="185"/>
  <c r="J80" i="185" s="1"/>
  <c r="D87" i="185"/>
  <c r="D86" i="185"/>
  <c r="C21" i="102"/>
  <c r="C20" i="16"/>
  <c r="C21" i="78"/>
  <c r="C22" i="78"/>
  <c r="C23" i="78" s="1"/>
  <c r="C24" i="78" s="1"/>
  <c r="C25" i="78" s="1"/>
  <c r="F28" i="16"/>
  <c r="F29" i="16" s="1"/>
  <c r="F30" i="16" s="1"/>
  <c r="C27" i="79"/>
  <c r="L15" i="16"/>
  <c r="M160" i="13"/>
  <c r="L100" i="179"/>
  <c r="C18" i="202"/>
  <c r="C19" i="202" s="1"/>
  <c r="C20" i="202" s="1"/>
  <c r="C19" i="28"/>
  <c r="S239" i="164"/>
  <c r="C31" i="115"/>
  <c r="H10" i="185"/>
  <c r="I7" i="185" s="1"/>
  <c r="I10" i="185" s="1"/>
  <c r="J7" i="185" s="1"/>
  <c r="J10" i="185" s="1"/>
  <c r="K7" i="185" s="1"/>
  <c r="K10" i="185" s="1"/>
  <c r="L7" i="185" s="1"/>
  <c r="L10" i="185" s="1"/>
  <c r="M7" i="185" s="1"/>
  <c r="M10" i="185" s="1"/>
  <c r="N7" i="185" s="1"/>
  <c r="N10" i="185" s="1"/>
  <c r="O7" i="185" s="1"/>
  <c r="O10" i="185" s="1"/>
  <c r="P7" i="185" s="1"/>
  <c r="P10" i="185" s="1"/>
  <c r="Q7" i="185" s="1"/>
  <c r="W145" i="164"/>
  <c r="C25" i="36"/>
  <c r="R119" i="28"/>
  <c r="R169" i="28" s="1"/>
  <c r="M73" i="157" s="1"/>
  <c r="Q174" i="175"/>
  <c r="Q162" i="175"/>
  <c r="C16" i="89"/>
  <c r="K38" i="179"/>
  <c r="U132" i="185"/>
  <c r="T123" i="185"/>
  <c r="T117" i="185"/>
  <c r="O44" i="70"/>
  <c r="U189" i="164"/>
  <c r="W237" i="164"/>
  <c r="C27" i="104"/>
  <c r="F27" i="209"/>
  <c r="O264" i="16"/>
  <c r="K53" i="207" s="1"/>
  <c r="P232" i="16"/>
  <c r="C29" i="34"/>
  <c r="K467" i="202"/>
  <c r="AH145" i="185"/>
  <c r="AG146" i="185"/>
  <c r="L67" i="179"/>
  <c r="L68" i="179" s="1"/>
  <c r="L69" i="179" s="1"/>
  <c r="M63" i="179"/>
  <c r="M66" i="179" s="1"/>
  <c r="O98" i="70"/>
  <c r="I47" i="92"/>
  <c r="K107" i="181"/>
  <c r="Q241" i="164"/>
  <c r="O78" i="70"/>
  <c r="C23" i="96"/>
  <c r="C24" i="96" s="1"/>
  <c r="O94" i="70"/>
  <c r="L19" i="176"/>
  <c r="L27" i="181" s="1"/>
  <c r="C25" i="106"/>
  <c r="C26" i="106" s="1"/>
  <c r="C28" i="106" s="1"/>
  <c r="E249" i="16"/>
  <c r="E234" i="16"/>
  <c r="E34" i="16"/>
  <c r="E239" i="16" s="1"/>
  <c r="H54" i="16"/>
  <c r="H55" i="16" s="1"/>
  <c r="H48" i="209"/>
  <c r="L38" i="181"/>
  <c r="F23" i="207"/>
  <c r="J18" i="177"/>
  <c r="J17" i="177"/>
  <c r="K16" i="177"/>
  <c r="E18" i="209"/>
  <c r="I19" i="181"/>
  <c r="I120" i="181" s="1"/>
  <c r="O113" i="70"/>
  <c r="I253" i="16"/>
  <c r="N86" i="70"/>
  <c r="N165" i="70" s="1"/>
  <c r="Q243" i="164"/>
  <c r="F29" i="209"/>
  <c r="G28" i="16"/>
  <c r="J38" i="179"/>
  <c r="G40" i="203"/>
  <c r="I7" i="209"/>
  <c r="I40" i="209" s="1"/>
  <c r="M7" i="202"/>
  <c r="M7" i="176"/>
  <c r="J3" i="207"/>
  <c r="M7" i="157"/>
  <c r="K7" i="179"/>
  <c r="R6" i="28"/>
  <c r="O6" i="70"/>
  <c r="O160" i="70" s="1"/>
  <c r="K7" i="186"/>
  <c r="L6" i="195"/>
  <c r="M7" i="181"/>
  <c r="R6" i="175"/>
  <c r="N6" i="30"/>
  <c r="P8" i="163"/>
  <c r="O7" i="13"/>
  <c r="O186" i="13" s="1"/>
  <c r="M7" i="14"/>
  <c r="O7" i="164"/>
  <c r="O14" i="164" s="1"/>
  <c r="H6" i="177"/>
  <c r="L7" i="92"/>
  <c r="N6" i="180"/>
  <c r="P7" i="20"/>
  <c r="N8" i="16"/>
  <c r="K74" i="195"/>
  <c r="K36" i="195"/>
  <c r="K61" i="195"/>
  <c r="K87" i="195"/>
  <c r="L90" i="157"/>
  <c r="L89" i="157"/>
  <c r="H68" i="209" s="1"/>
  <c r="L28" i="202"/>
  <c r="L21" i="202"/>
  <c r="D34" i="219" s="1"/>
  <c r="L24" i="202"/>
  <c r="D40" i="219" s="1"/>
  <c r="L70" i="202"/>
  <c r="L23" i="202"/>
  <c r="L91" i="202"/>
  <c r="L49" i="202"/>
  <c r="F26" i="209"/>
  <c r="O89" i="70"/>
  <c r="O91" i="70" s="1"/>
  <c r="O166" i="70" s="1"/>
  <c r="S87" i="28"/>
  <c r="R89" i="28"/>
  <c r="R167" i="28" s="1"/>
  <c r="G208" i="172"/>
  <c r="G209" i="172" s="1"/>
  <c r="O130" i="70"/>
  <c r="H73" i="16"/>
  <c r="H74" i="16" s="1"/>
  <c r="H252" i="16" s="1"/>
  <c r="K417" i="202"/>
  <c r="U233" i="164"/>
  <c r="G24" i="207"/>
  <c r="C23" i="209"/>
  <c r="G6" i="207"/>
  <c r="S9" i="175"/>
  <c r="R20" i="175"/>
  <c r="R163" i="175" s="1"/>
  <c r="M29" i="176" s="1"/>
  <c r="M51" i="181" s="1"/>
  <c r="T232" i="164"/>
  <c r="S242" i="164"/>
  <c r="U86" i="175"/>
  <c r="P261" i="16"/>
  <c r="L50" i="207" s="1"/>
  <c r="Q220" i="16"/>
  <c r="I25" i="203"/>
  <c r="I17" i="203" s="1"/>
  <c r="C25" i="45"/>
  <c r="O73" i="70"/>
  <c r="C21" i="13"/>
  <c r="H16" i="185"/>
  <c r="I13" i="185" s="1"/>
  <c r="I16" i="185" s="1"/>
  <c r="J13" i="185" s="1"/>
  <c r="C23" i="93"/>
  <c r="R240" i="164"/>
  <c r="C20" i="175"/>
  <c r="F86" i="185"/>
  <c r="F87" i="185"/>
  <c r="O133" i="70"/>
  <c r="H19" i="16"/>
  <c r="R47" i="28"/>
  <c r="R164" i="28" s="1"/>
  <c r="M69" i="157" s="1"/>
  <c r="C21" i="19"/>
  <c r="S90" i="175"/>
  <c r="R105" i="175"/>
  <c r="M161" i="13"/>
  <c r="M190" i="13" s="1"/>
  <c r="H24" i="207" s="1"/>
  <c r="L26" i="16"/>
  <c r="L29" i="176"/>
  <c r="L51" i="181" s="1"/>
  <c r="U138" i="185"/>
  <c r="W209" i="164"/>
  <c r="I15" i="176"/>
  <c r="I21" i="176" s="1"/>
  <c r="I23" i="176" s="1"/>
  <c r="F73" i="16"/>
  <c r="F74" i="16" s="1"/>
  <c r="F252" i="16" s="1"/>
  <c r="H53" i="209"/>
  <c r="S89" i="186"/>
  <c r="T89" i="186" s="1"/>
  <c r="D15" i="208"/>
  <c r="D16" i="208" s="1"/>
  <c r="D17" i="208" s="1"/>
  <c r="D18" i="208" s="1"/>
  <c r="Z85" i="28"/>
  <c r="C27" i="44"/>
  <c r="H52" i="209"/>
  <c r="L42" i="181"/>
  <c r="H38" i="179"/>
  <c r="F40" i="203"/>
  <c r="O148" i="70"/>
  <c r="O79" i="70"/>
  <c r="C20" i="163"/>
  <c r="C24" i="92"/>
  <c r="C21" i="215"/>
  <c r="J30" i="176"/>
  <c r="O167" i="175"/>
  <c r="O168" i="175" s="1"/>
  <c r="C22" i="102"/>
  <c r="C23" i="102" s="1"/>
  <c r="I249" i="16"/>
  <c r="I34" i="16"/>
  <c r="I239" i="16" s="1"/>
  <c r="H14" i="157" s="1"/>
  <c r="Q11" i="30" l="1"/>
  <c r="P13" i="30"/>
  <c r="Q13" i="30" s="1"/>
  <c r="R13" i="30" s="1"/>
  <c r="C23" i="176"/>
  <c r="C19" i="70"/>
  <c r="C20" i="70" s="1"/>
  <c r="C21" i="70" s="1"/>
  <c r="U89" i="186"/>
  <c r="R11" i="30"/>
  <c r="Q12" i="30"/>
  <c r="R10" i="30"/>
  <c r="S10" i="30" s="1"/>
  <c r="P15" i="163"/>
  <c r="P20" i="163" s="1"/>
  <c r="P38" i="163" s="1"/>
  <c r="P17" i="163"/>
  <c r="P22" i="163" s="1"/>
  <c r="P40" i="163" s="1"/>
  <c r="P16" i="163"/>
  <c r="P21" i="163" s="1"/>
  <c r="P39" i="163" s="1"/>
  <c r="I70" i="209" s="1"/>
  <c r="P11" i="163"/>
  <c r="P10" i="163" s="1"/>
  <c r="P12" i="163"/>
  <c r="Q25" i="175"/>
  <c r="Q24" i="175"/>
  <c r="Q67" i="175"/>
  <c r="R65" i="175" s="1"/>
  <c r="R36" i="175"/>
  <c r="Q23" i="175"/>
  <c r="R33" i="175"/>
  <c r="R29" i="175"/>
  <c r="Q22" i="175"/>
  <c r="R48" i="175"/>
  <c r="Q223" i="164"/>
  <c r="O197" i="16"/>
  <c r="N86" i="164"/>
  <c r="O86" i="164" s="1"/>
  <c r="P86" i="164" s="1"/>
  <c r="Q86" i="164" s="1"/>
  <c r="R86" i="164" s="1"/>
  <c r="S86" i="164" s="1"/>
  <c r="T86" i="164" s="1"/>
  <c r="U86" i="164" s="1"/>
  <c r="V86" i="164" s="1"/>
  <c r="W86" i="164" s="1"/>
  <c r="M47" i="13"/>
  <c r="S9" i="28"/>
  <c r="P9" i="70" s="1"/>
  <c r="P92" i="172"/>
  <c r="O84" i="227"/>
  <c r="O149" i="70"/>
  <c r="O136" i="70"/>
  <c r="O140" i="70"/>
  <c r="O151" i="70"/>
  <c r="O150" i="70"/>
  <c r="O137" i="70"/>
  <c r="O153" i="70"/>
  <c r="O126" i="70"/>
  <c r="O128" i="70"/>
  <c r="O144" i="70"/>
  <c r="O125" i="70"/>
  <c r="O154" i="70"/>
  <c r="O138" i="70"/>
  <c r="O139" i="70"/>
  <c r="O152" i="70"/>
  <c r="O122" i="70"/>
  <c r="O135" i="70"/>
  <c r="O143" i="70"/>
  <c r="O119" i="70"/>
  <c r="O147" i="70"/>
  <c r="O123" i="70"/>
  <c r="O142" i="70"/>
  <c r="O124" i="70"/>
  <c r="R159" i="28"/>
  <c r="R170" i="28" s="1"/>
  <c r="M74" i="157" s="1"/>
  <c r="O131" i="70"/>
  <c r="O120" i="70"/>
  <c r="O127" i="70"/>
  <c r="S124" i="28"/>
  <c r="O121" i="70"/>
  <c r="O118" i="70"/>
  <c r="O141" i="70"/>
  <c r="O134" i="70"/>
  <c r="O146" i="70"/>
  <c r="O155" i="70"/>
  <c r="O132" i="70"/>
  <c r="S109" i="28"/>
  <c r="S107" i="28"/>
  <c r="S110" i="28"/>
  <c r="S112" i="28"/>
  <c r="S106" i="28"/>
  <c r="S114" i="28"/>
  <c r="O110" i="70"/>
  <c r="S115" i="28"/>
  <c r="S116" i="28"/>
  <c r="S105" i="28"/>
  <c r="S108" i="28"/>
  <c r="S113" i="28"/>
  <c r="O109" i="70"/>
  <c r="S111" i="28"/>
  <c r="O108" i="70"/>
  <c r="S117" i="28"/>
  <c r="S118" i="28"/>
  <c r="O114" i="70"/>
  <c r="S104" i="28"/>
  <c r="O100" i="70"/>
  <c r="O95" i="70"/>
  <c r="R102" i="28"/>
  <c r="R168" i="28" s="1"/>
  <c r="M72" i="157" s="1"/>
  <c r="I51" i="209" s="1"/>
  <c r="O99" i="70"/>
  <c r="O104" i="70"/>
  <c r="O97" i="70"/>
  <c r="O102" i="70"/>
  <c r="O103" i="70"/>
  <c r="O96" i="70"/>
  <c r="S98" i="28"/>
  <c r="O101" i="70"/>
  <c r="O82" i="70"/>
  <c r="O68" i="70"/>
  <c r="O77" i="70"/>
  <c r="O75" i="70"/>
  <c r="O76" i="70"/>
  <c r="O85" i="70"/>
  <c r="O81" i="70"/>
  <c r="R83" i="28"/>
  <c r="R166" i="28" s="1"/>
  <c r="M71" i="157" s="1"/>
  <c r="O70" i="70"/>
  <c r="O83" i="70"/>
  <c r="O72" i="70"/>
  <c r="O67" i="70"/>
  <c r="O74" i="70"/>
  <c r="O71" i="70"/>
  <c r="S33" i="28"/>
  <c r="O34" i="70"/>
  <c r="S34" i="28"/>
  <c r="S37" i="28"/>
  <c r="O38" i="70"/>
  <c r="S39" i="28"/>
  <c r="P40" i="70" s="1"/>
  <c r="S36" i="28"/>
  <c r="O37" i="70"/>
  <c r="O40" i="70"/>
  <c r="S25" i="28"/>
  <c r="O26" i="70"/>
  <c r="S41" i="28"/>
  <c r="O42" i="70"/>
  <c r="S42" i="28"/>
  <c r="O43" i="70"/>
  <c r="S45" i="28"/>
  <c r="O46" i="70"/>
  <c r="S43" i="28"/>
  <c r="S40" i="28"/>
  <c r="O41" i="70"/>
  <c r="S38" i="28"/>
  <c r="O39" i="70"/>
  <c r="S27" i="28"/>
  <c r="O28" i="70"/>
  <c r="S26" i="28"/>
  <c r="O27" i="70"/>
  <c r="S31" i="28"/>
  <c r="S28" i="28"/>
  <c r="S44" i="28"/>
  <c r="O45" i="70"/>
  <c r="O35" i="70"/>
  <c r="S46" i="28"/>
  <c r="O47" i="70"/>
  <c r="S30" i="28"/>
  <c r="S29" i="28"/>
  <c r="O30" i="70"/>
  <c r="S35" i="28"/>
  <c r="O36" i="70"/>
  <c r="S32" i="28"/>
  <c r="S159" i="175"/>
  <c r="T132" i="175" s="1"/>
  <c r="M31" i="179"/>
  <c r="T18" i="175"/>
  <c r="R91" i="186"/>
  <c r="Q93" i="186"/>
  <c r="V97" i="175"/>
  <c r="V91" i="175"/>
  <c r="P112" i="70"/>
  <c r="K26" i="157"/>
  <c r="K20" i="157" s="1"/>
  <c r="J26" i="157"/>
  <c r="J20" i="157" s="1"/>
  <c r="N39" i="176"/>
  <c r="N40" i="176" s="1"/>
  <c r="N54" i="181" s="1"/>
  <c r="I49" i="177"/>
  <c r="J19" i="177"/>
  <c r="J25" i="177" s="1"/>
  <c r="O39" i="176" s="1"/>
  <c r="O40" i="176" s="1"/>
  <c r="O54" i="181" s="1"/>
  <c r="G23" i="207"/>
  <c r="K418" i="202"/>
  <c r="K419" i="202" s="1"/>
  <c r="K435" i="202" s="1"/>
  <c r="K59" i="16"/>
  <c r="K468" i="202"/>
  <c r="K469" i="202" s="1"/>
  <c r="C19" i="90"/>
  <c r="C20" i="90"/>
  <c r="C21" i="90" s="1"/>
  <c r="C22" i="90" s="1"/>
  <c r="C23" i="90" s="1"/>
  <c r="C56" i="20"/>
  <c r="C58" i="20" s="1"/>
  <c r="C155" i="93"/>
  <c r="D3" i="219"/>
  <c r="Q10" i="185"/>
  <c r="R7" i="185" s="1"/>
  <c r="V98" i="175"/>
  <c r="O263" i="16"/>
  <c r="K52" i="207" s="1"/>
  <c r="P228" i="16"/>
  <c r="E265" i="16"/>
  <c r="C26" i="36"/>
  <c r="C30" i="36" s="1"/>
  <c r="C29" i="36"/>
  <c r="L28" i="181"/>
  <c r="L98" i="181"/>
  <c r="C24" i="107"/>
  <c r="V114" i="175"/>
  <c r="F7" i="213"/>
  <c r="C28" i="36"/>
  <c r="L65" i="181"/>
  <c r="H69" i="209"/>
  <c r="C24" i="105"/>
  <c r="C25" i="105" s="1"/>
  <c r="C27" i="105" s="1"/>
  <c r="C30" i="103"/>
  <c r="C31" i="103"/>
  <c r="BU21" i="44"/>
  <c r="AO12" i="44"/>
  <c r="AO21" i="44" s="1"/>
  <c r="E20" i="72"/>
  <c r="E22" i="45"/>
  <c r="J22" i="45" s="1"/>
  <c r="I16" i="105" s="1"/>
  <c r="E26" i="44"/>
  <c r="T13" i="175"/>
  <c r="T15" i="175"/>
  <c r="T11" i="175"/>
  <c r="T19" i="175"/>
  <c r="T10" i="175"/>
  <c r="V93" i="175"/>
  <c r="T17" i="175"/>
  <c r="T12" i="175"/>
  <c r="U14" i="28"/>
  <c r="Q14" i="70"/>
  <c r="V111" i="175"/>
  <c r="X180" i="175"/>
  <c r="W193" i="28"/>
  <c r="W102" i="175" s="1"/>
  <c r="V110" i="175"/>
  <c r="V112" i="175"/>
  <c r="V95" i="175"/>
  <c r="V103" i="175"/>
  <c r="V101" i="175"/>
  <c r="V107" i="175"/>
  <c r="V99" i="175"/>
  <c r="V96" i="175"/>
  <c r="V100" i="175"/>
  <c r="T14" i="175"/>
  <c r="T16" i="175"/>
  <c r="V115" i="175"/>
  <c r="H50" i="209"/>
  <c r="X181" i="175"/>
  <c r="W194" i="28"/>
  <c r="V109" i="175"/>
  <c r="V179" i="175"/>
  <c r="U192" i="28"/>
  <c r="V113" i="175"/>
  <c r="V116" i="175"/>
  <c r="V117" i="175"/>
  <c r="V88" i="175"/>
  <c r="V94" i="175"/>
  <c r="V87" i="175"/>
  <c r="Q19" i="70"/>
  <c r="U19" i="28"/>
  <c r="K31" i="157"/>
  <c r="G29" i="209" s="1"/>
  <c r="H32" i="16"/>
  <c r="H250" i="16" s="1"/>
  <c r="H17" i="202"/>
  <c r="H101" i="202" s="1"/>
  <c r="I241" i="16"/>
  <c r="H16" i="157" s="1"/>
  <c r="H16" i="181" s="1"/>
  <c r="I245" i="16"/>
  <c r="I246" i="16" s="1"/>
  <c r="I234" i="16"/>
  <c r="I237" i="16" s="1"/>
  <c r="I238" i="16" s="1"/>
  <c r="K493" i="202"/>
  <c r="K494" i="202" s="1"/>
  <c r="K510" i="202" s="1"/>
  <c r="Q10" i="70"/>
  <c r="U10" i="28"/>
  <c r="U21" i="28"/>
  <c r="Q21" i="70"/>
  <c r="U22" i="28"/>
  <c r="Q22" i="70"/>
  <c r="K27" i="157"/>
  <c r="G25" i="209" s="1"/>
  <c r="K29" i="157"/>
  <c r="G27" i="209" s="1"/>
  <c r="U15" i="28"/>
  <c r="Q15" i="70"/>
  <c r="K28" i="157"/>
  <c r="G26" i="209" s="1"/>
  <c r="V108" i="175"/>
  <c r="U118" i="175"/>
  <c r="T95" i="172"/>
  <c r="U18" i="70" s="1"/>
  <c r="N329" i="36"/>
  <c r="N332" i="36" s="1"/>
  <c r="M329" i="36"/>
  <c r="M332" i="36" s="1"/>
  <c r="M58" i="103"/>
  <c r="M76" i="103" s="1"/>
  <c r="L58" i="103"/>
  <c r="L76" i="103" s="1"/>
  <c r="L53" i="36"/>
  <c r="L217" i="36"/>
  <c r="L219" i="36" s="1"/>
  <c r="M51" i="103"/>
  <c r="M53" i="103" s="1"/>
  <c r="N55" i="36"/>
  <c r="L51" i="103"/>
  <c r="L53" i="103" s="1"/>
  <c r="M55" i="36"/>
  <c r="C27" i="36"/>
  <c r="L16" i="103"/>
  <c r="L22" i="103" s="1"/>
  <c r="M16" i="103"/>
  <c r="M22" i="103" s="1"/>
  <c r="C29" i="79"/>
  <c r="C30" i="79" s="1"/>
  <c r="C31" i="79" s="1"/>
  <c r="C32" i="79" s="1"/>
  <c r="L20" i="214"/>
  <c r="C28" i="217"/>
  <c r="M186" i="36"/>
  <c r="M328" i="36"/>
  <c r="N22" i="36"/>
  <c r="M167" i="36"/>
  <c r="K20" i="214"/>
  <c r="M22" i="36"/>
  <c r="N186" i="36"/>
  <c r="N328" i="36"/>
  <c r="N167" i="36"/>
  <c r="M19" i="176"/>
  <c r="M27" i="181" s="1"/>
  <c r="H251" i="16"/>
  <c r="H76" i="16"/>
  <c r="H240" i="16" s="1"/>
  <c r="G15" i="157" s="1"/>
  <c r="G15" i="181" s="1"/>
  <c r="F20" i="16"/>
  <c r="F21" i="16" s="1"/>
  <c r="H253" i="16"/>
  <c r="H241" i="16"/>
  <c r="G16" i="157" s="1"/>
  <c r="G16" i="181" s="1"/>
  <c r="C29" i="46"/>
  <c r="C30" i="46"/>
  <c r="J511" i="202"/>
  <c r="J87" i="202" s="1"/>
  <c r="J45" i="202"/>
  <c r="C26" i="107"/>
  <c r="F31" i="16"/>
  <c r="F32" i="16" s="1"/>
  <c r="F250" i="16" s="1"/>
  <c r="C24" i="90"/>
  <c r="J42" i="202"/>
  <c r="J436" i="202"/>
  <c r="J84" i="202" s="1"/>
  <c r="G20" i="16"/>
  <c r="G21" i="16" s="1"/>
  <c r="J52" i="181"/>
  <c r="J55" i="181" s="1"/>
  <c r="J31" i="176"/>
  <c r="J52" i="176" s="1"/>
  <c r="E40" i="207"/>
  <c r="I265" i="16"/>
  <c r="H8" i="202"/>
  <c r="C25" i="92"/>
  <c r="S47" i="28"/>
  <c r="S164" i="28" s="1"/>
  <c r="N69" i="157" s="1"/>
  <c r="S240" i="164"/>
  <c r="C22" i="13"/>
  <c r="C23" i="13" s="1"/>
  <c r="J25" i="203"/>
  <c r="J17" i="203" s="1"/>
  <c r="U232" i="164"/>
  <c r="V233" i="164"/>
  <c r="M40" i="16"/>
  <c r="L417" i="202"/>
  <c r="L418" i="202" s="1"/>
  <c r="M25" i="16"/>
  <c r="I7" i="207"/>
  <c r="M89" i="157"/>
  <c r="I68" i="209" s="1"/>
  <c r="M90" i="157"/>
  <c r="P113" i="70"/>
  <c r="C25" i="96"/>
  <c r="AH146" i="185"/>
  <c r="AI145" i="185"/>
  <c r="AI146" i="185" s="1"/>
  <c r="K47" i="92"/>
  <c r="M107" i="181"/>
  <c r="C30" i="107"/>
  <c r="C31" i="107" s="1"/>
  <c r="M42" i="181"/>
  <c r="I52" i="209"/>
  <c r="T239" i="164"/>
  <c r="J14" i="185"/>
  <c r="J16" i="185" s="1"/>
  <c r="K13" i="185" s="1"/>
  <c r="J83" i="185"/>
  <c r="J84" i="185" s="1"/>
  <c r="U140" i="185"/>
  <c r="T142" i="185"/>
  <c r="T23" i="185" s="1"/>
  <c r="Q90" i="70"/>
  <c r="U88" i="28"/>
  <c r="L25" i="16"/>
  <c r="L27" i="16" s="1"/>
  <c r="M143" i="13"/>
  <c r="H7" i="207" s="1"/>
  <c r="S84" i="175"/>
  <c r="S165" i="175" s="1"/>
  <c r="N28" i="176" s="1"/>
  <c r="N50" i="181" s="1"/>
  <c r="T69" i="175"/>
  <c r="C28" i="96"/>
  <c r="C29" i="96" s="1"/>
  <c r="C30" i="96" s="1"/>
  <c r="S236" i="164"/>
  <c r="L16" i="16"/>
  <c r="D41" i="13"/>
  <c r="D37" i="13"/>
  <c r="D39" i="13"/>
  <c r="J61" i="16"/>
  <c r="D36" i="13"/>
  <c r="H34" i="13"/>
  <c r="G61" i="16" s="1"/>
  <c r="D42" i="13"/>
  <c r="D40" i="13"/>
  <c r="D35" i="13"/>
  <c r="D38" i="13"/>
  <c r="D43" i="13"/>
  <c r="AD142" i="185"/>
  <c r="AE141" i="185"/>
  <c r="H60" i="202"/>
  <c r="H102" i="202"/>
  <c r="C31" i="162"/>
  <c r="E42" i="207"/>
  <c r="H11" i="202"/>
  <c r="F7" i="203"/>
  <c r="F39" i="203"/>
  <c r="J30" i="16"/>
  <c r="C30" i="104"/>
  <c r="V138" i="185"/>
  <c r="M144" i="13"/>
  <c r="H8" i="207" s="1"/>
  <c r="L40" i="16"/>
  <c r="T87" i="28"/>
  <c r="S89" i="28"/>
  <c r="S167" i="28" s="1"/>
  <c r="P89" i="70"/>
  <c r="P91" i="70" s="1"/>
  <c r="P166" i="70" s="1"/>
  <c r="L467" i="202"/>
  <c r="I24" i="207"/>
  <c r="M26" i="16"/>
  <c r="R174" i="175"/>
  <c r="R162" i="175"/>
  <c r="G29" i="16"/>
  <c r="G30" i="16" s="1"/>
  <c r="E43" i="207"/>
  <c r="H13" i="202"/>
  <c r="C26" i="45"/>
  <c r="C27" i="45" s="1"/>
  <c r="M100" i="179"/>
  <c r="C21" i="16"/>
  <c r="C22" i="70"/>
  <c r="R241" i="164"/>
  <c r="N63" i="179"/>
  <c r="N66" i="179" s="1"/>
  <c r="M67" i="179"/>
  <c r="M68" i="179" s="1"/>
  <c r="M69" i="179" s="1"/>
  <c r="C31" i="34"/>
  <c r="V189" i="164"/>
  <c r="U117" i="185"/>
  <c r="V132" i="185"/>
  <c r="U123" i="185"/>
  <c r="S119" i="28"/>
  <c r="S169" i="28" s="1"/>
  <c r="N73" i="157" s="1"/>
  <c r="C22" i="181"/>
  <c r="L118" i="185"/>
  <c r="K119" i="185"/>
  <c r="K80" i="185" s="1"/>
  <c r="S9" i="185"/>
  <c r="T122" i="185"/>
  <c r="T124" i="185" s="1"/>
  <c r="H100" i="202"/>
  <c r="H58" i="202"/>
  <c r="H6" i="207"/>
  <c r="C21" i="157"/>
  <c r="C23" i="157" s="1"/>
  <c r="C27" i="100"/>
  <c r="J41" i="177"/>
  <c r="J42" i="177" s="1"/>
  <c r="J45" i="177"/>
  <c r="J46" i="177" s="1"/>
  <c r="D25" i="13"/>
  <c r="J46" i="16"/>
  <c r="F54" i="16"/>
  <c r="F55" i="16" s="1"/>
  <c r="C80" i="20"/>
  <c r="C82" i="20" s="1"/>
  <c r="H14" i="181"/>
  <c r="C22" i="215"/>
  <c r="C21" i="163"/>
  <c r="C22" i="163" s="1"/>
  <c r="H47" i="92"/>
  <c r="J107" i="181"/>
  <c r="I33" i="176"/>
  <c r="I42" i="176" s="1"/>
  <c r="I56" i="176"/>
  <c r="I58" i="176" s="1"/>
  <c r="T90" i="175"/>
  <c r="S105" i="175"/>
  <c r="C25" i="93"/>
  <c r="C26" i="93"/>
  <c r="C27" i="93" s="1"/>
  <c r="C28" i="93" s="1"/>
  <c r="H203" i="172"/>
  <c r="H207" i="172" s="1"/>
  <c r="G211" i="172"/>
  <c r="C156" i="93"/>
  <c r="L64" i="181"/>
  <c r="M15" i="16"/>
  <c r="J7" i="209"/>
  <c r="J40" i="209" s="1"/>
  <c r="N7" i="181"/>
  <c r="K3" i="207"/>
  <c r="N7" i="202"/>
  <c r="O6" i="30"/>
  <c r="M6" i="195"/>
  <c r="L7" i="179"/>
  <c r="S6" i="28"/>
  <c r="N7" i="176"/>
  <c r="P6" i="70"/>
  <c r="L7" i="186"/>
  <c r="N7" i="157"/>
  <c r="S6" i="175"/>
  <c r="M7" i="92"/>
  <c r="I34" i="203" s="1"/>
  <c r="I35" i="203" s="1"/>
  <c r="P7" i="13"/>
  <c r="P186" i="13" s="1"/>
  <c r="I6" i="177"/>
  <c r="Q7" i="20"/>
  <c r="P7" i="164"/>
  <c r="P14" i="164" s="1"/>
  <c r="O6" i="180"/>
  <c r="O8" i="16"/>
  <c r="N7" i="14"/>
  <c r="Q8" i="163"/>
  <c r="H34" i="203"/>
  <c r="H35" i="203" s="1"/>
  <c r="O12" i="13"/>
  <c r="O142" i="13" s="1"/>
  <c r="O13" i="13"/>
  <c r="O160" i="13" s="1"/>
  <c r="O17" i="13"/>
  <c r="O161" i="13" s="1"/>
  <c r="O190" i="13" s="1"/>
  <c r="O16" i="13"/>
  <c r="O143" i="13" s="1"/>
  <c r="O20" i="13"/>
  <c r="R162" i="28"/>
  <c r="R177" i="28"/>
  <c r="G14" i="203"/>
  <c r="M82" i="227" s="1"/>
  <c r="L107" i="181"/>
  <c r="J47" i="92"/>
  <c r="M41" i="181"/>
  <c r="P44" i="70"/>
  <c r="C32" i="115"/>
  <c r="C24" i="102"/>
  <c r="C26" i="102" s="1"/>
  <c r="C17" i="207"/>
  <c r="C29" i="104"/>
  <c r="U116" i="185"/>
  <c r="T15" i="185"/>
  <c r="C29" i="107"/>
  <c r="G7" i="207"/>
  <c r="H144" i="13"/>
  <c r="G40" i="16"/>
  <c r="H57" i="202"/>
  <c r="H99" i="202"/>
  <c r="K30" i="176"/>
  <c r="P167" i="175"/>
  <c r="P168" i="175" s="1"/>
  <c r="L62" i="36"/>
  <c r="L245" i="36"/>
  <c r="L92" i="36"/>
  <c r="K60" i="103" s="1"/>
  <c r="L164" i="36"/>
  <c r="L127" i="36"/>
  <c r="L147" i="36"/>
  <c r="L161" i="36"/>
  <c r="L82" i="36"/>
  <c r="L122" i="36"/>
  <c r="L112" i="36"/>
  <c r="L128" i="36"/>
  <c r="L179" i="36"/>
  <c r="L63" i="36"/>
  <c r="L102" i="36"/>
  <c r="L98" i="36"/>
  <c r="L101" i="36"/>
  <c r="L263" i="36"/>
  <c r="L243" i="36"/>
  <c r="L285" i="36"/>
  <c r="L100" i="36"/>
  <c r="L94" i="36"/>
  <c r="L160" i="36"/>
  <c r="L180" i="36"/>
  <c r="L95" i="36"/>
  <c r="L307" i="36"/>
  <c r="L260" i="36"/>
  <c r="L229" i="36"/>
  <c r="L86" i="36"/>
  <c r="L259" i="36"/>
  <c r="L131" i="36"/>
  <c r="L165" i="36"/>
  <c r="L242" i="36"/>
  <c r="L124" i="36"/>
  <c r="L279" i="36"/>
  <c r="L125" i="36"/>
  <c r="K66" i="103" s="1"/>
  <c r="L132" i="36"/>
  <c r="L136" i="36"/>
  <c r="L78" i="36"/>
  <c r="L70" i="36"/>
  <c r="L134" i="36"/>
  <c r="L286" i="36"/>
  <c r="L74" i="36"/>
  <c r="K59" i="103" s="1"/>
  <c r="L240" i="36"/>
  <c r="L137" i="36"/>
  <c r="L326" i="36"/>
  <c r="L278" i="36"/>
  <c r="L119" i="36"/>
  <c r="L146" i="36"/>
  <c r="L323" i="36"/>
  <c r="L250" i="36"/>
  <c r="L129" i="36"/>
  <c r="L297" i="36"/>
  <c r="L283" i="36"/>
  <c r="L303" i="36"/>
  <c r="L309" i="36"/>
  <c r="L272" i="36"/>
  <c r="L16" i="36"/>
  <c r="K17" i="103" s="1"/>
  <c r="L238" i="36"/>
  <c r="L226" i="36"/>
  <c r="L85" i="36"/>
  <c r="L133" i="36"/>
  <c r="L299" i="36"/>
  <c r="L280" i="36"/>
  <c r="L120" i="36"/>
  <c r="L107" i="36"/>
  <c r="L150" i="36"/>
  <c r="L90" i="36"/>
  <c r="L144" i="36"/>
  <c r="L75" i="36"/>
  <c r="L87" i="36"/>
  <c r="L109" i="36"/>
  <c r="L324" i="36"/>
  <c r="L96" i="36"/>
  <c r="L225" i="36"/>
  <c r="L126" i="36"/>
  <c r="K67" i="103" s="1"/>
  <c r="L265" i="36"/>
  <c r="L288" i="36"/>
  <c r="L148" i="36"/>
  <c r="L310" i="36"/>
  <c r="L143" i="36"/>
  <c r="L281" i="36"/>
  <c r="L108" i="36"/>
  <c r="L162" i="36"/>
  <c r="L274" i="36"/>
  <c r="L97" i="36"/>
  <c r="L305" i="36"/>
  <c r="L66" i="36"/>
  <c r="L117" i="36"/>
  <c r="L271" i="36"/>
  <c r="L264" i="36"/>
  <c r="L255" i="36"/>
  <c r="L312" i="36"/>
  <c r="L140" i="36"/>
  <c r="L253" i="36"/>
  <c r="L282" i="36"/>
  <c r="L306" i="36"/>
  <c r="L266" i="36"/>
  <c r="L91" i="36"/>
  <c r="L247" i="36"/>
  <c r="L254" i="36"/>
  <c r="L237" i="36"/>
  <c r="L184" i="36"/>
  <c r="L276" i="36"/>
  <c r="L298" i="36"/>
  <c r="L83" i="36"/>
  <c r="L300" i="36"/>
  <c r="L139" i="36"/>
  <c r="L88" i="36"/>
  <c r="L15" i="36"/>
  <c r="L80" i="36"/>
  <c r="L287" i="36"/>
  <c r="L223" i="36"/>
  <c r="L327" i="36"/>
  <c r="L81" i="36"/>
  <c r="L302" i="36"/>
  <c r="L235" i="36"/>
  <c r="L163" i="36"/>
  <c r="K75" i="103" s="1"/>
  <c r="L141" i="36"/>
  <c r="L290" i="36"/>
  <c r="L135" i="36"/>
  <c r="L294" i="36"/>
  <c r="L251" i="36"/>
  <c r="L311" i="36"/>
  <c r="L233" i="36"/>
  <c r="L269" i="36"/>
  <c r="L268" i="36"/>
  <c r="L296" i="36"/>
  <c r="L289" i="36"/>
  <c r="L325" i="36"/>
  <c r="L262" i="36"/>
  <c r="L84" i="36"/>
  <c r="L149" i="36"/>
  <c r="L20" i="36"/>
  <c r="L277" i="36"/>
  <c r="L257" i="36"/>
  <c r="L116" i="36"/>
  <c r="L270" i="36"/>
  <c r="L118" i="36"/>
  <c r="L138" i="36"/>
  <c r="L89" i="36"/>
  <c r="L105" i="36"/>
  <c r="K62" i="103" s="1"/>
  <c r="L113" i="36"/>
  <c r="K64" i="103" s="1"/>
  <c r="L236" i="36"/>
  <c r="L252" i="36"/>
  <c r="L151" i="36"/>
  <c r="L104" i="36"/>
  <c r="L145" i="36"/>
  <c r="L68" i="36"/>
  <c r="L322" i="36"/>
  <c r="L258" i="36"/>
  <c r="L256" i="36"/>
  <c r="L111" i="36"/>
  <c r="L246" i="36"/>
  <c r="L295" i="36"/>
  <c r="L249" i="36"/>
  <c r="L275" i="36"/>
  <c r="L110" i="36"/>
  <c r="L166" i="36"/>
  <c r="L261" i="36"/>
  <c r="L231" i="36"/>
  <c r="L248" i="36"/>
  <c r="L244" i="36"/>
  <c r="L99" i="36"/>
  <c r="L267" i="36"/>
  <c r="L292" i="36"/>
  <c r="N267" i="34"/>
  <c r="L293" i="36"/>
  <c r="L301" i="36"/>
  <c r="L106" i="36"/>
  <c r="K63" i="103" s="1"/>
  <c r="L79" i="36"/>
  <c r="L77" i="36"/>
  <c r="L114" i="36"/>
  <c r="L93" i="36"/>
  <c r="L241" i="36"/>
  <c r="L291" i="36"/>
  <c r="L304" i="36"/>
  <c r="L308" i="36"/>
  <c r="L130" i="36"/>
  <c r="L273" i="36"/>
  <c r="L103" i="36"/>
  <c r="K61" i="103" s="1"/>
  <c r="L142" i="36"/>
  <c r="L123" i="36"/>
  <c r="K65" i="103" s="1"/>
  <c r="L239" i="36"/>
  <c r="L76" i="36"/>
  <c r="L115" i="36"/>
  <c r="L159" i="36"/>
  <c r="L121" i="36"/>
  <c r="L284" i="36"/>
  <c r="C21" i="165"/>
  <c r="G8" i="207"/>
  <c r="H61" i="202"/>
  <c r="H103" i="202"/>
  <c r="H51" i="202"/>
  <c r="H93" i="202"/>
  <c r="F14" i="203"/>
  <c r="L82" i="227" s="1"/>
  <c r="D19" i="208"/>
  <c r="D20" i="208" s="1"/>
  <c r="D21" i="208" s="1"/>
  <c r="I64" i="157"/>
  <c r="K11" i="70"/>
  <c r="K23" i="70" s="1"/>
  <c r="K162" i="70" s="1"/>
  <c r="K170" i="70" s="1"/>
  <c r="N23" i="28"/>
  <c r="N163" i="28" s="1"/>
  <c r="J486" i="202"/>
  <c r="J86" i="202" s="1"/>
  <c r="J44" i="202"/>
  <c r="C22" i="19"/>
  <c r="I48" i="209"/>
  <c r="M38" i="181"/>
  <c r="H244" i="16"/>
  <c r="H20" i="16"/>
  <c r="H245" i="16" s="1"/>
  <c r="C21" i="175"/>
  <c r="R220" i="16"/>
  <c r="Q261" i="16"/>
  <c r="M50" i="207" s="1"/>
  <c r="V86" i="175"/>
  <c r="T242" i="164"/>
  <c r="T9" i="175"/>
  <c r="S20" i="175"/>
  <c r="S163" i="175" s="1"/>
  <c r="S125" i="185"/>
  <c r="S75" i="185" s="1"/>
  <c r="L492" i="202"/>
  <c r="L493" i="202" s="1"/>
  <c r="M14" i="16"/>
  <c r="N213" i="16"/>
  <c r="N208" i="16"/>
  <c r="N209" i="16"/>
  <c r="N219" i="16"/>
  <c r="N207" i="16"/>
  <c r="N212" i="16"/>
  <c r="N217" i="16"/>
  <c r="N214" i="16"/>
  <c r="N211" i="16"/>
  <c r="N215" i="16"/>
  <c r="N218" i="16"/>
  <c r="N210" i="16"/>
  <c r="N216" i="16"/>
  <c r="L36" i="195"/>
  <c r="L74" i="195"/>
  <c r="L61" i="195"/>
  <c r="L87" i="195"/>
  <c r="M49" i="202"/>
  <c r="M70" i="202"/>
  <c r="M21" i="202"/>
  <c r="E34" i="219" s="1"/>
  <c r="M91" i="202"/>
  <c r="M24" i="202"/>
  <c r="E40" i="219" s="1"/>
  <c r="M28" i="202"/>
  <c r="M23" i="202"/>
  <c r="G39" i="203"/>
  <c r="G7" i="203"/>
  <c r="R243" i="164"/>
  <c r="L16" i="177"/>
  <c r="K18" i="177"/>
  <c r="K17" i="177"/>
  <c r="K17" i="16"/>
  <c r="K18" i="16" s="1"/>
  <c r="P264" i="16"/>
  <c r="L53" i="207" s="1"/>
  <c r="Q232" i="16"/>
  <c r="C17" i="89"/>
  <c r="C20" i="28"/>
  <c r="C21" i="202"/>
  <c r="C23" i="214"/>
  <c r="C24" i="214" s="1"/>
  <c r="M189" i="13"/>
  <c r="C22" i="214"/>
  <c r="K30" i="157"/>
  <c r="G28" i="209" s="1"/>
  <c r="C24" i="209"/>
  <c r="U30" i="185"/>
  <c r="V144" i="185"/>
  <c r="D46" i="13"/>
  <c r="N46" i="13" s="1"/>
  <c r="C23" i="14"/>
  <c r="K27" i="16"/>
  <c r="Q26" i="175"/>
  <c r="J20" i="16"/>
  <c r="I53" i="209"/>
  <c r="M43" i="181"/>
  <c r="L59" i="16"/>
  <c r="M59" i="16"/>
  <c r="U244" i="164"/>
  <c r="C23" i="35"/>
  <c r="L38" i="179"/>
  <c r="O78" i="20"/>
  <c r="N82" i="20"/>
  <c r="C22" i="165"/>
  <c r="C23" i="165" s="1"/>
  <c r="C20" i="164"/>
  <c r="R235" i="164"/>
  <c r="D29" i="13"/>
  <c r="H23" i="13"/>
  <c r="G44" i="16" s="1"/>
  <c r="D28" i="13"/>
  <c r="D30" i="13"/>
  <c r="J44" i="16"/>
  <c r="D27" i="13"/>
  <c r="H22" i="13"/>
  <c r="G43" i="16" s="1"/>
  <c r="J43" i="16"/>
  <c r="G18" i="184"/>
  <c r="H6" i="184"/>
  <c r="H10" i="184" s="1"/>
  <c r="F8" i="207"/>
  <c r="C28" i="44"/>
  <c r="H104" i="202"/>
  <c r="H62" i="202"/>
  <c r="R8" i="185"/>
  <c r="R10" i="185" s="1"/>
  <c r="S7" i="185" s="1"/>
  <c r="R78" i="185"/>
  <c r="C32" i="103"/>
  <c r="C33" i="103" s="1"/>
  <c r="C34" i="103" s="1"/>
  <c r="C35" i="103" s="1"/>
  <c r="S158" i="28" l="1"/>
  <c r="S155" i="28"/>
  <c r="P152" i="70" s="1"/>
  <c r="T146" i="175"/>
  <c r="R54" i="175"/>
  <c r="R44" i="175"/>
  <c r="R49" i="175"/>
  <c r="R47" i="175"/>
  <c r="O86" i="70"/>
  <c r="O165" i="70" s="1"/>
  <c r="R55" i="175"/>
  <c r="S71" i="28"/>
  <c r="S93" i="28"/>
  <c r="S151" i="28"/>
  <c r="P148" i="70" s="1"/>
  <c r="R35" i="175"/>
  <c r="S13" i="30"/>
  <c r="T13" i="30" s="1"/>
  <c r="U13" i="30" s="1"/>
  <c r="T10" i="30"/>
  <c r="U10" i="30" s="1"/>
  <c r="C25" i="176"/>
  <c r="V89" i="186"/>
  <c r="R12" i="30"/>
  <c r="S11" i="30"/>
  <c r="Q16" i="163"/>
  <c r="Q21" i="163" s="1"/>
  <c r="Q39" i="163" s="1"/>
  <c r="J70" i="209" s="1"/>
  <c r="Q15" i="163"/>
  <c r="Q20" i="163" s="1"/>
  <c r="Q38" i="163" s="1"/>
  <c r="Q17" i="163"/>
  <c r="Q22" i="163" s="1"/>
  <c r="Q40" i="163" s="1"/>
  <c r="Q12" i="163"/>
  <c r="Q11" i="163"/>
  <c r="S135" i="28"/>
  <c r="S149" i="28"/>
  <c r="O156" i="70"/>
  <c r="O169" i="70" s="1"/>
  <c r="S127" i="28"/>
  <c r="S128" i="28"/>
  <c r="S152" i="28"/>
  <c r="O105" i="70"/>
  <c r="O167" i="70" s="1"/>
  <c r="S141" i="28"/>
  <c r="S129" i="28"/>
  <c r="S143" i="28"/>
  <c r="S125" i="28"/>
  <c r="P122" i="70" s="1"/>
  <c r="O48" i="70"/>
  <c r="O163" i="70" s="1"/>
  <c r="S122" i="28"/>
  <c r="S138" i="28"/>
  <c r="S123" i="28"/>
  <c r="P120" i="70" s="1"/>
  <c r="S147" i="28"/>
  <c r="S153" i="28"/>
  <c r="O115" i="70"/>
  <c r="O168" i="70" s="1"/>
  <c r="S144" i="28"/>
  <c r="P141" i="70" s="1"/>
  <c r="S126" i="28"/>
  <c r="S136" i="28"/>
  <c r="S133" i="28"/>
  <c r="T149" i="175"/>
  <c r="T147" i="175"/>
  <c r="T152" i="175"/>
  <c r="T154" i="175"/>
  <c r="R42" i="175"/>
  <c r="R32" i="175"/>
  <c r="R28" i="175"/>
  <c r="R66" i="175"/>
  <c r="R64" i="175"/>
  <c r="S166" i="175"/>
  <c r="T129" i="175"/>
  <c r="T141" i="175"/>
  <c r="T123" i="175"/>
  <c r="R41" i="175"/>
  <c r="R58" i="175"/>
  <c r="R45" i="175"/>
  <c r="R51" i="175"/>
  <c r="Q164" i="175"/>
  <c r="L27" i="176" s="1"/>
  <c r="L49" i="181" s="1"/>
  <c r="R57" i="175"/>
  <c r="R37" i="175"/>
  <c r="R53" i="175"/>
  <c r="R63" i="175"/>
  <c r="R46" i="175"/>
  <c r="R34" i="175"/>
  <c r="R60" i="175"/>
  <c r="R52" i="175"/>
  <c r="R31" i="175"/>
  <c r="R50" i="175"/>
  <c r="R62" i="175"/>
  <c r="R56" i="175"/>
  <c r="R39" i="175"/>
  <c r="R40" i="175"/>
  <c r="R38" i="175"/>
  <c r="R61" i="175"/>
  <c r="R43" i="175"/>
  <c r="R30" i="175"/>
  <c r="R59" i="175"/>
  <c r="T155" i="175"/>
  <c r="T125" i="175"/>
  <c r="T120" i="175"/>
  <c r="T139" i="175"/>
  <c r="R223" i="164"/>
  <c r="P197" i="16"/>
  <c r="O189" i="13"/>
  <c r="H38" i="203"/>
  <c r="H37" i="203"/>
  <c r="I38" i="203"/>
  <c r="I37" i="203"/>
  <c r="W114" i="175"/>
  <c r="T137" i="175"/>
  <c r="T138" i="175"/>
  <c r="T122" i="175"/>
  <c r="T121" i="175"/>
  <c r="T153" i="175"/>
  <c r="T133" i="175"/>
  <c r="T158" i="175"/>
  <c r="T130" i="175"/>
  <c r="T144" i="175"/>
  <c r="R17" i="28"/>
  <c r="M88" i="227"/>
  <c r="M89" i="227" s="1"/>
  <c r="Q17" i="28"/>
  <c r="L88" i="227"/>
  <c r="L89" i="227" s="1"/>
  <c r="T9" i="28"/>
  <c r="Q9" i="70" s="1"/>
  <c r="Q92" i="172"/>
  <c r="P84" i="227"/>
  <c r="P123" i="70"/>
  <c r="P140" i="70"/>
  <c r="P155" i="70"/>
  <c r="S145" i="28"/>
  <c r="S150" i="28"/>
  <c r="S134" i="28"/>
  <c r="S131" i="28"/>
  <c r="S140" i="28"/>
  <c r="S154" i="28"/>
  <c r="S139" i="28"/>
  <c r="P132" i="70"/>
  <c r="P124" i="70"/>
  <c r="P119" i="70"/>
  <c r="P144" i="70"/>
  <c r="P150" i="70"/>
  <c r="P149" i="70"/>
  <c r="P146" i="70"/>
  <c r="P121" i="70"/>
  <c r="P135" i="70"/>
  <c r="P138" i="70"/>
  <c r="P125" i="70"/>
  <c r="P126" i="70"/>
  <c r="P130" i="70"/>
  <c r="P133" i="70"/>
  <c r="S132" i="28"/>
  <c r="S137" i="28"/>
  <c r="S121" i="28"/>
  <c r="S130" i="28"/>
  <c r="S146" i="28"/>
  <c r="S142" i="28"/>
  <c r="S157" i="28"/>
  <c r="S148" i="28"/>
  <c r="S156" i="28"/>
  <c r="T117" i="28"/>
  <c r="T113" i="28"/>
  <c r="P109" i="70"/>
  <c r="T112" i="28"/>
  <c r="Q108" i="70" s="1"/>
  <c r="T110" i="28"/>
  <c r="T111" i="28"/>
  <c r="T105" i="28"/>
  <c r="T114" i="28"/>
  <c r="P110" i="70"/>
  <c r="T107" i="28"/>
  <c r="T115" i="28"/>
  <c r="P111" i="70"/>
  <c r="T104" i="28"/>
  <c r="T108" i="28"/>
  <c r="P108" i="70"/>
  <c r="P115" i="70" s="1"/>
  <c r="P168" i="70" s="1"/>
  <c r="T118" i="28"/>
  <c r="P114" i="70"/>
  <c r="T116" i="28"/>
  <c r="T106" i="28"/>
  <c r="T109" i="28"/>
  <c r="P101" i="70"/>
  <c r="S100" i="28"/>
  <c r="S91" i="28"/>
  <c r="S99" i="28"/>
  <c r="S95" i="28"/>
  <c r="S96" i="28"/>
  <c r="P96" i="70"/>
  <c r="S97" i="28"/>
  <c r="S94" i="28"/>
  <c r="S101" i="28"/>
  <c r="S92" i="28"/>
  <c r="S68" i="28"/>
  <c r="S66" i="28"/>
  <c r="S80" i="28"/>
  <c r="S69" i="28"/>
  <c r="S75" i="28"/>
  <c r="S64" i="28"/>
  <c r="S81" i="28"/>
  <c r="S78" i="28"/>
  <c r="S73" i="28"/>
  <c r="S70" i="28"/>
  <c r="S65" i="28"/>
  <c r="P74" i="70"/>
  <c r="S77" i="28"/>
  <c r="S67" i="28"/>
  <c r="S76" i="28"/>
  <c r="S82" i="28"/>
  <c r="S72" i="28"/>
  <c r="S74" i="28"/>
  <c r="S79" i="28"/>
  <c r="T46" i="28"/>
  <c r="P47" i="70"/>
  <c r="T28" i="28"/>
  <c r="T45" i="28"/>
  <c r="P46" i="70"/>
  <c r="T41" i="28"/>
  <c r="P42" i="70"/>
  <c r="T37" i="28"/>
  <c r="P38" i="70"/>
  <c r="P29" i="70"/>
  <c r="T32" i="28"/>
  <c r="P33" i="70"/>
  <c r="T29" i="28"/>
  <c r="P30" i="70"/>
  <c r="T31" i="28"/>
  <c r="P32" i="70"/>
  <c r="T27" i="28"/>
  <c r="P28" i="70"/>
  <c r="T40" i="28"/>
  <c r="P41" i="70"/>
  <c r="T36" i="28"/>
  <c r="P37" i="70"/>
  <c r="T34" i="28"/>
  <c r="P35" i="70"/>
  <c r="T30" i="28"/>
  <c r="T43" i="28"/>
  <c r="T42" i="28"/>
  <c r="P43" i="70"/>
  <c r="T25" i="28"/>
  <c r="P26" i="70"/>
  <c r="T39" i="28"/>
  <c r="P31" i="70"/>
  <c r="T35" i="28"/>
  <c r="P36" i="70"/>
  <c r="T44" i="28"/>
  <c r="P45" i="70"/>
  <c r="T26" i="28"/>
  <c r="P27" i="70"/>
  <c r="T38" i="28"/>
  <c r="P39" i="70"/>
  <c r="T33" i="28"/>
  <c r="P34" i="70"/>
  <c r="T127" i="175"/>
  <c r="T150" i="175"/>
  <c r="T157" i="175"/>
  <c r="T131" i="175"/>
  <c r="T124" i="175"/>
  <c r="T156" i="175"/>
  <c r="T126" i="175"/>
  <c r="T148" i="175"/>
  <c r="T135" i="175"/>
  <c r="T128" i="175"/>
  <c r="T151" i="175"/>
  <c r="T134" i="175"/>
  <c r="T143" i="175"/>
  <c r="T136" i="175"/>
  <c r="T142" i="175"/>
  <c r="T145" i="175"/>
  <c r="T140" i="175"/>
  <c r="R23" i="175"/>
  <c r="R25" i="175"/>
  <c r="R24" i="175"/>
  <c r="R22" i="175"/>
  <c r="N31" i="179"/>
  <c r="S91" i="186"/>
  <c r="T91" i="186" s="1"/>
  <c r="R93" i="186"/>
  <c r="G24" i="209"/>
  <c r="K19" i="181"/>
  <c r="K120" i="181" s="1"/>
  <c r="W95" i="175"/>
  <c r="Q112" i="70"/>
  <c r="F24" i="209"/>
  <c r="J33" i="157"/>
  <c r="F31" i="209" s="1"/>
  <c r="J21" i="181"/>
  <c r="J87" i="181" s="1"/>
  <c r="J26" i="177"/>
  <c r="M89" i="179" s="1"/>
  <c r="M90" i="179" s="1"/>
  <c r="K19" i="177"/>
  <c r="K25" i="177" s="1"/>
  <c r="K49" i="177" s="1"/>
  <c r="J49" i="177"/>
  <c r="K485" i="202"/>
  <c r="K44" i="202" s="1"/>
  <c r="K65" i="202" s="1"/>
  <c r="H59" i="202"/>
  <c r="C21" i="28"/>
  <c r="E3" i="219"/>
  <c r="P160" i="70"/>
  <c r="W87" i="175"/>
  <c r="W88" i="175"/>
  <c r="Q228" i="16"/>
  <c r="P263" i="16"/>
  <c r="L52" i="207" s="1"/>
  <c r="M28" i="181"/>
  <c r="M98" i="181"/>
  <c r="C31" i="36"/>
  <c r="C33" i="36" s="1"/>
  <c r="C32" i="36"/>
  <c r="D17" i="219"/>
  <c r="M65" i="181"/>
  <c r="I69" i="209"/>
  <c r="BV21" i="44"/>
  <c r="E23" i="45"/>
  <c r="E27" i="44"/>
  <c r="U15" i="175"/>
  <c r="U12" i="175"/>
  <c r="W94" i="175"/>
  <c r="U14" i="175"/>
  <c r="W100" i="175"/>
  <c r="W101" i="175"/>
  <c r="U11" i="175"/>
  <c r="W96" i="175"/>
  <c r="U18" i="175"/>
  <c r="W104" i="175"/>
  <c r="W107" i="175"/>
  <c r="W113" i="175"/>
  <c r="W115" i="175"/>
  <c r="W112" i="175"/>
  <c r="W111" i="175"/>
  <c r="W116" i="175"/>
  <c r="W109" i="175"/>
  <c r="U16" i="175"/>
  <c r="W99" i="175"/>
  <c r="W103" i="175"/>
  <c r="W110" i="175"/>
  <c r="X193" i="28"/>
  <c r="Y180" i="175"/>
  <c r="V14" i="28"/>
  <c r="R14" i="70"/>
  <c r="U17" i="175"/>
  <c r="W117" i="175"/>
  <c r="V192" i="28"/>
  <c r="W179" i="175"/>
  <c r="Y181" i="175"/>
  <c r="X194" i="28"/>
  <c r="U10" i="175"/>
  <c r="V10" i="175" s="1"/>
  <c r="U13" i="175"/>
  <c r="U19" i="175"/>
  <c r="W92" i="175"/>
  <c r="W97" i="175"/>
  <c r="W98" i="175"/>
  <c r="W93" i="175"/>
  <c r="W91" i="175"/>
  <c r="W89" i="175"/>
  <c r="V19" i="28"/>
  <c r="R19" i="70"/>
  <c r="H18" i="157"/>
  <c r="H23" i="157" s="1"/>
  <c r="H35" i="157" s="1"/>
  <c r="H60" i="157" s="1"/>
  <c r="H77" i="157" s="1"/>
  <c r="H85" i="157" s="1"/>
  <c r="M16" i="16"/>
  <c r="M17" i="16" s="1"/>
  <c r="H246" i="16"/>
  <c r="H21" i="16"/>
  <c r="H249" i="16" s="1"/>
  <c r="K19" i="16"/>
  <c r="K20" i="16" s="1"/>
  <c r="K21" i="16" s="1"/>
  <c r="H23" i="181"/>
  <c r="H30" i="181" s="1"/>
  <c r="H84" i="181"/>
  <c r="H90" i="181" s="1"/>
  <c r="H92" i="181" s="1"/>
  <c r="H94" i="181" s="1"/>
  <c r="K43" i="16"/>
  <c r="L494" i="202"/>
  <c r="L495" i="202" s="1"/>
  <c r="L46" i="16"/>
  <c r="K44" i="16"/>
  <c r="V21" i="28"/>
  <c r="R21" i="70"/>
  <c r="R10" i="70"/>
  <c r="V10" i="28"/>
  <c r="R15" i="70"/>
  <c r="V15" i="28"/>
  <c r="W108" i="175"/>
  <c r="V118" i="175"/>
  <c r="L17" i="30"/>
  <c r="L19" i="30"/>
  <c r="V22" i="28"/>
  <c r="R22" i="70"/>
  <c r="U95" i="172"/>
  <c r="V18" i="70" s="1"/>
  <c r="L329" i="36"/>
  <c r="L332" i="36" s="1"/>
  <c r="N171" i="36"/>
  <c r="P281" i="34" s="1"/>
  <c r="M171" i="36"/>
  <c r="M170" i="36"/>
  <c r="M172" i="36" s="1"/>
  <c r="N170" i="36"/>
  <c r="M58" i="36"/>
  <c r="L55" i="103"/>
  <c r="M55" i="103"/>
  <c r="N58" i="36"/>
  <c r="N59" i="36"/>
  <c r="N339" i="36"/>
  <c r="P260" i="34" s="1"/>
  <c r="L13" i="214" s="1"/>
  <c r="M339" i="36"/>
  <c r="O260" i="34" s="1"/>
  <c r="K13" i="214" s="1"/>
  <c r="M59" i="36"/>
  <c r="K51" i="103"/>
  <c r="K53" i="103" s="1"/>
  <c r="L55" i="36"/>
  <c r="M78" i="103"/>
  <c r="M331" i="36"/>
  <c r="L78" i="103"/>
  <c r="N331" i="36"/>
  <c r="T125" i="185"/>
  <c r="T75" i="185" s="1"/>
  <c r="C37" i="103"/>
  <c r="N19" i="176"/>
  <c r="N27" i="181" s="1"/>
  <c r="G31" i="16"/>
  <c r="G32" i="16" s="1"/>
  <c r="G250" i="16" s="1"/>
  <c r="C32" i="107"/>
  <c r="C33" i="107" s="1"/>
  <c r="C34" i="107" s="1"/>
  <c r="C35" i="107" s="1"/>
  <c r="C36" i="107" s="1"/>
  <c r="C37" i="107" s="1"/>
  <c r="C38" i="107" s="1"/>
  <c r="C39" i="107" s="1"/>
  <c r="I6" i="184"/>
  <c r="I10" i="184" s="1"/>
  <c r="H18" i="184"/>
  <c r="S235" i="164"/>
  <c r="L30" i="176"/>
  <c r="Q167" i="175"/>
  <c r="Q168" i="175" s="1"/>
  <c r="D47" i="13"/>
  <c r="C25" i="14"/>
  <c r="V116" i="185"/>
  <c r="U15" i="185"/>
  <c r="M16" i="177"/>
  <c r="L18" i="177"/>
  <c r="L17" i="177"/>
  <c r="S8" i="185"/>
  <c r="S10" i="185" s="1"/>
  <c r="T7" i="185" s="1"/>
  <c r="S78" i="185"/>
  <c r="S220" i="16"/>
  <c r="R261" i="16"/>
  <c r="N50" i="207" s="1"/>
  <c r="J107" i="202"/>
  <c r="L328" i="36"/>
  <c r="L186" i="36"/>
  <c r="J24" i="207"/>
  <c r="N26" i="16"/>
  <c r="H40" i="203"/>
  <c r="S162" i="175"/>
  <c r="S174" i="175"/>
  <c r="F76" i="16"/>
  <c r="F240" i="16" s="1"/>
  <c r="F251" i="16"/>
  <c r="I40" i="203"/>
  <c r="S241" i="164"/>
  <c r="W138" i="185"/>
  <c r="C32" i="162"/>
  <c r="C34" i="162" s="1"/>
  <c r="C35" i="162" s="1"/>
  <c r="C36" i="162" s="1"/>
  <c r="C37" i="162" s="1"/>
  <c r="C38" i="162" s="1"/>
  <c r="C39" i="162" s="1"/>
  <c r="C40" i="162" s="1"/>
  <c r="C42" i="162" s="1"/>
  <c r="C43" i="162" s="1"/>
  <c r="C44" i="162" s="1"/>
  <c r="C45" i="162" s="1"/>
  <c r="C47" i="162" s="1"/>
  <c r="C48" i="162" s="1"/>
  <c r="C49" i="162" s="1"/>
  <c r="C50" i="162" s="1"/>
  <c r="C52" i="162" s="1"/>
  <c r="C53" i="162" s="1"/>
  <c r="C54" i="162" s="1"/>
  <c r="C55" i="162" s="1"/>
  <c r="C57" i="162" s="1"/>
  <c r="C59" i="162" s="1"/>
  <c r="C61" i="162" s="1"/>
  <c r="C63" i="162" s="1"/>
  <c r="C65" i="162" s="1"/>
  <c r="AF141" i="185"/>
  <c r="AE142" i="185"/>
  <c r="H35" i="13"/>
  <c r="G62" i="16" s="1"/>
  <c r="J62" i="16"/>
  <c r="H36" i="13"/>
  <c r="G63" i="16" s="1"/>
  <c r="J63" i="16"/>
  <c r="J65" i="16"/>
  <c r="L28" i="16"/>
  <c r="U142" i="185"/>
  <c r="U23" i="185" s="1"/>
  <c r="V140" i="185"/>
  <c r="U239" i="164"/>
  <c r="M38" i="179"/>
  <c r="Q113" i="70"/>
  <c r="L419" i="202"/>
  <c r="L420" i="202" s="1"/>
  <c r="L435" i="202" s="1"/>
  <c r="Q40" i="70"/>
  <c r="W233" i="164"/>
  <c r="V232" i="164"/>
  <c r="C24" i="13"/>
  <c r="H10" i="202"/>
  <c r="H25" i="202" s="1"/>
  <c r="H50" i="202"/>
  <c r="H52" i="202" s="1"/>
  <c r="H92" i="202"/>
  <c r="H94" i="202" s="1"/>
  <c r="J66" i="202"/>
  <c r="J52" i="16"/>
  <c r="C21" i="164"/>
  <c r="R26" i="175"/>
  <c r="K28" i="16"/>
  <c r="C25" i="214"/>
  <c r="C26" i="214" s="1"/>
  <c r="C27" i="214" s="1"/>
  <c r="C28" i="214" s="1"/>
  <c r="C29" i="214" s="1"/>
  <c r="C30" i="214" s="1"/>
  <c r="C31" i="214" s="1"/>
  <c r="C32" i="214" s="1"/>
  <c r="H23" i="207"/>
  <c r="C32" i="34"/>
  <c r="M492" i="202"/>
  <c r="M493" i="202" s="1"/>
  <c r="W86" i="175"/>
  <c r="N171" i="28"/>
  <c r="K172" i="70" s="1"/>
  <c r="I67" i="157"/>
  <c r="C29" i="44"/>
  <c r="C40" i="107"/>
  <c r="N40" i="16"/>
  <c r="N15" i="16"/>
  <c r="O213" i="16"/>
  <c r="O212" i="16"/>
  <c r="O208" i="16"/>
  <c r="O209" i="16"/>
  <c r="O219" i="16"/>
  <c r="O207" i="16"/>
  <c r="O217" i="16"/>
  <c r="O214" i="16"/>
  <c r="O211" i="16"/>
  <c r="O215" i="16"/>
  <c r="O210" i="16"/>
  <c r="O218" i="16"/>
  <c r="O216" i="16"/>
  <c r="N89" i="157"/>
  <c r="J68" i="209" s="1"/>
  <c r="N90" i="157"/>
  <c r="S177" i="28"/>
  <c r="S162" i="28"/>
  <c r="N91" i="202"/>
  <c r="N70" i="202"/>
  <c r="N24" i="202"/>
  <c r="F40" i="219" s="1"/>
  <c r="N21" i="202"/>
  <c r="F34" i="219" s="1"/>
  <c r="N23" i="202"/>
  <c r="N28" i="202"/>
  <c r="N49" i="202"/>
  <c r="H208" i="172"/>
  <c r="H209" i="172" s="1"/>
  <c r="U90" i="175"/>
  <c r="T105" i="175"/>
  <c r="C23" i="215"/>
  <c r="K14" i="185"/>
  <c r="K16" i="185" s="1"/>
  <c r="L13" i="185" s="1"/>
  <c r="K83" i="185"/>
  <c r="K84" i="185" s="1"/>
  <c r="T119" i="28"/>
  <c r="T169" i="28" s="1"/>
  <c r="O73" i="157" s="1"/>
  <c r="W189" i="164"/>
  <c r="C22" i="16"/>
  <c r="H55" i="202"/>
  <c r="H97" i="202"/>
  <c r="Q89" i="70"/>
  <c r="Q91" i="70" s="1"/>
  <c r="Q166" i="70" s="1"/>
  <c r="U87" i="28"/>
  <c r="T89" i="28"/>
  <c r="T167" i="28" s="1"/>
  <c r="H95" i="202"/>
  <c r="H53" i="202"/>
  <c r="J70" i="16"/>
  <c r="K33" i="157"/>
  <c r="G31" i="209" s="1"/>
  <c r="C31" i="104"/>
  <c r="C33" i="104" s="1"/>
  <c r="C35" i="104" s="1"/>
  <c r="C37" i="104" s="1"/>
  <c r="M64" i="181"/>
  <c r="K25" i="203"/>
  <c r="K17" i="203" s="1"/>
  <c r="C26" i="92"/>
  <c r="C28" i="92" s="1"/>
  <c r="C29" i="92" s="1"/>
  <c r="J108" i="202"/>
  <c r="M40" i="181"/>
  <c r="I50" i="209"/>
  <c r="G46" i="13"/>
  <c r="H46" i="13" s="1"/>
  <c r="C25" i="209"/>
  <c r="C20" i="89"/>
  <c r="S243" i="164"/>
  <c r="M467" i="202"/>
  <c r="J20" i="214"/>
  <c r="K52" i="181"/>
  <c r="K55" i="181" s="1"/>
  <c r="K31" i="176"/>
  <c r="K52" i="176" s="1"/>
  <c r="C31" i="96"/>
  <c r="O33" i="13"/>
  <c r="N59" i="16" s="1"/>
  <c r="N14" i="16"/>
  <c r="P12" i="13"/>
  <c r="P142" i="13" s="1"/>
  <c r="P13" i="13"/>
  <c r="P160" i="13" s="1"/>
  <c r="P189" i="13" s="1"/>
  <c r="P17" i="13"/>
  <c r="P161" i="13" s="1"/>
  <c r="P190" i="13" s="1"/>
  <c r="P16" i="13"/>
  <c r="P143" i="13" s="1"/>
  <c r="P20" i="13"/>
  <c r="C24" i="163"/>
  <c r="C25" i="163" s="1"/>
  <c r="C26" i="163" s="1"/>
  <c r="C33" i="79"/>
  <c r="M118" i="185"/>
  <c r="L119" i="185"/>
  <c r="L80" i="185" s="1"/>
  <c r="C23" i="181"/>
  <c r="C25" i="181" s="1"/>
  <c r="C26" i="181" s="1"/>
  <c r="J52" i="209"/>
  <c r="N42" i="181"/>
  <c r="V117" i="185"/>
  <c r="W132" i="185"/>
  <c r="V123" i="185"/>
  <c r="O63" i="179"/>
  <c r="O66" i="179" s="1"/>
  <c r="N67" i="179"/>
  <c r="N68" i="179" s="1"/>
  <c r="N69" i="179" s="1"/>
  <c r="K42" i="16"/>
  <c r="J66" i="16"/>
  <c r="J71" i="16"/>
  <c r="T236" i="164"/>
  <c r="V88" i="28"/>
  <c r="R90" i="70"/>
  <c r="C18" i="207"/>
  <c r="K42" i="202"/>
  <c r="K436" i="202"/>
  <c r="K84" i="202" s="1"/>
  <c r="K105" i="202" s="1"/>
  <c r="T240" i="164"/>
  <c r="J48" i="209"/>
  <c r="N38" i="181"/>
  <c r="E54" i="207"/>
  <c r="J13" i="176"/>
  <c r="J54" i="176"/>
  <c r="G249" i="16"/>
  <c r="J105" i="202"/>
  <c r="F249" i="16"/>
  <c r="F34" i="16"/>
  <c r="F239" i="16" s="1"/>
  <c r="K511" i="202"/>
  <c r="K87" i="202" s="1"/>
  <c r="K108" i="202" s="1"/>
  <c r="K45" i="202"/>
  <c r="J51" i="16"/>
  <c r="P78" i="20"/>
  <c r="O82" i="20"/>
  <c r="C25" i="157"/>
  <c r="N107" i="181"/>
  <c r="L47" i="92"/>
  <c r="V244" i="164"/>
  <c r="J21" i="16"/>
  <c r="W144" i="185"/>
  <c r="V30" i="185"/>
  <c r="C18" i="89"/>
  <c r="C19" i="89" s="1"/>
  <c r="Q264" i="16"/>
  <c r="M53" i="207" s="1"/>
  <c r="R232" i="16"/>
  <c r="N100" i="179"/>
  <c r="M417" i="202"/>
  <c r="M418" i="202" s="1"/>
  <c r="I6" i="207"/>
  <c r="U9" i="175"/>
  <c r="T20" i="175"/>
  <c r="T163" i="175" s="1"/>
  <c r="U242" i="164"/>
  <c r="N29" i="176"/>
  <c r="N51" i="181" s="1"/>
  <c r="C22" i="175"/>
  <c r="C23" i="19"/>
  <c r="J65" i="202"/>
  <c r="E43" i="209"/>
  <c r="C158" i="93"/>
  <c r="C24" i="165"/>
  <c r="K16" i="103"/>
  <c r="K22" i="103" s="1"/>
  <c r="L22" i="36"/>
  <c r="L167" i="36"/>
  <c r="K58" i="103"/>
  <c r="K76" i="103" s="1"/>
  <c r="G53" i="16"/>
  <c r="Q31" i="70"/>
  <c r="Q44" i="70"/>
  <c r="N25" i="16"/>
  <c r="J7" i="207"/>
  <c r="L3" i="207"/>
  <c r="K7" i="209"/>
  <c r="K40" i="209" s="1"/>
  <c r="O7" i="176"/>
  <c r="N6" i="195"/>
  <c r="O7" i="157"/>
  <c r="T6" i="175"/>
  <c r="O7" i="181"/>
  <c r="P6" i="30"/>
  <c r="M7" i="179"/>
  <c r="T6" i="28"/>
  <c r="O7" i="202"/>
  <c r="Q6" i="70"/>
  <c r="M7" i="186"/>
  <c r="P6" i="180"/>
  <c r="P8" i="16"/>
  <c r="R8" i="163"/>
  <c r="J6" i="177"/>
  <c r="N7" i="92"/>
  <c r="Q56" i="28" s="1"/>
  <c r="R7" i="20"/>
  <c r="Q7" i="164"/>
  <c r="Q14" i="164" s="1"/>
  <c r="O7" i="14"/>
  <c r="Q7" i="13"/>
  <c r="Q186" i="13" s="1"/>
  <c r="M87" i="195"/>
  <c r="M36" i="195"/>
  <c r="M61" i="195"/>
  <c r="M74" i="195"/>
  <c r="C30" i="93"/>
  <c r="C32" i="93" s="1"/>
  <c r="D26" i="13"/>
  <c r="J47" i="16"/>
  <c r="C24" i="35"/>
  <c r="C22" i="202"/>
  <c r="C23" i="70"/>
  <c r="C28" i="45"/>
  <c r="L468" i="202"/>
  <c r="J31" i="16"/>
  <c r="J32" i="16" s="1"/>
  <c r="J250" i="16" s="1"/>
  <c r="K45" i="177"/>
  <c r="K46" i="177" s="1"/>
  <c r="K41" i="177"/>
  <c r="K42" i="177" s="1"/>
  <c r="J67" i="16"/>
  <c r="L17" i="16"/>
  <c r="L18" i="16" s="1"/>
  <c r="C25" i="35"/>
  <c r="K21" i="181"/>
  <c r="K87" i="181" s="1"/>
  <c r="U69" i="175"/>
  <c r="T84" i="175"/>
  <c r="T165" i="175" s="1"/>
  <c r="O28" i="176" s="1"/>
  <c r="O50" i="181" s="1"/>
  <c r="U122" i="185"/>
  <c r="U124" i="185" s="1"/>
  <c r="T9" i="185"/>
  <c r="M27" i="16"/>
  <c r="I8" i="207"/>
  <c r="J63" i="202"/>
  <c r="C32" i="46"/>
  <c r="T159" i="175" l="1"/>
  <c r="U146" i="175" s="1"/>
  <c r="V10" i="30"/>
  <c r="C26" i="176"/>
  <c r="U91" i="186"/>
  <c r="T93" i="186"/>
  <c r="W89" i="186"/>
  <c r="T11" i="30"/>
  <c r="U11" i="30" s="1"/>
  <c r="V13" i="30"/>
  <c r="S12" i="30"/>
  <c r="Q10" i="163"/>
  <c r="R16" i="163"/>
  <c r="R21" i="163" s="1"/>
  <c r="R39" i="163" s="1"/>
  <c r="O60" i="181" s="1"/>
  <c r="R15" i="163"/>
  <c r="R20" i="163" s="1"/>
  <c r="R38" i="163" s="1"/>
  <c r="R17" i="163"/>
  <c r="R22" i="163" s="1"/>
  <c r="R40" i="163" s="1"/>
  <c r="R11" i="163"/>
  <c r="R12" i="163"/>
  <c r="Q59" i="28"/>
  <c r="N61" i="70" s="1"/>
  <c r="Q55" i="28"/>
  <c r="N57" i="70" s="1"/>
  <c r="Q51" i="28"/>
  <c r="N53" i="70" s="1"/>
  <c r="Q49" i="28"/>
  <c r="N51" i="70" s="1"/>
  <c r="Q58" i="28"/>
  <c r="N60" i="70" s="1"/>
  <c r="Q60" i="28"/>
  <c r="N62" i="70" s="1"/>
  <c r="Q57" i="28"/>
  <c r="N59" i="70" s="1"/>
  <c r="Q53" i="28"/>
  <c r="N55" i="70" s="1"/>
  <c r="Q50" i="28"/>
  <c r="N52" i="70" s="1"/>
  <c r="Q52" i="28"/>
  <c r="N54" i="70" s="1"/>
  <c r="Q61" i="28"/>
  <c r="N63" i="70" s="1"/>
  <c r="Q54" i="28"/>
  <c r="N56" i="70" s="1"/>
  <c r="P48" i="70"/>
  <c r="P163" i="70" s="1"/>
  <c r="R67" i="175"/>
  <c r="S34" i="175" s="1"/>
  <c r="S59" i="175"/>
  <c r="S223" i="164"/>
  <c r="Q197" i="16"/>
  <c r="O144" i="13"/>
  <c r="Q20" i="13"/>
  <c r="X114" i="175"/>
  <c r="U9" i="28"/>
  <c r="R9" i="70" s="1"/>
  <c r="R92" i="172"/>
  <c r="Q84" i="227"/>
  <c r="P154" i="70"/>
  <c r="P118" i="70"/>
  <c r="S159" i="28"/>
  <c r="T131" i="28" s="1"/>
  <c r="P137" i="70"/>
  <c r="P142" i="70"/>
  <c r="P139" i="70"/>
  <c r="P134" i="70"/>
  <c r="P128" i="70"/>
  <c r="P153" i="70"/>
  <c r="P143" i="70"/>
  <c r="P129" i="70"/>
  <c r="T139" i="28"/>
  <c r="P136" i="70"/>
  <c r="P131" i="70"/>
  <c r="T148" i="28"/>
  <c r="P145" i="70"/>
  <c r="P127" i="70"/>
  <c r="P151" i="70"/>
  <c r="P147" i="70"/>
  <c r="U109" i="28"/>
  <c r="U114" i="28"/>
  <c r="Q110" i="70"/>
  <c r="U106" i="28"/>
  <c r="U115" i="28"/>
  <c r="Q111" i="70"/>
  <c r="U116" i="28"/>
  <c r="U108" i="28"/>
  <c r="U107" i="28"/>
  <c r="U111" i="28"/>
  <c r="U113" i="28"/>
  <c r="Q109" i="70"/>
  <c r="U118" i="28"/>
  <c r="Q114" i="70"/>
  <c r="U112" i="28"/>
  <c r="U105" i="28"/>
  <c r="U104" i="28"/>
  <c r="U110" i="28"/>
  <c r="U117" i="28"/>
  <c r="P104" i="70"/>
  <c r="S102" i="28"/>
  <c r="T92" i="28" s="1"/>
  <c r="P94" i="70"/>
  <c r="P97" i="70"/>
  <c r="T96" i="28"/>
  <c r="P99" i="70"/>
  <c r="P103" i="70"/>
  <c r="T97" i="28"/>
  <c r="P100" i="70"/>
  <c r="P98" i="70"/>
  <c r="P95" i="70"/>
  <c r="P102" i="70"/>
  <c r="P84" i="70"/>
  <c r="P67" i="70"/>
  <c r="S83" i="28"/>
  <c r="T76" i="28" s="1"/>
  <c r="P82" i="70"/>
  <c r="P79" i="70"/>
  <c r="T78" i="28"/>
  <c r="P81" i="70"/>
  <c r="P72" i="70"/>
  <c r="P77" i="70"/>
  <c r="P70" i="70"/>
  <c r="P68" i="70"/>
  <c r="P83" i="70"/>
  <c r="P75" i="70"/>
  <c r="P80" i="70"/>
  <c r="T70" i="28"/>
  <c r="P73" i="70"/>
  <c r="P69" i="70"/>
  <c r="P85" i="70"/>
  <c r="P76" i="70"/>
  <c r="P78" i="70"/>
  <c r="P71" i="70"/>
  <c r="Q38" i="70"/>
  <c r="T47" i="28"/>
  <c r="T164" i="28" s="1"/>
  <c r="O69" i="157" s="1"/>
  <c r="U38" i="28"/>
  <c r="Q39" i="70"/>
  <c r="Q45" i="70"/>
  <c r="U42" i="28"/>
  <c r="Q43" i="70"/>
  <c r="Q41" i="70"/>
  <c r="U28" i="28"/>
  <c r="R29" i="70" s="1"/>
  <c r="Q29" i="70"/>
  <c r="U41" i="28"/>
  <c r="Q42" i="70"/>
  <c r="Q46" i="70"/>
  <c r="U39" i="28"/>
  <c r="U34" i="28"/>
  <c r="Q35" i="70"/>
  <c r="Q32" i="70"/>
  <c r="U32" i="28"/>
  <c r="Q33" i="70"/>
  <c r="Q34" i="70"/>
  <c r="U26" i="28"/>
  <c r="Q27" i="70"/>
  <c r="Q36" i="70"/>
  <c r="U25" i="28"/>
  <c r="Q26" i="70"/>
  <c r="U36" i="28"/>
  <c r="Q37" i="70"/>
  <c r="Q28" i="70"/>
  <c r="U29" i="28"/>
  <c r="Q30" i="70"/>
  <c r="Q47" i="70"/>
  <c r="U136" i="175"/>
  <c r="U128" i="175"/>
  <c r="U156" i="175"/>
  <c r="U150" i="175"/>
  <c r="U121" i="175"/>
  <c r="U138" i="175"/>
  <c r="U125" i="175"/>
  <c r="U123" i="175"/>
  <c r="U141" i="175"/>
  <c r="U140" i="175"/>
  <c r="U143" i="175"/>
  <c r="U135" i="175"/>
  <c r="U124" i="175"/>
  <c r="U127" i="175"/>
  <c r="U144" i="175"/>
  <c r="U158" i="175"/>
  <c r="U147" i="175"/>
  <c r="U154" i="175"/>
  <c r="U152" i="175"/>
  <c r="U145" i="175"/>
  <c r="U134" i="175"/>
  <c r="U148" i="175"/>
  <c r="U131" i="175"/>
  <c r="U132" i="175"/>
  <c r="U122" i="175"/>
  <c r="U137" i="175"/>
  <c r="U155" i="175"/>
  <c r="U149" i="175"/>
  <c r="U153" i="175"/>
  <c r="T166" i="175"/>
  <c r="O29" i="176" s="1"/>
  <c r="O51" i="181" s="1"/>
  <c r="U142" i="175"/>
  <c r="U151" i="175"/>
  <c r="U126" i="175"/>
  <c r="U157" i="175"/>
  <c r="U129" i="175"/>
  <c r="U130" i="175"/>
  <c r="U133" i="175"/>
  <c r="U139" i="175"/>
  <c r="U120" i="175"/>
  <c r="S22" i="175"/>
  <c r="S24" i="175"/>
  <c r="S25" i="175"/>
  <c r="S23" i="175"/>
  <c r="O31" i="179"/>
  <c r="S93" i="186"/>
  <c r="G18" i="209"/>
  <c r="X100" i="175"/>
  <c r="R112" i="70"/>
  <c r="L29" i="157"/>
  <c r="H27" i="209" s="1"/>
  <c r="X87" i="175"/>
  <c r="J19" i="181"/>
  <c r="J120" i="181" s="1"/>
  <c r="F18" i="209"/>
  <c r="P39" i="176"/>
  <c r="P40" i="176" s="1"/>
  <c r="P54" i="181" s="1"/>
  <c r="K26" i="177"/>
  <c r="N89" i="179" s="1"/>
  <c r="N90" i="179" s="1"/>
  <c r="N38" i="179" s="1"/>
  <c r="H99" i="157"/>
  <c r="K486" i="202"/>
  <c r="K86" i="202" s="1"/>
  <c r="K107" i="202" s="1"/>
  <c r="J34" i="203"/>
  <c r="J35" i="203" s="1"/>
  <c r="M46" i="16"/>
  <c r="H77" i="181"/>
  <c r="H79" i="181" s="1"/>
  <c r="H80" i="181" s="1"/>
  <c r="H103" i="157" s="1"/>
  <c r="L52" i="16"/>
  <c r="L43" i="16"/>
  <c r="L44" i="16"/>
  <c r="Q160" i="70"/>
  <c r="C27" i="163"/>
  <c r="C29" i="163" s="1"/>
  <c r="C30" i="163" s="1"/>
  <c r="C31" i="163" s="1"/>
  <c r="C32" i="163" s="1"/>
  <c r="C33" i="163" s="1"/>
  <c r="C34" i="163" s="1"/>
  <c r="C35" i="163" s="1"/>
  <c r="C36" i="163" s="1"/>
  <c r="C38" i="163" s="1"/>
  <c r="C40" i="163" s="1"/>
  <c r="R56" i="28"/>
  <c r="N58" i="70"/>
  <c r="Q62" i="28"/>
  <c r="K46" i="16"/>
  <c r="F3" i="219"/>
  <c r="N16" i="16"/>
  <c r="N17" i="16" s="1"/>
  <c r="N18" i="16" s="1"/>
  <c r="V11" i="175"/>
  <c r="O100" i="179"/>
  <c r="E17" i="219"/>
  <c r="Q263" i="16"/>
  <c r="M52" i="207" s="1"/>
  <c r="R228" i="16"/>
  <c r="N28" i="181"/>
  <c r="N98" i="181"/>
  <c r="X98" i="175"/>
  <c r="C22" i="28"/>
  <c r="C23" i="28" s="1"/>
  <c r="K66" i="202"/>
  <c r="J51" i="195" s="1"/>
  <c r="C54" i="219"/>
  <c r="K63" i="202"/>
  <c r="J49" i="195" s="1"/>
  <c r="C48" i="219"/>
  <c r="N65" i="181"/>
  <c r="J69" i="209"/>
  <c r="C38" i="103"/>
  <c r="C39" i="103" s="1"/>
  <c r="E24" i="45"/>
  <c r="E28" i="44"/>
  <c r="BW21" i="44"/>
  <c r="V13" i="175"/>
  <c r="V16" i="175"/>
  <c r="V15" i="175"/>
  <c r="V12" i="175"/>
  <c r="X113" i="175"/>
  <c r="X110" i="175"/>
  <c r="X109" i="175"/>
  <c r="X111" i="175"/>
  <c r="W192" i="28"/>
  <c r="X179" i="175"/>
  <c r="X89" i="175"/>
  <c r="X97" i="175"/>
  <c r="X88" i="175"/>
  <c r="X93" i="175"/>
  <c r="V19" i="175"/>
  <c r="Z181" i="175"/>
  <c r="Y194" i="28"/>
  <c r="V17" i="175"/>
  <c r="V14" i="175"/>
  <c r="Z180" i="175"/>
  <c r="Y193" i="28"/>
  <c r="X99" i="175"/>
  <c r="X115" i="175"/>
  <c r="X107" i="175"/>
  <c r="X95" i="175"/>
  <c r="X94" i="175"/>
  <c r="X96" i="175"/>
  <c r="Y96" i="175" s="1"/>
  <c r="X101" i="175"/>
  <c r="X102" i="175"/>
  <c r="X91" i="175"/>
  <c r="Y91" i="175" s="1"/>
  <c r="X92" i="175"/>
  <c r="Y92" i="175" s="1"/>
  <c r="X117" i="175"/>
  <c r="W14" i="28"/>
  <c r="S14" i="70"/>
  <c r="X103" i="175"/>
  <c r="Y103" i="175" s="1"/>
  <c r="X116" i="175"/>
  <c r="X112" i="175"/>
  <c r="V18" i="175"/>
  <c r="X104" i="175"/>
  <c r="Y104" i="175" s="1"/>
  <c r="S19" i="70"/>
  <c r="W19" i="28"/>
  <c r="H234" i="16"/>
  <c r="H237" i="16" s="1"/>
  <c r="H238" i="16" s="1"/>
  <c r="H34" i="16"/>
  <c r="H239" i="16" s="1"/>
  <c r="G14" i="157" s="1"/>
  <c r="G14" i="181" s="1"/>
  <c r="G72" i="16"/>
  <c r="G73" i="16" s="1"/>
  <c r="G74" i="16" s="1"/>
  <c r="G252" i="16" s="1"/>
  <c r="L510" i="202"/>
  <c r="L511" i="202" s="1"/>
  <c r="L87" i="202" s="1"/>
  <c r="L108" i="202" s="1"/>
  <c r="J8" i="207"/>
  <c r="L70" i="16"/>
  <c r="H67" i="202"/>
  <c r="L19" i="16"/>
  <c r="L20" i="16" s="1"/>
  <c r="K47" i="16"/>
  <c r="P33" i="13"/>
  <c r="O59" i="16" s="1"/>
  <c r="L27" i="157"/>
  <c r="H25" i="209" s="1"/>
  <c r="L28" i="157"/>
  <c r="H26" i="209" s="1"/>
  <c r="W10" i="28"/>
  <c r="S10" i="70"/>
  <c r="W21" i="28"/>
  <c r="S21" i="70"/>
  <c r="W22" i="28"/>
  <c r="S22" i="70"/>
  <c r="X108" i="175"/>
  <c r="W118" i="175"/>
  <c r="L26" i="157"/>
  <c r="L20" i="157" s="1"/>
  <c r="W15" i="28"/>
  <c r="S15" i="70"/>
  <c r="V95" i="172"/>
  <c r="W18" i="70" s="1"/>
  <c r="L171" i="36"/>
  <c r="L173" i="36" s="1"/>
  <c r="N173" i="36"/>
  <c r="P282" i="34" s="1"/>
  <c r="O281" i="34"/>
  <c r="M173" i="36"/>
  <c r="O282" i="34" s="1"/>
  <c r="K35" i="214" s="1"/>
  <c r="L170" i="36"/>
  <c r="L172" i="36" s="1"/>
  <c r="L58" i="36"/>
  <c r="L339" i="36"/>
  <c r="N260" i="34" s="1"/>
  <c r="J13" i="214" s="1"/>
  <c r="L59" i="36"/>
  <c r="N172" i="36"/>
  <c r="L331" i="36"/>
  <c r="C39" i="163"/>
  <c r="C27" i="181"/>
  <c r="C28" i="181" s="1"/>
  <c r="C30" i="181" s="1"/>
  <c r="C32" i="181" s="1"/>
  <c r="C33" i="181" s="1"/>
  <c r="F41" i="207"/>
  <c r="I9" i="202"/>
  <c r="K69" i="16"/>
  <c r="L436" i="202"/>
  <c r="L84" i="202" s="1"/>
  <c r="L105" i="202" s="1"/>
  <c r="L42" i="202"/>
  <c r="U125" i="185"/>
  <c r="U75" i="185" s="1"/>
  <c r="C34" i="93"/>
  <c r="C36" i="93" s="1"/>
  <c r="C38" i="93" s="1"/>
  <c r="O19" i="176"/>
  <c r="O27" i="181" s="1"/>
  <c r="V69" i="175"/>
  <c r="U84" i="175"/>
  <c r="U165" i="175" s="1"/>
  <c r="P28" i="176" s="1"/>
  <c r="P50" i="181" s="1"/>
  <c r="C26" i="70"/>
  <c r="C27" i="70" s="1"/>
  <c r="C28" i="70" s="1"/>
  <c r="C29" i="70" s="1"/>
  <c r="C30" i="70" s="1"/>
  <c r="C31" i="70" s="1"/>
  <c r="C32" i="70" s="1"/>
  <c r="C33" i="70" s="1"/>
  <c r="C34" i="70" s="1"/>
  <c r="C35" i="70" s="1"/>
  <c r="C36" i="70" s="1"/>
  <c r="C37" i="70" s="1"/>
  <c r="C38" i="70" s="1"/>
  <c r="C39" i="70" s="1"/>
  <c r="C40" i="70" s="1"/>
  <c r="C41" i="70" s="1"/>
  <c r="C42" i="70" s="1"/>
  <c r="C43" i="70" s="1"/>
  <c r="C44" i="70" s="1"/>
  <c r="C45" i="70" s="1"/>
  <c r="C46" i="70" s="1"/>
  <c r="C47" i="70" s="1"/>
  <c r="C48" i="70" s="1"/>
  <c r="C51" i="70" s="1"/>
  <c r="C52" i="70" s="1"/>
  <c r="C53" i="70" s="1"/>
  <c r="C54" i="70" s="1"/>
  <c r="C55" i="70" s="1"/>
  <c r="C56" i="70" s="1"/>
  <c r="C57" i="70" s="1"/>
  <c r="C58" i="70" s="1"/>
  <c r="C59" i="70" s="1"/>
  <c r="C60" i="70" s="1"/>
  <c r="C61" i="70" s="1"/>
  <c r="C62" i="70" s="1"/>
  <c r="C63" i="70" s="1"/>
  <c r="C64" i="70" s="1"/>
  <c r="C67" i="70" s="1"/>
  <c r="C68" i="70" s="1"/>
  <c r="C69" i="70" s="1"/>
  <c r="C70" i="70" s="1"/>
  <c r="C71" i="70" s="1"/>
  <c r="C72" i="70" s="1"/>
  <c r="C73" i="70" s="1"/>
  <c r="C74" i="70" s="1"/>
  <c r="C75" i="70" s="1"/>
  <c r="C76" i="70" s="1"/>
  <c r="C77" i="70" s="1"/>
  <c r="C78" i="70" s="1"/>
  <c r="C79" i="70" s="1"/>
  <c r="C80" i="70" s="1"/>
  <c r="C81" i="70" s="1"/>
  <c r="C82" i="70" s="1"/>
  <c r="C83" i="70" s="1"/>
  <c r="C84" i="70" s="1"/>
  <c r="C85" i="70" s="1"/>
  <c r="C86" i="70" s="1"/>
  <c r="C89" i="70" s="1"/>
  <c r="C90" i="70" s="1"/>
  <c r="C91" i="70" s="1"/>
  <c r="C94" i="70" s="1"/>
  <c r="C95" i="70" s="1"/>
  <c r="C96" i="70" s="1"/>
  <c r="C97" i="70" s="1"/>
  <c r="C98" i="70" s="1"/>
  <c r="C99" i="70" s="1"/>
  <c r="C100" i="70" s="1"/>
  <c r="C101" i="70" s="1"/>
  <c r="C102" i="70" s="1"/>
  <c r="C103" i="70" s="1"/>
  <c r="C104" i="70" s="1"/>
  <c r="C105" i="70" s="1"/>
  <c r="C108" i="70" s="1"/>
  <c r="C109" i="70" s="1"/>
  <c r="C110" i="70" s="1"/>
  <c r="C111" i="70" s="1"/>
  <c r="C112" i="70" s="1"/>
  <c r="C113" i="70" s="1"/>
  <c r="C114" i="70" s="1"/>
  <c r="C115" i="70" s="1"/>
  <c r="I49" i="195"/>
  <c r="Q12" i="13"/>
  <c r="Q142" i="13" s="1"/>
  <c r="Q13" i="13"/>
  <c r="Q160" i="13" s="1"/>
  <c r="Q17" i="13"/>
  <c r="Q161" i="13" s="1"/>
  <c r="Q190" i="13" s="1"/>
  <c r="Q16" i="13"/>
  <c r="Q143" i="13" s="1"/>
  <c r="P7" i="202"/>
  <c r="P7" i="181"/>
  <c r="L7" i="209"/>
  <c r="L40" i="209" s="1"/>
  <c r="O6" i="195"/>
  <c r="R6" i="70"/>
  <c r="U6" i="28"/>
  <c r="N7" i="186"/>
  <c r="P7" i="176"/>
  <c r="P7" i="157"/>
  <c r="U6" i="175"/>
  <c r="Q6" i="30"/>
  <c r="M3" i="207"/>
  <c r="N7" i="179"/>
  <c r="S7" i="20"/>
  <c r="R7" i="13"/>
  <c r="R186" i="13" s="1"/>
  <c r="P7" i="14"/>
  <c r="O7" i="92"/>
  <c r="K34" i="203" s="1"/>
  <c r="K35" i="203" s="1"/>
  <c r="K6" i="177"/>
  <c r="S8" i="163"/>
  <c r="R7" i="164"/>
  <c r="R14" i="164" s="1"/>
  <c r="Q8" i="16"/>
  <c r="Q6" i="180"/>
  <c r="T162" i="28"/>
  <c r="T177" i="28"/>
  <c r="T162" i="175"/>
  <c r="T174" i="175"/>
  <c r="K78" i="103"/>
  <c r="K55" i="103"/>
  <c r="C160" i="93"/>
  <c r="C162" i="93" s="1"/>
  <c r="V9" i="175"/>
  <c r="U20" i="175"/>
  <c r="U163" i="175" s="1"/>
  <c r="M419" i="202"/>
  <c r="M420" i="202" s="1"/>
  <c r="J249" i="16"/>
  <c r="J34" i="16"/>
  <c r="J239" i="16" s="1"/>
  <c r="I14" i="157" s="1"/>
  <c r="Q78" i="20"/>
  <c r="P82" i="20"/>
  <c r="K51" i="16"/>
  <c r="W123" i="185"/>
  <c r="X132" i="185"/>
  <c r="W117" i="185"/>
  <c r="K7" i="207"/>
  <c r="O25" i="16"/>
  <c r="T243" i="164"/>
  <c r="K249" i="16"/>
  <c r="J82" i="16"/>
  <c r="F82" i="16"/>
  <c r="L25" i="203"/>
  <c r="L17" i="203" s="1"/>
  <c r="C23" i="16"/>
  <c r="N417" i="202"/>
  <c r="N418" i="202" s="1"/>
  <c r="C42" i="107"/>
  <c r="I37" i="181"/>
  <c r="I85" i="181" s="1"/>
  <c r="E46" i="209"/>
  <c r="M47" i="92"/>
  <c r="O107" i="181"/>
  <c r="V239" i="164"/>
  <c r="L29" i="16"/>
  <c r="L30" i="16" s="1"/>
  <c r="L45" i="177"/>
  <c r="L46" i="177" s="1"/>
  <c r="L41" i="177"/>
  <c r="L42" i="177" s="1"/>
  <c r="I14" i="203"/>
  <c r="O82" i="227" s="1"/>
  <c r="S261" i="16"/>
  <c r="O50" i="207" s="1"/>
  <c r="T220" i="16"/>
  <c r="M18" i="16"/>
  <c r="M19" i="16" s="1"/>
  <c r="T235" i="164"/>
  <c r="T78" i="185"/>
  <c r="T8" i="185"/>
  <c r="T10" i="185" s="1"/>
  <c r="U7" i="185" s="1"/>
  <c r="M28" i="16"/>
  <c r="M29" i="16" s="1"/>
  <c r="L469" i="202"/>
  <c r="J48" i="16"/>
  <c r="O89" i="157"/>
  <c r="K68" i="209" s="1"/>
  <c r="O90" i="157"/>
  <c r="C24" i="19"/>
  <c r="C25" i="19" s="1"/>
  <c r="V15" i="185"/>
  <c r="W116" i="185"/>
  <c r="W244" i="164"/>
  <c r="G34" i="16"/>
  <c r="G239" i="16" s="1"/>
  <c r="J15" i="176"/>
  <c r="J21" i="176" s="1"/>
  <c r="J23" i="176" s="1"/>
  <c r="L42" i="16"/>
  <c r="O67" i="179"/>
  <c r="O68" i="179" s="1"/>
  <c r="O69" i="179" s="1"/>
  <c r="P63" i="179"/>
  <c r="P66" i="179" s="1"/>
  <c r="O26" i="16"/>
  <c r="K24" i="207"/>
  <c r="J6" i="207"/>
  <c r="C38" i="115"/>
  <c r="C40" i="115" s="1"/>
  <c r="C43" i="115" s="1"/>
  <c r="C44" i="115" s="1"/>
  <c r="C45" i="115" s="1"/>
  <c r="C46" i="115" s="1"/>
  <c r="C47" i="115" s="1"/>
  <c r="C48" i="115" s="1"/>
  <c r="C49" i="115" s="1"/>
  <c r="C50" i="115" s="1"/>
  <c r="C51" i="115" s="1"/>
  <c r="C52" i="115" s="1"/>
  <c r="C54" i="115" s="1"/>
  <c r="C57" i="115" s="1"/>
  <c r="C58" i="115" s="1"/>
  <c r="C59" i="115" s="1"/>
  <c r="C60" i="115" s="1"/>
  <c r="C61" i="115" s="1"/>
  <c r="C62" i="115" s="1"/>
  <c r="C63" i="115" s="1"/>
  <c r="C66" i="115" s="1"/>
  <c r="C67" i="115" s="1"/>
  <c r="C19" i="207"/>
  <c r="K13" i="176"/>
  <c r="P11" i="28" s="1"/>
  <c r="K54" i="176"/>
  <c r="C26" i="209"/>
  <c r="N492" i="202"/>
  <c r="N493" i="202" s="1"/>
  <c r="C25" i="165"/>
  <c r="C26" i="165" s="1"/>
  <c r="C27" i="165" s="1"/>
  <c r="C28" i="165" s="1"/>
  <c r="C29" i="165" s="1"/>
  <c r="C30" i="165" s="1"/>
  <c r="C31" i="165" s="1"/>
  <c r="C32" i="165" s="1"/>
  <c r="C33" i="165" s="1"/>
  <c r="M494" i="202"/>
  <c r="K29" i="16"/>
  <c r="K30" i="16" s="1"/>
  <c r="R167" i="175"/>
  <c r="M30" i="176"/>
  <c r="I51" i="195"/>
  <c r="W140" i="185"/>
  <c r="V142" i="185"/>
  <c r="V23" i="185" s="1"/>
  <c r="AF142" i="185"/>
  <c r="AG141" i="185"/>
  <c r="X138" i="185"/>
  <c r="I7" i="203"/>
  <c r="I39" i="203"/>
  <c r="H118" i="181"/>
  <c r="H122" i="181" s="1"/>
  <c r="H123" i="181" s="1"/>
  <c r="H74" i="181"/>
  <c r="H100" i="181" s="1"/>
  <c r="H101" i="181" s="1"/>
  <c r="H7" i="203"/>
  <c r="H39" i="203"/>
  <c r="N16" i="177"/>
  <c r="M17" i="177"/>
  <c r="M18" i="177"/>
  <c r="D50" i="13"/>
  <c r="D49" i="13"/>
  <c r="N49" i="13" s="1"/>
  <c r="D48" i="13"/>
  <c r="N48" i="13" s="1"/>
  <c r="L52" i="181"/>
  <c r="L55" i="181" s="1"/>
  <c r="L31" i="176"/>
  <c r="L52" i="176" s="1"/>
  <c r="C44" i="107"/>
  <c r="C47" i="107" s="1"/>
  <c r="C23" i="202"/>
  <c r="C24" i="202" s="1"/>
  <c r="C25" i="202" s="1"/>
  <c r="C28" i="202" s="1"/>
  <c r="C29" i="202" s="1"/>
  <c r="C30" i="202" s="1"/>
  <c r="C31" i="202" s="1"/>
  <c r="N61" i="195"/>
  <c r="N74" i="195"/>
  <c r="N87" i="195"/>
  <c r="N36" i="195"/>
  <c r="G54" i="16"/>
  <c r="G55" i="16" s="1"/>
  <c r="V242" i="164"/>
  <c r="X144" i="185"/>
  <c r="W30" i="185"/>
  <c r="U240" i="164"/>
  <c r="S90" i="70"/>
  <c r="W88" i="28"/>
  <c r="U236" i="164"/>
  <c r="L83" i="185"/>
  <c r="L84" i="185" s="1"/>
  <c r="L14" i="185"/>
  <c r="L16" i="185" s="1"/>
  <c r="M13" i="185" s="1"/>
  <c r="I23" i="207"/>
  <c r="O15" i="16"/>
  <c r="H265" i="16"/>
  <c r="G82" i="16"/>
  <c r="C33" i="46"/>
  <c r="J69" i="16"/>
  <c r="J72" i="16" s="1"/>
  <c r="R89" i="70"/>
  <c r="R91" i="70" s="1"/>
  <c r="R166" i="70" s="1"/>
  <c r="V87" i="28"/>
  <c r="U89" i="28"/>
  <c r="U167" i="28" s="1"/>
  <c r="K52" i="209"/>
  <c r="O42" i="181"/>
  <c r="C26" i="157"/>
  <c r="H211" i="172"/>
  <c r="J203" i="172"/>
  <c r="J207" i="172" s="1"/>
  <c r="C30" i="44"/>
  <c r="C32" i="44" s="1"/>
  <c r="C33" i="44" s="1"/>
  <c r="C35" i="44" s="1"/>
  <c r="C36" i="44" s="1"/>
  <c r="C38" i="44" s="1"/>
  <c r="C39" i="44" s="1"/>
  <c r="C41" i="44" s="1"/>
  <c r="C42" i="44" s="1"/>
  <c r="C44" i="44" s="1"/>
  <c r="C45" i="44" s="1"/>
  <c r="C47" i="44" s="1"/>
  <c r="C48" i="44" s="1"/>
  <c r="C50" i="44" s="1"/>
  <c r="C51" i="44" s="1"/>
  <c r="C53" i="44" s="1"/>
  <c r="C54" i="44" s="1"/>
  <c r="C56" i="44" s="1"/>
  <c r="C57" i="44" s="1"/>
  <c r="C59" i="44" s="1"/>
  <c r="C60" i="44" s="1"/>
  <c r="C62" i="44" s="1"/>
  <c r="C64" i="44" s="1"/>
  <c r="X86" i="175"/>
  <c r="S26" i="175"/>
  <c r="W232" i="164"/>
  <c r="R113" i="70"/>
  <c r="U9" i="185"/>
  <c r="V122" i="185"/>
  <c r="V124" i="185" s="1"/>
  <c r="T241" i="164"/>
  <c r="L31" i="157"/>
  <c r="H29" i="209" s="1"/>
  <c r="D53" i="13"/>
  <c r="N53" i="13" s="1"/>
  <c r="J6" i="184"/>
  <c r="J10" i="184" s="1"/>
  <c r="I18" i="184"/>
  <c r="K61" i="16"/>
  <c r="C35" i="79"/>
  <c r="C36" i="79" s="1"/>
  <c r="C37" i="79" s="1"/>
  <c r="C38" i="79" s="1"/>
  <c r="C39" i="79" s="1"/>
  <c r="C40" i="79" s="1"/>
  <c r="C41" i="79" s="1"/>
  <c r="C42" i="79" s="1"/>
  <c r="C43" i="79" s="1"/>
  <c r="C44" i="79" s="1"/>
  <c r="C45" i="79" s="1"/>
  <c r="C46" i="79" s="1"/>
  <c r="C47" i="79" s="1"/>
  <c r="C48" i="79" s="1"/>
  <c r="C49" i="79" s="1"/>
  <c r="C50" i="79" s="1"/>
  <c r="C51" i="79" s="1"/>
  <c r="C52" i="79" s="1"/>
  <c r="C53" i="79" s="1"/>
  <c r="C54" i="79" s="1"/>
  <c r="C55" i="79" s="1"/>
  <c r="C56" i="79" s="1"/>
  <c r="C57" i="79" s="1"/>
  <c r="C59" i="79" s="1"/>
  <c r="C60" i="79" s="1"/>
  <c r="C61" i="79" s="1"/>
  <c r="C62" i="79" s="1"/>
  <c r="C63" i="79" s="1"/>
  <c r="C64" i="79" s="1"/>
  <c r="C65" i="79" s="1"/>
  <c r="C66" i="79" s="1"/>
  <c r="C67" i="79" s="1"/>
  <c r="C68" i="79" s="1"/>
  <c r="C69" i="79" s="1"/>
  <c r="C70" i="79" s="1"/>
  <c r="C71" i="79" s="1"/>
  <c r="C72" i="79" s="1"/>
  <c r="C74" i="79" s="1"/>
  <c r="C75" i="79" s="1"/>
  <c r="C76" i="79" s="1"/>
  <c r="C29" i="45"/>
  <c r="P213" i="16"/>
  <c r="P212" i="16"/>
  <c r="P209" i="16"/>
  <c r="P208" i="16"/>
  <c r="P219" i="16"/>
  <c r="P207" i="16"/>
  <c r="P217" i="16"/>
  <c r="P214" i="16"/>
  <c r="P211" i="16"/>
  <c r="P215" i="16"/>
  <c r="P216" i="16"/>
  <c r="P218" i="16"/>
  <c r="P210" i="16"/>
  <c r="O28" i="202"/>
  <c r="O23" i="202"/>
  <c r="O21" i="202"/>
  <c r="G34" i="219" s="1"/>
  <c r="O70" i="202"/>
  <c r="O91" i="202"/>
  <c r="O24" i="202"/>
  <c r="G40" i="219" s="1"/>
  <c r="O49" i="202"/>
  <c r="N27" i="16"/>
  <c r="I68" i="157"/>
  <c r="C23" i="175"/>
  <c r="R264" i="16"/>
  <c r="N53" i="207" s="1"/>
  <c r="S232" i="16"/>
  <c r="J50" i="16"/>
  <c r="C26" i="35"/>
  <c r="N118" i="185"/>
  <c r="M119" i="185"/>
  <c r="M80" i="185" s="1"/>
  <c r="O40" i="16"/>
  <c r="O14" i="16"/>
  <c r="L34" i="214"/>
  <c r="M468" i="202"/>
  <c r="C21" i="89"/>
  <c r="C22" i="89" s="1"/>
  <c r="C23" i="89" s="1"/>
  <c r="C24" i="89" s="1"/>
  <c r="C25" i="89" s="1"/>
  <c r="C26" i="89" s="1"/>
  <c r="C27" i="89" s="1"/>
  <c r="C28" i="89" s="1"/>
  <c r="C29" i="89" s="1"/>
  <c r="C30" i="89" s="1"/>
  <c r="C30" i="92"/>
  <c r="C31" i="92" s="1"/>
  <c r="C34" i="96"/>
  <c r="C25" i="13"/>
  <c r="C27" i="35"/>
  <c r="R108" i="70"/>
  <c r="U119" i="28"/>
  <c r="U169" i="28" s="1"/>
  <c r="P73" i="157" s="1"/>
  <c r="V90" i="175"/>
  <c r="U105" i="175"/>
  <c r="N467" i="202"/>
  <c r="N64" i="181"/>
  <c r="C33" i="34"/>
  <c r="C33" i="214"/>
  <c r="C34" i="214" s="1"/>
  <c r="C35" i="214" s="1"/>
  <c r="C36" i="214" s="1"/>
  <c r="C37" i="214" s="1"/>
  <c r="C38" i="214" s="1"/>
  <c r="C39" i="214" s="1"/>
  <c r="C40" i="214" s="1"/>
  <c r="C41" i="214" s="1"/>
  <c r="C42" i="214" s="1"/>
  <c r="C43" i="214" s="1"/>
  <c r="C44" i="214" s="1"/>
  <c r="C45" i="214" s="1"/>
  <c r="C46" i="214" s="1"/>
  <c r="C47" i="214" s="1"/>
  <c r="C48" i="214" s="1"/>
  <c r="C49" i="214" s="1"/>
  <c r="C50" i="214" s="1"/>
  <c r="C51" i="214" s="1"/>
  <c r="C52" i="214" s="1"/>
  <c r="C53" i="214" s="1"/>
  <c r="C54" i="214" s="1"/>
  <c r="C55" i="214" s="1"/>
  <c r="C22" i="164"/>
  <c r="H109" i="202"/>
  <c r="K48" i="209"/>
  <c r="O38" i="181"/>
  <c r="C24" i="215"/>
  <c r="H14" i="203"/>
  <c r="N82" i="227" s="1"/>
  <c r="L19" i="177"/>
  <c r="L25" i="177" s="1"/>
  <c r="C26" i="14"/>
  <c r="T142" i="28" l="1"/>
  <c r="S31" i="175"/>
  <c r="S60" i="175"/>
  <c r="S66" i="175"/>
  <c r="S64" i="175"/>
  <c r="T146" i="28"/>
  <c r="T140" i="28"/>
  <c r="S53" i="175"/>
  <c r="S63" i="175"/>
  <c r="S50" i="175"/>
  <c r="C32" i="92"/>
  <c r="C28" i="176"/>
  <c r="C29" i="176" s="1"/>
  <c r="C27" i="176"/>
  <c r="N64" i="70"/>
  <c r="N164" i="70" s="1"/>
  <c r="C118" i="70"/>
  <c r="C119" i="70" s="1"/>
  <c r="C120" i="70" s="1"/>
  <c r="Q115" i="70"/>
  <c r="Q168" i="70" s="1"/>
  <c r="V91" i="186"/>
  <c r="U93" i="186"/>
  <c r="T12" i="30"/>
  <c r="U12" i="30" s="1"/>
  <c r="V11" i="30"/>
  <c r="S12" i="163"/>
  <c r="S15" i="163"/>
  <c r="S20" i="163" s="1"/>
  <c r="S38" i="163" s="1"/>
  <c r="S17" i="163"/>
  <c r="S22" i="163" s="1"/>
  <c r="S40" i="163" s="1"/>
  <c r="S16" i="163"/>
  <c r="S21" i="163" s="1"/>
  <c r="S39" i="163" s="1"/>
  <c r="P60" i="181" s="1"/>
  <c r="S11" i="163"/>
  <c r="S10" i="163" s="1"/>
  <c r="R10" i="163"/>
  <c r="Y115" i="175"/>
  <c r="T72" i="28"/>
  <c r="T79" i="28"/>
  <c r="T82" i="28"/>
  <c r="T74" i="28"/>
  <c r="Q48" i="70"/>
  <c r="Q163" i="70" s="1"/>
  <c r="T75" i="28"/>
  <c r="T65" i="28"/>
  <c r="T64" i="28"/>
  <c r="T154" i="28"/>
  <c r="Q151" i="70" s="1"/>
  <c r="S51" i="175"/>
  <c r="S38" i="175"/>
  <c r="S41" i="175"/>
  <c r="S61" i="175"/>
  <c r="S46" i="175"/>
  <c r="S42" i="175"/>
  <c r="R164" i="175"/>
  <c r="M27" i="176" s="1"/>
  <c r="M49" i="181" s="1"/>
  <c r="S44" i="175"/>
  <c r="S49" i="175"/>
  <c r="S35" i="175"/>
  <c r="S54" i="175"/>
  <c r="S48" i="175"/>
  <c r="S47" i="175"/>
  <c r="S33" i="175"/>
  <c r="S29" i="175"/>
  <c r="S65" i="175"/>
  <c r="S36" i="175"/>
  <c r="S55" i="175"/>
  <c r="S52" i="175"/>
  <c r="S58" i="175"/>
  <c r="S39" i="175"/>
  <c r="S45" i="175"/>
  <c r="S40" i="175"/>
  <c r="S32" i="175"/>
  <c r="S62" i="175"/>
  <c r="S28" i="175"/>
  <c r="S56" i="175"/>
  <c r="S57" i="175"/>
  <c r="S43" i="175"/>
  <c r="S37" i="175"/>
  <c r="S30" i="175"/>
  <c r="T223" i="164"/>
  <c r="U223" i="164" s="1"/>
  <c r="V223" i="164" s="1"/>
  <c r="W223" i="164" s="1"/>
  <c r="R197" i="16"/>
  <c r="P144" i="13"/>
  <c r="Q189" i="13"/>
  <c r="N47" i="13"/>
  <c r="K38" i="203"/>
  <c r="K37" i="203"/>
  <c r="J38" i="203"/>
  <c r="J37" i="203"/>
  <c r="J14" i="203" s="1"/>
  <c r="P82" i="227" s="1"/>
  <c r="S17" i="28"/>
  <c r="N88" i="227"/>
  <c r="N89" i="227" s="1"/>
  <c r="T17" i="28"/>
  <c r="O88" i="227"/>
  <c r="O89" i="227" s="1"/>
  <c r="V9" i="28"/>
  <c r="S9" i="70" s="1"/>
  <c r="S92" i="172"/>
  <c r="R84" i="227"/>
  <c r="Q145" i="70"/>
  <c r="Q136" i="70"/>
  <c r="Q143" i="70"/>
  <c r="Q128" i="70"/>
  <c r="Q139" i="70"/>
  <c r="Q137" i="70"/>
  <c r="S170" i="28"/>
  <c r="N74" i="157" s="1"/>
  <c r="T143" i="28"/>
  <c r="T151" i="28"/>
  <c r="T127" i="28"/>
  <c r="T155" i="28"/>
  <c r="T153" i="28"/>
  <c r="T149" i="28"/>
  <c r="T136" i="28"/>
  <c r="T141" i="28"/>
  <c r="T129" i="28"/>
  <c r="T158" i="28"/>
  <c r="T147" i="28"/>
  <c r="T138" i="28"/>
  <c r="T126" i="28"/>
  <c r="T144" i="28"/>
  <c r="T135" i="28"/>
  <c r="T122" i="28"/>
  <c r="T152" i="28"/>
  <c r="T124" i="28"/>
  <c r="T128" i="28"/>
  <c r="T125" i="28"/>
  <c r="T133" i="28"/>
  <c r="T123" i="28"/>
  <c r="T157" i="28"/>
  <c r="T150" i="28"/>
  <c r="T130" i="28"/>
  <c r="T134" i="28"/>
  <c r="T132" i="28"/>
  <c r="T156" i="28"/>
  <c r="T137" i="28"/>
  <c r="T145" i="28"/>
  <c r="P156" i="70"/>
  <c r="P169" i="70" s="1"/>
  <c r="T121" i="28"/>
  <c r="V105" i="28"/>
  <c r="V108" i="28"/>
  <c r="V106" i="28"/>
  <c r="V117" i="28"/>
  <c r="S113" i="70" s="1"/>
  <c r="V112" i="28"/>
  <c r="V113" i="28"/>
  <c r="R109" i="70"/>
  <c r="V116" i="28"/>
  <c r="V110" i="28"/>
  <c r="V111" i="28"/>
  <c r="V114" i="28"/>
  <c r="R110" i="70"/>
  <c r="V104" i="28"/>
  <c r="V118" i="28"/>
  <c r="R114" i="70"/>
  <c r="V107" i="28"/>
  <c r="V115" i="28"/>
  <c r="R111" i="70"/>
  <c r="V109" i="28"/>
  <c r="Q95" i="70"/>
  <c r="Q100" i="70"/>
  <c r="Q99" i="70"/>
  <c r="S168" i="28"/>
  <c r="N72" i="157" s="1"/>
  <c r="T98" i="28"/>
  <c r="T93" i="28"/>
  <c r="T91" i="28"/>
  <c r="T99" i="28"/>
  <c r="T95" i="28"/>
  <c r="T100" i="28"/>
  <c r="T94" i="28"/>
  <c r="P105" i="70"/>
  <c r="P167" i="70" s="1"/>
  <c r="T101" i="28"/>
  <c r="Q79" i="70"/>
  <c r="Q85" i="70"/>
  <c r="Q68" i="70"/>
  <c r="Q82" i="70"/>
  <c r="T68" i="28"/>
  <c r="T73" i="28"/>
  <c r="T66" i="28"/>
  <c r="T77" i="28"/>
  <c r="T80" i="28"/>
  <c r="T67" i="28"/>
  <c r="T69" i="28"/>
  <c r="P86" i="70"/>
  <c r="P165" i="70" s="1"/>
  <c r="Q67" i="70"/>
  <c r="Q78" i="70"/>
  <c r="Q73" i="70"/>
  <c r="Q75" i="70"/>
  <c r="Q77" i="70"/>
  <c r="Q81" i="70"/>
  <c r="S166" i="28"/>
  <c r="N71" i="157" s="1"/>
  <c r="T71" i="28"/>
  <c r="T81" i="28"/>
  <c r="R59" i="28"/>
  <c r="R58" i="28"/>
  <c r="R61" i="28"/>
  <c r="R57" i="28"/>
  <c r="R60" i="28"/>
  <c r="Q165" i="28"/>
  <c r="L70" i="157" s="1"/>
  <c r="R53" i="28"/>
  <c r="R49" i="28"/>
  <c r="R52" i="28"/>
  <c r="R55" i="28"/>
  <c r="R51" i="28"/>
  <c r="R54" i="28"/>
  <c r="R50" i="28"/>
  <c r="R27" i="70"/>
  <c r="R35" i="70"/>
  <c r="R43" i="70"/>
  <c r="R30" i="70"/>
  <c r="R42" i="70"/>
  <c r="U30" i="28"/>
  <c r="U35" i="28"/>
  <c r="U33" i="28"/>
  <c r="U31" i="28"/>
  <c r="U43" i="28"/>
  <c r="U40" i="28"/>
  <c r="U44" i="28"/>
  <c r="R26" i="70"/>
  <c r="R33" i="70"/>
  <c r="R39" i="70"/>
  <c r="R37" i="70"/>
  <c r="R40" i="70"/>
  <c r="U46" i="28"/>
  <c r="U27" i="28"/>
  <c r="U45" i="28"/>
  <c r="U37" i="28"/>
  <c r="U159" i="175"/>
  <c r="V146" i="175" s="1"/>
  <c r="T23" i="175"/>
  <c r="T25" i="175"/>
  <c r="T24" i="175"/>
  <c r="T22" i="175"/>
  <c r="Y101" i="175"/>
  <c r="Y99" i="175"/>
  <c r="L21" i="16"/>
  <c r="P31" i="179"/>
  <c r="W11" i="175"/>
  <c r="Y95" i="175"/>
  <c r="Y100" i="175"/>
  <c r="J40" i="203"/>
  <c r="M43" i="16"/>
  <c r="O16" i="16"/>
  <c r="O17" i="16" s="1"/>
  <c r="M44" i="16"/>
  <c r="O24" i="13"/>
  <c r="P24" i="13" s="1"/>
  <c r="L48" i="16"/>
  <c r="G18" i="157"/>
  <c r="G23" i="157" s="1"/>
  <c r="G35" i="157" s="1"/>
  <c r="G60" i="157" s="1"/>
  <c r="G77" i="157" s="1"/>
  <c r="G85" i="157" s="1"/>
  <c r="L71" i="16"/>
  <c r="K66" i="16"/>
  <c r="O41" i="13"/>
  <c r="L47" i="16"/>
  <c r="K70" i="16"/>
  <c r="K71" i="16"/>
  <c r="M52" i="16"/>
  <c r="K52" i="16"/>
  <c r="F17" i="219"/>
  <c r="C40" i="93"/>
  <c r="C42" i="93" s="1"/>
  <c r="C44" i="93" s="1"/>
  <c r="C46" i="93" s="1"/>
  <c r="C48" i="93" s="1"/>
  <c r="C50" i="93" s="1"/>
  <c r="C55" i="93" s="1"/>
  <c r="C57" i="93" s="1"/>
  <c r="C59" i="93" s="1"/>
  <c r="C61" i="93" s="1"/>
  <c r="C62" i="93" s="1"/>
  <c r="C63" i="93" s="1"/>
  <c r="C64" i="93" s="1"/>
  <c r="C66" i="93" s="1"/>
  <c r="C67" i="93" s="1"/>
  <c r="C68" i="93" s="1"/>
  <c r="C69" i="93" s="1"/>
  <c r="C71" i="93" s="1"/>
  <c r="C73" i="93" s="1"/>
  <c r="P100" i="179"/>
  <c r="C75" i="93"/>
  <c r="C77" i="93" s="1"/>
  <c r="C79" i="93" s="1"/>
  <c r="C81" i="93" s="1"/>
  <c r="C83" i="93" s="1"/>
  <c r="C85" i="93" s="1"/>
  <c r="C87" i="93" s="1"/>
  <c r="C89" i="93" s="1"/>
  <c r="C91" i="93" s="1"/>
  <c r="C93" i="93" s="1"/>
  <c r="C100" i="93" s="1"/>
  <c r="C102" i="93" s="1"/>
  <c r="C104" i="93" s="1"/>
  <c r="C106" i="93" s="1"/>
  <c r="C107" i="93" s="1"/>
  <c r="C108" i="93" s="1"/>
  <c r="C109" i="93" s="1"/>
  <c r="C111" i="93" s="1"/>
  <c r="C112" i="93" s="1"/>
  <c r="C113" i="93" s="1"/>
  <c r="C114" i="93" s="1"/>
  <c r="C116" i="93" s="1"/>
  <c r="C118" i="93" s="1"/>
  <c r="C120" i="93" s="1"/>
  <c r="C122" i="93" s="1"/>
  <c r="C124" i="93" s="1"/>
  <c r="C126" i="93" s="1"/>
  <c r="C128" i="93" s="1"/>
  <c r="C130" i="93" s="1"/>
  <c r="C132" i="93" s="1"/>
  <c r="C134" i="93" s="1"/>
  <c r="C136" i="93" s="1"/>
  <c r="C24" i="28"/>
  <c r="C25" i="28" s="1"/>
  <c r="C26" i="28" s="1"/>
  <c r="C27" i="28" s="1"/>
  <c r="C28" i="28" s="1"/>
  <c r="C29" i="28" s="1"/>
  <c r="C30" i="28" s="1"/>
  <c r="C31" i="28" s="1"/>
  <c r="C164" i="93"/>
  <c r="C166" i="93" s="1"/>
  <c r="C168" i="93" s="1"/>
  <c r="C170" i="93" s="1"/>
  <c r="C172" i="93" s="1"/>
  <c r="C174" i="93" s="1"/>
  <c r="C176" i="93" s="1"/>
  <c r="S56" i="28"/>
  <c r="O58" i="70"/>
  <c r="C33" i="92"/>
  <c r="C34" i="92" s="1"/>
  <c r="C36" i="92" s="1"/>
  <c r="C38" i="92" s="1"/>
  <c r="C39" i="92" s="1"/>
  <c r="C40" i="92" s="1"/>
  <c r="C41" i="92" s="1"/>
  <c r="C42" i="92" s="1"/>
  <c r="C44" i="92" s="1"/>
  <c r="C45" i="92" s="1"/>
  <c r="C46" i="92" s="1"/>
  <c r="C47" i="92" s="1"/>
  <c r="R160" i="70"/>
  <c r="G3" i="219"/>
  <c r="O28" i="181"/>
  <c r="O98" i="181"/>
  <c r="S228" i="16"/>
  <c r="R263" i="16"/>
  <c r="N52" i="207" s="1"/>
  <c r="L39" i="181"/>
  <c r="H49" i="209"/>
  <c r="L63" i="202"/>
  <c r="K49" i="195" s="1"/>
  <c r="D48" i="219"/>
  <c r="O65" i="181"/>
  <c r="K69" i="209"/>
  <c r="C40" i="103"/>
  <c r="C41" i="103" s="1"/>
  <c r="BX21" i="44"/>
  <c r="BY12" i="44"/>
  <c r="E25" i="45"/>
  <c r="J25" i="45" s="1"/>
  <c r="E23" i="72"/>
  <c r="E29" i="44"/>
  <c r="Y112" i="175"/>
  <c r="Y102" i="175"/>
  <c r="Y94" i="175"/>
  <c r="Y97" i="175"/>
  <c r="W18" i="175"/>
  <c r="W12" i="175"/>
  <c r="W14" i="175"/>
  <c r="W19" i="175"/>
  <c r="Y89" i="175"/>
  <c r="Y87" i="175"/>
  <c r="W17" i="175"/>
  <c r="Y93" i="175"/>
  <c r="W16" i="175"/>
  <c r="Y98" i="175"/>
  <c r="W10" i="175"/>
  <c r="Y109" i="175"/>
  <c r="Y88" i="175"/>
  <c r="Y116" i="175"/>
  <c r="Y117" i="175"/>
  <c r="Y111" i="175"/>
  <c r="Y110" i="175"/>
  <c r="Y113" i="175"/>
  <c r="Y114" i="175"/>
  <c r="Y107" i="175"/>
  <c r="T14" i="70"/>
  <c r="X14" i="28"/>
  <c r="W15" i="175"/>
  <c r="W13" i="175"/>
  <c r="Z193" i="28"/>
  <c r="Z194" i="28"/>
  <c r="X192" i="28"/>
  <c r="Y179" i="175"/>
  <c r="X19" i="28"/>
  <c r="T19" i="70"/>
  <c r="M19" i="30"/>
  <c r="C34" i="181"/>
  <c r="C36" i="181" s="1"/>
  <c r="L45" i="202"/>
  <c r="J53" i="16"/>
  <c r="J54" i="16" s="1"/>
  <c r="J55" i="16" s="1"/>
  <c r="H110" i="202"/>
  <c r="M421" i="202"/>
  <c r="M435" i="202" s="1"/>
  <c r="G23" i="181"/>
  <c r="G30" i="181" s="1"/>
  <c r="G84" i="181"/>
  <c r="G90" i="181" s="1"/>
  <c r="G92" i="181" s="1"/>
  <c r="G94" i="181" s="1"/>
  <c r="Q33" i="13"/>
  <c r="P59" i="16" s="1"/>
  <c r="N19" i="16"/>
  <c r="N20" i="16" s="1"/>
  <c r="N468" i="202"/>
  <c r="N469" i="202" s="1"/>
  <c r="N470" i="202" s="1"/>
  <c r="N471" i="202" s="1"/>
  <c r="K8" i="207"/>
  <c r="K162" i="13"/>
  <c r="K191" i="13" s="1"/>
  <c r="T21" i="70"/>
  <c r="X21" i="28"/>
  <c r="T10" i="70"/>
  <c r="X10" i="28"/>
  <c r="M17" i="30"/>
  <c r="Y108" i="175"/>
  <c r="X118" i="175"/>
  <c r="L30" i="157"/>
  <c r="H28" i="209" s="1"/>
  <c r="X15" i="28"/>
  <c r="T15" i="70"/>
  <c r="X22" i="28"/>
  <c r="T22" i="70"/>
  <c r="W95" i="172"/>
  <c r="L35" i="214"/>
  <c r="K34" i="214"/>
  <c r="C77" i="79"/>
  <c r="C79" i="79"/>
  <c r="V125" i="185"/>
  <c r="V75" i="185" s="1"/>
  <c r="C32" i="202"/>
  <c r="C33" i="202" s="1"/>
  <c r="C34" i="202" s="1"/>
  <c r="C35" i="202" s="1"/>
  <c r="C36" i="202" s="1"/>
  <c r="C37" i="202" s="1"/>
  <c r="C38" i="202" s="1"/>
  <c r="C39" i="202" s="1"/>
  <c r="C40" i="202" s="1"/>
  <c r="C41" i="202" s="1"/>
  <c r="C42" i="202" s="1"/>
  <c r="C43" i="202" s="1"/>
  <c r="C44" i="202" s="1"/>
  <c r="C45" i="202" s="1"/>
  <c r="C46" i="202" s="1"/>
  <c r="C49" i="202" s="1"/>
  <c r="C50" i="202" s="1"/>
  <c r="C51" i="202" s="1"/>
  <c r="C52" i="202" s="1"/>
  <c r="C53" i="202" s="1"/>
  <c r="C54" i="202" s="1"/>
  <c r="C55" i="202" s="1"/>
  <c r="C56" i="202" s="1"/>
  <c r="C57" i="202" s="1"/>
  <c r="C58" i="202" s="1"/>
  <c r="C59" i="202" s="1"/>
  <c r="C60" i="202" s="1"/>
  <c r="C61" i="202" s="1"/>
  <c r="C62" i="202" s="1"/>
  <c r="C63" i="202" s="1"/>
  <c r="C64" i="202" s="1"/>
  <c r="C65" i="202" s="1"/>
  <c r="C66" i="202" s="1"/>
  <c r="C67" i="202" s="1"/>
  <c r="C70" i="202" s="1"/>
  <c r="C71" i="202" s="1"/>
  <c r="C72" i="202" s="1"/>
  <c r="C73" i="202" s="1"/>
  <c r="C74" i="202" s="1"/>
  <c r="C75" i="202" s="1"/>
  <c r="C76" i="202" s="1"/>
  <c r="C77" i="202" s="1"/>
  <c r="C78" i="202" s="1"/>
  <c r="C79" i="202" s="1"/>
  <c r="J73" i="16"/>
  <c r="J74" i="16" s="1"/>
  <c r="J252" i="16" s="1"/>
  <c r="I12" i="202" s="1"/>
  <c r="M20" i="16"/>
  <c r="M21" i="16" s="1"/>
  <c r="L31" i="16"/>
  <c r="K6" i="207"/>
  <c r="K67" i="16"/>
  <c r="D54" i="13"/>
  <c r="C28" i="14"/>
  <c r="L49" i="177"/>
  <c r="Q39" i="176"/>
  <c r="Q40" i="176" s="1"/>
  <c r="Q54" i="181" s="1"/>
  <c r="L26" i="177"/>
  <c r="O89" i="179" s="1"/>
  <c r="O90" i="179" s="1"/>
  <c r="M41" i="177"/>
  <c r="M42" i="177" s="1"/>
  <c r="M45" i="177"/>
  <c r="M46" i="177" s="1"/>
  <c r="K31" i="16"/>
  <c r="K32" i="16" s="1"/>
  <c r="C35" i="34"/>
  <c r="C38" i="34" s="1"/>
  <c r="C43" i="34" s="1"/>
  <c r="C45" i="34" s="1"/>
  <c r="C46" i="34" s="1"/>
  <c r="C47" i="34" s="1"/>
  <c r="C48" i="34" s="1"/>
  <c r="C49" i="34" s="1"/>
  <c r="C50" i="34" s="1"/>
  <c r="C51" i="34" s="1"/>
  <c r="C52" i="34" s="1"/>
  <c r="C53" i="34" s="1"/>
  <c r="C54" i="34" s="1"/>
  <c r="C55" i="34" s="1"/>
  <c r="C56" i="34" s="1"/>
  <c r="C57" i="34" s="1"/>
  <c r="C58" i="34" s="1"/>
  <c r="C59" i="34" s="1"/>
  <c r="C60" i="34" s="1"/>
  <c r="C61" i="34" s="1"/>
  <c r="C62" i="34" s="1"/>
  <c r="C63" i="34" s="1"/>
  <c r="C64" i="34" s="1"/>
  <c r="C65" i="34" s="1"/>
  <c r="C66" i="34" s="1"/>
  <c r="C67" i="34" s="1"/>
  <c r="C69" i="34" s="1"/>
  <c r="C70" i="34" s="1"/>
  <c r="C71" i="34" s="1"/>
  <c r="C72" i="34" s="1"/>
  <c r="C73" i="34" s="1"/>
  <c r="C74" i="34" s="1"/>
  <c r="C75" i="34" s="1"/>
  <c r="C76" i="34" s="1"/>
  <c r="C77" i="34" s="1"/>
  <c r="C78" i="34" s="1"/>
  <c r="C79" i="34" s="1"/>
  <c r="C80" i="34" s="1"/>
  <c r="C81" i="34" s="1"/>
  <c r="C82" i="34" s="1"/>
  <c r="C83" i="34" s="1"/>
  <c r="C84" i="34" s="1"/>
  <c r="C85" i="34" s="1"/>
  <c r="C86" i="34" s="1"/>
  <c r="C87" i="34" s="1"/>
  <c r="C88" i="34" s="1"/>
  <c r="C89" i="34" s="1"/>
  <c r="C90" i="34" s="1"/>
  <c r="C28" i="35"/>
  <c r="C35" i="96"/>
  <c r="C36" i="96" s="1"/>
  <c r="C37" i="96" s="1"/>
  <c r="C38" i="96" s="1"/>
  <c r="C39" i="96" s="1"/>
  <c r="C41" i="96" s="1"/>
  <c r="C43" i="96" s="1"/>
  <c r="C46" i="96" s="1"/>
  <c r="C47" i="96" s="1"/>
  <c r="C48" i="96" s="1"/>
  <c r="C49" i="96" s="1"/>
  <c r="C50" i="96" s="1"/>
  <c r="C51" i="96" s="1"/>
  <c r="C52" i="96" s="1"/>
  <c r="C53" i="96" s="1"/>
  <c r="C54" i="96" s="1"/>
  <c r="C55" i="96" s="1"/>
  <c r="C57" i="96" s="1"/>
  <c r="C60" i="96" s="1"/>
  <c r="C61" i="96"/>
  <c r="C62" i="96" s="1"/>
  <c r="C63" i="96" s="1"/>
  <c r="C64" i="96" s="1"/>
  <c r="C65" i="96" s="1"/>
  <c r="C66" i="96" s="1"/>
  <c r="C69" i="96" s="1"/>
  <c r="C70" i="96" s="1"/>
  <c r="O118" i="185"/>
  <c r="N119" i="185"/>
  <c r="N80" i="185" s="1"/>
  <c r="K50" i="16"/>
  <c r="O492" i="202"/>
  <c r="O467" i="202"/>
  <c r="O468" i="202" s="1"/>
  <c r="O469" i="202" s="1"/>
  <c r="J18" i="184"/>
  <c r="K6" i="184"/>
  <c r="K10" i="184" s="1"/>
  <c r="U241" i="164"/>
  <c r="T26" i="175"/>
  <c r="J208" i="172"/>
  <c r="J209" i="172" s="1"/>
  <c r="W87" i="28"/>
  <c r="S89" i="70"/>
  <c r="S91" i="70" s="1"/>
  <c r="S166" i="70" s="1"/>
  <c r="V89" i="28"/>
  <c r="V167" i="28" s="1"/>
  <c r="C29" i="35"/>
  <c r="V236" i="164"/>
  <c r="C27" i="157"/>
  <c r="Y144" i="185"/>
  <c r="X30" i="185"/>
  <c r="C48" i="107"/>
  <c r="K15" i="176"/>
  <c r="K21" i="176" s="1"/>
  <c r="K23" i="176" s="1"/>
  <c r="C26" i="19"/>
  <c r="T261" i="16"/>
  <c r="P50" i="207" s="1"/>
  <c r="U220" i="16"/>
  <c r="N419" i="202"/>
  <c r="N420" i="202" s="1"/>
  <c r="F83" i="16"/>
  <c r="F87" i="16" s="1"/>
  <c r="G40" i="207"/>
  <c r="J8" i="202"/>
  <c r="X123" i="185"/>
  <c r="Y132" i="185"/>
  <c r="X117" i="185"/>
  <c r="Q209" i="16"/>
  <c r="Q213" i="16"/>
  <c r="Q212" i="16"/>
  <c r="Q208" i="16"/>
  <c r="Q219" i="16"/>
  <c r="Q207" i="16"/>
  <c r="Q214" i="16"/>
  <c r="Q217" i="16"/>
  <c r="Q215" i="16"/>
  <c r="Q211" i="16"/>
  <c r="Q210" i="16"/>
  <c r="Q218" i="16"/>
  <c r="Q216" i="16"/>
  <c r="P6" i="195"/>
  <c r="Q7" i="176"/>
  <c r="N3" i="207"/>
  <c r="Q7" i="202"/>
  <c r="Q7" i="181"/>
  <c r="O7" i="179"/>
  <c r="Q7" i="157"/>
  <c r="V6" i="28"/>
  <c r="O7" i="186"/>
  <c r="S6" i="70"/>
  <c r="M7" i="209"/>
  <c r="M40" i="209" s="1"/>
  <c r="V6" i="175"/>
  <c r="R6" i="30"/>
  <c r="S7" i="13"/>
  <c r="S186" i="13" s="1"/>
  <c r="R8" i="16"/>
  <c r="R6" i="180"/>
  <c r="T8" i="163"/>
  <c r="P7" i="92"/>
  <c r="T7" i="20"/>
  <c r="S7" i="164"/>
  <c r="S14" i="164" s="1"/>
  <c r="Q7" i="14"/>
  <c r="L6" i="177"/>
  <c r="P90" i="157"/>
  <c r="P89" i="157"/>
  <c r="L68" i="209" s="1"/>
  <c r="P23" i="202"/>
  <c r="P49" i="202"/>
  <c r="P28" i="202"/>
  <c r="P91" i="202"/>
  <c r="P70" i="202"/>
  <c r="P21" i="202"/>
  <c r="H34" i="219" s="1"/>
  <c r="P24" i="202"/>
  <c r="H40" i="219" s="1"/>
  <c r="L7" i="207"/>
  <c r="P25" i="16"/>
  <c r="P14" i="16"/>
  <c r="J39" i="203"/>
  <c r="J7" i="203"/>
  <c r="W69" i="175"/>
  <c r="V84" i="175"/>
  <c r="V165" i="175" s="1"/>
  <c r="Q28" i="176" s="1"/>
  <c r="Q50" i="181" s="1"/>
  <c r="M71" i="16"/>
  <c r="O42" i="13"/>
  <c r="P19" i="176"/>
  <c r="P27" i="181" s="1"/>
  <c r="L69" i="16"/>
  <c r="M43" i="13"/>
  <c r="S108" i="70"/>
  <c r="V119" i="28"/>
  <c r="V169" i="28" s="1"/>
  <c r="Q73" i="157" s="1"/>
  <c r="K82" i="16"/>
  <c r="C35" i="181"/>
  <c r="C37" i="181" s="1"/>
  <c r="C24" i="175"/>
  <c r="C25" i="175" s="1"/>
  <c r="C26" i="175" s="1"/>
  <c r="C27" i="175" s="1"/>
  <c r="C28" i="175" s="1"/>
  <c r="C29" i="175" s="1"/>
  <c r="C30" i="175" s="1"/>
  <c r="C31" i="175" s="1"/>
  <c r="C32" i="175" s="1"/>
  <c r="C33" i="175" s="1"/>
  <c r="C34" i="175" s="1"/>
  <c r="C35" i="175" s="1"/>
  <c r="C36" i="175" s="1"/>
  <c r="C37" i="175" s="1"/>
  <c r="C38" i="175" s="1"/>
  <c r="C39" i="175" s="1"/>
  <c r="C40" i="175" s="1"/>
  <c r="C41" i="175" s="1"/>
  <c r="C42" i="175" s="1"/>
  <c r="C43" i="175" s="1"/>
  <c r="C44" i="175" s="1"/>
  <c r="C45" i="175" s="1"/>
  <c r="C46" i="175" s="1"/>
  <c r="C47" i="175" s="1"/>
  <c r="C48" i="175" s="1"/>
  <c r="C49" i="175" s="1"/>
  <c r="C50" i="175" s="1"/>
  <c r="C51" i="175" s="1"/>
  <c r="C52" i="175" s="1"/>
  <c r="C53" i="175" s="1"/>
  <c r="C54" i="175" s="1"/>
  <c r="C55" i="175" s="1"/>
  <c r="C56" i="175" s="1"/>
  <c r="C57" i="175" s="1"/>
  <c r="C58" i="175" s="1"/>
  <c r="C59" i="175" s="1"/>
  <c r="C60" i="175" s="1"/>
  <c r="C61" i="175" s="1"/>
  <c r="C62" i="175" s="1"/>
  <c r="C63" i="175" s="1"/>
  <c r="C64" i="175" s="1"/>
  <c r="C65" i="175" s="1"/>
  <c r="C66" i="175" s="1"/>
  <c r="C67" i="175" s="1"/>
  <c r="C68" i="175" s="1"/>
  <c r="C69" i="175" s="1"/>
  <c r="C70" i="175" s="1"/>
  <c r="C71" i="175" s="1"/>
  <c r="C72" i="175" s="1"/>
  <c r="C73" i="175" s="1"/>
  <c r="C74" i="175" s="1"/>
  <c r="C75" i="175" s="1"/>
  <c r="C76" i="175" s="1"/>
  <c r="C77" i="175" s="1"/>
  <c r="C78" i="175" s="1"/>
  <c r="C79" i="175" s="1"/>
  <c r="C80" i="175" s="1"/>
  <c r="C81" i="175" s="1"/>
  <c r="C82" i="175" s="1"/>
  <c r="C83" i="175" s="1"/>
  <c r="C84" i="175" s="1"/>
  <c r="C85" i="175" s="1"/>
  <c r="C86" i="175" s="1"/>
  <c r="C87" i="175" s="1"/>
  <c r="C88" i="175" s="1"/>
  <c r="C89" i="175" s="1"/>
  <c r="C90" i="175" s="1"/>
  <c r="C91" i="175" s="1"/>
  <c r="C92" i="175" s="1"/>
  <c r="C93" i="175" s="1"/>
  <c r="C94" i="175" s="1"/>
  <c r="C95" i="175" s="1"/>
  <c r="C96" i="175" s="1"/>
  <c r="C97" i="175" s="1"/>
  <c r="C98" i="175" s="1"/>
  <c r="C99" i="175" s="1"/>
  <c r="C100" i="175" s="1"/>
  <c r="C101" i="175" s="1"/>
  <c r="C102" i="175" s="1"/>
  <c r="C103" i="175" s="1"/>
  <c r="C104" i="175" s="1"/>
  <c r="C105" i="175" s="1"/>
  <c r="C106" i="175" s="1"/>
  <c r="C107" i="175" s="1"/>
  <c r="C108" i="175" s="1"/>
  <c r="C109" i="175" s="1"/>
  <c r="C110" i="175" s="1"/>
  <c r="C111" i="175" s="1"/>
  <c r="C112" i="175" s="1"/>
  <c r="C113" i="175" s="1"/>
  <c r="C114" i="175" s="1"/>
  <c r="C115" i="175" s="1"/>
  <c r="C116" i="175" s="1"/>
  <c r="C117" i="175" s="1"/>
  <c r="C118" i="175" s="1"/>
  <c r="C119" i="175" s="1"/>
  <c r="C120" i="175" s="1"/>
  <c r="C121" i="175" s="1"/>
  <c r="C122" i="175" s="1"/>
  <c r="N28" i="16"/>
  <c r="N29" i="16" s="1"/>
  <c r="N30" i="16" s="1"/>
  <c r="D60" i="13"/>
  <c r="G53" i="13"/>
  <c r="X88" i="28"/>
  <c r="T90" i="70"/>
  <c r="J86" i="16"/>
  <c r="M19" i="177"/>
  <c r="M25" i="177" s="1"/>
  <c r="Y138" i="185"/>
  <c r="K63" i="16"/>
  <c r="V9" i="185"/>
  <c r="W122" i="185"/>
  <c r="W124" i="185" s="1"/>
  <c r="C34" i="36"/>
  <c r="C20" i="207"/>
  <c r="P67" i="179"/>
  <c r="P68" i="179" s="1"/>
  <c r="P69" i="179" s="1"/>
  <c r="Q63" i="179"/>
  <c r="Q66" i="179" s="1"/>
  <c r="J64" i="157"/>
  <c r="L11" i="70"/>
  <c r="O64" i="181"/>
  <c r="M30" i="16"/>
  <c r="C30" i="45"/>
  <c r="K65" i="16"/>
  <c r="U243" i="164"/>
  <c r="O27" i="16"/>
  <c r="E12" i="209"/>
  <c r="I14" i="181"/>
  <c r="W9" i="175"/>
  <c r="V20" i="175"/>
  <c r="V163" i="175" s="1"/>
  <c r="O61" i="195"/>
  <c r="O87" i="195"/>
  <c r="O36" i="195"/>
  <c r="O74" i="195"/>
  <c r="L24" i="207"/>
  <c r="P26" i="16"/>
  <c r="C35" i="46"/>
  <c r="W90" i="175"/>
  <c r="V105" i="175"/>
  <c r="Y86" i="175"/>
  <c r="G83" i="16"/>
  <c r="G87" i="16" s="1"/>
  <c r="L66" i="16"/>
  <c r="V240" i="164"/>
  <c r="G251" i="16"/>
  <c r="G76" i="16"/>
  <c r="G240" i="16" s="1"/>
  <c r="L54" i="176"/>
  <c r="L13" i="176"/>
  <c r="Q11" i="28" s="1"/>
  <c r="O16" i="177"/>
  <c r="N18" i="177"/>
  <c r="N17" i="177"/>
  <c r="W142" i="185"/>
  <c r="W23" i="185" s="1"/>
  <c r="X140" i="185"/>
  <c r="J23" i="207"/>
  <c r="N47" i="92"/>
  <c r="P107" i="181"/>
  <c r="J56" i="176"/>
  <c r="J58" i="176" s="1"/>
  <c r="J33" i="176"/>
  <c r="J42" i="176" s="1"/>
  <c r="W239" i="164"/>
  <c r="M25" i="203"/>
  <c r="M17" i="203" s="1"/>
  <c r="R78" i="20"/>
  <c r="Q82" i="20"/>
  <c r="F40" i="207"/>
  <c r="I8" i="202"/>
  <c r="K40" i="203"/>
  <c r="R12" i="13"/>
  <c r="R142" i="13" s="1"/>
  <c r="R13" i="13"/>
  <c r="R160" i="13" s="1"/>
  <c r="R189" i="13" s="1"/>
  <c r="R17" i="13"/>
  <c r="R161" i="13" s="1"/>
  <c r="R16" i="13"/>
  <c r="R143" i="13" s="1"/>
  <c r="R20" i="13"/>
  <c r="P40" i="16"/>
  <c r="P15" i="16"/>
  <c r="C30" i="35"/>
  <c r="L249" i="16"/>
  <c r="U8" i="185"/>
  <c r="U10" i="185" s="1"/>
  <c r="V7" i="185" s="1"/>
  <c r="U78" i="185"/>
  <c r="C25" i="215"/>
  <c r="C26" i="215" s="1"/>
  <c r="C27" i="215" s="1"/>
  <c r="C28" i="215" s="1"/>
  <c r="C29" i="215" s="1"/>
  <c r="C30" i="215" s="1"/>
  <c r="C31" i="215" s="1"/>
  <c r="C32" i="215" s="1"/>
  <c r="C33" i="215" s="1"/>
  <c r="C34" i="215" s="1"/>
  <c r="C35" i="215" s="1"/>
  <c r="C36" i="215" s="1"/>
  <c r="C37" i="215" s="1"/>
  <c r="C39" i="215" s="1"/>
  <c r="C40" i="215" s="1"/>
  <c r="C41" i="215" s="1"/>
  <c r="C42" i="215" s="1"/>
  <c r="C43" i="215" s="1"/>
  <c r="C44" i="215" s="1"/>
  <c r="C45" i="215" s="1"/>
  <c r="C46" i="215" s="1"/>
  <c r="C47" i="215" s="1"/>
  <c r="C48" i="215" s="1"/>
  <c r="C49" i="215" s="1"/>
  <c r="C50" i="215" s="1"/>
  <c r="C23" i="164"/>
  <c r="L52" i="209"/>
  <c r="P42" i="181"/>
  <c r="C26" i="13"/>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96" i="13" s="1"/>
  <c r="C97" i="13" s="1"/>
  <c r="C98" i="13" s="1"/>
  <c r="C99" i="13" s="1"/>
  <c r="C100" i="13" s="1"/>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M469" i="202"/>
  <c r="M83" i="185"/>
  <c r="M84" i="185" s="1"/>
  <c r="M14" i="185"/>
  <c r="M16" i="185" s="1"/>
  <c r="N13" i="185" s="1"/>
  <c r="L51" i="16"/>
  <c r="S264" i="16"/>
  <c r="O53" i="207" s="1"/>
  <c r="T232" i="16"/>
  <c r="E47" i="209"/>
  <c r="I75" i="157"/>
  <c r="O417" i="202"/>
  <c r="L61" i="16"/>
  <c r="N30" i="176"/>
  <c r="S167" i="175"/>
  <c r="W15" i="185"/>
  <c r="X116" i="185"/>
  <c r="W242" i="164"/>
  <c r="H24" i="209"/>
  <c r="AH141" i="185"/>
  <c r="AG142" i="185"/>
  <c r="K62" i="16"/>
  <c r="M52" i="181"/>
  <c r="M55" i="181" s="1"/>
  <c r="M31" i="176"/>
  <c r="M52" i="176" s="1"/>
  <c r="N494" i="202"/>
  <c r="C27" i="209"/>
  <c r="C28" i="209" s="1"/>
  <c r="C29" i="209" s="1"/>
  <c r="C30" i="209" s="1"/>
  <c r="C31" i="209" s="1"/>
  <c r="C33" i="209" s="1"/>
  <c r="C35" i="209" s="1"/>
  <c r="C37" i="209" s="1"/>
  <c r="C41" i="209" s="1"/>
  <c r="C42" i="209" s="1"/>
  <c r="C43" i="209" s="1"/>
  <c r="C44" i="209" s="1"/>
  <c r="C45" i="209" s="1"/>
  <c r="C46" i="209" s="1"/>
  <c r="C47" i="209" s="1"/>
  <c r="C48" i="209" s="1"/>
  <c r="C49" i="209" s="1"/>
  <c r="C50" i="209" s="1"/>
  <c r="C51" i="209" s="1"/>
  <c r="C52" i="209" s="1"/>
  <c r="C53" i="209" s="1"/>
  <c r="C54" i="209" s="1"/>
  <c r="C56" i="209" s="1"/>
  <c r="C58" i="209" s="1"/>
  <c r="C59" i="209" s="1"/>
  <c r="C60" i="209" s="1"/>
  <c r="C61" i="209" s="1"/>
  <c r="C62" i="209" s="1"/>
  <c r="C64" i="209" s="1"/>
  <c r="C66" i="209" s="1"/>
  <c r="C67" i="209" s="1"/>
  <c r="M42" i="16"/>
  <c r="L470" i="202"/>
  <c r="L485" i="202" s="1"/>
  <c r="U235" i="164"/>
  <c r="M495" i="202"/>
  <c r="M496" i="202" s="1"/>
  <c r="C24" i="16"/>
  <c r="U162" i="175"/>
  <c r="U174" i="175"/>
  <c r="U162" i="28"/>
  <c r="U177" i="28"/>
  <c r="I142" i="202"/>
  <c r="I160" i="202" s="1"/>
  <c r="I30" i="202" s="1"/>
  <c r="I51" i="202" s="1"/>
  <c r="I93" i="202"/>
  <c r="U166" i="175" l="1"/>
  <c r="P29" i="176" s="1"/>
  <c r="P51" i="181" s="1"/>
  <c r="R168" i="175"/>
  <c r="R115" i="70"/>
  <c r="R168" i="70" s="1"/>
  <c r="C30" i="176"/>
  <c r="C121" i="70"/>
  <c r="W91" i="186"/>
  <c r="W93" i="186" s="1"/>
  <c r="V93" i="186"/>
  <c r="V12" i="30"/>
  <c r="T15" i="163"/>
  <c r="T20" i="163" s="1"/>
  <c r="T38" i="163" s="1"/>
  <c r="T16" i="163"/>
  <c r="T21" i="163" s="1"/>
  <c r="T39" i="163" s="1"/>
  <c r="M70" i="209" s="1"/>
  <c r="T17" i="163"/>
  <c r="T22" i="163" s="1"/>
  <c r="T40" i="163" s="1"/>
  <c r="T11" i="163"/>
  <c r="T12" i="163"/>
  <c r="R62" i="28"/>
  <c r="R165" i="28" s="1"/>
  <c r="M70" i="157" s="1"/>
  <c r="M39" i="181" s="1"/>
  <c r="C124" i="175"/>
  <c r="C125" i="175" s="1"/>
  <c r="C126" i="175" s="1"/>
  <c r="C127" i="175" s="1"/>
  <c r="C128" i="175" s="1"/>
  <c r="C129" i="175" s="1"/>
  <c r="C130" i="175" s="1"/>
  <c r="C131" i="175" s="1"/>
  <c r="C132" i="175" s="1"/>
  <c r="C133" i="175" s="1"/>
  <c r="C134" i="175" s="1"/>
  <c r="C135" i="175" s="1"/>
  <c r="C136" i="175" s="1"/>
  <c r="C137" i="175" s="1"/>
  <c r="C138" i="175" s="1"/>
  <c r="C139" i="175" s="1"/>
  <c r="C140" i="175" s="1"/>
  <c r="C141" i="175" s="1"/>
  <c r="C142" i="175" s="1"/>
  <c r="C143" i="175" s="1"/>
  <c r="C144" i="175" s="1"/>
  <c r="C145" i="175" s="1"/>
  <c r="C123" i="175"/>
  <c r="V151" i="175"/>
  <c r="V122" i="175"/>
  <c r="S67" i="175"/>
  <c r="T30" i="175" s="1"/>
  <c r="V158" i="175"/>
  <c r="T47" i="175"/>
  <c r="R190" i="13"/>
  <c r="M60" i="13"/>
  <c r="N60" i="13" s="1"/>
  <c r="Q144" i="13"/>
  <c r="V141" i="175"/>
  <c r="U17" i="28"/>
  <c r="P88" i="227"/>
  <c r="P89" i="227" s="1"/>
  <c r="T92" i="172"/>
  <c r="S84" i="227"/>
  <c r="W9" i="28"/>
  <c r="T9" i="70" s="1"/>
  <c r="Q118" i="70"/>
  <c r="T159" i="28"/>
  <c r="U125" i="28" s="1"/>
  <c r="Q122" i="70"/>
  <c r="Q138" i="70"/>
  <c r="Q134" i="70"/>
  <c r="Q127" i="70"/>
  <c r="Q130" i="70"/>
  <c r="Q149" i="70"/>
  <c r="Q123" i="70"/>
  <c r="Q126" i="70"/>
  <c r="Q150" i="70"/>
  <c r="Q140" i="70"/>
  <c r="Q153" i="70"/>
  <c r="Q147" i="70"/>
  <c r="Q119" i="70"/>
  <c r="Q135" i="70"/>
  <c r="Q152" i="70"/>
  <c r="J53" i="209"/>
  <c r="N43" i="181"/>
  <c r="Q129" i="70"/>
  <c r="Q154" i="70"/>
  <c r="Q125" i="70"/>
  <c r="Q132" i="70"/>
  <c r="Q144" i="70"/>
  <c r="Q133" i="70"/>
  <c r="Q124" i="70"/>
  <c r="Q142" i="70"/>
  <c r="Q131" i="70"/>
  <c r="Q120" i="70"/>
  <c r="Q121" i="70"/>
  <c r="Q141" i="70"/>
  <c r="Q155" i="70"/>
  <c r="Q146" i="70"/>
  <c r="Q148" i="70"/>
  <c r="W107" i="28"/>
  <c r="W116" i="28"/>
  <c r="S112" i="70"/>
  <c r="W109" i="28"/>
  <c r="W114" i="28"/>
  <c r="S110" i="70"/>
  <c r="W106" i="28"/>
  <c r="W118" i="28"/>
  <c r="S114" i="70"/>
  <c r="W111" i="28"/>
  <c r="W113" i="28"/>
  <c r="S109" i="70"/>
  <c r="W108" i="28"/>
  <c r="W117" i="28"/>
  <c r="W115" i="28"/>
  <c r="S111" i="70"/>
  <c r="W104" i="28"/>
  <c r="W110" i="28"/>
  <c r="W112" i="28"/>
  <c r="W105" i="28"/>
  <c r="Q104" i="70"/>
  <c r="Q98" i="70"/>
  <c r="Q101" i="70"/>
  <c r="Q102" i="70"/>
  <c r="N41" i="181"/>
  <c r="J51" i="209"/>
  <c r="Q97" i="70"/>
  <c r="Q94" i="70"/>
  <c r="T102" i="28"/>
  <c r="U93" i="28" s="1"/>
  <c r="Q103" i="70"/>
  <c r="Q96" i="70"/>
  <c r="Q74" i="70"/>
  <c r="J50" i="209"/>
  <c r="N40" i="181"/>
  <c r="Q70" i="70"/>
  <c r="Q76" i="70"/>
  <c r="Q84" i="70"/>
  <c r="Q80" i="70"/>
  <c r="T83" i="28"/>
  <c r="U69" i="28" s="1"/>
  <c r="Q72" i="70"/>
  <c r="Q69" i="70"/>
  <c r="Q83" i="70"/>
  <c r="Q71" i="70"/>
  <c r="S61" i="28"/>
  <c r="O63" i="70"/>
  <c r="S58" i="28"/>
  <c r="O60" i="70"/>
  <c r="S57" i="28"/>
  <c r="O59" i="70"/>
  <c r="S60" i="28"/>
  <c r="O62" i="70"/>
  <c r="S59" i="28"/>
  <c r="O61" i="70"/>
  <c r="S54" i="28"/>
  <c r="O56" i="70"/>
  <c r="S50" i="28"/>
  <c r="O52" i="70"/>
  <c r="S52" i="28"/>
  <c r="O54" i="70"/>
  <c r="S49" i="28"/>
  <c r="O51" i="70"/>
  <c r="S51" i="28"/>
  <c r="O53" i="70"/>
  <c r="S53" i="28"/>
  <c r="O55" i="70"/>
  <c r="S55" i="28"/>
  <c r="O57" i="70"/>
  <c r="R28" i="70"/>
  <c r="R45" i="70"/>
  <c r="R34" i="70"/>
  <c r="R47" i="70"/>
  <c r="R41" i="70"/>
  <c r="R36" i="70"/>
  <c r="R46" i="70"/>
  <c r="R32" i="70"/>
  <c r="R38" i="70"/>
  <c r="R44" i="70"/>
  <c r="R31" i="70"/>
  <c r="U47" i="28"/>
  <c r="V127" i="175"/>
  <c r="V157" i="175"/>
  <c r="V143" i="175"/>
  <c r="V155" i="175"/>
  <c r="V150" i="175"/>
  <c r="V145" i="175"/>
  <c r="V130" i="175"/>
  <c r="V124" i="175"/>
  <c r="V153" i="175"/>
  <c r="V128" i="175"/>
  <c r="V154" i="175"/>
  <c r="V139" i="175"/>
  <c r="V144" i="175"/>
  <c r="V142" i="175"/>
  <c r="V123" i="175"/>
  <c r="V132" i="175"/>
  <c r="V136" i="175"/>
  <c r="V147" i="175"/>
  <c r="V126" i="175"/>
  <c r="V138" i="175"/>
  <c r="V148" i="175"/>
  <c r="V156" i="175"/>
  <c r="V152" i="175"/>
  <c r="V129" i="175"/>
  <c r="V135" i="175"/>
  <c r="V149" i="175"/>
  <c r="V121" i="175"/>
  <c r="V134" i="175"/>
  <c r="V133" i="175"/>
  <c r="V140" i="175"/>
  <c r="V137" i="175"/>
  <c r="V125" i="175"/>
  <c r="V131" i="175"/>
  <c r="V120" i="175"/>
  <c r="U22" i="175"/>
  <c r="U24" i="175"/>
  <c r="U25" i="175"/>
  <c r="U23" i="175"/>
  <c r="Q31" i="179"/>
  <c r="X11" i="175"/>
  <c r="X10" i="175"/>
  <c r="Z97" i="175"/>
  <c r="Z89" i="175"/>
  <c r="M31" i="157"/>
  <c r="I29" i="209" s="1"/>
  <c r="T112" i="70"/>
  <c r="M70" i="16"/>
  <c r="N43" i="16"/>
  <c r="N46" i="16"/>
  <c r="N19" i="177"/>
  <c r="N25" i="177" s="1"/>
  <c r="M47" i="16"/>
  <c r="O23" i="13"/>
  <c r="N44" i="16" s="1"/>
  <c r="O26" i="13"/>
  <c r="K48" i="16"/>
  <c r="K53" i="16" s="1"/>
  <c r="O29" i="13"/>
  <c r="N52" i="16" s="1"/>
  <c r="M27" i="157"/>
  <c r="I25" i="209" s="1"/>
  <c r="L8" i="207"/>
  <c r="R33" i="13"/>
  <c r="Q59" i="16" s="1"/>
  <c r="M26" i="157"/>
  <c r="M20" i="157" s="1"/>
  <c r="M30" i="157"/>
  <c r="I28" i="209" s="1"/>
  <c r="I49" i="209"/>
  <c r="H3" i="219"/>
  <c r="S160" i="70"/>
  <c r="C80" i="202"/>
  <c r="C81" i="202" s="1"/>
  <c r="C82" i="202" s="1"/>
  <c r="C83" i="202" s="1"/>
  <c r="C84" i="202" s="1"/>
  <c r="C85" i="202" s="1"/>
  <c r="C86" i="202" s="1"/>
  <c r="C87" i="202" s="1"/>
  <c r="C88" i="202" s="1"/>
  <c r="C91" i="202" s="1"/>
  <c r="C92" i="202" s="1"/>
  <c r="C93" i="202" s="1"/>
  <c r="C94" i="202" s="1"/>
  <c r="C95" i="202" s="1"/>
  <c r="C96" i="202" s="1"/>
  <c r="C97" i="202" s="1"/>
  <c r="C98" i="202" s="1"/>
  <c r="C99" i="202" s="1"/>
  <c r="C100" i="202" s="1"/>
  <c r="C101" i="202" s="1"/>
  <c r="C102" i="202" s="1"/>
  <c r="C103" i="202" s="1"/>
  <c r="C104" i="202" s="1"/>
  <c r="C105" i="202" s="1"/>
  <c r="C106" i="202" s="1"/>
  <c r="C107" i="202" s="1"/>
  <c r="C108" i="202" s="1"/>
  <c r="C109" i="202" s="1"/>
  <c r="C110" i="202" s="1"/>
  <c r="C113" i="202" s="1"/>
  <c r="C114" i="202" s="1"/>
  <c r="C115" i="202" s="1"/>
  <c r="C117" i="202" s="1"/>
  <c r="C118" i="202" s="1"/>
  <c r="C119" i="202" s="1"/>
  <c r="C120" i="202" s="1"/>
  <c r="C121" i="202" s="1"/>
  <c r="C122" i="202" s="1"/>
  <c r="C123" i="202" s="1"/>
  <c r="C124" i="202" s="1"/>
  <c r="C125" i="202" s="1"/>
  <c r="C126" i="202" s="1"/>
  <c r="C127" i="202" s="1"/>
  <c r="C128" i="202" s="1"/>
  <c r="C129" i="202" s="1"/>
  <c r="C130" i="202" s="1"/>
  <c r="C131" i="202" s="1"/>
  <c r="C132" i="202" s="1"/>
  <c r="C133" i="202" s="1"/>
  <c r="C135" i="202" s="1"/>
  <c r="C136" i="202" s="1"/>
  <c r="C139" i="202" s="1"/>
  <c r="C140" i="202" s="1"/>
  <c r="C142" i="202" s="1"/>
  <c r="C143" i="202" s="1"/>
  <c r="C144" i="202" s="1"/>
  <c r="C145" i="202" s="1"/>
  <c r="C146" i="202" s="1"/>
  <c r="C147" i="202" s="1"/>
  <c r="C148" i="202" s="1"/>
  <c r="C149" i="202" s="1"/>
  <c r="C150" i="202" s="1"/>
  <c r="C151" i="202" s="1"/>
  <c r="C152" i="202" s="1"/>
  <c r="C153" i="202" s="1"/>
  <c r="C154" i="202" s="1"/>
  <c r="C155" i="202" s="1"/>
  <c r="C156" i="202" s="1"/>
  <c r="C157" i="202" s="1"/>
  <c r="C158" i="202" s="1"/>
  <c r="C160" i="202" s="1"/>
  <c r="C161" i="202" s="1"/>
  <c r="C164" i="202" s="1"/>
  <c r="C165" i="202" s="1"/>
  <c r="C167" i="202" s="1"/>
  <c r="C168" i="202" s="1"/>
  <c r="C169" i="202" s="1"/>
  <c r="C170" i="202" s="1"/>
  <c r="C171" i="202" s="1"/>
  <c r="C172" i="202" s="1"/>
  <c r="C173" i="202" s="1"/>
  <c r="C174" i="202" s="1"/>
  <c r="C175" i="202" s="1"/>
  <c r="C176" i="202" s="1"/>
  <c r="C177" i="202" s="1"/>
  <c r="C178" i="202" s="1"/>
  <c r="C179" i="202" s="1"/>
  <c r="C180" i="202" s="1"/>
  <c r="C181" i="202" s="1"/>
  <c r="C182" i="202" s="1"/>
  <c r="C183" i="202" s="1"/>
  <c r="C185" i="202" s="1"/>
  <c r="C186" i="202" s="1"/>
  <c r="P28" i="181"/>
  <c r="P98" i="181"/>
  <c r="L162" i="13"/>
  <c r="L191" i="13" s="1"/>
  <c r="T56" i="28"/>
  <c r="P58" i="70"/>
  <c r="L21" i="181"/>
  <c r="L87" i="181" s="1"/>
  <c r="C32" i="28"/>
  <c r="C33" i="28" s="1"/>
  <c r="C34" i="28" s="1"/>
  <c r="C35" i="28" s="1"/>
  <c r="C36" i="28" s="1"/>
  <c r="C37" i="28" s="1"/>
  <c r="C38" i="28" s="1"/>
  <c r="C39" i="28" s="1"/>
  <c r="C40" i="28" s="1"/>
  <c r="C41" i="28" s="1"/>
  <c r="C42" i="28" s="1"/>
  <c r="C43" i="28" s="1"/>
  <c r="C44" i="28" s="1"/>
  <c r="C45" i="28" s="1"/>
  <c r="C46" i="28" s="1"/>
  <c r="C47" i="28" s="1"/>
  <c r="C48" i="28" s="1"/>
  <c r="C49" i="28" s="1"/>
  <c r="C50" i="28" s="1"/>
  <c r="C51" i="28" s="1"/>
  <c r="C52" i="28" s="1"/>
  <c r="C53" i="28" s="1"/>
  <c r="C54" i="28" s="1"/>
  <c r="C55" i="28" s="1"/>
  <c r="C56" i="28" s="1"/>
  <c r="C57" i="28" s="1"/>
  <c r="C58" i="28" s="1"/>
  <c r="C59" i="28" s="1"/>
  <c r="C60" i="28" s="1"/>
  <c r="C61" i="28" s="1"/>
  <c r="C62" i="28" s="1"/>
  <c r="C63" i="28" s="1"/>
  <c r="C64" i="28" s="1"/>
  <c r="C65" i="28" s="1"/>
  <c r="C66" i="28" s="1"/>
  <c r="C67" i="28" s="1"/>
  <c r="C68" i="28" s="1"/>
  <c r="C69" i="28" s="1"/>
  <c r="C70" i="28" s="1"/>
  <c r="C71" i="28" s="1"/>
  <c r="C72" i="28" s="1"/>
  <c r="C73" i="28" s="1"/>
  <c r="C74" i="28" s="1"/>
  <c r="C75" i="28" s="1"/>
  <c r="C76" i="28" s="1"/>
  <c r="C77" i="28" s="1"/>
  <c r="C78" i="28" s="1"/>
  <c r="C79" i="28" s="1"/>
  <c r="C80" i="28" s="1"/>
  <c r="C81" i="28" s="1"/>
  <c r="C82" i="28" s="1"/>
  <c r="C83" i="28" s="1"/>
  <c r="C84" i="28" s="1"/>
  <c r="C85" i="28" s="1"/>
  <c r="C86" i="28" s="1"/>
  <c r="C87" i="28" s="1"/>
  <c r="C88" i="28" s="1"/>
  <c r="C89" i="28" s="1"/>
  <c r="C90" i="28" s="1"/>
  <c r="C91" i="28" s="1"/>
  <c r="C92" i="28" s="1"/>
  <c r="C93" i="28" s="1"/>
  <c r="C94" i="28" s="1"/>
  <c r="C95" i="28" s="1"/>
  <c r="C96" i="28" s="1"/>
  <c r="C97" i="28" s="1"/>
  <c r="C98" i="28" s="1"/>
  <c r="C99" i="28" s="1"/>
  <c r="C100" i="28" s="1"/>
  <c r="C101" i="28" s="1"/>
  <c r="C102" i="28" s="1"/>
  <c r="C103" i="28" s="1"/>
  <c r="C104" i="28" s="1"/>
  <c r="C105" i="28" s="1"/>
  <c r="C106" i="28" s="1"/>
  <c r="C107" i="28" s="1"/>
  <c r="C108" i="28" s="1"/>
  <c r="C109" i="28" s="1"/>
  <c r="C110" i="28" s="1"/>
  <c r="C111" i="28" s="1"/>
  <c r="C112" i="28" s="1"/>
  <c r="C113" i="28" s="1"/>
  <c r="C114" i="28" s="1"/>
  <c r="C115" i="28" s="1"/>
  <c r="C116" i="28" s="1"/>
  <c r="C117" i="28" s="1"/>
  <c r="C118" i="28" s="1"/>
  <c r="C119" i="28" s="1"/>
  <c r="C120" i="28" s="1"/>
  <c r="C121" i="28" s="1"/>
  <c r="C122" i="28" s="1"/>
  <c r="M29" i="157"/>
  <c r="I27" i="209" s="1"/>
  <c r="T228" i="16"/>
  <c r="S263" i="16"/>
  <c r="O52" i="207" s="1"/>
  <c r="C48" i="92"/>
  <c r="C50" i="92" s="1"/>
  <c r="C52" i="92" s="1"/>
  <c r="C53" i="92" s="1"/>
  <c r="C54" i="92" s="1"/>
  <c r="C56" i="92" s="1"/>
  <c r="G17" i="219"/>
  <c r="L66" i="202"/>
  <c r="K51" i="195" s="1"/>
  <c r="D54" i="219"/>
  <c r="D110" i="219" s="1"/>
  <c r="D104" i="219"/>
  <c r="P65" i="181"/>
  <c r="L69" i="209"/>
  <c r="C68" i="209"/>
  <c r="C69" i="209" s="1"/>
  <c r="C43" i="103"/>
  <c r="C42" i="103"/>
  <c r="BZ12" i="44"/>
  <c r="BY21" i="44"/>
  <c r="E26" i="45"/>
  <c r="J26" i="45" s="1"/>
  <c r="E24" i="72"/>
  <c r="E30" i="44"/>
  <c r="C51" i="215"/>
  <c r="C52" i="215" s="1"/>
  <c r="C53" i="215" s="1"/>
  <c r="C54" i="215" s="1"/>
  <c r="C55" i="215" s="1"/>
  <c r="C56" i="215" s="1"/>
  <c r="C57" i="215" s="1"/>
  <c r="Z102" i="175"/>
  <c r="Z113" i="175"/>
  <c r="X17" i="175"/>
  <c r="Z92" i="175"/>
  <c r="Z103" i="175"/>
  <c r="Z95" i="175"/>
  <c r="X18" i="175"/>
  <c r="X14" i="175"/>
  <c r="X15" i="175"/>
  <c r="Z117" i="175"/>
  <c r="Y14" i="28"/>
  <c r="U14" i="70"/>
  <c r="Z111" i="175"/>
  <c r="Z115" i="175"/>
  <c r="Z114" i="175"/>
  <c r="Z109" i="175"/>
  <c r="Z107" i="175"/>
  <c r="X16" i="175"/>
  <c r="X13" i="175"/>
  <c r="X19" i="175"/>
  <c r="Z110" i="175"/>
  <c r="X12" i="175"/>
  <c r="Z179" i="175"/>
  <c r="Y192" i="28"/>
  <c r="Z100" i="175"/>
  <c r="Z93" i="175"/>
  <c r="Z87" i="175"/>
  <c r="Z98" i="175"/>
  <c r="Z91" i="175"/>
  <c r="Z96" i="175"/>
  <c r="Z99" i="175"/>
  <c r="Z101" i="175"/>
  <c r="Z116" i="175"/>
  <c r="Z94" i="175"/>
  <c r="Z112" i="175"/>
  <c r="Z88" i="175"/>
  <c r="Z104" i="175"/>
  <c r="U19" i="70"/>
  <c r="Y19" i="28"/>
  <c r="M28" i="157"/>
  <c r="I26" i="209" s="1"/>
  <c r="G77" i="181"/>
  <c r="G79" i="181" s="1"/>
  <c r="G80" i="181" s="1"/>
  <c r="G103" i="157" s="1"/>
  <c r="L33" i="157"/>
  <c r="H31" i="209" s="1"/>
  <c r="N21" i="16"/>
  <c r="N249" i="16" s="1"/>
  <c r="M436" i="202"/>
  <c r="M84" i="202" s="1"/>
  <c r="M105" i="202" s="1"/>
  <c r="M42" i="202"/>
  <c r="M510" i="202"/>
  <c r="M511" i="202" s="1"/>
  <c r="M87" i="202" s="1"/>
  <c r="M108" i="202" s="1"/>
  <c r="N472" i="202"/>
  <c r="N485" i="202" s="1"/>
  <c r="N44" i="202" s="1"/>
  <c r="N65" i="202" s="1"/>
  <c r="Y10" i="28"/>
  <c r="U10" i="70"/>
  <c r="Y21" i="28"/>
  <c r="U21" i="70"/>
  <c r="U15" i="70"/>
  <c r="Y15" i="28"/>
  <c r="Z108" i="175"/>
  <c r="Y118" i="175"/>
  <c r="Y22" i="28"/>
  <c r="U22" i="70"/>
  <c r="X95" i="172"/>
  <c r="C35" i="36"/>
  <c r="C36" i="36" s="1"/>
  <c r="X124" i="185"/>
  <c r="W125" i="185"/>
  <c r="W75" i="185" s="1"/>
  <c r="Q19" i="176"/>
  <c r="Q27" i="181" s="1"/>
  <c r="N31" i="16"/>
  <c r="N32" i="16" s="1"/>
  <c r="N250" i="16" s="1"/>
  <c r="J251" i="16"/>
  <c r="J76" i="16"/>
  <c r="J240" i="16" s="1"/>
  <c r="I15" i="157" s="1"/>
  <c r="F88" i="16"/>
  <c r="F89" i="16" s="1"/>
  <c r="N421" i="202"/>
  <c r="N422" i="202" s="1"/>
  <c r="C91" i="34"/>
  <c r="C92" i="34"/>
  <c r="C94" i="34" s="1"/>
  <c r="C95" i="34" s="1"/>
  <c r="C96" i="34" s="1"/>
  <c r="C97" i="34" s="1"/>
  <c r="C98" i="34" s="1"/>
  <c r="C99" i="34" s="1"/>
  <c r="C100" i="34" s="1"/>
  <c r="C101" i="34" s="1"/>
  <c r="C102" i="34" s="1"/>
  <c r="C103" i="34" s="1"/>
  <c r="C104" i="34" s="1"/>
  <c r="C105" i="34" s="1"/>
  <c r="C106" i="34" s="1"/>
  <c r="C107" i="34" s="1"/>
  <c r="C108" i="34" s="1"/>
  <c r="I96" i="202"/>
  <c r="I192" i="202"/>
  <c r="I210" i="202" s="1"/>
  <c r="I33" i="202" s="1"/>
  <c r="I54" i="202" s="1"/>
  <c r="M24" i="207"/>
  <c r="Q26" i="16"/>
  <c r="G88" i="16"/>
  <c r="O28" i="16"/>
  <c r="O29" i="16" s="1"/>
  <c r="O30" i="16" s="1"/>
  <c r="M31" i="16"/>
  <c r="M32" i="16" s="1"/>
  <c r="F43" i="209"/>
  <c r="N45" i="177"/>
  <c r="N46" i="177" s="1"/>
  <c r="N41" i="177"/>
  <c r="N42" i="177" s="1"/>
  <c r="P492" i="202"/>
  <c r="P493" i="202" s="1"/>
  <c r="R7" i="202"/>
  <c r="R7" i="157"/>
  <c r="Q6" i="195"/>
  <c r="R7" i="181"/>
  <c r="R7" i="176"/>
  <c r="W6" i="175"/>
  <c r="S6" i="30"/>
  <c r="P7" i="179"/>
  <c r="O3" i="207"/>
  <c r="N7" i="209"/>
  <c r="N40" i="209" s="1"/>
  <c r="W6" i="28"/>
  <c r="P7" i="186"/>
  <c r="T6" i="70"/>
  <c r="R7" i="14"/>
  <c r="U7" i="20"/>
  <c r="Q7" i="92"/>
  <c r="S8" i="16"/>
  <c r="M6" i="177"/>
  <c r="U8" i="163"/>
  <c r="S6" i="180"/>
  <c r="T7" i="164"/>
  <c r="T14" i="164" s="1"/>
  <c r="T7" i="13"/>
  <c r="T186" i="13" s="1"/>
  <c r="Y123" i="185"/>
  <c r="Z132" i="185"/>
  <c r="Y117" i="185"/>
  <c r="L486" i="202"/>
  <c r="L86" i="202" s="1"/>
  <c r="L107" i="202" s="1"/>
  <c r="L44" i="202"/>
  <c r="L65" i="202" s="1"/>
  <c r="X87" i="28"/>
  <c r="T89" i="70"/>
  <c r="T91" i="70" s="1"/>
  <c r="T166" i="70" s="1"/>
  <c r="W89" i="28"/>
  <c r="W167" i="28" s="1"/>
  <c r="O119" i="185"/>
  <c r="O80" i="185" s="1"/>
  <c r="P118" i="185"/>
  <c r="O38" i="179"/>
  <c r="N70" i="16"/>
  <c r="P41" i="13"/>
  <c r="C25" i="16"/>
  <c r="C26" i="16" s="1"/>
  <c r="C27" i="16" s="1"/>
  <c r="C28" i="16" s="1"/>
  <c r="M13" i="176"/>
  <c r="R11" i="28" s="1"/>
  <c r="M54" i="176"/>
  <c r="AH142" i="185"/>
  <c r="AI141" i="185"/>
  <c r="AI142" i="185" s="1"/>
  <c r="H18" i="209"/>
  <c r="L19" i="181"/>
  <c r="L120" i="181" s="1"/>
  <c r="M61" i="16"/>
  <c r="E54" i="209"/>
  <c r="Q15" i="16"/>
  <c r="K39" i="203"/>
  <c r="K7" i="203"/>
  <c r="Y140" i="185"/>
  <c r="Z140" i="185" s="1"/>
  <c r="AA140" i="185" s="1"/>
  <c r="AB140" i="185" s="1"/>
  <c r="AC140" i="185" s="1"/>
  <c r="AD140" i="185" s="1"/>
  <c r="AE140" i="185" s="1"/>
  <c r="AF140" i="185" s="1"/>
  <c r="AG140" i="185" s="1"/>
  <c r="AH140" i="185" s="1"/>
  <c r="AI140" i="185" s="1"/>
  <c r="X142" i="185"/>
  <c r="X23" i="185" s="1"/>
  <c r="L65" i="16"/>
  <c r="Q67" i="179"/>
  <c r="Q68" i="179" s="1"/>
  <c r="Q69" i="179" s="1"/>
  <c r="R63" i="179"/>
  <c r="R66" i="179" s="1"/>
  <c r="L63" i="16"/>
  <c r="F93" i="16"/>
  <c r="G145" i="13"/>
  <c r="D67" i="13"/>
  <c r="J104" i="16"/>
  <c r="M52" i="209"/>
  <c r="Q42" i="181"/>
  <c r="N71" i="16"/>
  <c r="P42" i="13"/>
  <c r="P74" i="195"/>
  <c r="P61" i="195"/>
  <c r="P36" i="195"/>
  <c r="P87" i="195"/>
  <c r="J117" i="202"/>
  <c r="J118" i="202" s="1"/>
  <c r="H39" i="195"/>
  <c r="Y116" i="185"/>
  <c r="X15" i="185"/>
  <c r="D57" i="13"/>
  <c r="D64" i="13" s="1"/>
  <c r="D71" i="13" s="1"/>
  <c r="D56" i="13"/>
  <c r="N56" i="13" s="1"/>
  <c r="D61" i="13"/>
  <c r="D68" i="13" s="1"/>
  <c r="D55" i="13"/>
  <c r="N55" i="13" s="1"/>
  <c r="L32" i="16"/>
  <c r="V8" i="185"/>
  <c r="V10" i="185" s="1"/>
  <c r="W7" i="185" s="1"/>
  <c r="V78" i="185"/>
  <c r="Q40" i="16"/>
  <c r="Q14" i="16"/>
  <c r="K14" i="203"/>
  <c r="Q82" i="227" s="1"/>
  <c r="I117" i="202"/>
  <c r="I135" i="202" s="1"/>
  <c r="I29" i="202" s="1"/>
  <c r="I31" i="202" s="1"/>
  <c r="I92" i="202"/>
  <c r="I94" i="202" s="1"/>
  <c r="I10" i="202"/>
  <c r="R82" i="20"/>
  <c r="S78" i="20"/>
  <c r="N25" i="203"/>
  <c r="N17" i="203" s="1"/>
  <c r="X122" i="185"/>
  <c r="W9" i="185"/>
  <c r="S39" i="176"/>
  <c r="S40" i="176" s="1"/>
  <c r="S54" i="181" s="1"/>
  <c r="N49" i="177"/>
  <c r="N26" i="177"/>
  <c r="Q89" i="179" s="1"/>
  <c r="Q90" i="179" s="1"/>
  <c r="L15" i="176"/>
  <c r="L21" i="176" s="1"/>
  <c r="L23" i="176" s="1"/>
  <c r="K23" i="207"/>
  <c r="F25" i="207"/>
  <c r="C31" i="45"/>
  <c r="C23" i="207"/>
  <c r="J85" i="16"/>
  <c r="J83" i="16" s="1"/>
  <c r="J87" i="16" s="1"/>
  <c r="Y88" i="28"/>
  <c r="U90" i="70"/>
  <c r="J93" i="16"/>
  <c r="K145" i="13"/>
  <c r="L82" i="16"/>
  <c r="T108" i="70"/>
  <c r="W119" i="28"/>
  <c r="W169" i="28" s="1"/>
  <c r="R73" i="157" s="1"/>
  <c r="L6" i="207"/>
  <c r="P467" i="202"/>
  <c r="V162" i="175"/>
  <c r="V174" i="175"/>
  <c r="V162" i="28"/>
  <c r="V177" i="28"/>
  <c r="Q70" i="202"/>
  <c r="Q49" i="202"/>
  <c r="Q24" i="202"/>
  <c r="I40" i="219" s="1"/>
  <c r="Q28" i="202"/>
  <c r="Q21" i="202"/>
  <c r="I34" i="219" s="1"/>
  <c r="Q23" i="202"/>
  <c r="Q91" i="202"/>
  <c r="V220" i="16"/>
  <c r="U261" i="16"/>
  <c r="Q50" i="207" s="1"/>
  <c r="K64" i="157"/>
  <c r="M11" i="70"/>
  <c r="N495" i="202"/>
  <c r="Y30" i="185"/>
  <c r="Z144" i="185"/>
  <c r="V241" i="164"/>
  <c r="K18" i="184"/>
  <c r="L6" i="184"/>
  <c r="L10" i="184" s="1"/>
  <c r="O470" i="202"/>
  <c r="C32" i="35"/>
  <c r="C24" i="164"/>
  <c r="P16" i="177"/>
  <c r="O17" i="177"/>
  <c r="O18" i="177"/>
  <c r="X90" i="175"/>
  <c r="W105" i="175"/>
  <c r="V243" i="164"/>
  <c r="O46" i="16"/>
  <c r="Q24" i="13"/>
  <c r="K93" i="16"/>
  <c r="P27" i="16"/>
  <c r="P64" i="181"/>
  <c r="S12" i="13"/>
  <c r="S142" i="13" s="1"/>
  <c r="S17" i="13"/>
  <c r="S161" i="13" s="1"/>
  <c r="S190" i="13" s="1"/>
  <c r="S13" i="13"/>
  <c r="S160" i="13" s="1"/>
  <c r="S16" i="13"/>
  <c r="S143" i="13" s="1"/>
  <c r="S20" i="13"/>
  <c r="C27" i="19"/>
  <c r="C28" i="19" s="1"/>
  <c r="C31" i="19" s="1"/>
  <c r="C32" i="19" s="1"/>
  <c r="C33" i="19" s="1"/>
  <c r="C34" i="19" s="1"/>
  <c r="C37" i="19" s="1"/>
  <c r="C38" i="19" s="1"/>
  <c r="C39" i="19" s="1"/>
  <c r="C40" i="19" s="1"/>
  <c r="C41" i="19" s="1"/>
  <c r="C42" i="19"/>
  <c r="C43" i="19" s="1"/>
  <c r="C44" i="19" s="1"/>
  <c r="C45" i="19" s="1"/>
  <c r="C46" i="19" s="1"/>
  <c r="C47" i="19" s="1"/>
  <c r="C50" i="19" s="1"/>
  <c r="C51" i="19" s="1"/>
  <c r="C52" i="19" s="1"/>
  <c r="C53" i="19" s="1"/>
  <c r="C54" i="19" s="1"/>
  <c r="C55" i="19" s="1"/>
  <c r="C56" i="19" s="1"/>
  <c r="C57" i="19" s="1"/>
  <c r="C58" i="19" s="1"/>
  <c r="C59" i="19" s="1"/>
  <c r="C60" i="19" s="1"/>
  <c r="C61" i="19" s="1"/>
  <c r="C62" i="19" s="1"/>
  <c r="C63" i="19" s="1"/>
  <c r="C64" i="19" s="1"/>
  <c r="C65" i="19" s="1"/>
  <c r="G118" i="181"/>
  <c r="G122" i="181" s="1"/>
  <c r="G123" i="181" s="1"/>
  <c r="G74" i="181"/>
  <c r="G100" i="181" s="1"/>
  <c r="G101" i="181" s="1"/>
  <c r="K250" i="16"/>
  <c r="K34" i="16"/>
  <c r="D74" i="13"/>
  <c r="C29" i="14"/>
  <c r="L67" i="16"/>
  <c r="M249" i="16"/>
  <c r="G5" i="213" s="1"/>
  <c r="H5" i="213" s="1"/>
  <c r="V235" i="164"/>
  <c r="L62" i="16"/>
  <c r="N52" i="181"/>
  <c r="M51" i="16"/>
  <c r="O28" i="13"/>
  <c r="W240" i="164"/>
  <c r="Z86" i="175"/>
  <c r="R39" i="176"/>
  <c r="R40" i="176" s="1"/>
  <c r="R54" i="181" s="1"/>
  <c r="M49" i="177"/>
  <c r="M26" i="177"/>
  <c r="P89" i="179" s="1"/>
  <c r="P90" i="179" s="1"/>
  <c r="C36" i="46"/>
  <c r="N43" i="13"/>
  <c r="M69" i="16"/>
  <c r="P417" i="202"/>
  <c r="P418" i="202" s="1"/>
  <c r="P419" i="202" s="1"/>
  <c r="W236" i="164"/>
  <c r="J211" i="172"/>
  <c r="K203" i="172"/>
  <c r="K207" i="172" s="1"/>
  <c r="L50" i="16"/>
  <c r="L53" i="16" s="1"/>
  <c r="M30" i="13"/>
  <c r="N42" i="16"/>
  <c r="O18" i="16"/>
  <c r="O19" i="16" s="1"/>
  <c r="M470" i="202"/>
  <c r="M471" i="202" s="1"/>
  <c r="O418" i="202"/>
  <c r="O419" i="202" s="1"/>
  <c r="U232" i="16"/>
  <c r="T264" i="16"/>
  <c r="P53" i="207" s="1"/>
  <c r="H40" i="207"/>
  <c r="K8" i="202"/>
  <c r="M7" i="207"/>
  <c r="Q25" i="16"/>
  <c r="Q100" i="179"/>
  <c r="M66" i="16"/>
  <c r="O38" i="13"/>
  <c r="X9" i="175"/>
  <c r="W20" i="175"/>
  <c r="W163" i="175" s="1"/>
  <c r="Y23" i="185"/>
  <c r="Z138" i="185"/>
  <c r="T113" i="70"/>
  <c r="H53" i="13"/>
  <c r="K72" i="16"/>
  <c r="C38" i="181"/>
  <c r="C39" i="181" s="1"/>
  <c r="C40" i="181" s="1"/>
  <c r="C41" i="181" s="1"/>
  <c r="C42" i="181" s="1"/>
  <c r="C43" i="181" s="1"/>
  <c r="C44" i="181" s="1"/>
  <c r="C45" i="181" s="1"/>
  <c r="C46" i="181" s="1"/>
  <c r="C48" i="181" s="1"/>
  <c r="C49" i="181" s="1"/>
  <c r="C50" i="181" s="1"/>
  <c r="C51" i="181" s="1"/>
  <c r="C52" i="181" s="1"/>
  <c r="C53" i="181" s="1"/>
  <c r="C54" i="181" s="1"/>
  <c r="C55" i="181" s="1"/>
  <c r="C57" i="181" s="1"/>
  <c r="C59" i="181" s="1"/>
  <c r="C60" i="181" s="1"/>
  <c r="C61" i="181" s="1"/>
  <c r="C63" i="181" s="1"/>
  <c r="C64" i="181" s="1"/>
  <c r="C65" i="181" s="1"/>
  <c r="C66" i="181" s="1"/>
  <c r="C68" i="181" s="1"/>
  <c r="C69" i="181" s="1"/>
  <c r="C70" i="181" s="1"/>
  <c r="C72" i="181" s="1"/>
  <c r="C74" i="181" s="1"/>
  <c r="S115" i="70"/>
  <c r="S168" i="70" s="1"/>
  <c r="W84" i="175"/>
  <c r="W165" i="175" s="1"/>
  <c r="R28" i="176" s="1"/>
  <c r="R50" i="181" s="1"/>
  <c r="X69" i="175"/>
  <c r="P16" i="16"/>
  <c r="R213" i="16"/>
  <c r="R209" i="16"/>
  <c r="R212" i="16"/>
  <c r="R208" i="16"/>
  <c r="R207" i="16"/>
  <c r="R219" i="16"/>
  <c r="R214" i="16"/>
  <c r="R217" i="16"/>
  <c r="R211" i="16"/>
  <c r="R215" i="16"/>
  <c r="R210" i="16"/>
  <c r="R216" i="16"/>
  <c r="R218" i="16"/>
  <c r="Q90" i="157"/>
  <c r="Q89" i="157"/>
  <c r="M68" i="209" s="1"/>
  <c r="C35" i="35"/>
  <c r="K33" i="176"/>
  <c r="K42" i="176" s="1"/>
  <c r="K56" i="176"/>
  <c r="K58" i="176" s="1"/>
  <c r="C49" i="107"/>
  <c r="C28" i="157"/>
  <c r="C29" i="157" s="1"/>
  <c r="C30" i="157" s="1"/>
  <c r="C31" i="157" s="1"/>
  <c r="C32" i="157" s="1"/>
  <c r="C33" i="157" s="1"/>
  <c r="C35" i="157" s="1"/>
  <c r="C37" i="157" s="1"/>
  <c r="C38" i="157" s="1"/>
  <c r="C40" i="157" s="1"/>
  <c r="C41" i="157" s="1"/>
  <c r="C42" i="157" s="1"/>
  <c r="C43" i="157" s="1"/>
  <c r="C44" i="157" s="1"/>
  <c r="C45" i="157" s="1"/>
  <c r="C46" i="157" s="1"/>
  <c r="C47" i="157" s="1"/>
  <c r="C48" i="157" s="1"/>
  <c r="C49" i="157" s="1"/>
  <c r="C50" i="157" s="1"/>
  <c r="C51" i="157" s="1"/>
  <c r="C52" i="157" s="1"/>
  <c r="C53" i="157" s="1"/>
  <c r="C54" i="157" s="1"/>
  <c r="C55" i="157" s="1"/>
  <c r="C56" i="157" s="1"/>
  <c r="C58" i="157" s="1"/>
  <c r="C60" i="157" s="1"/>
  <c r="C62" i="157" s="1"/>
  <c r="C63" i="157" s="1"/>
  <c r="C64" i="157" s="1"/>
  <c r="C65" i="157" s="1"/>
  <c r="C66" i="157" s="1"/>
  <c r="C67" i="157" s="1"/>
  <c r="C68" i="157" s="1"/>
  <c r="C69" i="157" s="1"/>
  <c r="C70" i="157" s="1"/>
  <c r="C71" i="157" s="1"/>
  <c r="C72" i="157" s="1"/>
  <c r="C73" i="157" s="1"/>
  <c r="C74" i="157" s="1"/>
  <c r="C75" i="157" s="1"/>
  <c r="C77" i="157" s="1"/>
  <c r="C79" i="157" s="1"/>
  <c r="C80" i="157" s="1"/>
  <c r="C81" i="157" s="1"/>
  <c r="C82" i="157" s="1"/>
  <c r="C83" i="157" s="1"/>
  <c r="C85" i="157" s="1"/>
  <c r="C87" i="157" s="1"/>
  <c r="C88" i="157" s="1"/>
  <c r="C89" i="157" s="1"/>
  <c r="C90" i="157" s="1"/>
  <c r="C91" i="157" s="1"/>
  <c r="C92" i="157" s="1"/>
  <c r="C93" i="157" s="1"/>
  <c r="C95" i="157" s="1"/>
  <c r="C97" i="157" s="1"/>
  <c r="C99" i="157" s="1"/>
  <c r="C101" i="157" s="1"/>
  <c r="C103" i="157" s="1"/>
  <c r="O30" i="176"/>
  <c r="T167" i="175"/>
  <c r="O493" i="202"/>
  <c r="O494" i="202" s="1"/>
  <c r="N14" i="185"/>
  <c r="N16" i="185" s="1"/>
  <c r="O13" i="185" s="1"/>
  <c r="N83" i="185"/>
  <c r="N84" i="185" s="1"/>
  <c r="C80" i="79"/>
  <c r="C78" i="79"/>
  <c r="C81" i="79" s="1"/>
  <c r="U100" i="28" l="1"/>
  <c r="T43" i="175"/>
  <c r="S62" i="28"/>
  <c r="S165" i="28" s="1"/>
  <c r="N70" i="157" s="1"/>
  <c r="V159" i="175"/>
  <c r="W158" i="175" s="1"/>
  <c r="T33" i="175"/>
  <c r="U26" i="175"/>
  <c r="T57" i="175"/>
  <c r="T29" i="175"/>
  <c r="C31" i="176"/>
  <c r="C33" i="176" s="1"/>
  <c r="C35" i="176" s="1"/>
  <c r="C36" i="176" s="1"/>
  <c r="C37" i="176" s="1"/>
  <c r="C38" i="176" s="1"/>
  <c r="C39" i="176" s="1"/>
  <c r="C40" i="176" s="1"/>
  <c r="C122" i="70"/>
  <c r="C123" i="70" s="1"/>
  <c r="C124" i="70" s="1"/>
  <c r="C125" i="70" s="1"/>
  <c r="C126" i="70" s="1"/>
  <c r="C127" i="70" s="1"/>
  <c r="C128" i="70" s="1"/>
  <c r="C129" i="70" s="1"/>
  <c r="C130" i="70" s="1"/>
  <c r="C131" i="70" s="1"/>
  <c r="C132" i="70" s="1"/>
  <c r="C133" i="70" s="1"/>
  <c r="C134" i="70" s="1"/>
  <c r="C135" i="70" s="1"/>
  <c r="C136" i="70" s="1"/>
  <c r="C137" i="70" s="1"/>
  <c r="C138" i="70" s="1"/>
  <c r="C139" i="70" s="1"/>
  <c r="C140" i="70" s="1"/>
  <c r="C141" i="70" s="1"/>
  <c r="C142" i="70" s="1"/>
  <c r="C143" i="70" s="1"/>
  <c r="C144" i="70" s="1"/>
  <c r="C145" i="70" s="1"/>
  <c r="C146" i="70" s="1"/>
  <c r="C147" i="70" s="1"/>
  <c r="C148" i="70" s="1"/>
  <c r="C149" i="70" s="1"/>
  <c r="C150" i="70" s="1"/>
  <c r="C151" i="70" s="1"/>
  <c r="C152" i="70" s="1"/>
  <c r="C153" i="70" s="1"/>
  <c r="C154" i="70" s="1"/>
  <c r="C155" i="70" s="1"/>
  <c r="U16" i="163"/>
  <c r="U21" i="163" s="1"/>
  <c r="U39" i="163" s="1"/>
  <c r="N70" i="209" s="1"/>
  <c r="U15" i="163"/>
  <c r="U20" i="163" s="1"/>
  <c r="U38" i="163" s="1"/>
  <c r="U17" i="163"/>
  <c r="U22" i="163" s="1"/>
  <c r="U40" i="163" s="1"/>
  <c r="U12" i="163"/>
  <c r="U11" i="163"/>
  <c r="U10" i="163" s="1"/>
  <c r="T10" i="163"/>
  <c r="R48" i="70"/>
  <c r="R163" i="70" s="1"/>
  <c r="Q105" i="70"/>
  <c r="Q167" i="70" s="1"/>
  <c r="C124" i="28"/>
  <c r="C125" i="28" s="1"/>
  <c r="C126" i="28" s="1"/>
  <c r="C127" i="28" s="1"/>
  <c r="C128" i="28" s="1"/>
  <c r="C129" i="28" s="1"/>
  <c r="C130" i="28" s="1"/>
  <c r="C131" i="28" s="1"/>
  <c r="C132" i="28" s="1"/>
  <c r="C133" i="28" s="1"/>
  <c r="C134" i="28" s="1"/>
  <c r="C135" i="28" s="1"/>
  <c r="C136" i="28" s="1"/>
  <c r="C137" i="28" s="1"/>
  <c r="C138" i="28" s="1"/>
  <c r="C139" i="28" s="1"/>
  <c r="C140" i="28" s="1"/>
  <c r="C141" i="28" s="1"/>
  <c r="C142" i="28" s="1"/>
  <c r="C143" i="28" s="1"/>
  <c r="C144" i="28" s="1"/>
  <c r="C145" i="28" s="1"/>
  <c r="C146" i="28" s="1"/>
  <c r="C147" i="28" s="1"/>
  <c r="C148" i="28" s="1"/>
  <c r="C149" i="28" s="1"/>
  <c r="C150" i="28" s="1"/>
  <c r="C151" i="28" s="1"/>
  <c r="C152" i="28" s="1"/>
  <c r="C153" i="28" s="1"/>
  <c r="C154" i="28" s="1"/>
  <c r="C155" i="28" s="1"/>
  <c r="C156" i="28" s="1"/>
  <c r="C157" i="28" s="1"/>
  <c r="C158" i="28" s="1"/>
  <c r="C159" i="28" s="1"/>
  <c r="C123" i="28"/>
  <c r="U73" i="28"/>
  <c r="Q86" i="70"/>
  <c r="Q165" i="70" s="1"/>
  <c r="U77" i="28"/>
  <c r="T41" i="175"/>
  <c r="T39" i="175"/>
  <c r="T61" i="175"/>
  <c r="T45" i="175"/>
  <c r="T46" i="175"/>
  <c r="T40" i="175"/>
  <c r="T44" i="175"/>
  <c r="T56" i="175"/>
  <c r="T49" i="175"/>
  <c r="T32" i="175"/>
  <c r="T35" i="175"/>
  <c r="T62" i="175"/>
  <c r="T54" i="175"/>
  <c r="T28" i="175"/>
  <c r="T48" i="175"/>
  <c r="S164" i="175"/>
  <c r="T66" i="175"/>
  <c r="T53" i="175"/>
  <c r="T60" i="175"/>
  <c r="T63" i="175"/>
  <c r="T50" i="175"/>
  <c r="T34" i="175"/>
  <c r="T59" i="175"/>
  <c r="T64" i="175"/>
  <c r="T31" i="175"/>
  <c r="T38" i="175"/>
  <c r="T65" i="175"/>
  <c r="T36" i="175"/>
  <c r="T55" i="175"/>
  <c r="T51" i="175"/>
  <c r="T52" i="175"/>
  <c r="T37" i="175"/>
  <c r="T42" i="175"/>
  <c r="T58" i="175"/>
  <c r="C214" i="202"/>
  <c r="C189" i="202"/>
  <c r="C190" i="202" s="1"/>
  <c r="C192" i="202" s="1"/>
  <c r="C193" i="202" s="1"/>
  <c r="C194" i="202" s="1"/>
  <c r="C195" i="202" s="1"/>
  <c r="C196" i="202" s="1"/>
  <c r="C197" i="202" s="1"/>
  <c r="C198" i="202" s="1"/>
  <c r="C199" i="202" s="1"/>
  <c r="C200" i="202" s="1"/>
  <c r="C201" i="202" s="1"/>
  <c r="C202" i="202" s="1"/>
  <c r="C203" i="202" s="1"/>
  <c r="C204" i="202" s="1"/>
  <c r="C205" i="202" s="1"/>
  <c r="C206" i="202" s="1"/>
  <c r="C207" i="202" s="1"/>
  <c r="C208" i="202" s="1"/>
  <c r="C210" i="202" s="1"/>
  <c r="C211" i="202" s="1"/>
  <c r="C239" i="202" s="1"/>
  <c r="N54" i="13"/>
  <c r="S189" i="13"/>
  <c r="M67" i="13"/>
  <c r="N67" i="13" s="1"/>
  <c r="N145" i="13" s="1"/>
  <c r="R144" i="13"/>
  <c r="M8" i="207" s="1"/>
  <c r="V17" i="28"/>
  <c r="Q88" i="227"/>
  <c r="Q89" i="227" s="1"/>
  <c r="X9" i="28"/>
  <c r="U9" i="70" s="1"/>
  <c r="U92" i="172"/>
  <c r="T84" i="227"/>
  <c r="D118" i="219"/>
  <c r="R122" i="70"/>
  <c r="U151" i="28"/>
  <c r="U158" i="28"/>
  <c r="U124" i="28"/>
  <c r="U134" i="28"/>
  <c r="U127" i="28"/>
  <c r="U147" i="28"/>
  <c r="U128" i="28"/>
  <c r="U132" i="28"/>
  <c r="U155" i="28"/>
  <c r="U122" i="28"/>
  <c r="U156" i="28"/>
  <c r="U153" i="28"/>
  <c r="U126" i="28"/>
  <c r="U133" i="28"/>
  <c r="U137" i="28"/>
  <c r="T170" i="28"/>
  <c r="O74" i="157" s="1"/>
  <c r="U154" i="28"/>
  <c r="U139" i="28"/>
  <c r="U131" i="28"/>
  <c r="U140" i="28"/>
  <c r="U146" i="28"/>
  <c r="U142" i="28"/>
  <c r="U148" i="28"/>
  <c r="U149" i="28"/>
  <c r="U144" i="28"/>
  <c r="U123" i="28"/>
  <c r="U145" i="28"/>
  <c r="U136" i="28"/>
  <c r="U135" i="28"/>
  <c r="U157" i="28"/>
  <c r="U138" i="28"/>
  <c r="U150" i="28"/>
  <c r="U143" i="28"/>
  <c r="U129" i="28"/>
  <c r="U152" i="28"/>
  <c r="U130" i="28"/>
  <c r="U141" i="28"/>
  <c r="Q156" i="70"/>
  <c r="Q169" i="70" s="1"/>
  <c r="U121" i="28"/>
  <c r="X118" i="28"/>
  <c r="T114" i="70"/>
  <c r="X112" i="28"/>
  <c r="X115" i="28"/>
  <c r="T111" i="70"/>
  <c r="X113" i="28"/>
  <c r="T109" i="70"/>
  <c r="X106" i="28"/>
  <c r="X110" i="28"/>
  <c r="X117" i="28"/>
  <c r="X111" i="28"/>
  <c r="X116" i="28"/>
  <c r="X105" i="28"/>
  <c r="X109" i="28"/>
  <c r="X104" i="28"/>
  <c r="X108" i="28"/>
  <c r="X114" i="28"/>
  <c r="T110" i="70"/>
  <c r="X107" i="28"/>
  <c r="R103" i="70"/>
  <c r="T168" i="28"/>
  <c r="O72" i="157" s="1"/>
  <c r="U92" i="28"/>
  <c r="U96" i="28"/>
  <c r="U97" i="28"/>
  <c r="U94" i="28"/>
  <c r="U99" i="28"/>
  <c r="U95" i="28"/>
  <c r="R96" i="70"/>
  <c r="U91" i="28"/>
  <c r="U98" i="28"/>
  <c r="U101" i="28"/>
  <c r="R72" i="70"/>
  <c r="R80" i="70"/>
  <c r="R76" i="70"/>
  <c r="U80" i="28"/>
  <c r="T166" i="28"/>
  <c r="O71" i="157" s="1"/>
  <c r="U76" i="28"/>
  <c r="U65" i="28"/>
  <c r="U64" i="28"/>
  <c r="U70" i="28"/>
  <c r="U79" i="28"/>
  <c r="U75" i="28"/>
  <c r="U72" i="28"/>
  <c r="U78" i="28"/>
  <c r="U74" i="28"/>
  <c r="U82" i="28"/>
  <c r="U81" i="28"/>
  <c r="U67" i="28"/>
  <c r="U68" i="28"/>
  <c r="U66" i="28"/>
  <c r="U71" i="28"/>
  <c r="T60" i="28"/>
  <c r="P62" i="70"/>
  <c r="T58" i="28"/>
  <c r="P60" i="70"/>
  <c r="O64" i="70"/>
  <c r="O164" i="70" s="1"/>
  <c r="T59" i="28"/>
  <c r="P61" i="70"/>
  <c r="T57" i="28"/>
  <c r="P59" i="70"/>
  <c r="T61" i="28"/>
  <c r="P63" i="70"/>
  <c r="T53" i="28"/>
  <c r="P55" i="70"/>
  <c r="T49" i="28"/>
  <c r="P51" i="70"/>
  <c r="T50" i="28"/>
  <c r="P52" i="70"/>
  <c r="T55" i="28"/>
  <c r="P57" i="70"/>
  <c r="T51" i="28"/>
  <c r="P53" i="70"/>
  <c r="T52" i="28"/>
  <c r="P54" i="70"/>
  <c r="T54" i="28"/>
  <c r="P56" i="70"/>
  <c r="U164" i="28"/>
  <c r="P69" i="157" s="1"/>
  <c r="V38" i="28"/>
  <c r="V34" i="28"/>
  <c r="V25" i="28"/>
  <c r="V28" i="28"/>
  <c r="V26" i="28"/>
  <c r="V42" i="28"/>
  <c r="V39" i="28"/>
  <c r="V32" i="28"/>
  <c r="V41" i="28"/>
  <c r="V36" i="28"/>
  <c r="V29" i="28"/>
  <c r="V43" i="28"/>
  <c r="V31" i="28"/>
  <c r="V35" i="28"/>
  <c r="V46" i="28"/>
  <c r="V44" i="28"/>
  <c r="V30" i="28"/>
  <c r="V37" i="28"/>
  <c r="V45" i="28"/>
  <c r="V40" i="28"/>
  <c r="V33" i="28"/>
  <c r="V27" i="28"/>
  <c r="W137" i="175"/>
  <c r="W121" i="175"/>
  <c r="W152" i="175"/>
  <c r="W126" i="175"/>
  <c r="W123" i="175"/>
  <c r="W154" i="175"/>
  <c r="W130" i="175"/>
  <c r="W143" i="175"/>
  <c r="W122" i="175"/>
  <c r="W120" i="175"/>
  <c r="W140" i="175"/>
  <c r="W149" i="175"/>
  <c r="W156" i="175"/>
  <c r="W147" i="175"/>
  <c r="W142" i="175"/>
  <c r="W128" i="175"/>
  <c r="W145" i="175"/>
  <c r="W157" i="175"/>
  <c r="W141" i="175"/>
  <c r="W131" i="175"/>
  <c r="W133" i="175"/>
  <c r="W135" i="175"/>
  <c r="W148" i="175"/>
  <c r="W136" i="175"/>
  <c r="W144" i="175"/>
  <c r="W153" i="175"/>
  <c r="W150" i="175"/>
  <c r="W127" i="175"/>
  <c r="W151" i="175"/>
  <c r="W125" i="175"/>
  <c r="W134" i="175"/>
  <c r="W129" i="175"/>
  <c r="W138" i="175"/>
  <c r="W132" i="175"/>
  <c r="W139" i="175"/>
  <c r="W124" i="175"/>
  <c r="W155" i="175"/>
  <c r="W146" i="175"/>
  <c r="V166" i="175"/>
  <c r="Q29" i="176" s="1"/>
  <c r="Q51" i="181" s="1"/>
  <c r="V23" i="175"/>
  <c r="V25" i="175"/>
  <c r="V24" i="175"/>
  <c r="V22" i="175"/>
  <c r="C146" i="175"/>
  <c r="C147" i="175" s="1"/>
  <c r="C148" i="175" s="1"/>
  <c r="C149" i="175" s="1"/>
  <c r="C150" i="175" s="1"/>
  <c r="C151" i="175" s="1"/>
  <c r="C152" i="175" s="1"/>
  <c r="C153" i="175" s="1"/>
  <c r="C154" i="175" s="1"/>
  <c r="C155" i="175" s="1"/>
  <c r="C156" i="175" s="1"/>
  <c r="C157" i="175" s="1"/>
  <c r="C158" i="175" s="1"/>
  <c r="C159" i="175" s="1"/>
  <c r="R31" i="179"/>
  <c r="I24" i="209"/>
  <c r="U112" i="70"/>
  <c r="O25" i="13"/>
  <c r="N47" i="16" s="1"/>
  <c r="P23" i="13"/>
  <c r="Q23" i="13" s="1"/>
  <c r="O43" i="16"/>
  <c r="M48" i="16"/>
  <c r="R100" i="179"/>
  <c r="P29" i="13"/>
  <c r="Q29" i="13" s="1"/>
  <c r="S33" i="13"/>
  <c r="R59" i="16" s="1"/>
  <c r="I3" i="219"/>
  <c r="I17" i="219" s="1"/>
  <c r="N19" i="30"/>
  <c r="N29" i="157" s="1"/>
  <c r="J27" i="209" s="1"/>
  <c r="N17" i="30"/>
  <c r="M162" i="13"/>
  <c r="M191" i="13" s="1"/>
  <c r="C5" i="219"/>
  <c r="C66" i="19"/>
  <c r="C67" i="19" s="1"/>
  <c r="C68" i="19" s="1"/>
  <c r="C69" i="19" s="1"/>
  <c r="C72" i="19" s="1"/>
  <c r="C73" i="19" s="1"/>
  <c r="C74" i="19" s="1"/>
  <c r="C75" i="19" s="1"/>
  <c r="C76" i="19" s="1"/>
  <c r="C77" i="19" s="1"/>
  <c r="C78" i="19" s="1"/>
  <c r="C79" i="19" s="1"/>
  <c r="C80" i="19" s="1"/>
  <c r="C81" i="19" s="1"/>
  <c r="M33" i="157"/>
  <c r="I31" i="209" s="1"/>
  <c r="Y14" i="175"/>
  <c r="U228" i="16"/>
  <c r="T263" i="16"/>
  <c r="P52" i="207" s="1"/>
  <c r="N39" i="181"/>
  <c r="J49" i="209"/>
  <c r="H17" i="219"/>
  <c r="T160" i="70"/>
  <c r="Q28" i="181"/>
  <c r="Q98" i="181"/>
  <c r="C58" i="215"/>
  <c r="C59" i="215" s="1"/>
  <c r="C60" i="215" s="1"/>
  <c r="C61" i="215" s="1"/>
  <c r="C62" i="215" s="1"/>
  <c r="C64" i="215" s="1"/>
  <c r="C65" i="215" s="1"/>
  <c r="C66" i="215" s="1"/>
  <c r="C67" i="215" s="1"/>
  <c r="C68" i="215" s="1"/>
  <c r="C69" i="215" s="1"/>
  <c r="C70" i="215" s="1"/>
  <c r="C71" i="215" s="1"/>
  <c r="C72" i="215" s="1"/>
  <c r="C73" i="215" s="1"/>
  <c r="C74" i="215" s="1"/>
  <c r="C75" i="215" s="1"/>
  <c r="C76" i="215" s="1"/>
  <c r="C77" i="215" s="1"/>
  <c r="C78" i="215" s="1"/>
  <c r="C86" i="215" s="1"/>
  <c r="C87" i="215" s="1"/>
  <c r="C88" i="215" s="1"/>
  <c r="C89" i="215" s="1"/>
  <c r="C90" i="215" s="1"/>
  <c r="C91" i="215" s="1"/>
  <c r="C92" i="215" s="1"/>
  <c r="C93" i="215" s="1"/>
  <c r="C94" i="215" s="1"/>
  <c r="C95" i="215" s="1"/>
  <c r="C96" i="215" s="1"/>
  <c r="C97" i="215" s="1"/>
  <c r="C98" i="215" s="1"/>
  <c r="C99" i="215" s="1"/>
  <c r="C100" i="215" s="1"/>
  <c r="C101" i="215" s="1"/>
  <c r="C102" i="215" s="1"/>
  <c r="C103" i="215" s="1"/>
  <c r="C104" i="215" s="1"/>
  <c r="C105" i="215" s="1"/>
  <c r="C106" i="215" s="1"/>
  <c r="C108" i="215" s="1"/>
  <c r="C109" i="215" s="1"/>
  <c r="C110" i="215" s="1"/>
  <c r="C111" i="215" s="1"/>
  <c r="C114" i="215" s="1"/>
  <c r="C115" i="215" s="1"/>
  <c r="C116" i="215" s="1"/>
  <c r="C117" i="215" s="1"/>
  <c r="C118" i="215" s="1"/>
  <c r="C119" i="215" s="1"/>
  <c r="C120" i="215" s="1"/>
  <c r="C121" i="215" s="1"/>
  <c r="C122" i="215" s="1"/>
  <c r="C123" i="215" s="1"/>
  <c r="C124" i="215" s="1"/>
  <c r="C125" i="215" s="1"/>
  <c r="C126" i="215" s="1"/>
  <c r="C128" i="215" s="1"/>
  <c r="C129" i="215" s="1"/>
  <c r="C130" i="215" s="1"/>
  <c r="C131" i="215" s="1"/>
  <c r="C132" i="215" s="1"/>
  <c r="C133" i="215" s="1"/>
  <c r="C134" i="215" s="1"/>
  <c r="C135" i="215" s="1"/>
  <c r="C136" i="215" s="1"/>
  <c r="C138" i="215" s="1"/>
  <c r="C139" i="215" s="1"/>
  <c r="C140" i="215" s="1"/>
  <c r="C141" i="215" s="1"/>
  <c r="C142" i="215" s="1"/>
  <c r="C143" i="215" s="1"/>
  <c r="C144" i="215" s="1"/>
  <c r="C145" i="215" s="1"/>
  <c r="C146" i="215" s="1"/>
  <c r="C147" i="215" s="1"/>
  <c r="C148" i="215" s="1"/>
  <c r="C149" i="215" s="1"/>
  <c r="C150" i="215" s="1"/>
  <c r="C151" i="215" s="1"/>
  <c r="C152" i="215" s="1"/>
  <c r="C153" i="215" s="1"/>
  <c r="C161" i="215" s="1"/>
  <c r="C162" i="215" s="1"/>
  <c r="C163" i="215" s="1"/>
  <c r="C164" i="215" s="1"/>
  <c r="C165" i="215" s="1"/>
  <c r="C166" i="215" s="1"/>
  <c r="C167" i="215" s="1"/>
  <c r="C168" i="215" s="1"/>
  <c r="C169" i="215" s="1"/>
  <c r="C170" i="215" s="1"/>
  <c r="C171" i="215" s="1"/>
  <c r="C172" i="215" s="1"/>
  <c r="C173" i="215" s="1"/>
  <c r="C174" i="215" s="1"/>
  <c r="C175" i="215" s="1"/>
  <c r="C176" i="215" s="1"/>
  <c r="C177" i="215" s="1"/>
  <c r="C178" i="215" s="1"/>
  <c r="C179" i="215" s="1"/>
  <c r="C180" i="215" s="1"/>
  <c r="C181" i="215" s="1"/>
  <c r="C183" i="215" s="1"/>
  <c r="C185" i="215" s="1"/>
  <c r="C186" i="215" s="1"/>
  <c r="C187" i="215" s="1"/>
  <c r="C188" i="215" s="1"/>
  <c r="C189" i="215" s="1"/>
  <c r="C191" i="215" s="1"/>
  <c r="C192" i="215" s="1"/>
  <c r="C193" i="215" s="1"/>
  <c r="C194" i="215" s="1"/>
  <c r="C195" i="215" s="1"/>
  <c r="C196" i="215" s="1"/>
  <c r="C197" i="215" s="1"/>
  <c r="C199" i="215" s="1"/>
  <c r="C200" i="215" s="1"/>
  <c r="C201" i="215" s="1"/>
  <c r="C202" i="215" s="1"/>
  <c r="C203" i="215" s="1"/>
  <c r="C205" i="215" s="1"/>
  <c r="C206" i="215" s="1"/>
  <c r="C207" i="215" s="1"/>
  <c r="C208" i="215" s="1"/>
  <c r="C209" i="215" s="1"/>
  <c r="C210" i="215" s="1"/>
  <c r="C211" i="215" s="1"/>
  <c r="C212" i="215" s="1"/>
  <c r="C213" i="215" s="1"/>
  <c r="C214" i="215" s="1"/>
  <c r="C215" i="215" s="1"/>
  <c r="C217" i="215" s="1"/>
  <c r="C218" i="215" s="1"/>
  <c r="C219" i="215" s="1"/>
  <c r="C220" i="215" s="1"/>
  <c r="C221" i="215" s="1"/>
  <c r="C222" i="215" s="1"/>
  <c r="C223" i="215" s="1"/>
  <c r="C225" i="215" s="1"/>
  <c r="C227" i="215" s="1"/>
  <c r="U56" i="28"/>
  <c r="Q58" i="70"/>
  <c r="M63" i="202"/>
  <c r="L49" i="195" s="1"/>
  <c r="E48" i="219"/>
  <c r="Q65" i="181"/>
  <c r="M69" i="209"/>
  <c r="C70" i="209"/>
  <c r="C71" i="209" s="1"/>
  <c r="C73" i="209" s="1"/>
  <c r="C75" i="209" s="1"/>
  <c r="C77" i="209" s="1"/>
  <c r="C79" i="209" s="1"/>
  <c r="C81" i="209" s="1"/>
  <c r="M45" i="202"/>
  <c r="C44" i="103"/>
  <c r="C46" i="103" s="1"/>
  <c r="E25" i="72"/>
  <c r="E31" i="44"/>
  <c r="E27" i="45"/>
  <c r="J27" i="45" s="1"/>
  <c r="BZ21" i="44"/>
  <c r="CA12" i="44"/>
  <c r="Y15" i="175"/>
  <c r="Y10" i="175"/>
  <c r="Y13" i="175"/>
  <c r="Y17" i="175"/>
  <c r="Y19" i="175"/>
  <c r="Y16" i="175"/>
  <c r="Y12" i="175"/>
  <c r="Z192" i="28"/>
  <c r="V14" i="70"/>
  <c r="Z14" i="28"/>
  <c r="Y18" i="175"/>
  <c r="Y11" i="175"/>
  <c r="Z19" i="28"/>
  <c r="V19" i="70"/>
  <c r="M21" i="181"/>
  <c r="M87" i="181" s="1"/>
  <c r="I50" i="202"/>
  <c r="I52" i="202" s="1"/>
  <c r="N486" i="202"/>
  <c r="N86" i="202" s="1"/>
  <c r="N107" i="202" s="1"/>
  <c r="L72" i="16"/>
  <c r="L73" i="16" s="1"/>
  <c r="L74" i="16" s="1"/>
  <c r="L252" i="16" s="1"/>
  <c r="K12" i="202" s="1"/>
  <c r="M250" i="16"/>
  <c r="M34" i="16"/>
  <c r="M239" i="16" s="1"/>
  <c r="L14" i="157" s="1"/>
  <c r="L14" i="181" s="1"/>
  <c r="O471" i="202"/>
  <c r="O472" i="202" s="1"/>
  <c r="O473" i="202" s="1"/>
  <c r="O485" i="202" s="1"/>
  <c r="P468" i="202"/>
  <c r="P469" i="202" s="1"/>
  <c r="L104" i="16"/>
  <c r="N435" i="202"/>
  <c r="N42" i="202" s="1"/>
  <c r="O495" i="202"/>
  <c r="O496" i="202" s="1"/>
  <c r="O497" i="202" s="1"/>
  <c r="Z21" i="28"/>
  <c r="V21" i="70"/>
  <c r="Z10" i="28"/>
  <c r="V10" i="70"/>
  <c r="Z22" i="28"/>
  <c r="V22" i="70"/>
  <c r="V15" i="70"/>
  <c r="Z15" i="28"/>
  <c r="Z118" i="175"/>
  <c r="Y95" i="172"/>
  <c r="C37" i="36"/>
  <c r="C82" i="79"/>
  <c r="C83" i="79" s="1"/>
  <c r="C84" i="79" s="1"/>
  <c r="C85" i="79" s="1"/>
  <c r="C86" i="79" s="1"/>
  <c r="C87" i="79" s="1"/>
  <c r="C88" i="79" s="1"/>
  <c r="C89" i="79" s="1"/>
  <c r="C90" i="79" s="1"/>
  <c r="C91" i="79" s="1"/>
  <c r="C92" i="79" s="1"/>
  <c r="C93" i="79" s="1"/>
  <c r="C95" i="79" s="1"/>
  <c r="C96" i="79" s="1"/>
  <c r="C97" i="79" s="1"/>
  <c r="C99" i="79" s="1"/>
  <c r="C100" i="79" s="1"/>
  <c r="C101" i="79" s="1"/>
  <c r="C102" i="79" s="1"/>
  <c r="C103" i="79" s="1"/>
  <c r="C104" i="79" s="1"/>
  <c r="C105" i="79" s="1"/>
  <c r="C107" i="79" s="1"/>
  <c r="O31" i="16"/>
  <c r="O32" i="16" s="1"/>
  <c r="O250" i="16" s="1"/>
  <c r="O20" i="16"/>
  <c r="O21" i="16" s="1"/>
  <c r="C50" i="107"/>
  <c r="C51" i="107" s="1"/>
  <c r="C52" i="107" s="1"/>
  <c r="C53" i="107" s="1"/>
  <c r="C54" i="107" s="1"/>
  <c r="Q64" i="181"/>
  <c r="G93" i="16"/>
  <c r="H145" i="13"/>
  <c r="K85" i="16"/>
  <c r="L23" i="207"/>
  <c r="N30" i="13"/>
  <c r="N162" i="13" s="1"/>
  <c r="M50" i="16"/>
  <c r="N51" i="16"/>
  <c r="P28" i="13"/>
  <c r="W243" i="164"/>
  <c r="P17" i="177"/>
  <c r="P18" i="177"/>
  <c r="C25" i="164"/>
  <c r="P25" i="13"/>
  <c r="Z116" i="185"/>
  <c r="Y15" i="185"/>
  <c r="V261" i="16"/>
  <c r="R50" i="207" s="1"/>
  <c r="Q467" i="202"/>
  <c r="Q468" i="202" s="1"/>
  <c r="L33" i="176"/>
  <c r="L42" i="176" s="1"/>
  <c r="L56" i="176"/>
  <c r="L58" i="176" s="1"/>
  <c r="J114" i="16"/>
  <c r="C36" i="35"/>
  <c r="M15" i="176"/>
  <c r="M21" i="176" s="1"/>
  <c r="M23" i="176" s="1"/>
  <c r="W162" i="28"/>
  <c r="W177" i="28"/>
  <c r="Q87" i="195"/>
  <c r="Q74" i="195"/>
  <c r="Q36" i="195"/>
  <c r="Q61" i="195"/>
  <c r="C110" i="34"/>
  <c r="C111" i="34" s="1"/>
  <c r="C112" i="34" s="1"/>
  <c r="C113" i="34" s="1"/>
  <c r="C114" i="34" s="1"/>
  <c r="C115" i="34" s="1"/>
  <c r="C116" i="34" s="1"/>
  <c r="C117" i="34" s="1"/>
  <c r="C118" i="34" s="1"/>
  <c r="C119" i="34" s="1"/>
  <c r="C120" i="34" s="1"/>
  <c r="C121" i="34" s="1"/>
  <c r="C122" i="34" s="1"/>
  <c r="C123" i="34" s="1"/>
  <c r="C124" i="34" s="1"/>
  <c r="C125" i="34" s="1"/>
  <c r="C126" i="34" s="1"/>
  <c r="C127" i="34" s="1"/>
  <c r="C128" i="34" s="1"/>
  <c r="C129" i="34" s="1"/>
  <c r="C130" i="34" s="1"/>
  <c r="C132" i="34" s="1"/>
  <c r="C133" i="34" s="1"/>
  <c r="C134" i="34" s="1"/>
  <c r="C138" i="34"/>
  <c r="R19" i="176"/>
  <c r="R27" i="181" s="1"/>
  <c r="Y69" i="175"/>
  <c r="X84" i="175"/>
  <c r="X165" i="175" s="1"/>
  <c r="S28" i="176" s="1"/>
  <c r="S50" i="181" s="1"/>
  <c r="O42" i="16"/>
  <c r="Q417" i="202"/>
  <c r="Q418" i="202" s="1"/>
  <c r="I15" i="181"/>
  <c r="E13" i="209"/>
  <c r="U113" i="70"/>
  <c r="L54" i="16"/>
  <c r="W235" i="164"/>
  <c r="J40" i="207"/>
  <c r="M8" i="202"/>
  <c r="I40" i="207"/>
  <c r="L8" i="202"/>
  <c r="M67" i="16"/>
  <c r="O39" i="13"/>
  <c r="U167" i="175"/>
  <c r="P30" i="176"/>
  <c r="R40" i="16"/>
  <c r="N24" i="207"/>
  <c r="R26" i="16"/>
  <c r="K86" i="16"/>
  <c r="Y90" i="175"/>
  <c r="X105" i="175"/>
  <c r="L18" i="184"/>
  <c r="M6" i="184"/>
  <c r="M10" i="184" s="1"/>
  <c r="R42" i="181"/>
  <c r="N52" i="209"/>
  <c r="M82" i="16"/>
  <c r="O46" i="13"/>
  <c r="J88" i="16"/>
  <c r="J89" i="16" s="1"/>
  <c r="C24" i="207"/>
  <c r="Q16" i="16"/>
  <c r="L250" i="16"/>
  <c r="L34" i="16"/>
  <c r="L239" i="16" s="1"/>
  <c r="K14" i="157" s="1"/>
  <c r="D62" i="13"/>
  <c r="J135" i="202"/>
  <c r="O71" i="16"/>
  <c r="Q42" i="13"/>
  <c r="M63" i="16"/>
  <c r="O36" i="13"/>
  <c r="O52" i="16"/>
  <c r="C29" i="16"/>
  <c r="C32" i="16" s="1"/>
  <c r="C30" i="16"/>
  <c r="Q118" i="185"/>
  <c r="P119" i="185"/>
  <c r="P80" i="185" s="1"/>
  <c r="G25" i="207"/>
  <c r="Z123" i="185"/>
  <c r="Z117" i="185"/>
  <c r="AA132" i="185"/>
  <c r="S213" i="16"/>
  <c r="S209" i="16"/>
  <c r="S212" i="16"/>
  <c r="S208" i="16"/>
  <c r="S207" i="16"/>
  <c r="S219" i="16"/>
  <c r="S214" i="16"/>
  <c r="S217" i="16"/>
  <c r="S211" i="16"/>
  <c r="S215" i="16"/>
  <c r="S218" i="16"/>
  <c r="S216" i="16"/>
  <c r="S210" i="16"/>
  <c r="R28" i="202"/>
  <c r="R91" i="202"/>
  <c r="R21" i="202"/>
  <c r="J34" i="219" s="1"/>
  <c r="R49" i="202"/>
  <c r="R24" i="202"/>
  <c r="J40" i="219" s="1"/>
  <c r="R70" i="202"/>
  <c r="R23" i="202"/>
  <c r="F253" i="16"/>
  <c r="F42" i="207"/>
  <c r="I11" i="202"/>
  <c r="P17" i="16"/>
  <c r="N66" i="16"/>
  <c r="P38" i="13"/>
  <c r="D75" i="13"/>
  <c r="D76" i="13" s="1"/>
  <c r="C31" i="14"/>
  <c r="N7" i="207"/>
  <c r="R25" i="16"/>
  <c r="W241" i="164"/>
  <c r="J41" i="207"/>
  <c r="M9" i="202"/>
  <c r="Y9" i="175"/>
  <c r="X20" i="175"/>
  <c r="X163" i="175" s="1"/>
  <c r="Q27" i="16"/>
  <c r="K208" i="172"/>
  <c r="K209" i="172" s="1"/>
  <c r="X125" i="185"/>
  <c r="X75" i="185" s="1"/>
  <c r="O43" i="13"/>
  <c r="N69" i="16"/>
  <c r="C38" i="46"/>
  <c r="C39" i="46" s="1"/>
  <c r="M485" i="202"/>
  <c r="G74" i="13"/>
  <c r="H74" i="13" s="1"/>
  <c r="G41" i="207"/>
  <c r="J9" i="202"/>
  <c r="R15" i="16"/>
  <c r="P46" i="16"/>
  <c r="R24" i="13"/>
  <c r="G43" i="209"/>
  <c r="F9" i="207"/>
  <c r="Z88" i="28"/>
  <c r="V90" i="70"/>
  <c r="Q38" i="179"/>
  <c r="T78" i="20"/>
  <c r="S82" i="20"/>
  <c r="M6" i="207"/>
  <c r="O45" i="177"/>
  <c r="O46" i="177" s="1"/>
  <c r="O41" i="177"/>
  <c r="O42" i="177" s="1"/>
  <c r="F94" i="16"/>
  <c r="F98" i="16" s="1"/>
  <c r="R67" i="179"/>
  <c r="R68" i="179" s="1"/>
  <c r="R69" i="179" s="1"/>
  <c r="S63" i="179"/>
  <c r="S66" i="179" s="1"/>
  <c r="Y122" i="185"/>
  <c r="Y124" i="185" s="1"/>
  <c r="X9" i="185"/>
  <c r="N61" i="16"/>
  <c r="N496" i="202"/>
  <c r="N497" i="202" s="1"/>
  <c r="N510" i="202" s="1"/>
  <c r="O70" i="16"/>
  <c r="Q41" i="13"/>
  <c r="Q107" i="181"/>
  <c r="O47" i="92"/>
  <c r="Y87" i="28"/>
  <c r="U89" i="70"/>
  <c r="U91" i="70" s="1"/>
  <c r="U166" i="70" s="1"/>
  <c r="X89" i="28"/>
  <c r="X167" i="28" s="1"/>
  <c r="T12" i="13"/>
  <c r="T142" i="13" s="1"/>
  <c r="T13" i="13"/>
  <c r="T160" i="13" s="1"/>
  <c r="T189" i="13" s="1"/>
  <c r="T17" i="13"/>
  <c r="T161" i="13" s="1"/>
  <c r="T190" i="13" s="1"/>
  <c r="T16" i="13"/>
  <c r="T143" i="13" s="1"/>
  <c r="T20" i="13"/>
  <c r="W162" i="175"/>
  <c r="W174" i="175"/>
  <c r="R89" i="157"/>
  <c r="N68" i="209" s="1"/>
  <c r="R90" i="157"/>
  <c r="P494" i="202"/>
  <c r="G89" i="16"/>
  <c r="AA138" i="185"/>
  <c r="Z23" i="185"/>
  <c r="U264" i="16"/>
  <c r="Q53" i="207" s="1"/>
  <c r="V232" i="16"/>
  <c r="K54" i="16"/>
  <c r="K55" i="16" s="1"/>
  <c r="O52" i="181"/>
  <c r="K73" i="16"/>
  <c r="K74" i="16" s="1"/>
  <c r="Z122" i="185"/>
  <c r="Y9" i="185"/>
  <c r="N48" i="16"/>
  <c r="P26" i="13"/>
  <c r="K117" i="202"/>
  <c r="O420" i="202"/>
  <c r="C32" i="45"/>
  <c r="P420" i="202"/>
  <c r="P38" i="179"/>
  <c r="M62" i="16"/>
  <c r="N34" i="16"/>
  <c r="N239" i="16" s="1"/>
  <c r="M14" i="157" s="1"/>
  <c r="K239" i="16"/>
  <c r="V26" i="175"/>
  <c r="R14" i="16"/>
  <c r="P28" i="16"/>
  <c r="P29" i="16" s="1"/>
  <c r="P30" i="16" s="1"/>
  <c r="L93" i="16"/>
  <c r="O19" i="177"/>
  <c r="O25" i="177" s="1"/>
  <c r="AA144" i="185"/>
  <c r="Z30" i="185"/>
  <c r="Q492" i="202"/>
  <c r="Q493" i="202" s="1"/>
  <c r="U108" i="70"/>
  <c r="X119" i="28"/>
  <c r="X169" i="28" s="1"/>
  <c r="S73" i="157" s="1"/>
  <c r="L64" i="157"/>
  <c r="N11" i="70"/>
  <c r="O25" i="203"/>
  <c r="O17" i="203" s="1"/>
  <c r="J97" i="16"/>
  <c r="D63" i="13"/>
  <c r="M65" i="16"/>
  <c r="O37" i="13"/>
  <c r="C41" i="46"/>
  <c r="C37" i="35"/>
  <c r="O83" i="185"/>
  <c r="O84" i="185" s="1"/>
  <c r="O14" i="185"/>
  <c r="O16" i="185" s="1"/>
  <c r="P13" i="185" s="1"/>
  <c r="P3" i="207"/>
  <c r="R6" i="195"/>
  <c r="O7" i="209"/>
  <c r="O40" i="209" s="1"/>
  <c r="S7" i="176"/>
  <c r="S7" i="202"/>
  <c r="U6" i="70"/>
  <c r="S7" i="157"/>
  <c r="X6" i="175"/>
  <c r="T6" i="30"/>
  <c r="Q7" i="179"/>
  <c r="S7" i="181"/>
  <c r="X6" i="28"/>
  <c r="Q7" i="186"/>
  <c r="U7" i="164"/>
  <c r="U14" i="164" s="1"/>
  <c r="V8" i="163"/>
  <c r="N6" i="177"/>
  <c r="R7" i="92"/>
  <c r="U7" i="13"/>
  <c r="S7" i="14"/>
  <c r="T8" i="16"/>
  <c r="V7" i="20"/>
  <c r="T6" i="180"/>
  <c r="I18" i="209"/>
  <c r="M19" i="181"/>
  <c r="M120" i="181" s="1"/>
  <c r="C33" i="45"/>
  <c r="W8" i="185"/>
  <c r="W10" i="185" s="1"/>
  <c r="X7" i="185" s="1"/>
  <c r="W78" i="185"/>
  <c r="C42" i="176" l="1"/>
  <c r="C162" i="70"/>
  <c r="C163" i="70" s="1"/>
  <c r="C164" i="70" s="1"/>
  <c r="C165" i="70" s="1"/>
  <c r="C166" i="70" s="1"/>
  <c r="C167" i="70" s="1"/>
  <c r="C168" i="70" s="1"/>
  <c r="C169" i="70" s="1"/>
  <c r="C170" i="70" s="1"/>
  <c r="V15" i="163"/>
  <c r="V20" i="163" s="1"/>
  <c r="V38" i="163" s="1"/>
  <c r="V17" i="163"/>
  <c r="V22" i="163" s="1"/>
  <c r="V40" i="163" s="1"/>
  <c r="V16" i="163"/>
  <c r="V21" i="163" s="1"/>
  <c r="V39" i="163" s="1"/>
  <c r="O70" i="209" s="1"/>
  <c r="V12" i="163"/>
  <c r="V11" i="163"/>
  <c r="V10" i="163" s="1"/>
  <c r="T115" i="70"/>
  <c r="T168" i="70" s="1"/>
  <c r="T67" i="175"/>
  <c r="U60" i="175" s="1"/>
  <c r="U58" i="175"/>
  <c r="U54" i="175"/>
  <c r="U31" i="175"/>
  <c r="U45" i="175"/>
  <c r="N27" i="176"/>
  <c r="S168" i="175"/>
  <c r="U61" i="175"/>
  <c r="C215" i="202"/>
  <c r="C217" i="202" s="1"/>
  <c r="C218" i="202" s="1"/>
  <c r="C219" i="202" s="1"/>
  <c r="C220" i="202" s="1"/>
  <c r="C221" i="202" s="1"/>
  <c r="C222" i="202" s="1"/>
  <c r="C223" i="202" s="1"/>
  <c r="C224" i="202" s="1"/>
  <c r="C225" i="202" s="1"/>
  <c r="C226" i="202" s="1"/>
  <c r="C227" i="202" s="1"/>
  <c r="C228" i="202" s="1"/>
  <c r="C229" i="202" s="1"/>
  <c r="C230" i="202" s="1"/>
  <c r="C231" i="202" s="1"/>
  <c r="C232" i="202" s="1"/>
  <c r="C233" i="202" s="1"/>
  <c r="C235" i="202" s="1"/>
  <c r="C236" i="202" s="1"/>
  <c r="C264" i="202" s="1"/>
  <c r="E9" i="213"/>
  <c r="M63" i="13"/>
  <c r="N63" i="13" s="1"/>
  <c r="M62" i="13"/>
  <c r="N62" i="13" s="1"/>
  <c r="S144" i="13"/>
  <c r="N8" i="207" s="1"/>
  <c r="N191" i="13"/>
  <c r="F8" i="213" s="1"/>
  <c r="L9" i="202"/>
  <c r="L142" i="202" s="1"/>
  <c r="G6" i="213"/>
  <c r="Y9" i="28"/>
  <c r="V9" i="70" s="1"/>
  <c r="V92" i="172"/>
  <c r="U84" i="227"/>
  <c r="R140" i="70"/>
  <c r="R141" i="70"/>
  <c r="R123" i="70"/>
  <c r="R148" i="70"/>
  <c r="R150" i="70"/>
  <c r="R126" i="70"/>
  <c r="R154" i="70"/>
  <c r="R120" i="70"/>
  <c r="R139" i="70"/>
  <c r="R136" i="70"/>
  <c r="R130" i="70"/>
  <c r="R119" i="70"/>
  <c r="R144" i="70"/>
  <c r="R155" i="70"/>
  <c r="R138" i="70"/>
  <c r="R132" i="70"/>
  <c r="R143" i="70"/>
  <c r="R151" i="70"/>
  <c r="R152" i="70"/>
  <c r="R124" i="70"/>
  <c r="R127" i="70"/>
  <c r="R147" i="70"/>
  <c r="R133" i="70"/>
  <c r="R146" i="70"/>
  <c r="R137" i="70"/>
  <c r="K53" i="209"/>
  <c r="O43" i="181"/>
  <c r="R129" i="70"/>
  <c r="R131" i="70"/>
  <c r="R118" i="70"/>
  <c r="U159" i="28"/>
  <c r="V149" i="28" s="1"/>
  <c r="R149" i="70"/>
  <c r="R135" i="70"/>
  <c r="R142" i="70"/>
  <c r="R145" i="70"/>
  <c r="R128" i="70"/>
  <c r="R134" i="70"/>
  <c r="R153" i="70"/>
  <c r="R125" i="70"/>
  <c r="R121" i="70"/>
  <c r="Y108" i="28"/>
  <c r="Y106" i="28"/>
  <c r="Y109" i="28"/>
  <c r="Y117" i="28"/>
  <c r="Y113" i="28"/>
  <c r="U109" i="70"/>
  <c r="Y116" i="28"/>
  <c r="Y115" i="28"/>
  <c r="U111" i="70"/>
  <c r="Y107" i="28"/>
  <c r="Y104" i="28"/>
  <c r="Y111" i="28"/>
  <c r="Y112" i="28"/>
  <c r="Y114" i="28"/>
  <c r="U110" i="70"/>
  <c r="Y105" i="28"/>
  <c r="Y110" i="28"/>
  <c r="Y118" i="28"/>
  <c r="U114" i="70"/>
  <c r="U102" i="28"/>
  <c r="V97" i="28" s="1"/>
  <c r="R94" i="70"/>
  <c r="R102" i="70"/>
  <c r="R95" i="70"/>
  <c r="R97" i="70"/>
  <c r="K51" i="209"/>
  <c r="O41" i="181"/>
  <c r="R104" i="70"/>
  <c r="R100" i="70"/>
  <c r="R101" i="70"/>
  <c r="R98" i="70"/>
  <c r="R99" i="70"/>
  <c r="R70" i="70"/>
  <c r="R81" i="70"/>
  <c r="R73" i="70"/>
  <c r="O40" i="181"/>
  <c r="K50" i="209"/>
  <c r="R74" i="70"/>
  <c r="R84" i="70"/>
  <c r="R75" i="70"/>
  <c r="U83" i="28"/>
  <c r="V75" i="28" s="1"/>
  <c r="R67" i="70"/>
  <c r="R83" i="70"/>
  <c r="R69" i="70"/>
  <c r="R85" i="70"/>
  <c r="R78" i="70"/>
  <c r="R68" i="70"/>
  <c r="R71" i="70"/>
  <c r="R77" i="70"/>
  <c r="R82" i="70"/>
  <c r="R79" i="70"/>
  <c r="Q59" i="70"/>
  <c r="P64" i="70"/>
  <c r="P164" i="70" s="1"/>
  <c r="Q60" i="70"/>
  <c r="T62" i="28"/>
  <c r="T165" i="28" s="1"/>
  <c r="O70" i="157" s="1"/>
  <c r="O39" i="181" s="1"/>
  <c r="Q63" i="70"/>
  <c r="Q61" i="70"/>
  <c r="U60" i="28"/>
  <c r="Q62" i="70"/>
  <c r="Q51" i="70"/>
  <c r="Q57" i="70"/>
  <c r="Q56" i="70"/>
  <c r="Q53" i="70"/>
  <c r="Q52" i="70"/>
  <c r="U52" i="28"/>
  <c r="Q54" i="70"/>
  <c r="Q55" i="70"/>
  <c r="S46" i="70"/>
  <c r="W46" i="28"/>
  <c r="S47" i="70"/>
  <c r="S30" i="70"/>
  <c r="W25" i="28"/>
  <c r="S26" i="70"/>
  <c r="V47" i="28"/>
  <c r="V164" i="28" s="1"/>
  <c r="Q69" i="157" s="1"/>
  <c r="S38" i="70"/>
  <c r="W42" i="28"/>
  <c r="S43" i="70"/>
  <c r="S34" i="70"/>
  <c r="S31" i="70"/>
  <c r="S32" i="70"/>
  <c r="W41" i="28"/>
  <c r="S42" i="70"/>
  <c r="S27" i="70"/>
  <c r="W38" i="28"/>
  <c r="S39" i="70"/>
  <c r="S40" i="70"/>
  <c r="W27" i="28"/>
  <c r="S28" i="70"/>
  <c r="S36" i="70"/>
  <c r="S37" i="70"/>
  <c r="S35" i="70"/>
  <c r="W40" i="28"/>
  <c r="S41" i="70"/>
  <c r="S45" i="70"/>
  <c r="W43" i="28"/>
  <c r="S44" i="70"/>
  <c r="S33" i="70"/>
  <c r="W28" i="28"/>
  <c r="S29" i="70"/>
  <c r="L48" i="209"/>
  <c r="P38" i="181"/>
  <c r="W159" i="175"/>
  <c r="X158" i="175" s="1"/>
  <c r="W22" i="175"/>
  <c r="W24" i="175"/>
  <c r="W25" i="175"/>
  <c r="W23" i="175"/>
  <c r="L55" i="16"/>
  <c r="S31" i="179"/>
  <c r="Z19" i="175"/>
  <c r="V112" i="70"/>
  <c r="P43" i="16"/>
  <c r="M53" i="16"/>
  <c r="M54" i="16" s="1"/>
  <c r="M55" i="16" s="1"/>
  <c r="O44" i="16"/>
  <c r="T33" i="13"/>
  <c r="S59" i="16" s="1"/>
  <c r="N26" i="157"/>
  <c r="N20" i="157" s="1"/>
  <c r="H12" i="209"/>
  <c r="N30" i="157"/>
  <c r="J28" i="209" s="1"/>
  <c r="N31" i="157"/>
  <c r="J29" i="209" s="1"/>
  <c r="N27" i="157"/>
  <c r="J25" i="209" s="1"/>
  <c r="N28" i="157"/>
  <c r="J26" i="209" s="1"/>
  <c r="K104" i="16"/>
  <c r="I41" i="207"/>
  <c r="R58" i="70"/>
  <c r="S100" i="179"/>
  <c r="D5" i="219"/>
  <c r="D19" i="219" s="1"/>
  <c r="V228" i="16"/>
  <c r="U263" i="16"/>
  <c r="Q52" i="207" s="1"/>
  <c r="U160" i="70"/>
  <c r="R28" i="181"/>
  <c r="R98" i="181"/>
  <c r="J3" i="219"/>
  <c r="M104" i="16"/>
  <c r="R16" i="16"/>
  <c r="R17" i="16" s="1"/>
  <c r="R18" i="16" s="1"/>
  <c r="R19" i="16" s="1"/>
  <c r="C33" i="16"/>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C96" i="16" s="1"/>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C121" i="16" s="1"/>
  <c r="C122" i="16" s="1"/>
  <c r="C123" i="16" s="1"/>
  <c r="C124" i="16" s="1"/>
  <c r="C125" i="16" s="1"/>
  <c r="C126" i="16" s="1"/>
  <c r="C127" i="16" s="1"/>
  <c r="C128" i="16" s="1"/>
  <c r="C129" i="16" s="1"/>
  <c r="C130" i="16" s="1"/>
  <c r="C131" i="16" s="1"/>
  <c r="C132" i="16" s="1"/>
  <c r="C133" i="16" s="1"/>
  <c r="C134" i="16" s="1"/>
  <c r="C135" i="16" s="1"/>
  <c r="C136" i="16" s="1"/>
  <c r="C137" i="16" s="1"/>
  <c r="C138" i="16" s="1"/>
  <c r="C139" i="16" s="1"/>
  <c r="C140" i="16" s="1"/>
  <c r="C141" i="16" s="1"/>
  <c r="C142" i="16" s="1"/>
  <c r="C143" i="16" s="1"/>
  <c r="C144" i="16" s="1"/>
  <c r="C145" i="16" s="1"/>
  <c r="C146" i="16" s="1"/>
  <c r="C147" i="16" s="1"/>
  <c r="C148" i="16" s="1"/>
  <c r="C149" i="16" s="1"/>
  <c r="C150" i="16" s="1"/>
  <c r="C151" i="16" s="1"/>
  <c r="C152" i="16" s="1"/>
  <c r="C153" i="16" s="1"/>
  <c r="C154" i="16" s="1"/>
  <c r="C155" i="16" s="1"/>
  <c r="C156" i="16" s="1"/>
  <c r="C157" i="16" s="1"/>
  <c r="C158" i="16" s="1"/>
  <c r="C159" i="16" s="1"/>
  <c r="C160" i="16" s="1"/>
  <c r="C161" i="16" s="1"/>
  <c r="C162" i="16" s="1"/>
  <c r="C163" i="16" s="1"/>
  <c r="C164" i="16" s="1"/>
  <c r="C165" i="16" s="1"/>
  <c r="C166" i="16" s="1"/>
  <c r="C167" i="16" s="1"/>
  <c r="C168" i="16" s="1"/>
  <c r="C169" i="16" s="1"/>
  <c r="C170" i="16" s="1"/>
  <c r="C171" i="16" s="1"/>
  <c r="C172" i="16" s="1"/>
  <c r="C173" i="16" s="1"/>
  <c r="C174" i="16" s="1"/>
  <c r="C175" i="16" s="1"/>
  <c r="C176" i="16" s="1"/>
  <c r="C177" i="16" s="1"/>
  <c r="C178" i="16" s="1"/>
  <c r="C179" i="16" s="1"/>
  <c r="C180" i="16" s="1"/>
  <c r="C181" i="16" s="1"/>
  <c r="C182" i="16" s="1"/>
  <c r="C183" i="16" s="1"/>
  <c r="C184" i="16" s="1"/>
  <c r="C185" i="16" s="1"/>
  <c r="C186" i="16" s="1"/>
  <c r="C187" i="16" s="1"/>
  <c r="C188" i="16" s="1"/>
  <c r="C189" i="16" s="1"/>
  <c r="C190" i="16" s="1"/>
  <c r="C191" i="16" s="1"/>
  <c r="C192" i="16" s="1"/>
  <c r="C193" i="16" s="1"/>
  <c r="C194" i="16" s="1"/>
  <c r="C195" i="16" s="1"/>
  <c r="C196" i="16" s="1"/>
  <c r="C197" i="16" s="1"/>
  <c r="C198" i="16" s="1"/>
  <c r="C199" i="16" s="1"/>
  <c r="C200" i="16" s="1"/>
  <c r="C201" i="16" s="1"/>
  <c r="C202" i="16" s="1"/>
  <c r="C203" i="16" s="1"/>
  <c r="C204" i="16" s="1"/>
  <c r="C205" i="16" s="1"/>
  <c r="C206" i="16" s="1"/>
  <c r="C207" i="16" s="1"/>
  <c r="C208" i="16" s="1"/>
  <c r="C209" i="16" s="1"/>
  <c r="C210" i="16" s="1"/>
  <c r="C211" i="16" s="1"/>
  <c r="C212" i="16" s="1"/>
  <c r="C213" i="16" s="1"/>
  <c r="C214" i="16" s="1"/>
  <c r="C215" i="16" s="1"/>
  <c r="C216" i="16" s="1"/>
  <c r="C217" i="16" s="1"/>
  <c r="C218" i="16" s="1"/>
  <c r="C219" i="16" s="1"/>
  <c r="C220" i="16" s="1"/>
  <c r="C221" i="16" s="1"/>
  <c r="C222" i="16" s="1"/>
  <c r="C223" i="16" s="1"/>
  <c r="C224" i="16" s="1"/>
  <c r="C225" i="16" s="1"/>
  <c r="C226" i="16" s="1"/>
  <c r="C227" i="16" s="1"/>
  <c r="C228" i="16" s="1"/>
  <c r="C229" i="16" s="1"/>
  <c r="C230" i="16" s="1"/>
  <c r="C231" i="16" s="1"/>
  <c r="C232" i="16" s="1"/>
  <c r="C233" i="16" s="1"/>
  <c r="C234" i="16" s="1"/>
  <c r="C235" i="16" s="1"/>
  <c r="C239" i="16" s="1"/>
  <c r="C240" i="16" s="1"/>
  <c r="C241" i="16" s="1"/>
  <c r="C242" i="16" s="1"/>
  <c r="C244" i="16" s="1"/>
  <c r="C245" i="16" s="1"/>
  <c r="C246" i="16" s="1"/>
  <c r="C249" i="16" s="1"/>
  <c r="C250" i="16" s="1"/>
  <c r="C251" i="16" s="1"/>
  <c r="C252" i="16" s="1"/>
  <c r="C253" i="16" s="1"/>
  <c r="C254" i="16" s="1"/>
  <c r="C255" i="16" s="1"/>
  <c r="C256" i="16" s="1"/>
  <c r="C257" i="16" s="1"/>
  <c r="C258" i="16" s="1"/>
  <c r="C259" i="16" s="1"/>
  <c r="C260" i="16" s="1"/>
  <c r="C261" i="16" s="1"/>
  <c r="C262" i="16" s="1"/>
  <c r="C38" i="35"/>
  <c r="K49" i="209"/>
  <c r="C82" i="19"/>
  <c r="C83" i="19" s="1"/>
  <c r="C84" i="19" s="1"/>
  <c r="C85" i="19" s="1"/>
  <c r="C88" i="19" s="1"/>
  <c r="N63" i="202"/>
  <c r="M49" i="195" s="1"/>
  <c r="F48" i="219"/>
  <c r="E104" i="219"/>
  <c r="M66" i="202"/>
  <c r="L51" i="195" s="1"/>
  <c r="E54" i="219"/>
  <c r="E110" i="219" s="1"/>
  <c r="R65" i="181"/>
  <c r="N69" i="209"/>
  <c r="C45" i="103"/>
  <c r="E28" i="45"/>
  <c r="E32" i="44"/>
  <c r="CB12" i="44"/>
  <c r="CB21" i="44" s="1"/>
  <c r="CA21" i="44"/>
  <c r="Z15" i="175"/>
  <c r="Z13" i="175"/>
  <c r="Z16" i="175"/>
  <c r="Z17" i="175"/>
  <c r="Z10" i="175"/>
  <c r="Z11" i="175"/>
  <c r="Z14" i="175"/>
  <c r="Z18" i="175"/>
  <c r="Z12" i="175"/>
  <c r="U115" i="70"/>
  <c r="U168" i="70" s="1"/>
  <c r="W14" i="70"/>
  <c r="W19" i="70"/>
  <c r="P470" i="202"/>
  <c r="P471" i="202" s="1"/>
  <c r="P472" i="202" s="1"/>
  <c r="N436" i="202"/>
  <c r="N84" i="202" s="1"/>
  <c r="N105" i="202" s="1"/>
  <c r="M72" i="16"/>
  <c r="M73" i="16" s="1"/>
  <c r="M74" i="16" s="1"/>
  <c r="M252" i="16" s="1"/>
  <c r="L12" i="202" s="1"/>
  <c r="R27" i="16"/>
  <c r="R28" i="16" s="1"/>
  <c r="W21" i="70"/>
  <c r="W10" i="70"/>
  <c r="W15" i="70"/>
  <c r="W22" i="70"/>
  <c r="Z95" i="172"/>
  <c r="C39" i="36"/>
  <c r="C106" i="79"/>
  <c r="C108" i="79" s="1"/>
  <c r="C109" i="79" s="1"/>
  <c r="C110" i="79" s="1"/>
  <c r="C112" i="79" s="1"/>
  <c r="C113" i="79" s="1"/>
  <c r="C114" i="79" s="1"/>
  <c r="C115" i="79" s="1"/>
  <c r="C116" i="79" s="1"/>
  <c r="C117" i="79" s="1"/>
  <c r="C118" i="79" s="1"/>
  <c r="C119" i="79" s="1"/>
  <c r="L125" i="16"/>
  <c r="M146" i="13"/>
  <c r="H10" i="207" s="1"/>
  <c r="O44" i="202"/>
  <c r="O65" i="202" s="1"/>
  <c r="O486" i="202"/>
  <c r="O86" i="202" s="1"/>
  <c r="O107" i="202" s="1"/>
  <c r="C55" i="107"/>
  <c r="C56" i="107" s="1"/>
  <c r="C57" i="107" s="1"/>
  <c r="K211" i="172"/>
  <c r="L203" i="172"/>
  <c r="L207" i="172" s="1"/>
  <c r="S19" i="176"/>
  <c r="S27" i="181" s="1"/>
  <c r="N511" i="202"/>
  <c r="N87" i="202" s="1"/>
  <c r="N108" i="202" s="1"/>
  <c r="N45" i="202"/>
  <c r="K41" i="207"/>
  <c r="N9" i="202"/>
  <c r="N63" i="16"/>
  <c r="P36" i="13"/>
  <c r="C25" i="207"/>
  <c r="L86" i="16"/>
  <c r="N67" i="16"/>
  <c r="P39" i="13"/>
  <c r="P42" i="16"/>
  <c r="Z69" i="175"/>
  <c r="Y84" i="175"/>
  <c r="Y165" i="175" s="1"/>
  <c r="T28" i="176" s="1"/>
  <c r="T50" i="181" s="1"/>
  <c r="P45" i="177"/>
  <c r="P46" i="177" s="1"/>
  <c r="P41" i="177"/>
  <c r="P42" i="177" s="1"/>
  <c r="Q469" i="202"/>
  <c r="P19" i="177"/>
  <c r="P25" i="177" s="1"/>
  <c r="K83" i="16"/>
  <c r="K192" i="202"/>
  <c r="K193" i="202" s="1"/>
  <c r="U186" i="13"/>
  <c r="U12" i="13"/>
  <c r="U17" i="13"/>
  <c r="U13" i="13"/>
  <c r="U16" i="13"/>
  <c r="U20" i="13"/>
  <c r="R36" i="195"/>
  <c r="R61" i="195"/>
  <c r="R87" i="195"/>
  <c r="R74" i="195"/>
  <c r="M23" i="207"/>
  <c r="N65" i="16"/>
  <c r="P37" i="13"/>
  <c r="H43" i="209"/>
  <c r="O52" i="209"/>
  <c r="S42" i="181"/>
  <c r="M93" i="16"/>
  <c r="O53" i="13"/>
  <c r="J14" i="157"/>
  <c r="O421" i="202"/>
  <c r="O422" i="202" s="1"/>
  <c r="O48" i="16"/>
  <c r="Q26" i="13"/>
  <c r="Z9" i="185"/>
  <c r="AA122" i="185"/>
  <c r="O7" i="207"/>
  <c r="S25" i="16"/>
  <c r="Z87" i="28"/>
  <c r="V89" i="70"/>
  <c r="V91" i="70" s="1"/>
  <c r="V166" i="70" s="1"/>
  <c r="Y89" i="28"/>
  <c r="Y167" i="28" s="1"/>
  <c r="S107" i="181"/>
  <c r="Q47" i="92"/>
  <c r="C42" i="46"/>
  <c r="Z9" i="175"/>
  <c r="Y20" i="175"/>
  <c r="Y163" i="175" s="1"/>
  <c r="M142" i="202"/>
  <c r="D77" i="13"/>
  <c r="O66" i="16"/>
  <c r="Q38" i="13"/>
  <c r="R467" i="202"/>
  <c r="R492" i="202"/>
  <c r="R118" i="185"/>
  <c r="Q119" i="185"/>
  <c r="Q80" i="185" s="1"/>
  <c r="J29" i="202"/>
  <c r="J136" i="202"/>
  <c r="J71" i="202" s="1"/>
  <c r="G12" i="209"/>
  <c r="K14" i="181"/>
  <c r="Q17" i="16"/>
  <c r="Q18" i="16" s="1"/>
  <c r="Q19" i="16" s="1"/>
  <c r="N82" i="16"/>
  <c r="P46" i="13"/>
  <c r="O498" i="202"/>
  <c r="O510" i="202" s="1"/>
  <c r="M10" i="202"/>
  <c r="E31" i="219" s="1"/>
  <c r="M117" i="202"/>
  <c r="M118" i="202" s="1"/>
  <c r="Q419" i="202"/>
  <c r="Q420" i="202" s="1"/>
  <c r="Q421" i="202" s="1"/>
  <c r="C26" i="164"/>
  <c r="N50" i="16"/>
  <c r="N53" i="16" s="1"/>
  <c r="O30" i="13"/>
  <c r="O162" i="13" s="1"/>
  <c r="P421" i="202"/>
  <c r="P495" i="202"/>
  <c r="S90" i="157"/>
  <c r="S89" i="157"/>
  <c r="O68" i="209" s="1"/>
  <c r="D70" i="13"/>
  <c r="J107" i="16"/>
  <c r="K97" i="16"/>
  <c r="T39" i="176"/>
  <c r="T40" i="176" s="1"/>
  <c r="T54" i="181" s="1"/>
  <c r="O49" i="177"/>
  <c r="O26" i="177"/>
  <c r="R89" i="179" s="1"/>
  <c r="R90" i="179" s="1"/>
  <c r="P31" i="16"/>
  <c r="P32" i="16" s="1"/>
  <c r="P250" i="16" s="1"/>
  <c r="N62" i="16"/>
  <c r="K76" i="16"/>
  <c r="K251" i="16"/>
  <c r="V264" i="16"/>
  <c r="R53" i="207" s="1"/>
  <c r="R64" i="181"/>
  <c r="S14" i="16"/>
  <c r="P70" i="16"/>
  <c r="R41" i="13"/>
  <c r="S67" i="179"/>
  <c r="S68" i="179" s="1"/>
  <c r="S69" i="179" s="1"/>
  <c r="F99" i="16"/>
  <c r="F100" i="16" s="1"/>
  <c r="Q46" i="16"/>
  <c r="S24" i="13"/>
  <c r="J142" i="202"/>
  <c r="J143" i="202" s="1"/>
  <c r="H40" i="195"/>
  <c r="H41" i="195" s="1"/>
  <c r="J10" i="202"/>
  <c r="G125" i="16"/>
  <c r="H146" i="13"/>
  <c r="G146" i="13"/>
  <c r="F125" i="16"/>
  <c r="M44" i="202"/>
  <c r="M65" i="202" s="1"/>
  <c r="M486" i="202"/>
  <c r="M86" i="202" s="1"/>
  <c r="M107" i="202" s="1"/>
  <c r="C44" i="46"/>
  <c r="P43" i="13"/>
  <c r="O69" i="16"/>
  <c r="Z124" i="185"/>
  <c r="AA124" i="185" s="1"/>
  <c r="D81" i="13"/>
  <c r="C32" i="14"/>
  <c r="I167" i="202"/>
  <c r="I185" i="202" s="1"/>
  <c r="I32" i="202" s="1"/>
  <c r="I53" i="202" s="1"/>
  <c r="I95" i="202"/>
  <c r="P14" i="185"/>
  <c r="P16" i="185" s="1"/>
  <c r="Q13" i="185" s="1"/>
  <c r="P83" i="185"/>
  <c r="P84" i="185" s="1"/>
  <c r="P7" i="209"/>
  <c r="P40" i="209" s="1"/>
  <c r="T7" i="181"/>
  <c r="S6" i="195"/>
  <c r="T7" i="157"/>
  <c r="Y6" i="28"/>
  <c r="R7" i="186"/>
  <c r="Q3" i="207"/>
  <c r="V6" i="70"/>
  <c r="V160" i="70" s="1"/>
  <c r="U6" i="30"/>
  <c r="T7" i="202"/>
  <c r="T7" i="176"/>
  <c r="R7" i="179"/>
  <c r="Y6" i="175"/>
  <c r="W7" i="20"/>
  <c r="U6" i="180"/>
  <c r="O6" i="177"/>
  <c r="S7" i="92"/>
  <c r="V56" i="28" s="1"/>
  <c r="V7" i="164"/>
  <c r="V14" i="164" s="1"/>
  <c r="W8" i="163"/>
  <c r="T7" i="14"/>
  <c r="U8" i="16"/>
  <c r="V7" i="13"/>
  <c r="S70" i="202"/>
  <c r="S91" i="202"/>
  <c r="S23" i="202"/>
  <c r="S24" i="202"/>
  <c r="K40" i="219" s="1"/>
  <c r="S21" i="202"/>
  <c r="K34" i="219" s="1"/>
  <c r="S28" i="202"/>
  <c r="S49" i="202"/>
  <c r="Z15" i="185"/>
  <c r="AA116" i="185"/>
  <c r="Q30" i="176"/>
  <c r="V167" i="175"/>
  <c r="I12" i="209"/>
  <c r="M14" i="181"/>
  <c r="C39" i="35"/>
  <c r="K252" i="16"/>
  <c r="J12" i="202" s="1"/>
  <c r="AB138" i="185"/>
  <c r="AA23" i="185"/>
  <c r="S26" i="16"/>
  <c r="O24" i="207"/>
  <c r="P44" i="16"/>
  <c r="R23" i="13"/>
  <c r="W90" i="70"/>
  <c r="K125" i="16"/>
  <c r="L146" i="13"/>
  <c r="P18" i="16"/>
  <c r="P19" i="16" s="1"/>
  <c r="AA123" i="185"/>
  <c r="AB132" i="185"/>
  <c r="AA117" i="185"/>
  <c r="P52" i="16"/>
  <c r="R29" i="13"/>
  <c r="J96" i="16"/>
  <c r="J94" i="16" s="1"/>
  <c r="J98" i="16" s="1"/>
  <c r="H41" i="207"/>
  <c r="K9" i="202"/>
  <c r="P52" i="181"/>
  <c r="L117" i="202"/>
  <c r="L118" i="202" s="1"/>
  <c r="L76" i="16"/>
  <c r="L240" i="16" s="1"/>
  <c r="K15" i="157" s="1"/>
  <c r="L251" i="16"/>
  <c r="V113" i="70"/>
  <c r="M64" i="157"/>
  <c r="O11" i="70"/>
  <c r="L85" i="16"/>
  <c r="M50" i="13"/>
  <c r="O34" i="16"/>
  <c r="O239" i="16" s="1"/>
  <c r="N14" i="157" s="1"/>
  <c r="O249" i="16"/>
  <c r="T213" i="16"/>
  <c r="T209" i="16"/>
  <c r="T212" i="16"/>
  <c r="T208" i="16"/>
  <c r="T207" i="16"/>
  <c r="T219" i="16"/>
  <c r="T217" i="16"/>
  <c r="T214" i="16"/>
  <c r="T215" i="16"/>
  <c r="T211" i="16"/>
  <c r="T218" i="16"/>
  <c r="T216" i="16"/>
  <c r="T210" i="16"/>
  <c r="X177" i="28"/>
  <c r="X162" i="28"/>
  <c r="X162" i="175"/>
  <c r="X174" i="175"/>
  <c r="Y125" i="185"/>
  <c r="Y75" i="185" s="1"/>
  <c r="V108" i="70"/>
  <c r="Q494" i="202"/>
  <c r="Q495" i="202" s="1"/>
  <c r="AA30" i="185"/>
  <c r="AB144" i="185"/>
  <c r="N6" i="207"/>
  <c r="R107" i="181"/>
  <c r="P47" i="92"/>
  <c r="K118" i="202"/>
  <c r="K119" i="202" s="1"/>
  <c r="K135" i="202" s="1"/>
  <c r="G253" i="16"/>
  <c r="S40" i="16"/>
  <c r="S15" i="16"/>
  <c r="O61" i="16"/>
  <c r="U78" i="20"/>
  <c r="T82" i="20"/>
  <c r="J125" i="16"/>
  <c r="K146" i="13"/>
  <c r="X78" i="185"/>
  <c r="X8" i="185"/>
  <c r="X10" i="185" s="1"/>
  <c r="Y7" i="185" s="1"/>
  <c r="H25" i="207"/>
  <c r="Q28" i="16"/>
  <c r="Q29" i="16" s="1"/>
  <c r="C40" i="35"/>
  <c r="R417" i="202"/>
  <c r="R418" i="202" s="1"/>
  <c r="R419" i="202" s="1"/>
  <c r="R420" i="202" s="1"/>
  <c r="P71" i="16"/>
  <c r="R42" i="13"/>
  <c r="D69" i="13"/>
  <c r="N6" i="184"/>
  <c r="N10" i="184" s="1"/>
  <c r="M18" i="184"/>
  <c r="Z90" i="175"/>
  <c r="Y105" i="175"/>
  <c r="C139" i="34"/>
  <c r="C140" i="34" s="1"/>
  <c r="C141" i="34" s="1"/>
  <c r="C142" i="34" s="1"/>
  <c r="C143" i="34" s="1"/>
  <c r="C144" i="34" s="1"/>
  <c r="C145" i="34" s="1"/>
  <c r="C146" i="34" s="1"/>
  <c r="C147" i="34" s="1"/>
  <c r="C148" i="34" s="1"/>
  <c r="C149" i="34" s="1"/>
  <c r="C150" i="34" s="1"/>
  <c r="C152" i="34" s="1"/>
  <c r="C153" i="34" s="1"/>
  <c r="C154" i="34" s="1"/>
  <c r="C155" i="34" s="1"/>
  <c r="C156" i="34" s="1"/>
  <c r="C157" i="34" s="1"/>
  <c r="C158" i="34" s="1"/>
  <c r="C159" i="34" s="1"/>
  <c r="C160" i="34" s="1"/>
  <c r="C162" i="34" s="1"/>
  <c r="C190" i="34" s="1"/>
  <c r="C191" i="34" s="1"/>
  <c r="C192" i="34" s="1"/>
  <c r="C193" i="34" s="1"/>
  <c r="C194" i="34" s="1"/>
  <c r="C195" i="34" s="1"/>
  <c r="C196" i="34" s="1"/>
  <c r="C197" i="34" s="1"/>
  <c r="C198" i="34" s="1"/>
  <c r="C199" i="34" s="1"/>
  <c r="C200" i="34" s="1"/>
  <c r="C201" i="34" s="1"/>
  <c r="C202" i="34" s="1"/>
  <c r="C203" i="34" s="1"/>
  <c r="C205" i="34" s="1"/>
  <c r="C207" i="34" s="1"/>
  <c r="C208" i="34" s="1"/>
  <c r="C210" i="34" s="1"/>
  <c r="C211" i="34" s="1"/>
  <c r="C213" i="34" s="1"/>
  <c r="C214" i="34" s="1"/>
  <c r="C215" i="34" s="1"/>
  <c r="C216" i="34" s="1"/>
  <c r="C217" i="34" s="1"/>
  <c r="C218" i="34" s="1"/>
  <c r="C219" i="34" s="1"/>
  <c r="C221" i="34" s="1"/>
  <c r="C222" i="34" s="1"/>
  <c r="C223" i="34" s="1"/>
  <c r="C224" i="34" s="1"/>
  <c r="C225" i="34" s="1"/>
  <c r="C226" i="34" s="1"/>
  <c r="C228" i="34" s="1"/>
  <c r="C229" i="34" s="1"/>
  <c r="C230" i="34" s="1"/>
  <c r="C231" i="34" s="1"/>
  <c r="C232" i="34" s="1"/>
  <c r="C233" i="34" s="1"/>
  <c r="C234" i="34" s="1"/>
  <c r="C235" i="34" s="1"/>
  <c r="C236" i="34" s="1"/>
  <c r="C237" i="34" s="1"/>
  <c r="C238" i="34" s="1"/>
  <c r="C240" i="34" s="1"/>
  <c r="C241" i="34" s="1"/>
  <c r="C242" i="34" s="1"/>
  <c r="C243" i="34" s="1"/>
  <c r="C244" i="34" s="1"/>
  <c r="C245" i="34" s="1"/>
  <c r="C246" i="34" s="1"/>
  <c r="C248" i="34" s="1"/>
  <c r="C250" i="34" s="1"/>
  <c r="C258" i="34" s="1"/>
  <c r="C260" i="34" s="1"/>
  <c r="C261" i="34" s="1"/>
  <c r="C262" i="34" s="1"/>
  <c r="C263" i="34" s="1"/>
  <c r="C264" i="34" s="1"/>
  <c r="C265" i="34" s="1"/>
  <c r="C266" i="34" s="1"/>
  <c r="C267" i="34" s="1"/>
  <c r="C268" i="34" s="1"/>
  <c r="C269" i="34" s="1"/>
  <c r="C270" i="34" s="1"/>
  <c r="C271" i="34" s="1"/>
  <c r="C272" i="34" s="1"/>
  <c r="C273" i="34" s="1"/>
  <c r="C274" i="34" s="1"/>
  <c r="C275" i="34" s="1"/>
  <c r="C276" i="34" s="1"/>
  <c r="C277" i="34" s="1"/>
  <c r="C278" i="34" s="1"/>
  <c r="C279" i="34" s="1"/>
  <c r="C280" i="34" s="1"/>
  <c r="C281" i="34" s="1"/>
  <c r="C282" i="34" s="1"/>
  <c r="C283" i="34" s="1"/>
  <c r="C284" i="34" s="1"/>
  <c r="C285" i="34" s="1"/>
  <c r="C286" i="34" s="1"/>
  <c r="C287" i="34" s="1"/>
  <c r="C288" i="34" s="1"/>
  <c r="C289" i="34" s="1"/>
  <c r="C290" i="34" s="1"/>
  <c r="C291" i="34" s="1"/>
  <c r="C292" i="34" s="1"/>
  <c r="C293" i="34" s="1"/>
  <c r="C294" i="34" s="1"/>
  <c r="C295" i="34" s="1"/>
  <c r="C296" i="34" s="1"/>
  <c r="C297" i="34" s="1"/>
  <c r="C298" i="34" s="1"/>
  <c r="C299" i="34" s="1"/>
  <c r="C300" i="34" s="1"/>
  <c r="C301" i="34" s="1"/>
  <c r="C302" i="34" s="1"/>
  <c r="M56" i="176"/>
  <c r="M58" i="176" s="1"/>
  <c r="M33" i="176"/>
  <c r="M42" i="176" s="1"/>
  <c r="C34" i="45"/>
  <c r="O47" i="16"/>
  <c r="Q25" i="13"/>
  <c r="O51" i="16"/>
  <c r="Q28" i="13"/>
  <c r="G94" i="16"/>
  <c r="G98" i="16" s="1"/>
  <c r="L10" i="202" l="1"/>
  <c r="D31" i="219" s="1"/>
  <c r="X155" i="175"/>
  <c r="X123" i="175"/>
  <c r="W26" i="175"/>
  <c r="U51" i="28"/>
  <c r="U61" i="28"/>
  <c r="U36" i="175"/>
  <c r="U50" i="175"/>
  <c r="U46" i="175"/>
  <c r="U51" i="175"/>
  <c r="U28" i="175"/>
  <c r="U35" i="175"/>
  <c r="U63" i="175"/>
  <c r="U56" i="175"/>
  <c r="U42" i="175"/>
  <c r="U53" i="175"/>
  <c r="U39" i="175"/>
  <c r="U59" i="175"/>
  <c r="W36" i="28"/>
  <c r="W30" i="28"/>
  <c r="V79" i="28"/>
  <c r="V95" i="28"/>
  <c r="V92" i="28"/>
  <c r="U48" i="175"/>
  <c r="U64" i="175"/>
  <c r="U66" i="175"/>
  <c r="U41" i="175"/>
  <c r="U34" i="175"/>
  <c r="U32" i="175"/>
  <c r="U65" i="175"/>
  <c r="C44" i="176"/>
  <c r="C45" i="176" s="1"/>
  <c r="S48" i="70"/>
  <c r="S163" i="70" s="1"/>
  <c r="W15" i="163"/>
  <c r="W20" i="163" s="1"/>
  <c r="W17" i="163"/>
  <c r="W22" i="163" s="1"/>
  <c r="W40" i="163" s="1"/>
  <c r="W16" i="163"/>
  <c r="W21" i="163" s="1"/>
  <c r="W12" i="163"/>
  <c r="W11" i="163"/>
  <c r="W10" i="163" s="1"/>
  <c r="U58" i="28"/>
  <c r="V68" i="28"/>
  <c r="V66" i="28"/>
  <c r="W32" i="28"/>
  <c r="W44" i="28"/>
  <c r="W34" i="28"/>
  <c r="W35" i="28"/>
  <c r="W39" i="28"/>
  <c r="W26" i="28"/>
  <c r="W31" i="28"/>
  <c r="W33" i="28"/>
  <c r="W37" i="28"/>
  <c r="U55" i="28"/>
  <c r="X149" i="175"/>
  <c r="X148" i="175"/>
  <c r="U44" i="175"/>
  <c r="N49" i="181"/>
  <c r="N55" i="181" s="1"/>
  <c r="N31" i="176"/>
  <c r="N52" i="176" s="1"/>
  <c r="U37" i="175"/>
  <c r="U62" i="175"/>
  <c r="U55" i="175"/>
  <c r="U49" i="175"/>
  <c r="U38" i="175"/>
  <c r="U40" i="175"/>
  <c r="X125" i="175"/>
  <c r="U47" i="175"/>
  <c r="U33" i="175"/>
  <c r="T164" i="175"/>
  <c r="U30" i="175"/>
  <c r="U57" i="175"/>
  <c r="U43" i="175"/>
  <c r="U29" i="175"/>
  <c r="U52" i="175"/>
  <c r="C240" i="202"/>
  <c r="C242" i="202" s="1"/>
  <c r="C243" i="202" s="1"/>
  <c r="C244" i="202" s="1"/>
  <c r="C245" i="202" s="1"/>
  <c r="C246" i="202" s="1"/>
  <c r="C247" i="202" s="1"/>
  <c r="C248" i="202" s="1"/>
  <c r="C249" i="202" s="1"/>
  <c r="C250" i="202" s="1"/>
  <c r="C251" i="202" s="1"/>
  <c r="C252" i="202" s="1"/>
  <c r="C253" i="202" s="1"/>
  <c r="C254" i="202" s="1"/>
  <c r="C255" i="202" s="1"/>
  <c r="C256" i="202" s="1"/>
  <c r="C257" i="202" s="1"/>
  <c r="C258" i="202" s="1"/>
  <c r="C260" i="202" s="1"/>
  <c r="C261" i="202" s="1"/>
  <c r="M70" i="13"/>
  <c r="N70" i="13" s="1"/>
  <c r="M69" i="13"/>
  <c r="N69" i="13" s="1"/>
  <c r="O69" i="13" s="1"/>
  <c r="O191" i="13"/>
  <c r="H6" i="213"/>
  <c r="G7" i="213"/>
  <c r="H7" i="213" s="1"/>
  <c r="T144" i="13"/>
  <c r="X127" i="175"/>
  <c r="X147" i="175"/>
  <c r="X133" i="175"/>
  <c r="X130" i="175"/>
  <c r="Z9" i="28"/>
  <c r="W9" i="70" s="1"/>
  <c r="W92" i="172"/>
  <c r="V84" i="227"/>
  <c r="U170" i="28"/>
  <c r="P74" i="157" s="1"/>
  <c r="V125" i="28"/>
  <c r="V134" i="28"/>
  <c r="V150" i="28"/>
  <c r="V127" i="28"/>
  <c r="V154" i="28"/>
  <c r="V135" i="28"/>
  <c r="V158" i="28"/>
  <c r="V122" i="28"/>
  <c r="V139" i="28"/>
  <c r="V123" i="28"/>
  <c r="V129" i="28"/>
  <c r="V151" i="28"/>
  <c r="V144" i="28"/>
  <c r="V124" i="28"/>
  <c r="V156" i="28"/>
  <c r="V131" i="28"/>
  <c r="V145" i="28"/>
  <c r="V152" i="28"/>
  <c r="S146" i="70"/>
  <c r="V128" i="28"/>
  <c r="V137" i="28"/>
  <c r="V148" i="28"/>
  <c r="V138" i="28"/>
  <c r="R156" i="70"/>
  <c r="R169" i="70" s="1"/>
  <c r="V121" i="28"/>
  <c r="V132" i="28"/>
  <c r="V140" i="28"/>
  <c r="V136" i="28"/>
  <c r="V130" i="28"/>
  <c r="V155" i="28"/>
  <c r="V146" i="28"/>
  <c r="V141" i="28"/>
  <c r="V147" i="28"/>
  <c r="V133" i="28"/>
  <c r="V142" i="28"/>
  <c r="V157" i="28"/>
  <c r="V153" i="28"/>
  <c r="V126" i="28"/>
  <c r="V143" i="28"/>
  <c r="V114" i="70"/>
  <c r="V110" i="70"/>
  <c r="V111" i="70"/>
  <c r="Y119" i="28"/>
  <c r="Y169" i="28" s="1"/>
  <c r="T73" i="157" s="1"/>
  <c r="T42" i="181" s="1"/>
  <c r="V109" i="70"/>
  <c r="S98" i="70"/>
  <c r="S100" i="70"/>
  <c r="U168" i="28"/>
  <c r="P72" i="157" s="1"/>
  <c r="V100" i="28"/>
  <c r="V93" i="28"/>
  <c r="V96" i="28"/>
  <c r="V98" i="28"/>
  <c r="V101" i="28"/>
  <c r="V94" i="28"/>
  <c r="V99" i="28"/>
  <c r="R105" i="70"/>
  <c r="R167" i="70" s="1"/>
  <c r="S95" i="70"/>
  <c r="V91" i="28"/>
  <c r="S82" i="70"/>
  <c r="S78" i="70"/>
  <c r="S69" i="70"/>
  <c r="U166" i="28"/>
  <c r="P71" i="157" s="1"/>
  <c r="V69" i="28"/>
  <c r="V73" i="28"/>
  <c r="V77" i="28"/>
  <c r="V64" i="28"/>
  <c r="V81" i="28"/>
  <c r="V78" i="28"/>
  <c r="S71" i="70"/>
  <c r="V76" i="28"/>
  <c r="V74" i="28"/>
  <c r="V65" i="28"/>
  <c r="V82" i="28"/>
  <c r="V80" i="28"/>
  <c r="R86" i="70"/>
  <c r="R165" i="70" s="1"/>
  <c r="V72" i="28"/>
  <c r="V71" i="28"/>
  <c r="V70" i="28"/>
  <c r="V67" i="28"/>
  <c r="R60" i="70"/>
  <c r="R62" i="70"/>
  <c r="R63" i="70"/>
  <c r="Q64" i="70"/>
  <c r="Q164" i="70" s="1"/>
  <c r="U53" i="28"/>
  <c r="R55" i="70" s="1"/>
  <c r="U50" i="28"/>
  <c r="R52" i="70" s="1"/>
  <c r="U54" i="28"/>
  <c r="R56" i="70" s="1"/>
  <c r="U49" i="28"/>
  <c r="U59" i="28"/>
  <c r="U57" i="28"/>
  <c r="R54" i="70"/>
  <c r="R53" i="70"/>
  <c r="R57" i="70"/>
  <c r="T29" i="70"/>
  <c r="T41" i="70"/>
  <c r="T28" i="70"/>
  <c r="T39" i="70"/>
  <c r="T31" i="70"/>
  <c r="T43" i="70"/>
  <c r="T47" i="70"/>
  <c r="T33" i="70"/>
  <c r="T45" i="70"/>
  <c r="T35" i="70"/>
  <c r="T36" i="70"/>
  <c r="T40" i="70"/>
  <c r="T27" i="70"/>
  <c r="T32" i="70"/>
  <c r="T34" i="70"/>
  <c r="T38" i="70"/>
  <c r="T44" i="70"/>
  <c r="T37" i="70"/>
  <c r="T42" i="70"/>
  <c r="T26" i="70"/>
  <c r="Q38" i="181"/>
  <c r="M48" i="209"/>
  <c r="W29" i="28"/>
  <c r="W45" i="28"/>
  <c r="X128" i="175"/>
  <c r="X129" i="175"/>
  <c r="X122" i="175"/>
  <c r="X144" i="175"/>
  <c r="X121" i="175"/>
  <c r="X157" i="175"/>
  <c r="X132" i="175"/>
  <c r="X140" i="175"/>
  <c r="X150" i="175"/>
  <c r="X126" i="175"/>
  <c r="X131" i="175"/>
  <c r="X124" i="175"/>
  <c r="X156" i="175"/>
  <c r="X151" i="175"/>
  <c r="X154" i="175"/>
  <c r="X135" i="175"/>
  <c r="X146" i="175"/>
  <c r="X142" i="175"/>
  <c r="X134" i="175"/>
  <c r="X143" i="175"/>
  <c r="X136" i="175"/>
  <c r="X137" i="175"/>
  <c r="X145" i="175"/>
  <c r="X138" i="175"/>
  <c r="X120" i="175"/>
  <c r="X153" i="175"/>
  <c r="X152" i="175"/>
  <c r="X141" i="175"/>
  <c r="X139" i="175"/>
  <c r="W166" i="175"/>
  <c r="R29" i="176" s="1"/>
  <c r="R51" i="181" s="1"/>
  <c r="X23" i="175"/>
  <c r="X25" i="175"/>
  <c r="X24" i="175"/>
  <c r="X22" i="175"/>
  <c r="O8" i="207"/>
  <c r="U33" i="13"/>
  <c r="T59" i="16" s="1"/>
  <c r="O60" i="13"/>
  <c r="N104" i="16" s="1"/>
  <c r="O17" i="30"/>
  <c r="O19" i="30"/>
  <c r="W56" i="28"/>
  <c r="S58" i="70"/>
  <c r="J17" i="219"/>
  <c r="V263" i="16"/>
  <c r="R52" i="207" s="1"/>
  <c r="AA125" i="185"/>
  <c r="AA75" i="185" s="1"/>
  <c r="AA78" i="185" s="1"/>
  <c r="C264" i="16"/>
  <c r="Z125" i="185"/>
  <c r="Z75" i="185" s="1"/>
  <c r="E5" i="219"/>
  <c r="E19" i="219" s="1"/>
  <c r="S28" i="181"/>
  <c r="S98" i="181"/>
  <c r="C58" i="107"/>
  <c r="C60" i="107" s="1"/>
  <c r="K3" i="219"/>
  <c r="C263" i="16"/>
  <c r="N66" i="202"/>
  <c r="M51" i="195" s="1"/>
  <c r="F54" i="219"/>
  <c r="F110" i="219" s="1"/>
  <c r="F104" i="219"/>
  <c r="F118" i="219" s="1"/>
  <c r="E118" i="219"/>
  <c r="S65" i="181"/>
  <c r="O69" i="209"/>
  <c r="C47" i="103"/>
  <c r="E33" i="44"/>
  <c r="E29" i="45"/>
  <c r="N21" i="181"/>
  <c r="N87" i="181" s="1"/>
  <c r="J24" i="209"/>
  <c r="L83" i="16"/>
  <c r="L87" i="16" s="1"/>
  <c r="L88" i="16" s="1"/>
  <c r="P473" i="202"/>
  <c r="P474" i="202" s="1"/>
  <c r="N72" i="16"/>
  <c r="N73" i="16" s="1"/>
  <c r="N74" i="16" s="1"/>
  <c r="N252" i="16" s="1"/>
  <c r="M12" i="202" s="1"/>
  <c r="Q30" i="16"/>
  <c r="Q31" i="16" s="1"/>
  <c r="Q32" i="16" s="1"/>
  <c r="Q250" i="16" s="1"/>
  <c r="L119" i="202"/>
  <c r="L120" i="202" s="1"/>
  <c r="L135" i="202" s="1"/>
  <c r="R493" i="202"/>
  <c r="R494" i="202" s="1"/>
  <c r="R495" i="202" s="1"/>
  <c r="N33" i="157"/>
  <c r="J31" i="209" s="1"/>
  <c r="AA95" i="172"/>
  <c r="C40" i="36"/>
  <c r="C41" i="36" s="1"/>
  <c r="Q20" i="16"/>
  <c r="M76" i="16"/>
  <c r="M240" i="16" s="1"/>
  <c r="L15" i="157" s="1"/>
  <c r="M251" i="16"/>
  <c r="G8" i="213" s="1"/>
  <c r="K29" i="202"/>
  <c r="K136" i="202"/>
  <c r="K71" i="202" s="1"/>
  <c r="O45" i="202"/>
  <c r="O511" i="202"/>
  <c r="O87" i="202" s="1"/>
  <c r="O108" i="202" s="1"/>
  <c r="P20" i="16"/>
  <c r="P21" i="16" s="1"/>
  <c r="L41" i="207"/>
  <c r="O9" i="202"/>
  <c r="R20" i="16"/>
  <c r="R21" i="16" s="1"/>
  <c r="T19" i="176"/>
  <c r="T27" i="181" s="1"/>
  <c r="M119" i="202"/>
  <c r="M120" i="202" s="1"/>
  <c r="K130" i="16"/>
  <c r="Q52" i="16"/>
  <c r="S29" i="13"/>
  <c r="N19" i="181"/>
  <c r="N120" i="181" s="1"/>
  <c r="J18" i="209"/>
  <c r="G81" i="13"/>
  <c r="H81" i="13" s="1"/>
  <c r="R46" i="16"/>
  <c r="T24" i="13"/>
  <c r="J50" i="202"/>
  <c r="Q71" i="16"/>
  <c r="S42" i="13"/>
  <c r="P61" i="16"/>
  <c r="C35" i="45"/>
  <c r="Q496" i="202"/>
  <c r="Q497" i="202" s="1"/>
  <c r="Y8" i="185"/>
  <c r="Y10" i="185" s="1"/>
  <c r="Z7" i="185" s="1"/>
  <c r="Z10" i="185" s="1"/>
  <c r="AA7" i="185" s="1"/>
  <c r="AA10" i="185" s="1"/>
  <c r="AB7" i="185" s="1"/>
  <c r="Y78" i="185"/>
  <c r="K142" i="202"/>
  <c r="K143" i="202" s="1"/>
  <c r="K144" i="202" s="1"/>
  <c r="K10" i="202"/>
  <c r="C31" i="219" s="1"/>
  <c r="J99" i="16"/>
  <c r="AA8" i="185"/>
  <c r="G10" i="207"/>
  <c r="AC138" i="185"/>
  <c r="AB23" i="185"/>
  <c r="S492" i="202"/>
  <c r="S493" i="202" s="1"/>
  <c r="V186" i="13"/>
  <c r="V12" i="13"/>
  <c r="V13" i="13"/>
  <c r="V17" i="13"/>
  <c r="V16" i="13"/>
  <c r="V20" i="13"/>
  <c r="T28" i="202"/>
  <c r="T70" i="202"/>
  <c r="T24" i="202"/>
  <c r="L40" i="219" s="1"/>
  <c r="T49" i="202"/>
  <c r="T23" i="202"/>
  <c r="T21" i="202"/>
  <c r="L34" i="219" s="1"/>
  <c r="T91" i="202"/>
  <c r="Z8" i="185"/>
  <c r="Z78" i="185"/>
  <c r="J160" i="202"/>
  <c r="S16" i="16"/>
  <c r="Q43" i="16"/>
  <c r="C41" i="35"/>
  <c r="C42" i="35" s="1"/>
  <c r="C43" i="35" s="1"/>
  <c r="S27" i="16"/>
  <c r="J14" i="181"/>
  <c r="F12" i="209"/>
  <c r="T40" i="16"/>
  <c r="T26" i="16"/>
  <c r="U161" i="13"/>
  <c r="U190" i="13" s="1"/>
  <c r="P24" i="207" s="1"/>
  <c r="K194" i="202"/>
  <c r="K210" i="202" s="1"/>
  <c r="K114" i="16"/>
  <c r="L145" i="13"/>
  <c r="Q42" i="16"/>
  <c r="Q422" i="202"/>
  <c r="G99" i="16"/>
  <c r="G100" i="16" s="1"/>
  <c r="P47" i="16"/>
  <c r="R25" i="13"/>
  <c r="Z105" i="175"/>
  <c r="J106" i="16"/>
  <c r="J108" i="16" s="1"/>
  <c r="F10" i="207"/>
  <c r="W167" i="175"/>
  <c r="R30" i="176"/>
  <c r="AA15" i="185"/>
  <c r="AB116" i="185"/>
  <c r="N50" i="13"/>
  <c r="M85" i="16"/>
  <c r="O48" i="13"/>
  <c r="AB117" i="185"/>
  <c r="AB123" i="185"/>
  <c r="AC132" i="185"/>
  <c r="AA9" i="185"/>
  <c r="AB122" i="185"/>
  <c r="AB124" i="185" s="1"/>
  <c r="S417" i="202"/>
  <c r="S418" i="202" s="1"/>
  <c r="S419" i="202" s="1"/>
  <c r="S74" i="195"/>
  <c r="S87" i="195"/>
  <c r="S61" i="195"/>
  <c r="S36" i="195"/>
  <c r="P69" i="16"/>
  <c r="Q43" i="13"/>
  <c r="C27" i="164"/>
  <c r="C28" i="164" s="1"/>
  <c r="C29" i="164" s="1"/>
  <c r="C30" i="164" s="1"/>
  <c r="C31" i="164" s="1"/>
  <c r="C32" i="164" s="1"/>
  <c r="C33" i="164" s="1"/>
  <c r="C34" i="164" s="1"/>
  <c r="C35" i="164" s="1"/>
  <c r="C36" i="164" s="1"/>
  <c r="C37" i="164" s="1"/>
  <c r="C38" i="164" s="1"/>
  <c r="C39" i="164" s="1"/>
  <c r="C40" i="164" s="1"/>
  <c r="C41" i="164" s="1"/>
  <c r="C42" i="164" s="1"/>
  <c r="C43" i="164" s="1"/>
  <c r="C44" i="164" s="1"/>
  <c r="C45" i="164" s="1"/>
  <c r="C46" i="164" s="1"/>
  <c r="C47" i="164" s="1"/>
  <c r="C48" i="164" s="1"/>
  <c r="C49" i="164" s="1"/>
  <c r="C50" i="164" s="1"/>
  <c r="C51" i="164" s="1"/>
  <c r="C52" i="164" s="1"/>
  <c r="C53" i="164" s="1"/>
  <c r="C54" i="164" s="1"/>
  <c r="C55" i="164" s="1"/>
  <c r="C56" i="164" s="1"/>
  <c r="C57" i="164" s="1"/>
  <c r="C58" i="164" s="1"/>
  <c r="C59" i="164" s="1"/>
  <c r="C60" i="164" s="1"/>
  <c r="C61" i="164" s="1"/>
  <c r="C62" i="164" s="1"/>
  <c r="C63" i="164" s="1"/>
  <c r="C64" i="164" s="1"/>
  <c r="C65" i="164" s="1"/>
  <c r="C66" i="164" s="1"/>
  <c r="C67" i="164" s="1"/>
  <c r="C68" i="164" s="1"/>
  <c r="C69" i="164" s="1"/>
  <c r="C70" i="164" s="1"/>
  <c r="C71" i="164" s="1"/>
  <c r="C72" i="164" s="1"/>
  <c r="C73" i="164" s="1"/>
  <c r="C74" i="164" s="1"/>
  <c r="C75" i="164" s="1"/>
  <c r="C76" i="164" s="1"/>
  <c r="C77" i="164" s="1"/>
  <c r="C78" i="164" s="1"/>
  <c r="C79" i="164" s="1"/>
  <c r="C80" i="164" s="1"/>
  <c r="C81" i="164" s="1"/>
  <c r="C82" i="164" s="1"/>
  <c r="C83" i="164" s="1"/>
  <c r="C84" i="164" s="1"/>
  <c r="C85" i="164" s="1"/>
  <c r="C86" i="164" s="1"/>
  <c r="C87" i="164" s="1"/>
  <c r="C88" i="164" s="1"/>
  <c r="C89" i="164" s="1"/>
  <c r="C90" i="164" s="1"/>
  <c r="C91" i="164" s="1"/>
  <c r="C92" i="164" s="1"/>
  <c r="C93" i="164" s="1"/>
  <c r="C94" i="164" s="1"/>
  <c r="C95" i="164" s="1"/>
  <c r="C96" i="164" s="1"/>
  <c r="C97" i="164" s="1"/>
  <c r="C98" i="164" s="1"/>
  <c r="C99" i="164" s="1"/>
  <c r="C100" i="164" s="1"/>
  <c r="C101" i="164" s="1"/>
  <c r="C102" i="164" s="1"/>
  <c r="C103" i="164" s="1"/>
  <c r="C104" i="164" s="1"/>
  <c r="C105" i="164" s="1"/>
  <c r="C106" i="164" s="1"/>
  <c r="C107" i="164" s="1"/>
  <c r="C108" i="164" s="1"/>
  <c r="C109" i="164" s="1"/>
  <c r="C110" i="164" s="1"/>
  <c r="C111" i="164" s="1"/>
  <c r="C112" i="164" s="1"/>
  <c r="C113" i="164" s="1"/>
  <c r="C114" i="164" s="1"/>
  <c r="C115" i="164" s="1"/>
  <c r="C116" i="164" s="1"/>
  <c r="C117" i="164" s="1"/>
  <c r="C118" i="164" s="1"/>
  <c r="C119" i="164" s="1"/>
  <c r="C120" i="164" s="1"/>
  <c r="C121" i="164" s="1"/>
  <c r="C122" i="164" s="1"/>
  <c r="C123" i="164" s="1"/>
  <c r="C124" i="164" s="1"/>
  <c r="C125" i="164" s="1"/>
  <c r="C126" i="164" s="1"/>
  <c r="C127" i="164" s="1"/>
  <c r="C128" i="164" s="1"/>
  <c r="C129" i="164" s="1"/>
  <c r="C130" i="164" s="1"/>
  <c r="C131" i="164" s="1"/>
  <c r="C132" i="164" s="1"/>
  <c r="C133" i="164" s="1"/>
  <c r="C134" i="164" s="1"/>
  <c r="C135" i="164" s="1"/>
  <c r="C136" i="164" s="1"/>
  <c r="C137" i="164" s="1"/>
  <c r="C138" i="164" s="1"/>
  <c r="C139" i="164" s="1"/>
  <c r="C140" i="164" s="1"/>
  <c r="C141" i="164" s="1"/>
  <c r="C142" i="164" s="1"/>
  <c r="C143" i="164" s="1"/>
  <c r="C144" i="164" s="1"/>
  <c r="C145" i="164" s="1"/>
  <c r="C146" i="164" s="1"/>
  <c r="C147" i="164" s="1"/>
  <c r="C148" i="164" s="1"/>
  <c r="C149" i="164" s="1"/>
  <c r="C150" i="164" s="1"/>
  <c r="C151" i="164" s="1"/>
  <c r="C152" i="164" s="1"/>
  <c r="C153" i="164" s="1"/>
  <c r="C154" i="164" s="1"/>
  <c r="C155" i="164" s="1"/>
  <c r="C156" i="164" s="1"/>
  <c r="C157" i="164" s="1"/>
  <c r="C158" i="164" s="1"/>
  <c r="C159" i="164" s="1"/>
  <c r="C160" i="164" s="1"/>
  <c r="C161" i="164" s="1"/>
  <c r="C162" i="164" s="1"/>
  <c r="C163" i="164" s="1"/>
  <c r="C164" i="164" s="1"/>
  <c r="C165" i="164" s="1"/>
  <c r="C166" i="164" s="1"/>
  <c r="C167" i="164" s="1"/>
  <c r="C168" i="164" s="1"/>
  <c r="C169" i="164" s="1"/>
  <c r="C170" i="164" s="1"/>
  <c r="C171" i="164" s="1"/>
  <c r="C172" i="164" s="1"/>
  <c r="C173" i="164" s="1"/>
  <c r="C174" i="164" s="1"/>
  <c r="C175" i="164" s="1"/>
  <c r="C176" i="164" s="1"/>
  <c r="C177" i="164" s="1"/>
  <c r="C178" i="164" s="1"/>
  <c r="C179" i="164" s="1"/>
  <c r="C180" i="164" s="1"/>
  <c r="C181" i="164" s="1"/>
  <c r="C182" i="164" s="1"/>
  <c r="C183" i="164" s="1"/>
  <c r="C184" i="164" s="1"/>
  <c r="C185" i="164" s="1"/>
  <c r="C186" i="164" s="1"/>
  <c r="C187" i="164" s="1"/>
  <c r="C188" i="164" s="1"/>
  <c r="C189" i="164" s="1"/>
  <c r="C190" i="164" s="1"/>
  <c r="C191" i="164" s="1"/>
  <c r="C192" i="164" s="1"/>
  <c r="C193" i="164" s="1"/>
  <c r="C194" i="164" s="1"/>
  <c r="C195" i="164" s="1"/>
  <c r="C196" i="164" s="1"/>
  <c r="C197" i="164" s="1"/>
  <c r="C198" i="164" s="1"/>
  <c r="C199" i="164" s="1"/>
  <c r="C200" i="164" s="1"/>
  <c r="C201" i="164" s="1"/>
  <c r="C202" i="164" s="1"/>
  <c r="C203" i="164" s="1"/>
  <c r="C204" i="164" s="1"/>
  <c r="C205" i="164" s="1"/>
  <c r="C206" i="164" s="1"/>
  <c r="C207" i="164" s="1"/>
  <c r="C208" i="164" s="1"/>
  <c r="C209" i="164" s="1"/>
  <c r="C210" i="164" s="1"/>
  <c r="C211" i="164" s="1"/>
  <c r="C212" i="164" s="1"/>
  <c r="C213" i="164" s="1"/>
  <c r="C214" i="164" s="1"/>
  <c r="C215" i="164" s="1"/>
  <c r="C216" i="164" s="1"/>
  <c r="C217" i="164" s="1"/>
  <c r="C218" i="164" s="1"/>
  <c r="C219" i="164" s="1"/>
  <c r="C220" i="164" s="1"/>
  <c r="C221" i="164" s="1"/>
  <c r="C222" i="164" s="1"/>
  <c r="C223" i="164" s="1"/>
  <c r="C224" i="164" s="1"/>
  <c r="C225" i="164" s="1"/>
  <c r="C226" i="164" s="1"/>
  <c r="C227" i="164" s="1"/>
  <c r="C228" i="164" s="1"/>
  <c r="C229" i="164" s="1"/>
  <c r="C230" i="164" s="1"/>
  <c r="C231" i="164" s="1"/>
  <c r="C232" i="164" s="1"/>
  <c r="C233" i="164" s="1"/>
  <c r="C234" i="164" s="1"/>
  <c r="C235" i="164" s="1"/>
  <c r="C236" i="164" s="1"/>
  <c r="C237" i="164" s="1"/>
  <c r="C238" i="164" s="1"/>
  <c r="C239" i="164" s="1"/>
  <c r="C240" i="164" s="1"/>
  <c r="C241" i="164" s="1"/>
  <c r="C242" i="164" s="1"/>
  <c r="C243" i="164" s="1"/>
  <c r="C244" i="164" s="1"/>
  <c r="S118" i="185"/>
  <c r="R119" i="185"/>
  <c r="R80" i="185" s="1"/>
  <c r="J130" i="16"/>
  <c r="W89" i="70"/>
  <c r="W91" i="70" s="1"/>
  <c r="W166" i="70" s="1"/>
  <c r="Z89" i="28"/>
  <c r="Z167" i="28" s="1"/>
  <c r="O423" i="202"/>
  <c r="O435" i="202" s="1"/>
  <c r="U160" i="13"/>
  <c r="T15" i="16"/>
  <c r="Z84" i="175"/>
  <c r="Z165" i="175" s="1"/>
  <c r="U28" i="176" s="1"/>
  <c r="U50" i="181" s="1"/>
  <c r="O67" i="16"/>
  <c r="Q39" i="13"/>
  <c r="M86" i="16"/>
  <c r="O49" i="13"/>
  <c r="L208" i="172"/>
  <c r="L209" i="172" s="1"/>
  <c r="L192" i="202"/>
  <c r="I25" i="207"/>
  <c r="N18" i="184"/>
  <c r="O6" i="184"/>
  <c r="O10" i="184" s="1"/>
  <c r="R421" i="202"/>
  <c r="V78" i="20"/>
  <c r="U82" i="20"/>
  <c r="L97" i="16"/>
  <c r="K40" i="207"/>
  <c r="N8" i="202"/>
  <c r="I43" i="209"/>
  <c r="H42" i="207"/>
  <c r="K11" i="202"/>
  <c r="C33" i="219" s="1"/>
  <c r="R29" i="16"/>
  <c r="R30" i="16" s="1"/>
  <c r="Q52" i="181"/>
  <c r="S467" i="202"/>
  <c r="S468" i="202" s="1"/>
  <c r="U213" i="16"/>
  <c r="U209" i="16"/>
  <c r="U212" i="16"/>
  <c r="U208" i="16"/>
  <c r="U219" i="16"/>
  <c r="U207" i="16"/>
  <c r="U214" i="16"/>
  <c r="U217" i="16"/>
  <c r="U211" i="16"/>
  <c r="U215" i="16"/>
  <c r="U216" i="16"/>
  <c r="U218" i="16"/>
  <c r="U210" i="16"/>
  <c r="U7" i="202"/>
  <c r="U7" i="176"/>
  <c r="R3" i="207"/>
  <c r="T6" i="195"/>
  <c r="U7" i="157"/>
  <c r="Q7" i="209"/>
  <c r="Q40" i="209" s="1"/>
  <c r="S7" i="179"/>
  <c r="Z6" i="175"/>
  <c r="S7" i="186"/>
  <c r="U7" i="181"/>
  <c r="Z6" i="28"/>
  <c r="W6" i="70"/>
  <c r="W160" i="70" s="1"/>
  <c r="V6" i="30"/>
  <c r="P6" i="177"/>
  <c r="V8" i="16"/>
  <c r="V6" i="180"/>
  <c r="X8" i="163"/>
  <c r="X7" i="20"/>
  <c r="W7" i="164"/>
  <c r="W14" i="164" s="1"/>
  <c r="U7" i="14"/>
  <c r="W7" i="13"/>
  <c r="Y162" i="175"/>
  <c r="Y174" i="175"/>
  <c r="Y162" i="28"/>
  <c r="Y177" i="28"/>
  <c r="G127" i="16"/>
  <c r="G128" i="16"/>
  <c r="F254" i="16"/>
  <c r="O6" i="207"/>
  <c r="G42" i="207"/>
  <c r="J11" i="202"/>
  <c r="O82" i="16"/>
  <c r="Q46" i="13"/>
  <c r="R468" i="202"/>
  <c r="R469" i="202" s="1"/>
  <c r="R470" i="202" s="1"/>
  <c r="J131" i="16"/>
  <c r="D78" i="13"/>
  <c r="M143" i="202"/>
  <c r="M144" i="202" s="1"/>
  <c r="Z20" i="175"/>
  <c r="Z163" i="175" s="1"/>
  <c r="P48" i="16"/>
  <c r="R26" i="13"/>
  <c r="N93" i="16"/>
  <c r="P53" i="13"/>
  <c r="X92" i="172"/>
  <c r="T14" i="16"/>
  <c r="U142" i="13"/>
  <c r="C26" i="207"/>
  <c r="C27" i="207" s="1"/>
  <c r="C28" i="207" s="1"/>
  <c r="C29" i="207" s="1"/>
  <c r="C30" i="207" s="1"/>
  <c r="C31" i="207" s="1"/>
  <c r="C32" i="207" s="1"/>
  <c r="C33" i="207" s="1"/>
  <c r="C34" i="207" s="1"/>
  <c r="C35" i="207" s="1"/>
  <c r="C36" i="207" s="1"/>
  <c r="C37" i="207" s="1"/>
  <c r="C40" i="207" s="1"/>
  <c r="C41" i="207" s="1"/>
  <c r="C42" i="207" s="1"/>
  <c r="C43" i="207" s="1"/>
  <c r="C44" i="207" s="1"/>
  <c r="C45" i="207" s="1"/>
  <c r="C46" i="207" s="1"/>
  <c r="C47" i="207" s="1"/>
  <c r="C48" i="207" s="1"/>
  <c r="C49" i="207" s="1"/>
  <c r="C50" i="207" s="1"/>
  <c r="C51" i="207" s="1"/>
  <c r="C52" i="207" s="1"/>
  <c r="C53" i="207" s="1"/>
  <c r="C54" i="207" s="1"/>
  <c r="N54" i="16"/>
  <c r="N55" i="16" s="1"/>
  <c r="M125" i="16"/>
  <c r="I10" i="207"/>
  <c r="O74" i="13"/>
  <c r="O146" i="13" s="1"/>
  <c r="P51" i="16"/>
  <c r="R28" i="13"/>
  <c r="Q470" i="202"/>
  <c r="N23" i="207"/>
  <c r="AC144" i="185"/>
  <c r="AB30" i="185"/>
  <c r="N14" i="181"/>
  <c r="J12" i="209"/>
  <c r="L143" i="202"/>
  <c r="L144" i="202" s="1"/>
  <c r="G13" i="209"/>
  <c r="K15" i="181"/>
  <c r="K96" i="16"/>
  <c r="Q44" i="16"/>
  <c r="S23" i="13"/>
  <c r="J192" i="202"/>
  <c r="T90" i="157"/>
  <c r="T89" i="157"/>
  <c r="P68" i="209" s="1"/>
  <c r="D82" i="13"/>
  <c r="D83" i="13" s="1"/>
  <c r="C34" i="14"/>
  <c r="C45" i="46"/>
  <c r="F128" i="16"/>
  <c r="F127" i="16"/>
  <c r="Q70" i="16"/>
  <c r="S41" i="13"/>
  <c r="K240" i="16"/>
  <c r="O62" i="16"/>
  <c r="R38" i="179"/>
  <c r="J117" i="16"/>
  <c r="S64" i="181"/>
  <c r="O50" i="16"/>
  <c r="O53" i="16" s="1"/>
  <c r="P30" i="13"/>
  <c r="P162" i="13" s="1"/>
  <c r="P191" i="13" s="1"/>
  <c r="J92" i="202"/>
  <c r="Q83" i="185"/>
  <c r="Q84" i="185" s="1"/>
  <c r="Q14" i="185"/>
  <c r="Q16" i="185" s="1"/>
  <c r="R13" i="185" s="1"/>
  <c r="P66" i="16"/>
  <c r="R38" i="13"/>
  <c r="P496" i="202"/>
  <c r="P497" i="202" s="1"/>
  <c r="O65" i="16"/>
  <c r="Q37" i="13"/>
  <c r="U143" i="13"/>
  <c r="P7" i="207" s="1"/>
  <c r="T25" i="16"/>
  <c r="K87" i="16"/>
  <c r="P26" i="177"/>
  <c r="S89" i="179" s="1"/>
  <c r="S90" i="179" s="1"/>
  <c r="P49" i="177"/>
  <c r="U39" i="176"/>
  <c r="U40" i="176" s="1"/>
  <c r="U54" i="181" s="1"/>
  <c r="P422" i="202"/>
  <c r="P423" i="202" s="1"/>
  <c r="O63" i="16"/>
  <c r="Q36" i="13"/>
  <c r="N142" i="202"/>
  <c r="V115" i="70" l="1"/>
  <c r="V168" i="70" s="1"/>
  <c r="X26" i="175"/>
  <c r="Z114" i="28"/>
  <c r="Z104" i="28"/>
  <c r="Z108" i="28"/>
  <c r="C47" i="176"/>
  <c r="C49" i="176" s="1"/>
  <c r="C50" i="176" s="1"/>
  <c r="C52" i="176" s="1"/>
  <c r="C54" i="176" s="1"/>
  <c r="C56" i="176" s="1"/>
  <c r="C58" i="176" s="1"/>
  <c r="W39" i="163"/>
  <c r="P70" i="209" s="1"/>
  <c r="W38" i="163"/>
  <c r="X17" i="163"/>
  <c r="X22" i="163" s="1"/>
  <c r="X40" i="163" s="1"/>
  <c r="X16" i="163"/>
  <c r="X21" i="163" s="1"/>
  <c r="X39" i="163" s="1"/>
  <c r="Q70" i="209" s="1"/>
  <c r="X15" i="163"/>
  <c r="X20" i="163" s="1"/>
  <c r="X38" i="163" s="1"/>
  <c r="X12" i="163"/>
  <c r="X11" i="163"/>
  <c r="X10" i="163" s="1"/>
  <c r="U62" i="28"/>
  <c r="V53" i="28" s="1"/>
  <c r="S55" i="70" s="1"/>
  <c r="Z110" i="28"/>
  <c r="Z105" i="28"/>
  <c r="O27" i="176"/>
  <c r="T168" i="175"/>
  <c r="U67" i="175"/>
  <c r="V30" i="175" s="1"/>
  <c r="N54" i="176"/>
  <c r="N13" i="176"/>
  <c r="C265" i="202"/>
  <c r="C267" i="202" s="1"/>
  <c r="C268" i="202" s="1"/>
  <c r="C269" i="202" s="1"/>
  <c r="C270" i="202" s="1"/>
  <c r="C271" i="202" s="1"/>
  <c r="C272" i="202" s="1"/>
  <c r="C273" i="202" s="1"/>
  <c r="C274" i="202" s="1"/>
  <c r="C275" i="202" s="1"/>
  <c r="C276" i="202" s="1"/>
  <c r="C277" i="202" s="1"/>
  <c r="C278" i="202" s="1"/>
  <c r="C279" i="202" s="1"/>
  <c r="C280" i="202" s="1"/>
  <c r="C281" i="202" s="1"/>
  <c r="C282" i="202" s="1"/>
  <c r="C283" i="202" s="1"/>
  <c r="C285" i="202" s="1"/>
  <c r="C286" i="202" s="1"/>
  <c r="C289" i="202" s="1"/>
  <c r="C290" i="202" s="1"/>
  <c r="C292" i="202" s="1"/>
  <c r="C293" i="202" s="1"/>
  <c r="C294" i="202" s="1"/>
  <c r="C295" i="202" s="1"/>
  <c r="C296" i="202" s="1"/>
  <c r="C297" i="202" s="1"/>
  <c r="C298" i="202" s="1"/>
  <c r="C299" i="202" s="1"/>
  <c r="C300" i="202" s="1"/>
  <c r="C301" i="202" s="1"/>
  <c r="C302" i="202" s="1"/>
  <c r="C303" i="202" s="1"/>
  <c r="C304" i="202" s="1"/>
  <c r="C305" i="202" s="1"/>
  <c r="C306" i="202" s="1"/>
  <c r="C307" i="202" s="1"/>
  <c r="C308" i="202" s="1"/>
  <c r="C310" i="202" s="1"/>
  <c r="C311" i="202" s="1"/>
  <c r="C314" i="202" s="1"/>
  <c r="C315" i="202" s="1"/>
  <c r="C317" i="202" s="1"/>
  <c r="C318" i="202" s="1"/>
  <c r="C319" i="202" s="1"/>
  <c r="C320" i="202" s="1"/>
  <c r="C321" i="202" s="1"/>
  <c r="C322" i="202" s="1"/>
  <c r="C323" i="202" s="1"/>
  <c r="C324" i="202" s="1"/>
  <c r="C325" i="202" s="1"/>
  <c r="C326" i="202" s="1"/>
  <c r="C327" i="202" s="1"/>
  <c r="C328" i="202" s="1"/>
  <c r="C329" i="202" s="1"/>
  <c r="C330" i="202" s="1"/>
  <c r="C331" i="202" s="1"/>
  <c r="C332" i="202" s="1"/>
  <c r="C333" i="202" s="1"/>
  <c r="C335" i="202" s="1"/>
  <c r="C336" i="202" s="1"/>
  <c r="C339" i="202" s="1"/>
  <c r="C340" i="202" s="1"/>
  <c r="C342" i="202" s="1"/>
  <c r="C343" i="202" s="1"/>
  <c r="C344" i="202" s="1"/>
  <c r="C345" i="202" s="1"/>
  <c r="C346" i="202" s="1"/>
  <c r="C347" i="202" s="1"/>
  <c r="C348" i="202" s="1"/>
  <c r="C349" i="202" s="1"/>
  <c r="C350" i="202" s="1"/>
  <c r="C351" i="202" s="1"/>
  <c r="C352" i="202" s="1"/>
  <c r="C353" i="202" s="1"/>
  <c r="C354" i="202" s="1"/>
  <c r="C355" i="202" s="1"/>
  <c r="C356" i="202" s="1"/>
  <c r="C357" i="202" s="1"/>
  <c r="C358" i="202" s="1"/>
  <c r="C360" i="202" s="1"/>
  <c r="C361" i="202" s="1"/>
  <c r="C364" i="202" s="1"/>
  <c r="C365" i="202" s="1"/>
  <c r="C367" i="202" s="1"/>
  <c r="C368" i="202" s="1"/>
  <c r="C369" i="202" s="1"/>
  <c r="C370" i="202" s="1"/>
  <c r="C371" i="202" s="1"/>
  <c r="C372" i="202" s="1"/>
  <c r="C373" i="202" s="1"/>
  <c r="C374" i="202" s="1"/>
  <c r="C375" i="202" s="1"/>
  <c r="C376" i="202" s="1"/>
  <c r="C377" i="202" s="1"/>
  <c r="C378" i="202" s="1"/>
  <c r="C379" i="202" s="1"/>
  <c r="C380" i="202" s="1"/>
  <c r="C381" i="202" s="1"/>
  <c r="C382" i="202" s="1"/>
  <c r="C383" i="202" s="1"/>
  <c r="C385" i="202" s="1"/>
  <c r="C386" i="202" s="1"/>
  <c r="L3" i="219"/>
  <c r="L17" i="219" s="1"/>
  <c r="S154" i="70"/>
  <c r="S133" i="70"/>
  <c r="S151" i="70"/>
  <c r="S123" i="70"/>
  <c r="S130" i="70"/>
  <c r="S152" i="70"/>
  <c r="S129" i="70"/>
  <c r="S145" i="70"/>
  <c r="S153" i="70"/>
  <c r="S126" i="70"/>
  <c r="S155" i="70"/>
  <c r="S147" i="70"/>
  <c r="S150" i="70"/>
  <c r="S144" i="70"/>
  <c r="S127" i="70"/>
  <c r="S118" i="70"/>
  <c r="V159" i="28"/>
  <c r="W155" i="28" s="1"/>
  <c r="S134" i="70"/>
  <c r="S149" i="70"/>
  <c r="S121" i="70"/>
  <c r="S120" i="70"/>
  <c r="S132" i="70"/>
  <c r="S131" i="70"/>
  <c r="S138" i="70"/>
  <c r="S125" i="70"/>
  <c r="S142" i="70"/>
  <c r="S141" i="70"/>
  <c r="W139" i="28"/>
  <c r="S136" i="70"/>
  <c r="S122" i="70"/>
  <c r="S140" i="70"/>
  <c r="S139" i="70"/>
  <c r="S143" i="70"/>
  <c r="S137" i="70"/>
  <c r="S135" i="70"/>
  <c r="S128" i="70"/>
  <c r="W151" i="28"/>
  <c r="S148" i="70"/>
  <c r="S119" i="70"/>
  <c r="W127" i="28"/>
  <c r="S124" i="70"/>
  <c r="P43" i="181"/>
  <c r="L53" i="209"/>
  <c r="W110" i="70"/>
  <c r="Z113" i="28"/>
  <c r="Z109" i="28"/>
  <c r="Z115" i="28"/>
  <c r="Z107" i="28"/>
  <c r="Z118" i="28"/>
  <c r="Z106" i="28"/>
  <c r="P52" i="209"/>
  <c r="Z112" i="28"/>
  <c r="Z116" i="28"/>
  <c r="Z111" i="28"/>
  <c r="Z117" i="28"/>
  <c r="V102" i="28"/>
  <c r="W99" i="28" s="1"/>
  <c r="S94" i="70"/>
  <c r="S102" i="70"/>
  <c r="S99" i="70"/>
  <c r="S97" i="70"/>
  <c r="S96" i="70"/>
  <c r="S104" i="70"/>
  <c r="S103" i="70"/>
  <c r="S101" i="70"/>
  <c r="L51" i="209"/>
  <c r="P41" i="181"/>
  <c r="S73" i="70"/>
  <c r="S83" i="70"/>
  <c r="S79" i="70"/>
  <c r="S84" i="70"/>
  <c r="S72" i="70"/>
  <c r="S74" i="70"/>
  <c r="S85" i="70"/>
  <c r="S67" i="70"/>
  <c r="V83" i="28"/>
  <c r="W72" i="28" s="1"/>
  <c r="L50" i="209"/>
  <c r="P40" i="181"/>
  <c r="S75" i="70"/>
  <c r="W65" i="28"/>
  <c r="S68" i="70"/>
  <c r="S80" i="70"/>
  <c r="S70" i="70"/>
  <c r="S77" i="70"/>
  <c r="S81" i="70"/>
  <c r="S76" i="70"/>
  <c r="U165" i="28"/>
  <c r="P70" i="157" s="1"/>
  <c r="V58" i="28"/>
  <c r="V61" i="28"/>
  <c r="V60" i="28"/>
  <c r="V49" i="28"/>
  <c r="S51" i="70" s="1"/>
  <c r="R51" i="70"/>
  <c r="V59" i="28"/>
  <c r="R61" i="70"/>
  <c r="V57" i="28"/>
  <c r="R59" i="70"/>
  <c r="V51" i="28"/>
  <c r="V50" i="28"/>
  <c r="V55" i="28"/>
  <c r="T30" i="70"/>
  <c r="T46" i="70"/>
  <c r="W47" i="28"/>
  <c r="X45" i="28" s="1"/>
  <c r="X159" i="175"/>
  <c r="Y153" i="175" s="1"/>
  <c r="Y22" i="175"/>
  <c r="Y24" i="175"/>
  <c r="Y25" i="175"/>
  <c r="Y23" i="175"/>
  <c r="O47" i="13"/>
  <c r="U144" i="13"/>
  <c r="P8" i="207" s="1"/>
  <c r="V33" i="13"/>
  <c r="U59" i="16" s="1"/>
  <c r="G132" i="16"/>
  <c r="G133" i="16" s="1"/>
  <c r="P60" i="13"/>
  <c r="O104" i="16" s="1"/>
  <c r="O30" i="157"/>
  <c r="K28" i="209" s="1"/>
  <c r="O31" i="157"/>
  <c r="K29" i="209" s="1"/>
  <c r="O26" i="157"/>
  <c r="O20" i="157" s="1"/>
  <c r="O29" i="157"/>
  <c r="K27" i="209" s="1"/>
  <c r="O28" i="157"/>
  <c r="K26" i="209" s="1"/>
  <c r="F132" i="16"/>
  <c r="F133" i="16" s="1"/>
  <c r="F134" i="16" s="1"/>
  <c r="T16" i="16"/>
  <c r="T17" i="16" s="1"/>
  <c r="T18" i="16" s="1"/>
  <c r="O27" i="157"/>
  <c r="K25" i="209" s="1"/>
  <c r="T28" i="181"/>
  <c r="T98" i="181"/>
  <c r="H8" i="213"/>
  <c r="F5" i="219"/>
  <c r="F19" i="219" s="1"/>
  <c r="K17" i="219"/>
  <c r="X56" i="28"/>
  <c r="T58" i="70"/>
  <c r="O66" i="202"/>
  <c r="N51" i="195" s="1"/>
  <c r="G54" i="219"/>
  <c r="G110" i="219" s="1"/>
  <c r="T65" i="181"/>
  <c r="P69" i="209"/>
  <c r="C48" i="103"/>
  <c r="C49" i="103" s="1"/>
  <c r="E30" i="45"/>
  <c r="J30" i="45" s="1"/>
  <c r="I18" i="105" s="1"/>
  <c r="E27" i="72"/>
  <c r="E34" i="44"/>
  <c r="Q498" i="202"/>
  <c r="Q499" i="202" s="1"/>
  <c r="P485" i="202"/>
  <c r="O72" i="16"/>
  <c r="O73" i="16" s="1"/>
  <c r="O74" i="16" s="1"/>
  <c r="O252" i="16" s="1"/>
  <c r="N12" i="202" s="1"/>
  <c r="P498" i="202"/>
  <c r="P499" i="202" s="1"/>
  <c r="P510" i="202" s="1"/>
  <c r="T27" i="16"/>
  <c r="T28" i="16" s="1"/>
  <c r="R496" i="202"/>
  <c r="R497" i="202" s="1"/>
  <c r="R498" i="202" s="1"/>
  <c r="Q471" i="202"/>
  <c r="Q472" i="202" s="1"/>
  <c r="Q473" i="202" s="1"/>
  <c r="Q474" i="202" s="1"/>
  <c r="Q475" i="202" s="1"/>
  <c r="Q485" i="202" s="1"/>
  <c r="AB95" i="172"/>
  <c r="C42" i="36"/>
  <c r="K211" i="202"/>
  <c r="K75" i="202" s="1"/>
  <c r="K96" i="202" s="1"/>
  <c r="K33" i="202"/>
  <c r="K54" i="202" s="1"/>
  <c r="M121" i="202"/>
  <c r="M135" i="202" s="1"/>
  <c r="M41" i="207"/>
  <c r="P9" i="202"/>
  <c r="R31" i="16"/>
  <c r="R32" i="16" s="1"/>
  <c r="L211" i="172"/>
  <c r="M203" i="172"/>
  <c r="M207" i="172" s="1"/>
  <c r="K117" i="16"/>
  <c r="J15" i="157"/>
  <c r="D84" i="13"/>
  <c r="N116" i="16"/>
  <c r="O436" i="202"/>
  <c r="O84" i="202" s="1"/>
  <c r="O105" i="202" s="1"/>
  <c r="O42" i="202"/>
  <c r="Q69" i="16"/>
  <c r="R43" i="13"/>
  <c r="AB125" i="185"/>
  <c r="AB75" i="185" s="1"/>
  <c r="G254" i="16"/>
  <c r="G9" i="207"/>
  <c r="T492" i="202"/>
  <c r="T493" i="202" s="1"/>
  <c r="V161" i="13"/>
  <c r="V190" i="13" s="1"/>
  <c r="Q24" i="207" s="1"/>
  <c r="U26" i="16"/>
  <c r="R16" i="185"/>
  <c r="S13" i="185" s="1"/>
  <c r="O54" i="16"/>
  <c r="O55" i="16" s="1"/>
  <c r="K50" i="202"/>
  <c r="P63" i="16"/>
  <c r="R36" i="13"/>
  <c r="R70" i="16"/>
  <c r="T41" i="13"/>
  <c r="T64" i="181"/>
  <c r="L29" i="202"/>
  <c r="L136" i="202"/>
  <c r="L71" i="202" s="1"/>
  <c r="M116" i="16"/>
  <c r="Q48" i="16"/>
  <c r="S26" i="13"/>
  <c r="L130" i="16"/>
  <c r="R422" i="202"/>
  <c r="R423" i="202" s="1"/>
  <c r="I42" i="207"/>
  <c r="L11" i="202"/>
  <c r="D33" i="219" s="1"/>
  <c r="K88" i="16"/>
  <c r="P65" i="16"/>
  <c r="R37" i="13"/>
  <c r="M71" i="13"/>
  <c r="R47" i="92"/>
  <c r="T107" i="181"/>
  <c r="L96" i="16"/>
  <c r="L94" i="16" s="1"/>
  <c r="L98" i="16" s="1"/>
  <c r="M57" i="13"/>
  <c r="N125" i="16"/>
  <c r="J10" i="207"/>
  <c r="P74" i="13"/>
  <c r="P146" i="13" s="1"/>
  <c r="N251" i="16"/>
  <c r="N76" i="16"/>
  <c r="N240" i="16" s="1"/>
  <c r="M15" i="157" s="1"/>
  <c r="P6" i="207"/>
  <c r="U90" i="157"/>
  <c r="U89" i="157"/>
  <c r="Q68" i="209" s="1"/>
  <c r="U23" i="202"/>
  <c r="U24" i="202"/>
  <c r="M40" i="219" s="1"/>
  <c r="N40" i="219" s="1"/>
  <c r="U21" i="202"/>
  <c r="M34" i="219" s="1"/>
  <c r="N34" i="219" s="1"/>
  <c r="U49" i="202"/>
  <c r="U70" i="202"/>
  <c r="U28" i="202"/>
  <c r="U91" i="202"/>
  <c r="P67" i="16"/>
  <c r="R39" i="13"/>
  <c r="J25" i="207"/>
  <c r="AB9" i="185"/>
  <c r="AC122" i="185"/>
  <c r="AC124" i="185" s="1"/>
  <c r="Q61" i="16"/>
  <c r="R249" i="16"/>
  <c r="P34" i="16"/>
  <c r="P239" i="16" s="1"/>
  <c r="O14" i="157" s="1"/>
  <c r="P249" i="16"/>
  <c r="M192" i="202"/>
  <c r="M193" i="202" s="1"/>
  <c r="M194" i="202" s="1"/>
  <c r="M145" i="202"/>
  <c r="R471" i="202"/>
  <c r="P62" i="16"/>
  <c r="J193" i="202"/>
  <c r="J210" i="202" s="1"/>
  <c r="AC116" i="185"/>
  <c r="AB15" i="185"/>
  <c r="Z174" i="175"/>
  <c r="Z162" i="175"/>
  <c r="T87" i="195"/>
  <c r="T36" i="195"/>
  <c r="T74" i="195"/>
  <c r="T61" i="195"/>
  <c r="K167" i="202"/>
  <c r="N10" i="202"/>
  <c r="F31" i="219" s="1"/>
  <c r="N117" i="202"/>
  <c r="N118" i="202" s="1"/>
  <c r="K106" i="16"/>
  <c r="R83" i="185"/>
  <c r="R84" i="185" s="1"/>
  <c r="R14" i="185"/>
  <c r="S420" i="202"/>
  <c r="S421" i="202" s="1"/>
  <c r="R42" i="16"/>
  <c r="L114" i="16"/>
  <c r="M145" i="13"/>
  <c r="S28" i="16"/>
  <c r="T417" i="202"/>
  <c r="T418" i="202" s="1"/>
  <c r="T419" i="202" s="1"/>
  <c r="U15" i="16"/>
  <c r="V160" i="13"/>
  <c r="AD138" i="185"/>
  <c r="AC23" i="185"/>
  <c r="K160" i="202"/>
  <c r="R71" i="16"/>
  <c r="T42" i="13"/>
  <c r="I39" i="195"/>
  <c r="S46" i="16"/>
  <c r="U24" i="13"/>
  <c r="R52" i="16"/>
  <c r="T29" i="13"/>
  <c r="U19" i="176"/>
  <c r="U27" i="181" s="1"/>
  <c r="Q423" i="202"/>
  <c r="Q424" i="202" s="1"/>
  <c r="Q425" i="202" s="1"/>
  <c r="Q435" i="202" s="1"/>
  <c r="O142" i="202"/>
  <c r="C46" i="35"/>
  <c r="R44" i="16"/>
  <c r="T23" i="13"/>
  <c r="K94" i="16"/>
  <c r="AC30" i="185"/>
  <c r="AD144" i="185"/>
  <c r="P69" i="13"/>
  <c r="L116" i="16"/>
  <c r="Q51" i="16"/>
  <c r="S28" i="13"/>
  <c r="V213" i="16"/>
  <c r="V209" i="16"/>
  <c r="V212" i="16"/>
  <c r="V208" i="16"/>
  <c r="V219" i="16"/>
  <c r="V207" i="16"/>
  <c r="V214" i="16"/>
  <c r="V217" i="16"/>
  <c r="V215" i="16"/>
  <c r="V211" i="16"/>
  <c r="V210" i="16"/>
  <c r="V216" i="16"/>
  <c r="V218" i="16"/>
  <c r="Z177" i="28"/>
  <c r="Z162" i="28"/>
  <c r="S469" i="202"/>
  <c r="M97" i="16"/>
  <c r="O56" i="13"/>
  <c r="V82" i="20"/>
  <c r="W78" i="20"/>
  <c r="P6" i="184"/>
  <c r="P10" i="184" s="1"/>
  <c r="O18" i="184"/>
  <c r="N86" i="16"/>
  <c r="P49" i="13"/>
  <c r="T118" i="185"/>
  <c r="S119" i="185"/>
  <c r="S80" i="185" s="1"/>
  <c r="N85" i="16"/>
  <c r="O50" i="13"/>
  <c r="P48" i="13"/>
  <c r="R52" i="181"/>
  <c r="J109" i="16"/>
  <c r="R43" i="16"/>
  <c r="J30" i="202"/>
  <c r="J161" i="202"/>
  <c r="J72" i="202" s="1"/>
  <c r="T467" i="202"/>
  <c r="T468" i="202" s="1"/>
  <c r="U40" i="16"/>
  <c r="U14" i="16"/>
  <c r="V142" i="13"/>
  <c r="S494" i="202"/>
  <c r="J100" i="16"/>
  <c r="X167" i="175"/>
  <c r="S30" i="176"/>
  <c r="J139" i="16"/>
  <c r="K147" i="13"/>
  <c r="G139" i="16"/>
  <c r="H147" i="13"/>
  <c r="N143" i="202"/>
  <c r="N144" i="202" s="1"/>
  <c r="P424" i="202"/>
  <c r="P435" i="202" s="1"/>
  <c r="S38" i="179"/>
  <c r="Q66" i="16"/>
  <c r="S38" i="13"/>
  <c r="P50" i="16"/>
  <c r="P53" i="16" s="1"/>
  <c r="Q30" i="13"/>
  <c r="Q162" i="13" s="1"/>
  <c r="D88" i="13"/>
  <c r="C35" i="14"/>
  <c r="K116" i="16"/>
  <c r="J116" i="16"/>
  <c r="J118" i="16" s="1"/>
  <c r="K163" i="13"/>
  <c r="Y92" i="172"/>
  <c r="O93" i="16"/>
  <c r="Q53" i="13"/>
  <c r="P82" i="16"/>
  <c r="R46" i="13"/>
  <c r="K107" i="16"/>
  <c r="J167" i="202"/>
  <c r="J168" i="202" s="1"/>
  <c r="H42" i="195"/>
  <c r="W186" i="13"/>
  <c r="W12" i="13"/>
  <c r="W17" i="13"/>
  <c r="W13" i="13"/>
  <c r="M3" i="219" s="1"/>
  <c r="W16" i="13"/>
  <c r="W20" i="13"/>
  <c r="W33" i="13"/>
  <c r="V59" i="16" s="1"/>
  <c r="U6" i="195"/>
  <c r="L89" i="16"/>
  <c r="L193" i="202"/>
  <c r="L194" i="202" s="1"/>
  <c r="U189" i="13"/>
  <c r="AC123" i="185"/>
  <c r="AD132" i="185"/>
  <c r="AC117" i="185"/>
  <c r="M83" i="16"/>
  <c r="M87" i="16" s="1"/>
  <c r="Q47" i="16"/>
  <c r="S25" i="13"/>
  <c r="S17" i="16"/>
  <c r="V143" i="13"/>
  <c r="Q7" i="207" s="1"/>
  <c r="U25" i="16"/>
  <c r="Y26" i="175"/>
  <c r="O23" i="207"/>
  <c r="C47" i="46"/>
  <c r="F139" i="16"/>
  <c r="G147" i="13"/>
  <c r="C36" i="45"/>
  <c r="L145" i="202"/>
  <c r="L160" i="202" s="1"/>
  <c r="K92" i="202"/>
  <c r="H13" i="209"/>
  <c r="L15" i="181"/>
  <c r="Q21" i="16"/>
  <c r="V37" i="175" l="1"/>
  <c r="W138" i="28"/>
  <c r="W124" i="28"/>
  <c r="T121" i="70" s="1"/>
  <c r="W101" i="28"/>
  <c r="W122" i="28"/>
  <c r="W146" i="28"/>
  <c r="W141" i="28"/>
  <c r="W98" i="28"/>
  <c r="W145" i="28"/>
  <c r="W137" i="28"/>
  <c r="W129" i="28"/>
  <c r="W143" i="28"/>
  <c r="W135" i="28"/>
  <c r="W136" i="28"/>
  <c r="V52" i="28"/>
  <c r="V62" i="28" s="1"/>
  <c r="W57" i="28" s="1"/>
  <c r="V54" i="28"/>
  <c r="S56" i="70" s="1"/>
  <c r="W80" i="28"/>
  <c r="W121" i="28"/>
  <c r="W148" i="28"/>
  <c r="T145" i="70" s="1"/>
  <c r="W81" i="28"/>
  <c r="W67" i="28"/>
  <c r="W71" i="28"/>
  <c r="W96" i="28"/>
  <c r="W150" i="28"/>
  <c r="W126" i="28"/>
  <c r="T48" i="70"/>
  <c r="T163" i="70" s="1"/>
  <c r="W78" i="28"/>
  <c r="W64" i="28"/>
  <c r="W100" i="28"/>
  <c r="W93" i="28"/>
  <c r="W131" i="28"/>
  <c r="W140" i="28"/>
  <c r="W142" i="28"/>
  <c r="W125" i="28"/>
  <c r="W144" i="28"/>
  <c r="W128" i="28"/>
  <c r="W134" i="28"/>
  <c r="W123" i="28"/>
  <c r="W152" i="28"/>
  <c r="W147" i="28"/>
  <c r="Y141" i="175"/>
  <c r="V65" i="175"/>
  <c r="V50" i="175"/>
  <c r="V56" i="175"/>
  <c r="V34" i="175"/>
  <c r="U164" i="175"/>
  <c r="V64" i="175"/>
  <c r="V54" i="175"/>
  <c r="V28" i="175"/>
  <c r="V36" i="175"/>
  <c r="V58" i="175"/>
  <c r="V41" i="175"/>
  <c r="V60" i="175"/>
  <c r="V63" i="175"/>
  <c r="V53" i="175"/>
  <c r="V39" i="175"/>
  <c r="V42" i="175"/>
  <c r="V51" i="175"/>
  <c r="V61" i="175"/>
  <c r="V66" i="175"/>
  <c r="V48" i="175"/>
  <c r="V35" i="175"/>
  <c r="V31" i="175"/>
  <c r="V32" i="175"/>
  <c r="V45" i="175"/>
  <c r="V59" i="175"/>
  <c r="V46" i="175"/>
  <c r="V62" i="175"/>
  <c r="V55" i="175"/>
  <c r="Y146" i="175"/>
  <c r="S11" i="28"/>
  <c r="N15" i="176"/>
  <c r="N21" i="176" s="1"/>
  <c r="N23" i="176" s="1"/>
  <c r="V52" i="175"/>
  <c r="V47" i="175"/>
  <c r="V40" i="175"/>
  <c r="Y131" i="175"/>
  <c r="Y126" i="175"/>
  <c r="V57" i="175"/>
  <c r="V33" i="175"/>
  <c r="O49" i="181"/>
  <c r="O55" i="181" s="1"/>
  <c r="O31" i="176"/>
  <c r="O52" i="176" s="1"/>
  <c r="Y140" i="175"/>
  <c r="V49" i="175"/>
  <c r="V38" i="175"/>
  <c r="V44" i="175"/>
  <c r="V43" i="175"/>
  <c r="V29" i="175"/>
  <c r="C389" i="202"/>
  <c r="C390" i="202" s="1"/>
  <c r="C392" i="202" s="1"/>
  <c r="C393" i="202" s="1"/>
  <c r="C394" i="202" s="1"/>
  <c r="C395" i="202" s="1"/>
  <c r="C396" i="202" s="1"/>
  <c r="C397" i="202" s="1"/>
  <c r="C398" i="202" s="1"/>
  <c r="C399" i="202" s="1"/>
  <c r="C400" i="202" s="1"/>
  <c r="C401" i="202" s="1"/>
  <c r="C402" i="202" s="1"/>
  <c r="C403" i="202" s="1"/>
  <c r="C404" i="202" s="1"/>
  <c r="C405" i="202" s="1"/>
  <c r="C406" i="202" s="1"/>
  <c r="C407" i="202" s="1"/>
  <c r="C408" i="202" s="1"/>
  <c r="C410" i="202" s="1"/>
  <c r="C411" i="202" s="1"/>
  <c r="C414" i="202"/>
  <c r="M17" i="219"/>
  <c r="N3" i="219"/>
  <c r="N17" i="219" s="1"/>
  <c r="Q191" i="13"/>
  <c r="Y124" i="175"/>
  <c r="Y120" i="175"/>
  <c r="Y122" i="175"/>
  <c r="Y145" i="175"/>
  <c r="Y135" i="175"/>
  <c r="Y150" i="175"/>
  <c r="Y139" i="175"/>
  <c r="Y142" i="175"/>
  <c r="Y134" i="175"/>
  <c r="Y128" i="175"/>
  <c r="Y151" i="175"/>
  <c r="Y132" i="175"/>
  <c r="Y152" i="175"/>
  <c r="Y138" i="175"/>
  <c r="Y156" i="175"/>
  <c r="Y129" i="175"/>
  <c r="T123" i="70"/>
  <c r="T119" i="70"/>
  <c r="T128" i="70"/>
  <c r="T137" i="70"/>
  <c r="T139" i="70"/>
  <c r="T122" i="70"/>
  <c r="T141" i="70"/>
  <c r="T125" i="70"/>
  <c r="T131" i="70"/>
  <c r="T120" i="70"/>
  <c r="T149" i="70"/>
  <c r="S156" i="70"/>
  <c r="S169" i="70" s="1"/>
  <c r="T118" i="70"/>
  <c r="T144" i="70"/>
  <c r="T147" i="70"/>
  <c r="T126" i="70"/>
  <c r="T152" i="70"/>
  <c r="T133" i="70"/>
  <c r="T124" i="70"/>
  <c r="T148" i="70"/>
  <c r="T135" i="70"/>
  <c r="T143" i="70"/>
  <c r="T140" i="70"/>
  <c r="T136" i="70"/>
  <c r="T142" i="70"/>
  <c r="T138" i="70"/>
  <c r="T132" i="70"/>
  <c r="T134" i="70"/>
  <c r="V170" i="28"/>
  <c r="Q74" i="157" s="1"/>
  <c r="W149" i="28"/>
  <c r="W130" i="28"/>
  <c r="W153" i="28"/>
  <c r="W158" i="28"/>
  <c r="W156" i="28"/>
  <c r="W132" i="28"/>
  <c r="W133" i="28"/>
  <c r="W154" i="28"/>
  <c r="W157" i="28"/>
  <c r="W112" i="70"/>
  <c r="W109" i="70"/>
  <c r="W108" i="70"/>
  <c r="Z119" i="28"/>
  <c r="Z169" i="28" s="1"/>
  <c r="U73" i="157" s="1"/>
  <c r="W113" i="70"/>
  <c r="W111" i="70"/>
  <c r="W114" i="70"/>
  <c r="T102" i="70"/>
  <c r="T101" i="70"/>
  <c r="T104" i="70"/>
  <c r="W94" i="28"/>
  <c r="S105" i="70"/>
  <c r="S167" i="70" s="1"/>
  <c r="T103" i="70"/>
  <c r="T96" i="70"/>
  <c r="T99" i="70"/>
  <c r="V168" i="28"/>
  <c r="Q72" i="157" s="1"/>
  <c r="W95" i="28"/>
  <c r="W92" i="28"/>
  <c r="W97" i="28"/>
  <c r="W91" i="28"/>
  <c r="T75" i="70"/>
  <c r="T84" i="70"/>
  <c r="T70" i="70"/>
  <c r="W73" i="28"/>
  <c r="W74" i="28"/>
  <c r="W77" i="28"/>
  <c r="S86" i="70"/>
  <c r="S165" i="70" s="1"/>
  <c r="T67" i="70"/>
  <c r="T74" i="70"/>
  <c r="T83" i="70"/>
  <c r="T81" i="70"/>
  <c r="T68" i="70"/>
  <c r="V166" i="28"/>
  <c r="Q71" i="157" s="1"/>
  <c r="W79" i="28"/>
  <c r="W66" i="28"/>
  <c r="W68" i="28"/>
  <c r="W75" i="28"/>
  <c r="W82" i="28"/>
  <c r="W69" i="28"/>
  <c r="W76" i="28"/>
  <c r="W70" i="28"/>
  <c r="S59" i="70"/>
  <c r="S63" i="70"/>
  <c r="S60" i="70"/>
  <c r="R64" i="70"/>
  <c r="R164" i="70" s="1"/>
  <c r="S61" i="70"/>
  <c r="S62" i="70"/>
  <c r="L49" i="209"/>
  <c r="P39" i="181"/>
  <c r="S52" i="70"/>
  <c r="S54" i="70"/>
  <c r="S53" i="70"/>
  <c r="S57" i="70"/>
  <c r="U46" i="70"/>
  <c r="W164" i="28"/>
  <c r="R69" i="157" s="1"/>
  <c r="X28" i="28"/>
  <c r="X27" i="28"/>
  <c r="X30" i="28"/>
  <c r="X46" i="28"/>
  <c r="X44" i="28"/>
  <c r="X35" i="28"/>
  <c r="X26" i="28"/>
  <c r="X33" i="28"/>
  <c r="X43" i="28"/>
  <c r="X41" i="28"/>
  <c r="X40" i="28"/>
  <c r="X38" i="28"/>
  <c r="X42" i="28"/>
  <c r="X32" i="28"/>
  <c r="X34" i="28"/>
  <c r="X39" i="28"/>
  <c r="X31" i="28"/>
  <c r="X37" i="28"/>
  <c r="X36" i="28"/>
  <c r="X25" i="28"/>
  <c r="X29" i="28"/>
  <c r="Y149" i="175"/>
  <c r="Y155" i="175"/>
  <c r="Y148" i="175"/>
  <c r="Y127" i="175"/>
  <c r="Y147" i="175"/>
  <c r="Y158" i="175"/>
  <c r="Y123" i="175"/>
  <c r="Y125" i="175"/>
  <c r="Y133" i="175"/>
  <c r="Y130" i="175"/>
  <c r="Y154" i="175"/>
  <c r="Y144" i="175"/>
  <c r="Y143" i="175"/>
  <c r="Y121" i="175"/>
  <c r="Y136" i="175"/>
  <c r="Y157" i="175"/>
  <c r="Y137" i="175"/>
  <c r="X166" i="175"/>
  <c r="S29" i="176" s="1"/>
  <c r="S51" i="181" s="1"/>
  <c r="Z23" i="175"/>
  <c r="Z25" i="175"/>
  <c r="Z24" i="175"/>
  <c r="Z22" i="175"/>
  <c r="Z26" i="175" s="1"/>
  <c r="P47" i="13"/>
  <c r="V144" i="13"/>
  <c r="Q8" i="207" s="1"/>
  <c r="Q60" i="13"/>
  <c r="R60" i="13" s="1"/>
  <c r="N83" i="16"/>
  <c r="N87" i="16" s="1"/>
  <c r="N88" i="16" s="1"/>
  <c r="P19" i="30"/>
  <c r="P30" i="157" s="1"/>
  <c r="L28" i="209" s="1"/>
  <c r="K24" i="209"/>
  <c r="P17" i="30"/>
  <c r="O33" i="157"/>
  <c r="K31" i="209" s="1"/>
  <c r="U27" i="16"/>
  <c r="U28" i="16" s="1"/>
  <c r="O21" i="181"/>
  <c r="O87" i="181" s="1"/>
  <c r="G5" i="219"/>
  <c r="G19" i="219" s="1"/>
  <c r="U16" i="16"/>
  <c r="U17" i="16" s="1"/>
  <c r="U18" i="16" s="1"/>
  <c r="U19" i="16" s="1"/>
  <c r="Y56" i="28"/>
  <c r="U58" i="70"/>
  <c r="U28" i="181"/>
  <c r="U98" i="181"/>
  <c r="L163" i="13"/>
  <c r="L192" i="13" s="1"/>
  <c r="O63" i="202"/>
  <c r="N49" i="195" s="1"/>
  <c r="G48" i="219"/>
  <c r="U65" i="181"/>
  <c r="Q69" i="209"/>
  <c r="C50" i="103"/>
  <c r="C51" i="103" s="1"/>
  <c r="E31" i="45"/>
  <c r="E35" i="44"/>
  <c r="P72" i="16"/>
  <c r="P73" i="16" s="1"/>
  <c r="P74" i="16" s="1"/>
  <c r="P252" i="16" s="1"/>
  <c r="O12" i="202" s="1"/>
  <c r="Q500" i="202"/>
  <c r="Q510" i="202" s="1"/>
  <c r="P44" i="202"/>
  <c r="P65" i="202" s="1"/>
  <c r="P486" i="202"/>
  <c r="P86" i="202" s="1"/>
  <c r="P107" i="202" s="1"/>
  <c r="T469" i="202"/>
  <c r="T470" i="202" s="1"/>
  <c r="R250" i="16"/>
  <c r="N41" i="207" s="1"/>
  <c r="R34" i="16"/>
  <c r="R239" i="16" s="1"/>
  <c r="Q14" i="157" s="1"/>
  <c r="M12" i="209" s="1"/>
  <c r="M146" i="202"/>
  <c r="M160" i="202" s="1"/>
  <c r="N119" i="202"/>
  <c r="N120" i="202" s="1"/>
  <c r="T19" i="16"/>
  <c r="T20" i="16" s="1"/>
  <c r="T21" i="16" s="1"/>
  <c r="AC95" i="172"/>
  <c r="C43" i="36"/>
  <c r="C44" i="36" s="1"/>
  <c r="P54" i="16"/>
  <c r="P55" i="16" s="1"/>
  <c r="N192" i="202"/>
  <c r="K192" i="13"/>
  <c r="P42" i="202"/>
  <c r="P436" i="202"/>
  <c r="P84" i="202" s="1"/>
  <c r="P105" i="202" s="1"/>
  <c r="L30" i="202"/>
  <c r="L51" i="202" s="1"/>
  <c r="K40" i="195" s="1"/>
  <c r="L161" i="202"/>
  <c r="L72" i="202" s="1"/>
  <c r="L93" i="202" s="1"/>
  <c r="Q436" i="202"/>
  <c r="Q84" i="202" s="1"/>
  <c r="Q105" i="202" s="1"/>
  <c r="Q42" i="202"/>
  <c r="P511" i="202"/>
  <c r="P87" i="202" s="1"/>
  <c r="P108" i="202" s="1"/>
  <c r="P45" i="202"/>
  <c r="Q44" i="202"/>
  <c r="Q65" i="202" s="1"/>
  <c r="Q486" i="202"/>
  <c r="Q86" i="202" s="1"/>
  <c r="Q107" i="202" s="1"/>
  <c r="J33" i="202"/>
  <c r="J211" i="202"/>
  <c r="J75" i="202" s="1"/>
  <c r="AD124" i="185"/>
  <c r="M88" i="16"/>
  <c r="M89" i="16" s="1"/>
  <c r="W160" i="13"/>
  <c r="V15" i="16"/>
  <c r="L107" i="16"/>
  <c r="K131" i="16"/>
  <c r="R66" i="16"/>
  <c r="T38" i="13"/>
  <c r="F11" i="207"/>
  <c r="S43" i="16"/>
  <c r="U118" i="185"/>
  <c r="T119" i="185"/>
  <c r="T80" i="185" s="1"/>
  <c r="L195" i="202"/>
  <c r="L210" i="202" s="1"/>
  <c r="N97" i="16"/>
  <c r="P56" i="13"/>
  <c r="AE144" i="185"/>
  <c r="AD30" i="185"/>
  <c r="S44" i="16"/>
  <c r="U23" i="13"/>
  <c r="K161" i="202"/>
  <c r="K72" i="202" s="1"/>
  <c r="K30" i="202"/>
  <c r="V189" i="13"/>
  <c r="M114" i="16"/>
  <c r="O67" i="13"/>
  <c r="O145" i="13" s="1"/>
  <c r="K108" i="16"/>
  <c r="N40" i="207"/>
  <c r="Q8" i="202"/>
  <c r="U467" i="202"/>
  <c r="J42" i="207"/>
  <c r="M11" i="202"/>
  <c r="E33" i="219" s="1"/>
  <c r="L99" i="16"/>
  <c r="F255" i="16"/>
  <c r="Q65" i="16"/>
  <c r="S37" i="13"/>
  <c r="L167" i="202"/>
  <c r="L168" i="202" s="1"/>
  <c r="L169" i="202" s="1"/>
  <c r="L170" i="202" s="1"/>
  <c r="C48" i="35"/>
  <c r="C49" i="35" s="1"/>
  <c r="C51" i="35" s="1"/>
  <c r="C54" i="35" s="1"/>
  <c r="C66" i="35" s="1"/>
  <c r="C84" i="35" s="1"/>
  <c r="C95" i="35" s="1"/>
  <c r="C97" i="35" s="1"/>
  <c r="C98" i="35" s="1"/>
  <c r="C105" i="35" s="1"/>
  <c r="C115" i="35" s="1"/>
  <c r="C117" i="35" s="1"/>
  <c r="C118" i="35" s="1"/>
  <c r="C144" i="35" s="1"/>
  <c r="C145" i="35" s="1"/>
  <c r="C146" i="35" s="1"/>
  <c r="C147" i="35" s="1"/>
  <c r="C148" i="35" s="1"/>
  <c r="C149" i="35" s="1"/>
  <c r="C150" i="35" s="1"/>
  <c r="C155" i="35" s="1"/>
  <c r="C160" i="35" s="1"/>
  <c r="C162" i="35" s="1"/>
  <c r="C164" i="35" s="1"/>
  <c r="C166" i="35" s="1"/>
  <c r="F141" i="16"/>
  <c r="F145" i="16" s="1"/>
  <c r="AD117" i="185"/>
  <c r="AD123" i="185"/>
  <c r="AE132" i="185"/>
  <c r="U87" i="195"/>
  <c r="U61" i="195"/>
  <c r="U36" i="195"/>
  <c r="U74" i="195"/>
  <c r="W144" i="13"/>
  <c r="R8" i="207" s="1"/>
  <c r="V40" i="16"/>
  <c r="V14" i="16"/>
  <c r="W142" i="13"/>
  <c r="U107" i="181"/>
  <c r="S47" i="92"/>
  <c r="G141" i="16"/>
  <c r="G145" i="16" s="1"/>
  <c r="J51" i="202"/>
  <c r="J31" i="202"/>
  <c r="O85" i="16"/>
  <c r="P50" i="13"/>
  <c r="Q48" i="13"/>
  <c r="O86" i="16"/>
  <c r="Q49" i="13"/>
  <c r="W82" i="20"/>
  <c r="X78" i="20"/>
  <c r="K98" i="16"/>
  <c r="AC9" i="185"/>
  <c r="AD122" i="185"/>
  <c r="S29" i="16"/>
  <c r="S30" i="16" s="1"/>
  <c r="M195" i="202"/>
  <c r="M196" i="202" s="1"/>
  <c r="U417" i="202"/>
  <c r="U418" i="202" s="1"/>
  <c r="U64" i="181"/>
  <c r="N57" i="13"/>
  <c r="M96" i="16"/>
  <c r="M94" i="16" s="1"/>
  <c r="M98" i="16" s="1"/>
  <c r="O55" i="13"/>
  <c r="O54" i="13" s="1"/>
  <c r="N145" i="202"/>
  <c r="N146" i="202" s="1"/>
  <c r="C37" i="45"/>
  <c r="C38" i="45" s="1"/>
  <c r="L92" i="202"/>
  <c r="S70" i="16"/>
  <c r="U41" i="13"/>
  <c r="J39" i="195"/>
  <c r="O76" i="16"/>
  <c r="O240" i="16" s="1"/>
  <c r="N15" i="157" s="1"/>
  <c r="O251" i="16"/>
  <c r="T494" i="202"/>
  <c r="T495" i="202" s="1"/>
  <c r="K143" i="16"/>
  <c r="T29" i="16"/>
  <c r="T30" i="16" s="1"/>
  <c r="S495" i="202"/>
  <c r="S496" i="202" s="1"/>
  <c r="Q249" i="16"/>
  <c r="Q34" i="16"/>
  <c r="Q239" i="16" s="1"/>
  <c r="P14" i="157" s="1"/>
  <c r="S18" i="16"/>
  <c r="S19" i="16" s="1"/>
  <c r="K118" i="16"/>
  <c r="AC125" i="185"/>
  <c r="AC75" i="185" s="1"/>
  <c r="K164" i="13"/>
  <c r="K193" i="13" s="1"/>
  <c r="F27" i="207" s="1"/>
  <c r="J126" i="16"/>
  <c r="V25" i="16"/>
  <c r="W143" i="13"/>
  <c r="R7" i="207" s="1"/>
  <c r="L147" i="13"/>
  <c r="K139" i="16"/>
  <c r="S52" i="181"/>
  <c r="Q6" i="207"/>
  <c r="J110" i="16"/>
  <c r="J254" i="16" s="1"/>
  <c r="I14" i="202" s="1"/>
  <c r="S83" i="185"/>
  <c r="S84" i="185" s="1"/>
  <c r="S14" i="185"/>
  <c r="S16" i="185" s="1"/>
  <c r="T13" i="185" s="1"/>
  <c r="Q6" i="184"/>
  <c r="Q10" i="184" s="1"/>
  <c r="P18" i="184"/>
  <c r="O143" i="202"/>
  <c r="S52" i="16"/>
  <c r="U29" i="13"/>
  <c r="S71" i="16"/>
  <c r="U42" i="13"/>
  <c r="AE138" i="185"/>
  <c r="AD23" i="185"/>
  <c r="S42" i="16"/>
  <c r="R472" i="202"/>
  <c r="R473" i="202" s="1"/>
  <c r="G134" i="16"/>
  <c r="Q62" i="16"/>
  <c r="R499" i="202"/>
  <c r="R500" i="202" s="1"/>
  <c r="R501" i="202" s="1"/>
  <c r="L40" i="207"/>
  <c r="O8" i="202"/>
  <c r="Q67" i="16"/>
  <c r="S39" i="13"/>
  <c r="U492" i="202"/>
  <c r="I13" i="209"/>
  <c r="M15" i="181"/>
  <c r="L117" i="16"/>
  <c r="L118" i="16" s="1"/>
  <c r="L50" i="202"/>
  <c r="R69" i="16"/>
  <c r="S43" i="13"/>
  <c r="J143" i="16"/>
  <c r="S422" i="202"/>
  <c r="Y167" i="175"/>
  <c r="T30" i="176"/>
  <c r="P23" i="207"/>
  <c r="J185" i="202"/>
  <c r="Q82" i="16"/>
  <c r="S46" i="13"/>
  <c r="D89" i="13"/>
  <c r="D90" i="13" s="1"/>
  <c r="C37" i="14"/>
  <c r="R48" i="16"/>
  <c r="T26" i="13"/>
  <c r="Q63" i="16"/>
  <c r="S36" i="13"/>
  <c r="S470" i="202"/>
  <c r="S471" i="202" s="1"/>
  <c r="S472" i="202" s="1"/>
  <c r="M29" i="202"/>
  <c r="M136" i="202"/>
  <c r="M71" i="202" s="1"/>
  <c r="R47" i="16"/>
  <c r="T25" i="13"/>
  <c r="V6" i="195"/>
  <c r="W161" i="13"/>
  <c r="W190" i="13" s="1"/>
  <c r="R24" i="207" s="1"/>
  <c r="V26" i="16"/>
  <c r="P93" i="16"/>
  <c r="R53" i="13"/>
  <c r="Z92" i="172"/>
  <c r="J119" i="16"/>
  <c r="J120" i="16" s="1"/>
  <c r="J253" i="16" s="1"/>
  <c r="G88" i="13"/>
  <c r="H88" i="13" s="1"/>
  <c r="R30" i="13"/>
  <c r="R162" i="13" s="1"/>
  <c r="Q50" i="16"/>
  <c r="Q53" i="16" s="1"/>
  <c r="J93" i="202"/>
  <c r="J73" i="202"/>
  <c r="R51" i="16"/>
  <c r="T28" i="13"/>
  <c r="O116" i="16"/>
  <c r="Q69" i="13"/>
  <c r="AD116" i="185"/>
  <c r="AC15" i="185"/>
  <c r="C48" i="46"/>
  <c r="C50" i="46" s="1"/>
  <c r="T46" i="16"/>
  <c r="V24" i="13"/>
  <c r="T420" i="202"/>
  <c r="H9" i="207"/>
  <c r="L106" i="16"/>
  <c r="M64" i="13"/>
  <c r="M163" i="13" s="1"/>
  <c r="K168" i="202"/>
  <c r="K169" i="202" s="1"/>
  <c r="O14" i="181"/>
  <c r="K12" i="209"/>
  <c r="R61" i="16"/>
  <c r="K10" i="207"/>
  <c r="O125" i="16"/>
  <c r="Q74" i="13"/>
  <c r="Q146" i="13" s="1"/>
  <c r="K25" i="207"/>
  <c r="K89" i="16"/>
  <c r="M130" i="16"/>
  <c r="AB8" i="185"/>
  <c r="AB10" i="185" s="1"/>
  <c r="AC7" i="185" s="1"/>
  <c r="AB78" i="185"/>
  <c r="D85" i="13"/>
  <c r="J144" i="16"/>
  <c r="F13" i="209"/>
  <c r="J15" i="181"/>
  <c r="R424" i="202"/>
  <c r="M208" i="172"/>
  <c r="M209" i="172" s="1"/>
  <c r="P142" i="202"/>
  <c r="P143" i="202" s="1"/>
  <c r="N56" i="176" l="1"/>
  <c r="N58" i="176" s="1"/>
  <c r="N33" i="176"/>
  <c r="N42" i="176" s="1"/>
  <c r="P11" i="70"/>
  <c r="N64" i="157"/>
  <c r="J43" i="209" s="1"/>
  <c r="O13" i="176"/>
  <c r="O54" i="176"/>
  <c r="W51" i="175"/>
  <c r="P27" i="176"/>
  <c r="U168" i="175"/>
  <c r="W53" i="175"/>
  <c r="W55" i="175"/>
  <c r="W28" i="175"/>
  <c r="V67" i="175"/>
  <c r="W64" i="175" s="1"/>
  <c r="C415" i="202"/>
  <c r="C417" i="202" s="1"/>
  <c r="C418" i="202" s="1"/>
  <c r="C419" i="202" s="1"/>
  <c r="C420" i="202" s="1"/>
  <c r="C421" i="202" s="1"/>
  <c r="C422" i="202" s="1"/>
  <c r="C423" i="202" s="1"/>
  <c r="C424" i="202" s="1"/>
  <c r="C425" i="202" s="1"/>
  <c r="C426" i="202" s="1"/>
  <c r="C427" i="202" s="1"/>
  <c r="C428" i="202" s="1"/>
  <c r="C429" i="202" s="1"/>
  <c r="C430" i="202" s="1"/>
  <c r="C431" i="202" s="1"/>
  <c r="C432" i="202" s="1"/>
  <c r="C433" i="202" s="1"/>
  <c r="C435" i="202" s="1"/>
  <c r="C436" i="202" s="1"/>
  <c r="C439" i="202" s="1"/>
  <c r="C440" i="202" s="1"/>
  <c r="C442" i="202" s="1"/>
  <c r="C443" i="202" s="1"/>
  <c r="C444" i="202" s="1"/>
  <c r="C445" i="202" s="1"/>
  <c r="C446" i="202" s="1"/>
  <c r="C447" i="202" s="1"/>
  <c r="C448" i="202" s="1"/>
  <c r="C449" i="202" s="1"/>
  <c r="C450" i="202" s="1"/>
  <c r="C451" i="202" s="1"/>
  <c r="C452" i="202" s="1"/>
  <c r="C453" i="202" s="1"/>
  <c r="C454" i="202" s="1"/>
  <c r="C455" i="202" s="1"/>
  <c r="C456" i="202" s="1"/>
  <c r="C457" i="202" s="1"/>
  <c r="C458" i="202" s="1"/>
  <c r="C460" i="202" s="1"/>
  <c r="C461" i="202" s="1"/>
  <c r="R191" i="13"/>
  <c r="T127" i="70"/>
  <c r="T154" i="70"/>
  <c r="T130" i="70"/>
  <c r="T150" i="70"/>
  <c r="T129" i="70"/>
  <c r="T153" i="70"/>
  <c r="T146" i="70"/>
  <c r="W159" i="28"/>
  <c r="X154" i="28" s="1"/>
  <c r="T151" i="70"/>
  <c r="T155" i="70"/>
  <c r="M53" i="209"/>
  <c r="Q43" i="181"/>
  <c r="U42" i="181"/>
  <c r="Q52" i="209"/>
  <c r="W115" i="70"/>
  <c r="W168" i="70" s="1"/>
  <c r="T98" i="70"/>
  <c r="W102" i="28"/>
  <c r="T94" i="70"/>
  <c r="M51" i="209"/>
  <c r="Q41" i="181"/>
  <c r="X94" i="28"/>
  <c r="T97" i="70"/>
  <c r="X97" i="28"/>
  <c r="T100" i="70"/>
  <c r="X92" i="28"/>
  <c r="T95" i="70"/>
  <c r="T85" i="70"/>
  <c r="T76" i="70"/>
  <c r="T78" i="70"/>
  <c r="T72" i="70"/>
  <c r="T69" i="70"/>
  <c r="T77" i="70"/>
  <c r="T82" i="70"/>
  <c r="T73" i="70"/>
  <c r="Q40" i="181"/>
  <c r="M50" i="209"/>
  <c r="T79" i="70"/>
  <c r="T71" i="70"/>
  <c r="W83" i="28"/>
  <c r="X79" i="28" s="1"/>
  <c r="T80" i="70"/>
  <c r="T59" i="70"/>
  <c r="W59" i="28"/>
  <c r="W61" i="28"/>
  <c r="W55" i="28"/>
  <c r="T57" i="70" s="1"/>
  <c r="S64" i="70"/>
  <c r="S164" i="70" s="1"/>
  <c r="W60" i="28"/>
  <c r="W52" i="28"/>
  <c r="T54" i="70" s="1"/>
  <c r="W58" i="28"/>
  <c r="V165" i="28"/>
  <c r="Q70" i="157" s="1"/>
  <c r="W49" i="28"/>
  <c r="W54" i="28"/>
  <c r="W53" i="28"/>
  <c r="W51" i="28"/>
  <c r="W50" i="28"/>
  <c r="U30" i="70"/>
  <c r="U32" i="70"/>
  <c r="U43" i="70"/>
  <c r="U44" i="70"/>
  <c r="U45" i="70"/>
  <c r="U29" i="70"/>
  <c r="U26" i="70"/>
  <c r="X47" i="28"/>
  <c r="Y38" i="28" s="1"/>
  <c r="U40" i="70"/>
  <c r="U39" i="70"/>
  <c r="U34" i="70"/>
  <c r="U47" i="70"/>
  <c r="R38" i="181"/>
  <c r="N48" i="209"/>
  <c r="U37" i="70"/>
  <c r="U35" i="70"/>
  <c r="U41" i="70"/>
  <c r="U27" i="70"/>
  <c r="U31" i="70"/>
  <c r="U38" i="70"/>
  <c r="U33" i="70"/>
  <c r="U42" i="70"/>
  <c r="Y35" i="28"/>
  <c r="U36" i="70"/>
  <c r="U28" i="70"/>
  <c r="Y159" i="175"/>
  <c r="Z155" i="175" s="1"/>
  <c r="L100" i="16"/>
  <c r="Q47" i="13"/>
  <c r="P104" i="16"/>
  <c r="O19" i="181"/>
  <c r="O120" i="181" s="1"/>
  <c r="K18" i="209"/>
  <c r="P27" i="157"/>
  <c r="L25" i="209" s="1"/>
  <c r="P31" i="157"/>
  <c r="L29" i="209" s="1"/>
  <c r="P28" i="157"/>
  <c r="L26" i="209" s="1"/>
  <c r="Q14" i="181"/>
  <c r="P29" i="157"/>
  <c r="L27" i="209" s="1"/>
  <c r="Q9" i="202"/>
  <c r="Q142" i="202" s="1"/>
  <c r="Q143" i="202" s="1"/>
  <c r="Q144" i="202" s="1"/>
  <c r="Q145" i="202" s="1"/>
  <c r="AD125" i="185"/>
  <c r="AD75" i="185" s="1"/>
  <c r="H5" i="219"/>
  <c r="H19" i="219" s="1"/>
  <c r="Z56" i="28"/>
  <c r="V58" i="70"/>
  <c r="P66" i="202"/>
  <c r="O51" i="195" s="1"/>
  <c r="H54" i="219"/>
  <c r="H110" i="219" s="1"/>
  <c r="Q63" i="202"/>
  <c r="P49" i="195" s="1"/>
  <c r="I48" i="219"/>
  <c r="G104" i="219"/>
  <c r="P63" i="202"/>
  <c r="O49" i="195" s="1"/>
  <c r="H48" i="219"/>
  <c r="L94" i="202"/>
  <c r="C52" i="103"/>
  <c r="C53" i="103" s="1"/>
  <c r="E36" i="44"/>
  <c r="E32" i="45"/>
  <c r="Q511" i="202"/>
  <c r="Q87" i="202" s="1"/>
  <c r="Q108" i="202" s="1"/>
  <c r="Q45" i="202"/>
  <c r="L108" i="16"/>
  <c r="L109" i="16" s="1"/>
  <c r="L110" i="16" s="1"/>
  <c r="L254" i="16" s="1"/>
  <c r="K14" i="202" s="1"/>
  <c r="L31" i="202"/>
  <c r="D45" i="219" s="1"/>
  <c r="P144" i="202"/>
  <c r="P145" i="202" s="1"/>
  <c r="M210" i="202"/>
  <c r="M33" i="202" s="1"/>
  <c r="M54" i="202" s="1"/>
  <c r="R474" i="202"/>
  <c r="R475" i="202" s="1"/>
  <c r="R476" i="202" s="1"/>
  <c r="R485" i="202" s="1"/>
  <c r="M161" i="202"/>
  <c r="M72" i="202" s="1"/>
  <c r="M93" i="202" s="1"/>
  <c r="M30" i="202"/>
  <c r="M51" i="202" s="1"/>
  <c r="L40" i="195" s="1"/>
  <c r="N121" i="202"/>
  <c r="N122" i="202" s="1"/>
  <c r="N135" i="202" s="1"/>
  <c r="N193" i="202"/>
  <c r="N194" i="202" s="1"/>
  <c r="R510" i="202"/>
  <c r="R511" i="202" s="1"/>
  <c r="R87" i="202" s="1"/>
  <c r="R108" i="202" s="1"/>
  <c r="Q72" i="16"/>
  <c r="Q73" i="16" s="1"/>
  <c r="Q74" i="16" s="1"/>
  <c r="Q252" i="16" s="1"/>
  <c r="P12" i="202" s="1"/>
  <c r="T471" i="202"/>
  <c r="T496" i="202"/>
  <c r="T497" i="202" s="1"/>
  <c r="U29" i="16"/>
  <c r="U30" i="16" s="1"/>
  <c r="V16" i="16"/>
  <c r="V17" i="16" s="1"/>
  <c r="AD95" i="172"/>
  <c r="C45" i="36"/>
  <c r="C46" i="36" s="1"/>
  <c r="L165" i="13"/>
  <c r="Q54" i="16"/>
  <c r="Q55" i="16" s="1"/>
  <c r="S20" i="16"/>
  <c r="T31" i="16"/>
  <c r="T32" i="16" s="1"/>
  <c r="T250" i="16" s="1"/>
  <c r="M192" i="13"/>
  <c r="K152" i="16"/>
  <c r="L148" i="13"/>
  <c r="I98" i="202"/>
  <c r="I242" i="202"/>
  <c r="I260" i="202" s="1"/>
  <c r="I35" i="202" s="1"/>
  <c r="I56" i="202" s="1"/>
  <c r="O192" i="202"/>
  <c r="N130" i="16"/>
  <c r="J94" i="202"/>
  <c r="H148" i="13"/>
  <c r="G152" i="16"/>
  <c r="V36" i="195"/>
  <c r="V87" i="195"/>
  <c r="V61" i="195"/>
  <c r="V74" i="195"/>
  <c r="M92" i="202"/>
  <c r="S69" i="16"/>
  <c r="T43" i="13"/>
  <c r="M117" i="16"/>
  <c r="M118" i="16" s="1"/>
  <c r="O70" i="13"/>
  <c r="N71" i="13"/>
  <c r="R67" i="16"/>
  <c r="T39" i="13"/>
  <c r="G255" i="16"/>
  <c r="T42" i="16"/>
  <c r="T52" i="16"/>
  <c r="V29" i="13"/>
  <c r="O144" i="202"/>
  <c r="R6" i="184"/>
  <c r="R10" i="184" s="1"/>
  <c r="Q18" i="184"/>
  <c r="J127" i="16"/>
  <c r="J128" i="16"/>
  <c r="P14" i="181"/>
  <c r="L12" i="209"/>
  <c r="S497" i="202"/>
  <c r="S498" i="202" s="1"/>
  <c r="Q104" i="16"/>
  <c r="S60" i="13"/>
  <c r="S423" i="202"/>
  <c r="S424" i="202" s="1"/>
  <c r="S425" i="202" s="1"/>
  <c r="S426" i="202" s="1"/>
  <c r="R425" i="202"/>
  <c r="R426" i="202" s="1"/>
  <c r="R435" i="202" s="1"/>
  <c r="M99" i="16"/>
  <c r="M100" i="16" s="1"/>
  <c r="L119" i="16"/>
  <c r="L120" i="16" s="1"/>
  <c r="L253" i="16" s="1"/>
  <c r="K99" i="16"/>
  <c r="K100" i="16" s="1"/>
  <c r="P86" i="16"/>
  <c r="R49" i="13"/>
  <c r="L25" i="207"/>
  <c r="K109" i="16"/>
  <c r="K110" i="16" s="1"/>
  <c r="N114" i="16"/>
  <c r="P67" i="13"/>
  <c r="P145" i="13" s="1"/>
  <c r="AF144" i="185"/>
  <c r="AE30" i="185"/>
  <c r="T83" i="185"/>
  <c r="T84" i="185" s="1"/>
  <c r="T14" i="185"/>
  <c r="L164" i="13"/>
  <c r="M107" i="16"/>
  <c r="O63" i="13"/>
  <c r="J54" i="202"/>
  <c r="S31" i="16"/>
  <c r="S32" i="16" s="1"/>
  <c r="S250" i="16" s="1"/>
  <c r="F26" i="207"/>
  <c r="P76" i="16"/>
  <c r="P240" i="16" s="1"/>
  <c r="O15" i="157" s="1"/>
  <c r="P251" i="16"/>
  <c r="M85" i="13"/>
  <c r="L143" i="16"/>
  <c r="N64" i="13"/>
  <c r="N163" i="13" s="1"/>
  <c r="M106" i="16"/>
  <c r="O62" i="13"/>
  <c r="R50" i="16"/>
  <c r="R53" i="16" s="1"/>
  <c r="S30" i="13"/>
  <c r="S162" i="13" s="1"/>
  <c r="AA92" i="172"/>
  <c r="Z167" i="175"/>
  <c r="U30" i="176"/>
  <c r="M50" i="202"/>
  <c r="S48" i="16"/>
  <c r="U26" i="13"/>
  <c r="D98" i="13"/>
  <c r="C38" i="14"/>
  <c r="C53" i="46"/>
  <c r="L73" i="202"/>
  <c r="U419" i="202"/>
  <c r="K185" i="202"/>
  <c r="N147" i="202"/>
  <c r="N160" i="202" s="1"/>
  <c r="O83" i="16"/>
  <c r="O87" i="16" s="1"/>
  <c r="AE117" i="185"/>
  <c r="AF132" i="185"/>
  <c r="AE123" i="185"/>
  <c r="K51" i="202"/>
  <c r="K31" i="202"/>
  <c r="C45" i="219" s="1"/>
  <c r="T44" i="16"/>
  <c r="V23" i="13"/>
  <c r="O97" i="16"/>
  <c r="Q56" i="13"/>
  <c r="V118" i="185"/>
  <c r="U119" i="185"/>
  <c r="U80" i="185" s="1"/>
  <c r="T43" i="16"/>
  <c r="L131" i="16"/>
  <c r="M78" i="13"/>
  <c r="T421" i="202"/>
  <c r="N203" i="172"/>
  <c r="N207" i="172" s="1"/>
  <c r="M211" i="172"/>
  <c r="K144" i="16"/>
  <c r="L10" i="207"/>
  <c r="P125" i="16"/>
  <c r="R74" i="13"/>
  <c r="R146" i="13" s="1"/>
  <c r="U46" i="16"/>
  <c r="W24" i="13"/>
  <c r="S51" i="16"/>
  <c r="U28" i="13"/>
  <c r="F43" i="207"/>
  <c r="I13" i="202"/>
  <c r="Q93" i="16"/>
  <c r="S53" i="13"/>
  <c r="W6" i="195"/>
  <c r="S47" i="16"/>
  <c r="U25" i="13"/>
  <c r="S473" i="202"/>
  <c r="T16" i="185"/>
  <c r="U13" i="185" s="1"/>
  <c r="D91" i="13"/>
  <c r="J186" i="202"/>
  <c r="J74" i="202" s="1"/>
  <c r="J32" i="202"/>
  <c r="C51" i="46"/>
  <c r="O117" i="202"/>
  <c r="O10" i="202"/>
  <c r="G31" i="219" s="1"/>
  <c r="R62" i="16"/>
  <c r="AD9" i="185"/>
  <c r="AE122" i="185"/>
  <c r="T71" i="16"/>
  <c r="V42" i="13"/>
  <c r="G11" i="207"/>
  <c r="V27" i="16"/>
  <c r="AC8" i="185"/>
  <c r="AC10" i="185" s="1"/>
  <c r="AD7" i="185" s="1"/>
  <c r="AC78" i="185"/>
  <c r="M40" i="207"/>
  <c r="P8" i="202"/>
  <c r="K42" i="207"/>
  <c r="N11" i="202"/>
  <c r="F33" i="219" s="1"/>
  <c r="T70" i="16"/>
  <c r="V41" i="13"/>
  <c r="X82" i="20"/>
  <c r="G146" i="16"/>
  <c r="G147" i="16" s="1"/>
  <c r="G256" i="16" s="1"/>
  <c r="AD8" i="185"/>
  <c r="AD78" i="185"/>
  <c r="F146" i="16"/>
  <c r="F147" i="16" s="1"/>
  <c r="R65" i="16"/>
  <c r="T37" i="13"/>
  <c r="K93" i="202"/>
  <c r="K94" i="202" s="1"/>
  <c r="K73" i="202"/>
  <c r="U20" i="16"/>
  <c r="U21" i="16" s="1"/>
  <c r="AE124" i="185"/>
  <c r="T249" i="16"/>
  <c r="S61" i="16"/>
  <c r="P116" i="16"/>
  <c r="R69" i="13"/>
  <c r="G148" i="13"/>
  <c r="F152" i="16"/>
  <c r="J152" i="16"/>
  <c r="K148" i="13"/>
  <c r="F12" i="207" s="1"/>
  <c r="L211" i="202"/>
  <c r="L75" i="202" s="1"/>
  <c r="L96" i="202" s="1"/>
  <c r="L33" i="202"/>
  <c r="L54" i="202" s="1"/>
  <c r="R63" i="16"/>
  <c r="T36" i="13"/>
  <c r="R82" i="16"/>
  <c r="T46" i="13"/>
  <c r="T52" i="181"/>
  <c r="K39" i="195"/>
  <c r="K41" i="195" s="1"/>
  <c r="L52" i="202"/>
  <c r="U493" i="202"/>
  <c r="U494" i="202" s="1"/>
  <c r="AF138" i="185"/>
  <c r="AE23" i="185"/>
  <c r="M147" i="13"/>
  <c r="L139" i="16"/>
  <c r="K119" i="16"/>
  <c r="K120" i="16" s="1"/>
  <c r="K253" i="16" s="1"/>
  <c r="J13" i="209"/>
  <c r="N15" i="181"/>
  <c r="N96" i="16"/>
  <c r="N94" i="16" s="1"/>
  <c r="N98" i="16" s="1"/>
  <c r="O57" i="13"/>
  <c r="P55" i="13"/>
  <c r="P54" i="13" s="1"/>
  <c r="P85" i="16"/>
  <c r="Q50" i="13"/>
  <c r="R48" i="13"/>
  <c r="I40" i="195"/>
  <c r="J52" i="202"/>
  <c r="G26" i="207"/>
  <c r="R6" i="207"/>
  <c r="C39" i="45"/>
  <c r="L185" i="202"/>
  <c r="M167" i="202"/>
  <c r="M168" i="202" s="1"/>
  <c r="U468" i="202"/>
  <c r="Q117" i="202"/>
  <c r="I9" i="207"/>
  <c r="Q23" i="207"/>
  <c r="AD15" i="185"/>
  <c r="AE116" i="185"/>
  <c r="N89" i="16"/>
  <c r="S66" i="16"/>
  <c r="U38" i="13"/>
  <c r="W189" i="13"/>
  <c r="J96" i="202"/>
  <c r="Y27" i="28" l="1"/>
  <c r="Y41" i="28"/>
  <c r="Y37" i="28"/>
  <c r="Y26" i="28"/>
  <c r="Y34" i="28"/>
  <c r="Y33" i="28"/>
  <c r="Y39" i="28"/>
  <c r="X77" i="28"/>
  <c r="X82" i="28"/>
  <c r="Y32" i="28"/>
  <c r="Y30" i="28"/>
  <c r="Y40" i="28"/>
  <c r="Y36" i="28"/>
  <c r="Y46" i="28"/>
  <c r="X75" i="28"/>
  <c r="X68" i="28"/>
  <c r="X66" i="28"/>
  <c r="W31" i="175"/>
  <c r="W66" i="175"/>
  <c r="X69" i="28"/>
  <c r="X73" i="28"/>
  <c r="W56" i="175"/>
  <c r="R47" i="13"/>
  <c r="U48" i="70"/>
  <c r="U163" i="70" s="1"/>
  <c r="T86" i="70"/>
  <c r="T165" i="70" s="1"/>
  <c r="T156" i="70"/>
  <c r="T169" i="70" s="1"/>
  <c r="W60" i="175"/>
  <c r="V164" i="175"/>
  <c r="W30" i="175"/>
  <c r="W37" i="175"/>
  <c r="W45" i="175"/>
  <c r="W50" i="175"/>
  <c r="W65" i="175"/>
  <c r="W63" i="175"/>
  <c r="W47" i="175"/>
  <c r="W58" i="175"/>
  <c r="W39" i="175"/>
  <c r="W29" i="175"/>
  <c r="W42" i="175"/>
  <c r="W52" i="175"/>
  <c r="W61" i="175"/>
  <c r="P49" i="181"/>
  <c r="P55" i="181" s="1"/>
  <c r="P31" i="176"/>
  <c r="P52" i="176" s="1"/>
  <c r="W35" i="175"/>
  <c r="T11" i="28"/>
  <c r="O15" i="176"/>
  <c r="O21" i="176" s="1"/>
  <c r="O23" i="176" s="1"/>
  <c r="W57" i="175"/>
  <c r="W54" i="175"/>
  <c r="W32" i="175"/>
  <c r="W33" i="175"/>
  <c r="W40" i="175"/>
  <c r="W34" i="175"/>
  <c r="W48" i="175"/>
  <c r="W38" i="175"/>
  <c r="W46" i="175"/>
  <c r="W36" i="175"/>
  <c r="W59" i="175"/>
  <c r="W44" i="175"/>
  <c r="W41" i="175"/>
  <c r="W62" i="175"/>
  <c r="W49" i="175"/>
  <c r="W43" i="175"/>
  <c r="C464" i="202"/>
  <c r="C465" i="202" s="1"/>
  <c r="C467" i="202" s="1"/>
  <c r="C468" i="202" s="1"/>
  <c r="C469" i="202" s="1"/>
  <c r="C470" i="202" s="1"/>
  <c r="C471" i="202" s="1"/>
  <c r="C472" i="202" s="1"/>
  <c r="C473" i="202" s="1"/>
  <c r="C474" i="202" s="1"/>
  <c r="C475" i="202" s="1"/>
  <c r="C476" i="202" s="1"/>
  <c r="C477" i="202" s="1"/>
  <c r="C478" i="202" s="1"/>
  <c r="C479" i="202" s="1"/>
  <c r="C480" i="202" s="1"/>
  <c r="C481" i="202" s="1"/>
  <c r="C482" i="202" s="1"/>
  <c r="C483" i="202" s="1"/>
  <c r="C485" i="202" s="1"/>
  <c r="C486" i="202" s="1"/>
  <c r="C515" i="202" s="1"/>
  <c r="C489" i="202"/>
  <c r="N192" i="13"/>
  <c r="F9" i="213" s="1"/>
  <c r="S21" i="16"/>
  <c r="S34" i="16" s="1"/>
  <c r="S239" i="16" s="1"/>
  <c r="R14" i="157" s="1"/>
  <c r="C8" i="219"/>
  <c r="M137" i="164"/>
  <c r="C7" i="219"/>
  <c r="M117" i="164"/>
  <c r="S191" i="13"/>
  <c r="Z123" i="175"/>
  <c r="Z121" i="175"/>
  <c r="Z125" i="175"/>
  <c r="Z147" i="175"/>
  <c r="Z144" i="175"/>
  <c r="Z133" i="175"/>
  <c r="Z130" i="175"/>
  <c r="U151" i="70"/>
  <c r="X153" i="28"/>
  <c r="W170" i="28"/>
  <c r="R74" i="157" s="1"/>
  <c r="X126" i="28"/>
  <c r="X131" i="28"/>
  <c r="X142" i="28"/>
  <c r="X144" i="28"/>
  <c r="X134" i="28"/>
  <c r="X152" i="28"/>
  <c r="X150" i="28"/>
  <c r="X148" i="28"/>
  <c r="X136" i="28"/>
  <c r="X151" i="28"/>
  <c r="X146" i="28"/>
  <c r="X139" i="28"/>
  <c r="X141" i="28"/>
  <c r="X124" i="28"/>
  <c r="X122" i="28"/>
  <c r="X125" i="28"/>
  <c r="X128" i="28"/>
  <c r="X127" i="28"/>
  <c r="X143" i="28"/>
  <c r="X135" i="28"/>
  <c r="X137" i="28"/>
  <c r="X121" i="28"/>
  <c r="X140" i="28"/>
  <c r="X123" i="28"/>
  <c r="X147" i="28"/>
  <c r="X129" i="28"/>
  <c r="X155" i="28"/>
  <c r="X138" i="28"/>
  <c r="X145" i="28"/>
  <c r="X156" i="28"/>
  <c r="X157" i="28"/>
  <c r="X158" i="28"/>
  <c r="X149" i="28"/>
  <c r="X132" i="28"/>
  <c r="X133" i="28"/>
  <c r="X130" i="28"/>
  <c r="U95" i="70"/>
  <c r="U97" i="70"/>
  <c r="G142" i="34" s="1"/>
  <c r="W168" i="28"/>
  <c r="R72" i="157" s="1"/>
  <c r="X99" i="28"/>
  <c r="X101" i="28"/>
  <c r="X100" i="28"/>
  <c r="X96" i="28"/>
  <c r="X98" i="28"/>
  <c r="X93" i="28"/>
  <c r="X91" i="28"/>
  <c r="U100" i="70"/>
  <c r="T105" i="70"/>
  <c r="T167" i="70" s="1"/>
  <c r="X95" i="28"/>
  <c r="U76" i="70"/>
  <c r="W166" i="28"/>
  <c r="R71" i="157" s="1"/>
  <c r="X72" i="28"/>
  <c r="X67" i="28"/>
  <c r="X81" i="28"/>
  <c r="X64" i="28"/>
  <c r="X80" i="28"/>
  <c r="X65" i="28"/>
  <c r="X71" i="28"/>
  <c r="X78" i="28"/>
  <c r="X76" i="28"/>
  <c r="X70" i="28"/>
  <c r="X74" i="28"/>
  <c r="U72" i="70"/>
  <c r="U71" i="70"/>
  <c r="U82" i="70"/>
  <c r="U80" i="70"/>
  <c r="U69" i="70"/>
  <c r="U78" i="70"/>
  <c r="U85" i="70"/>
  <c r="T61" i="70"/>
  <c r="T63" i="70"/>
  <c r="T62" i="70"/>
  <c r="T60" i="70"/>
  <c r="T51" i="70"/>
  <c r="W62" i="28"/>
  <c r="X57" i="28" s="1"/>
  <c r="T56" i="70"/>
  <c r="T53" i="70"/>
  <c r="M49" i="209"/>
  <c r="Q39" i="181"/>
  <c r="T52" i="70"/>
  <c r="T55" i="70"/>
  <c r="V28" i="70"/>
  <c r="V42" i="70"/>
  <c r="V38" i="70"/>
  <c r="V27" i="70"/>
  <c r="V35" i="70"/>
  <c r="V34" i="70"/>
  <c r="V40" i="70"/>
  <c r="X164" i="28"/>
  <c r="S69" i="157" s="1"/>
  <c r="Y45" i="28"/>
  <c r="Y28" i="28"/>
  <c r="Y43" i="28"/>
  <c r="Y31" i="28"/>
  <c r="V36" i="70"/>
  <c r="V33" i="70"/>
  <c r="V31" i="70"/>
  <c r="V41" i="70"/>
  <c r="V37" i="70"/>
  <c r="V47" i="70"/>
  <c r="V39" i="70"/>
  <c r="Y25" i="28"/>
  <c r="Y44" i="28"/>
  <c r="Y42" i="28"/>
  <c r="Y29" i="28"/>
  <c r="Z132" i="175"/>
  <c r="Z152" i="175"/>
  <c r="Z142" i="175"/>
  <c r="Z139" i="175"/>
  <c r="Z134" i="175"/>
  <c r="Z120" i="175"/>
  <c r="Z128" i="175"/>
  <c r="Z145" i="175"/>
  <c r="Z138" i="175"/>
  <c r="Z146" i="175"/>
  <c r="Z122" i="175"/>
  <c r="Z124" i="175"/>
  <c r="Z135" i="175"/>
  <c r="Z131" i="175"/>
  <c r="Z140" i="175"/>
  <c r="Z126" i="175"/>
  <c r="Z141" i="175"/>
  <c r="Z129" i="175"/>
  <c r="Z153" i="175"/>
  <c r="Z151" i="175"/>
  <c r="Z156" i="175"/>
  <c r="Z150" i="175"/>
  <c r="Z157" i="175"/>
  <c r="Z136" i="175"/>
  <c r="Z143" i="175"/>
  <c r="Z148" i="175"/>
  <c r="Z127" i="175"/>
  <c r="Z158" i="175"/>
  <c r="Z149" i="175"/>
  <c r="Z137" i="175"/>
  <c r="Z154" i="175"/>
  <c r="Y166" i="175"/>
  <c r="T29" i="176" s="1"/>
  <c r="T51" i="181" s="1"/>
  <c r="Q19" i="30"/>
  <c r="Q26" i="157" s="1"/>
  <c r="Q20" i="157" s="1"/>
  <c r="P26" i="157"/>
  <c r="P20" i="157" s="1"/>
  <c r="Q17" i="30"/>
  <c r="R45" i="202"/>
  <c r="R66" i="202" s="1"/>
  <c r="Q51" i="195" s="1"/>
  <c r="Q31" i="157"/>
  <c r="M29" i="209" s="1"/>
  <c r="C34" i="203"/>
  <c r="C35" i="203" s="1"/>
  <c r="D34" i="203"/>
  <c r="D35" i="203" s="1"/>
  <c r="Q10" i="202"/>
  <c r="I31" i="219" s="1"/>
  <c r="I5" i="219"/>
  <c r="I19" i="219" s="1"/>
  <c r="W58" i="70"/>
  <c r="AD10" i="185"/>
  <c r="AE7" i="185" s="1"/>
  <c r="C73" i="219"/>
  <c r="D101" i="219"/>
  <c r="D73" i="219"/>
  <c r="Q66" i="202"/>
  <c r="P51" i="195" s="1"/>
  <c r="I54" i="219"/>
  <c r="I110" i="219" s="1"/>
  <c r="G118" i="219"/>
  <c r="H104" i="219"/>
  <c r="H118" i="219" s="1"/>
  <c r="I104" i="219"/>
  <c r="I118" i="219" s="1"/>
  <c r="M211" i="202"/>
  <c r="M75" i="202" s="1"/>
  <c r="M96" i="202" s="1"/>
  <c r="C55" i="103"/>
  <c r="E33" i="45"/>
  <c r="J33" i="45" s="1"/>
  <c r="I19" i="105" s="1"/>
  <c r="E37" i="44"/>
  <c r="E28" i="72"/>
  <c r="M31" i="202"/>
  <c r="E45" i="219" s="1"/>
  <c r="R72" i="16"/>
  <c r="R73" i="16" s="1"/>
  <c r="R74" i="16" s="1"/>
  <c r="R252" i="16" s="1"/>
  <c r="Q12" i="202" s="1"/>
  <c r="U495" i="202"/>
  <c r="U496" i="202" s="1"/>
  <c r="N29" i="202"/>
  <c r="N136" i="202"/>
  <c r="N71" i="202" s="1"/>
  <c r="N92" i="202" s="1"/>
  <c r="U31" i="16"/>
  <c r="U32" i="16" s="1"/>
  <c r="P83" i="16"/>
  <c r="P87" i="16" s="1"/>
  <c r="P88" i="16" s="1"/>
  <c r="P89" i="16" s="1"/>
  <c r="J132" i="16"/>
  <c r="J133" i="16" s="1"/>
  <c r="J134" i="16" s="1"/>
  <c r="O118" i="202"/>
  <c r="O119" i="202" s="1"/>
  <c r="O120" i="202" s="1"/>
  <c r="V18" i="16"/>
  <c r="V19" i="16" s="1"/>
  <c r="V20" i="16" s="1"/>
  <c r="V21" i="16" s="1"/>
  <c r="M94" i="202"/>
  <c r="T472" i="202"/>
  <c r="O145" i="202"/>
  <c r="O146" i="202" s="1"/>
  <c r="S474" i="202"/>
  <c r="S475" i="202" s="1"/>
  <c r="S476" i="202" s="1"/>
  <c r="S477" i="202" s="1"/>
  <c r="S485" i="202" s="1"/>
  <c r="M73" i="202"/>
  <c r="N195" i="202"/>
  <c r="N196" i="202" s="1"/>
  <c r="N197" i="202" s="1"/>
  <c r="N210" i="202" s="1"/>
  <c r="AE95" i="172"/>
  <c r="C47" i="36"/>
  <c r="C49" i="36" s="1"/>
  <c r="C48" i="36"/>
  <c r="N161" i="202"/>
  <c r="N72" i="202" s="1"/>
  <c r="N93" i="202" s="1"/>
  <c r="N30" i="202"/>
  <c r="N51" i="202" s="1"/>
  <c r="M40" i="195" s="1"/>
  <c r="M119" i="16"/>
  <c r="M120" i="16" s="1"/>
  <c r="M253" i="16" s="1"/>
  <c r="P192" i="202"/>
  <c r="J13" i="202"/>
  <c r="K242" i="202"/>
  <c r="K243" i="202" s="1"/>
  <c r="S82" i="16"/>
  <c r="U46" i="13"/>
  <c r="S65" i="16"/>
  <c r="U37" i="13"/>
  <c r="J157" i="16"/>
  <c r="J158" i="16"/>
  <c r="D92" i="13"/>
  <c r="T51" i="16"/>
  <c r="V28" i="13"/>
  <c r="M131" i="16"/>
  <c r="N78" i="13"/>
  <c r="K32" i="202"/>
  <c r="K186" i="202"/>
  <c r="K74" i="202" s="1"/>
  <c r="K95" i="202" s="1"/>
  <c r="R18" i="184"/>
  <c r="S6" i="184"/>
  <c r="S10" i="184" s="1"/>
  <c r="S249" i="16"/>
  <c r="T66" i="16"/>
  <c r="V38" i="13"/>
  <c r="M139" i="16"/>
  <c r="O81" i="13"/>
  <c r="O147" i="13" s="1"/>
  <c r="U249" i="16"/>
  <c r="N167" i="202"/>
  <c r="T47" i="16"/>
  <c r="V25" i="13"/>
  <c r="J140" i="16"/>
  <c r="K165" i="13"/>
  <c r="T30" i="13"/>
  <c r="T162" i="13" s="1"/>
  <c r="T191" i="13" s="1"/>
  <c r="S50" i="16"/>
  <c r="S53" i="16" s="1"/>
  <c r="J9" i="207"/>
  <c r="G12" i="207"/>
  <c r="R54" i="16"/>
  <c r="H26" i="207"/>
  <c r="R42" i="202"/>
  <c r="R436" i="202"/>
  <c r="R84" i="202" s="1"/>
  <c r="R105" i="202" s="1"/>
  <c r="Q118" i="202"/>
  <c r="M169" i="202"/>
  <c r="M170" i="202" s="1"/>
  <c r="M171" i="202" s="1"/>
  <c r="L32" i="202"/>
  <c r="D47" i="219" s="1"/>
  <c r="L186" i="202"/>
  <c r="L74" i="202" s="1"/>
  <c r="L95" i="202" s="1"/>
  <c r="I41" i="195"/>
  <c r="C40" i="45"/>
  <c r="AG138" i="185"/>
  <c r="AF23" i="185"/>
  <c r="F154" i="16"/>
  <c r="F155" i="16"/>
  <c r="T61" i="16"/>
  <c r="P40" i="207"/>
  <c r="S8" i="202"/>
  <c r="W8" i="202" s="1"/>
  <c r="U70" i="16"/>
  <c r="W41" i="13"/>
  <c r="U71" i="16"/>
  <c r="W42" i="13"/>
  <c r="S427" i="202"/>
  <c r="S435" i="202" s="1"/>
  <c r="I217" i="202"/>
  <c r="I235" i="202" s="1"/>
  <c r="I34" i="202" s="1"/>
  <c r="I55" i="202" s="1"/>
  <c r="I97" i="202"/>
  <c r="M10" i="207"/>
  <c r="Q125" i="16"/>
  <c r="S74" i="13"/>
  <c r="S146" i="13" s="1"/>
  <c r="N208" i="172"/>
  <c r="N209" i="172" s="1"/>
  <c r="U43" i="16"/>
  <c r="U83" i="185"/>
  <c r="U84" i="185" s="1"/>
  <c r="U14" i="185"/>
  <c r="U16" i="185" s="1"/>
  <c r="V13" i="185" s="1"/>
  <c r="U44" i="16"/>
  <c r="W23" i="13"/>
  <c r="AE125" i="185"/>
  <c r="AE75" i="185" s="1"/>
  <c r="R44" i="202"/>
  <c r="R65" i="202" s="1"/>
  <c r="R486" i="202"/>
  <c r="R86" i="202" s="1"/>
  <c r="R107" i="202" s="1"/>
  <c r="G98" i="13"/>
  <c r="H98" i="13" s="1"/>
  <c r="L39" i="195"/>
  <c r="L41" i="195" s="1"/>
  <c r="M52" i="202"/>
  <c r="N106" i="16"/>
  <c r="O64" i="13"/>
  <c r="P62" i="13"/>
  <c r="M165" i="13"/>
  <c r="M194" i="13" s="1"/>
  <c r="H28" i="207" s="1"/>
  <c r="L140" i="16"/>
  <c r="K13" i="209"/>
  <c r="O15" i="181"/>
  <c r="O41" i="207"/>
  <c r="R9" i="202"/>
  <c r="K126" i="16"/>
  <c r="O114" i="16"/>
  <c r="Q67" i="13"/>
  <c r="Q145" i="13" s="1"/>
  <c r="Q86" i="16"/>
  <c r="S49" i="13"/>
  <c r="U42" i="16"/>
  <c r="C54" i="46"/>
  <c r="S499" i="202"/>
  <c r="T498" i="202"/>
  <c r="Q76" i="16"/>
  <c r="Q240" i="16" s="1"/>
  <c r="P15" i="157" s="1"/>
  <c r="Q251" i="16"/>
  <c r="P146" i="202"/>
  <c r="Q116" i="16"/>
  <c r="S69" i="13"/>
  <c r="F256" i="16"/>
  <c r="V28" i="16"/>
  <c r="V29" i="16" s="1"/>
  <c r="J95" i="202"/>
  <c r="X6" i="195"/>
  <c r="G244" i="34"/>
  <c r="M34" i="203"/>
  <c r="M35" i="203" s="1"/>
  <c r="O34" i="203"/>
  <c r="O35" i="203" s="1"/>
  <c r="N34" i="203"/>
  <c r="N35" i="203" s="1"/>
  <c r="L34" i="203"/>
  <c r="L35" i="203" s="1"/>
  <c r="W36" i="195"/>
  <c r="W87" i="195"/>
  <c r="W74" i="195"/>
  <c r="W61" i="195"/>
  <c r="P97" i="16"/>
  <c r="R56" i="13"/>
  <c r="U52" i="181"/>
  <c r="AB92" i="172"/>
  <c r="M143" i="16"/>
  <c r="AG144" i="185"/>
  <c r="AF30" i="185"/>
  <c r="H43" i="207"/>
  <c r="K13" i="202"/>
  <c r="N117" i="16"/>
  <c r="N118" i="16" s="1"/>
  <c r="P70" i="13"/>
  <c r="O71" i="13"/>
  <c r="P41" i="207"/>
  <c r="S9" i="202"/>
  <c r="W9" i="202" s="1"/>
  <c r="K140" i="16"/>
  <c r="R23" i="207"/>
  <c r="O96" i="16"/>
  <c r="O94" i="16" s="1"/>
  <c r="O98" i="16" s="1"/>
  <c r="P57" i="13"/>
  <c r="Q55" i="13"/>
  <c r="Q54" i="13" s="1"/>
  <c r="AF122" i="185"/>
  <c r="AF124" i="185" s="1"/>
  <c r="AE9" i="185"/>
  <c r="M25" i="207"/>
  <c r="T34" i="16"/>
  <c r="T239" i="16" s="1"/>
  <c r="S14" i="157" s="1"/>
  <c r="J40" i="195"/>
  <c r="J41" i="195" s="1"/>
  <c r="K52" i="202"/>
  <c r="D99" i="13"/>
  <c r="D100" i="13" s="1"/>
  <c r="C40" i="14"/>
  <c r="L42" i="207"/>
  <c r="O11" i="202"/>
  <c r="G33" i="219" s="1"/>
  <c r="U420" i="202"/>
  <c r="S67" i="16"/>
  <c r="U39" i="13"/>
  <c r="U469" i="202"/>
  <c r="R50" i="13"/>
  <c r="Q85" i="16"/>
  <c r="S48" i="13"/>
  <c r="S47" i="13" s="1"/>
  <c r="N99" i="16"/>
  <c r="N100" i="16" s="1"/>
  <c r="H11" i="207"/>
  <c r="S63" i="16"/>
  <c r="U36" i="13"/>
  <c r="T422" i="202"/>
  <c r="P117" i="202"/>
  <c r="P10" i="202"/>
  <c r="H31" i="219" s="1"/>
  <c r="S62" i="16"/>
  <c r="J53" i="202"/>
  <c r="Q146" i="202"/>
  <c r="R93" i="16"/>
  <c r="T53" i="13"/>
  <c r="V46" i="16"/>
  <c r="M164" i="13"/>
  <c r="L126" i="16"/>
  <c r="W118" i="185"/>
  <c r="V119" i="185"/>
  <c r="V80" i="185" s="1"/>
  <c r="AF117" i="185"/>
  <c r="AF123" i="185"/>
  <c r="AG132" i="185"/>
  <c r="O88" i="16"/>
  <c r="T48" i="16"/>
  <c r="V26" i="13"/>
  <c r="M108" i="16"/>
  <c r="L144" i="16"/>
  <c r="N107" i="16"/>
  <c r="P63" i="13"/>
  <c r="L193" i="13"/>
  <c r="AF116" i="185"/>
  <c r="AE15" i="185"/>
  <c r="K254" i="16"/>
  <c r="J14" i="202" s="1"/>
  <c r="R104" i="16"/>
  <c r="T60" i="13"/>
  <c r="U52" i="16"/>
  <c r="W29" i="13"/>
  <c r="U43" i="13"/>
  <c r="T69" i="16"/>
  <c r="G154" i="16"/>
  <c r="G155" i="16"/>
  <c r="O130" i="16"/>
  <c r="O193" i="202"/>
  <c r="L152" i="16"/>
  <c r="M148" i="13"/>
  <c r="H12" i="207" s="1"/>
  <c r="L194" i="13"/>
  <c r="P13" i="176" l="1"/>
  <c r="P54" i="176"/>
  <c r="O33" i="176"/>
  <c r="O42" i="176" s="1"/>
  <c r="O56" i="176"/>
  <c r="O58" i="176" s="1"/>
  <c r="Q27" i="176"/>
  <c r="V168" i="175"/>
  <c r="O64" i="157"/>
  <c r="K43" i="209" s="1"/>
  <c r="Q11" i="70"/>
  <c r="W67" i="175"/>
  <c r="X48" i="175" s="1"/>
  <c r="X43" i="175"/>
  <c r="X35" i="175"/>
  <c r="X37" i="175"/>
  <c r="C490" i="202"/>
  <c r="C492" i="202" s="1"/>
  <c r="C493" i="202" s="1"/>
  <c r="C494" i="202" s="1"/>
  <c r="C495" i="202" s="1"/>
  <c r="C496" i="202" s="1"/>
  <c r="C497" i="202" s="1"/>
  <c r="C498" i="202" s="1"/>
  <c r="C499" i="202" s="1"/>
  <c r="C500" i="202" s="1"/>
  <c r="C501" i="202" s="1"/>
  <c r="C502" i="202" s="1"/>
  <c r="C503" i="202" s="1"/>
  <c r="C504" i="202" s="1"/>
  <c r="C505" i="202" s="1"/>
  <c r="C506" i="202" s="1"/>
  <c r="C507" i="202" s="1"/>
  <c r="C508" i="202" s="1"/>
  <c r="C510" i="202" s="1"/>
  <c r="C511" i="202" s="1"/>
  <c r="O163" i="13"/>
  <c r="O192" i="13"/>
  <c r="D7" i="219"/>
  <c r="D21" i="219" s="1"/>
  <c r="N164" i="13"/>
  <c r="N117" i="164"/>
  <c r="M38" i="203"/>
  <c r="M37" i="203"/>
  <c r="N38" i="203"/>
  <c r="N37" i="203"/>
  <c r="O38" i="203"/>
  <c r="O37" i="203"/>
  <c r="L38" i="203"/>
  <c r="L37" i="203"/>
  <c r="U127" i="70"/>
  <c r="G172" i="34" s="1"/>
  <c r="U155" i="70"/>
  <c r="U135" i="70"/>
  <c r="U120" i="70"/>
  <c r="U132" i="70"/>
  <c r="G179" i="34" s="1"/>
  <c r="U122" i="70"/>
  <c r="U136" i="70"/>
  <c r="U145" i="70"/>
  <c r="U141" i="70"/>
  <c r="G188" i="34" s="1"/>
  <c r="N53" i="209"/>
  <c r="R43" i="181"/>
  <c r="U130" i="70"/>
  <c r="U154" i="70"/>
  <c r="U152" i="70"/>
  <c r="G199" i="34" s="1"/>
  <c r="U137" i="70"/>
  <c r="U140" i="70"/>
  <c r="G187" i="34" s="1"/>
  <c r="U119" i="70"/>
  <c r="U143" i="70"/>
  <c r="U147" i="70"/>
  <c r="U139" i="70"/>
  <c r="G186" i="34" s="1"/>
  <c r="U150" i="70"/>
  <c r="U129" i="70"/>
  <c r="G174" i="34" s="1"/>
  <c r="U153" i="70"/>
  <c r="U126" i="70"/>
  <c r="G171" i="34" s="1"/>
  <c r="U118" i="70"/>
  <c r="X159" i="28"/>
  <c r="Y158" i="28" s="1"/>
  <c r="U124" i="70"/>
  <c r="G169" i="34" s="1"/>
  <c r="U121" i="70"/>
  <c r="U148" i="70"/>
  <c r="G195" i="34" s="1"/>
  <c r="U149" i="70"/>
  <c r="U128" i="70"/>
  <c r="U146" i="70"/>
  <c r="U142" i="70"/>
  <c r="G189" i="34" s="1"/>
  <c r="U144" i="70"/>
  <c r="U134" i="70"/>
  <c r="G181" i="34" s="1"/>
  <c r="U125" i="70"/>
  <c r="U138" i="70"/>
  <c r="G185" i="34" s="1"/>
  <c r="U133" i="70"/>
  <c r="U131" i="70"/>
  <c r="G176" i="34" s="1"/>
  <c r="U123" i="70"/>
  <c r="G168" i="34" s="1"/>
  <c r="U98" i="70"/>
  <c r="X102" i="28"/>
  <c r="U94" i="70"/>
  <c r="U103" i="70"/>
  <c r="P142" i="34"/>
  <c r="O118" i="215" s="1"/>
  <c r="Z142" i="34"/>
  <c r="Y118" i="215" s="1"/>
  <c r="X142" i="34"/>
  <c r="W118" i="215" s="1"/>
  <c r="J142" i="34"/>
  <c r="L142" i="34"/>
  <c r="K118" i="215" s="1"/>
  <c r="O142" i="34"/>
  <c r="N118" i="215" s="1"/>
  <c r="N142" i="34"/>
  <c r="M118" i="215" s="1"/>
  <c r="Y142" i="34"/>
  <c r="X118" i="215" s="1"/>
  <c r="V142" i="34"/>
  <c r="U118" i="215" s="1"/>
  <c r="U142" i="34"/>
  <c r="T118" i="215" s="1"/>
  <c r="K142" i="34"/>
  <c r="J118" i="215" s="1"/>
  <c r="T142" i="34"/>
  <c r="S118" i="215" s="1"/>
  <c r="R142" i="34"/>
  <c r="Q118" i="215" s="1"/>
  <c r="S142" i="34"/>
  <c r="R118" i="215" s="1"/>
  <c r="Q142" i="34"/>
  <c r="P118" i="215" s="1"/>
  <c r="M142" i="34"/>
  <c r="L118" i="215" s="1"/>
  <c r="G118" i="215"/>
  <c r="AA142" i="34"/>
  <c r="Z118" i="215" s="1"/>
  <c r="W142" i="34"/>
  <c r="V118" i="215" s="1"/>
  <c r="U96" i="70"/>
  <c r="G141" i="34" s="1"/>
  <c r="U104" i="70"/>
  <c r="G149" i="34" s="1"/>
  <c r="U101" i="70"/>
  <c r="U102" i="70"/>
  <c r="G147" i="34" s="1"/>
  <c r="U99" i="70"/>
  <c r="G144" i="34" s="1"/>
  <c r="R41" i="181"/>
  <c r="N51" i="209"/>
  <c r="X83" i="28"/>
  <c r="Y74" i="28" s="1"/>
  <c r="U67" i="70"/>
  <c r="G111" i="34" s="1"/>
  <c r="U77" i="70"/>
  <c r="U79" i="70"/>
  <c r="G123" i="34" s="1"/>
  <c r="U83" i="70"/>
  <c r="U75" i="70"/>
  <c r="U81" i="70"/>
  <c r="R40" i="181"/>
  <c r="N50" i="209"/>
  <c r="U74" i="70"/>
  <c r="U84" i="70"/>
  <c r="G128" i="34" s="1"/>
  <c r="U73" i="70"/>
  <c r="U68" i="70"/>
  <c r="U70" i="70"/>
  <c r="X54" i="28"/>
  <c r="U56" i="70" s="1"/>
  <c r="G100" i="34" s="1"/>
  <c r="X58" i="28"/>
  <c r="X61" i="28"/>
  <c r="U59" i="70"/>
  <c r="X50" i="28"/>
  <c r="X51" i="28"/>
  <c r="U53" i="70" s="1"/>
  <c r="G97" i="34" s="1"/>
  <c r="X60" i="28"/>
  <c r="X59" i="28"/>
  <c r="U52" i="70"/>
  <c r="G96" i="34" s="1"/>
  <c r="W165" i="28"/>
  <c r="R70" i="157" s="1"/>
  <c r="X55" i="28"/>
  <c r="X52" i="28"/>
  <c r="T64" i="70"/>
  <c r="T164" i="70" s="1"/>
  <c r="X53" i="28"/>
  <c r="X49" i="28"/>
  <c r="V43" i="70"/>
  <c r="V46" i="70"/>
  <c r="V45" i="70"/>
  <c r="V32" i="70"/>
  <c r="S38" i="181"/>
  <c r="O48" i="209"/>
  <c r="V26" i="70"/>
  <c r="Y47" i="28"/>
  <c r="Z45" i="28" s="1"/>
  <c r="V44" i="70"/>
  <c r="V30" i="70"/>
  <c r="V29" i="70"/>
  <c r="Z159" i="175"/>
  <c r="Q19" i="181"/>
  <c r="Q120" i="181" s="1"/>
  <c r="Q27" i="157"/>
  <c r="M25" i="209" s="1"/>
  <c r="M24" i="209"/>
  <c r="Q29" i="157"/>
  <c r="M27" i="209" s="1"/>
  <c r="Q30" i="157"/>
  <c r="M28" i="209" s="1"/>
  <c r="Q28" i="157"/>
  <c r="M26" i="209" s="1"/>
  <c r="J54" i="219"/>
  <c r="J110" i="219" s="1"/>
  <c r="L24" i="209"/>
  <c r="P21" i="181"/>
  <c r="P87" i="181" s="1"/>
  <c r="P33" i="157"/>
  <c r="L31" i="209" s="1"/>
  <c r="G24" i="202"/>
  <c r="G23" i="202"/>
  <c r="G14" i="202"/>
  <c r="G22" i="202"/>
  <c r="G18" i="202"/>
  <c r="G19" i="202"/>
  <c r="G20" i="202"/>
  <c r="G16" i="202"/>
  <c r="G13" i="202"/>
  <c r="G17" i="202"/>
  <c r="G9" i="202"/>
  <c r="G21" i="202"/>
  <c r="G11" i="202"/>
  <c r="G15" i="202"/>
  <c r="G12" i="202"/>
  <c r="G8" i="202"/>
  <c r="D40" i="203"/>
  <c r="D38" i="203"/>
  <c r="D37" i="203"/>
  <c r="C37" i="203"/>
  <c r="C40" i="203"/>
  <c r="C38" i="203"/>
  <c r="W23" i="202"/>
  <c r="W21" i="202"/>
  <c r="W24" i="202"/>
  <c r="G50" i="34"/>
  <c r="G74" i="34"/>
  <c r="G57" i="34"/>
  <c r="G87" i="34"/>
  <c r="G198" i="34"/>
  <c r="G119" i="34"/>
  <c r="G85" i="34"/>
  <c r="G63" i="34"/>
  <c r="G103" i="34"/>
  <c r="G114" i="34"/>
  <c r="G156" i="34"/>
  <c r="G112" i="34"/>
  <c r="G51" i="34"/>
  <c r="G77" i="34"/>
  <c r="G81" i="34"/>
  <c r="G145" i="34"/>
  <c r="G148" i="34"/>
  <c r="G201" i="34"/>
  <c r="G143" i="34"/>
  <c r="G139" i="34"/>
  <c r="G120" i="34"/>
  <c r="G192" i="34"/>
  <c r="G146" i="34"/>
  <c r="G76" i="34"/>
  <c r="G175" i="34"/>
  <c r="G80" i="34"/>
  <c r="G133" i="34"/>
  <c r="G82" i="34"/>
  <c r="G197" i="34"/>
  <c r="G55" i="34"/>
  <c r="G64" i="34"/>
  <c r="G159" i="34"/>
  <c r="G89" i="34"/>
  <c r="G53" i="34"/>
  <c r="G78" i="34"/>
  <c r="G164" i="34"/>
  <c r="G121" i="34"/>
  <c r="G56" i="34"/>
  <c r="G65" i="34"/>
  <c r="G124" i="34"/>
  <c r="G155" i="34"/>
  <c r="G158" i="34"/>
  <c r="G117" i="34"/>
  <c r="G83" i="34"/>
  <c r="G200" i="34"/>
  <c r="G129" i="34"/>
  <c r="G166" i="34"/>
  <c r="G86" i="34"/>
  <c r="G88" i="34"/>
  <c r="G183" i="34"/>
  <c r="G167" i="34"/>
  <c r="G47" i="34"/>
  <c r="G122" i="34"/>
  <c r="G177" i="34"/>
  <c r="G170" i="34"/>
  <c r="G202" i="34"/>
  <c r="G46" i="34"/>
  <c r="G190" i="34"/>
  <c r="G52" i="34"/>
  <c r="G113" i="34"/>
  <c r="G59" i="34"/>
  <c r="G194" i="34"/>
  <c r="G153" i="34"/>
  <c r="G58" i="34"/>
  <c r="G140" i="34"/>
  <c r="G62" i="34"/>
  <c r="G54" i="34"/>
  <c r="G173" i="34"/>
  <c r="G184" i="34"/>
  <c r="G84" i="34"/>
  <c r="G134" i="34"/>
  <c r="G66" i="34"/>
  <c r="G196" i="34"/>
  <c r="G154" i="34"/>
  <c r="G127" i="34"/>
  <c r="G71" i="34"/>
  <c r="G182" i="34"/>
  <c r="G126" i="34"/>
  <c r="G91" i="34"/>
  <c r="G75" i="34"/>
  <c r="G115" i="34"/>
  <c r="G79" i="34"/>
  <c r="G116" i="34"/>
  <c r="G191" i="34"/>
  <c r="G73" i="34"/>
  <c r="G118" i="34"/>
  <c r="G125" i="34"/>
  <c r="G70" i="34"/>
  <c r="G90" i="34"/>
  <c r="G72" i="34"/>
  <c r="G178" i="34"/>
  <c r="G193" i="34"/>
  <c r="G157" i="34"/>
  <c r="G102" i="34"/>
  <c r="G180" i="34"/>
  <c r="G165" i="34"/>
  <c r="J5" i="219"/>
  <c r="J19" i="219" s="1"/>
  <c r="R63" i="202"/>
  <c r="Q49" i="195" s="1"/>
  <c r="J48" i="219"/>
  <c r="K53" i="202"/>
  <c r="J42" i="195" s="1"/>
  <c r="C47" i="219"/>
  <c r="E101" i="219"/>
  <c r="E73" i="219"/>
  <c r="D115" i="219"/>
  <c r="D103" i="219"/>
  <c r="D75" i="219"/>
  <c r="N31" i="202"/>
  <c r="F45" i="219" s="1"/>
  <c r="C57" i="103"/>
  <c r="E34" i="45"/>
  <c r="E38" i="44"/>
  <c r="L141" i="16"/>
  <c r="L145" i="16" s="1"/>
  <c r="U497" i="202"/>
  <c r="U498" i="202" s="1"/>
  <c r="S72" i="16"/>
  <c r="S73" i="16" s="1"/>
  <c r="S74" i="16" s="1"/>
  <c r="S252" i="16" s="1"/>
  <c r="R12" i="202" s="1"/>
  <c r="Q83" i="16"/>
  <c r="Q87" i="16" s="1"/>
  <c r="Q88" i="16" s="1"/>
  <c r="Q89" i="16" s="1"/>
  <c r="N50" i="202"/>
  <c r="M39" i="195" s="1"/>
  <c r="M41" i="195" s="1"/>
  <c r="F162" i="16"/>
  <c r="F163" i="16" s="1"/>
  <c r="F164" i="16" s="1"/>
  <c r="S486" i="202"/>
  <c r="S86" i="202" s="1"/>
  <c r="S44" i="202"/>
  <c r="U250" i="16"/>
  <c r="U34" i="16"/>
  <c r="U239" i="16" s="1"/>
  <c r="T14" i="157" s="1"/>
  <c r="P12" i="209" s="1"/>
  <c r="N108" i="16"/>
  <c r="N109" i="16" s="1"/>
  <c r="N110" i="16" s="1"/>
  <c r="N254" i="16" s="1"/>
  <c r="M14" i="202" s="1"/>
  <c r="N73" i="202"/>
  <c r="P193" i="202"/>
  <c r="P194" i="202" s="1"/>
  <c r="P195" i="202" s="1"/>
  <c r="G162" i="16"/>
  <c r="G163" i="16" s="1"/>
  <c r="K244" i="202"/>
  <c r="K260" i="202" s="1"/>
  <c r="O147" i="202"/>
  <c r="O148" i="202" s="1"/>
  <c r="T473" i="202"/>
  <c r="T474" i="202" s="1"/>
  <c r="AF95" i="172"/>
  <c r="C50" i="36"/>
  <c r="C51" i="36" s="1"/>
  <c r="C52" i="36" s="1"/>
  <c r="C53" i="36" s="1"/>
  <c r="C54" i="36" s="1"/>
  <c r="C55" i="36" s="1"/>
  <c r="V16" i="185"/>
  <c r="W13" i="185" s="1"/>
  <c r="H149" i="13"/>
  <c r="G169" i="16"/>
  <c r="L13" i="202"/>
  <c r="N33" i="202"/>
  <c r="N54" i="202" s="1"/>
  <c r="N211" i="202"/>
  <c r="N75" i="202" s="1"/>
  <c r="N96" i="202" s="1"/>
  <c r="N211" i="172"/>
  <c r="O203" i="172"/>
  <c r="O207" i="172" s="1"/>
  <c r="V249" i="16"/>
  <c r="P130" i="16"/>
  <c r="O107" i="16"/>
  <c r="Q63" i="13"/>
  <c r="M193" i="13"/>
  <c r="K157" i="16"/>
  <c r="S42" i="202"/>
  <c r="K48" i="219" s="1"/>
  <c r="S436" i="202"/>
  <c r="S84" i="202" s="1"/>
  <c r="T62" i="16"/>
  <c r="T63" i="16"/>
  <c r="X63" i="16" s="1"/>
  <c r="V36" i="13"/>
  <c r="R85" i="16"/>
  <c r="S50" i="13"/>
  <c r="T48" i="13"/>
  <c r="O99" i="16"/>
  <c r="O100" i="16" s="1"/>
  <c r="U470" i="202"/>
  <c r="U471" i="202" s="1"/>
  <c r="K141" i="16"/>
  <c r="AG30" i="185"/>
  <c r="AH144" i="185"/>
  <c r="AC92" i="172"/>
  <c r="X216" i="16"/>
  <c r="X208" i="16"/>
  <c r="X207" i="16"/>
  <c r="X217" i="16"/>
  <c r="X215" i="16"/>
  <c r="X26" i="16"/>
  <c r="X261" i="16"/>
  <c r="X14" i="16"/>
  <c r="X219" i="16"/>
  <c r="X213" i="16"/>
  <c r="X214" i="16"/>
  <c r="X18" i="16"/>
  <c r="X211" i="16"/>
  <c r="X228" i="16"/>
  <c r="X15" i="16"/>
  <c r="X209" i="16"/>
  <c r="X64" i="16"/>
  <c r="X212" i="16"/>
  <c r="X218" i="16"/>
  <c r="X17" i="16"/>
  <c r="X210" i="16"/>
  <c r="X232" i="16"/>
  <c r="X264" i="16"/>
  <c r="X60" i="16"/>
  <c r="X46" i="16"/>
  <c r="X16" i="16"/>
  <c r="X220" i="16"/>
  <c r="X40" i="16"/>
  <c r="X71" i="16"/>
  <c r="X28" i="16"/>
  <c r="X70" i="16"/>
  <c r="X43" i="16"/>
  <c r="X59" i="16"/>
  <c r="X27" i="16"/>
  <c r="X21" i="16"/>
  <c r="X30" i="16"/>
  <c r="X20" i="16"/>
  <c r="X25" i="16"/>
  <c r="X52" i="16"/>
  <c r="X44" i="16"/>
  <c r="X62" i="16"/>
  <c r="X19" i="16"/>
  <c r="X66" i="16"/>
  <c r="X47" i="16"/>
  <c r="X29" i="16"/>
  <c r="X32" i="16"/>
  <c r="X69" i="16"/>
  <c r="X48" i="16"/>
  <c r="X51" i="16"/>
  <c r="X249" i="16"/>
  <c r="X61" i="16"/>
  <c r="X250" i="16"/>
  <c r="X42" i="16"/>
  <c r="X34" i="16"/>
  <c r="X31" i="16"/>
  <c r="X239" i="16"/>
  <c r="F35" i="96"/>
  <c r="F19" i="96"/>
  <c r="G209" i="34"/>
  <c r="F30" i="96"/>
  <c r="F37" i="96"/>
  <c r="F52" i="96"/>
  <c r="G224" i="34"/>
  <c r="F29" i="96"/>
  <c r="I29" i="96" s="1"/>
  <c r="M29" i="96" s="1"/>
  <c r="F54" i="96"/>
  <c r="G237" i="34"/>
  <c r="F38" i="96"/>
  <c r="F28" i="96"/>
  <c r="G210" i="34"/>
  <c r="G223" i="34"/>
  <c r="F23" i="96"/>
  <c r="F36" i="96"/>
  <c r="G208" i="34"/>
  <c r="G225" i="34"/>
  <c r="F60" i="96"/>
  <c r="S500" i="202"/>
  <c r="S501" i="202" s="1"/>
  <c r="V42" i="16"/>
  <c r="R86" i="16"/>
  <c r="T49" i="13"/>
  <c r="P114" i="16"/>
  <c r="R67" i="13"/>
  <c r="R145" i="13" s="1"/>
  <c r="K169" i="16"/>
  <c r="L149" i="13"/>
  <c r="V44" i="16"/>
  <c r="V43" i="16"/>
  <c r="R125" i="16"/>
  <c r="N10" i="207"/>
  <c r="T74" i="13"/>
  <c r="T146" i="13" s="1"/>
  <c r="V71" i="16"/>
  <c r="V70" i="16"/>
  <c r="C43" i="45"/>
  <c r="L53" i="202"/>
  <c r="U30" i="13"/>
  <c r="T50" i="16"/>
  <c r="T53" i="16" s="1"/>
  <c r="X53" i="16" s="1"/>
  <c r="K194" i="13"/>
  <c r="N139" i="16"/>
  <c r="P81" i="13"/>
  <c r="P147" i="13" s="1"/>
  <c r="T6" i="184"/>
  <c r="T10" i="184" s="1"/>
  <c r="S18" i="184"/>
  <c r="T423" i="202"/>
  <c r="T424" i="202" s="1"/>
  <c r="T425" i="202" s="1"/>
  <c r="T426" i="202" s="1"/>
  <c r="T427" i="202" s="1"/>
  <c r="T428" i="202" s="1"/>
  <c r="T435" i="202" s="1"/>
  <c r="Q192" i="202"/>
  <c r="Q193" i="202" s="1"/>
  <c r="V43" i="13"/>
  <c r="U69" i="16"/>
  <c r="S104" i="16"/>
  <c r="U60" i="13"/>
  <c r="J242" i="202"/>
  <c r="J243" i="202" s="1"/>
  <c r="O89" i="16"/>
  <c r="V83" i="185"/>
  <c r="V84" i="185" s="1"/>
  <c r="V14" i="185"/>
  <c r="P118" i="202"/>
  <c r="P119" i="202" s="1"/>
  <c r="M185" i="202"/>
  <c r="D105" i="13"/>
  <c r="C41" i="14"/>
  <c r="S142" i="202"/>
  <c r="K217" i="202"/>
  <c r="N143" i="16"/>
  <c r="Y13" i="13"/>
  <c r="F12" i="162" s="1"/>
  <c r="Y156" i="13"/>
  <c r="Y174" i="13"/>
  <c r="Y142" i="13"/>
  <c r="Y12" i="13"/>
  <c r="E12" i="162" s="1"/>
  <c r="Y16" i="13"/>
  <c r="E14" i="162" s="1"/>
  <c r="F16" i="72" s="1"/>
  <c r="Y68" i="13"/>
  <c r="Y61" i="13"/>
  <c r="Y161" i="13"/>
  <c r="Y33" i="13"/>
  <c r="E18" i="162" s="1"/>
  <c r="F19" i="72" s="1"/>
  <c r="Y20" i="13"/>
  <c r="E16" i="162" s="1"/>
  <c r="F18" i="72" s="1"/>
  <c r="Y17" i="13"/>
  <c r="F14" i="162" s="1"/>
  <c r="F20" i="44" s="1"/>
  <c r="Y143" i="13"/>
  <c r="Y160" i="13"/>
  <c r="Y144" i="13"/>
  <c r="Y42" i="13"/>
  <c r="Y24" i="13"/>
  <c r="Y22" i="13"/>
  <c r="Y40" i="13"/>
  <c r="Y27" i="13"/>
  <c r="Y25" i="13"/>
  <c r="Y23" i="13"/>
  <c r="Y36" i="13"/>
  <c r="Y21" i="13"/>
  <c r="Y34" i="13"/>
  <c r="Y39" i="13"/>
  <c r="Y28" i="13"/>
  <c r="Y41" i="13"/>
  <c r="Y38" i="13"/>
  <c r="Y35" i="13"/>
  <c r="Y26" i="13"/>
  <c r="Y29" i="13"/>
  <c r="Y60" i="13"/>
  <c r="Y37" i="13"/>
  <c r="Y46" i="13"/>
  <c r="X87" i="195"/>
  <c r="X74" i="195"/>
  <c r="X36" i="195"/>
  <c r="X61" i="195"/>
  <c r="V30" i="16"/>
  <c r="R142" i="202"/>
  <c r="R143" i="202" s="1"/>
  <c r="AE78" i="185"/>
  <c r="AE8" i="185"/>
  <c r="AE10" i="185" s="1"/>
  <c r="AF7" i="185" s="1"/>
  <c r="AF9" i="185"/>
  <c r="AG122" i="185"/>
  <c r="AG124" i="185" s="1"/>
  <c r="R55" i="16"/>
  <c r="J141" i="16"/>
  <c r="J145" i="16" s="1"/>
  <c r="N94" i="202"/>
  <c r="R14" i="181"/>
  <c r="N12" i="209"/>
  <c r="M126" i="16"/>
  <c r="U51" i="16"/>
  <c r="W28" i="13"/>
  <c r="T65" i="16"/>
  <c r="X65" i="16" s="1"/>
  <c r="V37" i="13"/>
  <c r="I26" i="207"/>
  <c r="G43" i="207"/>
  <c r="P147" i="202"/>
  <c r="P148" i="202" s="1"/>
  <c r="G28" i="207"/>
  <c r="O194" i="202"/>
  <c r="O195" i="202" s="1"/>
  <c r="N119" i="16"/>
  <c r="N120" i="16" s="1"/>
  <c r="N253" i="16" s="1"/>
  <c r="M109" i="16"/>
  <c r="U48" i="16"/>
  <c r="W26" i="13"/>
  <c r="AG117" i="185"/>
  <c r="AH132" i="185"/>
  <c r="AG123" i="185"/>
  <c r="X118" i="185"/>
  <c r="W119" i="185"/>
  <c r="W80" i="185" s="1"/>
  <c r="I42" i="195"/>
  <c r="O167" i="202"/>
  <c r="O168" i="202" s="1"/>
  <c r="O169" i="202" s="1"/>
  <c r="D101" i="13"/>
  <c r="S14" i="181"/>
  <c r="O12" i="209"/>
  <c r="Q57" i="13"/>
  <c r="P96" i="16"/>
  <c r="P94" i="16" s="1"/>
  <c r="P98" i="16" s="1"/>
  <c r="R55" i="13"/>
  <c r="R54" i="13" s="1"/>
  <c r="N40" i="203"/>
  <c r="M40" i="203"/>
  <c r="W60" i="16"/>
  <c r="M42" i="207"/>
  <c r="P11" i="202"/>
  <c r="H33" i="219" s="1"/>
  <c r="P64" i="13"/>
  <c r="O106" i="16"/>
  <c r="Q62" i="13"/>
  <c r="N25" i="207"/>
  <c r="L169" i="16"/>
  <c r="M149" i="13"/>
  <c r="H13" i="207" s="1"/>
  <c r="U61" i="16"/>
  <c r="AG23" i="185"/>
  <c r="AH138" i="185"/>
  <c r="U47" i="16"/>
  <c r="W25" i="13"/>
  <c r="Q40" i="207"/>
  <c r="T8" i="202"/>
  <c r="I11" i="207"/>
  <c r="N131" i="16"/>
  <c r="O78" i="13"/>
  <c r="J159" i="16"/>
  <c r="D93" i="13"/>
  <c r="S54" i="16"/>
  <c r="H43" i="195"/>
  <c r="J217" i="202"/>
  <c r="C41" i="45"/>
  <c r="J255" i="16"/>
  <c r="I12" i="207"/>
  <c r="M152" i="16"/>
  <c r="O88" i="13"/>
  <c r="O148" i="13" s="1"/>
  <c r="V52" i="16"/>
  <c r="G27" i="207"/>
  <c r="M144" i="16"/>
  <c r="O85" i="13"/>
  <c r="AF125" i="185"/>
  <c r="AF75" i="185" s="1"/>
  <c r="L128" i="16"/>
  <c r="L127" i="16"/>
  <c r="S93" i="16"/>
  <c r="U53" i="13"/>
  <c r="Y53" i="13" s="1"/>
  <c r="Q147" i="202"/>
  <c r="Q148" i="202" s="1"/>
  <c r="C42" i="45"/>
  <c r="Q119" i="202"/>
  <c r="T67" i="16"/>
  <c r="X67" i="16" s="1"/>
  <c r="V39" i="13"/>
  <c r="O117" i="16"/>
  <c r="O118" i="16" s="1"/>
  <c r="Q70" i="13"/>
  <c r="P71" i="13"/>
  <c r="AF15" i="185"/>
  <c r="AG116" i="185"/>
  <c r="N85" i="13"/>
  <c r="Q97" i="16"/>
  <c r="S56" i="13"/>
  <c r="L40" i="203"/>
  <c r="O40" i="203"/>
  <c r="G243" i="34"/>
  <c r="G245" i="34"/>
  <c r="G242" i="34"/>
  <c r="G241" i="34"/>
  <c r="R116" i="16"/>
  <c r="T69" i="13"/>
  <c r="L13" i="209"/>
  <c r="P15" i="181"/>
  <c r="U421" i="202"/>
  <c r="K9" i="207"/>
  <c r="K127" i="16"/>
  <c r="K128" i="16"/>
  <c r="K149" i="13"/>
  <c r="F13" i="207" s="1"/>
  <c r="J169" i="16"/>
  <c r="F169" i="16"/>
  <c r="G149" i="13"/>
  <c r="S117" i="202"/>
  <c r="S118" i="202" s="1"/>
  <c r="S10" i="202"/>
  <c r="C56" i="46"/>
  <c r="N168" i="202"/>
  <c r="N169" i="202" s="1"/>
  <c r="U66" i="16"/>
  <c r="W38" i="13"/>
  <c r="O40" i="207"/>
  <c r="R8" i="202"/>
  <c r="T82" i="16"/>
  <c r="X82" i="16" s="1"/>
  <c r="V46" i="13"/>
  <c r="T499" i="202"/>
  <c r="T500" i="202" s="1"/>
  <c r="T501" i="202" s="1"/>
  <c r="O121" i="202"/>
  <c r="X52" i="175" l="1"/>
  <c r="X44" i="175"/>
  <c r="X47" i="175"/>
  <c r="X50" i="175"/>
  <c r="X30" i="175"/>
  <c r="Z29" i="28"/>
  <c r="X46" i="175"/>
  <c r="X63" i="175"/>
  <c r="X54" i="175"/>
  <c r="X60" i="175"/>
  <c r="X61" i="175"/>
  <c r="Z28" i="28"/>
  <c r="Z43" i="28"/>
  <c r="Y81" i="28"/>
  <c r="X29" i="175"/>
  <c r="X38" i="175"/>
  <c r="X45" i="175"/>
  <c r="X33" i="175"/>
  <c r="Y72" i="28"/>
  <c r="Y153" i="28"/>
  <c r="Y157" i="28"/>
  <c r="Y123" i="28"/>
  <c r="Y126" i="28"/>
  <c r="Y136" i="28"/>
  <c r="Y128" i="28"/>
  <c r="Y147" i="28"/>
  <c r="Y149" i="28"/>
  <c r="Y152" i="28"/>
  <c r="Y124" i="28"/>
  <c r="Y156" i="28"/>
  <c r="Y140" i="28"/>
  <c r="Y125" i="28"/>
  <c r="Y121" i="28"/>
  <c r="Y122" i="28"/>
  <c r="Y148" i="28"/>
  <c r="Z25" i="28"/>
  <c r="Y65" i="28"/>
  <c r="Y76" i="28"/>
  <c r="Y134" i="28"/>
  <c r="Y141" i="28"/>
  <c r="Y137" i="28"/>
  <c r="Y145" i="28"/>
  <c r="Y131" i="28"/>
  <c r="Y151" i="28"/>
  <c r="Y127" i="28"/>
  <c r="Y150" i="28"/>
  <c r="X31" i="175"/>
  <c r="W164" i="175"/>
  <c r="X28" i="175"/>
  <c r="X64" i="175"/>
  <c r="X55" i="175"/>
  <c r="X66" i="175"/>
  <c r="X51" i="175"/>
  <c r="X53" i="175"/>
  <c r="X56" i="175"/>
  <c r="X32" i="175"/>
  <c r="Q49" i="181"/>
  <c r="Q55" i="181" s="1"/>
  <c r="Q31" i="176"/>
  <c r="Q52" i="176" s="1"/>
  <c r="X62" i="175"/>
  <c r="X42" i="175"/>
  <c r="X40" i="175"/>
  <c r="X41" i="175"/>
  <c r="X58" i="175"/>
  <c r="X34" i="175"/>
  <c r="X65" i="175"/>
  <c r="U11" i="28"/>
  <c r="P15" i="176"/>
  <c r="P21" i="176" s="1"/>
  <c r="P23" i="176" s="1"/>
  <c r="X59" i="175"/>
  <c r="X36" i="175"/>
  <c r="X39" i="175"/>
  <c r="X57" i="175"/>
  <c r="X49" i="175"/>
  <c r="C516" i="202"/>
  <c r="C518" i="202" s="1"/>
  <c r="C519" i="202" s="1"/>
  <c r="C520" i="202" s="1"/>
  <c r="C521" i="202" s="1"/>
  <c r="C522" i="202" s="1"/>
  <c r="C523" i="202" s="1"/>
  <c r="C524" i="202" s="1"/>
  <c r="C525" i="202" s="1"/>
  <c r="C526" i="202" s="1"/>
  <c r="C527" i="202" s="1"/>
  <c r="C528" i="202" s="1"/>
  <c r="C529" i="202" s="1"/>
  <c r="C530" i="202" s="1"/>
  <c r="C531" i="202" s="1"/>
  <c r="C532" i="202" s="1"/>
  <c r="C533" i="202" s="1"/>
  <c r="C534" i="202" s="1"/>
  <c r="C536" i="202" s="1"/>
  <c r="C537" i="202" s="1"/>
  <c r="P163" i="13"/>
  <c r="P192" i="13" s="1"/>
  <c r="D8" i="219"/>
  <c r="D22" i="219" s="1"/>
  <c r="N165" i="13"/>
  <c r="N194" i="13" s="1"/>
  <c r="F11" i="213" s="1"/>
  <c r="N137" i="164"/>
  <c r="E8" i="219"/>
  <c r="O165" i="13"/>
  <c r="O194" i="13" s="1"/>
  <c r="O137" i="164"/>
  <c r="E7" i="219"/>
  <c r="E21" i="219" s="1"/>
  <c r="O164" i="13"/>
  <c r="O117" i="164"/>
  <c r="N193" i="13"/>
  <c r="F10" i="213" s="1"/>
  <c r="D117" i="219"/>
  <c r="V137" i="70"/>
  <c r="V123" i="70"/>
  <c r="V133" i="70"/>
  <c r="V125" i="70"/>
  <c r="V144" i="70"/>
  <c r="V146" i="70"/>
  <c r="V149" i="70"/>
  <c r="V121" i="70"/>
  <c r="G163" i="34"/>
  <c r="U156" i="70"/>
  <c r="U169" i="70" s="1"/>
  <c r="O185" i="34"/>
  <c r="N166" i="215" s="1"/>
  <c r="P185" i="34"/>
  <c r="O166" i="215" s="1"/>
  <c r="N185" i="34"/>
  <c r="M166" i="215" s="1"/>
  <c r="V118" i="70"/>
  <c r="V153" i="70"/>
  <c r="V150" i="70"/>
  <c r="V147" i="70"/>
  <c r="V119" i="70"/>
  <c r="V154" i="70"/>
  <c r="V145" i="70"/>
  <c r="V122" i="70"/>
  <c r="V120" i="70"/>
  <c r="V155" i="70"/>
  <c r="V131" i="70"/>
  <c r="V138" i="70"/>
  <c r="V134" i="70"/>
  <c r="V142" i="70"/>
  <c r="V128" i="70"/>
  <c r="V148" i="70"/>
  <c r="V124" i="70"/>
  <c r="O186" i="34"/>
  <c r="P186" i="34"/>
  <c r="N186" i="34"/>
  <c r="O187" i="34"/>
  <c r="P187" i="34"/>
  <c r="N187" i="34"/>
  <c r="O188" i="34"/>
  <c r="P188" i="34"/>
  <c r="N188" i="34"/>
  <c r="G153" i="215"/>
  <c r="N179" i="34"/>
  <c r="M153" i="215" s="1"/>
  <c r="O179" i="34"/>
  <c r="N153" i="215" s="1"/>
  <c r="P179" i="34"/>
  <c r="O153" i="215" s="1"/>
  <c r="O168" i="34"/>
  <c r="P168" i="34"/>
  <c r="N168" i="34"/>
  <c r="X170" i="28"/>
  <c r="S74" i="157" s="1"/>
  <c r="Y154" i="28"/>
  <c r="Y129" i="28"/>
  <c r="Y132" i="28"/>
  <c r="Y142" i="28"/>
  <c r="Y146" i="28"/>
  <c r="Y143" i="28"/>
  <c r="Y155" i="28"/>
  <c r="Y133" i="28"/>
  <c r="Y144" i="28"/>
  <c r="Y139" i="28"/>
  <c r="Y135" i="28"/>
  <c r="Y138" i="28"/>
  <c r="Y130" i="28"/>
  <c r="X168" i="28"/>
  <c r="S72" i="157" s="1"/>
  <c r="Y92" i="28"/>
  <c r="Y97" i="28"/>
  <c r="Y94" i="28"/>
  <c r="Y96" i="28"/>
  <c r="Y98" i="28"/>
  <c r="Y93" i="28"/>
  <c r="I118" i="215"/>
  <c r="AE142" i="34"/>
  <c r="Y91" i="28"/>
  <c r="Y100" i="28"/>
  <c r="Y99" i="28"/>
  <c r="Y101" i="28"/>
  <c r="U105" i="70"/>
  <c r="U167" i="70" s="1"/>
  <c r="Y95" i="28"/>
  <c r="V77" i="70"/>
  <c r="T123" i="34"/>
  <c r="S99" i="215" s="1"/>
  <c r="M123" i="34"/>
  <c r="L99" i="215" s="1"/>
  <c r="X123" i="34"/>
  <c r="W99" i="215" s="1"/>
  <c r="O123" i="34"/>
  <c r="N99" i="215" s="1"/>
  <c r="S123" i="34"/>
  <c r="R99" i="215" s="1"/>
  <c r="Z123" i="34"/>
  <c r="Y99" i="215" s="1"/>
  <c r="U123" i="34"/>
  <c r="T99" i="215" s="1"/>
  <c r="AA123" i="34"/>
  <c r="Z99" i="215" s="1"/>
  <c r="V123" i="34"/>
  <c r="U99" i="215" s="1"/>
  <c r="Q123" i="34"/>
  <c r="P99" i="215" s="1"/>
  <c r="P123" i="34"/>
  <c r="O99" i="215" s="1"/>
  <c r="Y123" i="34"/>
  <c r="X99" i="215" s="1"/>
  <c r="L123" i="34"/>
  <c r="K99" i="215" s="1"/>
  <c r="R123" i="34"/>
  <c r="Q99" i="215" s="1"/>
  <c r="J123" i="34"/>
  <c r="G99" i="215"/>
  <c r="W123" i="34"/>
  <c r="V99" i="215" s="1"/>
  <c r="N123" i="34"/>
  <c r="M99" i="215" s="1"/>
  <c r="K123" i="34"/>
  <c r="J99" i="215" s="1"/>
  <c r="Y67" i="28"/>
  <c r="Y70" i="28"/>
  <c r="Y71" i="28"/>
  <c r="Y78" i="28"/>
  <c r="Y80" i="28"/>
  <c r="U86" i="70"/>
  <c r="U165" i="70" s="1"/>
  <c r="V68" i="70"/>
  <c r="V84" i="70"/>
  <c r="V75" i="70"/>
  <c r="V79" i="70"/>
  <c r="X166" i="28"/>
  <c r="S71" i="157" s="1"/>
  <c r="Y73" i="28"/>
  <c r="Y68" i="28"/>
  <c r="Y77" i="28"/>
  <c r="Y75" i="28"/>
  <c r="Y79" i="28"/>
  <c r="Y66" i="28"/>
  <c r="Y69" i="28"/>
  <c r="Y82" i="28"/>
  <c r="Y64" i="28"/>
  <c r="U62" i="70"/>
  <c r="G106" i="34" s="1"/>
  <c r="Y106" i="34" s="1"/>
  <c r="X76" i="215" s="1"/>
  <c r="U60" i="70"/>
  <c r="G104" i="34" s="1"/>
  <c r="T104" i="34" s="1"/>
  <c r="S74" i="215" s="1"/>
  <c r="U63" i="70"/>
  <c r="G107" i="34" s="1"/>
  <c r="K107" i="34" s="1"/>
  <c r="J77" i="215" s="1"/>
  <c r="U61" i="70"/>
  <c r="G105" i="34" s="1"/>
  <c r="K105" i="34" s="1"/>
  <c r="J75" i="215" s="1"/>
  <c r="U55" i="70"/>
  <c r="G99" i="34" s="1"/>
  <c r="Z99" i="34" s="1"/>
  <c r="Y69" i="215" s="1"/>
  <c r="N49" i="209"/>
  <c r="R39" i="181"/>
  <c r="U54" i="70"/>
  <c r="G98" i="34" s="1"/>
  <c r="N98" i="34" s="1"/>
  <c r="M68" i="215" s="1"/>
  <c r="U51" i="70"/>
  <c r="X62" i="28"/>
  <c r="Y58" i="28" s="1"/>
  <c r="U57" i="70"/>
  <c r="G101" i="34" s="1"/>
  <c r="J101" i="34" s="1"/>
  <c r="I71" i="215" s="1"/>
  <c r="W46" i="70"/>
  <c r="W30" i="70"/>
  <c r="V48" i="70"/>
  <c r="V163" i="70" s="1"/>
  <c r="W26" i="70"/>
  <c r="Z31" i="28"/>
  <c r="W29" i="70"/>
  <c r="W44" i="70"/>
  <c r="Y164" i="28"/>
  <c r="T69" i="157" s="1"/>
  <c r="Z27" i="28"/>
  <c r="Z37" i="28"/>
  <c r="Z34" i="28"/>
  <c r="Z39" i="28"/>
  <c r="Z32" i="28"/>
  <c r="Z40" i="28"/>
  <c r="Z46" i="28"/>
  <c r="Z41" i="28"/>
  <c r="Z26" i="28"/>
  <c r="Z33" i="28"/>
  <c r="Z35" i="28"/>
  <c r="Z30" i="28"/>
  <c r="Z36" i="28"/>
  <c r="Z38" i="28"/>
  <c r="Z47" i="28" s="1"/>
  <c r="Z164" i="28" s="1"/>
  <c r="U69" i="157" s="1"/>
  <c r="Z44" i="28"/>
  <c r="Z42" i="28"/>
  <c r="Z166" i="175"/>
  <c r="U29" i="176" s="1"/>
  <c r="U51" i="181" s="1"/>
  <c r="N174" i="34"/>
  <c r="M148" i="215" s="1"/>
  <c r="P174" i="34"/>
  <c r="O148" i="215" s="1"/>
  <c r="O174" i="34"/>
  <c r="N148" i="215" s="1"/>
  <c r="J177" i="34"/>
  <c r="I151" i="215" s="1"/>
  <c r="N177" i="34"/>
  <c r="M151" i="215" s="1"/>
  <c r="R177" i="34"/>
  <c r="Q151" i="215" s="1"/>
  <c r="V177" i="34"/>
  <c r="U151" i="215" s="1"/>
  <c r="Z177" i="34"/>
  <c r="Y151" i="215" s="1"/>
  <c r="Q177" i="34"/>
  <c r="P151" i="215" s="1"/>
  <c r="U177" i="34"/>
  <c r="T151" i="215" s="1"/>
  <c r="Y177" i="34"/>
  <c r="X151" i="215" s="1"/>
  <c r="K177" i="34"/>
  <c r="J151" i="215" s="1"/>
  <c r="O177" i="34"/>
  <c r="N151" i="215" s="1"/>
  <c r="S177" i="34"/>
  <c r="R151" i="215" s="1"/>
  <c r="W177" i="34"/>
  <c r="V151" i="215" s="1"/>
  <c r="AA177" i="34"/>
  <c r="Z151" i="215" s="1"/>
  <c r="M177" i="34"/>
  <c r="L151" i="215" s="1"/>
  <c r="L177" i="34"/>
  <c r="K151" i="215" s="1"/>
  <c r="P177" i="34"/>
  <c r="O151" i="215" s="1"/>
  <c r="T177" i="34"/>
  <c r="S151" i="215" s="1"/>
  <c r="X177" i="34"/>
  <c r="W151" i="215" s="1"/>
  <c r="N176" i="34"/>
  <c r="M150" i="215" s="1"/>
  <c r="P176" i="34"/>
  <c r="O150" i="215" s="1"/>
  <c r="O176" i="34"/>
  <c r="N150" i="215" s="1"/>
  <c r="O171" i="34"/>
  <c r="N145" i="215" s="1"/>
  <c r="P171" i="34"/>
  <c r="O145" i="215" s="1"/>
  <c r="N171" i="34"/>
  <c r="M145" i="215" s="1"/>
  <c r="N173" i="34"/>
  <c r="M147" i="215" s="1"/>
  <c r="P173" i="34"/>
  <c r="O147" i="215" s="1"/>
  <c r="O173" i="34"/>
  <c r="N147" i="215" s="1"/>
  <c r="O172" i="34"/>
  <c r="N146" i="215" s="1"/>
  <c r="P172" i="34"/>
  <c r="O146" i="215" s="1"/>
  <c r="N172" i="34"/>
  <c r="M146" i="215" s="1"/>
  <c r="P183" i="34"/>
  <c r="O164" i="215" s="1"/>
  <c r="O183" i="34"/>
  <c r="N164" i="215" s="1"/>
  <c r="N183" i="34"/>
  <c r="M164" i="215" s="1"/>
  <c r="O169" i="34"/>
  <c r="N143" i="215" s="1"/>
  <c r="P169" i="34"/>
  <c r="O143" i="215" s="1"/>
  <c r="N169" i="34"/>
  <c r="M143" i="215" s="1"/>
  <c r="N180" i="34"/>
  <c r="M161" i="215" s="1"/>
  <c r="P180" i="34"/>
  <c r="O161" i="215" s="1"/>
  <c r="O180" i="34"/>
  <c r="N161" i="215" s="1"/>
  <c r="L178" i="34"/>
  <c r="K152" i="215" s="1"/>
  <c r="P178" i="34"/>
  <c r="O152" i="215" s="1"/>
  <c r="T178" i="34"/>
  <c r="S152" i="215" s="1"/>
  <c r="X178" i="34"/>
  <c r="W152" i="215" s="1"/>
  <c r="K178" i="34"/>
  <c r="J152" i="215" s="1"/>
  <c r="S178" i="34"/>
  <c r="R152" i="215" s="1"/>
  <c r="AA178" i="34"/>
  <c r="Z152" i="215" s="1"/>
  <c r="M178" i="34"/>
  <c r="L152" i="215" s="1"/>
  <c r="Q178" i="34"/>
  <c r="P152" i="215" s="1"/>
  <c r="U178" i="34"/>
  <c r="T152" i="215" s="1"/>
  <c r="Y178" i="34"/>
  <c r="X152" i="215" s="1"/>
  <c r="O178" i="34"/>
  <c r="N152" i="215" s="1"/>
  <c r="W178" i="34"/>
  <c r="V152" i="215" s="1"/>
  <c r="J178" i="34"/>
  <c r="I152" i="215" s="1"/>
  <c r="N178" i="34"/>
  <c r="M152" i="215" s="1"/>
  <c r="R178" i="34"/>
  <c r="Q152" i="215" s="1"/>
  <c r="V178" i="34"/>
  <c r="U152" i="215" s="1"/>
  <c r="Z178" i="34"/>
  <c r="Y152" i="215" s="1"/>
  <c r="J181" i="34"/>
  <c r="I162" i="215" s="1"/>
  <c r="N181" i="34"/>
  <c r="M162" i="215" s="1"/>
  <c r="R181" i="34"/>
  <c r="Q162" i="215" s="1"/>
  <c r="V181" i="34"/>
  <c r="U162" i="215" s="1"/>
  <c r="Z181" i="34"/>
  <c r="Y162" i="215" s="1"/>
  <c r="M181" i="34"/>
  <c r="L162" i="215" s="1"/>
  <c r="U181" i="34"/>
  <c r="T162" i="215" s="1"/>
  <c r="Y181" i="34"/>
  <c r="X162" i="215" s="1"/>
  <c r="K181" i="34"/>
  <c r="J162" i="215" s="1"/>
  <c r="O181" i="34"/>
  <c r="N162" i="215" s="1"/>
  <c r="S181" i="34"/>
  <c r="R162" i="215" s="1"/>
  <c r="W181" i="34"/>
  <c r="V162" i="215" s="1"/>
  <c r="AA181" i="34"/>
  <c r="Z162" i="215" s="1"/>
  <c r="Q181" i="34"/>
  <c r="P162" i="215" s="1"/>
  <c r="L181" i="34"/>
  <c r="K162" i="215" s="1"/>
  <c r="P181" i="34"/>
  <c r="O162" i="215" s="1"/>
  <c r="T181" i="34"/>
  <c r="S162" i="215" s="1"/>
  <c r="X181" i="34"/>
  <c r="W162" i="215" s="1"/>
  <c r="P170" i="34"/>
  <c r="O144" i="215" s="1"/>
  <c r="O170" i="34"/>
  <c r="N144" i="215" s="1"/>
  <c r="N170" i="34"/>
  <c r="M144" i="215" s="1"/>
  <c r="N175" i="34"/>
  <c r="M149" i="215" s="1"/>
  <c r="P175" i="34"/>
  <c r="O149" i="215" s="1"/>
  <c r="O175" i="34"/>
  <c r="N149" i="215" s="1"/>
  <c r="L182" i="34"/>
  <c r="K163" i="215" s="1"/>
  <c r="P182" i="34"/>
  <c r="O163" i="215" s="1"/>
  <c r="T182" i="34"/>
  <c r="S163" i="215" s="1"/>
  <c r="X182" i="34"/>
  <c r="W163" i="215" s="1"/>
  <c r="S182" i="34"/>
  <c r="R163" i="215" s="1"/>
  <c r="W182" i="34"/>
  <c r="V163" i="215" s="1"/>
  <c r="AA182" i="34"/>
  <c r="Z163" i="215" s="1"/>
  <c r="M182" i="34"/>
  <c r="L163" i="215" s="1"/>
  <c r="Q182" i="34"/>
  <c r="P163" i="215" s="1"/>
  <c r="U182" i="34"/>
  <c r="T163" i="215" s="1"/>
  <c r="Y182" i="34"/>
  <c r="X163" i="215" s="1"/>
  <c r="K182" i="34"/>
  <c r="J163" i="215" s="1"/>
  <c r="O182" i="34"/>
  <c r="N163" i="215" s="1"/>
  <c r="J182" i="34"/>
  <c r="I163" i="215" s="1"/>
  <c r="N182" i="34"/>
  <c r="M163" i="215" s="1"/>
  <c r="R182" i="34"/>
  <c r="Q163" i="215" s="1"/>
  <c r="V182" i="34"/>
  <c r="U163" i="215" s="1"/>
  <c r="Z182" i="34"/>
  <c r="Y163" i="215" s="1"/>
  <c r="O184" i="34"/>
  <c r="N165" i="215" s="1"/>
  <c r="P184" i="34"/>
  <c r="O165" i="215" s="1"/>
  <c r="N184" i="34"/>
  <c r="M165" i="215" s="1"/>
  <c r="T47" i="13"/>
  <c r="M18" i="209"/>
  <c r="R17" i="30"/>
  <c r="Q33" i="157"/>
  <c r="M31" i="209" s="1"/>
  <c r="Q21" i="181"/>
  <c r="Q87" i="181" s="1"/>
  <c r="R19" i="30"/>
  <c r="R30" i="157" s="1"/>
  <c r="N28" i="209" s="1"/>
  <c r="C39" i="203"/>
  <c r="P19" i="181"/>
  <c r="P120" i="181" s="1"/>
  <c r="L18" i="209"/>
  <c r="E22" i="219"/>
  <c r="H10" i="203"/>
  <c r="F10" i="203"/>
  <c r="J10" i="203"/>
  <c r="G96" i="202"/>
  <c r="G54" i="202"/>
  <c r="G93" i="202"/>
  <c r="G51" i="202"/>
  <c r="G104" i="202"/>
  <c r="G62" i="202"/>
  <c r="G10" i="203"/>
  <c r="D7" i="203"/>
  <c r="D39" i="203"/>
  <c r="G99" i="202"/>
  <c r="G57" i="202"/>
  <c r="G59" i="202"/>
  <c r="G101" i="202"/>
  <c r="G107" i="202"/>
  <c r="G65" i="202"/>
  <c r="I10" i="203"/>
  <c r="K10" i="203"/>
  <c r="G92" i="202"/>
  <c r="G10" i="202"/>
  <c r="G25" i="202" s="1"/>
  <c r="G50" i="202"/>
  <c r="G105" i="202"/>
  <c r="G63" i="202"/>
  <c r="G58" i="202"/>
  <c r="G100" i="202"/>
  <c r="G106" i="202"/>
  <c r="G64" i="202"/>
  <c r="D14" i="203"/>
  <c r="G98" i="202"/>
  <c r="G56" i="202"/>
  <c r="E10" i="203"/>
  <c r="G61" i="202"/>
  <c r="G103" i="202"/>
  <c r="G95" i="202"/>
  <c r="G53" i="202"/>
  <c r="G55" i="202"/>
  <c r="G97" i="202"/>
  <c r="G60" i="202"/>
  <c r="G102" i="202"/>
  <c r="G108" i="202"/>
  <c r="G66" i="202"/>
  <c r="K31" i="219"/>
  <c r="W10" i="202"/>
  <c r="Y102" i="34"/>
  <c r="X72" i="215" s="1"/>
  <c r="T102" i="34"/>
  <c r="S72" i="215" s="1"/>
  <c r="J102" i="34"/>
  <c r="I72" i="215" s="1"/>
  <c r="U102" i="34"/>
  <c r="T72" i="215" s="1"/>
  <c r="S102" i="34"/>
  <c r="R72" i="215" s="1"/>
  <c r="G72" i="215"/>
  <c r="V102" i="34"/>
  <c r="U72" i="215" s="1"/>
  <c r="Q102" i="34"/>
  <c r="P72" i="215" s="1"/>
  <c r="L102" i="34"/>
  <c r="K72" i="215" s="1"/>
  <c r="R102" i="34"/>
  <c r="Q72" i="215" s="1"/>
  <c r="M102" i="34"/>
  <c r="L72" i="215" s="1"/>
  <c r="P102" i="34"/>
  <c r="O72" i="215" s="1"/>
  <c r="W102" i="34"/>
  <c r="V72" i="215" s="1"/>
  <c r="N102" i="34"/>
  <c r="M72" i="215" s="1"/>
  <c r="K102" i="34"/>
  <c r="J72" i="215" s="1"/>
  <c r="O102" i="34"/>
  <c r="N72" i="215" s="1"/>
  <c r="AA102" i="34"/>
  <c r="Z72" i="215" s="1"/>
  <c r="Z102" i="34"/>
  <c r="Y72" i="215" s="1"/>
  <c r="X102" i="34"/>
  <c r="W72" i="215" s="1"/>
  <c r="G92" i="215"/>
  <c r="P116" i="34"/>
  <c r="O92" i="215" s="1"/>
  <c r="M116" i="34"/>
  <c r="L92" i="215" s="1"/>
  <c r="AA116" i="34"/>
  <c r="Z92" i="215" s="1"/>
  <c r="O116" i="34"/>
  <c r="N92" i="215" s="1"/>
  <c r="X116" i="34"/>
  <c r="W92" i="215" s="1"/>
  <c r="J116" i="34"/>
  <c r="I92" i="215" s="1"/>
  <c r="Y116" i="34"/>
  <c r="X92" i="215" s="1"/>
  <c r="S116" i="34"/>
  <c r="R92" i="215" s="1"/>
  <c r="K116" i="34"/>
  <c r="J92" i="215" s="1"/>
  <c r="W116" i="34"/>
  <c r="V92" i="215" s="1"/>
  <c r="L116" i="34"/>
  <c r="K92" i="215" s="1"/>
  <c r="V116" i="34"/>
  <c r="U92" i="215" s="1"/>
  <c r="Z116" i="34"/>
  <c r="Y92" i="215" s="1"/>
  <c r="U116" i="34"/>
  <c r="T92" i="215" s="1"/>
  <c r="R116" i="34"/>
  <c r="Q92" i="215" s="1"/>
  <c r="N116" i="34"/>
  <c r="M92" i="215" s="1"/>
  <c r="T116" i="34"/>
  <c r="S92" i="215" s="1"/>
  <c r="Q116" i="34"/>
  <c r="P92" i="215" s="1"/>
  <c r="G174" i="215"/>
  <c r="N196" i="34"/>
  <c r="M174" i="215" s="1"/>
  <c r="P196" i="34"/>
  <c r="O174" i="215" s="1"/>
  <c r="O196" i="34"/>
  <c r="N174" i="215" s="1"/>
  <c r="M54" i="34"/>
  <c r="L24" i="215" s="1"/>
  <c r="U54" i="34"/>
  <c r="T24" i="215" s="1"/>
  <c r="AA54" i="34"/>
  <c r="Z24" i="215" s="1"/>
  <c r="S54" i="34"/>
  <c r="R24" i="215" s="1"/>
  <c r="T54" i="34"/>
  <c r="S24" i="215" s="1"/>
  <c r="N54" i="34"/>
  <c r="M24" i="215" s="1"/>
  <c r="X54" i="34"/>
  <c r="W24" i="215" s="1"/>
  <c r="W54" i="34"/>
  <c r="V24" i="215" s="1"/>
  <c r="P54" i="34"/>
  <c r="O24" i="215" s="1"/>
  <c r="J54" i="34"/>
  <c r="I24" i="215" s="1"/>
  <c r="V54" i="34"/>
  <c r="U24" i="215" s="1"/>
  <c r="Y54" i="34"/>
  <c r="X24" i="215" s="1"/>
  <c r="R54" i="34"/>
  <c r="Q24" i="215" s="1"/>
  <c r="O54" i="34"/>
  <c r="N24" i="215" s="1"/>
  <c r="K54" i="34"/>
  <c r="J24" i="215" s="1"/>
  <c r="Z54" i="34"/>
  <c r="Y24" i="215" s="1"/>
  <c r="Q54" i="34"/>
  <c r="P24" i="215" s="1"/>
  <c r="G24" i="215"/>
  <c r="L54" i="34"/>
  <c r="K24" i="215" s="1"/>
  <c r="V59" i="34"/>
  <c r="U29" i="215" s="1"/>
  <c r="T59" i="34"/>
  <c r="S29" i="215" s="1"/>
  <c r="Y59" i="34"/>
  <c r="X29" i="215" s="1"/>
  <c r="U59" i="34"/>
  <c r="T29" i="215" s="1"/>
  <c r="K59" i="34"/>
  <c r="J29" i="215" s="1"/>
  <c r="N59" i="34"/>
  <c r="M29" i="215" s="1"/>
  <c r="R59" i="34"/>
  <c r="Q29" i="215" s="1"/>
  <c r="L59" i="34"/>
  <c r="K29" i="215" s="1"/>
  <c r="Z59" i="34"/>
  <c r="Y29" i="215" s="1"/>
  <c r="J59" i="34"/>
  <c r="I29" i="215" s="1"/>
  <c r="Q59" i="34"/>
  <c r="P29" i="215" s="1"/>
  <c r="W59" i="34"/>
  <c r="V29" i="215" s="1"/>
  <c r="O59" i="34"/>
  <c r="N29" i="215" s="1"/>
  <c r="AA59" i="34"/>
  <c r="Z29" i="215" s="1"/>
  <c r="G29" i="215"/>
  <c r="M59" i="34"/>
  <c r="L29" i="215" s="1"/>
  <c r="P59" i="34"/>
  <c r="O29" i="215" s="1"/>
  <c r="X59" i="34"/>
  <c r="W29" i="215" s="1"/>
  <c r="S59" i="34"/>
  <c r="R29" i="215" s="1"/>
  <c r="G144" i="215"/>
  <c r="P88" i="34"/>
  <c r="O58" i="215" s="1"/>
  <c r="M88" i="34"/>
  <c r="L58" i="215" s="1"/>
  <c r="N88" i="34"/>
  <c r="M58" i="215" s="1"/>
  <c r="W88" i="34"/>
  <c r="V58" i="215" s="1"/>
  <c r="R88" i="34"/>
  <c r="Q58" i="215" s="1"/>
  <c r="K88" i="34"/>
  <c r="J58" i="215" s="1"/>
  <c r="V88" i="34"/>
  <c r="U58" i="215" s="1"/>
  <c r="G58" i="215"/>
  <c r="L88" i="34"/>
  <c r="K58" i="215" s="1"/>
  <c r="Y88" i="34"/>
  <c r="X58" i="215" s="1"/>
  <c r="J88" i="34"/>
  <c r="I58" i="215" s="1"/>
  <c r="U88" i="34"/>
  <c r="T58" i="215" s="1"/>
  <c r="AA88" i="34"/>
  <c r="Z58" i="215" s="1"/>
  <c r="X88" i="34"/>
  <c r="W58" i="215" s="1"/>
  <c r="Z88" i="34"/>
  <c r="Y58" i="215" s="1"/>
  <c r="Q88" i="34"/>
  <c r="P58" i="215" s="1"/>
  <c r="O88" i="34"/>
  <c r="N58" i="215" s="1"/>
  <c r="T88" i="34"/>
  <c r="S58" i="215" s="1"/>
  <c r="S88" i="34"/>
  <c r="R58" i="215" s="1"/>
  <c r="G131" i="215"/>
  <c r="O155" i="34"/>
  <c r="N131" i="215" s="1"/>
  <c r="N155" i="34"/>
  <c r="M131" i="215" s="1"/>
  <c r="P155" i="34"/>
  <c r="O131" i="215" s="1"/>
  <c r="L53" i="34"/>
  <c r="K23" i="215" s="1"/>
  <c r="K53" i="34"/>
  <c r="J23" i="215" s="1"/>
  <c r="V53" i="34"/>
  <c r="U23" i="215" s="1"/>
  <c r="T53" i="34"/>
  <c r="S23" i="215" s="1"/>
  <c r="X53" i="34"/>
  <c r="W23" i="215" s="1"/>
  <c r="AA53" i="34"/>
  <c r="Z23" i="215" s="1"/>
  <c r="P53" i="34"/>
  <c r="O23" i="215" s="1"/>
  <c r="N53" i="34"/>
  <c r="M23" i="215" s="1"/>
  <c r="Z53" i="34"/>
  <c r="Y23" i="215" s="1"/>
  <c r="M53" i="34"/>
  <c r="L23" i="215" s="1"/>
  <c r="Q53" i="34"/>
  <c r="P23" i="215" s="1"/>
  <c r="Y53" i="34"/>
  <c r="X23" i="215" s="1"/>
  <c r="G23" i="215"/>
  <c r="R53" i="34"/>
  <c r="Q23" i="215" s="1"/>
  <c r="O53" i="34"/>
  <c r="N23" i="215" s="1"/>
  <c r="U53" i="34"/>
  <c r="T23" i="215" s="1"/>
  <c r="W53" i="34"/>
  <c r="V23" i="215" s="1"/>
  <c r="J53" i="34"/>
  <c r="I23" i="215" s="1"/>
  <c r="S53" i="34"/>
  <c r="R23" i="215" s="1"/>
  <c r="G149" i="215"/>
  <c r="R148" i="34"/>
  <c r="Q124" i="215" s="1"/>
  <c r="Q148" i="34"/>
  <c r="P124" i="215" s="1"/>
  <c r="Z148" i="34"/>
  <c r="Y124" i="215" s="1"/>
  <c r="J148" i="34"/>
  <c r="I124" i="215" s="1"/>
  <c r="X148" i="34"/>
  <c r="W124" i="215" s="1"/>
  <c r="U148" i="34"/>
  <c r="T124" i="215" s="1"/>
  <c r="T148" i="34"/>
  <c r="S124" i="215" s="1"/>
  <c r="W148" i="34"/>
  <c r="V124" i="215" s="1"/>
  <c r="V148" i="34"/>
  <c r="U124" i="215" s="1"/>
  <c r="AA148" i="34"/>
  <c r="Z124" i="215" s="1"/>
  <c r="Y148" i="34"/>
  <c r="X124" i="215" s="1"/>
  <c r="K148" i="34"/>
  <c r="J124" i="215" s="1"/>
  <c r="G124" i="215"/>
  <c r="L148" i="34"/>
  <c r="K124" i="215" s="1"/>
  <c r="P148" i="34"/>
  <c r="O124" i="215" s="1"/>
  <c r="O148" i="34"/>
  <c r="N124" i="215" s="1"/>
  <c r="S148" i="34"/>
  <c r="R124" i="215" s="1"/>
  <c r="N148" i="34"/>
  <c r="M124" i="215" s="1"/>
  <c r="M148" i="34"/>
  <c r="L124" i="215" s="1"/>
  <c r="U85" i="34"/>
  <c r="T55" i="215" s="1"/>
  <c r="N85" i="34"/>
  <c r="M55" i="215" s="1"/>
  <c r="J85" i="34"/>
  <c r="I55" i="215" s="1"/>
  <c r="R85" i="34"/>
  <c r="Q55" i="215" s="1"/>
  <c r="S85" i="34"/>
  <c r="R55" i="215" s="1"/>
  <c r="P85" i="34"/>
  <c r="O55" i="215" s="1"/>
  <c r="T85" i="34"/>
  <c r="S55" i="215" s="1"/>
  <c r="W85" i="34"/>
  <c r="V55" i="215" s="1"/>
  <c r="X85" i="34"/>
  <c r="W55" i="215" s="1"/>
  <c r="G55" i="215"/>
  <c r="M85" i="34"/>
  <c r="L55" i="215" s="1"/>
  <c r="O85" i="34"/>
  <c r="N55" i="215" s="1"/>
  <c r="Z85" i="34"/>
  <c r="Y55" i="215" s="1"/>
  <c r="L85" i="34"/>
  <c r="K55" i="215" s="1"/>
  <c r="AA85" i="34"/>
  <c r="Z55" i="215" s="1"/>
  <c r="V85" i="34"/>
  <c r="U55" i="215" s="1"/>
  <c r="K85" i="34"/>
  <c r="J55" i="215" s="1"/>
  <c r="Q85" i="34"/>
  <c r="P55" i="215" s="1"/>
  <c r="Y85" i="34"/>
  <c r="X55" i="215" s="1"/>
  <c r="G161" i="215"/>
  <c r="G152" i="215"/>
  <c r="S90" i="34"/>
  <c r="R60" i="215" s="1"/>
  <c r="Y90" i="34"/>
  <c r="X60" i="215" s="1"/>
  <c r="K90" i="34"/>
  <c r="J60" i="215" s="1"/>
  <c r="U90" i="34"/>
  <c r="T60" i="215" s="1"/>
  <c r="L90" i="34"/>
  <c r="K60" i="215" s="1"/>
  <c r="G60" i="215"/>
  <c r="N90" i="34"/>
  <c r="M60" i="215" s="1"/>
  <c r="Z90" i="34"/>
  <c r="Y60" i="215" s="1"/>
  <c r="O90" i="34"/>
  <c r="N60" i="215" s="1"/>
  <c r="R90" i="34"/>
  <c r="Q60" i="215" s="1"/>
  <c r="P90" i="34"/>
  <c r="O60" i="215" s="1"/>
  <c r="M90" i="34"/>
  <c r="L60" i="215" s="1"/>
  <c r="X90" i="34"/>
  <c r="W60" i="215" s="1"/>
  <c r="W90" i="34"/>
  <c r="V60" i="215" s="1"/>
  <c r="Q90" i="34"/>
  <c r="P60" i="215" s="1"/>
  <c r="AA90" i="34"/>
  <c r="Z60" i="215" s="1"/>
  <c r="T90" i="34"/>
  <c r="S60" i="215" s="1"/>
  <c r="J90" i="34"/>
  <c r="I60" i="215" s="1"/>
  <c r="V90" i="34"/>
  <c r="U60" i="215" s="1"/>
  <c r="G169" i="215"/>
  <c r="N191" i="34"/>
  <c r="M169" i="215" s="1"/>
  <c r="P191" i="34"/>
  <c r="O169" i="215" s="1"/>
  <c r="O191" i="34"/>
  <c r="N169" i="215" s="1"/>
  <c r="G162" i="215"/>
  <c r="N126" i="34"/>
  <c r="M102" i="215" s="1"/>
  <c r="G102" i="215"/>
  <c r="AA126" i="34"/>
  <c r="Z102" i="215" s="1"/>
  <c r="Z126" i="34"/>
  <c r="Y102" i="215" s="1"/>
  <c r="R126" i="34"/>
  <c r="Q102" i="215" s="1"/>
  <c r="J126" i="34"/>
  <c r="I102" i="215" s="1"/>
  <c r="M126" i="34"/>
  <c r="L102" i="215" s="1"/>
  <c r="V126" i="34"/>
  <c r="U102" i="215" s="1"/>
  <c r="L126" i="34"/>
  <c r="K102" i="215" s="1"/>
  <c r="Y126" i="34"/>
  <c r="X102" i="215" s="1"/>
  <c r="U126" i="34"/>
  <c r="T102" i="215" s="1"/>
  <c r="Q126" i="34"/>
  <c r="P102" i="215" s="1"/>
  <c r="T126" i="34"/>
  <c r="S102" i="215" s="1"/>
  <c r="P126" i="34"/>
  <c r="O102" i="215" s="1"/>
  <c r="K126" i="34"/>
  <c r="J102" i="215" s="1"/>
  <c r="W126" i="34"/>
  <c r="V102" i="215" s="1"/>
  <c r="O126" i="34"/>
  <c r="N102" i="215" s="1"/>
  <c r="S126" i="34"/>
  <c r="R102" i="215" s="1"/>
  <c r="X126" i="34"/>
  <c r="W102" i="215" s="1"/>
  <c r="O154" i="34"/>
  <c r="N130" i="215" s="1"/>
  <c r="P154" i="34"/>
  <c r="O130" i="215" s="1"/>
  <c r="G130" i="215"/>
  <c r="N154" i="34"/>
  <c r="M130" i="215" s="1"/>
  <c r="G166" i="215"/>
  <c r="G147" i="215"/>
  <c r="G116" i="215"/>
  <c r="O140" i="34"/>
  <c r="U140" i="34"/>
  <c r="M140" i="34"/>
  <c r="X140" i="34"/>
  <c r="R140" i="34"/>
  <c r="S140" i="34"/>
  <c r="Y140" i="34"/>
  <c r="W140" i="34"/>
  <c r="V140" i="34"/>
  <c r="K140" i="34"/>
  <c r="N140" i="34"/>
  <c r="Q140" i="34"/>
  <c r="AA140" i="34"/>
  <c r="Z140" i="34"/>
  <c r="T140" i="34"/>
  <c r="J140" i="34"/>
  <c r="P140" i="34"/>
  <c r="L140" i="34"/>
  <c r="G172" i="215"/>
  <c r="N194" i="34"/>
  <c r="M172" i="215" s="1"/>
  <c r="P194" i="34"/>
  <c r="O172" i="215" s="1"/>
  <c r="O194" i="34"/>
  <c r="N172" i="215" s="1"/>
  <c r="G146" i="215"/>
  <c r="G180" i="215"/>
  <c r="N202" i="34"/>
  <c r="M180" i="215" s="1"/>
  <c r="P202" i="34"/>
  <c r="O180" i="215" s="1"/>
  <c r="O202" i="34"/>
  <c r="N180" i="215" s="1"/>
  <c r="G98" i="215"/>
  <c r="P122" i="34"/>
  <c r="O98" i="215" s="1"/>
  <c r="N122" i="34"/>
  <c r="M98" i="215" s="1"/>
  <c r="O122" i="34"/>
  <c r="N98" i="215" s="1"/>
  <c r="G164" i="215"/>
  <c r="G143" i="215"/>
  <c r="Z147" i="34"/>
  <c r="Y123" i="215" s="1"/>
  <c r="S147" i="34"/>
  <c r="R123" i="215" s="1"/>
  <c r="Y147" i="34"/>
  <c r="X123" i="215" s="1"/>
  <c r="W147" i="34"/>
  <c r="V123" i="215" s="1"/>
  <c r="X147" i="34"/>
  <c r="W123" i="215" s="1"/>
  <c r="O147" i="34"/>
  <c r="N123" i="215" s="1"/>
  <c r="T147" i="34"/>
  <c r="S123" i="215" s="1"/>
  <c r="P147" i="34"/>
  <c r="O123" i="215" s="1"/>
  <c r="Q147" i="34"/>
  <c r="P123" i="215" s="1"/>
  <c r="K147" i="34"/>
  <c r="J123" i="215" s="1"/>
  <c r="R147" i="34"/>
  <c r="Q123" i="215" s="1"/>
  <c r="J147" i="34"/>
  <c r="I123" i="215" s="1"/>
  <c r="M147" i="34"/>
  <c r="L123" i="215" s="1"/>
  <c r="L147" i="34"/>
  <c r="K123" i="215" s="1"/>
  <c r="U147" i="34"/>
  <c r="T123" i="215" s="1"/>
  <c r="AA147" i="34"/>
  <c r="Z123" i="215" s="1"/>
  <c r="G123" i="215"/>
  <c r="V147" i="34"/>
  <c r="U123" i="215" s="1"/>
  <c r="N147" i="34"/>
  <c r="M123" i="215" s="1"/>
  <c r="N158" i="34"/>
  <c r="M134" i="215" s="1"/>
  <c r="G134" i="215"/>
  <c r="P158" i="34"/>
  <c r="O134" i="215" s="1"/>
  <c r="O158" i="34"/>
  <c r="N134" i="215" s="1"/>
  <c r="G177" i="215"/>
  <c r="O199" i="34"/>
  <c r="N177" i="215" s="1"/>
  <c r="P199" i="34"/>
  <c r="O177" i="215" s="1"/>
  <c r="N199" i="34"/>
  <c r="M177" i="215" s="1"/>
  <c r="T78" i="34"/>
  <c r="S48" i="215" s="1"/>
  <c r="V78" i="34"/>
  <c r="U48" i="215" s="1"/>
  <c r="N78" i="34"/>
  <c r="M48" i="215" s="1"/>
  <c r="U78" i="34"/>
  <c r="T48" i="215" s="1"/>
  <c r="Y78" i="34"/>
  <c r="X48" i="215" s="1"/>
  <c r="P78" i="34"/>
  <c r="O48" i="215" s="1"/>
  <c r="X78" i="34"/>
  <c r="W48" i="215" s="1"/>
  <c r="R78" i="34"/>
  <c r="Q48" i="215" s="1"/>
  <c r="S78" i="34"/>
  <c r="R48" i="215" s="1"/>
  <c r="O78" i="34"/>
  <c r="N48" i="215" s="1"/>
  <c r="M78" i="34"/>
  <c r="L48" i="215" s="1"/>
  <c r="Z78" i="34"/>
  <c r="Y48" i="215" s="1"/>
  <c r="G48" i="215"/>
  <c r="Q78" i="34"/>
  <c r="P48" i="215" s="1"/>
  <c r="W78" i="34"/>
  <c r="V48" i="215" s="1"/>
  <c r="J78" i="34"/>
  <c r="I48" i="215" s="1"/>
  <c r="L78" i="34"/>
  <c r="K48" i="215" s="1"/>
  <c r="AA78" i="34"/>
  <c r="Z48" i="215" s="1"/>
  <c r="K78" i="34"/>
  <c r="J48" i="215" s="1"/>
  <c r="G175" i="215"/>
  <c r="P197" i="34"/>
  <c r="O175" i="215" s="1"/>
  <c r="O197" i="34"/>
  <c r="N175" i="215" s="1"/>
  <c r="N197" i="34"/>
  <c r="M175" i="215" s="1"/>
  <c r="Y80" i="34"/>
  <c r="X50" i="215" s="1"/>
  <c r="O80" i="34"/>
  <c r="N50" i="215" s="1"/>
  <c r="Q80" i="34"/>
  <c r="P50" i="215" s="1"/>
  <c r="S80" i="34"/>
  <c r="R50" i="215" s="1"/>
  <c r="G50" i="215"/>
  <c r="N80" i="34"/>
  <c r="M50" i="215" s="1"/>
  <c r="AA80" i="34"/>
  <c r="Z50" i="215" s="1"/>
  <c r="Z80" i="34"/>
  <c r="Y50" i="215" s="1"/>
  <c r="J80" i="34"/>
  <c r="I50" i="215" s="1"/>
  <c r="W80" i="34"/>
  <c r="V50" i="215" s="1"/>
  <c r="T80" i="34"/>
  <c r="S50" i="215" s="1"/>
  <c r="U80" i="34"/>
  <c r="T50" i="215" s="1"/>
  <c r="V80" i="34"/>
  <c r="U50" i="215" s="1"/>
  <c r="M80" i="34"/>
  <c r="L50" i="215" s="1"/>
  <c r="X80" i="34"/>
  <c r="W50" i="215" s="1"/>
  <c r="R80" i="34"/>
  <c r="Q50" i="215" s="1"/>
  <c r="L80" i="34"/>
  <c r="K50" i="215" s="1"/>
  <c r="K80" i="34"/>
  <c r="J50" i="215" s="1"/>
  <c r="P80" i="34"/>
  <c r="O50" i="215" s="1"/>
  <c r="G170" i="215"/>
  <c r="N192" i="34"/>
  <c r="M170" i="215" s="1"/>
  <c r="P192" i="34"/>
  <c r="O170" i="215" s="1"/>
  <c r="O192" i="34"/>
  <c r="N170" i="215" s="1"/>
  <c r="G179" i="215"/>
  <c r="N201" i="34"/>
  <c r="M179" i="215" s="1"/>
  <c r="P201" i="34"/>
  <c r="O179" i="215" s="1"/>
  <c r="O201" i="34"/>
  <c r="N179" i="215" s="1"/>
  <c r="K77" i="34"/>
  <c r="J47" i="215" s="1"/>
  <c r="T77" i="34"/>
  <c r="S47" i="215" s="1"/>
  <c r="M77" i="34"/>
  <c r="L47" i="215" s="1"/>
  <c r="V77" i="34"/>
  <c r="U47" i="215" s="1"/>
  <c r="W77" i="34"/>
  <c r="V47" i="215" s="1"/>
  <c r="P77" i="34"/>
  <c r="O47" i="215" s="1"/>
  <c r="Q77" i="34"/>
  <c r="P47" i="215" s="1"/>
  <c r="J77" i="34"/>
  <c r="I47" i="215" s="1"/>
  <c r="G47" i="215"/>
  <c r="AA77" i="34"/>
  <c r="Z47" i="215" s="1"/>
  <c r="S77" i="34"/>
  <c r="R47" i="215" s="1"/>
  <c r="N77" i="34"/>
  <c r="M47" i="215" s="1"/>
  <c r="Z77" i="34"/>
  <c r="Y47" i="215" s="1"/>
  <c r="L77" i="34"/>
  <c r="K47" i="215" s="1"/>
  <c r="O77" i="34"/>
  <c r="N47" i="215" s="1"/>
  <c r="Y77" i="34"/>
  <c r="X47" i="215" s="1"/>
  <c r="R77" i="34"/>
  <c r="Q47" i="215" s="1"/>
  <c r="U77" i="34"/>
  <c r="T47" i="215" s="1"/>
  <c r="X77" i="34"/>
  <c r="W47" i="215" s="1"/>
  <c r="Q149" i="34"/>
  <c r="P125" i="215" s="1"/>
  <c r="R149" i="34"/>
  <c r="Q125" i="215" s="1"/>
  <c r="K149" i="34"/>
  <c r="J125" i="215" s="1"/>
  <c r="M149" i="34"/>
  <c r="L125" i="215" s="1"/>
  <c r="X149" i="34"/>
  <c r="W125" i="215" s="1"/>
  <c r="L149" i="34"/>
  <c r="K125" i="215" s="1"/>
  <c r="Z149" i="34"/>
  <c r="Y125" i="215" s="1"/>
  <c r="S149" i="34"/>
  <c r="R125" i="215" s="1"/>
  <c r="U149" i="34"/>
  <c r="T125" i="215" s="1"/>
  <c r="W149" i="34"/>
  <c r="V125" i="215" s="1"/>
  <c r="N149" i="34"/>
  <c r="M125" i="215" s="1"/>
  <c r="G125" i="215"/>
  <c r="T149" i="34"/>
  <c r="S125" i="215" s="1"/>
  <c r="O149" i="34"/>
  <c r="N125" i="215" s="1"/>
  <c r="V149" i="34"/>
  <c r="U125" i="215" s="1"/>
  <c r="J149" i="34"/>
  <c r="I125" i="215" s="1"/>
  <c r="Y149" i="34"/>
  <c r="X125" i="215" s="1"/>
  <c r="AA149" i="34"/>
  <c r="Z125" i="215" s="1"/>
  <c r="P149" i="34"/>
  <c r="O125" i="215" s="1"/>
  <c r="X63" i="34"/>
  <c r="W33" i="215" s="1"/>
  <c r="Z63" i="34"/>
  <c r="Y33" i="215" s="1"/>
  <c r="W63" i="34"/>
  <c r="V33" i="215" s="1"/>
  <c r="K63" i="34"/>
  <c r="J33" i="215" s="1"/>
  <c r="R63" i="34"/>
  <c r="Q33" i="215" s="1"/>
  <c r="M63" i="34"/>
  <c r="L33" i="215" s="1"/>
  <c r="N63" i="34"/>
  <c r="M33" i="215" s="1"/>
  <c r="L63" i="34"/>
  <c r="K33" i="215" s="1"/>
  <c r="P63" i="34"/>
  <c r="O33" i="215" s="1"/>
  <c r="O63" i="34"/>
  <c r="N33" i="215" s="1"/>
  <c r="J63" i="34"/>
  <c r="I33" i="215" s="1"/>
  <c r="T63" i="34"/>
  <c r="S33" i="215" s="1"/>
  <c r="U63" i="34"/>
  <c r="T33" i="215" s="1"/>
  <c r="Q63" i="34"/>
  <c r="P33" i="215" s="1"/>
  <c r="S63" i="34"/>
  <c r="R33" i="215" s="1"/>
  <c r="G33" i="215"/>
  <c r="V63" i="34"/>
  <c r="U33" i="215" s="1"/>
  <c r="AA63" i="34"/>
  <c r="Z33" i="215" s="1"/>
  <c r="Y63" i="34"/>
  <c r="X33" i="215" s="1"/>
  <c r="G173" i="215"/>
  <c r="N195" i="34"/>
  <c r="M173" i="215" s="1"/>
  <c r="P195" i="34"/>
  <c r="O173" i="215" s="1"/>
  <c r="O195" i="34"/>
  <c r="N173" i="215" s="1"/>
  <c r="G20" i="215"/>
  <c r="W50" i="34"/>
  <c r="V20" i="215" s="1"/>
  <c r="P50" i="34"/>
  <c r="O20" i="215" s="1"/>
  <c r="U50" i="34"/>
  <c r="T20" i="215" s="1"/>
  <c r="K50" i="34"/>
  <c r="J20" i="215" s="1"/>
  <c r="T50" i="34"/>
  <c r="S20" i="215" s="1"/>
  <c r="L50" i="34"/>
  <c r="K20" i="215" s="1"/>
  <c r="S50" i="34"/>
  <c r="R20" i="215" s="1"/>
  <c r="X50" i="34"/>
  <c r="W20" i="215" s="1"/>
  <c r="M50" i="34"/>
  <c r="L20" i="215" s="1"/>
  <c r="J50" i="34"/>
  <c r="I20" i="215" s="1"/>
  <c r="Q50" i="34"/>
  <c r="P20" i="215" s="1"/>
  <c r="R50" i="34"/>
  <c r="Q20" i="215" s="1"/>
  <c r="Y50" i="34"/>
  <c r="X20" i="215" s="1"/>
  <c r="N50" i="34"/>
  <c r="M20" i="215" s="1"/>
  <c r="AA50" i="34"/>
  <c r="Z20" i="215" s="1"/>
  <c r="Z50" i="34"/>
  <c r="Y20" i="215" s="1"/>
  <c r="V50" i="34"/>
  <c r="U20" i="215" s="1"/>
  <c r="O50" i="34"/>
  <c r="N20" i="215" s="1"/>
  <c r="L125" i="34"/>
  <c r="K101" i="215" s="1"/>
  <c r="V125" i="34"/>
  <c r="U101" i="215" s="1"/>
  <c r="U125" i="34"/>
  <c r="T101" i="215" s="1"/>
  <c r="J125" i="34"/>
  <c r="I101" i="215" s="1"/>
  <c r="AA125" i="34"/>
  <c r="Z101" i="215" s="1"/>
  <c r="W125" i="34"/>
  <c r="V101" i="215" s="1"/>
  <c r="O125" i="34"/>
  <c r="N101" i="215" s="1"/>
  <c r="Q125" i="34"/>
  <c r="P101" i="215" s="1"/>
  <c r="G101" i="215"/>
  <c r="Y125" i="34"/>
  <c r="X101" i="215" s="1"/>
  <c r="X125" i="34"/>
  <c r="W101" i="215" s="1"/>
  <c r="S125" i="34"/>
  <c r="R101" i="215" s="1"/>
  <c r="Z125" i="34"/>
  <c r="Y101" i="215" s="1"/>
  <c r="M125" i="34"/>
  <c r="L101" i="215" s="1"/>
  <c r="N125" i="34"/>
  <c r="M101" i="215" s="1"/>
  <c r="R125" i="34"/>
  <c r="Q101" i="215" s="1"/>
  <c r="P125" i="34"/>
  <c r="O101" i="215" s="1"/>
  <c r="T125" i="34"/>
  <c r="S101" i="215" s="1"/>
  <c r="K125" i="34"/>
  <c r="J101" i="215" s="1"/>
  <c r="L115" i="34"/>
  <c r="K91" i="215" s="1"/>
  <c r="M115" i="34"/>
  <c r="L91" i="215" s="1"/>
  <c r="V115" i="34"/>
  <c r="U91" i="215" s="1"/>
  <c r="W115" i="34"/>
  <c r="V91" i="215" s="1"/>
  <c r="R115" i="34"/>
  <c r="Q91" i="215" s="1"/>
  <c r="AA115" i="34"/>
  <c r="Z91" i="215" s="1"/>
  <c r="X115" i="34"/>
  <c r="W91" i="215" s="1"/>
  <c r="Z115" i="34"/>
  <c r="Y91" i="215" s="1"/>
  <c r="S115" i="34"/>
  <c r="R91" i="215" s="1"/>
  <c r="U115" i="34"/>
  <c r="T91" i="215" s="1"/>
  <c r="T115" i="34"/>
  <c r="S91" i="215" s="1"/>
  <c r="Q115" i="34"/>
  <c r="P91" i="215" s="1"/>
  <c r="P115" i="34"/>
  <c r="O91" i="215" s="1"/>
  <c r="O115" i="34"/>
  <c r="N91" i="215" s="1"/>
  <c r="N115" i="34"/>
  <c r="M91" i="215" s="1"/>
  <c r="J115" i="34"/>
  <c r="I91" i="215" s="1"/>
  <c r="Y115" i="34"/>
  <c r="X91" i="215" s="1"/>
  <c r="G91" i="215"/>
  <c r="K115" i="34"/>
  <c r="J91" i="215" s="1"/>
  <c r="T84" i="34"/>
  <c r="S54" i="215" s="1"/>
  <c r="W84" i="34"/>
  <c r="V54" i="215" s="1"/>
  <c r="G54" i="215"/>
  <c r="Z84" i="34"/>
  <c r="Y54" i="215" s="1"/>
  <c r="X84" i="34"/>
  <c r="W54" i="215" s="1"/>
  <c r="N84" i="34"/>
  <c r="M54" i="215" s="1"/>
  <c r="O84" i="34"/>
  <c r="N54" i="215" s="1"/>
  <c r="L84" i="34"/>
  <c r="K54" i="215" s="1"/>
  <c r="M84" i="34"/>
  <c r="L54" i="215" s="1"/>
  <c r="AA84" i="34"/>
  <c r="Z54" i="215" s="1"/>
  <c r="Y84" i="34"/>
  <c r="X54" i="215" s="1"/>
  <c r="J84" i="34"/>
  <c r="I54" i="215" s="1"/>
  <c r="K84" i="34"/>
  <c r="J54" i="215" s="1"/>
  <c r="P84" i="34"/>
  <c r="O54" i="215" s="1"/>
  <c r="S84" i="34"/>
  <c r="R54" i="215" s="1"/>
  <c r="U84" i="34"/>
  <c r="T54" i="215" s="1"/>
  <c r="V84" i="34"/>
  <c r="U54" i="215" s="1"/>
  <c r="Q84" i="34"/>
  <c r="P54" i="215" s="1"/>
  <c r="R84" i="34"/>
  <c r="Q54" i="215" s="1"/>
  <c r="Q58" i="34"/>
  <c r="P28" i="215" s="1"/>
  <c r="G28" i="215"/>
  <c r="L58" i="34"/>
  <c r="K28" i="215" s="1"/>
  <c r="J58" i="34"/>
  <c r="I28" i="215" s="1"/>
  <c r="P58" i="34"/>
  <c r="O28" i="215" s="1"/>
  <c r="K58" i="34"/>
  <c r="J28" i="215" s="1"/>
  <c r="W58" i="34"/>
  <c r="V28" i="215" s="1"/>
  <c r="M58" i="34"/>
  <c r="L28" i="215" s="1"/>
  <c r="S58" i="34"/>
  <c r="R28" i="215" s="1"/>
  <c r="T58" i="34"/>
  <c r="S28" i="215" s="1"/>
  <c r="AA58" i="34"/>
  <c r="Z28" i="215" s="1"/>
  <c r="Y58" i="34"/>
  <c r="X28" i="215" s="1"/>
  <c r="R58" i="34"/>
  <c r="Q28" i="215" s="1"/>
  <c r="V58" i="34"/>
  <c r="U28" i="215" s="1"/>
  <c r="X58" i="34"/>
  <c r="W28" i="215" s="1"/>
  <c r="O58" i="34"/>
  <c r="N28" i="215" s="1"/>
  <c r="U58" i="34"/>
  <c r="T28" i="215" s="1"/>
  <c r="N58" i="34"/>
  <c r="M28" i="215" s="1"/>
  <c r="Z58" i="34"/>
  <c r="Y28" i="215" s="1"/>
  <c r="T141" i="34"/>
  <c r="S117" i="215" s="1"/>
  <c r="Z141" i="34"/>
  <c r="Y117" i="215" s="1"/>
  <c r="M141" i="34"/>
  <c r="L117" i="215" s="1"/>
  <c r="Y141" i="34"/>
  <c r="X117" i="215" s="1"/>
  <c r="N141" i="34"/>
  <c r="M117" i="215" s="1"/>
  <c r="W141" i="34"/>
  <c r="V117" i="215" s="1"/>
  <c r="AA141" i="34"/>
  <c r="Z117" i="215" s="1"/>
  <c r="L141" i="34"/>
  <c r="K117" i="215" s="1"/>
  <c r="J141" i="34"/>
  <c r="I117" i="215" s="1"/>
  <c r="U141" i="34"/>
  <c r="T117" i="215" s="1"/>
  <c r="Q141" i="34"/>
  <c r="P117" i="215" s="1"/>
  <c r="K141" i="34"/>
  <c r="J117" i="215" s="1"/>
  <c r="X141" i="34"/>
  <c r="W117" i="215" s="1"/>
  <c r="S141" i="34"/>
  <c r="R117" i="215" s="1"/>
  <c r="O141" i="34"/>
  <c r="N117" i="215" s="1"/>
  <c r="R141" i="34"/>
  <c r="Q117" i="215" s="1"/>
  <c r="V141" i="34"/>
  <c r="U117" i="215" s="1"/>
  <c r="G117" i="215"/>
  <c r="P141" i="34"/>
  <c r="O117" i="215" s="1"/>
  <c r="W83" i="34"/>
  <c r="V53" i="215" s="1"/>
  <c r="Y83" i="34"/>
  <c r="X53" i="215" s="1"/>
  <c r="L83" i="34"/>
  <c r="K53" i="215" s="1"/>
  <c r="S83" i="34"/>
  <c r="R53" i="215" s="1"/>
  <c r="P83" i="34"/>
  <c r="O53" i="215" s="1"/>
  <c r="Z83" i="34"/>
  <c r="Y53" i="215" s="1"/>
  <c r="AA83" i="34"/>
  <c r="Z53" i="215" s="1"/>
  <c r="O83" i="34"/>
  <c r="N53" i="215" s="1"/>
  <c r="T83" i="34"/>
  <c r="S53" i="215" s="1"/>
  <c r="V83" i="34"/>
  <c r="U53" i="215" s="1"/>
  <c r="N83" i="34"/>
  <c r="M53" i="215" s="1"/>
  <c r="X83" i="34"/>
  <c r="W53" i="215" s="1"/>
  <c r="J83" i="34"/>
  <c r="I53" i="215" s="1"/>
  <c r="R83" i="34"/>
  <c r="Q53" i="215" s="1"/>
  <c r="Q83" i="34"/>
  <c r="P53" i="215" s="1"/>
  <c r="G53" i="215"/>
  <c r="M83" i="34"/>
  <c r="L53" i="215" s="1"/>
  <c r="U83" i="34"/>
  <c r="T53" i="215" s="1"/>
  <c r="K83" i="34"/>
  <c r="J53" i="215" s="1"/>
  <c r="G135" i="215"/>
  <c r="N159" i="34"/>
  <c r="M135" i="215" s="1"/>
  <c r="O159" i="34"/>
  <c r="N135" i="215" s="1"/>
  <c r="P159" i="34"/>
  <c r="O135" i="215" s="1"/>
  <c r="P120" i="34"/>
  <c r="O96" i="215" s="1"/>
  <c r="G96" i="215"/>
  <c r="N120" i="34"/>
  <c r="M96" i="215" s="1"/>
  <c r="O120" i="34"/>
  <c r="N96" i="215" s="1"/>
  <c r="V51" i="34"/>
  <c r="U21" i="215" s="1"/>
  <c r="T51" i="34"/>
  <c r="S21" i="215" s="1"/>
  <c r="N51" i="34"/>
  <c r="M21" i="215" s="1"/>
  <c r="L51" i="34"/>
  <c r="K21" i="215" s="1"/>
  <c r="R51" i="34"/>
  <c r="Q21" i="215" s="1"/>
  <c r="Y51" i="34"/>
  <c r="X21" i="215" s="1"/>
  <c r="W51" i="34"/>
  <c r="V21" i="215" s="1"/>
  <c r="K51" i="34"/>
  <c r="J21" i="215" s="1"/>
  <c r="U51" i="34"/>
  <c r="T21" i="215" s="1"/>
  <c r="J51" i="34"/>
  <c r="I21" i="215" s="1"/>
  <c r="S51" i="34"/>
  <c r="R21" i="215" s="1"/>
  <c r="O51" i="34"/>
  <c r="N21" i="215" s="1"/>
  <c r="Q51" i="34"/>
  <c r="P21" i="215" s="1"/>
  <c r="P51" i="34"/>
  <c r="O21" i="215" s="1"/>
  <c r="X51" i="34"/>
  <c r="W21" i="215" s="1"/>
  <c r="M51" i="34"/>
  <c r="L21" i="215" s="1"/>
  <c r="G21" i="215"/>
  <c r="AA51" i="34"/>
  <c r="Z21" i="215" s="1"/>
  <c r="Z51" i="34"/>
  <c r="Y21" i="215" s="1"/>
  <c r="O111" i="34"/>
  <c r="P111" i="34"/>
  <c r="N111" i="34"/>
  <c r="G87" i="215"/>
  <c r="G130" i="34"/>
  <c r="N157" i="34"/>
  <c r="M133" i="215" s="1"/>
  <c r="O157" i="34"/>
  <c r="N133" i="215" s="1"/>
  <c r="P157" i="34"/>
  <c r="O133" i="215" s="1"/>
  <c r="G133" i="215"/>
  <c r="L72" i="34"/>
  <c r="K42" i="215" s="1"/>
  <c r="U72" i="34"/>
  <c r="T42" i="215" s="1"/>
  <c r="N72" i="34"/>
  <c r="M42" i="215" s="1"/>
  <c r="J72" i="34"/>
  <c r="I42" i="215" s="1"/>
  <c r="AA72" i="34"/>
  <c r="Z42" i="215" s="1"/>
  <c r="P72" i="34"/>
  <c r="O42" i="215" s="1"/>
  <c r="K72" i="34"/>
  <c r="J42" i="215" s="1"/>
  <c r="M72" i="34"/>
  <c r="L42" i="215" s="1"/>
  <c r="G42" i="215"/>
  <c r="Z72" i="34"/>
  <c r="Y42" i="215" s="1"/>
  <c r="X72" i="34"/>
  <c r="W42" i="215" s="1"/>
  <c r="O72" i="34"/>
  <c r="N42" i="215" s="1"/>
  <c r="R72" i="34"/>
  <c r="Q42" i="215" s="1"/>
  <c r="S72" i="34"/>
  <c r="R42" i="215" s="1"/>
  <c r="Y72" i="34"/>
  <c r="X42" i="215" s="1"/>
  <c r="W72" i="34"/>
  <c r="V42" i="215" s="1"/>
  <c r="Q72" i="34"/>
  <c r="P42" i="215" s="1"/>
  <c r="V72" i="34"/>
  <c r="U42" i="215" s="1"/>
  <c r="T72" i="34"/>
  <c r="S42" i="215" s="1"/>
  <c r="O97" i="34"/>
  <c r="N67" i="215" s="1"/>
  <c r="V97" i="34"/>
  <c r="U67" i="215" s="1"/>
  <c r="X97" i="34"/>
  <c r="W67" i="215" s="1"/>
  <c r="Q97" i="34"/>
  <c r="P67" i="215" s="1"/>
  <c r="P97" i="34"/>
  <c r="O67" i="215" s="1"/>
  <c r="L97" i="34"/>
  <c r="K67" i="215" s="1"/>
  <c r="W97" i="34"/>
  <c r="V67" i="215" s="1"/>
  <c r="G67" i="215"/>
  <c r="Y97" i="34"/>
  <c r="X67" i="215" s="1"/>
  <c r="U97" i="34"/>
  <c r="T67" i="215" s="1"/>
  <c r="Z97" i="34"/>
  <c r="Y67" i="215" s="1"/>
  <c r="T97" i="34"/>
  <c r="S67" i="215" s="1"/>
  <c r="R97" i="34"/>
  <c r="Q67" i="215" s="1"/>
  <c r="AA97" i="34"/>
  <c r="Z67" i="215" s="1"/>
  <c r="K97" i="34"/>
  <c r="J67" i="215" s="1"/>
  <c r="J97" i="34"/>
  <c r="I67" i="215" s="1"/>
  <c r="M97" i="34"/>
  <c r="L67" i="215" s="1"/>
  <c r="S97" i="34"/>
  <c r="R67" i="215" s="1"/>
  <c r="N97" i="34"/>
  <c r="M67" i="215" s="1"/>
  <c r="M118" i="34"/>
  <c r="L94" i="215" s="1"/>
  <c r="J118" i="34"/>
  <c r="I94" i="215" s="1"/>
  <c r="K118" i="34"/>
  <c r="J94" i="215" s="1"/>
  <c r="N118" i="34"/>
  <c r="M94" i="215" s="1"/>
  <c r="V118" i="34"/>
  <c r="U94" i="215" s="1"/>
  <c r="L118" i="34"/>
  <c r="K94" i="215" s="1"/>
  <c r="U118" i="34"/>
  <c r="T94" i="215" s="1"/>
  <c r="Z118" i="34"/>
  <c r="Y94" i="215" s="1"/>
  <c r="T118" i="34"/>
  <c r="S94" i="215" s="1"/>
  <c r="Q118" i="34"/>
  <c r="P94" i="215" s="1"/>
  <c r="X118" i="34"/>
  <c r="W94" i="215" s="1"/>
  <c r="P118" i="34"/>
  <c r="O94" i="215" s="1"/>
  <c r="G94" i="215"/>
  <c r="W118" i="34"/>
  <c r="V94" i="215" s="1"/>
  <c r="Y118" i="34"/>
  <c r="X94" i="215" s="1"/>
  <c r="R118" i="34"/>
  <c r="Q94" i="215" s="1"/>
  <c r="S118" i="34"/>
  <c r="R94" i="215" s="1"/>
  <c r="O118" i="34"/>
  <c r="N94" i="215" s="1"/>
  <c r="AA118" i="34"/>
  <c r="Z94" i="215" s="1"/>
  <c r="P79" i="34"/>
  <c r="O49" i="215" s="1"/>
  <c r="T79" i="34"/>
  <c r="S49" i="215" s="1"/>
  <c r="L79" i="34"/>
  <c r="K49" i="215" s="1"/>
  <c r="J79" i="34"/>
  <c r="I49" i="215" s="1"/>
  <c r="X79" i="34"/>
  <c r="W49" i="215" s="1"/>
  <c r="M79" i="34"/>
  <c r="L49" i="215" s="1"/>
  <c r="K79" i="34"/>
  <c r="J49" i="215" s="1"/>
  <c r="Y79" i="34"/>
  <c r="X49" i="215" s="1"/>
  <c r="W79" i="34"/>
  <c r="V49" i="215" s="1"/>
  <c r="AA79" i="34"/>
  <c r="Z49" i="215" s="1"/>
  <c r="R79" i="34"/>
  <c r="Q49" i="215" s="1"/>
  <c r="O79" i="34"/>
  <c r="N49" i="215" s="1"/>
  <c r="N79" i="34"/>
  <c r="M49" i="215" s="1"/>
  <c r="Q79" i="34"/>
  <c r="P49" i="215" s="1"/>
  <c r="Z79" i="34"/>
  <c r="Y49" i="215" s="1"/>
  <c r="V79" i="34"/>
  <c r="U49" i="215" s="1"/>
  <c r="S79" i="34"/>
  <c r="R49" i="215" s="1"/>
  <c r="U79" i="34"/>
  <c r="T49" i="215" s="1"/>
  <c r="G49" i="215"/>
  <c r="T75" i="34"/>
  <c r="S45" i="215" s="1"/>
  <c r="S75" i="34"/>
  <c r="R45" i="215" s="1"/>
  <c r="V75" i="34"/>
  <c r="U45" i="215" s="1"/>
  <c r="U75" i="34"/>
  <c r="T45" i="215" s="1"/>
  <c r="O75" i="34"/>
  <c r="N45" i="215" s="1"/>
  <c r="N75" i="34"/>
  <c r="M45" i="215" s="1"/>
  <c r="X75" i="34"/>
  <c r="W45" i="215" s="1"/>
  <c r="M75" i="34"/>
  <c r="L45" i="215" s="1"/>
  <c r="Y75" i="34"/>
  <c r="X45" i="215" s="1"/>
  <c r="R75" i="34"/>
  <c r="Q45" i="215" s="1"/>
  <c r="G45" i="215"/>
  <c r="L75" i="34"/>
  <c r="K45" i="215" s="1"/>
  <c r="AA75" i="34"/>
  <c r="Z45" i="215" s="1"/>
  <c r="K75" i="34"/>
  <c r="J45" i="215" s="1"/>
  <c r="J75" i="34"/>
  <c r="I45" i="215" s="1"/>
  <c r="W75" i="34"/>
  <c r="V45" i="215" s="1"/>
  <c r="Q75" i="34"/>
  <c r="P45" i="215" s="1"/>
  <c r="P75" i="34"/>
  <c r="O45" i="215" s="1"/>
  <c r="Z75" i="34"/>
  <c r="Y45" i="215" s="1"/>
  <c r="Q71" i="34"/>
  <c r="P41" i="215" s="1"/>
  <c r="T71" i="34"/>
  <c r="S41" i="215" s="1"/>
  <c r="U71" i="34"/>
  <c r="T41" i="215" s="1"/>
  <c r="M71" i="34"/>
  <c r="L41" i="215" s="1"/>
  <c r="V71" i="34"/>
  <c r="U41" i="215" s="1"/>
  <c r="L71" i="34"/>
  <c r="K41" i="215" s="1"/>
  <c r="P71" i="34"/>
  <c r="O41" i="215" s="1"/>
  <c r="S71" i="34"/>
  <c r="R41" i="215" s="1"/>
  <c r="O71" i="34"/>
  <c r="N41" i="215" s="1"/>
  <c r="J71" i="34"/>
  <c r="I41" i="215" s="1"/>
  <c r="K71" i="34"/>
  <c r="J41" i="215" s="1"/>
  <c r="Z71" i="34"/>
  <c r="Y41" i="215" s="1"/>
  <c r="N71" i="34"/>
  <c r="M41" i="215" s="1"/>
  <c r="R71" i="34"/>
  <c r="Q41" i="215" s="1"/>
  <c r="X71" i="34"/>
  <c r="W41" i="215" s="1"/>
  <c r="AA71" i="34"/>
  <c r="Z41" i="215" s="1"/>
  <c r="W71" i="34"/>
  <c r="V41" i="215" s="1"/>
  <c r="G41" i="215"/>
  <c r="Y71" i="34"/>
  <c r="X41" i="215" s="1"/>
  <c r="AA66" i="34"/>
  <c r="Z36" i="215" s="1"/>
  <c r="Z66" i="34"/>
  <c r="Y36" i="215" s="1"/>
  <c r="X66" i="34"/>
  <c r="W36" i="215" s="1"/>
  <c r="O66" i="34"/>
  <c r="N36" i="215" s="1"/>
  <c r="K66" i="34"/>
  <c r="J36" i="215" s="1"/>
  <c r="T66" i="34"/>
  <c r="S36" i="215" s="1"/>
  <c r="U66" i="34"/>
  <c r="T36" i="215" s="1"/>
  <c r="Q66" i="34"/>
  <c r="P36" i="215" s="1"/>
  <c r="W66" i="34"/>
  <c r="V36" i="215" s="1"/>
  <c r="M66" i="34"/>
  <c r="L36" i="215" s="1"/>
  <c r="V66" i="34"/>
  <c r="U36" i="215" s="1"/>
  <c r="R66" i="34"/>
  <c r="Q36" i="215" s="1"/>
  <c r="G36" i="215"/>
  <c r="Y66" i="34"/>
  <c r="X36" i="215" s="1"/>
  <c r="L66" i="34"/>
  <c r="K36" i="215" s="1"/>
  <c r="S66" i="34"/>
  <c r="R36" i="215" s="1"/>
  <c r="N66" i="34"/>
  <c r="M36" i="215" s="1"/>
  <c r="P66" i="34"/>
  <c r="O36" i="215" s="1"/>
  <c r="J66" i="34"/>
  <c r="I36" i="215" s="1"/>
  <c r="G165" i="215"/>
  <c r="G167" i="215"/>
  <c r="O189" i="34"/>
  <c r="N167" i="215" s="1"/>
  <c r="P189" i="34"/>
  <c r="O167" i="215" s="1"/>
  <c r="N189" i="34"/>
  <c r="M167" i="215" s="1"/>
  <c r="AA113" i="34"/>
  <c r="Z89" i="215" s="1"/>
  <c r="Y113" i="34"/>
  <c r="X89" i="215" s="1"/>
  <c r="Q113" i="34"/>
  <c r="P89" i="215" s="1"/>
  <c r="W113" i="34"/>
  <c r="V89" i="215" s="1"/>
  <c r="K113" i="34"/>
  <c r="J89" i="215" s="1"/>
  <c r="N113" i="34"/>
  <c r="M89" i="215" s="1"/>
  <c r="J113" i="34"/>
  <c r="I89" i="215" s="1"/>
  <c r="X113" i="34"/>
  <c r="W89" i="215" s="1"/>
  <c r="Z113" i="34"/>
  <c r="Y89" i="215" s="1"/>
  <c r="T113" i="34"/>
  <c r="S89" i="215" s="1"/>
  <c r="V113" i="34"/>
  <c r="U89" i="215" s="1"/>
  <c r="L113" i="34"/>
  <c r="K89" i="215" s="1"/>
  <c r="U113" i="34"/>
  <c r="T89" i="215" s="1"/>
  <c r="P113" i="34"/>
  <c r="O89" i="215" s="1"/>
  <c r="M113" i="34"/>
  <c r="L89" i="215" s="1"/>
  <c r="S113" i="34"/>
  <c r="R89" i="215" s="1"/>
  <c r="R113" i="34"/>
  <c r="Q89" i="215" s="1"/>
  <c r="O113" i="34"/>
  <c r="N89" i="215" s="1"/>
  <c r="G89" i="215"/>
  <c r="G16" i="215"/>
  <c r="U46" i="34"/>
  <c r="L46" i="34"/>
  <c r="K46" i="34"/>
  <c r="AA46" i="34"/>
  <c r="M46" i="34"/>
  <c r="Y46" i="34"/>
  <c r="Q46" i="34"/>
  <c r="J46" i="34"/>
  <c r="V46" i="34"/>
  <c r="X46" i="34"/>
  <c r="O46" i="34"/>
  <c r="P46" i="34"/>
  <c r="W46" i="34"/>
  <c r="N46" i="34"/>
  <c r="S46" i="34"/>
  <c r="R46" i="34"/>
  <c r="T46" i="34"/>
  <c r="Z46" i="34"/>
  <c r="V47" i="34"/>
  <c r="U17" i="215" s="1"/>
  <c r="U47" i="34"/>
  <c r="T17" i="215" s="1"/>
  <c r="S47" i="34"/>
  <c r="R17" i="215" s="1"/>
  <c r="AA47" i="34"/>
  <c r="Z17" i="215" s="1"/>
  <c r="Z47" i="34"/>
  <c r="Y17" i="215" s="1"/>
  <c r="Y47" i="34"/>
  <c r="X17" i="215" s="1"/>
  <c r="K47" i="34"/>
  <c r="J17" i="215" s="1"/>
  <c r="L47" i="34"/>
  <c r="K17" i="215" s="1"/>
  <c r="X47" i="34"/>
  <c r="W17" i="215" s="1"/>
  <c r="T47" i="34"/>
  <c r="S17" i="215" s="1"/>
  <c r="P47" i="34"/>
  <c r="O17" i="215" s="1"/>
  <c r="O47" i="34"/>
  <c r="N17" i="215" s="1"/>
  <c r="M47" i="34"/>
  <c r="L17" i="215" s="1"/>
  <c r="G17" i="215"/>
  <c r="Q47" i="34"/>
  <c r="P17" i="215" s="1"/>
  <c r="N47" i="34"/>
  <c r="M17" i="215" s="1"/>
  <c r="W47" i="34"/>
  <c r="V17" i="215" s="1"/>
  <c r="R47" i="34"/>
  <c r="Q17" i="215" s="1"/>
  <c r="J47" i="34"/>
  <c r="I17" i="215" s="1"/>
  <c r="S86" i="34"/>
  <c r="R56" i="215" s="1"/>
  <c r="K86" i="34"/>
  <c r="J56" i="215" s="1"/>
  <c r="AA86" i="34"/>
  <c r="Z56" i="215" s="1"/>
  <c r="U86" i="34"/>
  <c r="T56" i="215" s="1"/>
  <c r="W86" i="34"/>
  <c r="V56" i="215" s="1"/>
  <c r="M86" i="34"/>
  <c r="L56" i="215" s="1"/>
  <c r="P86" i="34"/>
  <c r="O56" i="215" s="1"/>
  <c r="N86" i="34"/>
  <c r="M56" i="215" s="1"/>
  <c r="Z86" i="34"/>
  <c r="Y56" i="215" s="1"/>
  <c r="T86" i="34"/>
  <c r="S56" i="215" s="1"/>
  <c r="O86" i="34"/>
  <c r="N56" i="215" s="1"/>
  <c r="Y86" i="34"/>
  <c r="X56" i="215" s="1"/>
  <c r="Q86" i="34"/>
  <c r="P56" i="215" s="1"/>
  <c r="V86" i="34"/>
  <c r="U56" i="215" s="1"/>
  <c r="G56" i="215"/>
  <c r="L86" i="34"/>
  <c r="K56" i="215" s="1"/>
  <c r="X86" i="34"/>
  <c r="W56" i="215" s="1"/>
  <c r="R86" i="34"/>
  <c r="Q56" i="215" s="1"/>
  <c r="J86" i="34"/>
  <c r="I56" i="215" s="1"/>
  <c r="G178" i="215"/>
  <c r="O200" i="34"/>
  <c r="N178" i="215" s="1"/>
  <c r="P200" i="34"/>
  <c r="O178" i="215" s="1"/>
  <c r="N200" i="34"/>
  <c r="M178" i="215" s="1"/>
  <c r="G93" i="215"/>
  <c r="T117" i="34"/>
  <c r="S93" i="215" s="1"/>
  <c r="L117" i="34"/>
  <c r="K93" i="215" s="1"/>
  <c r="N117" i="34"/>
  <c r="M93" i="215" s="1"/>
  <c r="AA117" i="34"/>
  <c r="Z93" i="215" s="1"/>
  <c r="Z117" i="34"/>
  <c r="Y93" i="215" s="1"/>
  <c r="S117" i="34"/>
  <c r="R93" i="215" s="1"/>
  <c r="K117" i="34"/>
  <c r="J93" i="215" s="1"/>
  <c r="Q117" i="34"/>
  <c r="P93" i="215" s="1"/>
  <c r="U117" i="34"/>
  <c r="T93" i="215" s="1"/>
  <c r="M117" i="34"/>
  <c r="L93" i="215" s="1"/>
  <c r="O117" i="34"/>
  <c r="N93" i="215" s="1"/>
  <c r="X117" i="34"/>
  <c r="W93" i="215" s="1"/>
  <c r="J117" i="34"/>
  <c r="I93" i="215" s="1"/>
  <c r="Y117" i="34"/>
  <c r="X93" i="215" s="1"/>
  <c r="P117" i="34"/>
  <c r="O93" i="215" s="1"/>
  <c r="R117" i="34"/>
  <c r="Q93" i="215" s="1"/>
  <c r="W117" i="34"/>
  <c r="V93" i="215" s="1"/>
  <c r="V117" i="34"/>
  <c r="U93" i="215" s="1"/>
  <c r="P124" i="34"/>
  <c r="O100" i="215" s="1"/>
  <c r="N124" i="34"/>
  <c r="M100" i="215" s="1"/>
  <c r="S124" i="34"/>
  <c r="R100" i="215" s="1"/>
  <c r="R124" i="34"/>
  <c r="Q100" i="215" s="1"/>
  <c r="G100" i="215"/>
  <c r="U124" i="34"/>
  <c r="T100" i="215" s="1"/>
  <c r="AA124" i="34"/>
  <c r="Z100" i="215" s="1"/>
  <c r="K124" i="34"/>
  <c r="J100" i="215" s="1"/>
  <c r="Y124" i="34"/>
  <c r="X100" i="215" s="1"/>
  <c r="T124" i="34"/>
  <c r="S100" i="215" s="1"/>
  <c r="J124" i="34"/>
  <c r="I100" i="215" s="1"/>
  <c r="L124" i="34"/>
  <c r="K100" i="215" s="1"/>
  <c r="M124" i="34"/>
  <c r="L100" i="215" s="1"/>
  <c r="X124" i="34"/>
  <c r="W100" i="215" s="1"/>
  <c r="V124" i="34"/>
  <c r="U100" i="215" s="1"/>
  <c r="Z124" i="34"/>
  <c r="Y100" i="215" s="1"/>
  <c r="Q124" i="34"/>
  <c r="P100" i="215" s="1"/>
  <c r="O124" i="34"/>
  <c r="N100" i="215" s="1"/>
  <c r="W124" i="34"/>
  <c r="V100" i="215" s="1"/>
  <c r="O121" i="34"/>
  <c r="N97" i="215" s="1"/>
  <c r="P121" i="34"/>
  <c r="O97" i="215" s="1"/>
  <c r="N121" i="34"/>
  <c r="M97" i="215" s="1"/>
  <c r="G97" i="215"/>
  <c r="K144" i="34"/>
  <c r="J120" i="215" s="1"/>
  <c r="Q144" i="34"/>
  <c r="P120" i="215" s="1"/>
  <c r="L144" i="34"/>
  <c r="K120" i="215" s="1"/>
  <c r="Z144" i="34"/>
  <c r="Y120" i="215" s="1"/>
  <c r="P144" i="34"/>
  <c r="O120" i="215" s="1"/>
  <c r="T144" i="34"/>
  <c r="S120" i="215" s="1"/>
  <c r="S144" i="34"/>
  <c r="R120" i="215" s="1"/>
  <c r="W144" i="34"/>
  <c r="V120" i="215" s="1"/>
  <c r="V144" i="34"/>
  <c r="U120" i="215" s="1"/>
  <c r="X144" i="34"/>
  <c r="W120" i="215" s="1"/>
  <c r="N144" i="34"/>
  <c r="M120" i="215" s="1"/>
  <c r="AA144" i="34"/>
  <c r="Z120" i="215" s="1"/>
  <c r="O144" i="34"/>
  <c r="N120" i="215" s="1"/>
  <c r="Y144" i="34"/>
  <c r="X120" i="215" s="1"/>
  <c r="J144" i="34"/>
  <c r="I120" i="215" s="1"/>
  <c r="U144" i="34"/>
  <c r="T120" i="215" s="1"/>
  <c r="M144" i="34"/>
  <c r="L120" i="215" s="1"/>
  <c r="R144" i="34"/>
  <c r="Q120" i="215" s="1"/>
  <c r="G120" i="215"/>
  <c r="T64" i="34"/>
  <c r="S34" i="215" s="1"/>
  <c r="V64" i="34"/>
  <c r="U34" i="215" s="1"/>
  <c r="M64" i="34"/>
  <c r="L34" i="215" s="1"/>
  <c r="W64" i="34"/>
  <c r="V34" i="215" s="1"/>
  <c r="J64" i="34"/>
  <c r="I34" i="215" s="1"/>
  <c r="Z64" i="34"/>
  <c r="Y34" i="215" s="1"/>
  <c r="AA64" i="34"/>
  <c r="Z34" i="215" s="1"/>
  <c r="G34" i="215"/>
  <c r="N64" i="34"/>
  <c r="M34" i="215" s="1"/>
  <c r="O64" i="34"/>
  <c r="N34" i="215" s="1"/>
  <c r="X64" i="34"/>
  <c r="W34" i="215" s="1"/>
  <c r="Q64" i="34"/>
  <c r="P34" i="215" s="1"/>
  <c r="Y64" i="34"/>
  <c r="X34" i="215" s="1"/>
  <c r="P64" i="34"/>
  <c r="O34" i="215" s="1"/>
  <c r="R64" i="34"/>
  <c r="Q34" i="215" s="1"/>
  <c r="U64" i="34"/>
  <c r="T34" i="215" s="1"/>
  <c r="L64" i="34"/>
  <c r="K34" i="215" s="1"/>
  <c r="K64" i="34"/>
  <c r="J34" i="215" s="1"/>
  <c r="S64" i="34"/>
  <c r="R34" i="215" s="1"/>
  <c r="AA82" i="34"/>
  <c r="Z52" i="215" s="1"/>
  <c r="V82" i="34"/>
  <c r="U52" i="215" s="1"/>
  <c r="L82" i="34"/>
  <c r="K52" i="215" s="1"/>
  <c r="K82" i="34"/>
  <c r="J52" i="215" s="1"/>
  <c r="P82" i="34"/>
  <c r="O52" i="215" s="1"/>
  <c r="Z82" i="34"/>
  <c r="Y52" i="215" s="1"/>
  <c r="S82" i="34"/>
  <c r="R52" i="215" s="1"/>
  <c r="N82" i="34"/>
  <c r="M52" i="215" s="1"/>
  <c r="M82" i="34"/>
  <c r="L52" i="215" s="1"/>
  <c r="U82" i="34"/>
  <c r="T52" i="215" s="1"/>
  <c r="R82" i="34"/>
  <c r="Q52" i="215" s="1"/>
  <c r="T82" i="34"/>
  <c r="S52" i="215" s="1"/>
  <c r="Y82" i="34"/>
  <c r="X52" i="215" s="1"/>
  <c r="X82" i="34"/>
  <c r="W52" i="215" s="1"/>
  <c r="W82" i="34"/>
  <c r="V52" i="215" s="1"/>
  <c r="J82" i="34"/>
  <c r="I52" i="215" s="1"/>
  <c r="Q82" i="34"/>
  <c r="P52" i="215" s="1"/>
  <c r="G52" i="215"/>
  <c r="O82" i="34"/>
  <c r="N52" i="215" s="1"/>
  <c r="Y76" i="34"/>
  <c r="X46" i="215" s="1"/>
  <c r="P76" i="34"/>
  <c r="O46" i="215" s="1"/>
  <c r="J76" i="34"/>
  <c r="I46" i="215" s="1"/>
  <c r="O76" i="34"/>
  <c r="N46" i="215" s="1"/>
  <c r="S76" i="34"/>
  <c r="R46" i="215" s="1"/>
  <c r="Q76" i="34"/>
  <c r="P46" i="215" s="1"/>
  <c r="M76" i="34"/>
  <c r="L46" i="215" s="1"/>
  <c r="U76" i="34"/>
  <c r="T46" i="215" s="1"/>
  <c r="X76" i="34"/>
  <c r="W46" i="215" s="1"/>
  <c r="T76" i="34"/>
  <c r="S46" i="215" s="1"/>
  <c r="AA76" i="34"/>
  <c r="Z46" i="215" s="1"/>
  <c r="L76" i="34"/>
  <c r="K46" i="215" s="1"/>
  <c r="K76" i="34"/>
  <c r="J46" i="215" s="1"/>
  <c r="R76" i="34"/>
  <c r="Q46" i="215" s="1"/>
  <c r="N76" i="34"/>
  <c r="M46" i="215" s="1"/>
  <c r="G46" i="215"/>
  <c r="W76" i="34"/>
  <c r="V46" i="215" s="1"/>
  <c r="Z76" i="34"/>
  <c r="Y46" i="215" s="1"/>
  <c r="V76" i="34"/>
  <c r="U46" i="215" s="1"/>
  <c r="K139" i="34"/>
  <c r="W139" i="34"/>
  <c r="Y139" i="34"/>
  <c r="L139" i="34"/>
  <c r="G115" i="215"/>
  <c r="S139" i="34"/>
  <c r="AA139" i="34"/>
  <c r="M139" i="34"/>
  <c r="Q139" i="34"/>
  <c r="V139" i="34"/>
  <c r="R139" i="34"/>
  <c r="X139" i="34"/>
  <c r="O139" i="34"/>
  <c r="Z139" i="34"/>
  <c r="T139" i="34"/>
  <c r="U139" i="34"/>
  <c r="J139" i="34"/>
  <c r="P139" i="34"/>
  <c r="N139" i="34"/>
  <c r="G150" i="34"/>
  <c r="Y145" i="34"/>
  <c r="X121" i="215" s="1"/>
  <c r="O145" i="34"/>
  <c r="N121" i="215" s="1"/>
  <c r="K145" i="34"/>
  <c r="J121" i="215" s="1"/>
  <c r="S145" i="34"/>
  <c r="R121" i="215" s="1"/>
  <c r="AA145" i="34"/>
  <c r="Z121" i="215" s="1"/>
  <c r="N145" i="34"/>
  <c r="M121" i="215" s="1"/>
  <c r="J145" i="34"/>
  <c r="I121" i="215" s="1"/>
  <c r="Z145" i="34"/>
  <c r="Y121" i="215" s="1"/>
  <c r="Q145" i="34"/>
  <c r="P121" i="215" s="1"/>
  <c r="U145" i="34"/>
  <c r="T121" i="215" s="1"/>
  <c r="G121" i="215"/>
  <c r="P145" i="34"/>
  <c r="O121" i="215" s="1"/>
  <c r="L145" i="34"/>
  <c r="K121" i="215" s="1"/>
  <c r="R145" i="34"/>
  <c r="Q121" i="215" s="1"/>
  <c r="M145" i="34"/>
  <c r="L121" i="215" s="1"/>
  <c r="V145" i="34"/>
  <c r="U121" i="215" s="1"/>
  <c r="X145" i="34"/>
  <c r="W121" i="215" s="1"/>
  <c r="W145" i="34"/>
  <c r="V121" i="215" s="1"/>
  <c r="T145" i="34"/>
  <c r="S121" i="215" s="1"/>
  <c r="L112" i="34"/>
  <c r="K88" i="215" s="1"/>
  <c r="K112" i="34"/>
  <c r="J88" i="215" s="1"/>
  <c r="J112" i="34"/>
  <c r="I88" i="215" s="1"/>
  <c r="W112" i="34"/>
  <c r="V88" i="215" s="1"/>
  <c r="Q112" i="34"/>
  <c r="P88" i="215" s="1"/>
  <c r="T112" i="34"/>
  <c r="S88" i="215" s="1"/>
  <c r="P112" i="34"/>
  <c r="O88" i="215" s="1"/>
  <c r="V112" i="34"/>
  <c r="U88" i="215" s="1"/>
  <c r="AA112" i="34"/>
  <c r="Z88" i="215" s="1"/>
  <c r="X112" i="34"/>
  <c r="W88" i="215" s="1"/>
  <c r="S112" i="34"/>
  <c r="R88" i="215" s="1"/>
  <c r="N112" i="34"/>
  <c r="M88" i="215" s="1"/>
  <c r="O112" i="34"/>
  <c r="N88" i="215" s="1"/>
  <c r="G88" i="215"/>
  <c r="Z112" i="34"/>
  <c r="Y88" i="215" s="1"/>
  <c r="U112" i="34"/>
  <c r="T88" i="215" s="1"/>
  <c r="M112" i="34"/>
  <c r="L88" i="215" s="1"/>
  <c r="Y112" i="34"/>
  <c r="X88" i="215" s="1"/>
  <c r="R112" i="34"/>
  <c r="Q88" i="215" s="1"/>
  <c r="N114" i="34"/>
  <c r="M90" i="215" s="1"/>
  <c r="K114" i="34"/>
  <c r="J90" i="215" s="1"/>
  <c r="J114" i="34"/>
  <c r="I90" i="215" s="1"/>
  <c r="O114" i="34"/>
  <c r="N90" i="215" s="1"/>
  <c r="R114" i="34"/>
  <c r="Q90" i="215" s="1"/>
  <c r="V114" i="34"/>
  <c r="U90" i="215" s="1"/>
  <c r="U114" i="34"/>
  <c r="T90" i="215" s="1"/>
  <c r="P114" i="34"/>
  <c r="O90" i="215" s="1"/>
  <c r="X114" i="34"/>
  <c r="W90" i="215" s="1"/>
  <c r="S114" i="34"/>
  <c r="R90" i="215" s="1"/>
  <c r="Y114" i="34"/>
  <c r="X90" i="215" s="1"/>
  <c r="G90" i="215"/>
  <c r="Q114" i="34"/>
  <c r="P90" i="215" s="1"/>
  <c r="AA114" i="34"/>
  <c r="Z90" i="215" s="1"/>
  <c r="Z114" i="34"/>
  <c r="Y90" i="215" s="1"/>
  <c r="M114" i="34"/>
  <c r="L90" i="215" s="1"/>
  <c r="W114" i="34"/>
  <c r="V90" i="215" s="1"/>
  <c r="T114" i="34"/>
  <c r="S90" i="215" s="1"/>
  <c r="L114" i="34"/>
  <c r="K90" i="215" s="1"/>
  <c r="N119" i="34"/>
  <c r="M95" i="215" s="1"/>
  <c r="O119" i="34"/>
  <c r="N95" i="215" s="1"/>
  <c r="P119" i="34"/>
  <c r="O95" i="215" s="1"/>
  <c r="G95" i="215"/>
  <c r="P57" i="34"/>
  <c r="O27" i="215" s="1"/>
  <c r="O57" i="34"/>
  <c r="N27" i="215" s="1"/>
  <c r="M57" i="34"/>
  <c r="L27" i="215" s="1"/>
  <c r="N57" i="34"/>
  <c r="M27" i="215" s="1"/>
  <c r="W57" i="34"/>
  <c r="V27" i="215" s="1"/>
  <c r="J57" i="34"/>
  <c r="I27" i="215" s="1"/>
  <c r="V57" i="34"/>
  <c r="U27" i="215" s="1"/>
  <c r="L57" i="34"/>
  <c r="K27" i="215" s="1"/>
  <c r="R57" i="34"/>
  <c r="Q27" i="215" s="1"/>
  <c r="Y57" i="34"/>
  <c r="X27" i="215" s="1"/>
  <c r="Q57" i="34"/>
  <c r="P27" i="215" s="1"/>
  <c r="G27" i="215"/>
  <c r="K57" i="34"/>
  <c r="J27" i="215" s="1"/>
  <c r="AA57" i="34"/>
  <c r="Z27" i="215" s="1"/>
  <c r="T57" i="34"/>
  <c r="S27" i="215" s="1"/>
  <c r="S57" i="34"/>
  <c r="R27" i="215" s="1"/>
  <c r="X57" i="34"/>
  <c r="W27" i="215" s="1"/>
  <c r="Z57" i="34"/>
  <c r="Y27" i="215" s="1"/>
  <c r="U57" i="34"/>
  <c r="T27" i="215" s="1"/>
  <c r="G70" i="215"/>
  <c r="U100" i="34"/>
  <c r="T70" i="215" s="1"/>
  <c r="S100" i="34"/>
  <c r="R70" i="215" s="1"/>
  <c r="V100" i="34"/>
  <c r="U70" i="215" s="1"/>
  <c r="R100" i="34"/>
  <c r="Q70" i="215" s="1"/>
  <c r="N100" i="34"/>
  <c r="M70" i="215" s="1"/>
  <c r="W100" i="34"/>
  <c r="V70" i="215" s="1"/>
  <c r="Z100" i="34"/>
  <c r="Y70" i="215" s="1"/>
  <c r="J100" i="34"/>
  <c r="I70" i="215" s="1"/>
  <c r="K100" i="34"/>
  <c r="J70" i="215" s="1"/>
  <c r="T100" i="34"/>
  <c r="S70" i="215" s="1"/>
  <c r="L100" i="34"/>
  <c r="K70" i="215" s="1"/>
  <c r="P100" i="34"/>
  <c r="O70" i="215" s="1"/>
  <c r="Y100" i="34"/>
  <c r="X70" i="215" s="1"/>
  <c r="Q100" i="34"/>
  <c r="P70" i="215" s="1"/>
  <c r="M100" i="34"/>
  <c r="L70" i="215" s="1"/>
  <c r="AA100" i="34"/>
  <c r="Z70" i="215" s="1"/>
  <c r="X100" i="34"/>
  <c r="W70" i="215" s="1"/>
  <c r="O100" i="34"/>
  <c r="N70" i="215" s="1"/>
  <c r="G163" i="215"/>
  <c r="G168" i="215"/>
  <c r="N190" i="34"/>
  <c r="M168" i="215" s="1"/>
  <c r="P190" i="34"/>
  <c r="O168" i="215" s="1"/>
  <c r="O190" i="34"/>
  <c r="N168" i="215" s="1"/>
  <c r="N129" i="34"/>
  <c r="M105" i="215" s="1"/>
  <c r="Z129" i="34"/>
  <c r="Y105" i="215" s="1"/>
  <c r="U129" i="34"/>
  <c r="T105" i="215" s="1"/>
  <c r="V129" i="34"/>
  <c r="U105" i="215" s="1"/>
  <c r="J129" i="34"/>
  <c r="I105" i="215" s="1"/>
  <c r="AA129" i="34"/>
  <c r="Z105" i="215" s="1"/>
  <c r="S129" i="34"/>
  <c r="R105" i="215" s="1"/>
  <c r="W129" i="34"/>
  <c r="V105" i="215" s="1"/>
  <c r="R129" i="34"/>
  <c r="Q105" i="215" s="1"/>
  <c r="P129" i="34"/>
  <c r="O105" i="215" s="1"/>
  <c r="X129" i="34"/>
  <c r="W105" i="215" s="1"/>
  <c r="O129" i="34"/>
  <c r="N105" i="215" s="1"/>
  <c r="Q129" i="34"/>
  <c r="P105" i="215" s="1"/>
  <c r="M129" i="34"/>
  <c r="L105" i="215" s="1"/>
  <c r="T129" i="34"/>
  <c r="S105" i="215" s="1"/>
  <c r="K129" i="34"/>
  <c r="J105" i="215" s="1"/>
  <c r="Y129" i="34"/>
  <c r="X105" i="215" s="1"/>
  <c r="G105" i="215"/>
  <c r="L129" i="34"/>
  <c r="K105" i="215" s="1"/>
  <c r="P56" i="34"/>
  <c r="O26" i="215" s="1"/>
  <c r="Q56" i="34"/>
  <c r="P26" i="215" s="1"/>
  <c r="J56" i="34"/>
  <c r="I26" i="215" s="1"/>
  <c r="S56" i="34"/>
  <c r="R26" i="215" s="1"/>
  <c r="K56" i="34"/>
  <c r="J26" i="215" s="1"/>
  <c r="N56" i="34"/>
  <c r="M26" i="215" s="1"/>
  <c r="G26" i="215"/>
  <c r="U56" i="34"/>
  <c r="T26" i="215" s="1"/>
  <c r="AA56" i="34"/>
  <c r="Z26" i="215" s="1"/>
  <c r="W56" i="34"/>
  <c r="V26" i="215" s="1"/>
  <c r="O56" i="34"/>
  <c r="N26" i="215" s="1"/>
  <c r="T56" i="34"/>
  <c r="S26" i="215" s="1"/>
  <c r="R56" i="34"/>
  <c r="Q26" i="215" s="1"/>
  <c r="V56" i="34"/>
  <c r="U26" i="215" s="1"/>
  <c r="L56" i="34"/>
  <c r="K26" i="215" s="1"/>
  <c r="Z56" i="34"/>
  <c r="Y26" i="215" s="1"/>
  <c r="X56" i="34"/>
  <c r="W26" i="215" s="1"/>
  <c r="M56" i="34"/>
  <c r="L26" i="215" s="1"/>
  <c r="Y56" i="34"/>
  <c r="X26" i="215" s="1"/>
  <c r="T128" i="34"/>
  <c r="S104" i="215" s="1"/>
  <c r="V128" i="34"/>
  <c r="U104" i="215" s="1"/>
  <c r="O128" i="34"/>
  <c r="N104" i="215" s="1"/>
  <c r="S128" i="34"/>
  <c r="R104" i="215" s="1"/>
  <c r="N128" i="34"/>
  <c r="M104" i="215" s="1"/>
  <c r="Z128" i="34"/>
  <c r="Y104" i="215" s="1"/>
  <c r="P128" i="34"/>
  <c r="O104" i="215" s="1"/>
  <c r="U128" i="34"/>
  <c r="T104" i="215" s="1"/>
  <c r="X128" i="34"/>
  <c r="W104" i="215" s="1"/>
  <c r="AA128" i="34"/>
  <c r="Z104" i="215" s="1"/>
  <c r="Q128" i="34"/>
  <c r="P104" i="215" s="1"/>
  <c r="R128" i="34"/>
  <c r="Q104" i="215" s="1"/>
  <c r="M128" i="34"/>
  <c r="L104" i="215" s="1"/>
  <c r="G104" i="215"/>
  <c r="W128" i="34"/>
  <c r="V104" i="215" s="1"/>
  <c r="L128" i="34"/>
  <c r="K104" i="215" s="1"/>
  <c r="Y128" i="34"/>
  <c r="X104" i="215" s="1"/>
  <c r="J128" i="34"/>
  <c r="I104" i="215" s="1"/>
  <c r="K128" i="34"/>
  <c r="J104" i="215" s="1"/>
  <c r="N156" i="34"/>
  <c r="M132" i="215" s="1"/>
  <c r="O156" i="34"/>
  <c r="N132" i="215" s="1"/>
  <c r="P156" i="34"/>
  <c r="O132" i="215" s="1"/>
  <c r="G132" i="215"/>
  <c r="U87" i="34"/>
  <c r="T57" i="215" s="1"/>
  <c r="J87" i="34"/>
  <c r="I57" i="215" s="1"/>
  <c r="V87" i="34"/>
  <c r="U57" i="215" s="1"/>
  <c r="L87" i="34"/>
  <c r="K57" i="215" s="1"/>
  <c r="S87" i="34"/>
  <c r="R57" i="215" s="1"/>
  <c r="O87" i="34"/>
  <c r="N57" i="215" s="1"/>
  <c r="Y87" i="34"/>
  <c r="X57" i="215" s="1"/>
  <c r="T87" i="34"/>
  <c r="S57" i="215" s="1"/>
  <c r="Q87" i="34"/>
  <c r="P57" i="215" s="1"/>
  <c r="M87" i="34"/>
  <c r="L57" i="215" s="1"/>
  <c r="X87" i="34"/>
  <c r="W57" i="215" s="1"/>
  <c r="G57" i="215"/>
  <c r="P87" i="34"/>
  <c r="O57" i="215" s="1"/>
  <c r="R87" i="34"/>
  <c r="Q57" i="215" s="1"/>
  <c r="N87" i="34"/>
  <c r="M57" i="215" s="1"/>
  <c r="W87" i="34"/>
  <c r="V57" i="215" s="1"/>
  <c r="AA87" i="34"/>
  <c r="Z57" i="215" s="1"/>
  <c r="K87" i="34"/>
  <c r="J57" i="215" s="1"/>
  <c r="Z87" i="34"/>
  <c r="Y57" i="215" s="1"/>
  <c r="U162" i="13"/>
  <c r="Y162" i="13" s="1"/>
  <c r="K5" i="219"/>
  <c r="X50" i="16"/>
  <c r="G140" i="215"/>
  <c r="P165" i="34"/>
  <c r="O140" i="215" s="1"/>
  <c r="O165" i="34"/>
  <c r="N140" i="215" s="1"/>
  <c r="N165" i="34"/>
  <c r="M140" i="215" s="1"/>
  <c r="N193" i="34"/>
  <c r="M171" i="215" s="1"/>
  <c r="G171" i="215"/>
  <c r="P193" i="34"/>
  <c r="O171" i="215" s="1"/>
  <c r="O193" i="34"/>
  <c r="N171" i="215" s="1"/>
  <c r="T70" i="34"/>
  <c r="Q70" i="34"/>
  <c r="U70" i="34"/>
  <c r="Z70" i="34"/>
  <c r="N70" i="34"/>
  <c r="W70" i="34"/>
  <c r="K70" i="34"/>
  <c r="G40" i="215"/>
  <c r="Y70" i="34"/>
  <c r="AA70" i="34"/>
  <c r="O70" i="34"/>
  <c r="X70" i="34"/>
  <c r="V70" i="34"/>
  <c r="L70" i="34"/>
  <c r="M70" i="34"/>
  <c r="P70" i="34"/>
  <c r="J70" i="34"/>
  <c r="S70" i="34"/>
  <c r="G92" i="34"/>
  <c r="R70" i="34"/>
  <c r="V73" i="34"/>
  <c r="U43" i="215" s="1"/>
  <c r="G43" i="215"/>
  <c r="K73" i="34"/>
  <c r="J43" i="215" s="1"/>
  <c r="R73" i="34"/>
  <c r="Q43" i="215" s="1"/>
  <c r="Z73" i="34"/>
  <c r="Y43" i="215" s="1"/>
  <c r="S73" i="34"/>
  <c r="R43" i="215" s="1"/>
  <c r="T73" i="34"/>
  <c r="S43" i="215" s="1"/>
  <c r="L73" i="34"/>
  <c r="K43" i="215" s="1"/>
  <c r="Y73" i="34"/>
  <c r="X43" i="215" s="1"/>
  <c r="M73" i="34"/>
  <c r="L43" i="215" s="1"/>
  <c r="AA73" i="34"/>
  <c r="Z43" i="215" s="1"/>
  <c r="X73" i="34"/>
  <c r="W43" i="215" s="1"/>
  <c r="W73" i="34"/>
  <c r="V43" i="215" s="1"/>
  <c r="J73" i="34"/>
  <c r="I43" i="215" s="1"/>
  <c r="O73" i="34"/>
  <c r="N43" i="215" s="1"/>
  <c r="N73" i="34"/>
  <c r="M43" i="215" s="1"/>
  <c r="P73" i="34"/>
  <c r="O43" i="215" s="1"/>
  <c r="U73" i="34"/>
  <c r="T43" i="215" s="1"/>
  <c r="Q73" i="34"/>
  <c r="P43" i="215" s="1"/>
  <c r="AA96" i="34"/>
  <c r="Z66" i="215" s="1"/>
  <c r="L96" i="34"/>
  <c r="K66" i="215" s="1"/>
  <c r="N96" i="34"/>
  <c r="M66" i="215" s="1"/>
  <c r="M96" i="34"/>
  <c r="L66" i="215" s="1"/>
  <c r="K96" i="34"/>
  <c r="J66" i="215" s="1"/>
  <c r="U96" i="34"/>
  <c r="T66" i="215" s="1"/>
  <c r="W96" i="34"/>
  <c r="V66" i="215" s="1"/>
  <c r="X96" i="34"/>
  <c r="W66" i="215" s="1"/>
  <c r="J96" i="34"/>
  <c r="I66" i="215" s="1"/>
  <c r="Z96" i="34"/>
  <c r="Y66" i="215" s="1"/>
  <c r="G66" i="215"/>
  <c r="T96" i="34"/>
  <c r="S66" i="215" s="1"/>
  <c r="R96" i="34"/>
  <c r="Q66" i="215" s="1"/>
  <c r="O96" i="34"/>
  <c r="N66" i="215" s="1"/>
  <c r="V96" i="34"/>
  <c r="U66" i="215" s="1"/>
  <c r="Y96" i="34"/>
  <c r="X66" i="215" s="1"/>
  <c r="Q96" i="34"/>
  <c r="P66" i="215" s="1"/>
  <c r="P96" i="34"/>
  <c r="O66" i="215" s="1"/>
  <c r="S96" i="34"/>
  <c r="R66" i="215" s="1"/>
  <c r="M91" i="34"/>
  <c r="L61" i="215" s="1"/>
  <c r="J91" i="34"/>
  <c r="I61" i="215" s="1"/>
  <c r="Q91" i="34"/>
  <c r="P61" i="215" s="1"/>
  <c r="S91" i="34"/>
  <c r="R61" i="215" s="1"/>
  <c r="R91" i="34"/>
  <c r="Q61" i="215" s="1"/>
  <c r="Z91" i="34"/>
  <c r="Y61" i="215" s="1"/>
  <c r="L91" i="34"/>
  <c r="K61" i="215" s="1"/>
  <c r="K91" i="34"/>
  <c r="J61" i="215" s="1"/>
  <c r="AA91" i="34"/>
  <c r="Z61" i="215" s="1"/>
  <c r="G61" i="215"/>
  <c r="U91" i="34"/>
  <c r="T61" i="215" s="1"/>
  <c r="P91" i="34"/>
  <c r="O61" i="215" s="1"/>
  <c r="T91" i="34"/>
  <c r="S61" i="215" s="1"/>
  <c r="Y91" i="34"/>
  <c r="X61" i="215" s="1"/>
  <c r="N91" i="34"/>
  <c r="M61" i="215" s="1"/>
  <c r="O91" i="34"/>
  <c r="N61" i="215" s="1"/>
  <c r="W91" i="34"/>
  <c r="V61" i="215" s="1"/>
  <c r="V91" i="34"/>
  <c r="U61" i="215" s="1"/>
  <c r="X91" i="34"/>
  <c r="W61" i="215" s="1"/>
  <c r="Y127" i="34"/>
  <c r="X103" i="215" s="1"/>
  <c r="L127" i="34"/>
  <c r="K103" i="215" s="1"/>
  <c r="R127" i="34"/>
  <c r="Q103" i="215" s="1"/>
  <c r="J127" i="34"/>
  <c r="I103" i="215" s="1"/>
  <c r="Q127" i="34"/>
  <c r="P103" i="215" s="1"/>
  <c r="W127" i="34"/>
  <c r="V103" i="215" s="1"/>
  <c r="T127" i="34"/>
  <c r="S103" i="215" s="1"/>
  <c r="P127" i="34"/>
  <c r="O103" i="215" s="1"/>
  <c r="S127" i="34"/>
  <c r="R103" i="215" s="1"/>
  <c r="Z127" i="34"/>
  <c r="Y103" i="215" s="1"/>
  <c r="X127" i="34"/>
  <c r="W103" i="215" s="1"/>
  <c r="N127" i="34"/>
  <c r="M103" i="215" s="1"/>
  <c r="O127" i="34"/>
  <c r="N103" i="215" s="1"/>
  <c r="G103" i="215"/>
  <c r="AA127" i="34"/>
  <c r="Z103" i="215" s="1"/>
  <c r="U127" i="34"/>
  <c r="T103" i="215" s="1"/>
  <c r="M127" i="34"/>
  <c r="L103" i="215" s="1"/>
  <c r="K127" i="34"/>
  <c r="J103" i="215" s="1"/>
  <c r="V127" i="34"/>
  <c r="U103" i="215" s="1"/>
  <c r="P134" i="34"/>
  <c r="O110" i="215" s="1"/>
  <c r="N134" i="34"/>
  <c r="M110" i="215" s="1"/>
  <c r="G110" i="215"/>
  <c r="O134" i="34"/>
  <c r="N110" i="215" s="1"/>
  <c r="S62" i="34"/>
  <c r="R32" i="215" s="1"/>
  <c r="Q62" i="34"/>
  <c r="P32" i="215" s="1"/>
  <c r="X62" i="34"/>
  <c r="W32" i="215" s="1"/>
  <c r="N62" i="34"/>
  <c r="M32" i="215" s="1"/>
  <c r="J62" i="34"/>
  <c r="I32" i="215" s="1"/>
  <c r="G32" i="215"/>
  <c r="T62" i="34"/>
  <c r="S32" i="215" s="1"/>
  <c r="O62" i="34"/>
  <c r="N32" i="215" s="1"/>
  <c r="M62" i="34"/>
  <c r="L32" i="215" s="1"/>
  <c r="W62" i="34"/>
  <c r="V32" i="215" s="1"/>
  <c r="U62" i="34"/>
  <c r="T32" i="215" s="1"/>
  <c r="AA62" i="34"/>
  <c r="Z32" i="215" s="1"/>
  <c r="Y62" i="34"/>
  <c r="X32" i="215" s="1"/>
  <c r="L62" i="34"/>
  <c r="K32" i="215" s="1"/>
  <c r="Z62" i="34"/>
  <c r="Y32" i="215" s="1"/>
  <c r="R62" i="34"/>
  <c r="Q32" i="215" s="1"/>
  <c r="V62" i="34"/>
  <c r="U32" i="215" s="1"/>
  <c r="K62" i="34"/>
  <c r="J32" i="215" s="1"/>
  <c r="P62" i="34"/>
  <c r="O32" i="215" s="1"/>
  <c r="P153" i="34"/>
  <c r="N153" i="34"/>
  <c r="G129" i="215"/>
  <c r="O153" i="34"/>
  <c r="G160" i="34"/>
  <c r="X52" i="34"/>
  <c r="W22" i="215" s="1"/>
  <c r="N52" i="34"/>
  <c r="M22" i="215" s="1"/>
  <c r="AA52" i="34"/>
  <c r="Z22" i="215" s="1"/>
  <c r="W52" i="34"/>
  <c r="V22" i="215" s="1"/>
  <c r="M52" i="34"/>
  <c r="L22" i="215" s="1"/>
  <c r="Y52" i="34"/>
  <c r="X22" i="215" s="1"/>
  <c r="R52" i="34"/>
  <c r="Q22" i="215" s="1"/>
  <c r="O52" i="34"/>
  <c r="N22" i="215" s="1"/>
  <c r="L52" i="34"/>
  <c r="K22" i="215" s="1"/>
  <c r="G22" i="215"/>
  <c r="S52" i="34"/>
  <c r="R22" i="215" s="1"/>
  <c r="U52" i="34"/>
  <c r="T22" i="215" s="1"/>
  <c r="T52" i="34"/>
  <c r="S22" i="215" s="1"/>
  <c r="J52" i="34"/>
  <c r="I22" i="215" s="1"/>
  <c r="Q52" i="34"/>
  <c r="P22" i="215" s="1"/>
  <c r="Z52" i="34"/>
  <c r="Y22" i="215" s="1"/>
  <c r="P52" i="34"/>
  <c r="O22" i="215" s="1"/>
  <c r="V52" i="34"/>
  <c r="U22" i="215" s="1"/>
  <c r="K52" i="34"/>
  <c r="J22" i="215" s="1"/>
  <c r="G148" i="215"/>
  <c r="G151" i="215"/>
  <c r="G142" i="215"/>
  <c r="P167" i="34"/>
  <c r="O142" i="215" s="1"/>
  <c r="O167" i="34"/>
  <c r="N142" i="215" s="1"/>
  <c r="N167" i="34"/>
  <c r="M142" i="215" s="1"/>
  <c r="G141" i="215"/>
  <c r="O166" i="34"/>
  <c r="N141" i="215" s="1"/>
  <c r="P166" i="34"/>
  <c r="O141" i="215" s="1"/>
  <c r="N166" i="34"/>
  <c r="M141" i="215" s="1"/>
  <c r="G150" i="215"/>
  <c r="U65" i="34"/>
  <c r="T35" i="215" s="1"/>
  <c r="G35" i="215"/>
  <c r="O65" i="34"/>
  <c r="N35" i="215" s="1"/>
  <c r="V65" i="34"/>
  <c r="U35" i="215" s="1"/>
  <c r="R65" i="34"/>
  <c r="Q35" i="215" s="1"/>
  <c r="X65" i="34"/>
  <c r="W35" i="215" s="1"/>
  <c r="S65" i="34"/>
  <c r="R35" i="215" s="1"/>
  <c r="J65" i="34"/>
  <c r="I35" i="215" s="1"/>
  <c r="K65" i="34"/>
  <c r="J35" i="215" s="1"/>
  <c r="P65" i="34"/>
  <c r="O35" i="215" s="1"/>
  <c r="T65" i="34"/>
  <c r="S35" i="215" s="1"/>
  <c r="L65" i="34"/>
  <c r="K35" i="215" s="1"/>
  <c r="W65" i="34"/>
  <c r="V35" i="215" s="1"/>
  <c r="M65" i="34"/>
  <c r="L35" i="215" s="1"/>
  <c r="Y65" i="34"/>
  <c r="X35" i="215" s="1"/>
  <c r="N65" i="34"/>
  <c r="M35" i="215" s="1"/>
  <c r="AA65" i="34"/>
  <c r="Z35" i="215" s="1"/>
  <c r="Z65" i="34"/>
  <c r="Y35" i="215" s="1"/>
  <c r="Q65" i="34"/>
  <c r="P35" i="215" s="1"/>
  <c r="G139" i="215"/>
  <c r="G203" i="34"/>
  <c r="O164" i="34"/>
  <c r="P164" i="34"/>
  <c r="N164" i="34"/>
  <c r="Y89" i="34"/>
  <c r="X59" i="215" s="1"/>
  <c r="K89" i="34"/>
  <c r="J59" i="215" s="1"/>
  <c r="P89" i="34"/>
  <c r="O59" i="215" s="1"/>
  <c r="R89" i="34"/>
  <c r="Q59" i="215" s="1"/>
  <c r="X89" i="34"/>
  <c r="W59" i="215" s="1"/>
  <c r="N89" i="34"/>
  <c r="M59" i="215" s="1"/>
  <c r="O89" i="34"/>
  <c r="N59" i="215" s="1"/>
  <c r="Q89" i="34"/>
  <c r="P59" i="215" s="1"/>
  <c r="AA89" i="34"/>
  <c r="Z59" i="215" s="1"/>
  <c r="W89" i="34"/>
  <c r="V59" i="215" s="1"/>
  <c r="M89" i="34"/>
  <c r="L59" i="215" s="1"/>
  <c r="S89" i="34"/>
  <c r="R59" i="215" s="1"/>
  <c r="G59" i="215"/>
  <c r="U89" i="34"/>
  <c r="T59" i="215" s="1"/>
  <c r="J89" i="34"/>
  <c r="I59" i="215" s="1"/>
  <c r="T89" i="34"/>
  <c r="S59" i="215" s="1"/>
  <c r="Z89" i="34"/>
  <c r="Y59" i="215" s="1"/>
  <c r="V89" i="34"/>
  <c r="U59" i="215" s="1"/>
  <c r="L89" i="34"/>
  <c r="K59" i="215" s="1"/>
  <c r="P55" i="34"/>
  <c r="O25" i="215" s="1"/>
  <c r="Y55" i="34"/>
  <c r="X25" i="215" s="1"/>
  <c r="R55" i="34"/>
  <c r="Q25" i="215" s="1"/>
  <c r="AA55" i="34"/>
  <c r="Z25" i="215" s="1"/>
  <c r="Q55" i="34"/>
  <c r="P25" i="215" s="1"/>
  <c r="G25" i="215"/>
  <c r="X55" i="34"/>
  <c r="W25" i="215" s="1"/>
  <c r="K55" i="34"/>
  <c r="J25" i="215" s="1"/>
  <c r="L55" i="34"/>
  <c r="K25" i="215" s="1"/>
  <c r="U55" i="34"/>
  <c r="T25" i="215" s="1"/>
  <c r="M55" i="34"/>
  <c r="L25" i="215" s="1"/>
  <c r="O55" i="34"/>
  <c r="N25" i="215" s="1"/>
  <c r="W55" i="34"/>
  <c r="V25" i="215" s="1"/>
  <c r="S55" i="34"/>
  <c r="R25" i="215" s="1"/>
  <c r="N55" i="34"/>
  <c r="M25" i="215" s="1"/>
  <c r="V55" i="34"/>
  <c r="U25" i="215" s="1"/>
  <c r="J55" i="34"/>
  <c r="I25" i="215" s="1"/>
  <c r="Z55" i="34"/>
  <c r="Y25" i="215" s="1"/>
  <c r="T55" i="34"/>
  <c r="S25" i="215" s="1"/>
  <c r="G109" i="215"/>
  <c r="O133" i="34"/>
  <c r="P133" i="34"/>
  <c r="N133" i="34"/>
  <c r="G135" i="34"/>
  <c r="M146" i="34"/>
  <c r="L122" i="215" s="1"/>
  <c r="V146" i="34"/>
  <c r="U122" i="215" s="1"/>
  <c r="X146" i="34"/>
  <c r="W122" i="215" s="1"/>
  <c r="G122" i="215"/>
  <c r="Q146" i="34"/>
  <c r="P122" i="215" s="1"/>
  <c r="Z146" i="34"/>
  <c r="Y122" i="215" s="1"/>
  <c r="J146" i="34"/>
  <c r="I122" i="215" s="1"/>
  <c r="N146" i="34"/>
  <c r="M122" i="215" s="1"/>
  <c r="S146" i="34"/>
  <c r="R122" i="215" s="1"/>
  <c r="Y146" i="34"/>
  <c r="X122" i="215" s="1"/>
  <c r="O146" i="34"/>
  <c r="N122" i="215" s="1"/>
  <c r="W146" i="34"/>
  <c r="V122" i="215" s="1"/>
  <c r="U146" i="34"/>
  <c r="T122" i="215" s="1"/>
  <c r="R146" i="34"/>
  <c r="Q122" i="215" s="1"/>
  <c r="T146" i="34"/>
  <c r="S122" i="215" s="1"/>
  <c r="P146" i="34"/>
  <c r="O122" i="215" s="1"/>
  <c r="K146" i="34"/>
  <c r="J122" i="215" s="1"/>
  <c r="AA146" i="34"/>
  <c r="Z122" i="215" s="1"/>
  <c r="L146" i="34"/>
  <c r="K122" i="215" s="1"/>
  <c r="O143" i="34"/>
  <c r="N119" i="215" s="1"/>
  <c r="Z143" i="34"/>
  <c r="Y119" i="215" s="1"/>
  <c r="J143" i="34"/>
  <c r="I119" i="215" s="1"/>
  <c r="Y143" i="34"/>
  <c r="X119" i="215" s="1"/>
  <c r="AA143" i="34"/>
  <c r="Z119" i="215" s="1"/>
  <c r="P143" i="34"/>
  <c r="O119" i="215" s="1"/>
  <c r="R143" i="34"/>
  <c r="Q119" i="215" s="1"/>
  <c r="M143" i="34"/>
  <c r="L119" i="215" s="1"/>
  <c r="V143" i="34"/>
  <c r="U119" i="215" s="1"/>
  <c r="G119" i="215"/>
  <c r="Q143" i="34"/>
  <c r="P119" i="215" s="1"/>
  <c r="S143" i="34"/>
  <c r="R119" i="215" s="1"/>
  <c r="W143" i="34"/>
  <c r="V119" i="215" s="1"/>
  <c r="X143" i="34"/>
  <c r="W119" i="215" s="1"/>
  <c r="L143" i="34"/>
  <c r="K119" i="215" s="1"/>
  <c r="T143" i="34"/>
  <c r="S119" i="215" s="1"/>
  <c r="U143" i="34"/>
  <c r="T119" i="215" s="1"/>
  <c r="K143" i="34"/>
  <c r="J119" i="215" s="1"/>
  <c r="N143" i="34"/>
  <c r="M119" i="215" s="1"/>
  <c r="G51" i="215"/>
  <c r="Z81" i="34"/>
  <c r="Y51" i="215" s="1"/>
  <c r="O81" i="34"/>
  <c r="N51" i="215" s="1"/>
  <c r="X81" i="34"/>
  <c r="W51" i="215" s="1"/>
  <c r="S81" i="34"/>
  <c r="R51" i="215" s="1"/>
  <c r="Q81" i="34"/>
  <c r="P51" i="215" s="1"/>
  <c r="N81" i="34"/>
  <c r="M51" i="215" s="1"/>
  <c r="R81" i="34"/>
  <c r="Q51" i="215" s="1"/>
  <c r="M81" i="34"/>
  <c r="L51" i="215" s="1"/>
  <c r="L81" i="34"/>
  <c r="K51" i="215" s="1"/>
  <c r="U81" i="34"/>
  <c r="T51" i="215" s="1"/>
  <c r="Y81" i="34"/>
  <c r="X51" i="215" s="1"/>
  <c r="T81" i="34"/>
  <c r="S51" i="215" s="1"/>
  <c r="J81" i="34"/>
  <c r="I51" i="215" s="1"/>
  <c r="P81" i="34"/>
  <c r="O51" i="215" s="1"/>
  <c r="W81" i="34"/>
  <c r="V51" i="215" s="1"/>
  <c r="V81" i="34"/>
  <c r="U51" i="215" s="1"/>
  <c r="K81" i="34"/>
  <c r="J51" i="215" s="1"/>
  <c r="AA81" i="34"/>
  <c r="Z51" i="215" s="1"/>
  <c r="G145" i="215"/>
  <c r="X103" i="34"/>
  <c r="W73" i="215" s="1"/>
  <c r="S103" i="34"/>
  <c r="R73" i="215" s="1"/>
  <c r="M103" i="34"/>
  <c r="L73" i="215" s="1"/>
  <c r="Q103" i="34"/>
  <c r="P73" i="215" s="1"/>
  <c r="J103" i="34"/>
  <c r="I73" i="215" s="1"/>
  <c r="Y103" i="34"/>
  <c r="X73" i="215" s="1"/>
  <c r="O103" i="34"/>
  <c r="N73" i="215" s="1"/>
  <c r="AA103" i="34"/>
  <c r="Z73" i="215" s="1"/>
  <c r="K103" i="34"/>
  <c r="J73" i="215" s="1"/>
  <c r="Z103" i="34"/>
  <c r="Y73" i="215" s="1"/>
  <c r="P103" i="34"/>
  <c r="O73" i="215" s="1"/>
  <c r="V103" i="34"/>
  <c r="U73" i="215" s="1"/>
  <c r="R103" i="34"/>
  <c r="Q73" i="215" s="1"/>
  <c r="L103" i="34"/>
  <c r="K73" i="215" s="1"/>
  <c r="G73" i="215"/>
  <c r="W103" i="34"/>
  <c r="V73" i="215" s="1"/>
  <c r="N103" i="34"/>
  <c r="M73" i="215" s="1"/>
  <c r="U103" i="34"/>
  <c r="T73" i="215" s="1"/>
  <c r="T103" i="34"/>
  <c r="S73" i="215" s="1"/>
  <c r="G176" i="215"/>
  <c r="O198" i="34"/>
  <c r="N176" i="215" s="1"/>
  <c r="P198" i="34"/>
  <c r="O176" i="215" s="1"/>
  <c r="N198" i="34"/>
  <c r="M176" i="215" s="1"/>
  <c r="W74" i="34"/>
  <c r="V44" i="215" s="1"/>
  <c r="S74" i="34"/>
  <c r="R44" i="215" s="1"/>
  <c r="Y74" i="34"/>
  <c r="X44" i="215" s="1"/>
  <c r="K74" i="34"/>
  <c r="J44" i="215" s="1"/>
  <c r="N74" i="34"/>
  <c r="M44" i="215" s="1"/>
  <c r="R74" i="34"/>
  <c r="Q44" i="215" s="1"/>
  <c r="T74" i="34"/>
  <c r="S44" i="215" s="1"/>
  <c r="U74" i="34"/>
  <c r="T44" i="215" s="1"/>
  <c r="Q74" i="34"/>
  <c r="P44" i="215" s="1"/>
  <c r="P74" i="34"/>
  <c r="O44" i="215" s="1"/>
  <c r="Z74" i="34"/>
  <c r="Y44" i="215" s="1"/>
  <c r="AA74" i="34"/>
  <c r="Z44" i="215" s="1"/>
  <c r="G44" i="215"/>
  <c r="O74" i="34"/>
  <c r="N44" i="215" s="1"/>
  <c r="M74" i="34"/>
  <c r="L44" i="215" s="1"/>
  <c r="L74" i="34"/>
  <c r="K44" i="215" s="1"/>
  <c r="J74" i="34"/>
  <c r="I44" i="215" s="1"/>
  <c r="V74" i="34"/>
  <c r="U44" i="215" s="1"/>
  <c r="X74" i="34"/>
  <c r="W44" i="215" s="1"/>
  <c r="C75" i="219"/>
  <c r="J104" i="219"/>
  <c r="J118" i="219" s="1"/>
  <c r="K104" i="219"/>
  <c r="F101" i="219"/>
  <c r="F73" i="219"/>
  <c r="E115" i="219"/>
  <c r="N52" i="202"/>
  <c r="S65" i="202"/>
  <c r="S105" i="202"/>
  <c r="S63" i="202"/>
  <c r="S107" i="202"/>
  <c r="C58" i="103"/>
  <c r="E39" i="44"/>
  <c r="E35" i="45"/>
  <c r="U499" i="202"/>
  <c r="U500" i="202" s="1"/>
  <c r="L132" i="16"/>
  <c r="L133" i="16" s="1"/>
  <c r="O108" i="16"/>
  <c r="O109" i="16" s="1"/>
  <c r="T14" i="181"/>
  <c r="T72" i="16"/>
  <c r="Q41" i="207"/>
  <c r="T9" i="202"/>
  <c r="T10" i="202" s="1"/>
  <c r="L31" i="219" s="1"/>
  <c r="N170" i="202"/>
  <c r="N171" i="202" s="1"/>
  <c r="Y43" i="13"/>
  <c r="F18" i="162" s="1"/>
  <c r="F24" i="44" s="1"/>
  <c r="E22" i="93" s="1"/>
  <c r="K218" i="202"/>
  <c r="O170" i="202"/>
  <c r="O171" i="202" s="1"/>
  <c r="O172" i="202" s="1"/>
  <c r="O173" i="202" s="1"/>
  <c r="K145" i="16"/>
  <c r="K146" i="16" s="1"/>
  <c r="O160" i="202"/>
  <c r="H16" i="162"/>
  <c r="E62" i="93" s="1"/>
  <c r="T475" i="202"/>
  <c r="T476" i="202" s="1"/>
  <c r="T477" i="202" s="1"/>
  <c r="T478" i="202" s="1"/>
  <c r="T485" i="202" s="1"/>
  <c r="AG95" i="172"/>
  <c r="C56" i="36"/>
  <c r="C58" i="36" s="1"/>
  <c r="U472" i="202"/>
  <c r="U473" i="202" s="1"/>
  <c r="U474" i="202" s="1"/>
  <c r="Q194" i="202"/>
  <c r="Q195" i="202" s="1"/>
  <c r="Q196" i="202" s="1"/>
  <c r="T42" i="202"/>
  <c r="T436" i="202"/>
  <c r="T84" i="202" s="1"/>
  <c r="T105" i="202" s="1"/>
  <c r="M242" i="202"/>
  <c r="M243" i="202" s="1"/>
  <c r="M244" i="202" s="1"/>
  <c r="M245" i="202" s="1"/>
  <c r="J146" i="16"/>
  <c r="J147" i="16" s="1"/>
  <c r="O119" i="16"/>
  <c r="O120" i="16" s="1"/>
  <c r="O253" i="16" s="1"/>
  <c r="V66" i="16"/>
  <c r="U422" i="202"/>
  <c r="U423" i="202" s="1"/>
  <c r="O131" i="16"/>
  <c r="P78" i="13"/>
  <c r="J174" i="16"/>
  <c r="AH123" i="185"/>
  <c r="AH117" i="185"/>
  <c r="AI132" i="185"/>
  <c r="T18" i="184"/>
  <c r="U6" i="184"/>
  <c r="U10" i="184" s="1"/>
  <c r="F28" i="207"/>
  <c r="L9" i="207"/>
  <c r="I23" i="96"/>
  <c r="E21" i="115"/>
  <c r="G21" i="115" s="1"/>
  <c r="I21" i="115" s="1"/>
  <c r="I28" i="96"/>
  <c r="E26" i="115"/>
  <c r="F31" i="96"/>
  <c r="G187" i="215"/>
  <c r="P209" i="34"/>
  <c r="O209" i="34"/>
  <c r="N209" i="34"/>
  <c r="R83" i="16"/>
  <c r="R87" i="16" s="1"/>
  <c r="U62" i="16"/>
  <c r="Q130" i="16"/>
  <c r="O122" i="202"/>
  <c r="O123" i="202" s="1"/>
  <c r="T502" i="202"/>
  <c r="T503" i="202" s="1"/>
  <c r="T510" i="202" s="1"/>
  <c r="R10" i="202"/>
  <c r="J31" i="219" s="1"/>
  <c r="R117" i="202"/>
  <c r="M169" i="16"/>
  <c r="I13" i="207"/>
  <c r="O98" i="13"/>
  <c r="O149" i="13" s="1"/>
  <c r="O14" i="203"/>
  <c r="U82" i="227" s="1"/>
  <c r="AF8" i="185"/>
  <c r="AF10" i="185" s="1"/>
  <c r="AG7" i="185" s="1"/>
  <c r="AF78" i="185"/>
  <c r="F44" i="207"/>
  <c r="I15" i="202"/>
  <c r="D94" i="13"/>
  <c r="N14" i="203"/>
  <c r="T82" i="227" s="1"/>
  <c r="J43" i="207"/>
  <c r="M13" i="202"/>
  <c r="U65" i="16"/>
  <c r="W37" i="13"/>
  <c r="V31" i="16"/>
  <c r="H19" i="72"/>
  <c r="K19" i="72"/>
  <c r="E108" i="93"/>
  <c r="Q19" i="72"/>
  <c r="T19" i="72"/>
  <c r="X19" i="72"/>
  <c r="N19" i="72"/>
  <c r="F17" i="44"/>
  <c r="K158" i="16"/>
  <c r="U50" i="16"/>
  <c r="U53" i="16" s="1"/>
  <c r="V30" i="13"/>
  <c r="O10" i="207"/>
  <c r="S125" i="16"/>
  <c r="U74" i="13"/>
  <c r="Y74" i="13" s="1"/>
  <c r="E25" i="162" s="1"/>
  <c r="F27" i="72" s="1"/>
  <c r="E17" i="102" s="1"/>
  <c r="P237" i="34"/>
  <c r="O214" i="215" s="1"/>
  <c r="N237" i="34"/>
  <c r="M214" i="215" s="1"/>
  <c r="O237" i="34"/>
  <c r="N214" i="215" s="1"/>
  <c r="G214" i="215"/>
  <c r="I52" i="96"/>
  <c r="E49" i="115"/>
  <c r="G49" i="115" s="1"/>
  <c r="I49" i="115" s="1"/>
  <c r="AG15" i="185"/>
  <c r="AH116" i="185"/>
  <c r="R192" i="202"/>
  <c r="P107" i="16"/>
  <c r="R63" i="13"/>
  <c r="R40" i="207"/>
  <c r="U8" i="202"/>
  <c r="O208" i="172"/>
  <c r="O209" i="172" s="1"/>
  <c r="L146" i="16"/>
  <c r="L147" i="16" s="1"/>
  <c r="L256" i="16" s="1"/>
  <c r="S119" i="202"/>
  <c r="K132" i="16"/>
  <c r="S116" i="16"/>
  <c r="U69" i="13"/>
  <c r="Y69" i="13" s="1"/>
  <c r="G222" i="215"/>
  <c r="P245" i="34"/>
  <c r="O222" i="215" s="1"/>
  <c r="T245" i="34"/>
  <c r="S222" i="215" s="1"/>
  <c r="Z245" i="34"/>
  <c r="Y222" i="215" s="1"/>
  <c r="K245" i="34"/>
  <c r="J222" i="215" s="1"/>
  <c r="AA245" i="34"/>
  <c r="Z222" i="215" s="1"/>
  <c r="L245" i="34"/>
  <c r="K222" i="215" s="1"/>
  <c r="U245" i="34"/>
  <c r="T222" i="215" s="1"/>
  <c r="R245" i="34"/>
  <c r="Q222" i="215" s="1"/>
  <c r="Q245" i="34"/>
  <c r="P222" i="215" s="1"/>
  <c r="J245" i="34"/>
  <c r="I222" i="215" s="1"/>
  <c r="X245" i="34"/>
  <c r="W222" i="215" s="1"/>
  <c r="O245" i="34"/>
  <c r="N222" i="215" s="1"/>
  <c r="S245" i="34"/>
  <c r="R222" i="215" s="1"/>
  <c r="N245" i="34"/>
  <c r="M222" i="215" s="1"/>
  <c r="M245" i="34"/>
  <c r="L222" i="215" s="1"/>
  <c r="W245" i="34"/>
  <c r="V222" i="215" s="1"/>
  <c r="V245" i="34"/>
  <c r="U222" i="215" s="1"/>
  <c r="Y245" i="34"/>
  <c r="X222" i="215" s="1"/>
  <c r="R97" i="16"/>
  <c r="T56" i="13"/>
  <c r="I28" i="207"/>
  <c r="M140" i="16"/>
  <c r="J12" i="207"/>
  <c r="N152" i="16"/>
  <c r="P88" i="13"/>
  <c r="P148" i="13" s="1"/>
  <c r="C44" i="45"/>
  <c r="J218" i="202"/>
  <c r="J235" i="202" s="1"/>
  <c r="K261" i="202"/>
  <c r="K77" i="202" s="1"/>
  <c r="K98" i="202" s="1"/>
  <c r="K35" i="202"/>
  <c r="K56" i="202" s="1"/>
  <c r="S55" i="16"/>
  <c r="AI138" i="185"/>
  <c r="AI23" i="185" s="1"/>
  <c r="AI9" i="185" s="1"/>
  <c r="AH23" i="185"/>
  <c r="N7" i="203"/>
  <c r="N39" i="203"/>
  <c r="Y118" i="185"/>
  <c r="X119" i="185"/>
  <c r="X80" i="185" s="1"/>
  <c r="M128" i="16"/>
  <c r="M127" i="16"/>
  <c r="R251" i="16"/>
  <c r="R76" i="16"/>
  <c r="R240" i="16" s="1"/>
  <c r="Q15" i="157" s="1"/>
  <c r="F15" i="72"/>
  <c r="D106" i="13"/>
  <c r="D107" i="13" s="1"/>
  <c r="C43" i="14"/>
  <c r="M32" i="202"/>
  <c r="E47" i="219" s="1"/>
  <c r="M186" i="202"/>
  <c r="M74" i="202" s="1"/>
  <c r="P196" i="202"/>
  <c r="Q149" i="202"/>
  <c r="T54" i="16"/>
  <c r="X54" i="16" s="1"/>
  <c r="S502" i="202"/>
  <c r="S510" i="202" s="1"/>
  <c r="I60" i="96"/>
  <c r="M60" i="96" s="1"/>
  <c r="E57" i="115"/>
  <c r="G186" i="215"/>
  <c r="G211" i="34"/>
  <c r="N208" i="34"/>
  <c r="N295" i="34" s="1"/>
  <c r="J48" i="214" s="1"/>
  <c r="O208" i="34"/>
  <c r="O295" i="34" s="1"/>
  <c r="K48" i="214" s="1"/>
  <c r="P208" i="34"/>
  <c r="P295" i="34" s="1"/>
  <c r="L48" i="214" s="1"/>
  <c r="N223" i="34"/>
  <c r="M201" i="215" s="1"/>
  <c r="P223" i="34"/>
  <c r="O201" i="215" s="1"/>
  <c r="O223" i="34"/>
  <c r="N201" i="215" s="1"/>
  <c r="G201" i="215"/>
  <c r="I37" i="96"/>
  <c r="M37" i="96" s="1"/>
  <c r="E34" i="115"/>
  <c r="G34" i="115" s="1"/>
  <c r="I34" i="115" s="1"/>
  <c r="I19" i="96"/>
  <c r="E17" i="115"/>
  <c r="G17" i="115" s="1"/>
  <c r="I17" i="115" s="1"/>
  <c r="T50" i="13"/>
  <c r="S85" i="16"/>
  <c r="U48" i="13"/>
  <c r="L217" i="202"/>
  <c r="L218" i="202" s="1"/>
  <c r="L219" i="202" s="1"/>
  <c r="G171" i="16"/>
  <c r="G172" i="16"/>
  <c r="F257" i="16"/>
  <c r="U82" i="16"/>
  <c r="W46" i="13"/>
  <c r="G215" i="34"/>
  <c r="Z242" i="34"/>
  <c r="Y219" i="215" s="1"/>
  <c r="K242" i="34"/>
  <c r="J219" i="215" s="1"/>
  <c r="Q242" i="34"/>
  <c r="P219" i="215" s="1"/>
  <c r="X242" i="34"/>
  <c r="W219" i="215" s="1"/>
  <c r="M242" i="34"/>
  <c r="L219" i="215" s="1"/>
  <c r="L242" i="34"/>
  <c r="K219" i="215" s="1"/>
  <c r="V242" i="34"/>
  <c r="U219" i="215" s="1"/>
  <c r="N242" i="34"/>
  <c r="M219" i="215" s="1"/>
  <c r="Y242" i="34"/>
  <c r="X219" i="215" s="1"/>
  <c r="AA242" i="34"/>
  <c r="Z219" i="215" s="1"/>
  <c r="O242" i="34"/>
  <c r="N219" i="215" s="1"/>
  <c r="S242" i="34"/>
  <c r="R219" i="215" s="1"/>
  <c r="P242" i="34"/>
  <c r="O219" i="215" s="1"/>
  <c r="U242" i="34"/>
  <c r="T219" i="215" s="1"/>
  <c r="W242" i="34"/>
  <c r="V219" i="215" s="1"/>
  <c r="T242" i="34"/>
  <c r="S219" i="215" s="1"/>
  <c r="R242" i="34"/>
  <c r="Q219" i="215" s="1"/>
  <c r="J242" i="34"/>
  <c r="I219" i="215" s="1"/>
  <c r="G219" i="215"/>
  <c r="L7" i="203"/>
  <c r="L39" i="203"/>
  <c r="U67" i="16"/>
  <c r="W39" i="13"/>
  <c r="V61" i="16"/>
  <c r="P167" i="202"/>
  <c r="P168" i="202" s="1"/>
  <c r="M7" i="203"/>
  <c r="M39" i="203"/>
  <c r="R57" i="13"/>
  <c r="Q96" i="16"/>
  <c r="Q94" i="16" s="1"/>
  <c r="Q98" i="16" s="1"/>
  <c r="S55" i="13"/>
  <c r="S54" i="13" s="1"/>
  <c r="V48" i="16"/>
  <c r="H18" i="72"/>
  <c r="F20" i="72"/>
  <c r="Q18" i="72"/>
  <c r="T18" i="72"/>
  <c r="X18" i="72"/>
  <c r="N18" i="72"/>
  <c r="E107" i="93"/>
  <c r="K18" i="72"/>
  <c r="J28" i="207"/>
  <c r="N140" i="16"/>
  <c r="I38" i="96"/>
  <c r="E35" i="115"/>
  <c r="G35" i="115" s="1"/>
  <c r="I35" i="115" s="1"/>
  <c r="L224" i="34"/>
  <c r="K202" i="215" s="1"/>
  <c r="Z224" i="34"/>
  <c r="Y202" i="215" s="1"/>
  <c r="S224" i="34"/>
  <c r="R202" i="215" s="1"/>
  <c r="O224" i="34"/>
  <c r="N202" i="215" s="1"/>
  <c r="X224" i="34"/>
  <c r="W202" i="215" s="1"/>
  <c r="K224" i="34"/>
  <c r="J202" i="215" s="1"/>
  <c r="R224" i="34"/>
  <c r="Q202" i="215" s="1"/>
  <c r="J224" i="34"/>
  <c r="I202" i="215" s="1"/>
  <c r="W224" i="34"/>
  <c r="V202" i="215" s="1"/>
  <c r="T224" i="34"/>
  <c r="S202" i="215" s="1"/>
  <c r="N224" i="34"/>
  <c r="M202" i="215" s="1"/>
  <c r="Y224" i="34"/>
  <c r="X202" i="215" s="1"/>
  <c r="AA224" i="34"/>
  <c r="Z202" i="215" s="1"/>
  <c r="M224" i="34"/>
  <c r="L202" i="215" s="1"/>
  <c r="P224" i="34"/>
  <c r="O202" i="215" s="1"/>
  <c r="Q224" i="34"/>
  <c r="P202" i="215" s="1"/>
  <c r="G202" i="215"/>
  <c r="U224" i="34"/>
  <c r="T202" i="215" s="1"/>
  <c r="V224" i="34"/>
  <c r="U202" i="215" s="1"/>
  <c r="V82" i="227"/>
  <c r="AI144" i="185"/>
  <c r="AI30" i="185" s="1"/>
  <c r="AI15" i="185" s="1"/>
  <c r="AH30" i="185"/>
  <c r="L157" i="16"/>
  <c r="J26" i="207"/>
  <c r="G217" i="34"/>
  <c r="W244" i="34"/>
  <c r="V221" i="215" s="1"/>
  <c r="U244" i="34"/>
  <c r="T221" i="215" s="1"/>
  <c r="T244" i="34"/>
  <c r="S221" i="215" s="1"/>
  <c r="X244" i="34"/>
  <c r="W221" i="215" s="1"/>
  <c r="J244" i="34"/>
  <c r="I221" i="215" s="1"/>
  <c r="G221" i="215"/>
  <c r="AA244" i="34"/>
  <c r="Z221" i="215" s="1"/>
  <c r="S244" i="34"/>
  <c r="R221" i="215" s="1"/>
  <c r="O244" i="34"/>
  <c r="N221" i="215" s="1"/>
  <c r="P244" i="34"/>
  <c r="O221" i="215" s="1"/>
  <c r="Y244" i="34"/>
  <c r="X221" i="215" s="1"/>
  <c r="N244" i="34"/>
  <c r="M221" i="215" s="1"/>
  <c r="Z244" i="34"/>
  <c r="Y221" i="215" s="1"/>
  <c r="L244" i="34"/>
  <c r="K221" i="215" s="1"/>
  <c r="K244" i="34"/>
  <c r="J221" i="215" s="1"/>
  <c r="Q244" i="34"/>
  <c r="P221" i="215" s="1"/>
  <c r="M244" i="34"/>
  <c r="L221" i="215" s="1"/>
  <c r="R244" i="34"/>
  <c r="Q221" i="215" s="1"/>
  <c r="V244" i="34"/>
  <c r="U221" i="215" s="1"/>
  <c r="L14" i="203"/>
  <c r="R82" i="227" s="1"/>
  <c r="C45" i="45"/>
  <c r="C46" i="45" s="1"/>
  <c r="O25" i="207"/>
  <c r="P99" i="16"/>
  <c r="D102" i="13"/>
  <c r="J175" i="16"/>
  <c r="W14" i="185"/>
  <c r="W16" i="185" s="1"/>
  <c r="X13" i="185" s="1"/>
  <c r="W83" i="185"/>
  <c r="W84" i="185" s="1"/>
  <c r="O196" i="202"/>
  <c r="O197" i="202" s="1"/>
  <c r="O198" i="202" s="1"/>
  <c r="E22" i="162"/>
  <c r="F24" i="72" s="1"/>
  <c r="F40" i="195"/>
  <c r="E14" i="101"/>
  <c r="E18" i="93"/>
  <c r="H20" i="44"/>
  <c r="E13" i="78"/>
  <c r="X16" i="72"/>
  <c r="H16" i="72"/>
  <c r="E14" i="102"/>
  <c r="Q16" i="72"/>
  <c r="E104" i="93"/>
  <c r="N16" i="72"/>
  <c r="T16" i="72"/>
  <c r="S14" i="102" s="1"/>
  <c r="K16" i="72"/>
  <c r="W43" i="13"/>
  <c r="V69" i="16"/>
  <c r="O139" i="16"/>
  <c r="Q81" i="13"/>
  <c r="Q147" i="13" s="1"/>
  <c r="Q120" i="202"/>
  <c r="Q121" i="202" s="1"/>
  <c r="Q114" i="16"/>
  <c r="S67" i="13"/>
  <c r="S145" i="13" s="1"/>
  <c r="N225" i="34"/>
  <c r="P225" i="34"/>
  <c r="O225" i="34"/>
  <c r="C57" i="46"/>
  <c r="F172" i="16"/>
  <c r="F171" i="16"/>
  <c r="G246" i="34"/>
  <c r="T241" i="34"/>
  <c r="J241" i="34"/>
  <c r="S241" i="34"/>
  <c r="Y241" i="34"/>
  <c r="G214" i="34"/>
  <c r="R241" i="34"/>
  <c r="M241" i="34"/>
  <c r="L241" i="34"/>
  <c r="K241" i="34"/>
  <c r="O241" i="34"/>
  <c r="Z241" i="34"/>
  <c r="G218" i="215"/>
  <c r="AA241" i="34"/>
  <c r="W241" i="34"/>
  <c r="V241" i="34"/>
  <c r="Q241" i="34"/>
  <c r="N241" i="34"/>
  <c r="X241" i="34"/>
  <c r="U241" i="34"/>
  <c r="P241" i="34"/>
  <c r="M243" i="34"/>
  <c r="L220" i="215" s="1"/>
  <c r="V243" i="34"/>
  <c r="U220" i="215" s="1"/>
  <c r="K243" i="34"/>
  <c r="J220" i="215" s="1"/>
  <c r="R243" i="34"/>
  <c r="Q220" i="215" s="1"/>
  <c r="N243" i="34"/>
  <c r="M220" i="215" s="1"/>
  <c r="U243" i="34"/>
  <c r="T220" i="215" s="1"/>
  <c r="G220" i="215"/>
  <c r="O243" i="34"/>
  <c r="N220" i="215" s="1"/>
  <c r="W243" i="34"/>
  <c r="V220" i="215" s="1"/>
  <c r="X243" i="34"/>
  <c r="W220" i="215" s="1"/>
  <c r="S243" i="34"/>
  <c r="R220" i="215" s="1"/>
  <c r="L243" i="34"/>
  <c r="K220" i="215" s="1"/>
  <c r="T243" i="34"/>
  <c r="S220" i="215" s="1"/>
  <c r="Q243" i="34"/>
  <c r="P220" i="215" s="1"/>
  <c r="J243" i="34"/>
  <c r="I220" i="215" s="1"/>
  <c r="P243" i="34"/>
  <c r="O220" i="215" s="1"/>
  <c r="Z243" i="34"/>
  <c r="Y220" i="215" s="1"/>
  <c r="Y243" i="34"/>
  <c r="X220" i="215" s="1"/>
  <c r="G216" i="34"/>
  <c r="AA243" i="34"/>
  <c r="Z220" i="215" s="1"/>
  <c r="O39" i="203"/>
  <c r="O7" i="203"/>
  <c r="P117" i="16"/>
  <c r="P118" i="16" s="1"/>
  <c r="R70" i="13"/>
  <c r="Q71" i="13"/>
  <c r="T93" i="16"/>
  <c r="X93" i="16" s="1"/>
  <c r="V53" i="13"/>
  <c r="N144" i="16"/>
  <c r="P85" i="13"/>
  <c r="N126" i="16"/>
  <c r="T117" i="202"/>
  <c r="V47" i="16"/>
  <c r="AG9" i="185"/>
  <c r="AH122" i="185"/>
  <c r="AH124" i="185" s="1"/>
  <c r="Q64" i="13"/>
  <c r="Q163" i="13" s="1"/>
  <c r="P106" i="16"/>
  <c r="R62" i="13"/>
  <c r="M14" i="203"/>
  <c r="S82" i="227" s="1"/>
  <c r="AG125" i="185"/>
  <c r="AG75" i="185" s="1"/>
  <c r="M110" i="16"/>
  <c r="M254" i="16" s="1"/>
  <c r="G9" i="213" s="1"/>
  <c r="H9" i="213" s="1"/>
  <c r="P149" i="202"/>
  <c r="P160" i="202" s="1"/>
  <c r="V51" i="16"/>
  <c r="R144" i="202"/>
  <c r="R145" i="202" s="1"/>
  <c r="H18" i="162"/>
  <c r="E63" i="93" s="1"/>
  <c r="Y30" i="13"/>
  <c r="F16" i="162" s="1"/>
  <c r="F23" i="44" s="1"/>
  <c r="O143" i="16"/>
  <c r="S143" i="202"/>
  <c r="G105" i="13"/>
  <c r="H105" i="13" s="1"/>
  <c r="P120" i="202"/>
  <c r="J260" i="202"/>
  <c r="T104" i="16"/>
  <c r="X104" i="16" s="1"/>
  <c r="V60" i="13"/>
  <c r="J11" i="207"/>
  <c r="K42" i="195"/>
  <c r="G13" i="207"/>
  <c r="S86" i="16"/>
  <c r="U49" i="13"/>
  <c r="Y49" i="13" s="1"/>
  <c r="E33" i="115"/>
  <c r="G33" i="115" s="1"/>
  <c r="I33" i="115" s="1"/>
  <c r="I36" i="96"/>
  <c r="M36" i="96" s="1"/>
  <c r="G188" i="215"/>
  <c r="N210" i="34"/>
  <c r="N296" i="34" s="1"/>
  <c r="J49" i="214" s="1"/>
  <c r="P210" i="34"/>
  <c r="P296" i="34" s="1"/>
  <c r="L49" i="214" s="1"/>
  <c r="O210" i="34"/>
  <c r="O296" i="34" s="1"/>
  <c r="K49" i="214" s="1"/>
  <c r="I54" i="96"/>
  <c r="E51" i="115"/>
  <c r="G51" i="115" s="1"/>
  <c r="I51" i="115" s="1"/>
  <c r="I30" i="96"/>
  <c r="E27" i="115"/>
  <c r="G27" i="115" s="1"/>
  <c r="I27" i="115" s="1"/>
  <c r="I35" i="96"/>
  <c r="M35" i="96" s="1"/>
  <c r="E32" i="115"/>
  <c r="G32" i="115" s="1"/>
  <c r="I32" i="115" s="1"/>
  <c r="AD92" i="172"/>
  <c r="U63" i="16"/>
  <c r="W36" i="13"/>
  <c r="H27" i="207"/>
  <c r="G164" i="16"/>
  <c r="Y60" i="28" l="1"/>
  <c r="Y61" i="28"/>
  <c r="P33" i="176"/>
  <c r="P42" i="176" s="1"/>
  <c r="P56" i="176"/>
  <c r="P58" i="176" s="1"/>
  <c r="R27" i="176"/>
  <c r="W168" i="175"/>
  <c r="R11" i="70"/>
  <c r="P64" i="157"/>
  <c r="L43" i="209" s="1"/>
  <c r="Q54" i="176"/>
  <c r="Q13" i="176"/>
  <c r="X67" i="175"/>
  <c r="Y32" i="175" s="1"/>
  <c r="Q192" i="13"/>
  <c r="F8" i="219"/>
  <c r="F22" i="219" s="1"/>
  <c r="P165" i="13"/>
  <c r="P194" i="13" s="1"/>
  <c r="P137" i="164"/>
  <c r="F7" i="219"/>
  <c r="F21" i="219" s="1"/>
  <c r="P164" i="13"/>
  <c r="P117" i="164"/>
  <c r="V162" i="13"/>
  <c r="L5" i="219"/>
  <c r="L19" i="219" s="1"/>
  <c r="O193" i="13"/>
  <c r="R87" i="96"/>
  <c r="M54" i="96"/>
  <c r="V87" i="96" s="1"/>
  <c r="R89" i="96"/>
  <c r="M52" i="96"/>
  <c r="V89" i="96" s="1"/>
  <c r="R81" i="96"/>
  <c r="M38" i="96"/>
  <c r="R79" i="96"/>
  <c r="M30" i="96"/>
  <c r="V79" i="96" s="1"/>
  <c r="R78" i="96"/>
  <c r="M28" i="96"/>
  <c r="R72" i="96"/>
  <c r="M19" i="96"/>
  <c r="V72" i="96" s="1"/>
  <c r="R76" i="96"/>
  <c r="M23" i="96"/>
  <c r="V76" i="96" s="1"/>
  <c r="X17" i="28"/>
  <c r="S88" i="227"/>
  <c r="S89" i="227" s="1"/>
  <c r="Y17" i="28"/>
  <c r="T88" i="227"/>
  <c r="T89" i="227" s="1"/>
  <c r="V88" i="227"/>
  <c r="V89" i="227" s="1"/>
  <c r="W17" i="28"/>
  <c r="R88" i="227"/>
  <c r="R89" i="227" s="1"/>
  <c r="Z17" i="28"/>
  <c r="U88" i="227"/>
  <c r="U89" i="227" s="1"/>
  <c r="T63" i="202"/>
  <c r="S49" i="195" s="1"/>
  <c r="L48" i="219"/>
  <c r="N105" i="34"/>
  <c r="M75" i="215" s="1"/>
  <c r="V143" i="70"/>
  <c r="V127" i="70"/>
  <c r="V141" i="70"/>
  <c r="V151" i="70"/>
  <c r="V135" i="70"/>
  <c r="V130" i="70"/>
  <c r="V139" i="70"/>
  <c r="S43" i="181"/>
  <c r="O53" i="209"/>
  <c r="F24" i="96"/>
  <c r="O163" i="34"/>
  <c r="O203" i="34" s="1"/>
  <c r="P163" i="34"/>
  <c r="P203" i="34" s="1"/>
  <c r="P22" i="34" s="1"/>
  <c r="L20" i="104" s="1"/>
  <c r="N163" i="34"/>
  <c r="N203" i="34" s="1"/>
  <c r="N22" i="34" s="1"/>
  <c r="J20" i="104" s="1"/>
  <c r="V132" i="70"/>
  <c r="V152" i="70"/>
  <c r="V129" i="70"/>
  <c r="Y159" i="28"/>
  <c r="Z146" i="28" s="1"/>
  <c r="V136" i="70"/>
  <c r="V140" i="70"/>
  <c r="V126" i="70"/>
  <c r="X104" i="34"/>
  <c r="W74" i="215" s="1"/>
  <c r="V102" i="70"/>
  <c r="V97" i="70"/>
  <c r="V98" i="70"/>
  <c r="V103" i="70"/>
  <c r="V96" i="70"/>
  <c r="V100" i="70"/>
  <c r="V94" i="70"/>
  <c r="Y102" i="28"/>
  <c r="Y168" i="28" s="1"/>
  <c r="T72" i="157" s="1"/>
  <c r="V101" i="70"/>
  <c r="V95" i="70"/>
  <c r="R107" i="34"/>
  <c r="Q77" i="215" s="1"/>
  <c r="V104" i="70"/>
  <c r="V99" i="70"/>
  <c r="S41" i="181"/>
  <c r="O51" i="209"/>
  <c r="F22" i="96"/>
  <c r="W99" i="34"/>
  <c r="V69" i="215" s="1"/>
  <c r="W104" i="34"/>
  <c r="V74" i="215" s="1"/>
  <c r="X99" i="34"/>
  <c r="W69" i="215" s="1"/>
  <c r="U99" i="34"/>
  <c r="T69" i="215" s="1"/>
  <c r="X101" i="34"/>
  <c r="W71" i="215" s="1"/>
  <c r="Y107" i="34"/>
  <c r="X77" i="215" s="1"/>
  <c r="U104" i="34"/>
  <c r="T74" i="215" s="1"/>
  <c r="K99" i="34"/>
  <c r="J69" i="215" s="1"/>
  <c r="G69" i="215"/>
  <c r="P104" i="34"/>
  <c r="O74" i="215" s="1"/>
  <c r="Q99" i="34"/>
  <c r="P69" i="215" s="1"/>
  <c r="M99" i="34"/>
  <c r="L69" i="215" s="1"/>
  <c r="Z107" i="34"/>
  <c r="Y77" i="215" s="1"/>
  <c r="Q107" i="34"/>
  <c r="P77" i="215" s="1"/>
  <c r="N101" i="34"/>
  <c r="M71" i="215" s="1"/>
  <c r="V85" i="70"/>
  <c r="V78" i="70"/>
  <c r="S40" i="181"/>
  <c r="O50" i="209"/>
  <c r="F21" i="96"/>
  <c r="V74" i="70"/>
  <c r="Y104" i="34"/>
  <c r="X74" i="215" s="1"/>
  <c r="P107" i="34"/>
  <c r="O77" i="215" s="1"/>
  <c r="U107" i="34"/>
  <c r="T77" i="215" s="1"/>
  <c r="N99" i="34"/>
  <c r="M69" i="215" s="1"/>
  <c r="AA99" i="34"/>
  <c r="Z69" i="215" s="1"/>
  <c r="S99" i="34"/>
  <c r="R69" i="215" s="1"/>
  <c r="Y101" i="34"/>
  <c r="X71" i="215" s="1"/>
  <c r="V72" i="70"/>
  <c r="V80" i="70"/>
  <c r="V73" i="70"/>
  <c r="V69" i="70"/>
  <c r="V71" i="70"/>
  <c r="V83" i="70"/>
  <c r="V70" i="70"/>
  <c r="N107" i="34"/>
  <c r="M77" i="215" s="1"/>
  <c r="G77" i="215"/>
  <c r="M107" i="34"/>
  <c r="L77" i="215" s="1"/>
  <c r="J99" i="34"/>
  <c r="I69" i="215" s="1"/>
  <c r="O99" i="34"/>
  <c r="N69" i="215" s="1"/>
  <c r="V99" i="34"/>
  <c r="U69" i="215" s="1"/>
  <c r="T99" i="34"/>
  <c r="S69" i="215" s="1"/>
  <c r="V67" i="70"/>
  <c r="Y83" i="28"/>
  <c r="V82" i="70"/>
  <c r="V76" i="70"/>
  <c r="V81" i="70"/>
  <c r="I99" i="215"/>
  <c r="AE123" i="34"/>
  <c r="AA106" i="34"/>
  <c r="Z76" i="215" s="1"/>
  <c r="W101" i="34"/>
  <c r="V71" i="215" s="1"/>
  <c r="O106" i="34"/>
  <c r="N76" i="215" s="1"/>
  <c r="S107" i="34"/>
  <c r="R77" i="215" s="1"/>
  <c r="J107" i="34"/>
  <c r="I77" i="215" s="1"/>
  <c r="L107" i="34"/>
  <c r="K77" i="215" s="1"/>
  <c r="O107" i="34"/>
  <c r="N77" i="215" s="1"/>
  <c r="X107" i="34"/>
  <c r="W77" i="215" s="1"/>
  <c r="K106" i="34"/>
  <c r="J76" i="215" s="1"/>
  <c r="W107" i="34"/>
  <c r="V77" i="215" s="1"/>
  <c r="AA107" i="34"/>
  <c r="Z77" i="215" s="1"/>
  <c r="V107" i="34"/>
  <c r="U77" i="215" s="1"/>
  <c r="T107" i="34"/>
  <c r="S77" i="215" s="1"/>
  <c r="L101" i="34"/>
  <c r="K71" i="215" s="1"/>
  <c r="S106" i="34"/>
  <c r="R76" i="215" s="1"/>
  <c r="J106" i="34"/>
  <c r="I76" i="215" s="1"/>
  <c r="P106" i="34"/>
  <c r="O76" i="215" s="1"/>
  <c r="T106" i="34"/>
  <c r="S76" i="215" s="1"/>
  <c r="R106" i="34"/>
  <c r="Q76" i="215" s="1"/>
  <c r="V106" i="34"/>
  <c r="U76" i="215" s="1"/>
  <c r="Z106" i="34"/>
  <c r="Y76" i="215" s="1"/>
  <c r="L105" i="34"/>
  <c r="K75" i="215" s="1"/>
  <c r="T98" i="34"/>
  <c r="S68" i="215" s="1"/>
  <c r="N106" i="34"/>
  <c r="M76" i="215" s="1"/>
  <c r="G76" i="215"/>
  <c r="M106" i="34"/>
  <c r="L76" i="215" s="1"/>
  <c r="Q106" i="34"/>
  <c r="P76" i="215" s="1"/>
  <c r="G75" i="215"/>
  <c r="G68" i="215"/>
  <c r="L106" i="34"/>
  <c r="K76" i="215" s="1"/>
  <c r="X106" i="34"/>
  <c r="W76" i="215" s="1"/>
  <c r="U106" i="34"/>
  <c r="T76" i="215" s="1"/>
  <c r="W106" i="34"/>
  <c r="V76" i="215" s="1"/>
  <c r="J105" i="34"/>
  <c r="I75" i="215" s="1"/>
  <c r="L99" i="34"/>
  <c r="K69" i="215" s="1"/>
  <c r="P99" i="34"/>
  <c r="O69" i="215" s="1"/>
  <c r="R99" i="34"/>
  <c r="Q69" i="215" s="1"/>
  <c r="Y99" i="34"/>
  <c r="X69" i="215" s="1"/>
  <c r="V60" i="70"/>
  <c r="S105" i="34"/>
  <c r="R75" i="215" s="1"/>
  <c r="P105" i="34"/>
  <c r="O75" i="215" s="1"/>
  <c r="W105" i="34"/>
  <c r="V75" i="215" s="1"/>
  <c r="O105" i="34"/>
  <c r="N75" i="215" s="1"/>
  <c r="Q105" i="34"/>
  <c r="P75" i="215" s="1"/>
  <c r="S98" i="34"/>
  <c r="R68" i="215" s="1"/>
  <c r="K101" i="34"/>
  <c r="J71" i="215" s="1"/>
  <c r="AA101" i="34"/>
  <c r="Z71" i="215" s="1"/>
  <c r="S101" i="34"/>
  <c r="R71" i="215" s="1"/>
  <c r="Q101" i="34"/>
  <c r="P71" i="215" s="1"/>
  <c r="Y55" i="28"/>
  <c r="Y59" i="28"/>
  <c r="Z104" i="34"/>
  <c r="Y74" i="215" s="1"/>
  <c r="R104" i="34"/>
  <c r="Q74" i="215" s="1"/>
  <c r="M104" i="34"/>
  <c r="L74" i="215" s="1"/>
  <c r="J104" i="34"/>
  <c r="I74" i="215" s="1"/>
  <c r="Q104" i="34"/>
  <c r="P74" i="215" s="1"/>
  <c r="V105" i="34"/>
  <c r="U75" i="215" s="1"/>
  <c r="X105" i="34"/>
  <c r="W75" i="215" s="1"/>
  <c r="Y105" i="34"/>
  <c r="X75" i="215" s="1"/>
  <c r="Z105" i="34"/>
  <c r="Y75" i="215" s="1"/>
  <c r="AA105" i="34"/>
  <c r="Z75" i="215" s="1"/>
  <c r="M98" i="34"/>
  <c r="L68" i="215" s="1"/>
  <c r="G71" i="215"/>
  <c r="T101" i="34"/>
  <c r="S71" i="215" s="1"/>
  <c r="P101" i="34"/>
  <c r="O71" i="215" s="1"/>
  <c r="O101" i="34"/>
  <c r="N71" i="215" s="1"/>
  <c r="U101" i="34"/>
  <c r="T71" i="215" s="1"/>
  <c r="Y49" i="28"/>
  <c r="V51" i="70" s="1"/>
  <c r="Y57" i="28"/>
  <c r="N104" i="34"/>
  <c r="M74" i="215" s="1"/>
  <c r="V104" i="34"/>
  <c r="U74" i="215" s="1"/>
  <c r="L104" i="34"/>
  <c r="K74" i="215" s="1"/>
  <c r="O104" i="34"/>
  <c r="N74" i="215" s="1"/>
  <c r="G74" i="215"/>
  <c r="K104" i="34"/>
  <c r="J74" i="215" s="1"/>
  <c r="AA104" i="34"/>
  <c r="Z74" i="215" s="1"/>
  <c r="S104" i="34"/>
  <c r="R74" i="215" s="1"/>
  <c r="R105" i="34"/>
  <c r="Q75" i="215" s="1"/>
  <c r="T105" i="34"/>
  <c r="S75" i="215" s="1"/>
  <c r="U105" i="34"/>
  <c r="T75" i="215" s="1"/>
  <c r="M105" i="34"/>
  <c r="L75" i="215" s="1"/>
  <c r="V98" i="34"/>
  <c r="U68" i="215" s="1"/>
  <c r="R101" i="34"/>
  <c r="Q71" i="215" s="1"/>
  <c r="M101" i="34"/>
  <c r="L71" i="215" s="1"/>
  <c r="Z101" i="34"/>
  <c r="Y71" i="215" s="1"/>
  <c r="V101" i="34"/>
  <c r="U71" i="215" s="1"/>
  <c r="V63" i="70"/>
  <c r="V62" i="70"/>
  <c r="X98" i="34"/>
  <c r="W68" i="215" s="1"/>
  <c r="P98" i="34"/>
  <c r="O68" i="215" s="1"/>
  <c r="W98" i="34"/>
  <c r="V68" i="215" s="1"/>
  <c r="AA98" i="34"/>
  <c r="Z68" i="215" s="1"/>
  <c r="Z98" i="34"/>
  <c r="Y68" i="215" s="1"/>
  <c r="L98" i="34"/>
  <c r="K68" i="215" s="1"/>
  <c r="Y98" i="34"/>
  <c r="X68" i="215" s="1"/>
  <c r="R98" i="34"/>
  <c r="Q68" i="215" s="1"/>
  <c r="U98" i="34"/>
  <c r="T68" i="215" s="1"/>
  <c r="O98" i="34"/>
  <c r="N68" i="215" s="1"/>
  <c r="X165" i="28"/>
  <c r="S70" i="157" s="1"/>
  <c r="Y54" i="28"/>
  <c r="Y51" i="28"/>
  <c r="Y50" i="28"/>
  <c r="Y52" i="28"/>
  <c r="V57" i="70"/>
  <c r="J98" i="34"/>
  <c r="I68" i="215" s="1"/>
  <c r="K98" i="34"/>
  <c r="J68" i="215" s="1"/>
  <c r="Q98" i="34"/>
  <c r="P68" i="215" s="1"/>
  <c r="U64" i="70"/>
  <c r="U164" i="70" s="1"/>
  <c r="G95" i="34"/>
  <c r="Y53" i="28"/>
  <c r="U38" i="181"/>
  <c r="Q48" i="209"/>
  <c r="W37" i="70"/>
  <c r="W33" i="70"/>
  <c r="W43" i="70"/>
  <c r="W31" i="70"/>
  <c r="W42" i="70"/>
  <c r="W40" i="70"/>
  <c r="T38" i="181"/>
  <c r="P48" i="209"/>
  <c r="W39" i="70"/>
  <c r="W34" i="70"/>
  <c r="W41" i="70"/>
  <c r="W38" i="70"/>
  <c r="W27" i="70"/>
  <c r="W28" i="70"/>
  <c r="W45" i="70"/>
  <c r="W36" i="70"/>
  <c r="W47" i="70"/>
  <c r="W35" i="70"/>
  <c r="W32" i="70"/>
  <c r="R27" i="157"/>
  <c r="N25" i="209" s="1"/>
  <c r="L134" i="16"/>
  <c r="L255" i="16" s="1"/>
  <c r="Y48" i="13"/>
  <c r="U47" i="13"/>
  <c r="Y47" i="13" s="1"/>
  <c r="G20" i="162" s="1"/>
  <c r="E67" i="93" s="1"/>
  <c r="G52" i="202"/>
  <c r="G67" i="202" s="1"/>
  <c r="M159" i="16"/>
  <c r="R29" i="157"/>
  <c r="N27" i="209" s="1"/>
  <c r="R31" i="157"/>
  <c r="N29" i="209" s="1"/>
  <c r="R28" i="157"/>
  <c r="N26" i="209" s="1"/>
  <c r="T27" i="72"/>
  <c r="S17" i="102" s="1"/>
  <c r="Q27" i="72"/>
  <c r="P17" i="102" s="1"/>
  <c r="H27" i="72"/>
  <c r="G17" i="102" s="1"/>
  <c r="N141" i="16"/>
  <c r="N145" i="16" s="1"/>
  <c r="N146" i="16" s="1"/>
  <c r="N147" i="16" s="1"/>
  <c r="N256" i="16" s="1"/>
  <c r="G94" i="202"/>
  <c r="G109" i="202" s="1"/>
  <c r="K159" i="16"/>
  <c r="U501" i="202"/>
  <c r="U502" i="202" s="1"/>
  <c r="U503" i="202" s="1"/>
  <c r="U504" i="202" s="1"/>
  <c r="U510" i="202" s="1"/>
  <c r="K27" i="72"/>
  <c r="J17" i="102" s="1"/>
  <c r="U191" i="13"/>
  <c r="P25" i="207" s="1"/>
  <c r="E116" i="93"/>
  <c r="E51" i="107" s="1"/>
  <c r="N27" i="72"/>
  <c r="M17" i="102" s="1"/>
  <c r="F176" i="16"/>
  <c r="F177" i="16" s="1"/>
  <c r="F178" i="16" s="1"/>
  <c r="O90" i="172"/>
  <c r="H21" i="203"/>
  <c r="H12" i="203" s="1"/>
  <c r="I21" i="203"/>
  <c r="I12" i="203" s="1"/>
  <c r="P90" i="172"/>
  <c r="G21" i="203"/>
  <c r="G12" i="203" s="1"/>
  <c r="N90" i="172"/>
  <c r="M90" i="172"/>
  <c r="F21" i="203"/>
  <c r="F12" i="203" s="1"/>
  <c r="E21" i="203"/>
  <c r="E12" i="203" s="1"/>
  <c r="L90" i="172"/>
  <c r="D10" i="203"/>
  <c r="K90" i="172"/>
  <c r="K21" i="203"/>
  <c r="K12" i="203" s="1"/>
  <c r="R90" i="172"/>
  <c r="P108" i="16"/>
  <c r="P109" i="16" s="1"/>
  <c r="G176" i="16"/>
  <c r="G177" i="16" s="1"/>
  <c r="G178" i="16" s="1"/>
  <c r="G258" i="16" s="1"/>
  <c r="Q90" i="172"/>
  <c r="J21" i="203"/>
  <c r="J12" i="203" s="1"/>
  <c r="G126" i="215"/>
  <c r="G181" i="215"/>
  <c r="AE114" i="34"/>
  <c r="AE139" i="34"/>
  <c r="M139" i="215"/>
  <c r="M181" i="215" s="1"/>
  <c r="N40" i="215"/>
  <c r="N62" i="215" s="1"/>
  <c r="O92" i="34"/>
  <c r="O17" i="34" s="1"/>
  <c r="K15" i="104" s="1"/>
  <c r="AE112" i="34"/>
  <c r="P115" i="215"/>
  <c r="Q150" i="34"/>
  <c r="Q20" i="34" s="1"/>
  <c r="M18" i="104" s="1"/>
  <c r="X16" i="215"/>
  <c r="AE63" i="34"/>
  <c r="AE80" i="34"/>
  <c r="S116" i="215"/>
  <c r="T286" i="34"/>
  <c r="P39" i="214" s="1"/>
  <c r="M286" i="34"/>
  <c r="I39" i="214" s="1"/>
  <c r="L116" i="215"/>
  <c r="AE52" i="34"/>
  <c r="P160" i="34"/>
  <c r="P21" i="34" s="1"/>
  <c r="L19" i="104" s="1"/>
  <c r="O129" i="215"/>
  <c r="O136" i="215" s="1"/>
  <c r="R40" i="215"/>
  <c r="R62" i="215" s="1"/>
  <c r="S92" i="34"/>
  <c r="S17" i="34" s="1"/>
  <c r="O15" i="104" s="1"/>
  <c r="K40" i="215"/>
  <c r="K62" i="215" s="1"/>
  <c r="L92" i="34"/>
  <c r="L17" i="34" s="1"/>
  <c r="H15" i="104" s="1"/>
  <c r="AA92" i="34"/>
  <c r="AA17" i="34" s="1"/>
  <c r="W15" i="104" s="1"/>
  <c r="Z40" i="215"/>
  <c r="Z62" i="215" s="1"/>
  <c r="V40" i="215"/>
  <c r="V62" i="215" s="1"/>
  <c r="W92" i="34"/>
  <c r="W17" i="34" s="1"/>
  <c r="S15" i="104" s="1"/>
  <c r="P40" i="215"/>
  <c r="P62" i="215" s="1"/>
  <c r="Q92" i="34"/>
  <c r="Q17" i="34" s="1"/>
  <c r="M15" i="104" s="1"/>
  <c r="T115" i="215"/>
  <c r="U150" i="34"/>
  <c r="U20" i="34" s="1"/>
  <c r="Q18" i="104" s="1"/>
  <c r="W115" i="215"/>
  <c r="X150" i="34"/>
  <c r="X20" i="34" s="1"/>
  <c r="T18" i="104" s="1"/>
  <c r="L115" i="215"/>
  <c r="M150" i="34"/>
  <c r="M20" i="34" s="1"/>
  <c r="I18" i="104" s="1"/>
  <c r="K115" i="215"/>
  <c r="L150" i="34"/>
  <c r="L20" i="34" s="1"/>
  <c r="H18" i="104" s="1"/>
  <c r="AE76" i="34"/>
  <c r="AE82" i="34"/>
  <c r="AE64" i="34"/>
  <c r="AE144" i="34"/>
  <c r="AE124" i="34"/>
  <c r="AE117" i="34"/>
  <c r="AE86" i="34"/>
  <c r="AE47" i="34"/>
  <c r="S16" i="215"/>
  <c r="V16" i="215"/>
  <c r="U16" i="215"/>
  <c r="L16" i="215"/>
  <c r="T16" i="215"/>
  <c r="O87" i="215"/>
  <c r="O106" i="215" s="1"/>
  <c r="P130" i="34"/>
  <c r="L286" i="34"/>
  <c r="H39" i="214" s="1"/>
  <c r="K116" i="215"/>
  <c r="Y116" i="215"/>
  <c r="Z286" i="34"/>
  <c r="V39" i="214" s="1"/>
  <c r="K286" i="34"/>
  <c r="G39" i="214" s="1"/>
  <c r="J116" i="215"/>
  <c r="R116" i="215"/>
  <c r="S286" i="34"/>
  <c r="O39" i="214" s="1"/>
  <c r="U286" i="34"/>
  <c r="Q39" i="214" s="1"/>
  <c r="T116" i="215"/>
  <c r="M109" i="215"/>
  <c r="M111" i="215" s="1"/>
  <c r="N135" i="34"/>
  <c r="AE89" i="34"/>
  <c r="AE87" i="34"/>
  <c r="AE182" i="34"/>
  <c r="AE145" i="34"/>
  <c r="J115" i="215"/>
  <c r="K150" i="34"/>
  <c r="K20" i="34" s="1"/>
  <c r="G18" i="104" s="1"/>
  <c r="M16" i="215"/>
  <c r="M116" i="215"/>
  <c r="N286" i="34"/>
  <c r="J39" i="214" s="1"/>
  <c r="AE102" i="34"/>
  <c r="AE177" i="34"/>
  <c r="U72" i="16"/>
  <c r="U73" i="16" s="1"/>
  <c r="U74" i="16" s="1"/>
  <c r="U252" i="16" s="1"/>
  <c r="T12" i="202" s="1"/>
  <c r="N139" i="215"/>
  <c r="N181" i="215" s="1"/>
  <c r="AE73" i="34"/>
  <c r="U40" i="215"/>
  <c r="U62" i="215" s="1"/>
  <c r="V92" i="34"/>
  <c r="V17" i="34" s="1"/>
  <c r="R15" i="104" s="1"/>
  <c r="M115" i="215"/>
  <c r="N150" i="34"/>
  <c r="N20" i="34" s="1"/>
  <c r="J18" i="104" s="1"/>
  <c r="S115" i="215"/>
  <c r="T150" i="34"/>
  <c r="T20" i="34" s="1"/>
  <c r="P18" i="104" s="1"/>
  <c r="Q115" i="215"/>
  <c r="R150" i="34"/>
  <c r="R20" i="34" s="1"/>
  <c r="N18" i="104" s="1"/>
  <c r="Z115" i="215"/>
  <c r="AA150" i="34"/>
  <c r="AA20" i="34" s="1"/>
  <c r="W18" i="104" s="1"/>
  <c r="X115" i="215"/>
  <c r="Y150" i="34"/>
  <c r="Y20" i="34" s="1"/>
  <c r="U18" i="104" s="1"/>
  <c r="Q16" i="215"/>
  <c r="O16" i="215"/>
  <c r="I16" i="215"/>
  <c r="Z16" i="215"/>
  <c r="N87" i="215"/>
  <c r="N106" i="215" s="1"/>
  <c r="O130" i="34"/>
  <c r="O116" i="215"/>
  <c r="P286" i="34"/>
  <c r="L39" i="214" s="1"/>
  <c r="Z116" i="215"/>
  <c r="AA286" i="34"/>
  <c r="W39" i="214" s="1"/>
  <c r="V286" i="34"/>
  <c r="R39" i="214" s="1"/>
  <c r="U116" i="215"/>
  <c r="Q116" i="215"/>
  <c r="R286" i="34"/>
  <c r="N39" i="214" s="1"/>
  <c r="N116" i="215"/>
  <c r="O286" i="34"/>
  <c r="K39" i="214" s="1"/>
  <c r="AE85" i="34"/>
  <c r="AE148" i="34"/>
  <c r="AE53" i="34"/>
  <c r="AE88" i="34"/>
  <c r="AE59" i="34"/>
  <c r="AE54" i="34"/>
  <c r="AE116" i="34"/>
  <c r="AE55" i="34"/>
  <c r="N160" i="34"/>
  <c r="N21" i="34" s="1"/>
  <c r="J19" i="104" s="1"/>
  <c r="M129" i="215"/>
  <c r="M136" i="215" s="1"/>
  <c r="L40" i="215"/>
  <c r="L62" i="215" s="1"/>
  <c r="M92" i="34"/>
  <c r="M17" i="34" s="1"/>
  <c r="I15" i="104" s="1"/>
  <c r="J40" i="215"/>
  <c r="J62" i="215" s="1"/>
  <c r="K92" i="34"/>
  <c r="K17" i="34" s="1"/>
  <c r="G15" i="104" s="1"/>
  <c r="U92" i="34"/>
  <c r="U17" i="34" s="1"/>
  <c r="Q15" i="104" s="1"/>
  <c r="T40" i="215"/>
  <c r="T62" i="215" s="1"/>
  <c r="AE128" i="34"/>
  <c r="AE56" i="34"/>
  <c r="AE129" i="34"/>
  <c r="AE100" i="34"/>
  <c r="AE57" i="34"/>
  <c r="I115" i="215"/>
  <c r="J150" i="34"/>
  <c r="J20" i="34" s="1"/>
  <c r="N115" i="215"/>
  <c r="O150" i="34"/>
  <c r="O20" i="34" s="1"/>
  <c r="K18" i="104" s="1"/>
  <c r="Y16" i="215"/>
  <c r="W16" i="215"/>
  <c r="K16" i="215"/>
  <c r="M87" i="215"/>
  <c r="M106" i="215" s="1"/>
  <c r="N130" i="34"/>
  <c r="AE50" i="34"/>
  <c r="AE149" i="34"/>
  <c r="AE77" i="34"/>
  <c r="AE78" i="34"/>
  <c r="AE147" i="34"/>
  <c r="AE140" i="34"/>
  <c r="Y286" i="34"/>
  <c r="U39" i="214" s="1"/>
  <c r="X116" i="215"/>
  <c r="AE126" i="34"/>
  <c r="AE181" i="34"/>
  <c r="AE90" i="34"/>
  <c r="AE178" i="34"/>
  <c r="O109" i="215"/>
  <c r="O111" i="215" s="1"/>
  <c r="P135" i="34"/>
  <c r="O139" i="215"/>
  <c r="O181" i="215" s="1"/>
  <c r="AE65" i="34"/>
  <c r="N109" i="215"/>
  <c r="N111" i="215" s="1"/>
  <c r="O135" i="34"/>
  <c r="O160" i="34"/>
  <c r="O21" i="34" s="1"/>
  <c r="K19" i="104" s="1"/>
  <c r="N129" i="215"/>
  <c r="N136" i="215" s="1"/>
  <c r="AE62" i="34"/>
  <c r="AE127" i="34"/>
  <c r="AE91" i="34"/>
  <c r="AE96" i="34"/>
  <c r="AE70" i="34"/>
  <c r="J92" i="34"/>
  <c r="J17" i="34" s="1"/>
  <c r="I40" i="215"/>
  <c r="I62" i="215" s="1"/>
  <c r="Y92" i="34"/>
  <c r="Y17" i="34" s="1"/>
  <c r="U15" i="104" s="1"/>
  <c r="X40" i="215"/>
  <c r="X62" i="215" s="1"/>
  <c r="M40" i="215"/>
  <c r="M62" i="215" s="1"/>
  <c r="N92" i="34"/>
  <c r="N17" i="34" s="1"/>
  <c r="J15" i="104" s="1"/>
  <c r="T92" i="34"/>
  <c r="T17" i="34" s="1"/>
  <c r="P15" i="104" s="1"/>
  <c r="S40" i="215"/>
  <c r="S62" i="215" s="1"/>
  <c r="K19" i="219"/>
  <c r="X27" i="72"/>
  <c r="W17" i="102" s="1"/>
  <c r="T73" i="16"/>
  <c r="X72" i="16"/>
  <c r="AE74" i="34"/>
  <c r="AE103" i="34"/>
  <c r="AE81" i="34"/>
  <c r="AE143" i="34"/>
  <c r="AE146" i="34"/>
  <c r="G136" i="215"/>
  <c r="G111" i="215"/>
  <c r="R92" i="34"/>
  <c r="R17" i="34" s="1"/>
  <c r="N15" i="104" s="1"/>
  <c r="Q40" i="215"/>
  <c r="Q62" i="215" s="1"/>
  <c r="O40" i="215"/>
  <c r="O62" i="215" s="1"/>
  <c r="P92" i="34"/>
  <c r="P17" i="34" s="1"/>
  <c r="L15" i="104" s="1"/>
  <c r="W40" i="215"/>
  <c r="W62" i="215" s="1"/>
  <c r="X92" i="34"/>
  <c r="X17" i="34" s="1"/>
  <c r="T15" i="104" s="1"/>
  <c r="G62" i="215"/>
  <c r="Z92" i="34"/>
  <c r="Z17" i="34" s="1"/>
  <c r="V15" i="104" s="1"/>
  <c r="Y40" i="215"/>
  <c r="Y62" i="215" s="1"/>
  <c r="O115" i="215"/>
  <c r="P150" i="34"/>
  <c r="P20" i="34" s="1"/>
  <c r="L18" i="104" s="1"/>
  <c r="Y115" i="215"/>
  <c r="Z150" i="34"/>
  <c r="Z20" i="34" s="1"/>
  <c r="V18" i="104" s="1"/>
  <c r="U115" i="215"/>
  <c r="V150" i="34"/>
  <c r="V20" i="34" s="1"/>
  <c r="R18" i="104" s="1"/>
  <c r="R115" i="215"/>
  <c r="S150" i="34"/>
  <c r="S20" i="34" s="1"/>
  <c r="O18" i="104" s="1"/>
  <c r="V115" i="215"/>
  <c r="W150" i="34"/>
  <c r="W20" i="34" s="1"/>
  <c r="S18" i="104" s="1"/>
  <c r="AE46" i="34"/>
  <c r="R16" i="215"/>
  <c r="N16" i="215"/>
  <c r="P16" i="215"/>
  <c r="J16" i="215"/>
  <c r="AE113" i="34"/>
  <c r="AE66" i="34"/>
  <c r="AE71" i="34"/>
  <c r="AE75" i="34"/>
  <c r="AE79" i="34"/>
  <c r="AE118" i="34"/>
  <c r="AE97" i="34"/>
  <c r="AE72" i="34"/>
  <c r="G106" i="215"/>
  <c r="AE51" i="34"/>
  <c r="AE83" i="34"/>
  <c r="AE141" i="34"/>
  <c r="AE58" i="34"/>
  <c r="AE84" i="34"/>
  <c r="AE115" i="34"/>
  <c r="AE125" i="34"/>
  <c r="I116" i="215"/>
  <c r="J286" i="34"/>
  <c r="P116" i="215"/>
  <c r="Q286" i="34"/>
  <c r="M39" i="214" s="1"/>
  <c r="V116" i="215"/>
  <c r="W286" i="34"/>
  <c r="S39" i="214" s="1"/>
  <c r="X286" i="34"/>
  <c r="T39" i="214" s="1"/>
  <c r="W116" i="215"/>
  <c r="K118" i="219"/>
  <c r="E103" i="219"/>
  <c r="E75" i="219"/>
  <c r="F115" i="219"/>
  <c r="R49" i="195"/>
  <c r="C59" i="103"/>
  <c r="C60" i="103" s="1"/>
  <c r="H24" i="44"/>
  <c r="J24" i="44" s="1"/>
  <c r="E40" i="44"/>
  <c r="E36" i="45"/>
  <c r="J36" i="45" s="1"/>
  <c r="E29" i="72"/>
  <c r="U424" i="202"/>
  <c r="U425" i="202" s="1"/>
  <c r="U426" i="202" s="1"/>
  <c r="U427" i="202" s="1"/>
  <c r="U428" i="202" s="1"/>
  <c r="U429" i="202" s="1"/>
  <c r="U435" i="202" s="1"/>
  <c r="U436" i="202" s="1"/>
  <c r="U84" i="202" s="1"/>
  <c r="Q150" i="202"/>
  <c r="Q160" i="202" s="1"/>
  <c r="K147" i="16"/>
  <c r="T486" i="202"/>
  <c r="T86" i="202" s="1"/>
  <c r="T107" i="202" s="1"/>
  <c r="T44" i="202"/>
  <c r="T65" i="202" s="1"/>
  <c r="K219" i="202"/>
  <c r="K235" i="202" s="1"/>
  <c r="P121" i="202"/>
  <c r="P122" i="202" s="1"/>
  <c r="T118" i="202"/>
  <c r="T119" i="202" s="1"/>
  <c r="T120" i="202" s="1"/>
  <c r="Q122" i="202"/>
  <c r="P169" i="202"/>
  <c r="P170" i="202" s="1"/>
  <c r="K175" i="16"/>
  <c r="O135" i="202"/>
  <c r="O136" i="202" s="1"/>
  <c r="O71" i="202" s="1"/>
  <c r="O161" i="202"/>
  <c r="O72" i="202" s="1"/>
  <c r="O93" i="202" s="1"/>
  <c r="O30" i="202"/>
  <c r="O51" i="202" s="1"/>
  <c r="N40" i="195" s="1"/>
  <c r="T142" i="202"/>
  <c r="M132" i="16"/>
  <c r="M133" i="16" s="1"/>
  <c r="AH95" i="172"/>
  <c r="Z302" i="34"/>
  <c r="V55" i="214" s="1"/>
  <c r="Q302" i="34"/>
  <c r="M55" i="214" s="1"/>
  <c r="AE241" i="34"/>
  <c r="X302" i="34"/>
  <c r="T55" i="214" s="1"/>
  <c r="W302" i="34"/>
  <c r="S55" i="214" s="1"/>
  <c r="M302" i="34"/>
  <c r="I55" i="214" s="1"/>
  <c r="S302" i="34"/>
  <c r="O55" i="214" s="1"/>
  <c r="H45" i="207"/>
  <c r="K16" i="202"/>
  <c r="C36" i="219" s="1"/>
  <c r="Q197" i="202"/>
  <c r="AI124" i="185"/>
  <c r="J236" i="202"/>
  <c r="J76" i="202" s="1"/>
  <c r="J34" i="202"/>
  <c r="N13" i="202"/>
  <c r="L183" i="16"/>
  <c r="M150" i="13"/>
  <c r="H14" i="207" s="1"/>
  <c r="R146" i="202"/>
  <c r="U54" i="16"/>
  <c r="U55" i="16" s="1"/>
  <c r="G183" i="16"/>
  <c r="H150" i="13"/>
  <c r="AL90" i="172"/>
  <c r="M21" i="203"/>
  <c r="M12" i="203" s="1"/>
  <c r="M10" i="203"/>
  <c r="R64" i="13"/>
  <c r="Q106" i="16"/>
  <c r="S62" i="13"/>
  <c r="N127" i="16"/>
  <c r="N128" i="16"/>
  <c r="V218" i="215"/>
  <c r="V223" i="215" s="1"/>
  <c r="W246" i="34"/>
  <c r="W33" i="34" s="1"/>
  <c r="S31" i="104" s="1"/>
  <c r="R246" i="34"/>
  <c r="R33" i="34" s="1"/>
  <c r="N31" i="104" s="1"/>
  <c r="Q218" i="215"/>
  <c r="Q223" i="215" s="1"/>
  <c r="R114" i="16"/>
  <c r="T67" i="13"/>
  <c r="T145" i="13" s="1"/>
  <c r="K11" i="207"/>
  <c r="J20" i="44"/>
  <c r="G14" i="101"/>
  <c r="AE90" i="172"/>
  <c r="Q20" i="72"/>
  <c r="S45" i="202"/>
  <c r="K54" i="219" s="1"/>
  <c r="S511" i="202"/>
  <c r="S87" i="202" s="1"/>
  <c r="N42" i="207"/>
  <c r="Q11" i="202"/>
  <c r="I33" i="219" s="1"/>
  <c r="Z90" i="172"/>
  <c r="K12" i="207"/>
  <c r="O152" i="16"/>
  <c r="Q88" i="13"/>
  <c r="Q148" i="13" s="1"/>
  <c r="M141" i="16"/>
  <c r="M145" i="16" s="1"/>
  <c r="N302" i="34"/>
  <c r="J55" i="214" s="1"/>
  <c r="Q107" i="16"/>
  <c r="S63" i="13"/>
  <c r="AM90" i="172"/>
  <c r="J261" i="202"/>
  <c r="J77" i="202" s="1"/>
  <c r="J35" i="202"/>
  <c r="P30" i="202"/>
  <c r="P51" i="202" s="1"/>
  <c r="O40" i="195" s="1"/>
  <c r="P161" i="202"/>
  <c r="P72" i="202" s="1"/>
  <c r="P93" i="202" s="1"/>
  <c r="U93" i="16"/>
  <c r="W53" i="13"/>
  <c r="M218" i="215"/>
  <c r="M223" i="215" s="1"/>
  <c r="N246" i="34"/>
  <c r="N33" i="34" s="1"/>
  <c r="J31" i="104" s="1"/>
  <c r="J218" i="215"/>
  <c r="J223" i="215" s="1"/>
  <c r="K246" i="34"/>
  <c r="K33" i="34" s="1"/>
  <c r="G31" i="104" s="1"/>
  <c r="G14" i="102"/>
  <c r="I27" i="207"/>
  <c r="AB90" i="172"/>
  <c r="L10" i="203"/>
  <c r="S90" i="172"/>
  <c r="AE244" i="34"/>
  <c r="N20" i="72"/>
  <c r="E15" i="102"/>
  <c r="X20" i="72"/>
  <c r="E109" i="93"/>
  <c r="T85" i="16"/>
  <c r="X85" i="16" s="1"/>
  <c r="U50" i="13"/>
  <c r="V48" i="13"/>
  <c r="G189" i="215"/>
  <c r="P119" i="16"/>
  <c r="P120" i="16" s="1"/>
  <c r="P253" i="16" s="1"/>
  <c r="M53" i="202"/>
  <c r="X14" i="185"/>
  <c r="X16" i="185" s="1"/>
  <c r="Y13" i="185" s="1"/>
  <c r="X83" i="185"/>
  <c r="X84" i="185" s="1"/>
  <c r="U117" i="202"/>
  <c r="AA90" i="172"/>
  <c r="L158" i="16"/>
  <c r="O10" i="203"/>
  <c r="V90" i="172"/>
  <c r="H65" i="162"/>
  <c r="E97" i="93" s="1"/>
  <c r="AH125" i="185"/>
  <c r="AH75" i="185" s="1"/>
  <c r="J256" i="16"/>
  <c r="K26" i="207"/>
  <c r="O188" i="215"/>
  <c r="P25" i="34"/>
  <c r="L23" i="104" s="1"/>
  <c r="T86" i="16"/>
  <c r="X86" i="16" s="1"/>
  <c r="V49" i="13"/>
  <c r="K28" i="207"/>
  <c r="O140" i="16"/>
  <c r="L14" i="202"/>
  <c r="I43" i="207"/>
  <c r="O185" i="202"/>
  <c r="Q117" i="16"/>
  <c r="Q118" i="16" s="1"/>
  <c r="S70" i="13"/>
  <c r="R71" i="13"/>
  <c r="AC90" i="172"/>
  <c r="AE243" i="34"/>
  <c r="O218" i="215"/>
  <c r="O223" i="215" s="1"/>
  <c r="P246" i="34"/>
  <c r="P33" i="34" s="1"/>
  <c r="L31" i="104" s="1"/>
  <c r="P218" i="215"/>
  <c r="P223" i="215" s="1"/>
  <c r="Q246" i="34"/>
  <c r="Q33" i="34" s="1"/>
  <c r="M31" i="104" s="1"/>
  <c r="G223" i="215"/>
  <c r="K218" i="215"/>
  <c r="K223" i="215" s="1"/>
  <c r="L246" i="34"/>
  <c r="L33" i="34" s="1"/>
  <c r="H31" i="104" s="1"/>
  <c r="N214" i="34"/>
  <c r="J214" i="34"/>
  <c r="P214" i="34"/>
  <c r="Q214" i="34"/>
  <c r="Y214" i="34"/>
  <c r="AA214" i="34"/>
  <c r="K214" i="34"/>
  <c r="O214" i="34"/>
  <c r="M214" i="34"/>
  <c r="R214" i="34"/>
  <c r="W214" i="34"/>
  <c r="X214" i="34"/>
  <c r="L214" i="34"/>
  <c r="U214" i="34"/>
  <c r="S214" i="34"/>
  <c r="Z214" i="34"/>
  <c r="G192" i="215"/>
  <c r="T214" i="34"/>
  <c r="V214" i="34"/>
  <c r="G218" i="34"/>
  <c r="G219" i="34" s="1"/>
  <c r="T246" i="34"/>
  <c r="T33" i="34" s="1"/>
  <c r="P31" i="104" s="1"/>
  <c r="S218" i="215"/>
  <c r="S223" i="215" s="1"/>
  <c r="O210" i="202"/>
  <c r="P139" i="16"/>
  <c r="R81" i="13"/>
  <c r="R147" i="13" s="1"/>
  <c r="AI90" i="172"/>
  <c r="J14" i="102"/>
  <c r="P14" i="102"/>
  <c r="W14" i="102"/>
  <c r="X217" i="34"/>
  <c r="W195" i="215" s="1"/>
  <c r="Q217" i="34"/>
  <c r="P195" i="215" s="1"/>
  <c r="P217" i="34"/>
  <c r="O195" i="215" s="1"/>
  <c r="W217" i="34"/>
  <c r="V195" i="215" s="1"/>
  <c r="V217" i="34"/>
  <c r="U195" i="215" s="1"/>
  <c r="S217" i="34"/>
  <c r="R195" i="215" s="1"/>
  <c r="T217" i="34"/>
  <c r="S195" i="215" s="1"/>
  <c r="Z217" i="34"/>
  <c r="Y195" i="215" s="1"/>
  <c r="U217" i="34"/>
  <c r="T195" i="215" s="1"/>
  <c r="N217" i="34"/>
  <c r="M195" i="215" s="1"/>
  <c r="AA217" i="34"/>
  <c r="Z195" i="215" s="1"/>
  <c r="L217" i="34"/>
  <c r="K195" i="215" s="1"/>
  <c r="M217" i="34"/>
  <c r="L195" i="215" s="1"/>
  <c r="K217" i="34"/>
  <c r="J195" i="215" s="1"/>
  <c r="J217" i="34"/>
  <c r="I195" i="215" s="1"/>
  <c r="Y217" i="34"/>
  <c r="X195" i="215" s="1"/>
  <c r="R217" i="34"/>
  <c r="Q195" i="215" s="1"/>
  <c r="O217" i="34"/>
  <c r="N195" i="215" s="1"/>
  <c r="G195" i="215"/>
  <c r="AI116" i="185"/>
  <c r="AH15" i="185"/>
  <c r="W90" i="172"/>
  <c r="AE224" i="34"/>
  <c r="AF90" i="172"/>
  <c r="K20" i="72"/>
  <c r="H20" i="72"/>
  <c r="Q99" i="16"/>
  <c r="Q100" i="16" s="1"/>
  <c r="V67" i="16"/>
  <c r="AE242" i="34"/>
  <c r="S83" i="16"/>
  <c r="S87" i="16" s="1"/>
  <c r="D112" i="13"/>
  <c r="C44" i="14"/>
  <c r="S144" i="202"/>
  <c r="S145" i="202" s="1"/>
  <c r="Z118" i="185"/>
  <c r="Y119" i="185"/>
  <c r="Y80" i="185" s="1"/>
  <c r="S97" i="16"/>
  <c r="U56" i="13"/>
  <c r="Y56" i="13" s="1"/>
  <c r="AA302" i="34"/>
  <c r="W55" i="214" s="1"/>
  <c r="U302" i="34"/>
  <c r="Q55" i="214" s="1"/>
  <c r="P302" i="34"/>
  <c r="L55" i="214" s="1"/>
  <c r="R193" i="202"/>
  <c r="R194" i="202" s="1"/>
  <c r="W30" i="13"/>
  <c r="V50" i="16"/>
  <c r="V53" i="16" s="1"/>
  <c r="V32" i="16"/>
  <c r="V65" i="16"/>
  <c r="R118" i="202"/>
  <c r="T45" i="202"/>
  <c r="T511" i="202"/>
  <c r="T87" i="202" s="1"/>
  <c r="T108" i="202" s="1"/>
  <c r="V62" i="16"/>
  <c r="N187" i="215"/>
  <c r="O24" i="34"/>
  <c r="K22" i="104" s="1"/>
  <c r="G26" i="115"/>
  <c r="E28" i="115"/>
  <c r="V6" i="184"/>
  <c r="V10" i="184" s="1"/>
  <c r="U18" i="184"/>
  <c r="AD90" i="172"/>
  <c r="E64" i="93"/>
  <c r="U475" i="202"/>
  <c r="U476" i="202" s="1"/>
  <c r="U477" i="202" s="1"/>
  <c r="U478" i="202" s="1"/>
  <c r="U479" i="202" s="1"/>
  <c r="U485" i="202" s="1"/>
  <c r="V63" i="16"/>
  <c r="L150" i="13"/>
  <c r="K183" i="16"/>
  <c r="P143" i="16"/>
  <c r="F25" i="44"/>
  <c r="E21" i="93"/>
  <c r="H23" i="44"/>
  <c r="W218" i="215"/>
  <c r="W223" i="215" s="1"/>
  <c r="X246" i="34"/>
  <c r="X33" i="34" s="1"/>
  <c r="T31" i="104" s="1"/>
  <c r="N218" i="215"/>
  <c r="N223" i="215" s="1"/>
  <c r="O246" i="34"/>
  <c r="O33" i="34" s="1"/>
  <c r="K31" i="104" s="1"/>
  <c r="S246" i="34"/>
  <c r="S33" i="34" s="1"/>
  <c r="O31" i="104" s="1"/>
  <c r="R218" i="215"/>
  <c r="R223" i="215" s="1"/>
  <c r="C59" i="46"/>
  <c r="AN90" i="172"/>
  <c r="M14" i="102"/>
  <c r="K24" i="72"/>
  <c r="N24" i="72"/>
  <c r="X24" i="72"/>
  <c r="E113" i="93"/>
  <c r="H24" i="72"/>
  <c r="T24" i="72"/>
  <c r="Q24" i="72"/>
  <c r="C66" i="46"/>
  <c r="AK90" i="172"/>
  <c r="V82" i="16"/>
  <c r="L220" i="202"/>
  <c r="L235" i="202" s="1"/>
  <c r="N186" i="215"/>
  <c r="O23" i="34"/>
  <c r="O211" i="34"/>
  <c r="M95" i="202"/>
  <c r="O302" i="34"/>
  <c r="K55" i="214" s="1"/>
  <c r="T116" i="16"/>
  <c r="X116" i="16" s="1"/>
  <c r="V69" i="13"/>
  <c r="P203" i="172"/>
  <c r="P207" i="172" s="1"/>
  <c r="O211" i="172"/>
  <c r="T125" i="16"/>
  <c r="X125" i="16" s="1"/>
  <c r="U146" i="13"/>
  <c r="V74" i="13"/>
  <c r="K160" i="16"/>
  <c r="N169" i="16"/>
  <c r="P98" i="13"/>
  <c r="P149" i="13" s="1"/>
  <c r="R88" i="16"/>
  <c r="P131" i="16"/>
  <c r="Q78" i="13"/>
  <c r="AE92" i="172"/>
  <c r="N188" i="215"/>
  <c r="O25" i="34"/>
  <c r="K23" i="104" s="1"/>
  <c r="J183" i="16"/>
  <c r="K150" i="13"/>
  <c r="F14" i="207" s="1"/>
  <c r="N172" i="202"/>
  <c r="N185" i="202" s="1"/>
  <c r="X90" i="172"/>
  <c r="Z218" i="215"/>
  <c r="Z223" i="215" s="1"/>
  <c r="AA246" i="34"/>
  <c r="AA33" i="34" s="1"/>
  <c r="W31" i="104" s="1"/>
  <c r="I218" i="215"/>
  <c r="I223" i="215" s="1"/>
  <c r="J246" i="34"/>
  <c r="J33" i="34" s="1"/>
  <c r="E48" i="107"/>
  <c r="E14" i="107"/>
  <c r="S57" i="13"/>
  <c r="R96" i="16"/>
  <c r="R94" i="16" s="1"/>
  <c r="R98" i="16" s="1"/>
  <c r="T55" i="13"/>
  <c r="T54" i="13" s="1"/>
  <c r="O110" i="16"/>
  <c r="O254" i="16" s="1"/>
  <c r="N14" i="202" s="1"/>
  <c r="M186" i="215"/>
  <c r="N211" i="34"/>
  <c r="N23" i="34"/>
  <c r="T55" i="16"/>
  <c r="X55" i="16" s="1"/>
  <c r="AE245" i="34"/>
  <c r="R302" i="34"/>
  <c r="N55" i="214" s="1"/>
  <c r="K133" i="16"/>
  <c r="H17" i="44"/>
  <c r="AE20" i="44" s="1"/>
  <c r="E13" i="101"/>
  <c r="E12" i="78"/>
  <c r="E15" i="93"/>
  <c r="F39" i="195"/>
  <c r="F41" i="195" s="1"/>
  <c r="M217" i="202"/>
  <c r="D95" i="13"/>
  <c r="R130" i="16"/>
  <c r="G257" i="16"/>
  <c r="N25" i="34"/>
  <c r="J23" i="104" s="1"/>
  <c r="M188" i="215"/>
  <c r="U104" i="16"/>
  <c r="W60" i="13"/>
  <c r="F183" i="16"/>
  <c r="G150" i="13"/>
  <c r="AG78" i="185"/>
  <c r="AG8" i="185"/>
  <c r="AG10" i="185" s="1"/>
  <c r="AH7" i="185" s="1"/>
  <c r="K174" i="16"/>
  <c r="O144" i="16"/>
  <c r="Q85" i="13"/>
  <c r="AH90" i="172"/>
  <c r="Z216" i="34"/>
  <c r="Y194" i="215" s="1"/>
  <c r="AA216" i="34"/>
  <c r="Z194" i="215" s="1"/>
  <c r="X216" i="34"/>
  <c r="W194" i="215" s="1"/>
  <c r="M216" i="34"/>
  <c r="L194" i="215" s="1"/>
  <c r="O216" i="34"/>
  <c r="N194" i="215" s="1"/>
  <c r="L216" i="34"/>
  <c r="K194" i="215" s="1"/>
  <c r="K216" i="34"/>
  <c r="J194" i="215" s="1"/>
  <c r="J216" i="34"/>
  <c r="I194" i="215" s="1"/>
  <c r="Q216" i="34"/>
  <c r="P194" i="215" s="1"/>
  <c r="N216" i="34"/>
  <c r="M194" i="215" s="1"/>
  <c r="T216" i="34"/>
  <c r="S194" i="215" s="1"/>
  <c r="V216" i="34"/>
  <c r="U194" i="215" s="1"/>
  <c r="W216" i="34"/>
  <c r="V194" i="215" s="1"/>
  <c r="U216" i="34"/>
  <c r="T194" i="215" s="1"/>
  <c r="S216" i="34"/>
  <c r="R194" i="215" s="1"/>
  <c r="R216" i="34"/>
  <c r="Q194" i="215" s="1"/>
  <c r="Y216" i="34"/>
  <c r="X194" i="215" s="1"/>
  <c r="P216" i="34"/>
  <c r="O194" i="215" s="1"/>
  <c r="G194" i="215"/>
  <c r="T218" i="215"/>
  <c r="T223" i="215" s="1"/>
  <c r="U246" i="34"/>
  <c r="U33" i="34" s="1"/>
  <c r="Q31" i="104" s="1"/>
  <c r="U218" i="215"/>
  <c r="U223" i="215" s="1"/>
  <c r="V246" i="34"/>
  <c r="V33" i="34" s="1"/>
  <c r="R31" i="104" s="1"/>
  <c r="Y218" i="215"/>
  <c r="Y223" i="215" s="1"/>
  <c r="Z246" i="34"/>
  <c r="Z33" i="34" s="1"/>
  <c r="V31" i="104" s="1"/>
  <c r="M246" i="34"/>
  <c r="M33" i="34" s="1"/>
  <c r="I31" i="104" s="1"/>
  <c r="L218" i="215"/>
  <c r="L223" i="215" s="1"/>
  <c r="X218" i="215"/>
  <c r="X223" i="215" s="1"/>
  <c r="Y246" i="34"/>
  <c r="Y33" i="34" s="1"/>
  <c r="U31" i="104" s="1"/>
  <c r="M9" i="207"/>
  <c r="R14" i="102"/>
  <c r="E14" i="100"/>
  <c r="F9" i="208"/>
  <c r="P100" i="16"/>
  <c r="M157" i="16"/>
  <c r="T20" i="72"/>
  <c r="G193" i="215"/>
  <c r="Z215" i="34"/>
  <c r="Y193" i="215" s="1"/>
  <c r="R215" i="34"/>
  <c r="Q193" i="215" s="1"/>
  <c r="L215" i="34"/>
  <c r="K193" i="215" s="1"/>
  <c r="J215" i="34"/>
  <c r="I193" i="215" s="1"/>
  <c r="P215" i="34"/>
  <c r="O193" i="215" s="1"/>
  <c r="AA215" i="34"/>
  <c r="Z193" i="215" s="1"/>
  <c r="S215" i="34"/>
  <c r="R193" i="215" s="1"/>
  <c r="O215" i="34"/>
  <c r="N193" i="215" s="1"/>
  <c r="M215" i="34"/>
  <c r="L193" i="215" s="1"/>
  <c r="V215" i="34"/>
  <c r="U193" i="215" s="1"/>
  <c r="N215" i="34"/>
  <c r="M193" i="215" s="1"/>
  <c r="Y215" i="34"/>
  <c r="X193" i="215" s="1"/>
  <c r="W215" i="34"/>
  <c r="V193" i="215" s="1"/>
  <c r="U215" i="34"/>
  <c r="T193" i="215" s="1"/>
  <c r="X215" i="34"/>
  <c r="W193" i="215" s="1"/>
  <c r="Q215" i="34"/>
  <c r="P193" i="215" s="1"/>
  <c r="K215" i="34"/>
  <c r="J193" i="215" s="1"/>
  <c r="T215" i="34"/>
  <c r="S193" i="215" s="1"/>
  <c r="AG90" i="172"/>
  <c r="P23" i="34"/>
  <c r="O186" i="215"/>
  <c r="P211" i="34"/>
  <c r="G57" i="115"/>
  <c r="I57" i="115" s="1"/>
  <c r="D108" i="13"/>
  <c r="X15" i="72"/>
  <c r="E13" i="102"/>
  <c r="T15" i="72"/>
  <c r="N15" i="72"/>
  <c r="K15" i="72"/>
  <c r="E102" i="93"/>
  <c r="H15" i="72"/>
  <c r="C15" i="72"/>
  <c r="Q15" i="72"/>
  <c r="M13" i="209"/>
  <c r="Q15" i="181"/>
  <c r="AO90" i="172"/>
  <c r="AI122" i="185"/>
  <c r="AH9" i="185"/>
  <c r="S76" i="16"/>
  <c r="S240" i="16" s="1"/>
  <c r="R15" i="157" s="1"/>
  <c r="S251" i="16"/>
  <c r="C47" i="45"/>
  <c r="T302" i="34"/>
  <c r="P55" i="214" s="1"/>
  <c r="V302" i="34"/>
  <c r="R55" i="214" s="1"/>
  <c r="Y302" i="34"/>
  <c r="U55" i="214" s="1"/>
  <c r="P197" i="202"/>
  <c r="P198" i="202" s="1"/>
  <c r="P199" i="202" s="1"/>
  <c r="P210" i="202" s="1"/>
  <c r="V191" i="13"/>
  <c r="N10" i="203"/>
  <c r="U90" i="172"/>
  <c r="I267" i="202"/>
  <c r="I285" i="202" s="1"/>
  <c r="I36" i="202" s="1"/>
  <c r="I57" i="202" s="1"/>
  <c r="I99" i="202"/>
  <c r="M187" i="215"/>
  <c r="N24" i="34"/>
  <c r="J22" i="104" s="1"/>
  <c r="O187" i="215"/>
  <c r="P24" i="34"/>
  <c r="L22" i="104" s="1"/>
  <c r="I31" i="96"/>
  <c r="AI123" i="185"/>
  <c r="AI117" i="185"/>
  <c r="AJ90" i="172"/>
  <c r="O126" i="16"/>
  <c r="C61" i="36"/>
  <c r="M246" i="202"/>
  <c r="M260" i="202" s="1"/>
  <c r="S120" i="202"/>
  <c r="Z143" i="28" l="1"/>
  <c r="W140" i="70" s="1"/>
  <c r="Y40" i="175"/>
  <c r="Y65" i="175"/>
  <c r="Y64" i="175"/>
  <c r="Y56" i="175"/>
  <c r="Z98" i="28"/>
  <c r="Z96" i="28"/>
  <c r="Z92" i="28"/>
  <c r="V156" i="70"/>
  <c r="V169" i="70" s="1"/>
  <c r="Y66" i="175"/>
  <c r="R163" i="13"/>
  <c r="Z129" i="28"/>
  <c r="Z139" i="28"/>
  <c r="Z144" i="28"/>
  <c r="W141" i="70" s="1"/>
  <c r="Z138" i="28"/>
  <c r="W48" i="70"/>
  <c r="W163" i="70" s="1"/>
  <c r="Z135" i="28"/>
  <c r="Z142" i="28"/>
  <c r="W139" i="70" s="1"/>
  <c r="Z132" i="28"/>
  <c r="Y51" i="175"/>
  <c r="Y39" i="175"/>
  <c r="Y55" i="175"/>
  <c r="R49" i="181"/>
  <c r="R55" i="181" s="1"/>
  <c r="R31" i="176"/>
  <c r="R52" i="176" s="1"/>
  <c r="Y58" i="175"/>
  <c r="Y28" i="175"/>
  <c r="Y34" i="175"/>
  <c r="Y53" i="175"/>
  <c r="Y57" i="175"/>
  <c r="Y62" i="175"/>
  <c r="Y49" i="175"/>
  <c r="Y29" i="175"/>
  <c r="Y47" i="175"/>
  <c r="X164" i="175"/>
  <c r="Y46" i="175"/>
  <c r="Y45" i="175"/>
  <c r="Y63" i="175"/>
  <c r="Y38" i="175"/>
  <c r="Y35" i="175"/>
  <c r="Y48" i="175"/>
  <c r="Y50" i="175"/>
  <c r="Y37" i="175"/>
  <c r="Y33" i="175"/>
  <c r="Y43" i="175"/>
  <c r="Y54" i="175"/>
  <c r="Y30" i="175"/>
  <c r="Y52" i="175"/>
  <c r="Y60" i="175"/>
  <c r="Y44" i="175"/>
  <c r="Y61" i="175"/>
  <c r="Y59" i="175"/>
  <c r="V11" i="28"/>
  <c r="Q15" i="176"/>
  <c r="Q21" i="176" s="1"/>
  <c r="Q23" i="176" s="1"/>
  <c r="Y31" i="175"/>
  <c r="Y41" i="175"/>
  <c r="Y42" i="175"/>
  <c r="Y36" i="175"/>
  <c r="R192" i="13"/>
  <c r="G8" i="219"/>
  <c r="G22" i="219" s="1"/>
  <c r="Q165" i="13"/>
  <c r="Q194" i="13" s="1"/>
  <c r="Q137" i="164"/>
  <c r="W162" i="13"/>
  <c r="M5" i="219"/>
  <c r="P193" i="13"/>
  <c r="G7" i="219"/>
  <c r="G21" i="219" s="1"/>
  <c r="Q164" i="13"/>
  <c r="Q117" i="164"/>
  <c r="V81" i="96"/>
  <c r="V78" i="96"/>
  <c r="M31" i="96"/>
  <c r="E117" i="219"/>
  <c r="G28" i="115"/>
  <c r="I26" i="115"/>
  <c r="I28" i="115" s="1"/>
  <c r="T66" i="202"/>
  <c r="S51" i="195" s="1"/>
  <c r="L54" i="219"/>
  <c r="L110" i="219" s="1"/>
  <c r="L104" i="219"/>
  <c r="L118" i="219" s="1"/>
  <c r="U105" i="202"/>
  <c r="W84" i="202"/>
  <c r="W126" i="70"/>
  <c r="W136" i="70"/>
  <c r="W129" i="70"/>
  <c r="W132" i="70"/>
  <c r="I24" i="96"/>
  <c r="E22" i="115"/>
  <c r="G22" i="115" s="1"/>
  <c r="I22" i="115" s="1"/>
  <c r="W135" i="70"/>
  <c r="W143" i="70"/>
  <c r="Y170" i="28"/>
  <c r="T74" i="157" s="1"/>
  <c r="Z126" i="28"/>
  <c r="W123" i="70" s="1"/>
  <c r="Z128" i="28"/>
  <c r="Z149" i="28"/>
  <c r="Z124" i="28"/>
  <c r="Z153" i="28"/>
  <c r="Z122" i="28"/>
  <c r="W119" i="70" s="1"/>
  <c r="Z148" i="28"/>
  <c r="Z123" i="28"/>
  <c r="Z134" i="28"/>
  <c r="Z137" i="28"/>
  <c r="Z131" i="28"/>
  <c r="Z127" i="28"/>
  <c r="Z136" i="28"/>
  <c r="Z147" i="28"/>
  <c r="Z152" i="28"/>
  <c r="Z121" i="28"/>
  <c r="Z140" i="28"/>
  <c r="Z156" i="28"/>
  <c r="Z150" i="28"/>
  <c r="Z157" i="28"/>
  <c r="Z125" i="28"/>
  <c r="Z158" i="28"/>
  <c r="Z141" i="28"/>
  <c r="Z145" i="28"/>
  <c r="Z151" i="28"/>
  <c r="Z155" i="28"/>
  <c r="Z133" i="28"/>
  <c r="Z154" i="28"/>
  <c r="Z130" i="28"/>
  <c r="W101" i="70"/>
  <c r="I22" i="96"/>
  <c r="E20" i="115"/>
  <c r="G20" i="115" s="1"/>
  <c r="I20" i="115" s="1"/>
  <c r="W99" i="70"/>
  <c r="P51" i="209"/>
  <c r="T41" i="181"/>
  <c r="Z97" i="28"/>
  <c r="Z100" i="28"/>
  <c r="Z94" i="28"/>
  <c r="W95" i="70"/>
  <c r="V105" i="70"/>
  <c r="V167" i="70" s="1"/>
  <c r="Z101" i="28"/>
  <c r="Z91" i="28"/>
  <c r="Z93" i="28"/>
  <c r="Z95" i="28"/>
  <c r="Z99" i="28"/>
  <c r="Y166" i="28"/>
  <c r="T71" i="157" s="1"/>
  <c r="Z74" i="28"/>
  <c r="Z81" i="28"/>
  <c r="Z76" i="28"/>
  <c r="Z65" i="28"/>
  <c r="Z72" i="28"/>
  <c r="Z73" i="28"/>
  <c r="Z80" i="28"/>
  <c r="E19" i="115"/>
  <c r="G19" i="115" s="1"/>
  <c r="I19" i="115" s="1"/>
  <c r="I21" i="96"/>
  <c r="Z75" i="28"/>
  <c r="Z64" i="28"/>
  <c r="Z78" i="28"/>
  <c r="Z79" i="28"/>
  <c r="Z67" i="28"/>
  <c r="Z68" i="28"/>
  <c r="Z70" i="28"/>
  <c r="Z69" i="28"/>
  <c r="Z82" i="28"/>
  <c r="Z71" i="28"/>
  <c r="V86" i="70"/>
  <c r="V165" i="70" s="1"/>
  <c r="Z66" i="28"/>
  <c r="Z77" i="28"/>
  <c r="AE107" i="34"/>
  <c r="V126" i="215"/>
  <c r="AE99" i="34"/>
  <c r="AE106" i="34"/>
  <c r="AE105" i="34"/>
  <c r="AE104" i="34"/>
  <c r="AE98" i="34"/>
  <c r="Y62" i="28"/>
  <c r="Z59" i="28" s="1"/>
  <c r="V59" i="70"/>
  <c r="V61" i="70"/>
  <c r="AE101" i="34"/>
  <c r="V53" i="70"/>
  <c r="V55" i="70"/>
  <c r="V56" i="70"/>
  <c r="R95" i="34"/>
  <c r="G65" i="215"/>
  <c r="G78" i="215" s="1"/>
  <c r="AA95" i="34"/>
  <c r="K95" i="34"/>
  <c r="AB95" i="34"/>
  <c r="AA65" i="215" s="1"/>
  <c r="Z95" i="34"/>
  <c r="N95" i="34"/>
  <c r="W95" i="34"/>
  <c r="Y95" i="34"/>
  <c r="S95" i="34"/>
  <c r="T95" i="34"/>
  <c r="O95" i="34"/>
  <c r="G108" i="34"/>
  <c r="Q95" i="34"/>
  <c r="J95" i="34"/>
  <c r="M95" i="34"/>
  <c r="L95" i="34"/>
  <c r="P95" i="34"/>
  <c r="U95" i="34"/>
  <c r="X95" i="34"/>
  <c r="V95" i="34"/>
  <c r="Z52" i="28"/>
  <c r="V54" i="70"/>
  <c r="O49" i="209"/>
  <c r="S39" i="181"/>
  <c r="F20" i="96"/>
  <c r="Z50" i="28"/>
  <c r="V52" i="70"/>
  <c r="P294" i="34"/>
  <c r="L47" i="214" s="1"/>
  <c r="V47" i="13"/>
  <c r="N159" i="16"/>
  <c r="S19" i="30"/>
  <c r="S30" i="157" s="1"/>
  <c r="O28" i="209" s="1"/>
  <c r="R26" i="157"/>
  <c r="R20" i="157" s="1"/>
  <c r="S17" i="30"/>
  <c r="W126" i="215"/>
  <c r="G110" i="202"/>
  <c r="Q292" i="34"/>
  <c r="M45" i="214" s="1"/>
  <c r="U292" i="34"/>
  <c r="Q45" i="214" s="1"/>
  <c r="V289" i="34"/>
  <c r="R42" i="214" s="1"/>
  <c r="O21" i="203"/>
  <c r="O12" i="203" s="1"/>
  <c r="Q289" i="34"/>
  <c r="M42" i="214" s="1"/>
  <c r="D21" i="203"/>
  <c r="D12" i="203" s="1"/>
  <c r="N217" i="172"/>
  <c r="N218" i="172" s="1"/>
  <c r="N225" i="172" s="1"/>
  <c r="N198" i="172" s="1"/>
  <c r="N96" i="172"/>
  <c r="N97" i="172" s="1"/>
  <c r="Q96" i="172"/>
  <c r="Q217" i="172"/>
  <c r="Q218" i="172" s="1"/>
  <c r="Q225" i="172" s="1"/>
  <c r="Q198" i="172" s="1"/>
  <c r="R96" i="172"/>
  <c r="R217" i="172"/>
  <c r="R218" i="172" s="1"/>
  <c r="R225" i="172" s="1"/>
  <c r="R198" i="172" s="1"/>
  <c r="L217" i="172"/>
  <c r="L218" i="172" s="1"/>
  <c r="L225" i="172" s="1"/>
  <c r="L198" i="172" s="1"/>
  <c r="L96" i="172"/>
  <c r="L97" i="172" s="1"/>
  <c r="M217" i="172"/>
  <c r="M218" i="172" s="1"/>
  <c r="M225" i="172" s="1"/>
  <c r="M198" i="172" s="1"/>
  <c r="M96" i="172"/>
  <c r="M97" i="172" s="1"/>
  <c r="K217" i="172"/>
  <c r="K218" i="172" s="1"/>
  <c r="K225" i="172" s="1"/>
  <c r="K198" i="172" s="1"/>
  <c r="K96" i="172"/>
  <c r="K97" i="172" s="1"/>
  <c r="O96" i="172"/>
  <c r="O217" i="172"/>
  <c r="O218" i="172" s="1"/>
  <c r="O225" i="172" s="1"/>
  <c r="O198" i="172" s="1"/>
  <c r="P96" i="172"/>
  <c r="P217" i="172"/>
  <c r="P218" i="172" s="1"/>
  <c r="P225" i="172" s="1"/>
  <c r="P198" i="172" s="1"/>
  <c r="N19" i="34"/>
  <c r="J17" i="104" s="1"/>
  <c r="O289" i="34"/>
  <c r="K42" i="214" s="1"/>
  <c r="N293" i="34"/>
  <c r="J46" i="214" s="1"/>
  <c r="M292" i="34"/>
  <c r="I45" i="214" s="1"/>
  <c r="W289" i="34"/>
  <c r="S42" i="214" s="1"/>
  <c r="L289" i="34"/>
  <c r="H42" i="214" s="1"/>
  <c r="O19" i="34"/>
  <c r="K17" i="104" s="1"/>
  <c r="P126" i="215"/>
  <c r="X126" i="215"/>
  <c r="P291" i="34"/>
  <c r="L44" i="214" s="1"/>
  <c r="U126" i="215"/>
  <c r="N291" i="34"/>
  <c r="J44" i="214" s="1"/>
  <c r="W292" i="34"/>
  <c r="S45" i="214" s="1"/>
  <c r="X292" i="34"/>
  <c r="T45" i="214" s="1"/>
  <c r="N126" i="215"/>
  <c r="O126" i="215"/>
  <c r="J292" i="34"/>
  <c r="F45" i="214" s="1"/>
  <c r="L292" i="34"/>
  <c r="H45" i="214" s="1"/>
  <c r="S289" i="34"/>
  <c r="O42" i="214" s="1"/>
  <c r="T74" i="16"/>
  <c r="T76" i="16" s="1"/>
  <c r="X73" i="16"/>
  <c r="S292" i="34"/>
  <c r="O45" i="214" s="1"/>
  <c r="AE92" i="34"/>
  <c r="Y289" i="34"/>
  <c r="U42" i="214" s="1"/>
  <c r="Y90" i="172"/>
  <c r="Y96" i="172" s="1"/>
  <c r="Y50" i="13"/>
  <c r="I126" i="215"/>
  <c r="F18" i="104"/>
  <c r="G20" i="34"/>
  <c r="Q126" i="215"/>
  <c r="Z126" i="215"/>
  <c r="K292" i="34"/>
  <c r="G45" i="214" s="1"/>
  <c r="P292" i="34"/>
  <c r="L45" i="214" s="1"/>
  <c r="T292" i="34"/>
  <c r="P45" i="214" s="1"/>
  <c r="AA292" i="34"/>
  <c r="W45" i="214" s="1"/>
  <c r="N292" i="34"/>
  <c r="J45" i="214" s="1"/>
  <c r="R289" i="34"/>
  <c r="N42" i="214" s="1"/>
  <c r="J289" i="34"/>
  <c r="K289" i="34"/>
  <c r="G42" i="214" s="1"/>
  <c r="U289" i="34"/>
  <c r="Q42" i="214" s="1"/>
  <c r="AA289" i="34"/>
  <c r="W42" i="214" s="1"/>
  <c r="T126" i="215"/>
  <c r="J126" i="215"/>
  <c r="K126" i="215"/>
  <c r="P293" i="34"/>
  <c r="L46" i="214" s="1"/>
  <c r="T289" i="34"/>
  <c r="P42" i="214" s="1"/>
  <c r="X289" i="34"/>
  <c r="T42" i="214" s="1"/>
  <c r="N294" i="34"/>
  <c r="J47" i="214" s="1"/>
  <c r="R292" i="34"/>
  <c r="N45" i="214" s="1"/>
  <c r="Z292" i="34"/>
  <c r="V45" i="214" s="1"/>
  <c r="O292" i="34"/>
  <c r="K45" i="214" s="1"/>
  <c r="Z289" i="34"/>
  <c r="V42" i="214" s="1"/>
  <c r="P19" i="34"/>
  <c r="L17" i="104" s="1"/>
  <c r="O293" i="34"/>
  <c r="K46" i="214" s="1"/>
  <c r="S126" i="215"/>
  <c r="P10" i="207"/>
  <c r="Y146" i="13"/>
  <c r="F286" i="34"/>
  <c r="F39" i="214"/>
  <c r="E39" i="214" s="1"/>
  <c r="AE286" i="34"/>
  <c r="F15" i="104"/>
  <c r="G17" i="34"/>
  <c r="O291" i="34"/>
  <c r="K44" i="214" s="1"/>
  <c r="O294" i="34"/>
  <c r="K47" i="214" s="1"/>
  <c r="O22" i="34"/>
  <c r="K20" i="104" s="1"/>
  <c r="M126" i="215"/>
  <c r="V292" i="34"/>
  <c r="R45" i="214" s="1"/>
  <c r="AE150" i="34"/>
  <c r="Y292" i="34"/>
  <c r="U45" i="214" s="1"/>
  <c r="P289" i="34"/>
  <c r="L42" i="214" s="1"/>
  <c r="N289" i="34"/>
  <c r="J42" i="214" s="1"/>
  <c r="M289" i="34"/>
  <c r="I42" i="214" s="1"/>
  <c r="R126" i="215"/>
  <c r="Y126" i="215"/>
  <c r="L126" i="215"/>
  <c r="K110" i="219"/>
  <c r="AF24" i="44"/>
  <c r="AH24" i="44" s="1"/>
  <c r="S108" i="202"/>
  <c r="S66" i="202"/>
  <c r="U42" i="202"/>
  <c r="M48" i="219" s="1"/>
  <c r="N48" i="219" s="1"/>
  <c r="C61" i="103"/>
  <c r="C62" i="103" s="1"/>
  <c r="AE24" i="44"/>
  <c r="H21" i="45" s="1"/>
  <c r="E41" i="44"/>
  <c r="E37" i="45"/>
  <c r="P171" i="202"/>
  <c r="P172" i="202" s="1"/>
  <c r="P173" i="202" s="1"/>
  <c r="P174" i="202" s="1"/>
  <c r="O29" i="202"/>
  <c r="O50" i="202" s="1"/>
  <c r="Q123" i="202"/>
  <c r="Q124" i="202" s="1"/>
  <c r="Q125" i="202" s="1"/>
  <c r="Q135" i="202" s="1"/>
  <c r="Q161" i="202"/>
  <c r="Q72" i="202" s="1"/>
  <c r="Q93" i="202" s="1"/>
  <c r="Q30" i="202"/>
  <c r="Q51" i="202" s="1"/>
  <c r="P40" i="195" s="1"/>
  <c r="K256" i="16"/>
  <c r="P123" i="202"/>
  <c r="K34" i="202"/>
  <c r="K236" i="202"/>
  <c r="K76" i="202" s="1"/>
  <c r="K97" i="202" s="1"/>
  <c r="V72" i="16"/>
  <c r="V73" i="16" s="1"/>
  <c r="V74" i="16" s="1"/>
  <c r="V252" i="16" s="1"/>
  <c r="U12" i="202" s="1"/>
  <c r="M218" i="202"/>
  <c r="M219" i="202" s="1"/>
  <c r="N132" i="16"/>
  <c r="N133" i="16" s="1"/>
  <c r="T143" i="202"/>
  <c r="O141" i="16"/>
  <c r="O145" i="16" s="1"/>
  <c r="O146" i="16" s="1"/>
  <c r="O147" i="16" s="1"/>
  <c r="O256" i="16" s="1"/>
  <c r="L175" i="16"/>
  <c r="AF20" i="44"/>
  <c r="AF14" i="101" s="1"/>
  <c r="T90" i="172"/>
  <c r="T96" i="172" s="1"/>
  <c r="L21" i="203"/>
  <c r="L12" i="203" s="1"/>
  <c r="AI95" i="172"/>
  <c r="N189" i="215"/>
  <c r="AE246" i="34"/>
  <c r="P211" i="202"/>
  <c r="P75" i="202" s="1"/>
  <c r="P96" i="202" s="1"/>
  <c r="P33" i="202"/>
  <c r="P54" i="202" s="1"/>
  <c r="H17" i="45"/>
  <c r="G15" i="105" s="1"/>
  <c r="AE14" i="101"/>
  <c r="AM96" i="172"/>
  <c r="AM217" i="172"/>
  <c r="AM218" i="172" s="1"/>
  <c r="AM225" i="172" s="1"/>
  <c r="AM198" i="172" s="1"/>
  <c r="M35" i="202"/>
  <c r="M56" i="202" s="1"/>
  <c r="M261" i="202"/>
  <c r="M77" i="202" s="1"/>
  <c r="M98" i="202" s="1"/>
  <c r="AO217" i="172"/>
  <c r="AO218" i="172" s="1"/>
  <c r="AO225" i="172" s="1"/>
  <c r="AO198" i="172" s="1"/>
  <c r="AO96" i="172"/>
  <c r="N32" i="202"/>
  <c r="F47" i="219" s="1"/>
  <c r="N186" i="202"/>
  <c r="N74" i="202" s="1"/>
  <c r="AB217" i="172"/>
  <c r="AB218" i="172" s="1"/>
  <c r="AB225" i="172" s="1"/>
  <c r="AB198" i="172" s="1"/>
  <c r="AB96" i="172"/>
  <c r="Z217" i="172"/>
  <c r="Z218" i="172" s="1"/>
  <c r="Z225" i="172" s="1"/>
  <c r="Z198" i="172" s="1"/>
  <c r="Z96" i="172"/>
  <c r="AD217" i="172"/>
  <c r="AD218" i="172" s="1"/>
  <c r="AD225" i="172" s="1"/>
  <c r="AD198" i="172" s="1"/>
  <c r="AD96" i="172"/>
  <c r="T192" i="202"/>
  <c r="T193" i="202" s="1"/>
  <c r="U76" i="16"/>
  <c r="U240" i="16" s="1"/>
  <c r="T15" i="157" s="1"/>
  <c r="U251" i="16"/>
  <c r="J45" i="207"/>
  <c r="M16" i="202"/>
  <c r="E36" i="219" s="1"/>
  <c r="AJ96" i="172"/>
  <c r="AJ217" i="172"/>
  <c r="AJ218" i="172" s="1"/>
  <c r="AJ225" i="172" s="1"/>
  <c r="AJ198" i="172" s="1"/>
  <c r="AH217" i="172"/>
  <c r="AH218" i="172" s="1"/>
  <c r="AH225" i="172" s="1"/>
  <c r="AH198" i="172" s="1"/>
  <c r="AH96" i="172"/>
  <c r="AA217" i="172"/>
  <c r="AA218" i="172" s="1"/>
  <c r="AA225" i="172" s="1"/>
  <c r="AA198" i="172" s="1"/>
  <c r="AA96" i="172"/>
  <c r="K161" i="16"/>
  <c r="X96" i="172"/>
  <c r="X217" i="172"/>
  <c r="X218" i="172" s="1"/>
  <c r="X225" i="172" s="1"/>
  <c r="X198" i="172" s="1"/>
  <c r="S96" i="172"/>
  <c r="S217" i="172"/>
  <c r="S218" i="172" s="1"/>
  <c r="S225" i="172" s="1"/>
  <c r="S198" i="172" s="1"/>
  <c r="U217" i="172"/>
  <c r="U218" i="172" s="1"/>
  <c r="U225" i="172" s="1"/>
  <c r="U198" i="172" s="1"/>
  <c r="U96" i="172"/>
  <c r="U511" i="202"/>
  <c r="U87" i="202" s="1"/>
  <c r="U108" i="202" s="1"/>
  <c r="U45" i="202"/>
  <c r="AN217" i="172"/>
  <c r="AN218" i="172" s="1"/>
  <c r="AN225" i="172" s="1"/>
  <c r="AN198" i="172" s="1"/>
  <c r="AN96" i="172"/>
  <c r="U486" i="202"/>
  <c r="U86" i="202" s="1"/>
  <c r="U44" i="202"/>
  <c r="W217" i="172"/>
  <c r="W218" i="172" s="1"/>
  <c r="W225" i="172" s="1"/>
  <c r="W198" i="172" s="1"/>
  <c r="W96" i="172"/>
  <c r="AI217" i="172"/>
  <c r="AI218" i="172" s="1"/>
  <c r="AI225" i="172" s="1"/>
  <c r="AI198" i="172" s="1"/>
  <c r="AI96" i="172"/>
  <c r="S121" i="202"/>
  <c r="S122" i="202" s="1"/>
  <c r="L160" i="16"/>
  <c r="O127" i="16"/>
  <c r="O128" i="16"/>
  <c r="K167" i="13"/>
  <c r="K196" i="13" s="1"/>
  <c r="F30" i="207" s="1"/>
  <c r="J170" i="16"/>
  <c r="G13" i="102"/>
  <c r="S13" i="102"/>
  <c r="K187" i="16"/>
  <c r="S15" i="102"/>
  <c r="N157" i="16"/>
  <c r="J27" i="207"/>
  <c r="AL217" i="172"/>
  <c r="AL218" i="172" s="1"/>
  <c r="AL225" i="172" s="1"/>
  <c r="AL198" i="172" s="1"/>
  <c r="AL96" i="172"/>
  <c r="S130" i="16"/>
  <c r="Y76" i="13"/>
  <c r="F25" i="162" s="1"/>
  <c r="E13" i="107"/>
  <c r="AE302" i="34"/>
  <c r="T57" i="13"/>
  <c r="S96" i="16"/>
  <c r="S94" i="16" s="1"/>
  <c r="S98" i="16" s="1"/>
  <c r="U55" i="13"/>
  <c r="AE96" i="172"/>
  <c r="AE217" i="172"/>
  <c r="AE218" i="172" s="1"/>
  <c r="AE225" i="172" s="1"/>
  <c r="AE198" i="172" s="1"/>
  <c r="F31" i="104"/>
  <c r="G33" i="34"/>
  <c r="AC96" i="172"/>
  <c r="AC217" i="172"/>
  <c r="AC218" i="172" s="1"/>
  <c r="AC225" i="172" s="1"/>
  <c r="AC198" i="172" s="1"/>
  <c r="Y217" i="172"/>
  <c r="Y218" i="172" s="1"/>
  <c r="Y225" i="172" s="1"/>
  <c r="Y198" i="172" s="1"/>
  <c r="C68" i="46"/>
  <c r="O17" i="102"/>
  <c r="Q143" i="16"/>
  <c r="C62" i="36"/>
  <c r="V18" i="184"/>
  <c r="W6" i="184"/>
  <c r="W10" i="184" s="1"/>
  <c r="V250" i="16"/>
  <c r="V34" i="16"/>
  <c r="V239" i="16" s="1"/>
  <c r="U14" i="157" s="1"/>
  <c r="W191" i="13"/>
  <c r="Y14" i="185"/>
  <c r="Y16" i="185" s="1"/>
  <c r="Z13" i="185" s="1"/>
  <c r="Y83" i="185"/>
  <c r="Y84" i="185" s="1"/>
  <c r="D113" i="13"/>
  <c r="C46" i="14"/>
  <c r="S88" i="16"/>
  <c r="O33" i="202"/>
  <c r="O54" i="202" s="1"/>
  <c r="O211" i="202"/>
  <c r="O75" i="202" s="1"/>
  <c r="O96" i="202" s="1"/>
  <c r="U192" i="215"/>
  <c r="R192" i="215"/>
  <c r="V192" i="215"/>
  <c r="J192" i="215"/>
  <c r="O192" i="215"/>
  <c r="R117" i="16"/>
  <c r="R118" i="16" s="1"/>
  <c r="T70" i="13"/>
  <c r="S71" i="13"/>
  <c r="O186" i="202"/>
  <c r="O74" i="202" s="1"/>
  <c r="O95" i="202" s="1"/>
  <c r="O32" i="202"/>
  <c r="M158" i="16"/>
  <c r="L42" i="195"/>
  <c r="O13" i="202"/>
  <c r="E49" i="107"/>
  <c r="AK96" i="172"/>
  <c r="AK217" i="172"/>
  <c r="AK218" i="172" s="1"/>
  <c r="AK225" i="172" s="1"/>
  <c r="AK198" i="172" s="1"/>
  <c r="F14" i="102"/>
  <c r="J56" i="202"/>
  <c r="O73" i="202"/>
  <c r="O92" i="202"/>
  <c r="O94" i="202" s="1"/>
  <c r="M146" i="16"/>
  <c r="M147" i="16" s="1"/>
  <c r="M256" i="16" s="1"/>
  <c r="G11" i="213" s="1"/>
  <c r="Q167" i="202"/>
  <c r="Q168" i="202" s="1"/>
  <c r="Q169" i="202" s="1"/>
  <c r="P15" i="102"/>
  <c r="L20" i="44"/>
  <c r="I14" i="101"/>
  <c r="S114" i="16"/>
  <c r="U67" i="13"/>
  <c r="Y67" i="13" s="1"/>
  <c r="E20" i="162" s="1"/>
  <c r="F23" i="72" s="1"/>
  <c r="Q108" i="16"/>
  <c r="F258" i="16"/>
  <c r="J97" i="202"/>
  <c r="K292" i="202"/>
  <c r="E47" i="107"/>
  <c r="J187" i="16"/>
  <c r="O189" i="215"/>
  <c r="P144" i="16"/>
  <c r="F185" i="16"/>
  <c r="F189" i="16" s="1"/>
  <c r="E14" i="78"/>
  <c r="E13" i="100"/>
  <c r="F8" i="208"/>
  <c r="T251" i="16"/>
  <c r="X251" i="16" s="1"/>
  <c r="J21" i="104"/>
  <c r="L34" i="202"/>
  <c r="L236" i="202"/>
  <c r="L76" i="202" s="1"/>
  <c r="R99" i="16"/>
  <c r="R100" i="16" s="1"/>
  <c r="R89" i="16"/>
  <c r="K21" i="104"/>
  <c r="L14" i="102"/>
  <c r="C67" i="46"/>
  <c r="AE23" i="44"/>
  <c r="J23" i="44"/>
  <c r="AF23" i="44"/>
  <c r="H25" i="44"/>
  <c r="G14" i="207"/>
  <c r="E93" i="93"/>
  <c r="E31" i="107"/>
  <c r="V217" i="172"/>
  <c r="V218" i="172" s="1"/>
  <c r="V225" i="172" s="1"/>
  <c r="V198" i="172" s="1"/>
  <c r="V96" i="172"/>
  <c r="AA118" i="185"/>
  <c r="Z119" i="185"/>
  <c r="Z80" i="185" s="1"/>
  <c r="O112" i="13"/>
  <c r="O151" i="13" s="1"/>
  <c r="G112" i="13"/>
  <c r="H112" i="13" s="1"/>
  <c r="Q139" i="16"/>
  <c r="S81" i="13"/>
  <c r="S147" i="13" s="1"/>
  <c r="S192" i="215"/>
  <c r="T192" i="215"/>
  <c r="Q192" i="215"/>
  <c r="Z192" i="215"/>
  <c r="F17" i="102"/>
  <c r="U86" i="16"/>
  <c r="W49" i="13"/>
  <c r="T83" i="16"/>
  <c r="W15" i="102"/>
  <c r="T121" i="202"/>
  <c r="J98" i="202"/>
  <c r="H44" i="207"/>
  <c r="K15" i="202"/>
  <c r="C35" i="219" s="1"/>
  <c r="N21" i="203"/>
  <c r="N12" i="203" s="1"/>
  <c r="R107" i="16"/>
  <c r="T63" i="13"/>
  <c r="G185" i="16"/>
  <c r="G189" i="16" s="1"/>
  <c r="R147" i="202"/>
  <c r="L26" i="207"/>
  <c r="N217" i="202"/>
  <c r="N218" i="202" s="1"/>
  <c r="C63" i="36"/>
  <c r="O42" i="207"/>
  <c r="R11" i="202"/>
  <c r="J33" i="219" s="1"/>
  <c r="P13" i="102"/>
  <c r="J13" i="102"/>
  <c r="D109" i="13"/>
  <c r="J188" i="16"/>
  <c r="L21" i="104"/>
  <c r="AF217" i="172"/>
  <c r="AF218" i="172" s="1"/>
  <c r="AF225" i="172" s="1"/>
  <c r="AF198" i="172" s="1"/>
  <c r="AF96" i="172"/>
  <c r="L174" i="16"/>
  <c r="V104" i="16"/>
  <c r="F302" i="34"/>
  <c r="N242" i="202"/>
  <c r="P126" i="16"/>
  <c r="K13" i="207"/>
  <c r="O169" i="16"/>
  <c r="Q98" i="13"/>
  <c r="Q149" i="13" s="1"/>
  <c r="U125" i="16"/>
  <c r="V146" i="13"/>
  <c r="Q10" i="207" s="1"/>
  <c r="W74" i="13"/>
  <c r="P208" i="172"/>
  <c r="P209" i="172" s="1"/>
  <c r="E23" i="93"/>
  <c r="P140" i="16"/>
  <c r="L28" i="207"/>
  <c r="T97" i="16"/>
  <c r="X97" i="16" s="1"/>
  <c r="V56" i="13"/>
  <c r="AG96" i="172"/>
  <c r="AG217" i="172"/>
  <c r="AG218" i="172" s="1"/>
  <c r="AG225" i="172" s="1"/>
  <c r="AG198" i="172" s="1"/>
  <c r="G15" i="102"/>
  <c r="J15" i="102"/>
  <c r="I14" i="102"/>
  <c r="L11" i="207"/>
  <c r="K192" i="215"/>
  <c r="L192" i="215"/>
  <c r="X192" i="215"/>
  <c r="I192" i="215"/>
  <c r="R17" i="102"/>
  <c r="S146" i="202"/>
  <c r="Q119" i="16"/>
  <c r="Q120" i="16" s="1"/>
  <c r="Q253" i="16" s="1"/>
  <c r="L12" i="207"/>
  <c r="P152" i="16"/>
  <c r="R88" i="13"/>
  <c r="R148" i="13" s="1"/>
  <c r="K43" i="207"/>
  <c r="V54" i="16"/>
  <c r="AI125" i="185"/>
  <c r="AI75" i="185" s="1"/>
  <c r="Q25" i="207"/>
  <c r="N13" i="209"/>
  <c r="R15" i="181"/>
  <c r="C16" i="72"/>
  <c r="C18" i="72" s="1"/>
  <c r="M13" i="102"/>
  <c r="W13" i="102"/>
  <c r="L24" i="44"/>
  <c r="J161" i="16"/>
  <c r="J17" i="44"/>
  <c r="G13" i="101"/>
  <c r="AE17" i="44"/>
  <c r="K134" i="16"/>
  <c r="E55" i="214"/>
  <c r="M189" i="215"/>
  <c r="I17" i="102"/>
  <c r="AF92" i="172"/>
  <c r="Q131" i="16"/>
  <c r="R78" i="13"/>
  <c r="J13" i="207"/>
  <c r="U116" i="16"/>
  <c r="W69" i="13"/>
  <c r="C48" i="45"/>
  <c r="E15" i="101"/>
  <c r="F42" i="195"/>
  <c r="E15" i="78"/>
  <c r="R119" i="202"/>
  <c r="R120" i="202" s="1"/>
  <c r="R195" i="202"/>
  <c r="O14" i="102"/>
  <c r="G196" i="215"/>
  <c r="G197" i="215" s="1"/>
  <c r="N218" i="34"/>
  <c r="M196" i="215" s="1"/>
  <c r="P218" i="34"/>
  <c r="O196" i="215" s="1"/>
  <c r="O218" i="34"/>
  <c r="N196" i="215" s="1"/>
  <c r="Y192" i="215"/>
  <c r="W192" i="215"/>
  <c r="N192" i="215"/>
  <c r="P192" i="215"/>
  <c r="M192" i="215"/>
  <c r="L242" i="202"/>
  <c r="L17" i="102"/>
  <c r="F45" i="207"/>
  <c r="I16" i="202"/>
  <c r="AH8" i="185"/>
  <c r="AH10" i="185" s="1"/>
  <c r="AI7" i="185" s="1"/>
  <c r="AH78" i="185"/>
  <c r="U118" i="202"/>
  <c r="U85" i="16"/>
  <c r="V50" i="13"/>
  <c r="W48" i="13"/>
  <c r="M15" i="102"/>
  <c r="V93" i="16"/>
  <c r="P110" i="16"/>
  <c r="P254" i="16" s="1"/>
  <c r="O14" i="202" s="1"/>
  <c r="F14" i="101"/>
  <c r="N9" i="207"/>
  <c r="R106" i="16"/>
  <c r="S64" i="13"/>
  <c r="S163" i="13" s="1"/>
  <c r="T62" i="13"/>
  <c r="I14" i="207"/>
  <c r="M183" i="16"/>
  <c r="O105" i="13"/>
  <c r="O150" i="13" s="1"/>
  <c r="J55" i="202"/>
  <c r="M134" i="16"/>
  <c r="Q198" i="202"/>
  <c r="Q199" i="202" s="1"/>
  <c r="Q200" i="202" s="1"/>
  <c r="Y165" i="28" l="1"/>
  <c r="T70" i="157" s="1"/>
  <c r="Z57" i="28"/>
  <c r="Z51" i="28"/>
  <c r="Z54" i="28"/>
  <c r="Z55" i="28"/>
  <c r="Z53" i="28"/>
  <c r="Z49" i="28"/>
  <c r="S27" i="176"/>
  <c r="X168" i="175"/>
  <c r="Y67" i="175"/>
  <c r="Z44" i="175" s="1"/>
  <c r="Q56" i="176"/>
  <c r="Q58" i="176" s="1"/>
  <c r="Q33" i="176"/>
  <c r="Q42" i="176" s="1"/>
  <c r="Z50" i="175"/>
  <c r="Z47" i="175"/>
  <c r="Q64" i="157"/>
  <c r="M43" i="209" s="1"/>
  <c r="S11" i="70"/>
  <c r="Z53" i="175"/>
  <c r="R54" i="176"/>
  <c r="R13" i="176"/>
  <c r="Z59" i="175"/>
  <c r="Z52" i="175"/>
  <c r="Z33" i="175"/>
  <c r="Z46" i="175"/>
  <c r="Z49" i="175"/>
  <c r="Z34" i="175"/>
  <c r="S192" i="13"/>
  <c r="S89" i="16"/>
  <c r="H11" i="213"/>
  <c r="M19" i="219"/>
  <c r="N5" i="219"/>
  <c r="N19" i="219" s="1"/>
  <c r="H7" i="219"/>
  <c r="H21" i="219" s="1"/>
  <c r="R164" i="13"/>
  <c r="R117" i="164"/>
  <c r="Q193" i="13"/>
  <c r="R74" i="96"/>
  <c r="M21" i="96"/>
  <c r="V74" i="96" s="1"/>
  <c r="R77" i="96"/>
  <c r="M24" i="96"/>
  <c r="V77" i="96" s="1"/>
  <c r="R75" i="96"/>
  <c r="M22" i="96"/>
  <c r="V75" i="96" s="1"/>
  <c r="M104" i="219"/>
  <c r="U66" i="202"/>
  <c r="T51" i="195" s="1"/>
  <c r="M54" i="219"/>
  <c r="W87" i="202"/>
  <c r="U107" i="202"/>
  <c r="W107" i="202" s="1"/>
  <c r="V35" i="72" s="1"/>
  <c r="W86" i="202"/>
  <c r="U63" i="202"/>
  <c r="W42" i="202"/>
  <c r="W45" i="202"/>
  <c r="AA49" i="195"/>
  <c r="W105" i="202"/>
  <c r="V33" i="72" s="1"/>
  <c r="U65" i="202"/>
  <c r="W65" i="202" s="1"/>
  <c r="W44" i="202"/>
  <c r="W127" i="70"/>
  <c r="W148" i="70"/>
  <c r="W122" i="70"/>
  <c r="W137" i="70"/>
  <c r="W133" i="70"/>
  <c r="W131" i="70"/>
  <c r="W150" i="70"/>
  <c r="W151" i="70"/>
  <c r="W142" i="70"/>
  <c r="W154" i="70"/>
  <c r="W118" i="70"/>
  <c r="Z159" i="28"/>
  <c r="Z170" i="28" s="1"/>
  <c r="U74" i="157" s="1"/>
  <c r="W124" i="70"/>
  <c r="W120" i="70"/>
  <c r="W121" i="70"/>
  <c r="P53" i="209"/>
  <c r="T43" i="181"/>
  <c r="W130" i="70"/>
  <c r="W138" i="70"/>
  <c r="W147" i="70"/>
  <c r="W149" i="70"/>
  <c r="W128" i="70"/>
  <c r="W145" i="70"/>
  <c r="W146" i="70"/>
  <c r="W152" i="70"/>
  <c r="W155" i="70"/>
  <c r="W153" i="70"/>
  <c r="W144" i="70"/>
  <c r="W134" i="70"/>
  <c r="W125" i="70"/>
  <c r="Z102" i="28"/>
  <c r="Z168" i="28" s="1"/>
  <c r="U72" i="157" s="1"/>
  <c r="W94" i="70"/>
  <c r="W102" i="70"/>
  <c r="W104" i="70"/>
  <c r="W97" i="70"/>
  <c r="W98" i="70"/>
  <c r="W103" i="70"/>
  <c r="W96" i="70"/>
  <c r="W100" i="70"/>
  <c r="W80" i="70"/>
  <c r="W85" i="70"/>
  <c r="W78" i="70"/>
  <c r="W76" i="70"/>
  <c r="W84" i="70"/>
  <c r="W72" i="70"/>
  <c r="W82" i="70"/>
  <c r="W75" i="70"/>
  <c r="W74" i="70"/>
  <c r="W71" i="70"/>
  <c r="Z83" i="28"/>
  <c r="Z166" i="28" s="1"/>
  <c r="U71" i="157" s="1"/>
  <c r="W67" i="70"/>
  <c r="W83" i="70"/>
  <c r="W79" i="70"/>
  <c r="W70" i="70"/>
  <c r="W69" i="70"/>
  <c r="W77" i="70"/>
  <c r="W73" i="70"/>
  <c r="W81" i="70"/>
  <c r="W68" i="70"/>
  <c r="T40" i="181"/>
  <c r="P50" i="209"/>
  <c r="W59" i="70"/>
  <c r="Z58" i="28"/>
  <c r="Z61" i="28"/>
  <c r="Z60" i="28"/>
  <c r="W61" i="70"/>
  <c r="V64" i="70"/>
  <c r="V164" i="70" s="1"/>
  <c r="E18" i="115"/>
  <c r="G18" i="115" s="1"/>
  <c r="I18" i="115" s="1"/>
  <c r="I20" i="96"/>
  <c r="W54" i="70"/>
  <c r="O65" i="215"/>
  <c r="O78" i="215" s="1"/>
  <c r="P108" i="34"/>
  <c r="P18" i="34" s="1"/>
  <c r="L16" i="104" s="1"/>
  <c r="P65" i="215"/>
  <c r="P78" i="215" s="1"/>
  <c r="Q108" i="34"/>
  <c r="Q18" i="34" s="1"/>
  <c r="M16" i="104" s="1"/>
  <c r="R65" i="215"/>
  <c r="R78" i="215" s="1"/>
  <c r="S108" i="34"/>
  <c r="S18" i="34" s="1"/>
  <c r="O16" i="104" s="1"/>
  <c r="Z108" i="34"/>
  <c r="Z18" i="34" s="1"/>
  <c r="V16" i="104" s="1"/>
  <c r="Y65" i="215"/>
  <c r="Y78" i="215" s="1"/>
  <c r="W56" i="70"/>
  <c r="W53" i="70"/>
  <c r="V108" i="34"/>
  <c r="U65" i="215"/>
  <c r="U78" i="215" s="1"/>
  <c r="R108" i="34"/>
  <c r="R18" i="34" s="1"/>
  <c r="N16" i="104" s="1"/>
  <c r="Q65" i="215"/>
  <c r="Q78" i="215" s="1"/>
  <c r="W52" i="70"/>
  <c r="X108" i="34"/>
  <c r="X18" i="34" s="1"/>
  <c r="T16" i="104" s="1"/>
  <c r="W65" i="215"/>
  <c r="W78" i="215" s="1"/>
  <c r="L65" i="215"/>
  <c r="L78" i="215" s="1"/>
  <c r="M108" i="34"/>
  <c r="M18" i="34" s="1"/>
  <c r="I16" i="104" s="1"/>
  <c r="N65" i="215"/>
  <c r="N78" i="215" s="1"/>
  <c r="O108" i="34"/>
  <c r="O18" i="34" s="1"/>
  <c r="K16" i="104" s="1"/>
  <c r="W108" i="34"/>
  <c r="W18" i="34" s="1"/>
  <c r="S16" i="104" s="1"/>
  <c r="V65" i="215"/>
  <c r="V78" i="215" s="1"/>
  <c r="J65" i="215"/>
  <c r="J78" i="215" s="1"/>
  <c r="K108" i="34"/>
  <c r="K18" i="34" s="1"/>
  <c r="G16" i="104" s="1"/>
  <c r="W55" i="70"/>
  <c r="W51" i="70"/>
  <c r="L108" i="34"/>
  <c r="K65" i="215"/>
  <c r="K78" i="215" s="1"/>
  <c r="Y108" i="34"/>
  <c r="Y18" i="34" s="1"/>
  <c r="U16" i="104" s="1"/>
  <c r="X65" i="215"/>
  <c r="X78" i="215" s="1"/>
  <c r="W57" i="70"/>
  <c r="T65" i="215"/>
  <c r="T78" i="215" s="1"/>
  <c r="U108" i="34"/>
  <c r="I65" i="215"/>
  <c r="I78" i="215" s="1"/>
  <c r="J108" i="34"/>
  <c r="AE95" i="34"/>
  <c r="S65" i="215"/>
  <c r="S78" i="215" s="1"/>
  <c r="T108" i="34"/>
  <c r="T18" i="34" s="1"/>
  <c r="P16" i="104" s="1"/>
  <c r="M65" i="215"/>
  <c r="M78" i="215" s="1"/>
  <c r="N108" i="34"/>
  <c r="N18" i="34" s="1"/>
  <c r="J16" i="104" s="1"/>
  <c r="AA108" i="34"/>
  <c r="AA18" i="34" s="1"/>
  <c r="W16" i="104" s="1"/>
  <c r="Z65" i="215"/>
  <c r="Z78" i="215" s="1"/>
  <c r="P49" i="209"/>
  <c r="T39" i="181"/>
  <c r="W47" i="13"/>
  <c r="Y55" i="13"/>
  <c r="U54" i="13"/>
  <c r="Y54" i="13" s="1"/>
  <c r="G22" i="162" s="1"/>
  <c r="E68" i="93" s="1"/>
  <c r="E69" i="93" s="1"/>
  <c r="E32" i="107" s="1"/>
  <c r="S31" i="157"/>
  <c r="O29" i="209" s="1"/>
  <c r="S26" i="157"/>
  <c r="S20" i="157" s="1"/>
  <c r="S28" i="157"/>
  <c r="P141" i="16"/>
  <c r="P145" i="16" s="1"/>
  <c r="S27" i="157"/>
  <c r="G230" i="34" s="1"/>
  <c r="G207" i="215" s="1"/>
  <c r="S29" i="157"/>
  <c r="G232" i="34" s="1"/>
  <c r="N232" i="34" s="1"/>
  <c r="M209" i="215" s="1"/>
  <c r="G233" i="34"/>
  <c r="G210" i="215" s="1"/>
  <c r="R21" i="181"/>
  <c r="R87" i="181" s="1"/>
  <c r="R33" i="157"/>
  <c r="N31" i="209" s="1"/>
  <c r="N24" i="209"/>
  <c r="F50" i="96"/>
  <c r="I50" i="96" s="1"/>
  <c r="M50" i="96" s="1"/>
  <c r="G45" i="207"/>
  <c r="M175" i="16"/>
  <c r="M102" i="13"/>
  <c r="L167" i="13"/>
  <c r="L196" i="13" s="1"/>
  <c r="J16" i="202"/>
  <c r="K170" i="16"/>
  <c r="O66" i="157"/>
  <c r="Q17" i="70"/>
  <c r="Q23" i="70" s="1"/>
  <c r="Q162" i="70" s="1"/>
  <c r="Q170" i="70" s="1"/>
  <c r="T23" i="28"/>
  <c r="T163" i="28" s="1"/>
  <c r="L17" i="70"/>
  <c r="L23" i="70" s="1"/>
  <c r="L162" i="70" s="1"/>
  <c r="L170" i="70" s="1"/>
  <c r="J66" i="157"/>
  <c r="O23" i="28"/>
  <c r="O163" i="28" s="1"/>
  <c r="S17" i="70"/>
  <c r="Q66" i="157"/>
  <c r="V23" i="28"/>
  <c r="V163" i="28" s="1"/>
  <c r="N17" i="70"/>
  <c r="N23" i="70" s="1"/>
  <c r="N162" i="70" s="1"/>
  <c r="N170" i="70" s="1"/>
  <c r="L66" i="157"/>
  <c r="Q23" i="28"/>
  <c r="Q163" i="28" s="1"/>
  <c r="N66" i="157"/>
  <c r="P17" i="70"/>
  <c r="P23" i="70" s="1"/>
  <c r="P162" i="70" s="1"/>
  <c r="P170" i="70" s="1"/>
  <c r="S23" i="28"/>
  <c r="S163" i="28" s="1"/>
  <c r="R17" i="70"/>
  <c r="R23" i="70" s="1"/>
  <c r="R162" i="70" s="1"/>
  <c r="R170" i="70" s="1"/>
  <c r="P66" i="157"/>
  <c r="U23" i="28"/>
  <c r="U163" i="28" s="1"/>
  <c r="K66" i="157"/>
  <c r="M17" i="70"/>
  <c r="M23" i="70" s="1"/>
  <c r="M162" i="70" s="1"/>
  <c r="M170" i="70" s="1"/>
  <c r="P23" i="28"/>
  <c r="P163" i="28" s="1"/>
  <c r="O17" i="70"/>
  <c r="O23" i="70" s="1"/>
  <c r="O162" i="70" s="1"/>
  <c r="O170" i="70" s="1"/>
  <c r="M66" i="157"/>
  <c r="R23" i="28"/>
  <c r="R163" i="28" s="1"/>
  <c r="E112" i="93"/>
  <c r="H23" i="72"/>
  <c r="H25" i="72" s="1"/>
  <c r="K23" i="72"/>
  <c r="K25" i="72" s="1"/>
  <c r="X23" i="72"/>
  <c r="T23" i="72"/>
  <c r="T25" i="72" s="1"/>
  <c r="Q23" i="72"/>
  <c r="Q25" i="72" s="1"/>
  <c r="F25" i="72"/>
  <c r="N23" i="72"/>
  <c r="N25" i="72" s="1"/>
  <c r="F292" i="34"/>
  <c r="T252" i="16"/>
  <c r="S12" i="202" s="1"/>
  <c r="X74" i="16"/>
  <c r="AE292" i="34"/>
  <c r="T240" i="16"/>
  <c r="X76" i="16"/>
  <c r="C63" i="103"/>
  <c r="C64" i="103" s="1"/>
  <c r="C65" i="103" s="1"/>
  <c r="AE20" i="34"/>
  <c r="E18" i="104"/>
  <c r="E45" i="214"/>
  <c r="T87" i="16"/>
  <c r="X87" i="16" s="1"/>
  <c r="X83" i="16"/>
  <c r="E15" i="104"/>
  <c r="AE17" i="34"/>
  <c r="F289" i="34"/>
  <c r="F42" i="214"/>
  <c r="E42" i="214" s="1"/>
  <c r="AE289" i="34"/>
  <c r="F103" i="219"/>
  <c r="F75" i="219"/>
  <c r="O53" i="202"/>
  <c r="N42" i="195" s="1"/>
  <c r="G47" i="219"/>
  <c r="K55" i="202"/>
  <c r="J43" i="195" s="1"/>
  <c r="R51" i="195"/>
  <c r="AA51" i="195"/>
  <c r="W108" i="202"/>
  <c r="V36" i="72" s="1"/>
  <c r="O31" i="202"/>
  <c r="G45" i="219" s="1"/>
  <c r="E38" i="45"/>
  <c r="E42" i="44"/>
  <c r="Q29" i="202"/>
  <c r="Q50" i="202" s="1"/>
  <c r="Q136" i="202"/>
  <c r="Q71" i="202" s="1"/>
  <c r="Q92" i="202" s="1"/>
  <c r="Q94" i="202" s="1"/>
  <c r="R108" i="16"/>
  <c r="R109" i="16" s="1"/>
  <c r="P124" i="202"/>
  <c r="P135" i="202" s="1"/>
  <c r="U83" i="16"/>
  <c r="U87" i="16" s="1"/>
  <c r="U88" i="16" s="1"/>
  <c r="U89" i="16" s="1"/>
  <c r="AH20" i="44"/>
  <c r="AH14" i="101" s="1"/>
  <c r="T194" i="202"/>
  <c r="T195" i="202" s="1"/>
  <c r="N219" i="202"/>
  <c r="N220" i="202" s="1"/>
  <c r="N221" i="202" s="1"/>
  <c r="O132" i="16"/>
  <c r="O133" i="16" s="1"/>
  <c r="O134" i="16" s="1"/>
  <c r="T144" i="202"/>
  <c r="M220" i="202"/>
  <c r="T217" i="172"/>
  <c r="T218" i="172" s="1"/>
  <c r="T225" i="172" s="1"/>
  <c r="T198" i="172" s="1"/>
  <c r="S66" i="157"/>
  <c r="AJ95" i="172"/>
  <c r="M197" i="215"/>
  <c r="N219" i="34"/>
  <c r="N27" i="34" s="1"/>
  <c r="J25" i="104" s="1"/>
  <c r="P219" i="34"/>
  <c r="P27" i="34" s="1"/>
  <c r="L25" i="104" s="1"/>
  <c r="F190" i="16"/>
  <c r="F191" i="16" s="1"/>
  <c r="J15" i="207"/>
  <c r="N196" i="16"/>
  <c r="P112" i="13"/>
  <c r="P151" i="13" s="1"/>
  <c r="I45" i="207"/>
  <c r="L16" i="202"/>
  <c r="D36" i="219" s="1"/>
  <c r="P185" i="202"/>
  <c r="G190" i="16"/>
  <c r="G191" i="16" s="1"/>
  <c r="K45" i="207"/>
  <c r="N16" i="202"/>
  <c r="F36" i="219" s="1"/>
  <c r="U192" i="202"/>
  <c r="P146" i="16"/>
  <c r="P147" i="16" s="1"/>
  <c r="P256" i="16" s="1"/>
  <c r="Q170" i="202"/>
  <c r="Q171" i="202" s="1"/>
  <c r="N183" i="16"/>
  <c r="P105" i="13"/>
  <c r="P150" i="13" s="1"/>
  <c r="O242" i="202"/>
  <c r="O243" i="202" s="1"/>
  <c r="Q152" i="16"/>
  <c r="M12" i="207"/>
  <c r="S88" i="13"/>
  <c r="S148" i="13" s="1"/>
  <c r="I13" i="102"/>
  <c r="V85" i="16"/>
  <c r="W50" i="13"/>
  <c r="R196" i="202"/>
  <c r="F13" i="101"/>
  <c r="E15" i="107"/>
  <c r="P169" i="16"/>
  <c r="R98" i="13"/>
  <c r="R149" i="13" s="1"/>
  <c r="K267" i="202"/>
  <c r="Z83" i="185"/>
  <c r="Z84" i="185" s="1"/>
  <c r="Z14" i="185"/>
  <c r="U66" i="157"/>
  <c r="W17" i="70"/>
  <c r="E44" i="107"/>
  <c r="AF25" i="44"/>
  <c r="AH23" i="44"/>
  <c r="N158" i="16"/>
  <c r="X6" i="184"/>
  <c r="X10" i="184" s="1"/>
  <c r="W18" i="184"/>
  <c r="T96" i="16"/>
  <c r="U57" i="13"/>
  <c r="V55" i="13"/>
  <c r="V54" i="13" s="1"/>
  <c r="R167" i="202"/>
  <c r="M11" i="207"/>
  <c r="T64" i="13"/>
  <c r="S106" i="16"/>
  <c r="U62" i="13"/>
  <c r="Y62" i="13" s="1"/>
  <c r="R121" i="202"/>
  <c r="V116" i="16"/>
  <c r="AG92" i="172"/>
  <c r="W24" i="44"/>
  <c r="Q24" i="44"/>
  <c r="F15" i="102"/>
  <c r="Q203" i="172"/>
  <c r="Q207" i="172" s="1"/>
  <c r="P211" i="172"/>
  <c r="V86" i="16"/>
  <c r="L55" i="202"/>
  <c r="O9" i="207"/>
  <c r="S117" i="16"/>
  <c r="S118" i="16" s="1"/>
  <c r="U70" i="13"/>
  <c r="Y70" i="13" s="1"/>
  <c r="T71" i="13"/>
  <c r="R41" i="207"/>
  <c r="U9" i="202"/>
  <c r="O159" i="16"/>
  <c r="AE33" i="34"/>
  <c r="E31" i="104"/>
  <c r="F60" i="208"/>
  <c r="S123" i="202"/>
  <c r="T66" i="157"/>
  <c r="V17" i="70"/>
  <c r="M292" i="202"/>
  <c r="T15" i="181"/>
  <c r="P13" i="209"/>
  <c r="N53" i="202"/>
  <c r="L15" i="102"/>
  <c r="L243" i="202"/>
  <c r="L244" i="202" s="1"/>
  <c r="L245" i="202" s="1"/>
  <c r="Q126" i="16"/>
  <c r="K166" i="13"/>
  <c r="K195" i="13" s="1"/>
  <c r="J153" i="16"/>
  <c r="C19" i="72"/>
  <c r="S147" i="202"/>
  <c r="S148" i="202" s="1"/>
  <c r="S149" i="202" s="1"/>
  <c r="W146" i="13"/>
  <c r="R10" i="207" s="1"/>
  <c r="V125" i="16"/>
  <c r="N243" i="202"/>
  <c r="N244" i="202" s="1"/>
  <c r="Q210" i="202"/>
  <c r="T122" i="202"/>
  <c r="T123" i="202" s="1"/>
  <c r="T124" i="202" s="1"/>
  <c r="R119" i="16"/>
  <c r="R120" i="16" s="1"/>
  <c r="R253" i="16" s="1"/>
  <c r="S107" i="16"/>
  <c r="U63" i="13"/>
  <c r="Y63" i="13" s="1"/>
  <c r="E98" i="93"/>
  <c r="R139" i="16"/>
  <c r="T81" i="13"/>
  <c r="T147" i="13" s="1"/>
  <c r="G151" i="13"/>
  <c r="F196" i="16"/>
  <c r="AB118" i="185"/>
  <c r="AA119" i="185"/>
  <c r="AA80" i="185" s="1"/>
  <c r="L23" i="44"/>
  <c r="J25" i="44"/>
  <c r="S11" i="202"/>
  <c r="M26" i="207"/>
  <c r="K27" i="207"/>
  <c r="T114" i="16"/>
  <c r="X114" i="16" s="1"/>
  <c r="V67" i="13"/>
  <c r="U145" i="13"/>
  <c r="Y145" i="13" s="1"/>
  <c r="R25" i="207"/>
  <c r="R143" i="16"/>
  <c r="S99" i="16"/>
  <c r="F13" i="102"/>
  <c r="L161" i="16"/>
  <c r="R148" i="202"/>
  <c r="R149" i="202" s="1"/>
  <c r="R150" i="202" s="1"/>
  <c r="R151" i="202" s="1"/>
  <c r="M255" i="16"/>
  <c r="G10" i="213" s="1"/>
  <c r="O52" i="202"/>
  <c r="N39" i="195"/>
  <c r="N41" i="195" s="1"/>
  <c r="O219" i="34"/>
  <c r="R131" i="16"/>
  <c r="S78" i="13"/>
  <c r="K255" i="16"/>
  <c r="P13" i="202"/>
  <c r="H151" i="13"/>
  <c r="G196" i="16"/>
  <c r="G15" i="101"/>
  <c r="AE25" i="44"/>
  <c r="H20" i="45"/>
  <c r="Z16" i="185"/>
  <c r="AA13" i="185" s="1"/>
  <c r="Q144" i="16"/>
  <c r="S85" i="13"/>
  <c r="K14" i="101"/>
  <c r="W20" i="44"/>
  <c r="Q20" i="44"/>
  <c r="O217" i="202"/>
  <c r="D119" i="13"/>
  <c r="C47" i="14"/>
  <c r="Q12" i="209"/>
  <c r="U14" i="181"/>
  <c r="R15" i="102"/>
  <c r="R13" i="102"/>
  <c r="L166" i="13"/>
  <c r="I43" i="195"/>
  <c r="U119" i="202"/>
  <c r="U120" i="202" s="1"/>
  <c r="I100" i="202"/>
  <c r="I292" i="202"/>
  <c r="I310" i="202" s="1"/>
  <c r="I37" i="202" s="1"/>
  <c r="I58" i="202" s="1"/>
  <c r="N197" i="215"/>
  <c r="E16" i="100"/>
  <c r="F11" i="208"/>
  <c r="F89" i="208" s="1"/>
  <c r="H14" i="45"/>
  <c r="AE13" i="101"/>
  <c r="I6" i="182"/>
  <c r="L17" i="44"/>
  <c r="I13" i="101"/>
  <c r="L187" i="16"/>
  <c r="L13" i="102"/>
  <c r="AI78" i="185"/>
  <c r="AI8" i="185"/>
  <c r="AI10" i="185" s="1"/>
  <c r="V55" i="16"/>
  <c r="I15" i="102"/>
  <c r="U97" i="16"/>
  <c r="W56" i="13"/>
  <c r="C64" i="36"/>
  <c r="C65" i="36" s="1"/>
  <c r="P127" i="16"/>
  <c r="P128" i="16"/>
  <c r="M174" i="16"/>
  <c r="O13" i="102"/>
  <c r="M196" i="16"/>
  <c r="I15" i="207"/>
  <c r="L196" i="16"/>
  <c r="M151" i="13"/>
  <c r="H15" i="207" s="1"/>
  <c r="L97" i="202"/>
  <c r="E15" i="100"/>
  <c r="F10" i="208"/>
  <c r="F88" i="208" s="1"/>
  <c r="K293" i="202"/>
  <c r="K294" i="202" s="1"/>
  <c r="K310" i="202" s="1"/>
  <c r="C49" i="45"/>
  <c r="C50" i="45" s="1"/>
  <c r="Q109" i="16"/>
  <c r="O15" i="102"/>
  <c r="L43" i="207"/>
  <c r="O197" i="215"/>
  <c r="G113" i="13"/>
  <c r="F197" i="16" s="1"/>
  <c r="D114" i="13"/>
  <c r="R85" i="13"/>
  <c r="T130" i="16"/>
  <c r="X130" i="16" s="1"/>
  <c r="O157" i="16"/>
  <c r="J172" i="16"/>
  <c r="J171" i="16"/>
  <c r="M160" i="16"/>
  <c r="O93" i="13"/>
  <c r="T17" i="70"/>
  <c r="R66" i="157"/>
  <c r="Q42" i="207"/>
  <c r="T11" i="202"/>
  <c r="L33" i="219" s="1"/>
  <c r="N95" i="202"/>
  <c r="N134" i="16"/>
  <c r="Z43" i="175" l="1"/>
  <c r="Z58" i="175"/>
  <c r="Z35" i="175"/>
  <c r="Z41" i="175"/>
  <c r="Z45" i="175"/>
  <c r="Z42" i="175"/>
  <c r="S23" i="70"/>
  <c r="S162" i="70" s="1"/>
  <c r="S170" i="70" s="1"/>
  <c r="W11" i="28"/>
  <c r="R15" i="176"/>
  <c r="R21" i="176" s="1"/>
  <c r="R23" i="176" s="1"/>
  <c r="Z31" i="175"/>
  <c r="Y164" i="175"/>
  <c r="Z65" i="175"/>
  <c r="Z64" i="175"/>
  <c r="Z56" i="175"/>
  <c r="Z40" i="175"/>
  <c r="Z66" i="175"/>
  <c r="Z32" i="175"/>
  <c r="Z38" i="175"/>
  <c r="Z48" i="175"/>
  <c r="Z57" i="175"/>
  <c r="Z54" i="175"/>
  <c r="Z36" i="175"/>
  <c r="Z62" i="175"/>
  <c r="Z37" i="175"/>
  <c r="Z55" i="175"/>
  <c r="Z30" i="175"/>
  <c r="Z51" i="175"/>
  <c r="Z29" i="175"/>
  <c r="Z60" i="175"/>
  <c r="Z39" i="175"/>
  <c r="Z63" i="175"/>
  <c r="Z28" i="175"/>
  <c r="S31" i="176"/>
  <c r="S52" i="176" s="1"/>
  <c r="S49" i="181"/>
  <c r="S55" i="181" s="1"/>
  <c r="Z61" i="175"/>
  <c r="T163" i="13"/>
  <c r="T192" i="13"/>
  <c r="I8" i="219"/>
  <c r="S165" i="13"/>
  <c r="S194" i="13" s="1"/>
  <c r="S137" i="164"/>
  <c r="I7" i="219"/>
  <c r="I21" i="219" s="1"/>
  <c r="S164" i="13"/>
  <c r="S117" i="164"/>
  <c r="R193" i="13"/>
  <c r="C10" i="219"/>
  <c r="M181" i="164"/>
  <c r="H8" i="219"/>
  <c r="H22" i="219" s="1"/>
  <c r="R165" i="13"/>
  <c r="R194" i="13" s="1"/>
  <c r="R137" i="164"/>
  <c r="R73" i="96"/>
  <c r="M20" i="96"/>
  <c r="V73" i="96" s="1"/>
  <c r="M110" i="219"/>
  <c r="N110" i="219" s="1"/>
  <c r="N54" i="219"/>
  <c r="M118" i="219"/>
  <c r="N118" i="219" s="1"/>
  <c r="N104" i="219"/>
  <c r="AF51" i="195"/>
  <c r="W66" i="202"/>
  <c r="T49" i="195"/>
  <c r="AF49" i="195" s="1"/>
  <c r="W63" i="202"/>
  <c r="G49" i="195"/>
  <c r="U22" i="102"/>
  <c r="F22" i="78"/>
  <c r="W156" i="70"/>
  <c r="W169" i="70" s="1"/>
  <c r="U43" i="181"/>
  <c r="Q53" i="209"/>
  <c r="W105" i="70"/>
  <c r="W167" i="70" s="1"/>
  <c r="U41" i="181"/>
  <c r="Q51" i="209"/>
  <c r="W86" i="70"/>
  <c r="W165" i="70" s="1"/>
  <c r="U40" i="181"/>
  <c r="Q50" i="209"/>
  <c r="Q290" i="34"/>
  <c r="M43" i="214" s="1"/>
  <c r="P290" i="34"/>
  <c r="L43" i="214" s="1"/>
  <c r="N290" i="34"/>
  <c r="J43" i="214" s="1"/>
  <c r="W63" i="70"/>
  <c r="Z290" i="34"/>
  <c r="V43" i="214" s="1"/>
  <c r="W60" i="70"/>
  <c r="O290" i="34"/>
  <c r="K43" i="214" s="1"/>
  <c r="K290" i="34"/>
  <c r="G43" i="214" s="1"/>
  <c r="Z62" i="28"/>
  <c r="Z165" i="28" s="1"/>
  <c r="U70" i="157" s="1"/>
  <c r="Q49" i="209" s="1"/>
  <c r="W290" i="34"/>
  <c r="S43" i="214" s="1"/>
  <c r="W62" i="70"/>
  <c r="M290" i="34"/>
  <c r="I43" i="214" s="1"/>
  <c r="V18" i="34"/>
  <c r="R16" i="104" s="1"/>
  <c r="V290" i="34"/>
  <c r="R43" i="214" s="1"/>
  <c r="L18" i="34"/>
  <c r="H16" i="104" s="1"/>
  <c r="L290" i="34"/>
  <c r="H43" i="214" s="1"/>
  <c r="J18" i="34"/>
  <c r="AE108" i="34"/>
  <c r="J290" i="34"/>
  <c r="Y290" i="34"/>
  <c r="U43" i="214" s="1"/>
  <c r="S290" i="34"/>
  <c r="O43" i="214" s="1"/>
  <c r="U18" i="34"/>
  <c r="Q16" i="104" s="1"/>
  <c r="U290" i="34"/>
  <c r="Q43" i="214" s="1"/>
  <c r="R290" i="34"/>
  <c r="N43" i="214" s="1"/>
  <c r="T290" i="34"/>
  <c r="P43" i="214" s="1"/>
  <c r="X290" i="34"/>
  <c r="T43" i="214" s="1"/>
  <c r="AA290" i="34"/>
  <c r="W43" i="214" s="1"/>
  <c r="F51" i="96"/>
  <c r="E48" i="115" s="1"/>
  <c r="G48" i="115" s="1"/>
  <c r="I48" i="115" s="1"/>
  <c r="G234" i="34"/>
  <c r="N234" i="34" s="1"/>
  <c r="M211" i="215" s="1"/>
  <c r="G209" i="215"/>
  <c r="X232" i="34"/>
  <c r="W209" i="215" s="1"/>
  <c r="V230" i="34"/>
  <c r="U207" i="215" s="1"/>
  <c r="O232" i="34"/>
  <c r="N209" i="215" s="1"/>
  <c r="Q232" i="34"/>
  <c r="P209" i="215" s="1"/>
  <c r="Y232" i="34"/>
  <c r="X209" i="215" s="1"/>
  <c r="P232" i="34"/>
  <c r="O209" i="215" s="1"/>
  <c r="N230" i="34"/>
  <c r="M207" i="215" s="1"/>
  <c r="K232" i="34"/>
  <c r="J209" i="215" s="1"/>
  <c r="L232" i="34"/>
  <c r="K209" i="215" s="1"/>
  <c r="V232" i="34"/>
  <c r="U209" i="215" s="1"/>
  <c r="W232" i="34"/>
  <c r="V209" i="215" s="1"/>
  <c r="T19" i="30"/>
  <c r="T27" i="157" s="1"/>
  <c r="P25" i="209" s="1"/>
  <c r="P230" i="34"/>
  <c r="O207" i="215" s="1"/>
  <c r="J230" i="34"/>
  <c r="I207" i="215" s="1"/>
  <c r="O233" i="34"/>
  <c r="N210" i="215" s="1"/>
  <c r="Z232" i="34"/>
  <c r="Y209" i="215" s="1"/>
  <c r="M232" i="34"/>
  <c r="L209" i="215" s="1"/>
  <c r="AA232" i="34"/>
  <c r="Z209" i="215" s="1"/>
  <c r="J232" i="34"/>
  <c r="I209" i="215" s="1"/>
  <c r="O27" i="209"/>
  <c r="T17" i="30"/>
  <c r="F49" i="96"/>
  <c r="N233" i="34"/>
  <c r="M210" i="215" s="1"/>
  <c r="O26" i="209"/>
  <c r="F48" i="96"/>
  <c r="G231" i="34"/>
  <c r="V231" i="34" s="1"/>
  <c r="U208" i="215" s="1"/>
  <c r="K230" i="34"/>
  <c r="J207" i="215" s="1"/>
  <c r="AA230" i="34"/>
  <c r="Z207" i="215" s="1"/>
  <c r="Y230" i="34"/>
  <c r="X207" i="215" s="1"/>
  <c r="P233" i="34"/>
  <c r="O210" i="215" s="1"/>
  <c r="O230" i="34"/>
  <c r="N207" i="215" s="1"/>
  <c r="Z230" i="34"/>
  <c r="Y207" i="215" s="1"/>
  <c r="F47" i="96"/>
  <c r="O25" i="209"/>
  <c r="R19" i="181"/>
  <c r="R120" i="181" s="1"/>
  <c r="N18" i="209"/>
  <c r="E47" i="115"/>
  <c r="G47" i="115" s="1"/>
  <c r="I47" i="115" s="1"/>
  <c r="X230" i="34"/>
  <c r="W207" i="215" s="1"/>
  <c r="R230" i="34"/>
  <c r="Q207" i="215" s="1"/>
  <c r="S230" i="34"/>
  <c r="R207" i="215" s="1"/>
  <c r="L230" i="34"/>
  <c r="K207" i="215" s="1"/>
  <c r="Q230" i="34"/>
  <c r="P207" i="215" s="1"/>
  <c r="T230" i="34"/>
  <c r="S207" i="215" s="1"/>
  <c r="M230" i="34"/>
  <c r="L207" i="215" s="1"/>
  <c r="U230" i="34"/>
  <c r="T207" i="215" s="1"/>
  <c r="W230" i="34"/>
  <c r="V207" i="215" s="1"/>
  <c r="J292" i="202"/>
  <c r="J293" i="202" s="1"/>
  <c r="T88" i="16"/>
  <c r="T89" i="16" s="1"/>
  <c r="X89" i="16" s="1"/>
  <c r="N102" i="13"/>
  <c r="H45" i="195"/>
  <c r="G229" i="34"/>
  <c r="S33" i="157"/>
  <c r="O31" i="209" s="1"/>
  <c r="O24" i="209"/>
  <c r="F46" i="96"/>
  <c r="S21" i="181"/>
  <c r="S87" i="181" s="1"/>
  <c r="L170" i="16"/>
  <c r="L172" i="16" s="1"/>
  <c r="M167" i="13"/>
  <c r="M196" i="13" s="1"/>
  <c r="H30" i="207" s="1"/>
  <c r="M153" i="16"/>
  <c r="M36" i="181"/>
  <c r="M115" i="181" s="1"/>
  <c r="I45" i="209"/>
  <c r="K36" i="181"/>
  <c r="K115" i="181" s="1"/>
  <c r="G45" i="209"/>
  <c r="N67" i="157"/>
  <c r="N68" i="157" s="1"/>
  <c r="S171" i="28"/>
  <c r="P172" i="70" s="1"/>
  <c r="L36" i="181"/>
  <c r="L115" i="181" s="1"/>
  <c r="H45" i="209"/>
  <c r="O67" i="157"/>
  <c r="T171" i="28"/>
  <c r="Q172" i="70" s="1"/>
  <c r="P67" i="157"/>
  <c r="P68" i="157" s="1"/>
  <c r="U171" i="28"/>
  <c r="R172" i="70" s="1"/>
  <c r="O171" i="28"/>
  <c r="L172" i="70" s="1"/>
  <c r="J67" i="157"/>
  <c r="L153" i="16"/>
  <c r="P42" i="207"/>
  <c r="M67" i="157"/>
  <c r="M68" i="157" s="1"/>
  <c r="R171" i="28"/>
  <c r="O172" i="70" s="1"/>
  <c r="L67" i="157"/>
  <c r="L68" i="157" s="1"/>
  <c r="Q171" i="28"/>
  <c r="N172" i="70" s="1"/>
  <c r="M45" i="209"/>
  <c r="Q36" i="181"/>
  <c r="Q115" i="181" s="1"/>
  <c r="P171" i="28"/>
  <c r="M172" i="70" s="1"/>
  <c r="K67" i="157"/>
  <c r="K68" i="157" s="1"/>
  <c r="P36" i="181"/>
  <c r="P115" i="181" s="1"/>
  <c r="L45" i="209"/>
  <c r="N36" i="181"/>
  <c r="N115" i="181" s="1"/>
  <c r="J45" i="209"/>
  <c r="V171" i="28"/>
  <c r="Q67" i="157"/>
  <c r="Q68" i="157" s="1"/>
  <c r="J36" i="181"/>
  <c r="J115" i="181" s="1"/>
  <c r="F45" i="209"/>
  <c r="O36" i="181"/>
  <c r="O115" i="181" s="1"/>
  <c r="K45" i="209"/>
  <c r="I22" i="219"/>
  <c r="Y57" i="13"/>
  <c r="U17" i="70"/>
  <c r="H10" i="213"/>
  <c r="T94" i="16"/>
  <c r="X96" i="16"/>
  <c r="S15" i="157"/>
  <c r="X240" i="16"/>
  <c r="W12" i="202"/>
  <c r="S192" i="202"/>
  <c r="J176" i="16"/>
  <c r="J177" i="16" s="1"/>
  <c r="J178" i="16" s="1"/>
  <c r="J258" i="16" s="1"/>
  <c r="K33" i="219"/>
  <c r="W11" i="202"/>
  <c r="E114" i="93"/>
  <c r="X25" i="72"/>
  <c r="G101" i="219"/>
  <c r="G73" i="219"/>
  <c r="G103" i="219"/>
  <c r="G117" i="219" s="1"/>
  <c r="G75" i="219"/>
  <c r="F117" i="219"/>
  <c r="Q31" i="202"/>
  <c r="I45" i="219" s="1"/>
  <c r="U51" i="195"/>
  <c r="U24" i="102"/>
  <c r="G51" i="195"/>
  <c r="F24" i="78"/>
  <c r="C66" i="103"/>
  <c r="E43" i="44"/>
  <c r="E39" i="45"/>
  <c r="J39" i="45" s="1"/>
  <c r="I21" i="105" s="1"/>
  <c r="E30" i="72"/>
  <c r="Q73" i="202"/>
  <c r="P136" i="202"/>
  <c r="P71" i="202" s="1"/>
  <c r="P29" i="202"/>
  <c r="L260" i="202"/>
  <c r="L261" i="202" s="1"/>
  <c r="L77" i="202" s="1"/>
  <c r="T145" i="202"/>
  <c r="P132" i="16"/>
  <c r="P133" i="16" s="1"/>
  <c r="P134" i="16" s="1"/>
  <c r="M221" i="202"/>
  <c r="M235" i="202" s="1"/>
  <c r="AK95" i="172"/>
  <c r="C66" i="36"/>
  <c r="C67" i="36" s="1"/>
  <c r="C68" i="36" s="1"/>
  <c r="P298" i="34"/>
  <c r="L51" i="214" s="1"/>
  <c r="N298" i="34"/>
  <c r="J51" i="214" s="1"/>
  <c r="R140" i="16"/>
  <c r="N28" i="207"/>
  <c r="V49" i="195"/>
  <c r="W49" i="195"/>
  <c r="V51" i="195"/>
  <c r="O255" i="16"/>
  <c r="Q13" i="202"/>
  <c r="K37" i="202"/>
  <c r="K311" i="202"/>
  <c r="K79" i="202" s="1"/>
  <c r="K100" i="202" s="1"/>
  <c r="R160" i="202"/>
  <c r="P157" i="16"/>
  <c r="M187" i="16"/>
  <c r="O107" i="13"/>
  <c r="S119" i="16"/>
  <c r="S120" i="16" s="1"/>
  <c r="S253" i="16" s="1"/>
  <c r="G44" i="207"/>
  <c r="J15" i="202"/>
  <c r="S143" i="16"/>
  <c r="Y83" i="13"/>
  <c r="F30" i="162" s="1"/>
  <c r="N174" i="16"/>
  <c r="O102" i="13"/>
  <c r="K153" i="16"/>
  <c r="J14" i="101"/>
  <c r="I8" i="182"/>
  <c r="AE15" i="101"/>
  <c r="H22" i="45"/>
  <c r="G16" i="105" s="1"/>
  <c r="S100" i="16"/>
  <c r="P9" i="207"/>
  <c r="Q211" i="202"/>
  <c r="Q75" i="202" s="1"/>
  <c r="Q96" i="202" s="1"/>
  <c r="Q33" i="202"/>
  <c r="Q54" i="202" s="1"/>
  <c r="F29" i="207"/>
  <c r="S124" i="202"/>
  <c r="S125" i="202" s="1"/>
  <c r="S126" i="202" s="1"/>
  <c r="S24" i="44"/>
  <c r="AH92" i="172"/>
  <c r="G30" i="207"/>
  <c r="AF15" i="101"/>
  <c r="L13" i="207"/>
  <c r="N175" i="16"/>
  <c r="O183" i="16"/>
  <c r="K14" i="207"/>
  <c r="Q105" i="13"/>
  <c r="Q150" i="13" s="1"/>
  <c r="N292" i="202"/>
  <c r="N293" i="202" s="1"/>
  <c r="R122" i="202"/>
  <c r="V76" i="16"/>
  <c r="V240" i="16" s="1"/>
  <c r="U15" i="157" s="1"/>
  <c r="V251" i="16"/>
  <c r="P39" i="195"/>
  <c r="P41" i="195" s="1"/>
  <c r="Q52" i="202"/>
  <c r="N14" i="101"/>
  <c r="S20" i="44"/>
  <c r="F15" i="101"/>
  <c r="S139" i="16"/>
  <c r="U81" i="13"/>
  <c r="Y81" i="13" s="1"/>
  <c r="E30" i="162" s="1"/>
  <c r="F28" i="72" s="1"/>
  <c r="Q45" i="209"/>
  <c r="U36" i="181"/>
  <c r="L45" i="207"/>
  <c r="O16" i="202"/>
  <c r="G36" i="219" s="1"/>
  <c r="U193" i="202"/>
  <c r="F259" i="16"/>
  <c r="T167" i="202"/>
  <c r="U130" i="16"/>
  <c r="M28" i="207"/>
  <c r="Q140" i="16"/>
  <c r="H113" i="13"/>
  <c r="T125" i="202"/>
  <c r="T126" i="202" s="1"/>
  <c r="T127" i="202" s="1"/>
  <c r="K152" i="13"/>
  <c r="F16" i="207" s="1"/>
  <c r="G119" i="13"/>
  <c r="G152" i="13" s="1"/>
  <c r="O218" i="202"/>
  <c r="R126" i="16"/>
  <c r="I44" i="207"/>
  <c r="L15" i="202"/>
  <c r="D35" i="219" s="1"/>
  <c r="M161" i="16"/>
  <c r="O94" i="13"/>
  <c r="O95" i="13" s="1"/>
  <c r="K168" i="13"/>
  <c r="K197" i="13" s="1"/>
  <c r="F31" i="207" s="1"/>
  <c r="J184" i="16"/>
  <c r="AC118" i="185"/>
  <c r="AB119" i="185"/>
  <c r="AB80" i="185" s="1"/>
  <c r="N11" i="207"/>
  <c r="T107" i="16"/>
  <c r="X107" i="16" s="1"/>
  <c r="V63" i="13"/>
  <c r="S150" i="202"/>
  <c r="S151" i="202" s="1"/>
  <c r="S152" i="202" s="1"/>
  <c r="S160" i="202" s="1"/>
  <c r="M42" i="195"/>
  <c r="U142" i="202"/>
  <c r="U143" i="202" s="1"/>
  <c r="U10" i="202"/>
  <c r="M31" i="219" s="1"/>
  <c r="T117" i="16"/>
  <c r="V70" i="13"/>
  <c r="U71" i="13"/>
  <c r="U64" i="13"/>
  <c r="Y64" i="13" s="1"/>
  <c r="T106" i="16"/>
  <c r="X106" i="16" s="1"/>
  <c r="V62" i="13"/>
  <c r="O158" i="16"/>
  <c r="N26" i="207"/>
  <c r="V83" i="16"/>
  <c r="V87" i="16" s="1"/>
  <c r="J14" i="207"/>
  <c r="Q172" i="202"/>
  <c r="Q173" i="202" s="1"/>
  <c r="T196" i="202"/>
  <c r="T197" i="202" s="1"/>
  <c r="T198" i="202" s="1"/>
  <c r="N222" i="202"/>
  <c r="N235" i="202" s="1"/>
  <c r="L292" i="202"/>
  <c r="L293" i="202" s="1"/>
  <c r="O196" i="16"/>
  <c r="K15" i="207"/>
  <c r="Q112" i="13"/>
  <c r="Q151" i="13" s="1"/>
  <c r="L195" i="13"/>
  <c r="D120" i="13"/>
  <c r="C49" i="14"/>
  <c r="U114" i="16"/>
  <c r="W67" i="13"/>
  <c r="V145" i="13"/>
  <c r="K172" i="16"/>
  <c r="K171" i="16"/>
  <c r="I15" i="101"/>
  <c r="AA14" i="185"/>
  <c r="AA16" i="185" s="1"/>
  <c r="AB13" i="185" s="1"/>
  <c r="AA83" i="185"/>
  <c r="AA84" i="185" s="1"/>
  <c r="L27" i="207"/>
  <c r="V57" i="13"/>
  <c r="U96" i="16"/>
  <c r="U94" i="16" s="1"/>
  <c r="U98" i="16" s="1"/>
  <c r="W55" i="13"/>
  <c r="W54" i="13" s="1"/>
  <c r="X18" i="184"/>
  <c r="Y6" i="184"/>
  <c r="Y10" i="184" s="1"/>
  <c r="R197" i="202"/>
  <c r="G259" i="16"/>
  <c r="P32" i="202"/>
  <c r="P186" i="202"/>
  <c r="P74" i="202" s="1"/>
  <c r="P95" i="202" s="1"/>
  <c r="N160" i="16"/>
  <c r="P93" i="13"/>
  <c r="V97" i="16"/>
  <c r="W17" i="44"/>
  <c r="Q17" i="44"/>
  <c r="K13" i="101"/>
  <c r="AF17" i="44"/>
  <c r="R144" i="16"/>
  <c r="T85" i="13"/>
  <c r="N255" i="16"/>
  <c r="R36" i="181"/>
  <c r="N45" i="209"/>
  <c r="D115" i="13"/>
  <c r="Q110" i="16"/>
  <c r="Q254" i="16" s="1"/>
  <c r="S36" i="181"/>
  <c r="O45" i="209"/>
  <c r="G14" i="105"/>
  <c r="U121" i="202"/>
  <c r="W14" i="101"/>
  <c r="P217" i="202"/>
  <c r="P218" i="202" s="1"/>
  <c r="P219" i="202" s="1"/>
  <c r="S131" i="16"/>
  <c r="Y77" i="13"/>
  <c r="F26" i="162" s="1"/>
  <c r="F27" i="162" s="1"/>
  <c r="F33" i="44" s="1"/>
  <c r="T78" i="13"/>
  <c r="O27" i="34"/>
  <c r="K25" i="104" s="1"/>
  <c r="O298" i="34"/>
  <c r="K51" i="214" s="1"/>
  <c r="S167" i="202"/>
  <c r="S168" i="202" s="1"/>
  <c r="W23" i="44"/>
  <c r="Q23" i="44"/>
  <c r="L25" i="44"/>
  <c r="F201" i="16"/>
  <c r="K188" i="16"/>
  <c r="N245" i="202"/>
  <c r="N246" i="202" s="1"/>
  <c r="C20" i="72"/>
  <c r="J155" i="16"/>
  <c r="J154" i="16"/>
  <c r="Q128" i="16"/>
  <c r="Q127" i="16"/>
  <c r="M293" i="202"/>
  <c r="T36" i="181"/>
  <c r="P45" i="209"/>
  <c r="P159" i="16"/>
  <c r="Q208" i="172"/>
  <c r="Q209" i="172"/>
  <c r="S108" i="16"/>
  <c r="R168" i="202"/>
  <c r="C51" i="45"/>
  <c r="R110" i="16"/>
  <c r="R254" i="16" s="1"/>
  <c r="Q14" i="202" s="1"/>
  <c r="K268" i="202"/>
  <c r="K269" i="202" s="1"/>
  <c r="Q169" i="16"/>
  <c r="S98" i="13"/>
  <c r="S149" i="13" s="1"/>
  <c r="N12" i="207"/>
  <c r="R152" i="16"/>
  <c r="T88" i="13"/>
  <c r="T148" i="13" s="1"/>
  <c r="O244" i="202"/>
  <c r="S172" i="70" l="1"/>
  <c r="W64" i="70"/>
  <c r="W164" i="70" s="1"/>
  <c r="S13" i="176"/>
  <c r="S54" i="176"/>
  <c r="R56" i="176"/>
  <c r="R58" i="176" s="1"/>
  <c r="R33" i="176"/>
  <c r="R42" i="176" s="1"/>
  <c r="Z67" i="175"/>
  <c r="Z164" i="175" s="1"/>
  <c r="T11" i="70"/>
  <c r="T23" i="70" s="1"/>
  <c r="T162" i="70" s="1"/>
  <c r="T170" i="70" s="1"/>
  <c r="R64" i="157"/>
  <c r="N43" i="209" s="1"/>
  <c r="W23" i="28"/>
  <c r="W163" i="28" s="1"/>
  <c r="Y168" i="175"/>
  <c r="T27" i="176"/>
  <c r="O166" i="13"/>
  <c r="O155" i="164"/>
  <c r="J8" i="219"/>
  <c r="J22" i="219" s="1"/>
  <c r="T165" i="13"/>
  <c r="T194" i="13" s="1"/>
  <c r="T137" i="164"/>
  <c r="G197" i="16"/>
  <c r="G201" i="16" s="1"/>
  <c r="E10" i="219"/>
  <c r="O167" i="13"/>
  <c r="O196" i="13" s="1"/>
  <c r="O181" i="164"/>
  <c r="D10" i="219"/>
  <c r="D24" i="219" s="1"/>
  <c r="N167" i="13"/>
  <c r="N181" i="164"/>
  <c r="N31" i="219"/>
  <c r="J7" i="219"/>
  <c r="J21" i="219" s="1"/>
  <c r="T164" i="13"/>
  <c r="T117" i="164"/>
  <c r="S193" i="13"/>
  <c r="J16" i="218"/>
  <c r="W16" i="218" s="1"/>
  <c r="F23" i="100"/>
  <c r="G18" i="208"/>
  <c r="G96" i="208" s="1"/>
  <c r="I51" i="96"/>
  <c r="M51" i="96" s="1"/>
  <c r="U39" i="181"/>
  <c r="F43" i="214"/>
  <c r="E43" i="214" s="1"/>
  <c r="AE290" i="34"/>
  <c r="F290" i="34"/>
  <c r="G18" i="34"/>
  <c r="E16" i="104" s="1"/>
  <c r="F16" i="104"/>
  <c r="G48" i="34"/>
  <c r="G49" i="34"/>
  <c r="G211" i="215"/>
  <c r="P234" i="34"/>
  <c r="O211" i="215" s="1"/>
  <c r="O234" i="34"/>
  <c r="N211" i="215" s="1"/>
  <c r="T31" i="157"/>
  <c r="P29" i="209" s="1"/>
  <c r="T29" i="157"/>
  <c r="P27" i="209" s="1"/>
  <c r="T30" i="157"/>
  <c r="P28" i="209" s="1"/>
  <c r="T26" i="157"/>
  <c r="T20" i="157" s="1"/>
  <c r="T28" i="157"/>
  <c r="P26" i="209" s="1"/>
  <c r="N231" i="34"/>
  <c r="M208" i="215" s="1"/>
  <c r="S231" i="34"/>
  <c r="R208" i="215" s="1"/>
  <c r="I49" i="96"/>
  <c r="M49" i="96" s="1"/>
  <c r="E46" i="115"/>
  <c r="G46" i="115" s="1"/>
  <c r="I46" i="115" s="1"/>
  <c r="K231" i="34"/>
  <c r="J208" i="215" s="1"/>
  <c r="Y231" i="34"/>
  <c r="X208" i="215" s="1"/>
  <c r="AA231" i="34"/>
  <c r="Z208" i="215" s="1"/>
  <c r="G208" i="215"/>
  <c r="O231" i="34"/>
  <c r="N208" i="215" s="1"/>
  <c r="Q231" i="34"/>
  <c r="P208" i="215" s="1"/>
  <c r="T231" i="34"/>
  <c r="S208" i="215" s="1"/>
  <c r="L231" i="34"/>
  <c r="K208" i="215" s="1"/>
  <c r="P231" i="34"/>
  <c r="O208" i="215" s="1"/>
  <c r="X231" i="34"/>
  <c r="W208" i="215" s="1"/>
  <c r="J231" i="34"/>
  <c r="I208" i="215" s="1"/>
  <c r="U231" i="34"/>
  <c r="T208" i="215" s="1"/>
  <c r="M231" i="34"/>
  <c r="L208" i="215" s="1"/>
  <c r="W231" i="34"/>
  <c r="V208" i="215" s="1"/>
  <c r="I48" i="96"/>
  <c r="M48" i="96" s="1"/>
  <c r="E45" i="115"/>
  <c r="G45" i="115" s="1"/>
  <c r="I45" i="115" s="1"/>
  <c r="Z231" i="34"/>
  <c r="Y208" i="215" s="1"/>
  <c r="R231" i="34"/>
  <c r="Q208" i="215" s="1"/>
  <c r="I47" i="96"/>
  <c r="M47" i="96" s="1"/>
  <c r="E44" i="115"/>
  <c r="G44" i="115" s="1"/>
  <c r="I44" i="115" s="1"/>
  <c r="AE230" i="34"/>
  <c r="J310" i="202"/>
  <c r="J37" i="202" s="1"/>
  <c r="X88" i="16"/>
  <c r="E24" i="219"/>
  <c r="M170" i="16"/>
  <c r="M171" i="16" s="1"/>
  <c r="F53" i="96"/>
  <c r="S19" i="181"/>
  <c r="S120" i="181" s="1"/>
  <c r="O18" i="209"/>
  <c r="L171" i="16"/>
  <c r="L176" i="16" s="1"/>
  <c r="L35" i="202"/>
  <c r="L56" i="202" s="1"/>
  <c r="I46" i="96"/>
  <c r="E43" i="115"/>
  <c r="N229" i="34"/>
  <c r="M206" i="215" s="1"/>
  <c r="J229" i="34"/>
  <c r="X229" i="34"/>
  <c r="W206" i="215" s="1"/>
  <c r="K229" i="34"/>
  <c r="J206" i="215" s="1"/>
  <c r="AA229" i="34"/>
  <c r="Z206" i="215" s="1"/>
  <c r="L229" i="34"/>
  <c r="K206" i="215" s="1"/>
  <c r="Q229" i="34"/>
  <c r="P206" i="215" s="1"/>
  <c r="S229" i="34"/>
  <c r="R206" i="215" s="1"/>
  <c r="W229" i="34"/>
  <c r="V206" i="215" s="1"/>
  <c r="G206" i="215"/>
  <c r="M229" i="34"/>
  <c r="L206" i="215" s="1"/>
  <c r="R229" i="34"/>
  <c r="Q206" i="215" s="1"/>
  <c r="Z229" i="34"/>
  <c r="Y206" i="215" s="1"/>
  <c r="Y229" i="34"/>
  <c r="X206" i="215" s="1"/>
  <c r="O229" i="34"/>
  <c r="N206" i="215" s="1"/>
  <c r="P229" i="34"/>
  <c r="O206" i="215" s="1"/>
  <c r="V229" i="34"/>
  <c r="U206" i="215" s="1"/>
  <c r="U229" i="34"/>
  <c r="T206" i="215" s="1"/>
  <c r="T229" i="34"/>
  <c r="S206" i="215" s="1"/>
  <c r="J46" i="209"/>
  <c r="N37" i="181"/>
  <c r="N85" i="181" s="1"/>
  <c r="J68" i="157"/>
  <c r="J37" i="181"/>
  <c r="J85" i="181" s="1"/>
  <c r="F46" i="209"/>
  <c r="K75" i="157"/>
  <c r="G54" i="209" s="1"/>
  <c r="G47" i="209"/>
  <c r="P75" i="157"/>
  <c r="L54" i="209" s="1"/>
  <c r="L47" i="209"/>
  <c r="O68" i="157"/>
  <c r="K46" i="209"/>
  <c r="O37" i="181"/>
  <c r="O85" i="181" s="1"/>
  <c r="J47" i="209"/>
  <c r="N75" i="157"/>
  <c r="J54" i="209" s="1"/>
  <c r="M47" i="209"/>
  <c r="Q75" i="157"/>
  <c r="M54" i="209" s="1"/>
  <c r="H46" i="209"/>
  <c r="L37" i="181"/>
  <c r="L85" i="181" s="1"/>
  <c r="P37" i="181"/>
  <c r="P85" i="181" s="1"/>
  <c r="L46" i="209"/>
  <c r="L75" i="157"/>
  <c r="H54" i="209" s="1"/>
  <c r="H47" i="209"/>
  <c r="M75" i="157"/>
  <c r="I54" i="209" s="1"/>
  <c r="I47" i="209"/>
  <c r="M46" i="209"/>
  <c r="Q37" i="181"/>
  <c r="Q85" i="181" s="1"/>
  <c r="K37" i="181"/>
  <c r="K85" i="181" s="1"/>
  <c r="G46" i="209"/>
  <c r="M37" i="181"/>
  <c r="M85" i="181" s="1"/>
  <c r="I46" i="209"/>
  <c r="E17" i="101"/>
  <c r="F44" i="195"/>
  <c r="E17" i="78"/>
  <c r="E30" i="93"/>
  <c r="E17" i="107" s="1"/>
  <c r="H33" i="44"/>
  <c r="U163" i="13"/>
  <c r="Y163" i="13" s="1"/>
  <c r="Y71" i="13"/>
  <c r="F20" i="162" s="1"/>
  <c r="F28" i="44" s="1"/>
  <c r="T28" i="72"/>
  <c r="S18" i="102" s="1"/>
  <c r="H28" i="72"/>
  <c r="G18" i="102" s="1"/>
  <c r="Q28" i="72"/>
  <c r="P18" i="102" s="1"/>
  <c r="N28" i="72"/>
  <c r="M18" i="102" s="1"/>
  <c r="E118" i="93"/>
  <c r="E52" i="107" s="1"/>
  <c r="K28" i="72"/>
  <c r="J18" i="102" s="1"/>
  <c r="E18" i="102"/>
  <c r="X28" i="72"/>
  <c r="W18" i="102" s="1"/>
  <c r="T98" i="16"/>
  <c r="X94" i="16"/>
  <c r="F22" i="162"/>
  <c r="F29" i="44" s="1"/>
  <c r="T118" i="16"/>
  <c r="X118" i="16" s="1"/>
  <c r="X117" i="16"/>
  <c r="L152" i="13"/>
  <c r="S193" i="202"/>
  <c r="F61" i="96"/>
  <c r="O13" i="209"/>
  <c r="S15" i="181"/>
  <c r="G61" i="34"/>
  <c r="G60" i="34"/>
  <c r="K58" i="202"/>
  <c r="J45" i="195" s="1"/>
  <c r="C50" i="219"/>
  <c r="I101" i="219"/>
  <c r="I73" i="219"/>
  <c r="P53" i="202"/>
  <c r="O42" i="195" s="1"/>
  <c r="H47" i="219"/>
  <c r="G115" i="219"/>
  <c r="F25" i="100"/>
  <c r="G20" i="208"/>
  <c r="C67" i="103"/>
  <c r="C68" i="103"/>
  <c r="E44" i="44"/>
  <c r="E40" i="45"/>
  <c r="R141" i="16"/>
  <c r="R145" i="16" s="1"/>
  <c r="R146" i="16" s="1"/>
  <c r="R147" i="16" s="1"/>
  <c r="R256" i="16" s="1"/>
  <c r="T108" i="16"/>
  <c r="X108" i="16" s="1"/>
  <c r="S169" i="202"/>
  <c r="S170" i="202" s="1"/>
  <c r="Q132" i="16"/>
  <c r="Q133" i="16" s="1"/>
  <c r="P50" i="202"/>
  <c r="P31" i="202"/>
  <c r="H45" i="219" s="1"/>
  <c r="P73" i="202"/>
  <c r="P92" i="202"/>
  <c r="P94" i="202" s="1"/>
  <c r="M34" i="202"/>
  <c r="M236" i="202"/>
  <c r="M76" i="202" s="1"/>
  <c r="M97" i="202" s="1"/>
  <c r="O245" i="202"/>
  <c r="O246" i="202" s="1"/>
  <c r="O247" i="202" s="1"/>
  <c r="S127" i="202"/>
  <c r="S135" i="202" s="1"/>
  <c r="S29" i="202" s="1"/>
  <c r="Q174" i="202"/>
  <c r="Q175" i="202" s="1"/>
  <c r="Q185" i="202" s="1"/>
  <c r="J162" i="16"/>
  <c r="J163" i="16" s="1"/>
  <c r="J164" i="16" s="1"/>
  <c r="K285" i="202"/>
  <c r="K286" i="202" s="1"/>
  <c r="K78" i="202" s="1"/>
  <c r="T146" i="202"/>
  <c r="T147" i="202" s="1"/>
  <c r="AL95" i="172"/>
  <c r="X49" i="195"/>
  <c r="R13" i="202"/>
  <c r="S161" i="202"/>
  <c r="S72" i="202" s="1"/>
  <c r="S30" i="202"/>
  <c r="S140" i="16"/>
  <c r="O28" i="207"/>
  <c r="N34" i="202"/>
  <c r="N236" i="202"/>
  <c r="N76" i="202" s="1"/>
  <c r="M13" i="207"/>
  <c r="M199" i="16"/>
  <c r="J44" i="207"/>
  <c r="M15" i="202"/>
  <c r="E35" i="219" s="1"/>
  <c r="V114" i="16"/>
  <c r="W145" i="13"/>
  <c r="R169" i="16"/>
  <c r="N13" i="207"/>
  <c r="T98" i="13"/>
  <c r="T149" i="13" s="1"/>
  <c r="C23" i="72"/>
  <c r="L188" i="16"/>
  <c r="M109" i="13"/>
  <c r="C11" i="219" s="1"/>
  <c r="W25" i="44"/>
  <c r="S126" i="16"/>
  <c r="P220" i="202"/>
  <c r="L199" i="16"/>
  <c r="R115" i="181"/>
  <c r="V96" i="16"/>
  <c r="V94" i="16" s="1"/>
  <c r="V98" i="16" s="1"/>
  <c r="W57" i="13"/>
  <c r="Q9" i="207"/>
  <c r="L15" i="207"/>
  <c r="P196" i="16"/>
  <c r="R112" i="13"/>
  <c r="R151" i="13" s="1"/>
  <c r="U106" i="16"/>
  <c r="V64" i="13"/>
  <c r="W62" i="13"/>
  <c r="U117" i="16"/>
  <c r="U118" i="16" s="1"/>
  <c r="W70" i="13"/>
  <c r="V71" i="13"/>
  <c r="U144" i="202"/>
  <c r="U145" i="202" s="1"/>
  <c r="U107" i="16"/>
  <c r="W63" i="13"/>
  <c r="AB14" i="185"/>
  <c r="AB16" i="185" s="1"/>
  <c r="AC13" i="185" s="1"/>
  <c r="AB83" i="185"/>
  <c r="AB84" i="185" s="1"/>
  <c r="U115" i="181"/>
  <c r="U147" i="13"/>
  <c r="Y147" i="13" s="1"/>
  <c r="T139" i="16"/>
  <c r="X139" i="16" s="1"/>
  <c r="V81" i="13"/>
  <c r="R42" i="207"/>
  <c r="U11" i="202"/>
  <c r="M33" i="219" s="1"/>
  <c r="N33" i="219" s="1"/>
  <c r="N294" i="202"/>
  <c r="N295" i="202" s="1"/>
  <c r="N296" i="202" s="1"/>
  <c r="AI92" i="172"/>
  <c r="M14" i="101"/>
  <c r="U122" i="202"/>
  <c r="U123" i="202" s="1"/>
  <c r="J267" i="202"/>
  <c r="H44" i="195"/>
  <c r="Q242" i="202"/>
  <c r="Q243" i="202" s="1"/>
  <c r="Q244" i="202" s="1"/>
  <c r="S109" i="16"/>
  <c r="T115" i="181"/>
  <c r="T131" i="16"/>
  <c r="X131" i="16" s="1"/>
  <c r="U78" i="13"/>
  <c r="U117" i="164" s="1"/>
  <c r="P14" i="202"/>
  <c r="M43" i="207"/>
  <c r="AD118" i="185"/>
  <c r="AC119" i="185"/>
  <c r="AC80" i="185" s="1"/>
  <c r="V130" i="16"/>
  <c r="K154" i="16"/>
  <c r="K155" i="16"/>
  <c r="T143" i="16"/>
  <c r="X143" i="16" s="1"/>
  <c r="Q217" i="202"/>
  <c r="K44" i="207"/>
  <c r="N15" i="202"/>
  <c r="F35" i="219" s="1"/>
  <c r="Q211" i="172"/>
  <c r="R203" i="172"/>
  <c r="R207" i="172" s="1"/>
  <c r="AF13" i="101"/>
  <c r="AH17" i="44"/>
  <c r="K176" i="16"/>
  <c r="D123" i="13"/>
  <c r="C50" i="14"/>
  <c r="G29" i="207"/>
  <c r="V88" i="16"/>
  <c r="V89" i="16" s="1"/>
  <c r="P158" i="16"/>
  <c r="N247" i="202"/>
  <c r="N260" i="202" s="1"/>
  <c r="J185" i="16"/>
  <c r="J189" i="16" s="1"/>
  <c r="U49" i="195"/>
  <c r="L267" i="202"/>
  <c r="U194" i="202"/>
  <c r="J30" i="207"/>
  <c r="N170" i="16"/>
  <c r="N187" i="16"/>
  <c r="P107" i="13"/>
  <c r="R169" i="202"/>
  <c r="R170" i="202" s="1"/>
  <c r="F47" i="207"/>
  <c r="I18" i="202"/>
  <c r="N43" i="207"/>
  <c r="P255" i="16"/>
  <c r="O12" i="207"/>
  <c r="S152" i="16"/>
  <c r="U88" i="13"/>
  <c r="Y88" i="13" s="1"/>
  <c r="E35" i="162" s="1"/>
  <c r="F29" i="72" s="1"/>
  <c r="Q159" i="16"/>
  <c r="F202" i="16"/>
  <c r="F245" i="16" s="1"/>
  <c r="F244" i="16"/>
  <c r="S17" i="44"/>
  <c r="N13" i="101"/>
  <c r="M13" i="101" s="1"/>
  <c r="U99" i="16"/>
  <c r="O219" i="202"/>
  <c r="N153" i="16"/>
  <c r="O11" i="207"/>
  <c r="Q13" i="209"/>
  <c r="U15" i="181"/>
  <c r="U24" i="44"/>
  <c r="O174" i="16"/>
  <c r="P102" i="13"/>
  <c r="T128" i="202"/>
  <c r="T135" i="202" s="1"/>
  <c r="O26" i="207"/>
  <c r="M294" i="202"/>
  <c r="M295" i="202" s="1"/>
  <c r="K15" i="101"/>
  <c r="K25" i="44"/>
  <c r="D116" i="13"/>
  <c r="S144" i="16"/>
  <c r="R198" i="202"/>
  <c r="R199" i="202" s="1"/>
  <c r="R200" i="202" s="1"/>
  <c r="R201" i="202" s="1"/>
  <c r="R210" i="202" s="1"/>
  <c r="Z6" i="184"/>
  <c r="Z10" i="184" s="1"/>
  <c r="Y18" i="184"/>
  <c r="L168" i="13"/>
  <c r="Q25" i="44"/>
  <c r="S23" i="44"/>
  <c r="C69" i="36"/>
  <c r="S115" i="181"/>
  <c r="J13" i="101"/>
  <c r="W13" i="101"/>
  <c r="O160" i="16"/>
  <c r="Q93" i="13"/>
  <c r="G120" i="13"/>
  <c r="G170" i="13" s="1"/>
  <c r="L294" i="202"/>
  <c r="T199" i="202"/>
  <c r="M27" i="207"/>
  <c r="N161" i="16"/>
  <c r="P94" i="13"/>
  <c r="P95" i="13" s="1"/>
  <c r="R127" i="16"/>
  <c r="R128" i="16"/>
  <c r="H119" i="13"/>
  <c r="H152" i="13" s="1"/>
  <c r="M154" i="16"/>
  <c r="M155" i="16"/>
  <c r="Q141" i="16"/>
  <c r="Q145" i="16" s="1"/>
  <c r="T168" i="202"/>
  <c r="O292" i="202"/>
  <c r="O293" i="202" s="1"/>
  <c r="O294" i="202" s="1"/>
  <c r="P14" i="101"/>
  <c r="U20" i="44"/>
  <c r="R123" i="202"/>
  <c r="R124" i="202" s="1"/>
  <c r="P183" i="16"/>
  <c r="R105" i="13"/>
  <c r="R150" i="13" s="1"/>
  <c r="O175" i="16"/>
  <c r="C52" i="45"/>
  <c r="Q157" i="16"/>
  <c r="R161" i="202"/>
  <c r="R72" i="202" s="1"/>
  <c r="R93" i="202" s="1"/>
  <c r="R30" i="202"/>
  <c r="R51" i="202" s="1"/>
  <c r="Q40" i="195" s="1"/>
  <c r="L98" i="202"/>
  <c r="W171" i="28" l="1"/>
  <c r="T172" i="70" s="1"/>
  <c r="R67" i="157"/>
  <c r="T49" i="181"/>
  <c r="T55" i="181" s="1"/>
  <c r="T31" i="176"/>
  <c r="T52" i="176" s="1"/>
  <c r="U27" i="176"/>
  <c r="Z168" i="175"/>
  <c r="X11" i="28"/>
  <c r="S15" i="176"/>
  <c r="S21" i="176" s="1"/>
  <c r="S23" i="176" s="1"/>
  <c r="G202" i="16"/>
  <c r="G245" i="16" s="1"/>
  <c r="G244" i="16"/>
  <c r="P166" i="13"/>
  <c r="P155" i="164"/>
  <c r="S110" i="16"/>
  <c r="S254" i="16" s="1"/>
  <c r="F10" i="219"/>
  <c r="F24" i="219" s="1"/>
  <c r="P167" i="13"/>
  <c r="P196" i="13" s="1"/>
  <c r="P181" i="164"/>
  <c r="M123" i="13"/>
  <c r="N123" i="13" s="1"/>
  <c r="N196" i="13"/>
  <c r="T193" i="13"/>
  <c r="O195" i="13"/>
  <c r="R88" i="96"/>
  <c r="M46" i="96"/>
  <c r="V88" i="96" s="1"/>
  <c r="K96" i="208"/>
  <c r="AE18" i="34"/>
  <c r="Y48" i="34"/>
  <c r="X18" i="215" s="1"/>
  <c r="W48" i="34"/>
  <c r="V18" i="215" s="1"/>
  <c r="S48" i="34"/>
  <c r="R18" i="215" s="1"/>
  <c r="L48" i="34"/>
  <c r="K18" i="215" s="1"/>
  <c r="O48" i="34"/>
  <c r="N18" i="215" s="1"/>
  <c r="G18" i="215"/>
  <c r="Q48" i="34"/>
  <c r="P18" i="215" s="1"/>
  <c r="J48" i="34"/>
  <c r="R48" i="34"/>
  <c r="Q18" i="215" s="1"/>
  <c r="N48" i="34"/>
  <c r="M18" i="215" s="1"/>
  <c r="X48" i="34"/>
  <c r="W18" i="215" s="1"/>
  <c r="T48" i="34"/>
  <c r="S18" i="215" s="1"/>
  <c r="K48" i="34"/>
  <c r="J18" i="215" s="1"/>
  <c r="V48" i="34"/>
  <c r="U18" i="215" s="1"/>
  <c r="Z48" i="34"/>
  <c r="Y18" i="215" s="1"/>
  <c r="P48" i="34"/>
  <c r="O18" i="215" s="1"/>
  <c r="AA48" i="34"/>
  <c r="Z18" i="215" s="1"/>
  <c r="M48" i="34"/>
  <c r="L18" i="215" s="1"/>
  <c r="U48" i="34"/>
  <c r="T18" i="215" s="1"/>
  <c r="G19" i="215"/>
  <c r="Z49" i="34"/>
  <c r="Y19" i="215" s="1"/>
  <c r="K49" i="34"/>
  <c r="J19" i="215" s="1"/>
  <c r="V49" i="34"/>
  <c r="U19" i="215" s="1"/>
  <c r="L49" i="34"/>
  <c r="K19" i="215" s="1"/>
  <c r="U49" i="34"/>
  <c r="T19" i="215" s="1"/>
  <c r="N49" i="34"/>
  <c r="M19" i="215" s="1"/>
  <c r="M49" i="34"/>
  <c r="L19" i="215" s="1"/>
  <c r="P49" i="34"/>
  <c r="O19" i="215" s="1"/>
  <c r="J49" i="34"/>
  <c r="X49" i="34"/>
  <c r="W19" i="215" s="1"/>
  <c r="T49" i="34"/>
  <c r="S19" i="215" s="1"/>
  <c r="Q49" i="34"/>
  <c r="P19" i="215" s="1"/>
  <c r="R49" i="34"/>
  <c r="Q19" i="215" s="1"/>
  <c r="S49" i="34"/>
  <c r="R19" i="215" s="1"/>
  <c r="Y49" i="34"/>
  <c r="X19" i="215" s="1"/>
  <c r="AA49" i="34"/>
  <c r="Z19" i="215" s="1"/>
  <c r="O49" i="34"/>
  <c r="N19" i="215" s="1"/>
  <c r="W49" i="34"/>
  <c r="V19" i="215" s="1"/>
  <c r="U19" i="30"/>
  <c r="U27" i="157" s="1"/>
  <c r="Q25" i="209" s="1"/>
  <c r="U17" i="30"/>
  <c r="AE231" i="34"/>
  <c r="F18" i="96"/>
  <c r="I18" i="96" s="1"/>
  <c r="M172" i="16"/>
  <c r="J311" i="202"/>
  <c r="J79" i="202" s="1"/>
  <c r="J100" i="202" s="1"/>
  <c r="I53" i="96"/>
  <c r="E50" i="115"/>
  <c r="G50" i="115" s="1"/>
  <c r="I50" i="115" s="1"/>
  <c r="G43" i="115"/>
  <c r="I43" i="115" s="1"/>
  <c r="U29" i="157"/>
  <c r="Q27" i="209" s="1"/>
  <c r="F55" i="96"/>
  <c r="P24" i="209"/>
  <c r="T21" i="181"/>
  <c r="T87" i="181" s="1"/>
  <c r="T33" i="157"/>
  <c r="P31" i="209" s="1"/>
  <c r="I206" i="215"/>
  <c r="AE229" i="34"/>
  <c r="T119" i="16"/>
  <c r="T120" i="16" s="1"/>
  <c r="I18" i="102"/>
  <c r="T109" i="16"/>
  <c r="T110" i="16" s="1"/>
  <c r="K47" i="209"/>
  <c r="O75" i="157"/>
  <c r="K54" i="209" s="1"/>
  <c r="F18" i="102"/>
  <c r="J75" i="157"/>
  <c r="F54" i="209" s="1"/>
  <c r="F47" i="209"/>
  <c r="M152" i="13"/>
  <c r="H16" i="207" s="1"/>
  <c r="V163" i="13"/>
  <c r="V192" i="13" s="1"/>
  <c r="L18" i="102"/>
  <c r="K170" i="13"/>
  <c r="K199" i="13" s="1"/>
  <c r="F33" i="207" s="1"/>
  <c r="Q29" i="72"/>
  <c r="N29" i="72"/>
  <c r="H29" i="72"/>
  <c r="K29" i="72"/>
  <c r="X29" i="72"/>
  <c r="T29" i="72"/>
  <c r="E120" i="93"/>
  <c r="U60" i="34"/>
  <c r="W60" i="34"/>
  <c r="P60" i="34"/>
  <c r="K60" i="34"/>
  <c r="X60" i="34"/>
  <c r="V60" i="34"/>
  <c r="M60" i="34"/>
  <c r="R60" i="34"/>
  <c r="J60" i="34"/>
  <c r="O60" i="34"/>
  <c r="S60" i="34"/>
  <c r="T60" i="34"/>
  <c r="Q60" i="34"/>
  <c r="G30" i="215"/>
  <c r="Y60" i="34"/>
  <c r="AA60" i="34"/>
  <c r="N60" i="34"/>
  <c r="Z60" i="34"/>
  <c r="L60" i="34"/>
  <c r="AB46" i="34"/>
  <c r="AA16" i="215" s="1"/>
  <c r="G67" i="34"/>
  <c r="U85" i="13"/>
  <c r="Y84" i="13"/>
  <c r="F31" i="162" s="1"/>
  <c r="F32" i="162" s="1"/>
  <c r="F36" i="44" s="1"/>
  <c r="K61" i="34"/>
  <c r="J31" i="215" s="1"/>
  <c r="L61" i="34"/>
  <c r="K31" i="215" s="1"/>
  <c r="Z61" i="34"/>
  <c r="Y31" i="215" s="1"/>
  <c r="O61" i="34"/>
  <c r="N31" i="215" s="1"/>
  <c r="G31" i="215"/>
  <c r="X61" i="34"/>
  <c r="W31" i="215" s="1"/>
  <c r="W61" i="34"/>
  <c r="V31" i="215" s="1"/>
  <c r="N61" i="34"/>
  <c r="M31" i="215" s="1"/>
  <c r="Q61" i="34"/>
  <c r="P31" i="215" s="1"/>
  <c r="V61" i="34"/>
  <c r="U31" i="215" s="1"/>
  <c r="M61" i="34"/>
  <c r="L31" i="215" s="1"/>
  <c r="AA61" i="34"/>
  <c r="Z31" i="215" s="1"/>
  <c r="R61" i="34"/>
  <c r="Q31" i="215" s="1"/>
  <c r="J61" i="34"/>
  <c r="I31" i="215" s="1"/>
  <c r="U61" i="34"/>
  <c r="T31" i="215" s="1"/>
  <c r="Y61" i="34"/>
  <c r="X31" i="215" s="1"/>
  <c r="S61" i="34"/>
  <c r="R31" i="215" s="1"/>
  <c r="T61" i="34"/>
  <c r="S31" i="215" s="1"/>
  <c r="P61" i="34"/>
  <c r="O31" i="215" s="1"/>
  <c r="F30" i="44"/>
  <c r="H29" i="44"/>
  <c r="E27" i="93"/>
  <c r="X98" i="16"/>
  <c r="T99" i="16"/>
  <c r="R18" i="102"/>
  <c r="AF33" i="44"/>
  <c r="G17" i="101"/>
  <c r="AE33" i="44"/>
  <c r="J33" i="44"/>
  <c r="E58" i="115"/>
  <c r="G58" i="115" s="1"/>
  <c r="I58" i="115" s="1"/>
  <c r="I61" i="96"/>
  <c r="M61" i="96" s="1"/>
  <c r="K7" i="219"/>
  <c r="Y78" i="13"/>
  <c r="U192" i="13"/>
  <c r="P26" i="207" s="1"/>
  <c r="S194" i="202"/>
  <c r="O18" i="102"/>
  <c r="E26" i="93"/>
  <c r="H28" i="44"/>
  <c r="E18" i="100"/>
  <c r="F13" i="208"/>
  <c r="F91" i="208" s="1"/>
  <c r="M55" i="202"/>
  <c r="L43" i="195" s="1"/>
  <c r="H103" i="219"/>
  <c r="H75" i="219"/>
  <c r="I115" i="219"/>
  <c r="H101" i="219"/>
  <c r="H73" i="219"/>
  <c r="C78" i="219"/>
  <c r="S93" i="202"/>
  <c r="S51" i="202"/>
  <c r="K36" i="202"/>
  <c r="C69" i="103"/>
  <c r="E41" i="45"/>
  <c r="E45" i="44"/>
  <c r="S136" i="202"/>
  <c r="S71" i="202" s="1"/>
  <c r="S141" i="16"/>
  <c r="S145" i="16" s="1"/>
  <c r="M176" i="16"/>
  <c r="M177" i="16" s="1"/>
  <c r="M178" i="16" s="1"/>
  <c r="M258" i="16" s="1"/>
  <c r="G13" i="213" s="1"/>
  <c r="L177" i="16"/>
  <c r="L178" i="16" s="1"/>
  <c r="L258" i="16" s="1"/>
  <c r="M162" i="16"/>
  <c r="M163" i="16" s="1"/>
  <c r="M164" i="16" s="1"/>
  <c r="T200" i="202"/>
  <c r="T201" i="202" s="1"/>
  <c r="T202" i="202" s="1"/>
  <c r="F246" i="16"/>
  <c r="R171" i="202"/>
  <c r="R172" i="202" s="1"/>
  <c r="R173" i="202" s="1"/>
  <c r="U195" i="202"/>
  <c r="U196" i="202" s="1"/>
  <c r="U197" i="202" s="1"/>
  <c r="U198" i="202" s="1"/>
  <c r="O39" i="195"/>
  <c r="O41" i="195" s="1"/>
  <c r="P52" i="202"/>
  <c r="U108" i="16"/>
  <c r="U109" i="16" s="1"/>
  <c r="U110" i="16" s="1"/>
  <c r="O295" i="202"/>
  <c r="O296" i="202" s="1"/>
  <c r="U146" i="202"/>
  <c r="U147" i="202" s="1"/>
  <c r="U148" i="202" s="1"/>
  <c r="K162" i="16"/>
  <c r="K163" i="16" s="1"/>
  <c r="P221" i="202"/>
  <c r="N297" i="202"/>
  <c r="N310" i="202" s="1"/>
  <c r="T148" i="202"/>
  <c r="T149" i="202" s="1"/>
  <c r="T150" i="202" s="1"/>
  <c r="T151" i="202" s="1"/>
  <c r="T152" i="202" s="1"/>
  <c r="T153" i="202" s="1"/>
  <c r="T160" i="202" s="1"/>
  <c r="T161" i="202" s="1"/>
  <c r="T72" i="202" s="1"/>
  <c r="T93" i="202" s="1"/>
  <c r="M296" i="202"/>
  <c r="M310" i="202" s="1"/>
  <c r="R132" i="16"/>
  <c r="R133" i="16" s="1"/>
  <c r="R134" i="16" s="1"/>
  <c r="H120" i="13"/>
  <c r="H170" i="13" s="1"/>
  <c r="H199" i="13" s="1"/>
  <c r="AM95" i="172"/>
  <c r="J190" i="16"/>
  <c r="J191" i="16" s="1"/>
  <c r="U119" i="16"/>
  <c r="U120" i="16" s="1"/>
  <c r="U253" i="16" s="1"/>
  <c r="W51" i="195"/>
  <c r="Q32" i="202"/>
  <c r="I47" i="219" s="1"/>
  <c r="Q186" i="202"/>
  <c r="Q74" i="202" s="1"/>
  <c r="R14" i="202"/>
  <c r="O43" i="207"/>
  <c r="Q245" i="202"/>
  <c r="Q246" i="202" s="1"/>
  <c r="N45" i="207"/>
  <c r="Q16" i="202"/>
  <c r="I36" i="219" s="1"/>
  <c r="L170" i="13"/>
  <c r="R211" i="202"/>
  <c r="R75" i="202" s="1"/>
  <c r="R96" i="202" s="1"/>
  <c r="R33" i="202"/>
  <c r="R54" i="202" s="1"/>
  <c r="J15" i="101"/>
  <c r="P13" i="101"/>
  <c r="R159" i="16"/>
  <c r="O248" i="202"/>
  <c r="O260" i="202" s="1"/>
  <c r="N172" i="16"/>
  <c r="N171" i="16"/>
  <c r="Q158" i="16"/>
  <c r="K177" i="16"/>
  <c r="AH13" i="101"/>
  <c r="R208" i="172"/>
  <c r="R209" i="172" s="1"/>
  <c r="N35" i="202"/>
  <c r="N56" i="202" s="1"/>
  <c r="N261" i="202"/>
  <c r="N77" i="202" s="1"/>
  <c r="N98" i="202" s="1"/>
  <c r="P11" i="207"/>
  <c r="N27" i="207"/>
  <c r="V107" i="16"/>
  <c r="N97" i="202"/>
  <c r="C70" i="36"/>
  <c r="J257" i="16"/>
  <c r="C53" i="45"/>
  <c r="C54" i="45" s="1"/>
  <c r="R217" i="202"/>
  <c r="R218" i="202" s="1"/>
  <c r="L14" i="207"/>
  <c r="R125" i="202"/>
  <c r="R126" i="202" s="1"/>
  <c r="R135" i="202" s="1"/>
  <c r="L295" i="202"/>
  <c r="L310" i="202" s="1"/>
  <c r="P160" i="16"/>
  <c r="R93" i="13"/>
  <c r="N15" i="101"/>
  <c r="M15" i="101" s="1"/>
  <c r="N155" i="16"/>
  <c r="N154" i="16"/>
  <c r="J58" i="202"/>
  <c r="F203" i="16"/>
  <c r="K43" i="195"/>
  <c r="O187" i="16"/>
  <c r="Q107" i="13"/>
  <c r="I29" i="207"/>
  <c r="D124" i="13"/>
  <c r="C52" i="14"/>
  <c r="U143" i="16"/>
  <c r="G16" i="207"/>
  <c r="P242" i="202"/>
  <c r="P243" i="202" s="1"/>
  <c r="U164" i="13"/>
  <c r="Y164" i="13" s="1"/>
  <c r="S31" i="202"/>
  <c r="S50" i="202"/>
  <c r="U167" i="202"/>
  <c r="U168" i="202" s="1"/>
  <c r="V106" i="16"/>
  <c r="W64" i="13"/>
  <c r="S127" i="16"/>
  <c r="S128" i="16"/>
  <c r="C24" i="72"/>
  <c r="C25" i="72" s="1"/>
  <c r="C27" i="72" s="1"/>
  <c r="G246" i="16"/>
  <c r="N55" i="202"/>
  <c r="O220" i="202"/>
  <c r="O221" i="202" s="1"/>
  <c r="R157" i="16"/>
  <c r="R14" i="101"/>
  <c r="K184" i="16"/>
  <c r="P175" i="16"/>
  <c r="Q146" i="16"/>
  <c r="Q147" i="16" s="1"/>
  <c r="Q256" i="16" s="1"/>
  <c r="J200" i="16"/>
  <c r="J201" i="16" s="1"/>
  <c r="T136" i="202"/>
  <c r="T71" i="202" s="1"/>
  <c r="T29" i="202"/>
  <c r="U148" i="13"/>
  <c r="T152" i="16"/>
  <c r="X152" i="16" s="1"/>
  <c r="V88" i="13"/>
  <c r="I102" i="202"/>
  <c r="I342" i="202"/>
  <c r="I360" i="202" s="1"/>
  <c r="I39" i="202" s="1"/>
  <c r="I60" i="202" s="1"/>
  <c r="G123" i="13"/>
  <c r="G153" i="13" s="1"/>
  <c r="AC83" i="185"/>
  <c r="AC84" i="185" s="1"/>
  <c r="AC14" i="185"/>
  <c r="AC16" i="185" s="1"/>
  <c r="AD13" i="185" s="1"/>
  <c r="U131" i="16"/>
  <c r="V78" i="13"/>
  <c r="U124" i="202"/>
  <c r="AJ92" i="172"/>
  <c r="V147" i="13"/>
  <c r="U139" i="16"/>
  <c r="W81" i="13"/>
  <c r="V99" i="16"/>
  <c r="V100" i="16" s="1"/>
  <c r="W15" i="101"/>
  <c r="L184" i="16"/>
  <c r="M168" i="13"/>
  <c r="M197" i="13" s="1"/>
  <c r="H31" i="207" s="1"/>
  <c r="R9" i="207"/>
  <c r="M267" i="202"/>
  <c r="M268" i="202" s="1"/>
  <c r="T144" i="16"/>
  <c r="X144" i="16" s="1"/>
  <c r="V85" i="13"/>
  <c r="O170" i="16"/>
  <c r="K30" i="207"/>
  <c r="Q183" i="16"/>
  <c r="S105" i="13"/>
  <c r="S150" i="13" s="1"/>
  <c r="O161" i="16"/>
  <c r="Q94" i="13"/>
  <c r="Q95" i="13" s="1"/>
  <c r="C6" i="219"/>
  <c r="G199" i="13"/>
  <c r="S25" i="44"/>
  <c r="U23" i="44"/>
  <c r="L197" i="13"/>
  <c r="Z18" i="184"/>
  <c r="AA6" i="184"/>
  <c r="AA10" i="184" s="1"/>
  <c r="Q102" i="13"/>
  <c r="P174" i="16"/>
  <c r="O153" i="16"/>
  <c r="K99" i="202"/>
  <c r="U100" i="16"/>
  <c r="L44" i="207"/>
  <c r="O15" i="202"/>
  <c r="G35" i="219" s="1"/>
  <c r="T169" i="202"/>
  <c r="T170" i="202" s="1"/>
  <c r="L268" i="202"/>
  <c r="S171" i="202"/>
  <c r="N267" i="202"/>
  <c r="Q218" i="202"/>
  <c r="Q219" i="202" s="1"/>
  <c r="AE118" i="185"/>
  <c r="AD119" i="185"/>
  <c r="AD80" i="185" s="1"/>
  <c r="J268" i="202"/>
  <c r="J285" i="202" s="1"/>
  <c r="V117" i="16"/>
  <c r="V118" i="16" s="1"/>
  <c r="W71" i="13"/>
  <c r="Q196" i="16"/>
  <c r="M15" i="207"/>
  <c r="N199" i="16"/>
  <c r="M188" i="16"/>
  <c r="O108" i="13"/>
  <c r="N109" i="13"/>
  <c r="O13" i="207"/>
  <c r="S169" i="16"/>
  <c r="U98" i="13"/>
  <c r="Y98" i="13" s="1"/>
  <c r="E43" i="162" s="1"/>
  <c r="F30" i="72" s="1"/>
  <c r="G203" i="16"/>
  <c r="Q134" i="16"/>
  <c r="S33" i="176" l="1"/>
  <c r="S42" i="176" s="1"/>
  <c r="S56" i="176"/>
  <c r="S58" i="176" s="1"/>
  <c r="T13" i="176"/>
  <c r="T54" i="176"/>
  <c r="S64" i="157"/>
  <c r="O43" i="209" s="1"/>
  <c r="U11" i="70"/>
  <c r="U23" i="70" s="1"/>
  <c r="U162" i="70" s="1"/>
  <c r="U170" i="70" s="1"/>
  <c r="X23" i="28"/>
  <c r="X163" i="28" s="1"/>
  <c r="R37" i="181"/>
  <c r="R85" i="181" s="1"/>
  <c r="N46" i="209"/>
  <c r="R68" i="157"/>
  <c r="U49" i="181"/>
  <c r="U55" i="181" s="1"/>
  <c r="U31" i="176"/>
  <c r="U52" i="176" s="1"/>
  <c r="Q166" i="13"/>
  <c r="Q155" i="164"/>
  <c r="G10" i="219"/>
  <c r="G24" i="219" s="1"/>
  <c r="Q167" i="13"/>
  <c r="Q196" i="13" s="1"/>
  <c r="Q181" i="164"/>
  <c r="L7" i="219"/>
  <c r="V117" i="164"/>
  <c r="M124" i="13"/>
  <c r="N124" i="13" s="1"/>
  <c r="L21" i="219"/>
  <c r="D11" i="219"/>
  <c r="N168" i="13"/>
  <c r="L8" i="219"/>
  <c r="V137" i="164"/>
  <c r="U165" i="13"/>
  <c r="U137" i="164"/>
  <c r="F13" i="213"/>
  <c r="I30" i="207"/>
  <c r="P195" i="13"/>
  <c r="I55" i="96"/>
  <c r="R86" i="96"/>
  <c r="R91" i="96" s="1"/>
  <c r="M53" i="96"/>
  <c r="I25" i="96"/>
  <c r="R71" i="96"/>
  <c r="M18" i="96"/>
  <c r="I52" i="115"/>
  <c r="I19" i="215"/>
  <c r="AE49" i="34"/>
  <c r="I18" i="215"/>
  <c r="AE48" i="34"/>
  <c r="U31" i="157"/>
  <c r="Q29" i="209" s="1"/>
  <c r="U30" i="157"/>
  <c r="Q28" i="209" s="1"/>
  <c r="U28" i="157"/>
  <c r="Q26" i="209" s="1"/>
  <c r="E16" i="115"/>
  <c r="G16" i="115" s="1"/>
  <c r="F25" i="96"/>
  <c r="G52" i="115"/>
  <c r="E52" i="115"/>
  <c r="X109" i="16"/>
  <c r="T140" i="16"/>
  <c r="X140" i="16" s="1"/>
  <c r="X119" i="16"/>
  <c r="I16" i="207"/>
  <c r="T19" i="181"/>
  <c r="P18" i="209"/>
  <c r="E28" i="93"/>
  <c r="W163" i="13"/>
  <c r="W192" i="13" s="1"/>
  <c r="Z30" i="215"/>
  <c r="Z37" i="215" s="1"/>
  <c r="AA67" i="34"/>
  <c r="S30" i="215"/>
  <c r="S37" i="215" s="1"/>
  <c r="T67" i="34"/>
  <c r="T16" i="34" s="1"/>
  <c r="P14" i="104" s="1"/>
  <c r="X30" i="72"/>
  <c r="W20" i="102" s="1"/>
  <c r="K30" i="72"/>
  <c r="J20" i="102" s="1"/>
  <c r="E20" i="102"/>
  <c r="N30" i="72"/>
  <c r="M20" i="102" s="1"/>
  <c r="H30" i="72"/>
  <c r="G20" i="102" s="1"/>
  <c r="E122" i="93"/>
  <c r="E54" i="107" s="1"/>
  <c r="T30" i="72"/>
  <c r="S20" i="102" s="1"/>
  <c r="Q30" i="72"/>
  <c r="P20" i="102" s="1"/>
  <c r="K169" i="13"/>
  <c r="K198" i="13" s="1"/>
  <c r="F32" i="207" s="1"/>
  <c r="U194" i="13"/>
  <c r="P28" i="207" s="1"/>
  <c r="Y165" i="13"/>
  <c r="X110" i="16"/>
  <c r="F17" i="101"/>
  <c r="AE61" i="34"/>
  <c r="K8" i="219"/>
  <c r="L22" i="219" s="1"/>
  <c r="Y85" i="13"/>
  <c r="M30" i="215"/>
  <c r="M37" i="215" s="1"/>
  <c r="M183" i="215" s="1"/>
  <c r="N67" i="34"/>
  <c r="N205" i="34" s="1"/>
  <c r="P30" i="215"/>
  <c r="P37" i="215" s="1"/>
  <c r="Q67" i="34"/>
  <c r="I30" i="215"/>
  <c r="J67" i="34"/>
  <c r="J288" i="34" s="1"/>
  <c r="W30" i="215"/>
  <c r="W37" i="215" s="1"/>
  <c r="X67" i="34"/>
  <c r="X16" i="34" s="1"/>
  <c r="T14" i="104" s="1"/>
  <c r="T30" i="215"/>
  <c r="T37" i="215" s="1"/>
  <c r="U67" i="34"/>
  <c r="K21" i="219"/>
  <c r="AF17" i="101"/>
  <c r="AH33" i="44"/>
  <c r="AH17" i="101" s="1"/>
  <c r="AE60" i="34"/>
  <c r="Q30" i="215"/>
  <c r="Q37" i="215" s="1"/>
  <c r="R67" i="34"/>
  <c r="C76" i="219"/>
  <c r="P12" i="207"/>
  <c r="Y148" i="13"/>
  <c r="J28" i="44"/>
  <c r="H30" i="44"/>
  <c r="AE28" i="44"/>
  <c r="H25" i="45" s="1"/>
  <c r="T253" i="16"/>
  <c r="X120" i="16"/>
  <c r="I17" i="101"/>
  <c r="L33" i="44"/>
  <c r="AF28" i="44"/>
  <c r="J29" i="44"/>
  <c r="L29" i="44" s="1"/>
  <c r="AF29" i="44"/>
  <c r="AE29" i="44"/>
  <c r="H26" i="45" s="1"/>
  <c r="K30" i="215"/>
  <c r="K37" i="215" s="1"/>
  <c r="L67" i="34"/>
  <c r="X30" i="215"/>
  <c r="X37" i="215" s="1"/>
  <c r="Y67" i="34"/>
  <c r="Y16" i="34" s="1"/>
  <c r="U14" i="104" s="1"/>
  <c r="R30" i="215"/>
  <c r="R37" i="215" s="1"/>
  <c r="S67" i="34"/>
  <c r="S16" i="34" s="1"/>
  <c r="O14" i="104" s="1"/>
  <c r="L30" i="215"/>
  <c r="L37" i="215" s="1"/>
  <c r="M67" i="34"/>
  <c r="O30" i="215"/>
  <c r="O37" i="215" s="1"/>
  <c r="O183" i="215" s="1"/>
  <c r="P67" i="34"/>
  <c r="P288" i="34" s="1"/>
  <c r="L41" i="214" s="1"/>
  <c r="J30" i="215"/>
  <c r="J37" i="215" s="1"/>
  <c r="K67" i="34"/>
  <c r="K16" i="34" s="1"/>
  <c r="G14" i="104" s="1"/>
  <c r="T126" i="16"/>
  <c r="X126" i="16" s="1"/>
  <c r="Y75" i="13"/>
  <c r="G25" i="162" s="1"/>
  <c r="E71" i="93" s="1"/>
  <c r="E33" i="107" s="1"/>
  <c r="I10" i="182"/>
  <c r="H30" i="45"/>
  <c r="G18" i="105" s="1"/>
  <c r="AE17" i="101"/>
  <c r="T100" i="16"/>
  <c r="X100" i="16" s="1"/>
  <c r="X99" i="16"/>
  <c r="E18" i="78"/>
  <c r="F45" i="195"/>
  <c r="H36" i="44"/>
  <c r="E18" i="101"/>
  <c r="E32" i="93"/>
  <c r="E18" i="107" s="1"/>
  <c r="G205" i="34"/>
  <c r="Y30" i="215"/>
  <c r="Y37" i="215" s="1"/>
  <c r="Z67" i="34"/>
  <c r="Z16" i="34" s="1"/>
  <c r="V14" i="104" s="1"/>
  <c r="G37" i="215"/>
  <c r="G183" i="215" s="1"/>
  <c r="N30" i="215"/>
  <c r="N37" i="215" s="1"/>
  <c r="N183" i="215" s="1"/>
  <c r="O67" i="34"/>
  <c r="U30" i="215"/>
  <c r="U37" i="215" s="1"/>
  <c r="V67" i="34"/>
  <c r="V30" i="215"/>
  <c r="V37" i="215" s="1"/>
  <c r="W67" i="34"/>
  <c r="W16" i="34" s="1"/>
  <c r="S14" i="104" s="1"/>
  <c r="S195" i="202"/>
  <c r="I103" i="219"/>
  <c r="I117" i="219" s="1"/>
  <c r="I75" i="219"/>
  <c r="H115" i="219"/>
  <c r="H117" i="219"/>
  <c r="K45" i="219"/>
  <c r="K57" i="202"/>
  <c r="J44" i="195" s="1"/>
  <c r="C49" i="219"/>
  <c r="S73" i="202"/>
  <c r="R40" i="195"/>
  <c r="C70" i="103"/>
  <c r="E46" i="44"/>
  <c r="E42" i="45"/>
  <c r="J42" i="45" s="1"/>
  <c r="I22" i="105" s="1"/>
  <c r="E31" i="72"/>
  <c r="V108" i="16"/>
  <c r="V109" i="16" s="1"/>
  <c r="S146" i="16"/>
  <c r="S147" i="16" s="1"/>
  <c r="S256" i="16" s="1"/>
  <c r="S92" i="202"/>
  <c r="P222" i="202"/>
  <c r="P223" i="202" s="1"/>
  <c r="P224" i="202" s="1"/>
  <c r="P235" i="202" s="1"/>
  <c r="H47" i="207"/>
  <c r="K18" i="202"/>
  <c r="C38" i="219" s="1"/>
  <c r="T203" i="202"/>
  <c r="T210" i="202" s="1"/>
  <c r="T33" i="202" s="1"/>
  <c r="T54" i="202" s="1"/>
  <c r="S132" i="16"/>
  <c r="S133" i="16" s="1"/>
  <c r="Q220" i="202"/>
  <c r="Q221" i="202" s="1"/>
  <c r="R219" i="202"/>
  <c r="R220" i="202" s="1"/>
  <c r="T30" i="202"/>
  <c r="T51" i="202" s="1"/>
  <c r="S40" i="195" s="1"/>
  <c r="O222" i="202"/>
  <c r="O223" i="202" s="1"/>
  <c r="N268" i="202"/>
  <c r="N269" i="202" s="1"/>
  <c r="N270" i="202" s="1"/>
  <c r="N162" i="16"/>
  <c r="N163" i="16" s="1"/>
  <c r="N164" i="16" s="1"/>
  <c r="N176" i="16"/>
  <c r="N177" i="16" s="1"/>
  <c r="N178" i="16" s="1"/>
  <c r="N258" i="16" s="1"/>
  <c r="AN95" i="172"/>
  <c r="AO95" i="172"/>
  <c r="U140" i="16"/>
  <c r="V165" i="13"/>
  <c r="V194" i="13" s="1"/>
  <c r="Q28" i="207" s="1"/>
  <c r="M269" i="202"/>
  <c r="M270" i="202" s="1"/>
  <c r="M45" i="207"/>
  <c r="P16" i="202"/>
  <c r="H36" i="219" s="1"/>
  <c r="C55" i="45"/>
  <c r="J259" i="16"/>
  <c r="V119" i="16"/>
  <c r="V120" i="16" s="1"/>
  <c r="V253" i="16" s="1"/>
  <c r="R174" i="202"/>
  <c r="R175" i="202" s="1"/>
  <c r="S203" i="172"/>
  <c r="S207" i="172" s="1"/>
  <c r="R211" i="172"/>
  <c r="R255" i="16"/>
  <c r="J286" i="202"/>
  <c r="J78" i="202" s="1"/>
  <c r="J36" i="202"/>
  <c r="L311" i="202"/>
  <c r="L79" i="202" s="1"/>
  <c r="L100" i="202" s="1"/>
  <c r="L37" i="202"/>
  <c r="I47" i="207"/>
  <c r="L18" i="202"/>
  <c r="D38" i="219" s="1"/>
  <c r="M37" i="202"/>
  <c r="M311" i="202"/>
  <c r="M79" i="202" s="1"/>
  <c r="M100" i="202" s="1"/>
  <c r="AA18" i="184"/>
  <c r="AB6" i="184"/>
  <c r="AB10" i="184" s="1"/>
  <c r="U193" i="13"/>
  <c r="O27" i="207"/>
  <c r="R158" i="16"/>
  <c r="Q95" i="202"/>
  <c r="O261" i="202"/>
  <c r="O77" i="202" s="1"/>
  <c r="O98" i="202" s="1"/>
  <c r="O35" i="202"/>
  <c r="O56" i="202" s="1"/>
  <c r="T13" i="202"/>
  <c r="Q247" i="202"/>
  <c r="Q248" i="202" s="1"/>
  <c r="Q249" i="202" s="1"/>
  <c r="Q250" i="202" s="1"/>
  <c r="Q255" i="16"/>
  <c r="G260" i="16"/>
  <c r="G265" i="16" s="1"/>
  <c r="G234" i="16"/>
  <c r="G241" i="16"/>
  <c r="N188" i="16"/>
  <c r="P108" i="13"/>
  <c r="O109" i="13"/>
  <c r="AD14" i="185"/>
  <c r="AD16" i="185" s="1"/>
  <c r="AE13" i="185" s="1"/>
  <c r="AD83" i="185"/>
  <c r="AD84" i="185" s="1"/>
  <c r="U254" i="16"/>
  <c r="T14" i="202" s="1"/>
  <c r="P153" i="16"/>
  <c r="L30" i="207"/>
  <c r="P170" i="16"/>
  <c r="P15" i="101"/>
  <c r="R183" i="16"/>
  <c r="N14" i="207"/>
  <c r="T105" i="13"/>
  <c r="T150" i="13" s="1"/>
  <c r="O172" i="16"/>
  <c r="O171" i="16"/>
  <c r="V139" i="16"/>
  <c r="W147" i="13"/>
  <c r="U125" i="202"/>
  <c r="U126" i="202" s="1"/>
  <c r="U127" i="202" s="1"/>
  <c r="U128" i="202" s="1"/>
  <c r="U129" i="202" s="1"/>
  <c r="U135" i="202" s="1"/>
  <c r="J202" i="16"/>
  <c r="J245" i="16" s="1"/>
  <c r="G28" i="186" s="1"/>
  <c r="G17" i="186" s="1"/>
  <c r="K185" i="16"/>
  <c r="M43" i="195"/>
  <c r="N311" i="202"/>
  <c r="N79" i="202" s="1"/>
  <c r="N100" i="202" s="1"/>
  <c r="N37" i="202"/>
  <c r="P244" i="202"/>
  <c r="P245" i="202" s="1"/>
  <c r="D127" i="13"/>
  <c r="D131" i="13"/>
  <c r="C53" i="14"/>
  <c r="T171" i="202"/>
  <c r="F260" i="16"/>
  <c r="F265" i="16" s="1"/>
  <c r="F241" i="16"/>
  <c r="F234" i="16"/>
  <c r="I45" i="195"/>
  <c r="S172" i="202"/>
  <c r="O297" i="202"/>
  <c r="O298" i="202" s="1"/>
  <c r="R242" i="202"/>
  <c r="R243" i="202" s="1"/>
  <c r="Q53" i="202"/>
  <c r="U149" i="13"/>
  <c r="T169" i="16"/>
  <c r="X169" i="16" s="1"/>
  <c r="V98" i="13"/>
  <c r="P161" i="16"/>
  <c r="R94" i="13"/>
  <c r="R95" i="13" s="1"/>
  <c r="AK92" i="172"/>
  <c r="H123" i="13"/>
  <c r="H153" i="13" s="1"/>
  <c r="O155" i="16"/>
  <c r="O154" i="16"/>
  <c r="G31" i="207"/>
  <c r="M170" i="13"/>
  <c r="M199" i="13" s="1"/>
  <c r="H33" i="207" s="1"/>
  <c r="D6" i="219"/>
  <c r="M14" i="207"/>
  <c r="U144" i="16"/>
  <c r="W85" i="13"/>
  <c r="L185" i="16"/>
  <c r="L189" i="16" s="1"/>
  <c r="T50" i="202"/>
  <c r="R29" i="202"/>
  <c r="R136" i="202"/>
  <c r="R71" i="202" s="1"/>
  <c r="J29" i="207"/>
  <c r="M257" i="16"/>
  <c r="G12" i="213" s="1"/>
  <c r="C28" i="72"/>
  <c r="U169" i="202"/>
  <c r="U170" i="202" s="1"/>
  <c r="G124" i="13"/>
  <c r="G171" i="13" s="1"/>
  <c r="U199" i="202"/>
  <c r="P187" i="16"/>
  <c r="R107" i="13"/>
  <c r="Q26" i="207"/>
  <c r="Q160" i="16"/>
  <c r="S93" i="13"/>
  <c r="U149" i="202"/>
  <c r="C56" i="45"/>
  <c r="C57" i="45" s="1"/>
  <c r="F46" i="207"/>
  <c r="I17" i="202"/>
  <c r="S159" i="16"/>
  <c r="Y92" i="13"/>
  <c r="F37" i="162" s="1"/>
  <c r="Q292" i="202"/>
  <c r="M184" i="16"/>
  <c r="U25" i="44"/>
  <c r="V131" i="16"/>
  <c r="W78" i="13"/>
  <c r="U152" i="16"/>
  <c r="V148" i="13"/>
  <c r="Q12" i="207" s="1"/>
  <c r="W88" i="13"/>
  <c r="S157" i="16"/>
  <c r="Y90" i="13"/>
  <c r="F35" i="162" s="1"/>
  <c r="AF118" i="185"/>
  <c r="AE119" i="185"/>
  <c r="AE80" i="185" s="1"/>
  <c r="O199" i="16"/>
  <c r="N15" i="207"/>
  <c r="R196" i="16"/>
  <c r="T112" i="13"/>
  <c r="T151" i="13" s="1"/>
  <c r="L269" i="202"/>
  <c r="L270" i="202" s="1"/>
  <c r="O267" i="202"/>
  <c r="O268" i="202" s="1"/>
  <c r="R102" i="13"/>
  <c r="Q174" i="16"/>
  <c r="K200" i="16"/>
  <c r="Q11" i="207"/>
  <c r="U126" i="16"/>
  <c r="V164" i="13"/>
  <c r="T73" i="202"/>
  <c r="T92" i="202"/>
  <c r="T94" i="202" s="1"/>
  <c r="Q175" i="16"/>
  <c r="S52" i="202"/>
  <c r="R39" i="195"/>
  <c r="V143" i="16"/>
  <c r="C71" i="36"/>
  <c r="K164" i="16"/>
  <c r="K178" i="16"/>
  <c r="L199" i="13"/>
  <c r="X171" i="28" l="1"/>
  <c r="U172" i="70" s="1"/>
  <c r="S67" i="157"/>
  <c r="U54" i="176"/>
  <c r="U13" i="176"/>
  <c r="N47" i="209"/>
  <c r="R75" i="157"/>
  <c r="N54" i="209" s="1"/>
  <c r="Y11" i="28"/>
  <c r="T15" i="176"/>
  <c r="T21" i="176" s="1"/>
  <c r="T23" i="176" s="1"/>
  <c r="R166" i="13"/>
  <c r="R155" i="164"/>
  <c r="H10" i="219"/>
  <c r="H24" i="219" s="1"/>
  <c r="R167" i="13"/>
  <c r="R196" i="13" s="1"/>
  <c r="R181" i="164"/>
  <c r="M7" i="219"/>
  <c r="W117" i="164"/>
  <c r="E11" i="219"/>
  <c r="O168" i="13"/>
  <c r="O197" i="13" s="1"/>
  <c r="N197" i="13"/>
  <c r="M8" i="219"/>
  <c r="W137" i="164"/>
  <c r="M127" i="13"/>
  <c r="N127" i="13"/>
  <c r="N153" i="13" s="1"/>
  <c r="S134" i="16"/>
  <c r="Q195" i="13"/>
  <c r="V86" i="96"/>
  <c r="V91" i="96" s="1"/>
  <c r="M55" i="96"/>
  <c r="V71" i="96"/>
  <c r="M25" i="96"/>
  <c r="G23" i="115"/>
  <c r="I16" i="115"/>
  <c r="I23" i="115" s="1"/>
  <c r="I37" i="215"/>
  <c r="V17" i="30"/>
  <c r="V19" i="30"/>
  <c r="U26" i="157"/>
  <c r="U20" i="157" s="1"/>
  <c r="E23" i="115"/>
  <c r="Y82" i="13"/>
  <c r="G30" i="162" s="1"/>
  <c r="E73" i="93" s="1"/>
  <c r="E34" i="107" s="1"/>
  <c r="O119" i="13"/>
  <c r="O152" i="13" s="1"/>
  <c r="K288" i="34"/>
  <c r="G41" i="214" s="1"/>
  <c r="T128" i="16"/>
  <c r="X128" i="16" s="1"/>
  <c r="O162" i="16"/>
  <c r="O163" i="16" s="1"/>
  <c r="O164" i="16" s="1"/>
  <c r="AH28" i="44"/>
  <c r="U33" i="157"/>
  <c r="Q31" i="209" s="1"/>
  <c r="T127" i="16"/>
  <c r="X127" i="16" s="1"/>
  <c r="T120" i="181"/>
  <c r="Y288" i="34"/>
  <c r="U41" i="214" s="1"/>
  <c r="Z288" i="34"/>
  <c r="V41" i="214" s="1"/>
  <c r="O16" i="34"/>
  <c r="K14" i="104" s="1"/>
  <c r="O205" i="34"/>
  <c r="Q288" i="34"/>
  <c r="M41" i="214" s="1"/>
  <c r="Q16" i="34"/>
  <c r="M14" i="104" s="1"/>
  <c r="K342" i="202"/>
  <c r="K343" i="202" s="1"/>
  <c r="P205" i="34"/>
  <c r="P16" i="34"/>
  <c r="L14" i="104" s="1"/>
  <c r="Q29" i="44"/>
  <c r="W29" i="44"/>
  <c r="K22" i="219"/>
  <c r="I20" i="102"/>
  <c r="S196" i="202"/>
  <c r="V288" i="34"/>
  <c r="R41" i="214" s="1"/>
  <c r="V16" i="34"/>
  <c r="R14" i="104" s="1"/>
  <c r="S288" i="34"/>
  <c r="O41" i="214" s="1"/>
  <c r="W288" i="34"/>
  <c r="S41" i="214" s="1"/>
  <c r="X288" i="34"/>
  <c r="T41" i="214" s="1"/>
  <c r="X253" i="16"/>
  <c r="S13" i="202"/>
  <c r="L28" i="44"/>
  <c r="J30" i="44"/>
  <c r="U288" i="34"/>
  <c r="Q41" i="214" s="1"/>
  <c r="U16" i="34"/>
  <c r="Q14" i="104" s="1"/>
  <c r="J16" i="34"/>
  <c r="F235" i="34"/>
  <c r="N288" i="34"/>
  <c r="J41" i="214" s="1"/>
  <c r="N16" i="34"/>
  <c r="J14" i="104" s="1"/>
  <c r="T254" i="16"/>
  <c r="S14" i="202" s="1"/>
  <c r="F20" i="102"/>
  <c r="AA288" i="34"/>
  <c r="W41" i="214" s="1"/>
  <c r="AA16" i="34"/>
  <c r="W14" i="104" s="1"/>
  <c r="D20" i="219"/>
  <c r="D76" i="219"/>
  <c r="AE67" i="34"/>
  <c r="AF30" i="44"/>
  <c r="AF16" i="101" s="1"/>
  <c r="AH29" i="44"/>
  <c r="R20" i="102"/>
  <c r="P13" i="207"/>
  <c r="Y149" i="13"/>
  <c r="F14" i="208"/>
  <c r="F92" i="208" s="1"/>
  <c r="E19" i="100"/>
  <c r="L288" i="34"/>
  <c r="H41" i="214" s="1"/>
  <c r="L16" i="34"/>
  <c r="H14" i="104" s="1"/>
  <c r="R288" i="34"/>
  <c r="N41" i="214" s="1"/>
  <c r="R16" i="34"/>
  <c r="N14" i="104" s="1"/>
  <c r="T141" i="16"/>
  <c r="O288" i="34"/>
  <c r="K41" i="214" s="1"/>
  <c r="T288" i="34"/>
  <c r="P41" i="214" s="1"/>
  <c r="F41" i="214"/>
  <c r="AE36" i="44"/>
  <c r="J36" i="44"/>
  <c r="AF36" i="44"/>
  <c r="G18" i="101"/>
  <c r="M288" i="34"/>
  <c r="I41" i="214" s="1"/>
  <c r="M16" i="34"/>
  <c r="I14" i="104" s="1"/>
  <c r="Q33" i="44"/>
  <c r="K17" i="101"/>
  <c r="J17" i="101" s="1"/>
  <c r="W33" i="44"/>
  <c r="W17" i="101" s="1"/>
  <c r="O20" i="102"/>
  <c r="L20" i="102"/>
  <c r="N58" i="202"/>
  <c r="M45" i="195" s="1"/>
  <c r="F50" i="219"/>
  <c r="M58" i="202"/>
  <c r="L45" i="195" s="1"/>
  <c r="E50" i="219"/>
  <c r="L58" i="202"/>
  <c r="K45" i="195" s="1"/>
  <c r="D50" i="219"/>
  <c r="C77" i="219"/>
  <c r="K101" i="219"/>
  <c r="K73" i="219"/>
  <c r="R41" i="195"/>
  <c r="S94" i="202"/>
  <c r="T211" i="202"/>
  <c r="T75" i="202" s="1"/>
  <c r="T96" i="202" s="1"/>
  <c r="C71" i="103"/>
  <c r="C73" i="103" s="1"/>
  <c r="E43" i="45"/>
  <c r="E47" i="44"/>
  <c r="O45" i="207"/>
  <c r="R16" i="202"/>
  <c r="J36" i="219" s="1"/>
  <c r="T31" i="202"/>
  <c r="L45" i="219" s="1"/>
  <c r="J203" i="16"/>
  <c r="J260" i="16" s="1"/>
  <c r="F49" i="207" s="1"/>
  <c r="R176" i="202"/>
  <c r="R185" i="202" s="1"/>
  <c r="R32" i="202" s="1"/>
  <c r="U171" i="202"/>
  <c r="U172" i="202" s="1"/>
  <c r="N271" i="202"/>
  <c r="N272" i="202" s="1"/>
  <c r="N285" i="202" s="1"/>
  <c r="O176" i="16"/>
  <c r="O177" i="16" s="1"/>
  <c r="O235" i="202"/>
  <c r="U13" i="202"/>
  <c r="M271" i="202"/>
  <c r="M285" i="202" s="1"/>
  <c r="L190" i="16"/>
  <c r="P34" i="202"/>
  <c r="P236" i="202"/>
  <c r="P76" i="202" s="1"/>
  <c r="Q260" i="202"/>
  <c r="U136" i="202"/>
  <c r="U71" i="202" s="1"/>
  <c r="W71" i="202" s="1"/>
  <c r="U29" i="202"/>
  <c r="W29" i="202" s="1"/>
  <c r="K29" i="207"/>
  <c r="O269" i="202"/>
  <c r="O270" i="202" s="1"/>
  <c r="C29" i="72"/>
  <c r="C30" i="72" s="1"/>
  <c r="X51" i="195"/>
  <c r="Q161" i="16"/>
  <c r="S94" i="13"/>
  <c r="S95" i="13" s="1"/>
  <c r="U169" i="16"/>
  <c r="V149" i="13"/>
  <c r="W98" i="13"/>
  <c r="U200" i="202"/>
  <c r="U201" i="202" s="1"/>
  <c r="K153" i="13"/>
  <c r="F17" i="207" s="1"/>
  <c r="O188" i="16"/>
  <c r="Q108" i="13"/>
  <c r="P109" i="13"/>
  <c r="M44" i="207"/>
  <c r="P15" i="202"/>
  <c r="H35" i="219" s="1"/>
  <c r="T217" i="202"/>
  <c r="P27" i="207"/>
  <c r="J99" i="202"/>
  <c r="N44" i="207"/>
  <c r="Q15" i="202"/>
  <c r="I35" i="219" s="1"/>
  <c r="N257" i="16"/>
  <c r="F48" i="207"/>
  <c r="I19" i="202"/>
  <c r="Q222" i="202"/>
  <c r="Q223" i="202" s="1"/>
  <c r="AE83" i="185"/>
  <c r="AE84" i="185" s="1"/>
  <c r="AE14" i="185"/>
  <c r="AE16" i="185" s="1"/>
  <c r="AF13" i="185" s="1"/>
  <c r="Q293" i="202"/>
  <c r="Q294" i="202" s="1"/>
  <c r="I317" i="202"/>
  <c r="I335" i="202" s="1"/>
  <c r="I38" i="202" s="1"/>
  <c r="I59" i="202" s="1"/>
  <c r="I101" i="202"/>
  <c r="R221" i="202"/>
  <c r="Q187" i="16"/>
  <c r="S107" i="13"/>
  <c r="H124" i="13"/>
  <c r="H171" i="13" s="1"/>
  <c r="I46" i="207"/>
  <c r="L17" i="202"/>
  <c r="R73" i="202"/>
  <c r="R92" i="202"/>
  <c r="R94" i="202" s="1"/>
  <c r="U141" i="16"/>
  <c r="U145" i="16" s="1"/>
  <c r="I33" i="207"/>
  <c r="O120" i="13"/>
  <c r="AL92" i="172"/>
  <c r="P42" i="195"/>
  <c r="R244" i="202"/>
  <c r="T172" i="202"/>
  <c r="Q153" i="16"/>
  <c r="Q43" i="207"/>
  <c r="P246" i="202"/>
  <c r="P247" i="202" s="1"/>
  <c r="S208" i="172"/>
  <c r="S209" i="172" s="1"/>
  <c r="C58" i="45"/>
  <c r="C59" i="45" s="1"/>
  <c r="K257" i="16"/>
  <c r="L200" i="16"/>
  <c r="L201" i="16" s="1"/>
  <c r="M116" i="13"/>
  <c r="M92" i="13" s="1"/>
  <c r="K258" i="16"/>
  <c r="H13" i="213" s="1"/>
  <c r="C72" i="36"/>
  <c r="J16" i="207"/>
  <c r="P119" i="13"/>
  <c r="P152" i="13" s="1"/>
  <c r="V193" i="13"/>
  <c r="L169" i="13"/>
  <c r="Q170" i="16"/>
  <c r="M30" i="207"/>
  <c r="L285" i="202"/>
  <c r="P199" i="16"/>
  <c r="AG118" i="185"/>
  <c r="AF119" i="185"/>
  <c r="AF80" i="185" s="1"/>
  <c r="R15" i="101"/>
  <c r="M185" i="16"/>
  <c r="M189" i="16" s="1"/>
  <c r="T159" i="16"/>
  <c r="X159" i="16" s="1"/>
  <c r="V110" i="16"/>
  <c r="V254" i="16" s="1"/>
  <c r="U14" i="202" s="1"/>
  <c r="R31" i="202"/>
  <c r="J45" i="219" s="1"/>
  <c r="R50" i="202"/>
  <c r="S39" i="195"/>
  <c r="S41" i="195" s="1"/>
  <c r="T52" i="202"/>
  <c r="V144" i="16"/>
  <c r="D132" i="13"/>
  <c r="D128" i="13"/>
  <c r="C55" i="14"/>
  <c r="K189" i="16"/>
  <c r="R11" i="207"/>
  <c r="S183" i="16"/>
  <c r="O14" i="207"/>
  <c r="U105" i="13"/>
  <c r="Y105" i="13" s="1"/>
  <c r="E48" i="162" s="1"/>
  <c r="F31" i="72" s="1"/>
  <c r="P155" i="16"/>
  <c r="P154" i="16"/>
  <c r="T242" i="202"/>
  <c r="T243" i="202" s="1"/>
  <c r="S158" i="16"/>
  <c r="Y91" i="13"/>
  <c r="F36" i="162" s="1"/>
  <c r="AB18" i="184"/>
  <c r="AC6" i="184"/>
  <c r="AC10" i="184" s="1"/>
  <c r="U150" i="202"/>
  <c r="U151" i="202" s="1"/>
  <c r="U152" i="202" s="1"/>
  <c r="R26" i="207"/>
  <c r="S255" i="16"/>
  <c r="S102" i="13"/>
  <c r="R174" i="16"/>
  <c r="W148" i="13"/>
  <c r="R12" i="207" s="1"/>
  <c r="V152" i="16"/>
  <c r="G33" i="207"/>
  <c r="W165" i="13"/>
  <c r="W194" i="13" s="1"/>
  <c r="R28" i="207" s="1"/>
  <c r="V140" i="16"/>
  <c r="R175" i="16"/>
  <c r="U127" i="16"/>
  <c r="U128" i="16"/>
  <c r="K201" i="16"/>
  <c r="S196" i="16"/>
  <c r="O15" i="207"/>
  <c r="U112" i="13"/>
  <c r="Y112" i="13" s="1"/>
  <c r="E53" i="162" s="1"/>
  <c r="F32" i="72" s="1"/>
  <c r="S173" i="202"/>
  <c r="T157" i="16"/>
  <c r="X157" i="16" s="1"/>
  <c r="V126" i="16"/>
  <c r="W164" i="13"/>
  <c r="R160" i="16"/>
  <c r="T93" i="13"/>
  <c r="G200" i="13"/>
  <c r="O310" i="202"/>
  <c r="K154" i="13"/>
  <c r="F18" i="207" s="1"/>
  <c r="G131" i="13"/>
  <c r="G154" i="13" s="1"/>
  <c r="P172" i="16"/>
  <c r="P171" i="16"/>
  <c r="J31" i="207"/>
  <c r="O106" i="13"/>
  <c r="N184" i="16" s="1"/>
  <c r="L342" i="202"/>
  <c r="L343" i="202" s="1"/>
  <c r="J57" i="202"/>
  <c r="J47" i="207"/>
  <c r="M18" i="202"/>
  <c r="E38" i="219" s="1"/>
  <c r="P292" i="202"/>
  <c r="T64" i="157" l="1"/>
  <c r="P43" i="209" s="1"/>
  <c r="Y23" i="28"/>
  <c r="Y163" i="28" s="1"/>
  <c r="V11" i="70"/>
  <c r="V23" i="70" s="1"/>
  <c r="V162" i="70" s="1"/>
  <c r="V170" i="70" s="1"/>
  <c r="Z11" i="28"/>
  <c r="U15" i="176"/>
  <c r="U21" i="176" s="1"/>
  <c r="U23" i="176" s="1"/>
  <c r="S68" i="157"/>
  <c r="O46" i="209"/>
  <c r="S37" i="181"/>
  <c r="S85" i="181" s="1"/>
  <c r="T56" i="176"/>
  <c r="T58" i="176" s="1"/>
  <c r="T33" i="176"/>
  <c r="T42" i="176" s="1"/>
  <c r="S166" i="13"/>
  <c r="S155" i="164"/>
  <c r="M128" i="13"/>
  <c r="N128" i="13" s="1"/>
  <c r="N171" i="13" s="1"/>
  <c r="E6" i="219"/>
  <c r="O170" i="13"/>
  <c r="O199" i="13" s="1"/>
  <c r="F11" i="219"/>
  <c r="P168" i="13"/>
  <c r="M22" i="219"/>
  <c r="N8" i="219"/>
  <c r="N22" i="219" s="1"/>
  <c r="M21" i="219"/>
  <c r="N7" i="219"/>
  <c r="N21" i="219" s="1"/>
  <c r="E17" i="213"/>
  <c r="N157" i="13"/>
  <c r="I10" i="219"/>
  <c r="I24" i="219" s="1"/>
  <c r="S167" i="13"/>
  <c r="S196" i="13" s="1"/>
  <c r="S181" i="164"/>
  <c r="M95" i="13"/>
  <c r="L159" i="16"/>
  <c r="F14" i="213"/>
  <c r="I31" i="207"/>
  <c r="R195" i="13"/>
  <c r="L101" i="219"/>
  <c r="L73" i="219"/>
  <c r="L191" i="16"/>
  <c r="Q24" i="209"/>
  <c r="U21" i="181"/>
  <c r="U87" i="181" s="1"/>
  <c r="T132" i="16"/>
  <c r="X132" i="16" s="1"/>
  <c r="Q18" i="209"/>
  <c r="U19" i="181"/>
  <c r="R292" i="202"/>
  <c r="R293" i="202" s="1"/>
  <c r="P43" i="207"/>
  <c r="E41" i="214"/>
  <c r="H12" i="213"/>
  <c r="F14" i="104"/>
  <c r="G16" i="34"/>
  <c r="Q28" i="44"/>
  <c r="W28" i="44"/>
  <c r="W30" i="44" s="1"/>
  <c r="H31" i="72"/>
  <c r="G21" i="102" s="1"/>
  <c r="N31" i="72"/>
  <c r="M21" i="102" s="1"/>
  <c r="Q31" i="72"/>
  <c r="P21" i="102" s="1"/>
  <c r="E124" i="93"/>
  <c r="E55" i="107" s="1"/>
  <c r="X31" i="72"/>
  <c r="W21" i="102" s="1"/>
  <c r="T31" i="72"/>
  <c r="S21" i="102" s="1"/>
  <c r="E21" i="102"/>
  <c r="K31" i="72"/>
  <c r="J21" i="102" s="1"/>
  <c r="E20" i="219"/>
  <c r="E76" i="219"/>
  <c r="N17" i="101"/>
  <c r="M17" i="101" s="1"/>
  <c r="S33" i="44"/>
  <c r="P17" i="101" s="1"/>
  <c r="AF18" i="101"/>
  <c r="AH36" i="44"/>
  <c r="AH18" i="101" s="1"/>
  <c r="AE288" i="34"/>
  <c r="T145" i="16"/>
  <c r="X141" i="16"/>
  <c r="W14" i="202"/>
  <c r="S242" i="202"/>
  <c r="S243" i="202" s="1"/>
  <c r="F212" i="215"/>
  <c r="F236" i="34"/>
  <c r="G235" i="34"/>
  <c r="L30" i="44"/>
  <c r="K30" i="44" s="1"/>
  <c r="M169" i="13"/>
  <c r="M198" i="13" s="1"/>
  <c r="H32" i="207" s="1"/>
  <c r="C9" i="219"/>
  <c r="I18" i="101"/>
  <c r="L36" i="44"/>
  <c r="E126" i="93"/>
  <c r="H32" i="72"/>
  <c r="G19" i="102" s="1"/>
  <c r="Q32" i="72"/>
  <c r="P19" i="102" s="1"/>
  <c r="T32" i="72"/>
  <c r="S19" i="102" s="1"/>
  <c r="K32" i="72"/>
  <c r="J19" i="102" s="1"/>
  <c r="X32" i="72"/>
  <c r="W19" i="102" s="1"/>
  <c r="N32" i="72"/>
  <c r="M19" i="102" s="1"/>
  <c r="E19" i="102"/>
  <c r="AE18" i="101"/>
  <c r="H33" i="45"/>
  <c r="G19" i="105" s="1"/>
  <c r="I11" i="182"/>
  <c r="S197" i="202"/>
  <c r="S198" i="202" s="1"/>
  <c r="T133" i="16"/>
  <c r="X133" i="16" s="1"/>
  <c r="F18" i="101"/>
  <c r="F288" i="34"/>
  <c r="W13" i="202"/>
  <c r="S217" i="202"/>
  <c r="S29" i="44"/>
  <c r="U29" i="44"/>
  <c r="J101" i="219"/>
  <c r="J73" i="219"/>
  <c r="K115" i="219"/>
  <c r="F106" i="219"/>
  <c r="F120" i="219" s="1"/>
  <c r="F78" i="219"/>
  <c r="R53" i="202"/>
  <c r="Q42" i="195" s="1"/>
  <c r="J47" i="219"/>
  <c r="D106" i="219"/>
  <c r="D78" i="219"/>
  <c r="E106" i="219"/>
  <c r="E120" i="219" s="1"/>
  <c r="E78" i="219"/>
  <c r="R186" i="202"/>
  <c r="R74" i="202" s="1"/>
  <c r="R95" i="202" s="1"/>
  <c r="C72" i="103"/>
  <c r="C74" i="103" s="1"/>
  <c r="C75" i="103"/>
  <c r="E44" i="45"/>
  <c r="E48" i="44"/>
  <c r="V141" i="16"/>
  <c r="V145" i="16" s="1"/>
  <c r="V146" i="16" s="1"/>
  <c r="V147" i="16" s="1"/>
  <c r="V256" i="16" s="1"/>
  <c r="T134" i="16"/>
  <c r="X134" i="16" s="1"/>
  <c r="I20" i="202"/>
  <c r="U202" i="202"/>
  <c r="U203" i="202" s="1"/>
  <c r="U204" i="202" s="1"/>
  <c r="U210" i="202" s="1"/>
  <c r="J241" i="16"/>
  <c r="I16" i="157" s="1"/>
  <c r="E14" i="209" s="1"/>
  <c r="U132" i="16"/>
  <c r="U133" i="16" s="1"/>
  <c r="P176" i="16"/>
  <c r="T218" i="202"/>
  <c r="T219" i="202" s="1"/>
  <c r="T220" i="202" s="1"/>
  <c r="N286" i="202"/>
  <c r="N78" i="202" s="1"/>
  <c r="N99" i="202" s="1"/>
  <c r="N36" i="202"/>
  <c r="H131" i="13"/>
  <c r="H154" i="13" s="1"/>
  <c r="O178" i="16"/>
  <c r="O258" i="16" s="1"/>
  <c r="K47" i="207" s="1"/>
  <c r="P162" i="16"/>
  <c r="P163" i="16" s="1"/>
  <c r="C31" i="72"/>
  <c r="C32" i="72" s="1"/>
  <c r="O34" i="202"/>
  <c r="O236" i="202"/>
  <c r="O76" i="202" s="1"/>
  <c r="O97" i="202" s="1"/>
  <c r="K344" i="202"/>
  <c r="K360" i="202" s="1"/>
  <c r="P248" i="202"/>
  <c r="P249" i="202" s="1"/>
  <c r="P260" i="202" s="1"/>
  <c r="U146" i="16"/>
  <c r="U147" i="16" s="1"/>
  <c r="U256" i="16" s="1"/>
  <c r="M190" i="16"/>
  <c r="M191" i="16" s="1"/>
  <c r="L259" i="16"/>
  <c r="S211" i="172"/>
  <c r="T203" i="172"/>
  <c r="T207" i="172" s="1"/>
  <c r="O271" i="202"/>
  <c r="M36" i="202"/>
  <c r="E49" i="219" s="1"/>
  <c r="M286" i="202"/>
  <c r="M78" i="202" s="1"/>
  <c r="M342" i="202"/>
  <c r="S175" i="16"/>
  <c r="Y101" i="13"/>
  <c r="F44" i="162" s="1"/>
  <c r="S160" i="16"/>
  <c r="U93" i="13"/>
  <c r="U157" i="16"/>
  <c r="T196" i="16"/>
  <c r="X196" i="16" s="1"/>
  <c r="U151" i="13"/>
  <c r="V112" i="13"/>
  <c r="T102" i="13"/>
  <c r="S174" i="16"/>
  <c r="Y100" i="13"/>
  <c r="F43" i="162" s="1"/>
  <c r="O44" i="207"/>
  <c r="R15" i="202"/>
  <c r="J35" i="219" s="1"/>
  <c r="T183" i="16"/>
  <c r="X183" i="16" s="1"/>
  <c r="U150" i="13"/>
  <c r="Y150" i="13" s="1"/>
  <c r="V105" i="13"/>
  <c r="U242" i="202"/>
  <c r="U243" i="202" s="1"/>
  <c r="U40" i="195"/>
  <c r="Q199" i="16"/>
  <c r="R153" i="16"/>
  <c r="H200" i="13"/>
  <c r="Q295" i="202"/>
  <c r="Q296" i="202" s="1"/>
  <c r="S174" i="202"/>
  <c r="S175" i="202" s="1"/>
  <c r="S176" i="202" s="1"/>
  <c r="S177" i="202" s="1"/>
  <c r="S185" i="202" s="1"/>
  <c r="P188" i="16"/>
  <c r="R108" i="13"/>
  <c r="Q109" i="13"/>
  <c r="U92" i="202"/>
  <c r="R245" i="202"/>
  <c r="R246" i="202" s="1"/>
  <c r="R43" i="207"/>
  <c r="C73" i="36"/>
  <c r="C74" i="36" s="1"/>
  <c r="G47" i="207"/>
  <c r="J18" i="202"/>
  <c r="T173" i="202"/>
  <c r="T174" i="202" s="1"/>
  <c r="T175" i="202" s="1"/>
  <c r="T176" i="202" s="1"/>
  <c r="AM92" i="172"/>
  <c r="R187" i="16"/>
  <c r="T107" i="13"/>
  <c r="P267" i="202"/>
  <c r="Q261" i="202"/>
  <c r="Q77" i="202" s="1"/>
  <c r="Q98" i="202" s="1"/>
  <c r="Q35" i="202"/>
  <c r="Q56" i="202" s="1"/>
  <c r="L29" i="207"/>
  <c r="AH118" i="185"/>
  <c r="AG119" i="185"/>
  <c r="AG80" i="185" s="1"/>
  <c r="Q27" i="207"/>
  <c r="O257" i="16"/>
  <c r="M200" i="16"/>
  <c r="M201" i="16" s="1"/>
  <c r="N116" i="13"/>
  <c r="N169" i="13" s="1"/>
  <c r="N198" i="13" s="1"/>
  <c r="F15" i="213" s="1"/>
  <c r="O115" i="13"/>
  <c r="Q154" i="16"/>
  <c r="Q155" i="16"/>
  <c r="I367" i="202"/>
  <c r="I385" i="202" s="1"/>
  <c r="I40" i="202" s="1"/>
  <c r="I61" i="202" s="1"/>
  <c r="I103" i="202"/>
  <c r="O123" i="13"/>
  <c r="Q267" i="202"/>
  <c r="W149" i="13"/>
  <c r="V169" i="16"/>
  <c r="P97" i="202"/>
  <c r="K202" i="16"/>
  <c r="K172" i="13"/>
  <c r="K201" i="13" s="1"/>
  <c r="F35" i="207" s="1"/>
  <c r="G132" i="13"/>
  <c r="G172" i="13" s="1"/>
  <c r="AF83" i="185"/>
  <c r="AF84" i="185" s="1"/>
  <c r="AF14" i="185"/>
  <c r="AF16" i="185" s="1"/>
  <c r="AG13" i="185" s="1"/>
  <c r="Q172" i="16"/>
  <c r="Q171" i="16"/>
  <c r="J33" i="207"/>
  <c r="P120" i="13"/>
  <c r="J46" i="207"/>
  <c r="M17" i="202"/>
  <c r="Q224" i="202"/>
  <c r="Q225" i="202" s="1"/>
  <c r="R161" i="16"/>
  <c r="T94" i="13"/>
  <c r="T95" i="13" s="1"/>
  <c r="U173" i="202"/>
  <c r="U174" i="202" s="1"/>
  <c r="U175" i="202" s="1"/>
  <c r="L344" i="202"/>
  <c r="O311" i="202"/>
  <c r="O79" i="202" s="1"/>
  <c r="O100" i="202" s="1"/>
  <c r="O37" i="202"/>
  <c r="W193" i="13"/>
  <c r="R170" i="16"/>
  <c r="N30" i="207"/>
  <c r="AD6" i="184"/>
  <c r="AD10" i="184" s="1"/>
  <c r="AC18" i="184"/>
  <c r="R222" i="202"/>
  <c r="R223" i="202" s="1"/>
  <c r="R224" i="202" s="1"/>
  <c r="Q39" i="195"/>
  <c r="Q41" i="195" s="1"/>
  <c r="R52" i="202"/>
  <c r="P293" i="202"/>
  <c r="I44" i="195"/>
  <c r="N185" i="16"/>
  <c r="N189" i="16" s="1"/>
  <c r="V128" i="16"/>
  <c r="V127" i="16"/>
  <c r="T158" i="16"/>
  <c r="X158" i="16" s="1"/>
  <c r="T244" i="202"/>
  <c r="K190" i="16"/>
  <c r="K191" i="16" s="1"/>
  <c r="D135" i="13"/>
  <c r="C56" i="14"/>
  <c r="D136" i="13" s="1"/>
  <c r="U153" i="202"/>
  <c r="U154" i="202" s="1"/>
  <c r="U160" i="202" s="1"/>
  <c r="U159" i="16"/>
  <c r="L286" i="202"/>
  <c r="L78" i="202" s="1"/>
  <c r="L36" i="202"/>
  <c r="L198" i="13"/>
  <c r="K16" i="207"/>
  <c r="Q119" i="13"/>
  <c r="Q152" i="13" s="1"/>
  <c r="L202" i="16"/>
  <c r="L203" i="16" s="1"/>
  <c r="L260" i="16" s="1"/>
  <c r="G46" i="207"/>
  <c r="J17" i="202"/>
  <c r="L317" i="202"/>
  <c r="L318" i="202" s="1"/>
  <c r="P106" i="13"/>
  <c r="O184" i="16" s="1"/>
  <c r="Q13" i="207"/>
  <c r="U50" i="202"/>
  <c r="W50" i="202" s="1"/>
  <c r="P55" i="202"/>
  <c r="U217" i="202"/>
  <c r="W11" i="70" l="1"/>
  <c r="W23" i="70" s="1"/>
  <c r="W162" i="70" s="1"/>
  <c r="W170" i="70" s="1"/>
  <c r="U64" i="157"/>
  <c r="Q43" i="209" s="1"/>
  <c r="Z23" i="28"/>
  <c r="Z163" i="28" s="1"/>
  <c r="O47" i="209"/>
  <c r="S75" i="157"/>
  <c r="O54" i="209" s="1"/>
  <c r="T67" i="157"/>
  <c r="Y171" i="28"/>
  <c r="V172" i="70" s="1"/>
  <c r="U56" i="176"/>
  <c r="U58" i="176" s="1"/>
  <c r="U33" i="176"/>
  <c r="U42" i="176" s="1"/>
  <c r="N200" i="13"/>
  <c r="F17" i="213" s="1"/>
  <c r="N175" i="13"/>
  <c r="T166" i="13"/>
  <c r="T155" i="164"/>
  <c r="J10" i="219"/>
  <c r="J24" i="219" s="1"/>
  <c r="T167" i="13"/>
  <c r="T196" i="13" s="1"/>
  <c r="T181" i="164"/>
  <c r="L154" i="16"/>
  <c r="L155" i="16"/>
  <c r="G11" i="219"/>
  <c r="Q168" i="13"/>
  <c r="Y93" i="13"/>
  <c r="F38" i="162" s="1"/>
  <c r="M155" i="164"/>
  <c r="M166" i="13"/>
  <c r="M195" i="13" s="1"/>
  <c r="H29" i="207" s="1"/>
  <c r="F6" i="219"/>
  <c r="P170" i="13"/>
  <c r="P199" i="13" s="1"/>
  <c r="P197" i="13"/>
  <c r="K31" i="207" s="1"/>
  <c r="S195" i="13"/>
  <c r="L115" i="219"/>
  <c r="W92" i="202"/>
  <c r="V15" i="72" s="1"/>
  <c r="AA39" i="195"/>
  <c r="U120" i="181"/>
  <c r="F21" i="102"/>
  <c r="T255" i="16"/>
  <c r="X255" i="16" s="1"/>
  <c r="R19" i="102"/>
  <c r="I21" i="102"/>
  <c r="N18" i="202"/>
  <c r="F38" i="219" s="1"/>
  <c r="P177" i="16"/>
  <c r="P178" i="16" s="1"/>
  <c r="P258" i="16" s="1"/>
  <c r="S199" i="202"/>
  <c r="S200" i="202" s="1"/>
  <c r="S201" i="202" s="1"/>
  <c r="F45" i="162"/>
  <c r="F42" i="44" s="1"/>
  <c r="C76" i="103"/>
  <c r="O19" i="102"/>
  <c r="S244" i="202"/>
  <c r="I32" i="207"/>
  <c r="D9" i="219"/>
  <c r="D23" i="219" s="1"/>
  <c r="H132" i="13"/>
  <c r="H172" i="13" s="1"/>
  <c r="H201" i="13" s="1"/>
  <c r="S218" i="202"/>
  <c r="I19" i="102"/>
  <c r="E53" i="107"/>
  <c r="R21" i="102"/>
  <c r="L21" i="102"/>
  <c r="F20" i="219"/>
  <c r="F76" i="219"/>
  <c r="T146" i="16"/>
  <c r="X145" i="16"/>
  <c r="P15" i="207"/>
  <c r="Y151" i="13"/>
  <c r="K18" i="101"/>
  <c r="W36" i="44"/>
  <c r="W18" i="101" s="1"/>
  <c r="Q36" i="44"/>
  <c r="L19" i="102"/>
  <c r="T235" i="34"/>
  <c r="S212" i="215" s="1"/>
  <c r="Z235" i="34"/>
  <c r="Y212" i="215" s="1"/>
  <c r="G212" i="215"/>
  <c r="AA235" i="34"/>
  <c r="Z212" i="215" s="1"/>
  <c r="R235" i="34"/>
  <c r="Q212" i="215" s="1"/>
  <c r="L235" i="34"/>
  <c r="K212" i="215" s="1"/>
  <c r="P235" i="34"/>
  <c r="W235" i="34"/>
  <c r="V212" i="215" s="1"/>
  <c r="U235" i="34"/>
  <c r="T212" i="215" s="1"/>
  <c r="M235" i="34"/>
  <c r="L212" i="215" s="1"/>
  <c r="Y235" i="34"/>
  <c r="X212" i="215" s="1"/>
  <c r="O235" i="34"/>
  <c r="N235" i="34"/>
  <c r="K235" i="34"/>
  <c r="J212" i="215" s="1"/>
  <c r="X235" i="34"/>
  <c r="W212" i="215" s="1"/>
  <c r="V235" i="34"/>
  <c r="U212" i="215" s="1"/>
  <c r="Q235" i="34"/>
  <c r="P212" i="215" s="1"/>
  <c r="S235" i="34"/>
  <c r="R212" i="215" s="1"/>
  <c r="J235" i="34"/>
  <c r="I212" i="215" s="1"/>
  <c r="S28" i="44"/>
  <c r="S30" i="44" s="1"/>
  <c r="U28" i="44"/>
  <c r="U30" i="44" s="1"/>
  <c r="R16" i="101" s="1"/>
  <c r="Q30" i="44"/>
  <c r="I16" i="181"/>
  <c r="I392" i="202"/>
  <c r="I410" i="202" s="1"/>
  <c r="I41" i="202" s="1"/>
  <c r="I62" i="202" s="1"/>
  <c r="F19" i="102"/>
  <c r="F213" i="215"/>
  <c r="G236" i="34"/>
  <c r="G238" i="34" s="1"/>
  <c r="O21" i="102"/>
  <c r="E14" i="104"/>
  <c r="AE16" i="34"/>
  <c r="L57" i="202"/>
  <c r="K44" i="195" s="1"/>
  <c r="D49" i="219"/>
  <c r="E105" i="219"/>
  <c r="E119" i="219" s="1"/>
  <c r="E77" i="219"/>
  <c r="O55" i="202"/>
  <c r="N43" i="195" s="1"/>
  <c r="D120" i="219"/>
  <c r="J103" i="219"/>
  <c r="J117" i="219" s="1"/>
  <c r="J75" i="219"/>
  <c r="O58" i="202"/>
  <c r="N45" i="195" s="1"/>
  <c r="G50" i="219"/>
  <c r="N57" i="202"/>
  <c r="M44" i="195" s="1"/>
  <c r="F49" i="219"/>
  <c r="J115" i="219"/>
  <c r="C78" i="103"/>
  <c r="E32" i="72"/>
  <c r="E49" i="44"/>
  <c r="E45" i="45"/>
  <c r="I104" i="202"/>
  <c r="T221" i="202"/>
  <c r="T222" i="202" s="1"/>
  <c r="T223" i="202" s="1"/>
  <c r="Q268" i="202"/>
  <c r="Q269" i="202" s="1"/>
  <c r="Q235" i="202"/>
  <c r="Q34" i="202" s="1"/>
  <c r="V132" i="16"/>
  <c r="V133" i="16" s="1"/>
  <c r="U211" i="202"/>
  <c r="U75" i="202" s="1"/>
  <c r="U96" i="202" s="1"/>
  <c r="U33" i="202"/>
  <c r="U54" i="202" s="1"/>
  <c r="K361" i="202"/>
  <c r="K81" i="202" s="1"/>
  <c r="K102" i="202" s="1"/>
  <c r="K39" i="202"/>
  <c r="Q176" i="16"/>
  <c r="L172" i="13"/>
  <c r="K203" i="16"/>
  <c r="K241" i="16" s="1"/>
  <c r="Q162" i="16"/>
  <c r="Q163" i="16" s="1"/>
  <c r="Q164" i="16" s="1"/>
  <c r="R225" i="202"/>
  <c r="R226" i="202" s="1"/>
  <c r="R235" i="202" s="1"/>
  <c r="S186" i="202"/>
  <c r="S74" i="202" s="1"/>
  <c r="S32" i="202"/>
  <c r="P35" i="202"/>
  <c r="P261" i="202"/>
  <c r="P77" i="202" s="1"/>
  <c r="U244" i="202"/>
  <c r="U30" i="202"/>
  <c r="W30" i="202" s="1"/>
  <c r="U161" i="202"/>
  <c r="U72" i="202" s="1"/>
  <c r="W72" i="202" s="1"/>
  <c r="N190" i="16"/>
  <c r="N191" i="16" s="1"/>
  <c r="R45" i="207"/>
  <c r="U16" i="202"/>
  <c r="M36" i="219" s="1"/>
  <c r="N36" i="219" s="1"/>
  <c r="T39" i="195"/>
  <c r="AF39" i="195" s="1"/>
  <c r="O185" i="16"/>
  <c r="O189" i="16" s="1"/>
  <c r="L16" i="207"/>
  <c r="R119" i="13"/>
  <c r="R152" i="13" s="1"/>
  <c r="G135" i="13"/>
  <c r="G155" i="13" s="1"/>
  <c r="G157" i="13" s="1"/>
  <c r="K155" i="13"/>
  <c r="K259" i="16"/>
  <c r="L154" i="13"/>
  <c r="R171" i="16"/>
  <c r="R172" i="16"/>
  <c r="S161" i="16"/>
  <c r="U94" i="13"/>
  <c r="Y94" i="13" s="1"/>
  <c r="F39" i="162" s="1"/>
  <c r="F40" i="162" s="1"/>
  <c r="F39" i="44" s="1"/>
  <c r="M317" i="202"/>
  <c r="P123" i="13"/>
  <c r="AG83" i="185"/>
  <c r="AG84" i="185" s="1"/>
  <c r="AG14" i="185"/>
  <c r="AG16" i="185" s="1"/>
  <c r="AH13" i="185" s="1"/>
  <c r="Q188" i="16"/>
  <c r="S108" i="13"/>
  <c r="R109" i="13"/>
  <c r="Q297" i="202"/>
  <c r="Q298" i="202" s="1"/>
  <c r="V150" i="13"/>
  <c r="U183" i="16"/>
  <c r="W105" i="13"/>
  <c r="U102" i="13"/>
  <c r="U181" i="164" s="1"/>
  <c r="T174" i="16"/>
  <c r="X174" i="16" s="1"/>
  <c r="V151" i="13"/>
  <c r="Q15" i="207" s="1"/>
  <c r="U196" i="16"/>
  <c r="W112" i="13"/>
  <c r="M343" i="202"/>
  <c r="M344" i="202" s="1"/>
  <c r="M345" i="202" s="1"/>
  <c r="M57" i="202"/>
  <c r="O272" i="202"/>
  <c r="O273" i="202" s="1"/>
  <c r="H48" i="207"/>
  <c r="K19" i="202"/>
  <c r="C39" i="219" s="1"/>
  <c r="AD18" i="184"/>
  <c r="AE6" i="184"/>
  <c r="AE10" i="184" s="1"/>
  <c r="S153" i="16"/>
  <c r="P14" i="207"/>
  <c r="T175" i="16"/>
  <c r="X175" i="16" s="1"/>
  <c r="T208" i="172"/>
  <c r="T209" i="172" s="1"/>
  <c r="M259" i="16"/>
  <c r="G14" i="213" s="1"/>
  <c r="U218" i="202"/>
  <c r="J317" i="202"/>
  <c r="J318" i="202" s="1"/>
  <c r="H49" i="207"/>
  <c r="K20" i="202"/>
  <c r="K33" i="207"/>
  <c r="Q120" i="13"/>
  <c r="U176" i="202"/>
  <c r="U177" i="202" s="1"/>
  <c r="U178" i="202" s="1"/>
  <c r="U179" i="202" s="1"/>
  <c r="U185" i="202" s="1"/>
  <c r="O30" i="207"/>
  <c r="S170" i="16"/>
  <c r="L99" i="202"/>
  <c r="U158" i="16"/>
  <c r="R27" i="207"/>
  <c r="N200" i="16"/>
  <c r="N201" i="16" s="1"/>
  <c r="P115" i="13"/>
  <c r="O116" i="13"/>
  <c r="O169" i="13" s="1"/>
  <c r="O198" i="13" s="1"/>
  <c r="AI118" i="185"/>
  <c r="AI119" i="185" s="1"/>
  <c r="AI80" i="185" s="1"/>
  <c r="AH119" i="185"/>
  <c r="AH80" i="185" s="1"/>
  <c r="S187" i="16"/>
  <c r="U107" i="13"/>
  <c r="Y107" i="13" s="1"/>
  <c r="F48" i="162" s="1"/>
  <c r="AN92" i="172"/>
  <c r="AO92" i="172"/>
  <c r="R199" i="16"/>
  <c r="R267" i="202"/>
  <c r="R268" i="202" s="1"/>
  <c r="L345" i="202"/>
  <c r="L360" i="202" s="1"/>
  <c r="Q45" i="207"/>
  <c r="T16" i="202"/>
  <c r="L36" i="219" s="1"/>
  <c r="V159" i="16"/>
  <c r="P294" i="202"/>
  <c r="L153" i="13"/>
  <c r="L319" i="202"/>
  <c r="G32" i="207"/>
  <c r="G136" i="13"/>
  <c r="G173" i="13" s="1"/>
  <c r="G202" i="13" s="1"/>
  <c r="K245" i="16"/>
  <c r="T245" i="202"/>
  <c r="T246" i="202" s="1"/>
  <c r="R294" i="202"/>
  <c r="M29" i="207"/>
  <c r="G201" i="13"/>
  <c r="R13" i="207"/>
  <c r="M202" i="16"/>
  <c r="M245" i="16" s="1"/>
  <c r="J28" i="186" s="1"/>
  <c r="K46" i="207"/>
  <c r="N17" i="202"/>
  <c r="P268" i="202"/>
  <c r="T177" i="202"/>
  <c r="T178" i="202" s="1"/>
  <c r="T185" i="202" s="1"/>
  <c r="J342" i="202"/>
  <c r="H47" i="195"/>
  <c r="U134" i="16"/>
  <c r="R247" i="202"/>
  <c r="R248" i="202" s="1"/>
  <c r="Q106" i="13"/>
  <c r="P184" i="16" s="1"/>
  <c r="R154" i="16"/>
  <c r="R155" i="16"/>
  <c r="J224" i="16"/>
  <c r="K171" i="13"/>
  <c r="K200" i="13" s="1"/>
  <c r="F34" i="207" s="1"/>
  <c r="V157" i="16"/>
  <c r="T160" i="16"/>
  <c r="X160" i="16" s="1"/>
  <c r="V93" i="13"/>
  <c r="M99" i="202"/>
  <c r="C75" i="36"/>
  <c r="P164" i="16"/>
  <c r="L162" i="16" l="1"/>
  <c r="T68" i="157"/>
  <c r="P46" i="209"/>
  <c r="T37" i="181"/>
  <c r="T85" i="181" s="1"/>
  <c r="U67" i="157"/>
  <c r="Z171" i="28"/>
  <c r="W172" i="70" s="1"/>
  <c r="H11" i="219"/>
  <c r="R168" i="13"/>
  <c r="L163" i="16"/>
  <c r="L245" i="16" s="1"/>
  <c r="I28" i="186" s="1"/>
  <c r="I17" i="186" s="1"/>
  <c r="J17" i="186"/>
  <c r="Q197" i="13"/>
  <c r="L31" i="207" s="1"/>
  <c r="T195" i="13"/>
  <c r="G6" i="219"/>
  <c r="Q170" i="13"/>
  <c r="Q199" i="13" s="1"/>
  <c r="U95" i="13"/>
  <c r="U155" i="164" s="1"/>
  <c r="U13" i="102"/>
  <c r="G39" i="195"/>
  <c r="F12" i="78"/>
  <c r="N342" i="202"/>
  <c r="N343" i="202" s="1"/>
  <c r="S15" i="202"/>
  <c r="K35" i="219" s="1"/>
  <c r="P44" i="207"/>
  <c r="O128" i="13"/>
  <c r="P128" i="13" s="1"/>
  <c r="Q128" i="13" s="1"/>
  <c r="R128" i="13" s="1"/>
  <c r="S128" i="13" s="1"/>
  <c r="T128" i="13" s="1"/>
  <c r="U128" i="13" s="1"/>
  <c r="M171" i="13"/>
  <c r="M200" i="13" s="1"/>
  <c r="H34" i="207" s="1"/>
  <c r="L171" i="13"/>
  <c r="L200" i="13" s="1"/>
  <c r="S202" i="202"/>
  <c r="S210" i="202" s="1"/>
  <c r="S211" i="202" s="1"/>
  <c r="S75" i="202" s="1"/>
  <c r="K224" i="16"/>
  <c r="K244" i="16" s="1"/>
  <c r="K246" i="16" s="1"/>
  <c r="L47" i="207"/>
  <c r="O18" i="202"/>
  <c r="G38" i="219" s="1"/>
  <c r="K260" i="16"/>
  <c r="G175" i="13"/>
  <c r="G20" i="219"/>
  <c r="G76" i="219"/>
  <c r="K173" i="13"/>
  <c r="K202" i="13" s="1"/>
  <c r="K10" i="219"/>
  <c r="Y102" i="13"/>
  <c r="O212" i="215"/>
  <c r="E20" i="101"/>
  <c r="E20" i="78"/>
  <c r="H42" i="44"/>
  <c r="F47" i="195"/>
  <c r="E36" i="93"/>
  <c r="E20" i="107" s="1"/>
  <c r="S245" i="202"/>
  <c r="S246" i="202" s="1"/>
  <c r="S247" i="202" s="1"/>
  <c r="J32" i="207"/>
  <c r="E9" i="219"/>
  <c r="E23" i="219" s="1"/>
  <c r="S36" i="44"/>
  <c r="P18" i="101" s="1"/>
  <c r="N18" i="101"/>
  <c r="M18" i="101" s="1"/>
  <c r="T147" i="16"/>
  <c r="X146" i="16"/>
  <c r="X236" i="34"/>
  <c r="W213" i="215" s="1"/>
  <c r="Y236" i="34"/>
  <c r="X213" i="215" s="1"/>
  <c r="R236" i="34"/>
  <c r="Q213" i="215" s="1"/>
  <c r="P236" i="34"/>
  <c r="O213" i="215" s="1"/>
  <c r="Q236" i="34"/>
  <c r="P213" i="215" s="1"/>
  <c r="J236" i="34"/>
  <c r="I213" i="215" s="1"/>
  <c r="T236" i="34"/>
  <c r="S213" i="215" s="1"/>
  <c r="Z236" i="34"/>
  <c r="Y213" i="215" s="1"/>
  <c r="AA236" i="34"/>
  <c r="Z213" i="215" s="1"/>
  <c r="N236" i="34"/>
  <c r="M213" i="215" s="1"/>
  <c r="W236" i="34"/>
  <c r="V213" i="215" s="1"/>
  <c r="V236" i="34"/>
  <c r="U213" i="215" s="1"/>
  <c r="U236" i="34"/>
  <c r="T213" i="215" s="1"/>
  <c r="K236" i="34"/>
  <c r="J213" i="215" s="1"/>
  <c r="O236" i="34"/>
  <c r="N213" i="215" s="1"/>
  <c r="G213" i="215"/>
  <c r="G215" i="215" s="1"/>
  <c r="M236" i="34"/>
  <c r="L213" i="215" s="1"/>
  <c r="S236" i="34"/>
  <c r="R213" i="215" s="1"/>
  <c r="L236" i="34"/>
  <c r="K213" i="215" s="1"/>
  <c r="N212" i="215"/>
  <c r="J18" i="101"/>
  <c r="Y95" i="13"/>
  <c r="H39" i="44"/>
  <c r="E34" i="93"/>
  <c r="AE235" i="34"/>
  <c r="M212" i="215"/>
  <c r="S219" i="202"/>
  <c r="S220" i="202" s="1"/>
  <c r="K60" i="202"/>
  <c r="J47" i="195" s="1"/>
  <c r="C52" i="219"/>
  <c r="F105" i="219"/>
  <c r="F119" i="219" s="1"/>
  <c r="F77" i="219"/>
  <c r="G106" i="219"/>
  <c r="G78" i="219"/>
  <c r="D105" i="219"/>
  <c r="D77" i="219"/>
  <c r="J45" i="45"/>
  <c r="I20" i="105" s="1"/>
  <c r="E50" i="44"/>
  <c r="E46" i="45"/>
  <c r="Q299" i="202"/>
  <c r="Q300" i="202" s="1"/>
  <c r="Q236" i="202"/>
  <c r="Q76" i="202" s="1"/>
  <c r="Q97" i="202" s="1"/>
  <c r="Q270" i="202"/>
  <c r="Q271" i="202" s="1"/>
  <c r="Q272" i="202" s="1"/>
  <c r="T224" i="202"/>
  <c r="T225" i="202" s="1"/>
  <c r="R249" i="202"/>
  <c r="R250" i="202" s="1"/>
  <c r="R251" i="202" s="1"/>
  <c r="C4" i="219"/>
  <c r="M346" i="202"/>
  <c r="M360" i="202" s="1"/>
  <c r="R176" i="16"/>
  <c r="R177" i="16" s="1"/>
  <c r="R178" i="16" s="1"/>
  <c r="R258" i="16" s="1"/>
  <c r="Q177" i="16"/>
  <c r="Q178" i="16" s="1"/>
  <c r="Q258" i="16" s="1"/>
  <c r="R269" i="202"/>
  <c r="R270" i="202" s="1"/>
  <c r="V40" i="195"/>
  <c r="H135" i="13"/>
  <c r="H155" i="13" s="1"/>
  <c r="H157" i="13" s="1"/>
  <c r="R162" i="16"/>
  <c r="R163" i="16" s="1"/>
  <c r="R164" i="16" s="1"/>
  <c r="O285" i="202"/>
  <c r="O286" i="202" s="1"/>
  <c r="O78" i="202" s="1"/>
  <c r="U203" i="172"/>
  <c r="U207" i="172" s="1"/>
  <c r="T211" i="172"/>
  <c r="U186" i="202"/>
  <c r="U74" i="202" s="1"/>
  <c r="U95" i="202" s="1"/>
  <c r="U32" i="202"/>
  <c r="Q257" i="16"/>
  <c r="N259" i="16"/>
  <c r="T187" i="16"/>
  <c r="X187" i="16" s="1"/>
  <c r="V107" i="13"/>
  <c r="S172" i="16"/>
  <c r="S171" i="16"/>
  <c r="U160" i="16"/>
  <c r="W93" i="13"/>
  <c r="C76" i="36"/>
  <c r="O124" i="13"/>
  <c r="O171" i="13" s="1"/>
  <c r="O200" i="13" s="1"/>
  <c r="N317" i="202"/>
  <c r="N318" i="202" s="1"/>
  <c r="T292" i="202"/>
  <c r="AI14" i="185"/>
  <c r="AI83" i="185"/>
  <c r="AI84" i="185" s="1"/>
  <c r="I48" i="207"/>
  <c r="L19" i="202"/>
  <c r="D39" i="219" s="1"/>
  <c r="U175" i="16"/>
  <c r="AF6" i="184"/>
  <c r="AF10" i="184" s="1"/>
  <c r="AE18" i="184"/>
  <c r="W151" i="13"/>
  <c r="R15" i="207" s="1"/>
  <c r="V196" i="16"/>
  <c r="W150" i="13"/>
  <c r="V183" i="16"/>
  <c r="Q123" i="13"/>
  <c r="L201" i="13"/>
  <c r="H18" i="213" s="1"/>
  <c r="M154" i="13"/>
  <c r="H18" i="207" s="1"/>
  <c r="L155" i="13"/>
  <c r="E20" i="213" s="1"/>
  <c r="M16" i="207"/>
  <c r="S119" i="13"/>
  <c r="S152" i="13" s="1"/>
  <c r="U292" i="202"/>
  <c r="U293" i="202" s="1"/>
  <c r="U294" i="202" s="1"/>
  <c r="R34" i="202"/>
  <c r="R236" i="202"/>
  <c r="R76" i="202" s="1"/>
  <c r="P56" i="202"/>
  <c r="S95" i="202"/>
  <c r="P257" i="16"/>
  <c r="M153" i="13"/>
  <c r="H17" i="207" s="1"/>
  <c r="P295" i="202"/>
  <c r="P296" i="202" s="1"/>
  <c r="P297" i="202" s="1"/>
  <c r="V158" i="16"/>
  <c r="U167" i="13"/>
  <c r="R106" i="13"/>
  <c r="Q184" i="16" s="1"/>
  <c r="J16" i="157"/>
  <c r="W40" i="195"/>
  <c r="L361" i="202"/>
  <c r="L81" i="202" s="1"/>
  <c r="L102" i="202" s="1"/>
  <c r="L39" i="202"/>
  <c r="P269" i="202"/>
  <c r="T186" i="202"/>
  <c r="T74" i="202" s="1"/>
  <c r="T32" i="202"/>
  <c r="L47" i="219" s="1"/>
  <c r="R295" i="202"/>
  <c r="R296" i="202" s="1"/>
  <c r="R297" i="202" s="1"/>
  <c r="G17" i="207"/>
  <c r="L320" i="202"/>
  <c r="L335" i="202" s="1"/>
  <c r="S199" i="16"/>
  <c r="U114" i="13"/>
  <c r="Y114" i="13" s="1"/>
  <c r="F53" i="162" s="1"/>
  <c r="F48" i="44" s="1"/>
  <c r="O200" i="16"/>
  <c r="O201" i="16" s="1"/>
  <c r="Q115" i="13"/>
  <c r="P116" i="13"/>
  <c r="P169" i="13" s="1"/>
  <c r="N29" i="207"/>
  <c r="J335" i="202"/>
  <c r="Q14" i="207"/>
  <c r="R188" i="16"/>
  <c r="T108" i="13"/>
  <c r="S109" i="13"/>
  <c r="Q55" i="202"/>
  <c r="M318" i="202"/>
  <c r="G18" i="207"/>
  <c r="F19" i="207"/>
  <c r="F20" i="207" s="1"/>
  <c r="K157" i="13"/>
  <c r="K158" i="13" s="1"/>
  <c r="U93" i="202"/>
  <c r="U73" i="202"/>
  <c r="W73" i="202" s="1"/>
  <c r="U245" i="202"/>
  <c r="U246" i="202" s="1"/>
  <c r="J343" i="202"/>
  <c r="J360" i="202" s="1"/>
  <c r="S155" i="16"/>
  <c r="S154" i="16"/>
  <c r="K367" i="202"/>
  <c r="L44" i="195"/>
  <c r="T161" i="16"/>
  <c r="X161" i="16" s="1"/>
  <c r="V94" i="13"/>
  <c r="V95" i="13" s="1"/>
  <c r="O190" i="16"/>
  <c r="J242" i="16"/>
  <c r="I17" i="157" s="1"/>
  <c r="J262" i="16"/>
  <c r="J244" i="16"/>
  <c r="J246" i="16" s="1"/>
  <c r="G27" i="186" s="1"/>
  <c r="G29" i="186" s="1"/>
  <c r="G11" i="186" s="1"/>
  <c r="J234" i="16"/>
  <c r="L224" i="16"/>
  <c r="P185" i="16"/>
  <c r="P189" i="16" s="1"/>
  <c r="U255" i="16"/>
  <c r="M203" i="16"/>
  <c r="T247" i="202"/>
  <c r="H28" i="186"/>
  <c r="H17" i="186" s="1"/>
  <c r="G203" i="13"/>
  <c r="H136" i="13"/>
  <c r="H173" i="13" s="1"/>
  <c r="U219" i="202"/>
  <c r="AH14" i="185"/>
  <c r="AH16" i="185" s="1"/>
  <c r="AI13" i="185" s="1"/>
  <c r="AI16" i="185" s="1"/>
  <c r="AH83" i="185"/>
  <c r="AH84" i="185" s="1"/>
  <c r="N202" i="16"/>
  <c r="N245" i="16" s="1"/>
  <c r="K28" i="186" s="1"/>
  <c r="K17" i="186" s="1"/>
  <c r="L33" i="207"/>
  <c r="R120" i="13"/>
  <c r="K392" i="202"/>
  <c r="U166" i="13"/>
  <c r="Y166" i="13" s="1"/>
  <c r="V102" i="13"/>
  <c r="U174" i="16"/>
  <c r="G48" i="207"/>
  <c r="J19" i="202"/>
  <c r="U51" i="202"/>
  <c r="W51" i="202" s="1"/>
  <c r="U31" i="202"/>
  <c r="P98" i="202"/>
  <c r="S53" i="202"/>
  <c r="V134" i="16"/>
  <c r="U68" i="157" l="1"/>
  <c r="U37" i="181"/>
  <c r="U85" i="181" s="1"/>
  <c r="Q46" i="209"/>
  <c r="T75" i="157"/>
  <c r="P54" i="209" s="1"/>
  <c r="P47" i="209"/>
  <c r="L164" i="16"/>
  <c r="L241" i="16" s="1"/>
  <c r="K16" i="157" s="1"/>
  <c r="V155" i="164"/>
  <c r="L10" i="219"/>
  <c r="L24" i="219" s="1"/>
  <c r="V181" i="164"/>
  <c r="P198" i="13"/>
  <c r="R197" i="13"/>
  <c r="M31" i="207" s="1"/>
  <c r="H6" i="219"/>
  <c r="R170" i="13"/>
  <c r="R199" i="13" s="1"/>
  <c r="I11" i="219"/>
  <c r="S168" i="13"/>
  <c r="S197" i="13" s="1"/>
  <c r="U53" i="202"/>
  <c r="T42" i="195" s="1"/>
  <c r="M47" i="219"/>
  <c r="N47" i="219" s="1"/>
  <c r="W31" i="202"/>
  <c r="M45" i="219"/>
  <c r="N45" i="219" s="1"/>
  <c r="L103" i="219"/>
  <c r="L117" i="219" s="1"/>
  <c r="L75" i="219"/>
  <c r="W74" i="202"/>
  <c r="W32" i="202"/>
  <c r="U94" i="202"/>
  <c r="W94" i="202" s="1"/>
  <c r="AA40" i="195"/>
  <c r="AA41" i="195" s="1"/>
  <c r="W93" i="202"/>
  <c r="V16" i="72" s="1"/>
  <c r="P12" i="78"/>
  <c r="F13" i="100"/>
  <c r="G8" i="208"/>
  <c r="G49" i="207"/>
  <c r="G54" i="207" s="1"/>
  <c r="N344" i="202"/>
  <c r="N345" i="202" s="1"/>
  <c r="N346" i="202" s="1"/>
  <c r="W15" i="202"/>
  <c r="S33" i="202"/>
  <c r="K47" i="219" s="1"/>
  <c r="J20" i="202"/>
  <c r="K242" i="16"/>
  <c r="J17" i="157" s="1"/>
  <c r="J18" i="157" s="1"/>
  <c r="K262" i="16"/>
  <c r="G51" i="207" s="1"/>
  <c r="M215" i="215"/>
  <c r="S267" i="202"/>
  <c r="S268" i="202" s="1"/>
  <c r="G34" i="207"/>
  <c r="K175" i="13"/>
  <c r="M224" i="16"/>
  <c r="M262" i="16" s="1"/>
  <c r="G17" i="213" s="1"/>
  <c r="I34" i="207"/>
  <c r="D4" i="219"/>
  <c r="D18" i="219" s="1"/>
  <c r="M172" i="13"/>
  <c r="M201" i="13" s="1"/>
  <c r="H35" i="207" s="1"/>
  <c r="K234" i="16"/>
  <c r="O238" i="34"/>
  <c r="O32" i="34" s="1"/>
  <c r="O35" i="34" s="1"/>
  <c r="V128" i="13"/>
  <c r="W128" i="13" s="1"/>
  <c r="Y128" i="13"/>
  <c r="C12" i="219"/>
  <c r="O342" i="202"/>
  <c r="O343" i="202" s="1"/>
  <c r="L173" i="13"/>
  <c r="L175" i="13" s="1"/>
  <c r="S221" i="202"/>
  <c r="S222" i="202" s="1"/>
  <c r="S223" i="202" s="1"/>
  <c r="N238" i="34"/>
  <c r="N32" i="34" s="1"/>
  <c r="J30" i="104" s="1"/>
  <c r="J33" i="104" s="1"/>
  <c r="AE236" i="34"/>
  <c r="H20" i="219"/>
  <c r="H76" i="219"/>
  <c r="T170" i="16"/>
  <c r="X170" i="16" s="1"/>
  <c r="Y99" i="13"/>
  <c r="G43" i="162" s="1"/>
  <c r="E77" i="93" s="1"/>
  <c r="E36" i="107" s="1"/>
  <c r="J39" i="44"/>
  <c r="AE39" i="44"/>
  <c r="AF39" i="44"/>
  <c r="N215" i="215"/>
  <c r="K24" i="219"/>
  <c r="E40" i="93"/>
  <c r="H48" i="44"/>
  <c r="G19" i="101" s="1"/>
  <c r="S248" i="202"/>
  <c r="S249" i="202" s="1"/>
  <c r="S250" i="202" s="1"/>
  <c r="S251" i="202" s="1"/>
  <c r="S252" i="202" s="1"/>
  <c r="S260" i="202" s="1"/>
  <c r="T153" i="16"/>
  <c r="X153" i="16" s="1"/>
  <c r="Y89" i="13"/>
  <c r="G35" i="162" s="1"/>
  <c r="K32" i="207"/>
  <c r="F9" i="219"/>
  <c r="F23" i="219" s="1"/>
  <c r="S96" i="202"/>
  <c r="W96" i="202" s="1"/>
  <c r="V19" i="72" s="1"/>
  <c r="W75" i="202"/>
  <c r="E19" i="101"/>
  <c r="E21" i="100"/>
  <c r="F16" i="208"/>
  <c r="F94" i="208" s="1"/>
  <c r="O215" i="215"/>
  <c r="E19" i="78"/>
  <c r="J42" i="44"/>
  <c r="AE42" i="44"/>
  <c r="G20" i="101"/>
  <c r="AF42" i="44"/>
  <c r="P238" i="34"/>
  <c r="U196" i="13"/>
  <c r="P30" i="207" s="1"/>
  <c r="Y167" i="13"/>
  <c r="F46" i="195"/>
  <c r="T256" i="16"/>
  <c r="X147" i="16"/>
  <c r="L60" i="202"/>
  <c r="K47" i="195" s="1"/>
  <c r="D52" i="219"/>
  <c r="D119" i="219"/>
  <c r="G120" i="219"/>
  <c r="C80" i="219"/>
  <c r="Q310" i="202"/>
  <c r="Q311" i="202" s="1"/>
  <c r="Q79" i="202" s="1"/>
  <c r="Q100" i="202" s="1"/>
  <c r="E47" i="45"/>
  <c r="E51" i="44"/>
  <c r="O36" i="202"/>
  <c r="R260" i="202"/>
  <c r="R261" i="202" s="1"/>
  <c r="R77" i="202" s="1"/>
  <c r="R98" i="202" s="1"/>
  <c r="Q273" i="202"/>
  <c r="Q274" i="202" s="1"/>
  <c r="S176" i="16"/>
  <c r="S177" i="16" s="1"/>
  <c r="S178" i="16" s="1"/>
  <c r="S258" i="16" s="1"/>
  <c r="N203" i="16"/>
  <c r="N260" i="16" s="1"/>
  <c r="J49" i="207" s="1"/>
  <c r="T226" i="202"/>
  <c r="T227" i="202" s="1"/>
  <c r="T228" i="202" s="1"/>
  <c r="T235" i="202" s="1"/>
  <c r="S162" i="16"/>
  <c r="S163" i="16" s="1"/>
  <c r="M361" i="202"/>
  <c r="M81" i="202" s="1"/>
  <c r="M102" i="202" s="1"/>
  <c r="M39" i="202"/>
  <c r="R271" i="202"/>
  <c r="R272" i="202" s="1"/>
  <c r="P18" i="202"/>
  <c r="H38" i="219" s="1"/>
  <c r="M47" i="207"/>
  <c r="U295" i="202"/>
  <c r="U296" i="202" s="1"/>
  <c r="U297" i="202" s="1"/>
  <c r="P298" i="202"/>
  <c r="P299" i="202" s="1"/>
  <c r="P310" i="202" s="1"/>
  <c r="P311" i="202" s="1"/>
  <c r="P79" i="202" s="1"/>
  <c r="P100" i="202" s="1"/>
  <c r="J361" i="202"/>
  <c r="J81" i="202" s="1"/>
  <c r="J39" i="202"/>
  <c r="L336" i="202"/>
  <c r="L80" i="202" s="1"/>
  <c r="L101" i="202" s="1"/>
  <c r="L38" i="202"/>
  <c r="N47" i="207"/>
  <c r="Q18" i="202"/>
  <c r="I38" i="219" s="1"/>
  <c r="H48" i="195"/>
  <c r="J367" i="202"/>
  <c r="J368" i="202" s="1"/>
  <c r="H202" i="13"/>
  <c r="H203" i="13" s="1"/>
  <c r="H175" i="13"/>
  <c r="T199" i="16"/>
  <c r="X199" i="16" s="1"/>
  <c r="V114" i="13"/>
  <c r="U170" i="16"/>
  <c r="V167" i="13"/>
  <c r="V196" i="13" s="1"/>
  <c r="Q30" i="207" s="1"/>
  <c r="P190" i="16"/>
  <c r="P191" i="16" s="1"/>
  <c r="S188" i="16"/>
  <c r="U108" i="13"/>
  <c r="Y108" i="13" s="1"/>
  <c r="F49" i="162" s="1"/>
  <c r="F50" i="162" s="1"/>
  <c r="F45" i="44" s="1"/>
  <c r="T109" i="13"/>
  <c r="U39" i="195"/>
  <c r="U41" i="195" s="1"/>
  <c r="O202" i="16"/>
  <c r="O245" i="16" s="1"/>
  <c r="L28" i="186" s="1"/>
  <c r="L17" i="186" s="1"/>
  <c r="T53" i="202"/>
  <c r="R55" i="202"/>
  <c r="T113" i="13"/>
  <c r="S197" i="16" s="1"/>
  <c r="T293" i="202"/>
  <c r="T294" i="202" s="1"/>
  <c r="T295" i="202" s="1"/>
  <c r="U187" i="16"/>
  <c r="W107" i="13"/>
  <c r="L202" i="13"/>
  <c r="J48" i="207"/>
  <c r="M19" i="202"/>
  <c r="E39" i="219" s="1"/>
  <c r="U208" i="172"/>
  <c r="U209" i="172" s="1"/>
  <c r="P270" i="202"/>
  <c r="P271" i="202" s="1"/>
  <c r="U153" i="16"/>
  <c r="V166" i="13"/>
  <c r="T95" i="202"/>
  <c r="W95" i="202" s="1"/>
  <c r="V18" i="72" s="1"/>
  <c r="O127" i="13"/>
  <c r="I17" i="207"/>
  <c r="V175" i="16"/>
  <c r="V160" i="16"/>
  <c r="V39" i="195"/>
  <c r="V41" i="195" s="1"/>
  <c r="V174" i="16"/>
  <c r="W102" i="13"/>
  <c r="U195" i="13"/>
  <c r="F51" i="207"/>
  <c r="F54" i="207" s="1"/>
  <c r="I22" i="202"/>
  <c r="J265" i="16"/>
  <c r="U247" i="202"/>
  <c r="U248" i="202" s="1"/>
  <c r="F36" i="207"/>
  <c r="F37" i="207" s="1"/>
  <c r="K203" i="13"/>
  <c r="I9" i="157"/>
  <c r="I9" i="181" s="1"/>
  <c r="Q185" i="16"/>
  <c r="Q189" i="16" s="1"/>
  <c r="O43" i="195"/>
  <c r="I18" i="207"/>
  <c r="O131" i="13"/>
  <c r="O154" i="13" s="1"/>
  <c r="G35" i="207"/>
  <c r="O29" i="207"/>
  <c r="L262" i="16"/>
  <c r="L242" i="16"/>
  <c r="K17" i="157" s="1"/>
  <c r="L244" i="16"/>
  <c r="L246" i="16" s="1"/>
  <c r="L234" i="16"/>
  <c r="L237" i="16" s="1"/>
  <c r="L238" i="16" s="1"/>
  <c r="P43" i="195"/>
  <c r="J16" i="181"/>
  <c r="F14" i="209"/>
  <c r="L46" i="207"/>
  <c r="O17" i="202"/>
  <c r="H27" i="186"/>
  <c r="H29" i="186" s="1"/>
  <c r="H11" i="186" s="1"/>
  <c r="M155" i="13"/>
  <c r="AF18" i="184"/>
  <c r="AG6" i="184"/>
  <c r="AG10" i="184" s="1"/>
  <c r="J34" i="207"/>
  <c r="P124" i="13"/>
  <c r="P171" i="13" s="1"/>
  <c r="P200" i="13" s="1"/>
  <c r="R257" i="16"/>
  <c r="T40" i="195"/>
  <c r="U52" i="202"/>
  <c r="W52" i="202" s="1"/>
  <c r="M260" i="16"/>
  <c r="G15" i="213" s="1"/>
  <c r="H15" i="213" s="1"/>
  <c r="M241" i="16"/>
  <c r="L16" i="157" s="1"/>
  <c r="Q44" i="207"/>
  <c r="T15" i="202"/>
  <c r="L35" i="219" s="1"/>
  <c r="V255" i="16"/>
  <c r="M319" i="202"/>
  <c r="M320" i="202" s="1"/>
  <c r="K393" i="202"/>
  <c r="K394" i="202" s="1"/>
  <c r="M33" i="207"/>
  <c r="S120" i="13"/>
  <c r="U220" i="202"/>
  <c r="T248" i="202"/>
  <c r="E15" i="209"/>
  <c r="I17" i="181"/>
  <c r="I18" i="157"/>
  <c r="O99" i="202"/>
  <c r="O191" i="16"/>
  <c r="U161" i="16"/>
  <c r="W94" i="13"/>
  <c r="W95" i="13" s="1"/>
  <c r="K368" i="202"/>
  <c r="K369" i="202" s="1"/>
  <c r="K385" i="202" s="1"/>
  <c r="S106" i="13"/>
  <c r="R184" i="16" s="1"/>
  <c r="N31" i="207"/>
  <c r="J38" i="202"/>
  <c r="J336" i="202"/>
  <c r="J80" i="202" s="1"/>
  <c r="P200" i="16"/>
  <c r="P201" i="16" s="1"/>
  <c r="R115" i="13"/>
  <c r="Q116" i="13"/>
  <c r="Q169" i="13" s="1"/>
  <c r="Q198" i="13" s="1"/>
  <c r="R298" i="202"/>
  <c r="R97" i="202"/>
  <c r="N16" i="207"/>
  <c r="T119" i="13"/>
  <c r="T152" i="13" s="1"/>
  <c r="G19" i="207"/>
  <c r="G20" i="207" s="1"/>
  <c r="L157" i="13"/>
  <c r="R123" i="13"/>
  <c r="R14" i="207"/>
  <c r="L367" i="202"/>
  <c r="N319" i="202"/>
  <c r="C77" i="36"/>
  <c r="M46" i="207"/>
  <c r="P17" i="202"/>
  <c r="L257" i="16" l="1"/>
  <c r="Q47" i="209"/>
  <c r="U75" i="157"/>
  <c r="Q54" i="209" s="1"/>
  <c r="J22" i="202"/>
  <c r="H50" i="195" s="1"/>
  <c r="K265" i="16"/>
  <c r="W155" i="164"/>
  <c r="G14" i="209"/>
  <c r="K16" i="181"/>
  <c r="L176" i="13"/>
  <c r="K17" i="202"/>
  <c r="H46" i="207"/>
  <c r="M10" i="219"/>
  <c r="W181" i="164"/>
  <c r="N224" i="16"/>
  <c r="O153" i="13"/>
  <c r="J11" i="219"/>
  <c r="T168" i="13"/>
  <c r="I6" i="219"/>
  <c r="S170" i="13"/>
  <c r="S199" i="13" s="1"/>
  <c r="C13" i="219"/>
  <c r="W53" i="202"/>
  <c r="M101" i="219"/>
  <c r="N101" i="219" s="1"/>
  <c r="M73" i="219"/>
  <c r="N73" i="219" s="1"/>
  <c r="M103" i="219"/>
  <c r="M75" i="219"/>
  <c r="N75" i="219" s="1"/>
  <c r="T41" i="195"/>
  <c r="AF41" i="195" s="1"/>
  <c r="AF40" i="195"/>
  <c r="G40" i="195"/>
  <c r="G41" i="195" s="1"/>
  <c r="F13" i="78"/>
  <c r="U14" i="102"/>
  <c r="I27" i="186"/>
  <c r="I29" i="186" s="1"/>
  <c r="I11" i="186" s="1"/>
  <c r="N347" i="202"/>
  <c r="N360" i="202" s="1"/>
  <c r="N39" i="202" s="1"/>
  <c r="N60" i="202" s="1"/>
  <c r="M47" i="195" s="1"/>
  <c r="T154" i="16"/>
  <c r="O132" i="13"/>
  <c r="M173" i="13"/>
  <c r="M202" i="13" s="1"/>
  <c r="J392" i="202"/>
  <c r="J393" i="202" s="1"/>
  <c r="K103" i="219"/>
  <c r="K75" i="219"/>
  <c r="S54" i="202"/>
  <c r="W54" i="202" s="1"/>
  <c r="X40" i="195"/>
  <c r="AA42" i="195"/>
  <c r="T171" i="16"/>
  <c r="X171" i="16" s="1"/>
  <c r="J17" i="181"/>
  <c r="W33" i="202"/>
  <c r="H46" i="195"/>
  <c r="D12" i="219"/>
  <c r="D13" i="219" s="1"/>
  <c r="T172" i="16"/>
  <c r="X172" i="16" s="1"/>
  <c r="F15" i="209"/>
  <c r="I35" i="207"/>
  <c r="M244" i="16"/>
  <c r="M246" i="16" s="1"/>
  <c r="J27" i="186" s="1"/>
  <c r="S224" i="202"/>
  <c r="S225" i="202" s="1"/>
  <c r="S226" i="202" s="1"/>
  <c r="M234" i="16"/>
  <c r="M242" i="16"/>
  <c r="L17" i="157" s="1"/>
  <c r="H15" i="209" s="1"/>
  <c r="K30" i="104"/>
  <c r="K33" i="104" s="1"/>
  <c r="N299" i="34"/>
  <c r="J52" i="214" s="1"/>
  <c r="N35" i="34"/>
  <c r="O344" i="202"/>
  <c r="O345" i="202" s="1"/>
  <c r="O299" i="34"/>
  <c r="K52" i="214" s="1"/>
  <c r="V20" i="72"/>
  <c r="G42" i="195" s="1"/>
  <c r="T155" i="16"/>
  <c r="X155" i="16" s="1"/>
  <c r="X154" i="16"/>
  <c r="L32" i="207"/>
  <c r="G9" i="219"/>
  <c r="G23" i="219" s="1"/>
  <c r="P32" i="34"/>
  <c r="P299" i="34"/>
  <c r="L52" i="214" s="1"/>
  <c r="L42" i="44"/>
  <c r="I20" i="101"/>
  <c r="S261" i="202"/>
  <c r="S77" i="202" s="1"/>
  <c r="S35" i="202"/>
  <c r="AF48" i="44"/>
  <c r="AF19" i="101" s="1"/>
  <c r="J48" i="44"/>
  <c r="L48" i="44" s="1"/>
  <c r="AE48" i="44"/>
  <c r="AE19" i="101" s="1"/>
  <c r="L39" i="44"/>
  <c r="AF20" i="101"/>
  <c r="AH42" i="44"/>
  <c r="AH20" i="101" s="1"/>
  <c r="F15" i="208"/>
  <c r="F93" i="208" s="1"/>
  <c r="E20" i="100"/>
  <c r="F19" i="101"/>
  <c r="I20" i="219"/>
  <c r="I76" i="219"/>
  <c r="F20" i="101"/>
  <c r="E75" i="93"/>
  <c r="AH39" i="44"/>
  <c r="P342" i="202"/>
  <c r="P343" i="202" s="1"/>
  <c r="H45" i="44"/>
  <c r="E21" i="101"/>
  <c r="E21" i="78"/>
  <c r="F48" i="195"/>
  <c r="E38" i="93"/>
  <c r="X256" i="16"/>
  <c r="S16" i="202"/>
  <c r="P45" i="207"/>
  <c r="E19" i="107"/>
  <c r="AE20" i="101"/>
  <c r="I13" i="182"/>
  <c r="H39" i="45"/>
  <c r="G21" i="105" s="1"/>
  <c r="H17" i="213"/>
  <c r="G20" i="213"/>
  <c r="I12" i="182"/>
  <c r="H36" i="45"/>
  <c r="L59" i="202"/>
  <c r="M60" i="202"/>
  <c r="L47" i="195" s="1"/>
  <c r="E52" i="219"/>
  <c r="O57" i="202"/>
  <c r="N44" i="195" s="1"/>
  <c r="G49" i="219"/>
  <c r="D108" i="219"/>
  <c r="D80" i="219"/>
  <c r="R35" i="202"/>
  <c r="Q37" i="202"/>
  <c r="U42" i="195"/>
  <c r="E33" i="72"/>
  <c r="E48" i="45"/>
  <c r="E52" i="44"/>
  <c r="N241" i="16"/>
  <c r="M16" i="157" s="1"/>
  <c r="M16" i="181" s="1"/>
  <c r="M20" i="202"/>
  <c r="P37" i="202"/>
  <c r="Q275" i="202"/>
  <c r="Q285" i="202" s="1"/>
  <c r="Q36" i="202" s="1"/>
  <c r="N234" i="16"/>
  <c r="U298" i="202"/>
  <c r="U299" i="202" s="1"/>
  <c r="R273" i="202"/>
  <c r="R274" i="202" s="1"/>
  <c r="O203" i="16"/>
  <c r="O260" i="16" s="1"/>
  <c r="N20" i="202" s="1"/>
  <c r="F37" i="219" s="1"/>
  <c r="O47" i="207"/>
  <c r="R18" i="202"/>
  <c r="J38" i="219" s="1"/>
  <c r="K40" i="202"/>
  <c r="K386" i="202"/>
  <c r="K82" i="202" s="1"/>
  <c r="K103" i="202" s="1"/>
  <c r="U249" i="202"/>
  <c r="U250" i="202" s="1"/>
  <c r="T296" i="202"/>
  <c r="T297" i="202" s="1"/>
  <c r="Q190" i="16"/>
  <c r="Q191" i="16" s="1"/>
  <c r="V203" i="172"/>
  <c r="V207" i="172" s="1"/>
  <c r="U211" i="172"/>
  <c r="T34" i="202"/>
  <c r="T236" i="202"/>
  <c r="T76" i="202" s="1"/>
  <c r="K34" i="207"/>
  <c r="Q124" i="13"/>
  <c r="Q171" i="13" s="1"/>
  <c r="Q200" i="13" s="1"/>
  <c r="N320" i="202"/>
  <c r="N321" i="202" s="1"/>
  <c r="Q200" i="16"/>
  <c r="Q201" i="16" s="1"/>
  <c r="S115" i="13"/>
  <c r="R116" i="13"/>
  <c r="R169" i="13" s="1"/>
  <c r="R198" i="13" s="1"/>
  <c r="J59" i="202"/>
  <c r="V161" i="16"/>
  <c r="R44" i="207"/>
  <c r="U15" i="202"/>
  <c r="M35" i="219" s="1"/>
  <c r="N35" i="219" s="1"/>
  <c r="N262" i="16"/>
  <c r="N242" i="16"/>
  <c r="M17" i="157" s="1"/>
  <c r="N244" i="16"/>
  <c r="N246" i="16" s="1"/>
  <c r="K27" i="186" s="1"/>
  <c r="K29" i="186" s="1"/>
  <c r="AG18" i="184"/>
  <c r="AH6" i="184"/>
  <c r="AH10" i="184" s="1"/>
  <c r="AH18" i="184" s="1"/>
  <c r="H19" i="207"/>
  <c r="H20" i="207" s="1"/>
  <c r="M157" i="13"/>
  <c r="O317" i="202"/>
  <c r="O318" i="202" s="1"/>
  <c r="O319" i="202" s="1"/>
  <c r="M321" i="202"/>
  <c r="M335" i="202" s="1"/>
  <c r="K410" i="202"/>
  <c r="P29" i="207"/>
  <c r="M367" i="202"/>
  <c r="G36" i="207"/>
  <c r="G37" i="207" s="1"/>
  <c r="J9" i="157"/>
  <c r="J9" i="181" s="1"/>
  <c r="L203" i="13"/>
  <c r="U113" i="13"/>
  <c r="U172" i="16"/>
  <c r="U171" i="16"/>
  <c r="P272" i="202"/>
  <c r="P273" i="202" s="1"/>
  <c r="P274" i="202" s="1"/>
  <c r="P285" i="202" s="1"/>
  <c r="J102" i="202"/>
  <c r="L16" i="181"/>
  <c r="H14" i="209"/>
  <c r="V153" i="16"/>
  <c r="W166" i="13"/>
  <c r="T106" i="13"/>
  <c r="S184" i="16" s="1"/>
  <c r="Q342" i="202"/>
  <c r="N33" i="207"/>
  <c r="T120" i="13"/>
  <c r="T267" i="202"/>
  <c r="T268" i="202" s="1"/>
  <c r="I49" i="207"/>
  <c r="L20" i="202"/>
  <c r="D37" i="219" s="1"/>
  <c r="H51" i="207"/>
  <c r="K22" i="202"/>
  <c r="L265" i="16"/>
  <c r="J18" i="207"/>
  <c r="P131" i="13"/>
  <c r="P154" i="13" s="1"/>
  <c r="R299" i="202"/>
  <c r="R300" i="202" s="1"/>
  <c r="R301" i="202" s="1"/>
  <c r="R310" i="202" s="1"/>
  <c r="W167" i="13"/>
  <c r="W196" i="13" s="1"/>
  <c r="R30" i="207" s="1"/>
  <c r="V170" i="16"/>
  <c r="P127" i="13"/>
  <c r="J17" i="207"/>
  <c r="V195" i="13"/>
  <c r="S42" i="195"/>
  <c r="T188" i="16"/>
  <c r="X188" i="16" s="1"/>
  <c r="V108" i="13"/>
  <c r="U109" i="13"/>
  <c r="P259" i="16"/>
  <c r="T249" i="202"/>
  <c r="T250" i="202" s="1"/>
  <c r="T251" i="202" s="1"/>
  <c r="P202" i="16"/>
  <c r="P203" i="16" s="1"/>
  <c r="N46" i="207"/>
  <c r="Q17" i="202"/>
  <c r="G15" i="209"/>
  <c r="K17" i="181"/>
  <c r="K18" i="157"/>
  <c r="V187" i="16"/>
  <c r="U199" i="16"/>
  <c r="W114" i="13"/>
  <c r="P317" i="202"/>
  <c r="L368" i="202"/>
  <c r="L369" i="202" s="1"/>
  <c r="O259" i="16"/>
  <c r="C78" i="36"/>
  <c r="C79" i="36" s="1"/>
  <c r="S123" i="13"/>
  <c r="L158" i="13"/>
  <c r="O16" i="207"/>
  <c r="U119" i="13"/>
  <c r="Y119" i="13" s="1"/>
  <c r="E57" i="162" s="1"/>
  <c r="J101" i="202"/>
  <c r="R185" i="16"/>
  <c r="R189" i="16" s="1"/>
  <c r="I40" i="157"/>
  <c r="I58" i="157" s="1"/>
  <c r="I23" i="157"/>
  <c r="E16" i="209"/>
  <c r="U221" i="202"/>
  <c r="S269" i="202"/>
  <c r="S270" i="202" s="1"/>
  <c r="O135" i="13"/>
  <c r="O155" i="13" s="1"/>
  <c r="O157" i="13" s="1"/>
  <c r="O158" i="13" s="1"/>
  <c r="F16" i="209"/>
  <c r="J40" i="157"/>
  <c r="J41" i="157" s="1"/>
  <c r="U14" i="208" s="1"/>
  <c r="J23" i="157"/>
  <c r="I106" i="202"/>
  <c r="I109" i="202" s="1"/>
  <c r="I442" i="202"/>
  <c r="I460" i="202" s="1"/>
  <c r="I43" i="202" s="1"/>
  <c r="I46" i="202" s="1"/>
  <c r="I25" i="202"/>
  <c r="I518" i="202" s="1"/>
  <c r="I536" i="202" s="1"/>
  <c r="U155" i="16"/>
  <c r="U154" i="16"/>
  <c r="J385" i="202"/>
  <c r="S164" i="16"/>
  <c r="I51" i="207"/>
  <c r="L22" i="202"/>
  <c r="D32" i="219" s="1"/>
  <c r="M265" i="16"/>
  <c r="J60" i="202"/>
  <c r="J442" i="202" l="1"/>
  <c r="J443" i="202" s="1"/>
  <c r="J460" i="202" s="1"/>
  <c r="H52" i="195"/>
  <c r="J25" i="202"/>
  <c r="J518" i="202" s="1"/>
  <c r="J519" i="202" s="1"/>
  <c r="H54" i="207"/>
  <c r="J6" i="219"/>
  <c r="T170" i="13"/>
  <c r="T199" i="13" s="1"/>
  <c r="O33" i="207" s="1"/>
  <c r="E4" i="219"/>
  <c r="E18" i="219" s="1"/>
  <c r="O172" i="13"/>
  <c r="O201" i="13" s="1"/>
  <c r="M24" i="219"/>
  <c r="N10" i="219"/>
  <c r="N24" i="219" s="1"/>
  <c r="Y113" i="13"/>
  <c r="G53" i="162" s="1"/>
  <c r="E81" i="93" s="1"/>
  <c r="T197" i="16"/>
  <c r="C32" i="219"/>
  <c r="C37" i="219"/>
  <c r="K317" i="202"/>
  <c r="O224" i="16"/>
  <c r="P153" i="13"/>
  <c r="M158" i="13"/>
  <c r="N158" i="13"/>
  <c r="J29" i="186"/>
  <c r="T197" i="13"/>
  <c r="O31" i="207" s="1"/>
  <c r="D122" i="219"/>
  <c r="D27" i="219"/>
  <c r="M117" i="219"/>
  <c r="N117" i="219" s="1"/>
  <c r="N103" i="219"/>
  <c r="M115" i="219"/>
  <c r="N115" i="219" s="1"/>
  <c r="G9" i="208"/>
  <c r="F14" i="100"/>
  <c r="P13" i="78"/>
  <c r="F14" i="78"/>
  <c r="F52" i="219"/>
  <c r="F108" i="219" s="1"/>
  <c r="F122" i="219" s="1"/>
  <c r="N361" i="202"/>
  <c r="N81" i="202" s="1"/>
  <c r="N102" i="202" s="1"/>
  <c r="M175" i="13"/>
  <c r="P132" i="13"/>
  <c r="J35" i="207"/>
  <c r="K117" i="219"/>
  <c r="J410" i="202"/>
  <c r="J41" i="202" s="1"/>
  <c r="R42" i="195"/>
  <c r="AF42" i="195" s="1"/>
  <c r="O136" i="13"/>
  <c r="T176" i="16"/>
  <c r="X176" i="16" s="1"/>
  <c r="D41" i="219"/>
  <c r="L17" i="181"/>
  <c r="L18" i="157"/>
  <c r="S227" i="202"/>
  <c r="S235" i="202" s="1"/>
  <c r="T162" i="16"/>
  <c r="O346" i="202"/>
  <c r="O347" i="202" s="1"/>
  <c r="U15" i="102"/>
  <c r="P245" i="16"/>
  <c r="M28" i="186" s="1"/>
  <c r="M17" i="186" s="1"/>
  <c r="M18" i="157"/>
  <c r="I14" i="209"/>
  <c r="F15" i="78"/>
  <c r="F16" i="100" s="1"/>
  <c r="I19" i="101"/>
  <c r="F17" i="208"/>
  <c r="F95" i="208" s="1"/>
  <c r="E22" i="100"/>
  <c r="F33" i="72"/>
  <c r="K36" i="219"/>
  <c r="W16" i="202"/>
  <c r="S292" i="202"/>
  <c r="S48" i="44"/>
  <c r="W48" i="44"/>
  <c r="Q48" i="44"/>
  <c r="J20" i="219"/>
  <c r="J76" i="219"/>
  <c r="M32" i="207"/>
  <c r="H9" i="219"/>
  <c r="H23" i="219" s="1"/>
  <c r="K20" i="101"/>
  <c r="J20" i="101" s="1"/>
  <c r="Q42" i="44"/>
  <c r="W42" i="44"/>
  <c r="W20" i="101" s="1"/>
  <c r="K11" i="219"/>
  <c r="Y109" i="13"/>
  <c r="M392" i="202"/>
  <c r="M393" i="202" s="1"/>
  <c r="M394" i="202" s="1"/>
  <c r="E37" i="219"/>
  <c r="E35" i="107"/>
  <c r="K19" i="101"/>
  <c r="J19" i="101" s="1"/>
  <c r="W39" i="44"/>
  <c r="Q39" i="44"/>
  <c r="S56" i="202"/>
  <c r="AH48" i="44"/>
  <c r="AH19" i="101" s="1"/>
  <c r="G38" i="93"/>
  <c r="J38" i="93"/>
  <c r="S38" i="93"/>
  <c r="P38" i="93"/>
  <c r="H38" i="93"/>
  <c r="Q38" i="93"/>
  <c r="T38" i="93"/>
  <c r="W38" i="93"/>
  <c r="N38" i="93"/>
  <c r="M38" i="93"/>
  <c r="L38" i="93"/>
  <c r="E21" i="107"/>
  <c r="K38" i="93"/>
  <c r="O38" i="93"/>
  <c r="V38" i="93"/>
  <c r="U38" i="93"/>
  <c r="R38" i="93"/>
  <c r="F38" i="93"/>
  <c r="I38" i="93"/>
  <c r="G21" i="101"/>
  <c r="J45" i="44"/>
  <c r="AE45" i="44"/>
  <c r="AF45" i="44"/>
  <c r="I15" i="182"/>
  <c r="H45" i="45"/>
  <c r="G20" i="105" s="1"/>
  <c r="S98" i="202"/>
  <c r="L30" i="104"/>
  <c r="L33" i="104" s="1"/>
  <c r="P35" i="34"/>
  <c r="Q58" i="202"/>
  <c r="P45" i="195" s="1"/>
  <c r="I50" i="219"/>
  <c r="G105" i="219"/>
  <c r="G77" i="219"/>
  <c r="K61" i="202"/>
  <c r="J48" i="195" s="1"/>
  <c r="C53" i="219"/>
  <c r="Q57" i="202"/>
  <c r="P44" i="195" s="1"/>
  <c r="I49" i="219"/>
  <c r="P58" i="202"/>
  <c r="O45" i="195" s="1"/>
  <c r="H50" i="219"/>
  <c r="R56" i="202"/>
  <c r="Q43" i="195" s="1"/>
  <c r="E108" i="219"/>
  <c r="E122" i="219" s="1"/>
  <c r="E80" i="219"/>
  <c r="E49" i="45"/>
  <c r="E53" i="44"/>
  <c r="J48" i="45"/>
  <c r="I23" i="105" s="1"/>
  <c r="H48" i="45"/>
  <c r="G23" i="105" s="1"/>
  <c r="K49" i="207"/>
  <c r="Q286" i="202"/>
  <c r="Q78" i="202" s="1"/>
  <c r="Q99" i="202" s="1"/>
  <c r="O241" i="16"/>
  <c r="N16" i="157" s="1"/>
  <c r="N16" i="181" s="1"/>
  <c r="U162" i="16"/>
  <c r="U163" i="16" s="1"/>
  <c r="U164" i="16" s="1"/>
  <c r="U176" i="16"/>
  <c r="U177" i="16" s="1"/>
  <c r="U178" i="16" s="1"/>
  <c r="U258" i="16" s="1"/>
  <c r="N322" i="202"/>
  <c r="N335" i="202" s="1"/>
  <c r="N336" i="202" s="1"/>
  <c r="N80" i="202" s="1"/>
  <c r="N101" i="202" s="1"/>
  <c r="P260" i="16"/>
  <c r="P241" i="16"/>
  <c r="O16" i="157" s="1"/>
  <c r="R311" i="202"/>
  <c r="R79" i="202" s="1"/>
  <c r="R100" i="202" s="1"/>
  <c r="R37" i="202"/>
  <c r="R190" i="16"/>
  <c r="R191" i="16" s="1"/>
  <c r="P286" i="202"/>
  <c r="P78" i="202" s="1"/>
  <c r="P99" i="202" s="1"/>
  <c r="P36" i="202"/>
  <c r="O320" i="202"/>
  <c r="O321" i="202" s="1"/>
  <c r="O322" i="202" s="1"/>
  <c r="Q259" i="16"/>
  <c r="K48" i="207"/>
  <c r="N19" i="202"/>
  <c r="F39" i="219" s="1"/>
  <c r="U222" i="202"/>
  <c r="U223" i="202" s="1"/>
  <c r="U224" i="202" s="1"/>
  <c r="U225" i="202" s="1"/>
  <c r="U188" i="16"/>
  <c r="W108" i="13"/>
  <c r="V109" i="13"/>
  <c r="L11" i="219" s="1"/>
  <c r="U120" i="13"/>
  <c r="J386" i="202"/>
  <c r="J82" i="202" s="1"/>
  <c r="J40" i="202"/>
  <c r="P135" i="13"/>
  <c r="P155" i="13" s="1"/>
  <c r="P157" i="13" s="1"/>
  <c r="P158" i="13" s="1"/>
  <c r="I18" i="181"/>
  <c r="E35" i="209"/>
  <c r="K40" i="157"/>
  <c r="G16" i="209"/>
  <c r="K23" i="157"/>
  <c r="L48" i="207"/>
  <c r="O19" i="202"/>
  <c r="G39" i="219" s="1"/>
  <c r="U168" i="13"/>
  <c r="U106" i="13"/>
  <c r="T298" i="202"/>
  <c r="V171" i="16"/>
  <c r="V172" i="16"/>
  <c r="U251" i="202"/>
  <c r="U252" i="202" s="1"/>
  <c r="U253" i="202" s="1"/>
  <c r="U254" i="202" s="1"/>
  <c r="U260" i="202" s="1"/>
  <c r="L392" i="202"/>
  <c r="L393" i="202" s="1"/>
  <c r="S185" i="16"/>
  <c r="S189" i="16" s="1"/>
  <c r="V155" i="16"/>
  <c r="V154" i="16"/>
  <c r="Q317" i="202"/>
  <c r="Q29" i="207"/>
  <c r="J35" i="157"/>
  <c r="F21" i="209"/>
  <c r="K442" i="202"/>
  <c r="K443" i="202" s="1"/>
  <c r="K25" i="202"/>
  <c r="M38" i="202"/>
  <c r="M336" i="202"/>
  <c r="M80" i="202" s="1"/>
  <c r="M101" i="202" s="1"/>
  <c r="X197" i="16"/>
  <c r="V113" i="13"/>
  <c r="U197" i="16" s="1"/>
  <c r="M368" i="202"/>
  <c r="M369" i="202" s="1"/>
  <c r="M370" i="202" s="1"/>
  <c r="S271" i="202"/>
  <c r="I15" i="209"/>
  <c r="M17" i="181"/>
  <c r="R200" i="16"/>
  <c r="R201" i="16" s="1"/>
  <c r="T115" i="13"/>
  <c r="S116" i="13"/>
  <c r="S169" i="13" s="1"/>
  <c r="S198" i="13" s="1"/>
  <c r="L34" i="207"/>
  <c r="R124" i="13"/>
  <c r="R171" i="13" s="1"/>
  <c r="R200" i="13" s="1"/>
  <c r="T55" i="202"/>
  <c r="L442" i="202"/>
  <c r="L443" i="202" s="1"/>
  <c r="L25" i="202"/>
  <c r="J58" i="157"/>
  <c r="I19" i="207"/>
  <c r="I20" i="207" s="1"/>
  <c r="P344" i="202"/>
  <c r="P345" i="202" s="1"/>
  <c r="H36" i="207"/>
  <c r="H37" i="207" s="1"/>
  <c r="K9" i="157"/>
  <c r="K9" i="181" s="1"/>
  <c r="M203" i="13"/>
  <c r="K41" i="202"/>
  <c r="K411" i="202"/>
  <c r="K83" i="202" s="1"/>
  <c r="K104" i="202" s="1"/>
  <c r="U267" i="202"/>
  <c r="U268" i="202" s="1"/>
  <c r="J461" i="202"/>
  <c r="J85" i="202" s="1"/>
  <c r="J43" i="202"/>
  <c r="O262" i="16"/>
  <c r="O242" i="16"/>
  <c r="N17" i="157" s="1"/>
  <c r="O244" i="16"/>
  <c r="O246" i="16" s="1"/>
  <c r="L27" i="186" s="1"/>
  <c r="L29" i="186" s="1"/>
  <c r="N202" i="13"/>
  <c r="F19" i="213" s="1"/>
  <c r="F20" i="213" s="1"/>
  <c r="H20" i="213" s="1"/>
  <c r="T97" i="202"/>
  <c r="I54" i="207"/>
  <c r="I35" i="157"/>
  <c r="E21" i="209"/>
  <c r="V199" i="16"/>
  <c r="I47" i="195"/>
  <c r="S257" i="16"/>
  <c r="R275" i="202"/>
  <c r="I64" i="202"/>
  <c r="I67" i="202" s="1"/>
  <c r="I110" i="202" s="1"/>
  <c r="G15" i="186"/>
  <c r="U152" i="13"/>
  <c r="V119" i="13"/>
  <c r="T123" i="13"/>
  <c r="L370" i="202"/>
  <c r="L385" i="202" s="1"/>
  <c r="O234" i="16"/>
  <c r="P318" i="202"/>
  <c r="N392" i="202"/>
  <c r="X39" i="195"/>
  <c r="X41" i="195" s="1"/>
  <c r="Q127" i="13"/>
  <c r="Q153" i="13" s="1"/>
  <c r="K17" i="207"/>
  <c r="K18" i="207"/>
  <c r="Q131" i="13"/>
  <c r="Q154" i="13" s="1"/>
  <c r="T269" i="202"/>
  <c r="T270" i="202" s="1"/>
  <c r="Q343" i="202"/>
  <c r="T252" i="202"/>
  <c r="T253" i="202" s="1"/>
  <c r="T260" i="202" s="1"/>
  <c r="W195" i="13"/>
  <c r="U300" i="202"/>
  <c r="U301" i="202" s="1"/>
  <c r="J51" i="207"/>
  <c r="J54" i="207" s="1"/>
  <c r="M22" i="202"/>
  <c r="E32" i="219" s="1"/>
  <c r="N265" i="16"/>
  <c r="Q202" i="16"/>
  <c r="Q245" i="16" s="1"/>
  <c r="N28" i="186" s="1"/>
  <c r="N17" i="186" s="1"/>
  <c r="V208" i="172"/>
  <c r="V209" i="172" s="1"/>
  <c r="R342" i="202"/>
  <c r="R343" i="202" s="1"/>
  <c r="C80" i="36"/>
  <c r="J536" i="202" l="1"/>
  <c r="J537" i="202" s="1"/>
  <c r="K318" i="202"/>
  <c r="K319" i="202" s="1"/>
  <c r="K335" i="202" s="1"/>
  <c r="C41" i="219"/>
  <c r="H16" i="209"/>
  <c r="I16" i="209"/>
  <c r="F4" i="219"/>
  <c r="F18" i="219" s="1"/>
  <c r="P172" i="13"/>
  <c r="P201" i="13" s="1"/>
  <c r="K35" i="207" s="1"/>
  <c r="M176" i="13"/>
  <c r="N176" i="13"/>
  <c r="E12" i="219"/>
  <c r="E13" i="219" s="1"/>
  <c r="E27" i="219" s="1"/>
  <c r="O173" i="13"/>
  <c r="O175" i="13" s="1"/>
  <c r="O176" i="13" s="1"/>
  <c r="J8" i="218"/>
  <c r="W8" i="218" s="1"/>
  <c r="P14" i="78"/>
  <c r="F15" i="100"/>
  <c r="G10" i="208"/>
  <c r="G88" i="208" s="1"/>
  <c r="F80" i="219"/>
  <c r="P136" i="13"/>
  <c r="Q132" i="13"/>
  <c r="J411" i="202"/>
  <c r="J83" i="202" s="1"/>
  <c r="J104" i="202" s="1"/>
  <c r="L40" i="157"/>
  <c r="L41" i="157" s="1"/>
  <c r="L42" i="157" s="1"/>
  <c r="L43" i="157" s="1"/>
  <c r="W14" i="208" s="1"/>
  <c r="M23" i="157"/>
  <c r="M35" i="157" s="1"/>
  <c r="T177" i="16"/>
  <c r="X177" i="16" s="1"/>
  <c r="M40" i="157"/>
  <c r="M41" i="157" s="1"/>
  <c r="J14" i="209"/>
  <c r="J9" i="218"/>
  <c r="W9" i="218" s="1"/>
  <c r="L23" i="157"/>
  <c r="H21" i="209" s="1"/>
  <c r="E41" i="219"/>
  <c r="O348" i="202"/>
  <c r="O360" i="202" s="1"/>
  <c r="O361" i="202" s="1"/>
  <c r="O81" i="202" s="1"/>
  <c r="O102" i="202" s="1"/>
  <c r="S236" i="202"/>
  <c r="S76" i="202" s="1"/>
  <c r="S34" i="202"/>
  <c r="X162" i="16"/>
  <c r="T163" i="16"/>
  <c r="P15" i="78"/>
  <c r="W19" i="101"/>
  <c r="G11" i="208"/>
  <c r="G89" i="208" s="1"/>
  <c r="U197" i="13"/>
  <c r="P31" i="207" s="1"/>
  <c r="Y168" i="13"/>
  <c r="K6" i="219"/>
  <c r="Y120" i="13"/>
  <c r="F57" i="162" s="1"/>
  <c r="F51" i="44" s="1"/>
  <c r="S42" i="44"/>
  <c r="N20" i="101"/>
  <c r="M20" i="101" s="1"/>
  <c r="E22" i="102"/>
  <c r="X33" i="72"/>
  <c r="K33" i="72"/>
  <c r="T33" i="72"/>
  <c r="E128" i="93"/>
  <c r="Q33" i="72"/>
  <c r="H33" i="72"/>
  <c r="N33" i="72"/>
  <c r="C33" i="72"/>
  <c r="N32" i="207"/>
  <c r="I9" i="219"/>
  <c r="I23" i="219" s="1"/>
  <c r="AE30" i="44"/>
  <c r="AE62" i="44" s="1"/>
  <c r="I14" i="182"/>
  <c r="AE21" i="101"/>
  <c r="H42" i="45"/>
  <c r="G22" i="105" s="1"/>
  <c r="X38" i="93"/>
  <c r="N19" i="101"/>
  <c r="M19" i="101" s="1"/>
  <c r="S39" i="44"/>
  <c r="P19" i="101" s="1"/>
  <c r="M395" i="202"/>
  <c r="M396" i="202" s="1"/>
  <c r="P16" i="207"/>
  <c r="Y152" i="13"/>
  <c r="I21" i="101"/>
  <c r="L45" i="44"/>
  <c r="AF21" i="101"/>
  <c r="AF26" i="101" s="1"/>
  <c r="AH45" i="44"/>
  <c r="AH21" i="101" s="1"/>
  <c r="AF62" i="44"/>
  <c r="T184" i="16"/>
  <c r="X184" i="16" s="1"/>
  <c r="Y106" i="13"/>
  <c r="G48" i="162" s="1"/>
  <c r="F21" i="101"/>
  <c r="S293" i="202"/>
  <c r="K62" i="202"/>
  <c r="M59" i="202"/>
  <c r="P57" i="202"/>
  <c r="O44" i="195" s="1"/>
  <c r="H49" i="219"/>
  <c r="H106" i="219"/>
  <c r="H78" i="219"/>
  <c r="I105" i="219"/>
  <c r="I119" i="219" s="1"/>
  <c r="I77" i="219"/>
  <c r="I106" i="219"/>
  <c r="I120" i="219" s="1"/>
  <c r="I78" i="219"/>
  <c r="R58" i="202"/>
  <c r="Q45" i="195" s="1"/>
  <c r="J50" i="219"/>
  <c r="G119" i="219"/>
  <c r="E54" i="44"/>
  <c r="E50" i="45"/>
  <c r="W39" i="195"/>
  <c r="W41" i="195" s="1"/>
  <c r="N38" i="202"/>
  <c r="L394" i="202"/>
  <c r="L395" i="202" s="1"/>
  <c r="U226" i="202"/>
  <c r="U227" i="202" s="1"/>
  <c r="U228" i="202" s="1"/>
  <c r="U229" i="202" s="1"/>
  <c r="U235" i="202" s="1"/>
  <c r="U236" i="202" s="1"/>
  <c r="U76" i="202" s="1"/>
  <c r="N393" i="202"/>
  <c r="N394" i="202" s="1"/>
  <c r="V176" i="16"/>
  <c r="V177" i="16" s="1"/>
  <c r="V178" i="16" s="1"/>
  <c r="V258" i="16" s="1"/>
  <c r="L444" i="202"/>
  <c r="L445" i="202" s="1"/>
  <c r="V162" i="16"/>
  <c r="V163" i="16" s="1"/>
  <c r="V164" i="16" s="1"/>
  <c r="K444" i="202"/>
  <c r="K460" i="202" s="1"/>
  <c r="T299" i="202"/>
  <c r="T300" i="202" s="1"/>
  <c r="I23" i="181"/>
  <c r="I30" i="181" s="1"/>
  <c r="I84" i="181"/>
  <c r="W203" i="172"/>
  <c r="W207" i="172" s="1"/>
  <c r="V211" i="172"/>
  <c r="L386" i="202"/>
  <c r="L82" i="202" s="1"/>
  <c r="L103" i="202" s="1"/>
  <c r="L40" i="202"/>
  <c r="S190" i="16"/>
  <c r="O323" i="202"/>
  <c r="O335" i="202" s="1"/>
  <c r="U35" i="202"/>
  <c r="U261" i="202"/>
  <c r="U77" i="202" s="1"/>
  <c r="T271" i="202"/>
  <c r="T272" i="202" s="1"/>
  <c r="T273" i="202" s="1"/>
  <c r="R259" i="16"/>
  <c r="R127" i="13"/>
  <c r="L17" i="207"/>
  <c r="G16" i="186"/>
  <c r="G19" i="186" s="1"/>
  <c r="S200" i="16"/>
  <c r="S201" i="16" s="1"/>
  <c r="U115" i="13"/>
  <c r="Y115" i="13" s="1"/>
  <c r="F54" i="162" s="1"/>
  <c r="F55" i="162" s="1"/>
  <c r="T116" i="13"/>
  <c r="T169" i="13" s="1"/>
  <c r="R344" i="202"/>
  <c r="R345" i="202" s="1"/>
  <c r="Q203" i="16"/>
  <c r="M442" i="202"/>
  <c r="M25" i="202"/>
  <c r="T35" i="202"/>
  <c r="T261" i="202"/>
  <c r="T77" i="202" s="1"/>
  <c r="L18" i="207"/>
  <c r="R131" i="13"/>
  <c r="R154" i="13" s="1"/>
  <c r="R276" i="202"/>
  <c r="R285" i="202" s="1"/>
  <c r="N17" i="181"/>
  <c r="J15" i="209"/>
  <c r="L518" i="202"/>
  <c r="L519" i="202" s="1"/>
  <c r="V42" i="195"/>
  <c r="K35" i="157"/>
  <c r="G21" i="209"/>
  <c r="J19" i="207"/>
  <c r="J20" i="207" s="1"/>
  <c r="J103" i="202"/>
  <c r="V106" i="13"/>
  <c r="U184" i="16" s="1"/>
  <c r="V168" i="13"/>
  <c r="V197" i="13" s="1"/>
  <c r="Q31" i="207" s="1"/>
  <c r="N367" i="202"/>
  <c r="N368" i="202" s="1"/>
  <c r="M48" i="207"/>
  <c r="P19" i="202"/>
  <c r="H39" i="219" s="1"/>
  <c r="K51" i="207"/>
  <c r="K54" i="207" s="1"/>
  <c r="N22" i="202"/>
  <c r="F32" i="219" s="1"/>
  <c r="F41" i="219" s="1"/>
  <c r="O265" i="16"/>
  <c r="P224" i="16"/>
  <c r="V188" i="16"/>
  <c r="W109" i="13"/>
  <c r="M11" i="219" s="1"/>
  <c r="N11" i="219" s="1"/>
  <c r="S272" i="202"/>
  <c r="S273" i="202" s="1"/>
  <c r="S274" i="202" s="1"/>
  <c r="U302" i="202"/>
  <c r="U303" i="202" s="1"/>
  <c r="I36" i="207"/>
  <c r="I37" i="207" s="1"/>
  <c r="N203" i="13"/>
  <c r="L9" i="157"/>
  <c r="L9" i="181" s="1"/>
  <c r="J64" i="202"/>
  <c r="M34" i="207"/>
  <c r="S124" i="13"/>
  <c r="S171" i="13" s="1"/>
  <c r="S200" i="13" s="1"/>
  <c r="R202" i="16"/>
  <c r="R245" i="16" s="1"/>
  <c r="O28" i="186" s="1"/>
  <c r="O17" i="186" s="1"/>
  <c r="J60" i="157"/>
  <c r="F33" i="209"/>
  <c r="Q318" i="202"/>
  <c r="Q319" i="202" s="1"/>
  <c r="O202" i="13"/>
  <c r="O367" i="202"/>
  <c r="N18" i="157"/>
  <c r="U170" i="13"/>
  <c r="V120" i="13"/>
  <c r="L6" i="219" s="1"/>
  <c r="L76" i="219" s="1"/>
  <c r="Q344" i="202"/>
  <c r="E33" i="209"/>
  <c r="I60" i="157"/>
  <c r="F35" i="209"/>
  <c r="I28" i="195"/>
  <c r="U18" i="208"/>
  <c r="J18" i="181"/>
  <c r="H15" i="186"/>
  <c r="W113" i="13"/>
  <c r="V197" i="16" s="1"/>
  <c r="K518" i="202"/>
  <c r="U257" i="16"/>
  <c r="Q47" i="207"/>
  <c r="T18" i="202"/>
  <c r="L38" i="219" s="1"/>
  <c r="L49" i="207"/>
  <c r="O20" i="202"/>
  <c r="G37" i="219" s="1"/>
  <c r="J62" i="202"/>
  <c r="P319" i="202"/>
  <c r="P320" i="202" s="1"/>
  <c r="V152" i="13"/>
  <c r="Q16" i="207" s="1"/>
  <c r="W119" i="13"/>
  <c r="R29" i="207"/>
  <c r="C81" i="36"/>
  <c r="C82" i="36" s="1"/>
  <c r="U123" i="13"/>
  <c r="Y123" i="13" s="1"/>
  <c r="O46" i="207"/>
  <c r="R17" i="202"/>
  <c r="P346" i="202"/>
  <c r="P347" i="202" s="1"/>
  <c r="J106" i="202"/>
  <c r="U269" i="202"/>
  <c r="M371" i="202"/>
  <c r="M385" i="202" s="1"/>
  <c r="K41" i="157"/>
  <c r="Q135" i="13"/>
  <c r="Q155" i="13" s="1"/>
  <c r="Q157" i="13" s="1"/>
  <c r="Q158" i="13" s="1"/>
  <c r="J61" i="202"/>
  <c r="J46" i="202"/>
  <c r="I29" i="195" s="1"/>
  <c r="K14" i="209"/>
  <c r="O16" i="181"/>
  <c r="K38" i="202" l="1"/>
  <c r="K336" i="202"/>
  <c r="K80" i="202" s="1"/>
  <c r="K101" i="202" s="1"/>
  <c r="T198" i="13"/>
  <c r="L20" i="219"/>
  <c r="G4" i="219"/>
  <c r="G18" i="219" s="1"/>
  <c r="Q172" i="13"/>
  <c r="Q201" i="13" s="1"/>
  <c r="L35" i="207" s="1"/>
  <c r="Q224" i="16"/>
  <c r="Q262" i="16" s="1"/>
  <c r="R153" i="13"/>
  <c r="F12" i="219"/>
  <c r="F13" i="219" s="1"/>
  <c r="F27" i="219" s="1"/>
  <c r="P173" i="13"/>
  <c r="P175" i="13" s="1"/>
  <c r="P176" i="13" s="1"/>
  <c r="K89" i="208"/>
  <c r="K88" i="208"/>
  <c r="U98" i="202"/>
  <c r="W77" i="202"/>
  <c r="U56" i="202"/>
  <c r="W35" i="202"/>
  <c r="Q136" i="13"/>
  <c r="R132" i="13"/>
  <c r="J88" i="202"/>
  <c r="I21" i="209"/>
  <c r="M42" i="157"/>
  <c r="M43" i="157" s="1"/>
  <c r="M44" i="157" s="1"/>
  <c r="X14" i="208" s="1"/>
  <c r="O39" i="202"/>
  <c r="O60" i="202" s="1"/>
  <c r="N47" i="195" s="1"/>
  <c r="L35" i="157"/>
  <c r="H33" i="209" s="1"/>
  <c r="T178" i="16"/>
  <c r="X178" i="16" s="1"/>
  <c r="T164" i="16"/>
  <c r="X163" i="16"/>
  <c r="W76" i="202"/>
  <c r="S97" i="202"/>
  <c r="S55" i="202"/>
  <c r="M410" i="202"/>
  <c r="M41" i="202" s="1"/>
  <c r="U42" i="44"/>
  <c r="R20" i="101" s="1"/>
  <c r="P20" i="101"/>
  <c r="O32" i="207"/>
  <c r="J9" i="219"/>
  <c r="J23" i="219" s="1"/>
  <c r="E79" i="93"/>
  <c r="G65" i="162"/>
  <c r="E95" i="93" s="1"/>
  <c r="AG45" i="44"/>
  <c r="AG57" i="44"/>
  <c r="J16" i="182" s="1"/>
  <c r="AG24" i="44"/>
  <c r="AG23" i="44"/>
  <c r="AG20" i="44"/>
  <c r="AG14" i="101" s="1"/>
  <c r="AG54" i="44"/>
  <c r="AG29" i="44"/>
  <c r="AG17" i="44"/>
  <c r="AG51" i="44"/>
  <c r="AG22" i="101" s="1"/>
  <c r="AG36" i="44"/>
  <c r="AG28" i="44"/>
  <c r="AG25" i="44"/>
  <c r="AG60" i="44"/>
  <c r="AG24" i="101" s="1"/>
  <c r="AG33" i="44"/>
  <c r="AG39" i="44"/>
  <c r="AG42" i="44"/>
  <c r="AG48" i="44"/>
  <c r="J15" i="182" s="1"/>
  <c r="K21" i="101"/>
  <c r="Q45" i="44"/>
  <c r="N21" i="101" s="1"/>
  <c r="W45" i="44"/>
  <c r="W21" i="101" s="1"/>
  <c r="S45" i="44"/>
  <c r="P21" i="101" s="1"/>
  <c r="I7" i="182"/>
  <c r="I17" i="182" s="1"/>
  <c r="AE16" i="101"/>
  <c r="AE26" i="101" s="1"/>
  <c r="H27" i="45"/>
  <c r="G22" i="102"/>
  <c r="J22" i="102"/>
  <c r="P22" i="102"/>
  <c r="W22" i="102"/>
  <c r="E56" i="107"/>
  <c r="E42" i="93"/>
  <c r="E22" i="101"/>
  <c r="F49" i="195"/>
  <c r="E22" i="78"/>
  <c r="H51" i="44"/>
  <c r="U199" i="13"/>
  <c r="P33" i="207" s="1"/>
  <c r="Y170" i="13"/>
  <c r="T185" i="16"/>
  <c r="S294" i="202"/>
  <c r="S295" i="202" s="1"/>
  <c r="M22" i="102"/>
  <c r="S22" i="102"/>
  <c r="K20" i="219"/>
  <c r="K76" i="219"/>
  <c r="J106" i="219"/>
  <c r="J120" i="219" s="1"/>
  <c r="J78" i="219"/>
  <c r="H105" i="219"/>
  <c r="H77" i="219"/>
  <c r="L61" i="202"/>
  <c r="K48" i="195" s="1"/>
  <c r="D53" i="219"/>
  <c r="D109" i="219" s="1"/>
  <c r="N59" i="202"/>
  <c r="H120" i="219"/>
  <c r="W42" i="195"/>
  <c r="L410" i="202"/>
  <c r="L41" i="202" s="1"/>
  <c r="E51" i="45"/>
  <c r="E34" i="72"/>
  <c r="E55" i="44"/>
  <c r="U34" i="202"/>
  <c r="N395" i="202"/>
  <c r="N396" i="202" s="1"/>
  <c r="L58" i="157"/>
  <c r="I77" i="181"/>
  <c r="S275" i="202"/>
  <c r="S276" i="202" s="1"/>
  <c r="L460" i="202"/>
  <c r="L43" i="202" s="1"/>
  <c r="D46" i="219" s="1"/>
  <c r="T274" i="202"/>
  <c r="T275" i="202" s="1"/>
  <c r="J23" i="181"/>
  <c r="J30" i="181" s="1"/>
  <c r="J84" i="181"/>
  <c r="U304" i="202"/>
  <c r="U310" i="202" s="1"/>
  <c r="T301" i="202"/>
  <c r="I30" i="195"/>
  <c r="I7" i="195" s="1"/>
  <c r="M386" i="202"/>
  <c r="M82" i="202" s="1"/>
  <c r="M103" i="202" s="1"/>
  <c r="M40" i="202"/>
  <c r="R286" i="202"/>
  <c r="R78" i="202" s="1"/>
  <c r="R36" i="202"/>
  <c r="J49" i="219" s="1"/>
  <c r="P321" i="202"/>
  <c r="Q244" i="16"/>
  <c r="Q246" i="16" s="1"/>
  <c r="N27" i="186" s="1"/>
  <c r="N29" i="186" s="1"/>
  <c r="V257" i="16"/>
  <c r="O38" i="202"/>
  <c r="O336" i="202"/>
  <c r="O80" i="202" s="1"/>
  <c r="R47" i="207"/>
  <c r="U18" i="202"/>
  <c r="M38" i="219" s="1"/>
  <c r="N38" i="219" s="1"/>
  <c r="I118" i="181"/>
  <c r="I122" i="181" s="1"/>
  <c r="G49" i="179"/>
  <c r="I48" i="195"/>
  <c r="K42" i="157"/>
  <c r="V14" i="208" s="1"/>
  <c r="V123" i="13"/>
  <c r="R346" i="202"/>
  <c r="R347" i="202" s="1"/>
  <c r="O392" i="202"/>
  <c r="V170" i="13"/>
  <c r="V199" i="13" s="1"/>
  <c r="Q33" i="207" s="1"/>
  <c r="W120" i="13"/>
  <c r="M6" i="219" s="1"/>
  <c r="I33" i="209"/>
  <c r="H31" i="92"/>
  <c r="F37" i="209"/>
  <c r="J77" i="157"/>
  <c r="R203" i="16"/>
  <c r="I50" i="195"/>
  <c r="J67" i="202"/>
  <c r="W168" i="13"/>
  <c r="W197" i="13" s="1"/>
  <c r="R31" i="207" s="1"/>
  <c r="W106" i="13"/>
  <c r="V184" i="16" s="1"/>
  <c r="N442" i="202"/>
  <c r="N25" i="202"/>
  <c r="P367" i="202"/>
  <c r="N369" i="202"/>
  <c r="N370" i="202" s="1"/>
  <c r="U185" i="16"/>
  <c r="U189" i="16" s="1"/>
  <c r="T98" i="202"/>
  <c r="M443" i="202"/>
  <c r="S202" i="16"/>
  <c r="S203" i="16" s="1"/>
  <c r="S260" i="16" s="1"/>
  <c r="N48" i="207"/>
  <c r="Q19" i="202"/>
  <c r="I39" i="219" s="1"/>
  <c r="P348" i="202"/>
  <c r="P349" i="202" s="1"/>
  <c r="P360" i="202" s="1"/>
  <c r="J109" i="202"/>
  <c r="K519" i="202"/>
  <c r="K520" i="202" s="1"/>
  <c r="H16" i="186"/>
  <c r="H19" i="186" s="1"/>
  <c r="K43" i="202"/>
  <c r="C46" i="219" s="1"/>
  <c r="K461" i="202"/>
  <c r="K85" i="202" s="1"/>
  <c r="P202" i="13"/>
  <c r="P262" i="16"/>
  <c r="P242" i="16"/>
  <c r="O17" i="157" s="1"/>
  <c r="P244" i="16"/>
  <c r="P246" i="16" s="1"/>
  <c r="M27" i="186" s="1"/>
  <c r="M29" i="186" s="1"/>
  <c r="P234" i="16"/>
  <c r="L520" i="202"/>
  <c r="L521" i="202" s="1"/>
  <c r="M518" i="202"/>
  <c r="G20" i="186"/>
  <c r="G22" i="186" s="1"/>
  <c r="W208" i="172"/>
  <c r="W209" i="172" s="1"/>
  <c r="R136" i="13"/>
  <c r="G33" i="209"/>
  <c r="M18" i="207"/>
  <c r="S131" i="13"/>
  <c r="S154" i="13" s="1"/>
  <c r="T56" i="202"/>
  <c r="Q260" i="16"/>
  <c r="Q241" i="16"/>
  <c r="P16" i="157" s="1"/>
  <c r="S127" i="13"/>
  <c r="M17" i="207"/>
  <c r="R135" i="13"/>
  <c r="R155" i="13" s="1"/>
  <c r="R157" i="13" s="1"/>
  <c r="R158" i="13" s="1"/>
  <c r="R317" i="202"/>
  <c r="Q46" i="207"/>
  <c r="T17" i="202"/>
  <c r="J36" i="207"/>
  <c r="J37" i="207" s="1"/>
  <c r="M9" i="157"/>
  <c r="M9" i="181" s="1"/>
  <c r="O203" i="13"/>
  <c r="K19" i="207"/>
  <c r="K20" i="207" s="1"/>
  <c r="W152" i="13"/>
  <c r="R16" i="207" s="1"/>
  <c r="I46" i="195"/>
  <c r="T342" i="202"/>
  <c r="G31" i="92"/>
  <c r="E37" i="209"/>
  <c r="I77" i="157"/>
  <c r="Q345" i="202"/>
  <c r="Q346" i="202" s="1"/>
  <c r="N40" i="157"/>
  <c r="N41" i="157" s="1"/>
  <c r="N42" i="157" s="1"/>
  <c r="J16" i="209"/>
  <c r="N23" i="157"/>
  <c r="O368" i="202"/>
  <c r="O369" i="202" s="1"/>
  <c r="O370" i="202" s="1"/>
  <c r="Q320" i="202"/>
  <c r="N34" i="207"/>
  <c r="T124" i="13"/>
  <c r="T171" i="13" s="1"/>
  <c r="T200" i="13" s="1"/>
  <c r="U270" i="202"/>
  <c r="U271" i="202" s="1"/>
  <c r="T200" i="16"/>
  <c r="V115" i="13"/>
  <c r="U116" i="13"/>
  <c r="U97" i="202"/>
  <c r="C83" i="36"/>
  <c r="S191" i="16"/>
  <c r="Q234" i="16" l="1"/>
  <c r="Q242" i="16"/>
  <c r="P17" i="157" s="1"/>
  <c r="K59" i="202"/>
  <c r="J46" i="195" s="1"/>
  <c r="C51" i="219"/>
  <c r="C79" i="219" s="1"/>
  <c r="R224" i="16"/>
  <c r="S153" i="13"/>
  <c r="W18" i="208"/>
  <c r="J15" i="186"/>
  <c r="J16" i="186" s="1"/>
  <c r="J31" i="186"/>
  <c r="J32" i="186" s="1"/>
  <c r="J33" i="186" s="1"/>
  <c r="J11" i="186" s="1"/>
  <c r="S245" i="16"/>
  <c r="M20" i="219"/>
  <c r="M76" i="219"/>
  <c r="N76" i="219" s="1"/>
  <c r="N6" i="219"/>
  <c r="N20" i="219" s="1"/>
  <c r="H4" i="219"/>
  <c r="H18" i="219" s="1"/>
  <c r="R172" i="13"/>
  <c r="R201" i="13" s="1"/>
  <c r="M35" i="207" s="1"/>
  <c r="H12" i="219"/>
  <c r="R173" i="13"/>
  <c r="R175" i="13" s="1"/>
  <c r="G12" i="219"/>
  <c r="G13" i="219" s="1"/>
  <c r="G27" i="219" s="1"/>
  <c r="Q173" i="13"/>
  <c r="Q175" i="13" s="1"/>
  <c r="Q176" i="13" s="1"/>
  <c r="U55" i="202"/>
  <c r="W55" i="202" s="1"/>
  <c r="W56" i="202"/>
  <c r="W98" i="202"/>
  <c r="V24" i="72" s="1"/>
  <c r="W34" i="202"/>
  <c r="K58" i="157"/>
  <c r="I15" i="186" s="1"/>
  <c r="S132" i="13"/>
  <c r="H13" i="219"/>
  <c r="H27" i="219" s="1"/>
  <c r="T258" i="16"/>
  <c r="G52" i="219"/>
  <c r="G80" i="219" s="1"/>
  <c r="M411" i="202"/>
  <c r="M83" i="202" s="1"/>
  <c r="M104" i="202" s="1"/>
  <c r="AA43" i="195"/>
  <c r="W97" i="202"/>
  <c r="V23" i="72" s="1"/>
  <c r="R43" i="195"/>
  <c r="X164" i="16"/>
  <c r="T257" i="16"/>
  <c r="R22" i="102"/>
  <c r="E22" i="107"/>
  <c r="T201" i="16"/>
  <c r="X201" i="16" s="1"/>
  <c r="X200" i="16"/>
  <c r="L22" i="102"/>
  <c r="O22" i="102"/>
  <c r="I22" i="102"/>
  <c r="J14" i="182"/>
  <c r="AG21" i="101"/>
  <c r="G22" i="101"/>
  <c r="J51" i="44"/>
  <c r="AG15" i="101"/>
  <c r="J8" i="182"/>
  <c r="S296" i="202"/>
  <c r="S297" i="202" s="1"/>
  <c r="S298" i="202" s="1"/>
  <c r="U169" i="13"/>
  <c r="Y116" i="13"/>
  <c r="K9" i="219"/>
  <c r="P22" i="78"/>
  <c r="E23" i="100"/>
  <c r="F18" i="208"/>
  <c r="F96" i="208" s="1"/>
  <c r="AG19" i="101"/>
  <c r="J12" i="182"/>
  <c r="J79" i="93"/>
  <c r="E37" i="107"/>
  <c r="I79" i="93"/>
  <c r="L79" i="93"/>
  <c r="K79" i="93"/>
  <c r="G79" i="93"/>
  <c r="H79" i="93"/>
  <c r="M79" i="93"/>
  <c r="N79" i="93"/>
  <c r="O79" i="93"/>
  <c r="E91" i="93"/>
  <c r="E42" i="107" s="1"/>
  <c r="AG20" i="101"/>
  <c r="J13" i="182"/>
  <c r="AG13" i="101"/>
  <c r="AG30" i="44"/>
  <c r="J6" i="182"/>
  <c r="T189" i="16"/>
  <c r="X185" i="16"/>
  <c r="F22" i="102"/>
  <c r="M21" i="101"/>
  <c r="J21" i="101"/>
  <c r="AG17" i="101"/>
  <c r="J10" i="182"/>
  <c r="AG18" i="101"/>
  <c r="J11" i="182"/>
  <c r="J9" i="182"/>
  <c r="AG23" i="101"/>
  <c r="M62" i="202"/>
  <c r="L46" i="195" s="1"/>
  <c r="E51" i="219"/>
  <c r="C74" i="219"/>
  <c r="C55" i="219"/>
  <c r="C83" i="219" s="1"/>
  <c r="J105" i="219"/>
  <c r="J119" i="219" s="1"/>
  <c r="J77" i="219"/>
  <c r="M61" i="202"/>
  <c r="L48" i="195" s="1"/>
  <c r="E53" i="219"/>
  <c r="E109" i="219" s="1"/>
  <c r="E123" i="219" s="1"/>
  <c r="L62" i="202"/>
  <c r="K46" i="195" s="1"/>
  <c r="D51" i="219"/>
  <c r="D123" i="219"/>
  <c r="D102" i="219"/>
  <c r="D74" i="219"/>
  <c r="H119" i="219"/>
  <c r="L411" i="202"/>
  <c r="L83" i="202" s="1"/>
  <c r="L104" i="202" s="1"/>
  <c r="E52" i="45"/>
  <c r="E56" i="44"/>
  <c r="H51" i="45"/>
  <c r="G24" i="105" s="1"/>
  <c r="J51" i="45"/>
  <c r="I24" i="105" s="1"/>
  <c r="J77" i="181"/>
  <c r="H35" i="209"/>
  <c r="N397" i="202"/>
  <c r="N410" i="202" s="1"/>
  <c r="N41" i="202" s="1"/>
  <c r="L461" i="202"/>
  <c r="L85" i="202" s="1"/>
  <c r="L106" i="202" s="1"/>
  <c r="L18" i="181"/>
  <c r="L84" i="181" s="1"/>
  <c r="L60" i="157"/>
  <c r="J31" i="92" s="1"/>
  <c r="K28" i="195"/>
  <c r="P28" i="186"/>
  <c r="P17" i="186" s="1"/>
  <c r="S277" i="202"/>
  <c r="S285" i="202" s="1"/>
  <c r="S286" i="202" s="1"/>
  <c r="S78" i="202" s="1"/>
  <c r="M58" i="157"/>
  <c r="N443" i="202"/>
  <c r="N444" i="202" s="1"/>
  <c r="T276" i="202"/>
  <c r="T277" i="202" s="1"/>
  <c r="T278" i="202" s="1"/>
  <c r="T285" i="202" s="1"/>
  <c r="O371" i="202"/>
  <c r="O372" i="202" s="1"/>
  <c r="O373" i="202" s="1"/>
  <c r="O385" i="202" s="1"/>
  <c r="T302" i="202"/>
  <c r="T303" i="202" s="1"/>
  <c r="T310" i="202" s="1"/>
  <c r="P361" i="202"/>
  <c r="P81" i="202" s="1"/>
  <c r="P102" i="202" s="1"/>
  <c r="P39" i="202"/>
  <c r="U200" i="16"/>
  <c r="U201" i="16" s="1"/>
  <c r="W115" i="13"/>
  <c r="V116" i="13"/>
  <c r="J118" i="181"/>
  <c r="J122" i="181" s="1"/>
  <c r="H49" i="179"/>
  <c r="L536" i="202"/>
  <c r="L537" i="202" s="1"/>
  <c r="R262" i="16"/>
  <c r="R242" i="16"/>
  <c r="Q17" i="157" s="1"/>
  <c r="R244" i="16"/>
  <c r="R246" i="16" s="1"/>
  <c r="O27" i="186" s="1"/>
  <c r="O29" i="186" s="1"/>
  <c r="N43" i="157"/>
  <c r="N44" i="157" s="1"/>
  <c r="Q347" i="202"/>
  <c r="Q348" i="202" s="1"/>
  <c r="L14" i="209"/>
  <c r="P16" i="181"/>
  <c r="P18" i="157"/>
  <c r="S43" i="195"/>
  <c r="Q202" i="13"/>
  <c r="X42" i="195"/>
  <c r="I44" i="181"/>
  <c r="I93" i="157"/>
  <c r="E67" i="209"/>
  <c r="K88" i="202"/>
  <c r="K106" i="202"/>
  <c r="K109" i="202" s="1"/>
  <c r="R348" i="202"/>
  <c r="R349" i="202" s="1"/>
  <c r="O49" i="207"/>
  <c r="R20" i="202"/>
  <c r="J37" i="219" s="1"/>
  <c r="J110" i="202"/>
  <c r="F56" i="209"/>
  <c r="J85" i="157"/>
  <c r="F64" i="209" s="1"/>
  <c r="O34" i="207"/>
  <c r="U124" i="13"/>
  <c r="E56" i="209"/>
  <c r="I85" i="157"/>
  <c r="E64" i="209" s="1"/>
  <c r="N18" i="207"/>
  <c r="T131" i="13"/>
  <c r="T154" i="13" s="1"/>
  <c r="X203" i="172"/>
  <c r="X207" i="172" s="1"/>
  <c r="W211" i="172"/>
  <c r="Q367" i="202"/>
  <c r="O101" i="202"/>
  <c r="P17" i="181"/>
  <c r="L15" i="209"/>
  <c r="U311" i="202"/>
  <c r="U79" i="202" s="1"/>
  <c r="U100" i="202" s="1"/>
  <c r="U37" i="202"/>
  <c r="L46" i="202"/>
  <c r="K29" i="195" s="1"/>
  <c r="L64" i="202"/>
  <c r="M519" i="202"/>
  <c r="O17" i="181"/>
  <c r="K15" i="209"/>
  <c r="O18" i="157"/>
  <c r="K36" i="207"/>
  <c r="K37" i="207" s="1"/>
  <c r="P203" i="13"/>
  <c r="N9" i="157"/>
  <c r="N9" i="181" s="1"/>
  <c r="F67" i="209"/>
  <c r="H20" i="186"/>
  <c r="H22" i="186" s="1"/>
  <c r="U190" i="16"/>
  <c r="V185" i="16"/>
  <c r="V189" i="16" s="1"/>
  <c r="W123" i="13"/>
  <c r="O59" i="202"/>
  <c r="M51" i="207"/>
  <c r="P22" i="202"/>
  <c r="H32" i="219" s="1"/>
  <c r="Q265" i="16"/>
  <c r="N371" i="202"/>
  <c r="N372" i="202" s="1"/>
  <c r="P322" i="202"/>
  <c r="P323" i="202" s="1"/>
  <c r="P324" i="202" s="1"/>
  <c r="P335" i="202" s="1"/>
  <c r="R57" i="202"/>
  <c r="C84" i="36"/>
  <c r="I52" i="195"/>
  <c r="T317" i="202"/>
  <c r="K46" i="202"/>
  <c r="J29" i="195" s="1"/>
  <c r="K64" i="202"/>
  <c r="O393" i="202"/>
  <c r="M444" i="202"/>
  <c r="S259" i="16"/>
  <c r="S241" i="16"/>
  <c r="R16" i="157" s="1"/>
  <c r="J21" i="209"/>
  <c r="N35" i="157"/>
  <c r="T132" i="13"/>
  <c r="S135" i="13"/>
  <c r="S155" i="13" s="1"/>
  <c r="S157" i="13" s="1"/>
  <c r="S158" i="13" s="1"/>
  <c r="M49" i="207"/>
  <c r="P20" i="202"/>
  <c r="H37" i="219" s="1"/>
  <c r="Q321" i="202"/>
  <c r="T343" i="202"/>
  <c r="R318" i="202"/>
  <c r="U272" i="202"/>
  <c r="L19" i="207"/>
  <c r="L20" i="207" s="1"/>
  <c r="T127" i="13"/>
  <c r="T153" i="13" s="1"/>
  <c r="N17" i="207"/>
  <c r="S136" i="13"/>
  <c r="L51" i="207"/>
  <c r="L54" i="207" s="1"/>
  <c r="O22" i="202"/>
  <c r="G32" i="219" s="1"/>
  <c r="G41" i="219" s="1"/>
  <c r="P265" i="16"/>
  <c r="P368" i="202"/>
  <c r="N518" i="202"/>
  <c r="N519" i="202" s="1"/>
  <c r="N520" i="202" s="1"/>
  <c r="R260" i="16"/>
  <c r="R234" i="16"/>
  <c r="R241" i="16"/>
  <c r="Q16" i="157" s="1"/>
  <c r="W170" i="13"/>
  <c r="W199" i="13" s="1"/>
  <c r="R33" i="207" s="1"/>
  <c r="K536" i="202"/>
  <c r="K537" i="202" s="1"/>
  <c r="U342" i="202"/>
  <c r="R46" i="207"/>
  <c r="U17" i="202"/>
  <c r="R99" i="202"/>
  <c r="J19" i="186" l="1"/>
  <c r="J20" i="186" s="1"/>
  <c r="J22" i="186" s="1"/>
  <c r="T43" i="195"/>
  <c r="R176" i="13"/>
  <c r="I12" i="219"/>
  <c r="S173" i="13"/>
  <c r="J4" i="219"/>
  <c r="T172" i="13"/>
  <c r="T201" i="13" s="1"/>
  <c r="M60" i="157"/>
  <c r="K31" i="92" s="1"/>
  <c r="K31" i="186"/>
  <c r="K15" i="186"/>
  <c r="K16" i="186" s="1"/>
  <c r="K19" i="186" s="1"/>
  <c r="I4" i="219"/>
  <c r="I18" i="219" s="1"/>
  <c r="S172" i="13"/>
  <c r="S201" i="13" s="1"/>
  <c r="N35" i="207" s="1"/>
  <c r="V169" i="13"/>
  <c r="V198" i="13" s="1"/>
  <c r="Q32" i="207" s="1"/>
  <c r="L9" i="219"/>
  <c r="L23" i="219" s="1"/>
  <c r="U58" i="202"/>
  <c r="T45" i="195" s="1"/>
  <c r="M50" i="219"/>
  <c r="N50" i="219" s="1"/>
  <c r="V25" i="72"/>
  <c r="U16" i="102" s="1"/>
  <c r="AF43" i="195"/>
  <c r="I16" i="186"/>
  <c r="I19" i="186" s="1"/>
  <c r="I20" i="186" s="1"/>
  <c r="I13" i="219"/>
  <c r="I27" i="219" s="1"/>
  <c r="G108" i="219"/>
  <c r="P47" i="207"/>
  <c r="S18" i="202"/>
  <c r="X258" i="16"/>
  <c r="T202" i="16"/>
  <c r="T203" i="16" s="1"/>
  <c r="X203" i="16" s="1"/>
  <c r="X257" i="16"/>
  <c r="S17" i="202"/>
  <c r="P46" i="207"/>
  <c r="H41" i="219"/>
  <c r="E96" i="93"/>
  <c r="X189" i="16"/>
  <c r="T190" i="16"/>
  <c r="Y124" i="13"/>
  <c r="F59" i="162" s="1"/>
  <c r="K23" i="219"/>
  <c r="J18" i="219"/>
  <c r="AG62" i="44"/>
  <c r="J7" i="182"/>
  <c r="J17" i="182" s="1"/>
  <c r="AG16" i="101"/>
  <c r="AG26" i="101" s="1"/>
  <c r="I22" i="101"/>
  <c r="L51" i="44"/>
  <c r="AH51" i="44"/>
  <c r="AH22" i="101" s="1"/>
  <c r="X79" i="93"/>
  <c r="S299" i="202"/>
  <c r="S300" i="202" s="1"/>
  <c r="S301" i="202" s="1"/>
  <c r="U198" i="13"/>
  <c r="P32" i="207" s="1"/>
  <c r="Y169" i="13"/>
  <c r="F22" i="101"/>
  <c r="P60" i="202"/>
  <c r="O47" i="195" s="1"/>
  <c r="H52" i="219"/>
  <c r="D107" i="219"/>
  <c r="D79" i="219"/>
  <c r="E107" i="219"/>
  <c r="E121" i="219" s="1"/>
  <c r="E79" i="219"/>
  <c r="N62" i="202"/>
  <c r="M46" i="195" s="1"/>
  <c r="F51" i="219"/>
  <c r="D55" i="219"/>
  <c r="D83" i="219" s="1"/>
  <c r="D116" i="219"/>
  <c r="D111" i="219"/>
  <c r="L77" i="157"/>
  <c r="H56" i="209" s="1"/>
  <c r="I35" i="209"/>
  <c r="H37" i="209"/>
  <c r="K30" i="195"/>
  <c r="K7" i="195" s="1"/>
  <c r="X18" i="208"/>
  <c r="L23" i="181"/>
  <c r="L30" i="181" s="1"/>
  <c r="J49" i="179" s="1"/>
  <c r="L109" i="202"/>
  <c r="L88" i="202"/>
  <c r="E57" i="44"/>
  <c r="E53" i="45"/>
  <c r="Q349" i="202"/>
  <c r="Q350" i="202" s="1"/>
  <c r="Q360" i="202" s="1"/>
  <c r="Q39" i="202" s="1"/>
  <c r="N411" i="202"/>
  <c r="N83" i="202" s="1"/>
  <c r="N104" i="202" s="1"/>
  <c r="S36" i="202"/>
  <c r="K49" i="219" s="1"/>
  <c r="N445" i="202"/>
  <c r="N446" i="202" s="1"/>
  <c r="L28" i="195"/>
  <c r="M18" i="181"/>
  <c r="M23" i="181" s="1"/>
  <c r="M77" i="181" s="1"/>
  <c r="T37" i="202"/>
  <c r="T311" i="202"/>
  <c r="T79" i="202" s="1"/>
  <c r="T100" i="202" s="1"/>
  <c r="T36" i="202"/>
  <c r="T286" i="202"/>
  <c r="T78" i="202" s="1"/>
  <c r="T99" i="202" s="1"/>
  <c r="I46" i="181"/>
  <c r="I57" i="181" s="1"/>
  <c r="I88" i="181" s="1"/>
  <c r="I89" i="181"/>
  <c r="P336" i="202"/>
  <c r="P80" i="202" s="1"/>
  <c r="P101" i="202" s="1"/>
  <c r="P38" i="202"/>
  <c r="L88" i="157"/>
  <c r="H67" i="209" s="1"/>
  <c r="R350" i="202"/>
  <c r="R351" i="202" s="1"/>
  <c r="R360" i="202" s="1"/>
  <c r="O386" i="202"/>
  <c r="O82" i="202" s="1"/>
  <c r="O103" i="202" s="1"/>
  <c r="O40" i="202"/>
  <c r="M19" i="207"/>
  <c r="M20" i="207" s="1"/>
  <c r="J50" i="195"/>
  <c r="J52" i="195" s="1"/>
  <c r="K67" i="202"/>
  <c r="K110" i="202" s="1"/>
  <c r="J8" i="195" s="1"/>
  <c r="V190" i="16"/>
  <c r="V191" i="16" s="1"/>
  <c r="K50" i="195"/>
  <c r="K52" i="195" s="1"/>
  <c r="L67" i="202"/>
  <c r="U171" i="13"/>
  <c r="V124" i="13"/>
  <c r="O394" i="202"/>
  <c r="O395" i="202" s="1"/>
  <c r="R392" i="202"/>
  <c r="M520" i="202"/>
  <c r="M521" i="202" s="1"/>
  <c r="Q17" i="181"/>
  <c r="M15" i="209"/>
  <c r="U202" i="16"/>
  <c r="U245" i="16" s="1"/>
  <c r="R28" i="186" s="1"/>
  <c r="R17" i="186" s="1"/>
  <c r="S99" i="202"/>
  <c r="U343" i="202"/>
  <c r="U344" i="202" s="1"/>
  <c r="M14" i="209"/>
  <c r="Q16" i="181"/>
  <c r="Q18" i="157"/>
  <c r="Q322" i="202"/>
  <c r="Q323" i="202" s="1"/>
  <c r="N45" i="157"/>
  <c r="Y14" i="208" s="1"/>
  <c r="P392" i="202"/>
  <c r="P393" i="202" s="1"/>
  <c r="R319" i="202"/>
  <c r="O35" i="207"/>
  <c r="U132" i="13"/>
  <c r="Y132" i="13" s="1"/>
  <c r="F61" i="162" s="1"/>
  <c r="F57" i="44" s="1"/>
  <c r="O48" i="207"/>
  <c r="R19" i="202"/>
  <c r="J39" i="219" s="1"/>
  <c r="T318" i="202"/>
  <c r="C85" i="36"/>
  <c r="C86" i="36" s="1"/>
  <c r="Q44" i="195"/>
  <c r="P442" i="202"/>
  <c r="P443" i="202" s="1"/>
  <c r="P444" i="202" s="1"/>
  <c r="P25" i="202"/>
  <c r="P369" i="202"/>
  <c r="P370" i="202" s="1"/>
  <c r="U191" i="16"/>
  <c r="O18" i="207"/>
  <c r="U131" i="13"/>
  <c r="Y131" i="13" s="1"/>
  <c r="E61" i="162" s="1"/>
  <c r="F35" i="72" s="1"/>
  <c r="N51" i="207"/>
  <c r="Q22" i="202"/>
  <c r="I32" i="219" s="1"/>
  <c r="R265" i="16"/>
  <c r="T344" i="202"/>
  <c r="T345" i="202" s="1"/>
  <c r="T346" i="202" s="1"/>
  <c r="U273" i="202"/>
  <c r="U274" i="202" s="1"/>
  <c r="U275" i="202" s="1"/>
  <c r="N385" i="202"/>
  <c r="O442" i="202"/>
  <c r="O443" i="202" s="1"/>
  <c r="O25" i="202"/>
  <c r="T136" i="13"/>
  <c r="U127" i="13"/>
  <c r="Y127" i="13" s="1"/>
  <c r="E59" i="162" s="1"/>
  <c r="O17" i="207"/>
  <c r="J33" i="209"/>
  <c r="M54" i="207"/>
  <c r="O40" i="157"/>
  <c r="O41" i="157" s="1"/>
  <c r="O23" i="157"/>
  <c r="K16" i="209"/>
  <c r="Q368" i="202"/>
  <c r="Q369" i="202" s="1"/>
  <c r="Q370" i="202" s="1"/>
  <c r="Q371" i="202" s="1"/>
  <c r="I8" i="195"/>
  <c r="E71" i="209"/>
  <c r="I95" i="157"/>
  <c r="M445" i="202"/>
  <c r="M446" i="202" s="1"/>
  <c r="M460" i="202" s="1"/>
  <c r="U317" i="202"/>
  <c r="N49" i="207"/>
  <c r="Q20" i="202"/>
  <c r="I37" i="219" s="1"/>
  <c r="N521" i="202"/>
  <c r="R202" i="13"/>
  <c r="T135" i="13"/>
  <c r="T155" i="13" s="1"/>
  <c r="T157" i="13" s="1"/>
  <c r="T158" i="13" s="1"/>
  <c r="N14" i="209"/>
  <c r="R16" i="181"/>
  <c r="U43" i="195"/>
  <c r="J44" i="181"/>
  <c r="J93" i="157"/>
  <c r="X208" i="172"/>
  <c r="X209" i="172" s="1"/>
  <c r="S224" i="16"/>
  <c r="V18" i="208"/>
  <c r="J28" i="195"/>
  <c r="J30" i="195" s="1"/>
  <c r="J7" i="195" s="1"/>
  <c r="G35" i="209"/>
  <c r="K18" i="181"/>
  <c r="K60" i="157"/>
  <c r="L36" i="207"/>
  <c r="L37" i="207" s="1"/>
  <c r="Q203" i="13"/>
  <c r="O9" i="157"/>
  <c r="O9" i="181" s="1"/>
  <c r="P40" i="157"/>
  <c r="P23" i="157"/>
  <c r="L16" i="209"/>
  <c r="V200" i="16"/>
  <c r="V201" i="16" s="1"/>
  <c r="W116" i="13"/>
  <c r="M77" i="157" l="1"/>
  <c r="I56" i="209" s="1"/>
  <c r="I37" i="209"/>
  <c r="T245" i="16"/>
  <c r="J12" i="219"/>
  <c r="J13" i="219" s="1"/>
  <c r="J27" i="219" s="1"/>
  <c r="T173" i="13"/>
  <c r="T175" i="13" s="1"/>
  <c r="W169" i="13"/>
  <c r="W198" i="13" s="1"/>
  <c r="R32" i="207" s="1"/>
  <c r="M9" i="219"/>
  <c r="S175" i="13"/>
  <c r="S176" i="13" s="1"/>
  <c r="G122" i="219"/>
  <c r="T58" i="202"/>
  <c r="S45" i="195" s="1"/>
  <c r="L50" i="219"/>
  <c r="T57" i="202"/>
  <c r="S44" i="195" s="1"/>
  <c r="L49" i="219"/>
  <c r="M78" i="219"/>
  <c r="N78" i="219" s="1"/>
  <c r="M106" i="219"/>
  <c r="F16" i="78"/>
  <c r="F17" i="100" s="1"/>
  <c r="G43" i="195"/>
  <c r="X202" i="16"/>
  <c r="K38" i="219"/>
  <c r="W18" i="202"/>
  <c r="S342" i="202"/>
  <c r="W17" i="202"/>
  <c r="S317" i="202"/>
  <c r="S318" i="202" s="1"/>
  <c r="S319" i="202" s="1"/>
  <c r="L118" i="181"/>
  <c r="L122" i="181" s="1"/>
  <c r="K4" i="219"/>
  <c r="D125" i="219"/>
  <c r="L85" i="157"/>
  <c r="H64" i="209" s="1"/>
  <c r="W51" i="44"/>
  <c r="K22" i="101"/>
  <c r="Q51" i="44"/>
  <c r="Q28" i="186"/>
  <c r="Q17" i="186" s="1"/>
  <c r="X245" i="16"/>
  <c r="T191" i="16"/>
  <c r="T241" i="16" s="1"/>
  <c r="X190" i="16"/>
  <c r="U200" i="13"/>
  <c r="P34" i="207" s="1"/>
  <c r="Y171" i="13"/>
  <c r="F34" i="72"/>
  <c r="K35" i="72"/>
  <c r="T35" i="72"/>
  <c r="X35" i="72"/>
  <c r="E132" i="93"/>
  <c r="E50" i="107" s="1"/>
  <c r="N35" i="72"/>
  <c r="H35" i="72"/>
  <c r="Q35" i="72"/>
  <c r="E16" i="102"/>
  <c r="I41" i="219"/>
  <c r="E46" i="93"/>
  <c r="E16" i="107" s="1"/>
  <c r="E16" i="78"/>
  <c r="H57" i="44"/>
  <c r="F43" i="195"/>
  <c r="E16" i="101"/>
  <c r="S302" i="202"/>
  <c r="S310" i="202" s="1"/>
  <c r="F54" i="44"/>
  <c r="L110" i="202"/>
  <c r="K8" i="195" s="1"/>
  <c r="O61" i="202"/>
  <c r="N48" i="195" s="1"/>
  <c r="G53" i="219"/>
  <c r="G109" i="219" s="1"/>
  <c r="G123" i="219" s="1"/>
  <c r="K105" i="219"/>
  <c r="K77" i="219"/>
  <c r="F107" i="219"/>
  <c r="F121" i="219" s="1"/>
  <c r="F79" i="219"/>
  <c r="H108" i="219"/>
  <c r="H80" i="219"/>
  <c r="P59" i="202"/>
  <c r="Q60" i="202"/>
  <c r="P47" i="195" s="1"/>
  <c r="I52" i="219"/>
  <c r="D121" i="219"/>
  <c r="L77" i="181"/>
  <c r="M84" i="181"/>
  <c r="S57" i="202"/>
  <c r="Q361" i="202"/>
  <c r="Q81" i="202" s="1"/>
  <c r="Q102" i="202" s="1"/>
  <c r="I78" i="181"/>
  <c r="I79" i="181" s="1"/>
  <c r="I80" i="181" s="1"/>
  <c r="G52" i="92" s="1"/>
  <c r="E58" i="44"/>
  <c r="E35" i="72"/>
  <c r="E54" i="45"/>
  <c r="U345" i="202"/>
  <c r="U346" i="202" s="1"/>
  <c r="I72" i="181"/>
  <c r="I74" i="181" s="1"/>
  <c r="M85" i="157"/>
  <c r="I64" i="209" s="1"/>
  <c r="G50" i="179"/>
  <c r="G57" i="179" s="1"/>
  <c r="G58" i="179" s="1"/>
  <c r="G59" i="179" s="1"/>
  <c r="G60" i="179" s="1"/>
  <c r="H48" i="179" s="1"/>
  <c r="N447" i="202"/>
  <c r="N460" i="202" s="1"/>
  <c r="N43" i="202" s="1"/>
  <c r="F46" i="219" s="1"/>
  <c r="I113" i="181"/>
  <c r="I116" i="181" s="1"/>
  <c r="I123" i="181" s="1"/>
  <c r="G56" i="92" s="1"/>
  <c r="M522" i="202"/>
  <c r="M536" i="202" s="1"/>
  <c r="M537" i="202" s="1"/>
  <c r="U203" i="16"/>
  <c r="U260" i="16" s="1"/>
  <c r="Q49" i="207" s="1"/>
  <c r="I90" i="181"/>
  <c r="I92" i="181" s="1"/>
  <c r="I94" i="181" s="1"/>
  <c r="I100" i="181" s="1"/>
  <c r="I101" i="181" s="1"/>
  <c r="G54" i="92" s="1"/>
  <c r="P445" i="202"/>
  <c r="P446" i="202" s="1"/>
  <c r="P447" i="202" s="1"/>
  <c r="M30" i="181"/>
  <c r="M118" i="181" s="1"/>
  <c r="M122" i="181" s="1"/>
  <c r="K23" i="181"/>
  <c r="K77" i="181" s="1"/>
  <c r="K84" i="181"/>
  <c r="N522" i="202"/>
  <c r="N523" i="202" s="1"/>
  <c r="N536" i="202" s="1"/>
  <c r="N537" i="202" s="1"/>
  <c r="J46" i="181"/>
  <c r="J57" i="181" s="1"/>
  <c r="J88" i="181" s="1"/>
  <c r="J89" i="181"/>
  <c r="Q324" i="202"/>
  <c r="V259" i="16"/>
  <c r="M461" i="202"/>
  <c r="M85" i="202" s="1"/>
  <c r="M43" i="202"/>
  <c r="E46" i="219" s="1"/>
  <c r="R361" i="202"/>
  <c r="R81" i="202" s="1"/>
  <c r="R102" i="202" s="1"/>
  <c r="R39" i="202"/>
  <c r="X211" i="172"/>
  <c r="Y203" i="172"/>
  <c r="Y207" i="172" s="1"/>
  <c r="U45" i="195"/>
  <c r="U135" i="13"/>
  <c r="Y135" i="13" s="1"/>
  <c r="E63" i="162" s="1"/>
  <c r="F36" i="72" s="1"/>
  <c r="V202" i="16"/>
  <c r="V203" i="16" s="1"/>
  <c r="K88" i="157"/>
  <c r="F71" i="209"/>
  <c r="J95" i="157"/>
  <c r="U318" i="202"/>
  <c r="U319" i="202" s="1"/>
  <c r="U320" i="202" s="1"/>
  <c r="U136" i="13"/>
  <c r="O444" i="202"/>
  <c r="N54" i="207"/>
  <c r="U154" i="13"/>
  <c r="V131" i="13"/>
  <c r="P518" i="202"/>
  <c r="P519" i="202" s="1"/>
  <c r="R367" i="202"/>
  <c r="R368" i="202" s="1"/>
  <c r="U172" i="13"/>
  <c r="V132" i="13"/>
  <c r="L4" i="219" s="1"/>
  <c r="R393" i="202"/>
  <c r="R394" i="202" s="1"/>
  <c r="V171" i="13"/>
  <c r="V200" i="13" s="1"/>
  <c r="Q34" i="207" s="1"/>
  <c r="W124" i="13"/>
  <c r="T319" i="202"/>
  <c r="L93" i="157"/>
  <c r="L44" i="181"/>
  <c r="P35" i="157"/>
  <c r="L21" i="209"/>
  <c r="Q392" i="202"/>
  <c r="O35" i="157"/>
  <c r="K21" i="209"/>
  <c r="O518" i="202"/>
  <c r="O519" i="202" s="1"/>
  <c r="U276" i="202"/>
  <c r="U277" i="202" s="1"/>
  <c r="U278" i="202" s="1"/>
  <c r="U279" i="202" s="1"/>
  <c r="U285" i="202" s="1"/>
  <c r="U259" i="16"/>
  <c r="C87" i="36"/>
  <c r="T260" i="16"/>
  <c r="M88" i="157"/>
  <c r="I67" i="209" s="1"/>
  <c r="K20" i="186"/>
  <c r="K22" i="186" s="1"/>
  <c r="P371" i="202"/>
  <c r="P372" i="202" s="1"/>
  <c r="P373" i="202" s="1"/>
  <c r="N58" i="157"/>
  <c r="S262" i="16"/>
  <c r="S242" i="16"/>
  <c r="R17" i="157" s="1"/>
  <c r="S244" i="16"/>
  <c r="S246" i="16" s="1"/>
  <c r="S234" i="16"/>
  <c r="M36" i="207"/>
  <c r="M37" i="207" s="1"/>
  <c r="P9" i="157"/>
  <c r="P9" i="181" s="1"/>
  <c r="R203" i="13"/>
  <c r="S202" i="13"/>
  <c r="N40" i="202"/>
  <c r="N386" i="202"/>
  <c r="N82" i="202" s="1"/>
  <c r="N103" i="202" s="1"/>
  <c r="M16" i="209"/>
  <c r="Q23" i="157"/>
  <c r="Q40" i="157"/>
  <c r="P41" i="157"/>
  <c r="P42" i="157" s="1"/>
  <c r="P43" i="157" s="1"/>
  <c r="Q372" i="202"/>
  <c r="Q373" i="202" s="1"/>
  <c r="N19" i="207"/>
  <c r="N20" i="207" s="1"/>
  <c r="O42" i="157"/>
  <c r="O43" i="157" s="1"/>
  <c r="I31" i="92"/>
  <c r="G37" i="209"/>
  <c r="K77" i="157"/>
  <c r="G32" i="92"/>
  <c r="G33" i="92" s="1"/>
  <c r="I97" i="157"/>
  <c r="E75" i="209" s="1"/>
  <c r="E73" i="209"/>
  <c r="I99" i="157"/>
  <c r="V127" i="13"/>
  <c r="U153" i="13"/>
  <c r="T347" i="202"/>
  <c r="Q442" i="202"/>
  <c r="Q25" i="202"/>
  <c r="O396" i="202"/>
  <c r="O397" i="202" s="1"/>
  <c r="O398" i="202" s="1"/>
  <c r="O410" i="202" s="1"/>
  <c r="R320" i="202"/>
  <c r="P394" i="202"/>
  <c r="V43" i="195"/>
  <c r="T224" i="16"/>
  <c r="X224" i="16" s="1"/>
  <c r="T176" i="13" l="1"/>
  <c r="L31" i="186"/>
  <c r="L15" i="186"/>
  <c r="D69" i="219"/>
  <c r="L97" i="208"/>
  <c r="M23" i="219"/>
  <c r="N9" i="219"/>
  <c r="N23" i="219" s="1"/>
  <c r="M120" i="219"/>
  <c r="N120" i="219" s="1"/>
  <c r="K18" i="219"/>
  <c r="L18" i="219"/>
  <c r="L105" i="219"/>
  <c r="L119" i="219" s="1"/>
  <c r="L77" i="219"/>
  <c r="L78" i="219"/>
  <c r="L106" i="219"/>
  <c r="L120" i="219" s="1"/>
  <c r="G12" i="208"/>
  <c r="N461" i="202"/>
  <c r="N85" i="202" s="1"/>
  <c r="N106" i="202" s="1"/>
  <c r="N109" i="202" s="1"/>
  <c r="P27" i="186"/>
  <c r="P29" i="186" s="1"/>
  <c r="S343" i="202"/>
  <c r="S320" i="202"/>
  <c r="S321" i="202" s="1"/>
  <c r="S322" i="202" s="1"/>
  <c r="S323" i="202" s="1"/>
  <c r="I103" i="157"/>
  <c r="E81" i="209" s="1"/>
  <c r="V245" i="16"/>
  <c r="S28" i="186" s="1"/>
  <c r="S17" i="186" s="1"/>
  <c r="E65" i="162"/>
  <c r="E138" i="93" s="1"/>
  <c r="H54" i="44"/>
  <c r="F50" i="195"/>
  <c r="E44" i="93"/>
  <c r="E23" i="101"/>
  <c r="E23" i="78"/>
  <c r="F62" i="44"/>
  <c r="T36" i="72"/>
  <c r="K36" i="72"/>
  <c r="J24" i="102" s="1"/>
  <c r="Q36" i="72"/>
  <c r="P24" i="102" s="1"/>
  <c r="N36" i="72"/>
  <c r="M24" i="102" s="1"/>
  <c r="X36" i="72"/>
  <c r="W24" i="102" s="1"/>
  <c r="H36" i="72"/>
  <c r="G24" i="102" s="1"/>
  <c r="E24" i="102"/>
  <c r="E134" i="93"/>
  <c r="S311" i="202"/>
  <c r="S79" i="202" s="1"/>
  <c r="S37" i="202"/>
  <c r="E17" i="100"/>
  <c r="F12" i="208"/>
  <c r="P16" i="78"/>
  <c r="P16" i="102"/>
  <c r="O16" i="102" s="1"/>
  <c r="W16" i="102"/>
  <c r="C34" i="72"/>
  <c r="C35" i="72" s="1"/>
  <c r="E130" i="93"/>
  <c r="X34" i="72"/>
  <c r="N34" i="72"/>
  <c r="H34" i="72"/>
  <c r="K34" i="72"/>
  <c r="E23" i="102"/>
  <c r="T34" i="72"/>
  <c r="Q34" i="72"/>
  <c r="F38" i="72"/>
  <c r="X191" i="16"/>
  <c r="T259" i="16"/>
  <c r="S51" i="44"/>
  <c r="N22" i="101"/>
  <c r="M22" i="101" s="1"/>
  <c r="G16" i="101"/>
  <c r="J57" i="44"/>
  <c r="U201" i="13"/>
  <c r="P35" i="207" s="1"/>
  <c r="Y172" i="13"/>
  <c r="P18" i="207"/>
  <c r="Y154" i="13"/>
  <c r="K12" i="219"/>
  <c r="Y136" i="13"/>
  <c r="F63" i="162" s="1"/>
  <c r="G16" i="102"/>
  <c r="S16" i="102"/>
  <c r="J22" i="101"/>
  <c r="P17" i="207"/>
  <c r="Y153" i="13"/>
  <c r="S16" i="157"/>
  <c r="F62" i="96" s="1"/>
  <c r="X241" i="16"/>
  <c r="M16" i="102"/>
  <c r="J16" i="102"/>
  <c r="W22" i="101"/>
  <c r="N61" i="202"/>
  <c r="M48" i="195" s="1"/>
  <c r="F53" i="219"/>
  <c r="F109" i="219" s="1"/>
  <c r="E102" i="219"/>
  <c r="E74" i="219"/>
  <c r="E55" i="219"/>
  <c r="E83" i="219" s="1"/>
  <c r="F102" i="219"/>
  <c r="F74" i="219"/>
  <c r="R60" i="202"/>
  <c r="Q47" i="195" s="1"/>
  <c r="J52" i="219"/>
  <c r="I108" i="219"/>
  <c r="I122" i="219" s="1"/>
  <c r="I80" i="219"/>
  <c r="H122" i="219"/>
  <c r="K119" i="219"/>
  <c r="R44" i="195"/>
  <c r="E59" i="44"/>
  <c r="E55" i="45"/>
  <c r="J54" i="45"/>
  <c r="I17" i="105" s="1"/>
  <c r="H54" i="45"/>
  <c r="G17" i="105" s="1"/>
  <c r="K30" i="181"/>
  <c r="I49" i="179" s="1"/>
  <c r="H50" i="179"/>
  <c r="T20" i="202"/>
  <c r="K49" i="179"/>
  <c r="U241" i="16"/>
  <c r="T16" i="157" s="1"/>
  <c r="P14" i="209" s="1"/>
  <c r="J72" i="181"/>
  <c r="J74" i="181" s="1"/>
  <c r="J113" i="181"/>
  <c r="J116" i="181" s="1"/>
  <c r="J123" i="181" s="1"/>
  <c r="H56" i="92" s="1"/>
  <c r="J78" i="181"/>
  <c r="J79" i="181" s="1"/>
  <c r="J80" i="181" s="1"/>
  <c r="J103" i="157" s="1"/>
  <c r="F81" i="209" s="1"/>
  <c r="Q325" i="202"/>
  <c r="Q335" i="202" s="1"/>
  <c r="O445" i="202"/>
  <c r="O446" i="202" s="1"/>
  <c r="W43" i="195"/>
  <c r="L46" i="181"/>
  <c r="L57" i="181" s="1"/>
  <c r="L88" i="181" s="1"/>
  <c r="L89" i="181"/>
  <c r="J90" i="181"/>
  <c r="J92" i="181" s="1"/>
  <c r="J94" i="181" s="1"/>
  <c r="J100" i="181" s="1"/>
  <c r="J101" i="181" s="1"/>
  <c r="H54" i="92" s="1"/>
  <c r="U6" i="208" s="1"/>
  <c r="O41" i="202"/>
  <c r="O411" i="202"/>
  <c r="O83" i="202" s="1"/>
  <c r="O104" i="202" s="1"/>
  <c r="V260" i="16"/>
  <c r="V241" i="16"/>
  <c r="U16" i="157" s="1"/>
  <c r="O51" i="207"/>
  <c r="O54" i="207" s="1"/>
  <c r="R22" i="202"/>
  <c r="J32" i="219" s="1"/>
  <c r="J41" i="219" s="1"/>
  <c r="S265" i="16"/>
  <c r="M44" i="181"/>
  <c r="M93" i="157"/>
  <c r="P49" i="207"/>
  <c r="S20" i="202"/>
  <c r="W171" i="13"/>
  <c r="W200" i="13" s="1"/>
  <c r="R34" i="207" s="1"/>
  <c r="O44" i="157"/>
  <c r="O45" i="157" s="1"/>
  <c r="G67" i="209"/>
  <c r="I22" i="186"/>
  <c r="U155" i="13"/>
  <c r="Y155" i="13" s="1"/>
  <c r="V135" i="13"/>
  <c r="T348" i="202"/>
  <c r="T349" i="202" s="1"/>
  <c r="M46" i="202"/>
  <c r="L29" i="195" s="1"/>
  <c r="L30" i="195" s="1"/>
  <c r="L7" i="195" s="1"/>
  <c r="M64" i="202"/>
  <c r="Q443" i="202"/>
  <c r="K85" i="157"/>
  <c r="G64" i="209" s="1"/>
  <c r="G56" i="209"/>
  <c r="Q41" i="157"/>
  <c r="Y18" i="208"/>
  <c r="J35" i="209"/>
  <c r="M28" i="195"/>
  <c r="N18" i="181"/>
  <c r="N60" i="157"/>
  <c r="R321" i="202"/>
  <c r="Q374" i="202"/>
  <c r="U36" i="202"/>
  <c r="U286" i="202"/>
  <c r="U78" i="202" s="1"/>
  <c r="W78" i="202" s="1"/>
  <c r="Q393" i="202"/>
  <c r="L33" i="209"/>
  <c r="H71" i="209"/>
  <c r="L95" i="157"/>
  <c r="U347" i="202"/>
  <c r="U348" i="202" s="1"/>
  <c r="U349" i="202" s="1"/>
  <c r="P395" i="202"/>
  <c r="P520" i="202"/>
  <c r="V154" i="13"/>
  <c r="Q18" i="207" s="1"/>
  <c r="W131" i="13"/>
  <c r="U173" i="13"/>
  <c r="Y173" i="13" s="1"/>
  <c r="V136" i="13"/>
  <c r="L12" i="219" s="1"/>
  <c r="L13" i="219" s="1"/>
  <c r="O19" i="207"/>
  <c r="O20" i="207" s="1"/>
  <c r="P448" i="202"/>
  <c r="P449" i="202" s="1"/>
  <c r="Y208" i="172"/>
  <c r="Y209" i="172" s="1"/>
  <c r="M88" i="202"/>
  <c r="M106" i="202"/>
  <c r="M109" i="202" s="1"/>
  <c r="T262" i="16"/>
  <c r="X262" i="16" s="1"/>
  <c r="T242" i="16"/>
  <c r="T244" i="16"/>
  <c r="W127" i="13"/>
  <c r="V153" i="13"/>
  <c r="Q17" i="207" s="1"/>
  <c r="G34" i="92"/>
  <c r="G36" i="92"/>
  <c r="U321" i="202"/>
  <c r="O520" i="202"/>
  <c r="K33" i="209"/>
  <c r="P374" i="202"/>
  <c r="P385" i="202" s="1"/>
  <c r="R395" i="202"/>
  <c r="V172" i="13"/>
  <c r="V201" i="13" s="1"/>
  <c r="Q35" i="207" s="1"/>
  <c r="W132" i="13"/>
  <c r="M4" i="219" s="1"/>
  <c r="T202" i="13"/>
  <c r="J97" i="157"/>
  <c r="F75" i="209" s="1"/>
  <c r="H32" i="92"/>
  <c r="H33" i="92" s="1"/>
  <c r="H36" i="92" s="1"/>
  <c r="F73" i="209"/>
  <c r="J99" i="157"/>
  <c r="C88" i="36"/>
  <c r="N46" i="202"/>
  <c r="M29" i="195" s="1"/>
  <c r="N64" i="202"/>
  <c r="R48" i="207"/>
  <c r="U19" i="202"/>
  <c r="M39" i="219" s="1"/>
  <c r="N39" i="219" s="1"/>
  <c r="Q518" i="202"/>
  <c r="E77" i="209"/>
  <c r="I101" i="157"/>
  <c r="E79" i="209" s="1"/>
  <c r="P44" i="157"/>
  <c r="P45" i="157" s="1"/>
  <c r="M21" i="209"/>
  <c r="Q35" i="157"/>
  <c r="N36" i="207"/>
  <c r="N37" i="207" s="1"/>
  <c r="S203" i="13"/>
  <c r="Q9" i="157"/>
  <c r="Q9" i="181" s="1"/>
  <c r="N15" i="209"/>
  <c r="R17" i="181"/>
  <c r="R18" i="157"/>
  <c r="T234" i="16"/>
  <c r="X234" i="16" s="1"/>
  <c r="Q48" i="207"/>
  <c r="T19" i="202"/>
  <c r="L39" i="219" s="1"/>
  <c r="U224" i="16"/>
  <c r="R369" i="202"/>
  <c r="R370" i="202" s="1"/>
  <c r="R371" i="202" s="1"/>
  <c r="T320" i="202"/>
  <c r="T321" i="202" s="1"/>
  <c r="M18" i="219" l="1"/>
  <c r="N4" i="219"/>
  <c r="N18" i="219" s="1"/>
  <c r="T392" i="202"/>
  <c r="T393" i="202" s="1"/>
  <c r="T394" i="202" s="1"/>
  <c r="L37" i="219"/>
  <c r="W36" i="202"/>
  <c r="M49" i="219"/>
  <c r="N49" i="219" s="1"/>
  <c r="N88" i="202"/>
  <c r="G20" i="179"/>
  <c r="G33" i="179" s="1"/>
  <c r="G37" i="179"/>
  <c r="S344" i="202"/>
  <c r="S345" i="202" s="1"/>
  <c r="S346" i="202" s="1"/>
  <c r="O14" i="209"/>
  <c r="S16" i="181"/>
  <c r="E26" i="102"/>
  <c r="F40" i="72"/>
  <c r="F41" i="72" s="1"/>
  <c r="F55" i="219"/>
  <c r="F83" i="219" s="1"/>
  <c r="T246" i="16"/>
  <c r="X244" i="16"/>
  <c r="F16" i="102"/>
  <c r="F16" i="101"/>
  <c r="P23" i="102"/>
  <c r="Q38" i="72"/>
  <c r="S17" i="157"/>
  <c r="F63" i="96" s="1"/>
  <c r="X242" i="16"/>
  <c r="W20" i="202"/>
  <c r="K37" i="219"/>
  <c r="I16" i="102"/>
  <c r="E59" i="115"/>
  <c r="I62" i="96"/>
  <c r="M62" i="96" s="1"/>
  <c r="F60" i="44"/>
  <c r="F65" i="162"/>
  <c r="X259" i="16"/>
  <c r="P48" i="207"/>
  <c r="S19" i="202"/>
  <c r="S23" i="102"/>
  <c r="T38" i="72"/>
  <c r="U36" i="72" s="1"/>
  <c r="M23" i="102"/>
  <c r="M26" i="102" s="1"/>
  <c r="N38" i="72"/>
  <c r="O34" i="72" s="1"/>
  <c r="S51" i="45" s="1"/>
  <c r="R24" i="105" s="1"/>
  <c r="S58" i="202"/>
  <c r="K50" i="219"/>
  <c r="W37" i="202"/>
  <c r="R134" i="93"/>
  <c r="Q134" i="93"/>
  <c r="P134" i="93"/>
  <c r="S134" i="93"/>
  <c r="E58" i="107"/>
  <c r="T134" i="93"/>
  <c r="L24" i="102"/>
  <c r="E23" i="107"/>
  <c r="P22" i="101"/>
  <c r="G23" i="102"/>
  <c r="H38" i="72"/>
  <c r="C36" i="72"/>
  <c r="C38" i="72" s="1"/>
  <c r="R16" i="102"/>
  <c r="K13" i="219"/>
  <c r="W23" i="102"/>
  <c r="W26" i="102" s="1"/>
  <c r="X24" i="102" s="1"/>
  <c r="X38" i="72"/>
  <c r="Y34" i="72" s="1"/>
  <c r="V51" i="45" s="1"/>
  <c r="U24" i="105" s="1"/>
  <c r="S100" i="202"/>
  <c r="W79" i="202"/>
  <c r="O24" i="102"/>
  <c r="S24" i="102"/>
  <c r="L16" i="102"/>
  <c r="AH57" i="44"/>
  <c r="L57" i="44"/>
  <c r="I16" i="101"/>
  <c r="J23" i="102"/>
  <c r="K38" i="72"/>
  <c r="L34" i="72" s="1"/>
  <c r="R51" i="45" s="1"/>
  <c r="Q24" i="105" s="1"/>
  <c r="E57" i="107"/>
  <c r="E136" i="93"/>
  <c r="E139" i="93" s="1"/>
  <c r="F24" i="102"/>
  <c r="I24" i="102"/>
  <c r="E24" i="100"/>
  <c r="F19" i="208"/>
  <c r="F90" i="208" s="1"/>
  <c r="F97" i="208" s="1"/>
  <c r="J54" i="44"/>
  <c r="G23" i="101"/>
  <c r="O62" i="202"/>
  <c r="N46" i="195" s="1"/>
  <c r="G51" i="219"/>
  <c r="J108" i="219"/>
  <c r="J122" i="219" s="1"/>
  <c r="J80" i="219"/>
  <c r="F116" i="219"/>
  <c r="F111" i="219"/>
  <c r="F123" i="219"/>
  <c r="E116" i="219"/>
  <c r="E111" i="219"/>
  <c r="E125" i="219" s="1"/>
  <c r="K118" i="181"/>
  <c r="K122" i="181" s="1"/>
  <c r="E60" i="44"/>
  <c r="E56" i="45"/>
  <c r="L78" i="181"/>
  <c r="L79" i="181" s="1"/>
  <c r="L80" i="181" s="1"/>
  <c r="L103" i="157" s="1"/>
  <c r="H81" i="209" s="1"/>
  <c r="H57" i="179"/>
  <c r="H58" i="179" s="1"/>
  <c r="H59" i="179" s="1"/>
  <c r="H60" i="179" s="1"/>
  <c r="J50" i="179"/>
  <c r="T16" i="181"/>
  <c r="H52" i="92"/>
  <c r="U5" i="208" s="1"/>
  <c r="L113" i="181"/>
  <c r="L116" i="181" s="1"/>
  <c r="L123" i="181" s="1"/>
  <c r="J56" i="92" s="1"/>
  <c r="L72" i="181"/>
  <c r="L74" i="181" s="1"/>
  <c r="Q336" i="202"/>
  <c r="Q80" i="202" s="1"/>
  <c r="Q101" i="202" s="1"/>
  <c r="Q38" i="202"/>
  <c r="O447" i="202"/>
  <c r="N23" i="181"/>
  <c r="N77" i="181" s="1"/>
  <c r="N84" i="181"/>
  <c r="V45" i="195"/>
  <c r="P521" i="202"/>
  <c r="M46" i="181"/>
  <c r="M57" i="181" s="1"/>
  <c r="M88" i="181" s="1"/>
  <c r="M89" i="181"/>
  <c r="L90" i="181"/>
  <c r="L92" i="181" s="1"/>
  <c r="L94" i="181" s="1"/>
  <c r="L100" i="181" s="1"/>
  <c r="L101" i="181" s="1"/>
  <c r="J54" i="92" s="1"/>
  <c r="W6" i="208" s="1"/>
  <c r="R372" i="202"/>
  <c r="R373" i="202" s="1"/>
  <c r="Y211" i="172"/>
  <c r="Z203" i="172"/>
  <c r="Z207" i="172" s="1"/>
  <c r="U367" i="202"/>
  <c r="U368" i="202" s="1"/>
  <c r="P386" i="202"/>
  <c r="P82" i="202" s="1"/>
  <c r="P103" i="202" s="1"/>
  <c r="P40" i="202"/>
  <c r="U262" i="16"/>
  <c r="U242" i="16"/>
  <c r="T17" i="157" s="1"/>
  <c r="U244" i="16"/>
  <c r="U246" i="16" s="1"/>
  <c r="R27" i="186" s="1"/>
  <c r="R29" i="186" s="1"/>
  <c r="U234" i="16"/>
  <c r="M50" i="195"/>
  <c r="M52" i="195" s="1"/>
  <c r="N67" i="202"/>
  <c r="N110" i="202" s="1"/>
  <c r="M8" i="195" s="1"/>
  <c r="F69" i="219" s="1"/>
  <c r="W153" i="13"/>
  <c r="R17" i="207" s="1"/>
  <c r="V173" i="13"/>
  <c r="W136" i="13"/>
  <c r="M12" i="219" s="1"/>
  <c r="N12" i="219" s="1"/>
  <c r="N13" i="219" s="1"/>
  <c r="N27" i="219" s="1"/>
  <c r="U57" i="202"/>
  <c r="W57" i="202" s="1"/>
  <c r="R322" i="202"/>
  <c r="R323" i="202" s="1"/>
  <c r="R324" i="202" s="1"/>
  <c r="R325" i="202" s="1"/>
  <c r="M30" i="195"/>
  <c r="M7" i="195" s="1"/>
  <c r="P19" i="207"/>
  <c r="P20" i="207" s="1"/>
  <c r="U157" i="13"/>
  <c r="K44" i="181"/>
  <c r="K93" i="157"/>
  <c r="V224" i="16"/>
  <c r="T350" i="202"/>
  <c r="T351" i="202" s="1"/>
  <c r="T352" i="202" s="1"/>
  <c r="T353" i="202" s="1"/>
  <c r="T360" i="202" s="1"/>
  <c r="S392" i="202"/>
  <c r="U16" i="181"/>
  <c r="Q14" i="209"/>
  <c r="C89" i="36"/>
  <c r="L31" i="92"/>
  <c r="J37" i="209"/>
  <c r="N77" i="157"/>
  <c r="L50" i="195"/>
  <c r="L52" i="195" s="1"/>
  <c r="M67" i="202"/>
  <c r="M110" i="202" s="1"/>
  <c r="L8" i="195" s="1"/>
  <c r="E69" i="219" s="1"/>
  <c r="F77" i="209"/>
  <c r="J101" i="157"/>
  <c r="F79" i="209" s="1"/>
  <c r="H29" i="92"/>
  <c r="H34" i="92"/>
  <c r="P51" i="207"/>
  <c r="S22" i="202"/>
  <c r="T265" i="16"/>
  <c r="X265" i="16" s="1"/>
  <c r="W154" i="13"/>
  <c r="R18" i="207" s="1"/>
  <c r="P396" i="202"/>
  <c r="P397" i="202" s="1"/>
  <c r="U350" i="202"/>
  <c r="L16" i="186"/>
  <c r="L19" i="186" s="1"/>
  <c r="S324" i="202"/>
  <c r="S325" i="202" s="1"/>
  <c r="S326" i="202" s="1"/>
  <c r="S327" i="202" s="1"/>
  <c r="S335" i="202" s="1"/>
  <c r="I71" i="209"/>
  <c r="M95" i="157"/>
  <c r="U322" i="202"/>
  <c r="O521" i="202"/>
  <c r="Q375" i="202"/>
  <c r="Q385" i="202" s="1"/>
  <c r="R49" i="207"/>
  <c r="U20" i="202"/>
  <c r="M37" i="219" s="1"/>
  <c r="N37" i="219" s="1"/>
  <c r="P46" i="157"/>
  <c r="P47" i="157" s="1"/>
  <c r="P460" i="202"/>
  <c r="U202" i="13"/>
  <c r="U175" i="13"/>
  <c r="Q42" i="157"/>
  <c r="Q43" i="157" s="1"/>
  <c r="Q394" i="202"/>
  <c r="O36" i="207"/>
  <c r="O37" i="207" s="1"/>
  <c r="R9" i="157"/>
  <c r="R9" i="181" s="1"/>
  <c r="T203" i="13"/>
  <c r="W172" i="13"/>
  <c r="W201" i="13" s="1"/>
  <c r="R35" i="207" s="1"/>
  <c r="R396" i="202"/>
  <c r="T367" i="202"/>
  <c r="T368" i="202" s="1"/>
  <c r="N16" i="209"/>
  <c r="R23" i="157"/>
  <c r="R40" i="157"/>
  <c r="M33" i="209"/>
  <c r="Q519" i="202"/>
  <c r="T322" i="202"/>
  <c r="H73" i="209"/>
  <c r="L97" i="157"/>
  <c r="H75" i="209" s="1"/>
  <c r="J32" i="92"/>
  <c r="J33" i="92" s="1"/>
  <c r="J36" i="92" s="1"/>
  <c r="L99" i="157"/>
  <c r="U99" i="202"/>
  <c r="O46" i="157"/>
  <c r="Z14" i="208" s="1"/>
  <c r="V155" i="13"/>
  <c r="W135" i="13"/>
  <c r="R442" i="202"/>
  <c r="R25" i="202"/>
  <c r="Q444" i="202"/>
  <c r="T395" i="202" l="1"/>
  <c r="T396" i="202" s="1"/>
  <c r="M13" i="219"/>
  <c r="M27" i="219" s="1"/>
  <c r="K27" i="219"/>
  <c r="L27" i="219"/>
  <c r="M105" i="219"/>
  <c r="M77" i="219"/>
  <c r="N77" i="219" s="1"/>
  <c r="W99" i="202"/>
  <c r="V27" i="72" s="1"/>
  <c r="AA44" i="195"/>
  <c r="S347" i="202"/>
  <c r="N24" i="102"/>
  <c r="N16" i="102"/>
  <c r="J52" i="92"/>
  <c r="W5" i="208" s="1"/>
  <c r="E60" i="107"/>
  <c r="S26" i="102"/>
  <c r="T21" i="102" s="1"/>
  <c r="S18" i="157"/>
  <c r="O15" i="209"/>
  <c r="F125" i="219"/>
  <c r="P54" i="207"/>
  <c r="L54" i="44"/>
  <c r="AH54" i="44"/>
  <c r="AH23" i="101" s="1"/>
  <c r="I23" i="101"/>
  <c r="AA45" i="195"/>
  <c r="W100" i="202"/>
  <c r="V28" i="72" s="1"/>
  <c r="I36" i="72"/>
  <c r="I19" i="72"/>
  <c r="T21" i="45" s="1"/>
  <c r="I32" i="72"/>
  <c r="T45" i="45" s="1"/>
  <c r="I20" i="72"/>
  <c r="T22" i="45" s="1"/>
  <c r="S16" i="105" s="1"/>
  <c r="I24" i="72"/>
  <c r="T26" i="45" s="1"/>
  <c r="I31" i="72"/>
  <c r="T42" i="45" s="1"/>
  <c r="S22" i="105" s="1"/>
  <c r="I18" i="72"/>
  <c r="T20" i="45" s="1"/>
  <c r="I28" i="72"/>
  <c r="T33" i="45" s="1"/>
  <c r="S19" i="105" s="1"/>
  <c r="I30" i="72"/>
  <c r="T39" i="45" s="1"/>
  <c r="S21" i="105" s="1"/>
  <c r="I29" i="72"/>
  <c r="T36" i="45" s="1"/>
  <c r="I16" i="72"/>
  <c r="I25" i="72"/>
  <c r="T27" i="45" s="1"/>
  <c r="I27" i="72"/>
  <c r="T30" i="45" s="1"/>
  <c r="S18" i="105" s="1"/>
  <c r="I23" i="72"/>
  <c r="T25" i="45" s="1"/>
  <c r="I33" i="72"/>
  <c r="T48" i="45" s="1"/>
  <c r="S23" i="105" s="1"/>
  <c r="I35" i="72"/>
  <c r="T54" i="45" s="1"/>
  <c r="E60" i="115"/>
  <c r="G60" i="115" s="1"/>
  <c r="I60" i="115" s="1"/>
  <c r="I63" i="96"/>
  <c r="U158" i="13"/>
  <c r="Y157" i="13"/>
  <c r="Q57" i="44"/>
  <c r="W57" i="44"/>
  <c r="K16" i="101"/>
  <c r="X16" i="102"/>
  <c r="X23" i="102"/>
  <c r="I34" i="72"/>
  <c r="T51" i="45" s="1"/>
  <c r="S24" i="105" s="1"/>
  <c r="O36" i="72"/>
  <c r="O32" i="72"/>
  <c r="S45" i="45" s="1"/>
  <c r="O18" i="72"/>
  <c r="S20" i="45" s="1"/>
  <c r="O20" i="72"/>
  <c r="S22" i="45" s="1"/>
  <c r="R16" i="105" s="1"/>
  <c r="O29" i="72"/>
  <c r="S36" i="45" s="1"/>
  <c r="O28" i="72"/>
  <c r="S33" i="45" s="1"/>
  <c r="R19" i="105" s="1"/>
  <c r="O16" i="72"/>
  <c r="O25" i="72"/>
  <c r="S27" i="45" s="1"/>
  <c r="O27" i="72"/>
  <c r="S30" i="45" s="1"/>
  <c r="R18" i="105" s="1"/>
  <c r="O24" i="72"/>
  <c r="S26" i="45" s="1"/>
  <c r="O19" i="72"/>
  <c r="S21" i="45" s="1"/>
  <c r="O30" i="72"/>
  <c r="S39" i="45" s="1"/>
  <c r="R21" i="105" s="1"/>
  <c r="O23" i="72"/>
  <c r="S25" i="45" s="1"/>
  <c r="O31" i="72"/>
  <c r="S42" i="45" s="1"/>
  <c r="R22" i="105" s="1"/>
  <c r="O33" i="72"/>
  <c r="S48" i="45" s="1"/>
  <c r="R23" i="105" s="1"/>
  <c r="O35" i="72"/>
  <c r="S54" i="45" s="1"/>
  <c r="R23" i="102"/>
  <c r="F67" i="44"/>
  <c r="F68" i="44" s="1"/>
  <c r="E52" i="93"/>
  <c r="G59" i="115"/>
  <c r="I59" i="115" s="1"/>
  <c r="L36" i="72"/>
  <c r="L30" i="72"/>
  <c r="R39" i="45" s="1"/>
  <c r="Q21" i="105" s="1"/>
  <c r="L16" i="72"/>
  <c r="L24" i="72"/>
  <c r="R26" i="45" s="1"/>
  <c r="L27" i="72"/>
  <c r="R30" i="45" s="1"/>
  <c r="Q18" i="105" s="1"/>
  <c r="L28" i="72"/>
  <c r="R33" i="45" s="1"/>
  <c r="Q19" i="105" s="1"/>
  <c r="L19" i="72"/>
  <c r="R21" i="45" s="1"/>
  <c r="L23" i="72"/>
  <c r="R25" i="45" s="1"/>
  <c r="L25" i="72"/>
  <c r="R27" i="45" s="1"/>
  <c r="L18" i="72"/>
  <c r="R20" i="45" s="1"/>
  <c r="L20" i="72"/>
  <c r="R22" i="45" s="1"/>
  <c r="Q16" i="105" s="1"/>
  <c r="L29" i="72"/>
  <c r="R36" i="45" s="1"/>
  <c r="L32" i="72"/>
  <c r="R45" i="45" s="1"/>
  <c r="L31" i="72"/>
  <c r="R42" i="45" s="1"/>
  <c r="Q22" i="105" s="1"/>
  <c r="L33" i="72"/>
  <c r="R48" i="45" s="1"/>
  <c r="Q23" i="105" s="1"/>
  <c r="L35" i="72"/>
  <c r="R54" i="45" s="1"/>
  <c r="I23" i="102"/>
  <c r="X17" i="102"/>
  <c r="X20" i="102"/>
  <c r="X21" i="102"/>
  <c r="X18" i="102"/>
  <c r="X15" i="102"/>
  <c r="X14" i="102"/>
  <c r="X19" i="102"/>
  <c r="X13" i="102"/>
  <c r="X22" i="102"/>
  <c r="F23" i="102"/>
  <c r="K39" i="219"/>
  <c r="W19" i="202"/>
  <c r="S367" i="202"/>
  <c r="S368" i="202" s="1"/>
  <c r="H60" i="44"/>
  <c r="F51" i="195"/>
  <c r="F52" i="195" s="1"/>
  <c r="E24" i="78"/>
  <c r="E48" i="93"/>
  <c r="E24" i="101"/>
  <c r="E26" i="101" s="1"/>
  <c r="R36" i="72"/>
  <c r="R30" i="72"/>
  <c r="P39" i="45" s="1"/>
  <c r="O21" i="105" s="1"/>
  <c r="R18" i="72"/>
  <c r="P20" i="45" s="1"/>
  <c r="R24" i="72"/>
  <c r="P26" i="45" s="1"/>
  <c r="R25" i="72"/>
  <c r="P27" i="45" s="1"/>
  <c r="R19" i="72"/>
  <c r="P21" i="45" s="1"/>
  <c r="R27" i="72"/>
  <c r="P30" i="45" s="1"/>
  <c r="O18" i="105" s="1"/>
  <c r="R32" i="72"/>
  <c r="P45" i="45" s="1"/>
  <c r="R20" i="72"/>
  <c r="P22" i="45" s="1"/>
  <c r="O16" i="105" s="1"/>
  <c r="R29" i="72"/>
  <c r="P36" i="45" s="1"/>
  <c r="R16" i="72"/>
  <c r="R23" i="72"/>
  <c r="P25" i="45" s="1"/>
  <c r="R28" i="72"/>
  <c r="P33" i="45" s="1"/>
  <c r="O19" i="105" s="1"/>
  <c r="R31" i="72"/>
  <c r="P42" i="45" s="1"/>
  <c r="O22" i="105" s="1"/>
  <c r="R33" i="72"/>
  <c r="P48" i="45" s="1"/>
  <c r="O23" i="105" s="1"/>
  <c r="R35" i="72"/>
  <c r="P54" i="45" s="1"/>
  <c r="G26" i="102"/>
  <c r="R45" i="195"/>
  <c r="AF45" i="195" s="1"/>
  <c r="W58" i="202"/>
  <c r="U34" i="72"/>
  <c r="Q51" i="45" s="1"/>
  <c r="P24" i="105" s="1"/>
  <c r="U30" i="72"/>
  <c r="Q39" i="45" s="1"/>
  <c r="P21" i="105" s="1"/>
  <c r="U20" i="72"/>
  <c r="Q22" i="45" s="1"/>
  <c r="P16" i="105" s="1"/>
  <c r="U31" i="72"/>
  <c r="Q42" i="45" s="1"/>
  <c r="P22" i="105" s="1"/>
  <c r="U27" i="72"/>
  <c r="Q30" i="45" s="1"/>
  <c r="P18" i="105" s="1"/>
  <c r="U19" i="72"/>
  <c r="Q21" i="45" s="1"/>
  <c r="U25" i="72"/>
  <c r="Q27" i="45" s="1"/>
  <c r="U29" i="72"/>
  <c r="Q36" i="45" s="1"/>
  <c r="U28" i="72"/>
  <c r="Q33" i="45" s="1"/>
  <c r="P19" i="105" s="1"/>
  <c r="U24" i="72"/>
  <c r="Q26" i="45" s="1"/>
  <c r="U18" i="72"/>
  <c r="Q20" i="45" s="1"/>
  <c r="U32" i="72"/>
  <c r="Q45" i="45" s="1"/>
  <c r="U15" i="72"/>
  <c r="U23" i="72"/>
  <c r="Q25" i="45" s="1"/>
  <c r="U33" i="72"/>
  <c r="Q48" i="45" s="1"/>
  <c r="P23" i="105" s="1"/>
  <c r="U35" i="72"/>
  <c r="Q54" i="45" s="1"/>
  <c r="P26" i="102"/>
  <c r="O23" i="102"/>
  <c r="U176" i="13"/>
  <c r="Y175" i="13"/>
  <c r="F66" i="162" s="1"/>
  <c r="K32" i="219"/>
  <c r="W22" i="202"/>
  <c r="S17" i="181"/>
  <c r="F23" i="101"/>
  <c r="R24" i="102"/>
  <c r="Y36" i="72"/>
  <c r="Y27" i="72"/>
  <c r="V30" i="45" s="1"/>
  <c r="U18" i="105" s="1"/>
  <c r="Y28" i="72"/>
  <c r="V33" i="45" s="1"/>
  <c r="U19" i="105" s="1"/>
  <c r="Y23" i="72"/>
  <c r="V25" i="45" s="1"/>
  <c r="Y29" i="72"/>
  <c r="V36" i="45" s="1"/>
  <c r="Y31" i="72"/>
  <c r="V42" i="45" s="1"/>
  <c r="U22" i="105" s="1"/>
  <c r="Y32" i="72"/>
  <c r="V45" i="45" s="1"/>
  <c r="Y16" i="72"/>
  <c r="Y24" i="72"/>
  <c r="V26" i="45" s="1"/>
  <c r="Y30" i="72"/>
  <c r="V39" i="45" s="1"/>
  <c r="U21" i="105" s="1"/>
  <c r="Y18" i="72"/>
  <c r="V20" i="45" s="1"/>
  <c r="Y25" i="72"/>
  <c r="V27" i="45" s="1"/>
  <c r="Y19" i="72"/>
  <c r="V21" i="45" s="1"/>
  <c r="Y20" i="72"/>
  <c r="V22" i="45" s="1"/>
  <c r="U16" i="105" s="1"/>
  <c r="Y33" i="72"/>
  <c r="V48" i="45" s="1"/>
  <c r="U23" i="105" s="1"/>
  <c r="Y35" i="72"/>
  <c r="V54" i="45" s="1"/>
  <c r="N19" i="102"/>
  <c r="N15" i="102"/>
  <c r="N13" i="102"/>
  <c r="N14" i="102"/>
  <c r="N21" i="102"/>
  <c r="N18" i="102"/>
  <c r="N20" i="102"/>
  <c r="N17" i="102"/>
  <c r="N22" i="102"/>
  <c r="X134" i="93"/>
  <c r="K78" i="219"/>
  <c r="K106" i="219"/>
  <c r="N106" i="219" s="1"/>
  <c r="N23" i="102"/>
  <c r="L23" i="102"/>
  <c r="F64" i="96"/>
  <c r="J26" i="102"/>
  <c r="K23" i="102" s="1"/>
  <c r="R34" i="72"/>
  <c r="P51" i="45" s="1"/>
  <c r="O24" i="105" s="1"/>
  <c r="Q27" i="186"/>
  <c r="Q29" i="186" s="1"/>
  <c r="X246" i="16"/>
  <c r="P61" i="202"/>
  <c r="O48" i="195" s="1"/>
  <c r="H53" i="219"/>
  <c r="H109" i="219" s="1"/>
  <c r="G107" i="219"/>
  <c r="G79" i="219"/>
  <c r="Q59" i="202"/>
  <c r="E57" i="45"/>
  <c r="E36" i="72"/>
  <c r="E61" i="44"/>
  <c r="N30" i="181"/>
  <c r="L49" i="179" s="1"/>
  <c r="M78" i="181"/>
  <c r="M79" i="181" s="1"/>
  <c r="M80" i="181" s="1"/>
  <c r="K52" i="92" s="1"/>
  <c r="X5" i="208" s="1"/>
  <c r="M113" i="181"/>
  <c r="M116" i="181" s="1"/>
  <c r="M123" i="181" s="1"/>
  <c r="K56" i="92" s="1"/>
  <c r="K50" i="179"/>
  <c r="M72" i="181"/>
  <c r="M74" i="181" s="1"/>
  <c r="P522" i="202"/>
  <c r="O448" i="202"/>
  <c r="O460" i="202" s="1"/>
  <c r="K46" i="181"/>
  <c r="K57" i="181" s="1"/>
  <c r="K88" i="181" s="1"/>
  <c r="K89" i="181"/>
  <c r="M90" i="181"/>
  <c r="M92" i="181" s="1"/>
  <c r="M94" i="181" s="1"/>
  <c r="M100" i="181" s="1"/>
  <c r="M101" i="181" s="1"/>
  <c r="K54" i="92" s="1"/>
  <c r="X6" i="208" s="1"/>
  <c r="AA14" i="208"/>
  <c r="P58" i="157"/>
  <c r="Q40" i="202"/>
  <c r="Q386" i="202"/>
  <c r="Q82" i="202" s="1"/>
  <c r="Q103" i="202" s="1"/>
  <c r="S38" i="202"/>
  <c r="S336" i="202"/>
  <c r="S80" i="202" s="1"/>
  <c r="N88" i="157"/>
  <c r="J67" i="209" s="1"/>
  <c r="L20" i="186"/>
  <c r="L22" i="186" s="1"/>
  <c r="T361" i="202"/>
  <c r="T81" i="202" s="1"/>
  <c r="T102" i="202" s="1"/>
  <c r="T39" i="202"/>
  <c r="P43" i="202"/>
  <c r="H46" i="219" s="1"/>
  <c r="P461" i="202"/>
  <c r="P85" i="202" s="1"/>
  <c r="S442" i="202"/>
  <c r="S25" i="202"/>
  <c r="I29" i="92"/>
  <c r="Z208" i="172"/>
  <c r="Z209" i="172"/>
  <c r="W155" i="13"/>
  <c r="H77" i="209"/>
  <c r="Q520" i="202"/>
  <c r="P36" i="207"/>
  <c r="P37" i="207" s="1"/>
  <c r="S9" i="157"/>
  <c r="S9" i="181" s="1"/>
  <c r="U203" i="13"/>
  <c r="U323" i="202"/>
  <c r="U324" i="202" s="1"/>
  <c r="O58" i="157"/>
  <c r="R397" i="202"/>
  <c r="R398" i="202" s="1"/>
  <c r="R399" i="202" s="1"/>
  <c r="R400" i="202" s="1"/>
  <c r="R401" i="202" s="1"/>
  <c r="R410" i="202" s="1"/>
  <c r="U351" i="202"/>
  <c r="U352" i="202" s="1"/>
  <c r="X43" i="195"/>
  <c r="N85" i="157"/>
  <c r="J64" i="209" s="1"/>
  <c r="J56" i="209"/>
  <c r="Q395" i="202"/>
  <c r="G71" i="209"/>
  <c r="K95" i="157"/>
  <c r="U369" i="202"/>
  <c r="U370" i="202" s="1"/>
  <c r="R443" i="202"/>
  <c r="Q19" i="207"/>
  <c r="Q20" i="207" s="1"/>
  <c r="V157" i="13"/>
  <c r="V158" i="13" s="1"/>
  <c r="R41" i="157"/>
  <c r="T369" i="202"/>
  <c r="T323" i="202"/>
  <c r="T397" i="202"/>
  <c r="Q44" i="157"/>
  <c r="K32" i="92"/>
  <c r="K33" i="92" s="1"/>
  <c r="K36" i="92" s="1"/>
  <c r="M97" i="157"/>
  <c r="I75" i="209" s="1"/>
  <c r="I73" i="209"/>
  <c r="M99" i="157"/>
  <c r="I48" i="179"/>
  <c r="H20" i="179"/>
  <c r="P398" i="202"/>
  <c r="P399" i="202" s="1"/>
  <c r="P410" i="202" s="1"/>
  <c r="G39" i="179"/>
  <c r="G46" i="92"/>
  <c r="I106" i="181"/>
  <c r="S393" i="202"/>
  <c r="V262" i="16"/>
  <c r="V242" i="16"/>
  <c r="U17" i="157" s="1"/>
  <c r="V244" i="16"/>
  <c r="V246" i="16" s="1"/>
  <c r="S27" i="186" s="1"/>
  <c r="S29" i="186" s="1"/>
  <c r="V234" i="16"/>
  <c r="T44" i="195"/>
  <c r="AF44" i="195" s="1"/>
  <c r="W173" i="13"/>
  <c r="P15" i="209"/>
  <c r="T17" i="181"/>
  <c r="T18" i="157"/>
  <c r="R518" i="202"/>
  <c r="R519" i="202" s="1"/>
  <c r="N21" i="209"/>
  <c r="R35" i="157"/>
  <c r="U392" i="202"/>
  <c r="U393" i="202" s="1"/>
  <c r="Q445" i="202"/>
  <c r="C90" i="36"/>
  <c r="C91" i="36" s="1"/>
  <c r="R374" i="202"/>
  <c r="O522" i="202"/>
  <c r="R326" i="202"/>
  <c r="R335" i="202" s="1"/>
  <c r="V202" i="13"/>
  <c r="V175" i="13"/>
  <c r="V176" i="13" s="1"/>
  <c r="Q51" i="207"/>
  <c r="Q54" i="207" s="1"/>
  <c r="T22" i="202"/>
  <c r="L32" i="219" s="1"/>
  <c r="L41" i="219" s="1"/>
  <c r="U265" i="16"/>
  <c r="N15" i="186" l="1"/>
  <c r="N31" i="186"/>
  <c r="S23" i="157"/>
  <c r="O21" i="209" s="1"/>
  <c r="M31" i="186"/>
  <c r="M15" i="186"/>
  <c r="I64" i="96"/>
  <c r="M63" i="96"/>
  <c r="M64" i="96" s="1"/>
  <c r="M66" i="96" s="1"/>
  <c r="M119" i="219"/>
  <c r="N119" i="219" s="1"/>
  <c r="N105" i="219"/>
  <c r="I61" i="115"/>
  <c r="I63" i="115" s="1"/>
  <c r="T60" i="202"/>
  <c r="S47" i="195" s="1"/>
  <c r="L52" i="219"/>
  <c r="R17" i="105"/>
  <c r="F17" i="78"/>
  <c r="G44" i="195"/>
  <c r="U17" i="102"/>
  <c r="U17" i="105"/>
  <c r="S348" i="202"/>
  <c r="S349" i="202" s="1"/>
  <c r="S350" i="202" s="1"/>
  <c r="S17" i="105"/>
  <c r="T18" i="102"/>
  <c r="G61" i="115"/>
  <c r="T22" i="102"/>
  <c r="O16" i="209"/>
  <c r="P17" i="105"/>
  <c r="S40" i="157"/>
  <c r="S41" i="157" s="1"/>
  <c r="T24" i="102"/>
  <c r="Q17" i="105"/>
  <c r="R20" i="105"/>
  <c r="T16" i="102"/>
  <c r="T19" i="102"/>
  <c r="T20" i="102"/>
  <c r="T15" i="102"/>
  <c r="T13" i="102"/>
  <c r="T23" i="102"/>
  <c r="T14" i="102"/>
  <c r="T17" i="102"/>
  <c r="X26" i="102"/>
  <c r="S20" i="105"/>
  <c r="O17" i="105"/>
  <c r="W25" i="202"/>
  <c r="Q16" i="102"/>
  <c r="Q17" i="102"/>
  <c r="Q15" i="102"/>
  <c r="Q19" i="102"/>
  <c r="Q13" i="102"/>
  <c r="Q20" i="102"/>
  <c r="Q21" i="102"/>
  <c r="Q14" i="102"/>
  <c r="Q18" i="102"/>
  <c r="Q22" i="102"/>
  <c r="Q24" i="102"/>
  <c r="U16" i="72"/>
  <c r="Q17" i="45" s="1"/>
  <c r="P15" i="105" s="1"/>
  <c r="Q14" i="45"/>
  <c r="P14" i="105" s="1"/>
  <c r="J60" i="44"/>
  <c r="G24" i="101"/>
  <c r="H62" i="44"/>
  <c r="I60" i="44" s="1"/>
  <c r="F57" i="45" s="1"/>
  <c r="S57" i="44"/>
  <c r="N16" i="101"/>
  <c r="K24" i="102"/>
  <c r="K19" i="102"/>
  <c r="K13" i="102"/>
  <c r="K17" i="102"/>
  <c r="K20" i="102"/>
  <c r="K15" i="102"/>
  <c r="K14" i="102"/>
  <c r="K18" i="102"/>
  <c r="K21" i="102"/>
  <c r="K22" i="102"/>
  <c r="K16" i="102"/>
  <c r="K120" i="219"/>
  <c r="U20" i="105"/>
  <c r="K41" i="219"/>
  <c r="Q23" i="102"/>
  <c r="H14" i="102"/>
  <c r="H21" i="102"/>
  <c r="H13" i="102"/>
  <c r="H17" i="102"/>
  <c r="H18" i="102"/>
  <c r="H19" i="102"/>
  <c r="H20" i="102"/>
  <c r="H15" i="102"/>
  <c r="H22" i="102"/>
  <c r="H16" i="102"/>
  <c r="H24" i="102"/>
  <c r="Q20" i="105"/>
  <c r="E61" i="115"/>
  <c r="W16" i="101"/>
  <c r="Y15" i="72"/>
  <c r="V17" i="45"/>
  <c r="U15" i="105" s="1"/>
  <c r="L15" i="72"/>
  <c r="R17" i="45"/>
  <c r="Q15" i="105" s="1"/>
  <c r="Q54" i="44"/>
  <c r="K23" i="101"/>
  <c r="W54" i="44"/>
  <c r="N26" i="102"/>
  <c r="P20" i="105"/>
  <c r="P17" i="45"/>
  <c r="O15" i="105" s="1"/>
  <c r="R15" i="72"/>
  <c r="T48" i="93"/>
  <c r="U48" i="93"/>
  <c r="N48" i="93"/>
  <c r="K48" i="93"/>
  <c r="W48" i="93"/>
  <c r="S48" i="93"/>
  <c r="O48" i="93"/>
  <c r="R48" i="93"/>
  <c r="Q48" i="93"/>
  <c r="H48" i="93"/>
  <c r="V48" i="93"/>
  <c r="L48" i="93"/>
  <c r="E24" i="107"/>
  <c r="E26" i="107" s="1"/>
  <c r="J48" i="93"/>
  <c r="M48" i="93"/>
  <c r="P48" i="93"/>
  <c r="G48" i="93"/>
  <c r="I48" i="93"/>
  <c r="F48" i="93"/>
  <c r="E50" i="93"/>
  <c r="E53" i="93" s="1"/>
  <c r="H23" i="102"/>
  <c r="F18" i="78"/>
  <c r="G45" i="195"/>
  <c r="U18" i="102"/>
  <c r="O20" i="105"/>
  <c r="F20" i="208"/>
  <c r="E25" i="100"/>
  <c r="E27" i="100" s="1"/>
  <c r="E25" i="78"/>
  <c r="F21" i="208" s="1"/>
  <c r="S369" i="202"/>
  <c r="S370" i="202" s="1"/>
  <c r="O15" i="72"/>
  <c r="S17" i="45"/>
  <c r="R15" i="105" s="1"/>
  <c r="J16" i="101"/>
  <c r="I15" i="72"/>
  <c r="T17" i="45"/>
  <c r="S15" i="105" s="1"/>
  <c r="Q61" i="202"/>
  <c r="P48" i="195" s="1"/>
  <c r="I53" i="219"/>
  <c r="I109" i="219" s="1"/>
  <c r="I123" i="219" s="1"/>
  <c r="G121" i="219"/>
  <c r="H102" i="219"/>
  <c r="H74" i="219"/>
  <c r="H123" i="219"/>
  <c r="N118" i="181"/>
  <c r="N122" i="181" s="1"/>
  <c r="S101" i="202"/>
  <c r="S59" i="202"/>
  <c r="E58" i="45"/>
  <c r="E62" i="44"/>
  <c r="S57" i="45"/>
  <c r="Q57" i="45"/>
  <c r="V57" i="45"/>
  <c r="P57" i="45"/>
  <c r="T57" i="45"/>
  <c r="R57" i="45"/>
  <c r="H57" i="45"/>
  <c r="J57" i="45"/>
  <c r="M103" i="157"/>
  <c r="I81" i="209" s="1"/>
  <c r="K72" i="181"/>
  <c r="K74" i="181" s="1"/>
  <c r="K78" i="181"/>
  <c r="K79" i="181" s="1"/>
  <c r="K80" i="181" s="1"/>
  <c r="I52" i="92" s="1"/>
  <c r="V5" i="208" s="1"/>
  <c r="U371" i="202"/>
  <c r="U372" i="202" s="1"/>
  <c r="U373" i="202" s="1"/>
  <c r="I50" i="179"/>
  <c r="I57" i="179" s="1"/>
  <c r="K113" i="181"/>
  <c r="K116" i="181" s="1"/>
  <c r="K123" i="181" s="1"/>
  <c r="I56" i="92" s="1"/>
  <c r="O461" i="202"/>
  <c r="O85" i="202" s="1"/>
  <c r="O43" i="202"/>
  <c r="G46" i="219" s="1"/>
  <c r="U325" i="202"/>
  <c r="U326" i="202" s="1"/>
  <c r="P523" i="202"/>
  <c r="P524" i="202" s="1"/>
  <c r="P525" i="202" s="1"/>
  <c r="P536" i="202" s="1"/>
  <c r="P537" i="202" s="1"/>
  <c r="K90" i="181"/>
  <c r="K92" i="181" s="1"/>
  <c r="K94" i="181" s="1"/>
  <c r="K100" i="181" s="1"/>
  <c r="K101" i="181" s="1"/>
  <c r="I54" i="92" s="1"/>
  <c r="V6" i="208" s="1"/>
  <c r="P41" i="202"/>
  <c r="P411" i="202"/>
  <c r="P83" i="202" s="1"/>
  <c r="P104" i="202" s="1"/>
  <c r="R520" i="202"/>
  <c r="R521" i="202" s="1"/>
  <c r="R522" i="202" s="1"/>
  <c r="R41" i="202"/>
  <c r="R62" i="202" s="1"/>
  <c r="R411" i="202"/>
  <c r="R83" i="202" s="1"/>
  <c r="R104" i="202" s="1"/>
  <c r="G41" i="179"/>
  <c r="I109" i="181" s="1"/>
  <c r="G50" i="92" s="1"/>
  <c r="G48" i="92"/>
  <c r="I108" i="181"/>
  <c r="R336" i="202"/>
  <c r="R80" i="202" s="1"/>
  <c r="R38" i="202"/>
  <c r="U394" i="202"/>
  <c r="U395" i="202" s="1"/>
  <c r="N33" i="209"/>
  <c r="T23" i="157"/>
  <c r="P16" i="209"/>
  <c r="T40" i="157"/>
  <c r="T41" i="157" s="1"/>
  <c r="R51" i="207"/>
  <c r="R54" i="207" s="1"/>
  <c r="U22" i="202"/>
  <c r="M32" i="219" s="1"/>
  <c r="V265" i="16"/>
  <c r="T324" i="202"/>
  <c r="T325" i="202" s="1"/>
  <c r="T326" i="202" s="1"/>
  <c r="T327" i="202" s="1"/>
  <c r="T328" i="202" s="1"/>
  <c r="T335" i="202" s="1"/>
  <c r="T370" i="202"/>
  <c r="T371" i="202" s="1"/>
  <c r="S518" i="202"/>
  <c r="Q446" i="202"/>
  <c r="Q447" i="202" s="1"/>
  <c r="Q448" i="202" s="1"/>
  <c r="P64" i="202"/>
  <c r="I32" i="92"/>
  <c r="I33" i="92" s="1"/>
  <c r="K97" i="157"/>
  <c r="G75" i="209" s="1"/>
  <c r="G73" i="209"/>
  <c r="K99" i="157"/>
  <c r="R19" i="207"/>
  <c r="R20" i="207" s="1"/>
  <c r="W157" i="13"/>
  <c r="W158" i="13" s="1"/>
  <c r="AA203" i="172"/>
  <c r="AA207" i="172" s="1"/>
  <c r="Z211" i="172"/>
  <c r="N44" i="181"/>
  <c r="N93" i="157"/>
  <c r="U44" i="195"/>
  <c r="W202" i="13"/>
  <c r="W175" i="13"/>
  <c r="W176" i="13" s="1"/>
  <c r="Q45" i="157"/>
  <c r="T398" i="202"/>
  <c r="T399" i="202" s="1"/>
  <c r="U353" i="202"/>
  <c r="U354" i="202" s="1"/>
  <c r="U360" i="202" s="1"/>
  <c r="Q521" i="202"/>
  <c r="Q522" i="202" s="1"/>
  <c r="Q523" i="202" s="1"/>
  <c r="O523" i="202"/>
  <c r="O524" i="202" s="1"/>
  <c r="O536" i="202" s="1"/>
  <c r="O537" i="202" s="1"/>
  <c r="O28" i="195"/>
  <c r="P18" i="181"/>
  <c r="L35" i="209"/>
  <c r="AA18" i="208"/>
  <c r="P60" i="157"/>
  <c r="K35" i="209"/>
  <c r="Z18" i="208"/>
  <c r="O18" i="181"/>
  <c r="N28" i="195"/>
  <c r="O60" i="157"/>
  <c r="T442" i="202"/>
  <c r="T443" i="202" s="1"/>
  <c r="T25" i="202"/>
  <c r="Q36" i="207"/>
  <c r="Q37" i="207" s="1"/>
  <c r="V203" i="13"/>
  <c r="T9" i="157"/>
  <c r="T9" i="181" s="1"/>
  <c r="C93" i="36"/>
  <c r="C92" i="36"/>
  <c r="R375" i="202"/>
  <c r="R376" i="202" s="1"/>
  <c r="U17" i="181"/>
  <c r="Q15" i="209"/>
  <c r="U18" i="157"/>
  <c r="S394" i="202"/>
  <c r="S395" i="202" s="1"/>
  <c r="H33" i="179"/>
  <c r="H37" i="179"/>
  <c r="I77" i="209"/>
  <c r="R444" i="202"/>
  <c r="Q396" i="202"/>
  <c r="R42" i="157"/>
  <c r="R43" i="157" s="1"/>
  <c r="S443" i="202"/>
  <c r="P106" i="202"/>
  <c r="S35" i="157" l="1"/>
  <c r="N32" i="219"/>
  <c r="M41" i="219"/>
  <c r="N41" i="219" s="1"/>
  <c r="L80" i="219"/>
  <c r="L108" i="219"/>
  <c r="L122" i="219" s="1"/>
  <c r="F18" i="100"/>
  <c r="G13" i="208"/>
  <c r="G91" i="208" s="1"/>
  <c r="P17" i="78"/>
  <c r="J11" i="218"/>
  <c r="W11" i="218" s="1"/>
  <c r="S351" i="202"/>
  <c r="S352" i="202" s="1"/>
  <c r="S360" i="202" s="1"/>
  <c r="S42" i="157"/>
  <c r="S43" i="157" s="1"/>
  <c r="T26" i="102"/>
  <c r="G64" i="44"/>
  <c r="U38" i="72"/>
  <c r="H26" i="102"/>
  <c r="K103" i="157"/>
  <c r="G81" i="209" s="1"/>
  <c r="S371" i="202"/>
  <c r="S372" i="202" s="1"/>
  <c r="S373" i="202" s="1"/>
  <c r="S14" i="45"/>
  <c r="R14" i="105" s="1"/>
  <c r="O38" i="72"/>
  <c r="I38" i="72"/>
  <c r="T14" i="45"/>
  <c r="S14" i="105" s="1"/>
  <c r="X48" i="93"/>
  <c r="I28" i="44"/>
  <c r="F25" i="45" s="1"/>
  <c r="I33" i="44"/>
  <c r="I17" i="44"/>
  <c r="I45" i="44"/>
  <c r="E67" i="46"/>
  <c r="I36" i="44"/>
  <c r="I24" i="44"/>
  <c r="F21" i="45" s="1"/>
  <c r="I25" i="44"/>
  <c r="I20" i="44"/>
  <c r="F17" i="45" s="1"/>
  <c r="E15" i="105" s="1"/>
  <c r="I42" i="44"/>
  <c r="H63" i="44"/>
  <c r="I29" i="44"/>
  <c r="F26" i="45" s="1"/>
  <c r="I48" i="44"/>
  <c r="I39" i="44"/>
  <c r="I23" i="44"/>
  <c r="F20" i="45" s="1"/>
  <c r="I51" i="44"/>
  <c r="F48" i="45" s="1"/>
  <c r="E23" i="105" s="1"/>
  <c r="I57" i="44"/>
  <c r="I54" i="44"/>
  <c r="AH60" i="44"/>
  <c r="AH24" i="101" s="1"/>
  <c r="I24" i="101"/>
  <c r="I26" i="101" s="1"/>
  <c r="I30" i="101" s="1"/>
  <c r="L60" i="44"/>
  <c r="J62" i="44"/>
  <c r="R14" i="45"/>
  <c r="Q14" i="105" s="1"/>
  <c r="L38" i="72"/>
  <c r="J23" i="101"/>
  <c r="K26" i="102"/>
  <c r="M16" i="101"/>
  <c r="Q26" i="102"/>
  <c r="J12" i="218"/>
  <c r="W12" i="218" s="1"/>
  <c r="G14" i="208"/>
  <c r="G92" i="208" s="1"/>
  <c r="F19" i="100"/>
  <c r="P18" i="78"/>
  <c r="W23" i="101"/>
  <c r="R38" i="72"/>
  <c r="P14" i="45"/>
  <c r="O14" i="105" s="1"/>
  <c r="N23" i="101"/>
  <c r="S54" i="44"/>
  <c r="V14" i="45"/>
  <c r="U14" i="105" s="1"/>
  <c r="Y38" i="72"/>
  <c r="P16" i="101"/>
  <c r="F24" i="101"/>
  <c r="G26" i="101"/>
  <c r="R59" i="202"/>
  <c r="Q46" i="195" s="1"/>
  <c r="J51" i="219"/>
  <c r="P62" i="202"/>
  <c r="O46" i="195" s="1"/>
  <c r="H51" i="219"/>
  <c r="G102" i="219"/>
  <c r="G74" i="219"/>
  <c r="G55" i="219"/>
  <c r="G83" i="219" s="1"/>
  <c r="H116" i="219"/>
  <c r="R25" i="105"/>
  <c r="H59" i="45"/>
  <c r="G25" i="105"/>
  <c r="G27" i="105" s="1"/>
  <c r="S25" i="105"/>
  <c r="U25" i="105"/>
  <c r="Q25" i="105"/>
  <c r="O25" i="105"/>
  <c r="E59" i="45"/>
  <c r="E38" i="72"/>
  <c r="E25" i="105"/>
  <c r="I25" i="105"/>
  <c r="I27" i="105" s="1"/>
  <c r="J59" i="45"/>
  <c r="Q59" i="45"/>
  <c r="P25" i="105"/>
  <c r="P27" i="105" s="1"/>
  <c r="P88" i="202"/>
  <c r="U374" i="202"/>
  <c r="U375" i="202" s="1"/>
  <c r="P109" i="202"/>
  <c r="T444" i="202"/>
  <c r="T445" i="202" s="1"/>
  <c r="T446" i="202" s="1"/>
  <c r="O23" i="181"/>
  <c r="O30" i="181" s="1"/>
  <c r="O84" i="181"/>
  <c r="Q449" i="202"/>
  <c r="Q450" i="202" s="1"/>
  <c r="U327" i="202"/>
  <c r="U328" i="202" s="1"/>
  <c r="X45" i="195"/>
  <c r="O64" i="202"/>
  <c r="O46" i="202"/>
  <c r="N29" i="195" s="1"/>
  <c r="N30" i="195" s="1"/>
  <c r="N7" i="195" s="1"/>
  <c r="P23" i="181"/>
  <c r="P30" i="181" s="1"/>
  <c r="P84" i="181"/>
  <c r="T400" i="202"/>
  <c r="T401" i="202" s="1"/>
  <c r="P46" i="202"/>
  <c r="O29" i="195" s="1"/>
  <c r="O30" i="195" s="1"/>
  <c r="O7" i="195" s="1"/>
  <c r="R385" i="202"/>
  <c r="R386" i="202" s="1"/>
  <c r="R82" i="202" s="1"/>
  <c r="R103" i="202" s="1"/>
  <c r="O88" i="202"/>
  <c r="O106" i="202"/>
  <c r="O109" i="202" s="1"/>
  <c r="N46" i="181"/>
  <c r="N57" i="181" s="1"/>
  <c r="N88" i="181" s="1"/>
  <c r="N89" i="181"/>
  <c r="C94" i="36"/>
  <c r="Q524" i="202"/>
  <c r="Q525" i="202" s="1"/>
  <c r="Q526" i="202" s="1"/>
  <c r="Q536" i="202" s="1"/>
  <c r="Q537" i="202" s="1"/>
  <c r="T336" i="202"/>
  <c r="T80" i="202" s="1"/>
  <c r="T101" i="202" s="1"/>
  <c r="T38" i="202"/>
  <c r="U47" i="195"/>
  <c r="L37" i="209"/>
  <c r="N31" i="92"/>
  <c r="P77" i="157"/>
  <c r="R101" i="202"/>
  <c r="R44" i="157"/>
  <c r="R45" i="157" s="1"/>
  <c r="H39" i="179"/>
  <c r="H46" i="92"/>
  <c r="U7" i="208" s="1"/>
  <c r="J106" i="181"/>
  <c r="T372" i="202"/>
  <c r="R36" i="207"/>
  <c r="R37" i="207" s="1"/>
  <c r="U9" i="157"/>
  <c r="U9" i="181" s="1"/>
  <c r="W203" i="13"/>
  <c r="Q46" i="157"/>
  <c r="Q47" i="157" s="1"/>
  <c r="Q48" i="157" s="1"/>
  <c r="P21" i="209"/>
  <c r="T35" i="157"/>
  <c r="T42" i="157"/>
  <c r="R523" i="202"/>
  <c r="Q16" i="209"/>
  <c r="U23" i="157"/>
  <c r="U40" i="157"/>
  <c r="U41" i="157" s="1"/>
  <c r="U42" i="157" s="1"/>
  <c r="K37" i="209"/>
  <c r="O77" i="157"/>
  <c r="M31" i="92"/>
  <c r="AA208" i="172"/>
  <c r="AA209" i="172" s="1"/>
  <c r="U39" i="202"/>
  <c r="U361" i="202"/>
  <c r="U81" i="202" s="1"/>
  <c r="U102" i="202" s="1"/>
  <c r="I36" i="92"/>
  <c r="I34" i="92"/>
  <c r="O50" i="195"/>
  <c r="I58" i="179"/>
  <c r="I59" i="179" s="1"/>
  <c r="I60" i="179" s="1"/>
  <c r="Q397" i="202"/>
  <c r="Q398" i="202" s="1"/>
  <c r="Q399" i="202" s="1"/>
  <c r="W45" i="195"/>
  <c r="T518" i="202"/>
  <c r="T519" i="202" s="1"/>
  <c r="M16" i="186"/>
  <c r="M19" i="186" s="1"/>
  <c r="N16" i="186"/>
  <c r="N19" i="186" s="1"/>
  <c r="S444" i="202"/>
  <c r="O33" i="209"/>
  <c r="S396" i="202"/>
  <c r="S397" i="202" s="1"/>
  <c r="S398" i="202" s="1"/>
  <c r="R445" i="202"/>
  <c r="V44" i="195"/>
  <c r="J71" i="209"/>
  <c r="N95" i="157"/>
  <c r="G77" i="209"/>
  <c r="K101" i="157"/>
  <c r="S519" i="202"/>
  <c r="U442" i="202"/>
  <c r="U443" i="202" s="1"/>
  <c r="U25" i="202"/>
  <c r="U396" i="202"/>
  <c r="K91" i="208" l="1"/>
  <c r="K92" i="208"/>
  <c r="T59" i="202"/>
  <c r="U60" i="202"/>
  <c r="T47" i="195" s="1"/>
  <c r="M52" i="219"/>
  <c r="N52" i="219" s="1"/>
  <c r="S44" i="157"/>
  <c r="S45" i="157" s="1"/>
  <c r="S361" i="202"/>
  <c r="S81" i="202" s="1"/>
  <c r="S39" i="202"/>
  <c r="P59" i="45"/>
  <c r="O27" i="105"/>
  <c r="V59" i="45"/>
  <c r="T59" i="45"/>
  <c r="R27" i="105"/>
  <c r="S374" i="202"/>
  <c r="S375" i="202" s="1"/>
  <c r="S27" i="105"/>
  <c r="S59" i="45"/>
  <c r="U27" i="105"/>
  <c r="H17" i="101"/>
  <c r="H15" i="101"/>
  <c r="H19" i="101"/>
  <c r="H14" i="101"/>
  <c r="H20" i="101"/>
  <c r="F26" i="101"/>
  <c r="H26" i="101"/>
  <c r="H13" i="101"/>
  <c r="H21" i="101"/>
  <c r="H18" i="101"/>
  <c r="H22" i="101"/>
  <c r="H16" i="101"/>
  <c r="H23" i="101"/>
  <c r="J66" i="44"/>
  <c r="J65" i="44"/>
  <c r="C65" i="44" s="1"/>
  <c r="J69" i="44"/>
  <c r="J70" i="44"/>
  <c r="J68" i="44"/>
  <c r="E8" i="182"/>
  <c r="F22" i="45"/>
  <c r="E16" i="105" s="1"/>
  <c r="E14" i="182"/>
  <c r="F42" i="45"/>
  <c r="E22" i="105" s="1"/>
  <c r="R59" i="45"/>
  <c r="F14" i="45"/>
  <c r="E6" i="182"/>
  <c r="I30" i="44"/>
  <c r="I62" i="44" s="1"/>
  <c r="M23" i="101"/>
  <c r="W60" i="44"/>
  <c r="Q60" i="44"/>
  <c r="K24" i="101"/>
  <c r="L62" i="44"/>
  <c r="E16" i="182"/>
  <c r="F54" i="45"/>
  <c r="F45" i="45"/>
  <c r="E15" i="182"/>
  <c r="N78" i="181"/>
  <c r="N79" i="181" s="1"/>
  <c r="N80" i="181" s="1"/>
  <c r="L52" i="92" s="1"/>
  <c r="Y5" i="208" s="1"/>
  <c r="Q27" i="105"/>
  <c r="H24" i="101"/>
  <c r="P23" i="101"/>
  <c r="E9" i="182"/>
  <c r="F51" i="45"/>
  <c r="E24" i="105" s="1"/>
  <c r="E12" i="182"/>
  <c r="F36" i="45"/>
  <c r="E13" i="182"/>
  <c r="F39" i="45"/>
  <c r="E21" i="105" s="1"/>
  <c r="E11" i="182"/>
  <c r="F33" i="45"/>
  <c r="E19" i="105" s="1"/>
  <c r="F30" i="45"/>
  <c r="E18" i="105" s="1"/>
  <c r="E10" i="182"/>
  <c r="P67" i="202"/>
  <c r="P110" i="202" s="1"/>
  <c r="O8" i="195" s="1"/>
  <c r="H69" i="219" s="1"/>
  <c r="O52" i="195"/>
  <c r="H107" i="219"/>
  <c r="H79" i="219"/>
  <c r="H55" i="219"/>
  <c r="H83" i="219" s="1"/>
  <c r="J107" i="219"/>
  <c r="J121" i="219" s="1"/>
  <c r="J79" i="219"/>
  <c r="G116" i="219"/>
  <c r="G111" i="219"/>
  <c r="G125" i="219" s="1"/>
  <c r="O77" i="181"/>
  <c r="Q460" i="202"/>
  <c r="Q461" i="202" s="1"/>
  <c r="Q85" i="202" s="1"/>
  <c r="R40" i="202"/>
  <c r="U329" i="202"/>
  <c r="U335" i="202" s="1"/>
  <c r="U336" i="202" s="1"/>
  <c r="U80" i="202" s="1"/>
  <c r="U376" i="202"/>
  <c r="U377" i="202" s="1"/>
  <c r="T402" i="202"/>
  <c r="T403" i="202" s="1"/>
  <c r="T410" i="202" s="1"/>
  <c r="T447" i="202"/>
  <c r="T448" i="202" s="1"/>
  <c r="T449" i="202" s="1"/>
  <c r="N72" i="181"/>
  <c r="N74" i="181" s="1"/>
  <c r="P77" i="181"/>
  <c r="N113" i="181"/>
  <c r="N116" i="181" s="1"/>
  <c r="N123" i="181" s="1"/>
  <c r="L56" i="92" s="1"/>
  <c r="R524" i="202"/>
  <c r="L50" i="179"/>
  <c r="N50" i="195"/>
  <c r="N52" i="195" s="1"/>
  <c r="O67" i="202"/>
  <c r="O110" i="202" s="1"/>
  <c r="N8" i="195" s="1"/>
  <c r="G69" i="219" s="1"/>
  <c r="N90" i="181"/>
  <c r="N92" i="181" s="1"/>
  <c r="N94" i="181" s="1"/>
  <c r="N100" i="181" s="1"/>
  <c r="N101" i="181" s="1"/>
  <c r="L54" i="92" s="1"/>
  <c r="Y6" i="208" s="1"/>
  <c r="C95" i="36"/>
  <c r="U444" i="202"/>
  <c r="N20" i="186"/>
  <c r="N22" i="186" s="1"/>
  <c r="P88" i="157"/>
  <c r="L67" i="209" s="1"/>
  <c r="AA211" i="172"/>
  <c r="AB203" i="172"/>
  <c r="AB207" i="172" s="1"/>
  <c r="V47" i="195"/>
  <c r="AB14" i="208"/>
  <c r="Q58" i="157"/>
  <c r="U518" i="202"/>
  <c r="J34" i="92"/>
  <c r="J29" i="92"/>
  <c r="W44" i="195"/>
  <c r="P33" i="209"/>
  <c r="M49" i="179"/>
  <c r="O118" i="181"/>
  <c r="O122" i="181" s="1"/>
  <c r="U397" i="202"/>
  <c r="R446" i="202"/>
  <c r="S445" i="202"/>
  <c r="S446" i="202" s="1"/>
  <c r="T373" i="202"/>
  <c r="J48" i="179"/>
  <c r="J57" i="179" s="1"/>
  <c r="I20" i="179"/>
  <c r="S520" i="202"/>
  <c r="S521" i="202" s="1"/>
  <c r="G79" i="209"/>
  <c r="L101" i="157"/>
  <c r="O88" i="157"/>
  <c r="K67" i="209" s="1"/>
  <c r="M20" i="186"/>
  <c r="M22" i="186" s="1"/>
  <c r="T520" i="202"/>
  <c r="P118" i="181"/>
  <c r="P122" i="181" s="1"/>
  <c r="N49" i="179"/>
  <c r="O85" i="157"/>
  <c r="K64" i="209" s="1"/>
  <c r="K56" i="209"/>
  <c r="U35" i="157"/>
  <c r="Q21" i="209"/>
  <c r="R46" i="157"/>
  <c r="R47" i="157" s="1"/>
  <c r="R48" i="157" s="1"/>
  <c r="R49" i="157" s="1"/>
  <c r="P85" i="157"/>
  <c r="L64" i="209" s="1"/>
  <c r="L56" i="209"/>
  <c r="Q400" i="202"/>
  <c r="Q410" i="202" s="1"/>
  <c r="S399" i="202"/>
  <c r="S400" i="202" s="1"/>
  <c r="S401" i="202" s="1"/>
  <c r="S402" i="202" s="1"/>
  <c r="S410" i="202" s="1"/>
  <c r="L32" i="92"/>
  <c r="L33" i="92" s="1"/>
  <c r="L36" i="92" s="1"/>
  <c r="N97" i="157"/>
  <c r="J75" i="209" s="1"/>
  <c r="J73" i="209"/>
  <c r="N99" i="157"/>
  <c r="U43" i="157"/>
  <c r="U44" i="157" s="1"/>
  <c r="T43" i="157"/>
  <c r="J108" i="181"/>
  <c r="H48" i="92"/>
  <c r="H41" i="179"/>
  <c r="J109" i="181" s="1"/>
  <c r="H50" i="92" s="1"/>
  <c r="U8" i="208" s="1"/>
  <c r="O31" i="186" l="1"/>
  <c r="O15" i="186"/>
  <c r="M80" i="219"/>
  <c r="N80" i="219" s="1"/>
  <c r="M108" i="219"/>
  <c r="U101" i="202"/>
  <c r="W101" i="202" s="1"/>
  <c r="V29" i="72" s="1"/>
  <c r="W80" i="202"/>
  <c r="S46" i="157"/>
  <c r="S47" i="157" s="1"/>
  <c r="K52" i="219"/>
  <c r="S60" i="202"/>
  <c r="W39" i="202"/>
  <c r="W81" i="202"/>
  <c r="S102" i="202"/>
  <c r="E20" i="105"/>
  <c r="N103" i="157"/>
  <c r="J81" i="209" s="1"/>
  <c r="C66" i="44"/>
  <c r="C67" i="44" s="1"/>
  <c r="S376" i="202"/>
  <c r="S377" i="202" s="1"/>
  <c r="S385" i="202" s="1"/>
  <c r="S40" i="202" s="1"/>
  <c r="K53" i="219" s="1"/>
  <c r="K109" i="219" s="1"/>
  <c r="K123" i="219" s="1"/>
  <c r="W24" i="101"/>
  <c r="W26" i="101" s="1"/>
  <c r="W62" i="44"/>
  <c r="X60" i="44" s="1"/>
  <c r="F27" i="45"/>
  <c r="E17" i="105" s="1"/>
  <c r="E7" i="182"/>
  <c r="E17" i="182" s="1"/>
  <c r="U60" i="44"/>
  <c r="N24" i="101"/>
  <c r="S60" i="44"/>
  <c r="Q62" i="44"/>
  <c r="M60" i="44"/>
  <c r="I57" i="45" s="1"/>
  <c r="H25" i="105" s="1"/>
  <c r="M36" i="44"/>
  <c r="M33" i="44"/>
  <c r="M23" i="44"/>
  <c r="I20" i="45" s="1"/>
  <c r="M45" i="44"/>
  <c r="M29" i="44"/>
  <c r="I26" i="45" s="1"/>
  <c r="M24" i="44"/>
  <c r="I21" i="45" s="1"/>
  <c r="M42" i="44"/>
  <c r="M17" i="44"/>
  <c r="M20" i="44"/>
  <c r="I17" i="45" s="1"/>
  <c r="H15" i="105" s="1"/>
  <c r="M48" i="44"/>
  <c r="M25" i="44"/>
  <c r="M28" i="44"/>
  <c r="I25" i="45" s="1"/>
  <c r="M39" i="44"/>
  <c r="M51" i="44"/>
  <c r="I48" i="45" s="1"/>
  <c r="H23" i="105" s="1"/>
  <c r="M57" i="44"/>
  <c r="M54" i="44"/>
  <c r="K26" i="101"/>
  <c r="J24" i="101"/>
  <c r="E14" i="105"/>
  <c r="R61" i="202"/>
  <c r="Q48" i="195" s="1"/>
  <c r="J53" i="219"/>
  <c r="J109" i="219" s="1"/>
  <c r="H121" i="219"/>
  <c r="H111" i="219"/>
  <c r="H125" i="219" s="1"/>
  <c r="Q43" i="202"/>
  <c r="U38" i="202"/>
  <c r="U378" i="202"/>
  <c r="U379" i="202" s="1"/>
  <c r="U385" i="202" s="1"/>
  <c r="U40" i="202" s="1"/>
  <c r="T41" i="202"/>
  <c r="T411" i="202"/>
  <c r="T83" i="202" s="1"/>
  <c r="T104" i="202" s="1"/>
  <c r="R525" i="202"/>
  <c r="R526" i="202" s="1"/>
  <c r="R527" i="202" s="1"/>
  <c r="R536" i="202" s="1"/>
  <c r="R537" i="202" s="1"/>
  <c r="U45" i="157"/>
  <c r="U46" i="157" s="1"/>
  <c r="S522" i="202"/>
  <c r="S523" i="202" s="1"/>
  <c r="S447" i="202"/>
  <c r="S448" i="202" s="1"/>
  <c r="S449" i="202" s="1"/>
  <c r="S450" i="202" s="1"/>
  <c r="S451" i="202" s="1"/>
  <c r="S452" i="202" s="1"/>
  <c r="S460" i="202" s="1"/>
  <c r="C96" i="36"/>
  <c r="S411" i="202"/>
  <c r="S83" i="202" s="1"/>
  <c r="S41" i="202"/>
  <c r="K51" i="219" s="1"/>
  <c r="AC14" i="208"/>
  <c r="R58" i="157"/>
  <c r="O44" i="181"/>
  <c r="O93" i="157"/>
  <c r="I33" i="179"/>
  <c r="I37" i="179"/>
  <c r="Q411" i="202"/>
  <c r="Q83" i="202" s="1"/>
  <c r="Q104" i="202" s="1"/>
  <c r="Q41" i="202"/>
  <c r="T450" i="202"/>
  <c r="T521" i="202"/>
  <c r="K29" i="92"/>
  <c r="K34" i="92"/>
  <c r="P93" i="157"/>
  <c r="P44" i="181"/>
  <c r="H79" i="209"/>
  <c r="M101" i="157"/>
  <c r="I79" i="209" s="1"/>
  <c r="J58" i="179"/>
  <c r="J59" i="179" s="1"/>
  <c r="J60" i="179" s="1"/>
  <c r="T374" i="202"/>
  <c r="T375" i="202" s="1"/>
  <c r="T376" i="202" s="1"/>
  <c r="T377" i="202" s="1"/>
  <c r="T378" i="202" s="1"/>
  <c r="M35" i="209"/>
  <c r="P28" i="195"/>
  <c r="Q18" i="181"/>
  <c r="AB18" i="208"/>
  <c r="Q60" i="157"/>
  <c r="AB208" i="172"/>
  <c r="AB209" i="172" s="1"/>
  <c r="Q106" i="202"/>
  <c r="U398" i="202"/>
  <c r="U519" i="202"/>
  <c r="U520" i="202" s="1"/>
  <c r="J77" i="209"/>
  <c r="T44" i="157"/>
  <c r="Q33" i="209"/>
  <c r="R447" i="202"/>
  <c r="U445" i="202"/>
  <c r="P15" i="186" l="1"/>
  <c r="P31" i="186"/>
  <c r="M122" i="219"/>
  <c r="N122" i="219" s="1"/>
  <c r="U61" i="202"/>
  <c r="T48" i="195" s="1"/>
  <c r="M53" i="219"/>
  <c r="T62" i="202"/>
  <c r="S46" i="195" s="1"/>
  <c r="L51" i="219"/>
  <c r="U59" i="202"/>
  <c r="W59" i="202" s="1"/>
  <c r="W38" i="202"/>
  <c r="S48" i="157"/>
  <c r="S49" i="157" s="1"/>
  <c r="S50" i="157" s="1"/>
  <c r="AD14" i="208" s="1"/>
  <c r="R47" i="195"/>
  <c r="AF47" i="195" s="1"/>
  <c r="W60" i="202"/>
  <c r="W102" i="202"/>
  <c r="V30" i="72" s="1"/>
  <c r="AA47" i="195"/>
  <c r="K80" i="219"/>
  <c r="K108" i="219"/>
  <c r="N108" i="219" s="1"/>
  <c r="S61" i="202"/>
  <c r="R48" i="195" s="1"/>
  <c r="F59" i="45"/>
  <c r="S386" i="202"/>
  <c r="S82" i="202" s="1"/>
  <c r="S103" i="202" s="1"/>
  <c r="E27" i="105"/>
  <c r="C68" i="44"/>
  <c r="Z60" i="44"/>
  <c r="Y60" i="44"/>
  <c r="L24" i="101"/>
  <c r="L14" i="101"/>
  <c r="L20" i="101"/>
  <c r="L18" i="101"/>
  <c r="L15" i="101"/>
  <c r="L21" i="101"/>
  <c r="L26" i="101"/>
  <c r="L13" i="101"/>
  <c r="L17" i="101"/>
  <c r="L19" i="101"/>
  <c r="L22" i="101"/>
  <c r="L16" i="101"/>
  <c r="L23" i="101"/>
  <c r="J26" i="101"/>
  <c r="F15" i="182"/>
  <c r="I45" i="45"/>
  <c r="R33" i="44"/>
  <c r="M30" i="45" s="1"/>
  <c r="L18" i="105" s="1"/>
  <c r="R28" i="44"/>
  <c r="M25" i="45" s="1"/>
  <c r="R23" i="44"/>
  <c r="M20" i="45" s="1"/>
  <c r="R45" i="44"/>
  <c r="M42" i="45" s="1"/>
  <c r="L22" i="105" s="1"/>
  <c r="R36" i="44"/>
  <c r="M33" i="45" s="1"/>
  <c r="L19" i="105" s="1"/>
  <c r="R39" i="44"/>
  <c r="M36" i="45" s="1"/>
  <c r="R24" i="44"/>
  <c r="M21" i="45" s="1"/>
  <c r="R29" i="44"/>
  <c r="M26" i="45" s="1"/>
  <c r="R42" i="44"/>
  <c r="M39" i="45" s="1"/>
  <c r="L21" i="105" s="1"/>
  <c r="V39" i="44"/>
  <c r="O36" i="45" s="1"/>
  <c r="R20" i="44"/>
  <c r="M17" i="45" s="1"/>
  <c r="L15" i="105" s="1"/>
  <c r="R17" i="44"/>
  <c r="R25" i="44"/>
  <c r="M22" i="45" s="1"/>
  <c r="L16" i="105" s="1"/>
  <c r="V36" i="44"/>
  <c r="O33" i="45" s="1"/>
  <c r="N19" i="105" s="1"/>
  <c r="R48" i="44"/>
  <c r="M45" i="45" s="1"/>
  <c r="R51" i="44"/>
  <c r="M48" i="45" s="1"/>
  <c r="L23" i="105" s="1"/>
  <c r="R57" i="44"/>
  <c r="M54" i="45" s="1"/>
  <c r="R54" i="44"/>
  <c r="M51" i="45" s="1"/>
  <c r="L24" i="105" s="1"/>
  <c r="F12" i="182"/>
  <c r="I36" i="45"/>
  <c r="H20" i="105" s="1"/>
  <c r="I33" i="45"/>
  <c r="H19" i="105" s="1"/>
  <c r="F11" i="182"/>
  <c r="R60" i="44"/>
  <c r="M57" i="45" s="1"/>
  <c r="L25" i="105" s="1"/>
  <c r="X28" i="44"/>
  <c r="X48" i="44"/>
  <c r="X39" i="44"/>
  <c r="X24" i="44"/>
  <c r="X20" i="44"/>
  <c r="X17" i="44"/>
  <c r="X45" i="44"/>
  <c r="X29" i="44"/>
  <c r="X36" i="44"/>
  <c r="X25" i="44"/>
  <c r="X33" i="44"/>
  <c r="X23" i="44"/>
  <c r="X42" i="44"/>
  <c r="X51" i="44"/>
  <c r="X57" i="44"/>
  <c r="X54" i="44"/>
  <c r="I51" i="45"/>
  <c r="H24" i="105" s="1"/>
  <c r="F9" i="182"/>
  <c r="M30" i="44"/>
  <c r="I14" i="45"/>
  <c r="F6" i="182"/>
  <c r="I42" i="45"/>
  <c r="H22" i="105" s="1"/>
  <c r="F14" i="182"/>
  <c r="P24" i="101"/>
  <c r="P26" i="101" s="1"/>
  <c r="S62" i="44"/>
  <c r="T60" i="44" s="1"/>
  <c r="N57" i="45" s="1"/>
  <c r="M25" i="105" s="1"/>
  <c r="X24" i="101"/>
  <c r="X18" i="101"/>
  <c r="X15" i="101"/>
  <c r="X20" i="101"/>
  <c r="X17" i="101"/>
  <c r="X19" i="101"/>
  <c r="X26" i="101"/>
  <c r="X13" i="101"/>
  <c r="X21" i="101"/>
  <c r="X14" i="101"/>
  <c r="X22" i="101"/>
  <c r="X16" i="101"/>
  <c r="X23" i="101"/>
  <c r="F10" i="182"/>
  <c r="I30" i="45"/>
  <c r="H18" i="105" s="1"/>
  <c r="U62" i="44"/>
  <c r="R24" i="101"/>
  <c r="R26" i="101" s="1"/>
  <c r="F16" i="182"/>
  <c r="I54" i="45"/>
  <c r="F8" i="182"/>
  <c r="I22" i="45"/>
  <c r="H16" i="105" s="1"/>
  <c r="F13" i="182"/>
  <c r="I39" i="45"/>
  <c r="H21" i="105" s="1"/>
  <c r="M24" i="101"/>
  <c r="N26" i="101"/>
  <c r="K107" i="219"/>
  <c r="K79" i="219"/>
  <c r="Q64" i="202"/>
  <c r="P50" i="195" s="1"/>
  <c r="I46" i="219"/>
  <c r="J123" i="219"/>
  <c r="Q62" i="202"/>
  <c r="P46" i="195" s="1"/>
  <c r="I51" i="219"/>
  <c r="S104" i="202"/>
  <c r="U386" i="202"/>
  <c r="U82" i="202" s="1"/>
  <c r="U103" i="202" s="1"/>
  <c r="S62" i="202"/>
  <c r="W47" i="195"/>
  <c r="Q88" i="202"/>
  <c r="Q109" i="202"/>
  <c r="U47" i="157"/>
  <c r="U48" i="157" s="1"/>
  <c r="Q23" i="181"/>
  <c r="Q30" i="181" s="1"/>
  <c r="Q84" i="181"/>
  <c r="P46" i="181"/>
  <c r="P57" i="181" s="1"/>
  <c r="P88" i="181" s="1"/>
  <c r="P89" i="181"/>
  <c r="O46" i="181"/>
  <c r="O57" i="181" s="1"/>
  <c r="O88" i="181" s="1"/>
  <c r="O89" i="181"/>
  <c r="C97" i="36"/>
  <c r="C98" i="36" s="1"/>
  <c r="N101" i="157"/>
  <c r="J79" i="209" s="1"/>
  <c r="S461" i="202"/>
  <c r="S85" i="202" s="1"/>
  <c r="S43" i="202"/>
  <c r="AC203" i="172"/>
  <c r="AC207" i="172" s="1"/>
  <c r="AB211" i="172"/>
  <c r="O16" i="186"/>
  <c r="O19" i="186" s="1"/>
  <c r="T522" i="202"/>
  <c r="T523" i="202" s="1"/>
  <c r="K71" i="209"/>
  <c r="O95" i="157"/>
  <c r="J20" i="179"/>
  <c r="K48" i="179"/>
  <c r="K57" i="179" s="1"/>
  <c r="U521" i="202"/>
  <c r="U522" i="202" s="1"/>
  <c r="X44" i="195"/>
  <c r="T385" i="202"/>
  <c r="Q46" i="202"/>
  <c r="P29" i="195" s="1"/>
  <c r="P30" i="195" s="1"/>
  <c r="P7" i="195" s="1"/>
  <c r="U446" i="202"/>
  <c r="L71" i="209"/>
  <c r="P95" i="157"/>
  <c r="L29" i="92"/>
  <c r="L34" i="92"/>
  <c r="T451" i="202"/>
  <c r="S524" i="202"/>
  <c r="K106" i="181"/>
  <c r="I46" i="92"/>
  <c r="V7" i="208" s="1"/>
  <c r="I39" i="179"/>
  <c r="U399" i="202"/>
  <c r="U400" i="202" s="1"/>
  <c r="R448" i="202"/>
  <c r="O31" i="92"/>
  <c r="M37" i="209"/>
  <c r="Q77" i="157"/>
  <c r="T45" i="157"/>
  <c r="N35" i="209"/>
  <c r="AC18" i="208"/>
  <c r="R18" i="181"/>
  <c r="Q28" i="195"/>
  <c r="R60" i="157"/>
  <c r="M109" i="219" l="1"/>
  <c r="N53" i="219"/>
  <c r="L107" i="219"/>
  <c r="L121" i="219" s="1"/>
  <c r="L79" i="219"/>
  <c r="K122" i="219"/>
  <c r="U20" i="102"/>
  <c r="G47" i="195"/>
  <c r="F20" i="78"/>
  <c r="P52" i="195"/>
  <c r="S24" i="101"/>
  <c r="S18" i="101"/>
  <c r="S23" i="101"/>
  <c r="S16" i="101"/>
  <c r="S19" i="101"/>
  <c r="S13" i="101"/>
  <c r="S15" i="101"/>
  <c r="S26" i="101"/>
  <c r="S21" i="101"/>
  <c r="S14" i="101"/>
  <c r="S22" i="101"/>
  <c r="S17" i="101"/>
  <c r="S20" i="101"/>
  <c r="Y36" i="44"/>
  <c r="Z36" i="44"/>
  <c r="Z20" i="44"/>
  <c r="Y20" i="44"/>
  <c r="Z28" i="44"/>
  <c r="Y28" i="44"/>
  <c r="V51" i="44"/>
  <c r="O48" i="45" s="1"/>
  <c r="N23" i="105" s="1"/>
  <c r="V17" i="44"/>
  <c r="V20" i="44"/>
  <c r="O17" i="45" s="1"/>
  <c r="N15" i="105" s="1"/>
  <c r="V25" i="44"/>
  <c r="O22" i="45" s="1"/>
  <c r="N16" i="105" s="1"/>
  <c r="V48" i="44"/>
  <c r="O45" i="45" s="1"/>
  <c r="N20" i="105" s="1"/>
  <c r="V23" i="44"/>
  <c r="O20" i="45" s="1"/>
  <c r="V54" i="44"/>
  <c r="O51" i="45" s="1"/>
  <c r="N24" i="105" s="1"/>
  <c r="V57" i="44"/>
  <c r="O54" i="45" s="1"/>
  <c r="V24" i="44"/>
  <c r="O21" i="45" s="1"/>
  <c r="V33" i="44"/>
  <c r="O30" i="45" s="1"/>
  <c r="N18" i="105" s="1"/>
  <c r="V29" i="44"/>
  <c r="O26" i="45" s="1"/>
  <c r="V45" i="44"/>
  <c r="O42" i="45" s="1"/>
  <c r="N22" i="105" s="1"/>
  <c r="V28" i="44"/>
  <c r="O25" i="45" s="1"/>
  <c r="V42" i="44"/>
  <c r="O39" i="45" s="1"/>
  <c r="N21" i="105" s="1"/>
  <c r="T24" i="44"/>
  <c r="N21" i="45" s="1"/>
  <c r="T36" i="44"/>
  <c r="N33" i="45" s="1"/>
  <c r="M19" i="105" s="1"/>
  <c r="T42" i="44"/>
  <c r="N39" i="45" s="1"/>
  <c r="M21" i="105" s="1"/>
  <c r="T33" i="44"/>
  <c r="N30" i="45" s="1"/>
  <c r="M18" i="105" s="1"/>
  <c r="T48" i="44"/>
  <c r="N45" i="45" s="1"/>
  <c r="T25" i="44"/>
  <c r="N22" i="45" s="1"/>
  <c r="M16" i="105" s="1"/>
  <c r="T28" i="44"/>
  <c r="N25" i="45" s="1"/>
  <c r="T45" i="44"/>
  <c r="N42" i="45" s="1"/>
  <c r="M22" i="105" s="1"/>
  <c r="T20" i="44"/>
  <c r="N17" i="45" s="1"/>
  <c r="M15" i="105" s="1"/>
  <c r="T23" i="44"/>
  <c r="N20" i="45" s="1"/>
  <c r="T39" i="44"/>
  <c r="N36" i="45" s="1"/>
  <c r="T17" i="44"/>
  <c r="T51" i="44"/>
  <c r="N48" i="45" s="1"/>
  <c r="M23" i="105" s="1"/>
  <c r="T57" i="44"/>
  <c r="N54" i="45" s="1"/>
  <c r="T54" i="44"/>
  <c r="N51" i="45" s="1"/>
  <c r="M24" i="105" s="1"/>
  <c r="H14" i="105"/>
  <c r="Z54" i="44"/>
  <c r="Y54" i="44"/>
  <c r="Y23" i="44"/>
  <c r="Z23" i="44"/>
  <c r="Y29" i="44"/>
  <c r="AA29" i="44" s="1"/>
  <c r="Z29" i="44"/>
  <c r="AC29" i="44" s="1"/>
  <c r="Z24" i="44"/>
  <c r="AC24" i="44" s="1"/>
  <c r="Y24" i="44"/>
  <c r="AA24" i="44" s="1"/>
  <c r="R30" i="44"/>
  <c r="M27" i="45" s="1"/>
  <c r="L17" i="105" s="1"/>
  <c r="M14" i="45"/>
  <c r="O24" i="101"/>
  <c r="O26" i="101"/>
  <c r="O13" i="101"/>
  <c r="O21" i="101"/>
  <c r="O14" i="101"/>
  <c r="O15" i="101"/>
  <c r="O18" i="101"/>
  <c r="O19" i="101"/>
  <c r="O17" i="101"/>
  <c r="O20" i="101"/>
  <c r="O22" i="101"/>
  <c r="O16" i="101"/>
  <c r="O23" i="101"/>
  <c r="I27" i="45"/>
  <c r="I59" i="45" s="1"/>
  <c r="F7" i="182"/>
  <c r="F17" i="182" s="1"/>
  <c r="Y57" i="44"/>
  <c r="AA57" i="44" s="1"/>
  <c r="Z57" i="44"/>
  <c r="AC57" i="44" s="1"/>
  <c r="Z33" i="44"/>
  <c r="Y33" i="44"/>
  <c r="Z45" i="44"/>
  <c r="Y45" i="44"/>
  <c r="Z39" i="44"/>
  <c r="Y39" i="44"/>
  <c r="L20" i="105"/>
  <c r="Y24" i="101"/>
  <c r="AA60" i="44"/>
  <c r="Y42" i="44"/>
  <c r="Z42" i="44"/>
  <c r="V60" i="44"/>
  <c r="O57" i="45" s="1"/>
  <c r="N25" i="105" s="1"/>
  <c r="Q24" i="101"/>
  <c r="Q14" i="101"/>
  <c r="Q21" i="101"/>
  <c r="Q20" i="101"/>
  <c r="Q26" i="101"/>
  <c r="Q13" i="101"/>
  <c r="Q19" i="101"/>
  <c r="Q17" i="101"/>
  <c r="Q15" i="101"/>
  <c r="Q18" i="101"/>
  <c r="Q22" i="101"/>
  <c r="Q16" i="101"/>
  <c r="Q23" i="101"/>
  <c r="M62" i="44"/>
  <c r="Y51" i="44"/>
  <c r="Z51" i="44"/>
  <c r="X30" i="44"/>
  <c r="X62" i="44" s="1"/>
  <c r="Y17" i="44"/>
  <c r="Z17" i="44"/>
  <c r="Z48" i="44"/>
  <c r="AC48" i="44" s="1"/>
  <c r="Y48" i="44"/>
  <c r="AA48" i="44" s="1"/>
  <c r="Z24" i="101"/>
  <c r="AC60" i="44"/>
  <c r="Q67" i="202"/>
  <c r="Q110" i="202" s="1"/>
  <c r="P8" i="195" s="1"/>
  <c r="I69" i="219" s="1"/>
  <c r="K46" i="219"/>
  <c r="I107" i="219"/>
  <c r="I121" i="219" s="1"/>
  <c r="I79" i="219"/>
  <c r="I102" i="219"/>
  <c r="I74" i="219"/>
  <c r="I55" i="219"/>
  <c r="I83" i="219" s="1"/>
  <c r="K121" i="219"/>
  <c r="R46" i="195"/>
  <c r="P78" i="181"/>
  <c r="P79" i="181" s="1"/>
  <c r="P80" i="181" s="1"/>
  <c r="P103" i="157" s="1"/>
  <c r="L81" i="209" s="1"/>
  <c r="P113" i="181"/>
  <c r="P116" i="181" s="1"/>
  <c r="P123" i="181" s="1"/>
  <c r="N56" i="92" s="1"/>
  <c r="P72" i="181"/>
  <c r="P74" i="181" s="1"/>
  <c r="S58" i="157"/>
  <c r="Q77" i="181"/>
  <c r="U49" i="157"/>
  <c r="U50" i="157" s="1"/>
  <c r="T524" i="202"/>
  <c r="T525" i="202" s="1"/>
  <c r="U401" i="202"/>
  <c r="U402" i="202" s="1"/>
  <c r="U403" i="202" s="1"/>
  <c r="R23" i="181"/>
  <c r="R77" i="181" s="1"/>
  <c r="R84" i="181"/>
  <c r="O78" i="181"/>
  <c r="O79" i="181" s="1"/>
  <c r="O80" i="181" s="1"/>
  <c r="M52" i="92" s="1"/>
  <c r="Z5" i="208" s="1"/>
  <c r="O90" i="181"/>
  <c r="O92" i="181" s="1"/>
  <c r="O94" i="181" s="1"/>
  <c r="O100" i="181" s="1"/>
  <c r="O101" i="181" s="1"/>
  <c r="M54" i="92" s="1"/>
  <c r="Z6" i="208" s="1"/>
  <c r="M50" i="179"/>
  <c r="O113" i="181"/>
  <c r="O116" i="181" s="1"/>
  <c r="O123" i="181" s="1"/>
  <c r="M56" i="92" s="1"/>
  <c r="N50" i="179"/>
  <c r="O72" i="181"/>
  <c r="O74" i="181" s="1"/>
  <c r="P90" i="181"/>
  <c r="P92" i="181" s="1"/>
  <c r="P94" i="181" s="1"/>
  <c r="P100" i="181" s="1"/>
  <c r="P101" i="181" s="1"/>
  <c r="N54" i="92" s="1"/>
  <c r="AA6" i="208" s="1"/>
  <c r="C99" i="36"/>
  <c r="V48" i="195"/>
  <c r="M56" i="209"/>
  <c r="Q85" i="157"/>
  <c r="M64" i="209" s="1"/>
  <c r="M29" i="92"/>
  <c r="T40" i="202"/>
  <c r="L53" i="219" s="1"/>
  <c r="L109" i="219" s="1"/>
  <c r="L123" i="219" s="1"/>
  <c r="T386" i="202"/>
  <c r="T82" i="202" s="1"/>
  <c r="T103" i="202" s="1"/>
  <c r="W103" i="202" s="1"/>
  <c r="S525" i="202"/>
  <c r="T452" i="202"/>
  <c r="T453" i="202" s="1"/>
  <c r="T460" i="202" s="1"/>
  <c r="S46" i="202"/>
  <c r="R29" i="195" s="1"/>
  <c r="S64" i="202"/>
  <c r="P31" i="92"/>
  <c r="N37" i="209"/>
  <c r="R77" i="157"/>
  <c r="AC208" i="172"/>
  <c r="AC209" i="172"/>
  <c r="R449" i="202"/>
  <c r="K58" i="179"/>
  <c r="K59" i="179" s="1"/>
  <c r="K60" i="179" s="1"/>
  <c r="M32" i="92"/>
  <c r="M33" i="92" s="1"/>
  <c r="M36" i="92" s="1"/>
  <c r="K73" i="209"/>
  <c r="O97" i="157"/>
  <c r="K75" i="209" s="1"/>
  <c r="O99" i="157"/>
  <c r="O20" i="186"/>
  <c r="O22" i="186" s="1"/>
  <c r="Q88" i="157"/>
  <c r="M67" i="209" s="1"/>
  <c r="S88" i="202"/>
  <c r="S106" i="202"/>
  <c r="P16" i="186"/>
  <c r="P19" i="186" s="1"/>
  <c r="T46" i="157"/>
  <c r="T47" i="157" s="1"/>
  <c r="I41" i="179"/>
  <c r="K109" i="181" s="1"/>
  <c r="I50" i="92" s="1"/>
  <c r="V8" i="208" s="1"/>
  <c r="I48" i="92"/>
  <c r="K108" i="181"/>
  <c r="N32" i="92"/>
  <c r="N33" i="92" s="1"/>
  <c r="N36" i="92" s="1"/>
  <c r="L73" i="209"/>
  <c r="P97" i="157"/>
  <c r="L75" i="209" s="1"/>
  <c r="P99" i="157"/>
  <c r="Q118" i="181"/>
  <c r="Q122" i="181" s="1"/>
  <c r="O49" i="179"/>
  <c r="J37" i="179"/>
  <c r="J33" i="179"/>
  <c r="U447" i="202"/>
  <c r="U523" i="202"/>
  <c r="U524" i="202" s="1"/>
  <c r="Q15" i="186" l="1"/>
  <c r="Q31" i="186"/>
  <c r="M123" i="219"/>
  <c r="N123" i="219" s="1"/>
  <c r="N109" i="219"/>
  <c r="AA48" i="195"/>
  <c r="T61" i="202"/>
  <c r="W40" i="202"/>
  <c r="W82" i="202"/>
  <c r="H17" i="105"/>
  <c r="H27" i="105" s="1"/>
  <c r="J14" i="218"/>
  <c r="W14" i="218" s="1"/>
  <c r="G16" i="208"/>
  <c r="G94" i="208" s="1"/>
  <c r="P20" i="78"/>
  <c r="F21" i="100"/>
  <c r="M20" i="105"/>
  <c r="Y23" i="101"/>
  <c r="AA54" i="44"/>
  <c r="Z14" i="101"/>
  <c r="AC20" i="44"/>
  <c r="AA17" i="44"/>
  <c r="Y13" i="101"/>
  <c r="Y20" i="101"/>
  <c r="AA42" i="44"/>
  <c r="AC45" i="44"/>
  <c r="Z21" i="101"/>
  <c r="Z23" i="101"/>
  <c r="AC54" i="44"/>
  <c r="Y30" i="44"/>
  <c r="Y16" i="101" s="1"/>
  <c r="AA28" i="44"/>
  <c r="AC36" i="44"/>
  <c r="Z18" i="101"/>
  <c r="Y22" i="101"/>
  <c r="AA51" i="44"/>
  <c r="Y19" i="101"/>
  <c r="AA39" i="44"/>
  <c r="AA33" i="44"/>
  <c r="Y17" i="101"/>
  <c r="R62" i="44"/>
  <c r="AC23" i="44"/>
  <c r="Z25" i="44"/>
  <c r="Z15" i="101" s="1"/>
  <c r="Z30" i="44"/>
  <c r="Z16" i="101" s="1"/>
  <c r="AC28" i="44"/>
  <c r="AA36" i="44"/>
  <c r="Y18" i="101"/>
  <c r="AC24" i="101"/>
  <c r="AC17" i="44"/>
  <c r="Z13" i="101"/>
  <c r="AC42" i="44"/>
  <c r="Z20" i="101"/>
  <c r="Y21" i="101"/>
  <c r="AA45" i="44"/>
  <c r="AC51" i="44"/>
  <c r="Z22" i="101"/>
  <c r="AA24" i="101"/>
  <c r="Z19" i="101"/>
  <c r="AC39" i="44"/>
  <c r="Z17" i="101"/>
  <c r="AC33" i="44"/>
  <c r="L14" i="105"/>
  <c r="L27" i="105" s="1"/>
  <c r="M59" i="45"/>
  <c r="AA23" i="44"/>
  <c r="Y25" i="44"/>
  <c r="Y15" i="101" s="1"/>
  <c r="T30" i="44"/>
  <c r="N14" i="45"/>
  <c r="V30" i="44"/>
  <c r="O27" i="45" s="1"/>
  <c r="N17" i="105" s="1"/>
  <c r="O14" i="45"/>
  <c r="AA20" i="44"/>
  <c r="Y14" i="101"/>
  <c r="I116" i="219"/>
  <c r="I111" i="219"/>
  <c r="I125" i="219" s="1"/>
  <c r="K102" i="219"/>
  <c r="K74" i="219"/>
  <c r="K55" i="219"/>
  <c r="K83" i="219" s="1"/>
  <c r="S109" i="202"/>
  <c r="V31" i="72"/>
  <c r="N52" i="92"/>
  <c r="AA5" i="208" s="1"/>
  <c r="R30" i="181"/>
  <c r="R118" i="181" s="1"/>
  <c r="R122" i="181" s="1"/>
  <c r="U48" i="195"/>
  <c r="O103" i="157"/>
  <c r="K81" i="209" s="1"/>
  <c r="S18" i="181"/>
  <c r="R28" i="195"/>
  <c r="R30" i="195" s="1"/>
  <c r="R7" i="195" s="1"/>
  <c r="S60" i="157"/>
  <c r="AD18" i="208"/>
  <c r="Q16" i="186"/>
  <c r="Q19" i="186" s="1"/>
  <c r="O35" i="209"/>
  <c r="T48" i="157"/>
  <c r="T49" i="157" s="1"/>
  <c r="T50" i="157" s="1"/>
  <c r="U51" i="157"/>
  <c r="U52" i="157" s="1"/>
  <c r="AF14" i="208" s="1"/>
  <c r="U404" i="202"/>
  <c r="U410" i="202" s="1"/>
  <c r="C100" i="36"/>
  <c r="C101" i="36" s="1"/>
  <c r="R88" i="157"/>
  <c r="N67" i="209" s="1"/>
  <c r="P20" i="186"/>
  <c r="P22" i="186" s="1"/>
  <c r="U448" i="202"/>
  <c r="U449" i="202" s="1"/>
  <c r="K77" i="209"/>
  <c r="O101" i="157"/>
  <c r="K79" i="209" s="1"/>
  <c r="R85" i="157"/>
  <c r="N64" i="209" s="1"/>
  <c r="N56" i="209"/>
  <c r="T526" i="202"/>
  <c r="T527" i="202" s="1"/>
  <c r="T528" i="202" s="1"/>
  <c r="T529" i="202" s="1"/>
  <c r="T536" i="202" s="1"/>
  <c r="T537" i="202" s="1"/>
  <c r="AD203" i="172"/>
  <c r="AD207" i="172" s="1"/>
  <c r="AC211" i="172"/>
  <c r="R50" i="195"/>
  <c r="S67" i="202"/>
  <c r="S526" i="202"/>
  <c r="S527" i="202" s="1"/>
  <c r="S528" i="202" s="1"/>
  <c r="S536" i="202" s="1"/>
  <c r="S537" i="202" s="1"/>
  <c r="R450" i="202"/>
  <c r="R451" i="202" s="1"/>
  <c r="R460" i="202" s="1"/>
  <c r="Q93" i="157"/>
  <c r="Q44" i="181"/>
  <c r="L48" i="179"/>
  <c r="L57" i="179" s="1"/>
  <c r="K20" i="179"/>
  <c r="T43" i="202"/>
  <c r="L46" i="219" s="1"/>
  <c r="T461" i="202"/>
  <c r="T85" i="202" s="1"/>
  <c r="U525" i="202"/>
  <c r="U526" i="202" s="1"/>
  <c r="U527" i="202" s="1"/>
  <c r="J46" i="92"/>
  <c r="W7" i="208" s="1"/>
  <c r="L106" i="181"/>
  <c r="J39" i="179"/>
  <c r="L77" i="209"/>
  <c r="M34" i="92"/>
  <c r="K94" i="208" l="1"/>
  <c r="L74" i="219"/>
  <c r="L102" i="219"/>
  <c r="L55" i="219"/>
  <c r="L83" i="219" s="1"/>
  <c r="S48" i="195"/>
  <c r="AF48" i="195" s="1"/>
  <c r="W61" i="202"/>
  <c r="Z62" i="44"/>
  <c r="P49" i="179"/>
  <c r="N27" i="45"/>
  <c r="M17" i="105" s="1"/>
  <c r="T29" i="44"/>
  <c r="N26" i="45" s="1"/>
  <c r="AC20" i="101"/>
  <c r="AC30" i="44"/>
  <c r="AC16" i="101" s="1"/>
  <c r="AA19" i="101"/>
  <c r="AC14" i="101"/>
  <c r="AC19" i="101"/>
  <c r="AA21" i="101"/>
  <c r="AC23" i="101"/>
  <c r="Y62" i="44"/>
  <c r="N14" i="105"/>
  <c r="N27" i="105" s="1"/>
  <c r="O59" i="45"/>
  <c r="AA14" i="101"/>
  <c r="T62" i="44"/>
  <c r="Z26" i="101"/>
  <c r="AC18" i="101"/>
  <c r="AC21" i="101"/>
  <c r="Y26" i="101"/>
  <c r="AA23" i="101"/>
  <c r="V62" i="44"/>
  <c r="M14" i="105"/>
  <c r="AA25" i="44"/>
  <c r="AC17" i="101"/>
  <c r="AC22" i="101"/>
  <c r="AC13" i="101"/>
  <c r="AA18" i="101"/>
  <c r="AC25" i="44"/>
  <c r="AC15" i="101" s="1"/>
  <c r="AA17" i="101"/>
  <c r="AA22" i="101"/>
  <c r="AA30" i="44"/>
  <c r="AA62" i="44" s="1"/>
  <c r="AB20" i="44" s="1"/>
  <c r="AA20" i="101"/>
  <c r="AA13" i="101"/>
  <c r="K116" i="219"/>
  <c r="K111" i="219"/>
  <c r="K125" i="219" s="1"/>
  <c r="S110" i="202"/>
  <c r="R8" i="195" s="1"/>
  <c r="K69" i="219" s="1"/>
  <c r="R52" i="195"/>
  <c r="F21" i="78"/>
  <c r="J15" i="218" s="1"/>
  <c r="U21" i="102"/>
  <c r="G48" i="195"/>
  <c r="S84" i="181"/>
  <c r="S23" i="181"/>
  <c r="S88" i="157"/>
  <c r="Q20" i="186"/>
  <c r="Q22" i="186" s="1"/>
  <c r="S77" i="157"/>
  <c r="O37" i="209"/>
  <c r="Q31" i="92"/>
  <c r="T51" i="157"/>
  <c r="T58" i="157" s="1"/>
  <c r="U411" i="202"/>
  <c r="U83" i="202" s="1"/>
  <c r="U41" i="202"/>
  <c r="M51" i="219" s="1"/>
  <c r="N51" i="219" s="1"/>
  <c r="U450" i="202"/>
  <c r="U451" i="202" s="1"/>
  <c r="U452" i="202" s="1"/>
  <c r="U453" i="202" s="1"/>
  <c r="U454" i="202" s="1"/>
  <c r="U460" i="202" s="1"/>
  <c r="U461" i="202" s="1"/>
  <c r="U85" i="202" s="1"/>
  <c r="W85" i="202" s="1"/>
  <c r="V46" i="195"/>
  <c r="U58" i="157"/>
  <c r="Q46" i="181"/>
  <c r="Q57" i="181" s="1"/>
  <c r="Q88" i="181" s="1"/>
  <c r="Q89" i="181"/>
  <c r="C102" i="36"/>
  <c r="C103" i="36" s="1"/>
  <c r="P101" i="157"/>
  <c r="L79" i="209" s="1"/>
  <c r="X47" i="195"/>
  <c r="U528" i="202"/>
  <c r="U529" i="202" s="1"/>
  <c r="U530" i="202" s="1"/>
  <c r="U536" i="202" s="1"/>
  <c r="U537" i="202" s="1"/>
  <c r="J41" i="179"/>
  <c r="L109" i="181" s="1"/>
  <c r="J50" i="92" s="1"/>
  <c r="W8" i="208" s="1"/>
  <c r="J48" i="92"/>
  <c r="L108" i="181"/>
  <c r="K33" i="179"/>
  <c r="K37" i="179"/>
  <c r="R461" i="202"/>
  <c r="R85" i="202" s="1"/>
  <c r="R43" i="202"/>
  <c r="J46" i="219" s="1"/>
  <c r="N29" i="92"/>
  <c r="N34" i="92"/>
  <c r="T88" i="202"/>
  <c r="T106" i="202"/>
  <c r="T109" i="202" s="1"/>
  <c r="L58" i="179"/>
  <c r="L59" i="179" s="1"/>
  <c r="L60" i="179" s="1"/>
  <c r="T46" i="202"/>
  <c r="S29" i="195" s="1"/>
  <c r="T64" i="202"/>
  <c r="M71" i="209"/>
  <c r="Q95" i="157"/>
  <c r="AD209" i="172"/>
  <c r="AD208" i="172"/>
  <c r="R44" i="181"/>
  <c r="R93" i="157"/>
  <c r="S31" i="186" l="1"/>
  <c r="S15" i="186"/>
  <c r="R31" i="186"/>
  <c r="R15" i="186"/>
  <c r="L116" i="219"/>
  <c r="L111" i="219"/>
  <c r="L125" i="219" s="1"/>
  <c r="M107" i="219"/>
  <c r="M79" i="219"/>
  <c r="N79" i="219" s="1"/>
  <c r="U62" i="202"/>
  <c r="W41" i="202"/>
  <c r="U104" i="202"/>
  <c r="W83" i="202"/>
  <c r="W88" i="202" s="1"/>
  <c r="AC62" i="44"/>
  <c r="AD25" i="44" s="1"/>
  <c r="N59" i="45"/>
  <c r="AB17" i="44"/>
  <c r="G6" i="182" s="1"/>
  <c r="AB39" i="44"/>
  <c r="G12" i="182" s="1"/>
  <c r="M27" i="105"/>
  <c r="AB48" i="44"/>
  <c r="G15" i="182" s="1"/>
  <c r="AB29" i="44"/>
  <c r="AB60" i="44"/>
  <c r="AB57" i="44"/>
  <c r="G16" i="182" s="1"/>
  <c r="AB24" i="44"/>
  <c r="AB28" i="44"/>
  <c r="AB33" i="44"/>
  <c r="G10" i="182" s="1"/>
  <c r="AB36" i="44"/>
  <c r="G11" i="182" s="1"/>
  <c r="AB45" i="44"/>
  <c r="G14" i="182" s="1"/>
  <c r="O67" i="209"/>
  <c r="G222" i="34"/>
  <c r="F34" i="96"/>
  <c r="AH30" i="44"/>
  <c r="AH16" i="101" s="1"/>
  <c r="AA16" i="101"/>
  <c r="AB23" i="44"/>
  <c r="AC26" i="101"/>
  <c r="AD18" i="101" s="1"/>
  <c r="AB42" i="44"/>
  <c r="G13" i="182" s="1"/>
  <c r="AB51" i="44"/>
  <c r="AA15" i="101"/>
  <c r="AH25" i="44"/>
  <c r="AB25" i="44"/>
  <c r="G8" i="182" s="1"/>
  <c r="AB54" i="44"/>
  <c r="W15" i="218"/>
  <c r="J102" i="219"/>
  <c r="J74" i="219"/>
  <c r="J55" i="219"/>
  <c r="J83" i="219" s="1"/>
  <c r="F22" i="100"/>
  <c r="G17" i="208"/>
  <c r="G95" i="208" s="1"/>
  <c r="AE14" i="208"/>
  <c r="S30" i="181"/>
  <c r="S77" i="181"/>
  <c r="S44" i="181"/>
  <c r="S93" i="157"/>
  <c r="O56" i="209"/>
  <c r="S85" i="157"/>
  <c r="O64" i="209" s="1"/>
  <c r="O50" i="179"/>
  <c r="U43" i="202"/>
  <c r="M46" i="219" s="1"/>
  <c r="N46" i="219" s="1"/>
  <c r="N55" i="219" s="1"/>
  <c r="Q78" i="181"/>
  <c r="Q79" i="181" s="1"/>
  <c r="Q80" i="181" s="1"/>
  <c r="O52" i="92" s="1"/>
  <c r="AB5" i="208" s="1"/>
  <c r="Q113" i="181"/>
  <c r="Q116" i="181" s="1"/>
  <c r="Q123" i="181" s="1"/>
  <c r="O56" i="92" s="1"/>
  <c r="W46" i="195"/>
  <c r="Q72" i="181"/>
  <c r="Q74" i="181" s="1"/>
  <c r="U18" i="181"/>
  <c r="S16" i="186"/>
  <c r="S19" i="186" s="1"/>
  <c r="T28" i="195"/>
  <c r="U60" i="157"/>
  <c r="Q35" i="209"/>
  <c r="AF18" i="208"/>
  <c r="R46" i="181"/>
  <c r="R57" i="181" s="1"/>
  <c r="R88" i="181" s="1"/>
  <c r="R89" i="181"/>
  <c r="Q90" i="181"/>
  <c r="Q92" i="181" s="1"/>
  <c r="Q94" i="181" s="1"/>
  <c r="Q100" i="181" s="1"/>
  <c r="Q101" i="181" s="1"/>
  <c r="O54" i="92" s="1"/>
  <c r="AB6" i="208" s="1"/>
  <c r="C104" i="36"/>
  <c r="C105" i="36" s="1"/>
  <c r="L20" i="179"/>
  <c r="M48" i="179"/>
  <c r="M57" i="179" s="1"/>
  <c r="U88" i="202"/>
  <c r="F65" i="96" s="1"/>
  <c r="U106" i="202"/>
  <c r="K39" i="179"/>
  <c r="K46" i="92"/>
  <c r="X7" i="208" s="1"/>
  <c r="M106" i="181"/>
  <c r="N71" i="209"/>
  <c r="R95" i="157"/>
  <c r="T18" i="181"/>
  <c r="S28" i="195"/>
  <c r="S30" i="195" s="1"/>
  <c r="S7" i="195" s="1"/>
  <c r="AE18" i="208"/>
  <c r="P35" i="209"/>
  <c r="T60" i="157"/>
  <c r="O29" i="92"/>
  <c r="S50" i="195"/>
  <c r="S52" i="195" s="1"/>
  <c r="T67" i="202"/>
  <c r="T110" i="202" s="1"/>
  <c r="S8" i="195" s="1"/>
  <c r="L69" i="219" s="1"/>
  <c r="R46" i="202"/>
  <c r="Q29" i="195" s="1"/>
  <c r="Q30" i="195" s="1"/>
  <c r="Q7" i="195" s="1"/>
  <c r="R64" i="202"/>
  <c r="AE203" i="172"/>
  <c r="AE207" i="172" s="1"/>
  <c r="AD211" i="172"/>
  <c r="Q97" i="157"/>
  <c r="M75" i="209" s="1"/>
  <c r="M73" i="209"/>
  <c r="O32" i="92"/>
  <c r="O33" i="92" s="1"/>
  <c r="O36" i="92" s="1"/>
  <c r="Q99" i="157"/>
  <c r="R106" i="202"/>
  <c r="R109" i="202" s="1"/>
  <c r="R88" i="202"/>
  <c r="K95" i="208" l="1"/>
  <c r="M121" i="219"/>
  <c r="N121" i="219" s="1"/>
  <c r="N107" i="219"/>
  <c r="M55" i="219"/>
  <c r="M83" i="219" s="1"/>
  <c r="N83" i="219" s="1"/>
  <c r="M74" i="219"/>
  <c r="N74" i="219" s="1"/>
  <c r="M102" i="219"/>
  <c r="N102" i="219" s="1"/>
  <c r="AA46" i="195"/>
  <c r="W104" i="202"/>
  <c r="U109" i="202"/>
  <c r="AA50" i="195"/>
  <c r="W106" i="202"/>
  <c r="V34" i="72" s="1"/>
  <c r="F66" i="96"/>
  <c r="F70" i="96" s="1"/>
  <c r="E62" i="115"/>
  <c r="I65" i="96"/>
  <c r="I66" i="96" s="1"/>
  <c r="U46" i="202"/>
  <c r="T29" i="195" s="1"/>
  <c r="T30" i="195" s="1"/>
  <c r="T7" i="195" s="1"/>
  <c r="W43" i="202"/>
  <c r="W46" i="202" s="1"/>
  <c r="T46" i="195"/>
  <c r="AF46" i="195" s="1"/>
  <c r="W62" i="202"/>
  <c r="AD24" i="44"/>
  <c r="G21" i="45" s="1"/>
  <c r="AA26" i="101"/>
  <c r="AB19" i="101" s="1"/>
  <c r="AD54" i="44"/>
  <c r="G51" i="45" s="1"/>
  <c r="F24" i="105" s="1"/>
  <c r="AD36" i="44"/>
  <c r="H11" i="182" s="1"/>
  <c r="AD51" i="44"/>
  <c r="G48" i="45" s="1"/>
  <c r="AD48" i="44"/>
  <c r="G45" i="45" s="1"/>
  <c r="AD23" i="44"/>
  <c r="G20" i="45" s="1"/>
  <c r="AD28" i="44"/>
  <c r="G25" i="45" s="1"/>
  <c r="AD39" i="44"/>
  <c r="H12" i="182" s="1"/>
  <c r="AD33" i="44"/>
  <c r="H10" i="182" s="1"/>
  <c r="AD29" i="44"/>
  <c r="G26" i="45" s="1"/>
  <c r="AD20" i="44"/>
  <c r="G17" i="45" s="1"/>
  <c r="AD60" i="44"/>
  <c r="G57" i="45" s="1"/>
  <c r="F25" i="105" s="1"/>
  <c r="AD17" i="101"/>
  <c r="AD17" i="44"/>
  <c r="G14" i="45" s="1"/>
  <c r="AD15" i="93" s="1"/>
  <c r="AD45" i="44"/>
  <c r="G42" i="45" s="1"/>
  <c r="F22" i="105" s="1"/>
  <c r="AD42" i="44"/>
  <c r="G39" i="45" s="1"/>
  <c r="F21" i="105" s="1"/>
  <c r="AD57" i="44"/>
  <c r="H16" i="182" s="1"/>
  <c r="AD15" i="101"/>
  <c r="AD16" i="101"/>
  <c r="AD23" i="101"/>
  <c r="AD21" i="101"/>
  <c r="AD14" i="101"/>
  <c r="G9" i="182"/>
  <c r="AD22" i="101"/>
  <c r="AB13" i="101"/>
  <c r="AD20" i="101"/>
  <c r="AH15" i="101"/>
  <c r="AH26" i="101" s="1"/>
  <c r="AH62" i="44"/>
  <c r="AI25" i="44" s="1"/>
  <c r="AD26" i="101"/>
  <c r="AD24" i="101"/>
  <c r="F39" i="96"/>
  <c r="F41" i="96" s="1"/>
  <c r="I34" i="96"/>
  <c r="E31" i="115"/>
  <c r="AD19" i="101"/>
  <c r="AD13" i="101"/>
  <c r="AB30" i="44"/>
  <c r="G7" i="182" s="1"/>
  <c r="AB22" i="101"/>
  <c r="G200" i="215"/>
  <c r="G203" i="215" s="1"/>
  <c r="G225" i="215" s="1"/>
  <c r="N222" i="34"/>
  <c r="P222" i="34"/>
  <c r="G226" i="34"/>
  <c r="G248" i="34" s="1"/>
  <c r="O222" i="34"/>
  <c r="H8" i="182"/>
  <c r="G22" i="45"/>
  <c r="J116" i="219"/>
  <c r="J111" i="219"/>
  <c r="J125" i="219" s="1"/>
  <c r="U64" i="202"/>
  <c r="P50" i="179"/>
  <c r="Q103" i="157"/>
  <c r="M81" i="209" s="1"/>
  <c r="O71" i="209"/>
  <c r="S95" i="157"/>
  <c r="Q49" i="179"/>
  <c r="S118" i="181"/>
  <c r="S122" i="181" s="1"/>
  <c r="S46" i="181"/>
  <c r="S57" i="181" s="1"/>
  <c r="S89" i="181"/>
  <c r="U28" i="195"/>
  <c r="T23" i="181"/>
  <c r="T30" i="181" s="1"/>
  <c r="T84" i="181"/>
  <c r="S20" i="186"/>
  <c r="S22" i="186" s="1"/>
  <c r="U88" i="157"/>
  <c r="Q67" i="209" s="1"/>
  <c r="U77" i="157"/>
  <c r="Q37" i="209"/>
  <c r="S31" i="92"/>
  <c r="U23" i="181"/>
  <c r="U84" i="181"/>
  <c r="R72" i="181"/>
  <c r="R74" i="181" s="1"/>
  <c r="R78" i="181"/>
  <c r="R79" i="181" s="1"/>
  <c r="R80" i="181" s="1"/>
  <c r="P52" i="92" s="1"/>
  <c r="AC5" i="208" s="1"/>
  <c r="R113" i="181"/>
  <c r="R116" i="181" s="1"/>
  <c r="R123" i="181" s="1"/>
  <c r="P56" i="92" s="1"/>
  <c r="R90" i="181"/>
  <c r="R92" i="181" s="1"/>
  <c r="R94" i="181" s="1"/>
  <c r="R100" i="181" s="1"/>
  <c r="R101" i="181" s="1"/>
  <c r="P54" i="92" s="1"/>
  <c r="AC6" i="208" s="1"/>
  <c r="C106" i="36"/>
  <c r="C107" i="36" s="1"/>
  <c r="X48" i="195"/>
  <c r="X46" i="195"/>
  <c r="AE208" i="172"/>
  <c r="AE209" i="172" s="1"/>
  <c r="O34" i="92"/>
  <c r="R97" i="157"/>
  <c r="N75" i="209" s="1"/>
  <c r="P32" i="92"/>
  <c r="P33" i="92" s="1"/>
  <c r="P36" i="92" s="1"/>
  <c r="N73" i="209"/>
  <c r="R99" i="157"/>
  <c r="M58" i="179"/>
  <c r="M59" i="179" s="1"/>
  <c r="M60" i="179" s="1"/>
  <c r="Q50" i="195"/>
  <c r="Q52" i="195" s="1"/>
  <c r="R67" i="202"/>
  <c r="R110" i="202" s="1"/>
  <c r="Q8" i="195" s="1"/>
  <c r="J69" i="219" s="1"/>
  <c r="R31" i="92"/>
  <c r="P37" i="209"/>
  <c r="T77" i="157"/>
  <c r="L37" i="179"/>
  <c r="L33" i="179"/>
  <c r="Q101" i="157"/>
  <c r="M79" i="209" s="1"/>
  <c r="M77" i="209"/>
  <c r="U50" i="195"/>
  <c r="R16" i="186"/>
  <c r="R19" i="186" s="1"/>
  <c r="M108" i="181"/>
  <c r="K41" i="179"/>
  <c r="M109" i="181" s="1"/>
  <c r="K50" i="92" s="1"/>
  <c r="X8" i="208" s="1"/>
  <c r="K48" i="92"/>
  <c r="N111" i="219" l="1"/>
  <c r="I39" i="96"/>
  <c r="I41" i="96" s="1"/>
  <c r="I57" i="96" s="1"/>
  <c r="G56" i="78" s="1"/>
  <c r="R80" i="96"/>
  <c r="R83" i="96" s="1"/>
  <c r="R93" i="96" s="1"/>
  <c r="M34" i="96"/>
  <c r="F23" i="105"/>
  <c r="AD42" i="93"/>
  <c r="F15" i="105"/>
  <c r="AD18" i="93"/>
  <c r="F16" i="105"/>
  <c r="AD23" i="93"/>
  <c r="M116" i="219"/>
  <c r="N116" i="219" s="1"/>
  <c r="M111" i="219"/>
  <c r="M125" i="219" s="1"/>
  <c r="N125" i="219" s="1"/>
  <c r="AA52" i="195"/>
  <c r="U67" i="202"/>
  <c r="U110" i="202" s="1"/>
  <c r="W64" i="202"/>
  <c r="W67" i="202" s="1"/>
  <c r="E63" i="115"/>
  <c r="G62" i="115"/>
  <c r="G63" i="115" s="1"/>
  <c r="F23" i="78"/>
  <c r="U48" i="45"/>
  <c r="G50" i="195"/>
  <c r="U23" i="102"/>
  <c r="V32" i="72"/>
  <c r="W109" i="202"/>
  <c r="G54" i="45"/>
  <c r="AB24" i="101"/>
  <c r="H15" i="182"/>
  <c r="AB26" i="101"/>
  <c r="AB14" i="101"/>
  <c r="AB21" i="101"/>
  <c r="AB23" i="101"/>
  <c r="G33" i="45"/>
  <c r="F19" i="105" s="1"/>
  <c r="H14" i="182"/>
  <c r="AB15" i="101"/>
  <c r="AB16" i="101"/>
  <c r="AB18" i="101"/>
  <c r="G30" i="45"/>
  <c r="F18" i="105" s="1"/>
  <c r="AB20" i="101"/>
  <c r="AB17" i="101"/>
  <c r="G17" i="182"/>
  <c r="H9" i="182"/>
  <c r="H13" i="182"/>
  <c r="G36" i="45"/>
  <c r="F20" i="105" s="1"/>
  <c r="AD30" i="44"/>
  <c r="AD62" i="44" s="1"/>
  <c r="H6" i="182"/>
  <c r="AB62" i="44"/>
  <c r="K8" i="182"/>
  <c r="AI15" i="101"/>
  <c r="F57" i="96"/>
  <c r="AI28" i="44"/>
  <c r="AI23" i="44"/>
  <c r="AI39" i="44"/>
  <c r="AI57" i="44"/>
  <c r="K16" i="182" s="1"/>
  <c r="AI20" i="44"/>
  <c r="AI14" i="101" s="1"/>
  <c r="AI45" i="44"/>
  <c r="AI60" i="44"/>
  <c r="AI24" i="101" s="1"/>
  <c r="AI33" i="44"/>
  <c r="AI24" i="44"/>
  <c r="AI17" i="44"/>
  <c r="AI54" i="44"/>
  <c r="AI48" i="44"/>
  <c r="K15" i="182" s="1"/>
  <c r="AI36" i="44"/>
  <c r="AI29" i="44"/>
  <c r="AI42" i="44"/>
  <c r="AI51" i="44"/>
  <c r="AI22" i="101" s="1"/>
  <c r="F14" i="105"/>
  <c r="N200" i="215"/>
  <c r="N203" i="215" s="1"/>
  <c r="N225" i="215" s="1"/>
  <c r="O226" i="34"/>
  <c r="AL40" i="195"/>
  <c r="P226" i="34"/>
  <c r="O200" i="215"/>
  <c r="O203" i="215" s="1"/>
  <c r="O225" i="215" s="1"/>
  <c r="C108" i="36"/>
  <c r="C109" i="36" s="1"/>
  <c r="M200" i="215"/>
  <c r="M203" i="215" s="1"/>
  <c r="M225" i="215" s="1"/>
  <c r="N226" i="34"/>
  <c r="E36" i="115"/>
  <c r="E38" i="115" s="1"/>
  <c r="E54" i="115" s="1"/>
  <c r="G31" i="115"/>
  <c r="T77" i="181"/>
  <c r="T50" i="195"/>
  <c r="R103" i="157"/>
  <c r="N81" i="209" s="1"/>
  <c r="S99" i="157"/>
  <c r="O77" i="209" s="1"/>
  <c r="S97" i="157"/>
  <c r="O75" i="209" s="1"/>
  <c r="O73" i="209"/>
  <c r="Q32" i="92"/>
  <c r="Q33" i="92" s="1"/>
  <c r="Q36" i="92" s="1"/>
  <c r="S88" i="181"/>
  <c r="S90" i="181" s="1"/>
  <c r="S92" i="181" s="1"/>
  <c r="S94" i="181" s="1"/>
  <c r="S100" i="181" s="1"/>
  <c r="S101" i="181" s="1"/>
  <c r="Q54" i="92" s="1"/>
  <c r="AD6" i="208" s="1"/>
  <c r="S113" i="181"/>
  <c r="S116" i="181" s="1"/>
  <c r="S123" i="181" s="1"/>
  <c r="Q56" i="92" s="1"/>
  <c r="S72" i="181"/>
  <c r="S74" i="181" s="1"/>
  <c r="S78" i="181"/>
  <c r="S79" i="181" s="1"/>
  <c r="S80" i="181" s="1"/>
  <c r="Q50" i="179"/>
  <c r="W48" i="195"/>
  <c r="U85" i="157"/>
  <c r="Q64" i="209" s="1"/>
  <c r="Q56" i="209"/>
  <c r="U29" i="195"/>
  <c r="U30" i="195" s="1"/>
  <c r="U7" i="195" s="1"/>
  <c r="U77" i="181"/>
  <c r="U30" i="181"/>
  <c r="U93" i="157"/>
  <c r="U44" i="181"/>
  <c r="T88" i="157"/>
  <c r="P67" i="209" s="1"/>
  <c r="R20" i="186"/>
  <c r="R22" i="186" s="1"/>
  <c r="N48" i="179"/>
  <c r="N57" i="179" s="1"/>
  <c r="M20" i="179"/>
  <c r="T118" i="181"/>
  <c r="T122" i="181" s="1"/>
  <c r="R49" i="179"/>
  <c r="P29" i="92"/>
  <c r="P34" i="92"/>
  <c r="V28" i="195"/>
  <c r="N77" i="209"/>
  <c r="R101" i="157"/>
  <c r="AE211" i="172"/>
  <c r="AF203" i="172"/>
  <c r="AF207" i="172" s="1"/>
  <c r="L39" i="179"/>
  <c r="L46" i="92"/>
  <c r="Y7" i="208" s="1"/>
  <c r="N106" i="181"/>
  <c r="T85" i="157"/>
  <c r="P64" i="209" s="1"/>
  <c r="P56" i="209"/>
  <c r="V29" i="195"/>
  <c r="I69" i="96" l="1"/>
  <c r="I70" i="96" s="1"/>
  <c r="G255" i="34"/>
  <c r="G253" i="34"/>
  <c r="G254" i="34" s="1"/>
  <c r="V80" i="96"/>
  <c r="V83" i="96" s="1"/>
  <c r="V93" i="96" s="1"/>
  <c r="M39" i="96"/>
  <c r="M41" i="96" s="1"/>
  <c r="M57" i="96" s="1"/>
  <c r="G36" i="115"/>
  <c r="G38" i="115" s="1"/>
  <c r="G54" i="115" s="1"/>
  <c r="G66" i="115" s="1"/>
  <c r="G67" i="115" s="1"/>
  <c r="I31" i="115"/>
  <c r="I36" i="115" s="1"/>
  <c r="I38" i="115" s="1"/>
  <c r="I54" i="115" s="1"/>
  <c r="AE17" i="93"/>
  <c r="T52" i="195"/>
  <c r="AF50" i="195"/>
  <c r="AF52" i="195" s="1"/>
  <c r="J10" i="218"/>
  <c r="P23" i="78"/>
  <c r="G19" i="208"/>
  <c r="G90" i="208" s="1"/>
  <c r="F24" i="100"/>
  <c r="G46" i="195"/>
  <c r="G52" i="195" s="1"/>
  <c r="U19" i="102"/>
  <c r="F19" i="78"/>
  <c r="V38" i="72"/>
  <c r="W32" i="72" s="1"/>
  <c r="W45" i="45" s="1"/>
  <c r="U51" i="45"/>
  <c r="T24" i="105" s="1"/>
  <c r="T23" i="105"/>
  <c r="T8" i="195"/>
  <c r="M69" i="219" s="1"/>
  <c r="N69" i="219" s="1"/>
  <c r="G25" i="195"/>
  <c r="G27" i="45"/>
  <c r="H7" i="182"/>
  <c r="H17" i="182" s="1"/>
  <c r="O297" i="34"/>
  <c r="K50" i="214" s="1"/>
  <c r="O26" i="34"/>
  <c r="O248" i="34"/>
  <c r="AI17" i="101"/>
  <c r="K10" i="182"/>
  <c r="K13" i="182"/>
  <c r="AI20" i="101"/>
  <c r="K9" i="182"/>
  <c r="AI23" i="101"/>
  <c r="AI19" i="101"/>
  <c r="K12" i="182"/>
  <c r="N297" i="34"/>
  <c r="J50" i="214" s="1"/>
  <c r="N248" i="34"/>
  <c r="N26" i="34"/>
  <c r="P297" i="34"/>
  <c r="L50" i="214" s="1"/>
  <c r="P248" i="34"/>
  <c r="P26" i="34"/>
  <c r="AI30" i="44"/>
  <c r="K6" i="182"/>
  <c r="AI13" i="101"/>
  <c r="AI21" i="101"/>
  <c r="K14" i="182"/>
  <c r="K11" i="182"/>
  <c r="AI18" i="101"/>
  <c r="S103" i="157"/>
  <c r="O81" i="209" s="1"/>
  <c r="Q52" i="92"/>
  <c r="AD5" i="208" s="1"/>
  <c r="V30" i="195"/>
  <c r="V7" i="195" s="1"/>
  <c r="Q71" i="209"/>
  <c r="U95" i="157"/>
  <c r="U46" i="195"/>
  <c r="U52" i="195" s="1"/>
  <c r="U8" i="195"/>
  <c r="W28" i="195"/>
  <c r="S49" i="179"/>
  <c r="U118" i="181"/>
  <c r="U122" i="181" s="1"/>
  <c r="U89" i="181"/>
  <c r="U46" i="181"/>
  <c r="U57" i="181" s="1"/>
  <c r="V50" i="195"/>
  <c r="V52" i="195" s="1"/>
  <c r="V8" i="195"/>
  <c r="Q29" i="92"/>
  <c r="Q34" i="92"/>
  <c r="N58" i="179"/>
  <c r="N59" i="179" s="1"/>
  <c r="N60" i="179" s="1"/>
  <c r="W29" i="195"/>
  <c r="L48" i="92"/>
  <c r="L41" i="179"/>
  <c r="N109" i="181" s="1"/>
  <c r="L50" i="92" s="1"/>
  <c r="Y8" i="208" s="1"/>
  <c r="N108" i="181"/>
  <c r="C110" i="36"/>
  <c r="C111" i="36" s="1"/>
  <c r="AF208" i="172"/>
  <c r="AF209" i="172" s="1"/>
  <c r="N79" i="209"/>
  <c r="S101" i="157"/>
  <c r="O79" i="209" s="1"/>
  <c r="M37" i="179"/>
  <c r="M33" i="179"/>
  <c r="T93" i="157"/>
  <c r="T44" i="181"/>
  <c r="K90" i="208" l="1"/>
  <c r="F17" i="105"/>
  <c r="F27" i="105" s="1"/>
  <c r="AD28" i="93"/>
  <c r="AF17" i="93" s="1"/>
  <c r="U59" i="45"/>
  <c r="U26" i="102"/>
  <c r="V19" i="102" s="1"/>
  <c r="W10" i="218"/>
  <c r="W36" i="72"/>
  <c r="W57" i="45" s="1"/>
  <c r="V25" i="105" s="1"/>
  <c r="W24" i="72"/>
  <c r="W26" i="45" s="1"/>
  <c r="W27" i="72"/>
  <c r="W30" i="45" s="1"/>
  <c r="V18" i="105" s="1"/>
  <c r="W31" i="72"/>
  <c r="W42" i="45" s="1"/>
  <c r="V22" i="105" s="1"/>
  <c r="W16" i="72"/>
  <c r="W25" i="72"/>
  <c r="W27" i="45" s="1"/>
  <c r="W20" i="72"/>
  <c r="W22" i="45" s="1"/>
  <c r="V16" i="105" s="1"/>
  <c r="W29" i="72"/>
  <c r="W36" i="45" s="1"/>
  <c r="V20" i="105" s="1"/>
  <c r="W18" i="72"/>
  <c r="W20" i="45" s="1"/>
  <c r="W30" i="72"/>
  <c r="W39" i="45" s="1"/>
  <c r="V21" i="105" s="1"/>
  <c r="W23" i="72"/>
  <c r="W25" i="45" s="1"/>
  <c r="W19" i="72"/>
  <c r="W21" i="45" s="1"/>
  <c r="W28" i="72"/>
  <c r="W33" i="45" s="1"/>
  <c r="V19" i="105" s="1"/>
  <c r="W35" i="72"/>
  <c r="W54" i="45" s="1"/>
  <c r="W33" i="72"/>
  <c r="W48" i="45" s="1"/>
  <c r="V23" i="105" s="1"/>
  <c r="W34" i="72"/>
  <c r="W51" i="45" s="1"/>
  <c r="V24" i="105" s="1"/>
  <c r="T27" i="105"/>
  <c r="F20" i="100"/>
  <c r="F27" i="100" s="1"/>
  <c r="G15" i="208"/>
  <c r="G93" i="208" s="1"/>
  <c r="P19" i="78"/>
  <c r="J13" i="218"/>
  <c r="W13" i="218" s="1"/>
  <c r="F25" i="78"/>
  <c r="G59" i="45"/>
  <c r="J24" i="104"/>
  <c r="J27" i="104" s="1"/>
  <c r="J35" i="104" s="1"/>
  <c r="J37" i="104" s="1"/>
  <c r="N29" i="34"/>
  <c r="N38" i="34" s="1"/>
  <c r="O29" i="34"/>
  <c r="O38" i="34" s="1"/>
  <c r="K24" i="104"/>
  <c r="K27" i="104" s="1"/>
  <c r="K35" i="104" s="1"/>
  <c r="K37" i="104" s="1"/>
  <c r="AI62" i="44"/>
  <c r="AI16" i="101"/>
  <c r="AI26" i="101" s="1"/>
  <c r="K7" i="182"/>
  <c r="K17" i="182" s="1"/>
  <c r="P29" i="34"/>
  <c r="P38" i="34" s="1"/>
  <c r="L24" i="104"/>
  <c r="L27" i="104" s="1"/>
  <c r="L35" i="104" s="1"/>
  <c r="L37" i="104" s="1"/>
  <c r="W30" i="195"/>
  <c r="W7" i="195" s="1"/>
  <c r="U88" i="181"/>
  <c r="U90" i="181" s="1"/>
  <c r="U92" i="181" s="1"/>
  <c r="U94" i="181" s="1"/>
  <c r="U100" i="181" s="1"/>
  <c r="U101" i="181" s="1"/>
  <c r="S54" i="92" s="1"/>
  <c r="AF6" i="208" s="1"/>
  <c r="U72" i="181"/>
  <c r="U74" i="181" s="1"/>
  <c r="S50" i="179"/>
  <c r="U113" i="181"/>
  <c r="U116" i="181" s="1"/>
  <c r="U123" i="181" s="1"/>
  <c r="S56" i="92" s="1"/>
  <c r="U78" i="181"/>
  <c r="U79" i="181" s="1"/>
  <c r="U80" i="181" s="1"/>
  <c r="U97" i="157"/>
  <c r="Q75" i="209" s="1"/>
  <c r="Q73" i="209"/>
  <c r="U99" i="157"/>
  <c r="Q77" i="209" s="1"/>
  <c r="S32" i="92"/>
  <c r="S33" i="92" s="1"/>
  <c r="S36" i="92" s="1"/>
  <c r="T46" i="181"/>
  <c r="T57" i="181" s="1"/>
  <c r="T88" i="181" s="1"/>
  <c r="T89" i="181"/>
  <c r="N20" i="179"/>
  <c r="O48" i="179"/>
  <c r="O57" i="179" s="1"/>
  <c r="O106" i="181"/>
  <c r="M39" i="179"/>
  <c r="M46" i="92"/>
  <c r="Z7" i="208" s="1"/>
  <c r="W50" i="195"/>
  <c r="W52" i="195" s="1"/>
  <c r="W8" i="195"/>
  <c r="C113" i="36"/>
  <c r="P71" i="209"/>
  <c r="T95" i="157"/>
  <c r="F496" i="96" s="1"/>
  <c r="AG203" i="172"/>
  <c r="AG207" i="172" s="1"/>
  <c r="AF211" i="172"/>
  <c r="C112" i="36"/>
  <c r="C114" i="36" s="1"/>
  <c r="R29" i="92"/>
  <c r="K93" i="208" l="1"/>
  <c r="K97" i="208" s="1"/>
  <c r="G97" i="208"/>
  <c r="J18" i="218"/>
  <c r="G21" i="208"/>
  <c r="P25" i="78"/>
  <c r="W18" i="218"/>
  <c r="V17" i="105"/>
  <c r="W15" i="72"/>
  <c r="W17" i="45"/>
  <c r="V15" i="105" s="1"/>
  <c r="V18" i="102"/>
  <c r="V22" i="102"/>
  <c r="V16" i="102"/>
  <c r="V24" i="102"/>
  <c r="V17" i="102"/>
  <c r="V21" i="102"/>
  <c r="V13" i="102"/>
  <c r="V15" i="102"/>
  <c r="V20" i="102"/>
  <c r="V14" i="102"/>
  <c r="V23" i="102"/>
  <c r="L48" i="46"/>
  <c r="L27" i="46"/>
  <c r="L25" i="46"/>
  <c r="L42" i="46"/>
  <c r="L17" i="46"/>
  <c r="L22" i="46"/>
  <c r="L21" i="46"/>
  <c r="L14" i="46"/>
  <c r="L36" i="46"/>
  <c r="L30" i="46"/>
  <c r="L33" i="46"/>
  <c r="L57" i="46"/>
  <c r="L45" i="46"/>
  <c r="L20" i="46"/>
  <c r="L54" i="46"/>
  <c r="L46" i="93" s="1"/>
  <c r="L63" i="46"/>
  <c r="L39" i="46"/>
  <c r="L26" i="46"/>
  <c r="L51" i="46"/>
  <c r="K14" i="46"/>
  <c r="K39" i="46"/>
  <c r="K48" i="46"/>
  <c r="K30" i="46"/>
  <c r="K20" i="46"/>
  <c r="K33" i="46"/>
  <c r="K22" i="46"/>
  <c r="K51" i="46"/>
  <c r="K57" i="46"/>
  <c r="K45" i="46"/>
  <c r="K27" i="46"/>
  <c r="K42" i="46"/>
  <c r="K21" i="46"/>
  <c r="K54" i="46"/>
  <c r="K46" i="93" s="1"/>
  <c r="K17" i="46"/>
  <c r="K36" i="46"/>
  <c r="K63" i="46"/>
  <c r="K25" i="46"/>
  <c r="K26" i="46"/>
  <c r="J51" i="46"/>
  <c r="J22" i="46"/>
  <c r="J30" i="46"/>
  <c r="J26" i="46"/>
  <c r="J33" i="46"/>
  <c r="J14" i="46"/>
  <c r="J63" i="46"/>
  <c r="J17" i="46"/>
  <c r="J20" i="46"/>
  <c r="J45" i="46"/>
  <c r="J36" i="46"/>
  <c r="J42" i="46"/>
  <c r="J48" i="46"/>
  <c r="J25" i="46"/>
  <c r="J39" i="46"/>
  <c r="J27" i="46"/>
  <c r="J21" i="46"/>
  <c r="J54" i="46"/>
  <c r="J46" i="93" s="1"/>
  <c r="J57" i="46"/>
  <c r="X29" i="195"/>
  <c r="T113" i="181"/>
  <c r="T116" i="181" s="1"/>
  <c r="T123" i="181" s="1"/>
  <c r="R56" i="92" s="1"/>
  <c r="U103" i="157"/>
  <c r="Q81" i="209" s="1"/>
  <c r="S52" i="92"/>
  <c r="AF5" i="208" s="1"/>
  <c r="R50" i="179"/>
  <c r="T78" i="181"/>
  <c r="T79" i="181" s="1"/>
  <c r="T80" i="181" s="1"/>
  <c r="T103" i="157" s="1"/>
  <c r="P81" i="209" s="1"/>
  <c r="T72" i="181"/>
  <c r="T74" i="181" s="1"/>
  <c r="T90" i="181"/>
  <c r="T92" i="181" s="1"/>
  <c r="T94" i="181" s="1"/>
  <c r="T100" i="181" s="1"/>
  <c r="T101" i="181" s="1"/>
  <c r="R54" i="92" s="1"/>
  <c r="AE6" i="208" s="1"/>
  <c r="AG208" i="172"/>
  <c r="AG209" i="172"/>
  <c r="M41" i="179"/>
  <c r="O109" i="181" s="1"/>
  <c r="M50" i="92" s="1"/>
  <c r="Z8" i="208" s="1"/>
  <c r="O108" i="181"/>
  <c r="M48" i="92"/>
  <c r="R32" i="92"/>
  <c r="R33" i="92" s="1"/>
  <c r="T97" i="157"/>
  <c r="P75" i="209" s="1"/>
  <c r="P73" i="209"/>
  <c r="T99" i="157"/>
  <c r="O58" i="179"/>
  <c r="O59" i="179" s="1"/>
  <c r="O60" i="179" s="1"/>
  <c r="C115" i="36"/>
  <c r="N37" i="179"/>
  <c r="N33" i="179"/>
  <c r="V26" i="102" l="1"/>
  <c r="W38" i="72"/>
  <c r="W14" i="45"/>
  <c r="K40" i="93"/>
  <c r="K81" i="93"/>
  <c r="L40" i="93"/>
  <c r="L81" i="93"/>
  <c r="J40" i="93"/>
  <c r="J81" i="93"/>
  <c r="K26" i="106"/>
  <c r="L26" i="217"/>
  <c r="K15" i="106"/>
  <c r="K59" i="46"/>
  <c r="L15" i="217"/>
  <c r="K15" i="93"/>
  <c r="L59" i="46"/>
  <c r="L15" i="106"/>
  <c r="L15" i="93"/>
  <c r="M15" i="217"/>
  <c r="J22" i="93"/>
  <c r="J63" i="93"/>
  <c r="J42" i="93"/>
  <c r="K24" i="217"/>
  <c r="J24" i="106"/>
  <c r="J21" i="93"/>
  <c r="J62" i="93"/>
  <c r="K20" i="217"/>
  <c r="J73" i="93"/>
  <c r="J20" i="106"/>
  <c r="J32" i="93"/>
  <c r="J44" i="93"/>
  <c r="J25" i="106"/>
  <c r="K25" i="217"/>
  <c r="K21" i="106"/>
  <c r="K34" i="93"/>
  <c r="K75" i="93"/>
  <c r="L21" i="217"/>
  <c r="L23" i="217"/>
  <c r="K23" i="106"/>
  <c r="K25" i="106"/>
  <c r="L25" i="217"/>
  <c r="K44" i="93"/>
  <c r="K71" i="93"/>
  <c r="K30" i="93"/>
  <c r="K19" i="106"/>
  <c r="L19" i="217"/>
  <c r="L25" i="106"/>
  <c r="M25" i="217"/>
  <c r="L44" i="93"/>
  <c r="L20" i="106"/>
  <c r="M20" i="217"/>
  <c r="L73" i="93"/>
  <c r="L32" i="93"/>
  <c r="L22" i="93"/>
  <c r="L63" i="93"/>
  <c r="L67" i="93"/>
  <c r="L26" i="93"/>
  <c r="J26" i="93"/>
  <c r="J67" i="93"/>
  <c r="J23" i="93"/>
  <c r="J93" i="93"/>
  <c r="J17" i="106"/>
  <c r="K17" i="217"/>
  <c r="J64" i="93"/>
  <c r="K62" i="93"/>
  <c r="K21" i="93"/>
  <c r="L26" i="106"/>
  <c r="M26" i="217"/>
  <c r="J69" i="93"/>
  <c r="J18" i="106"/>
  <c r="K18" i="217"/>
  <c r="J28" i="93"/>
  <c r="K23" i="217"/>
  <c r="J23" i="106"/>
  <c r="J16" i="106"/>
  <c r="K16" i="217"/>
  <c r="J18" i="93"/>
  <c r="J68" i="93"/>
  <c r="J27" i="93"/>
  <c r="K27" i="93"/>
  <c r="K68" i="93"/>
  <c r="K16" i="106"/>
  <c r="K18" i="93"/>
  <c r="L16" i="217"/>
  <c r="K18" i="106"/>
  <c r="L18" i="217"/>
  <c r="K28" i="93"/>
  <c r="K69" i="93"/>
  <c r="L17" i="217"/>
  <c r="K93" i="93"/>
  <c r="K64" i="93"/>
  <c r="K17" i="106"/>
  <c r="K23" i="93"/>
  <c r="K42" i="93"/>
  <c r="L24" i="217"/>
  <c r="K24" i="106"/>
  <c r="L27" i="93"/>
  <c r="L68" i="93"/>
  <c r="L21" i="93"/>
  <c r="L62" i="93"/>
  <c r="M19" i="217"/>
  <c r="L19" i="106"/>
  <c r="L71" i="93"/>
  <c r="L30" i="93"/>
  <c r="L64" i="93"/>
  <c r="L93" i="93"/>
  <c r="M17" i="217"/>
  <c r="L23" i="93"/>
  <c r="L17" i="106"/>
  <c r="M18" i="217"/>
  <c r="L28" i="93"/>
  <c r="L18" i="106"/>
  <c r="L69" i="93"/>
  <c r="J59" i="46"/>
  <c r="J64" i="46" s="1"/>
  <c r="K15" i="217"/>
  <c r="J15" i="93"/>
  <c r="J15" i="106"/>
  <c r="K63" i="93"/>
  <c r="K22" i="93"/>
  <c r="M23" i="217"/>
  <c r="L23" i="106"/>
  <c r="J26" i="106"/>
  <c r="K26" i="217"/>
  <c r="J77" i="93"/>
  <c r="K22" i="217"/>
  <c r="J36" i="93"/>
  <c r="J22" i="106"/>
  <c r="J21" i="106"/>
  <c r="K21" i="217"/>
  <c r="J75" i="93"/>
  <c r="J34" i="93"/>
  <c r="J30" i="93"/>
  <c r="J19" i="106"/>
  <c r="K19" i="217"/>
  <c r="J71" i="93"/>
  <c r="K67" i="93"/>
  <c r="K26" i="93"/>
  <c r="K73" i="93"/>
  <c r="L20" i="217"/>
  <c r="K32" i="93"/>
  <c r="K20" i="106"/>
  <c r="L22" i="217"/>
  <c r="K36" i="93"/>
  <c r="K22" i="106"/>
  <c r="K77" i="93"/>
  <c r="L22" i="106"/>
  <c r="L36" i="93"/>
  <c r="L77" i="93"/>
  <c r="M22" i="217"/>
  <c r="M21" i="217"/>
  <c r="L21" i="106"/>
  <c r="L75" i="93"/>
  <c r="L34" i="93"/>
  <c r="M16" i="217"/>
  <c r="L16" i="106"/>
  <c r="L18" i="93"/>
  <c r="L24" i="106"/>
  <c r="M24" i="217"/>
  <c r="L42" i="93"/>
  <c r="R52" i="92"/>
  <c r="AE5" i="208" s="1"/>
  <c r="X50" i="195"/>
  <c r="X52" i="195" s="1"/>
  <c r="X8" i="195"/>
  <c r="N46" i="92"/>
  <c r="AA7" i="208" s="1"/>
  <c r="N39" i="179"/>
  <c r="P106" i="181"/>
  <c r="P77" i="209"/>
  <c r="T101" i="157"/>
  <c r="P48" i="179"/>
  <c r="P57" i="179" s="1"/>
  <c r="O20" i="179"/>
  <c r="C116" i="36"/>
  <c r="AG211" i="172"/>
  <c r="AH203" i="172"/>
  <c r="AH207" i="172" s="1"/>
  <c r="R36" i="92"/>
  <c r="R34" i="92"/>
  <c r="W59" i="45" l="1"/>
  <c r="V14" i="105"/>
  <c r="V27" i="105" s="1"/>
  <c r="K36" i="107"/>
  <c r="K20" i="107"/>
  <c r="J18" i="107"/>
  <c r="J34" i="107"/>
  <c r="L30" i="107"/>
  <c r="L14" i="107"/>
  <c r="L35" i="107"/>
  <c r="L19" i="107"/>
  <c r="J35" i="107"/>
  <c r="J19" i="107"/>
  <c r="L16" i="107"/>
  <c r="L32" i="107"/>
  <c r="K22" i="107"/>
  <c r="K38" i="107"/>
  <c r="K31" i="107"/>
  <c r="K44" i="107"/>
  <c r="K15" i="107"/>
  <c r="K23" i="107"/>
  <c r="K39" i="107"/>
  <c r="J39" i="107"/>
  <c r="J23" i="107"/>
  <c r="J22" i="107"/>
  <c r="J38" i="107"/>
  <c r="L64" i="46"/>
  <c r="L91" i="93"/>
  <c r="L50" i="93"/>
  <c r="K28" i="106"/>
  <c r="K26" i="107" s="1"/>
  <c r="K13" i="107"/>
  <c r="K29" i="107"/>
  <c r="K42" i="107"/>
  <c r="J28" i="106"/>
  <c r="J26" i="107" s="1"/>
  <c r="J42" i="107"/>
  <c r="J29" i="107"/>
  <c r="J13" i="107"/>
  <c r="K32" i="107"/>
  <c r="K16" i="107"/>
  <c r="K33" i="107"/>
  <c r="K17" i="107"/>
  <c r="L13" i="107"/>
  <c r="L28" i="106"/>
  <c r="L26" i="107" s="1"/>
  <c r="L42" i="107"/>
  <c r="L29" i="107"/>
  <c r="L20" i="107"/>
  <c r="L36" i="107"/>
  <c r="J20" i="107"/>
  <c r="J36" i="107"/>
  <c r="K28" i="217"/>
  <c r="J30" i="107"/>
  <c r="J14" i="107"/>
  <c r="L40" i="107"/>
  <c r="L24" i="107"/>
  <c r="L39" i="107"/>
  <c r="L23" i="107"/>
  <c r="K37" i="107"/>
  <c r="K21" i="107"/>
  <c r="M28" i="217"/>
  <c r="L21" i="107"/>
  <c r="L37" i="107"/>
  <c r="L31" i="107"/>
  <c r="L15" i="107"/>
  <c r="L44" i="107"/>
  <c r="K64" i="46"/>
  <c r="K50" i="93"/>
  <c r="K91" i="93"/>
  <c r="L38" i="107"/>
  <c r="L22" i="107"/>
  <c r="K18" i="107"/>
  <c r="K34" i="107"/>
  <c r="J33" i="107"/>
  <c r="J17" i="107"/>
  <c r="J24" i="107"/>
  <c r="J40" i="107"/>
  <c r="J91" i="93"/>
  <c r="J50" i="93"/>
  <c r="L17" i="107"/>
  <c r="L33" i="107"/>
  <c r="K30" i="107"/>
  <c r="K14" i="107"/>
  <c r="J37" i="107"/>
  <c r="J21" i="107"/>
  <c r="J32" i="107"/>
  <c r="J16" i="107"/>
  <c r="J44" i="107"/>
  <c r="J15" i="107"/>
  <c r="J31" i="107"/>
  <c r="L18" i="107"/>
  <c r="L34" i="107"/>
  <c r="K35" i="107"/>
  <c r="K19" i="107"/>
  <c r="L28" i="217"/>
  <c r="K40" i="107"/>
  <c r="K24" i="107"/>
  <c r="X28" i="195"/>
  <c r="X30" i="195" s="1"/>
  <c r="X7" i="195" s="1"/>
  <c r="S29" i="92"/>
  <c r="S34" i="92"/>
  <c r="C117" i="36"/>
  <c r="C118" i="36" s="1"/>
  <c r="C119" i="36" s="1"/>
  <c r="AH208" i="172"/>
  <c r="AH209" i="172" s="1"/>
  <c r="O37" i="179"/>
  <c r="O33" i="179"/>
  <c r="P58" i="179"/>
  <c r="P59" i="179" s="1"/>
  <c r="P60" i="179" s="1"/>
  <c r="P79" i="209"/>
  <c r="U101" i="157"/>
  <c r="N41" i="179"/>
  <c r="P109" i="181" s="1"/>
  <c r="N50" i="92" s="1"/>
  <c r="AA8" i="208" s="1"/>
  <c r="N48" i="92"/>
  <c r="P108" i="181"/>
  <c r="AI203" i="172" l="1"/>
  <c r="AI207" i="172" s="1"/>
  <c r="AH211" i="172"/>
  <c r="Q48" i="179"/>
  <c r="Q57" i="179" s="1"/>
  <c r="P20" i="179"/>
  <c r="Q106" i="181"/>
  <c r="O46" i="92"/>
  <c r="AB7" i="208" s="1"/>
  <c r="O39" i="179"/>
  <c r="C120" i="36"/>
  <c r="Q79" i="209"/>
  <c r="Q108" i="181" l="1"/>
  <c r="O48" i="92"/>
  <c r="O41" i="179"/>
  <c r="Q109" i="181" s="1"/>
  <c r="O50" i="92" s="1"/>
  <c r="AB8" i="208" s="1"/>
  <c r="P33" i="179"/>
  <c r="P37" i="179"/>
  <c r="C121" i="36"/>
  <c r="C122" i="36" s="1"/>
  <c r="Q58" i="179"/>
  <c r="Q59" i="179" s="1"/>
  <c r="Q60" i="179" s="1"/>
  <c r="AI208" i="172"/>
  <c r="AI209" i="172"/>
  <c r="R48" i="179" l="1"/>
  <c r="R57" i="179" s="1"/>
  <c r="Q20" i="179"/>
  <c r="AJ203" i="172"/>
  <c r="AJ207" i="172" s="1"/>
  <c r="AI211" i="172"/>
  <c r="C123" i="36"/>
  <c r="P39" i="179"/>
  <c r="P46" i="92"/>
  <c r="AC7" i="208" s="1"/>
  <c r="R106" i="181"/>
  <c r="Q33" i="179" l="1"/>
  <c r="Q37" i="179"/>
  <c r="R58" i="179"/>
  <c r="R59" i="179" s="1"/>
  <c r="R60" i="179" s="1"/>
  <c r="P48" i="92"/>
  <c r="P41" i="179"/>
  <c r="R109" i="181" s="1"/>
  <c r="P50" i="92" s="1"/>
  <c r="AC8" i="208" s="1"/>
  <c r="R108" i="181"/>
  <c r="AJ209" i="172"/>
  <c r="AJ208" i="172"/>
  <c r="C124" i="36"/>
  <c r="S48" i="179" l="1"/>
  <c r="S57" i="179" s="1"/>
  <c r="R20" i="179"/>
  <c r="AK203" i="172"/>
  <c r="AK207" i="172" s="1"/>
  <c r="AJ211" i="172"/>
  <c r="C125" i="36"/>
  <c r="Q39" i="179"/>
  <c r="Q46" i="92"/>
  <c r="AD7" i="208" s="1"/>
  <c r="S106" i="181"/>
  <c r="C126" i="36" l="1"/>
  <c r="Q41" i="179"/>
  <c r="S109" i="181" s="1"/>
  <c r="Q50" i="92" s="1"/>
  <c r="AD8" i="208" s="1"/>
  <c r="Q48" i="92"/>
  <c r="S108" i="181"/>
  <c r="AK208" i="172"/>
  <c r="AK209" i="172"/>
  <c r="R37" i="179"/>
  <c r="R33" i="179"/>
  <c r="S58" i="179"/>
  <c r="S59" i="179" s="1"/>
  <c r="S60" i="179" s="1"/>
  <c r="S20" i="179" l="1"/>
  <c r="R39" i="179"/>
  <c r="T106" i="181"/>
  <c r="R46" i="92"/>
  <c r="AE7" i="208" s="1"/>
  <c r="AL203" i="172"/>
  <c r="AL207" i="172" s="1"/>
  <c r="AK211" i="172"/>
  <c r="C127" i="36"/>
  <c r="C128" i="36" s="1"/>
  <c r="C129" i="36" l="1"/>
  <c r="C130" i="36" s="1"/>
  <c r="C131" i="36" s="1"/>
  <c r="AL208" i="172"/>
  <c r="AL209" i="172" s="1"/>
  <c r="R48" i="92"/>
  <c r="T108" i="181"/>
  <c r="R41" i="179"/>
  <c r="T109" i="181" s="1"/>
  <c r="R50" i="92" s="1"/>
  <c r="AE8" i="208" s="1"/>
  <c r="S37" i="179"/>
  <c r="S33" i="179"/>
  <c r="C132" i="36" l="1"/>
  <c r="C133" i="36" s="1"/>
  <c r="C134" i="36" s="1"/>
  <c r="AL211" i="172"/>
  <c r="AM203" i="172"/>
  <c r="AM207" i="172" s="1"/>
  <c r="U106" i="181"/>
  <c r="S46" i="92"/>
  <c r="AF7" i="208" s="1"/>
  <c r="S39" i="179"/>
  <c r="C135" i="36" l="1"/>
  <c r="C136" i="36" s="1"/>
  <c r="S41" i="179"/>
  <c r="U109" i="181" s="1"/>
  <c r="S50" i="92" s="1"/>
  <c r="AF8" i="208" s="1"/>
  <c r="S48" i="92"/>
  <c r="U108" i="181"/>
  <c r="AM208" i="172"/>
  <c r="AM209" i="172" s="1"/>
  <c r="AN203" i="172" l="1"/>
  <c r="AN207" i="172" s="1"/>
  <c r="AM211" i="172"/>
  <c r="C137" i="36"/>
  <c r="C138" i="36" l="1"/>
  <c r="C139" i="36" s="1"/>
  <c r="C140" i="36" s="1"/>
  <c r="AN208" i="172"/>
  <c r="AN209" i="172" s="1"/>
  <c r="C141" i="36" l="1"/>
  <c r="AN211" i="172"/>
  <c r="AO203" i="172"/>
  <c r="AO207" i="172" s="1"/>
  <c r="C142" i="36"/>
  <c r="C143" i="36" l="1"/>
  <c r="AO208" i="172"/>
  <c r="AO209" i="172"/>
  <c r="AO211" i="172" s="1"/>
  <c r="C144" i="36" l="1"/>
  <c r="C145" i="36" s="1"/>
  <c r="C146" i="36" l="1"/>
  <c r="C147" i="36" s="1"/>
  <c r="C148" i="36" l="1"/>
  <c r="C149" i="36" s="1"/>
  <c r="C150" i="36" l="1"/>
  <c r="C151" i="36" l="1"/>
  <c r="C152" i="36" l="1"/>
  <c r="C153" i="36" s="1"/>
  <c r="C154" i="36" l="1"/>
  <c r="C155" i="36" s="1"/>
  <c r="C156" i="36" s="1"/>
  <c r="C157" i="36" l="1"/>
  <c r="C158" i="36" s="1"/>
  <c r="C159" i="36" l="1"/>
  <c r="C160" i="36" s="1"/>
  <c r="C161" i="36" l="1"/>
  <c r="C162" i="36" s="1"/>
  <c r="C163" i="36" s="1"/>
  <c r="C164" i="36" l="1"/>
  <c r="C165" i="36" s="1"/>
  <c r="C166" i="36" l="1"/>
  <c r="C167" i="36" s="1"/>
  <c r="C168" i="36" l="1"/>
  <c r="C170" i="36" s="1"/>
  <c r="C178" i="36" s="1"/>
  <c r="C179" i="36" l="1"/>
  <c r="C180" i="36" s="1"/>
  <c r="C181" i="36" l="1"/>
  <c r="C182" i="36" l="1"/>
  <c r="C183" i="36" l="1"/>
  <c r="C184" i="36" l="1"/>
  <c r="C185" i="36"/>
  <c r="C186" i="36" l="1"/>
  <c r="C187" i="36" s="1"/>
  <c r="C189" i="36" s="1"/>
  <c r="C190" i="36" l="1"/>
  <c r="C191" i="36"/>
  <c r="C192" i="36" s="1"/>
  <c r="C193" i="36" l="1"/>
  <c r="C194" i="36" s="1"/>
  <c r="C195" i="36" l="1"/>
  <c r="C196" i="36" l="1"/>
  <c r="C197" i="36" l="1"/>
  <c r="C198" i="36" s="1"/>
  <c r="C199" i="36" s="1"/>
  <c r="C200" i="36" l="1"/>
  <c r="C201" i="36" s="1"/>
  <c r="C203" i="36" l="1"/>
  <c r="C204" i="36" l="1"/>
  <c r="C205" i="36" l="1"/>
  <c r="C206" i="36" l="1"/>
  <c r="C207" i="36" s="1"/>
  <c r="C208" i="36" l="1"/>
  <c r="C209" i="36" l="1"/>
  <c r="C210" i="36" l="1"/>
  <c r="C211" i="36" s="1"/>
  <c r="C213" i="36" l="1"/>
  <c r="C212" i="36"/>
  <c r="C214" i="36" l="1"/>
  <c r="C215" i="36" s="1"/>
  <c r="C216" i="36" s="1"/>
  <c r="C217" i="36" l="1"/>
  <c r="C218" i="36" s="1"/>
  <c r="C219" i="36" s="1"/>
  <c r="C220" i="36" s="1"/>
  <c r="C222" i="36" s="1"/>
  <c r="C223" i="36" l="1"/>
  <c r="C224" i="36"/>
  <c r="C225" i="36" s="1"/>
  <c r="C226" i="36" s="1"/>
  <c r="C227" i="36" s="1"/>
  <c r="C228" i="36" l="1"/>
  <c r="C229" i="36" l="1"/>
  <c r="C230" i="36" l="1"/>
  <c r="C231" i="36" l="1"/>
  <c r="C232" i="36" l="1"/>
  <c r="C233" i="36" s="1"/>
  <c r="C234" i="36" l="1"/>
  <c r="C236" i="36" s="1"/>
  <c r="C235" i="36"/>
  <c r="C237" i="36" l="1"/>
  <c r="C238" i="36" l="1"/>
  <c r="C239" i="36" l="1"/>
  <c r="C240" i="36" l="1"/>
  <c r="C241" i="36" l="1"/>
  <c r="C242" i="36" l="1"/>
  <c r="C243" i="36" l="1"/>
  <c r="C244" i="36" s="1"/>
  <c r="C245" i="36" l="1"/>
  <c r="C246" i="36" l="1"/>
  <c r="C247" i="36" s="1"/>
  <c r="C248" i="36" l="1"/>
  <c r="C249" i="36" s="1"/>
  <c r="C250" i="36" l="1"/>
  <c r="C251" i="36" l="1"/>
  <c r="C253" i="36" l="1"/>
  <c r="C252" i="36"/>
  <c r="C254" i="36" l="1"/>
  <c r="C255" i="36" l="1"/>
  <c r="C256" i="36" l="1"/>
  <c r="C257" i="36" l="1"/>
  <c r="C258" i="36" s="1"/>
  <c r="C259" i="36" l="1"/>
  <c r="C260" i="36" s="1"/>
  <c r="C261" i="36" l="1"/>
  <c r="C262" i="36" l="1"/>
  <c r="C263" i="36" l="1"/>
  <c r="C264" i="36" s="1"/>
  <c r="C265" i="36" l="1"/>
  <c r="C266" i="36" l="1"/>
  <c r="C268" i="36" s="1"/>
  <c r="C267" i="36"/>
  <c r="C269" i="36" l="1"/>
  <c r="C270" i="36" l="1"/>
  <c r="C271" i="36" s="1"/>
  <c r="C272" i="36" l="1"/>
  <c r="C274" i="36" l="1"/>
  <c r="C273" i="36"/>
  <c r="C275" i="36" s="1"/>
  <c r="C276" i="36" l="1"/>
  <c r="C277" i="36" l="1"/>
  <c r="C278" i="36" s="1"/>
  <c r="C279" i="36" l="1"/>
  <c r="C280" i="36" s="1"/>
  <c r="C281" i="36" l="1"/>
  <c r="C282" i="36" l="1"/>
  <c r="C284" i="36" l="1"/>
  <c r="C283" i="36"/>
  <c r="C285" i="36" l="1"/>
  <c r="C286" i="36" s="1"/>
  <c r="C288" i="36" s="1"/>
  <c r="C287" i="36" l="1"/>
  <c r="C289" i="36" s="1"/>
  <c r="C290" i="36" l="1"/>
  <c r="C291" i="36" s="1"/>
  <c r="C292" i="36" l="1"/>
  <c r="C293" i="36" s="1"/>
  <c r="C294" i="36" l="1"/>
  <c r="C295" i="36" s="1"/>
  <c r="C296" i="36" l="1"/>
  <c r="C297" i="36" l="1"/>
  <c r="C298" i="36" s="1"/>
  <c r="C299" i="36" l="1"/>
  <c r="C300" i="36" s="1"/>
  <c r="C301" i="36" l="1"/>
  <c r="C302" i="36" s="1"/>
  <c r="C303" i="36" l="1"/>
  <c r="C304" i="36" s="1"/>
  <c r="C305" i="36" l="1"/>
  <c r="C306" i="36" s="1"/>
  <c r="C307" i="36" l="1"/>
  <c r="C308" i="36" s="1"/>
  <c r="C309" i="36" l="1"/>
  <c r="C310" i="36" l="1"/>
  <c r="C311" i="36" s="1"/>
  <c r="C312" i="36" l="1"/>
  <c r="C313" i="36" s="1"/>
  <c r="C314" i="36" l="1"/>
  <c r="C315" i="36" l="1"/>
  <c r="C316" i="36" s="1"/>
  <c r="C317" i="36" l="1"/>
  <c r="C318" i="36" s="1"/>
  <c r="C319" i="36" l="1"/>
  <c r="C320" i="36" l="1"/>
  <c r="C321" i="36" s="1"/>
  <c r="C322" i="36" l="1"/>
  <c r="C324" i="36" l="1"/>
  <c r="C323" i="36"/>
  <c r="C325" i="36" s="1"/>
  <c r="C326" i="36" l="1"/>
  <c r="C327" i="36" l="1"/>
  <c r="C328" i="36" l="1"/>
  <c r="C329" i="36" s="1"/>
  <c r="C331" i="36" l="1"/>
  <c r="C335" i="36" s="1"/>
  <c r="C337" i="36" l="1"/>
  <c r="C339" i="36" s="1"/>
  <c r="C340" i="36" l="1"/>
  <c r="C341" i="36" l="1"/>
  <c r="C342" i="36" s="1"/>
  <c r="C343" i="36" l="1"/>
  <c r="C344" i="36" s="1"/>
  <c r="C345" i="36" l="1"/>
  <c r="C346" i="36" l="1"/>
  <c r="C347" i="36" l="1"/>
  <c r="C348" i="36" l="1"/>
  <c r="C350" i="36" s="1"/>
  <c r="C349" i="36"/>
  <c r="C351" i="36" l="1"/>
  <c r="C352" i="36" s="1"/>
  <c r="C353" i="36" s="1"/>
  <c r="C354" i="36" l="1"/>
  <c r="C355" i="36" s="1"/>
  <c r="C356" i="36" s="1"/>
  <c r="C357" i="36" l="1"/>
  <c r="C358" i="36" s="1"/>
  <c r="J339" i="36"/>
  <c r="L260" i="34" s="1"/>
  <c r="H13" i="214" s="1"/>
  <c r="W339" i="36"/>
  <c r="Y260" i="34" s="1"/>
  <c r="U13" i="214" s="1"/>
  <c r="Q339" i="36"/>
  <c r="S260" i="34" s="1"/>
  <c r="O13" i="214" s="1"/>
  <c r="U339" i="36"/>
  <c r="W260" i="34" s="1"/>
  <c r="S13" i="214" s="1"/>
  <c r="O339" i="36"/>
  <c r="Q260" i="34" s="1"/>
  <c r="M13" i="214" s="1"/>
  <c r="T339" i="36"/>
  <c r="V260" i="34" s="1"/>
  <c r="R13" i="214" s="1"/>
  <c r="P339" i="36"/>
  <c r="R260" i="34" s="1"/>
  <c r="N13" i="214" s="1"/>
  <c r="V339" i="36"/>
  <c r="X260" i="34" s="1"/>
  <c r="T13" i="214" s="1"/>
  <c r="R339" i="36"/>
  <c r="T260" i="34" s="1"/>
  <c r="P13" i="214" s="1"/>
  <c r="H339" i="36"/>
  <c r="J260" i="34" s="1"/>
  <c r="S339" i="36"/>
  <c r="U260" i="34" s="1"/>
  <c r="Q13" i="214" s="1"/>
  <c r="Y339" i="36"/>
  <c r="AA260" i="34" s="1"/>
  <c r="W13" i="214" s="1"/>
  <c r="K339" i="36"/>
  <c r="M260" i="34" s="1"/>
  <c r="I13" i="214" s="1"/>
  <c r="X339" i="36"/>
  <c r="Z260" i="34" s="1"/>
  <c r="V13" i="214" s="1"/>
  <c r="F13" i="214" l="1"/>
  <c r="I339" i="36"/>
  <c r="K260" i="34" s="1"/>
  <c r="G13" i="214" s="1"/>
  <c r="E13" i="214" l="1"/>
  <c r="F260" i="34"/>
  <c r="AE260" i="34"/>
  <c r="F339" i="36"/>
  <c r="J59" i="36"/>
  <c r="Y342" i="36"/>
  <c r="Y234" i="36" s="1"/>
  <c r="U342" i="36"/>
  <c r="W263" i="34" s="1"/>
  <c r="S16" i="214" s="1"/>
  <c r="P342" i="36"/>
  <c r="Z56" i="36"/>
  <c r="S342" i="36"/>
  <c r="W342" i="36"/>
  <c r="Y263" i="34" s="1"/>
  <c r="U16" i="214" s="1"/>
  <c r="O342" i="36"/>
  <c r="V342" i="36"/>
  <c r="X342" i="36"/>
  <c r="K342" i="36"/>
  <c r="K343" i="36"/>
  <c r="J343" i="36" s="1"/>
  <c r="F343" i="36" s="1"/>
  <c r="I342" i="36"/>
  <c r="I232" i="36" s="1"/>
  <c r="T342" i="36"/>
  <c r="V59" i="36"/>
  <c r="V344" i="36" s="1"/>
  <c r="Q342" i="36"/>
  <c r="I59" i="36"/>
  <c r="I344" i="36" s="1"/>
  <c r="K265" i="34" s="1"/>
  <c r="R342" i="36"/>
  <c r="R59" i="36"/>
  <c r="R344" i="36" s="1"/>
  <c r="W59" i="36"/>
  <c r="W344" i="36" s="1"/>
  <c r="O59" i="36"/>
  <c r="O344" i="36" s="1"/>
  <c r="Q265" i="34" s="1"/>
  <c r="Q155" i="34" s="1"/>
  <c r="P131" i="215" s="1"/>
  <c r="X59" i="36"/>
  <c r="X344" i="36" s="1"/>
  <c r="U59" i="36"/>
  <c r="U344" i="36" s="1"/>
  <c r="T59" i="36"/>
  <c r="T344" i="36" s="1"/>
  <c r="T152" i="36" s="1"/>
  <c r="P59" i="36"/>
  <c r="P344" i="36" s="1"/>
  <c r="P156" i="36" s="1"/>
  <c r="O72" i="103" s="1"/>
  <c r="Y59" i="36"/>
  <c r="Y344" i="36" s="1"/>
  <c r="H59" i="36"/>
  <c r="H344" i="36" s="1"/>
  <c r="Y341" i="36"/>
  <c r="AA262" i="34" s="1"/>
  <c r="S59" i="36"/>
  <c r="S344" i="36" s="1"/>
  <c r="S155" i="36" s="1"/>
  <c r="R71" i="103" s="1"/>
  <c r="H342" i="36"/>
  <c r="J263" i="34" s="1"/>
  <c r="Q341" i="36"/>
  <c r="S262" i="34" s="1"/>
  <c r="Q59" i="36"/>
  <c r="Q344" i="36" s="1"/>
  <c r="Q154" i="36" s="1"/>
  <c r="P70" i="103" s="1"/>
  <c r="J341" i="36"/>
  <c r="L262" i="34" s="1"/>
  <c r="L111" i="34" s="1"/>
  <c r="I341" i="36"/>
  <c r="K262" i="34" s="1"/>
  <c r="J75" i="79" s="1"/>
  <c r="R341" i="36"/>
  <c r="T262" i="34" s="1"/>
  <c r="U341" i="36"/>
  <c r="W262" i="34" s="1"/>
  <c r="T341" i="36"/>
  <c r="V262" i="34" s="1"/>
  <c r="U75" i="79" s="1"/>
  <c r="X341" i="36"/>
  <c r="Z262" i="34" s="1"/>
  <c r="Y75" i="79" s="1"/>
  <c r="W341" i="36"/>
  <c r="Y262" i="34" s="1"/>
  <c r="V341" i="36"/>
  <c r="X262" i="34" s="1"/>
  <c r="H341" i="36"/>
  <c r="K59" i="36"/>
  <c r="K344" i="36" s="1"/>
  <c r="K157" i="36" s="1"/>
  <c r="J73" i="103" s="1"/>
  <c r="S341" i="36"/>
  <c r="U262" i="34" s="1"/>
  <c r="P341" i="36"/>
  <c r="R262" i="34" s="1"/>
  <c r="R120" i="34" s="1"/>
  <c r="Q96" i="215" s="1"/>
  <c r="O341" i="36"/>
  <c r="Q262" i="34" s="1"/>
  <c r="H227" i="36" l="1"/>
  <c r="S119" i="34"/>
  <c r="R95" i="215" s="1"/>
  <c r="R75" i="79"/>
  <c r="Y71" i="36"/>
  <c r="X120" i="34"/>
  <c r="W96" i="215" s="1"/>
  <c r="W75" i="79"/>
  <c r="X134" i="34"/>
  <c r="W110" i="215" s="1"/>
  <c r="U157" i="36"/>
  <c r="T73" i="103" s="1"/>
  <c r="W265" i="34"/>
  <c r="V114" i="79" s="1"/>
  <c r="X156" i="36"/>
  <c r="W72" i="103" s="1"/>
  <c r="X155" i="36"/>
  <c r="W71" i="103" s="1"/>
  <c r="Q111" i="34"/>
  <c r="P87" i="215" s="1"/>
  <c r="P75" i="79"/>
  <c r="Q122" i="34"/>
  <c r="P98" i="215" s="1"/>
  <c r="S68" i="103"/>
  <c r="S111" i="34"/>
  <c r="R87" i="215" s="1"/>
  <c r="P154" i="36"/>
  <c r="O70" i="103" s="1"/>
  <c r="V265" i="34"/>
  <c r="V154" i="34" s="1"/>
  <c r="U130" i="215" s="1"/>
  <c r="T158" i="36"/>
  <c r="S74" i="103" s="1"/>
  <c r="H228" i="36"/>
  <c r="R265" i="34"/>
  <c r="Q119" i="79" s="1"/>
  <c r="Y155" i="36"/>
  <c r="X71" i="103" s="1"/>
  <c r="AA265" i="34"/>
  <c r="AA237" i="34" s="1"/>
  <c r="Z214" i="215" s="1"/>
  <c r="Y153" i="36"/>
  <c r="X69" i="103" s="1"/>
  <c r="Y156" i="36"/>
  <c r="X72" i="103" s="1"/>
  <c r="R152" i="36"/>
  <c r="R155" i="36"/>
  <c r="Q71" i="103" s="1"/>
  <c r="R153" i="36"/>
  <c r="Q69" i="103" s="1"/>
  <c r="T265" i="34"/>
  <c r="S118" i="79" s="1"/>
  <c r="U154" i="36"/>
  <c r="T70" i="103" s="1"/>
  <c r="Z59" i="36"/>
  <c r="T154" i="36"/>
  <c r="S70" i="103" s="1"/>
  <c r="H65" i="36"/>
  <c r="Q154" i="34"/>
  <c r="P130" i="215" s="1"/>
  <c r="U265" i="34"/>
  <c r="U157" i="34" s="1"/>
  <c r="T133" i="215" s="1"/>
  <c r="K263" i="34"/>
  <c r="G16" i="214" s="1"/>
  <c r="J116" i="79"/>
  <c r="J114" i="79"/>
  <c r="J119" i="79"/>
  <c r="J115" i="79"/>
  <c r="J118" i="79"/>
  <c r="G18" i="214"/>
  <c r="J117" i="79"/>
  <c r="K155" i="34"/>
  <c r="J131" i="215" s="1"/>
  <c r="K237" i="34"/>
  <c r="J214" i="215" s="1"/>
  <c r="K158" i="34"/>
  <c r="J134" i="215" s="1"/>
  <c r="K157" i="34"/>
  <c r="J133" i="215" s="1"/>
  <c r="K154" i="34"/>
  <c r="J130" i="215" s="1"/>
  <c r="K153" i="34"/>
  <c r="K159" i="34"/>
  <c r="J135" i="215" s="1"/>
  <c r="K156" i="34"/>
  <c r="J132" i="215" s="1"/>
  <c r="J113" i="79"/>
  <c r="N15" i="214"/>
  <c r="Q97" i="79"/>
  <c r="Q86" i="79"/>
  <c r="Q84" i="79"/>
  <c r="Q83" i="79"/>
  <c r="R133" i="34"/>
  <c r="Q96" i="79"/>
  <c r="R122" i="34"/>
  <c r="Q98" i="215" s="1"/>
  <c r="R111" i="34"/>
  <c r="Q75" i="79"/>
  <c r="Q85" i="79"/>
  <c r="R119" i="34"/>
  <c r="Q95" i="215" s="1"/>
  <c r="Q314" i="36"/>
  <c r="Q319" i="36"/>
  <c r="Q317" i="36"/>
  <c r="Q321" i="36"/>
  <c r="Q320" i="36"/>
  <c r="Q316" i="36"/>
  <c r="Q313" i="36"/>
  <c r="Q318" i="36"/>
  <c r="Q315" i="36"/>
  <c r="Q152" i="36"/>
  <c r="Q155" i="36"/>
  <c r="P71" i="103" s="1"/>
  <c r="S265" i="34"/>
  <c r="Q153" i="36"/>
  <c r="P69" i="103" s="1"/>
  <c r="Q156" i="36"/>
  <c r="P72" i="103" s="1"/>
  <c r="Q158" i="36"/>
  <c r="P74" i="103" s="1"/>
  <c r="Q157" i="36"/>
  <c r="P73" i="103" s="1"/>
  <c r="H321" i="36"/>
  <c r="H318" i="36"/>
  <c r="H317" i="36"/>
  <c r="H319" i="36"/>
  <c r="H156" i="36"/>
  <c r="H316" i="36"/>
  <c r="H154" i="36"/>
  <c r="H158" i="36"/>
  <c r="H313" i="36"/>
  <c r="H152" i="36"/>
  <c r="J265" i="34"/>
  <c r="H314" i="36"/>
  <c r="H157" i="36"/>
  <c r="J344" i="36"/>
  <c r="F344" i="36" s="1"/>
  <c r="H155" i="36"/>
  <c r="H153" i="36"/>
  <c r="H315" i="36"/>
  <c r="U117" i="79"/>
  <c r="H320" i="36"/>
  <c r="Q234" i="36"/>
  <c r="Q69" i="36"/>
  <c r="Q71" i="36"/>
  <c r="Q228" i="36"/>
  <c r="Q230" i="36"/>
  <c r="Q232" i="36"/>
  <c r="Q72" i="36"/>
  <c r="Q73" i="36"/>
  <c r="Q227" i="36"/>
  <c r="Q65" i="36"/>
  <c r="Q64" i="36"/>
  <c r="S263" i="34"/>
  <c r="O16" i="214" s="1"/>
  <c r="Q67" i="36"/>
  <c r="T153" i="34"/>
  <c r="V227" i="36"/>
  <c r="V69" i="36"/>
  <c r="V232" i="36"/>
  <c r="V72" i="36"/>
  <c r="V230" i="36"/>
  <c r="V65" i="36"/>
  <c r="V73" i="36"/>
  <c r="V67" i="36"/>
  <c r="V228" i="36"/>
  <c r="V71" i="36"/>
  <c r="V64" i="36"/>
  <c r="V234" i="36"/>
  <c r="X263" i="34"/>
  <c r="T16" i="214" s="1"/>
  <c r="K315" i="36"/>
  <c r="K316" i="36"/>
  <c r="K314" i="36"/>
  <c r="K319" i="36"/>
  <c r="K321" i="36"/>
  <c r="K313" i="36"/>
  <c r="K318" i="36"/>
  <c r="K317" i="36"/>
  <c r="K320" i="36"/>
  <c r="K155" i="36"/>
  <c r="J71" i="103" s="1"/>
  <c r="M265" i="34"/>
  <c r="K152" i="36"/>
  <c r="K153" i="36"/>
  <c r="J69" i="103" s="1"/>
  <c r="K156" i="36"/>
  <c r="J72" i="103" s="1"/>
  <c r="K154" i="36"/>
  <c r="J70" i="103" s="1"/>
  <c r="K158" i="36"/>
  <c r="J74" i="103" s="1"/>
  <c r="K87" i="215"/>
  <c r="I313" i="36"/>
  <c r="I318" i="36"/>
  <c r="I321" i="36"/>
  <c r="I315" i="36"/>
  <c r="I314" i="36"/>
  <c r="I317" i="36"/>
  <c r="I320" i="36"/>
  <c r="I319" i="36"/>
  <c r="I316" i="36"/>
  <c r="I154" i="36"/>
  <c r="H70" i="103" s="1"/>
  <c r="I155" i="36"/>
  <c r="H71" i="103" s="1"/>
  <c r="I157" i="36"/>
  <c r="H73" i="103" s="1"/>
  <c r="I156" i="36"/>
  <c r="H72" i="103" s="1"/>
  <c r="I158" i="36"/>
  <c r="H74" i="103" s="1"/>
  <c r="I152" i="36"/>
  <c r="T69" i="36"/>
  <c r="T71" i="36"/>
  <c r="T64" i="36"/>
  <c r="T234" i="36"/>
  <c r="T227" i="36"/>
  <c r="T65" i="36"/>
  <c r="T228" i="36"/>
  <c r="T232" i="36"/>
  <c r="T230" i="36"/>
  <c r="T67" i="36"/>
  <c r="T72" i="36"/>
  <c r="T73" i="36"/>
  <c r="V263" i="34"/>
  <c r="R16" i="214" s="1"/>
  <c r="T97" i="79"/>
  <c r="T86" i="79"/>
  <c r="T83" i="79"/>
  <c r="T84" i="79"/>
  <c r="T96" i="79"/>
  <c r="U121" i="34"/>
  <c r="T97" i="215" s="1"/>
  <c r="T85" i="79"/>
  <c r="U120" i="34"/>
  <c r="T96" i="215" s="1"/>
  <c r="Q15" i="214"/>
  <c r="U122" i="34"/>
  <c r="T98" i="215" s="1"/>
  <c r="U134" i="34"/>
  <c r="T110" i="215" s="1"/>
  <c r="U133" i="34"/>
  <c r="T75" i="79"/>
  <c r="U111" i="34"/>
  <c r="X85" i="79"/>
  <c r="U15" i="214"/>
  <c r="X83" i="79"/>
  <c r="X84" i="79"/>
  <c r="X86" i="79"/>
  <c r="X97" i="79"/>
  <c r="Y120" i="34"/>
  <c r="X96" i="215" s="1"/>
  <c r="X96" i="79"/>
  <c r="Y121" i="34"/>
  <c r="X97" i="215" s="1"/>
  <c r="Y133" i="34"/>
  <c r="Y122" i="34"/>
  <c r="X98" i="215" s="1"/>
  <c r="Y111" i="34"/>
  <c r="Y134" i="34"/>
  <c r="X110" i="215" s="1"/>
  <c r="Y119" i="34"/>
  <c r="X95" i="215" s="1"/>
  <c r="X75" i="79"/>
  <c r="K83" i="79"/>
  <c r="K86" i="79"/>
  <c r="K85" i="79"/>
  <c r="K84" i="79"/>
  <c r="K97" i="79"/>
  <c r="L133" i="34"/>
  <c r="L122" i="34"/>
  <c r="K98" i="215" s="1"/>
  <c r="H15" i="214"/>
  <c r="L121" i="34"/>
  <c r="K97" i="215" s="1"/>
  <c r="L120" i="34"/>
  <c r="K96" i="215" s="1"/>
  <c r="L119" i="34"/>
  <c r="K95" i="215" s="1"/>
  <c r="L134" i="34"/>
  <c r="K110" i="215" s="1"/>
  <c r="K75" i="79"/>
  <c r="K96" i="79"/>
  <c r="W316" i="36"/>
  <c r="W319" i="36"/>
  <c r="W315" i="36"/>
  <c r="W318" i="36"/>
  <c r="W313" i="36"/>
  <c r="W317" i="36"/>
  <c r="W321" i="36"/>
  <c r="W314" i="36"/>
  <c r="W320" i="36"/>
  <c r="W155" i="36"/>
  <c r="V71" i="103" s="1"/>
  <c r="W154" i="36"/>
  <c r="V70" i="103" s="1"/>
  <c r="W156" i="36"/>
  <c r="V72" i="103" s="1"/>
  <c r="W152" i="36"/>
  <c r="W153" i="36"/>
  <c r="V69" i="103" s="1"/>
  <c r="W157" i="36"/>
  <c r="V73" i="103" s="1"/>
  <c r="Y265" i="34"/>
  <c r="W158" i="36"/>
  <c r="V74" i="103" s="1"/>
  <c r="R15" i="214"/>
  <c r="U85" i="79"/>
  <c r="U83" i="79"/>
  <c r="U84" i="79"/>
  <c r="V121" i="34"/>
  <c r="U97" i="215" s="1"/>
  <c r="U86" i="79"/>
  <c r="V133" i="34"/>
  <c r="U97" i="79"/>
  <c r="U96" i="79"/>
  <c r="V134" i="34"/>
  <c r="U110" i="215" s="1"/>
  <c r="V119" i="34"/>
  <c r="U95" i="215" s="1"/>
  <c r="V120" i="34"/>
  <c r="U96" i="215" s="1"/>
  <c r="V111" i="34"/>
  <c r="V122" i="34"/>
  <c r="U98" i="215" s="1"/>
  <c r="S15" i="214"/>
  <c r="V86" i="79"/>
  <c r="V97" i="79"/>
  <c r="V85" i="79"/>
  <c r="W120" i="34"/>
  <c r="V96" i="215" s="1"/>
  <c r="V84" i="79"/>
  <c r="W134" i="34"/>
  <c r="V110" i="215" s="1"/>
  <c r="W121" i="34"/>
  <c r="V97" i="215" s="1"/>
  <c r="W119" i="34"/>
  <c r="V95" i="215" s="1"/>
  <c r="V75" i="79"/>
  <c r="W111" i="34"/>
  <c r="W133" i="34"/>
  <c r="V96" i="79"/>
  <c r="W122" i="34"/>
  <c r="V98" i="215" s="1"/>
  <c r="V83" i="79"/>
  <c r="S86" i="79"/>
  <c r="P15" i="214"/>
  <c r="S84" i="79"/>
  <c r="S97" i="79"/>
  <c r="S83" i="79"/>
  <c r="T134" i="34"/>
  <c r="S110" i="215" s="1"/>
  <c r="S85" i="79"/>
  <c r="T120" i="34"/>
  <c r="S96" i="215" s="1"/>
  <c r="T133" i="34"/>
  <c r="S75" i="79"/>
  <c r="S96" i="79"/>
  <c r="T119" i="34"/>
  <c r="S95" i="215" s="1"/>
  <c r="T122" i="34"/>
  <c r="S98" i="215" s="1"/>
  <c r="T121" i="34"/>
  <c r="S97" i="215" s="1"/>
  <c r="T111" i="34"/>
  <c r="J86" i="79"/>
  <c r="J85" i="79"/>
  <c r="J97" i="79"/>
  <c r="J84" i="79"/>
  <c r="G15" i="214"/>
  <c r="J96" i="79"/>
  <c r="K133" i="34"/>
  <c r="J83" i="79"/>
  <c r="K111" i="34"/>
  <c r="K122" i="34"/>
  <c r="J98" i="215" s="1"/>
  <c r="K134" i="34"/>
  <c r="J110" i="215" s="1"/>
  <c r="K119" i="34"/>
  <c r="J95" i="215" s="1"/>
  <c r="K121" i="34"/>
  <c r="J97" i="215" s="1"/>
  <c r="K120" i="34"/>
  <c r="J96" i="215" s="1"/>
  <c r="W15" i="214"/>
  <c r="Z97" i="79"/>
  <c r="Z85" i="79"/>
  <c r="Z86" i="79"/>
  <c r="Z96" i="79"/>
  <c r="Z84" i="79"/>
  <c r="AA119" i="34"/>
  <c r="Z95" i="215" s="1"/>
  <c r="Z83" i="79"/>
  <c r="AA133" i="34"/>
  <c r="AA134" i="34"/>
  <c r="Z110" i="215" s="1"/>
  <c r="AA111" i="34"/>
  <c r="Z75" i="79"/>
  <c r="AA122" i="34"/>
  <c r="Z98" i="215" s="1"/>
  <c r="AA120" i="34"/>
  <c r="Z96" i="215" s="1"/>
  <c r="AA121" i="34"/>
  <c r="Z97" i="215" s="1"/>
  <c r="W157" i="34"/>
  <c r="V133" i="215" s="1"/>
  <c r="M18" i="214"/>
  <c r="P119" i="79"/>
  <c r="P118" i="79"/>
  <c r="P114" i="79"/>
  <c r="P115" i="79"/>
  <c r="P116" i="79"/>
  <c r="P117" i="79"/>
  <c r="Q159" i="34"/>
  <c r="P135" i="215" s="1"/>
  <c r="Q158" i="34"/>
  <c r="P134" i="215" s="1"/>
  <c r="Q237" i="34"/>
  <c r="P214" i="215" s="1"/>
  <c r="P113" i="79"/>
  <c r="Q153" i="34"/>
  <c r="Q157" i="34"/>
  <c r="P133" i="215" s="1"/>
  <c r="Q156" i="34"/>
  <c r="P132" i="215" s="1"/>
  <c r="R121" i="34"/>
  <c r="Q97" i="215" s="1"/>
  <c r="V321" i="36"/>
  <c r="V316" i="36"/>
  <c r="V318" i="36"/>
  <c r="V313" i="36"/>
  <c r="V317" i="36"/>
  <c r="V319" i="36"/>
  <c r="V315" i="36"/>
  <c r="V314" i="36"/>
  <c r="V320" i="36"/>
  <c r="V158" i="36"/>
  <c r="U74" i="103" s="1"/>
  <c r="V153" i="36"/>
  <c r="U69" i="103" s="1"/>
  <c r="V156" i="36"/>
  <c r="U72" i="103" s="1"/>
  <c r="X265" i="34"/>
  <c r="V152" i="36"/>
  <c r="V155" i="36"/>
  <c r="U71" i="103" s="1"/>
  <c r="V154" i="36"/>
  <c r="U70" i="103" s="1"/>
  <c r="V157" i="36"/>
  <c r="U73" i="103" s="1"/>
  <c r="I153" i="36"/>
  <c r="H69" i="103" s="1"/>
  <c r="R134" i="34"/>
  <c r="Q110" i="215" s="1"/>
  <c r="X228" i="36"/>
  <c r="X72" i="36"/>
  <c r="X232" i="36"/>
  <c r="X65" i="36"/>
  <c r="X234" i="36"/>
  <c r="X73" i="36"/>
  <c r="X64" i="36"/>
  <c r="X71" i="36"/>
  <c r="X69" i="36"/>
  <c r="X67" i="36"/>
  <c r="X230" i="36"/>
  <c r="X227" i="36"/>
  <c r="Z263" i="34"/>
  <c r="V16" i="214" s="1"/>
  <c r="U119" i="34"/>
  <c r="T95" i="215" s="1"/>
  <c r="P65" i="36"/>
  <c r="P228" i="36"/>
  <c r="P71" i="36"/>
  <c r="P69" i="36"/>
  <c r="P227" i="36"/>
  <c r="P234" i="36"/>
  <c r="P73" i="36"/>
  <c r="P67" i="36"/>
  <c r="P64" i="36"/>
  <c r="P230" i="36"/>
  <c r="P232" i="36"/>
  <c r="R263" i="34"/>
  <c r="N16" i="214" s="1"/>
  <c r="P72" i="36"/>
  <c r="F16" i="214"/>
  <c r="P97" i="79"/>
  <c r="P85" i="79"/>
  <c r="P86" i="79"/>
  <c r="P84" i="79"/>
  <c r="M15" i="214"/>
  <c r="P83" i="79"/>
  <c r="Q120" i="34"/>
  <c r="P96" i="215" s="1"/>
  <c r="T15" i="214"/>
  <c r="W83" i="79"/>
  <c r="W84" i="79"/>
  <c r="W86" i="79"/>
  <c r="W96" i="79"/>
  <c r="W85" i="79"/>
  <c r="X122" i="34"/>
  <c r="W98" i="215" s="1"/>
  <c r="X133" i="34"/>
  <c r="Y86" i="79"/>
  <c r="Y84" i="79"/>
  <c r="Y97" i="79"/>
  <c r="Y83" i="79"/>
  <c r="V15" i="214"/>
  <c r="Y85" i="79"/>
  <c r="Z121" i="34"/>
  <c r="Y97" i="215" s="1"/>
  <c r="Y96" i="79"/>
  <c r="Z122" i="34"/>
  <c r="Y98" i="215" s="1"/>
  <c r="Z119" i="34"/>
  <c r="Y95" i="215" s="1"/>
  <c r="P316" i="36"/>
  <c r="P318" i="36"/>
  <c r="P319" i="36"/>
  <c r="P315" i="36"/>
  <c r="P320" i="36"/>
  <c r="P314" i="36"/>
  <c r="P321" i="36"/>
  <c r="P317" i="36"/>
  <c r="P313" i="36"/>
  <c r="P157" i="36"/>
  <c r="O73" i="103" s="1"/>
  <c r="P153" i="36"/>
  <c r="O69" i="103" s="1"/>
  <c r="P152" i="36"/>
  <c r="O313" i="36"/>
  <c r="O321" i="36"/>
  <c r="O319" i="36"/>
  <c r="O316" i="36"/>
  <c r="O320" i="36"/>
  <c r="O314" i="36"/>
  <c r="O317" i="36"/>
  <c r="O315" i="36"/>
  <c r="O318" i="36"/>
  <c r="O157" i="36"/>
  <c r="N73" i="103" s="1"/>
  <c r="O158" i="36"/>
  <c r="N74" i="103" s="1"/>
  <c r="O154" i="36"/>
  <c r="N70" i="103" s="1"/>
  <c r="O155" i="36"/>
  <c r="N71" i="103" s="1"/>
  <c r="Y157" i="36"/>
  <c r="X73" i="103" s="1"/>
  <c r="Q121" i="34"/>
  <c r="P97" i="215" s="1"/>
  <c r="R154" i="36"/>
  <c r="Q70" i="103" s="1"/>
  <c r="S158" i="36"/>
  <c r="R74" i="103" s="1"/>
  <c r="U155" i="36"/>
  <c r="T71" i="103" s="1"/>
  <c r="Q119" i="34"/>
  <c r="P95" i="215" s="1"/>
  <c r="R96" i="79"/>
  <c r="W97" i="79"/>
  <c r="K341" i="36"/>
  <c r="M262" i="34" s="1"/>
  <c r="H71" i="36"/>
  <c r="H69" i="36"/>
  <c r="H230" i="36"/>
  <c r="H232" i="36"/>
  <c r="H67" i="36"/>
  <c r="J342" i="36"/>
  <c r="H234" i="36"/>
  <c r="Z111" i="34"/>
  <c r="Z133" i="34"/>
  <c r="P155" i="36"/>
  <c r="O71" i="103" s="1"/>
  <c r="Z120" i="34"/>
  <c r="Y96" i="215" s="1"/>
  <c r="R156" i="36"/>
  <c r="Q72" i="103" s="1"/>
  <c r="X121" i="34"/>
  <c r="W97" i="215" s="1"/>
  <c r="Q134" i="34"/>
  <c r="P110" i="215" s="1"/>
  <c r="O69" i="36"/>
  <c r="O65" i="36"/>
  <c r="O73" i="36"/>
  <c r="O67" i="36"/>
  <c r="O232" i="36"/>
  <c r="O227" i="36"/>
  <c r="O230" i="36"/>
  <c r="O71" i="36"/>
  <c r="O234" i="36"/>
  <c r="O64" i="36"/>
  <c r="O228" i="36"/>
  <c r="W69" i="36"/>
  <c r="W234" i="36"/>
  <c r="W67" i="36"/>
  <c r="W227" i="36"/>
  <c r="W73" i="36"/>
  <c r="W64" i="36"/>
  <c r="W72" i="36"/>
  <c r="W230" i="36"/>
  <c r="W228" i="36"/>
  <c r="W232" i="36"/>
  <c r="W65" i="36"/>
  <c r="O156" i="36"/>
  <c r="N72" i="103" s="1"/>
  <c r="M264" i="34"/>
  <c r="I17" i="214" s="1"/>
  <c r="Z134" i="34"/>
  <c r="Y110" i="215" s="1"/>
  <c r="H72" i="36"/>
  <c r="P158" i="36"/>
  <c r="O74" i="103" s="1"/>
  <c r="O153" i="36"/>
  <c r="N69" i="103" s="1"/>
  <c r="W71" i="36"/>
  <c r="X111" i="34"/>
  <c r="R86" i="79"/>
  <c r="O15" i="214"/>
  <c r="R83" i="79"/>
  <c r="R97" i="79"/>
  <c r="R84" i="79"/>
  <c r="S122" i="34"/>
  <c r="R98" i="215" s="1"/>
  <c r="R85" i="79"/>
  <c r="S133" i="34"/>
  <c r="S120" i="34"/>
  <c r="R96" i="215" s="1"/>
  <c r="S121" i="34"/>
  <c r="R97" i="215" s="1"/>
  <c r="S319" i="36"/>
  <c r="S313" i="36"/>
  <c r="S316" i="36"/>
  <c r="S318" i="36"/>
  <c r="S321" i="36"/>
  <c r="S315" i="36"/>
  <c r="S320" i="36"/>
  <c r="S314" i="36"/>
  <c r="S317" i="36"/>
  <c r="S152" i="36"/>
  <c r="S153" i="36"/>
  <c r="R69" i="103" s="1"/>
  <c r="Y321" i="36"/>
  <c r="Y317" i="36"/>
  <c r="Y316" i="36"/>
  <c r="Y313" i="36"/>
  <c r="Y314" i="36"/>
  <c r="Y315" i="36"/>
  <c r="Y318" i="36"/>
  <c r="Y320" i="36"/>
  <c r="Y319" i="36"/>
  <c r="Y152" i="36"/>
  <c r="T316" i="36"/>
  <c r="T315" i="36"/>
  <c r="T321" i="36"/>
  <c r="T320" i="36"/>
  <c r="T313" i="36"/>
  <c r="T317" i="36"/>
  <c r="T318" i="36"/>
  <c r="T314" i="36"/>
  <c r="T319" i="36"/>
  <c r="T156" i="36"/>
  <c r="S72" i="103" s="1"/>
  <c r="T157" i="36"/>
  <c r="S73" i="103" s="1"/>
  <c r="T155" i="36"/>
  <c r="S71" i="103" s="1"/>
  <c r="T153" i="36"/>
  <c r="S69" i="103" s="1"/>
  <c r="U321" i="36"/>
  <c r="U317" i="36"/>
  <c r="U315" i="36"/>
  <c r="U320" i="36"/>
  <c r="U314" i="36"/>
  <c r="U313" i="36"/>
  <c r="U318" i="36"/>
  <c r="U319" i="36"/>
  <c r="U316" i="36"/>
  <c r="U152" i="36"/>
  <c r="U158" i="36"/>
  <c r="T74" i="103" s="1"/>
  <c r="U153" i="36"/>
  <c r="T69" i="103" s="1"/>
  <c r="X314" i="36"/>
  <c r="X316" i="36"/>
  <c r="X320" i="36"/>
  <c r="X318" i="36"/>
  <c r="X313" i="36"/>
  <c r="X319" i="36"/>
  <c r="X315" i="36"/>
  <c r="X317" i="36"/>
  <c r="X321" i="36"/>
  <c r="X154" i="36"/>
  <c r="W70" i="103" s="1"/>
  <c r="X157" i="36"/>
  <c r="W73" i="103" s="1"/>
  <c r="X152" i="36"/>
  <c r="X153" i="36"/>
  <c r="W69" i="103" s="1"/>
  <c r="S156" i="36"/>
  <c r="R72" i="103" s="1"/>
  <c r="R315" i="36"/>
  <c r="R320" i="36"/>
  <c r="R313" i="36"/>
  <c r="R321" i="36"/>
  <c r="R314" i="36"/>
  <c r="R317" i="36"/>
  <c r="R319" i="36"/>
  <c r="R318" i="36"/>
  <c r="R316" i="36"/>
  <c r="R157" i="36"/>
  <c r="Q73" i="103" s="1"/>
  <c r="R158" i="36"/>
  <c r="Q74" i="103" s="1"/>
  <c r="Y154" i="36"/>
  <c r="X70" i="103" s="1"/>
  <c r="Q133" i="34"/>
  <c r="U156" i="36"/>
  <c r="T72" i="103" s="1"/>
  <c r="X158" i="36"/>
  <c r="W74" i="103" s="1"/>
  <c r="J262" i="34"/>
  <c r="S134" i="34"/>
  <c r="R110" i="215" s="1"/>
  <c r="Z265" i="34"/>
  <c r="R71" i="36"/>
  <c r="R72" i="36"/>
  <c r="R228" i="36"/>
  <c r="R64" i="36"/>
  <c r="R65" i="36"/>
  <c r="R234" i="36"/>
  <c r="R67" i="36"/>
  <c r="R227" i="36"/>
  <c r="R69" i="36"/>
  <c r="R73" i="36"/>
  <c r="R232" i="36"/>
  <c r="R230" i="36"/>
  <c r="T263" i="34"/>
  <c r="P16" i="214" s="1"/>
  <c r="S157" i="36"/>
  <c r="R73" i="103" s="1"/>
  <c r="H73" i="36"/>
  <c r="Y158" i="36"/>
  <c r="X74" i="103" s="1"/>
  <c r="I228" i="36"/>
  <c r="I234" i="36"/>
  <c r="I227" i="36"/>
  <c r="I67" i="36"/>
  <c r="I64" i="36"/>
  <c r="I72" i="36"/>
  <c r="I230" i="36"/>
  <c r="I73" i="36"/>
  <c r="I65" i="36"/>
  <c r="I71" i="36"/>
  <c r="I69" i="36"/>
  <c r="H64" i="36"/>
  <c r="P96" i="79"/>
  <c r="X119" i="34"/>
  <c r="W95" i="215" s="1"/>
  <c r="Q263" i="34"/>
  <c r="M16" i="214" s="1"/>
  <c r="O152" i="36"/>
  <c r="L264" i="34"/>
  <c r="S154" i="36"/>
  <c r="R70" i="103" s="1"/>
  <c r="O72" i="36"/>
  <c r="K228" i="36"/>
  <c r="K73" i="36"/>
  <c r="K69" i="36"/>
  <c r="K65" i="36"/>
  <c r="K71" i="36"/>
  <c r="K230" i="36"/>
  <c r="K234" i="36"/>
  <c r="K72" i="36"/>
  <c r="K67" i="36"/>
  <c r="K232" i="36"/>
  <c r="K64" i="36"/>
  <c r="S232" i="36"/>
  <c r="S73" i="36"/>
  <c r="S71" i="36"/>
  <c r="S65" i="36"/>
  <c r="S230" i="36"/>
  <c r="S69" i="36"/>
  <c r="S67" i="36"/>
  <c r="S72" i="36"/>
  <c r="S64" i="36"/>
  <c r="S234" i="36"/>
  <c r="S227" i="36"/>
  <c r="S228" i="36"/>
  <c r="U263" i="34"/>
  <c r="Q16" i="214" s="1"/>
  <c r="M263" i="34"/>
  <c r="I16" i="214" s="1"/>
  <c r="K227" i="36"/>
  <c r="U67" i="36"/>
  <c r="U69" i="36"/>
  <c r="U234" i="36"/>
  <c r="U227" i="36"/>
  <c r="U230" i="36"/>
  <c r="U228" i="36"/>
  <c r="U72" i="36"/>
  <c r="U64" i="36"/>
  <c r="U71" i="36"/>
  <c r="U73" i="36"/>
  <c r="Y73" i="36"/>
  <c r="Y232" i="36"/>
  <c r="Y230" i="36"/>
  <c r="Y64" i="36"/>
  <c r="Y227" i="36"/>
  <c r="Y72" i="36"/>
  <c r="Y67" i="36"/>
  <c r="Y69" i="36"/>
  <c r="Y228" i="36"/>
  <c r="U65" i="36"/>
  <c r="AA263" i="34"/>
  <c r="W16" i="214" s="1"/>
  <c r="Y65" i="36"/>
  <c r="U232" i="36"/>
  <c r="W155" i="34" l="1"/>
  <c r="V131" i="215" s="1"/>
  <c r="T98" i="79"/>
  <c r="V118" i="79"/>
  <c r="R155" i="34"/>
  <c r="Q131" i="215" s="1"/>
  <c r="V116" i="79"/>
  <c r="Q114" i="79"/>
  <c r="U116" i="79"/>
  <c r="K168" i="36"/>
  <c r="U168" i="36"/>
  <c r="Q168" i="36"/>
  <c r="R168" i="36"/>
  <c r="Y168" i="36"/>
  <c r="I168" i="36"/>
  <c r="P168" i="36"/>
  <c r="W168" i="36"/>
  <c r="H168" i="36"/>
  <c r="O168" i="36"/>
  <c r="X168" i="36"/>
  <c r="S168" i="36"/>
  <c r="V168" i="36"/>
  <c r="T168" i="36"/>
  <c r="V237" i="34"/>
  <c r="U214" i="215" s="1"/>
  <c r="U155" i="34"/>
  <c r="T131" i="215" s="1"/>
  <c r="T115" i="79"/>
  <c r="Z119" i="79"/>
  <c r="AA154" i="34"/>
  <c r="Z130" i="215" s="1"/>
  <c r="T119" i="79"/>
  <c r="AA159" i="34"/>
  <c r="Z135" i="215" s="1"/>
  <c r="T116" i="79"/>
  <c r="Q18" i="214"/>
  <c r="AA157" i="34"/>
  <c r="Z133" i="215" s="1"/>
  <c r="Z115" i="79"/>
  <c r="U153" i="34"/>
  <c r="T129" i="215" s="1"/>
  <c r="U156" i="34"/>
  <c r="T132" i="215" s="1"/>
  <c r="U158" i="34"/>
  <c r="T134" i="215" s="1"/>
  <c r="T117" i="79"/>
  <c r="AA158" i="34"/>
  <c r="Z134" i="215" s="1"/>
  <c r="AA155" i="34"/>
  <c r="Z131" i="215" s="1"/>
  <c r="W18" i="214"/>
  <c r="V156" i="34"/>
  <c r="U132" i="215" s="1"/>
  <c r="T113" i="79"/>
  <c r="Z114" i="79"/>
  <c r="U159" i="34"/>
  <c r="T135" i="215" s="1"/>
  <c r="T114" i="79"/>
  <c r="Z113" i="79"/>
  <c r="Z118" i="79"/>
  <c r="V155" i="34"/>
  <c r="U131" i="215" s="1"/>
  <c r="W158" i="34"/>
  <c r="V134" i="215" s="1"/>
  <c r="S18" i="214"/>
  <c r="V119" i="79"/>
  <c r="R237" i="34"/>
  <c r="Q214" i="215" s="1"/>
  <c r="Q115" i="79"/>
  <c r="S117" i="79"/>
  <c r="W154" i="34"/>
  <c r="V130" i="215" s="1"/>
  <c r="W159" i="34"/>
  <c r="V135" i="215" s="1"/>
  <c r="W237" i="34"/>
  <c r="V214" i="215" s="1"/>
  <c r="V115" i="79"/>
  <c r="Q113" i="79"/>
  <c r="N18" i="214"/>
  <c r="W153" i="34"/>
  <c r="V113" i="79"/>
  <c r="W156" i="34"/>
  <c r="V132" i="215" s="1"/>
  <c r="V117" i="79"/>
  <c r="R158" i="34"/>
  <c r="Q134" i="215" s="1"/>
  <c r="R156" i="34"/>
  <c r="Q132" i="215" s="1"/>
  <c r="P68" i="103"/>
  <c r="X68" i="103"/>
  <c r="W94" i="79"/>
  <c r="U68" i="103"/>
  <c r="V157" i="34"/>
  <c r="U133" i="215" s="1"/>
  <c r="V68" i="103"/>
  <c r="R153" i="34"/>
  <c r="Q129" i="215" s="1"/>
  <c r="R154" i="34"/>
  <c r="Q130" i="215" s="1"/>
  <c r="Q118" i="79"/>
  <c r="Q116" i="79"/>
  <c r="K98" i="79"/>
  <c r="H68" i="103"/>
  <c r="P106" i="215"/>
  <c r="S115" i="79"/>
  <c r="V159" i="34"/>
  <c r="U135" i="215" s="1"/>
  <c r="U113" i="79"/>
  <c r="U118" i="79"/>
  <c r="U119" i="79"/>
  <c r="Q98" i="79"/>
  <c r="N68" i="103"/>
  <c r="W68" i="103"/>
  <c r="R68" i="103"/>
  <c r="J68" i="103"/>
  <c r="Q68" i="103"/>
  <c r="P94" i="79"/>
  <c r="V153" i="34"/>
  <c r="U129" i="215" s="1"/>
  <c r="R18" i="214"/>
  <c r="T68" i="103"/>
  <c r="R98" i="79"/>
  <c r="O68" i="103"/>
  <c r="R157" i="34"/>
  <c r="Q133" i="215" s="1"/>
  <c r="R159" i="34"/>
  <c r="Q135" i="215" s="1"/>
  <c r="Q117" i="79"/>
  <c r="T157" i="34"/>
  <c r="S133" i="215" s="1"/>
  <c r="V158" i="34"/>
  <c r="U134" i="215" s="1"/>
  <c r="U114" i="79"/>
  <c r="U115" i="79"/>
  <c r="R94" i="79"/>
  <c r="S98" i="79"/>
  <c r="T154" i="34"/>
  <c r="S130" i="215" s="1"/>
  <c r="S119" i="79"/>
  <c r="P98" i="79"/>
  <c r="R106" i="215"/>
  <c r="S94" i="79"/>
  <c r="V98" i="79"/>
  <c r="U94" i="79"/>
  <c r="S113" i="79"/>
  <c r="T156" i="34"/>
  <c r="S132" i="215" s="1"/>
  <c r="S114" i="79"/>
  <c r="P18" i="214"/>
  <c r="J94" i="79"/>
  <c r="T237" i="34"/>
  <c r="S214" i="215" s="1"/>
  <c r="S116" i="79"/>
  <c r="P120" i="79"/>
  <c r="Y94" i="79"/>
  <c r="U154" i="34"/>
  <c r="T130" i="215" s="1"/>
  <c r="U237" i="34"/>
  <c r="T214" i="215" s="1"/>
  <c r="T118" i="79"/>
  <c r="AA153" i="34"/>
  <c r="Z129" i="215" s="1"/>
  <c r="AA156" i="34"/>
  <c r="Z132" i="215" s="1"/>
  <c r="Z116" i="79"/>
  <c r="Z117" i="79"/>
  <c r="X94" i="79"/>
  <c r="T94" i="79"/>
  <c r="T159" i="34"/>
  <c r="S135" i="215" s="1"/>
  <c r="T158" i="34"/>
  <c r="S134" i="215" s="1"/>
  <c r="T155" i="34"/>
  <c r="S131" i="215" s="1"/>
  <c r="J120" i="34"/>
  <c r="J121" i="34"/>
  <c r="J119" i="34"/>
  <c r="J122" i="34"/>
  <c r="I84" i="79"/>
  <c r="J134" i="34"/>
  <c r="I97" i="79"/>
  <c r="AE262" i="34"/>
  <c r="I85" i="79"/>
  <c r="I96" i="79"/>
  <c r="F262" i="34"/>
  <c r="F15" i="214"/>
  <c r="J111" i="34"/>
  <c r="J133" i="34"/>
  <c r="I75" i="79"/>
  <c r="I86" i="79"/>
  <c r="I83" i="79"/>
  <c r="J71" i="36"/>
  <c r="Z71" i="36" s="1"/>
  <c r="J232" i="36"/>
  <c r="Z232" i="36" s="1"/>
  <c r="J228" i="36"/>
  <c r="Z228" i="36" s="1"/>
  <c r="J73" i="36"/>
  <c r="Z73" i="36" s="1"/>
  <c r="J230" i="36"/>
  <c r="Z230" i="36" s="1"/>
  <c r="J234" i="36"/>
  <c r="Z234" i="36" s="1"/>
  <c r="J64" i="36"/>
  <c r="Z64" i="36" s="1"/>
  <c r="J227" i="36"/>
  <c r="Z227" i="36" s="1"/>
  <c r="J67" i="36"/>
  <c r="Z67" i="36" s="1"/>
  <c r="L263" i="34"/>
  <c r="J69" i="36"/>
  <c r="Z69" i="36" s="1"/>
  <c r="J65" i="36"/>
  <c r="Z65" i="36" s="1"/>
  <c r="J72" i="36"/>
  <c r="Z72" i="36" s="1"/>
  <c r="AA130" i="34"/>
  <c r="Z87" i="215"/>
  <c r="Z106" i="215" s="1"/>
  <c r="U109" i="215"/>
  <c r="U111" i="215" s="1"/>
  <c r="V135" i="34"/>
  <c r="L135" i="34"/>
  <c r="K109" i="215"/>
  <c r="K111" i="215" s="1"/>
  <c r="G69" i="103"/>
  <c r="G74" i="103"/>
  <c r="F264" i="34"/>
  <c r="H17" i="214"/>
  <c r="E17" i="214" s="1"/>
  <c r="AE264" i="34"/>
  <c r="P109" i="215"/>
  <c r="P111" i="215" s="1"/>
  <c r="Q135" i="34"/>
  <c r="L85" i="79"/>
  <c r="L86" i="79"/>
  <c r="I15" i="214"/>
  <c r="L97" i="79"/>
  <c r="L96" i="79"/>
  <c r="L83" i="79"/>
  <c r="L84" i="79"/>
  <c r="M120" i="34"/>
  <c r="L96" i="215" s="1"/>
  <c r="M119" i="34"/>
  <c r="L95" i="215" s="1"/>
  <c r="M121" i="34"/>
  <c r="L97" i="215" s="1"/>
  <c r="M133" i="34"/>
  <c r="M111" i="34"/>
  <c r="M122" i="34"/>
  <c r="L98" i="215" s="1"/>
  <c r="M134" i="34"/>
  <c r="L110" i="215" s="1"/>
  <c r="L75" i="79"/>
  <c r="Y98" i="79"/>
  <c r="X135" i="34"/>
  <c r="W109" i="215"/>
  <c r="W111" i="215" s="1"/>
  <c r="W119" i="79"/>
  <c r="W116" i="79"/>
  <c r="W115" i="79"/>
  <c r="W114" i="79"/>
  <c r="W118" i="79"/>
  <c r="T18" i="214"/>
  <c r="W117" i="79"/>
  <c r="X157" i="34"/>
  <c r="W133" i="215" s="1"/>
  <c r="X237" i="34"/>
  <c r="W214" i="215" s="1"/>
  <c r="X155" i="34"/>
  <c r="W131" i="215" s="1"/>
  <c r="X153" i="34"/>
  <c r="W113" i="79"/>
  <c r="X158" i="34"/>
  <c r="W134" i="215" s="1"/>
  <c r="X156" i="34"/>
  <c r="W132" i="215" s="1"/>
  <c r="X154" i="34"/>
  <c r="W130" i="215" s="1"/>
  <c r="X159" i="34"/>
  <c r="W135" i="215" s="1"/>
  <c r="P129" i="215"/>
  <c r="P136" i="215" s="1"/>
  <c r="Q160" i="34"/>
  <c r="Z94" i="79"/>
  <c r="S87" i="215"/>
  <c r="S106" i="215" s="1"/>
  <c r="T130" i="34"/>
  <c r="V94" i="79"/>
  <c r="S130" i="34"/>
  <c r="X87" i="215"/>
  <c r="X106" i="215" s="1"/>
  <c r="Y130" i="34"/>
  <c r="X98" i="79"/>
  <c r="T87" i="215"/>
  <c r="T106" i="215" s="1"/>
  <c r="U130" i="34"/>
  <c r="L130" i="34"/>
  <c r="L114" i="79"/>
  <c r="L119" i="79"/>
  <c r="L118" i="79"/>
  <c r="L117" i="79"/>
  <c r="I18" i="214"/>
  <c r="L116" i="79"/>
  <c r="L115" i="79"/>
  <c r="M157" i="34"/>
  <c r="L133" i="215" s="1"/>
  <c r="L113" i="79"/>
  <c r="M153" i="34"/>
  <c r="M237" i="34"/>
  <c r="L214" i="215" s="1"/>
  <c r="M159" i="34"/>
  <c r="L135" i="215" s="1"/>
  <c r="M155" i="34"/>
  <c r="L131" i="215" s="1"/>
  <c r="M154" i="34"/>
  <c r="L130" i="215" s="1"/>
  <c r="M156" i="34"/>
  <c r="L132" i="215" s="1"/>
  <c r="M158" i="34"/>
  <c r="L134" i="215" s="1"/>
  <c r="G73" i="103"/>
  <c r="G72" i="103"/>
  <c r="J120" i="79"/>
  <c r="J109" i="215"/>
  <c r="J111" i="215" s="1"/>
  <c r="K135" i="34"/>
  <c r="S129" i="215"/>
  <c r="Z135" i="34"/>
  <c r="Y109" i="215"/>
  <c r="Y111" i="215" s="1"/>
  <c r="J98" i="79"/>
  <c r="T135" i="34"/>
  <c r="S109" i="215"/>
  <c r="S111" i="215" s="1"/>
  <c r="W135" i="34"/>
  <c r="V109" i="215"/>
  <c r="V111" i="215" s="1"/>
  <c r="X118" i="79"/>
  <c r="U18" i="214"/>
  <c r="X115" i="79"/>
  <c r="X119" i="79"/>
  <c r="X116" i="79"/>
  <c r="X117" i="79"/>
  <c r="X114" i="79"/>
  <c r="Y158" i="34"/>
  <c r="X134" i="215" s="1"/>
  <c r="Y159" i="34"/>
  <c r="X135" i="215" s="1"/>
  <c r="Y155" i="34"/>
  <c r="X131" i="215" s="1"/>
  <c r="Y237" i="34"/>
  <c r="X214" i="215" s="1"/>
  <c r="X113" i="79"/>
  <c r="Y154" i="34"/>
  <c r="X130" i="215" s="1"/>
  <c r="Y156" i="34"/>
  <c r="X132" i="215" s="1"/>
  <c r="Y153" i="34"/>
  <c r="Y157" i="34"/>
  <c r="X133" i="215" s="1"/>
  <c r="K94" i="79"/>
  <c r="Y135" i="34"/>
  <c r="X109" i="215"/>
  <c r="X111" i="215" s="1"/>
  <c r="U135" i="34"/>
  <c r="T109" i="215"/>
  <c r="T111" i="215" s="1"/>
  <c r="Q130" i="34"/>
  <c r="F341" i="36"/>
  <c r="G71" i="103"/>
  <c r="J154" i="34"/>
  <c r="J155" i="34"/>
  <c r="J159" i="34"/>
  <c r="I118" i="79"/>
  <c r="J237" i="34"/>
  <c r="I214" i="215" s="1"/>
  <c r="I113" i="79"/>
  <c r="J158" i="34"/>
  <c r="J156" i="34"/>
  <c r="I114" i="79"/>
  <c r="J157" i="34"/>
  <c r="J153" i="34"/>
  <c r="I115" i="79"/>
  <c r="I117" i="79"/>
  <c r="I116" i="79"/>
  <c r="F18" i="214"/>
  <c r="I119" i="79"/>
  <c r="G70" i="103"/>
  <c r="R115" i="79"/>
  <c r="R117" i="79"/>
  <c r="O18" i="214"/>
  <c r="R119" i="79"/>
  <c r="R114" i="79"/>
  <c r="R118" i="79"/>
  <c r="R116" i="79"/>
  <c r="S158" i="34"/>
  <c r="R134" i="215" s="1"/>
  <c r="S155" i="34"/>
  <c r="R131" i="215" s="1"/>
  <c r="S157" i="34"/>
  <c r="R133" i="215" s="1"/>
  <c r="S156" i="34"/>
  <c r="R132" i="215" s="1"/>
  <c r="S159" i="34"/>
  <c r="R135" i="215" s="1"/>
  <c r="S237" i="34"/>
  <c r="R214" i="215" s="1"/>
  <c r="S154" i="34"/>
  <c r="R130" i="215" s="1"/>
  <c r="R113" i="79"/>
  <c r="S153" i="34"/>
  <c r="Q94" i="79"/>
  <c r="R135" i="34"/>
  <c r="Q109" i="215"/>
  <c r="Q111" i="215" s="1"/>
  <c r="Y119" i="79"/>
  <c r="Y116" i="79"/>
  <c r="Y114" i="79"/>
  <c r="Y117" i="79"/>
  <c r="V18" i="214"/>
  <c r="Y118" i="79"/>
  <c r="Y115" i="79"/>
  <c r="Z156" i="34"/>
  <c r="Y132" i="215" s="1"/>
  <c r="Z158" i="34"/>
  <c r="Y134" i="215" s="1"/>
  <c r="Z154" i="34"/>
  <c r="Y130" i="215" s="1"/>
  <c r="Z155" i="34"/>
  <c r="Y131" i="215" s="1"/>
  <c r="Z237" i="34"/>
  <c r="Y214" i="215" s="1"/>
  <c r="Z159" i="34"/>
  <c r="Y135" i="215" s="1"/>
  <c r="Z157" i="34"/>
  <c r="Y133" i="215" s="1"/>
  <c r="Y113" i="79"/>
  <c r="Z153" i="34"/>
  <c r="R109" i="215"/>
  <c r="R111" i="215" s="1"/>
  <c r="S135" i="34"/>
  <c r="W87" i="215"/>
  <c r="W106" i="215" s="1"/>
  <c r="X130" i="34"/>
  <c r="Y87" i="215"/>
  <c r="Y106" i="215" s="1"/>
  <c r="Z130" i="34"/>
  <c r="F342" i="36"/>
  <c r="W98" i="79"/>
  <c r="AA135" i="34"/>
  <c r="Z109" i="215"/>
  <c r="Z111" i="215" s="1"/>
  <c r="Z98" i="79"/>
  <c r="K130" i="34"/>
  <c r="J87" i="215"/>
  <c r="J106" i="215" s="1"/>
  <c r="W130" i="34"/>
  <c r="V87" i="215"/>
  <c r="V106" i="215" s="1"/>
  <c r="U87" i="215"/>
  <c r="U106" i="215" s="1"/>
  <c r="V130" i="34"/>
  <c r="U98" i="79"/>
  <c r="K106" i="215"/>
  <c r="J321" i="36"/>
  <c r="Z321" i="36" s="1"/>
  <c r="J315" i="36"/>
  <c r="Z315" i="36" s="1"/>
  <c r="J317" i="36"/>
  <c r="Z317" i="36" s="1"/>
  <c r="J313" i="36"/>
  <c r="J316" i="36"/>
  <c r="Z316" i="36" s="1"/>
  <c r="J314" i="36"/>
  <c r="Z314" i="36" s="1"/>
  <c r="J319" i="36"/>
  <c r="Z319" i="36" s="1"/>
  <c r="J318" i="36"/>
  <c r="Z318" i="36" s="1"/>
  <c r="J320" i="36"/>
  <c r="Z320" i="36" s="1"/>
  <c r="J155" i="36"/>
  <c r="I71" i="103" s="1"/>
  <c r="J153" i="36"/>
  <c r="I69" i="103" s="1"/>
  <c r="J158" i="36"/>
  <c r="I74" i="103" s="1"/>
  <c r="L265" i="34"/>
  <c r="AE265" i="34" s="1"/>
  <c r="J157" i="36"/>
  <c r="I73" i="103" s="1"/>
  <c r="J152" i="36"/>
  <c r="J156" i="36"/>
  <c r="I72" i="103" s="1"/>
  <c r="J154" i="36"/>
  <c r="I70" i="103" s="1"/>
  <c r="G68" i="103"/>
  <c r="Q87" i="215"/>
  <c r="Q106" i="215" s="1"/>
  <c r="R130" i="34"/>
  <c r="J129" i="215"/>
  <c r="J136" i="215" s="1"/>
  <c r="K160" i="34"/>
  <c r="Z313" i="36" l="1"/>
  <c r="J168" i="36"/>
  <c r="W160" i="34"/>
  <c r="W21" i="34" s="1"/>
  <c r="S19" i="104" s="1"/>
  <c r="V129" i="215"/>
  <c r="V136" i="215" s="1"/>
  <c r="Q120" i="79"/>
  <c r="Q122" i="79" s="1"/>
  <c r="V120" i="79"/>
  <c r="V122" i="79" s="1"/>
  <c r="S120" i="79"/>
  <c r="S122" i="79" s="1"/>
  <c r="S227" i="215" s="1"/>
  <c r="AD83" i="79"/>
  <c r="V160" i="34"/>
  <c r="V21" i="34" s="1"/>
  <c r="R19" i="104" s="1"/>
  <c r="T120" i="79"/>
  <c r="T122" i="79" s="1"/>
  <c r="Z136" i="215"/>
  <c r="Q136" i="215"/>
  <c r="Z120" i="79"/>
  <c r="Z122" i="79" s="1"/>
  <c r="AA250" i="34" s="1"/>
  <c r="U120" i="79"/>
  <c r="U122" i="79" s="1"/>
  <c r="U227" i="215" s="1"/>
  <c r="U160" i="34"/>
  <c r="U293" i="34" s="1"/>
  <c r="Q46" i="214" s="1"/>
  <c r="Z153" i="36"/>
  <c r="T160" i="34"/>
  <c r="T21" i="34" s="1"/>
  <c r="P19" i="104" s="1"/>
  <c r="R160" i="34"/>
  <c r="R293" i="34" s="1"/>
  <c r="N46" i="214" s="1"/>
  <c r="P122" i="79"/>
  <c r="P227" i="215" s="1"/>
  <c r="I68" i="103"/>
  <c r="F68" i="103" s="1"/>
  <c r="AA160" i="34"/>
  <c r="AA293" i="34" s="1"/>
  <c r="W46" i="214" s="1"/>
  <c r="J122" i="79"/>
  <c r="J227" i="215" s="1"/>
  <c r="T136" i="215"/>
  <c r="U136" i="215"/>
  <c r="L98" i="79"/>
  <c r="Z152" i="36"/>
  <c r="F71" i="103"/>
  <c r="S136" i="215"/>
  <c r="F73" i="103"/>
  <c r="AD84" i="79"/>
  <c r="K293" i="34"/>
  <c r="G46" i="214" s="1"/>
  <c r="K21" i="34"/>
  <c r="G19" i="104" s="1"/>
  <c r="K291" i="34"/>
  <c r="G44" i="214" s="1"/>
  <c r="K19" i="34"/>
  <c r="X19" i="34"/>
  <c r="X291" i="34"/>
  <c r="T44" i="214" s="1"/>
  <c r="F265" i="34"/>
  <c r="X129" i="215"/>
  <c r="X136" i="215" s="1"/>
  <c r="Y160" i="34"/>
  <c r="L129" i="215"/>
  <c r="L136" i="215" s="1"/>
  <c r="M160" i="34"/>
  <c r="W129" i="215"/>
  <c r="W136" i="215" s="1"/>
  <c r="X160" i="34"/>
  <c r="AD96" i="79"/>
  <c r="I98" i="79"/>
  <c r="I97" i="215"/>
  <c r="AE121" i="34"/>
  <c r="Z291" i="34"/>
  <c r="V44" i="214" s="1"/>
  <c r="Z19" i="34"/>
  <c r="Y120" i="79"/>
  <c r="Y122" i="79" s="1"/>
  <c r="R120" i="79"/>
  <c r="R122" i="79" s="1"/>
  <c r="F70" i="103"/>
  <c r="I134" i="215"/>
  <c r="L87" i="215"/>
  <c r="L106" i="215" s="1"/>
  <c r="M130" i="34"/>
  <c r="Z158" i="36"/>
  <c r="AE111" i="34"/>
  <c r="I87" i="215"/>
  <c r="J130" i="34"/>
  <c r="AD85" i="79"/>
  <c r="AE120" i="34"/>
  <c r="I96" i="215"/>
  <c r="R291" i="34"/>
  <c r="N44" i="214" s="1"/>
  <c r="R19" i="34"/>
  <c r="W291" i="34"/>
  <c r="S44" i="214" s="1"/>
  <c r="W19" i="34"/>
  <c r="Z154" i="36"/>
  <c r="I133" i="215"/>
  <c r="I120" i="79"/>
  <c r="I131" i="215"/>
  <c r="Z155" i="36"/>
  <c r="F72" i="103"/>
  <c r="Z157" i="36"/>
  <c r="L291" i="34"/>
  <c r="H44" i="214" s="1"/>
  <c r="L19" i="34"/>
  <c r="Y19" i="34"/>
  <c r="Y291" i="34"/>
  <c r="U44" i="214" s="1"/>
  <c r="T291" i="34"/>
  <c r="P44" i="214" s="1"/>
  <c r="T19" i="34"/>
  <c r="L94" i="79"/>
  <c r="M135" i="34"/>
  <c r="L109" i="215"/>
  <c r="L111" i="215" s="1"/>
  <c r="F74" i="103"/>
  <c r="AD86" i="79"/>
  <c r="E15" i="214"/>
  <c r="AE122" i="34"/>
  <c r="I98" i="215"/>
  <c r="H18" i="214"/>
  <c r="E18" i="214" s="1"/>
  <c r="K117" i="79"/>
  <c r="AD117" i="79" s="1"/>
  <c r="K119" i="79"/>
  <c r="AD119" i="79" s="1"/>
  <c r="K118" i="79"/>
  <c r="AD118" i="79" s="1"/>
  <c r="K115" i="79"/>
  <c r="AD115" i="79" s="1"/>
  <c r="K116" i="79"/>
  <c r="AD116" i="79" s="1"/>
  <c r="K114" i="79"/>
  <c r="AD114" i="79" s="1"/>
  <c r="L157" i="34"/>
  <c r="K133" i="215" s="1"/>
  <c r="L158" i="34"/>
  <c r="K134" i="215" s="1"/>
  <c r="L155" i="34"/>
  <c r="K131" i="215" s="1"/>
  <c r="L156" i="34"/>
  <c r="K132" i="215" s="1"/>
  <c r="K113" i="79"/>
  <c r="AD113" i="79" s="1"/>
  <c r="L154" i="34"/>
  <c r="K130" i="215" s="1"/>
  <c r="L159" i="34"/>
  <c r="K135" i="215" s="1"/>
  <c r="L237" i="34"/>
  <c r="K214" i="215" s="1"/>
  <c r="L153" i="34"/>
  <c r="AE153" i="34" s="1"/>
  <c r="Y129" i="215"/>
  <c r="Y136" i="215" s="1"/>
  <c r="Z160" i="34"/>
  <c r="S160" i="34"/>
  <c r="R129" i="215"/>
  <c r="R136" i="215" s="1"/>
  <c r="J160" i="34"/>
  <c r="I129" i="215"/>
  <c r="I132" i="215"/>
  <c r="S19" i="34"/>
  <c r="AE133" i="34"/>
  <c r="J135" i="34"/>
  <c r="I109" i="215"/>
  <c r="I110" i="215"/>
  <c r="AE134" i="34"/>
  <c r="I135" i="215"/>
  <c r="Q19" i="34"/>
  <c r="Q291" i="34"/>
  <c r="M44" i="214" s="1"/>
  <c r="L120" i="79"/>
  <c r="Q293" i="34"/>
  <c r="M46" i="214" s="1"/>
  <c r="Q21" i="34"/>
  <c r="M19" i="104" s="1"/>
  <c r="V291" i="34"/>
  <c r="R44" i="214" s="1"/>
  <c r="V19" i="34"/>
  <c r="I130" i="215"/>
  <c r="X120" i="79"/>
  <c r="X122" i="79" s="1"/>
  <c r="Z156" i="36"/>
  <c r="U19" i="34"/>
  <c r="U291" i="34"/>
  <c r="Q44" i="214" s="1"/>
  <c r="W120" i="79"/>
  <c r="W122" i="79" s="1"/>
  <c r="F69" i="103"/>
  <c r="AA291" i="34"/>
  <c r="W44" i="214" s="1"/>
  <c r="AA19" i="34"/>
  <c r="H16" i="214"/>
  <c r="E16" i="214" s="1"/>
  <c r="AE263" i="34"/>
  <c r="F263" i="34"/>
  <c r="AD75" i="79"/>
  <c r="I94" i="79"/>
  <c r="AD97" i="79"/>
  <c r="AE119" i="34"/>
  <c r="I95" i="215"/>
  <c r="W293" i="34" l="1"/>
  <c r="S46" i="214" s="1"/>
  <c r="Q250" i="34"/>
  <c r="K250" i="34"/>
  <c r="V293" i="34"/>
  <c r="R46" i="214" s="1"/>
  <c r="T293" i="34"/>
  <c r="P46" i="214" s="1"/>
  <c r="AE159" i="34"/>
  <c r="S123" i="79"/>
  <c r="R346" i="36" s="1"/>
  <c r="R264" i="36" s="1"/>
  <c r="U250" i="34"/>
  <c r="T123" i="79"/>
  <c r="S346" i="36" s="1"/>
  <c r="S286" i="36" s="1"/>
  <c r="T227" i="215"/>
  <c r="U21" i="34"/>
  <c r="Q19" i="104" s="1"/>
  <c r="J123" i="79"/>
  <c r="I346" i="36" s="1"/>
  <c r="I160" i="36" s="1"/>
  <c r="P123" i="79"/>
  <c r="O346" i="36" s="1"/>
  <c r="O267" i="36" s="1"/>
  <c r="R21" i="34"/>
  <c r="N19" i="104" s="1"/>
  <c r="U123" i="79"/>
  <c r="T346" i="36" s="1"/>
  <c r="T284" i="36" s="1"/>
  <c r="Z227" i="215"/>
  <c r="T250" i="34"/>
  <c r="V250" i="34"/>
  <c r="I122" i="79"/>
  <c r="I123" i="79" s="1"/>
  <c r="AA21" i="34"/>
  <c r="W19" i="104" s="1"/>
  <c r="Z123" i="79"/>
  <c r="Y346" i="36" s="1"/>
  <c r="Y79" i="36" s="1"/>
  <c r="AE154" i="34"/>
  <c r="I111" i="215"/>
  <c r="AE158" i="34"/>
  <c r="AE135" i="34"/>
  <c r="Q227" i="215"/>
  <c r="R250" i="34"/>
  <c r="Q123" i="79"/>
  <c r="P346" i="36" s="1"/>
  <c r="V227" i="215"/>
  <c r="W250" i="34"/>
  <c r="V123" i="79"/>
  <c r="U346" i="36" s="1"/>
  <c r="J21" i="34"/>
  <c r="J293" i="34"/>
  <c r="Z21" i="34"/>
  <c r="V19" i="104" s="1"/>
  <c r="Z293" i="34"/>
  <c r="V46" i="214" s="1"/>
  <c r="S250" i="34"/>
  <c r="R227" i="215"/>
  <c r="R123" i="79"/>
  <c r="Q346" i="36" s="1"/>
  <c r="L122" i="79"/>
  <c r="H17" i="104"/>
  <c r="S17" i="104"/>
  <c r="M21" i="34"/>
  <c r="I19" i="104" s="1"/>
  <c r="M293" i="34"/>
  <c r="I46" i="214" s="1"/>
  <c r="X227" i="215"/>
  <c r="Y250" i="34"/>
  <c r="X123" i="79"/>
  <c r="W346" i="36" s="1"/>
  <c r="R325" i="36"/>
  <c r="W17" i="104"/>
  <c r="Q17" i="104"/>
  <c r="O17" i="104"/>
  <c r="AE156" i="34"/>
  <c r="P17" i="104"/>
  <c r="U17" i="104"/>
  <c r="AE130" i="34"/>
  <c r="J19" i="34"/>
  <c r="J291" i="34"/>
  <c r="M291" i="34"/>
  <c r="I44" i="214" s="1"/>
  <c r="M19" i="34"/>
  <c r="V17" i="104"/>
  <c r="X21" i="34"/>
  <c r="T19" i="104" s="1"/>
  <c r="X293" i="34"/>
  <c r="T46" i="214" s="1"/>
  <c r="T17" i="104"/>
  <c r="N17" i="104"/>
  <c r="Z250" i="34"/>
  <c r="Y123" i="79"/>
  <c r="X346" i="36" s="1"/>
  <c r="Y227" i="215"/>
  <c r="X250" i="34"/>
  <c r="W227" i="215"/>
  <c r="W123" i="79"/>
  <c r="V346" i="36" s="1"/>
  <c r="M17" i="104"/>
  <c r="R17" i="104"/>
  <c r="I136" i="215"/>
  <c r="S21" i="34"/>
  <c r="O19" i="104" s="1"/>
  <c r="S293" i="34"/>
  <c r="O46" i="214" s="1"/>
  <c r="K129" i="215"/>
  <c r="K136" i="215" s="1"/>
  <c r="L160" i="34"/>
  <c r="AE160" i="34" s="1"/>
  <c r="K120" i="79"/>
  <c r="K122" i="79" s="1"/>
  <c r="AE155" i="34"/>
  <c r="AE157" i="34"/>
  <c r="I106" i="215"/>
  <c r="Y293" i="34"/>
  <c r="U46" i="214" s="1"/>
  <c r="Y21" i="34"/>
  <c r="U19" i="104" s="1"/>
  <c r="G17" i="104"/>
  <c r="I80" i="36" l="1"/>
  <c r="I277" i="36"/>
  <c r="I138" i="36"/>
  <c r="I123" i="36"/>
  <c r="H65" i="103" s="1"/>
  <c r="I243" i="36"/>
  <c r="I298" i="36"/>
  <c r="I263" i="36"/>
  <c r="I250" i="36"/>
  <c r="I266" i="36"/>
  <c r="I279" i="36"/>
  <c r="I238" i="36"/>
  <c r="I143" i="36"/>
  <c r="I245" i="36"/>
  <c r="I248" i="36"/>
  <c r="I223" i="36"/>
  <c r="I274" i="36"/>
  <c r="I239" i="36"/>
  <c r="I259" i="36"/>
  <c r="R148" i="36"/>
  <c r="R141" i="36"/>
  <c r="T288" i="36"/>
  <c r="R88" i="36"/>
  <c r="R149" i="36"/>
  <c r="R75" i="36"/>
  <c r="R260" i="36"/>
  <c r="R223" i="36"/>
  <c r="R134" i="36"/>
  <c r="T80" i="36"/>
  <c r="R300" i="36"/>
  <c r="R249" i="36"/>
  <c r="R253" i="36"/>
  <c r="T246" i="36"/>
  <c r="R217" i="36"/>
  <c r="R219" i="36" s="1"/>
  <c r="R112" i="36"/>
  <c r="R240" i="36"/>
  <c r="R229" i="36"/>
  <c r="R161" i="36"/>
  <c r="R117" i="36"/>
  <c r="R126" i="36"/>
  <c r="Q67" i="103" s="1"/>
  <c r="R102" i="36"/>
  <c r="R77" i="36"/>
  <c r="T106" i="36"/>
  <c r="S63" i="103" s="1"/>
  <c r="T270" i="36"/>
  <c r="R74" i="36"/>
  <c r="Q59" i="103" s="1"/>
  <c r="R258" i="36"/>
  <c r="R115" i="36"/>
  <c r="R278" i="36"/>
  <c r="R93" i="36"/>
  <c r="R66" i="36"/>
  <c r="R243" i="36"/>
  <c r="R239" i="36"/>
  <c r="R241" i="36"/>
  <c r="R110" i="36"/>
  <c r="R89" i="36"/>
  <c r="R263" i="36"/>
  <c r="R295" i="36"/>
  <c r="R122" i="36"/>
  <c r="R322" i="36"/>
  <c r="R312" i="36"/>
  <c r="R261" i="36"/>
  <c r="T146" i="36"/>
  <c r="R132" i="36"/>
  <c r="R131" i="36"/>
  <c r="R242" i="36"/>
  <c r="R297" i="36"/>
  <c r="R147" i="36"/>
  <c r="R118" i="36"/>
  <c r="R100" i="36"/>
  <c r="R78" i="36"/>
  <c r="I258" i="36"/>
  <c r="I70" i="36"/>
  <c r="I96" i="36"/>
  <c r="I132" i="36"/>
  <c r="I268" i="36"/>
  <c r="I95" i="36"/>
  <c r="I306" i="36"/>
  <c r="I309" i="36"/>
  <c r="I286" i="36"/>
  <c r="I83" i="36"/>
  <c r="I235" i="36"/>
  <c r="K267" i="34"/>
  <c r="I166" i="36"/>
  <c r="I304" i="36"/>
  <c r="I131" i="36"/>
  <c r="I94" i="36"/>
  <c r="I267" i="36"/>
  <c r="I128" i="36"/>
  <c r="I126" i="36"/>
  <c r="H67" i="103" s="1"/>
  <c r="I241" i="36"/>
  <c r="I121" i="36"/>
  <c r="I265" i="36"/>
  <c r="I137" i="36"/>
  <c r="I107" i="36"/>
  <c r="I105" i="36"/>
  <c r="H62" i="103" s="1"/>
  <c r="I283" i="36"/>
  <c r="I288" i="36"/>
  <c r="I145" i="36"/>
  <c r="I141" i="36"/>
  <c r="I151" i="36"/>
  <c r="I97" i="36"/>
  <c r="I310" i="36"/>
  <c r="I305" i="36"/>
  <c r="I276" i="36"/>
  <c r="I280" i="36"/>
  <c r="I299" i="36"/>
  <c r="I150" i="36"/>
  <c r="I162" i="36"/>
  <c r="I293" i="36"/>
  <c r="I129" i="36"/>
  <c r="I303" i="36"/>
  <c r="I85" i="36"/>
  <c r="R248" i="36"/>
  <c r="I106" i="36"/>
  <c r="H63" i="103" s="1"/>
  <c r="I307" i="36"/>
  <c r="I68" i="36"/>
  <c r="I164" i="36"/>
  <c r="I98" i="36"/>
  <c r="I255" i="36"/>
  <c r="I88" i="36"/>
  <c r="I233" i="36"/>
  <c r="I251" i="36"/>
  <c r="I116" i="36"/>
  <c r="I124" i="36"/>
  <c r="I291" i="36"/>
  <c r="I163" i="36"/>
  <c r="H75" i="103" s="1"/>
  <c r="I217" i="36"/>
  <c r="I219" i="36" s="1"/>
  <c r="I136" i="36"/>
  <c r="I127" i="36"/>
  <c r="I82" i="36"/>
  <c r="I119" i="36"/>
  <c r="I301" i="36"/>
  <c r="I294" i="36"/>
  <c r="I79" i="36"/>
  <c r="I100" i="36"/>
  <c r="I133" i="36"/>
  <c r="I86" i="36"/>
  <c r="I295" i="36"/>
  <c r="I159" i="36"/>
  <c r="I114" i="36"/>
  <c r="I99" i="36"/>
  <c r="I262" i="36"/>
  <c r="I246" i="36"/>
  <c r="I161" i="36"/>
  <c r="I253" i="36"/>
  <c r="I93" i="36"/>
  <c r="I76" i="36"/>
  <c r="I144" i="36"/>
  <c r="S278" i="36"/>
  <c r="I103" i="36"/>
  <c r="H61" i="103" s="1"/>
  <c r="I179" i="36"/>
  <c r="I113" i="36"/>
  <c r="H64" i="103" s="1"/>
  <c r="I15" i="36"/>
  <c r="H16" i="103" s="1"/>
  <c r="I125" i="36"/>
  <c r="H66" i="103" s="1"/>
  <c r="I296" i="36"/>
  <c r="I254" i="36"/>
  <c r="I108" i="36"/>
  <c r="I244" i="36"/>
  <c r="I247" i="36"/>
  <c r="I104" i="36"/>
  <c r="I275" i="36"/>
  <c r="I300" i="36"/>
  <c r="I236" i="36"/>
  <c r="I112" i="36"/>
  <c r="I326" i="36"/>
  <c r="I139" i="36"/>
  <c r="I323" i="36"/>
  <c r="I130" i="36"/>
  <c r="I257" i="36"/>
  <c r="I282" i="36"/>
  <c r="I102" i="36"/>
  <c r="I146" i="36"/>
  <c r="I242" i="36"/>
  <c r="I122" i="36"/>
  <c r="I225" i="36"/>
  <c r="I78" i="36"/>
  <c r="I284" i="36"/>
  <c r="I327" i="36"/>
  <c r="I270" i="36"/>
  <c r="I237" i="36"/>
  <c r="I142" i="36"/>
  <c r="I165" i="36"/>
  <c r="I149" i="36"/>
  <c r="I324" i="36"/>
  <c r="I308" i="36"/>
  <c r="I290" i="36"/>
  <c r="I252" i="36"/>
  <c r="I118" i="36"/>
  <c r="I101" i="36"/>
  <c r="I322" i="36"/>
  <c r="I75" i="36"/>
  <c r="I180" i="36"/>
  <c r="I81" i="36"/>
  <c r="I240" i="36"/>
  <c r="I184" i="36"/>
  <c r="I312" i="36"/>
  <c r="S257" i="36"/>
  <c r="O80" i="36"/>
  <c r="O322" i="36"/>
  <c r="I16" i="36"/>
  <c r="H17" i="103" s="1"/>
  <c r="I62" i="36"/>
  <c r="I90" i="36"/>
  <c r="I53" i="36"/>
  <c r="H51" i="103" s="1"/>
  <c r="H53" i="103" s="1"/>
  <c r="I92" i="36"/>
  <c r="H60" i="103" s="1"/>
  <c r="I74" i="36"/>
  <c r="H59" i="103" s="1"/>
  <c r="I115" i="36"/>
  <c r="I287" i="36"/>
  <c r="I63" i="36"/>
  <c r="I272" i="36"/>
  <c r="I256" i="36"/>
  <c r="I134" i="36"/>
  <c r="I260" i="36"/>
  <c r="I148" i="36"/>
  <c r="I271" i="36"/>
  <c r="I84" i="36"/>
  <c r="I135" i="36"/>
  <c r="I264" i="36"/>
  <c r="I273" i="36"/>
  <c r="I120" i="36"/>
  <c r="I77" i="36"/>
  <c r="I226" i="36"/>
  <c r="I147" i="36"/>
  <c r="I20" i="36"/>
  <c r="I297" i="36"/>
  <c r="I117" i="36"/>
  <c r="I261" i="36"/>
  <c r="I302" i="36"/>
  <c r="I311" i="36"/>
  <c r="I110" i="36"/>
  <c r="I89" i="36"/>
  <c r="I278" i="36"/>
  <c r="I111" i="36"/>
  <c r="I140" i="36"/>
  <c r="I285" i="36"/>
  <c r="I292" i="36"/>
  <c r="I87" i="36"/>
  <c r="I249" i="36"/>
  <c r="I91" i="36"/>
  <c r="I325" i="36"/>
  <c r="I229" i="36"/>
  <c r="I231" i="36"/>
  <c r="I269" i="36"/>
  <c r="I109" i="36"/>
  <c r="I281" i="36"/>
  <c r="I66" i="36"/>
  <c r="I289" i="36"/>
  <c r="S88" i="36"/>
  <c r="S66" i="36"/>
  <c r="S128" i="36"/>
  <c r="S75" i="36"/>
  <c r="O142" i="36"/>
  <c r="S139" i="36"/>
  <c r="S114" i="36"/>
  <c r="O120" i="36"/>
  <c r="S74" i="36"/>
  <c r="R59" i="103" s="1"/>
  <c r="S233" i="36"/>
  <c r="S107" i="36"/>
  <c r="Y283" i="36"/>
  <c r="O84" i="36"/>
  <c r="Y89" i="36"/>
  <c r="U267" i="34"/>
  <c r="S255" i="36"/>
  <c r="S231" i="36"/>
  <c r="S258" i="36"/>
  <c r="S116" i="36"/>
  <c r="S292" i="36"/>
  <c r="Y107" i="36"/>
  <c r="O98" i="36"/>
  <c r="O113" i="36"/>
  <c r="N64" i="103" s="1"/>
  <c r="O20" i="36"/>
  <c r="S325" i="36"/>
  <c r="S271" i="36"/>
  <c r="S312" i="36"/>
  <c r="S146" i="36"/>
  <c r="S295" i="36"/>
  <c r="O88" i="36"/>
  <c r="O310" i="36"/>
  <c r="I227" i="215"/>
  <c r="S16" i="36"/>
  <c r="R17" i="103" s="1"/>
  <c r="S112" i="36"/>
  <c r="S305" i="36"/>
  <c r="S20" i="36"/>
  <c r="S237" i="36"/>
  <c r="S124" i="36"/>
  <c r="S87" i="36"/>
  <c r="S109" i="36"/>
  <c r="S119" i="36"/>
  <c r="S240" i="36"/>
  <c r="O271" i="36"/>
  <c r="O260" i="36"/>
  <c r="O87" i="36"/>
  <c r="O149" i="36"/>
  <c r="J250" i="34"/>
  <c r="S179" i="36"/>
  <c r="S143" i="36"/>
  <c r="S290" i="36"/>
  <c r="S225" i="36"/>
  <c r="S309" i="36"/>
  <c r="S120" i="36"/>
  <c r="S148" i="36"/>
  <c r="S299" i="36"/>
  <c r="S101" i="36"/>
  <c r="S121" i="36"/>
  <c r="O133" i="36"/>
  <c r="O263" i="36"/>
  <c r="O138" i="36"/>
  <c r="O233" i="36"/>
  <c r="O162" i="36"/>
  <c r="T125" i="36"/>
  <c r="S66" i="103" s="1"/>
  <c r="T160" i="36"/>
  <c r="T96" i="36"/>
  <c r="R92" i="36"/>
  <c r="Q60" i="103" s="1"/>
  <c r="R123" i="36"/>
  <c r="Q65" i="103" s="1"/>
  <c r="R124" i="36"/>
  <c r="R291" i="36"/>
  <c r="R166" i="36"/>
  <c r="R276" i="36"/>
  <c r="R307" i="36"/>
  <c r="R290" i="36"/>
  <c r="R324" i="36"/>
  <c r="R251" i="36"/>
  <c r="R138" i="36"/>
  <c r="R303" i="36"/>
  <c r="R119" i="36"/>
  <c r="R86" i="36"/>
  <c r="R95" i="36"/>
  <c r="R144" i="36"/>
  <c r="R274" i="36"/>
  <c r="R327" i="36"/>
  <c r="R142" i="36"/>
  <c r="R294" i="36"/>
  <c r="R279" i="36"/>
  <c r="R127" i="36"/>
  <c r="R250" i="36"/>
  <c r="T63" i="36"/>
  <c r="T101" i="36"/>
  <c r="T240" i="36"/>
  <c r="T117" i="36"/>
  <c r="T303" i="36"/>
  <c r="T89" i="36"/>
  <c r="R106" i="36"/>
  <c r="Q63" i="103" s="1"/>
  <c r="R62" i="36"/>
  <c r="Q58" i="103" s="1"/>
  <c r="T267" i="34"/>
  <c r="R15" i="36"/>
  <c r="Q16" i="103" s="1"/>
  <c r="R270" i="36"/>
  <c r="R237" i="36"/>
  <c r="R129" i="36"/>
  <c r="R98" i="36"/>
  <c r="R256" i="36"/>
  <c r="R135" i="36"/>
  <c r="R292" i="36"/>
  <c r="R104" i="36"/>
  <c r="R244" i="36"/>
  <c r="R296" i="36"/>
  <c r="R114" i="36"/>
  <c r="R82" i="36"/>
  <c r="R287" i="36"/>
  <c r="R286" i="36"/>
  <c r="R165" i="36"/>
  <c r="R184" i="36"/>
  <c r="R302" i="36"/>
  <c r="R101" i="36"/>
  <c r="R265" i="36"/>
  <c r="R311" i="36"/>
  <c r="R146" i="36"/>
  <c r="R20" i="36"/>
  <c r="R120" i="36"/>
  <c r="R245" i="36"/>
  <c r="R293" i="36"/>
  <c r="R137" i="36"/>
  <c r="R236" i="36"/>
  <c r="R83" i="36"/>
  <c r="R266" i="36"/>
  <c r="R80" i="36"/>
  <c r="R84" i="36"/>
  <c r="R87" i="36"/>
  <c r="R268" i="36"/>
  <c r="R151" i="36"/>
  <c r="R109" i="36"/>
  <c r="R130" i="36"/>
  <c r="R226" i="36"/>
  <c r="R90" i="36"/>
  <c r="R289" i="36"/>
  <c r="R262" i="36"/>
  <c r="R323" i="36"/>
  <c r="R85" i="36"/>
  <c r="R280" i="36"/>
  <c r="R299" i="36"/>
  <c r="O85" i="36"/>
  <c r="O82" i="36"/>
  <c r="T254" i="36"/>
  <c r="T274" i="36"/>
  <c r="T164" i="36"/>
  <c r="R113" i="36"/>
  <c r="Q64" i="103" s="1"/>
  <c r="R16" i="36"/>
  <c r="Q17" i="103" s="1"/>
  <c r="R103" i="36"/>
  <c r="Q61" i="103" s="1"/>
  <c r="R145" i="36"/>
  <c r="R128" i="36"/>
  <c r="R283" i="36"/>
  <c r="R255" i="36"/>
  <c r="R252" i="36"/>
  <c r="R231" i="36"/>
  <c r="R238" i="36"/>
  <c r="R233" i="36"/>
  <c r="R76" i="36"/>
  <c r="R63" i="36"/>
  <c r="R306" i="36"/>
  <c r="R162" i="36"/>
  <c r="R91" i="36"/>
  <c r="R79" i="36"/>
  <c r="R273" i="36"/>
  <c r="R235" i="36"/>
  <c r="R143" i="36"/>
  <c r="R97" i="36"/>
  <c r="R304" i="36"/>
  <c r="R285" i="36"/>
  <c r="R259" i="36"/>
  <c r="T249" i="36"/>
  <c r="T324" i="36"/>
  <c r="T238" i="36"/>
  <c r="T261" i="36"/>
  <c r="T257" i="36"/>
  <c r="T237" i="36"/>
  <c r="R179" i="36"/>
  <c r="R125" i="36"/>
  <c r="Q66" i="103" s="1"/>
  <c r="R105" i="36"/>
  <c r="Q62" i="103" s="1"/>
  <c r="R53" i="36"/>
  <c r="Q51" i="103" s="1"/>
  <c r="Q53" i="103" s="1"/>
  <c r="R163" i="36"/>
  <c r="Q75" i="103" s="1"/>
  <c r="R326" i="36"/>
  <c r="R284" i="36"/>
  <c r="R140" i="36"/>
  <c r="R96" i="36"/>
  <c r="R159" i="36"/>
  <c r="R271" i="36"/>
  <c r="R99" i="36"/>
  <c r="R225" i="36"/>
  <c r="R116" i="36"/>
  <c r="R277" i="36"/>
  <c r="R288" i="36"/>
  <c r="R136" i="36"/>
  <c r="R310" i="36"/>
  <c r="R272" i="36"/>
  <c r="R269" i="36"/>
  <c r="R309" i="36"/>
  <c r="R267" i="36"/>
  <c r="R301" i="36"/>
  <c r="R298" i="36"/>
  <c r="R282" i="36"/>
  <c r="R180" i="36"/>
  <c r="R94" i="36"/>
  <c r="R139" i="36"/>
  <c r="R164" i="36"/>
  <c r="R70" i="36"/>
  <c r="R133" i="36"/>
  <c r="R254" i="36"/>
  <c r="R81" i="36"/>
  <c r="R281" i="36"/>
  <c r="R247" i="36"/>
  <c r="R308" i="36"/>
  <c r="R68" i="36"/>
  <c r="R257" i="36"/>
  <c r="R305" i="36"/>
  <c r="R160" i="36"/>
  <c r="R111" i="36"/>
  <c r="R246" i="36"/>
  <c r="R108" i="36"/>
  <c r="R121" i="36"/>
  <c r="R107" i="36"/>
  <c r="R275" i="36"/>
  <c r="R150" i="36"/>
  <c r="Y100" i="36"/>
  <c r="S123" i="36"/>
  <c r="R65" i="103" s="1"/>
  <c r="S113" i="36"/>
  <c r="R64" i="103" s="1"/>
  <c r="S223" i="36"/>
  <c r="S165" i="36"/>
  <c r="S244" i="36"/>
  <c r="S150" i="36"/>
  <c r="S140" i="36"/>
  <c r="S160" i="36"/>
  <c r="S127" i="36"/>
  <c r="S242" i="36"/>
  <c r="S296" i="36"/>
  <c r="S306" i="36"/>
  <c r="S77" i="36"/>
  <c r="S264" i="36"/>
  <c r="S254" i="36"/>
  <c r="S279" i="36"/>
  <c r="S283" i="36"/>
  <c r="S136" i="36"/>
  <c r="S246" i="36"/>
  <c r="S110" i="36"/>
  <c r="S259" i="36"/>
  <c r="Y62" i="36"/>
  <c r="X58" i="103" s="1"/>
  <c r="Y68" i="36"/>
  <c r="Y102" i="36"/>
  <c r="O289" i="36"/>
  <c r="O307" i="36"/>
  <c r="O262" i="36"/>
  <c r="O143" i="36"/>
  <c r="O298" i="36"/>
  <c r="O286" i="36"/>
  <c r="O305" i="36"/>
  <c r="O261" i="36"/>
  <c r="O79" i="36"/>
  <c r="O115" i="36"/>
  <c r="Y128" i="36"/>
  <c r="S15" i="36"/>
  <c r="R16" i="103" s="1"/>
  <c r="R22" i="103" s="1"/>
  <c r="S126" i="36"/>
  <c r="R67" i="103" s="1"/>
  <c r="S103" i="36"/>
  <c r="R61" i="103" s="1"/>
  <c r="S95" i="36"/>
  <c r="S322" i="36"/>
  <c r="S272" i="36"/>
  <c r="S293" i="36"/>
  <c r="S117" i="36"/>
  <c r="S253" i="36"/>
  <c r="S226" i="36"/>
  <c r="S243" i="36"/>
  <c r="S135" i="36"/>
  <c r="S98" i="36"/>
  <c r="S269" i="36"/>
  <c r="S79" i="36"/>
  <c r="S327" i="36"/>
  <c r="S298" i="36"/>
  <c r="S304" i="36"/>
  <c r="S78" i="36"/>
  <c r="S147" i="36"/>
  <c r="Y137" i="36"/>
  <c r="Y254" i="36"/>
  <c r="O150" i="36"/>
  <c r="O274" i="36"/>
  <c r="O127" i="36"/>
  <c r="O97" i="36"/>
  <c r="O131" i="36"/>
  <c r="O291" i="36"/>
  <c r="O268" i="36"/>
  <c r="O269" i="36"/>
  <c r="O280" i="36"/>
  <c r="O253" i="36"/>
  <c r="O285" i="36"/>
  <c r="O250" i="36"/>
  <c r="S307" i="36"/>
  <c r="S83" i="36"/>
  <c r="S294" i="36"/>
  <c r="S144" i="36"/>
  <c r="S284" i="36"/>
  <c r="S85" i="36"/>
  <c r="S297" i="36"/>
  <c r="S76" i="36"/>
  <c r="S248" i="36"/>
  <c r="S288" i="36"/>
  <c r="S323" i="36"/>
  <c r="S142" i="36"/>
  <c r="S96" i="36"/>
  <c r="S238" i="36"/>
  <c r="S159" i="36"/>
  <c r="S138" i="36"/>
  <c r="S115" i="36"/>
  <c r="S132" i="36"/>
  <c r="S263" i="36"/>
  <c r="S249" i="36"/>
  <c r="S276" i="36"/>
  <c r="S217" i="36"/>
  <c r="S219" i="36" s="1"/>
  <c r="S106" i="36"/>
  <c r="R63" i="103" s="1"/>
  <c r="S125" i="36"/>
  <c r="R66" i="103" s="1"/>
  <c r="S105" i="36"/>
  <c r="R62" i="103" s="1"/>
  <c r="S163" i="36"/>
  <c r="R75" i="103" s="1"/>
  <c r="S291" i="36"/>
  <c r="S300" i="36"/>
  <c r="S289" i="36"/>
  <c r="S274" i="36"/>
  <c r="S302" i="36"/>
  <c r="S277" i="36"/>
  <c r="S162" i="36"/>
  <c r="S281" i="36"/>
  <c r="S81" i="36"/>
  <c r="S97" i="36"/>
  <c r="S151" i="36"/>
  <c r="S239" i="36"/>
  <c r="S268" i="36"/>
  <c r="S63" i="36"/>
  <c r="S111" i="36"/>
  <c r="S129" i="36"/>
  <c r="S104" i="36"/>
  <c r="S82" i="36"/>
  <c r="S273" i="36"/>
  <c r="S301" i="36"/>
  <c r="S86" i="36"/>
  <c r="S145" i="36"/>
  <c r="S252" i="36"/>
  <c r="S280" i="36"/>
  <c r="S90" i="36"/>
  <c r="S141" i="36"/>
  <c r="S100" i="36"/>
  <c r="S267" i="36"/>
  <c r="S236" i="36"/>
  <c r="S134" i="36"/>
  <c r="S166" i="36"/>
  <c r="S68" i="36"/>
  <c r="S94" i="36"/>
  <c r="S287" i="36"/>
  <c r="S262" i="36"/>
  <c r="S122" i="36"/>
  <c r="S256" i="36"/>
  <c r="S326" i="36"/>
  <c r="T123" i="36"/>
  <c r="S65" i="103" s="1"/>
  <c r="T239" i="36"/>
  <c r="T120" i="36"/>
  <c r="T88" i="36"/>
  <c r="T236" i="36"/>
  <c r="T114" i="36"/>
  <c r="T97" i="36"/>
  <c r="T142" i="36"/>
  <c r="T159" i="36"/>
  <c r="T110" i="36"/>
  <c r="T135" i="36"/>
  <c r="O112" i="36"/>
  <c r="O324" i="36"/>
  <c r="O68" i="36"/>
  <c r="O278" i="36"/>
  <c r="O235" i="36"/>
  <c r="O244" i="36"/>
  <c r="O75" i="36"/>
  <c r="O217" i="36"/>
  <c r="O219" i="36" s="1"/>
  <c r="O272" i="36"/>
  <c r="O151" i="36"/>
  <c r="O326" i="36"/>
  <c r="O119" i="36"/>
  <c r="O323" i="36"/>
  <c r="O123" i="36"/>
  <c r="N65" i="103" s="1"/>
  <c r="O126" i="36"/>
  <c r="N67" i="103" s="1"/>
  <c r="O276" i="36"/>
  <c r="O240" i="36"/>
  <c r="O229" i="36"/>
  <c r="O16" i="36"/>
  <c r="N17" i="103" s="1"/>
  <c r="O238" i="36"/>
  <c r="O90" i="36"/>
  <c r="T109" i="36"/>
  <c r="T79" i="36"/>
  <c r="T102" i="36"/>
  <c r="T81" i="36"/>
  <c r="T290" i="36"/>
  <c r="T225" i="36"/>
  <c r="T85" i="36"/>
  <c r="T286" i="36"/>
  <c r="T293" i="36"/>
  <c r="T276" i="36"/>
  <c r="T128" i="36"/>
  <c r="T118" i="36"/>
  <c r="T161" i="36"/>
  <c r="T149" i="36"/>
  <c r="T325" i="36"/>
  <c r="T83" i="36"/>
  <c r="T256" i="36"/>
  <c r="T139" i="36"/>
  <c r="T75" i="36"/>
  <c r="T243" i="36"/>
  <c r="T76" i="36"/>
  <c r="T62" i="36"/>
  <c r="S58" i="103" s="1"/>
  <c r="T70" i="36"/>
  <c r="T74" i="36"/>
  <c r="S59" i="103" s="1"/>
  <c r="T134" i="36"/>
  <c r="T289" i="36"/>
  <c r="T141" i="36"/>
  <c r="T86" i="36"/>
  <c r="T311" i="36"/>
  <c r="T90" i="36"/>
  <c r="T87" i="36"/>
  <c r="T100" i="36"/>
  <c r="T327" i="36"/>
  <c r="T180" i="36"/>
  <c r="T91" i="36"/>
  <c r="T272" i="36"/>
  <c r="T94" i="36"/>
  <c r="T112" i="36"/>
  <c r="T116" i="36"/>
  <c r="T150" i="36"/>
  <c r="T115" i="36"/>
  <c r="T312" i="36"/>
  <c r="T235" i="36"/>
  <c r="T297" i="36"/>
  <c r="T259" i="36"/>
  <c r="T103" i="36"/>
  <c r="S61" i="103" s="1"/>
  <c r="T296" i="36"/>
  <c r="T217" i="36"/>
  <c r="T219" i="36" s="1"/>
  <c r="O283" i="36"/>
  <c r="O117" i="36"/>
  <c r="O83" i="36"/>
  <c r="O179" i="36"/>
  <c r="O306" i="36"/>
  <c r="O101" i="36"/>
  <c r="O102" i="36"/>
  <c r="O139" i="36"/>
  <c r="O243" i="36"/>
  <c r="O146" i="36"/>
  <c r="O135" i="36"/>
  <c r="O93" i="36"/>
  <c r="O62" i="36"/>
  <c r="N58" i="103" s="1"/>
  <c r="O15" i="36"/>
  <c r="N16" i="103" s="1"/>
  <c r="N22" i="103" s="1"/>
  <c r="O290" i="36"/>
  <c r="O148" i="36"/>
  <c r="O259" i="36"/>
  <c r="O118" i="36"/>
  <c r="O245" i="36"/>
  <c r="O95" i="36"/>
  <c r="O273" i="36"/>
  <c r="O180" i="36"/>
  <c r="O312" i="36"/>
  <c r="O147" i="36"/>
  <c r="O74" i="36"/>
  <c r="N59" i="103" s="1"/>
  <c r="O303" i="36"/>
  <c r="O96" i="36"/>
  <c r="O277" i="36"/>
  <c r="O325" i="36"/>
  <c r="O92" i="36"/>
  <c r="N60" i="103" s="1"/>
  <c r="O242" i="36"/>
  <c r="O248" i="36"/>
  <c r="O301" i="36"/>
  <c r="O270" i="36"/>
  <c r="O78" i="36"/>
  <c r="O89" i="36"/>
  <c r="O63" i="36"/>
  <c r="O77" i="36"/>
  <c r="O256" i="36"/>
  <c r="O114" i="36"/>
  <c r="O284" i="36"/>
  <c r="O252" i="36"/>
  <c r="O109" i="36"/>
  <c r="O225" i="36"/>
  <c r="O226" i="36"/>
  <c r="O81" i="36"/>
  <c r="O104" i="36"/>
  <c r="O86" i="36"/>
  <c r="O292" i="36"/>
  <c r="O144" i="36"/>
  <c r="O121" i="36"/>
  <c r="O308" i="36"/>
  <c r="O241" i="36"/>
  <c r="O293" i="36"/>
  <c r="O311" i="36"/>
  <c r="O264" i="36"/>
  <c r="O70" i="36"/>
  <c r="O160" i="36"/>
  <c r="O163" i="36"/>
  <c r="N75" i="103" s="1"/>
  <c r="O66" i="36"/>
  <c r="O327" i="36"/>
  <c r="O106" i="36"/>
  <c r="N63" i="103" s="1"/>
  <c r="O279" i="36"/>
  <c r="O94" i="36"/>
  <c r="O309" i="36"/>
  <c r="O99" i="36"/>
  <c r="O237" i="36"/>
  <c r="O125" i="36"/>
  <c r="N66" i="103" s="1"/>
  <c r="O145" i="36"/>
  <c r="O251" i="36"/>
  <c r="O165" i="36"/>
  <c r="O288" i="36"/>
  <c r="O254" i="36"/>
  <c r="Q267" i="34"/>
  <c r="O134" i="36"/>
  <c r="O111" i="36"/>
  <c r="O296" i="36"/>
  <c r="O275" i="36"/>
  <c r="O136" i="36"/>
  <c r="O297" i="36"/>
  <c r="O130" i="36"/>
  <c r="O141" i="36"/>
  <c r="O282" i="36"/>
  <c r="O184" i="36"/>
  <c r="O246" i="36"/>
  <c r="O76" i="36"/>
  <c r="O53" i="36"/>
  <c r="O55" i="36" s="1"/>
  <c r="O236" i="36"/>
  <c r="O302" i="36"/>
  <c r="O166" i="36"/>
  <c r="O239" i="36"/>
  <c r="O124" i="36"/>
  <c r="O281" i="36"/>
  <c r="O258" i="36"/>
  <c r="O140" i="36"/>
  <c r="O137" i="36"/>
  <c r="O129" i="36"/>
  <c r="O304" i="36"/>
  <c r="O110" i="36"/>
  <c r="O265" i="36"/>
  <c r="O257" i="36"/>
  <c r="O287" i="36"/>
  <c r="S53" i="36"/>
  <c r="S55" i="36" s="1"/>
  <c r="S62" i="36"/>
  <c r="R58" i="103" s="1"/>
  <c r="S310" i="36"/>
  <c r="S92" i="36"/>
  <c r="R60" i="103" s="1"/>
  <c r="S308" i="36"/>
  <c r="S241" i="36"/>
  <c r="S275" i="36"/>
  <c r="S84" i="36"/>
  <c r="S251" i="36"/>
  <c r="S245" i="36"/>
  <c r="S149" i="36"/>
  <c r="S260" i="36"/>
  <c r="S70" i="36"/>
  <c r="S89" i="36"/>
  <c r="S311" i="36"/>
  <c r="S137" i="36"/>
  <c r="S91" i="36"/>
  <c r="S93" i="36"/>
  <c r="S229" i="36"/>
  <c r="S164" i="36"/>
  <c r="S161" i="36"/>
  <c r="S265" i="36"/>
  <c r="S324" i="36"/>
  <c r="S130" i="36"/>
  <c r="S102" i="36"/>
  <c r="S133" i="36"/>
  <c r="S261" i="36"/>
  <c r="S108" i="36"/>
  <c r="S303" i="36"/>
  <c r="S247" i="36"/>
  <c r="S235" i="36"/>
  <c r="S266" i="36"/>
  <c r="S180" i="36"/>
  <c r="S131" i="36"/>
  <c r="S80" i="36"/>
  <c r="S250" i="36"/>
  <c r="S118" i="36"/>
  <c r="S282" i="36"/>
  <c r="S285" i="36"/>
  <c r="S184" i="36"/>
  <c r="S99" i="36"/>
  <c r="S270" i="36"/>
  <c r="T147" i="36"/>
  <c r="T223" i="36"/>
  <c r="T307" i="36"/>
  <c r="T275" i="36"/>
  <c r="T133" i="36"/>
  <c r="T77" i="36"/>
  <c r="T119" i="36"/>
  <c r="T262" i="36"/>
  <c r="T99" i="36"/>
  <c r="T248" i="36"/>
  <c r="T299" i="36"/>
  <c r="T229" i="36"/>
  <c r="O159" i="36"/>
  <c r="O294" i="36"/>
  <c r="O122" i="36"/>
  <c r="O161" i="36"/>
  <c r="O116" i="36"/>
  <c r="O103" i="36"/>
  <c r="N61" i="103" s="1"/>
  <c r="O231" i="36"/>
  <c r="O132" i="36"/>
  <c r="O107" i="36"/>
  <c r="O164" i="36"/>
  <c r="O100" i="36"/>
  <c r="O91" i="36"/>
  <c r="O255" i="36"/>
  <c r="O299" i="36"/>
  <c r="O223" i="36"/>
  <c r="O249" i="36"/>
  <c r="O247" i="36"/>
  <c r="O105" i="36"/>
  <c r="N62" i="103" s="1"/>
  <c r="O128" i="36"/>
  <c r="Y148" i="36"/>
  <c r="Y122" i="36"/>
  <c r="Y146" i="36"/>
  <c r="Y82" i="36"/>
  <c r="Y250" i="36"/>
  <c r="Y302" i="36"/>
  <c r="Y105" i="36"/>
  <c r="X62" i="103" s="1"/>
  <c r="Y264" i="36"/>
  <c r="Y88" i="36"/>
  <c r="Y130" i="36"/>
  <c r="Y297" i="36"/>
  <c r="Y295" i="36"/>
  <c r="Y327" i="36"/>
  <c r="O295" i="36"/>
  <c r="O300" i="36"/>
  <c r="O108" i="36"/>
  <c r="O266" i="36"/>
  <c r="Y98" i="36"/>
  <c r="Y259" i="36"/>
  <c r="Y114" i="36"/>
  <c r="Y301" i="36"/>
  <c r="Y104" i="36"/>
  <c r="Y83" i="36"/>
  <c r="Y246" i="36"/>
  <c r="Y120" i="36"/>
  <c r="Y290" i="36"/>
  <c r="Y166" i="36"/>
  <c r="Y135" i="36"/>
  <c r="Y233" i="36"/>
  <c r="T163" i="36"/>
  <c r="S75" i="103" s="1"/>
  <c r="V267" i="34"/>
  <c r="T258" i="36"/>
  <c r="T15" i="36"/>
  <c r="S16" i="103" s="1"/>
  <c r="T16" i="36"/>
  <c r="S17" i="103" s="1"/>
  <c r="T145" i="36"/>
  <c r="T92" i="36"/>
  <c r="S60" i="103" s="1"/>
  <c r="T132" i="36"/>
  <c r="T305" i="36"/>
  <c r="T247" i="36"/>
  <c r="T84" i="36"/>
  <c r="T283" i="36"/>
  <c r="T251" i="36"/>
  <c r="T326" i="36"/>
  <c r="T285" i="36"/>
  <c r="T140" i="36"/>
  <c r="T148" i="36"/>
  <c r="T260" i="36"/>
  <c r="T308" i="36"/>
  <c r="T298" i="36"/>
  <c r="T82" i="36"/>
  <c r="T281" i="36"/>
  <c r="T271" i="36"/>
  <c r="T131" i="36"/>
  <c r="T278" i="36"/>
  <c r="T162" i="36"/>
  <c r="T253" i="36"/>
  <c r="T165" i="36"/>
  <c r="T111" i="36"/>
  <c r="T280" i="36"/>
  <c r="T144" i="36"/>
  <c r="T231" i="36"/>
  <c r="T265" i="36"/>
  <c r="T291" i="36"/>
  <c r="T266" i="36"/>
  <c r="T255" i="36"/>
  <c r="T151" i="36"/>
  <c r="T184" i="36"/>
  <c r="T104" i="36"/>
  <c r="T244" i="36"/>
  <c r="T241" i="36"/>
  <c r="T130" i="36"/>
  <c r="T95" i="36"/>
  <c r="T306" i="36"/>
  <c r="T233" i="36"/>
  <c r="T268" i="36"/>
  <c r="T166" i="36"/>
  <c r="T68" i="36"/>
  <c r="Y15" i="36"/>
  <c r="X16" i="103" s="1"/>
  <c r="Y103" i="36"/>
  <c r="X61" i="103" s="1"/>
  <c r="Y70" i="36"/>
  <c r="Y307" i="36"/>
  <c r="Y305" i="36"/>
  <c r="Y262" i="36"/>
  <c r="Y277" i="36"/>
  <c r="Y96" i="36"/>
  <c r="Y266" i="36"/>
  <c r="Y149" i="36"/>
  <c r="Y91" i="36"/>
  <c r="Y97" i="36"/>
  <c r="T136" i="36"/>
  <c r="T179" i="36"/>
  <c r="T186" i="36" s="1"/>
  <c r="T53" i="36"/>
  <c r="S51" i="103" s="1"/>
  <c r="S53" i="103" s="1"/>
  <c r="T105" i="36"/>
  <c r="S62" i="103" s="1"/>
  <c r="T126" i="36"/>
  <c r="S67" i="103" s="1"/>
  <c r="T113" i="36"/>
  <c r="S64" i="103" s="1"/>
  <c r="T129" i="36"/>
  <c r="T250" i="36"/>
  <c r="T267" i="36"/>
  <c r="T323" i="36"/>
  <c r="T302" i="36"/>
  <c r="T322" i="36"/>
  <c r="T295" i="36"/>
  <c r="T301" i="36"/>
  <c r="T245" i="36"/>
  <c r="T66" i="36"/>
  <c r="T138" i="36"/>
  <c r="T273" i="36"/>
  <c r="T122" i="36"/>
  <c r="T252" i="36"/>
  <c r="T287" i="36"/>
  <c r="T226" i="36"/>
  <c r="T127" i="36"/>
  <c r="T277" i="36"/>
  <c r="T279" i="36"/>
  <c r="T242" i="36"/>
  <c r="T20" i="36"/>
  <c r="T263" i="36"/>
  <c r="T294" i="36"/>
  <c r="T269" i="36"/>
  <c r="T98" i="36"/>
  <c r="T107" i="36"/>
  <c r="T121" i="36"/>
  <c r="T78" i="36"/>
  <c r="T108" i="36"/>
  <c r="T309" i="36"/>
  <c r="T143" i="36"/>
  <c r="T282" i="36"/>
  <c r="T264" i="36"/>
  <c r="T93" i="36"/>
  <c r="T310" i="36"/>
  <c r="T304" i="36"/>
  <c r="T124" i="36"/>
  <c r="T292" i="36"/>
  <c r="T137" i="36"/>
  <c r="T300" i="36"/>
  <c r="Y106" i="36"/>
  <c r="X63" i="103" s="1"/>
  <c r="Y92" i="36"/>
  <c r="X60" i="103" s="1"/>
  <c r="Y134" i="36"/>
  <c r="Y85" i="36"/>
  <c r="Y240" i="36"/>
  <c r="Y164" i="36"/>
  <c r="Y231" i="36"/>
  <c r="Y160" i="36"/>
  <c r="Y309" i="36"/>
  <c r="Y112" i="36"/>
  <c r="Y257" i="36"/>
  <c r="Y235" i="36"/>
  <c r="Y287" i="36"/>
  <c r="Y284" i="36"/>
  <c r="Y298" i="36"/>
  <c r="Y140" i="36"/>
  <c r="Y241" i="36"/>
  <c r="Y303" i="36"/>
  <c r="Y124" i="36"/>
  <c r="Y292" i="36"/>
  <c r="Y311" i="36"/>
  <c r="Y275" i="36"/>
  <c r="Y253" i="36"/>
  <c r="Y113" i="36"/>
  <c r="X64" i="103" s="1"/>
  <c r="Y163" i="36"/>
  <c r="X75" i="103" s="1"/>
  <c r="Y119" i="36"/>
  <c r="Y125" i="36"/>
  <c r="X66" i="103" s="1"/>
  <c r="Y123" i="36"/>
  <c r="X65" i="103" s="1"/>
  <c r="Y274" i="36"/>
  <c r="Y77" i="36"/>
  <c r="Y225" i="36"/>
  <c r="Y116" i="36"/>
  <c r="Y20" i="36"/>
  <c r="Y90" i="36"/>
  <c r="Y127" i="36"/>
  <c r="Y268" i="36"/>
  <c r="Y293" i="36"/>
  <c r="Y260" i="36"/>
  <c r="Y63" i="36"/>
  <c r="Y249" i="36"/>
  <c r="Y159" i="36"/>
  <c r="Y87" i="36"/>
  <c r="Y265" i="36"/>
  <c r="Y165" i="36"/>
  <c r="Y255" i="36"/>
  <c r="Y237" i="36"/>
  <c r="Y139" i="36"/>
  <c r="Y132" i="36"/>
  <c r="Y161" i="36"/>
  <c r="Y243" i="36"/>
  <c r="Y282" i="36"/>
  <c r="Y117" i="36"/>
  <c r="Y136" i="36"/>
  <c r="Y304" i="36"/>
  <c r="Y296" i="36"/>
  <c r="Y286" i="36"/>
  <c r="Y109" i="36"/>
  <c r="Y141" i="36"/>
  <c r="Y280" i="36"/>
  <c r="Y245" i="36"/>
  <c r="Y242" i="36"/>
  <c r="Y94" i="36"/>
  <c r="Y143" i="36"/>
  <c r="Y95" i="36"/>
  <c r="Y270" i="36"/>
  <c r="Y288" i="36"/>
  <c r="Y310" i="36"/>
  <c r="Y247" i="36"/>
  <c r="Y251" i="36"/>
  <c r="Y248" i="36"/>
  <c r="Y312" i="36"/>
  <c r="Y53" i="36"/>
  <c r="X51" i="103" s="1"/>
  <c r="X53" i="103" s="1"/>
  <c r="Y223" i="36"/>
  <c r="Y142" i="36"/>
  <c r="Y80" i="36"/>
  <c r="Y150" i="36"/>
  <c r="Y322" i="36"/>
  <c r="Y76" i="36"/>
  <c r="Y66" i="36"/>
  <c r="Y289" i="36"/>
  <c r="Y236" i="36"/>
  <c r="Y131" i="36"/>
  <c r="Y326" i="36"/>
  <c r="Y78" i="36"/>
  <c r="Y121" i="36"/>
  <c r="Y151" i="36"/>
  <c r="Y325" i="36"/>
  <c r="Y324" i="36"/>
  <c r="Y238" i="36"/>
  <c r="Y244" i="36"/>
  <c r="Y133" i="36"/>
  <c r="Y75" i="36"/>
  <c r="Y300" i="36"/>
  <c r="Y258" i="36"/>
  <c r="Y299" i="36"/>
  <c r="Y126" i="36"/>
  <c r="X67" i="103" s="1"/>
  <c r="AA267" i="34"/>
  <c r="Y179" i="36"/>
  <c r="Y74" i="36"/>
  <c r="X59" i="103" s="1"/>
  <c r="Y101" i="36"/>
  <c r="Y217" i="36"/>
  <c r="Y219" i="36" s="1"/>
  <c r="Y16" i="36"/>
  <c r="X17" i="103" s="1"/>
  <c r="Y272" i="36"/>
  <c r="Y308" i="36"/>
  <c r="Y93" i="36"/>
  <c r="Y269" i="36"/>
  <c r="Y273" i="36"/>
  <c r="Y252" i="36"/>
  <c r="Y138" i="36"/>
  <c r="Y180" i="36"/>
  <c r="Y110" i="36"/>
  <c r="Y267" i="36"/>
  <c r="Y81" i="36"/>
  <c r="Y84" i="36"/>
  <c r="Y263" i="36"/>
  <c r="Y291" i="36"/>
  <c r="Y285" i="36"/>
  <c r="Y226" i="36"/>
  <c r="Y276" i="36"/>
  <c r="Y306" i="36"/>
  <c r="Y184" i="36"/>
  <c r="Y278" i="36"/>
  <c r="Y145" i="36"/>
  <c r="Y294" i="36"/>
  <c r="Y239" i="36"/>
  <c r="Y118" i="36"/>
  <c r="Y281" i="36"/>
  <c r="Y323" i="36"/>
  <c r="Y162" i="36"/>
  <c r="Y229" i="36"/>
  <c r="Y144" i="36"/>
  <c r="Y279" i="36"/>
  <c r="Y129" i="36"/>
  <c r="Y115" i="36"/>
  <c r="Y261" i="36"/>
  <c r="Y99" i="36"/>
  <c r="Y108" i="36"/>
  <c r="Y111" i="36"/>
  <c r="Y271" i="36"/>
  <c r="Y147" i="36"/>
  <c r="Y86" i="36"/>
  <c r="Y256" i="36"/>
  <c r="W166" i="36"/>
  <c r="W283" i="36"/>
  <c r="W77" i="36"/>
  <c r="W91" i="36"/>
  <c r="W180" i="36"/>
  <c r="W307" i="36"/>
  <c r="W282" i="36"/>
  <c r="W117" i="36"/>
  <c r="W293" i="36"/>
  <c r="W131" i="36"/>
  <c r="W96" i="36"/>
  <c r="W236" i="36"/>
  <c r="W291" i="36"/>
  <c r="W299" i="36"/>
  <c r="W260" i="36"/>
  <c r="W150" i="36"/>
  <c r="W147" i="36"/>
  <c r="W239" i="36"/>
  <c r="W226" i="36"/>
  <c r="W164" i="36"/>
  <c r="W70" i="36"/>
  <c r="W269" i="36"/>
  <c r="W128" i="36"/>
  <c r="W140" i="36"/>
  <c r="W109" i="36"/>
  <c r="W297" i="36"/>
  <c r="W261" i="36"/>
  <c r="W102" i="36"/>
  <c r="W89" i="36"/>
  <c r="W76" i="36"/>
  <c r="W306" i="36"/>
  <c r="W267" i="36"/>
  <c r="W311" i="36"/>
  <c r="W231" i="36"/>
  <c r="W247" i="36"/>
  <c r="W229" i="36"/>
  <c r="W264" i="36"/>
  <c r="W286" i="36"/>
  <c r="W262" i="36"/>
  <c r="W138" i="36"/>
  <c r="W296" i="36"/>
  <c r="W136" i="36"/>
  <c r="W124" i="36"/>
  <c r="W324" i="36"/>
  <c r="W305" i="36"/>
  <c r="W111" i="36"/>
  <c r="W256" i="36"/>
  <c r="W238" i="36"/>
  <c r="W84" i="36"/>
  <c r="W254" i="36"/>
  <c r="W184" i="36"/>
  <c r="W270" i="36"/>
  <c r="W266" i="36"/>
  <c r="W268" i="36"/>
  <c r="W139" i="36"/>
  <c r="W322" i="36"/>
  <c r="W79" i="36"/>
  <c r="W243" i="36"/>
  <c r="W310" i="36"/>
  <c r="W122" i="36"/>
  <c r="W251" i="36"/>
  <c r="W275" i="36"/>
  <c r="W120" i="36"/>
  <c r="W104" i="36"/>
  <c r="W303" i="36"/>
  <c r="W107" i="36"/>
  <c r="W162" i="36"/>
  <c r="W87" i="36"/>
  <c r="W88" i="36"/>
  <c r="W304" i="36"/>
  <c r="W233" i="36"/>
  <c r="W151" i="36"/>
  <c r="W127" i="36"/>
  <c r="W325" i="36"/>
  <c r="W308" i="36"/>
  <c r="W129" i="36"/>
  <c r="W298" i="36"/>
  <c r="W326" i="36"/>
  <c r="W323" i="36"/>
  <c r="W225" i="36"/>
  <c r="W235" i="36"/>
  <c r="W280" i="36"/>
  <c r="W99" i="36"/>
  <c r="W277" i="36"/>
  <c r="W148" i="36"/>
  <c r="W93" i="36"/>
  <c r="W130" i="36"/>
  <c r="W132" i="36"/>
  <c r="W85" i="36"/>
  <c r="W295" i="36"/>
  <c r="W309" i="36"/>
  <c r="W289" i="36"/>
  <c r="W68" i="36"/>
  <c r="W134" i="36"/>
  <c r="W165" i="36"/>
  <c r="W146" i="36"/>
  <c r="W161" i="36"/>
  <c r="W90" i="36"/>
  <c r="W249" i="36"/>
  <c r="W149" i="36"/>
  <c r="W263" i="36"/>
  <c r="W265" i="36"/>
  <c r="W279" i="36"/>
  <c r="W159" i="36"/>
  <c r="W276" i="36"/>
  <c r="W121" i="36"/>
  <c r="W80" i="36"/>
  <c r="W242" i="36"/>
  <c r="W160" i="36"/>
  <c r="W95" i="36"/>
  <c r="W82" i="36"/>
  <c r="W81" i="36"/>
  <c r="W271" i="36"/>
  <c r="W273" i="36"/>
  <c r="W83" i="36"/>
  <c r="W237" i="36"/>
  <c r="W288" i="36"/>
  <c r="W301" i="36"/>
  <c r="W240" i="36"/>
  <c r="W94" i="36"/>
  <c r="W133" i="36"/>
  <c r="W284" i="36"/>
  <c r="W246" i="36"/>
  <c r="W142" i="36"/>
  <c r="W63" i="36"/>
  <c r="W250" i="36"/>
  <c r="W248" i="36"/>
  <c r="W145" i="36"/>
  <c r="W75" i="36"/>
  <c r="W327" i="36"/>
  <c r="W118" i="36"/>
  <c r="W135" i="36"/>
  <c r="W115" i="36"/>
  <c r="W255" i="36"/>
  <c r="W290" i="36"/>
  <c r="W119" i="36"/>
  <c r="W253" i="36"/>
  <c r="W259" i="36"/>
  <c r="W278" i="36"/>
  <c r="W108" i="36"/>
  <c r="W98" i="36"/>
  <c r="W287" i="36"/>
  <c r="W244" i="36"/>
  <c r="W144" i="36"/>
  <c r="W245" i="36"/>
  <c r="W112" i="36"/>
  <c r="W110" i="36"/>
  <c r="W252" i="36"/>
  <c r="W100" i="36"/>
  <c r="W74" i="36"/>
  <c r="V59" i="103" s="1"/>
  <c r="W106" i="36"/>
  <c r="V63" i="103" s="1"/>
  <c r="W20" i="36"/>
  <c r="W274" i="36"/>
  <c r="W312" i="36"/>
  <c r="W272" i="36"/>
  <c r="W292" i="36"/>
  <c r="W116" i="36"/>
  <c r="W257" i="36"/>
  <c r="W137" i="36"/>
  <c r="W141" i="36"/>
  <c r="W143" i="36"/>
  <c r="W258" i="36"/>
  <c r="W66" i="36"/>
  <c r="W101" i="36"/>
  <c r="W78" i="36"/>
  <c r="W125" i="36"/>
  <c r="V66" i="103" s="1"/>
  <c r="W97" i="36"/>
  <c r="W294" i="36"/>
  <c r="W86" i="36"/>
  <c r="X83" i="215" s="1"/>
  <c r="W114" i="36"/>
  <c r="W105" i="36"/>
  <c r="V62" i="103" s="1"/>
  <c r="W163" i="36"/>
  <c r="V75" i="103" s="1"/>
  <c r="W92" i="36"/>
  <c r="V60" i="103" s="1"/>
  <c r="W15" i="36"/>
  <c r="W179" i="36"/>
  <c r="W113" i="36"/>
  <c r="V64" i="103" s="1"/>
  <c r="W217" i="36"/>
  <c r="W219" i="36" s="1"/>
  <c r="Y267" i="34"/>
  <c r="W126" i="36"/>
  <c r="V67" i="103" s="1"/>
  <c r="W53" i="36"/>
  <c r="W302" i="36"/>
  <c r="W285" i="36"/>
  <c r="W123" i="36"/>
  <c r="V65" i="103" s="1"/>
  <c r="W103" i="36"/>
  <c r="V61" i="103" s="1"/>
  <c r="W300" i="36"/>
  <c r="W241" i="36"/>
  <c r="W62" i="36"/>
  <c r="W281" i="36"/>
  <c r="W223" i="36"/>
  <c r="W16" i="36"/>
  <c r="V17" i="103" s="1"/>
  <c r="F19" i="104"/>
  <c r="P300" i="36"/>
  <c r="P89" i="36"/>
  <c r="P253" i="36"/>
  <c r="P111" i="36"/>
  <c r="P258" i="36"/>
  <c r="P240" i="36"/>
  <c r="P136" i="36"/>
  <c r="P115" i="36"/>
  <c r="P308" i="36"/>
  <c r="P148" i="36"/>
  <c r="P94" i="36"/>
  <c r="P90" i="36"/>
  <c r="P99" i="36"/>
  <c r="P257" i="36"/>
  <c r="P271" i="36"/>
  <c r="P162" i="36"/>
  <c r="P79" i="36"/>
  <c r="P142" i="36"/>
  <c r="P130" i="36"/>
  <c r="P165" i="36"/>
  <c r="P63" i="36"/>
  <c r="P77" i="36"/>
  <c r="P246" i="36"/>
  <c r="P303" i="36"/>
  <c r="P243" i="36"/>
  <c r="P66" i="36"/>
  <c r="P114" i="36"/>
  <c r="P312" i="36"/>
  <c r="P311" i="36"/>
  <c r="P249" i="36"/>
  <c r="P278" i="36"/>
  <c r="P298" i="36"/>
  <c r="P147" i="36"/>
  <c r="P282" i="36"/>
  <c r="P87" i="36"/>
  <c r="P266" i="36"/>
  <c r="P261" i="36"/>
  <c r="P138" i="36"/>
  <c r="P121" i="36"/>
  <c r="P238" i="36"/>
  <c r="P268" i="36"/>
  <c r="P83" i="36"/>
  <c r="P86" i="36"/>
  <c r="P118" i="36"/>
  <c r="P164" i="36"/>
  <c r="P239" i="36"/>
  <c r="P76" i="36"/>
  <c r="P70" i="36"/>
  <c r="P326" i="36"/>
  <c r="P323" i="36"/>
  <c r="P108" i="36"/>
  <c r="P119" i="36"/>
  <c r="P166" i="36"/>
  <c r="P325" i="36"/>
  <c r="P245" i="36"/>
  <c r="P272" i="36"/>
  <c r="P274" i="36"/>
  <c r="P159" i="36"/>
  <c r="P124" i="36"/>
  <c r="P161" i="36"/>
  <c r="P269" i="36"/>
  <c r="P287" i="36"/>
  <c r="P120" i="36"/>
  <c r="P146" i="36"/>
  <c r="P299" i="36"/>
  <c r="P236" i="36"/>
  <c r="P102" i="36"/>
  <c r="P296" i="36"/>
  <c r="P248" i="36"/>
  <c r="P304" i="36"/>
  <c r="P75" i="36"/>
  <c r="P231" i="36"/>
  <c r="P290" i="36"/>
  <c r="P112" i="36"/>
  <c r="P281" i="36"/>
  <c r="P107" i="36"/>
  <c r="P117" i="36"/>
  <c r="P80" i="36"/>
  <c r="P127" i="36"/>
  <c r="P129" i="36"/>
  <c r="P184" i="36"/>
  <c r="P285" i="36"/>
  <c r="P276" i="36"/>
  <c r="P149" i="36"/>
  <c r="P252" i="36"/>
  <c r="P251" i="36"/>
  <c r="P160" i="36"/>
  <c r="P143" i="36"/>
  <c r="P235" i="36"/>
  <c r="P254" i="36"/>
  <c r="P270" i="36"/>
  <c r="P141" i="36"/>
  <c r="P116" i="36"/>
  <c r="P237" i="36"/>
  <c r="P151" i="36"/>
  <c r="P133" i="36"/>
  <c r="P140" i="36"/>
  <c r="P81" i="36"/>
  <c r="P250" i="36"/>
  <c r="P263" i="36"/>
  <c r="P110" i="36"/>
  <c r="P294" i="36"/>
  <c r="P82" i="36"/>
  <c r="P275" i="36"/>
  <c r="P95" i="36"/>
  <c r="P20" i="36"/>
  <c r="P100" i="36"/>
  <c r="P68" i="36"/>
  <c r="P293" i="36"/>
  <c r="P122" i="36"/>
  <c r="P291" i="36"/>
  <c r="P288" i="36"/>
  <c r="P306" i="36"/>
  <c r="P98" i="36"/>
  <c r="P128" i="36"/>
  <c r="P180" i="36"/>
  <c r="P283" i="36"/>
  <c r="P265" i="36"/>
  <c r="P259" i="36"/>
  <c r="P101" i="36"/>
  <c r="P233" i="36"/>
  <c r="P284" i="36"/>
  <c r="P104" i="36"/>
  <c r="P247" i="36"/>
  <c r="P229" i="36"/>
  <c r="P137" i="36"/>
  <c r="P324" i="36"/>
  <c r="P264" i="36"/>
  <c r="P301" i="36"/>
  <c r="P145" i="36"/>
  <c r="P273" i="36"/>
  <c r="P277" i="36"/>
  <c r="P242" i="36"/>
  <c r="P260" i="36"/>
  <c r="P97" i="36"/>
  <c r="P93" i="36"/>
  <c r="P292" i="36"/>
  <c r="P226" i="36"/>
  <c r="P244" i="36"/>
  <c r="P150" i="36"/>
  <c r="P297" i="36"/>
  <c r="P88" i="36"/>
  <c r="P327" i="36"/>
  <c r="P262" i="36"/>
  <c r="P139" i="36"/>
  <c r="P241" i="36"/>
  <c r="P84" i="36"/>
  <c r="P286" i="36"/>
  <c r="P131" i="36"/>
  <c r="P280" i="36"/>
  <c r="P109" i="36"/>
  <c r="P135" i="36"/>
  <c r="P105" i="36"/>
  <c r="O62" i="103" s="1"/>
  <c r="P144" i="36"/>
  <c r="P78" i="36"/>
  <c r="P134" i="36"/>
  <c r="P307" i="36"/>
  <c r="P279" i="36"/>
  <c r="P309" i="36"/>
  <c r="P267" i="36"/>
  <c r="P255" i="36"/>
  <c r="P96" i="36"/>
  <c r="P256" i="36"/>
  <c r="P217" i="36"/>
  <c r="P219" i="36" s="1"/>
  <c r="P126" i="36"/>
  <c r="O67" i="103" s="1"/>
  <c r="P85" i="36"/>
  <c r="P132" i="36"/>
  <c r="P302" i="36"/>
  <c r="P123" i="36"/>
  <c r="O65" i="103" s="1"/>
  <c r="P74" i="36"/>
  <c r="O59" i="103" s="1"/>
  <c r="P91" i="36"/>
  <c r="P305" i="36"/>
  <c r="P322" i="36"/>
  <c r="P225" i="36"/>
  <c r="P16" i="36"/>
  <c r="O17" i="103" s="1"/>
  <c r="P103" i="36"/>
  <c r="O61" i="103" s="1"/>
  <c r="R267" i="34"/>
  <c r="P179" i="36"/>
  <c r="P289" i="36"/>
  <c r="P310" i="36"/>
  <c r="P106" i="36"/>
  <c r="O63" i="103" s="1"/>
  <c r="P92" i="36"/>
  <c r="O60" i="103" s="1"/>
  <c r="P53" i="36"/>
  <c r="P295" i="36"/>
  <c r="P15" i="36"/>
  <c r="P125" i="36"/>
  <c r="O66" i="103" s="1"/>
  <c r="P163" i="36"/>
  <c r="O75" i="103" s="1"/>
  <c r="P223" i="36"/>
  <c r="P62" i="36"/>
  <c r="P113" i="36"/>
  <c r="O64" i="103" s="1"/>
  <c r="K227" i="215"/>
  <c r="L250" i="34"/>
  <c r="K123" i="79"/>
  <c r="J346" i="36" s="1"/>
  <c r="V148" i="36"/>
  <c r="V86" i="36"/>
  <c r="V115" i="36"/>
  <c r="V159" i="36"/>
  <c r="V258" i="36"/>
  <c r="V82" i="36"/>
  <c r="V284" i="36"/>
  <c r="V95" i="36"/>
  <c r="V237" i="36"/>
  <c r="V245" i="36"/>
  <c r="V93" i="36"/>
  <c r="V283" i="36"/>
  <c r="V281" i="36"/>
  <c r="V264" i="36"/>
  <c r="V261" i="36"/>
  <c r="V239" i="36"/>
  <c r="V302" i="36"/>
  <c r="V99" i="36"/>
  <c r="V111" i="36"/>
  <c r="V299" i="36"/>
  <c r="V267" i="36"/>
  <c r="V291" i="36"/>
  <c r="V165" i="36"/>
  <c r="V289" i="36"/>
  <c r="V288" i="36"/>
  <c r="V252" i="36"/>
  <c r="V256" i="36"/>
  <c r="V162" i="36"/>
  <c r="V243" i="36"/>
  <c r="V310" i="36"/>
  <c r="V269" i="36"/>
  <c r="V280" i="36"/>
  <c r="V96" i="36"/>
  <c r="V311" i="36"/>
  <c r="V282" i="36"/>
  <c r="V88" i="36"/>
  <c r="V102" i="36"/>
  <c r="V327" i="36"/>
  <c r="V77" i="36"/>
  <c r="V292" i="36"/>
  <c r="V250" i="36"/>
  <c r="V137" i="36"/>
  <c r="V287" i="36"/>
  <c r="V260" i="36"/>
  <c r="V248" i="36"/>
  <c r="V298" i="36"/>
  <c r="V236" i="36"/>
  <c r="V70" i="36"/>
  <c r="V133" i="36"/>
  <c r="V80" i="36"/>
  <c r="V94" i="36"/>
  <c r="V121" i="36"/>
  <c r="V251" i="36"/>
  <c r="V146" i="36"/>
  <c r="V255" i="36"/>
  <c r="V233" i="36"/>
  <c r="V225" i="36"/>
  <c r="V275" i="36"/>
  <c r="V226" i="36"/>
  <c r="V150" i="36"/>
  <c r="V277" i="36"/>
  <c r="V119" i="36"/>
  <c r="V145" i="36"/>
  <c r="V241" i="36"/>
  <c r="V138" i="36"/>
  <c r="V147" i="36"/>
  <c r="V296" i="36"/>
  <c r="V295" i="36"/>
  <c r="V118" i="36"/>
  <c r="V246" i="36"/>
  <c r="V180" i="36"/>
  <c r="V290" i="36"/>
  <c r="V136" i="36"/>
  <c r="V272" i="36"/>
  <c r="V324" i="36"/>
  <c r="V325" i="36"/>
  <c r="V91" i="36"/>
  <c r="V142" i="36"/>
  <c r="V127" i="36"/>
  <c r="V279" i="36"/>
  <c r="V97" i="36"/>
  <c r="V273" i="36"/>
  <c r="V238" i="36"/>
  <c r="V98" i="36"/>
  <c r="V76" i="36"/>
  <c r="V276" i="36"/>
  <c r="V242" i="36"/>
  <c r="V309" i="36"/>
  <c r="V254" i="36"/>
  <c r="V85" i="36"/>
  <c r="V229" i="36"/>
  <c r="V109" i="36"/>
  <c r="V301" i="36"/>
  <c r="V83" i="36"/>
  <c r="V305" i="36"/>
  <c r="V140" i="36"/>
  <c r="V20" i="36"/>
  <c r="V285" i="36"/>
  <c r="V131" i="36"/>
  <c r="V100" i="36"/>
  <c r="V84" i="36"/>
  <c r="V235" i="36"/>
  <c r="V231" i="36"/>
  <c r="V79" i="36"/>
  <c r="V89" i="36"/>
  <c r="V141" i="36"/>
  <c r="V104" i="36"/>
  <c r="V257" i="36"/>
  <c r="V184" i="36"/>
  <c r="V75" i="36"/>
  <c r="V270" i="36"/>
  <c r="V308" i="36"/>
  <c r="V266" i="36"/>
  <c r="V112" i="36"/>
  <c r="V78" i="36"/>
  <c r="V68" i="36"/>
  <c r="V66" i="36"/>
  <c r="V110" i="36"/>
  <c r="V116" i="36"/>
  <c r="V117" i="36"/>
  <c r="V253" i="36"/>
  <c r="V259" i="36"/>
  <c r="V322" i="36"/>
  <c r="V274" i="36"/>
  <c r="V107" i="36"/>
  <c r="V271" i="36"/>
  <c r="V304" i="36"/>
  <c r="V144" i="36"/>
  <c r="V240" i="36"/>
  <c r="V139" i="36"/>
  <c r="V300" i="36"/>
  <c r="V166" i="36"/>
  <c r="V149" i="36"/>
  <c r="V108" i="36"/>
  <c r="V303" i="36"/>
  <c r="V265" i="36"/>
  <c r="V124" i="36"/>
  <c r="V263" i="36"/>
  <c r="V151" i="36"/>
  <c r="V90" i="36"/>
  <c r="V286" i="36"/>
  <c r="V128" i="36"/>
  <c r="V293" i="36"/>
  <c r="V134" i="36"/>
  <c r="V326" i="36"/>
  <c r="V81" i="36"/>
  <c r="V323" i="36"/>
  <c r="V120" i="36"/>
  <c r="V294" i="36"/>
  <c r="V249" i="36"/>
  <c r="V164" i="36"/>
  <c r="V161" i="36"/>
  <c r="V101" i="36"/>
  <c r="V262" i="36"/>
  <c r="V63" i="36"/>
  <c r="V129" i="36"/>
  <c r="V247" i="36"/>
  <c r="V114" i="36"/>
  <c r="V143" i="36"/>
  <c r="V306" i="36"/>
  <c r="V268" i="36"/>
  <c r="V278" i="36"/>
  <c r="V132" i="36"/>
  <c r="V130" i="36"/>
  <c r="V122" i="36"/>
  <c r="V135" i="36"/>
  <c r="V307" i="36"/>
  <c r="V312" i="36"/>
  <c r="V160" i="36"/>
  <c r="V87" i="36"/>
  <c r="V244" i="36"/>
  <c r="V297" i="36"/>
  <c r="V113" i="36"/>
  <c r="U64" i="103" s="1"/>
  <c r="V16" i="36"/>
  <c r="U17" i="103" s="1"/>
  <c r="V125" i="36"/>
  <c r="U66" i="103" s="1"/>
  <c r="V217" i="36"/>
  <c r="V219" i="36" s="1"/>
  <c r="V106" i="36"/>
  <c r="U63" i="103" s="1"/>
  <c r="V105" i="36"/>
  <c r="U62" i="103" s="1"/>
  <c r="V223" i="36"/>
  <c r="V126" i="36"/>
  <c r="U67" i="103" s="1"/>
  <c r="V92" i="36"/>
  <c r="U60" i="103" s="1"/>
  <c r="V15" i="36"/>
  <c r="V62" i="36"/>
  <c r="V179" i="36"/>
  <c r="V123" i="36"/>
  <c r="U65" i="103" s="1"/>
  <c r="V74" i="36"/>
  <c r="U59" i="103" s="1"/>
  <c r="V103" i="36"/>
  <c r="U61" i="103" s="1"/>
  <c r="X267" i="34"/>
  <c r="V163" i="36"/>
  <c r="U75" i="103" s="1"/>
  <c r="V53" i="36"/>
  <c r="L21" i="34"/>
  <c r="G21" i="34" s="1"/>
  <c r="L293" i="34"/>
  <c r="H46" i="214" s="1"/>
  <c r="H346" i="36"/>
  <c r="F46" i="214"/>
  <c r="O345" i="36"/>
  <c r="Q266" i="34" s="1"/>
  <c r="Q179" i="34" s="1"/>
  <c r="O171" i="36"/>
  <c r="F44" i="214"/>
  <c r="S291" i="34"/>
  <c r="O44" i="214" s="1"/>
  <c r="L227" i="215"/>
  <c r="M250" i="34"/>
  <c r="L123" i="79"/>
  <c r="K346" i="36" s="1"/>
  <c r="X116" i="36"/>
  <c r="X184" i="36"/>
  <c r="X265" i="36"/>
  <c r="X244" i="36"/>
  <c r="X89" i="36"/>
  <c r="X80" i="36"/>
  <c r="X118" i="36"/>
  <c r="X301" i="36"/>
  <c r="X298" i="36"/>
  <c r="X322" i="36"/>
  <c r="X270" i="36"/>
  <c r="X309" i="36"/>
  <c r="X233" i="36"/>
  <c r="X84" i="36"/>
  <c r="X131" i="36"/>
  <c r="X104" i="36"/>
  <c r="X130" i="36"/>
  <c r="X85" i="36"/>
  <c r="X300" i="36"/>
  <c r="X101" i="36"/>
  <c r="X251" i="36"/>
  <c r="X107" i="36"/>
  <c r="X91" i="36"/>
  <c r="X303" i="36"/>
  <c r="X281" i="36"/>
  <c r="X241" i="36"/>
  <c r="X276" i="36"/>
  <c r="X254" i="36"/>
  <c r="X148" i="36"/>
  <c r="X134" i="36"/>
  <c r="X247" i="36"/>
  <c r="X229" i="36"/>
  <c r="X231" i="36"/>
  <c r="X266" i="36"/>
  <c r="X77" i="36"/>
  <c r="X275" i="36"/>
  <c r="X257" i="36"/>
  <c r="X259" i="36"/>
  <c r="X147" i="36"/>
  <c r="X132" i="36"/>
  <c r="X225" i="36"/>
  <c r="X264" i="36"/>
  <c r="X138" i="36"/>
  <c r="X296" i="36"/>
  <c r="X291" i="36"/>
  <c r="X137" i="36"/>
  <c r="X117" i="36"/>
  <c r="X93" i="36"/>
  <c r="X238" i="36"/>
  <c r="X83" i="36"/>
  <c r="X87" i="36"/>
  <c r="X124" i="36"/>
  <c r="X160" i="36"/>
  <c r="X143" i="36"/>
  <c r="X136" i="36"/>
  <c r="X63" i="36"/>
  <c r="X237" i="36"/>
  <c r="X150" i="36"/>
  <c r="X279" i="36"/>
  <c r="X306" i="36"/>
  <c r="X271" i="36"/>
  <c r="X239" i="36"/>
  <c r="X95" i="36"/>
  <c r="X98" i="36"/>
  <c r="X129" i="36"/>
  <c r="X282" i="36"/>
  <c r="X245" i="36"/>
  <c r="X94" i="36"/>
  <c r="X326" i="36"/>
  <c r="X140" i="36"/>
  <c r="X100" i="36"/>
  <c r="X278" i="36"/>
  <c r="X325" i="36"/>
  <c r="X297" i="36"/>
  <c r="X119" i="36"/>
  <c r="X110" i="36"/>
  <c r="X310" i="36"/>
  <c r="X305" i="36"/>
  <c r="X255" i="36"/>
  <c r="X289" i="36"/>
  <c r="X68" i="36"/>
  <c r="X115" i="36"/>
  <c r="X235" i="36"/>
  <c r="X151" i="36"/>
  <c r="X294" i="36"/>
  <c r="X165" i="36"/>
  <c r="X302" i="36"/>
  <c r="X102" i="36"/>
  <c r="X164" i="36"/>
  <c r="X86" i="36"/>
  <c r="X308" i="36"/>
  <c r="X283" i="36"/>
  <c r="X114" i="36"/>
  <c r="X240" i="36"/>
  <c r="X304" i="36"/>
  <c r="X323" i="36"/>
  <c r="X141" i="36"/>
  <c r="X295" i="36"/>
  <c r="X287" i="36"/>
  <c r="X66" i="36"/>
  <c r="X76" i="36"/>
  <c r="X142" i="36"/>
  <c r="X272" i="36"/>
  <c r="X78" i="36"/>
  <c r="X128" i="36"/>
  <c r="X327" i="36"/>
  <c r="X20" i="36"/>
  <c r="X96" i="36"/>
  <c r="X252" i="36"/>
  <c r="X139" i="36"/>
  <c r="X249" i="36"/>
  <c r="X258" i="36"/>
  <c r="X288" i="36"/>
  <c r="X159" i="36"/>
  <c r="X79" i="36"/>
  <c r="X135" i="36"/>
  <c r="X81" i="36"/>
  <c r="X285" i="36"/>
  <c r="X133" i="36"/>
  <c r="X293" i="36"/>
  <c r="X277" i="36"/>
  <c r="X88" i="36"/>
  <c r="X246" i="36"/>
  <c r="X127" i="36"/>
  <c r="X292" i="36"/>
  <c r="X146" i="36"/>
  <c r="X144" i="36"/>
  <c r="X280" i="36"/>
  <c r="X161" i="36"/>
  <c r="X90" i="36"/>
  <c r="X286" i="36"/>
  <c r="X149" i="36"/>
  <c r="X111" i="36"/>
  <c r="X250" i="36"/>
  <c r="X166" i="36"/>
  <c r="X120" i="36"/>
  <c r="X82" i="36"/>
  <c r="X122" i="36"/>
  <c r="X180" i="36"/>
  <c r="X312" i="36"/>
  <c r="X145" i="36"/>
  <c r="X262" i="36"/>
  <c r="X70" i="36"/>
  <c r="X273" i="36"/>
  <c r="X299" i="36"/>
  <c r="X268" i="36"/>
  <c r="X75" i="36"/>
  <c r="X236" i="36"/>
  <c r="X269" i="36"/>
  <c r="X307" i="36"/>
  <c r="X324" i="36"/>
  <c r="X284" i="36"/>
  <c r="X274" i="36"/>
  <c r="X162" i="36"/>
  <c r="X263" i="36"/>
  <c r="X109" i="36"/>
  <c r="X256" i="36"/>
  <c r="X242" i="36"/>
  <c r="X112" i="36"/>
  <c r="X253" i="36"/>
  <c r="X261" i="36"/>
  <c r="X260" i="36"/>
  <c r="X267" i="36"/>
  <c r="X97" i="36"/>
  <c r="X99" i="36"/>
  <c r="X290" i="36"/>
  <c r="X243" i="36"/>
  <c r="X248" i="36"/>
  <c r="X121" i="36"/>
  <c r="X311" i="36"/>
  <c r="X103" i="36"/>
  <c r="W61" i="103" s="1"/>
  <c r="X108" i="36"/>
  <c r="X15" i="36"/>
  <c r="X223" i="36"/>
  <c r="X105" i="36"/>
  <c r="W62" i="103" s="1"/>
  <c r="X226" i="36"/>
  <c r="X16" i="36"/>
  <c r="W17" i="103" s="1"/>
  <c r="X92" i="36"/>
  <c r="W60" i="103" s="1"/>
  <c r="X125" i="36"/>
  <c r="W66" i="103" s="1"/>
  <c r="X113" i="36"/>
  <c r="W64" i="103" s="1"/>
  <c r="X126" i="36"/>
  <c r="W67" i="103" s="1"/>
  <c r="X62" i="36"/>
  <c r="X53" i="36"/>
  <c r="X123" i="36"/>
  <c r="W65" i="103" s="1"/>
  <c r="X163" i="36"/>
  <c r="W75" i="103" s="1"/>
  <c r="X179" i="36"/>
  <c r="X74" i="36"/>
  <c r="W59" i="103" s="1"/>
  <c r="X217" i="36"/>
  <c r="X219" i="36" s="1"/>
  <c r="Z267" i="34"/>
  <c r="X106" i="36"/>
  <c r="W63" i="103" s="1"/>
  <c r="I17" i="104"/>
  <c r="F17" i="104"/>
  <c r="G19" i="34"/>
  <c r="AE19" i="34" s="1"/>
  <c r="Q118" i="36"/>
  <c r="Q303" i="36"/>
  <c r="Q94" i="36"/>
  <c r="Q140" i="36"/>
  <c r="Q109" i="36"/>
  <c r="Q259" i="36"/>
  <c r="Q150" i="36"/>
  <c r="Q308" i="36"/>
  <c r="Q82" i="36"/>
  <c r="Q88" i="36"/>
  <c r="Q242" i="36"/>
  <c r="Q265" i="36"/>
  <c r="Q237" i="36"/>
  <c r="Q127" i="36"/>
  <c r="Q75" i="36"/>
  <c r="Q132" i="36"/>
  <c r="Q66" i="36"/>
  <c r="Q86" i="36"/>
  <c r="Q251" i="36"/>
  <c r="Q20" i="36"/>
  <c r="Q115" i="36"/>
  <c r="Q257" i="36"/>
  <c r="Q231" i="36"/>
  <c r="Q325" i="36"/>
  <c r="Q249" i="36"/>
  <c r="Q101" i="36"/>
  <c r="Q138" i="36"/>
  <c r="Q226" i="36"/>
  <c r="Q269" i="36"/>
  <c r="Q239" i="36"/>
  <c r="Q241" i="36"/>
  <c r="Q120" i="36"/>
  <c r="Q122" i="36"/>
  <c r="Q260" i="36"/>
  <c r="Q263" i="36"/>
  <c r="Q85" i="36"/>
  <c r="Q95" i="36"/>
  <c r="Q309" i="36"/>
  <c r="Q262" i="36"/>
  <c r="Q271" i="36"/>
  <c r="Q119" i="36"/>
  <c r="Q323" i="36"/>
  <c r="Q165" i="36"/>
  <c r="Q238" i="36"/>
  <c r="Q285" i="36"/>
  <c r="Q111" i="36"/>
  <c r="Q245" i="36"/>
  <c r="Q235" i="36"/>
  <c r="Q312" i="36"/>
  <c r="Q275" i="36"/>
  <c r="Q133" i="36"/>
  <c r="Q267" i="36"/>
  <c r="Q268" i="36"/>
  <c r="Q324" i="36"/>
  <c r="Q89" i="36"/>
  <c r="Q166" i="36"/>
  <c r="Q295" i="36"/>
  <c r="Q233" i="36"/>
  <c r="Q290" i="36"/>
  <c r="Q244" i="36"/>
  <c r="Q87" i="36"/>
  <c r="Q83" i="36"/>
  <c r="Q289" i="36"/>
  <c r="Q250" i="36"/>
  <c r="Q286" i="36"/>
  <c r="Q144" i="36"/>
  <c r="Q247" i="36"/>
  <c r="Q102" i="36"/>
  <c r="Q304" i="36"/>
  <c r="Q256" i="36"/>
  <c r="Q129" i="36"/>
  <c r="Q248" i="36"/>
  <c r="Q278" i="36"/>
  <c r="Q253" i="36"/>
  <c r="Q307" i="36"/>
  <c r="Q272" i="36"/>
  <c r="Q151" i="36"/>
  <c r="Q70" i="36"/>
  <c r="Q145" i="36"/>
  <c r="Q93" i="36"/>
  <c r="Q299" i="36"/>
  <c r="Q311" i="36"/>
  <c r="Q283" i="36"/>
  <c r="Q243" i="36"/>
  <c r="Q148" i="36"/>
  <c r="Q130" i="36"/>
  <c r="Q281" i="36"/>
  <c r="Q91" i="36"/>
  <c r="Q184" i="36"/>
  <c r="Q297" i="36"/>
  <c r="Q326" i="36"/>
  <c r="Q131" i="36"/>
  <c r="Q77" i="36"/>
  <c r="Q264" i="36"/>
  <c r="Q76" i="36"/>
  <c r="Q110" i="36"/>
  <c r="Q97" i="36"/>
  <c r="Q142" i="36"/>
  <c r="Q302" i="36"/>
  <c r="Q135" i="36"/>
  <c r="Q280" i="36"/>
  <c r="Q270" i="36"/>
  <c r="Q305" i="36"/>
  <c r="Q296" i="36"/>
  <c r="Q273" i="36"/>
  <c r="Q291" i="36"/>
  <c r="Q117" i="36"/>
  <c r="Q266" i="36"/>
  <c r="Q294" i="36"/>
  <c r="Q161" i="36"/>
  <c r="Q322" i="36"/>
  <c r="Q274" i="36"/>
  <c r="Q100" i="36"/>
  <c r="Q96" i="36"/>
  <c r="Q246" i="36"/>
  <c r="Q164" i="36"/>
  <c r="Q107" i="36"/>
  <c r="Q139" i="36"/>
  <c r="Q104" i="36"/>
  <c r="Q80" i="36"/>
  <c r="Q149" i="36"/>
  <c r="Q147" i="36"/>
  <c r="Q114" i="36"/>
  <c r="Q112" i="36"/>
  <c r="Q84" i="36"/>
  <c r="Q159" i="36"/>
  <c r="Q287" i="36"/>
  <c r="Q236" i="36"/>
  <c r="Q79" i="36"/>
  <c r="Q276" i="36"/>
  <c r="Q255" i="36"/>
  <c r="Q301" i="36"/>
  <c r="Q306" i="36"/>
  <c r="Q300" i="36"/>
  <c r="Q279" i="36"/>
  <c r="Q240" i="36"/>
  <c r="Q116" i="36"/>
  <c r="Q63" i="36"/>
  <c r="Q229" i="36"/>
  <c r="Q254" i="36"/>
  <c r="Q160" i="36"/>
  <c r="Q136" i="36"/>
  <c r="Q284" i="36"/>
  <c r="Q90" i="36"/>
  <c r="Q99" i="36"/>
  <c r="Q141" i="36"/>
  <c r="Q81" i="36"/>
  <c r="Q261" i="36"/>
  <c r="Q293" i="36"/>
  <c r="Q288" i="36"/>
  <c r="Q282" i="36"/>
  <c r="Q68" i="36"/>
  <c r="Q146" i="36"/>
  <c r="Q78" i="36"/>
  <c r="Q98" i="36"/>
  <c r="Q258" i="36"/>
  <c r="Q223" i="36"/>
  <c r="Q137" i="36"/>
  <c r="Q310" i="36"/>
  <c r="Q124" i="36"/>
  <c r="Q121" i="36"/>
  <c r="Q292" i="36"/>
  <c r="Q298" i="36"/>
  <c r="Q252" i="36"/>
  <c r="Q162" i="36"/>
  <c r="Q108" i="36"/>
  <c r="Q128" i="36"/>
  <c r="Q277" i="36"/>
  <c r="Q113" i="36"/>
  <c r="P64" i="103" s="1"/>
  <c r="Q225" i="36"/>
  <c r="Q103" i="36"/>
  <c r="P61" i="103" s="1"/>
  <c r="Q134" i="36"/>
  <c r="Q327" i="36"/>
  <c r="Q217" i="36"/>
  <c r="Q219" i="36" s="1"/>
  <c r="Q163" i="36"/>
  <c r="P75" i="103" s="1"/>
  <c r="Q106" i="36"/>
  <c r="P63" i="103" s="1"/>
  <c r="Q125" i="36"/>
  <c r="P66" i="103" s="1"/>
  <c r="Q74" i="36"/>
  <c r="P59" i="103" s="1"/>
  <c r="Q15" i="36"/>
  <c r="Q16" i="36"/>
  <c r="P17" i="103" s="1"/>
  <c r="Q179" i="36"/>
  <c r="Q53" i="36"/>
  <c r="Q105" i="36"/>
  <c r="P62" i="103" s="1"/>
  <c r="Q92" i="36"/>
  <c r="P60" i="103" s="1"/>
  <c r="Q123" i="36"/>
  <c r="P65" i="103" s="1"/>
  <c r="Q126" i="36"/>
  <c r="P67" i="103" s="1"/>
  <c r="Q143" i="36"/>
  <c r="Q180" i="36"/>
  <c r="Q62" i="36"/>
  <c r="S267" i="34"/>
  <c r="U294" i="36"/>
  <c r="U262" i="36"/>
  <c r="U143" i="36"/>
  <c r="U297" i="36"/>
  <c r="U79" i="36"/>
  <c r="U89" i="36"/>
  <c r="U77" i="36"/>
  <c r="U129" i="36"/>
  <c r="U292" i="36"/>
  <c r="U166" i="36"/>
  <c r="U162" i="36"/>
  <c r="U289" i="36"/>
  <c r="U312" i="36"/>
  <c r="U84" i="36"/>
  <c r="U261" i="36"/>
  <c r="U246" i="36"/>
  <c r="U104" i="36"/>
  <c r="U299" i="36"/>
  <c r="U151" i="36"/>
  <c r="U90" i="36"/>
  <c r="U138" i="36"/>
  <c r="U300" i="36"/>
  <c r="U139" i="36"/>
  <c r="U256" i="36"/>
  <c r="U233" i="36"/>
  <c r="U272" i="36"/>
  <c r="U308" i="36"/>
  <c r="U258" i="36"/>
  <c r="U116" i="36"/>
  <c r="U70" i="36"/>
  <c r="U111" i="36"/>
  <c r="U249" i="36"/>
  <c r="U288" i="36"/>
  <c r="U270" i="36"/>
  <c r="U236" i="36"/>
  <c r="U132" i="36"/>
  <c r="U263" i="36"/>
  <c r="U82" i="36"/>
  <c r="U265" i="36"/>
  <c r="U93" i="36"/>
  <c r="U243" i="36"/>
  <c r="U133" i="36"/>
  <c r="U117" i="36"/>
  <c r="U269" i="36"/>
  <c r="U276" i="36"/>
  <c r="U250" i="36"/>
  <c r="U260" i="36"/>
  <c r="U76" i="36"/>
  <c r="U66" i="36"/>
  <c r="U102" i="36"/>
  <c r="U85" i="36"/>
  <c r="U121" i="36"/>
  <c r="U127" i="36"/>
  <c r="U324" i="36"/>
  <c r="U118" i="36"/>
  <c r="U264" i="36"/>
  <c r="U184" i="36"/>
  <c r="U239" i="36"/>
  <c r="U146" i="36"/>
  <c r="U254" i="36"/>
  <c r="U274" i="36"/>
  <c r="U161" i="36"/>
  <c r="U322" i="36"/>
  <c r="U128" i="36"/>
  <c r="U275" i="36"/>
  <c r="U298" i="36"/>
  <c r="U306" i="36"/>
  <c r="U225" i="36"/>
  <c r="U273" i="36"/>
  <c r="U134" i="36"/>
  <c r="U290" i="36"/>
  <c r="U280" i="36"/>
  <c r="U281" i="36"/>
  <c r="U245" i="36"/>
  <c r="U81" i="36"/>
  <c r="U159" i="36"/>
  <c r="U86" i="36"/>
  <c r="U266" i="36"/>
  <c r="U94" i="36"/>
  <c r="U271" i="36"/>
  <c r="U251" i="36"/>
  <c r="U277" i="36"/>
  <c r="U150" i="36"/>
  <c r="U307" i="36"/>
  <c r="U114" i="36"/>
  <c r="U101" i="36"/>
  <c r="U112" i="36"/>
  <c r="U75" i="36"/>
  <c r="U291" i="36"/>
  <c r="U136" i="36"/>
  <c r="U252" i="36"/>
  <c r="U124" i="36"/>
  <c r="U115" i="36"/>
  <c r="U309" i="36"/>
  <c r="U240" i="36"/>
  <c r="U149" i="36"/>
  <c r="U303" i="36"/>
  <c r="U122" i="36"/>
  <c r="U296" i="36"/>
  <c r="U97" i="36"/>
  <c r="U109" i="36"/>
  <c r="U87" i="36"/>
  <c r="U253" i="36"/>
  <c r="U165" i="36"/>
  <c r="U99" i="36"/>
  <c r="U142" i="36"/>
  <c r="U107" i="36"/>
  <c r="U247" i="36"/>
  <c r="U180" i="36"/>
  <c r="U238" i="36"/>
  <c r="U268" i="36"/>
  <c r="U237" i="36"/>
  <c r="U248" i="36"/>
  <c r="U80" i="36"/>
  <c r="U310" i="36"/>
  <c r="U91" i="36"/>
  <c r="U259" i="36"/>
  <c r="U325" i="36"/>
  <c r="U284" i="36"/>
  <c r="U164" i="36"/>
  <c r="U141" i="36"/>
  <c r="U110" i="36"/>
  <c r="U108" i="36"/>
  <c r="U311" i="36"/>
  <c r="U98" i="36"/>
  <c r="U283" i="36"/>
  <c r="U295" i="36"/>
  <c r="U137" i="36"/>
  <c r="U96" i="36"/>
  <c r="U119" i="36"/>
  <c r="U323" i="36"/>
  <c r="U83" i="36"/>
  <c r="U78" i="36"/>
  <c r="U229" i="36"/>
  <c r="U160" i="36"/>
  <c r="U305" i="36"/>
  <c r="U100" i="36"/>
  <c r="U20" i="36"/>
  <c r="U279" i="36"/>
  <c r="U135" i="36"/>
  <c r="U326" i="36"/>
  <c r="U88" i="36"/>
  <c r="U242" i="36"/>
  <c r="U120" i="36"/>
  <c r="U304" i="36"/>
  <c r="U241" i="36"/>
  <c r="U235" i="36"/>
  <c r="U301" i="36"/>
  <c r="U244" i="36"/>
  <c r="U95" i="36"/>
  <c r="U147" i="36"/>
  <c r="U226" i="36"/>
  <c r="U63" i="36"/>
  <c r="U140" i="36"/>
  <c r="U148" i="36"/>
  <c r="U145" i="36"/>
  <c r="U286" i="36"/>
  <c r="U123" i="36"/>
  <c r="T65" i="103" s="1"/>
  <c r="U231" i="36"/>
  <c r="U293" i="36"/>
  <c r="U327" i="36"/>
  <c r="U68" i="36"/>
  <c r="U287" i="36"/>
  <c r="U302" i="36"/>
  <c r="U255" i="36"/>
  <c r="U282" i="36"/>
  <c r="U106" i="36"/>
  <c r="T63" i="103" s="1"/>
  <c r="U130" i="36"/>
  <c r="U16" i="36"/>
  <c r="T17" i="103" s="1"/>
  <c r="U267" i="36"/>
  <c r="U92" i="36"/>
  <c r="T60" i="103" s="1"/>
  <c r="U125" i="36"/>
  <c r="T66" i="103" s="1"/>
  <c r="U217" i="36"/>
  <c r="U219" i="36" s="1"/>
  <c r="U144" i="36"/>
  <c r="U113" i="36"/>
  <c r="T64" i="103" s="1"/>
  <c r="U62" i="36"/>
  <c r="U105" i="36"/>
  <c r="T62" i="103" s="1"/>
  <c r="W267" i="34"/>
  <c r="U53" i="36"/>
  <c r="U74" i="36"/>
  <c r="T59" i="103" s="1"/>
  <c r="U131" i="36"/>
  <c r="U223" i="36"/>
  <c r="U15" i="36"/>
  <c r="U179" i="36"/>
  <c r="U126" i="36"/>
  <c r="T67" i="103" s="1"/>
  <c r="U163" i="36"/>
  <c r="T75" i="103" s="1"/>
  <c r="U103" i="36"/>
  <c r="T61" i="103" s="1"/>
  <c r="U169" i="34" l="1"/>
  <c r="T143" i="215" s="1"/>
  <c r="U171" i="34"/>
  <c r="U183" i="34"/>
  <c r="T164" i="215" s="1"/>
  <c r="U185" i="34"/>
  <c r="T166" i="215" s="1"/>
  <c r="U187" i="34"/>
  <c r="U168" i="34"/>
  <c r="U170" i="34"/>
  <c r="T144" i="215" s="1"/>
  <c r="U172" i="34"/>
  <c r="T146" i="215" s="1"/>
  <c r="U186" i="34"/>
  <c r="U184" i="34"/>
  <c r="T165" i="215" s="1"/>
  <c r="U188" i="34"/>
  <c r="S163" i="34"/>
  <c r="S168" i="34"/>
  <c r="S170" i="34"/>
  <c r="R144" i="215" s="1"/>
  <c r="S172" i="34"/>
  <c r="R146" i="215" s="1"/>
  <c r="S184" i="34"/>
  <c r="R165" i="215" s="1"/>
  <c r="S186" i="34"/>
  <c r="S188" i="34"/>
  <c r="S169" i="34"/>
  <c r="R143" i="215" s="1"/>
  <c r="S183" i="34"/>
  <c r="R164" i="215" s="1"/>
  <c r="S187" i="34"/>
  <c r="S185" i="34"/>
  <c r="R166" i="215" s="1"/>
  <c r="S171" i="34"/>
  <c r="R145" i="215" s="1"/>
  <c r="X163" i="34"/>
  <c r="X169" i="34"/>
  <c r="X171" i="34"/>
  <c r="W145" i="215" s="1"/>
  <c r="X188" i="34"/>
  <c r="X168" i="34"/>
  <c r="X170" i="34"/>
  <c r="W144" i="215" s="1"/>
  <c r="X172" i="34"/>
  <c r="W146" i="215" s="1"/>
  <c r="X184" i="34"/>
  <c r="W165" i="215" s="1"/>
  <c r="X186" i="34"/>
  <c r="X183" i="34"/>
  <c r="X185" i="34"/>
  <c r="W166" i="215" s="1"/>
  <c r="X187" i="34"/>
  <c r="R163" i="34"/>
  <c r="R168" i="34"/>
  <c r="R170" i="34"/>
  <c r="Q144" i="215" s="1"/>
  <c r="R172" i="34"/>
  <c r="Q146" i="215" s="1"/>
  <c r="R169" i="34"/>
  <c r="Q143" i="215" s="1"/>
  <c r="R171" i="34"/>
  <c r="R183" i="34"/>
  <c r="Q164" i="215" s="1"/>
  <c r="R185" i="34"/>
  <c r="Q166" i="215" s="1"/>
  <c r="R187" i="34"/>
  <c r="R184" i="34"/>
  <c r="Q165" i="215" s="1"/>
  <c r="R188" i="34"/>
  <c r="R186" i="34"/>
  <c r="AA168" i="34"/>
  <c r="AA170" i="34"/>
  <c r="Z144" i="215" s="1"/>
  <c r="AA172" i="34"/>
  <c r="Z146" i="215" s="1"/>
  <c r="AA184" i="34"/>
  <c r="Z165" i="215" s="1"/>
  <c r="AA186" i="34"/>
  <c r="AA188" i="34"/>
  <c r="AA169" i="34"/>
  <c r="Z143" i="215" s="1"/>
  <c r="AA183" i="34"/>
  <c r="Z164" i="215" s="1"/>
  <c r="AA187" i="34"/>
  <c r="AA171" i="34"/>
  <c r="Z145" i="215" s="1"/>
  <c r="AA185" i="34"/>
  <c r="Z166" i="215" s="1"/>
  <c r="T169" i="34"/>
  <c r="S143" i="215" s="1"/>
  <c r="T171" i="34"/>
  <c r="S145" i="215" s="1"/>
  <c r="T168" i="34"/>
  <c r="T170" i="34"/>
  <c r="S144" i="215" s="1"/>
  <c r="T172" i="34"/>
  <c r="S146" i="215" s="1"/>
  <c r="T184" i="34"/>
  <c r="T186" i="34"/>
  <c r="T188" i="34"/>
  <c r="T183" i="34"/>
  <c r="S164" i="215" s="1"/>
  <c r="T187" i="34"/>
  <c r="T185" i="34"/>
  <c r="S166" i="215" s="1"/>
  <c r="W163" i="34"/>
  <c r="W168" i="34"/>
  <c r="W170" i="34"/>
  <c r="V144" i="215" s="1"/>
  <c r="W172" i="34"/>
  <c r="V146" i="215" s="1"/>
  <c r="W184" i="34"/>
  <c r="V165" i="215" s="1"/>
  <c r="W186" i="34"/>
  <c r="W188" i="34"/>
  <c r="W169" i="34"/>
  <c r="V143" i="215" s="1"/>
  <c r="W171" i="34"/>
  <c r="V145" i="215" s="1"/>
  <c r="W185" i="34"/>
  <c r="V166" i="215" s="1"/>
  <c r="W183" i="34"/>
  <c r="V164" i="215" s="1"/>
  <c r="W187" i="34"/>
  <c r="Z163" i="34"/>
  <c r="Z168" i="34"/>
  <c r="Z170" i="34"/>
  <c r="Y144" i="215" s="1"/>
  <c r="Z172" i="34"/>
  <c r="Y146" i="215" s="1"/>
  <c r="Z169" i="34"/>
  <c r="Y143" i="215" s="1"/>
  <c r="Z171" i="34"/>
  <c r="Y145" i="215" s="1"/>
  <c r="Z183" i="34"/>
  <c r="Y164" i="215" s="1"/>
  <c r="Z185" i="34"/>
  <c r="Y166" i="215" s="1"/>
  <c r="Z187" i="34"/>
  <c r="Z188" i="34"/>
  <c r="Z184" i="34"/>
  <c r="Y165" i="215" s="1"/>
  <c r="Z186" i="34"/>
  <c r="Y163" i="34"/>
  <c r="Y169" i="34"/>
  <c r="X143" i="215" s="1"/>
  <c r="Y171" i="34"/>
  <c r="X145" i="215" s="1"/>
  <c r="Y183" i="34"/>
  <c r="X164" i="215" s="1"/>
  <c r="Y185" i="34"/>
  <c r="X166" i="215" s="1"/>
  <c r="Y187" i="34"/>
  <c r="Y168" i="34"/>
  <c r="Y170" i="34"/>
  <c r="X144" i="215" s="1"/>
  <c r="Y184" i="34"/>
  <c r="X165" i="215" s="1"/>
  <c r="Y188" i="34"/>
  <c r="Y172" i="34"/>
  <c r="X146" i="215" s="1"/>
  <c r="Y186" i="34"/>
  <c r="V168" i="34"/>
  <c r="V170" i="34"/>
  <c r="U144" i="215" s="1"/>
  <c r="V172" i="34"/>
  <c r="U146" i="215" s="1"/>
  <c r="V169" i="34"/>
  <c r="U143" i="215" s="1"/>
  <c r="V171" i="34"/>
  <c r="U145" i="215" s="1"/>
  <c r="V183" i="34"/>
  <c r="U164" i="215" s="1"/>
  <c r="V185" i="34"/>
  <c r="U166" i="215" s="1"/>
  <c r="V187" i="34"/>
  <c r="V188" i="34"/>
  <c r="V186" i="34"/>
  <c r="V184" i="34"/>
  <c r="U165" i="215" s="1"/>
  <c r="Q169" i="34"/>
  <c r="P143" i="215" s="1"/>
  <c r="Q171" i="34"/>
  <c r="P145" i="215" s="1"/>
  <c r="Q183" i="34"/>
  <c r="P164" i="215" s="1"/>
  <c r="Q185" i="34"/>
  <c r="P166" i="215" s="1"/>
  <c r="Q187" i="34"/>
  <c r="Q170" i="34"/>
  <c r="P144" i="215" s="1"/>
  <c r="Q168" i="34"/>
  <c r="Q184" i="34"/>
  <c r="P165" i="215" s="1"/>
  <c r="Q188" i="34"/>
  <c r="Q186" i="34"/>
  <c r="Q172" i="34"/>
  <c r="P146" i="215" s="1"/>
  <c r="K168" i="34"/>
  <c r="K170" i="34"/>
  <c r="K172" i="34"/>
  <c r="J146" i="215" s="1"/>
  <c r="K184" i="34"/>
  <c r="J165" i="215" s="1"/>
  <c r="K186" i="34"/>
  <c r="K188" i="34"/>
  <c r="K169" i="34"/>
  <c r="J143" i="215" s="1"/>
  <c r="K183" i="34"/>
  <c r="J164" i="215" s="1"/>
  <c r="K187" i="34"/>
  <c r="K171" i="34"/>
  <c r="J145" i="215" s="1"/>
  <c r="K185" i="34"/>
  <c r="J166" i="215" s="1"/>
  <c r="Q20" i="214"/>
  <c r="U163" i="34"/>
  <c r="AA166" i="34"/>
  <c r="Z141" i="215" s="1"/>
  <c r="AA163" i="34"/>
  <c r="P20" i="214"/>
  <c r="T163" i="34"/>
  <c r="V165" i="34"/>
  <c r="U140" i="215" s="1"/>
  <c r="V163" i="34"/>
  <c r="Q197" i="34"/>
  <c r="P175" i="215" s="1"/>
  <c r="Q163" i="34"/>
  <c r="J144" i="215"/>
  <c r="K163" i="34"/>
  <c r="Q329" i="36"/>
  <c r="Q332" i="36" s="1"/>
  <c r="Q358" i="36" s="1"/>
  <c r="K165" i="34"/>
  <c r="J140" i="215" s="1"/>
  <c r="K167" i="34"/>
  <c r="J142" i="215" s="1"/>
  <c r="K200" i="34"/>
  <c r="J178" i="215" s="1"/>
  <c r="W329" i="36"/>
  <c r="W332" i="36" s="1"/>
  <c r="W358" i="36" s="1"/>
  <c r="S165" i="215"/>
  <c r="K197" i="34"/>
  <c r="J175" i="215" s="1"/>
  <c r="AA167" i="34"/>
  <c r="Z142" i="215" s="1"/>
  <c r="I55" i="36"/>
  <c r="O329" i="36"/>
  <c r="O332" i="36" s="1"/>
  <c r="O358" i="36" s="1"/>
  <c r="R329" i="36"/>
  <c r="R332" i="36" s="1"/>
  <c r="R358" i="36" s="1"/>
  <c r="E46" i="214"/>
  <c r="P329" i="36"/>
  <c r="P332" i="36" s="1"/>
  <c r="P358" i="36" s="1"/>
  <c r="T329" i="36"/>
  <c r="T332" i="36" s="1"/>
  <c r="T358" i="36" s="1"/>
  <c r="Q199" i="34"/>
  <c r="P177" i="215" s="1"/>
  <c r="Y329" i="36"/>
  <c r="Y332" i="36" s="1"/>
  <c r="Y358" i="36" s="1"/>
  <c r="S329" i="36"/>
  <c r="S332" i="36" s="1"/>
  <c r="S358" i="36" s="1"/>
  <c r="U329" i="36"/>
  <c r="U332" i="36" s="1"/>
  <c r="U358" i="36" s="1"/>
  <c r="V329" i="36"/>
  <c r="V332" i="36" s="1"/>
  <c r="V358" i="36" s="1"/>
  <c r="X329" i="36"/>
  <c r="X332" i="36" s="1"/>
  <c r="X358" i="36" s="1"/>
  <c r="K189" i="34"/>
  <c r="J167" i="215" s="1"/>
  <c r="I329" i="36"/>
  <c r="I332" i="36" s="1"/>
  <c r="I358" i="36" s="1"/>
  <c r="K164" i="34"/>
  <c r="K198" i="34"/>
  <c r="J176" i="215" s="1"/>
  <c r="K199" i="34"/>
  <c r="J177" i="215" s="1"/>
  <c r="G20" i="214"/>
  <c r="K166" i="34"/>
  <c r="J141" i="215" s="1"/>
  <c r="R186" i="36"/>
  <c r="I328" i="36"/>
  <c r="U166" i="34"/>
  <c r="T141" i="215" s="1"/>
  <c r="F293" i="34"/>
  <c r="I167" i="36"/>
  <c r="H22" i="103"/>
  <c r="H55" i="103" s="1"/>
  <c r="U197" i="34"/>
  <c r="T175" i="215" s="1"/>
  <c r="H58" i="103"/>
  <c r="H76" i="103" s="1"/>
  <c r="AA165" i="34"/>
  <c r="Z140" i="215" s="1"/>
  <c r="I22" i="36"/>
  <c r="I186" i="36"/>
  <c r="U198" i="34"/>
  <c r="T176" i="215" s="1"/>
  <c r="U200" i="34"/>
  <c r="T178" i="215" s="1"/>
  <c r="U189" i="34"/>
  <c r="T167" i="215" s="1"/>
  <c r="U164" i="34"/>
  <c r="T139" i="215" s="1"/>
  <c r="U165" i="34"/>
  <c r="T140" i="215" s="1"/>
  <c r="T145" i="215"/>
  <c r="U167" i="34"/>
  <c r="T142" i="215" s="1"/>
  <c r="U199" i="34"/>
  <c r="T177" i="215" s="1"/>
  <c r="Q22" i="103"/>
  <c r="Q55" i="103" s="1"/>
  <c r="T189" i="34"/>
  <c r="S167" i="215" s="1"/>
  <c r="R328" i="36"/>
  <c r="Y22" i="36"/>
  <c r="R51" i="103"/>
  <c r="R53" i="103" s="1"/>
  <c r="AA189" i="34"/>
  <c r="Z167" i="215" s="1"/>
  <c r="R167" i="36"/>
  <c r="Q76" i="103"/>
  <c r="R22" i="36"/>
  <c r="T200" i="34"/>
  <c r="S178" i="215" s="1"/>
  <c r="T167" i="34"/>
  <c r="S142" i="215" s="1"/>
  <c r="Q200" i="34"/>
  <c r="P178" i="215" s="1"/>
  <c r="R55" i="36"/>
  <c r="S22" i="36"/>
  <c r="T198" i="34"/>
  <c r="S176" i="215" s="1"/>
  <c r="T199" i="34"/>
  <c r="S177" i="215" s="1"/>
  <c r="S22" i="103"/>
  <c r="S55" i="103" s="1"/>
  <c r="V166" i="34"/>
  <c r="U141" i="215" s="1"/>
  <c r="O22" i="36"/>
  <c r="O58" i="36" s="1"/>
  <c r="T165" i="34"/>
  <c r="S140" i="215" s="1"/>
  <c r="Y55" i="36"/>
  <c r="Q189" i="34"/>
  <c r="P167" i="215" s="1"/>
  <c r="O328" i="36"/>
  <c r="T164" i="34"/>
  <c r="S139" i="215" s="1"/>
  <c r="T166" i="34"/>
  <c r="S141" i="215" s="1"/>
  <c r="T197" i="34"/>
  <c r="S175" i="215" s="1"/>
  <c r="V164" i="34"/>
  <c r="U139" i="215" s="1"/>
  <c r="O186" i="36"/>
  <c r="T22" i="36"/>
  <c r="S186" i="36"/>
  <c r="O167" i="36"/>
  <c r="S328" i="36"/>
  <c r="R76" i="103"/>
  <c r="N76" i="103"/>
  <c r="S167" i="36"/>
  <c r="T167" i="36"/>
  <c r="T328" i="36"/>
  <c r="T331" i="36" s="1"/>
  <c r="M20" i="214"/>
  <c r="Q166" i="34"/>
  <c r="P141" i="215" s="1"/>
  <c r="Q165" i="34"/>
  <c r="P140" i="215" s="1"/>
  <c r="X22" i="103"/>
  <c r="X55" i="103" s="1"/>
  <c r="V167" i="34"/>
  <c r="U142" i="215" s="1"/>
  <c r="Q198" i="34"/>
  <c r="P176" i="215" s="1"/>
  <c r="V189" i="34"/>
  <c r="U167" i="215" s="1"/>
  <c r="V199" i="34"/>
  <c r="U177" i="215" s="1"/>
  <c r="N51" i="103"/>
  <c r="N53" i="103" s="1"/>
  <c r="N55" i="103" s="1"/>
  <c r="Q164" i="34"/>
  <c r="P139" i="215" s="1"/>
  <c r="Q167" i="34"/>
  <c r="P142" i="215" s="1"/>
  <c r="V197" i="34"/>
  <c r="U175" i="215" s="1"/>
  <c r="V200" i="34"/>
  <c r="U178" i="215" s="1"/>
  <c r="R20" i="214"/>
  <c r="T55" i="36"/>
  <c r="V198" i="34"/>
  <c r="U176" i="215" s="1"/>
  <c r="S76" i="103"/>
  <c r="Y328" i="36"/>
  <c r="Y167" i="36"/>
  <c r="X76" i="103"/>
  <c r="AA164" i="34"/>
  <c r="Z139" i="215" s="1"/>
  <c r="Q186" i="36"/>
  <c r="AA197" i="34"/>
  <c r="Z175" i="215" s="1"/>
  <c r="AA198" i="34"/>
  <c r="Z176" i="215" s="1"/>
  <c r="Y186" i="36"/>
  <c r="W20" i="214"/>
  <c r="AA200" i="34"/>
  <c r="Z178" i="215" s="1"/>
  <c r="AA199" i="34"/>
  <c r="Z177" i="215" s="1"/>
  <c r="P186" i="36"/>
  <c r="W186" i="36"/>
  <c r="X186" i="36"/>
  <c r="X328" i="36"/>
  <c r="AE250" i="34"/>
  <c r="G123" i="79"/>
  <c r="E19" i="104"/>
  <c r="AE21" i="34"/>
  <c r="V51" i="103"/>
  <c r="V53" i="103" s="1"/>
  <c r="W55" i="36"/>
  <c r="Z167" i="34"/>
  <c r="Y142" i="215" s="1"/>
  <c r="Z166" i="34"/>
  <c r="Y141" i="215" s="1"/>
  <c r="V20" i="214"/>
  <c r="Z189" i="34"/>
  <c r="Y167" i="215" s="1"/>
  <c r="Z200" i="34"/>
  <c r="Y178" i="215" s="1"/>
  <c r="Z197" i="34"/>
  <c r="Y175" i="215" s="1"/>
  <c r="Z165" i="34"/>
  <c r="Y140" i="215" s="1"/>
  <c r="Z199" i="34"/>
  <c r="Y177" i="215" s="1"/>
  <c r="Z198" i="34"/>
  <c r="Y176" i="215" s="1"/>
  <c r="Z164" i="34"/>
  <c r="W16" i="103"/>
  <c r="W22" i="103" s="1"/>
  <c r="X22" i="36"/>
  <c r="E44" i="214"/>
  <c r="O173" i="36"/>
  <c r="Q282" i="34" s="1"/>
  <c r="Q281" i="34"/>
  <c r="O58" i="103"/>
  <c r="O76" i="103" s="1"/>
  <c r="P167" i="36"/>
  <c r="P22" i="36"/>
  <c r="O16" i="103"/>
  <c r="O22" i="103" s="1"/>
  <c r="U186" i="36"/>
  <c r="T58" i="103"/>
  <c r="T76" i="103" s="1"/>
  <c r="U167" i="36"/>
  <c r="O20" i="214"/>
  <c r="S166" i="34"/>
  <c r="R141" i="215" s="1"/>
  <c r="S198" i="34"/>
  <c r="R176" i="215" s="1"/>
  <c r="S199" i="34"/>
  <c r="R177" i="215" s="1"/>
  <c r="S200" i="34"/>
  <c r="R178" i="215" s="1"/>
  <c r="S189" i="34"/>
  <c r="R167" i="215" s="1"/>
  <c r="S167" i="34"/>
  <c r="R142" i="215" s="1"/>
  <c r="S197" i="34"/>
  <c r="R175" i="215" s="1"/>
  <c r="S164" i="34"/>
  <c r="S165" i="34"/>
  <c r="R140" i="215" s="1"/>
  <c r="Q55" i="36"/>
  <c r="P51" i="103"/>
  <c r="P53" i="103" s="1"/>
  <c r="E17" i="104"/>
  <c r="W51" i="103"/>
  <c r="W53" i="103" s="1"/>
  <c r="X55" i="36"/>
  <c r="K327" i="36"/>
  <c r="K77" i="36"/>
  <c r="K136" i="36"/>
  <c r="K323" i="36"/>
  <c r="K137" i="36"/>
  <c r="K78" i="36"/>
  <c r="K149" i="36"/>
  <c r="K138" i="36"/>
  <c r="K282" i="36"/>
  <c r="K112" i="36"/>
  <c r="K129" i="36"/>
  <c r="K97" i="36"/>
  <c r="K146" i="36"/>
  <c r="K249" i="36"/>
  <c r="K257" i="36"/>
  <c r="K151" i="36"/>
  <c r="K143" i="36"/>
  <c r="K237" i="36"/>
  <c r="K91" i="36"/>
  <c r="K281" i="36"/>
  <c r="K148" i="36"/>
  <c r="K242" i="36"/>
  <c r="K272" i="36"/>
  <c r="K264" i="36"/>
  <c r="K132" i="36"/>
  <c r="K246" i="36"/>
  <c r="K288" i="36"/>
  <c r="K287" i="36"/>
  <c r="K263" i="36"/>
  <c r="K284" i="36"/>
  <c r="K128" i="36"/>
  <c r="K127" i="36"/>
  <c r="K310" i="36"/>
  <c r="K184" i="36"/>
  <c r="K93" i="36"/>
  <c r="K124" i="36"/>
  <c r="K111" i="36"/>
  <c r="K66" i="36"/>
  <c r="K94" i="36"/>
  <c r="K240" i="36"/>
  <c r="K276" i="36"/>
  <c r="K312" i="36"/>
  <c r="K81" i="36"/>
  <c r="K279" i="36"/>
  <c r="K90" i="36"/>
  <c r="K308" i="36"/>
  <c r="K115" i="36"/>
  <c r="K139" i="36"/>
  <c r="K104" i="36"/>
  <c r="K101" i="36"/>
  <c r="K252" i="36"/>
  <c r="K96" i="36"/>
  <c r="K117" i="36"/>
  <c r="K226" i="36"/>
  <c r="K256" i="36"/>
  <c r="K80" i="36"/>
  <c r="K231" i="36"/>
  <c r="K144" i="36"/>
  <c r="K260" i="36"/>
  <c r="K302" i="36"/>
  <c r="K262" i="36"/>
  <c r="K130" i="36"/>
  <c r="K108" i="36"/>
  <c r="K266" i="36"/>
  <c r="K133" i="36"/>
  <c r="K225" i="36"/>
  <c r="K116" i="36"/>
  <c r="K283" i="36"/>
  <c r="K275" i="36"/>
  <c r="K85" i="36"/>
  <c r="K235" i="36"/>
  <c r="K84" i="36"/>
  <c r="K82" i="36"/>
  <c r="K161" i="36"/>
  <c r="K270" i="36"/>
  <c r="K114" i="36"/>
  <c r="K280" i="36"/>
  <c r="K236" i="36"/>
  <c r="K304" i="36"/>
  <c r="K100" i="36"/>
  <c r="K89" i="36"/>
  <c r="K109" i="36"/>
  <c r="K258" i="36"/>
  <c r="K255" i="36"/>
  <c r="K253" i="36"/>
  <c r="K301" i="36"/>
  <c r="K63" i="36"/>
  <c r="K254" i="36"/>
  <c r="K261" i="36"/>
  <c r="K75" i="36"/>
  <c r="K145" i="36"/>
  <c r="K119" i="36"/>
  <c r="K322" i="36"/>
  <c r="K166" i="36"/>
  <c r="K291" i="36"/>
  <c r="K122" i="36"/>
  <c r="K239" i="36"/>
  <c r="K267" i="36"/>
  <c r="K68" i="36"/>
  <c r="K102" i="36"/>
  <c r="K165" i="36"/>
  <c r="K306" i="36"/>
  <c r="K300" i="36"/>
  <c r="K120" i="36"/>
  <c r="K99" i="36"/>
  <c r="K162" i="36"/>
  <c r="K135" i="36"/>
  <c r="K98" i="36"/>
  <c r="K244" i="36"/>
  <c r="K299" i="36"/>
  <c r="K295" i="36"/>
  <c r="K324" i="36"/>
  <c r="K83" i="36"/>
  <c r="K273" i="36"/>
  <c r="K229" i="36"/>
  <c r="K277" i="36"/>
  <c r="K326" i="36"/>
  <c r="K86" i="36"/>
  <c r="K76" i="36"/>
  <c r="K269" i="36"/>
  <c r="K131" i="36"/>
  <c r="K297" i="36"/>
  <c r="K303" i="36"/>
  <c r="K79" i="36"/>
  <c r="K141" i="36"/>
  <c r="K121" i="36"/>
  <c r="K70" i="36"/>
  <c r="K159" i="36"/>
  <c r="K160" i="36"/>
  <c r="K296" i="36"/>
  <c r="K285" i="36"/>
  <c r="K311" i="36"/>
  <c r="K110" i="36"/>
  <c r="K293" i="36"/>
  <c r="K238" i="36"/>
  <c r="K286" i="36"/>
  <c r="K118" i="36"/>
  <c r="K87" i="36"/>
  <c r="K140" i="36"/>
  <c r="K251" i="36"/>
  <c r="K88" i="36"/>
  <c r="K305" i="36"/>
  <c r="K292" i="36"/>
  <c r="K290" i="36"/>
  <c r="K233" i="36"/>
  <c r="K20" i="36"/>
  <c r="K268" i="36"/>
  <c r="K274" i="36"/>
  <c r="K298" i="36"/>
  <c r="K325" i="36"/>
  <c r="K294" i="36"/>
  <c r="K142" i="36"/>
  <c r="K243" i="36"/>
  <c r="K248" i="36"/>
  <c r="K164" i="36"/>
  <c r="K250" i="36"/>
  <c r="K265" i="36"/>
  <c r="K150" i="36"/>
  <c r="K245" i="36"/>
  <c r="K147" i="36"/>
  <c r="K180" i="36"/>
  <c r="K259" i="36"/>
  <c r="K271" i="36"/>
  <c r="K125" i="36"/>
  <c r="J66" i="103" s="1"/>
  <c r="K247" i="36"/>
  <c r="K278" i="36"/>
  <c r="K307" i="36"/>
  <c r="K123" i="36"/>
  <c r="J65" i="103" s="1"/>
  <c r="K92" i="36"/>
  <c r="J60" i="103" s="1"/>
  <c r="K241" i="36"/>
  <c r="K289" i="36"/>
  <c r="K134" i="36"/>
  <c r="K95" i="36"/>
  <c r="K223" i="36"/>
  <c r="K309" i="36"/>
  <c r="K126" i="36"/>
  <c r="J67" i="103" s="1"/>
  <c r="K163" i="36"/>
  <c r="J75" i="103" s="1"/>
  <c r="K53" i="36"/>
  <c r="K74" i="36"/>
  <c r="J59" i="103" s="1"/>
  <c r="K16" i="36"/>
  <c r="J17" i="103" s="1"/>
  <c r="K107" i="36"/>
  <c r="K106" i="36"/>
  <c r="J63" i="103" s="1"/>
  <c r="K103" i="36"/>
  <c r="J61" i="103" s="1"/>
  <c r="K179" i="36"/>
  <c r="K105" i="36"/>
  <c r="J62" i="103" s="1"/>
  <c r="K62" i="36"/>
  <c r="M267" i="34"/>
  <c r="K217" i="36"/>
  <c r="K219" i="36" s="1"/>
  <c r="K15" i="36"/>
  <c r="K113" i="36"/>
  <c r="J64" i="103" s="1"/>
  <c r="F291" i="34"/>
  <c r="AE293" i="34"/>
  <c r="F346" i="36"/>
  <c r="H264" i="36"/>
  <c r="H78" i="36"/>
  <c r="H272" i="36"/>
  <c r="H159" i="36"/>
  <c r="H290" i="36"/>
  <c r="H285" i="36"/>
  <c r="H81" i="36"/>
  <c r="H127" i="36"/>
  <c r="H114" i="36"/>
  <c r="H162" i="36"/>
  <c r="H295" i="36"/>
  <c r="H147" i="36"/>
  <c r="H291" i="36"/>
  <c r="H131" i="36"/>
  <c r="H278" i="36"/>
  <c r="H149" i="36"/>
  <c r="H243" i="36"/>
  <c r="H110" i="36"/>
  <c r="H96" i="36"/>
  <c r="H128" i="36"/>
  <c r="H257" i="36"/>
  <c r="H259" i="36"/>
  <c r="H180" i="36"/>
  <c r="H256" i="36"/>
  <c r="H276" i="36"/>
  <c r="H312" i="36"/>
  <c r="H98" i="36"/>
  <c r="H144" i="36"/>
  <c r="H275" i="36"/>
  <c r="H326" i="36"/>
  <c r="H141" i="36"/>
  <c r="H325" i="36"/>
  <c r="H241" i="36"/>
  <c r="H255" i="36"/>
  <c r="H125" i="36"/>
  <c r="H289" i="36"/>
  <c r="H235" i="36"/>
  <c r="H237" i="36"/>
  <c r="H217" i="36"/>
  <c r="H113" i="36"/>
  <c r="H83" i="36"/>
  <c r="H135" i="36"/>
  <c r="H90" i="36"/>
  <c r="H286" i="36"/>
  <c r="H283" i="36"/>
  <c r="H248" i="36"/>
  <c r="H93" i="36"/>
  <c r="H92" i="36"/>
  <c r="H239" i="36"/>
  <c r="H102" i="36"/>
  <c r="H116" i="36"/>
  <c r="H247" i="36"/>
  <c r="H118" i="36"/>
  <c r="H233" i="36"/>
  <c r="H107" i="36"/>
  <c r="H303" i="36"/>
  <c r="H85" i="36"/>
  <c r="H99" i="36"/>
  <c r="H123" i="36"/>
  <c r="H138" i="36"/>
  <c r="H268" i="36"/>
  <c r="H223" i="36"/>
  <c r="H140" i="36"/>
  <c r="H100" i="36"/>
  <c r="H296" i="36"/>
  <c r="H130" i="36"/>
  <c r="H165" i="36"/>
  <c r="H121" i="36"/>
  <c r="H151" i="36"/>
  <c r="H111" i="36"/>
  <c r="H80" i="36"/>
  <c r="H284" i="36"/>
  <c r="H106" i="36"/>
  <c r="H76" i="36"/>
  <c r="H166" i="36"/>
  <c r="H164" i="36"/>
  <c r="H66" i="36"/>
  <c r="H120" i="36"/>
  <c r="H282" i="36"/>
  <c r="H117" i="36"/>
  <c r="H262" i="36"/>
  <c r="H142" i="36"/>
  <c r="H77" i="36"/>
  <c r="H229" i="36"/>
  <c r="H74" i="36"/>
  <c r="H269" i="36"/>
  <c r="H132" i="36"/>
  <c r="H231" i="36"/>
  <c r="H299" i="36"/>
  <c r="H94" i="36"/>
  <c r="H82" i="36"/>
  <c r="H137" i="36"/>
  <c r="H280" i="36"/>
  <c r="H95" i="36"/>
  <c r="H279" i="36"/>
  <c r="H300" i="36"/>
  <c r="H101" i="36"/>
  <c r="H89" i="36"/>
  <c r="H15" i="36"/>
  <c r="H305" i="36"/>
  <c r="H115" i="36"/>
  <c r="H136" i="36"/>
  <c r="H267" i="36"/>
  <c r="H306" i="36"/>
  <c r="H327" i="36"/>
  <c r="H273" i="36"/>
  <c r="H311" i="36"/>
  <c r="H294" i="36"/>
  <c r="H124" i="36"/>
  <c r="H16" i="36"/>
  <c r="H263" i="36"/>
  <c r="H261" i="36"/>
  <c r="H126" i="36"/>
  <c r="H88" i="36"/>
  <c r="H310" i="36"/>
  <c r="H250" i="36"/>
  <c r="H150" i="36"/>
  <c r="H293" i="36"/>
  <c r="H75" i="36"/>
  <c r="H277" i="36"/>
  <c r="H160" i="36"/>
  <c r="H63" i="36"/>
  <c r="H274" i="36"/>
  <c r="H242" i="36"/>
  <c r="H119" i="36"/>
  <c r="H105" i="36"/>
  <c r="H86" i="36"/>
  <c r="H251" i="36"/>
  <c r="H240" i="36"/>
  <c r="H139" i="36"/>
  <c r="H252" i="36"/>
  <c r="H246" i="36"/>
  <c r="H254" i="36"/>
  <c r="H143" i="36"/>
  <c r="H134" i="36"/>
  <c r="H301" i="36"/>
  <c r="H53" i="36"/>
  <c r="H108" i="36"/>
  <c r="H163" i="36"/>
  <c r="H253" i="36"/>
  <c r="H258" i="36"/>
  <c r="H103" i="36"/>
  <c r="H109" i="36"/>
  <c r="H245" i="36"/>
  <c r="H238" i="36"/>
  <c r="H322" i="36"/>
  <c r="H87" i="36"/>
  <c r="H265" i="36"/>
  <c r="H84" i="36"/>
  <c r="H226" i="36"/>
  <c r="H302" i="36"/>
  <c r="H91" i="36"/>
  <c r="H112" i="36"/>
  <c r="H304" i="36"/>
  <c r="H179" i="36"/>
  <c r="H146" i="36"/>
  <c r="H184" i="36"/>
  <c r="H307" i="36"/>
  <c r="H308" i="36"/>
  <c r="H145" i="36"/>
  <c r="H20" i="36"/>
  <c r="H62" i="36"/>
  <c r="H281" i="36"/>
  <c r="H70" i="36"/>
  <c r="H270" i="36"/>
  <c r="H148" i="36"/>
  <c r="H129" i="36"/>
  <c r="H323" i="36"/>
  <c r="H287" i="36"/>
  <c r="H79" i="36"/>
  <c r="H97" i="36"/>
  <c r="H309" i="36"/>
  <c r="H133" i="36"/>
  <c r="H244" i="36"/>
  <c r="H68" i="36"/>
  <c r="H249" i="36"/>
  <c r="H324" i="36"/>
  <c r="H288" i="36"/>
  <c r="H266" i="36"/>
  <c r="H260" i="36"/>
  <c r="H122" i="36"/>
  <c r="H104" i="36"/>
  <c r="H292" i="36"/>
  <c r="H297" i="36"/>
  <c r="J267" i="34"/>
  <c r="H271" i="36"/>
  <c r="H298" i="36"/>
  <c r="H161" i="36"/>
  <c r="H225" i="36"/>
  <c r="H236" i="36"/>
  <c r="V167" i="36"/>
  <c r="U58" i="103"/>
  <c r="U76" i="103" s="1"/>
  <c r="V328" i="36"/>
  <c r="P55" i="36"/>
  <c r="O51" i="103"/>
  <c r="O53" i="103" s="1"/>
  <c r="W328" i="36"/>
  <c r="T16" i="103"/>
  <c r="T22" i="103" s="1"/>
  <c r="U22" i="36"/>
  <c r="X167" i="36"/>
  <c r="W58" i="103"/>
  <c r="W76" i="103" s="1"/>
  <c r="V55" i="36"/>
  <c r="U51" i="103"/>
  <c r="U53" i="103" s="1"/>
  <c r="V22" i="36"/>
  <c r="U16" i="103"/>
  <c r="U22" i="103" s="1"/>
  <c r="U55" i="36"/>
  <c r="T51" i="103"/>
  <c r="T53" i="103" s="1"/>
  <c r="Q167" i="36"/>
  <c r="P58" i="103"/>
  <c r="P76" i="103" s="1"/>
  <c r="Q328" i="36"/>
  <c r="Y345" i="36"/>
  <c r="AA266" i="34" s="1"/>
  <c r="AA179" i="34" s="1"/>
  <c r="Y171" i="36"/>
  <c r="J250" i="36"/>
  <c r="J122" i="36"/>
  <c r="J129" i="36"/>
  <c r="J290" i="36"/>
  <c r="J306" i="36"/>
  <c r="J229" i="36"/>
  <c r="J265" i="36"/>
  <c r="J99" i="36"/>
  <c r="J164" i="36"/>
  <c r="J243" i="36"/>
  <c r="J115" i="36"/>
  <c r="J322" i="36"/>
  <c r="J166" i="36"/>
  <c r="J142" i="36"/>
  <c r="J97" i="36"/>
  <c r="J128" i="36"/>
  <c r="J267" i="36"/>
  <c r="J87" i="36"/>
  <c r="J286" i="36"/>
  <c r="J327" i="36"/>
  <c r="J308" i="36"/>
  <c r="J257" i="36"/>
  <c r="J20" i="36"/>
  <c r="J101" i="36"/>
  <c r="J254" i="36"/>
  <c r="J139" i="36"/>
  <c r="J70" i="36"/>
  <c r="J136" i="36"/>
  <c r="J78" i="36"/>
  <c r="J63" i="36"/>
  <c r="J262" i="36"/>
  <c r="J127" i="36"/>
  <c r="J268" i="36"/>
  <c r="J91" i="36"/>
  <c r="J112" i="36"/>
  <c r="J309" i="36"/>
  <c r="J110" i="36"/>
  <c r="J297" i="36"/>
  <c r="J109" i="36"/>
  <c r="J292" i="36"/>
  <c r="J304" i="36"/>
  <c r="J137" i="36"/>
  <c r="J266" i="36"/>
  <c r="J275" i="36"/>
  <c r="J225" i="36"/>
  <c r="J273" i="36"/>
  <c r="J80" i="36"/>
  <c r="J119" i="36"/>
  <c r="J82" i="36"/>
  <c r="J277" i="36"/>
  <c r="J117" i="36"/>
  <c r="J269" i="36"/>
  <c r="J68" i="36"/>
  <c r="J260" i="36"/>
  <c r="J326" i="36"/>
  <c r="J249" i="36"/>
  <c r="J96" i="36"/>
  <c r="J236" i="36"/>
  <c r="J288" i="36"/>
  <c r="J237" i="36"/>
  <c r="J141" i="36"/>
  <c r="J244" i="36"/>
  <c r="J302" i="36"/>
  <c r="J159" i="36"/>
  <c r="J77" i="36"/>
  <c r="J287" i="36"/>
  <c r="J124" i="36"/>
  <c r="J256" i="36"/>
  <c r="J251" i="36"/>
  <c r="J238" i="36"/>
  <c r="J278" i="36"/>
  <c r="J300" i="36"/>
  <c r="J81" i="36"/>
  <c r="J285" i="36"/>
  <c r="J108" i="36"/>
  <c r="J95" i="36"/>
  <c r="J324" i="36"/>
  <c r="J246" i="36"/>
  <c r="J138" i="36"/>
  <c r="J144" i="36"/>
  <c r="J160" i="36"/>
  <c r="J235" i="36"/>
  <c r="J79" i="36"/>
  <c r="J312" i="36"/>
  <c r="J161" i="36"/>
  <c r="J239" i="36"/>
  <c r="J116" i="36"/>
  <c r="J242" i="36"/>
  <c r="J150" i="36"/>
  <c r="J295" i="36"/>
  <c r="J272" i="36"/>
  <c r="J162" i="36"/>
  <c r="J303" i="36"/>
  <c r="J132" i="36"/>
  <c r="J241" i="36"/>
  <c r="J148" i="36"/>
  <c r="J145" i="36"/>
  <c r="J279" i="36"/>
  <c r="J118" i="36"/>
  <c r="J252" i="36"/>
  <c r="J104" i="36"/>
  <c r="J121" i="36"/>
  <c r="J98" i="36"/>
  <c r="J111" i="36"/>
  <c r="J147" i="36"/>
  <c r="J100" i="36"/>
  <c r="J248" i="36"/>
  <c r="J291" i="36"/>
  <c r="J83" i="36"/>
  <c r="J311" i="36"/>
  <c r="J280" i="36"/>
  <c r="J307" i="36"/>
  <c r="J133" i="36"/>
  <c r="J184" i="36"/>
  <c r="J84" i="36"/>
  <c r="J301" i="36"/>
  <c r="J180" i="36"/>
  <c r="J149" i="36"/>
  <c r="J258" i="36"/>
  <c r="J107" i="36"/>
  <c r="J89" i="36"/>
  <c r="J289" i="36"/>
  <c r="J305" i="36"/>
  <c r="J310" i="36"/>
  <c r="J120" i="36"/>
  <c r="J294" i="36"/>
  <c r="J263" i="36"/>
  <c r="J143" i="36"/>
  <c r="J93" i="36"/>
  <c r="J134" i="36"/>
  <c r="J146" i="36"/>
  <c r="J259" i="36"/>
  <c r="J283" i="36"/>
  <c r="J299" i="36"/>
  <c r="J131" i="36"/>
  <c r="J102" i="36"/>
  <c r="J293" i="36"/>
  <c r="J271" i="36"/>
  <c r="J151" i="36"/>
  <c r="J261" i="36"/>
  <c r="J226" i="36"/>
  <c r="J245" i="36"/>
  <c r="J298" i="36"/>
  <c r="J282" i="36"/>
  <c r="J323" i="36"/>
  <c r="J130" i="36"/>
  <c r="J253" i="36"/>
  <c r="J247" i="36"/>
  <c r="J94" i="36"/>
  <c r="J281" i="36"/>
  <c r="J325" i="36"/>
  <c r="J85" i="36"/>
  <c r="J88" i="36"/>
  <c r="J276" i="36"/>
  <c r="J296" i="36"/>
  <c r="J76" i="36"/>
  <c r="J274" i="36"/>
  <c r="J86" i="36"/>
  <c r="J270" i="36"/>
  <c r="J284" i="36"/>
  <c r="J165" i="36"/>
  <c r="J75" i="36"/>
  <c r="J140" i="36"/>
  <c r="J114" i="36"/>
  <c r="J231" i="36"/>
  <c r="J255" i="36"/>
  <c r="J66" i="36"/>
  <c r="J240" i="36"/>
  <c r="J135" i="36"/>
  <c r="J105" i="36"/>
  <c r="I62" i="103" s="1"/>
  <c r="J264" i="36"/>
  <c r="J62" i="36"/>
  <c r="J233" i="36"/>
  <c r="J113" i="36"/>
  <c r="I64" i="103" s="1"/>
  <c r="J90" i="36"/>
  <c r="J179" i="36"/>
  <c r="J217" i="36"/>
  <c r="J219" i="36" s="1"/>
  <c r="J125" i="36"/>
  <c r="I66" i="103" s="1"/>
  <c r="J223" i="36"/>
  <c r="J15" i="36"/>
  <c r="J74" i="36"/>
  <c r="I59" i="103" s="1"/>
  <c r="J53" i="36"/>
  <c r="J16" i="36"/>
  <c r="I17" i="103" s="1"/>
  <c r="J103" i="36"/>
  <c r="I61" i="103" s="1"/>
  <c r="J106" i="36"/>
  <c r="I63" i="103" s="1"/>
  <c r="J126" i="36"/>
  <c r="I67" i="103" s="1"/>
  <c r="J92" i="36"/>
  <c r="I60" i="103" s="1"/>
  <c r="J163" i="36"/>
  <c r="I75" i="103" s="1"/>
  <c r="L267" i="34"/>
  <c r="J123" i="36"/>
  <c r="I65" i="103" s="1"/>
  <c r="U328" i="36"/>
  <c r="S20" i="214"/>
  <c r="W198" i="34"/>
  <c r="V176" i="215" s="1"/>
  <c r="W167" i="34"/>
  <c r="V142" i="215" s="1"/>
  <c r="W164" i="34"/>
  <c r="W199" i="34"/>
  <c r="V177" i="215" s="1"/>
  <c r="W197" i="34"/>
  <c r="V175" i="215" s="1"/>
  <c r="W189" i="34"/>
  <c r="V167" i="215" s="1"/>
  <c r="W200" i="34"/>
  <c r="V178" i="215" s="1"/>
  <c r="W166" i="34"/>
  <c r="V141" i="215" s="1"/>
  <c r="W165" i="34"/>
  <c r="V140" i="215" s="1"/>
  <c r="R189" i="34"/>
  <c r="Q167" i="215" s="1"/>
  <c r="N20" i="214"/>
  <c r="R200" i="34"/>
  <c r="Q178" i="215" s="1"/>
  <c r="R166" i="34"/>
  <c r="Q141" i="215" s="1"/>
  <c r="R164" i="34"/>
  <c r="R165" i="34"/>
  <c r="Q140" i="215" s="1"/>
  <c r="R198" i="34"/>
  <c r="Q176" i="215" s="1"/>
  <c r="Q145" i="215"/>
  <c r="R199" i="34"/>
  <c r="Q177" i="215" s="1"/>
  <c r="R197" i="34"/>
  <c r="Q175" i="215" s="1"/>
  <c r="R167" i="34"/>
  <c r="Q142" i="215" s="1"/>
  <c r="V58" i="103"/>
  <c r="V76" i="103" s="1"/>
  <c r="W167" i="36"/>
  <c r="Q22" i="36"/>
  <c r="P16" i="103"/>
  <c r="P22" i="103" s="1"/>
  <c r="AE291" i="34"/>
  <c r="P153" i="215"/>
  <c r="M19" i="214"/>
  <c r="R171" i="36"/>
  <c r="R345" i="36"/>
  <c r="T266" i="34" s="1"/>
  <c r="T179" i="34" s="1"/>
  <c r="S345" i="36"/>
  <c r="U266" i="34" s="1"/>
  <c r="U179" i="34" s="1"/>
  <c r="S171" i="36"/>
  <c r="H19" i="104"/>
  <c r="W143" i="215"/>
  <c r="X167" i="34"/>
  <c r="W142" i="215" s="1"/>
  <c r="X198" i="34"/>
  <c r="W176" i="215" s="1"/>
  <c r="T20" i="214"/>
  <c r="X200" i="34"/>
  <c r="W178" i="215" s="1"/>
  <c r="X197" i="34"/>
  <c r="W175" i="215" s="1"/>
  <c r="X166" i="34"/>
  <c r="W141" i="215" s="1"/>
  <c r="X165" i="34"/>
  <c r="W140" i="215" s="1"/>
  <c r="W164" i="215"/>
  <c r="X189" i="34"/>
  <c r="W167" i="215" s="1"/>
  <c r="X199" i="34"/>
  <c r="W177" i="215" s="1"/>
  <c r="X164" i="34"/>
  <c r="V186" i="36"/>
  <c r="P328" i="36"/>
  <c r="Y198" i="34"/>
  <c r="X176" i="215" s="1"/>
  <c r="Y165" i="34"/>
  <c r="X140" i="215" s="1"/>
  <c r="Y166" i="34"/>
  <c r="X141" i="215" s="1"/>
  <c r="U20" i="214"/>
  <c r="Y167" i="34"/>
  <c r="X142" i="215" s="1"/>
  <c r="Y199" i="34"/>
  <c r="X177" i="215" s="1"/>
  <c r="Y197" i="34"/>
  <c r="X175" i="215" s="1"/>
  <c r="Y200" i="34"/>
  <c r="X178" i="215" s="1"/>
  <c r="Y164" i="34"/>
  <c r="Y189" i="34"/>
  <c r="X167" i="215" s="1"/>
  <c r="W22" i="36"/>
  <c r="V16" i="103"/>
  <c r="V22" i="103" s="1"/>
  <c r="T345" i="36"/>
  <c r="V266" i="34" s="1"/>
  <c r="V179" i="34" s="1"/>
  <c r="T171" i="36"/>
  <c r="I171" i="36"/>
  <c r="I345" i="36"/>
  <c r="K266" i="34" s="1"/>
  <c r="K179" i="34" s="1"/>
  <c r="J139" i="215" l="1"/>
  <c r="M163" i="34"/>
  <c r="M169" i="34"/>
  <c r="L143" i="215" s="1"/>
  <c r="M171" i="34"/>
  <c r="L145" i="215" s="1"/>
  <c r="M183" i="34"/>
  <c r="L164" i="215" s="1"/>
  <c r="M185" i="34"/>
  <c r="L166" i="215" s="1"/>
  <c r="M187" i="34"/>
  <c r="M168" i="34"/>
  <c r="M170" i="34"/>
  <c r="M186" i="34"/>
  <c r="M172" i="34"/>
  <c r="L146" i="215" s="1"/>
  <c r="M184" i="34"/>
  <c r="L165" i="215" s="1"/>
  <c r="M188" i="34"/>
  <c r="Q173" i="34"/>
  <c r="Q175" i="34"/>
  <c r="P149" i="215" s="1"/>
  <c r="Q176" i="34"/>
  <c r="P150" i="215" s="1"/>
  <c r="Q180" i="34"/>
  <c r="P161" i="215" s="1"/>
  <c r="Q174" i="34"/>
  <c r="P148" i="215" s="1"/>
  <c r="J163" i="34"/>
  <c r="J168" i="34"/>
  <c r="J170" i="34"/>
  <c r="J172" i="34"/>
  <c r="J169" i="34"/>
  <c r="J171" i="34"/>
  <c r="J183" i="34"/>
  <c r="J185" i="34"/>
  <c r="J187" i="34"/>
  <c r="J188" i="34"/>
  <c r="J186" i="34"/>
  <c r="J184" i="34"/>
  <c r="L163" i="34"/>
  <c r="L169" i="34"/>
  <c r="K143" i="215" s="1"/>
  <c r="L171" i="34"/>
  <c r="K145" i="215" s="1"/>
  <c r="L188" i="34"/>
  <c r="L168" i="34"/>
  <c r="L170" i="34"/>
  <c r="K144" i="215" s="1"/>
  <c r="L172" i="34"/>
  <c r="K146" i="215" s="1"/>
  <c r="L184" i="34"/>
  <c r="K165" i="215" s="1"/>
  <c r="L186" i="34"/>
  <c r="L187" i="34"/>
  <c r="L185" i="34"/>
  <c r="K166" i="215" s="1"/>
  <c r="L183" i="34"/>
  <c r="K164" i="215" s="1"/>
  <c r="I58" i="36"/>
  <c r="V279" i="34"/>
  <c r="R32" i="214" s="1"/>
  <c r="R331" i="36"/>
  <c r="T279" i="34" s="1"/>
  <c r="P32" i="214" s="1"/>
  <c r="J329" i="36"/>
  <c r="J332" i="36" s="1"/>
  <c r="H329" i="36"/>
  <c r="H332" i="36" s="1"/>
  <c r="K329" i="36"/>
  <c r="K332" i="36" s="1"/>
  <c r="K358" i="36" s="1"/>
  <c r="I331" i="36"/>
  <c r="K279" i="34" s="1"/>
  <c r="G32" i="214" s="1"/>
  <c r="H78" i="103"/>
  <c r="I170" i="36"/>
  <c r="I172" i="36" s="1"/>
  <c r="W331" i="36"/>
  <c r="Y279" i="34" s="1"/>
  <c r="U32" i="214" s="1"/>
  <c r="Q78" i="103"/>
  <c r="S78" i="103"/>
  <c r="T58" i="36"/>
  <c r="R170" i="36"/>
  <c r="R172" i="36" s="1"/>
  <c r="R78" i="103"/>
  <c r="V331" i="36"/>
  <c r="X279" i="34" s="1"/>
  <c r="T32" i="214" s="1"/>
  <c r="P331" i="36"/>
  <c r="O170" i="36"/>
  <c r="O172" i="36" s="1"/>
  <c r="Y58" i="36"/>
  <c r="R55" i="103"/>
  <c r="S331" i="36"/>
  <c r="U279" i="34" s="1"/>
  <c r="Q32" i="214" s="1"/>
  <c r="O331" i="36"/>
  <c r="Q279" i="34" s="1"/>
  <c r="M32" i="214" s="1"/>
  <c r="S170" i="36"/>
  <c r="S172" i="36" s="1"/>
  <c r="R58" i="36"/>
  <c r="S58" i="36"/>
  <c r="Y170" i="36"/>
  <c r="Y172" i="36" s="1"/>
  <c r="T170" i="36"/>
  <c r="T172" i="36" s="1"/>
  <c r="X78" i="103"/>
  <c r="Q331" i="36"/>
  <c r="N78" i="103"/>
  <c r="Y331" i="36"/>
  <c r="AA279" i="34" s="1"/>
  <c r="W32" i="214" s="1"/>
  <c r="J328" i="36"/>
  <c r="Z310" i="36"/>
  <c r="Z282" i="36"/>
  <c r="Z107" i="36"/>
  <c r="X331" i="36"/>
  <c r="Z279" i="34" s="1"/>
  <c r="V32" i="214" s="1"/>
  <c r="Z292" i="36"/>
  <c r="Z68" i="36"/>
  <c r="Z281" i="36"/>
  <c r="Z308" i="36"/>
  <c r="Z87" i="36"/>
  <c r="Z134" i="36"/>
  <c r="Z252" i="36"/>
  <c r="Z86" i="36"/>
  <c r="Z274" i="36"/>
  <c r="Z75" i="36"/>
  <c r="Z311" i="36"/>
  <c r="Z267" i="36"/>
  <c r="Z279" i="36"/>
  <c r="Z82" i="36"/>
  <c r="Z132" i="36"/>
  <c r="Z77" i="36"/>
  <c r="Z166" i="36"/>
  <c r="Z165" i="36"/>
  <c r="Z93" i="36"/>
  <c r="Z141" i="36"/>
  <c r="Z180" i="36"/>
  <c r="Z96" i="36"/>
  <c r="Z295" i="36"/>
  <c r="Z81" i="36"/>
  <c r="K328" i="36"/>
  <c r="Z104" i="36"/>
  <c r="Z148" i="36"/>
  <c r="Z307" i="36"/>
  <c r="Z304" i="36"/>
  <c r="Z322" i="36"/>
  <c r="Z143" i="36"/>
  <c r="Z88" i="36"/>
  <c r="Z136" i="36"/>
  <c r="Z89" i="36"/>
  <c r="Z95" i="36"/>
  <c r="Z94" i="36"/>
  <c r="Z269" i="36"/>
  <c r="Z120" i="36"/>
  <c r="Z76" i="36"/>
  <c r="Z111" i="36"/>
  <c r="Z99" i="36"/>
  <c r="Z233" i="36"/>
  <c r="Z102" i="36"/>
  <c r="Z135" i="36"/>
  <c r="Z110" i="36"/>
  <c r="G19" i="214"/>
  <c r="J153" i="215"/>
  <c r="S153" i="215"/>
  <c r="P19" i="214"/>
  <c r="P78" i="103"/>
  <c r="P55" i="103"/>
  <c r="Q139" i="215"/>
  <c r="Z266" i="36"/>
  <c r="Z97" i="36"/>
  <c r="Z179" i="36"/>
  <c r="H186" i="36"/>
  <c r="Z163" i="36"/>
  <c r="G75" i="103"/>
  <c r="F75" i="103" s="1"/>
  <c r="Z15" i="36"/>
  <c r="G16" i="103"/>
  <c r="H22" i="36"/>
  <c r="G65" i="103"/>
  <c r="F65" i="103" s="1"/>
  <c r="Z123" i="36"/>
  <c r="Z116" i="36"/>
  <c r="Z90" i="36"/>
  <c r="G66" i="103"/>
  <c r="F66" i="103" s="1"/>
  <c r="Z125" i="36"/>
  <c r="Z98" i="36"/>
  <c r="Z272" i="36"/>
  <c r="K167" i="36"/>
  <c r="J58" i="103"/>
  <c r="J76" i="103" s="1"/>
  <c r="R139" i="215"/>
  <c r="X139" i="215"/>
  <c r="I51" i="103"/>
  <c r="I53" i="103" s="1"/>
  <c r="J55" i="36"/>
  <c r="AA281" i="34"/>
  <c r="Y173" i="36"/>
  <c r="AA282" i="34" s="1"/>
  <c r="Z271" i="36"/>
  <c r="Z288" i="36"/>
  <c r="Z79" i="36"/>
  <c r="G58" i="103"/>
  <c r="H167" i="36"/>
  <c r="Z62" i="36"/>
  <c r="Z226" i="36"/>
  <c r="Z103" i="36"/>
  <c r="G61" i="103"/>
  <c r="F61" i="103" s="1"/>
  <c r="Z63" i="36"/>
  <c r="Z273" i="36"/>
  <c r="Z142" i="36"/>
  <c r="Z130" i="36"/>
  <c r="H328" i="36"/>
  <c r="Z223" i="36"/>
  <c r="Z255" i="36"/>
  <c r="Z312" i="36"/>
  <c r="Z162" i="36"/>
  <c r="Z78" i="36"/>
  <c r="U331" i="36"/>
  <c r="W279" i="34" s="1"/>
  <c r="S32" i="214" s="1"/>
  <c r="O55" i="103"/>
  <c r="O78" i="103"/>
  <c r="R19" i="214"/>
  <c r="U153" i="215"/>
  <c r="T153" i="215"/>
  <c r="Q19" i="214"/>
  <c r="I16" i="103"/>
  <c r="I22" i="103" s="1"/>
  <c r="J22" i="36"/>
  <c r="J186" i="36"/>
  <c r="J167" i="36"/>
  <c r="I58" i="103"/>
  <c r="I76" i="103" s="1"/>
  <c r="J171" i="36"/>
  <c r="J173" i="36" s="1"/>
  <c r="Q345" i="36"/>
  <c r="S266" i="34" s="1"/>
  <c r="S179" i="34" s="1"/>
  <c r="Q171" i="36"/>
  <c r="V58" i="36"/>
  <c r="V170" i="36"/>
  <c r="V172" i="36" s="1"/>
  <c r="T55" i="103"/>
  <c r="T78" i="103"/>
  <c r="V345" i="36"/>
  <c r="X266" i="34" s="1"/>
  <c r="X179" i="34" s="1"/>
  <c r="V171" i="36"/>
  <c r="Z161" i="36"/>
  <c r="Z297" i="36"/>
  <c r="Z260" i="36"/>
  <c r="Z249" i="36"/>
  <c r="Z309" i="36"/>
  <c r="Z323" i="36"/>
  <c r="Z70" i="36"/>
  <c r="Z145" i="36"/>
  <c r="Z146" i="36"/>
  <c r="Z91" i="36"/>
  <c r="Z265" i="36"/>
  <c r="Z245" i="36"/>
  <c r="Z253" i="36"/>
  <c r="Z301" i="36"/>
  <c r="Z246" i="36"/>
  <c r="Z251" i="36"/>
  <c r="Z242" i="36"/>
  <c r="Z277" i="36"/>
  <c r="Z250" i="36"/>
  <c r="Z261" i="36"/>
  <c r="Z294" i="36"/>
  <c r="Z306" i="36"/>
  <c r="Z305" i="36"/>
  <c r="Z300" i="36"/>
  <c r="Z137" i="36"/>
  <c r="Z231" i="36"/>
  <c r="Z229" i="36"/>
  <c r="Z117" i="36"/>
  <c r="Z164" i="36"/>
  <c r="Z284" i="36"/>
  <c r="Z121" i="36"/>
  <c r="Z100" i="36"/>
  <c r="Z138" i="36"/>
  <c r="Z303" i="36"/>
  <c r="Z247" i="36"/>
  <c r="G60" i="103"/>
  <c r="F60" i="103" s="1"/>
  <c r="Z92" i="36"/>
  <c r="Z286" i="36"/>
  <c r="Z113" i="36"/>
  <c r="G64" i="103"/>
  <c r="F64" i="103" s="1"/>
  <c r="Z289" i="36"/>
  <c r="Z325" i="36"/>
  <c r="Z144" i="36"/>
  <c r="Z256" i="36"/>
  <c r="Z128" i="36"/>
  <c r="Z149" i="36"/>
  <c r="Z147" i="36"/>
  <c r="Z127" i="36"/>
  <c r="Z159" i="36"/>
  <c r="I20" i="214"/>
  <c r="M200" i="34"/>
  <c r="L178" i="215" s="1"/>
  <c r="M167" i="34"/>
  <c r="L142" i="215" s="1"/>
  <c r="M189" i="34"/>
  <c r="L167" i="215" s="1"/>
  <c r="M166" i="34"/>
  <c r="L141" i="215" s="1"/>
  <c r="M199" i="34"/>
  <c r="L177" i="215" s="1"/>
  <c r="M165" i="34"/>
  <c r="L140" i="215" s="1"/>
  <c r="M197" i="34"/>
  <c r="L175" i="215" s="1"/>
  <c r="L144" i="215"/>
  <c r="M164" i="34"/>
  <c r="M198" i="34"/>
  <c r="L176" i="215" s="1"/>
  <c r="U345" i="36"/>
  <c r="W266" i="34" s="1"/>
  <c r="W179" i="34" s="1"/>
  <c r="U171" i="36"/>
  <c r="Y139" i="215"/>
  <c r="V55" i="103"/>
  <c r="V78" i="103"/>
  <c r="X345" i="36"/>
  <c r="Z266" i="34" s="1"/>
  <c r="Z179" i="34" s="1"/>
  <c r="X171" i="36"/>
  <c r="Z298" i="36"/>
  <c r="Z129" i="36"/>
  <c r="Z302" i="36"/>
  <c r="Z109" i="36"/>
  <c r="Z263" i="36"/>
  <c r="Z80" i="36"/>
  <c r="Z140" i="36"/>
  <c r="Z217" i="36"/>
  <c r="H219" i="36"/>
  <c r="Z219" i="36" s="1"/>
  <c r="Z278" i="36"/>
  <c r="K55" i="36"/>
  <c r="J51" i="103"/>
  <c r="J53" i="103" s="1"/>
  <c r="Q193" i="34"/>
  <c r="P171" i="215" s="1"/>
  <c r="Q225" i="34"/>
  <c r="Q194" i="34"/>
  <c r="P172" i="215" s="1"/>
  <c r="Q195" i="34"/>
  <c r="P173" i="215" s="1"/>
  <c r="Q192" i="34"/>
  <c r="P170" i="215" s="1"/>
  <c r="Q191" i="34"/>
  <c r="P169" i="215" s="1"/>
  <c r="Q202" i="34"/>
  <c r="P180" i="215" s="1"/>
  <c r="Q196" i="34"/>
  <c r="P174" i="215" s="1"/>
  <c r="Q190" i="34"/>
  <c r="P168" i="215" s="1"/>
  <c r="M34" i="214"/>
  <c r="Q222" i="34"/>
  <c r="Q201" i="34"/>
  <c r="P179" i="215" s="1"/>
  <c r="Q218" i="34"/>
  <c r="K281" i="34"/>
  <c r="I173" i="36"/>
  <c r="K282" i="34" s="1"/>
  <c r="W58" i="36"/>
  <c r="W170" i="36"/>
  <c r="W172" i="36" s="1"/>
  <c r="W139" i="215"/>
  <c r="R173" i="36"/>
  <c r="T282" i="34" s="1"/>
  <c r="T281" i="34"/>
  <c r="Q170" i="36"/>
  <c r="Q172" i="36" s="1"/>
  <c r="Q58" i="36"/>
  <c r="Z236" i="36"/>
  <c r="Z244" i="36"/>
  <c r="Z108" i="36"/>
  <c r="Z139" i="36"/>
  <c r="Z105" i="36"/>
  <c r="G62" i="103"/>
  <c r="F62" i="103" s="1"/>
  <c r="Z293" i="36"/>
  <c r="Z16" i="36"/>
  <c r="G17" i="103"/>
  <c r="F17" i="103" s="1"/>
  <c r="Z248" i="36"/>
  <c r="Z237" i="36"/>
  <c r="Z326" i="36"/>
  <c r="Z259" i="36"/>
  <c r="Z131" i="36"/>
  <c r="Z285" i="36"/>
  <c r="J16" i="103"/>
  <c r="J22" i="103" s="1"/>
  <c r="K22" i="36"/>
  <c r="P345" i="36"/>
  <c r="R266" i="34" s="1"/>
  <c r="R179" i="34" s="1"/>
  <c r="P171" i="36"/>
  <c r="Q210" i="34"/>
  <c r="Q296" i="34" s="1"/>
  <c r="M49" i="214" s="1"/>
  <c r="M35" i="214"/>
  <c r="Q208" i="34"/>
  <c r="Q233" i="34"/>
  <c r="Q223" i="34"/>
  <c r="P201" i="215" s="1"/>
  <c r="Q209" i="34"/>
  <c r="Q234" i="34"/>
  <c r="P211" i="215" s="1"/>
  <c r="X58" i="36"/>
  <c r="X170" i="36"/>
  <c r="X172" i="36" s="1"/>
  <c r="V281" i="34"/>
  <c r="T173" i="36"/>
  <c r="V282" i="34" s="1"/>
  <c r="S173" i="36"/>
  <c r="U282" i="34" s="1"/>
  <c r="U281" i="34"/>
  <c r="W345" i="36"/>
  <c r="Y266" i="34" s="1"/>
  <c r="Y179" i="34" s="1"/>
  <c r="W171" i="36"/>
  <c r="V139" i="215"/>
  <c r="L167" i="34"/>
  <c r="K142" i="215" s="1"/>
  <c r="H20" i="214"/>
  <c r="L189" i="34"/>
  <c r="K167" i="215" s="1"/>
  <c r="L199" i="34"/>
  <c r="K177" i="215" s="1"/>
  <c r="L197" i="34"/>
  <c r="K175" i="215" s="1"/>
  <c r="L166" i="34"/>
  <c r="K141" i="215" s="1"/>
  <c r="L165" i="34"/>
  <c r="K140" i="215" s="1"/>
  <c r="L198" i="34"/>
  <c r="K176" i="215" s="1"/>
  <c r="L164" i="34"/>
  <c r="L200" i="34"/>
  <c r="K178" i="215" s="1"/>
  <c r="W19" i="214"/>
  <c r="Z153" i="215"/>
  <c r="U78" i="103"/>
  <c r="U55" i="103"/>
  <c r="U58" i="36"/>
  <c r="U170" i="36"/>
  <c r="U172" i="36" s="1"/>
  <c r="Z225" i="36"/>
  <c r="J200" i="34"/>
  <c r="J167" i="34"/>
  <c r="AE267" i="34"/>
  <c r="J166" i="34"/>
  <c r="J189" i="34"/>
  <c r="J165" i="34"/>
  <c r="F20" i="214"/>
  <c r="F267" i="34"/>
  <c r="J197" i="34"/>
  <c r="J198" i="34"/>
  <c r="J164" i="34"/>
  <c r="J199" i="34"/>
  <c r="Z122" i="36"/>
  <c r="Z324" i="36"/>
  <c r="Z133" i="36"/>
  <c r="Z287" i="36"/>
  <c r="Z270" i="36"/>
  <c r="Z20" i="36"/>
  <c r="Z184" i="36"/>
  <c r="Z112" i="36"/>
  <c r="Z84" i="36"/>
  <c r="Z238" i="36"/>
  <c r="Z258" i="36"/>
  <c r="Z53" i="36"/>
  <c r="G51" i="103"/>
  <c r="H55" i="36"/>
  <c r="Z254" i="36"/>
  <c r="Z240" i="36"/>
  <c r="Z119" i="36"/>
  <c r="Z160" i="36"/>
  <c r="Z150" i="36"/>
  <c r="Z126" i="36"/>
  <c r="G67" i="103"/>
  <c r="F67" i="103" s="1"/>
  <c r="Z124" i="36"/>
  <c r="Z327" i="36"/>
  <c r="Z115" i="36"/>
  <c r="Z101" i="36"/>
  <c r="Z280" i="36"/>
  <c r="Z299" i="36"/>
  <c r="Z74" i="36"/>
  <c r="G59" i="103"/>
  <c r="F59" i="103" s="1"/>
  <c r="Z262" i="36"/>
  <c r="Z66" i="36"/>
  <c r="Z106" i="36"/>
  <c r="G63" i="103"/>
  <c r="F63" i="103" s="1"/>
  <c r="Z151" i="36"/>
  <c r="Z296" i="36"/>
  <c r="Z268" i="36"/>
  <c r="Z85" i="36"/>
  <c r="Z118" i="36"/>
  <c r="Z239" i="36"/>
  <c r="Z283" i="36"/>
  <c r="Z83" i="36"/>
  <c r="Z235" i="36"/>
  <c r="Z241" i="36"/>
  <c r="Z275" i="36"/>
  <c r="Z276" i="36"/>
  <c r="Z257" i="36"/>
  <c r="Z243" i="36"/>
  <c r="Z291" i="36"/>
  <c r="Z114" i="36"/>
  <c r="Z290" i="36"/>
  <c r="Z264" i="36"/>
  <c r="K186" i="36"/>
  <c r="P58" i="36"/>
  <c r="P170" i="36"/>
  <c r="P172" i="36" s="1"/>
  <c r="W55" i="103"/>
  <c r="W78" i="103"/>
  <c r="Q203" i="34" l="1"/>
  <c r="T173" i="34"/>
  <c r="T175" i="34"/>
  <c r="S149" i="215" s="1"/>
  <c r="T174" i="34"/>
  <c r="S148" i="215" s="1"/>
  <c r="T176" i="34"/>
  <c r="S150" i="215" s="1"/>
  <c r="T180" i="34"/>
  <c r="S161" i="215" s="1"/>
  <c r="V174" i="34"/>
  <c r="U148" i="215" s="1"/>
  <c r="V176" i="34"/>
  <c r="U150" i="215" s="1"/>
  <c r="V180" i="34"/>
  <c r="U161" i="215" s="1"/>
  <c r="V173" i="34"/>
  <c r="V175" i="34"/>
  <c r="U149" i="215" s="1"/>
  <c r="U173" i="34"/>
  <c r="U175" i="34"/>
  <c r="T149" i="215" s="1"/>
  <c r="U176" i="34"/>
  <c r="T150" i="215" s="1"/>
  <c r="U180" i="34"/>
  <c r="T161" i="215" s="1"/>
  <c r="U174" i="34"/>
  <c r="T148" i="215" s="1"/>
  <c r="K174" i="34"/>
  <c r="J148" i="215" s="1"/>
  <c r="K176" i="34"/>
  <c r="J150" i="215" s="1"/>
  <c r="K180" i="34"/>
  <c r="J161" i="215" s="1"/>
  <c r="K175" i="34"/>
  <c r="J149" i="215" s="1"/>
  <c r="K173" i="34"/>
  <c r="AA174" i="34"/>
  <c r="Z148" i="215" s="1"/>
  <c r="AA176" i="34"/>
  <c r="Z150" i="215" s="1"/>
  <c r="AA180" i="34"/>
  <c r="Z161" i="215" s="1"/>
  <c r="AA175" i="34"/>
  <c r="Z149" i="215" s="1"/>
  <c r="AA173" i="34"/>
  <c r="S280" i="34"/>
  <c r="O33" i="214" s="1"/>
  <c r="T280" i="34"/>
  <c r="T232" i="34" s="1"/>
  <c r="Z332" i="36"/>
  <c r="H358" i="36"/>
  <c r="R280" i="34"/>
  <c r="N33" i="214" s="1"/>
  <c r="K331" i="36"/>
  <c r="M279" i="34" s="1"/>
  <c r="I32" i="214" s="1"/>
  <c r="Z328" i="36"/>
  <c r="S279" i="34"/>
  <c r="O32" i="214" s="1"/>
  <c r="U280" i="34"/>
  <c r="U232" i="34" s="1"/>
  <c r="R279" i="34"/>
  <c r="N32" i="214" s="1"/>
  <c r="J331" i="36"/>
  <c r="Z167" i="36"/>
  <c r="AE199" i="34"/>
  <c r="I177" i="215"/>
  <c r="AE170" i="34"/>
  <c r="I144" i="215"/>
  <c r="I178" i="215"/>
  <c r="AE200" i="34"/>
  <c r="Q238" i="34"/>
  <c r="P210" i="215"/>
  <c r="P215" i="215" s="1"/>
  <c r="K225" i="34"/>
  <c r="K196" i="34"/>
  <c r="J174" i="215" s="1"/>
  <c r="G34" i="214"/>
  <c r="K191" i="34"/>
  <c r="J169" i="215" s="1"/>
  <c r="K202" i="34"/>
  <c r="J180" i="215" s="1"/>
  <c r="K195" i="34"/>
  <c r="J173" i="215" s="1"/>
  <c r="K194" i="34"/>
  <c r="J172" i="215" s="1"/>
  <c r="K222" i="34"/>
  <c r="K201" i="34"/>
  <c r="J179" i="215" s="1"/>
  <c r="K193" i="34"/>
  <c r="J171" i="215" s="1"/>
  <c r="K218" i="34"/>
  <c r="K190" i="34"/>
  <c r="J168" i="215" s="1"/>
  <c r="K192" i="34"/>
  <c r="J170" i="215" s="1"/>
  <c r="O19" i="214"/>
  <c r="R153" i="215"/>
  <c r="K345" i="36"/>
  <c r="M266" i="34" s="1"/>
  <c r="M179" i="34" s="1"/>
  <c r="K171" i="36"/>
  <c r="G22" i="103"/>
  <c r="F16" i="103"/>
  <c r="F22" i="103" s="1"/>
  <c r="Z186" i="36"/>
  <c r="H331" i="36"/>
  <c r="AE164" i="34"/>
  <c r="I139" i="215"/>
  <c r="I140" i="215"/>
  <c r="AE165" i="34"/>
  <c r="I146" i="215"/>
  <c r="AE172" i="34"/>
  <c r="Y281" i="34"/>
  <c r="W173" i="36"/>
  <c r="Y282" i="34" s="1"/>
  <c r="R35" i="214"/>
  <c r="V210" i="34"/>
  <c r="V296" i="34" s="1"/>
  <c r="R49" i="214" s="1"/>
  <c r="V209" i="34"/>
  <c r="V234" i="34"/>
  <c r="U211" i="215" s="1"/>
  <c r="V233" i="34"/>
  <c r="V208" i="34"/>
  <c r="V223" i="34"/>
  <c r="U201" i="215" s="1"/>
  <c r="Q23" i="34"/>
  <c r="M21" i="104" s="1"/>
  <c r="Q211" i="34"/>
  <c r="Q295" i="34"/>
  <c r="M48" i="214" s="1"/>
  <c r="P186" i="215"/>
  <c r="P34" i="214"/>
  <c r="T225" i="34"/>
  <c r="T196" i="34"/>
  <c r="S174" i="215" s="1"/>
  <c r="T218" i="34"/>
  <c r="T201" i="34"/>
  <c r="S179" i="215" s="1"/>
  <c r="T190" i="34"/>
  <c r="S168" i="215" s="1"/>
  <c r="T202" i="34"/>
  <c r="S180" i="215" s="1"/>
  <c r="T191" i="34"/>
  <c r="S169" i="215" s="1"/>
  <c r="T194" i="34"/>
  <c r="S172" i="215" s="1"/>
  <c r="T222" i="34"/>
  <c r="T192" i="34"/>
  <c r="S170" i="215" s="1"/>
  <c r="T195" i="34"/>
  <c r="S173" i="215" s="1"/>
  <c r="T193" i="34"/>
  <c r="S171" i="215" s="1"/>
  <c r="P147" i="215"/>
  <c r="P181" i="215" s="1"/>
  <c r="P183" i="215" s="1"/>
  <c r="V19" i="214"/>
  <c r="Y153" i="215"/>
  <c r="U173" i="36"/>
  <c r="W282" i="34" s="1"/>
  <c r="W281" i="34"/>
  <c r="L139" i="215"/>
  <c r="V173" i="36"/>
  <c r="X282" i="34" s="1"/>
  <c r="X281" i="34"/>
  <c r="J58" i="36"/>
  <c r="J170" i="36"/>
  <c r="J172" i="36" s="1"/>
  <c r="H171" i="36"/>
  <c r="H345" i="36"/>
  <c r="Z55" i="36"/>
  <c r="I176" i="215"/>
  <c r="AE198" i="34"/>
  <c r="I166" i="215"/>
  <c r="AE185" i="34"/>
  <c r="G53" i="103"/>
  <c r="F51" i="103"/>
  <c r="F53" i="103" s="1"/>
  <c r="AE171" i="34"/>
  <c r="I145" i="215"/>
  <c r="E20" i="214"/>
  <c r="I165" i="215"/>
  <c r="AE184" i="34"/>
  <c r="AE167" i="34"/>
  <c r="I142" i="215"/>
  <c r="K139" i="215"/>
  <c r="U225" i="34"/>
  <c r="U201" i="34"/>
  <c r="T179" i="215" s="1"/>
  <c r="U202" i="34"/>
  <c r="T180" i="215" s="1"/>
  <c r="U193" i="34"/>
  <c r="T171" i="215" s="1"/>
  <c r="U195" i="34"/>
  <c r="T173" i="215" s="1"/>
  <c r="U222" i="34"/>
  <c r="U196" i="34"/>
  <c r="T174" i="215" s="1"/>
  <c r="Q34" i="214"/>
  <c r="U194" i="34"/>
  <c r="T172" i="215" s="1"/>
  <c r="U190" i="34"/>
  <c r="T168" i="215" s="1"/>
  <c r="U191" i="34"/>
  <c r="T169" i="215" s="1"/>
  <c r="U218" i="34"/>
  <c r="U192" i="34"/>
  <c r="T170" i="215" s="1"/>
  <c r="P188" i="215"/>
  <c r="Q25" i="34"/>
  <c r="M23" i="104" s="1"/>
  <c r="J78" i="103"/>
  <c r="J55" i="103"/>
  <c r="G35" i="214"/>
  <c r="K223" i="34"/>
  <c r="J201" i="215" s="1"/>
  <c r="K234" i="34"/>
  <c r="J211" i="215" s="1"/>
  <c r="K209" i="34"/>
  <c r="K210" i="34"/>
  <c r="K296" i="34" s="1"/>
  <c r="G49" i="214" s="1"/>
  <c r="K233" i="34"/>
  <c r="K208" i="34"/>
  <c r="P200" i="215"/>
  <c r="P203" i="215" s="1"/>
  <c r="Q226" i="34"/>
  <c r="Q173" i="36"/>
  <c r="S282" i="34" s="1"/>
  <c r="S281" i="34"/>
  <c r="G76" i="103"/>
  <c r="F58" i="103"/>
  <c r="F76" i="103" s="1"/>
  <c r="W35" i="214"/>
  <c r="AA209" i="34"/>
  <c r="AA233" i="34"/>
  <c r="AA210" i="34"/>
  <c r="AA296" i="34" s="1"/>
  <c r="W49" i="214" s="1"/>
  <c r="AA234" i="34"/>
  <c r="Z211" i="215" s="1"/>
  <c r="AA223" i="34"/>
  <c r="Z201" i="215" s="1"/>
  <c r="AA208" i="34"/>
  <c r="Z22" i="36"/>
  <c r="H170" i="36"/>
  <c r="H58" i="36"/>
  <c r="I143" i="215"/>
  <c r="AE169" i="34"/>
  <c r="I141" i="215"/>
  <c r="AE166" i="34"/>
  <c r="Q35" i="214"/>
  <c r="U209" i="34"/>
  <c r="U210" i="34"/>
  <c r="U296" i="34" s="1"/>
  <c r="Q49" i="214" s="1"/>
  <c r="U233" i="34"/>
  <c r="T210" i="215" s="1"/>
  <c r="U208" i="34"/>
  <c r="U223" i="34"/>
  <c r="T201" i="215" s="1"/>
  <c r="U234" i="34"/>
  <c r="T211" i="215" s="1"/>
  <c r="R281" i="34"/>
  <c r="P173" i="36"/>
  <c r="R282" i="34" s="1"/>
  <c r="Z281" i="34"/>
  <c r="X173" i="36"/>
  <c r="Z282" i="34" s="1"/>
  <c r="W34" i="214"/>
  <c r="AA195" i="34"/>
  <c r="Z173" i="215" s="1"/>
  <c r="AA225" i="34"/>
  <c r="AA193" i="34"/>
  <c r="Z171" i="215" s="1"/>
  <c r="AA192" i="34"/>
  <c r="Z170" i="215" s="1"/>
  <c r="AA222" i="34"/>
  <c r="AA196" i="34"/>
  <c r="Z174" i="215" s="1"/>
  <c r="AA194" i="34"/>
  <c r="Z172" i="215" s="1"/>
  <c r="AA202" i="34"/>
  <c r="Z180" i="215" s="1"/>
  <c r="AA218" i="34"/>
  <c r="AA191" i="34"/>
  <c r="Z169" i="215" s="1"/>
  <c r="AA201" i="34"/>
  <c r="Z179" i="215" s="1"/>
  <c r="AA190" i="34"/>
  <c r="Z168" i="215" s="1"/>
  <c r="AE197" i="34"/>
  <c r="I175" i="215"/>
  <c r="AE183" i="34"/>
  <c r="I164" i="215"/>
  <c r="N19" i="214"/>
  <c r="Q153" i="215"/>
  <c r="Q219" i="34"/>
  <c r="P196" i="215"/>
  <c r="P197" i="215" s="1"/>
  <c r="AE189" i="34"/>
  <c r="I167" i="215"/>
  <c r="X153" i="215"/>
  <c r="U19" i="214"/>
  <c r="R34" i="214"/>
  <c r="V201" i="34"/>
  <c r="U179" i="215" s="1"/>
  <c r="V225" i="34"/>
  <c r="V195" i="34"/>
  <c r="U173" i="215" s="1"/>
  <c r="V202" i="34"/>
  <c r="U180" i="215" s="1"/>
  <c r="V192" i="34"/>
  <c r="U170" i="215" s="1"/>
  <c r="V194" i="34"/>
  <c r="U172" i="215" s="1"/>
  <c r="V218" i="34"/>
  <c r="V193" i="34"/>
  <c r="U171" i="215" s="1"/>
  <c r="V190" i="34"/>
  <c r="U168" i="215" s="1"/>
  <c r="V196" i="34"/>
  <c r="U174" i="215" s="1"/>
  <c r="V191" i="34"/>
  <c r="U169" i="215" s="1"/>
  <c r="V222" i="34"/>
  <c r="P187" i="215"/>
  <c r="Q24" i="34"/>
  <c r="M22" i="104" s="1"/>
  <c r="K170" i="36"/>
  <c r="K172" i="36" s="1"/>
  <c r="K58" i="36"/>
  <c r="T210" i="34"/>
  <c r="T296" i="34" s="1"/>
  <c r="P49" i="214" s="1"/>
  <c r="T209" i="34"/>
  <c r="P35" i="214"/>
  <c r="T233" i="34"/>
  <c r="S210" i="215" s="1"/>
  <c r="T208" i="34"/>
  <c r="T234" i="34"/>
  <c r="S211" i="215" s="1"/>
  <c r="T223" i="34"/>
  <c r="S201" i="215" s="1"/>
  <c r="S19" i="214"/>
  <c r="V153" i="215"/>
  <c r="W153" i="215"/>
  <c r="T19" i="214"/>
  <c r="I55" i="103"/>
  <c r="I78" i="103"/>
  <c r="AA203" i="34" l="1"/>
  <c r="V203" i="34"/>
  <c r="T203" i="34"/>
  <c r="K203" i="34"/>
  <c r="U203" i="34"/>
  <c r="Z174" i="34"/>
  <c r="Y148" i="215" s="1"/>
  <c r="Z176" i="34"/>
  <c r="Y150" i="215" s="1"/>
  <c r="Z180" i="34"/>
  <c r="Y161" i="215" s="1"/>
  <c r="Z173" i="34"/>
  <c r="Z175" i="34"/>
  <c r="Y149" i="215" s="1"/>
  <c r="W174" i="34"/>
  <c r="V148" i="215" s="1"/>
  <c r="W176" i="34"/>
  <c r="V150" i="215" s="1"/>
  <c r="W180" i="34"/>
  <c r="V161" i="215" s="1"/>
  <c r="W175" i="34"/>
  <c r="V149" i="215" s="1"/>
  <c r="W173" i="34"/>
  <c r="X173" i="34"/>
  <c r="X175" i="34"/>
  <c r="W149" i="215" s="1"/>
  <c r="X174" i="34"/>
  <c r="W148" i="215" s="1"/>
  <c r="X176" i="34"/>
  <c r="W150" i="215" s="1"/>
  <c r="X180" i="34"/>
  <c r="W161" i="215" s="1"/>
  <c r="R174" i="34"/>
  <c r="Q148" i="215" s="1"/>
  <c r="R176" i="34"/>
  <c r="R180" i="34"/>
  <c r="Q161" i="215" s="1"/>
  <c r="R173" i="34"/>
  <c r="R175" i="34"/>
  <c r="Q149" i="215" s="1"/>
  <c r="S174" i="34"/>
  <c r="R148" i="215" s="1"/>
  <c r="S176" i="34"/>
  <c r="R150" i="215" s="1"/>
  <c r="S180" i="34"/>
  <c r="R161" i="215" s="1"/>
  <c r="S175" i="34"/>
  <c r="R149" i="215" s="1"/>
  <c r="S173" i="34"/>
  <c r="Y173" i="34"/>
  <c r="Y175" i="34"/>
  <c r="X149" i="215" s="1"/>
  <c r="Y174" i="34"/>
  <c r="X148" i="215" s="1"/>
  <c r="Y176" i="34"/>
  <c r="X150" i="215" s="1"/>
  <c r="Y180" i="34"/>
  <c r="X161" i="215" s="1"/>
  <c r="S232" i="34"/>
  <c r="R209" i="215" s="1"/>
  <c r="R232" i="34"/>
  <c r="Q33" i="214"/>
  <c r="P33" i="214"/>
  <c r="F280" i="34"/>
  <c r="AE280" i="34"/>
  <c r="Z58" i="36"/>
  <c r="S187" i="215"/>
  <c r="T24" i="34"/>
  <c r="P22" i="104" s="1"/>
  <c r="Z188" i="215"/>
  <c r="AA25" i="34"/>
  <c r="W23" i="104" s="1"/>
  <c r="H173" i="36"/>
  <c r="J282" i="34" s="1"/>
  <c r="J281" i="34"/>
  <c r="T35" i="214"/>
  <c r="X223" i="34"/>
  <c r="W201" i="215" s="1"/>
  <c r="X208" i="34"/>
  <c r="X234" i="34"/>
  <c r="W211" i="215" s="1"/>
  <c r="X210" i="34"/>
  <c r="X296" i="34" s="1"/>
  <c r="T49" i="214" s="1"/>
  <c r="X209" i="34"/>
  <c r="X233" i="34"/>
  <c r="S35" i="214"/>
  <c r="W210" i="34"/>
  <c r="W296" i="34" s="1"/>
  <c r="S49" i="214" s="1"/>
  <c r="W209" i="34"/>
  <c r="W234" i="34"/>
  <c r="V211" i="215" s="1"/>
  <c r="W208" i="34"/>
  <c r="W223" i="34"/>
  <c r="V201" i="215" s="1"/>
  <c r="W233" i="34"/>
  <c r="S200" i="215"/>
  <c r="S203" i="215" s="1"/>
  <c r="T226" i="34"/>
  <c r="V25" i="34"/>
  <c r="R23" i="104" s="1"/>
  <c r="U188" i="215"/>
  <c r="G78" i="103"/>
  <c r="G55" i="103"/>
  <c r="J200" i="215"/>
  <c r="J203" i="215" s="1"/>
  <c r="K226" i="34"/>
  <c r="T211" i="34"/>
  <c r="S186" i="215"/>
  <c r="T23" i="34"/>
  <c r="P21" i="104" s="1"/>
  <c r="T295" i="34"/>
  <c r="P48" i="214" s="1"/>
  <c r="U147" i="215"/>
  <c r="U181" i="215" s="1"/>
  <c r="U183" i="215" s="1"/>
  <c r="V219" i="34"/>
  <c r="U196" i="215"/>
  <c r="U197" i="215" s="1"/>
  <c r="N35" i="214"/>
  <c r="R233" i="34"/>
  <c r="Q210" i="215" s="1"/>
  <c r="R210" i="34"/>
  <c r="R296" i="34" s="1"/>
  <c r="N49" i="214" s="1"/>
  <c r="R234" i="34"/>
  <c r="Q211" i="215" s="1"/>
  <c r="R223" i="34"/>
  <c r="Q201" i="215" s="1"/>
  <c r="R209" i="34"/>
  <c r="R208" i="34"/>
  <c r="AA211" i="34"/>
  <c r="AA23" i="34"/>
  <c r="W21" i="104" s="1"/>
  <c r="AA295" i="34"/>
  <c r="W48" i="214" s="1"/>
  <c r="Z186" i="215"/>
  <c r="J188" i="215"/>
  <c r="K25" i="34"/>
  <c r="G23" i="104" s="1"/>
  <c r="Q32" i="34"/>
  <c r="Q299" i="34"/>
  <c r="M52" i="214" s="1"/>
  <c r="U200" i="215"/>
  <c r="U203" i="215" s="1"/>
  <c r="V226" i="34"/>
  <c r="Q27" i="34"/>
  <c r="M25" i="104" s="1"/>
  <c r="Q298" i="34"/>
  <c r="M51" i="214" s="1"/>
  <c r="Z196" i="215"/>
  <c r="Z197" i="215" s="1"/>
  <c r="AA219" i="34"/>
  <c r="N34" i="214"/>
  <c r="R194" i="34"/>
  <c r="Q172" i="215" s="1"/>
  <c r="R225" i="34"/>
  <c r="Q150" i="215"/>
  <c r="R193" i="34"/>
  <c r="Q171" i="215" s="1"/>
  <c r="R218" i="34"/>
  <c r="R201" i="34"/>
  <c r="Q179" i="215" s="1"/>
  <c r="R190" i="34"/>
  <c r="Q168" i="215" s="1"/>
  <c r="R191" i="34"/>
  <c r="Q169" i="215" s="1"/>
  <c r="R222" i="34"/>
  <c r="R192" i="34"/>
  <c r="Q170" i="215" s="1"/>
  <c r="R202" i="34"/>
  <c r="Q180" i="215" s="1"/>
  <c r="R195" i="34"/>
  <c r="Q173" i="215" s="1"/>
  <c r="R196" i="34"/>
  <c r="Q174" i="215" s="1"/>
  <c r="U238" i="34"/>
  <c r="T209" i="215"/>
  <c r="T215" i="215" s="1"/>
  <c r="Z170" i="36"/>
  <c r="H172" i="36"/>
  <c r="Z172" i="36" s="1"/>
  <c r="AA24" i="34"/>
  <c r="W22" i="104" s="1"/>
  <c r="Z187" i="215"/>
  <c r="O34" i="214"/>
  <c r="S190" i="34"/>
  <c r="R168" i="215" s="1"/>
  <c r="S191" i="34"/>
  <c r="R169" i="215" s="1"/>
  <c r="S225" i="34"/>
  <c r="S193" i="34"/>
  <c r="R171" i="215" s="1"/>
  <c r="S196" i="34"/>
  <c r="R174" i="215" s="1"/>
  <c r="S195" i="34"/>
  <c r="R173" i="215" s="1"/>
  <c r="S222" i="34"/>
  <c r="S192" i="34"/>
  <c r="R170" i="215" s="1"/>
  <c r="S202" i="34"/>
  <c r="R180" i="215" s="1"/>
  <c r="S201" i="34"/>
  <c r="R179" i="215" s="1"/>
  <c r="S218" i="34"/>
  <c r="S194" i="34"/>
  <c r="R172" i="215" s="1"/>
  <c r="J187" i="215"/>
  <c r="K24" i="34"/>
  <c r="G22" i="104" s="1"/>
  <c r="U226" i="34"/>
  <c r="T200" i="215"/>
  <c r="T203" i="215" s="1"/>
  <c r="Y223" i="34"/>
  <c r="X201" i="215" s="1"/>
  <c r="U35" i="214"/>
  <c r="Y210" i="34"/>
  <c r="Y296" i="34" s="1"/>
  <c r="U49" i="214" s="1"/>
  <c r="Y209" i="34"/>
  <c r="Y233" i="34"/>
  <c r="Y208" i="34"/>
  <c r="Y234" i="34"/>
  <c r="X211" i="215" s="1"/>
  <c r="I19" i="214"/>
  <c r="L153" i="215"/>
  <c r="Z147" i="215"/>
  <c r="Z181" i="215" s="1"/>
  <c r="Z183" i="215" s="1"/>
  <c r="V34" i="214"/>
  <c r="Z201" i="34"/>
  <c r="Y179" i="215" s="1"/>
  <c r="Z196" i="34"/>
  <c r="Y174" i="215" s="1"/>
  <c r="Z192" i="34"/>
  <c r="Y170" i="215" s="1"/>
  <c r="Z195" i="34"/>
  <c r="Y173" i="215" s="1"/>
  <c r="Z191" i="34"/>
  <c r="Y169" i="215" s="1"/>
  <c r="Z218" i="34"/>
  <c r="Z190" i="34"/>
  <c r="Y168" i="215" s="1"/>
  <c r="Z194" i="34"/>
  <c r="Y172" i="215" s="1"/>
  <c r="Z225" i="34"/>
  <c r="Z222" i="34"/>
  <c r="Z193" i="34"/>
  <c r="Y171" i="215" s="1"/>
  <c r="Z202" i="34"/>
  <c r="Y180" i="215" s="1"/>
  <c r="T187" i="215"/>
  <c r="U24" i="34"/>
  <c r="Q22" i="104" s="1"/>
  <c r="J210" i="215"/>
  <c r="J215" i="215" s="1"/>
  <c r="K238" i="34"/>
  <c r="S147" i="215"/>
  <c r="S181" i="215" s="1"/>
  <c r="S183" i="215" s="1"/>
  <c r="V211" i="34"/>
  <c r="V23" i="34"/>
  <c r="R21" i="104" s="1"/>
  <c r="V295" i="34"/>
  <c r="R48" i="214" s="1"/>
  <c r="U186" i="215"/>
  <c r="J147" i="215"/>
  <c r="J181" i="215" s="1"/>
  <c r="J183" i="215" s="1"/>
  <c r="S188" i="215"/>
  <c r="T25" i="34"/>
  <c r="P23" i="104" s="1"/>
  <c r="U211" i="34"/>
  <c r="U23" i="34"/>
  <c r="Q21" i="104" s="1"/>
  <c r="T186" i="215"/>
  <c r="U295" i="34"/>
  <c r="Q48" i="214" s="1"/>
  <c r="AA238" i="34"/>
  <c r="Z210" i="215"/>
  <c r="Z215" i="215" s="1"/>
  <c r="Q297" i="34"/>
  <c r="M50" i="214" s="1"/>
  <c r="Q26" i="34"/>
  <c r="M24" i="104" s="1"/>
  <c r="U210" i="215"/>
  <c r="U215" i="215" s="1"/>
  <c r="V238" i="34"/>
  <c r="Z331" i="36"/>
  <c r="K173" i="36"/>
  <c r="M282" i="34" s="1"/>
  <c r="M281" i="34"/>
  <c r="Z200" i="215"/>
  <c r="Z203" i="215" s="1"/>
  <c r="AA226" i="34"/>
  <c r="Z210" i="34"/>
  <c r="Z296" i="34" s="1"/>
  <c r="V49" i="214" s="1"/>
  <c r="Z234" i="34"/>
  <c r="Y211" i="215" s="1"/>
  <c r="V35" i="214"/>
  <c r="Z223" i="34"/>
  <c r="Y201" i="215" s="1"/>
  <c r="Z233" i="34"/>
  <c r="Z208" i="34"/>
  <c r="Z209" i="34"/>
  <c r="T188" i="215"/>
  <c r="U25" i="34"/>
  <c r="Q23" i="104" s="1"/>
  <c r="S223" i="34"/>
  <c r="R201" i="215" s="1"/>
  <c r="O35" i="214"/>
  <c r="S234" i="34"/>
  <c r="R211" i="215" s="1"/>
  <c r="S208" i="34"/>
  <c r="S209" i="34"/>
  <c r="S233" i="34"/>
  <c r="R210" i="215" s="1"/>
  <c r="S210" i="34"/>
  <c r="S296" i="34" s="1"/>
  <c r="O49" i="214" s="1"/>
  <c r="J186" i="215"/>
  <c r="K211" i="34"/>
  <c r="K295" i="34"/>
  <c r="G48" i="214" s="1"/>
  <c r="K23" i="34"/>
  <c r="G21" i="104" s="1"/>
  <c r="T196" i="215"/>
  <c r="T197" i="215" s="1"/>
  <c r="U219" i="34"/>
  <c r="T147" i="215"/>
  <c r="T181" i="215" s="1"/>
  <c r="T183" i="215" s="1"/>
  <c r="J345" i="36"/>
  <c r="L266" i="34" s="1"/>
  <c r="L179" i="34" s="1"/>
  <c r="J266" i="34"/>
  <c r="J179" i="34" s="1"/>
  <c r="X202" i="34"/>
  <c r="W180" i="215" s="1"/>
  <c r="X225" i="34"/>
  <c r="T34" i="214"/>
  <c r="X191" i="34"/>
  <c r="W169" i="215" s="1"/>
  <c r="X194" i="34"/>
  <c r="W172" i="215" s="1"/>
  <c r="X201" i="34"/>
  <c r="W179" i="215" s="1"/>
  <c r="X195" i="34"/>
  <c r="W173" i="215" s="1"/>
  <c r="X193" i="34"/>
  <c r="W171" i="215" s="1"/>
  <c r="X190" i="34"/>
  <c r="W168" i="215" s="1"/>
  <c r="X192" i="34"/>
  <c r="W170" i="215" s="1"/>
  <c r="X196" i="34"/>
  <c r="W174" i="215" s="1"/>
  <c r="X222" i="34"/>
  <c r="X218" i="34"/>
  <c r="W195" i="34"/>
  <c r="V173" i="215" s="1"/>
  <c r="W225" i="34"/>
  <c r="W193" i="34"/>
  <c r="V171" i="215" s="1"/>
  <c r="W196" i="34"/>
  <c r="V174" i="215" s="1"/>
  <c r="S34" i="214"/>
  <c r="W192" i="34"/>
  <c r="V170" i="215" s="1"/>
  <c r="W194" i="34"/>
  <c r="V172" i="215" s="1"/>
  <c r="W202" i="34"/>
  <c r="V180" i="215" s="1"/>
  <c r="W190" i="34"/>
  <c r="V168" i="215" s="1"/>
  <c r="W222" i="34"/>
  <c r="W191" i="34"/>
  <c r="V169" i="215" s="1"/>
  <c r="W218" i="34"/>
  <c r="W201" i="34"/>
  <c r="V179" i="215" s="1"/>
  <c r="Q294" i="34"/>
  <c r="M47" i="214" s="1"/>
  <c r="Q22" i="34"/>
  <c r="Q205" i="34"/>
  <c r="Q248" i="34" s="1"/>
  <c r="S196" i="215"/>
  <c r="S197" i="215" s="1"/>
  <c r="T219" i="34"/>
  <c r="P189" i="215"/>
  <c r="P225" i="215" s="1"/>
  <c r="V24" i="34"/>
  <c r="R22" i="104" s="1"/>
  <c r="U187" i="215"/>
  <c r="Y190" i="34"/>
  <c r="X168" i="215" s="1"/>
  <c r="U34" i="214"/>
  <c r="Y202" i="34"/>
  <c r="X180" i="215" s="1"/>
  <c r="Y192" i="34"/>
  <c r="X170" i="215" s="1"/>
  <c r="Y195" i="34"/>
  <c r="X173" i="215" s="1"/>
  <c r="Y191" i="34"/>
  <c r="X169" i="215" s="1"/>
  <c r="Y225" i="34"/>
  <c r="Y218" i="34"/>
  <c r="Y193" i="34"/>
  <c r="X171" i="215" s="1"/>
  <c r="Y222" i="34"/>
  <c r="Y194" i="34"/>
  <c r="X172" i="215" s="1"/>
  <c r="Y196" i="34"/>
  <c r="X174" i="215" s="1"/>
  <c r="Y201" i="34"/>
  <c r="X179" i="215" s="1"/>
  <c r="S209" i="215"/>
  <c r="S215" i="215" s="1"/>
  <c r="T238" i="34"/>
  <c r="F78" i="103"/>
  <c r="F55" i="103"/>
  <c r="J196" i="215"/>
  <c r="J197" i="215" s="1"/>
  <c r="K219" i="34"/>
  <c r="R203" i="34" l="1"/>
  <c r="X203" i="34"/>
  <c r="Y203" i="34"/>
  <c r="W203" i="34"/>
  <c r="S203" i="34"/>
  <c r="Z203" i="34"/>
  <c r="J174" i="34"/>
  <c r="J176" i="34"/>
  <c r="J180" i="34"/>
  <c r="J173" i="34"/>
  <c r="J175" i="34"/>
  <c r="M173" i="34"/>
  <c r="M175" i="34"/>
  <c r="L149" i="215" s="1"/>
  <c r="M174" i="34"/>
  <c r="L148" i="215" s="1"/>
  <c r="M176" i="34"/>
  <c r="L150" i="215" s="1"/>
  <c r="M180" i="34"/>
  <c r="L161" i="215" s="1"/>
  <c r="AE232" i="34"/>
  <c r="Q209" i="215"/>
  <c r="Q215" i="215" s="1"/>
  <c r="E33" i="214"/>
  <c r="F345" i="36"/>
  <c r="T189" i="215"/>
  <c r="T225" i="215" s="1"/>
  <c r="Z189" i="215"/>
  <c r="Z225" i="215" s="1"/>
  <c r="T299" i="34"/>
  <c r="P52" i="214" s="1"/>
  <c r="T32" i="34"/>
  <c r="V147" i="215"/>
  <c r="V181" i="215" s="1"/>
  <c r="V183" i="215" s="1"/>
  <c r="F266" i="34"/>
  <c r="F19" i="214"/>
  <c r="Z24" i="34"/>
  <c r="V22" i="104" s="1"/>
  <c r="Y187" i="215"/>
  <c r="AA22" i="34"/>
  <c r="AA294" i="34"/>
  <c r="W47" i="214" s="1"/>
  <c r="AA205" i="34"/>
  <c r="AA248" i="34" s="1"/>
  <c r="Y25" i="34"/>
  <c r="U23" i="104" s="1"/>
  <c r="X188" i="215"/>
  <c r="R147" i="215"/>
  <c r="R181" i="215" s="1"/>
  <c r="R183" i="215" s="1"/>
  <c r="U299" i="34"/>
  <c r="Q52" i="214" s="1"/>
  <c r="U32" i="34"/>
  <c r="R211" i="34"/>
  <c r="R23" i="34"/>
  <c r="N21" i="104" s="1"/>
  <c r="R295" i="34"/>
  <c r="N48" i="214" s="1"/>
  <c r="Q186" i="215"/>
  <c r="W188" i="215"/>
  <c r="X25" i="34"/>
  <c r="T23" i="104" s="1"/>
  <c r="W226" i="34"/>
  <c r="V200" i="215"/>
  <c r="V203" i="215" s="1"/>
  <c r="S24" i="34"/>
  <c r="O22" i="104" s="1"/>
  <c r="R187" i="215"/>
  <c r="Y211" i="34"/>
  <c r="X186" i="215"/>
  <c r="Y295" i="34"/>
  <c r="U48" i="214" s="1"/>
  <c r="Y23" i="34"/>
  <c r="U21" i="104" s="1"/>
  <c r="S189" i="215"/>
  <c r="S225" i="215" s="1"/>
  <c r="W23" i="34"/>
  <c r="S21" i="104" s="1"/>
  <c r="W295" i="34"/>
  <c r="S48" i="214" s="1"/>
  <c r="W211" i="34"/>
  <c r="V186" i="215"/>
  <c r="V196" i="215"/>
  <c r="V197" i="215" s="1"/>
  <c r="W219" i="34"/>
  <c r="X147" i="215"/>
  <c r="X181" i="215" s="1"/>
  <c r="X183" i="215" s="1"/>
  <c r="T27" i="34"/>
  <c r="P25" i="104" s="1"/>
  <c r="T298" i="34"/>
  <c r="P51" i="214" s="1"/>
  <c r="X226" i="34"/>
  <c r="W200" i="215"/>
  <c r="W203" i="215" s="1"/>
  <c r="W147" i="215"/>
  <c r="W181" i="215" s="1"/>
  <c r="W183" i="215" s="1"/>
  <c r="U294" i="34"/>
  <c r="Q47" i="214" s="1"/>
  <c r="U22" i="34"/>
  <c r="U205" i="34"/>
  <c r="U248" i="34" s="1"/>
  <c r="R188" i="215"/>
  <c r="S25" i="34"/>
  <c r="O23" i="104" s="1"/>
  <c r="AA297" i="34"/>
  <c r="W50" i="214" s="1"/>
  <c r="AA26" i="34"/>
  <c r="W24" i="104" s="1"/>
  <c r="M209" i="34"/>
  <c r="M234" i="34"/>
  <c r="L211" i="215" s="1"/>
  <c r="M208" i="34"/>
  <c r="M223" i="34"/>
  <c r="L201" i="215" s="1"/>
  <c r="M233" i="34"/>
  <c r="I35" i="214"/>
  <c r="M210" i="34"/>
  <c r="M296" i="34" s="1"/>
  <c r="I49" i="214" s="1"/>
  <c r="AA299" i="34"/>
  <c r="W52" i="214" s="1"/>
  <c r="AA32" i="34"/>
  <c r="U189" i="215"/>
  <c r="U225" i="215" s="1"/>
  <c r="T294" i="34"/>
  <c r="P47" i="214" s="1"/>
  <c r="T22" i="34"/>
  <c r="T205" i="34"/>
  <c r="T248" i="34" s="1"/>
  <c r="Y147" i="215"/>
  <c r="Y181" i="215" s="1"/>
  <c r="Y183" i="215" s="1"/>
  <c r="Y196" i="215"/>
  <c r="Y197" i="215" s="1"/>
  <c r="Z219" i="34"/>
  <c r="X187" i="215"/>
  <c r="Y24" i="34"/>
  <c r="U22" i="104" s="1"/>
  <c r="R215" i="215"/>
  <c r="R200" i="215"/>
  <c r="R203" i="215" s="1"/>
  <c r="S226" i="34"/>
  <c r="Q200" i="215"/>
  <c r="Q203" i="215" s="1"/>
  <c r="R226" i="34"/>
  <c r="R219" i="34"/>
  <c r="Q196" i="215"/>
  <c r="Q197" i="215" s="1"/>
  <c r="Q147" i="215"/>
  <c r="Q181" i="215" s="1"/>
  <c r="Q183" i="215" s="1"/>
  <c r="AA298" i="34"/>
  <c r="W51" i="214" s="1"/>
  <c r="AA27" i="34"/>
  <c r="W25" i="104" s="1"/>
  <c r="V297" i="34"/>
  <c r="R50" i="214" s="1"/>
  <c r="V26" i="34"/>
  <c r="R24" i="104" s="1"/>
  <c r="K297" i="34"/>
  <c r="G50" i="214" s="1"/>
  <c r="K26" i="34"/>
  <c r="G24" i="104" s="1"/>
  <c r="W238" i="34"/>
  <c r="V210" i="215"/>
  <c r="V215" i="215" s="1"/>
  <c r="V187" i="215"/>
  <c r="W24" i="34"/>
  <c r="S22" i="104" s="1"/>
  <c r="W187" i="215"/>
  <c r="X24" i="34"/>
  <c r="T22" i="104" s="1"/>
  <c r="K27" i="34"/>
  <c r="G25" i="104" s="1"/>
  <c r="K298" i="34"/>
  <c r="G51" i="214" s="1"/>
  <c r="S238" i="34"/>
  <c r="R25" i="34"/>
  <c r="N23" i="104" s="1"/>
  <c r="Q188" i="215"/>
  <c r="V298" i="34"/>
  <c r="R51" i="214" s="1"/>
  <c r="V27" i="34"/>
  <c r="R25" i="104" s="1"/>
  <c r="V188" i="215"/>
  <c r="W25" i="34"/>
  <c r="S23" i="104" s="1"/>
  <c r="X200" i="215"/>
  <c r="X203" i="215" s="1"/>
  <c r="Y226" i="34"/>
  <c r="U27" i="34"/>
  <c r="Q25" i="104" s="1"/>
  <c r="U298" i="34"/>
  <c r="Q51" i="214" s="1"/>
  <c r="Y186" i="215"/>
  <c r="Z295" i="34"/>
  <c r="V48" i="214" s="1"/>
  <c r="Z211" i="34"/>
  <c r="Z23" i="34"/>
  <c r="V21" i="104" s="1"/>
  <c r="J358" i="36"/>
  <c r="L279" i="34" s="1"/>
  <c r="H32" i="214" s="1"/>
  <c r="J279" i="34"/>
  <c r="K294" i="34"/>
  <c r="G47" i="214" s="1"/>
  <c r="K22" i="34"/>
  <c r="K205" i="34"/>
  <c r="K248" i="34" s="1"/>
  <c r="Z226" i="34"/>
  <c r="Y200" i="215"/>
  <c r="Y203" i="215" s="1"/>
  <c r="Q187" i="215"/>
  <c r="R24" i="34"/>
  <c r="N22" i="104" s="1"/>
  <c r="V22" i="34"/>
  <c r="V294" i="34"/>
  <c r="R47" i="214" s="1"/>
  <c r="V205" i="34"/>
  <c r="V248" i="34" s="1"/>
  <c r="T26" i="34"/>
  <c r="P24" i="104" s="1"/>
  <c r="T297" i="34"/>
  <c r="P50" i="214" s="1"/>
  <c r="J193" i="34"/>
  <c r="J195" i="34"/>
  <c r="J202" i="34"/>
  <c r="J225" i="34"/>
  <c r="J194" i="34"/>
  <c r="J192" i="34"/>
  <c r="J191" i="34"/>
  <c r="J201" i="34"/>
  <c r="J190" i="34"/>
  <c r="J196" i="34"/>
  <c r="L281" i="34"/>
  <c r="J218" i="34"/>
  <c r="F34" i="214"/>
  <c r="J222" i="34"/>
  <c r="X196" i="215"/>
  <c r="X197" i="215" s="1"/>
  <c r="Y219" i="34"/>
  <c r="M20" i="104"/>
  <c r="M27" i="104" s="1"/>
  <c r="Q29" i="34"/>
  <c r="X219" i="34"/>
  <c r="W196" i="215"/>
  <c r="W197" i="215" s="1"/>
  <c r="H19" i="214"/>
  <c r="K153" i="215"/>
  <c r="J189" i="215"/>
  <c r="J225" i="215" s="1"/>
  <c r="S211" i="34"/>
  <c r="S295" i="34"/>
  <c r="O48" i="214" s="1"/>
  <c r="S23" i="34"/>
  <c r="O21" i="104" s="1"/>
  <c r="R186" i="215"/>
  <c r="Z238" i="34"/>
  <c r="Y210" i="215"/>
  <c r="Y215" i="215" s="1"/>
  <c r="Z25" i="34"/>
  <c r="V23" i="104" s="1"/>
  <c r="Y188" i="215"/>
  <c r="I34" i="214"/>
  <c r="M225" i="34"/>
  <c r="M194" i="34"/>
  <c r="L172" i="215" s="1"/>
  <c r="M192" i="34"/>
  <c r="L170" i="215" s="1"/>
  <c r="M201" i="34"/>
  <c r="L179" i="215" s="1"/>
  <c r="M190" i="34"/>
  <c r="L168" i="215" s="1"/>
  <c r="M191" i="34"/>
  <c r="L169" i="215" s="1"/>
  <c r="M202" i="34"/>
  <c r="L180" i="215" s="1"/>
  <c r="M195" i="34"/>
  <c r="L173" i="215" s="1"/>
  <c r="M218" i="34"/>
  <c r="M222" i="34"/>
  <c r="M196" i="34"/>
  <c r="L174" i="215" s="1"/>
  <c r="M193" i="34"/>
  <c r="L171" i="215" s="1"/>
  <c r="V299" i="34"/>
  <c r="R52" i="214" s="1"/>
  <c r="V32" i="34"/>
  <c r="R238" i="34"/>
  <c r="K299" i="34"/>
  <c r="G52" i="214" s="1"/>
  <c r="K32" i="34"/>
  <c r="Y238" i="34"/>
  <c r="X210" i="215"/>
  <c r="X215" i="215" s="1"/>
  <c r="U26" i="34"/>
  <c r="Q24" i="104" s="1"/>
  <c r="U297" i="34"/>
  <c r="Q50" i="214" s="1"/>
  <c r="R196" i="215"/>
  <c r="R197" i="215" s="1"/>
  <c r="S219" i="34"/>
  <c r="M30" i="104"/>
  <c r="M33" i="104" s="1"/>
  <c r="Q35" i="34"/>
  <c r="W210" i="215"/>
  <c r="W215" i="215" s="1"/>
  <c r="X238" i="34"/>
  <c r="X23" i="34"/>
  <c r="T21" i="104" s="1"/>
  <c r="W186" i="215"/>
  <c r="X211" i="34"/>
  <c r="X295" i="34"/>
  <c r="T48" i="214" s="1"/>
  <c r="J234" i="34"/>
  <c r="J210" i="34"/>
  <c r="J296" i="34" s="1"/>
  <c r="J209" i="34"/>
  <c r="J223" i="34"/>
  <c r="I201" i="215" s="1"/>
  <c r="J208" i="34"/>
  <c r="F35" i="214"/>
  <c r="J233" i="34"/>
  <c r="L282" i="34"/>
  <c r="M203" i="34" l="1"/>
  <c r="J203" i="34"/>
  <c r="L173" i="34"/>
  <c r="AE173" i="34" s="1"/>
  <c r="L175" i="34"/>
  <c r="K149" i="215" s="1"/>
  <c r="L174" i="34"/>
  <c r="K148" i="215" s="1"/>
  <c r="L176" i="34"/>
  <c r="K150" i="215" s="1"/>
  <c r="L180" i="34"/>
  <c r="K161" i="215" s="1"/>
  <c r="F49" i="214"/>
  <c r="X189" i="215"/>
  <c r="X225" i="215" s="1"/>
  <c r="R189" i="215"/>
  <c r="R225" i="215" s="1"/>
  <c r="E19" i="214"/>
  <c r="L200" i="215"/>
  <c r="L203" i="215" s="1"/>
  <c r="M226" i="34"/>
  <c r="X27" i="34"/>
  <c r="T25" i="104" s="1"/>
  <c r="X298" i="34"/>
  <c r="T51" i="214" s="1"/>
  <c r="L192" i="34"/>
  <c r="K170" i="215" s="1"/>
  <c r="L190" i="34"/>
  <c r="K168" i="215" s="1"/>
  <c r="L225" i="34"/>
  <c r="AE225" i="34" s="1"/>
  <c r="L201" i="34"/>
  <c r="K179" i="215" s="1"/>
  <c r="L202" i="34"/>
  <c r="K180" i="215" s="1"/>
  <c r="L193" i="34"/>
  <c r="K171" i="215" s="1"/>
  <c r="L222" i="34"/>
  <c r="AE222" i="34" s="1"/>
  <c r="L218" i="34"/>
  <c r="H34" i="214"/>
  <c r="E34" i="214" s="1"/>
  <c r="L194" i="34"/>
  <c r="K172" i="215" s="1"/>
  <c r="L195" i="34"/>
  <c r="K173" i="215" s="1"/>
  <c r="L196" i="34"/>
  <c r="K174" i="215" s="1"/>
  <c r="L191" i="34"/>
  <c r="K169" i="215" s="1"/>
  <c r="I150" i="215"/>
  <c r="R294" i="34"/>
  <c r="N47" i="214" s="1"/>
  <c r="R22" i="34"/>
  <c r="R205" i="34"/>
  <c r="R248" i="34" s="1"/>
  <c r="M238" i="34"/>
  <c r="L210" i="215"/>
  <c r="L215" i="215" s="1"/>
  <c r="W27" i="34"/>
  <c r="S25" i="104" s="1"/>
  <c r="W298" i="34"/>
  <c r="S51" i="214" s="1"/>
  <c r="I187" i="215"/>
  <c r="J24" i="34"/>
  <c r="L147" i="215"/>
  <c r="L181" i="215" s="1"/>
  <c r="L183" i="215" s="1"/>
  <c r="Q38" i="34"/>
  <c r="I161" i="215"/>
  <c r="I180" i="215"/>
  <c r="I148" i="215"/>
  <c r="G20" i="104"/>
  <c r="G27" i="104" s="1"/>
  <c r="K29" i="34"/>
  <c r="Y189" i="215"/>
  <c r="Y225" i="215" s="1"/>
  <c r="W32" i="34"/>
  <c r="W299" i="34"/>
  <c r="S52" i="214" s="1"/>
  <c r="Q189" i="215"/>
  <c r="Q225" i="215" s="1"/>
  <c r="U35" i="34"/>
  <c r="Q30" i="104"/>
  <c r="Q33" i="104" s="1"/>
  <c r="W20" i="104"/>
  <c r="W27" i="104" s="1"/>
  <c r="AA29" i="34"/>
  <c r="J25" i="34"/>
  <c r="I188" i="215"/>
  <c r="J23" i="34"/>
  <c r="J211" i="34"/>
  <c r="I186" i="215"/>
  <c r="J295" i="34"/>
  <c r="I211" i="215"/>
  <c r="W189" i="215"/>
  <c r="W225" i="215" s="1"/>
  <c r="Y32" i="34"/>
  <c r="Y299" i="34"/>
  <c r="U52" i="214" s="1"/>
  <c r="R32" i="34"/>
  <c r="R299" i="34"/>
  <c r="N52" i="214" s="1"/>
  <c r="M219" i="34"/>
  <c r="L196" i="215"/>
  <c r="L197" i="215" s="1"/>
  <c r="Z299" i="34"/>
  <c r="V52" i="214" s="1"/>
  <c r="Z32" i="34"/>
  <c r="Y298" i="34"/>
  <c r="U51" i="214" s="1"/>
  <c r="Y27" i="34"/>
  <c r="U25" i="104" s="1"/>
  <c r="I196" i="215"/>
  <c r="I197" i="215" s="1"/>
  <c r="J219" i="34"/>
  <c r="I168" i="215"/>
  <c r="I172" i="215"/>
  <c r="I173" i="215"/>
  <c r="AE281" i="34"/>
  <c r="Z297" i="34"/>
  <c r="V50" i="214" s="1"/>
  <c r="Z26" i="34"/>
  <c r="V24" i="104" s="1"/>
  <c r="F279" i="34"/>
  <c r="AE279" i="34"/>
  <c r="F32" i="214"/>
  <c r="E32" i="214" s="1"/>
  <c r="R27" i="34"/>
  <c r="N25" i="104" s="1"/>
  <c r="R298" i="34"/>
  <c r="N51" i="214" s="1"/>
  <c r="Z27" i="34"/>
  <c r="V25" i="104" s="1"/>
  <c r="Z298" i="34"/>
  <c r="V51" i="214" s="1"/>
  <c r="X26" i="34"/>
  <c r="T24" i="104" s="1"/>
  <c r="X297" i="34"/>
  <c r="T50" i="214" s="1"/>
  <c r="S294" i="34"/>
  <c r="O47" i="214" s="1"/>
  <c r="S22" i="34"/>
  <c r="S205" i="34"/>
  <c r="S248" i="34" s="1"/>
  <c r="W22" i="34"/>
  <c r="W294" i="34"/>
  <c r="S47" i="214" s="1"/>
  <c r="W205" i="34"/>
  <c r="W248" i="34" s="1"/>
  <c r="H35" i="214"/>
  <c r="E35" i="214" s="1"/>
  <c r="L234" i="34"/>
  <c r="K211" i="215" s="1"/>
  <c r="L223" i="34"/>
  <c r="K201" i="215" s="1"/>
  <c r="L209" i="34"/>
  <c r="L233" i="34"/>
  <c r="AE233" i="34" s="1"/>
  <c r="L210" i="34"/>
  <c r="L296" i="34" s="1"/>
  <c r="H49" i="214" s="1"/>
  <c r="L208" i="34"/>
  <c r="AE208" i="34" s="1"/>
  <c r="F282" i="34"/>
  <c r="K35" i="34"/>
  <c r="G30" i="104"/>
  <c r="G33" i="104" s="1"/>
  <c r="V35" i="34"/>
  <c r="R30" i="104"/>
  <c r="R33" i="104" s="1"/>
  <c r="I179" i="215"/>
  <c r="I149" i="215"/>
  <c r="Y297" i="34"/>
  <c r="U50" i="214" s="1"/>
  <c r="Y26" i="34"/>
  <c r="U24" i="104" s="1"/>
  <c r="S32" i="34"/>
  <c r="S299" i="34"/>
  <c r="O52" i="214" s="1"/>
  <c r="R26" i="34"/>
  <c r="N24" i="104" s="1"/>
  <c r="R297" i="34"/>
  <c r="N50" i="214" s="1"/>
  <c r="P20" i="104"/>
  <c r="P27" i="104" s="1"/>
  <c r="T29" i="34"/>
  <c r="AA35" i="34"/>
  <c r="W30" i="104"/>
  <c r="W33" i="104" s="1"/>
  <c r="L187" i="215"/>
  <c r="M24" i="34"/>
  <c r="I22" i="104" s="1"/>
  <c r="X22" i="34"/>
  <c r="X205" i="34"/>
  <c r="X248" i="34" s="1"/>
  <c r="I210" i="215"/>
  <c r="J238" i="34"/>
  <c r="J32" i="34" s="1"/>
  <c r="X299" i="34"/>
  <c r="T52" i="214" s="1"/>
  <c r="X32" i="34"/>
  <c r="I200" i="215"/>
  <c r="I203" i="215" s="1"/>
  <c r="J226" i="34"/>
  <c r="I169" i="215"/>
  <c r="I171" i="215"/>
  <c r="F358" i="36"/>
  <c r="Z294" i="34"/>
  <c r="V47" i="214" s="1"/>
  <c r="Z22" i="34"/>
  <c r="Z205" i="34"/>
  <c r="Z248" i="34" s="1"/>
  <c r="I153" i="215"/>
  <c r="AE179" i="34"/>
  <c r="T35" i="34"/>
  <c r="P30" i="104"/>
  <c r="P33" i="104" s="1"/>
  <c r="S298" i="34"/>
  <c r="O51" i="214" s="1"/>
  <c r="S27" i="34"/>
  <c r="O25" i="104" s="1"/>
  <c r="M35" i="104"/>
  <c r="M37" i="104" s="1"/>
  <c r="I174" i="215"/>
  <c r="I170" i="215"/>
  <c r="I147" i="215"/>
  <c r="F281" i="34"/>
  <c r="R20" i="104"/>
  <c r="R27" i="104" s="1"/>
  <c r="V29" i="34"/>
  <c r="S26" i="34"/>
  <c r="O24" i="104" s="1"/>
  <c r="S297" i="34"/>
  <c r="O50" i="214" s="1"/>
  <c r="L188" i="215"/>
  <c r="M25" i="34"/>
  <c r="I23" i="104" s="1"/>
  <c r="M23" i="34"/>
  <c r="I21" i="104" s="1"/>
  <c r="M211" i="34"/>
  <c r="M295" i="34"/>
  <c r="I48" i="214" s="1"/>
  <c r="L186" i="215"/>
  <c r="Q20" i="104"/>
  <c r="Q27" i="104" s="1"/>
  <c r="U29" i="34"/>
  <c r="Y22" i="34"/>
  <c r="Y294" i="34"/>
  <c r="U47" i="214" s="1"/>
  <c r="Y205" i="34"/>
  <c r="Y248" i="34" s="1"/>
  <c r="V189" i="215"/>
  <c r="V225" i="215" s="1"/>
  <c r="W297" i="34"/>
  <c r="S50" i="214" s="1"/>
  <c r="W26" i="34"/>
  <c r="S24" i="104" s="1"/>
  <c r="L203" i="34" l="1"/>
  <c r="AE296" i="34"/>
  <c r="F296" i="34"/>
  <c r="E49" i="214"/>
  <c r="I215" i="215"/>
  <c r="AE176" i="34"/>
  <c r="AE174" i="34"/>
  <c r="Q35" i="104"/>
  <c r="Q37" i="104" s="1"/>
  <c r="AE202" i="34"/>
  <c r="AE192" i="34"/>
  <c r="AE193" i="34"/>
  <c r="AE180" i="34"/>
  <c r="AE191" i="34"/>
  <c r="AE175" i="34"/>
  <c r="AE194" i="34"/>
  <c r="AE190" i="34"/>
  <c r="AE234" i="34"/>
  <c r="L189" i="215"/>
  <c r="L225" i="215" s="1"/>
  <c r="V38" i="34"/>
  <c r="R21" i="46" s="1"/>
  <c r="AE195" i="34"/>
  <c r="T20" i="104"/>
  <c r="T27" i="104" s="1"/>
  <c r="X29" i="34"/>
  <c r="F23" i="104"/>
  <c r="F22" i="104"/>
  <c r="K196" i="215"/>
  <c r="K197" i="215" s="1"/>
  <c r="L219" i="34"/>
  <c r="L27" i="34" s="1"/>
  <c r="H25" i="104" s="1"/>
  <c r="U20" i="104"/>
  <c r="U27" i="104" s="1"/>
  <c r="Y29" i="34"/>
  <c r="T38" i="34"/>
  <c r="K187" i="215"/>
  <c r="L24" i="34"/>
  <c r="H22" i="104" s="1"/>
  <c r="O20" i="104"/>
  <c r="O27" i="104" s="1"/>
  <c r="S29" i="34"/>
  <c r="M298" i="34"/>
  <c r="I51" i="214" s="1"/>
  <c r="M27" i="34"/>
  <c r="I25" i="104" s="1"/>
  <c r="Y35" i="34"/>
  <c r="U30" i="104"/>
  <c r="U33" i="104" s="1"/>
  <c r="F48" i="214"/>
  <c r="AA38" i="34"/>
  <c r="K38" i="34"/>
  <c r="M20" i="46"/>
  <c r="M27" i="46"/>
  <c r="M25" i="46"/>
  <c r="M51" i="46"/>
  <c r="M48" i="46"/>
  <c r="M21" i="46"/>
  <c r="M63" i="46"/>
  <c r="M45" i="46"/>
  <c r="M36" i="46"/>
  <c r="M30" i="46"/>
  <c r="M42" i="46"/>
  <c r="M39" i="46"/>
  <c r="M17" i="46"/>
  <c r="M33" i="46"/>
  <c r="M57" i="46"/>
  <c r="M26" i="46"/>
  <c r="M22" i="46"/>
  <c r="M14" i="46"/>
  <c r="M54" i="46"/>
  <c r="M46" i="93" s="1"/>
  <c r="N20" i="104"/>
  <c r="N27" i="104" s="1"/>
  <c r="R29" i="34"/>
  <c r="L226" i="34"/>
  <c r="L26" i="34" s="1"/>
  <c r="H24" i="104" s="1"/>
  <c r="K200" i="215"/>
  <c r="K203" i="215" s="1"/>
  <c r="U38" i="34"/>
  <c r="R35" i="104"/>
  <c r="R37" i="104" s="1"/>
  <c r="V20" i="104"/>
  <c r="V27" i="104" s="1"/>
  <c r="Z29" i="34"/>
  <c r="J26" i="34"/>
  <c r="J297" i="34"/>
  <c r="P35" i="104"/>
  <c r="P37" i="104" s="1"/>
  <c r="O30" i="104"/>
  <c r="O33" i="104" s="1"/>
  <c r="S35" i="34"/>
  <c r="L211" i="34"/>
  <c r="AE211" i="34" s="1"/>
  <c r="L23" i="34"/>
  <c r="H21" i="104" s="1"/>
  <c r="K186" i="215"/>
  <c r="L295" i="34"/>
  <c r="H48" i="214" s="1"/>
  <c r="J27" i="34"/>
  <c r="J298" i="34"/>
  <c r="V30" i="104"/>
  <c r="V33" i="104" s="1"/>
  <c r="Z35" i="34"/>
  <c r="I189" i="215"/>
  <c r="W35" i="104"/>
  <c r="W37" i="104" s="1"/>
  <c r="G35" i="104"/>
  <c r="G37" i="104" s="1"/>
  <c r="M294" i="34"/>
  <c r="I47" i="214" s="1"/>
  <c r="M22" i="34"/>
  <c r="M205" i="34"/>
  <c r="M248" i="34" s="1"/>
  <c r="AE209" i="34"/>
  <c r="K147" i="215"/>
  <c r="K181" i="215" s="1"/>
  <c r="K183" i="215" s="1"/>
  <c r="AE203" i="34"/>
  <c r="M26" i="34"/>
  <c r="I24" i="104" s="1"/>
  <c r="M297" i="34"/>
  <c r="I50" i="214" s="1"/>
  <c r="J294" i="34"/>
  <c r="J22" i="34"/>
  <c r="J205" i="34"/>
  <c r="K210" i="215"/>
  <c r="K215" i="215" s="1"/>
  <c r="L238" i="34"/>
  <c r="L32" i="34" s="1"/>
  <c r="F21" i="104"/>
  <c r="I181" i="215"/>
  <c r="I183" i="215" s="1"/>
  <c r="AE196" i="34"/>
  <c r="X35" i="34"/>
  <c r="T30" i="104"/>
  <c r="T33" i="104" s="1"/>
  <c r="J299" i="34"/>
  <c r="AE201" i="34"/>
  <c r="K188" i="215"/>
  <c r="L25" i="34"/>
  <c r="H23" i="104" s="1"/>
  <c r="S20" i="104"/>
  <c r="S27" i="104" s="1"/>
  <c r="W29" i="34"/>
  <c r="N30" i="104"/>
  <c r="N33" i="104" s="1"/>
  <c r="R35" i="34"/>
  <c r="AE210" i="34"/>
  <c r="W35" i="34"/>
  <c r="S30" i="104"/>
  <c r="S33" i="104" s="1"/>
  <c r="M299" i="34"/>
  <c r="I52" i="214" s="1"/>
  <c r="M32" i="34"/>
  <c r="M40" i="93" l="1"/>
  <c r="M81" i="93"/>
  <c r="G32" i="34"/>
  <c r="AE32" i="34" s="1"/>
  <c r="G23" i="34"/>
  <c r="E21" i="104" s="1"/>
  <c r="R36" i="46"/>
  <c r="R120" i="93" s="1"/>
  <c r="R25" i="46"/>
  <c r="R112" i="93" s="1"/>
  <c r="R51" i="46"/>
  <c r="R25" i="106" s="1"/>
  <c r="R57" i="46"/>
  <c r="R26" i="106" s="1"/>
  <c r="R22" i="46"/>
  <c r="R17" i="106" s="1"/>
  <c r="R42" i="46"/>
  <c r="T23" i="217" s="1"/>
  <c r="R17" i="46"/>
  <c r="R104" i="93" s="1"/>
  <c r="R54" i="46"/>
  <c r="R46" i="93" s="1"/>
  <c r="R27" i="46"/>
  <c r="R20" i="46"/>
  <c r="R107" i="93" s="1"/>
  <c r="R14" i="46"/>
  <c r="R15" i="106" s="1"/>
  <c r="R30" i="46"/>
  <c r="T19" i="217" s="1"/>
  <c r="R63" i="46"/>
  <c r="R48" i="46"/>
  <c r="R128" i="93" s="1"/>
  <c r="Y38" i="34"/>
  <c r="U48" i="46" s="1"/>
  <c r="S38" i="34"/>
  <c r="O22" i="46" s="1"/>
  <c r="N35" i="104"/>
  <c r="N37" i="104" s="1"/>
  <c r="I225" i="215"/>
  <c r="K189" i="215"/>
  <c r="K225" i="215" s="1"/>
  <c r="R33" i="46"/>
  <c r="R32" i="93" s="1"/>
  <c r="R39" i="46"/>
  <c r="R36" i="93" s="1"/>
  <c r="R26" i="46"/>
  <c r="R27" i="93" s="1"/>
  <c r="R45" i="46"/>
  <c r="G24" i="34"/>
  <c r="F52" i="208" s="1"/>
  <c r="AE219" i="34"/>
  <c r="Z38" i="34"/>
  <c r="V63" i="46" s="1"/>
  <c r="AE226" i="34"/>
  <c r="F295" i="34"/>
  <c r="N22" i="217"/>
  <c r="M77" i="93"/>
  <c r="M22" i="106"/>
  <c r="M36" i="93"/>
  <c r="L294" i="34"/>
  <c r="H47" i="214" s="1"/>
  <c r="L22" i="34"/>
  <c r="G22" i="34" s="1"/>
  <c r="AE22" i="34" s="1"/>
  <c r="L205" i="34"/>
  <c r="L248" i="34" s="1"/>
  <c r="I20" i="104"/>
  <c r="I27" i="104" s="1"/>
  <c r="M29" i="34"/>
  <c r="M26" i="106"/>
  <c r="N26" i="217"/>
  <c r="N23" i="217"/>
  <c r="M23" i="106"/>
  <c r="M67" i="93"/>
  <c r="M26" i="93"/>
  <c r="W45" i="46"/>
  <c r="W40" i="93" s="1"/>
  <c r="W26" i="46"/>
  <c r="W27" i="93" s="1"/>
  <c r="W54" i="46"/>
  <c r="W46" i="93" s="1"/>
  <c r="W51" i="46"/>
  <c r="W33" i="46"/>
  <c r="W36" i="46"/>
  <c r="W42" i="46"/>
  <c r="W63" i="46"/>
  <c r="W21" i="46"/>
  <c r="W22" i="93" s="1"/>
  <c r="W48" i="46"/>
  <c r="W27" i="46"/>
  <c r="W17" i="46"/>
  <c r="W20" i="46"/>
  <c r="W21" i="93" s="1"/>
  <c r="W30" i="46"/>
  <c r="W39" i="46"/>
  <c r="W57" i="46"/>
  <c r="W14" i="46"/>
  <c r="W25" i="46"/>
  <c r="W26" i="93" s="1"/>
  <c r="W22" i="46"/>
  <c r="P45" i="46"/>
  <c r="P63" i="46"/>
  <c r="P54" i="46"/>
  <c r="P20" i="46"/>
  <c r="P21" i="46"/>
  <c r="P30" i="46"/>
  <c r="P36" i="46"/>
  <c r="P39" i="46"/>
  <c r="P26" i="46"/>
  <c r="P51" i="46"/>
  <c r="P48" i="46"/>
  <c r="P22" i="46"/>
  <c r="P57" i="46"/>
  <c r="P17" i="46"/>
  <c r="P25" i="46"/>
  <c r="P42" i="46"/>
  <c r="P14" i="46"/>
  <c r="P27" i="46"/>
  <c r="P33" i="46"/>
  <c r="W38" i="34"/>
  <c r="F47" i="214"/>
  <c r="F25" i="104"/>
  <c r="G27" i="34"/>
  <c r="F50" i="214"/>
  <c r="L297" i="34"/>
  <c r="H50" i="214" s="1"/>
  <c r="V35" i="104"/>
  <c r="V37" i="104" s="1"/>
  <c r="M59" i="46"/>
  <c r="M15" i="106"/>
  <c r="M15" i="93"/>
  <c r="N15" i="217"/>
  <c r="N20" i="217"/>
  <c r="M32" i="93"/>
  <c r="M73" i="93"/>
  <c r="M20" i="106"/>
  <c r="M30" i="93"/>
  <c r="N19" i="217"/>
  <c r="M71" i="93"/>
  <c r="M19" i="106"/>
  <c r="M63" i="93"/>
  <c r="M22" i="93"/>
  <c r="N18" i="217"/>
  <c r="M18" i="106"/>
  <c r="M28" i="93"/>
  <c r="M69" i="93"/>
  <c r="E48" i="214"/>
  <c r="O35" i="104"/>
  <c r="O37" i="104" s="1"/>
  <c r="U35" i="104"/>
  <c r="U37" i="104" s="1"/>
  <c r="X38" i="34"/>
  <c r="J35" i="34"/>
  <c r="F30" i="104"/>
  <c r="F33" i="104" s="1"/>
  <c r="F51" i="214"/>
  <c r="L298" i="34"/>
  <c r="H51" i="214" s="1"/>
  <c r="G26" i="34"/>
  <c r="F24" i="104"/>
  <c r="Q45" i="46"/>
  <c r="Q42" i="46"/>
  <c r="Q33" i="46"/>
  <c r="Q48" i="46"/>
  <c r="Q51" i="46"/>
  <c r="Q17" i="46"/>
  <c r="Q25" i="46"/>
  <c r="Q30" i="46"/>
  <c r="Q39" i="46"/>
  <c r="Q63" i="46"/>
  <c r="Q27" i="46"/>
  <c r="Q57" i="46"/>
  <c r="Q26" i="46"/>
  <c r="Q22" i="46"/>
  <c r="Q36" i="46"/>
  <c r="Q21" i="46"/>
  <c r="Q20" i="46"/>
  <c r="Q54" i="46"/>
  <c r="Q14" i="46"/>
  <c r="M27" i="93"/>
  <c r="M68" i="93"/>
  <c r="M44" i="93"/>
  <c r="M25" i="106"/>
  <c r="N25" i="217"/>
  <c r="G51" i="46"/>
  <c r="G54" i="46"/>
  <c r="G46" i="93" s="1"/>
  <c r="G63" i="46"/>
  <c r="G57" i="46"/>
  <c r="G21" i="46"/>
  <c r="G26" i="46"/>
  <c r="G33" i="46"/>
  <c r="G48" i="46"/>
  <c r="G17" i="46"/>
  <c r="G14" i="46"/>
  <c r="G25" i="46"/>
  <c r="G22" i="46"/>
  <c r="G36" i="46"/>
  <c r="G42" i="46"/>
  <c r="G20" i="46"/>
  <c r="G45" i="46"/>
  <c r="G39" i="46"/>
  <c r="G27" i="46"/>
  <c r="G30" i="46"/>
  <c r="G25" i="34"/>
  <c r="M35" i="34"/>
  <c r="I30" i="104"/>
  <c r="I33" i="104" s="1"/>
  <c r="F52" i="214"/>
  <c r="L299" i="34"/>
  <c r="H52" i="214" s="1"/>
  <c r="L35" i="34"/>
  <c r="H30" i="104"/>
  <c r="H33" i="104" s="1"/>
  <c r="F20" i="104"/>
  <c r="J29" i="34"/>
  <c r="S35" i="104"/>
  <c r="S37" i="104" s="1"/>
  <c r="AE238" i="34"/>
  <c r="J248" i="34"/>
  <c r="R38" i="34"/>
  <c r="M93" i="93"/>
  <c r="N17" i="217"/>
  <c r="M23" i="93"/>
  <c r="M64" i="93"/>
  <c r="M17" i="106"/>
  <c r="N16" i="217"/>
  <c r="M18" i="93"/>
  <c r="M16" i="106"/>
  <c r="M34" i="93"/>
  <c r="M75" i="93"/>
  <c r="N21" i="217"/>
  <c r="M21" i="106"/>
  <c r="N24" i="217"/>
  <c r="M42" i="93"/>
  <c r="M24" i="106"/>
  <c r="M21" i="93"/>
  <c r="M62" i="93"/>
  <c r="AE295" i="34"/>
  <c r="R22" i="93"/>
  <c r="R108" i="93"/>
  <c r="T35" i="104"/>
  <c r="T37" i="104" s="1"/>
  <c r="G40" i="93" l="1"/>
  <c r="G81" i="93"/>
  <c r="Q40" i="93"/>
  <c r="Q126" i="93"/>
  <c r="P40" i="93"/>
  <c r="P126" i="93"/>
  <c r="R40" i="93"/>
  <c r="R126" i="93"/>
  <c r="T20" i="217"/>
  <c r="R118" i="93"/>
  <c r="T26" i="217"/>
  <c r="O27" i="46"/>
  <c r="O28" i="93" s="1"/>
  <c r="O17" i="46"/>
  <c r="O18" i="93" s="1"/>
  <c r="R30" i="93"/>
  <c r="O20" i="46"/>
  <c r="O21" i="93" s="1"/>
  <c r="O30" i="46"/>
  <c r="O71" i="93" s="1"/>
  <c r="R24" i="106"/>
  <c r="R22" i="107" s="1"/>
  <c r="R34" i="93"/>
  <c r="O54" i="46"/>
  <c r="O46" i="93" s="1"/>
  <c r="T25" i="217"/>
  <c r="O45" i="46"/>
  <c r="O42" i="46"/>
  <c r="P23" i="217" s="1"/>
  <c r="F51" i="208"/>
  <c r="U51" i="46"/>
  <c r="X25" i="217" s="1"/>
  <c r="U33" i="46"/>
  <c r="X20" i="217" s="1"/>
  <c r="R102" i="93"/>
  <c r="T16" i="217"/>
  <c r="U20" i="46"/>
  <c r="U21" i="93" s="1"/>
  <c r="U54" i="46"/>
  <c r="U46" i="93" s="1"/>
  <c r="U42" i="46"/>
  <c r="U23" i="106" s="1"/>
  <c r="AE23" i="34"/>
  <c r="R116" i="93"/>
  <c r="O48" i="46"/>
  <c r="O24" i="106" s="1"/>
  <c r="O26" i="46"/>
  <c r="O27" i="93" s="1"/>
  <c r="O51" i="46"/>
  <c r="O44" i="93" s="1"/>
  <c r="T24" i="217"/>
  <c r="R23" i="106"/>
  <c r="R21" i="107" s="1"/>
  <c r="T21" i="217"/>
  <c r="T17" i="217"/>
  <c r="R26" i="93"/>
  <c r="R21" i="106"/>
  <c r="R19" i="107" s="1"/>
  <c r="R124" i="93"/>
  <c r="U21" i="46"/>
  <c r="U22" i="93" s="1"/>
  <c r="U26" i="46"/>
  <c r="U27" i="93" s="1"/>
  <c r="U36" i="46"/>
  <c r="U34" i="93" s="1"/>
  <c r="U39" i="46"/>
  <c r="U36" i="93" s="1"/>
  <c r="R130" i="93"/>
  <c r="R42" i="93"/>
  <c r="R21" i="93"/>
  <c r="R18" i="93"/>
  <c r="U63" i="46"/>
  <c r="U27" i="46"/>
  <c r="U22" i="46"/>
  <c r="X17" i="217" s="1"/>
  <c r="U30" i="46"/>
  <c r="U19" i="106" s="1"/>
  <c r="U45" i="46"/>
  <c r="U40" i="93" s="1"/>
  <c r="R44" i="93"/>
  <c r="R59" i="46"/>
  <c r="R136" i="93" s="1"/>
  <c r="T18" i="217"/>
  <c r="R16" i="106"/>
  <c r="R48" i="107" s="1"/>
  <c r="T15" i="217"/>
  <c r="U57" i="46"/>
  <c r="X26" i="217" s="1"/>
  <c r="U14" i="46"/>
  <c r="X15" i="217" s="1"/>
  <c r="U25" i="46"/>
  <c r="U26" i="93" s="1"/>
  <c r="U17" i="46"/>
  <c r="X16" i="217" s="1"/>
  <c r="R15" i="93"/>
  <c r="R109" i="93"/>
  <c r="V21" i="46"/>
  <c r="V22" i="93" s="1"/>
  <c r="R23" i="93"/>
  <c r="R28" i="93"/>
  <c r="R20" i="106"/>
  <c r="R18" i="107" s="1"/>
  <c r="R132" i="93"/>
  <c r="E22" i="104"/>
  <c r="R18" i="106"/>
  <c r="R16" i="107" s="1"/>
  <c r="R19" i="106"/>
  <c r="R51" i="107" s="1"/>
  <c r="O14" i="46"/>
  <c r="P15" i="217" s="1"/>
  <c r="O36" i="46"/>
  <c r="O63" i="46"/>
  <c r="O57" i="46"/>
  <c r="O26" i="106" s="1"/>
  <c r="R122" i="93"/>
  <c r="R114" i="93"/>
  <c r="R22" i="106"/>
  <c r="R20" i="107" s="1"/>
  <c r="F299" i="34"/>
  <c r="X294" i="34"/>
  <c r="T47" i="214" s="1"/>
  <c r="E47" i="214" s="1"/>
  <c r="O39" i="46"/>
  <c r="P22" i="217" s="1"/>
  <c r="O25" i="46"/>
  <c r="O67" i="93" s="1"/>
  <c r="O21" i="46"/>
  <c r="O22" i="93" s="1"/>
  <c r="O33" i="46"/>
  <c r="P20" i="217" s="1"/>
  <c r="V30" i="46"/>
  <c r="Y19" i="217" s="1"/>
  <c r="V51" i="46"/>
  <c r="V25" i="106" s="1"/>
  <c r="V23" i="107" s="1"/>
  <c r="V33" i="46"/>
  <c r="Y20" i="217" s="1"/>
  <c r="V57" i="46"/>
  <c r="Y26" i="217" s="1"/>
  <c r="R113" i="93"/>
  <c r="V20" i="46"/>
  <c r="V21" i="93" s="1"/>
  <c r="V26" i="46"/>
  <c r="V27" i="93" s="1"/>
  <c r="V17" i="46"/>
  <c r="V16" i="106" s="1"/>
  <c r="V14" i="107" s="1"/>
  <c r="V25" i="46"/>
  <c r="V26" i="93" s="1"/>
  <c r="V45" i="46"/>
  <c r="V40" i="93" s="1"/>
  <c r="T22" i="217"/>
  <c r="V36" i="46"/>
  <c r="V34" i="93" s="1"/>
  <c r="V48" i="46"/>
  <c r="Y24" i="217" s="1"/>
  <c r="V14" i="46"/>
  <c r="V15" i="106" s="1"/>
  <c r="V27" i="46"/>
  <c r="V28" i="93" s="1"/>
  <c r="AE205" i="34"/>
  <c r="V39" i="46"/>
  <c r="Y22" i="217" s="1"/>
  <c r="V42" i="46"/>
  <c r="V23" i="106" s="1"/>
  <c r="V21" i="107" s="1"/>
  <c r="V22" i="46"/>
  <c r="V17" i="106" s="1"/>
  <c r="V15" i="107" s="1"/>
  <c r="V54" i="46"/>
  <c r="V46" i="93" s="1"/>
  <c r="I35" i="104"/>
  <c r="I37" i="104" s="1"/>
  <c r="AE299" i="34"/>
  <c r="E51" i="214"/>
  <c r="AE298" i="34"/>
  <c r="E52" i="214"/>
  <c r="G256" i="34"/>
  <c r="AE248" i="34"/>
  <c r="E23" i="104"/>
  <c r="F53" i="208"/>
  <c r="G24" i="217"/>
  <c r="G42" i="93"/>
  <c r="G24" i="106"/>
  <c r="Q26" i="106"/>
  <c r="S26" i="217"/>
  <c r="Q42" i="93"/>
  <c r="Q24" i="106"/>
  <c r="S24" i="217"/>
  <c r="Q128" i="93"/>
  <c r="E25" i="104"/>
  <c r="F55" i="208"/>
  <c r="P32" i="93"/>
  <c r="P20" i="106"/>
  <c r="R20" i="217"/>
  <c r="P118" i="93"/>
  <c r="P128" i="93"/>
  <c r="P42" i="93"/>
  <c r="P24" i="106"/>
  <c r="R24" i="217"/>
  <c r="P132" i="93"/>
  <c r="P46" i="93"/>
  <c r="W15" i="93"/>
  <c r="Z15" i="217"/>
  <c r="W15" i="106"/>
  <c r="W59" i="46"/>
  <c r="W50" i="93" s="1"/>
  <c r="M37" i="107"/>
  <c r="M21" i="107"/>
  <c r="G19" i="106"/>
  <c r="G30" i="93"/>
  <c r="G19" i="217"/>
  <c r="G71" i="93"/>
  <c r="G26" i="93"/>
  <c r="G67" i="93"/>
  <c r="Q102" i="93"/>
  <c r="Q15" i="93"/>
  <c r="Q59" i="46"/>
  <c r="Q64" i="46" s="1"/>
  <c r="S15" i="217"/>
  <c r="Q15" i="106"/>
  <c r="Q28" i="93"/>
  <c r="S18" i="217"/>
  <c r="Q18" i="106"/>
  <c r="Q114" i="93"/>
  <c r="S20" i="217"/>
  <c r="Q118" i="93"/>
  <c r="Q20" i="106"/>
  <c r="Q32" i="93"/>
  <c r="F54" i="208"/>
  <c r="E24" i="104"/>
  <c r="R24" i="107"/>
  <c r="R58" i="107"/>
  <c r="E50" i="214"/>
  <c r="AE27" i="34"/>
  <c r="S22" i="46"/>
  <c r="S33" i="46"/>
  <c r="S42" i="46"/>
  <c r="S39" i="46"/>
  <c r="S36" i="46"/>
  <c r="S54" i="46"/>
  <c r="S48" i="46"/>
  <c r="S21" i="46"/>
  <c r="S17" i="46"/>
  <c r="S26" i="46"/>
  <c r="S30" i="46"/>
  <c r="S25" i="46"/>
  <c r="S20" i="46"/>
  <c r="S45" i="46"/>
  <c r="S57" i="46"/>
  <c r="S27" i="46"/>
  <c r="S51" i="46"/>
  <c r="S63" i="46"/>
  <c r="S14" i="46"/>
  <c r="P28" i="93"/>
  <c r="P114" i="93"/>
  <c r="R18" i="217"/>
  <c r="P18" i="106"/>
  <c r="R16" i="217"/>
  <c r="P16" i="106"/>
  <c r="P104" i="93"/>
  <c r="P18" i="93"/>
  <c r="R19" i="217"/>
  <c r="P116" i="93"/>
  <c r="P19" i="106"/>
  <c r="P30" i="93"/>
  <c r="O93" i="93"/>
  <c r="O64" i="93"/>
  <c r="O23" i="93"/>
  <c r="P17" i="217"/>
  <c r="O17" i="106"/>
  <c r="W18" i="93"/>
  <c r="Z16" i="217"/>
  <c r="W16" i="106"/>
  <c r="W14" i="107" s="1"/>
  <c r="M31" i="107"/>
  <c r="M15" i="107"/>
  <c r="M44" i="107"/>
  <c r="G18" i="217"/>
  <c r="G28" i="93"/>
  <c r="G69" i="93"/>
  <c r="G18" i="106"/>
  <c r="G23" i="217"/>
  <c r="G23" i="106"/>
  <c r="G15" i="93"/>
  <c r="G15" i="217"/>
  <c r="G59" i="46"/>
  <c r="G15" i="106"/>
  <c r="G27" i="93"/>
  <c r="G68" i="93"/>
  <c r="Q132" i="93"/>
  <c r="Q46" i="93"/>
  <c r="S17" i="217"/>
  <c r="Q17" i="106"/>
  <c r="Q23" i="93"/>
  <c r="Q109" i="93"/>
  <c r="S16" i="217"/>
  <c r="Q16" i="106"/>
  <c r="Q18" i="93"/>
  <c r="Q104" i="93"/>
  <c r="S23" i="217"/>
  <c r="Q124" i="93"/>
  <c r="Q23" i="106"/>
  <c r="AE26" i="34"/>
  <c r="F298" i="34"/>
  <c r="M50" i="93"/>
  <c r="M91" i="93"/>
  <c r="F297" i="34"/>
  <c r="AE25" i="34"/>
  <c r="U42" i="93"/>
  <c r="X24" i="217"/>
  <c r="U24" i="106"/>
  <c r="P15" i="93"/>
  <c r="R15" i="217"/>
  <c r="P102" i="93"/>
  <c r="P15" i="106"/>
  <c r="P59" i="46"/>
  <c r="R26" i="217"/>
  <c r="P26" i="106"/>
  <c r="P27" i="93"/>
  <c r="P113" i="93"/>
  <c r="P108" i="93"/>
  <c r="P22" i="93"/>
  <c r="W23" i="93"/>
  <c r="Z17" i="217"/>
  <c r="W17" i="106"/>
  <c r="W15" i="107" s="1"/>
  <c r="Z22" i="217"/>
  <c r="W22" i="106"/>
  <c r="W20" i="107" s="1"/>
  <c r="W36" i="93"/>
  <c r="W28" i="93"/>
  <c r="W18" i="106"/>
  <c r="W16" i="107" s="1"/>
  <c r="Z18" i="217"/>
  <c r="Z23" i="217"/>
  <c r="W23" i="106"/>
  <c r="W21" i="107" s="1"/>
  <c r="H20" i="104"/>
  <c r="H27" i="104" s="1"/>
  <c r="H35" i="104" s="1"/>
  <c r="H37" i="104" s="1"/>
  <c r="L29" i="34"/>
  <c r="L38" i="34" s="1"/>
  <c r="R57" i="107"/>
  <c r="R23" i="107"/>
  <c r="R13" i="107"/>
  <c r="R47" i="107"/>
  <c r="M22" i="107"/>
  <c r="M38" i="107"/>
  <c r="J38" i="34"/>
  <c r="G93" i="93"/>
  <c r="G23" i="93"/>
  <c r="G17" i="217"/>
  <c r="G17" i="106"/>
  <c r="G64" i="93"/>
  <c r="G26" i="217"/>
  <c r="G26" i="106"/>
  <c r="Q108" i="93"/>
  <c r="Q22" i="93"/>
  <c r="Q30" i="93"/>
  <c r="S19" i="217"/>
  <c r="Q19" i="106"/>
  <c r="Q116" i="93"/>
  <c r="P26" i="93"/>
  <c r="P112" i="93"/>
  <c r="P34" i="93"/>
  <c r="R21" i="217"/>
  <c r="P120" i="93"/>
  <c r="P21" i="106"/>
  <c r="W32" i="93"/>
  <c r="Z20" i="217"/>
  <c r="W20" i="106"/>
  <c r="W18" i="107" s="1"/>
  <c r="E20" i="104"/>
  <c r="G29" i="34"/>
  <c r="F50" i="208"/>
  <c r="G21" i="93"/>
  <c r="G62" i="93"/>
  <c r="G32" i="93"/>
  <c r="G20" i="217"/>
  <c r="G73" i="93"/>
  <c r="G20" i="106"/>
  <c r="M23" i="107"/>
  <c r="M39" i="107"/>
  <c r="Q34" i="93"/>
  <c r="Q120" i="93"/>
  <c r="Q21" i="106"/>
  <c r="S21" i="217"/>
  <c r="Q26" i="93"/>
  <c r="Q112" i="93"/>
  <c r="M29" i="107"/>
  <c r="M42" i="107"/>
  <c r="M13" i="107"/>
  <c r="M28" i="106"/>
  <c r="M26" i="107" s="1"/>
  <c r="R49" i="107"/>
  <c r="R15" i="107"/>
  <c r="P130" i="93"/>
  <c r="P44" i="93"/>
  <c r="R25" i="217"/>
  <c r="P25" i="106"/>
  <c r="Z26" i="217"/>
  <c r="W26" i="106"/>
  <c r="W24" i="107" s="1"/>
  <c r="W44" i="93"/>
  <c r="Z25" i="217"/>
  <c r="W25" i="106"/>
  <c r="W23" i="107" s="1"/>
  <c r="M19" i="107"/>
  <c r="M35" i="107"/>
  <c r="M14" i="107"/>
  <c r="M30" i="107"/>
  <c r="N27" i="46"/>
  <c r="N36" i="46"/>
  <c r="N51" i="46"/>
  <c r="N48" i="46"/>
  <c r="N20" i="46"/>
  <c r="N21" i="46"/>
  <c r="N33" i="46"/>
  <c r="N39" i="46"/>
  <c r="N42" i="46"/>
  <c r="N22" i="46"/>
  <c r="N25" i="46"/>
  <c r="N30" i="46"/>
  <c r="N57" i="46"/>
  <c r="N17" i="46"/>
  <c r="N45" i="46"/>
  <c r="N26" i="46"/>
  <c r="N54" i="46"/>
  <c r="N46" i="93" s="1"/>
  <c r="N14" i="46"/>
  <c r="N63" i="46"/>
  <c r="F27" i="104"/>
  <c r="F35" i="104" s="1"/>
  <c r="F37" i="104" s="1"/>
  <c r="G22" i="217"/>
  <c r="G36" i="93"/>
  <c r="G77" i="93"/>
  <c r="G22" i="106"/>
  <c r="G34" i="93"/>
  <c r="G21" i="217"/>
  <c r="G75" i="93"/>
  <c r="G21" i="106"/>
  <c r="G18" i="93"/>
  <c r="G16" i="217"/>
  <c r="G16" i="106"/>
  <c r="G63" i="93"/>
  <c r="G22" i="93"/>
  <c r="G25" i="106"/>
  <c r="G44" i="93"/>
  <c r="G25" i="217"/>
  <c r="Q21" i="93"/>
  <c r="Q107" i="93"/>
  <c r="Q113" i="93"/>
  <c r="Q27" i="93"/>
  <c r="S22" i="217"/>
  <c r="Q36" i="93"/>
  <c r="Q122" i="93"/>
  <c r="Q22" i="106"/>
  <c r="S25" i="217"/>
  <c r="Q130" i="93"/>
  <c r="Q25" i="106"/>
  <c r="Q44" i="93"/>
  <c r="G35" i="34"/>
  <c r="AE35" i="34" s="1"/>
  <c r="F59" i="208"/>
  <c r="F61" i="208" s="1"/>
  <c r="E30" i="104"/>
  <c r="E33" i="104" s="1"/>
  <c r="T45" i="46"/>
  <c r="T21" i="46"/>
  <c r="T17" i="46"/>
  <c r="T54" i="46"/>
  <c r="T51" i="46"/>
  <c r="T57" i="46"/>
  <c r="T25" i="46"/>
  <c r="T20" i="46"/>
  <c r="T26" i="46"/>
  <c r="T63" i="46"/>
  <c r="T14" i="46"/>
  <c r="T30" i="46"/>
  <c r="T27" i="46"/>
  <c r="T22" i="46"/>
  <c r="T36" i="46"/>
  <c r="T39" i="46"/>
  <c r="T42" i="46"/>
  <c r="T48" i="46"/>
  <c r="T33" i="46"/>
  <c r="M16" i="107"/>
  <c r="M32" i="107"/>
  <c r="M33" i="107"/>
  <c r="M17" i="107"/>
  <c r="M34" i="107"/>
  <c r="M18" i="107"/>
  <c r="N28" i="217"/>
  <c r="AE297" i="34"/>
  <c r="R23" i="217"/>
  <c r="P23" i="106"/>
  <c r="P124" i="93"/>
  <c r="P23" i="93"/>
  <c r="R17" i="217"/>
  <c r="P17" i="106"/>
  <c r="P109" i="93"/>
  <c r="P36" i="93"/>
  <c r="P122" i="93"/>
  <c r="R22" i="217"/>
  <c r="P22" i="106"/>
  <c r="P21" i="93"/>
  <c r="P107" i="93"/>
  <c r="W30" i="93"/>
  <c r="Z19" i="217"/>
  <c r="W19" i="106"/>
  <c r="W17" i="107" s="1"/>
  <c r="Z24" i="217"/>
  <c r="W42" i="93"/>
  <c r="W24" i="106"/>
  <c r="W22" i="107" s="1"/>
  <c r="Z21" i="217"/>
  <c r="W21" i="106"/>
  <c r="W19" i="107" s="1"/>
  <c r="W34" i="93"/>
  <c r="M64" i="46"/>
  <c r="M24" i="107"/>
  <c r="M40" i="107"/>
  <c r="M38" i="34"/>
  <c r="M20" i="107"/>
  <c r="M36" i="107"/>
  <c r="N40" i="93" l="1"/>
  <c r="N81" i="93"/>
  <c r="O40" i="93"/>
  <c r="O81" i="93"/>
  <c r="S40" i="93"/>
  <c r="S126" i="93"/>
  <c r="T40" i="93"/>
  <c r="T126" i="93"/>
  <c r="P16" i="217"/>
  <c r="X23" i="217"/>
  <c r="O16" i="106"/>
  <c r="O30" i="107" s="1"/>
  <c r="O69" i="93"/>
  <c r="O62" i="93"/>
  <c r="O30" i="93"/>
  <c r="U32" i="93"/>
  <c r="O42" i="93"/>
  <c r="P19" i="217"/>
  <c r="O19" i="106"/>
  <c r="O17" i="107" s="1"/>
  <c r="U20" i="106"/>
  <c r="U18" i="107" s="1"/>
  <c r="Y25" i="217"/>
  <c r="R55" i="107"/>
  <c r="P21" i="217"/>
  <c r="X18" i="217"/>
  <c r="R56" i="107"/>
  <c r="R53" i="107"/>
  <c r="O68" i="93"/>
  <c r="U25" i="106"/>
  <c r="U23" i="107" s="1"/>
  <c r="V24" i="106"/>
  <c r="V22" i="107" s="1"/>
  <c r="U44" i="93"/>
  <c r="O18" i="106"/>
  <c r="O16" i="107" s="1"/>
  <c r="P18" i="217"/>
  <c r="P26" i="217"/>
  <c r="V23" i="93"/>
  <c r="O23" i="106"/>
  <c r="O21" i="107" s="1"/>
  <c r="R17" i="107"/>
  <c r="O73" i="93"/>
  <c r="P25" i="217"/>
  <c r="V26" i="106"/>
  <c r="V24" i="107" s="1"/>
  <c r="O25" i="106"/>
  <c r="O23" i="107" s="1"/>
  <c r="F294" i="34"/>
  <c r="U18" i="106"/>
  <c r="U16" i="107" s="1"/>
  <c r="U16" i="106"/>
  <c r="U14" i="107" s="1"/>
  <c r="O32" i="93"/>
  <c r="U28" i="93"/>
  <c r="P24" i="217"/>
  <c r="U21" i="106"/>
  <c r="U19" i="107" s="1"/>
  <c r="U18" i="93"/>
  <c r="U23" i="93"/>
  <c r="R64" i="46"/>
  <c r="O15" i="106"/>
  <c r="O29" i="107" s="1"/>
  <c r="V32" i="93"/>
  <c r="R28" i="106"/>
  <c r="R60" i="107" s="1"/>
  <c r="O63" i="93"/>
  <c r="T28" i="217"/>
  <c r="V15" i="93"/>
  <c r="R14" i="107"/>
  <c r="V20" i="106"/>
  <c r="V18" i="107" s="1"/>
  <c r="X19" i="217"/>
  <c r="E27" i="104"/>
  <c r="E35" i="104" s="1"/>
  <c r="E37" i="104" s="1"/>
  <c r="R50" i="107"/>
  <c r="R52" i="107"/>
  <c r="AB20" i="46"/>
  <c r="H149" i="93" s="1"/>
  <c r="H15" i="166" s="1"/>
  <c r="O26" i="93"/>
  <c r="Y17" i="217"/>
  <c r="X22" i="217"/>
  <c r="U59" i="46"/>
  <c r="U50" i="93" s="1"/>
  <c r="R54" i="107"/>
  <c r="U15" i="93"/>
  <c r="R50" i="93"/>
  <c r="Y15" i="217"/>
  <c r="V44" i="93"/>
  <c r="Y23" i="217"/>
  <c r="U22" i="106"/>
  <c r="U20" i="107" s="1"/>
  <c r="X21" i="217"/>
  <c r="U15" i="106"/>
  <c r="U26" i="106"/>
  <c r="U24" i="107" s="1"/>
  <c r="U17" i="106"/>
  <c r="U15" i="107" s="1"/>
  <c r="U30" i="93"/>
  <c r="AB21" i="46"/>
  <c r="H150" i="93" s="1"/>
  <c r="H16" i="166" s="1"/>
  <c r="O59" i="46"/>
  <c r="O64" i="46" s="1"/>
  <c r="V21" i="106"/>
  <c r="V19" i="107" s="1"/>
  <c r="O22" i="106"/>
  <c r="O20" i="107" s="1"/>
  <c r="O75" i="93"/>
  <c r="V30" i="93"/>
  <c r="O36" i="93"/>
  <c r="AE294" i="34"/>
  <c r="O20" i="106"/>
  <c r="O34" i="107" s="1"/>
  <c r="Y16" i="217"/>
  <c r="O21" i="106"/>
  <c r="O35" i="107" s="1"/>
  <c r="O15" i="93"/>
  <c r="V19" i="106"/>
  <c r="V17" i="107" s="1"/>
  <c r="O77" i="93"/>
  <c r="O34" i="93"/>
  <c r="V22" i="106"/>
  <c r="V20" i="107" s="1"/>
  <c r="Y21" i="217"/>
  <c r="Y18" i="217"/>
  <c r="V18" i="106"/>
  <c r="V16" i="107" s="1"/>
  <c r="V18" i="93"/>
  <c r="V42" i="93"/>
  <c r="V36" i="93"/>
  <c r="V59" i="46"/>
  <c r="V50" i="93" s="1"/>
  <c r="AB45" i="46"/>
  <c r="H168" i="93" s="1"/>
  <c r="W64" i="46"/>
  <c r="G38" i="34"/>
  <c r="E63" i="46" s="1"/>
  <c r="F321" i="46" s="1"/>
  <c r="T32" i="93"/>
  <c r="T118" i="93"/>
  <c r="W20" i="217"/>
  <c r="T20" i="106"/>
  <c r="T15" i="93"/>
  <c r="T102" i="93"/>
  <c r="T59" i="46"/>
  <c r="T64" i="46" s="1"/>
  <c r="W15" i="217"/>
  <c r="T15" i="106"/>
  <c r="W16" i="217"/>
  <c r="T18" i="93"/>
  <c r="T104" i="93"/>
  <c r="T16" i="106"/>
  <c r="N26" i="93"/>
  <c r="N67" i="93"/>
  <c r="N25" i="106"/>
  <c r="O25" i="217"/>
  <c r="N44" i="93"/>
  <c r="U17" i="107"/>
  <c r="H11" i="218"/>
  <c r="U11" i="218" s="1"/>
  <c r="G18" i="107"/>
  <c r="P12" i="218"/>
  <c r="G34" i="107"/>
  <c r="Q21" i="107"/>
  <c r="Q55" i="107"/>
  <c r="O44" i="107"/>
  <c r="O31" i="107"/>
  <c r="O15" i="107"/>
  <c r="P17" i="107"/>
  <c r="P51" i="107"/>
  <c r="S102" i="93"/>
  <c r="S15" i="93"/>
  <c r="S59" i="46"/>
  <c r="S15" i="106"/>
  <c r="U15" i="217"/>
  <c r="V15" i="217" s="1"/>
  <c r="AB14" i="46"/>
  <c r="S26" i="106"/>
  <c r="U26" i="217"/>
  <c r="V26" i="217" s="1"/>
  <c r="S42" i="93"/>
  <c r="S128" i="93"/>
  <c r="U24" i="217"/>
  <c r="V24" i="217" s="1"/>
  <c r="S24" i="106"/>
  <c r="S16" i="218" s="1"/>
  <c r="W28" i="106"/>
  <c r="W26" i="107" s="1"/>
  <c r="W13" i="107"/>
  <c r="Q22" i="107"/>
  <c r="Q56" i="107"/>
  <c r="W24" i="217"/>
  <c r="T128" i="93"/>
  <c r="T24" i="106"/>
  <c r="T42" i="93"/>
  <c r="T26" i="106"/>
  <c r="W26" i="217"/>
  <c r="G39" i="107"/>
  <c r="G23" i="107"/>
  <c r="N59" i="46"/>
  <c r="N15" i="93"/>
  <c r="N15" i="106"/>
  <c r="O15" i="217"/>
  <c r="N23" i="93"/>
  <c r="N93" i="93"/>
  <c r="N17" i="106"/>
  <c r="N64" i="93"/>
  <c r="O17" i="217"/>
  <c r="N75" i="93"/>
  <c r="N21" i="106"/>
  <c r="O21" i="217"/>
  <c r="N34" i="93"/>
  <c r="Q48" i="107"/>
  <c r="Q14" i="107"/>
  <c r="G91" i="93"/>
  <c r="G50" i="93"/>
  <c r="P15" i="218"/>
  <c r="G21" i="107"/>
  <c r="G37" i="107"/>
  <c r="S27" i="93"/>
  <c r="S113" i="93"/>
  <c r="AB26" i="46"/>
  <c r="H155" i="93" s="1"/>
  <c r="H19" i="166" s="1"/>
  <c r="S132" i="93"/>
  <c r="S46" i="93"/>
  <c r="AB54" i="46"/>
  <c r="H174" i="93" s="1"/>
  <c r="Q52" i="107"/>
  <c r="Q18" i="107"/>
  <c r="Q16" i="107"/>
  <c r="Q50" i="107"/>
  <c r="S28" i="217"/>
  <c r="G64" i="46"/>
  <c r="Z28" i="217"/>
  <c r="P22" i="107"/>
  <c r="P56" i="107"/>
  <c r="I26" i="46"/>
  <c r="I39" i="46"/>
  <c r="I51" i="46"/>
  <c r="I45" i="46"/>
  <c r="I27" i="46"/>
  <c r="I22" i="46"/>
  <c r="I25" i="46"/>
  <c r="I17" i="46"/>
  <c r="I30" i="46"/>
  <c r="I21" i="46"/>
  <c r="I33" i="46"/>
  <c r="I14" i="46"/>
  <c r="I36" i="46"/>
  <c r="I57" i="46"/>
  <c r="I20" i="46"/>
  <c r="I54" i="46"/>
  <c r="I46" i="93" s="1"/>
  <c r="I48" i="46"/>
  <c r="I63" i="46"/>
  <c r="I42" i="46"/>
  <c r="P20" i="107"/>
  <c r="P54" i="107"/>
  <c r="T124" i="93"/>
  <c r="T23" i="106"/>
  <c r="W23" i="217"/>
  <c r="W18" i="217"/>
  <c r="T28" i="93"/>
  <c r="T114" i="93"/>
  <c r="T18" i="106"/>
  <c r="T27" i="93"/>
  <c r="T113" i="93"/>
  <c r="W25" i="217"/>
  <c r="T25" i="106"/>
  <c r="T130" i="93"/>
  <c r="T44" i="93"/>
  <c r="Q54" i="107"/>
  <c r="Q20" i="107"/>
  <c r="O26" i="217"/>
  <c r="N26" i="106"/>
  <c r="O23" i="217"/>
  <c r="N23" i="106"/>
  <c r="N21" i="93"/>
  <c r="N62" i="93"/>
  <c r="N28" i="93"/>
  <c r="O18" i="217"/>
  <c r="N69" i="93"/>
  <c r="N18" i="106"/>
  <c r="P23" i="107"/>
  <c r="P57" i="107"/>
  <c r="P53" i="107"/>
  <c r="P19" i="107"/>
  <c r="G15" i="107"/>
  <c r="G44" i="107"/>
  <c r="P9" i="218"/>
  <c r="G31" i="107"/>
  <c r="F45" i="46"/>
  <c r="F40" i="93" s="1"/>
  <c r="F54" i="46"/>
  <c r="F26" i="46"/>
  <c r="F25" i="46"/>
  <c r="F33" i="46"/>
  <c r="F57" i="46"/>
  <c r="F14" i="46"/>
  <c r="F30" i="46"/>
  <c r="F51" i="46"/>
  <c r="F27" i="46"/>
  <c r="F48" i="46"/>
  <c r="F36" i="46"/>
  <c r="F21" i="46"/>
  <c r="F17" i="46"/>
  <c r="F39" i="46"/>
  <c r="F20" i="46"/>
  <c r="F63" i="46"/>
  <c r="F42" i="46"/>
  <c r="F22" i="46"/>
  <c r="P24" i="107"/>
  <c r="P58" i="107"/>
  <c r="Q15" i="107"/>
  <c r="Q49" i="107"/>
  <c r="G28" i="217"/>
  <c r="U25" i="217"/>
  <c r="V25" i="217" s="1"/>
  <c r="S130" i="93"/>
  <c r="S25" i="106"/>
  <c r="S44" i="93"/>
  <c r="S21" i="93"/>
  <c r="S107" i="93"/>
  <c r="U16" i="217"/>
  <c r="V16" i="217" s="1"/>
  <c r="S104" i="93"/>
  <c r="S16" i="106"/>
  <c r="S18" i="93"/>
  <c r="AB17" i="46"/>
  <c r="H146" i="93" s="1"/>
  <c r="U21" i="217"/>
  <c r="V21" i="217" s="1"/>
  <c r="S34" i="93"/>
  <c r="S21" i="106"/>
  <c r="S120" i="93"/>
  <c r="AB36" i="46"/>
  <c r="U17" i="217"/>
  <c r="V17" i="217" s="1"/>
  <c r="S23" i="93"/>
  <c r="S17" i="106"/>
  <c r="S109" i="93"/>
  <c r="Q50" i="93"/>
  <c r="Q136" i="93"/>
  <c r="P18" i="107"/>
  <c r="P52" i="107"/>
  <c r="W21" i="217"/>
  <c r="T120" i="93"/>
  <c r="T34" i="93"/>
  <c r="T21" i="106"/>
  <c r="T112" i="93"/>
  <c r="T26" i="93"/>
  <c r="G30" i="107"/>
  <c r="G14" i="107"/>
  <c r="P14" i="218"/>
  <c r="G20" i="107"/>
  <c r="G36" i="107"/>
  <c r="N73" i="93"/>
  <c r="N20" i="106"/>
  <c r="N32" i="93"/>
  <c r="O20" i="217"/>
  <c r="P50" i="93"/>
  <c r="P136" i="93"/>
  <c r="G13" i="107"/>
  <c r="G29" i="107"/>
  <c r="P8" i="218"/>
  <c r="G42" i="107"/>
  <c r="G28" i="106"/>
  <c r="G26" i="107" s="1"/>
  <c r="S30" i="93"/>
  <c r="S116" i="93"/>
  <c r="U19" i="217"/>
  <c r="V19" i="217" s="1"/>
  <c r="S19" i="106"/>
  <c r="AB30" i="46"/>
  <c r="H158" i="93" s="1"/>
  <c r="H20" i="166" s="1"/>
  <c r="S23" i="106"/>
  <c r="S15" i="218" s="1"/>
  <c r="S124" i="93"/>
  <c r="U23" i="217"/>
  <c r="V23" i="217" s="1"/>
  <c r="AB42" i="46"/>
  <c r="H166" i="93" s="1"/>
  <c r="H24" i="166" s="1"/>
  <c r="Q47" i="107"/>
  <c r="Q13" i="107"/>
  <c r="Q28" i="106"/>
  <c r="P16" i="218"/>
  <c r="G22" i="107"/>
  <c r="G38" i="107"/>
  <c r="T23" i="93"/>
  <c r="T109" i="93"/>
  <c r="W17" i="217"/>
  <c r="T17" i="106"/>
  <c r="T108" i="93"/>
  <c r="T22" i="93"/>
  <c r="O16" i="217"/>
  <c r="N18" i="93"/>
  <c r="N16" i="106"/>
  <c r="N63" i="93"/>
  <c r="N22" i="93"/>
  <c r="P64" i="46"/>
  <c r="Q17" i="107"/>
  <c r="Q51" i="107"/>
  <c r="P13" i="107"/>
  <c r="P47" i="107"/>
  <c r="P28" i="106"/>
  <c r="H16" i="218"/>
  <c r="U16" i="218" s="1"/>
  <c r="U22" i="107"/>
  <c r="P14" i="107"/>
  <c r="P48" i="107"/>
  <c r="S32" i="93"/>
  <c r="S20" i="106"/>
  <c r="U20" i="217"/>
  <c r="V20" i="217" s="1"/>
  <c r="S118" i="93"/>
  <c r="AB33" i="46"/>
  <c r="H160" i="93" s="1"/>
  <c r="H21" i="166" s="1"/>
  <c r="V13" i="107"/>
  <c r="O22" i="107"/>
  <c r="O38" i="107"/>
  <c r="P15" i="107"/>
  <c r="P49" i="107"/>
  <c r="P21" i="107"/>
  <c r="P55" i="107"/>
  <c r="U21" i="107"/>
  <c r="H15" i="218"/>
  <c r="U15" i="218" s="1"/>
  <c r="T36" i="93"/>
  <c r="W22" i="217"/>
  <c r="T122" i="93"/>
  <c r="T22" i="106"/>
  <c r="T30" i="93"/>
  <c r="T116" i="93"/>
  <c r="W19" i="217"/>
  <c r="T19" i="106"/>
  <c r="T21" i="93"/>
  <c r="T107" i="93"/>
  <c r="T132" i="93"/>
  <c r="T46" i="93"/>
  <c r="Q23" i="107"/>
  <c r="Q57" i="107"/>
  <c r="G19" i="107"/>
  <c r="P13" i="218"/>
  <c r="G35" i="107"/>
  <c r="N68" i="93"/>
  <c r="N27" i="93"/>
  <c r="N30" i="93"/>
  <c r="N71" i="93"/>
  <c r="N19" i="106"/>
  <c r="O19" i="217"/>
  <c r="O22" i="217"/>
  <c r="N77" i="93"/>
  <c r="N22" i="106"/>
  <c r="N36" i="93"/>
  <c r="O24" i="217"/>
  <c r="N42" i="93"/>
  <c r="N24" i="106"/>
  <c r="Q19" i="107"/>
  <c r="Q53" i="107"/>
  <c r="F56" i="208"/>
  <c r="F63" i="208" s="1"/>
  <c r="G40" i="107"/>
  <c r="G24" i="107"/>
  <c r="AE29" i="34"/>
  <c r="H25" i="46"/>
  <c r="H57" i="46"/>
  <c r="H26" i="46"/>
  <c r="H51" i="46"/>
  <c r="H45" i="46"/>
  <c r="H42" i="46"/>
  <c r="H48" i="46"/>
  <c r="H54" i="46"/>
  <c r="H46" i="93" s="1"/>
  <c r="H22" i="46"/>
  <c r="H21" i="46"/>
  <c r="H27" i="46"/>
  <c r="H30" i="46"/>
  <c r="H63" i="46"/>
  <c r="H36" i="46"/>
  <c r="H17" i="46"/>
  <c r="H20" i="46"/>
  <c r="H14" i="46"/>
  <c r="H39" i="46"/>
  <c r="H33" i="46"/>
  <c r="O24" i="107"/>
  <c r="O40" i="107"/>
  <c r="R28" i="217"/>
  <c r="G16" i="107"/>
  <c r="P10" i="218"/>
  <c r="G32" i="107"/>
  <c r="P16" i="107"/>
  <c r="P50" i="107"/>
  <c r="U18" i="217"/>
  <c r="V18" i="217" s="1"/>
  <c r="S114" i="93"/>
  <c r="S18" i="106"/>
  <c r="S28" i="93"/>
  <c r="S112" i="93"/>
  <c r="S26" i="93"/>
  <c r="AB25" i="46"/>
  <c r="S108" i="93"/>
  <c r="S22" i="93"/>
  <c r="S36" i="93"/>
  <c r="U22" i="217"/>
  <c r="V22" i="217" s="1"/>
  <c r="S22" i="106"/>
  <c r="S14" i="218" s="1"/>
  <c r="S122" i="93"/>
  <c r="AB39" i="46"/>
  <c r="H164" i="93" s="1"/>
  <c r="H23" i="166" s="1"/>
  <c r="G17" i="107"/>
  <c r="G33" i="107"/>
  <c r="P11" i="218"/>
  <c r="Q58" i="107"/>
  <c r="Q24" i="107"/>
  <c r="I40" i="93" l="1"/>
  <c r="I81" i="93"/>
  <c r="H40" i="93"/>
  <c r="H81" i="93"/>
  <c r="X126" i="93"/>
  <c r="O14" i="107"/>
  <c r="O33" i="107"/>
  <c r="H12" i="218"/>
  <c r="U12" i="218" s="1"/>
  <c r="E185" i="93"/>
  <c r="O39" i="107"/>
  <c r="O32" i="107"/>
  <c r="O37" i="107"/>
  <c r="H13" i="218"/>
  <c r="U13" i="218" s="1"/>
  <c r="H8" i="218"/>
  <c r="U8" i="218" s="1"/>
  <c r="P28" i="217"/>
  <c r="O13" i="107"/>
  <c r="X128" i="93"/>
  <c r="U13" i="107"/>
  <c r="U64" i="46"/>
  <c r="AB22" i="46"/>
  <c r="H151" i="93" s="1"/>
  <c r="H10" i="218"/>
  <c r="U10" i="218" s="1"/>
  <c r="X102" i="93"/>
  <c r="H14" i="218"/>
  <c r="U14" i="218" s="1"/>
  <c r="O50" i="93"/>
  <c r="R26" i="107"/>
  <c r="AE38" i="34"/>
  <c r="H9" i="218"/>
  <c r="U9" i="218" s="1"/>
  <c r="X28" i="217"/>
  <c r="O91" i="93"/>
  <c r="S10" i="218"/>
  <c r="U28" i="106"/>
  <c r="U26" i="107" s="1"/>
  <c r="O19" i="107"/>
  <c r="Y28" i="217"/>
  <c r="O36" i="107"/>
  <c r="V28" i="106"/>
  <c r="V26" i="107" s="1"/>
  <c r="O42" i="107"/>
  <c r="O18" i="107"/>
  <c r="O28" i="106"/>
  <c r="O26" i="107" s="1"/>
  <c r="X114" i="93"/>
  <c r="X132" i="93"/>
  <c r="V64" i="46"/>
  <c r="X122" i="93"/>
  <c r="X112" i="93"/>
  <c r="Z45" i="46"/>
  <c r="F168" i="93" s="1"/>
  <c r="X109" i="93"/>
  <c r="X113" i="93"/>
  <c r="X108" i="93"/>
  <c r="X116" i="93"/>
  <c r="X120" i="93"/>
  <c r="X124" i="93"/>
  <c r="X107" i="93"/>
  <c r="X130" i="93"/>
  <c r="X104" i="93"/>
  <c r="X118" i="93"/>
  <c r="H154" i="93"/>
  <c r="H18" i="166"/>
  <c r="AB27" i="46"/>
  <c r="H156" i="93" s="1"/>
  <c r="I21" i="217"/>
  <c r="H75" i="93"/>
  <c r="H34" i="93"/>
  <c r="H21" i="106"/>
  <c r="Z36" i="46"/>
  <c r="H23" i="106"/>
  <c r="I23" i="217"/>
  <c r="Z42" i="46"/>
  <c r="F166" i="93" s="1"/>
  <c r="F24" i="166" s="1"/>
  <c r="S21" i="107"/>
  <c r="S55" i="107"/>
  <c r="S49" i="107"/>
  <c r="S15" i="107"/>
  <c r="S23" i="107"/>
  <c r="S57" i="107"/>
  <c r="Y51" i="46"/>
  <c r="F44" i="93"/>
  <c r="F25" i="106"/>
  <c r="E51" i="46"/>
  <c r="E80" i="46" s="1"/>
  <c r="F25" i="217"/>
  <c r="H25" i="217" s="1"/>
  <c r="Y45" i="46"/>
  <c r="E45" i="46"/>
  <c r="T23" i="107"/>
  <c r="T57" i="107"/>
  <c r="I26" i="106"/>
  <c r="J26" i="217"/>
  <c r="Q26" i="217" s="1"/>
  <c r="I23" i="93"/>
  <c r="I64" i="93"/>
  <c r="I17" i="106"/>
  <c r="I93" i="93"/>
  <c r="J17" i="217"/>
  <c r="Q17" i="217" s="1"/>
  <c r="N50" i="93"/>
  <c r="N91" i="93"/>
  <c r="T24" i="107"/>
  <c r="T58" i="107"/>
  <c r="S56" i="107"/>
  <c r="S22" i="107"/>
  <c r="S28" i="106"/>
  <c r="S47" i="107"/>
  <c r="S13" i="107"/>
  <c r="W28" i="217"/>
  <c r="I36" i="217" s="1"/>
  <c r="T18" i="107"/>
  <c r="T52" i="107"/>
  <c r="G12" i="218"/>
  <c r="T12" i="218" s="1"/>
  <c r="H64" i="93"/>
  <c r="H23" i="93"/>
  <c r="H93" i="93"/>
  <c r="I17" i="217"/>
  <c r="H17" i="106"/>
  <c r="H26" i="93"/>
  <c r="H67" i="93"/>
  <c r="T17" i="107"/>
  <c r="G11" i="218"/>
  <c r="T11" i="218" s="1"/>
  <c r="T51" i="107"/>
  <c r="S52" i="107"/>
  <c r="S18" i="107"/>
  <c r="N14" i="107"/>
  <c r="N30" i="107"/>
  <c r="P18" i="218"/>
  <c r="S53" i="107"/>
  <c r="S19" i="107"/>
  <c r="Y20" i="46"/>
  <c r="F21" i="93"/>
  <c r="F19" i="217"/>
  <c r="H19" i="217" s="1"/>
  <c r="F30" i="93"/>
  <c r="E30" i="46"/>
  <c r="E74" i="46" s="1"/>
  <c r="Y30" i="46"/>
  <c r="F19" i="106"/>
  <c r="N24" i="107"/>
  <c r="N40" i="107"/>
  <c r="I42" i="93"/>
  <c r="I24" i="106"/>
  <c r="J24" i="217"/>
  <c r="Q24" i="217" s="1"/>
  <c r="I30" i="93"/>
  <c r="I19" i="106"/>
  <c r="I71" i="93"/>
  <c r="J19" i="217"/>
  <c r="Q19" i="217" s="1"/>
  <c r="I27" i="93"/>
  <c r="I68" i="93"/>
  <c r="O28" i="217"/>
  <c r="S50" i="93"/>
  <c r="S136" i="93"/>
  <c r="T50" i="93"/>
  <c r="E184" i="93" s="1"/>
  <c r="T136" i="93"/>
  <c r="H62" i="93"/>
  <c r="H21" i="93"/>
  <c r="AA20" i="46"/>
  <c r="I19" i="217"/>
  <c r="H30" i="93"/>
  <c r="H19" i="106"/>
  <c r="H71" i="93"/>
  <c r="Z30" i="46"/>
  <c r="F158" i="93" s="1"/>
  <c r="F20" i="166" s="1"/>
  <c r="I25" i="217"/>
  <c r="H44" i="93"/>
  <c r="H25" i="106"/>
  <c r="N38" i="107"/>
  <c r="N22" i="107"/>
  <c r="N36" i="107"/>
  <c r="N20" i="107"/>
  <c r="N33" i="107"/>
  <c r="N17" i="107"/>
  <c r="S8" i="218"/>
  <c r="Q60" i="107"/>
  <c r="Q26" i="107"/>
  <c r="S51" i="107"/>
  <c r="S17" i="107"/>
  <c r="S48" i="107"/>
  <c r="S14" i="107"/>
  <c r="E22" i="46"/>
  <c r="E72" i="46" s="1"/>
  <c r="F23" i="93"/>
  <c r="AD24" i="93" s="1"/>
  <c r="F17" i="106"/>
  <c r="F17" i="217"/>
  <c r="H17" i="217" s="1"/>
  <c r="F22" i="217"/>
  <c r="H22" i="217" s="1"/>
  <c r="Y39" i="46"/>
  <c r="E39" i="46"/>
  <c r="E77" i="46" s="1"/>
  <c r="F36" i="93"/>
  <c r="F22" i="106"/>
  <c r="F24" i="217"/>
  <c r="H24" i="217" s="1"/>
  <c r="F42" i="93"/>
  <c r="AD43" i="93" s="1"/>
  <c r="Y48" i="46"/>
  <c r="F24" i="106"/>
  <c r="E48" i="46"/>
  <c r="E79" i="46" s="1"/>
  <c r="Y14" i="46"/>
  <c r="F15" i="93"/>
  <c r="F15" i="217"/>
  <c r="E14" i="46"/>
  <c r="F59" i="46"/>
  <c r="F15" i="106"/>
  <c r="Y26" i="46"/>
  <c r="F27" i="93"/>
  <c r="I59" i="46"/>
  <c r="I15" i="93"/>
  <c r="J15" i="217"/>
  <c r="I15" i="106"/>
  <c r="I18" i="93"/>
  <c r="I16" i="106"/>
  <c r="J16" i="217"/>
  <c r="Q16" i="217" s="1"/>
  <c r="N35" i="107"/>
  <c r="N19" i="107"/>
  <c r="N15" i="107"/>
  <c r="N31" i="107"/>
  <c r="N44" i="107"/>
  <c r="N42" i="107"/>
  <c r="N29" i="107"/>
  <c r="N13" i="107"/>
  <c r="N28" i="106"/>
  <c r="N26" i="107" s="1"/>
  <c r="H144" i="93"/>
  <c r="H13" i="166"/>
  <c r="S11" i="218"/>
  <c r="S50" i="107"/>
  <c r="S16" i="107"/>
  <c r="H36" i="93"/>
  <c r="I22" i="217"/>
  <c r="H22" i="106"/>
  <c r="H77" i="93"/>
  <c r="Z39" i="46"/>
  <c r="F164" i="93" s="1"/>
  <c r="F23" i="166" s="1"/>
  <c r="H22" i="93"/>
  <c r="H63" i="93"/>
  <c r="AA21" i="46"/>
  <c r="G150" i="93" s="1"/>
  <c r="G16" i="166" s="1"/>
  <c r="H26" i="106"/>
  <c r="I26" i="217"/>
  <c r="P26" i="107"/>
  <c r="P60" i="107"/>
  <c r="Y21" i="46"/>
  <c r="F22" i="93"/>
  <c r="F32" i="93"/>
  <c r="F20" i="217"/>
  <c r="H20" i="217" s="1"/>
  <c r="E33" i="46"/>
  <c r="E75" i="46" s="1"/>
  <c r="Y33" i="46"/>
  <c r="F20" i="106"/>
  <c r="T16" i="107"/>
  <c r="T50" i="107"/>
  <c r="G10" i="218"/>
  <c r="T10" i="218" s="1"/>
  <c r="I63" i="93"/>
  <c r="I22" i="93"/>
  <c r="I36" i="93"/>
  <c r="I22" i="106"/>
  <c r="I77" i="93"/>
  <c r="J22" i="217"/>
  <c r="Q22" i="217" s="1"/>
  <c r="N23" i="107"/>
  <c r="N39" i="107"/>
  <c r="H59" i="46"/>
  <c r="H64" i="46" s="1"/>
  <c r="H15" i="93"/>
  <c r="I15" i="217"/>
  <c r="H15" i="106"/>
  <c r="T54" i="107"/>
  <c r="T20" i="107"/>
  <c r="G14" i="218"/>
  <c r="T14" i="218" s="1"/>
  <c r="N64" i="46"/>
  <c r="S12" i="218"/>
  <c r="Y36" i="46"/>
  <c r="F34" i="93"/>
  <c r="E36" i="46"/>
  <c r="F21" i="217"/>
  <c r="H21" i="217" s="1"/>
  <c r="F21" i="106"/>
  <c r="Y25" i="46"/>
  <c r="F26" i="93"/>
  <c r="N32" i="107"/>
  <c r="N16" i="107"/>
  <c r="T21" i="107"/>
  <c r="G15" i="218"/>
  <c r="T15" i="218" s="1"/>
  <c r="T55" i="107"/>
  <c r="I34" i="93"/>
  <c r="I75" i="93"/>
  <c r="I21" i="106"/>
  <c r="J21" i="217"/>
  <c r="Q21" i="217" s="1"/>
  <c r="I69" i="93"/>
  <c r="I18" i="106"/>
  <c r="I28" i="93"/>
  <c r="J18" i="217"/>
  <c r="Q18" i="217" s="1"/>
  <c r="S58" i="107"/>
  <c r="S24" i="107"/>
  <c r="S54" i="107"/>
  <c r="S20" i="107"/>
  <c r="I20" i="217"/>
  <c r="H73" i="93"/>
  <c r="H32" i="93"/>
  <c r="H20" i="106"/>
  <c r="Z33" i="46"/>
  <c r="F160" i="93" s="1"/>
  <c r="F21" i="166" s="1"/>
  <c r="I16" i="217"/>
  <c r="H16" i="106"/>
  <c r="H18" i="93"/>
  <c r="I18" i="217"/>
  <c r="H28" i="93"/>
  <c r="H69" i="93"/>
  <c r="H18" i="106"/>
  <c r="I24" i="217"/>
  <c r="H42" i="93"/>
  <c r="H24" i="106"/>
  <c r="H27" i="93"/>
  <c r="H68" i="93"/>
  <c r="Z26" i="46"/>
  <c r="S9" i="218"/>
  <c r="T15" i="107"/>
  <c r="T49" i="107"/>
  <c r="G9" i="218"/>
  <c r="T9" i="218" s="1"/>
  <c r="N34" i="107"/>
  <c r="N18" i="107"/>
  <c r="T53" i="107"/>
  <c r="T19" i="107"/>
  <c r="G13" i="218"/>
  <c r="T13" i="218" s="1"/>
  <c r="H22" i="166"/>
  <c r="H162" i="93"/>
  <c r="F23" i="217"/>
  <c r="H23" i="217" s="1"/>
  <c r="F23" i="106"/>
  <c r="E42" i="46"/>
  <c r="E78" i="46" s="1"/>
  <c r="Y42" i="46"/>
  <c r="Y17" i="46"/>
  <c r="F16" i="106"/>
  <c r="F18" i="93"/>
  <c r="E17" i="46"/>
  <c r="E71" i="46" s="1"/>
  <c r="F16" i="217"/>
  <c r="H16" i="217" s="1"/>
  <c r="F28" i="93"/>
  <c r="AD29" i="93" s="1"/>
  <c r="F18" i="217"/>
  <c r="H18" i="217" s="1"/>
  <c r="F18" i="106"/>
  <c r="E27" i="46"/>
  <c r="F26" i="217"/>
  <c r="H26" i="217" s="1"/>
  <c r="Y57" i="46"/>
  <c r="F26" i="106"/>
  <c r="E57" i="46"/>
  <c r="E81" i="46" s="1"/>
  <c r="E54" i="46"/>
  <c r="Y54" i="46"/>
  <c r="F46" i="93"/>
  <c r="X46" i="93" s="1"/>
  <c r="S13" i="218"/>
  <c r="N37" i="107"/>
  <c r="N21" i="107"/>
  <c r="I23" i="106"/>
  <c r="J23" i="217"/>
  <c r="Q23" i="217" s="1"/>
  <c r="I21" i="93"/>
  <c r="I62" i="93"/>
  <c r="I20" i="106"/>
  <c r="I32" i="93"/>
  <c r="I73" i="93"/>
  <c r="J20" i="217"/>
  <c r="Q20" i="217" s="1"/>
  <c r="I26" i="93"/>
  <c r="I67" i="93"/>
  <c r="I25" i="106"/>
  <c r="I44" i="93"/>
  <c r="J25" i="217"/>
  <c r="Q25" i="217" s="1"/>
  <c r="S64" i="46"/>
  <c r="T22" i="107"/>
  <c r="T56" i="107"/>
  <c r="G16" i="218"/>
  <c r="T16" i="218" s="1"/>
  <c r="U28" i="217"/>
  <c r="V28" i="217" s="1"/>
  <c r="T14" i="107"/>
  <c r="T48" i="107"/>
  <c r="T47" i="107"/>
  <c r="T28" i="106"/>
  <c r="T13" i="107"/>
  <c r="G8" i="218"/>
  <c r="J37" i="217" l="1"/>
  <c r="F64" i="46"/>
  <c r="Z19" i="93"/>
  <c r="AE19" i="93" s="1"/>
  <c r="AA19" i="93"/>
  <c r="AF19" i="93" s="1"/>
  <c r="X40" i="93"/>
  <c r="X81" i="93"/>
  <c r="X52" i="107"/>
  <c r="X48" i="107"/>
  <c r="U18" i="218"/>
  <c r="H18" i="218"/>
  <c r="X54" i="107"/>
  <c r="X51" i="107"/>
  <c r="X69" i="93"/>
  <c r="X26" i="93"/>
  <c r="X22" i="93"/>
  <c r="X58" i="107"/>
  <c r="X55" i="107"/>
  <c r="X50" i="107"/>
  <c r="X53" i="107"/>
  <c r="X49" i="107"/>
  <c r="X68" i="93"/>
  <c r="X136" i="93"/>
  <c r="X21" i="93"/>
  <c r="X67" i="93"/>
  <c r="X71" i="93"/>
  <c r="I28" i="217"/>
  <c r="X47" i="107"/>
  <c r="X57" i="107"/>
  <c r="X56" i="107"/>
  <c r="E26" i="106"/>
  <c r="E26" i="217" s="1"/>
  <c r="F24" i="107"/>
  <c r="G13" i="78"/>
  <c r="H13" i="78" s="1"/>
  <c r="AG40" i="195"/>
  <c r="AB40" i="195"/>
  <c r="AC33" i="46"/>
  <c r="E160" i="93"/>
  <c r="E21" i="166" s="1"/>
  <c r="E155" i="93"/>
  <c r="E19" i="166" s="1"/>
  <c r="AC26" i="46"/>
  <c r="E24" i="106"/>
  <c r="E24" i="217" s="1"/>
  <c r="F22" i="107"/>
  <c r="O16" i="218"/>
  <c r="D16" i="218"/>
  <c r="AG42" i="195"/>
  <c r="G15" i="78"/>
  <c r="AB42" i="195"/>
  <c r="S18" i="218"/>
  <c r="H23" i="107"/>
  <c r="H39" i="107"/>
  <c r="G149" i="93"/>
  <c r="G15" i="166" s="1"/>
  <c r="AA22" i="46"/>
  <c r="G151" i="93" s="1"/>
  <c r="F9" i="218"/>
  <c r="R9" i="218"/>
  <c r="I15" i="107"/>
  <c r="I44" i="107"/>
  <c r="I31" i="107"/>
  <c r="I40" i="107"/>
  <c r="I24" i="107"/>
  <c r="F23" i="107"/>
  <c r="E25" i="106"/>
  <c r="E25" i="217" s="1"/>
  <c r="AC57" i="46"/>
  <c r="E176" i="93"/>
  <c r="E27" i="166" s="1"/>
  <c r="X18" i="93"/>
  <c r="E16" i="218"/>
  <c r="Q16" i="218" s="1"/>
  <c r="H22" i="107"/>
  <c r="H38" i="107"/>
  <c r="F13" i="218"/>
  <c r="R13" i="218"/>
  <c r="I19" i="107"/>
  <c r="I35" i="107"/>
  <c r="E76" i="46"/>
  <c r="AC21" i="46"/>
  <c r="E150" i="93"/>
  <c r="E16" i="166" s="1"/>
  <c r="H24" i="107"/>
  <c r="H40" i="107"/>
  <c r="I29" i="107"/>
  <c r="I28" i="106"/>
  <c r="I26" i="107" s="1"/>
  <c r="I42" i="107"/>
  <c r="I13" i="107"/>
  <c r="R8" i="218"/>
  <c r="F8" i="218"/>
  <c r="E15" i="106"/>
  <c r="D8" i="218"/>
  <c r="O8" i="218"/>
  <c r="F28" i="106"/>
  <c r="F26" i="107" s="1"/>
  <c r="F13" i="107"/>
  <c r="X36" i="93"/>
  <c r="H33" i="107"/>
  <c r="H17" i="107"/>
  <c r="E11" i="218"/>
  <c r="Q11" i="218" s="1"/>
  <c r="AC20" i="46"/>
  <c r="Y22" i="46"/>
  <c r="E149" i="93"/>
  <c r="E15" i="166" s="1"/>
  <c r="X44" i="93"/>
  <c r="X28" i="93"/>
  <c r="Z28" i="93" s="1"/>
  <c r="AE28" i="93" s="1"/>
  <c r="E16" i="106"/>
  <c r="E16" i="217" s="1"/>
  <c r="F14" i="107"/>
  <c r="O15" i="218"/>
  <c r="F21" i="107"/>
  <c r="E23" i="106"/>
  <c r="E23" i="217" s="1"/>
  <c r="D15" i="218"/>
  <c r="X73" i="93"/>
  <c r="F10" i="218"/>
  <c r="R10" i="218"/>
  <c r="I32" i="107"/>
  <c r="I16" i="107"/>
  <c r="AC25" i="46"/>
  <c r="E18" i="166"/>
  <c r="Y27" i="46"/>
  <c r="E154" i="93"/>
  <c r="H91" i="93"/>
  <c r="H50" i="93"/>
  <c r="E182" i="93" s="1"/>
  <c r="X77" i="93"/>
  <c r="Q15" i="217"/>
  <c r="J28" i="217"/>
  <c r="X42" i="93"/>
  <c r="Z42" i="93" s="1"/>
  <c r="AE42" i="93" s="1"/>
  <c r="T60" i="107"/>
  <c r="T26" i="107"/>
  <c r="I18" i="107"/>
  <c r="R12" i="218"/>
  <c r="I34" i="107"/>
  <c r="F12" i="218"/>
  <c r="I37" i="107"/>
  <c r="I21" i="107"/>
  <c r="F15" i="218"/>
  <c r="R15" i="218"/>
  <c r="AB51" i="195"/>
  <c r="AG51" i="195"/>
  <c r="G24" i="78"/>
  <c r="E73" i="46"/>
  <c r="AC17" i="46"/>
  <c r="E146" i="93"/>
  <c r="D13" i="218"/>
  <c r="F19" i="107"/>
  <c r="O13" i="218"/>
  <c r="E21" i="106"/>
  <c r="E21" i="217" s="1"/>
  <c r="E22" i="166"/>
  <c r="AC36" i="46"/>
  <c r="E162" i="93"/>
  <c r="H13" i="107"/>
  <c r="H29" i="107"/>
  <c r="H42" i="107"/>
  <c r="E8" i="218"/>
  <c r="H28" i="106"/>
  <c r="H26" i="107" s="1"/>
  <c r="I36" i="107"/>
  <c r="I20" i="107"/>
  <c r="F14" i="218"/>
  <c r="R14" i="218"/>
  <c r="F18" i="107"/>
  <c r="E20" i="106"/>
  <c r="E20" i="217" s="1"/>
  <c r="O12" i="218"/>
  <c r="D12" i="218"/>
  <c r="X32" i="93"/>
  <c r="X63" i="93"/>
  <c r="H20" i="107"/>
  <c r="H36" i="107"/>
  <c r="E14" i="218"/>
  <c r="Q14" i="218" s="1"/>
  <c r="I30" i="107"/>
  <c r="I14" i="107"/>
  <c r="X27" i="93"/>
  <c r="E59" i="46"/>
  <c r="E70" i="46"/>
  <c r="G22" i="78"/>
  <c r="AG49" i="195"/>
  <c r="AB49" i="195"/>
  <c r="E164" i="93"/>
  <c r="E23" i="166" s="1"/>
  <c r="AC39" i="46"/>
  <c r="X23" i="93"/>
  <c r="Z23" i="93" s="1"/>
  <c r="AE23" i="93" s="1"/>
  <c r="F11" i="218"/>
  <c r="I17" i="107"/>
  <c r="R11" i="218"/>
  <c r="I33" i="107"/>
  <c r="E19" i="106"/>
  <c r="E19" i="217" s="1"/>
  <c r="F17" i="107"/>
  <c r="O11" i="218"/>
  <c r="D11" i="218"/>
  <c r="H31" i="107"/>
  <c r="H15" i="107"/>
  <c r="H44" i="107"/>
  <c r="X44" i="107" s="1"/>
  <c r="E9" i="218"/>
  <c r="Q9" i="218" s="1"/>
  <c r="X64" i="93"/>
  <c r="S26" i="107"/>
  <c r="S60" i="107"/>
  <c r="G23" i="78"/>
  <c r="H23" i="78" s="1"/>
  <c r="AG50" i="195"/>
  <c r="AB50" i="195"/>
  <c r="F162" i="93"/>
  <c r="F22" i="166"/>
  <c r="E18" i="106"/>
  <c r="E18" i="217" s="1"/>
  <c r="F16" i="107"/>
  <c r="O10" i="218"/>
  <c r="D10" i="218"/>
  <c r="E166" i="93"/>
  <c r="E24" i="166" s="1"/>
  <c r="AC42" i="46"/>
  <c r="H32" i="107"/>
  <c r="H16" i="107"/>
  <c r="E10" i="218"/>
  <c r="Q10" i="218" s="1"/>
  <c r="H18" i="107"/>
  <c r="H34" i="107"/>
  <c r="E12" i="218"/>
  <c r="Q12" i="218" s="1"/>
  <c r="I91" i="93"/>
  <c r="I50" i="93"/>
  <c r="E183" i="93" s="1"/>
  <c r="H15" i="217"/>
  <c r="F28" i="217"/>
  <c r="E22" i="106"/>
  <c r="E22" i="217" s="1"/>
  <c r="D14" i="218"/>
  <c r="F20" i="107"/>
  <c r="O14" i="218"/>
  <c r="AC30" i="46"/>
  <c r="E158" i="93"/>
  <c r="E20" i="166" s="1"/>
  <c r="H19" i="107"/>
  <c r="H35" i="107"/>
  <c r="E13" i="218"/>
  <c r="Q13" i="218" s="1"/>
  <c r="G18" i="218"/>
  <c r="T8" i="218"/>
  <c r="T18" i="218" s="1"/>
  <c r="I23" i="107"/>
  <c r="I39" i="107"/>
  <c r="AC54" i="46"/>
  <c r="E174" i="93"/>
  <c r="G21" i="78"/>
  <c r="AB48" i="195"/>
  <c r="AG48" i="195"/>
  <c r="H14" i="107"/>
  <c r="H30" i="107"/>
  <c r="G18" i="78"/>
  <c r="AG45" i="195"/>
  <c r="AB45" i="195"/>
  <c r="X15" i="93"/>
  <c r="AC48" i="46"/>
  <c r="E170" i="93"/>
  <c r="E25" i="166" s="1"/>
  <c r="AG44" i="195"/>
  <c r="AB44" i="195"/>
  <c r="G17" i="78"/>
  <c r="I64" i="46"/>
  <c r="AC45" i="46"/>
  <c r="E168" i="93"/>
  <c r="F155" i="93"/>
  <c r="Z27" i="46"/>
  <c r="X34" i="93"/>
  <c r="Z34" i="93" s="1"/>
  <c r="E66" i="46"/>
  <c r="E68" i="46" s="1"/>
  <c r="F50" i="93"/>
  <c r="E181" i="93" s="1"/>
  <c r="E13" i="166"/>
  <c r="AC14" i="46"/>
  <c r="E144" i="93"/>
  <c r="G20" i="78"/>
  <c r="AG47" i="195"/>
  <c r="AB47" i="195"/>
  <c r="E17" i="106"/>
  <c r="E17" i="217" s="1"/>
  <c r="F15" i="107"/>
  <c r="O9" i="218"/>
  <c r="D9" i="218"/>
  <c r="X62" i="93"/>
  <c r="F16" i="218"/>
  <c r="I38" i="107"/>
  <c r="I22" i="107"/>
  <c r="R16" i="218"/>
  <c r="X30" i="93"/>
  <c r="AC51" i="46"/>
  <c r="E172" i="93"/>
  <c r="E26" i="166" s="1"/>
  <c r="H37" i="107"/>
  <c r="E15" i="218"/>
  <c r="Q15" i="218" s="1"/>
  <c r="H21" i="107"/>
  <c r="X75" i="93"/>
  <c r="AA34" i="93" l="1"/>
  <c r="E64" i="46"/>
  <c r="F320" i="46"/>
  <c r="H28" i="217"/>
  <c r="F34" i="217" s="1"/>
  <c r="F35" i="217" s="1"/>
  <c r="Q28" i="217"/>
  <c r="H35" i="217" s="1"/>
  <c r="AA18" i="93"/>
  <c r="AF18" i="93" s="1"/>
  <c r="Z18" i="93"/>
  <c r="AE18" i="93" s="1"/>
  <c r="F318" i="46"/>
  <c r="AC47" i="195"/>
  <c r="AD47" i="195" s="1"/>
  <c r="AC45" i="195"/>
  <c r="AD45" i="195" s="1"/>
  <c r="AC48" i="195"/>
  <c r="AD48" i="195" s="1"/>
  <c r="AH50" i="195"/>
  <c r="AI50" i="195" s="1"/>
  <c r="G22" i="195" s="1"/>
  <c r="AC49" i="195"/>
  <c r="AD49" i="195" s="1"/>
  <c r="AC51" i="195"/>
  <c r="AD51" i="195" s="1"/>
  <c r="AC40" i="195"/>
  <c r="AD40" i="195" s="1"/>
  <c r="AH44" i="195"/>
  <c r="AI44" i="195" s="1"/>
  <c r="G16" i="195" s="1"/>
  <c r="G91" i="195" s="1"/>
  <c r="AH47" i="195"/>
  <c r="AI47" i="195" s="1"/>
  <c r="G19" i="195" s="1"/>
  <c r="G94" i="195" s="1"/>
  <c r="AC44" i="195"/>
  <c r="AD44" i="195" s="1"/>
  <c r="AH45" i="195"/>
  <c r="AI45" i="195" s="1"/>
  <c r="G17" i="195" s="1"/>
  <c r="G92" i="195" s="1"/>
  <c r="AH48" i="195"/>
  <c r="AI48" i="195" s="1"/>
  <c r="G20" i="195" s="1"/>
  <c r="G95" i="195" s="1"/>
  <c r="AC50" i="195"/>
  <c r="AD50" i="195" s="1"/>
  <c r="AH49" i="195"/>
  <c r="AI49" i="195" s="1"/>
  <c r="G21" i="195" s="1"/>
  <c r="G96" i="195" s="1"/>
  <c r="AH51" i="195"/>
  <c r="AI51" i="195" s="1"/>
  <c r="G23" i="195" s="1"/>
  <c r="G97" i="195" s="1"/>
  <c r="AC42" i="195"/>
  <c r="AD42" i="195" s="1"/>
  <c r="AH42" i="195"/>
  <c r="AI42" i="195" s="1"/>
  <c r="G14" i="195" s="1"/>
  <c r="G89" i="195" s="1"/>
  <c r="AH40" i="195"/>
  <c r="AI40" i="195" s="1"/>
  <c r="G12" i="195" s="1"/>
  <c r="X22" i="78"/>
  <c r="H21" i="78"/>
  <c r="Y22" i="78" s="1"/>
  <c r="X21" i="78"/>
  <c r="H20" i="78"/>
  <c r="Y21" i="78" s="1"/>
  <c r="X18" i="78"/>
  <c r="H17" i="78"/>
  <c r="Y18" i="78" s="1"/>
  <c r="X19" i="78"/>
  <c r="H18" i="78"/>
  <c r="Y19" i="78" s="1"/>
  <c r="X17" i="78"/>
  <c r="H22" i="78"/>
  <c r="Y17" i="78" s="1"/>
  <c r="X23" i="78"/>
  <c r="H24" i="78"/>
  <c r="Y23" i="78" s="1"/>
  <c r="X16" i="78"/>
  <c r="H15" i="78"/>
  <c r="Y16" i="78" s="1"/>
  <c r="G78" i="195"/>
  <c r="G65" i="195"/>
  <c r="G81" i="195"/>
  <c r="G68" i="195"/>
  <c r="G79" i="195"/>
  <c r="G66" i="195"/>
  <c r="G82" i="195"/>
  <c r="G69" i="195"/>
  <c r="G83" i="195"/>
  <c r="G70" i="195"/>
  <c r="G84" i="195"/>
  <c r="G71" i="195"/>
  <c r="G76" i="195"/>
  <c r="G63" i="195"/>
  <c r="E186" i="93"/>
  <c r="X60" i="107"/>
  <c r="X15" i="107"/>
  <c r="X37" i="107"/>
  <c r="X30" i="107"/>
  <c r="X35" i="107"/>
  <c r="V14" i="218"/>
  <c r="I10" i="218"/>
  <c r="I11" i="218"/>
  <c r="X36" i="107"/>
  <c r="I15" i="218"/>
  <c r="X14" i="107"/>
  <c r="F18" i="218"/>
  <c r="X39" i="107"/>
  <c r="X20" i="107"/>
  <c r="X34" i="107"/>
  <c r="V10" i="218"/>
  <c r="V11" i="218"/>
  <c r="V13" i="218"/>
  <c r="X24" i="107"/>
  <c r="X42" i="107"/>
  <c r="G22" i="100"/>
  <c r="H17" i="208"/>
  <c r="H95" i="208" s="1"/>
  <c r="I95" i="208" s="1"/>
  <c r="J95" i="208" s="1"/>
  <c r="G24" i="100"/>
  <c r="Q23" i="78"/>
  <c r="H19" i="208"/>
  <c r="AC27" i="46"/>
  <c r="E156" i="93"/>
  <c r="X22" i="107"/>
  <c r="H9" i="208"/>
  <c r="Q13" i="78"/>
  <c r="G14" i="100"/>
  <c r="X32" i="107"/>
  <c r="Q22" i="78"/>
  <c r="H18" i="208"/>
  <c r="H96" i="208" s="1"/>
  <c r="I96" i="208" s="1"/>
  <c r="J96" i="208" s="1"/>
  <c r="G23" i="100"/>
  <c r="X33" i="107"/>
  <c r="O18" i="218"/>
  <c r="Q20" i="78"/>
  <c r="H16" i="208"/>
  <c r="H94" i="208" s="1"/>
  <c r="I94" i="208" s="1"/>
  <c r="J94" i="208" s="1"/>
  <c r="G21" i="100"/>
  <c r="X50" i="93"/>
  <c r="F156" i="93"/>
  <c r="F19" i="166"/>
  <c r="Q17" i="78"/>
  <c r="H13" i="208"/>
  <c r="H91" i="208" s="1"/>
  <c r="I91" i="208" s="1"/>
  <c r="J91" i="208" s="1"/>
  <c r="G18" i="100"/>
  <c r="G19" i="100"/>
  <c r="Q18" i="78"/>
  <c r="H14" i="208"/>
  <c r="H92" i="208" s="1"/>
  <c r="I92" i="208" s="1"/>
  <c r="J92" i="208" s="1"/>
  <c r="X31" i="107"/>
  <c r="X18" i="107"/>
  <c r="X29" i="107"/>
  <c r="I13" i="218"/>
  <c r="G25" i="100"/>
  <c r="H20" i="208"/>
  <c r="V15" i="218"/>
  <c r="X13" i="107"/>
  <c r="E28" i="106"/>
  <c r="E15" i="217"/>
  <c r="E28" i="217" s="1"/>
  <c r="X38" i="107"/>
  <c r="V16" i="218"/>
  <c r="I12" i="218"/>
  <c r="X26" i="107"/>
  <c r="Q15" i="78"/>
  <c r="H11" i="208"/>
  <c r="H89" i="208" s="1"/>
  <c r="I89" i="208" s="1"/>
  <c r="J89" i="208" s="1"/>
  <c r="G16" i="100"/>
  <c r="I9" i="218"/>
  <c r="V12" i="218"/>
  <c r="E18" i="218"/>
  <c r="Q8" i="218"/>
  <c r="Q18" i="218" s="1"/>
  <c r="AC22" i="46"/>
  <c r="E151" i="93"/>
  <c r="R18" i="218"/>
  <c r="V9" i="218"/>
  <c r="I14" i="218"/>
  <c r="X16" i="107"/>
  <c r="X17" i="107"/>
  <c r="E82" i="46"/>
  <c r="AG39" i="195"/>
  <c r="AH39" i="195" s="1"/>
  <c r="AB39" i="195"/>
  <c r="AC39" i="195" s="1"/>
  <c r="G12" i="78"/>
  <c r="H12" i="78" s="1"/>
  <c r="X19" i="107"/>
  <c r="G16" i="78"/>
  <c r="AB43" i="195"/>
  <c r="AG43" i="195"/>
  <c r="X91" i="93"/>
  <c r="X21" i="107"/>
  <c r="D18" i="218"/>
  <c r="I8" i="218"/>
  <c r="K8" i="218" s="1"/>
  <c r="X40" i="107"/>
  <c r="AB46" i="195"/>
  <c r="G19" i="78"/>
  <c r="H19" i="78" s="1"/>
  <c r="Y20" i="78" s="1"/>
  <c r="AG46" i="195"/>
  <c r="X23" i="107"/>
  <c r="I16" i="218"/>
  <c r="F319" i="46" l="1"/>
  <c r="F323" i="46" s="1"/>
  <c r="H36" i="217"/>
  <c r="H37" i="217"/>
  <c r="X12" i="218"/>
  <c r="Y12" i="218" s="1"/>
  <c r="X13" i="218"/>
  <c r="Y13" i="218" s="1"/>
  <c r="X10" i="218"/>
  <c r="Y10" i="218" s="1"/>
  <c r="K15" i="218"/>
  <c r="L15" i="218" s="1"/>
  <c r="K11" i="218"/>
  <c r="L11" i="218" s="1"/>
  <c r="X14" i="218"/>
  <c r="Y14" i="218" s="1"/>
  <c r="X9" i="218"/>
  <c r="Y9" i="218" s="1"/>
  <c r="K12" i="218"/>
  <c r="L12" i="218" s="1"/>
  <c r="X15" i="218"/>
  <c r="Y15" i="218" s="1"/>
  <c r="K16" i="218"/>
  <c r="L16" i="218" s="1"/>
  <c r="K14" i="218"/>
  <c r="L14" i="218" s="1"/>
  <c r="K9" i="218"/>
  <c r="L9" i="218" s="1"/>
  <c r="X16" i="218"/>
  <c r="Y16" i="218" s="1"/>
  <c r="K13" i="218"/>
  <c r="L13" i="218" s="1"/>
  <c r="X11" i="218"/>
  <c r="Y11" i="218" s="1"/>
  <c r="K10" i="218"/>
  <c r="L10" i="218" s="1"/>
  <c r="AH46" i="195"/>
  <c r="AI46" i="195" s="1"/>
  <c r="G18" i="195" s="1"/>
  <c r="G93" i="195" s="1"/>
  <c r="AC46" i="195"/>
  <c r="AD46" i="195" s="1"/>
  <c r="AH43" i="195"/>
  <c r="AI43" i="195" s="1"/>
  <c r="G15" i="195" s="1"/>
  <c r="G90" i="195" s="1"/>
  <c r="AC43" i="195"/>
  <c r="AD43" i="195" s="1"/>
  <c r="X15" i="78"/>
  <c r="H16" i="78"/>
  <c r="Y15" i="78" s="1"/>
  <c r="X20" i="78"/>
  <c r="G80" i="195"/>
  <c r="G67" i="195"/>
  <c r="G77" i="195"/>
  <c r="G64" i="195"/>
  <c r="I18" i="218"/>
  <c r="H8" i="208"/>
  <c r="Q12" i="78"/>
  <c r="G13" i="100"/>
  <c r="G14" i="78"/>
  <c r="I20" i="78"/>
  <c r="Z21" i="78" s="1"/>
  <c r="I16" i="208"/>
  <c r="H21" i="100"/>
  <c r="I21" i="100" s="1"/>
  <c r="I9" i="208"/>
  <c r="I13" i="78"/>
  <c r="H14" i="100"/>
  <c r="I14" i="100" s="1"/>
  <c r="G17" i="100"/>
  <c r="H12" i="208"/>
  <c r="H90" i="208" s="1"/>
  <c r="I90" i="208" s="1"/>
  <c r="J90" i="208" s="1"/>
  <c r="Q16" i="78"/>
  <c r="I15" i="78"/>
  <c r="Z16" i="78" s="1"/>
  <c r="I11" i="208"/>
  <c r="H16" i="100"/>
  <c r="I16" i="100" s="1"/>
  <c r="I24" i="78"/>
  <c r="Z23" i="78" s="1"/>
  <c r="I20" i="208"/>
  <c r="H25" i="100"/>
  <c r="I25" i="100" s="1"/>
  <c r="I19" i="208"/>
  <c r="H24" i="100"/>
  <c r="I24" i="100" s="1"/>
  <c r="I23" i="78"/>
  <c r="H15" i="208"/>
  <c r="H93" i="208" s="1"/>
  <c r="I93" i="208" s="1"/>
  <c r="J93" i="208" s="1"/>
  <c r="Q19" i="78"/>
  <c r="G20" i="100"/>
  <c r="AB41" i="195"/>
  <c r="AC41" i="195" s="1"/>
  <c r="AD39" i="195"/>
  <c r="AI39" i="195"/>
  <c r="G11" i="195" s="1"/>
  <c r="AG41" i="195"/>
  <c r="AH41" i="195" s="1"/>
  <c r="I14" i="208"/>
  <c r="I18" i="78"/>
  <c r="Z19" i="78" s="1"/>
  <c r="H19" i="100"/>
  <c r="I19" i="100" s="1"/>
  <c r="I13" i="208"/>
  <c r="I17" i="78"/>
  <c r="Z18" i="78" s="1"/>
  <c r="H18" i="100"/>
  <c r="I18" i="100" s="1"/>
  <c r="V8" i="218"/>
  <c r="X8" i="218" s="1"/>
  <c r="I18" i="208"/>
  <c r="I22" i="78"/>
  <c r="Z17" i="78" s="1"/>
  <c r="H23" i="100"/>
  <c r="I23" i="100" s="1"/>
  <c r="I17" i="208"/>
  <c r="I21" i="78"/>
  <c r="Z22" i="78" s="1"/>
  <c r="H22" i="100"/>
  <c r="I22" i="100" s="1"/>
  <c r="H14" i="78" l="1"/>
  <c r="Y14" i="78" s="1"/>
  <c r="X14" i="78"/>
  <c r="V18" i="218"/>
  <c r="J20" i="208"/>
  <c r="L24" i="78"/>
  <c r="I12" i="208"/>
  <c r="I16" i="78"/>
  <c r="Z15" i="78" s="1"/>
  <c r="H17" i="100"/>
  <c r="I17" i="100" s="1"/>
  <c r="L8" i="218"/>
  <c r="K18" i="218"/>
  <c r="L18" i="218" s="1"/>
  <c r="J14" i="208"/>
  <c r="L18" i="78"/>
  <c r="J9" i="208"/>
  <c r="L13" i="78"/>
  <c r="J16" i="208"/>
  <c r="L20" i="78"/>
  <c r="J18" i="208"/>
  <c r="L22" i="78"/>
  <c r="J13" i="208"/>
  <c r="L17" i="78"/>
  <c r="AL41" i="195"/>
  <c r="AD41" i="195"/>
  <c r="AB52" i="195"/>
  <c r="Q14" i="78"/>
  <c r="H10" i="208"/>
  <c r="H88" i="208" s="1"/>
  <c r="G25" i="78"/>
  <c r="G57" i="78"/>
  <c r="G15" i="100"/>
  <c r="G27" i="100" s="1"/>
  <c r="J17" i="208"/>
  <c r="L21" i="78"/>
  <c r="AI41" i="195"/>
  <c r="G13" i="195" s="1"/>
  <c r="G88" i="195" s="1"/>
  <c r="AG52" i="195"/>
  <c r="I19" i="78"/>
  <c r="Z20" i="78" s="1"/>
  <c r="I15" i="208"/>
  <c r="H20" i="100"/>
  <c r="I20" i="100" s="1"/>
  <c r="L23" i="78"/>
  <c r="J19" i="208"/>
  <c r="L15" i="78"/>
  <c r="J11" i="208"/>
  <c r="I12" i="78"/>
  <c r="H13" i="100"/>
  <c r="I13" i="100" s="1"/>
  <c r="I8" i="208"/>
  <c r="H97" i="208" l="1"/>
  <c r="I88" i="208"/>
  <c r="AC52" i="195"/>
  <c r="AD52" i="195" s="1"/>
  <c r="G26" i="195" s="1"/>
  <c r="AH52" i="195"/>
  <c r="AI52" i="195" s="1"/>
  <c r="G75" i="195"/>
  <c r="G62" i="195"/>
  <c r="I10" i="208"/>
  <c r="I14" i="78"/>
  <c r="Z14" i="78" s="1"/>
  <c r="H25" i="78"/>
  <c r="H15" i="100"/>
  <c r="L16" i="78"/>
  <c r="J12" i="208"/>
  <c r="Y8" i="218"/>
  <c r="X18" i="218"/>
  <c r="Y18" i="218" s="1"/>
  <c r="J15" i="208"/>
  <c r="L19" i="78"/>
  <c r="H21" i="208"/>
  <c r="Q25" i="78"/>
  <c r="L12" i="78"/>
  <c r="J8" i="208"/>
  <c r="J88" i="208" l="1"/>
  <c r="I97" i="208"/>
  <c r="H27" i="100"/>
  <c r="I27" i="100" s="1"/>
  <c r="I15" i="100"/>
  <c r="I21" i="208"/>
  <c r="I25" i="78"/>
  <c r="J21" i="208" s="1"/>
  <c r="L14" i="78"/>
  <c r="J10" i="208"/>
</calcChain>
</file>

<file path=xl/comments1.xml><?xml version="1.0" encoding="utf-8"?>
<comments xmlns="http://schemas.openxmlformats.org/spreadsheetml/2006/main">
  <authors>
    <author>jsager</author>
    <author>Rich Flanigan</author>
    <author>Jsager</author>
  </authors>
  <commentList>
    <comment ref="A7" authorId="0" shapeId="0">
      <text>
        <r>
          <rPr>
            <b/>
            <sz val="9"/>
            <color indexed="81"/>
            <rFont val="Tahoma"/>
            <family val="2"/>
          </rPr>
          <t>jsager:</t>
        </r>
        <r>
          <rPr>
            <sz val="9"/>
            <color indexed="81"/>
            <rFont val="Tahoma"/>
            <family val="2"/>
          </rPr>
          <t xml:space="preserve">
Cash basis, pmts made
</t>
        </r>
      </text>
    </comment>
    <comment ref="B10" authorId="0" shapeId="0">
      <text>
        <r>
          <rPr>
            <b/>
            <sz val="9"/>
            <color indexed="81"/>
            <rFont val="Tahoma"/>
            <family val="2"/>
          </rPr>
          <t>jsager:</t>
        </r>
        <r>
          <rPr>
            <sz val="9"/>
            <color indexed="81"/>
            <rFont val="Tahoma"/>
            <family val="2"/>
          </rPr>
          <t xml:space="preserve">
Per 2013 YE F.S
</t>
        </r>
      </text>
    </comment>
    <comment ref="A14" authorId="0" shapeId="0">
      <text>
        <r>
          <rPr>
            <b/>
            <sz val="9"/>
            <color indexed="81"/>
            <rFont val="Tahoma"/>
            <family val="2"/>
          </rPr>
          <t>jsager:</t>
        </r>
        <r>
          <rPr>
            <sz val="9"/>
            <color indexed="81"/>
            <rFont val="Tahoma"/>
            <family val="2"/>
          </rPr>
          <t xml:space="preserve">
Cash basis, payments made</t>
        </r>
      </text>
    </comment>
    <comment ref="B17" authorId="0" shapeId="0">
      <text>
        <r>
          <rPr>
            <b/>
            <sz val="9"/>
            <color indexed="81"/>
            <rFont val="Tahoma"/>
            <family val="2"/>
          </rPr>
          <t>jsager:</t>
        </r>
        <r>
          <rPr>
            <sz val="9"/>
            <color indexed="81"/>
            <rFont val="Tahoma"/>
            <family val="2"/>
          </rPr>
          <t xml:space="preserve">
Per 2013 YE F.S.</t>
        </r>
      </text>
    </comment>
    <comment ref="A36" authorId="1" shapeId="0">
      <text>
        <r>
          <rPr>
            <sz val="9"/>
            <color indexed="81"/>
            <rFont val="Tahoma"/>
            <family val="2"/>
          </rPr>
          <t>Debt Service on a Cash basis, using schedules from DBC (Treasury)  DS Coverage on a Cash Basis is used for the O.S., Debt Service Coverage Ratio. Usiing actual cash payments made on 1/1 and 7/1.</t>
        </r>
      </text>
    </comment>
    <comment ref="A39" authorId="1" shapeId="0">
      <text>
        <r>
          <rPr>
            <b/>
            <sz val="9"/>
            <color indexed="81"/>
            <rFont val="Tahoma"/>
            <family val="2"/>
          </rPr>
          <t>Rich Flanigan:</t>
        </r>
        <r>
          <rPr>
            <sz val="9"/>
            <color indexed="81"/>
            <rFont val="Tahoma"/>
            <family val="2"/>
          </rPr>
          <t xml:space="preserve">
Electric Debt Service for Expense purposes is calculated by taking the actual 7/1 payment for interest (accrued from 1/1 to 6/30) and the next year's 1/1 principle (accrued from 1/1 to 12/31) and 1/1 interest (accrued from 1/1 to 6/30) payments.  For any proposed New Debt or Adjustments, you would take next year's  1/1 principle payment and 1/2 (.5) of this years interest and 1/2 (.5) of next years interest payments.</t>
        </r>
      </text>
    </comment>
    <comment ref="B52" authorId="0" shapeId="0">
      <text>
        <r>
          <rPr>
            <b/>
            <sz val="9"/>
            <color indexed="81"/>
            <rFont val="Tahoma"/>
            <family val="2"/>
          </rPr>
          <t>jsager:</t>
        </r>
        <r>
          <rPr>
            <sz val="9"/>
            <color indexed="81"/>
            <rFont val="Tahoma"/>
            <family val="2"/>
          </rPr>
          <t xml:space="preserve">
Moved up one year, borrowing moved up from Dec to Sept/Oct</t>
        </r>
      </text>
    </comment>
    <comment ref="A65" authorId="1" shapeId="0">
      <text>
        <r>
          <rPr>
            <sz val="9"/>
            <color indexed="81"/>
            <rFont val="Tahoma"/>
            <family val="2"/>
          </rPr>
          <t>Debt Service on a Cash basis, using schedules from DBC (Treasury)  DS Coverage on a Cash Basis is used for the O.S., Debt Service Coverage Ratio. Usiing actual cash payments made on 1/1 and 7/1.</t>
        </r>
      </text>
    </comment>
    <comment ref="A68" authorId="1" shapeId="0">
      <text>
        <r>
          <rPr>
            <b/>
            <sz val="9"/>
            <color indexed="81"/>
            <rFont val="Tahoma"/>
            <family val="2"/>
          </rPr>
          <t>Rich Flanigan:</t>
        </r>
        <r>
          <rPr>
            <sz val="9"/>
            <color indexed="81"/>
            <rFont val="Tahoma"/>
            <family val="2"/>
          </rPr>
          <t xml:space="preserve">
Electric Debt Service for Expense purposes is calculated by taking the actual 7/1 payment for interest (accrued from 1/1 to 6/30) and the next year's 1/1 principle (accrued from 1/1 to 12/31) and 1/1 interest (accrued from 1/1 to 6/30) payments.  For any proposed New Debt or Adjustments, you would take next year's  1/1 principle payment and 1/2 (.5) of this years interest and 1/2 (.5) of next years interest payments.</t>
        </r>
      </text>
    </comment>
    <comment ref="A77" authorId="0" shapeId="0">
      <text>
        <r>
          <rPr>
            <b/>
            <sz val="9"/>
            <color indexed="81"/>
            <rFont val="Tahoma"/>
            <family val="2"/>
          </rPr>
          <t>jsager:</t>
        </r>
        <r>
          <rPr>
            <sz val="9"/>
            <color indexed="81"/>
            <rFont val="Tahoma"/>
            <family val="2"/>
          </rPr>
          <t xml:space="preserve">
Calcluated with existing Debt, and then adding on th 2013 issue at flat 30yr.</t>
        </r>
      </text>
    </comment>
    <comment ref="A82" authorId="1" shapeId="0">
      <text>
        <r>
          <rPr>
            <b/>
            <sz val="9"/>
            <color indexed="81"/>
            <rFont val="Tahoma"/>
            <family val="2"/>
          </rPr>
          <t>Rich Flanigan:</t>
        </r>
        <r>
          <rPr>
            <sz val="9"/>
            <color indexed="81"/>
            <rFont val="Tahoma"/>
            <family val="2"/>
          </rPr>
          <t xml:space="preserve">
PPR Debt Service for Power Cost is based on an accrual of the next year's Principle and Interest payments.</t>
        </r>
      </text>
    </comment>
    <comment ref="A86" authorId="0" shapeId="0">
      <text>
        <r>
          <rPr>
            <b/>
            <sz val="9"/>
            <color indexed="81"/>
            <rFont val="Tahoma"/>
            <family val="2"/>
          </rPr>
          <t xml:space="preserve">jsager:
look how to accomomadte for years with refunding
</t>
        </r>
      </text>
    </comment>
    <comment ref="B102" authorId="0" shapeId="0">
      <text>
        <r>
          <rPr>
            <b/>
            <sz val="9"/>
            <color indexed="81"/>
            <rFont val="Tahoma"/>
            <family val="2"/>
          </rPr>
          <t>jsager:</t>
        </r>
        <r>
          <rPr>
            <sz val="9"/>
            <color indexed="81"/>
            <rFont val="Tahoma"/>
            <family val="2"/>
          </rPr>
          <t xml:space="preserve">
Deducted Rate Stabilization $38.9 M
</t>
        </r>
      </text>
    </comment>
    <comment ref="A111" authorId="2" shapeId="0">
      <text>
        <r>
          <rPr>
            <b/>
            <sz val="8"/>
            <color indexed="81"/>
            <rFont val="Tahoma"/>
            <family val="2"/>
          </rPr>
          <t>Jsager:</t>
        </r>
        <r>
          <rPr>
            <sz val="8"/>
            <color indexed="81"/>
            <rFont val="Tahoma"/>
            <family val="2"/>
          </rPr>
          <t xml:space="preserve">
Per Treasury Estimate Cary 07/10/2014</t>
        </r>
      </text>
    </comment>
    <comment ref="A114" authorId="2" shapeId="0">
      <text>
        <r>
          <rPr>
            <b/>
            <sz val="8"/>
            <color indexed="81"/>
            <rFont val="Tahoma"/>
            <family val="2"/>
          </rPr>
          <t>Jsager:</t>
        </r>
        <r>
          <rPr>
            <sz val="8"/>
            <color indexed="81"/>
            <rFont val="Tahoma"/>
            <family val="2"/>
          </rPr>
          <t xml:space="preserve">
Includes Debt issuance cost, rule change now allows the expensing of the issuance costs in current year.  No longer will be amortizing over life of bond.  2013 includes true up for lookback period allowed. Annual amortized prem/discount based on January's entry x 12 each year.  May further analyze, there are not amortization schedules available in the treas system per Cary. 1/2014 -140,045 * 12= 1,680,540</t>
        </r>
      </text>
    </comment>
  </commentList>
</comments>
</file>

<file path=xl/comments10.xml><?xml version="1.0" encoding="utf-8"?>
<comments xmlns="http://schemas.openxmlformats.org/spreadsheetml/2006/main">
  <authors>
    <author>Doug Ziegler</author>
  </authors>
  <commentList>
    <comment ref="L25" authorId="0" shapeId="0">
      <text>
        <r>
          <rPr>
            <b/>
            <sz val="9"/>
            <color indexed="81"/>
            <rFont val="Tahoma"/>
            <family val="2"/>
          </rPr>
          <t>Doug Ziegler:</t>
        </r>
        <r>
          <rPr>
            <sz val="9"/>
            <color indexed="81"/>
            <rFont val="Tahoma"/>
            <family val="2"/>
          </rPr>
          <t xml:space="preserve">
using the 2014 Budget instead of the forecast model.  Future years use the budget model</t>
        </r>
      </text>
    </comment>
  </commentList>
</comments>
</file>

<file path=xl/comments11.xml><?xml version="1.0" encoding="utf-8"?>
<comments xmlns="http://schemas.openxmlformats.org/spreadsheetml/2006/main">
  <authors>
    <author>Doug Ziegler</author>
    <author>jnolan</author>
  </authors>
  <commentList>
    <comment ref="D9" authorId="0" shapeId="0">
      <text>
        <r>
          <rPr>
            <b/>
            <sz val="9"/>
            <color indexed="81"/>
            <rFont val="Tahoma"/>
            <family val="2"/>
          </rPr>
          <t>Doug Ziegler:</t>
        </r>
        <r>
          <rPr>
            <sz val="9"/>
            <color indexed="81"/>
            <rFont val="Tahoma"/>
            <family val="2"/>
          </rPr>
          <t xml:space="preserve">
Part of Sales to Other Utilities, which is captured elsewhere.  Separating out for now</t>
        </r>
      </text>
    </comment>
    <comment ref="L10" authorId="1" shapeId="0">
      <text>
        <r>
          <rPr>
            <b/>
            <sz val="9"/>
            <color indexed="81"/>
            <rFont val="Tahoma"/>
            <family val="2"/>
          </rPr>
          <t xml:space="preserve">Jeremy Nolan:
</t>
        </r>
        <r>
          <rPr>
            <sz val="9"/>
            <color indexed="81"/>
            <rFont val="Tahoma"/>
            <family val="2"/>
          </rPr>
          <t>Using 3-year rolling average to weight as a percentage of total from the Forecast model</t>
        </r>
      </text>
    </comment>
  </commentList>
</comments>
</file>

<file path=xl/comments12.xml><?xml version="1.0" encoding="utf-8"?>
<comments xmlns="http://schemas.openxmlformats.org/spreadsheetml/2006/main">
  <authors>
    <author>bgillette</author>
    <author>Grant County PUD</author>
    <author>Doug Ziegler</author>
  </authors>
  <commentList>
    <comment ref="I15" authorId="0" shapeId="0">
      <text>
        <r>
          <rPr>
            <b/>
            <sz val="9"/>
            <color indexed="81"/>
            <rFont val="Tahoma"/>
            <family val="2"/>
          </rPr>
          <t>bgillette:</t>
        </r>
        <r>
          <rPr>
            <sz val="9"/>
            <color indexed="81"/>
            <rFont val="Tahoma"/>
            <family val="2"/>
          </rPr>
          <t xml:space="preserve">
update alg; there is a problem between inflators in two models 
Has not bee extended out yet</t>
        </r>
      </text>
    </comment>
    <comment ref="I17" authorId="0" shapeId="0">
      <text>
        <r>
          <rPr>
            <b/>
            <sz val="9"/>
            <color indexed="81"/>
            <rFont val="Tahoma"/>
            <family val="2"/>
          </rPr>
          <t>bgillette:</t>
        </r>
        <r>
          <rPr>
            <sz val="9"/>
            <color indexed="81"/>
            <rFont val="Tahoma"/>
            <family val="2"/>
          </rPr>
          <t xml:space="preserve">
This will not match with the FF because different calculation : B&amp;V more exact thatn FF assumption</t>
        </r>
      </text>
    </comment>
    <comment ref="I28" authorId="0" shapeId="0">
      <text>
        <r>
          <rPr>
            <b/>
            <sz val="9"/>
            <color indexed="81"/>
            <rFont val="Tahoma"/>
            <family val="2"/>
          </rPr>
          <t>bgillette:</t>
        </r>
        <r>
          <rPr>
            <sz val="9"/>
            <color indexed="81"/>
            <rFont val="Tahoma"/>
            <family val="2"/>
          </rPr>
          <t xml:space="preserve">
Urban loads less than rural so FF proxy below a bit off</t>
        </r>
      </text>
    </comment>
    <comment ref="P44" authorId="1" shapeId="0">
      <text>
        <r>
          <rPr>
            <b/>
            <sz val="8"/>
            <color indexed="81"/>
            <rFont val="Tahoma"/>
            <family val="2"/>
          </rPr>
          <t>Grant County PUD:</t>
        </r>
        <r>
          <rPr>
            <sz val="8"/>
            <color indexed="81"/>
            <rFont val="Tahoma"/>
            <family val="2"/>
          </rPr>
          <t xml:space="preserve">
fix these numbers to reflect corrections done in 2010.
</t>
        </r>
      </text>
    </comment>
    <comment ref="G91" authorId="2" shapeId="0">
      <text>
        <r>
          <rPr>
            <b/>
            <sz val="9"/>
            <color indexed="81"/>
            <rFont val="Tahoma"/>
            <family val="2"/>
          </rPr>
          <t>Doug Ziegler:</t>
        </r>
        <r>
          <rPr>
            <sz val="9"/>
            <color indexed="81"/>
            <rFont val="Tahoma"/>
            <family val="2"/>
          </rPr>
          <t xml:space="preserve">
=+'S:\Depts\SP-Forecast\Jennifer Fx\Working in process\[07012014BASE Fx.xlsx]O&amp;M'!D4</t>
        </r>
      </text>
    </comment>
    <comment ref="G92" authorId="2" shapeId="0">
      <text>
        <r>
          <rPr>
            <b/>
            <sz val="9"/>
            <color indexed="81"/>
            <rFont val="Tahoma"/>
            <family val="2"/>
          </rPr>
          <t>Doug Ziegler:</t>
        </r>
        <r>
          <rPr>
            <sz val="9"/>
            <color indexed="81"/>
            <rFont val="Tahoma"/>
            <family val="2"/>
          </rPr>
          <t xml:space="preserve">
=+'S:\Depts\SP-Forecast\Jennifer Fx\Working in process\[07012014BASE Fx.xlsx]Labor'!C6</t>
        </r>
      </text>
    </comment>
  </commentList>
</comments>
</file>

<file path=xl/comments13.xml><?xml version="1.0" encoding="utf-8"?>
<comments xmlns="http://schemas.openxmlformats.org/spreadsheetml/2006/main">
  <authors>
    <author>Doug Ziegler</author>
    <author>Jsager</author>
    <author>bro44407</author>
    <author>Baxter Gillette</author>
  </authors>
  <commentList>
    <comment ref="D27" authorId="0" shapeId="0">
      <text>
        <r>
          <rPr>
            <b/>
            <sz val="9"/>
            <color indexed="81"/>
            <rFont val="Tahoma"/>
            <family val="2"/>
          </rPr>
          <t>Doug Ziegler:</t>
        </r>
        <r>
          <rPr>
            <sz val="9"/>
            <color indexed="81"/>
            <rFont val="Tahoma"/>
            <family val="2"/>
          </rPr>
          <t xml:space="preserve">
Doesn't match with section below; inconsistent in Jennifer's workbook.  This section escalates, below calculates</t>
        </r>
      </text>
    </comment>
    <comment ref="D54" authorId="1" shapeId="0">
      <text>
        <r>
          <rPr>
            <b/>
            <sz val="8"/>
            <color indexed="81"/>
            <rFont val="Tahoma"/>
            <family val="2"/>
          </rPr>
          <t>Jsager:</t>
        </r>
        <r>
          <rPr>
            <sz val="8"/>
            <color indexed="81"/>
            <rFont val="Tahoma"/>
            <family val="2"/>
          </rPr>
          <t xml:space="preserve">
Currently Shell expire 6/2016, moved to Customer Deposits for presentation</t>
        </r>
      </text>
    </comment>
    <comment ref="D58" authorId="1" shapeId="0">
      <text>
        <r>
          <rPr>
            <b/>
            <sz val="8"/>
            <color indexed="81"/>
            <rFont val="Tahoma"/>
            <family val="2"/>
          </rPr>
          <t xml:space="preserve">Jsager:
Calculation divide by 2????
</t>
        </r>
      </text>
    </comment>
    <comment ref="F60" authorId="2" shapeId="0">
      <text>
        <r>
          <rPr>
            <b/>
            <sz val="9"/>
            <color indexed="81"/>
            <rFont val="Tahoma"/>
            <family val="2"/>
          </rPr>
          <t>bro44407:</t>
        </r>
        <r>
          <rPr>
            <sz val="9"/>
            <color indexed="81"/>
            <rFont val="Tahoma"/>
            <family val="2"/>
          </rPr>
          <t xml:space="preserve">
includes $35 million working capital balance
</t>
        </r>
      </text>
    </comment>
    <comment ref="G64" authorId="0" shapeId="0">
      <text>
        <r>
          <rPr>
            <b/>
            <sz val="9"/>
            <color indexed="81"/>
            <rFont val="Tahoma"/>
            <family val="2"/>
          </rPr>
          <t>Doug Ziegler:</t>
        </r>
        <r>
          <rPr>
            <sz val="9"/>
            <color indexed="81"/>
            <rFont val="Tahoma"/>
            <family val="2"/>
          </rPr>
          <t xml:space="preserve">
aligns with dashboard</t>
        </r>
      </text>
    </comment>
    <comment ref="G65" authorId="0" shapeId="0">
      <text>
        <r>
          <rPr>
            <b/>
            <sz val="9"/>
            <color indexed="81"/>
            <rFont val="Tahoma"/>
            <family val="2"/>
          </rPr>
          <t>Doug Ziegler:</t>
        </r>
        <r>
          <rPr>
            <sz val="9"/>
            <color indexed="81"/>
            <rFont val="Tahoma"/>
            <family val="2"/>
          </rPr>
          <t xml:space="preserve">
aligns with dashboard</t>
        </r>
      </text>
    </comment>
    <comment ref="D67" authorId="1" shapeId="0">
      <text>
        <r>
          <rPr>
            <b/>
            <sz val="8"/>
            <color indexed="81"/>
            <rFont val="Tahoma"/>
            <family val="2"/>
          </rPr>
          <t xml:space="preserve">Jsager:
Calculation divide by 2????
</t>
        </r>
      </text>
    </comment>
    <comment ref="D82" authorId="0" shapeId="0">
      <text>
        <r>
          <rPr>
            <b/>
            <sz val="9"/>
            <color indexed="81"/>
            <rFont val="Tahoma"/>
            <family val="2"/>
          </rPr>
          <t>Doug Ziegler:</t>
        </r>
        <r>
          <rPr>
            <sz val="9"/>
            <color indexed="81"/>
            <rFont val="Tahoma"/>
            <family val="2"/>
          </rPr>
          <t xml:space="preserve">
This is from adopted 2014 budget, likely need to follow up on this to confirm an approach going forward.  Min is $1.5M but always a carry over on 12/31 due to true up and timing.</t>
        </r>
      </text>
    </comment>
    <comment ref="D97" authorId="3" shapeId="0">
      <text>
        <r>
          <rPr>
            <b/>
            <sz val="9"/>
            <color indexed="81"/>
            <rFont val="Tahoma"/>
            <family val="2"/>
          </rPr>
          <t>Baxter Gillette:</t>
        </r>
        <r>
          <rPr>
            <sz val="9"/>
            <color indexed="81"/>
            <rFont val="Tahoma"/>
            <family val="2"/>
          </rPr>
          <t xml:space="preserve">
Row 191 sheet "Cash" FF</t>
        </r>
      </text>
    </comment>
    <comment ref="D103" authorId="0" shapeId="0">
      <text>
        <r>
          <rPr>
            <b/>
            <sz val="9"/>
            <color indexed="81"/>
            <rFont val="Tahoma"/>
            <family val="2"/>
          </rPr>
          <t>Doug Ziegler:</t>
        </r>
        <r>
          <rPr>
            <sz val="9"/>
            <color indexed="81"/>
            <rFont val="Tahoma"/>
            <family val="2"/>
          </rPr>
          <t xml:space="preserve">
This is from the adopted 2014 budget, assumed still correct (total P&amp;I)</t>
        </r>
      </text>
    </comment>
    <comment ref="D104" authorId="3" shapeId="0">
      <text>
        <r>
          <rPr>
            <b/>
            <sz val="9"/>
            <color indexed="81"/>
            <rFont val="Tahoma"/>
            <family val="2"/>
          </rPr>
          <t>Baxter Gillette:</t>
        </r>
        <r>
          <rPr>
            <sz val="9"/>
            <color indexed="81"/>
            <rFont val="Tahoma"/>
            <family val="2"/>
          </rPr>
          <t xml:space="preserve">
Row 204
</t>
        </r>
      </text>
    </comment>
  </commentList>
</comments>
</file>

<file path=xl/comments14.xml><?xml version="1.0" encoding="utf-8"?>
<comments xmlns="http://schemas.openxmlformats.org/spreadsheetml/2006/main">
  <authors>
    <author>Doug Ziegler</author>
    <author>Baxter Gillette</author>
  </authors>
  <commentList>
    <comment ref="I13" authorId="0" shapeId="0">
      <text>
        <r>
          <rPr>
            <b/>
            <sz val="9"/>
            <color indexed="81"/>
            <rFont val="Tahoma"/>
            <family val="2"/>
          </rPr>
          <t>Doug Ziegler:</t>
        </r>
        <r>
          <rPr>
            <sz val="9"/>
            <color indexed="81"/>
            <rFont val="Tahoma"/>
            <family val="2"/>
          </rPr>
          <t xml:space="preserve">
Uses B&amp;V forecast of PRP expenditures since Jennifer's model is accrual basis and not cash.  The primary driver is the interest payments on debt</t>
        </r>
      </text>
    </comment>
    <comment ref="J18" authorId="1" shapeId="0">
      <text>
        <r>
          <rPr>
            <b/>
            <sz val="9"/>
            <color indexed="81"/>
            <rFont val="Tahoma"/>
            <family val="2"/>
          </rPr>
          <t>Baxter Gillette:</t>
        </r>
        <r>
          <rPr>
            <sz val="9"/>
            <color indexed="81"/>
            <rFont val="Tahoma"/>
            <family val="2"/>
          </rPr>
          <t xml:space="preserve">
portion of 2016 projected PRP contribution applied to 2015 and 2014 actual in the FF. sheet Cons DS Calc w Jr Debt</t>
        </r>
      </text>
    </comment>
  </commentList>
</comments>
</file>

<file path=xl/comments15.xml><?xml version="1.0" encoding="utf-8"?>
<comments xmlns="http://schemas.openxmlformats.org/spreadsheetml/2006/main">
  <authors>
    <author>Doug Ziegler</author>
    <author>bgillette</author>
  </authors>
  <commentList>
    <comment ref="D20" authorId="0" shapeId="0">
      <text>
        <r>
          <rPr>
            <b/>
            <sz val="9"/>
            <color indexed="81"/>
            <rFont val="Tahoma"/>
            <family val="2"/>
          </rPr>
          <t>Doug Ziegler:</t>
        </r>
        <r>
          <rPr>
            <sz val="9"/>
            <color indexed="81"/>
            <rFont val="Tahoma"/>
            <family val="2"/>
          </rPr>
          <t xml:space="preserve">
Does not include Green Power (see Other Rev)
Wholesale sales only</t>
        </r>
      </text>
    </comment>
    <comment ref="I20" authorId="0" shapeId="0">
      <text>
        <r>
          <rPr>
            <b/>
            <sz val="9"/>
            <color indexed="81"/>
            <rFont val="Tahoma"/>
            <family val="2"/>
          </rPr>
          <t xml:space="preserve">Doug Ziegler:
% net of Green Power Sales, which are not derated
</t>
        </r>
      </text>
    </comment>
    <comment ref="K20" authorId="1" shapeId="0">
      <text>
        <r>
          <rPr>
            <b/>
            <sz val="9"/>
            <color indexed="81"/>
            <rFont val="Tahoma"/>
            <family val="2"/>
          </rPr>
          <t>bgillette:2014 comment</t>
        </r>
        <r>
          <rPr>
            <sz val="9"/>
            <color indexed="81"/>
            <rFont val="Tahoma"/>
            <family val="2"/>
          </rPr>
          <t xml:space="preserve">
Doug Ziegler:
% net of Green Power Sales, which are not derated Baxter Gillette: Does not include EUDL reclassification to avoid negative purchases
</t>
        </r>
      </text>
    </comment>
    <comment ref="D26" authorId="0" shapeId="0">
      <text>
        <r>
          <rPr>
            <b/>
            <sz val="9"/>
            <color indexed="81"/>
            <rFont val="Tahoma"/>
            <family val="2"/>
          </rPr>
          <t>Doug Ziegler:</t>
        </r>
        <r>
          <rPr>
            <sz val="9"/>
            <color indexed="81"/>
            <rFont val="Tahoma"/>
            <family val="2"/>
          </rPr>
          <t xml:space="preserve">
part of sales to other utilities, delete or split out?</t>
        </r>
      </text>
    </comment>
  </commentList>
</comments>
</file>

<file path=xl/comments16.xml><?xml version="1.0" encoding="utf-8"?>
<comments xmlns="http://schemas.openxmlformats.org/spreadsheetml/2006/main">
  <authors>
    <author>Doug Ziegler</author>
  </authors>
  <commentList>
    <comment ref="D25" authorId="0" shapeId="0">
      <text>
        <r>
          <rPr>
            <b/>
            <sz val="9"/>
            <color indexed="81"/>
            <rFont val="Tahoma"/>
            <family val="2"/>
          </rPr>
          <t>Jeremy Nolan:</t>
        </r>
        <r>
          <rPr>
            <sz val="9"/>
            <color indexed="81"/>
            <rFont val="Tahoma"/>
            <family val="2"/>
          </rPr>
          <t xml:space="preserve">
Does not include EUDL, which comes into play for Electric System</t>
        </r>
      </text>
    </comment>
    <comment ref="D59" authorId="0" shapeId="0">
      <text>
        <r>
          <rPr>
            <b/>
            <sz val="9"/>
            <color indexed="81"/>
            <rFont val="Tahoma"/>
            <family val="2"/>
          </rPr>
          <t>Doug Ziegler:</t>
        </r>
        <r>
          <rPr>
            <sz val="9"/>
            <color indexed="81"/>
            <rFont val="Tahoma"/>
            <family val="2"/>
          </rPr>
          <t xml:space="preserve">
PRP Capital Program is covered through debt service, so appears as zero</t>
        </r>
      </text>
    </comment>
  </commentList>
</comments>
</file>

<file path=xl/comments17.xml><?xml version="1.0" encoding="utf-8"?>
<comments xmlns="http://schemas.openxmlformats.org/spreadsheetml/2006/main">
  <authors>
    <author>Baxter Gillette</author>
    <author>jnolan</author>
    <author>bgillette</author>
    <author>Doug Ziegler</author>
  </authors>
  <commentList>
    <comment ref="H20" authorId="0" shapeId="0">
      <text>
        <r>
          <rPr>
            <b/>
            <sz val="9"/>
            <color indexed="81"/>
            <rFont val="Tahoma"/>
            <family val="2"/>
          </rPr>
          <t>Baxter Gillette:</t>
        </r>
        <r>
          <rPr>
            <sz val="9"/>
            <color indexed="81"/>
            <rFont val="Tahoma"/>
            <family val="2"/>
          </rPr>
          <t xml:space="preserve">
These should have values (2014 &amp; 2015)</t>
        </r>
      </text>
    </comment>
    <comment ref="J21" authorId="1" shapeId="0">
      <text>
        <r>
          <rPr>
            <b/>
            <sz val="9"/>
            <color indexed="81"/>
            <rFont val="Tahoma"/>
            <family val="2"/>
          </rPr>
          <t>jnolan:</t>
        </r>
        <r>
          <rPr>
            <sz val="9"/>
            <color indexed="81"/>
            <rFont val="Tahoma"/>
            <family val="2"/>
          </rPr>
          <t xml:space="preserve">
Transfer to Finance Plan Fund, less Electric System Debt Issuance</t>
        </r>
      </text>
    </comment>
    <comment ref="E23" authorId="2" shapeId="0">
      <text>
        <r>
          <rPr>
            <b/>
            <sz val="9"/>
            <color indexed="81"/>
            <rFont val="Tahoma"/>
            <family val="2"/>
          </rPr>
          <t>Jeremy Nolan:</t>
        </r>
        <r>
          <rPr>
            <sz val="9"/>
            <color indexed="81"/>
            <rFont val="Tahoma"/>
            <family val="2"/>
          </rPr>
          <t xml:space="preserve">
This is adjustment made to close the gap between cash and accrual basis between years and to to eliminate rounding differential on revenue calculation between FF and COSA model
</t>
        </r>
      </text>
    </comment>
    <comment ref="G25" authorId="0" shapeId="0">
      <text>
        <r>
          <rPr>
            <b/>
            <sz val="9"/>
            <color indexed="81"/>
            <rFont val="Tahoma"/>
            <family val="2"/>
          </rPr>
          <t>Baxter Gillette:</t>
        </r>
        <r>
          <rPr>
            <sz val="9"/>
            <color indexed="81"/>
            <rFont val="Tahoma"/>
            <family val="2"/>
          </rPr>
          <t xml:space="preserve">
These are not in the forecast but may not be necessary for the 2017 COS</t>
        </r>
      </text>
    </comment>
    <comment ref="D26" authorId="0" shapeId="0">
      <text>
        <r>
          <rPr>
            <b/>
            <sz val="9"/>
            <color indexed="81"/>
            <rFont val="Tahoma"/>
            <family val="2"/>
          </rPr>
          <t>Baxter Gillette:</t>
        </r>
        <r>
          <rPr>
            <sz val="9"/>
            <color indexed="81"/>
            <rFont val="Tahoma"/>
            <family val="2"/>
          </rPr>
          <t xml:space="preserve">
consider replacing with percentage of CREBs to publics
</t>
        </r>
      </text>
    </comment>
    <comment ref="D36" authorId="3" shapeId="0">
      <text>
        <r>
          <rPr>
            <b/>
            <sz val="9"/>
            <color indexed="81"/>
            <rFont val="Tahoma"/>
            <family val="2"/>
          </rPr>
          <t>Jeremy Nolan:</t>
        </r>
        <r>
          <rPr>
            <sz val="9"/>
            <color indexed="81"/>
            <rFont val="Tahoma"/>
            <family val="2"/>
          </rPr>
          <t xml:space="preserve">
Paste these values as values into the "From Elec System Revenut to Fin Plan Reserve" row.  Only perform this action once, and make sure it is the last step in your revenue requirement process</t>
        </r>
      </text>
    </comment>
  </commentList>
</comments>
</file>

<file path=xl/comments18.xml><?xml version="1.0" encoding="utf-8"?>
<comments xmlns="http://schemas.openxmlformats.org/spreadsheetml/2006/main">
  <authors>
    <author>Doug Ziegler</author>
    <author>Baxter Gillette</author>
  </authors>
  <commentList>
    <comment ref="G7" authorId="0" shapeId="0">
      <text>
        <r>
          <rPr>
            <b/>
            <sz val="9"/>
            <color indexed="81"/>
            <rFont val="Tahoma"/>
            <family val="2"/>
          </rPr>
          <t>Baxter Gillette:</t>
        </r>
        <r>
          <rPr>
            <sz val="9"/>
            <color indexed="81"/>
            <rFont val="Tahoma"/>
            <family val="2"/>
          </rPr>
          <t xml:space="preserve">
Orange highlights were Intangilble Plant and had to be looked at separately from the Asset Summary.  They were still shown on the detailed Balance Sheet, thus why they were added</t>
        </r>
      </text>
    </comment>
    <comment ref="J48" authorId="1" shapeId="0">
      <text>
        <r>
          <rPr>
            <b/>
            <sz val="9"/>
            <color indexed="81"/>
            <rFont val="Tahoma"/>
            <family val="2"/>
          </rPr>
          <t>Baxter Gillette:</t>
        </r>
        <r>
          <rPr>
            <sz val="9"/>
            <color indexed="81"/>
            <rFont val="Tahoma"/>
            <family val="2"/>
          </rPr>
          <t xml:space="preserve">
Meter equipment input 2009 into GP fully depreciated (C-2)</t>
        </r>
      </text>
    </comment>
  </commentList>
</comments>
</file>

<file path=xl/comments19.xml><?xml version="1.0" encoding="utf-8"?>
<comments xmlns="http://schemas.openxmlformats.org/spreadsheetml/2006/main">
  <authors>
    <author>Doug Ziegler</author>
    <author>jnolan</author>
  </authors>
  <commentList>
    <comment ref="E19" authorId="0" shapeId="0">
      <text>
        <r>
          <rPr>
            <b/>
            <sz val="9"/>
            <color indexed="81"/>
            <rFont val="Tahoma"/>
            <family val="2"/>
          </rPr>
          <t>Doug Ziegler:</t>
        </r>
        <r>
          <rPr>
            <sz val="9"/>
            <color indexed="81"/>
            <rFont val="Tahoma"/>
            <family val="2"/>
          </rPr>
          <t xml:space="preserve">
Combined with QC Power Rights above</t>
        </r>
      </text>
    </comment>
    <comment ref="E23" authorId="0" shapeId="0">
      <text>
        <r>
          <rPr>
            <b/>
            <sz val="9"/>
            <color indexed="81"/>
            <rFont val="Tahoma"/>
            <family val="2"/>
          </rPr>
          <t>Doug Ziegler:</t>
        </r>
        <r>
          <rPr>
            <sz val="9"/>
            <color indexed="81"/>
            <rFont val="Tahoma"/>
            <family val="2"/>
          </rPr>
          <t xml:space="preserve">
Need to manually change the formula to exclude any Supervised O&amp;M Allocations above
</t>
        </r>
      </text>
    </comment>
    <comment ref="E337" authorId="0" shapeId="0">
      <text>
        <r>
          <rPr>
            <b/>
            <sz val="9"/>
            <color indexed="81"/>
            <rFont val="Tahoma"/>
            <family val="2"/>
          </rPr>
          <t>Doug Ziegler:</t>
        </r>
        <r>
          <rPr>
            <sz val="9"/>
            <color indexed="81"/>
            <rFont val="Tahoma"/>
            <family val="2"/>
          </rPr>
          <t xml:space="preserve">
red text are balances to get the total = to 100%
blue text are technically hard coded, but you should never need to update them
only update the yellow boes
All OC Accounts (highlighted orange) are the subtotal less anything allocated to Supervised O&amp;M.  Otherwise, it creates circular references</t>
        </r>
      </text>
    </comment>
    <comment ref="L350" authorId="0" shapeId="0">
      <text>
        <r>
          <rPr>
            <b/>
            <sz val="9"/>
            <color indexed="81"/>
            <rFont val="Tahoma"/>
            <family val="2"/>
          </rPr>
          <t>Doug Ziegler:</t>
        </r>
        <r>
          <rPr>
            <sz val="9"/>
            <color indexed="81"/>
            <rFont val="Tahoma"/>
            <family val="2"/>
          </rPr>
          <t xml:space="preserve">
Substation MVA % of total assigned to Industrial customers</t>
        </r>
      </text>
    </comment>
    <comment ref="P353" authorId="0" shapeId="0">
      <text>
        <r>
          <rPr>
            <b/>
            <sz val="9"/>
            <color indexed="81"/>
            <rFont val="Tahoma"/>
            <family val="2"/>
          </rPr>
          <t>Doug Ziegler:</t>
        </r>
        <r>
          <rPr>
            <sz val="9"/>
            <color indexed="81"/>
            <rFont val="Tahoma"/>
            <family val="2"/>
          </rPr>
          <t xml:space="preserve">
To be redetermined every year based on actual splits.  See B&amp;V workpaper</t>
        </r>
      </text>
    </comment>
    <comment ref="S353" authorId="1" shapeId="0">
      <text>
        <r>
          <rPr>
            <b/>
            <sz val="9"/>
            <color indexed="81"/>
            <rFont val="Tahoma"/>
            <family val="2"/>
          </rPr>
          <t>jnolan:</t>
        </r>
        <r>
          <rPr>
            <sz val="9"/>
            <color indexed="81"/>
            <rFont val="Tahoma"/>
            <family val="2"/>
          </rPr>
          <t xml:space="preserve">
Updated 1/29/2017</t>
        </r>
      </text>
    </comment>
  </commentList>
</comments>
</file>

<file path=xl/comments2.xml><?xml version="1.0" encoding="utf-8"?>
<comments xmlns="http://schemas.openxmlformats.org/spreadsheetml/2006/main">
  <authors>
    <author>Jsager</author>
    <author>jsager</author>
  </authors>
  <commentList>
    <comment ref="A20" authorId="0" shapeId="0">
      <text>
        <r>
          <rPr>
            <b/>
            <sz val="8"/>
            <color indexed="81"/>
            <rFont val="Tahoma"/>
            <family val="2"/>
          </rPr>
          <t>Jsager:</t>
        </r>
        <r>
          <rPr>
            <sz val="8"/>
            <color indexed="81"/>
            <rFont val="Tahoma"/>
            <family val="2"/>
          </rPr>
          <t xml:space="preserve">
Current year from Capital Plan, out years MC @ 50%</t>
        </r>
      </text>
    </comment>
    <comment ref="D20" authorId="1" shapeId="0">
      <text>
        <r>
          <rPr>
            <b/>
            <sz val="9"/>
            <color indexed="81"/>
            <rFont val="Tahoma"/>
            <family val="2"/>
          </rPr>
          <t>jsager:</t>
        </r>
        <r>
          <rPr>
            <sz val="9"/>
            <color indexed="81"/>
            <rFont val="Tahoma"/>
            <family val="2"/>
          </rPr>
          <t xml:space="preserve">
2014 YE Projections
</t>
        </r>
      </text>
    </comment>
    <comment ref="A26" authorId="0" shapeId="0">
      <text>
        <r>
          <rPr>
            <b/>
            <sz val="8"/>
            <color indexed="81"/>
            <rFont val="Tahoma"/>
            <family val="2"/>
          </rPr>
          <t>Jsager:</t>
        </r>
        <r>
          <rPr>
            <sz val="8"/>
            <color indexed="81"/>
            <rFont val="Tahoma"/>
            <family val="2"/>
          </rPr>
          <t xml:space="preserve">
Current year from Capital Plan, out years MC @ 50%</t>
        </r>
      </text>
    </comment>
    <comment ref="D26" authorId="1" shapeId="0">
      <text>
        <r>
          <rPr>
            <b/>
            <sz val="9"/>
            <color indexed="81"/>
            <rFont val="Tahoma"/>
            <family val="2"/>
          </rPr>
          <t>jsager:</t>
        </r>
        <r>
          <rPr>
            <sz val="9"/>
            <color indexed="81"/>
            <rFont val="Tahoma"/>
            <family val="2"/>
          </rPr>
          <t xml:space="preserve">
2014 YE Projections
</t>
        </r>
      </text>
    </comment>
    <comment ref="C76" authorId="0" shapeId="0">
      <text>
        <r>
          <rPr>
            <b/>
            <sz val="8"/>
            <color indexed="81"/>
            <rFont val="Tahoma"/>
            <family val="2"/>
          </rPr>
          <t>Jsager:</t>
        </r>
        <r>
          <rPr>
            <sz val="8"/>
            <color indexed="81"/>
            <rFont val="Tahoma"/>
            <family val="2"/>
          </rPr>
          <t xml:space="preserve">
QC exp 9/2025
PEC exp 8/2030</t>
        </r>
      </text>
    </comment>
    <comment ref="C81" authorId="1" shapeId="0">
      <text>
        <r>
          <rPr>
            <b/>
            <sz val="9"/>
            <color indexed="81"/>
            <rFont val="Tahoma"/>
            <family val="2"/>
          </rPr>
          <t>jsager:</t>
        </r>
        <r>
          <rPr>
            <sz val="9"/>
            <color indexed="81"/>
            <rFont val="Tahoma"/>
            <family val="2"/>
          </rPr>
          <t xml:space="preserve">
Straightline life of license
to 3/2052
</t>
        </r>
      </text>
    </comment>
    <comment ref="C82" authorId="1" shapeId="0">
      <text>
        <r>
          <rPr>
            <b/>
            <sz val="9"/>
            <color indexed="81"/>
            <rFont val="Tahoma"/>
            <family val="2"/>
          </rPr>
          <t>jsager:</t>
        </r>
        <r>
          <rPr>
            <sz val="9"/>
            <color indexed="81"/>
            <rFont val="Tahoma"/>
            <family val="2"/>
          </rPr>
          <t xml:space="preserve">
Straightline life of license
 to 3/2052
</t>
        </r>
      </text>
    </comment>
    <comment ref="D113" authorId="1" shapeId="0">
      <text>
        <r>
          <rPr>
            <b/>
            <sz val="9"/>
            <color indexed="81"/>
            <rFont val="Tahoma"/>
            <family val="2"/>
          </rPr>
          <t>jsager:</t>
        </r>
        <r>
          <rPr>
            <sz val="9"/>
            <color indexed="81"/>
            <rFont val="Tahoma"/>
            <family val="2"/>
          </rPr>
          <t xml:space="preserve">
2013 YE contains Depreciation</t>
        </r>
      </text>
    </comment>
    <comment ref="C114" authorId="1" shapeId="0">
      <text>
        <r>
          <rPr>
            <b/>
            <sz val="9"/>
            <color indexed="81"/>
            <rFont val="Tahoma"/>
            <family val="2"/>
          </rPr>
          <t>jsager:</t>
        </r>
        <r>
          <rPr>
            <sz val="9"/>
            <color indexed="81"/>
            <rFont val="Tahoma"/>
            <family val="2"/>
          </rPr>
          <t xml:space="preserve">
Plant Rollforward YE 2013</t>
        </r>
      </text>
    </comment>
    <comment ref="C120" authorId="1" shapeId="0">
      <text>
        <r>
          <rPr>
            <b/>
            <sz val="9"/>
            <color indexed="81"/>
            <rFont val="Tahoma"/>
            <family val="2"/>
          </rPr>
          <t>jsager:</t>
        </r>
        <r>
          <rPr>
            <sz val="9"/>
            <color indexed="81"/>
            <rFont val="Tahoma"/>
            <family val="2"/>
          </rPr>
          <t xml:space="preserve">
Plant Rollforward 2013
</t>
        </r>
      </text>
    </comment>
    <comment ref="D132" authorId="1" shapeId="0">
      <text>
        <r>
          <rPr>
            <b/>
            <sz val="9"/>
            <color indexed="81"/>
            <rFont val="Tahoma"/>
            <family val="2"/>
          </rPr>
          <t>jsager:</t>
        </r>
        <r>
          <rPr>
            <sz val="9"/>
            <color indexed="81"/>
            <rFont val="Tahoma"/>
            <family val="2"/>
          </rPr>
          <t xml:space="preserve">
estimated reported 25868530 with 7 months remaining</t>
        </r>
      </text>
    </comment>
    <comment ref="A145" authorId="0" shapeId="0">
      <text>
        <r>
          <rPr>
            <b/>
            <sz val="8"/>
            <color indexed="81"/>
            <rFont val="Tahoma"/>
            <family val="2"/>
          </rPr>
          <t>Jsager:</t>
        </r>
        <r>
          <rPr>
            <sz val="8"/>
            <color indexed="81"/>
            <rFont val="Tahoma"/>
            <family val="2"/>
          </rPr>
          <t xml:space="preserve">
Used to calulate escalation, incremental capital only found in years 2039-2044</t>
        </r>
      </text>
    </comment>
  </commentList>
</comments>
</file>

<file path=xl/comments20.xml><?xml version="1.0" encoding="utf-8"?>
<comments xmlns="http://schemas.openxmlformats.org/spreadsheetml/2006/main">
  <authors>
    <author>Doug Ziegler</author>
  </authors>
  <commentList>
    <comment ref="H100" authorId="0" shapeId="0">
      <text>
        <r>
          <rPr>
            <b/>
            <sz val="9"/>
            <color indexed="81"/>
            <rFont val="Tahoma"/>
            <family val="2"/>
          </rPr>
          <t>Doug Ziegler:</t>
        </r>
        <r>
          <rPr>
            <sz val="9"/>
            <color indexed="81"/>
            <rFont val="Tahoma"/>
            <family val="2"/>
          </rPr>
          <t xml:space="preserve">
uses the weighted average of the rest of the Customer Costs.  Does not need an allocator</t>
        </r>
      </text>
    </comment>
  </commentList>
</comments>
</file>

<file path=xl/comments21.xml><?xml version="1.0" encoding="utf-8"?>
<comments xmlns="http://schemas.openxmlformats.org/spreadsheetml/2006/main">
  <authors>
    <author>bra05345</author>
    <author>Doug Ziegler</author>
    <author>jnolan</author>
  </authors>
  <commentList>
    <comment ref="P9" authorId="0" shapeId="0">
      <text>
        <r>
          <rPr>
            <b/>
            <sz val="12"/>
            <color indexed="81"/>
            <rFont val="Tahoma"/>
            <family val="2"/>
          </rPr>
          <t>bra05345:</t>
        </r>
        <r>
          <rPr>
            <sz val="12"/>
            <color indexed="81"/>
            <rFont val="Tahoma"/>
            <family val="2"/>
          </rPr>
          <t xml:space="preserve">
Rates 14,15,85,91 and 94 provide their own transformers and service runs per 12.0 Customer Policy
</t>
        </r>
      </text>
    </comment>
    <comment ref="N10" authorId="1" shapeId="0">
      <text>
        <r>
          <rPr>
            <b/>
            <sz val="9"/>
            <color indexed="81"/>
            <rFont val="Tahoma"/>
            <family val="2"/>
          </rPr>
          <t>Doug Ziegler:</t>
        </r>
        <r>
          <rPr>
            <sz val="9"/>
            <color indexed="81"/>
            <rFont val="Tahoma"/>
            <family val="2"/>
          </rPr>
          <t xml:space="preserve">
from file "Grant rb 2014 Primary Conductor.xlsx" on the "Substations" tab.  Values are actual MVA for each of the four classes</t>
        </r>
      </text>
    </comment>
    <comment ref="S20" authorId="0" shapeId="0">
      <text>
        <r>
          <rPr>
            <b/>
            <sz val="8"/>
            <color indexed="81"/>
            <rFont val="Tahoma"/>
            <family val="2"/>
          </rPr>
          <t>bra05345:</t>
        </r>
        <r>
          <rPr>
            <sz val="8"/>
            <color indexed="81"/>
            <rFont val="Tahoma"/>
            <family val="2"/>
          </rPr>
          <t xml:space="preserve">
assume 5% of capacity on Urban Lines</t>
        </r>
      </text>
    </comment>
    <comment ref="S23" authorId="0" shapeId="0">
      <text>
        <r>
          <rPr>
            <b/>
            <sz val="8"/>
            <color indexed="81"/>
            <rFont val="Tahoma"/>
            <family val="2"/>
          </rPr>
          <t>bra05345:</t>
        </r>
        <r>
          <rPr>
            <sz val="8"/>
            <color indexed="81"/>
            <rFont val="Tahoma"/>
            <family val="2"/>
          </rPr>
          <t xml:space="preserve">
Assume 5% of capacity on Urban lines. </t>
        </r>
      </text>
    </comment>
    <comment ref="S28" authorId="0" shapeId="0">
      <text>
        <r>
          <rPr>
            <b/>
            <sz val="8"/>
            <color indexed="81"/>
            <rFont val="Tahoma"/>
            <family val="2"/>
          </rPr>
          <t>bra05345:</t>
        </r>
        <r>
          <rPr>
            <sz val="8"/>
            <color indexed="81"/>
            <rFont val="Tahoma"/>
            <family val="2"/>
          </rPr>
          <t xml:space="preserve">
Assume 70% Urban and 30 % rural.  </t>
        </r>
      </text>
    </comment>
    <comment ref="N36" authorId="2" shapeId="0">
      <text>
        <r>
          <rPr>
            <b/>
            <sz val="9"/>
            <color indexed="81"/>
            <rFont val="Tahoma"/>
            <family val="2"/>
          </rPr>
          <t>jnolan:</t>
        </r>
        <r>
          <rPr>
            <sz val="9"/>
            <color indexed="81"/>
            <rFont val="Tahoma"/>
            <family val="2"/>
          </rPr>
          <t xml:space="preserve">
Updated 1/29/2017</t>
        </r>
      </text>
    </comment>
    <comment ref="S42" authorId="0" shapeId="0">
      <text>
        <r>
          <rPr>
            <b/>
            <sz val="8"/>
            <color indexed="81"/>
            <rFont val="Tahoma"/>
            <family val="2"/>
          </rPr>
          <t>bra05345:</t>
        </r>
        <r>
          <rPr>
            <sz val="8"/>
            <color indexed="81"/>
            <rFont val="Tahoma"/>
            <family val="2"/>
          </rPr>
          <t xml:space="preserve">
Assume all Urban, notes indicate these are legacy line transformer customers. </t>
        </r>
      </text>
    </comment>
  </commentList>
</comments>
</file>

<file path=xl/comments22.xml><?xml version="1.0" encoding="utf-8"?>
<comments xmlns="http://schemas.openxmlformats.org/spreadsheetml/2006/main">
  <authors>
    <author>Doug Ziegler</author>
  </authors>
  <commentList>
    <comment ref="K8" authorId="0" shapeId="0">
      <text>
        <r>
          <rPr>
            <b/>
            <sz val="9"/>
            <color indexed="81"/>
            <rFont val="Tahoma"/>
            <family val="2"/>
          </rPr>
          <t>Doug Ziegler:</t>
        </r>
        <r>
          <rPr>
            <sz val="9"/>
            <color indexed="81"/>
            <rFont val="Tahoma"/>
            <family val="2"/>
          </rPr>
          <t xml:space="preserve">
Past values of Column I and then do sensitivity and compare</t>
        </r>
      </text>
    </comment>
  </commentList>
</comments>
</file>

<file path=xl/comments3.xml><?xml version="1.0" encoding="utf-8"?>
<comments xmlns="http://schemas.openxmlformats.org/spreadsheetml/2006/main">
  <authors>
    <author>Jsager</author>
    <author>jsager</author>
  </authors>
  <commentList>
    <comment ref="F14" authorId="0" shapeId="0">
      <text>
        <r>
          <rPr>
            <b/>
            <sz val="8"/>
            <color indexed="81"/>
            <rFont val="Tahoma"/>
            <family val="2"/>
          </rPr>
          <t>Jsager:</t>
        </r>
        <r>
          <rPr>
            <sz val="8"/>
            <color indexed="81"/>
            <rFont val="Tahoma"/>
            <family val="2"/>
          </rPr>
          <t xml:space="preserve">
includes 901.83 outage from FA sale of transformer.  Amount should be in retirement not Acc depr, accounting looking at.
</t>
        </r>
      </text>
    </comment>
    <comment ref="F15" authorId="0" shapeId="0">
      <text>
        <r>
          <rPr>
            <b/>
            <sz val="8"/>
            <color indexed="81"/>
            <rFont val="Tahoma"/>
            <family val="2"/>
          </rPr>
          <t>Jsager:</t>
        </r>
        <r>
          <rPr>
            <sz val="8"/>
            <color indexed="81"/>
            <rFont val="Tahoma"/>
            <family val="2"/>
          </rPr>
          <t xml:space="preserve">
GASB 68 required a restatment of 2014 YE financials
</t>
        </r>
      </text>
    </comment>
    <comment ref="F25" authorId="0" shapeId="0">
      <text>
        <r>
          <rPr>
            <b/>
            <sz val="8"/>
            <color indexed="81"/>
            <rFont val="Tahoma"/>
            <family val="2"/>
          </rPr>
          <t>Jsager:</t>
        </r>
        <r>
          <rPr>
            <sz val="8"/>
            <color indexed="81"/>
            <rFont val="Tahoma"/>
            <family val="2"/>
          </rPr>
          <t xml:space="preserve">
Added back $2,680,372 for impaired asset included in calc prev acct 7250-331000.  Non cash should be reported in Salvage/Retirements
</t>
        </r>
      </text>
    </comment>
    <comment ref="F27" authorId="0" shapeId="0">
      <text>
        <r>
          <rPr>
            <b/>
            <sz val="8"/>
            <color indexed="81"/>
            <rFont val="Tahoma"/>
            <family val="2"/>
          </rPr>
          <t>Jsager:</t>
        </r>
        <r>
          <rPr>
            <sz val="8"/>
            <color indexed="81"/>
            <rFont val="Tahoma"/>
            <family val="2"/>
          </rPr>
          <t xml:space="preserve">
Includes $3,321,330 in as Impaired Asset for Wanapum- (Accelerated Depreciation of existing asset)
</t>
        </r>
      </text>
    </comment>
    <comment ref="F28" authorId="0" shapeId="0">
      <text>
        <r>
          <rPr>
            <b/>
            <sz val="8"/>
            <color indexed="81"/>
            <rFont val="Tahoma"/>
            <family val="2"/>
          </rPr>
          <t>Jsager:</t>
        </r>
        <r>
          <rPr>
            <sz val="8"/>
            <color indexed="81"/>
            <rFont val="Tahoma"/>
            <family val="2"/>
          </rPr>
          <t xml:space="preserve">
GASB 68 required a restatment of 2014 YE financials</t>
        </r>
      </text>
    </comment>
    <comment ref="B39" authorId="0" shapeId="0">
      <text>
        <r>
          <rPr>
            <b/>
            <sz val="8"/>
            <color indexed="81"/>
            <rFont val="Tahoma"/>
            <family val="2"/>
          </rPr>
          <t>Jsager:</t>
        </r>
        <r>
          <rPr>
            <sz val="8"/>
            <color indexed="81"/>
            <rFont val="Tahoma"/>
            <family val="2"/>
          </rPr>
          <t xml:space="preserve">
Current year from Capital Plan, out years MC @ 50%</t>
        </r>
      </text>
    </comment>
    <comment ref="G39" authorId="0" shapeId="0">
      <text>
        <r>
          <rPr>
            <b/>
            <sz val="8"/>
            <color indexed="81"/>
            <rFont val="Tahoma"/>
            <family val="2"/>
          </rPr>
          <t>Jsager:</t>
        </r>
        <r>
          <rPr>
            <sz val="8"/>
            <color indexed="81"/>
            <rFont val="Tahoma"/>
            <family val="2"/>
          </rPr>
          <t xml:space="preserve">
Use Quarterly YE Projections for current year only.</t>
        </r>
      </text>
    </comment>
    <comment ref="B45" authorId="0" shapeId="0">
      <text>
        <r>
          <rPr>
            <b/>
            <sz val="8"/>
            <color indexed="81"/>
            <rFont val="Tahoma"/>
            <family val="2"/>
          </rPr>
          <t>Jsager:</t>
        </r>
        <r>
          <rPr>
            <sz val="8"/>
            <color indexed="81"/>
            <rFont val="Tahoma"/>
            <family val="2"/>
          </rPr>
          <t xml:space="preserve">
Current year from Capital Plan, out years MC @ 50%</t>
        </r>
      </text>
    </comment>
    <comment ref="G45" authorId="0" shapeId="0">
      <text>
        <r>
          <rPr>
            <b/>
            <sz val="8"/>
            <color indexed="81"/>
            <rFont val="Tahoma"/>
            <family val="2"/>
          </rPr>
          <t>Jsager:</t>
        </r>
        <r>
          <rPr>
            <sz val="8"/>
            <color indexed="81"/>
            <rFont val="Tahoma"/>
            <family val="2"/>
          </rPr>
          <t xml:space="preserve">
Use Quarterly YE Projections for current year only.</t>
        </r>
      </text>
    </comment>
    <comment ref="E65" authorId="0" shapeId="0">
      <text>
        <r>
          <rPr>
            <b/>
            <sz val="8"/>
            <color indexed="81"/>
            <rFont val="Tahoma"/>
            <family val="2"/>
          </rPr>
          <t>Jsager:</t>
        </r>
        <r>
          <rPr>
            <sz val="8"/>
            <color indexed="81"/>
            <rFont val="Tahoma"/>
            <family val="2"/>
          </rPr>
          <t xml:space="preserve">
QC exp 9/2025
PEC exp 8/2030</t>
        </r>
      </text>
    </comment>
    <comment ref="E70" authorId="1" shapeId="0">
      <text>
        <r>
          <rPr>
            <b/>
            <sz val="9"/>
            <color indexed="81"/>
            <rFont val="Tahoma"/>
            <family val="2"/>
          </rPr>
          <t>jsager:</t>
        </r>
        <r>
          <rPr>
            <sz val="9"/>
            <color indexed="81"/>
            <rFont val="Tahoma"/>
            <family val="2"/>
          </rPr>
          <t xml:space="preserve">
Straight-line life of license
to 3/2052
</t>
        </r>
      </text>
    </comment>
    <comment ref="E71" authorId="1" shapeId="0">
      <text>
        <r>
          <rPr>
            <b/>
            <sz val="9"/>
            <color indexed="81"/>
            <rFont val="Tahoma"/>
            <family val="2"/>
          </rPr>
          <t>jsager:</t>
        </r>
        <r>
          <rPr>
            <sz val="9"/>
            <color indexed="81"/>
            <rFont val="Tahoma"/>
            <family val="2"/>
          </rPr>
          <t xml:space="preserve">
Straight-line life of license
 to 3/2052
</t>
        </r>
      </text>
    </comment>
    <comment ref="F98" authorId="1" shapeId="0">
      <text>
        <r>
          <rPr>
            <b/>
            <sz val="9"/>
            <color indexed="81"/>
            <rFont val="Tahoma"/>
            <family val="2"/>
          </rPr>
          <t>jsager:</t>
        </r>
        <r>
          <rPr>
            <sz val="9"/>
            <color indexed="81"/>
            <rFont val="Tahoma"/>
            <family val="2"/>
          </rPr>
          <t xml:space="preserve">
2013 YE contains Depreciation</t>
        </r>
      </text>
    </comment>
    <comment ref="E99" authorId="1" shapeId="0">
      <text>
        <r>
          <rPr>
            <b/>
            <sz val="9"/>
            <color indexed="81"/>
            <rFont val="Tahoma"/>
            <family val="2"/>
          </rPr>
          <t>jsager:</t>
        </r>
        <r>
          <rPr>
            <sz val="9"/>
            <color indexed="81"/>
            <rFont val="Tahoma"/>
            <family val="2"/>
          </rPr>
          <t xml:space="preserve">
Plant Roll forward YE 2013</t>
        </r>
      </text>
    </comment>
    <comment ref="E105" authorId="1" shapeId="0">
      <text>
        <r>
          <rPr>
            <b/>
            <sz val="9"/>
            <color indexed="81"/>
            <rFont val="Tahoma"/>
            <family val="2"/>
          </rPr>
          <t>jsager:</t>
        </r>
        <r>
          <rPr>
            <sz val="9"/>
            <color indexed="81"/>
            <rFont val="Tahoma"/>
            <family val="2"/>
          </rPr>
          <t xml:space="preserve">
Plant Roll forward 2013
</t>
        </r>
      </text>
    </comment>
    <comment ref="F117" authorId="1" shapeId="0">
      <text>
        <r>
          <rPr>
            <b/>
            <sz val="9"/>
            <color indexed="81"/>
            <rFont val="Tahoma"/>
            <family val="2"/>
          </rPr>
          <t>jsager:</t>
        </r>
        <r>
          <rPr>
            <sz val="9"/>
            <color indexed="81"/>
            <rFont val="Tahoma"/>
            <family val="2"/>
          </rPr>
          <t xml:space="preserve">
estimated reported 25868530 with 7 months remaining</t>
        </r>
      </text>
    </comment>
    <comment ref="B130" authorId="0" shapeId="0">
      <text>
        <r>
          <rPr>
            <b/>
            <sz val="8"/>
            <color indexed="81"/>
            <rFont val="Tahoma"/>
            <family val="2"/>
          </rPr>
          <t>Jsager:</t>
        </r>
        <r>
          <rPr>
            <sz val="8"/>
            <color indexed="81"/>
            <rFont val="Tahoma"/>
            <family val="2"/>
          </rPr>
          <t xml:space="preserve">
Used to calculate escalation, incremental capital only found in years 2039-2044</t>
        </r>
      </text>
    </comment>
  </commentList>
</comments>
</file>

<file path=xl/comments4.xml><?xml version="1.0" encoding="utf-8"?>
<comments xmlns="http://schemas.openxmlformats.org/spreadsheetml/2006/main">
  <authors>
    <author>Doug Ziegler</author>
    <author>boverfi</author>
    <author>Jsager</author>
  </authors>
  <commentList>
    <comment ref="J81" authorId="0" shapeId="0">
      <text>
        <r>
          <rPr>
            <b/>
            <sz val="9"/>
            <color indexed="81"/>
            <rFont val="Tahoma"/>
            <family val="2"/>
          </rPr>
          <t>Doug Ziegler:</t>
        </r>
        <r>
          <rPr>
            <sz val="9"/>
            <color indexed="81"/>
            <rFont val="Tahoma"/>
            <family val="2"/>
          </rPr>
          <t xml:space="preserve">
This is debt for the entire system, not just the Grant portion</t>
        </r>
      </text>
    </comment>
    <comment ref="A94" authorId="0" shapeId="0">
      <text>
        <r>
          <rPr>
            <b/>
            <sz val="9"/>
            <color indexed="81"/>
            <rFont val="Tahoma"/>
            <family val="2"/>
          </rPr>
          <t>Doug Ziegler:</t>
        </r>
        <r>
          <rPr>
            <sz val="9"/>
            <color indexed="81"/>
            <rFont val="Tahoma"/>
            <family val="2"/>
          </rPr>
          <t xml:space="preserve">
grant has the right to ~70% of physical output.  Firm Power is set by TMCA , and can virtually 100% expect from power generation from PRP.  Any excess above that is Surplus.  Remaining 30% of Firm Power is Reasonable Power.  Purchasers have right to physical power, and grant has right to the financial benefit (EUDL).  Grant participates as purchaser of reasonable portion (5.5%).  RP decreases as EUDL increases</t>
        </r>
      </text>
    </comment>
    <comment ref="H123" authorId="1" shapeId="0">
      <text>
        <r>
          <rPr>
            <b/>
            <sz val="9"/>
            <color indexed="81"/>
            <rFont val="Tahoma"/>
            <family val="2"/>
          </rPr>
          <t>boverfi:</t>
        </r>
        <r>
          <rPr>
            <sz val="9"/>
            <color indexed="81"/>
            <rFont val="Tahoma"/>
            <family val="2"/>
          </rPr>
          <t xml:space="preserve">
hardcoded 2013 total</t>
        </r>
      </text>
    </comment>
    <comment ref="A177" authorId="2" shapeId="0">
      <text>
        <r>
          <rPr>
            <b/>
            <sz val="8"/>
            <color indexed="81"/>
            <rFont val="Tahoma"/>
            <family val="2"/>
          </rPr>
          <t>Jsager:</t>
        </r>
        <r>
          <rPr>
            <sz val="8"/>
            <color indexed="81"/>
            <rFont val="Tahoma"/>
            <family val="2"/>
          </rPr>
          <t xml:space="preserve">
Does not include rebates as it is included in debt service for this section
</t>
        </r>
      </text>
    </comment>
    <comment ref="C177" authorId="0" shapeId="0">
      <text>
        <r>
          <rPr>
            <b/>
            <sz val="9"/>
            <color indexed="81"/>
            <rFont val="Tahoma"/>
            <family val="2"/>
          </rPr>
          <t>Doug Ziegler:</t>
        </r>
        <r>
          <rPr>
            <sz val="9"/>
            <color indexed="81"/>
            <rFont val="Tahoma"/>
            <family val="2"/>
          </rPr>
          <t xml:space="preserve">
REF error</t>
        </r>
      </text>
    </comment>
    <comment ref="H177" authorId="1" shapeId="0">
      <text>
        <r>
          <rPr>
            <b/>
            <sz val="9"/>
            <color indexed="81"/>
            <rFont val="Tahoma"/>
            <family val="2"/>
          </rPr>
          <t xml:space="preserve">boverfi: </t>
        </r>
        <r>
          <rPr>
            <sz val="9"/>
            <color indexed="81"/>
            <rFont val="Tahoma"/>
            <family val="2"/>
          </rPr>
          <t>hardcoded</t>
        </r>
      </text>
    </comment>
    <comment ref="H178" authorId="2" shapeId="0">
      <text>
        <r>
          <rPr>
            <b/>
            <sz val="8"/>
            <color indexed="81"/>
            <rFont val="Tahoma"/>
            <family val="2"/>
          </rPr>
          <t>Jsager:</t>
        </r>
        <r>
          <rPr>
            <sz val="8"/>
            <color indexed="81"/>
            <rFont val="Tahoma"/>
            <family val="2"/>
          </rPr>
          <t xml:space="preserve">
Electric Capital plus revenue financied PRP (pentictin hatchery)</t>
        </r>
      </text>
    </comment>
    <comment ref="A179" authorId="2" shapeId="0">
      <text>
        <r>
          <rPr>
            <b/>
            <sz val="8"/>
            <color indexed="81"/>
            <rFont val="Tahoma"/>
            <family val="2"/>
          </rPr>
          <t>Jsager:</t>
        </r>
        <r>
          <rPr>
            <sz val="8"/>
            <color indexed="81"/>
            <rFont val="Tahoma"/>
            <family val="2"/>
          </rPr>
          <t xml:space="preserve">
2013 Elec Capital was fully funded with construction along with the Penticin Hatchery.</t>
        </r>
      </text>
    </comment>
    <comment ref="H179" authorId="2" shapeId="0">
      <text>
        <r>
          <rPr>
            <b/>
            <sz val="8"/>
            <color indexed="81"/>
            <rFont val="Tahoma"/>
            <family val="2"/>
          </rPr>
          <t>Jsager:</t>
        </r>
        <r>
          <rPr>
            <sz val="8"/>
            <color indexed="81"/>
            <rFont val="Tahoma"/>
            <family val="2"/>
          </rPr>
          <t xml:space="preserve">
Change in Const fund balance for Elect
</t>
        </r>
      </text>
    </comment>
    <comment ref="H198" authorId="1" shapeId="0">
      <text>
        <r>
          <rPr>
            <b/>
            <sz val="9"/>
            <color indexed="81"/>
            <rFont val="Tahoma"/>
            <family val="2"/>
          </rPr>
          <t>boverfi: These have been re-baselined per sch below.</t>
        </r>
      </text>
    </comment>
  </commentList>
</comments>
</file>

<file path=xl/comments5.xml><?xml version="1.0" encoding="utf-8"?>
<comments xmlns="http://schemas.openxmlformats.org/spreadsheetml/2006/main">
  <authors>
    <author>Jsager</author>
  </authors>
  <commentList>
    <comment ref="B46" authorId="0" shapeId="0">
      <text>
        <r>
          <rPr>
            <b/>
            <sz val="8"/>
            <color indexed="81"/>
            <rFont val="Tahoma"/>
            <family val="2"/>
          </rPr>
          <t>Jsager:
Updated to include CREBS rebate for publics</t>
        </r>
      </text>
    </comment>
    <comment ref="B52" authorId="0" shapeId="0">
      <text>
        <r>
          <rPr>
            <b/>
            <sz val="8"/>
            <color indexed="81"/>
            <rFont val="Tahoma"/>
            <family val="2"/>
          </rPr>
          <t>Jsager:</t>
        </r>
        <r>
          <rPr>
            <sz val="8"/>
            <color indexed="81"/>
            <rFont val="Tahoma"/>
            <family val="2"/>
          </rPr>
          <t xml:space="preserve">
Adjusted for 50% buybacks on slice</t>
        </r>
      </text>
    </comment>
    <comment ref="G71" authorId="0" shapeId="0">
      <text>
        <r>
          <rPr>
            <b/>
            <sz val="8"/>
            <color indexed="81"/>
            <rFont val="Tahoma"/>
            <family val="2"/>
          </rPr>
          <t>Jsager:</t>
        </r>
        <r>
          <rPr>
            <sz val="8"/>
            <color indexed="81"/>
            <rFont val="Tahoma"/>
            <family val="2"/>
          </rPr>
          <t xml:space="preserve">
Added Ex Ord Loss 7001-543060 $4,122,366.64.34 and 7001-543800 $3,321,330</t>
        </r>
      </text>
    </comment>
    <comment ref="I71" authorId="0" shapeId="0">
      <text>
        <r>
          <rPr>
            <b/>
            <sz val="8"/>
            <color indexed="81"/>
            <rFont val="Tahoma"/>
            <family val="2"/>
          </rPr>
          <t>Jsager:</t>
        </r>
        <r>
          <rPr>
            <sz val="8"/>
            <color indexed="81"/>
            <rFont val="Tahoma"/>
            <family val="2"/>
          </rPr>
          <t xml:space="preserve">
Added Ex Ord Loss 7001-543060 $1,150,791.95 
</t>
        </r>
      </text>
    </comment>
    <comment ref="G73" authorId="0" shapeId="0">
      <text>
        <r>
          <rPr>
            <b/>
            <sz val="8"/>
            <color indexed="81"/>
            <rFont val="Tahoma"/>
            <family val="2"/>
          </rPr>
          <t>Jsager:</t>
        </r>
        <r>
          <rPr>
            <sz val="8"/>
            <color indexed="81"/>
            <rFont val="Tahoma"/>
            <family val="2"/>
          </rPr>
          <t xml:space="preserve">
Added Ex Ord Loss 7001-925060 $2,873,270.37</t>
        </r>
      </text>
    </comment>
    <comment ref="I73" authorId="0" shapeId="0">
      <text>
        <r>
          <rPr>
            <b/>
            <sz val="8"/>
            <color indexed="81"/>
            <rFont val="Tahoma"/>
            <family val="2"/>
          </rPr>
          <t>Jsager:</t>
        </r>
        <r>
          <rPr>
            <sz val="8"/>
            <color indexed="81"/>
            <rFont val="Tahoma"/>
            <family val="2"/>
          </rPr>
          <t xml:space="preserve">
Deducted 
 Ex Ord Loss 7001-545960 ($21,460.89)</t>
        </r>
      </text>
    </comment>
    <comment ref="B74" authorId="0" shapeId="0">
      <text>
        <r>
          <rPr>
            <b/>
            <sz val="8"/>
            <color indexed="81"/>
            <rFont val="Tahoma"/>
            <family val="2"/>
          </rPr>
          <t>Jsager:</t>
        </r>
        <r>
          <rPr>
            <sz val="8"/>
            <color indexed="81"/>
            <rFont val="Tahoma"/>
            <family val="2"/>
          </rPr>
          <t xml:space="preserve">
NR Adder removed, includes No Op Yakama agreement, and Wanapum estimated exp
</t>
        </r>
      </text>
    </comment>
    <comment ref="G74" authorId="0" shapeId="0">
      <text>
        <r>
          <rPr>
            <b/>
            <sz val="8"/>
            <color indexed="81"/>
            <rFont val="Tahoma"/>
            <family val="2"/>
          </rPr>
          <t>Jsager:</t>
        </r>
        <r>
          <rPr>
            <sz val="8"/>
            <color indexed="81"/>
            <rFont val="Tahoma"/>
            <family val="2"/>
          </rPr>
          <t xml:space="preserve">
Added Ex Ord Loss 7001-545960 $10,951,551.58
</t>
        </r>
      </text>
    </comment>
    <comment ref="I74" authorId="0" shapeId="0">
      <text>
        <r>
          <rPr>
            <b/>
            <sz val="8"/>
            <color indexed="81"/>
            <rFont val="Tahoma"/>
            <family val="2"/>
          </rPr>
          <t>Jsager:</t>
        </r>
        <r>
          <rPr>
            <sz val="8"/>
            <color indexed="81"/>
            <rFont val="Tahoma"/>
            <family val="2"/>
          </rPr>
          <t xml:space="preserve">
Added Ex Ord Loss 7001-925060 $3,229,313.43</t>
        </r>
      </text>
    </comment>
    <comment ref="B88" authorId="0" shapeId="0">
      <text>
        <r>
          <rPr>
            <b/>
            <sz val="8"/>
            <color indexed="81"/>
            <rFont val="Tahoma"/>
            <family val="2"/>
          </rPr>
          <t>Jsager:</t>
        </r>
        <r>
          <rPr>
            <sz val="8"/>
            <color indexed="81"/>
            <rFont val="Tahoma"/>
            <family val="2"/>
          </rPr>
          <t xml:space="preserve">
Should match line 58 (purchased power)
</t>
        </r>
      </text>
    </comment>
    <comment ref="E105" authorId="0" shapeId="0">
      <text>
        <r>
          <rPr>
            <b/>
            <sz val="8"/>
            <color indexed="81"/>
            <rFont val="Tahoma"/>
            <family val="2"/>
          </rPr>
          <t>Jsager:</t>
        </r>
        <r>
          <rPr>
            <sz val="8"/>
            <color indexed="81"/>
            <rFont val="Tahoma"/>
            <family val="2"/>
          </rPr>
          <t xml:space="preserve">
Hardcoded from 2014 
F.S
</t>
        </r>
      </text>
    </comment>
    <comment ref="B157" authorId="0" shapeId="0">
      <text>
        <r>
          <rPr>
            <b/>
            <sz val="8"/>
            <color indexed="81"/>
            <rFont val="Tahoma"/>
            <family val="2"/>
          </rPr>
          <t>Jsager:</t>
        </r>
        <r>
          <rPr>
            <sz val="8"/>
            <color indexed="81"/>
            <rFont val="Tahoma"/>
            <family val="2"/>
          </rPr>
          <t xml:space="preserve">
Does not include rebates as it is included in debt service for this section
</t>
        </r>
      </text>
    </comment>
  </commentList>
</comments>
</file>

<file path=xl/comments6.xml><?xml version="1.0" encoding="utf-8"?>
<comments xmlns="http://schemas.openxmlformats.org/spreadsheetml/2006/main">
  <authors>
    <author>boverfi</author>
    <author>Jsager</author>
    <author>Doug Ziegler</author>
    <author>Baxter Gillette</author>
  </authors>
  <commentList>
    <comment ref="C7" authorId="0" shapeId="0">
      <text>
        <r>
          <rPr>
            <b/>
            <sz val="9"/>
            <color indexed="81"/>
            <rFont val="Tahoma"/>
            <family val="2"/>
          </rPr>
          <t xml:space="preserve">boverfi: current year use "good year" 50% prompt year/out use "budget" 65%
</t>
        </r>
      </text>
    </comment>
    <comment ref="G9" authorId="1" shapeId="0">
      <text>
        <r>
          <rPr>
            <b/>
            <sz val="8"/>
            <color indexed="81"/>
            <rFont val="Tahoma"/>
            <family val="2"/>
          </rPr>
          <t>Jsager:</t>
        </r>
        <r>
          <rPr>
            <sz val="8"/>
            <color indexed="81"/>
            <rFont val="Tahoma"/>
            <family val="2"/>
          </rPr>
          <t xml:space="preserve">
Per Bonnie, need to document Methodology
</t>
        </r>
      </text>
    </comment>
    <comment ref="H9" authorId="1" shapeId="0">
      <text>
        <r>
          <rPr>
            <b/>
            <sz val="8"/>
            <color indexed="81"/>
            <rFont val="Tahoma"/>
            <family val="2"/>
          </rPr>
          <t>Jsager:</t>
        </r>
        <r>
          <rPr>
            <sz val="8"/>
            <color indexed="81"/>
            <rFont val="Tahoma"/>
            <family val="2"/>
          </rPr>
          <t xml:space="preserve">
Per Bonnie, need to document Methodology
</t>
        </r>
      </text>
    </comment>
    <comment ref="I9" authorId="1" shapeId="0">
      <text>
        <r>
          <rPr>
            <b/>
            <sz val="8"/>
            <color indexed="81"/>
            <rFont val="Tahoma"/>
            <family val="2"/>
          </rPr>
          <t>Jsager:</t>
        </r>
        <r>
          <rPr>
            <sz val="8"/>
            <color indexed="81"/>
            <rFont val="Tahoma"/>
            <family val="2"/>
          </rPr>
          <t xml:space="preserve">
Per Bonnie, need to document Methodology
</t>
        </r>
      </text>
    </comment>
    <comment ref="J9" authorId="1" shapeId="0">
      <text>
        <r>
          <rPr>
            <b/>
            <sz val="8"/>
            <color indexed="81"/>
            <rFont val="Tahoma"/>
            <family val="2"/>
          </rPr>
          <t>Jsager:</t>
        </r>
        <r>
          <rPr>
            <sz val="8"/>
            <color indexed="81"/>
            <rFont val="Tahoma"/>
            <family val="2"/>
          </rPr>
          <t xml:space="preserve">
Per Bonnie, need to document Methodology
</t>
        </r>
      </text>
    </comment>
    <comment ref="K9" authorId="1" shapeId="0">
      <text>
        <r>
          <rPr>
            <b/>
            <sz val="8"/>
            <color indexed="81"/>
            <rFont val="Tahoma"/>
            <family val="2"/>
          </rPr>
          <t>Jsager:</t>
        </r>
        <r>
          <rPr>
            <sz val="8"/>
            <color indexed="81"/>
            <rFont val="Tahoma"/>
            <family val="2"/>
          </rPr>
          <t xml:space="preserve">
Per Bonnie, need to document Methodology
</t>
        </r>
      </text>
    </comment>
    <comment ref="L9" authorId="1" shapeId="0">
      <text>
        <r>
          <rPr>
            <b/>
            <sz val="8"/>
            <color indexed="81"/>
            <rFont val="Tahoma"/>
            <family val="2"/>
          </rPr>
          <t>Jsager:</t>
        </r>
        <r>
          <rPr>
            <sz val="8"/>
            <color indexed="81"/>
            <rFont val="Tahoma"/>
            <family val="2"/>
          </rPr>
          <t xml:space="preserve">
Per Bonnie, need to document Methodology
</t>
        </r>
      </text>
    </comment>
    <comment ref="M9" authorId="1" shapeId="0">
      <text>
        <r>
          <rPr>
            <b/>
            <sz val="8"/>
            <color indexed="81"/>
            <rFont val="Tahoma"/>
            <family val="2"/>
          </rPr>
          <t>Jsager:</t>
        </r>
        <r>
          <rPr>
            <sz val="8"/>
            <color indexed="81"/>
            <rFont val="Tahoma"/>
            <family val="2"/>
          </rPr>
          <t xml:space="preserve">
Per Bonnie, need to document Methodology
</t>
        </r>
      </text>
    </comment>
    <comment ref="N9" authorId="1" shapeId="0">
      <text>
        <r>
          <rPr>
            <b/>
            <sz val="8"/>
            <color indexed="81"/>
            <rFont val="Tahoma"/>
            <family val="2"/>
          </rPr>
          <t>Jsager:</t>
        </r>
        <r>
          <rPr>
            <sz val="8"/>
            <color indexed="81"/>
            <rFont val="Tahoma"/>
            <family val="2"/>
          </rPr>
          <t xml:space="preserve">
Per Bonnie, need to document Methodology
</t>
        </r>
      </text>
    </comment>
    <comment ref="O9" authorId="1" shapeId="0">
      <text>
        <r>
          <rPr>
            <b/>
            <sz val="8"/>
            <color indexed="81"/>
            <rFont val="Tahoma"/>
            <family val="2"/>
          </rPr>
          <t>Jsager:</t>
        </r>
        <r>
          <rPr>
            <sz val="8"/>
            <color indexed="81"/>
            <rFont val="Tahoma"/>
            <family val="2"/>
          </rPr>
          <t xml:space="preserve">
Per Bonnie, need to document Methodology
</t>
        </r>
      </text>
    </comment>
    <comment ref="G10" authorId="1" shapeId="0">
      <text>
        <r>
          <rPr>
            <b/>
            <sz val="8"/>
            <color indexed="81"/>
            <rFont val="Tahoma"/>
            <family val="2"/>
          </rPr>
          <t>Jsager:</t>
        </r>
        <r>
          <rPr>
            <sz val="8"/>
            <color indexed="81"/>
            <rFont val="Tahoma"/>
            <family val="2"/>
          </rPr>
          <t xml:space="preserve">
adjustedt Total</t>
        </r>
      </text>
    </comment>
    <comment ref="H10" authorId="1" shapeId="0">
      <text>
        <r>
          <rPr>
            <b/>
            <sz val="8"/>
            <color indexed="81"/>
            <rFont val="Tahoma"/>
            <family val="2"/>
          </rPr>
          <t>Jsager:</t>
        </r>
        <r>
          <rPr>
            <sz val="8"/>
            <color indexed="81"/>
            <rFont val="Tahoma"/>
            <family val="2"/>
          </rPr>
          <t xml:space="preserve">
adjustedt Total</t>
        </r>
      </text>
    </comment>
    <comment ref="I10" authorId="1" shapeId="0">
      <text>
        <r>
          <rPr>
            <b/>
            <sz val="8"/>
            <color indexed="81"/>
            <rFont val="Tahoma"/>
            <family val="2"/>
          </rPr>
          <t>Jsager:</t>
        </r>
        <r>
          <rPr>
            <sz val="8"/>
            <color indexed="81"/>
            <rFont val="Tahoma"/>
            <family val="2"/>
          </rPr>
          <t xml:space="preserve">
adjustedt Total</t>
        </r>
      </text>
    </comment>
    <comment ref="J10" authorId="1" shapeId="0">
      <text>
        <r>
          <rPr>
            <b/>
            <sz val="8"/>
            <color indexed="81"/>
            <rFont val="Tahoma"/>
            <family val="2"/>
          </rPr>
          <t>Jsager:</t>
        </r>
        <r>
          <rPr>
            <sz val="8"/>
            <color indexed="81"/>
            <rFont val="Tahoma"/>
            <family val="2"/>
          </rPr>
          <t xml:space="preserve">
adjustedt Total</t>
        </r>
      </text>
    </comment>
    <comment ref="K10" authorId="1" shapeId="0">
      <text>
        <r>
          <rPr>
            <b/>
            <sz val="8"/>
            <color indexed="81"/>
            <rFont val="Tahoma"/>
            <family val="2"/>
          </rPr>
          <t>Jsager:</t>
        </r>
        <r>
          <rPr>
            <sz val="8"/>
            <color indexed="81"/>
            <rFont val="Tahoma"/>
            <family val="2"/>
          </rPr>
          <t xml:space="preserve">
adjustedt Total</t>
        </r>
      </text>
    </comment>
    <comment ref="L10" authorId="1" shapeId="0">
      <text>
        <r>
          <rPr>
            <b/>
            <sz val="8"/>
            <color indexed="81"/>
            <rFont val="Tahoma"/>
            <family val="2"/>
          </rPr>
          <t>Jsager:</t>
        </r>
        <r>
          <rPr>
            <sz val="8"/>
            <color indexed="81"/>
            <rFont val="Tahoma"/>
            <family val="2"/>
          </rPr>
          <t xml:space="preserve">
adjustedt Total</t>
        </r>
      </text>
    </comment>
    <comment ref="M10" authorId="1" shapeId="0">
      <text>
        <r>
          <rPr>
            <b/>
            <sz val="8"/>
            <color indexed="81"/>
            <rFont val="Tahoma"/>
            <family val="2"/>
          </rPr>
          <t>Jsager:</t>
        </r>
        <r>
          <rPr>
            <sz val="8"/>
            <color indexed="81"/>
            <rFont val="Tahoma"/>
            <family val="2"/>
          </rPr>
          <t xml:space="preserve">
adjustedt Total</t>
        </r>
      </text>
    </comment>
    <comment ref="N10" authorId="1" shapeId="0">
      <text>
        <r>
          <rPr>
            <b/>
            <sz val="8"/>
            <color indexed="81"/>
            <rFont val="Tahoma"/>
            <family val="2"/>
          </rPr>
          <t>Jsager:</t>
        </r>
        <r>
          <rPr>
            <sz val="8"/>
            <color indexed="81"/>
            <rFont val="Tahoma"/>
            <family val="2"/>
          </rPr>
          <t xml:space="preserve">
adjustedt Total</t>
        </r>
      </text>
    </comment>
    <comment ref="O10" authorId="1" shapeId="0">
      <text>
        <r>
          <rPr>
            <b/>
            <sz val="8"/>
            <color indexed="81"/>
            <rFont val="Tahoma"/>
            <family val="2"/>
          </rPr>
          <t>Jsager:</t>
        </r>
        <r>
          <rPr>
            <sz val="8"/>
            <color indexed="81"/>
            <rFont val="Tahoma"/>
            <family val="2"/>
          </rPr>
          <t xml:space="preserve">
adjustedt Total</t>
        </r>
      </text>
    </comment>
    <comment ref="C14" authorId="0" shapeId="0">
      <text>
        <r>
          <rPr>
            <b/>
            <sz val="9"/>
            <color indexed="81"/>
            <rFont val="Tahoma"/>
            <family val="2"/>
          </rPr>
          <t>boverfi: current year use "good year" 50% prompt year use "budget" 65%</t>
        </r>
      </text>
    </comment>
    <comment ref="A15" authorId="1" shapeId="0">
      <text>
        <r>
          <rPr>
            <b/>
            <sz val="8"/>
            <color indexed="81"/>
            <rFont val="Tahoma"/>
            <family val="2"/>
          </rPr>
          <t>Jsager:</t>
        </r>
        <r>
          <rPr>
            <sz val="8"/>
            <color indexed="81"/>
            <rFont val="Tahoma"/>
            <family val="2"/>
          </rPr>
          <t xml:space="preserve">
Per Bonnie, need to  update Methodology
Baxter 201612 -- Took out-- explicity modelled in purchases and sales
</t>
        </r>
      </text>
    </comment>
    <comment ref="C19" authorId="0" shapeId="0">
      <text>
        <r>
          <rPr>
            <b/>
            <sz val="9"/>
            <color indexed="81"/>
            <rFont val="Tahoma"/>
            <family val="2"/>
          </rPr>
          <t>boverfi: after budget is adopted current year should be hard-coded, out years should float</t>
        </r>
      </text>
    </comment>
    <comment ref="A20" authorId="1" shapeId="0">
      <text>
        <r>
          <rPr>
            <b/>
            <sz val="8"/>
            <color indexed="81"/>
            <rFont val="Tahoma"/>
            <family val="2"/>
          </rPr>
          <t>Jsager:</t>
        </r>
        <r>
          <rPr>
            <sz val="8"/>
            <color indexed="81"/>
            <rFont val="Tahoma"/>
            <family val="2"/>
          </rPr>
          <t xml:space="preserve">
Per Keith, monthly projections, received by Dru as monthly process</t>
        </r>
      </text>
    </comment>
    <comment ref="C27" authorId="0" shapeId="0">
      <text>
        <r>
          <rPr>
            <b/>
            <sz val="9"/>
            <color indexed="81"/>
            <rFont val="Tahoma"/>
            <family val="2"/>
          </rPr>
          <t xml:space="preserve">boverfi: when proforma final use actual RP and fix for year
</t>
        </r>
      </text>
    </comment>
    <comment ref="A34" authorId="2" shapeId="0">
      <text>
        <r>
          <rPr>
            <b/>
            <sz val="9"/>
            <color indexed="81"/>
            <rFont val="Tahoma"/>
            <family val="2"/>
          </rPr>
          <t>Doug Ziegler:</t>
        </r>
        <r>
          <rPr>
            <sz val="9"/>
            <color indexed="81"/>
            <rFont val="Tahoma"/>
            <family val="2"/>
          </rPr>
          <t xml:space="preserve">
Green highlighted section added so that the Dashboard could select a which Wholesale scenario to use</t>
        </r>
      </text>
    </comment>
    <comment ref="A57" authorId="3" shapeId="0">
      <text>
        <r>
          <rPr>
            <b/>
            <sz val="9"/>
            <color indexed="81"/>
            <rFont val="Tahoma"/>
            <family val="2"/>
          </rPr>
          <t>Baxter Gillette:</t>
        </r>
        <r>
          <rPr>
            <sz val="9"/>
            <color indexed="81"/>
            <rFont val="Tahoma"/>
            <family val="2"/>
          </rPr>
          <t xml:space="preserve">
FF Net Power row 52
</t>
        </r>
      </text>
    </comment>
    <comment ref="A60" authorId="3" shapeId="0">
      <text>
        <r>
          <rPr>
            <b/>
            <sz val="9"/>
            <color indexed="81"/>
            <rFont val="Tahoma"/>
            <family val="2"/>
          </rPr>
          <t>Baxter Gillette:</t>
        </r>
        <r>
          <rPr>
            <sz val="9"/>
            <color indexed="81"/>
            <rFont val="Tahoma"/>
            <family val="2"/>
          </rPr>
          <t xml:space="preserve">
FF Net Power row 53
</t>
        </r>
      </text>
    </comment>
    <comment ref="B68" authorId="1" shapeId="0">
      <text>
        <r>
          <rPr>
            <b/>
            <sz val="8"/>
            <color indexed="81"/>
            <rFont val="Tahoma"/>
            <family val="2"/>
          </rPr>
          <t>Jsager:</t>
        </r>
        <r>
          <rPr>
            <sz val="8"/>
            <color indexed="81"/>
            <rFont val="Tahoma"/>
            <family val="2"/>
          </rPr>
          <t xml:space="preserve">
Per Steve
</t>
        </r>
      </text>
    </comment>
    <comment ref="B71" authorId="1" shapeId="0">
      <text>
        <r>
          <rPr>
            <b/>
            <sz val="8"/>
            <color indexed="81"/>
            <rFont val="Tahoma"/>
            <family val="2"/>
          </rPr>
          <t>Jsager:</t>
        </r>
        <r>
          <rPr>
            <sz val="8"/>
            <color indexed="81"/>
            <rFont val="Tahoma"/>
            <family val="2"/>
          </rPr>
          <t xml:space="preserve">
Per Steve, still checking, $750K is not far out of line</t>
        </r>
      </text>
    </comment>
    <comment ref="B72" authorId="1" shapeId="0">
      <text>
        <r>
          <rPr>
            <b/>
            <sz val="8"/>
            <color indexed="81"/>
            <rFont val="Tahoma"/>
            <family val="2"/>
          </rPr>
          <t>Jsager:</t>
        </r>
        <r>
          <rPr>
            <sz val="8"/>
            <color indexed="81"/>
            <rFont val="Tahoma"/>
            <family val="2"/>
          </rPr>
          <t xml:space="preserve">
Per Rod</t>
        </r>
      </text>
    </comment>
  </commentList>
</comments>
</file>

<file path=xl/comments7.xml><?xml version="1.0" encoding="utf-8"?>
<comments xmlns="http://schemas.openxmlformats.org/spreadsheetml/2006/main">
  <authors>
    <author>Doug Ziegler</author>
    <author>bgillette</author>
  </authors>
  <commentList>
    <comment ref="D8" authorId="0" shapeId="0">
      <text>
        <r>
          <rPr>
            <b/>
            <sz val="16"/>
            <color indexed="81"/>
            <rFont val="Tahoma"/>
            <family val="2"/>
          </rPr>
          <t>Doug Ziegler:</t>
        </r>
        <r>
          <rPr>
            <sz val="16"/>
            <color indexed="81"/>
            <rFont val="Tahoma"/>
            <family val="2"/>
          </rPr>
          <t xml:space="preserve">
Any costs that show up here are classified as A&amp;G for PRP</t>
        </r>
      </text>
    </comment>
    <comment ref="O175" authorId="1" shapeId="0">
      <text>
        <r>
          <rPr>
            <b/>
            <sz val="9"/>
            <color indexed="81"/>
            <rFont val="Tahoma"/>
            <charset val="1"/>
          </rPr>
          <t>bgillette:</t>
        </r>
        <r>
          <rPr>
            <sz val="9"/>
            <color indexed="81"/>
            <rFont val="Tahoma"/>
            <charset val="1"/>
          </rPr>
          <t xml:space="preserve">
These were not used in the 2017 COSA as we took the FF directly which was better than budget / FF with escalators</t>
        </r>
      </text>
    </comment>
  </commentList>
</comments>
</file>

<file path=xl/comments8.xml><?xml version="1.0" encoding="utf-8"?>
<comments xmlns="http://schemas.openxmlformats.org/spreadsheetml/2006/main">
  <authors>
    <author>bgillette</author>
    <author>Doug Ziegler</author>
    <author>Baxter Gillette</author>
  </authors>
  <commentList>
    <comment ref="P11" authorId="0" shapeId="0">
      <text>
        <r>
          <rPr>
            <b/>
            <sz val="9"/>
            <color indexed="81"/>
            <rFont val="Tahoma"/>
            <family val="2"/>
          </rPr>
          <t>bgillette:</t>
        </r>
        <r>
          <rPr>
            <sz val="9"/>
            <color indexed="81"/>
            <rFont val="Tahoma"/>
            <family val="2"/>
          </rPr>
          <t xml:space="preserve">
The PRP power costs reflect what is allowable 30-year debt costs to power purchasers.  The district makes up the difference.
</t>
        </r>
      </text>
    </comment>
    <comment ref="N14" authorId="1" shapeId="0">
      <text>
        <r>
          <rPr>
            <b/>
            <sz val="9"/>
            <color indexed="81"/>
            <rFont val="Tahoma"/>
            <family val="2"/>
          </rPr>
          <t>Doug Ziegler:</t>
        </r>
        <r>
          <rPr>
            <sz val="9"/>
            <color indexed="81"/>
            <rFont val="Tahoma"/>
            <family val="2"/>
          </rPr>
          <t xml:space="preserve">
From email on 7/10/14
#1 – Meaningful Priority Step Up – Disregard this going forward.  This was a short-lived mechanism to try to accomplish some “fairness” between the Power Purchasers that had different shares in the two different dams (Priest Rapids and Wanapum) from 2005 to 2009.  The new Priest Rapids dam Power Sales Contract was signed in 2005 and the Wanapum in 2009.  Between that period of time some of the Power Purchasers complained about the fairness of cost allocation based upon the differences in the lingering old contract and the new contract.  This is no longer applicable going forward.
If we do include:  ='Forecast (BV) 2014'!J88</t>
        </r>
      </text>
    </comment>
    <comment ref="N16" authorId="1" shapeId="0">
      <text>
        <r>
          <rPr>
            <b/>
            <sz val="9"/>
            <color indexed="81"/>
            <rFont val="Tahoma"/>
            <family val="2"/>
          </rPr>
          <t>Doug Ziegler:</t>
        </r>
        <r>
          <rPr>
            <sz val="9"/>
            <color indexed="81"/>
            <rFont val="Tahoma"/>
            <family val="2"/>
          </rPr>
          <t xml:space="preserve">
From email on 7/10/14
#2 – Discount PRP Adjustment to power cost  - from Phil Law our Chief Accountant - As for the “Discount PRP Adj to power cost”  I think he is referring to Account 1001-555035 DSC PRP Adj to Power Cost.  That is the adjustment we make between PRP revenue and ES power costs to get the Debt Service Coverage (DSC) at PRP to land at exactly 1.15X</t>
        </r>
      </text>
    </comment>
    <comment ref="P25" authorId="0" shapeId="0">
      <text>
        <r>
          <rPr>
            <b/>
            <sz val="9"/>
            <color indexed="81"/>
            <rFont val="Tahoma"/>
            <family val="2"/>
          </rPr>
          <t>bgillette:</t>
        </r>
        <r>
          <rPr>
            <sz val="9"/>
            <color indexed="81"/>
            <rFont val="Tahoma"/>
            <family val="2"/>
          </rPr>
          <t xml:space="preserve">
moved to 2016 budget</t>
        </r>
      </text>
    </comment>
    <comment ref="N30" authorId="1" shapeId="0">
      <text>
        <r>
          <rPr>
            <b/>
            <sz val="9"/>
            <color indexed="81"/>
            <rFont val="Tahoma"/>
            <family val="2"/>
          </rPr>
          <t>Doug Ziegler:</t>
        </r>
        <r>
          <rPr>
            <sz val="9"/>
            <color indexed="81"/>
            <rFont val="Tahoma"/>
            <family val="2"/>
          </rPr>
          <t xml:space="preserve">
From email on 7/10/14
#1 – Meaningful Priority Step Up – Disregard this going forward.  This was a short-lived mechanism to try to accomplish some “fairness” between the Power Purchasers that had different shares in the two different dams (Priest Rapids and Wanapum) from 2005 to 2009.  The new Priest Rapids dam Power Sales Contract was signed in 2005 and the Wanapum in 2009.  Between that period of time some of the Power Purchasers complained about the fairness of cost allocation based upon the differences in the lingering old contract and the new contract.  This is no longer applicable going forward.
If we do include:  ='Forecast (BV) 2014'!J88</t>
        </r>
      </text>
    </comment>
    <comment ref="N32" authorId="1" shapeId="0">
      <text>
        <r>
          <rPr>
            <b/>
            <sz val="9"/>
            <color indexed="81"/>
            <rFont val="Tahoma"/>
            <family val="2"/>
          </rPr>
          <t>Doug Ziegler:</t>
        </r>
        <r>
          <rPr>
            <sz val="9"/>
            <color indexed="81"/>
            <rFont val="Tahoma"/>
            <family val="2"/>
          </rPr>
          <t xml:space="preserve">
From email on 7/10/14
#2 – Discount PRP Adjustment to power cost  - from Phil Law our Chief Accountant - As for the “Discount PRP Adj to power cost”  I think he is referring to Account 1001-555035 DSC PRP Adj to Power Cost.  That is the adjustment we make between PRP revenue and ES power costs to get the Debt Service Coverage (DSC) at PRP to land at exactly 1.15X</t>
        </r>
      </text>
    </comment>
    <comment ref="P56" authorId="0" shapeId="0">
      <text>
        <r>
          <rPr>
            <b/>
            <sz val="9"/>
            <color indexed="81"/>
            <rFont val="Tahoma"/>
            <family val="2"/>
          </rPr>
          <t>bgillette:</t>
        </r>
        <r>
          <rPr>
            <sz val="9"/>
            <color indexed="81"/>
            <rFont val="Tahoma"/>
            <family val="2"/>
          </rPr>
          <t xml:space="preserve">
Doug Ziegler in 2014 said this figure was originally zero in the budget but should have been $2M in 2014 and was shifted from PRP.  Dramatically lower now becase fewer transmission purchases from BPA</t>
        </r>
      </text>
    </comment>
    <comment ref="P183" authorId="2" shapeId="0">
      <text>
        <r>
          <rPr>
            <b/>
            <sz val="9"/>
            <color indexed="81"/>
            <rFont val="Tahoma"/>
            <charset val="1"/>
          </rPr>
          <t>Baxter Gillette:</t>
        </r>
        <r>
          <rPr>
            <sz val="9"/>
            <color indexed="81"/>
            <rFont val="Tahoma"/>
            <charset val="1"/>
          </rPr>
          <t xml:space="preserve">
Watch out in future COSA this needs either to be updated or cells it affects should be independently brought in. </t>
        </r>
      </text>
    </comment>
  </commentList>
</comments>
</file>

<file path=xl/comments9.xml><?xml version="1.0" encoding="utf-8"?>
<comments xmlns="http://schemas.openxmlformats.org/spreadsheetml/2006/main">
  <authors>
    <author>bgillette</author>
    <author>Doug Ziegler</author>
    <author>Baxter Gillette</author>
  </authors>
  <commentList>
    <comment ref="F22" authorId="0" shapeId="0">
      <text>
        <r>
          <rPr>
            <b/>
            <sz val="9"/>
            <color indexed="81"/>
            <rFont val="Tahoma"/>
            <family val="2"/>
          </rPr>
          <t>bgillette:</t>
        </r>
        <r>
          <rPr>
            <sz val="9"/>
            <color indexed="81"/>
            <rFont val="Tahoma"/>
            <family val="2"/>
          </rPr>
          <t xml:space="preserve">
Actual Debt Service, not Power Purchasers Calculation</t>
        </r>
      </text>
    </comment>
    <comment ref="C24" authorId="1" shapeId="0">
      <text>
        <r>
          <rPr>
            <b/>
            <sz val="9"/>
            <color indexed="81"/>
            <rFont val="Tahoma"/>
            <family val="2"/>
          </rPr>
          <t>Doug Ziegler:</t>
        </r>
        <r>
          <rPr>
            <sz val="9"/>
            <color indexed="81"/>
            <rFont val="Tahoma"/>
            <family val="2"/>
          </rPr>
          <t xml:space="preserve">
includes new debt for Wanapum dam repair</t>
        </r>
      </text>
    </comment>
    <comment ref="C25" authorId="1" shapeId="0">
      <text>
        <r>
          <rPr>
            <b/>
            <sz val="9"/>
            <color indexed="81"/>
            <rFont val="Tahoma"/>
            <family val="2"/>
          </rPr>
          <t>Doug Ziegler:</t>
        </r>
        <r>
          <rPr>
            <sz val="9"/>
            <color indexed="81"/>
            <rFont val="Tahoma"/>
            <family val="2"/>
          </rPr>
          <t xml:space="preserve">
Wanapum repairs of $40M</t>
        </r>
      </text>
    </comment>
    <comment ref="C35" authorId="2" shapeId="0">
      <text>
        <r>
          <rPr>
            <b/>
            <sz val="9"/>
            <color indexed="81"/>
            <rFont val="Tahoma"/>
            <family val="2"/>
          </rPr>
          <t>Baxter Gillette:</t>
        </r>
        <r>
          <rPr>
            <sz val="9"/>
            <color indexed="81"/>
            <rFont val="Tahoma"/>
            <family val="2"/>
          </rPr>
          <t xml:space="preserve">
Can delete: directly imported from FF below starting 2016</t>
        </r>
      </text>
    </comment>
  </commentList>
</comments>
</file>

<file path=xl/sharedStrings.xml><?xml version="1.0" encoding="utf-8"?>
<sst xmlns="http://schemas.openxmlformats.org/spreadsheetml/2006/main" count="13271" uniqueCount="4045">
  <si>
    <t>Overhead Plant</t>
  </si>
  <si>
    <t>Underground Plant</t>
  </si>
  <si>
    <t>Line Transformers</t>
  </si>
  <si>
    <t>Total kWh</t>
  </si>
  <si>
    <t>Street Lights (6)</t>
  </si>
  <si>
    <t>Street Lights (2)</t>
  </si>
  <si>
    <t>TOTAL ENERGY SALES</t>
  </si>
  <si>
    <t>1PH</t>
  </si>
  <si>
    <t>3PH</t>
  </si>
  <si>
    <t>0-50,000 kWh</t>
  </si>
  <si>
    <t>All additional</t>
  </si>
  <si>
    <t>0-7,300 mWh</t>
  </si>
  <si>
    <t>0-10,950 mWh</t>
  </si>
  <si>
    <t>Residential-Urban (1)</t>
  </si>
  <si>
    <t>Residential-Rural (1)</t>
  </si>
  <si>
    <t>Irrigation (3)</t>
  </si>
  <si>
    <t>Industrial (14)</t>
  </si>
  <si>
    <t>Large Industrial (15)</t>
  </si>
  <si>
    <t>Agricultural Processing (16)</t>
  </si>
  <si>
    <t>Agricultural Boiler (85)</t>
  </si>
  <si>
    <t>Industrial (94)</t>
  </si>
  <si>
    <t>General Service (2)</t>
  </si>
  <si>
    <t>Large General Service (7)</t>
  </si>
  <si>
    <t>Other Sales (PA)</t>
  </si>
  <si>
    <t>ALLOCATION CLASSES</t>
  </si>
  <si>
    <t>Urban - Laterals and Secondary</t>
  </si>
  <si>
    <t>Rural - Laterals and Secondary</t>
  </si>
  <si>
    <t>[A] * [N]</t>
  </si>
  <si>
    <t>Urban - Primary Service Demand (excl. Prim. Serv. &amp; Trans.)</t>
  </si>
  <si>
    <t>Rural - Primary Service Demand (excl. Prim. Serv. &amp; Trans.)</t>
  </si>
  <si>
    <t>Total Residential-Urban (1)</t>
  </si>
  <si>
    <t>Total Residential-Rural (1)</t>
  </si>
  <si>
    <t>Total Irrigation (3)</t>
  </si>
  <si>
    <t>Total General Service (2)</t>
  </si>
  <si>
    <t>Total Large General Service (7)</t>
  </si>
  <si>
    <t>Total Industrial (14)</t>
  </si>
  <si>
    <t>Total Large Industrial (15)</t>
  </si>
  <si>
    <t>Total Agricultural Processing (16)</t>
  </si>
  <si>
    <t>Total Agricultural Boiler (85)</t>
  </si>
  <si>
    <t>Total Industrial (94)</t>
  </si>
  <si>
    <t>Total Street Lights (6)</t>
  </si>
  <si>
    <t>Total Street Lights (2)</t>
  </si>
  <si>
    <t>Total Other Sales (PA)</t>
  </si>
  <si>
    <t>TOTAL</t>
  </si>
  <si>
    <t>REPORT OF BILLING FOR YEAR 2009</t>
  </si>
  <si>
    <t>by Class of Service</t>
  </si>
  <si>
    <t>Account Number</t>
  </si>
  <si>
    <t>Class of Service *</t>
  </si>
  <si>
    <t>Avg Number of SA's</t>
  </si>
  <si>
    <t>Year End Number of SA's</t>
  </si>
  <si>
    <t xml:space="preserve">                           Amount Billed</t>
  </si>
  <si>
    <t>Excluding City Taxes</t>
  </si>
  <si>
    <t xml:space="preserve"> Including City Taxes</t>
  </si>
  <si>
    <t>440.01</t>
  </si>
  <si>
    <t>440.02</t>
  </si>
  <si>
    <t>TOTAL 440</t>
  </si>
  <si>
    <t>442.01</t>
  </si>
  <si>
    <t>442.03</t>
  </si>
  <si>
    <t>Industrial (14,15,16,85,91,94)</t>
  </si>
  <si>
    <t>442.04</t>
  </si>
  <si>
    <t>Commerical (2,2C,2F)</t>
  </si>
  <si>
    <t>442.05</t>
  </si>
  <si>
    <t>Large General (7)</t>
  </si>
  <si>
    <t>444.01</t>
  </si>
  <si>
    <t>444.02</t>
  </si>
  <si>
    <t>Other Sales to (PA)</t>
  </si>
  <si>
    <t>Alternate Power Sales</t>
  </si>
  <si>
    <t>2009 RETAIL REVENUE</t>
  </si>
  <si>
    <t>2009 AUDIT</t>
  </si>
  <si>
    <t>Commercial &amp; Industrial</t>
  </si>
  <si>
    <t>Government and Other</t>
  </si>
  <si>
    <t>HP</t>
  </si>
  <si>
    <t>PH1</t>
  </si>
  <si>
    <t>PH3</t>
  </si>
  <si>
    <t>Total Industrial (14,15,16,85,91,94)</t>
  </si>
  <si>
    <t>Amount Billed</t>
  </si>
  <si>
    <t>Total Commerical (2,2C,2F)</t>
  </si>
  <si>
    <t>Total Commercial &amp; Industrial</t>
  </si>
  <si>
    <t>Total Governmental &amp; Other</t>
  </si>
  <si>
    <t>Adjusted</t>
  </si>
  <si>
    <t>Diff in Revenue</t>
  </si>
  <si>
    <t>2009 RETAIL REVENUE Block Detail</t>
  </si>
  <si>
    <t>(c) - (b)</t>
  </si>
  <si>
    <t>Total Alternate Power Sales</t>
  </si>
  <si>
    <t>(d) / (b)</t>
  </si>
  <si>
    <t>CUS4U</t>
  </si>
  <si>
    <t>CUS4R</t>
  </si>
  <si>
    <t>CAP3U</t>
  </si>
  <si>
    <t>CAP3R</t>
  </si>
  <si>
    <t>Allocated System Excess Demand</t>
  </si>
  <si>
    <t>[Q] * ED</t>
  </si>
  <si>
    <t>12 CP</t>
  </si>
  <si>
    <t>TOTAL USE</t>
  </si>
  <si>
    <t>TOTAL USE kW</t>
  </si>
  <si>
    <t>TOTAL USE HP</t>
  </si>
  <si>
    <t>[D] / [B]</t>
  </si>
  <si>
    <t>Urban - Primary Service Demand</t>
  </si>
  <si>
    <t>Rural - Primary Service Demand</t>
  </si>
  <si>
    <t>LAND</t>
  </si>
  <si>
    <t>STRUC &amp; IMP</t>
  </si>
  <si>
    <t>TOOLS</t>
  </si>
  <si>
    <t>STORES EQUIP</t>
  </si>
  <si>
    <t>OFFICE F&amp;E</t>
  </si>
  <si>
    <t xml:space="preserve"># of </t>
  </si>
  <si>
    <t xml:space="preserve">Demand </t>
  </si>
  <si>
    <t>Substation and Lines</t>
  </si>
  <si>
    <t>Total Distribution</t>
  </si>
  <si>
    <t>Transmission:</t>
  </si>
  <si>
    <t>Distribution:</t>
  </si>
  <si>
    <t>Total Original Cost</t>
  </si>
  <si>
    <t>REVENUE REQUIREMENTS</t>
  </si>
  <si>
    <t>Total Operating &amp; Maintenance Expenses</t>
  </si>
  <si>
    <t>For Fiscal Year Ending,</t>
  </si>
  <si>
    <t>Total Production Plant</t>
  </si>
  <si>
    <t>Test Year</t>
  </si>
  <si>
    <t>Esc.</t>
  </si>
  <si>
    <t>Functionalization of Revenue Requirements</t>
  </si>
  <si>
    <t>Units of Service</t>
  </si>
  <si>
    <t>Customer Class</t>
  </si>
  <si>
    <t>Loss Factor</t>
  </si>
  <si>
    <t>Energy Responsibility</t>
  </si>
  <si>
    <t>Amount</t>
  </si>
  <si>
    <t>Percent</t>
  </si>
  <si>
    <t xml:space="preserve">Annual </t>
  </si>
  <si>
    <t>Load</t>
  </si>
  <si>
    <t>Maximum</t>
  </si>
  <si>
    <t>Class Demand</t>
  </si>
  <si>
    <t>Non-Coincident Demand</t>
  </si>
  <si>
    <t>Coincidence</t>
  </si>
  <si>
    <t>Class Excess Demand</t>
  </si>
  <si>
    <t>2010 Capital</t>
  </si>
  <si>
    <t>2012 Capital</t>
  </si>
  <si>
    <t>System</t>
  </si>
  <si>
    <t>AED Responsibility</t>
  </si>
  <si>
    <t xml:space="preserve">of </t>
  </si>
  <si>
    <t>Other Expenditures and Transfers</t>
  </si>
  <si>
    <t>Net Revenue Requirement</t>
  </si>
  <si>
    <t>Customer Related Cost Responsibility</t>
  </si>
  <si>
    <t>Weighting</t>
  </si>
  <si>
    <t>Factors</t>
  </si>
  <si>
    <t>[F]</t>
  </si>
  <si>
    <t>[G]</t>
  </si>
  <si>
    <t>[H]</t>
  </si>
  <si>
    <t>[I]</t>
  </si>
  <si>
    <t>Average</t>
  </si>
  <si>
    <t>[J]</t>
  </si>
  <si>
    <t>[K]</t>
  </si>
  <si>
    <t>[L]</t>
  </si>
  <si>
    <t>[M]</t>
  </si>
  <si>
    <t>[N]</t>
  </si>
  <si>
    <t>[O]</t>
  </si>
  <si>
    <t>[P]</t>
  </si>
  <si>
    <t>Annual</t>
  </si>
  <si>
    <t>[Q]</t>
  </si>
  <si>
    <t>[R]</t>
  </si>
  <si>
    <t>[B]</t>
  </si>
  <si>
    <t>kWh</t>
  </si>
  <si>
    <t>kW</t>
  </si>
  <si>
    <t>ENR1</t>
  </si>
  <si>
    <t>CAP1</t>
  </si>
  <si>
    <t>CAP3</t>
  </si>
  <si>
    <t>CAP2</t>
  </si>
  <si>
    <t>CUS1</t>
  </si>
  <si>
    <t>CUS2</t>
  </si>
  <si>
    <t>CUS3</t>
  </si>
  <si>
    <t>REV</t>
  </si>
  <si>
    <t>Unbundled Unit Cost</t>
  </si>
  <si>
    <t>Cost of Service</t>
  </si>
  <si>
    <t>Capacity</t>
  </si>
  <si>
    <t>Accounts</t>
  </si>
  <si>
    <t>Substations</t>
  </si>
  <si>
    <t>Services</t>
  </si>
  <si>
    <t>Meters</t>
  </si>
  <si>
    <t>and</t>
  </si>
  <si>
    <t>Street</t>
  </si>
  <si>
    <t>Direct</t>
  </si>
  <si>
    <t>Sales</t>
  </si>
  <si>
    <t>Weighted No.</t>
  </si>
  <si>
    <t>Demand Charge</t>
  </si>
  <si>
    <t>Subtotal</t>
  </si>
  <si>
    <t>Rates</t>
  </si>
  <si>
    <t>SL</t>
  </si>
  <si>
    <t>TC</t>
  </si>
  <si>
    <t>DC</t>
  </si>
  <si>
    <t>DLT</t>
  </si>
  <si>
    <t>CS</t>
  </si>
  <si>
    <t>CM</t>
  </si>
  <si>
    <t>A&amp;S</t>
  </si>
  <si>
    <t>SR</t>
  </si>
  <si>
    <t>Base:</t>
  </si>
  <si>
    <t>Total Revenue</t>
  </si>
  <si>
    <t>Supervised O&amp;M Expenses Before General Plant</t>
  </si>
  <si>
    <t>Transmission O&amp;M</t>
  </si>
  <si>
    <t>Distribution O&amp;M</t>
  </si>
  <si>
    <t>SUP. O&amp;M</t>
  </si>
  <si>
    <t>OTHER</t>
  </si>
  <si>
    <t>No</t>
  </si>
  <si>
    <t>Debt Service Summary</t>
  </si>
  <si>
    <t xml:space="preserve">Energy Charge </t>
  </si>
  <si>
    <t>Total Base Rate Revenue</t>
  </si>
  <si>
    <t>Projection of Revenues</t>
  </si>
  <si>
    <t xml:space="preserve">Sheet </t>
  </si>
  <si>
    <t>Name</t>
  </si>
  <si>
    <t>LAND &amp; LAND RIGHTS</t>
  </si>
  <si>
    <t>Electric</t>
  </si>
  <si>
    <t>Net Electric</t>
  </si>
  <si>
    <t>Original Cost</t>
  </si>
  <si>
    <t>STRUCTURES &amp; IMPR</t>
  </si>
  <si>
    <t>Allocation Reference</t>
  </si>
  <si>
    <t>"Allocation Reference"</t>
  </si>
  <si>
    <t>Base</t>
  </si>
  <si>
    <t>System Excess Demand</t>
  </si>
  <si>
    <t>Table 3-1</t>
  </si>
  <si>
    <t>Load Forecast</t>
  </si>
  <si>
    <t>Irrigation (3) 1 PH</t>
  </si>
  <si>
    <t>Basic Charge:</t>
  </si>
  <si>
    <t>Block 1</t>
  </si>
  <si>
    <t>Block 2</t>
  </si>
  <si>
    <t>Demand Charge:</t>
  </si>
  <si>
    <t xml:space="preserve"> No. </t>
  </si>
  <si>
    <t>Class</t>
  </si>
  <si>
    <t>Block 3</t>
  </si>
  <si>
    <t>Capacity Charge:</t>
  </si>
  <si>
    <t>DeEnergized Capacity Charge:</t>
  </si>
  <si>
    <t>RATE INCREASE</t>
  </si>
  <si>
    <t>RESIDENTIAL - URBAN &amp; RURAL</t>
  </si>
  <si>
    <t>LARGE GENERAL SERVICE (7)</t>
  </si>
  <si>
    <t>INDUSTRIAL (14)</t>
  </si>
  <si>
    <t>LARGE INDUSTRIAL (15)</t>
  </si>
  <si>
    <t>AGRICULTURAL PROCESSING (16)</t>
  </si>
  <si>
    <t>AGRICULTURAL BOILER (85)</t>
  </si>
  <si>
    <t>INDUSTRIAL (94)</t>
  </si>
  <si>
    <t>STREET LIGHTS (6)</t>
  </si>
  <si>
    <t>Discount</t>
  </si>
  <si>
    <t>kW Percent of kWh</t>
  </si>
  <si>
    <t>Block 1 Percentage</t>
  </si>
  <si>
    <t>Block 2 Percentage</t>
  </si>
  <si>
    <t>Block 3 Percentage</t>
  </si>
  <si>
    <t>Hours (kWh/kW)</t>
  </si>
  <si>
    <t>Facility Charge:</t>
  </si>
  <si>
    <t>Partial Facility Charge:</t>
  </si>
  <si>
    <t>Minimum Charge:</t>
  </si>
  <si>
    <t>Energy Block 1 (0-20,000 kWh)</t>
  </si>
  <si>
    <t>Energy Block 2 (Next 72,000 kWh)</t>
  </si>
  <si>
    <t>IRRIGATION</t>
  </si>
  <si>
    <t>1 PH</t>
  </si>
  <si>
    <t>3 PH</t>
  </si>
  <si>
    <t>GENERAL SERVICE (2)</t>
  </si>
  <si>
    <t>STREET LIGHTS (2)</t>
  </si>
  <si>
    <t>OTHER SALES (PA)</t>
  </si>
  <si>
    <t>ALTERNATE POWER SALES</t>
  </si>
  <si>
    <t>Basic Charge</t>
  </si>
  <si>
    <t>URBAN</t>
  </si>
  <si>
    <t>RURAL</t>
  </si>
  <si>
    <t>Capacity Charge</t>
  </si>
  <si>
    <t>DeEnergized Capacity</t>
  </si>
  <si>
    <t>Days Per Customer</t>
  </si>
  <si>
    <t>Partial Facility Charge</t>
  </si>
  <si>
    <t>Facility Charge</t>
  </si>
  <si>
    <t>Months Per Customer</t>
  </si>
  <si>
    <t>TOTAL REVENUE</t>
  </si>
  <si>
    <t>COMMERCIAL AND INDUSTRIAL</t>
  </si>
  <si>
    <t>GOVERNMENTAL AND OTHERS</t>
  </si>
  <si>
    <t>Total OC Plant</t>
  </si>
  <si>
    <t>Sales to Other Utilities</t>
  </si>
  <si>
    <t>EUDL</t>
  </si>
  <si>
    <t>Forecast</t>
  </si>
  <si>
    <t>Capital Program</t>
  </si>
  <si>
    <t>Large Industrial (15) &amp; (94)</t>
  </si>
  <si>
    <t>Capital Improvement Program</t>
  </si>
  <si>
    <t>Table 3</t>
  </si>
  <si>
    <t>Energy Charge:</t>
  </si>
  <si>
    <t>Existing and Projected Rates</t>
  </si>
  <si>
    <t>Cumulative Revenue Surplus / (Deficiency)</t>
  </si>
  <si>
    <t>Table 3-9</t>
  </si>
  <si>
    <t>Total Other Expenses</t>
  </si>
  <si>
    <t>Total Purchased Power</t>
  </si>
  <si>
    <t>Total Customer</t>
  </si>
  <si>
    <t>Total Dist Fiber Optic Net</t>
  </si>
  <si>
    <t>Total Dist Electrical</t>
  </si>
  <si>
    <t>Total Fiber Optic Net Op</t>
  </si>
  <si>
    <t>Total A&amp;D</t>
  </si>
  <si>
    <t>Retail Energy Sales</t>
  </si>
  <si>
    <t>Green Power Sales</t>
  </si>
  <si>
    <t>Penalty for Late Payment</t>
  </si>
  <si>
    <t>Misc Service Revenue</t>
  </si>
  <si>
    <t>Rent from Elec Property</t>
  </si>
  <si>
    <t>Other Electric Revenues</t>
  </si>
  <si>
    <t>Fiber Optic Network</t>
  </si>
  <si>
    <t>Less: Other Revenue</t>
  </si>
  <si>
    <t>TY_Units</t>
  </si>
  <si>
    <t>Spec Contract Rev</t>
  </si>
  <si>
    <t>Test Year Customer Data Summary</t>
  </si>
  <si>
    <t>Projected Revenue for Special Contracts</t>
  </si>
  <si>
    <t>Other Inc_Summ</t>
  </si>
  <si>
    <t>Other E_Summ</t>
  </si>
  <si>
    <t>Cash Balance</t>
  </si>
  <si>
    <r>
      <t xml:space="preserve">The total system projected operating results over the forecast period </t>
    </r>
    <r>
      <rPr>
        <b/>
        <sz val="9"/>
        <rFont val="Times New Roman"/>
        <family val="1"/>
      </rPr>
      <t>with</t>
    </r>
    <r>
      <rPr>
        <sz val="12"/>
        <rFont val="Times New Roman"/>
        <family val="1"/>
      </rPr>
      <t xml:space="preserve"> rate adjustments.</t>
    </r>
  </si>
  <si>
    <r>
      <t xml:space="preserve">The total system projected operating results over the forecast period </t>
    </r>
    <r>
      <rPr>
        <b/>
        <sz val="9"/>
        <rFont val="Times New Roman"/>
        <family val="1"/>
      </rPr>
      <t>without</t>
    </r>
    <r>
      <rPr>
        <sz val="12"/>
        <rFont val="Times New Roman"/>
        <family val="1"/>
      </rPr>
      <t xml:space="preserve"> rate adjustments.</t>
    </r>
  </si>
  <si>
    <t>POR_Sum Existing</t>
  </si>
  <si>
    <t>POR_Sum Proposed</t>
  </si>
  <si>
    <t>Interest Capital</t>
  </si>
  <si>
    <t>Principal Capital</t>
  </si>
  <si>
    <t>Labor Bur/Ben</t>
  </si>
  <si>
    <t>Base Revenue</t>
  </si>
  <si>
    <t>Total Other Income Sources</t>
  </si>
  <si>
    <t>Fiscal Year</t>
  </si>
  <si>
    <t>Calculation of Other Income</t>
  </si>
  <si>
    <t>Other Revenue:</t>
  </si>
  <si>
    <t>Total Other Revenue</t>
  </si>
  <si>
    <t>MISC HYD GENR-PEC</t>
  </si>
  <si>
    <t>OTHER GENERATION - RENT</t>
  </si>
  <si>
    <t>OTHER GENERAL &amp; ADMIN EXPENSE</t>
  </si>
  <si>
    <t>GENERATION</t>
  </si>
  <si>
    <t>DISTRIBUTION ELECTRICAL</t>
  </si>
  <si>
    <t>DISTRIBUTION FIBER OPTIC NETWORK</t>
  </si>
  <si>
    <t>CUSTOMER</t>
  </si>
  <si>
    <t>FIBER OPTIC NETWORK OPERATIONS</t>
  </si>
  <si>
    <t>ROADS &amp; TRAILS, TRANS</t>
  </si>
  <si>
    <t>STA EQUIP-SWITCHYARD</t>
  </si>
  <si>
    <t>STA EQ-CENT DISP-JOINT</t>
  </si>
  <si>
    <t>SERVICES UNDERGROUND</t>
  </si>
  <si>
    <t>METER INVENTORY</t>
  </si>
  <si>
    <t>NOC SOFTWARE/ HARDWARE</t>
  </si>
  <si>
    <t>SERVICES OVERHEAD</t>
  </si>
  <si>
    <t>LAND, EPHRATA OFFICE SITE</t>
  </si>
  <si>
    <t>LAND, EPHRATA WHSE SITE</t>
  </si>
  <si>
    <t>LAND, EPHRATA SVC CENTER</t>
  </si>
  <si>
    <t>LAND, MOSES LAKE OFFICE SITE</t>
  </si>
  <si>
    <t>LAND, MOSE LAKE WHSE SITE</t>
  </si>
  <si>
    <t>LAND, QUINCY OFFICE SITE</t>
  </si>
  <si>
    <t>LAND, GRD COULEE WHSE SITE</t>
  </si>
  <si>
    <t>LAND, GRD COULEE OFFICE SITE</t>
  </si>
  <si>
    <t>LAND, R CITY OFF &amp; WHSE SITE</t>
  </si>
  <si>
    <t>LAND, SCHAWANA SITE</t>
  </si>
  <si>
    <t>LAND-JOINT</t>
  </si>
  <si>
    <t>STRUC &amp; IMP, EPH OFFICE</t>
  </si>
  <si>
    <t>STRUC &amp; IMP, EPH WHSE</t>
  </si>
  <si>
    <t>STRUC &amp; IMP EPH TRANS REPAIR</t>
  </si>
  <si>
    <t>STRUC &amp; IMP, EPH LINE</t>
  </si>
  <si>
    <t>STRUC &amp; IMP, EPH METER SHOP</t>
  </si>
  <si>
    <t>STRUC &amp; IMP, EPH SERV CENTER</t>
  </si>
  <si>
    <t>STRUC &amp; IMP, ML OFFICE</t>
  </si>
  <si>
    <t>STRUC &amp; IMP, ML WHSE</t>
  </si>
  <si>
    <t>STRUC &amp; IMP ML EMS CTR BACKU</t>
  </si>
  <si>
    <t>STRUC &amp; IMP, ML STOR YD</t>
  </si>
  <si>
    <t>STRUC &amp; IMP, QUINCY OFFICE</t>
  </si>
  <si>
    <t>STRUC &amp; IMP, QUINCY YARD</t>
  </si>
  <si>
    <t>STRUC &amp; IMP, GC WHSE</t>
  </si>
  <si>
    <t>STRUC &amp; IMP, GC OFFICE</t>
  </si>
  <si>
    <t>STRUC &amp; IMP, GC SERVICE CENT</t>
  </si>
  <si>
    <t>STRUC &amp; IMP, RC WHSE</t>
  </si>
  <si>
    <t>A summary of the Test Year net cost of service and revenue surplus/deficiencies defined by customer classes.</t>
  </si>
  <si>
    <t>2008 LGS Billing Determinants divided into new classes</t>
  </si>
  <si>
    <t>Rate Compare for Rate Classes 200 - 400</t>
  </si>
  <si>
    <t>Forecast of the reserve fund balance over the forecast period</t>
  </si>
  <si>
    <t>A summary of the Test Year level of service and the associated service requirements for all customers residing in customer classes served by BPUB (customer, demand, energy) by sales.</t>
  </si>
  <si>
    <t>A summary of the Test Year level of service and the associated service requirements for all customers residing in customer classes served by BPUB (customer, demand, energy) by customers.</t>
  </si>
  <si>
    <t>A summary of the Test Year functional allocation responsibilities for customers residing in all customer classes served by BPUB.</t>
  </si>
  <si>
    <t>New MGS and LGS Billing Determinants escalated to 2010 units</t>
  </si>
  <si>
    <t>Summary of Operations under Recommended Rates and Environmental Surcharge</t>
  </si>
  <si>
    <t>Summary of Operations under Recommend Rates and Environmental Surcharge</t>
  </si>
  <si>
    <t>Bond Issuance Data:</t>
  </si>
  <si>
    <t>A functionalized summary of the Test Year revenue requirements by specified billing determinants.</t>
  </si>
  <si>
    <t>ORIGINAL PLANT</t>
  </si>
  <si>
    <t>Base Difference</t>
  </si>
  <si>
    <t>ORIGINAL PLANT LESS ACCUM. DEPRECIATION</t>
  </si>
  <si>
    <t>Button Labels</t>
  </si>
  <si>
    <t>Main</t>
  </si>
  <si>
    <t>Home</t>
  </si>
  <si>
    <t>Financial Forecast</t>
  </si>
  <si>
    <t>Rate Design</t>
  </si>
  <si>
    <t>Control / Other</t>
  </si>
  <si>
    <t>Support</t>
  </si>
  <si>
    <t>Res Chart</t>
  </si>
  <si>
    <t>Unweighted Retail Cust</t>
  </si>
  <si>
    <t>Customer Accounts</t>
  </si>
  <si>
    <t>Administrative and General</t>
  </si>
  <si>
    <t>Existing Debt</t>
  </si>
  <si>
    <t>Total Existing Debt Service</t>
  </si>
  <si>
    <t>Total Proposed  Debt</t>
  </si>
  <si>
    <t>CUST</t>
  </si>
  <si>
    <t>Unweighted Cust</t>
  </si>
  <si>
    <t>MWh</t>
  </si>
  <si>
    <t>Depreciation</t>
  </si>
  <si>
    <t>Total Net Revenue Requirement</t>
  </si>
  <si>
    <t>Lookup</t>
  </si>
  <si>
    <t>Total Revenues</t>
  </si>
  <si>
    <t>Operation &amp; Maintenance Expenses</t>
  </si>
  <si>
    <t>Other Revenue</t>
  </si>
  <si>
    <t>COS Toggle</t>
  </si>
  <si>
    <t>Cost of Service Study</t>
  </si>
  <si>
    <t>Summary of Revenue Requirements</t>
  </si>
  <si>
    <t>%</t>
  </si>
  <si>
    <t>All Debt Service:</t>
  </si>
  <si>
    <t>Table 4</t>
  </si>
  <si>
    <t>Table 2</t>
  </si>
  <si>
    <t>Index</t>
  </si>
  <si>
    <t>No.</t>
  </si>
  <si>
    <t>Description</t>
  </si>
  <si>
    <t>Escalation</t>
  </si>
  <si>
    <t>Reference</t>
  </si>
  <si>
    <t>Yes</t>
  </si>
  <si>
    <t>Demand / HP</t>
  </si>
  <si>
    <t>Total kW</t>
  </si>
  <si>
    <t>Total HP</t>
  </si>
  <si>
    <t>WFON-D/VIDEO HEAD END EQUIP</t>
  </si>
  <si>
    <t>WFON-HUB ELECTRONICS CIRCUIT</t>
  </si>
  <si>
    <t>WFON-FIBER GATEWAYS</t>
  </si>
  <si>
    <t>WFON-HUB CABINET</t>
  </si>
  <si>
    <t>WFON-DEMARCATION</t>
  </si>
  <si>
    <t>WFON-AERIAL CABLE</t>
  </si>
  <si>
    <t>WFON-UNDERGROUND CABLE</t>
  </si>
  <si>
    <t>STATION EQUIPMENT</t>
  </si>
  <si>
    <t>TOWERS &amp; FIXTURES</t>
  </si>
  <si>
    <t>POLES &amp; FIXTURES</t>
  </si>
  <si>
    <t>OVERHEAD COND &amp; DEV</t>
  </si>
  <si>
    <t>UNDERGROUND CONDUIT</t>
  </si>
  <si>
    <t>POLES, TOWERS, &amp; FIX</t>
  </si>
  <si>
    <t>UNDRGD COND &amp; DEV</t>
  </si>
  <si>
    <t>LINE TRANSFORMERS</t>
  </si>
  <si>
    <t>METERS</t>
  </si>
  <si>
    <t>ST LIGHT &amp; SIGNAL SYS</t>
  </si>
  <si>
    <t>TRANSPORTATION EQUIP</t>
  </si>
  <si>
    <t>POWER OPERATED EQUIP</t>
  </si>
  <si>
    <t>Electric General Plant:</t>
  </si>
  <si>
    <t>Total Electric General Plant</t>
  </si>
  <si>
    <t>Revenue Related Exhibits</t>
  </si>
  <si>
    <t>Cust_Detail</t>
  </si>
  <si>
    <t>Annual customer escalation factors</t>
  </si>
  <si>
    <t>Revenue Requirements Related Exhibits</t>
  </si>
  <si>
    <t>O&amp;M_Detail</t>
  </si>
  <si>
    <t>Detail of O&amp;M expenditures.</t>
  </si>
  <si>
    <t>O&amp;M_Summ</t>
  </si>
  <si>
    <t>CIP_Summ</t>
  </si>
  <si>
    <t>Financial Forecast Results</t>
  </si>
  <si>
    <t>Summary of FY 2008 asset at original cost, accumulated depreciation, and the calculated depreciation expense.</t>
  </si>
  <si>
    <t>COS_Supervised O&amp;M</t>
  </si>
  <si>
    <t>A summary of the Test Year functional allocation responsibilities for supervised O&amp;M.</t>
  </si>
  <si>
    <t>COS_Units (sales)</t>
  </si>
  <si>
    <t>COS_Units (cust)</t>
  </si>
  <si>
    <t>CASH BASIS:</t>
  </si>
  <si>
    <t>TOTAL COST OF SERVICE</t>
  </si>
  <si>
    <t>Annual
Demand</t>
  </si>
  <si>
    <t>Factor
Percent</t>
  </si>
  <si>
    <t>Coincidence 
Factor</t>
  </si>
  <si>
    <t>Excess
Demand</t>
  </si>
  <si>
    <t>System Net Peak Demand</t>
  </si>
  <si>
    <t>FERC</t>
  </si>
  <si>
    <t>[S]</t>
  </si>
  <si>
    <t>[T]</t>
  </si>
  <si>
    <t>[U]</t>
  </si>
  <si>
    <t>Total System</t>
  </si>
  <si>
    <t>Unit Cost</t>
  </si>
  <si>
    <t>Title:</t>
  </si>
  <si>
    <t>For more information about Black &amp; Veatch, please visit our website at http://www.bv.com.</t>
  </si>
  <si>
    <t>B&amp;V Project Team:</t>
  </si>
  <si>
    <t>Name:</t>
  </si>
  <si>
    <t>Phone Number:</t>
  </si>
  <si>
    <t>Fax Number:</t>
  </si>
  <si>
    <t>Email:</t>
  </si>
  <si>
    <t>Director</t>
  </si>
  <si>
    <t>Bob Brady</t>
  </si>
  <si>
    <t>913-458-3372</t>
  </si>
  <si>
    <t>913-458-3817</t>
  </si>
  <si>
    <t>Bradyrj@bv.com</t>
  </si>
  <si>
    <t>A detailed summary of the Test Year unbundled net cost of service for customer residing in customer classes served by BPUB.</t>
  </si>
  <si>
    <t>RATE DESIGN</t>
  </si>
  <si>
    <t>Street Lights</t>
  </si>
  <si>
    <t xml:space="preserve">Allocation </t>
  </si>
  <si>
    <t>Method</t>
  </si>
  <si>
    <t>AED</t>
  </si>
  <si>
    <t>Control and Other Exhibits</t>
  </si>
  <si>
    <t>OTHER / CONTROL</t>
  </si>
  <si>
    <t>Model Support</t>
  </si>
  <si>
    <t>SUPPORT</t>
  </si>
  <si>
    <t>Contacts</t>
  </si>
  <si>
    <t>Contact Information</t>
  </si>
  <si>
    <t>Accum Depr</t>
  </si>
  <si>
    <t xml:space="preserve">Net Electric </t>
  </si>
  <si>
    <t>Book Value</t>
  </si>
  <si>
    <t>Revenue After Debt Service Obligation</t>
  </si>
  <si>
    <t>Adjustment</t>
  </si>
  <si>
    <t>Cust_Esca</t>
  </si>
  <si>
    <t>Proposed Debt</t>
  </si>
  <si>
    <t>Line &amp; Laterals</t>
  </si>
  <si>
    <t>Substation</t>
  </si>
  <si>
    <t>Demand (KW)</t>
  </si>
  <si>
    <t>107</t>
  </si>
  <si>
    <t>Other Expenses</t>
  </si>
  <si>
    <t>Allocation of Functional Cost to Rate Classes</t>
  </si>
  <si>
    <t>163010</t>
  </si>
  <si>
    <t>Energy $ at Input</t>
  </si>
  <si>
    <t>Net Energy for Load, NEL</t>
  </si>
  <si>
    <t>Energy Cost $/kWh @ Target</t>
  </si>
  <si>
    <t>Table 1</t>
  </si>
  <si>
    <t>Table 5</t>
  </si>
  <si>
    <t>Table 6</t>
  </si>
  <si>
    <t>Table 7</t>
  </si>
  <si>
    <t>Table 8</t>
  </si>
  <si>
    <t>Table 9</t>
  </si>
  <si>
    <t>General Service (2) &amp; (PA)</t>
  </si>
  <si>
    <t>183011</t>
  </si>
  <si>
    <t>Other</t>
  </si>
  <si>
    <t>107010</t>
  </si>
  <si>
    <t>107030</t>
  </si>
  <si>
    <t>107040</t>
  </si>
  <si>
    <t>107801</t>
  </si>
  <si>
    <t>ORGANIZATION</t>
  </si>
  <si>
    <t>FRANCHISES &amp; CONSENTS</t>
  </si>
  <si>
    <t>QUINCY CHUTE POWER RIGHTS</t>
  </si>
  <si>
    <t>PEC POWER RIGHTS</t>
  </si>
  <si>
    <t>QUINCY CHUTE ORIG POWER RIGHTS</t>
  </si>
  <si>
    <t>WIND TOWERS</t>
  </si>
  <si>
    <t>SUBSTATION METERS</t>
  </si>
  <si>
    <t>WFON-G/OFFICE F&amp;E, EDP JOINT</t>
  </si>
  <si>
    <t xml:space="preserve">Average 12 CP </t>
  </si>
  <si>
    <t xml:space="preserve">Average to 12CP Percent </t>
  </si>
  <si>
    <t>P+A</t>
  </si>
  <si>
    <t>Retail System Excess Demand</t>
  </si>
  <si>
    <t>ADMIN &amp; GENERAL</t>
  </si>
  <si>
    <t>Residential</t>
  </si>
  <si>
    <t>Annual Sales (MWh)</t>
  </si>
  <si>
    <t>Total MWh (no losses)</t>
  </si>
  <si>
    <t>Table 3-5</t>
  </si>
  <si>
    <t>Units of Service (Sales)</t>
  </si>
  <si>
    <t>Functional Classification of Plant in Service</t>
  </si>
  <si>
    <t>Functionalization Classification of Cost of Service</t>
  </si>
  <si>
    <t>Office Location:</t>
  </si>
  <si>
    <t>Overland Park, KS</t>
  </si>
  <si>
    <t>Rate Design - USD500</t>
  </si>
  <si>
    <t>Rate Design - 250</t>
  </si>
  <si>
    <t>Bill Tab 100-200</t>
  </si>
  <si>
    <t>100 - 200 Typical Customer Bills under Existing and Recommended Rates</t>
  </si>
  <si>
    <t>Bill Tab 250-400</t>
  </si>
  <si>
    <t>250 - 400 Typical Customer Bills under Existing and Recommended Rates</t>
  </si>
  <si>
    <t>Table Rate - 250</t>
  </si>
  <si>
    <t>Rate Compare</t>
  </si>
  <si>
    <t>2008 LGS RECLASS</t>
  </si>
  <si>
    <t>2010 LGS RECLASS</t>
  </si>
  <si>
    <t>Rate Compare for Rate Class 200 - 400</t>
  </si>
  <si>
    <t>Impact on Typical Residential Customer from Recommended Rates</t>
  </si>
  <si>
    <t>Reclass for 2008 LGS</t>
  </si>
  <si>
    <t>Reclass for 2010 LGS</t>
  </si>
  <si>
    <t>Rate design worksheet for Medium General Service</t>
  </si>
  <si>
    <t>Recommended Rates for Residential</t>
  </si>
  <si>
    <t>Recommended Rates for Small General Service</t>
  </si>
  <si>
    <t>Recommended Rates for Medium General Service</t>
  </si>
  <si>
    <t>Recommended Rates for Large General Service</t>
  </si>
  <si>
    <t>Recommended Rates for Large Power Service</t>
  </si>
  <si>
    <t>Table 3-8</t>
  </si>
  <si>
    <t>Sales Units of Service</t>
  </si>
  <si>
    <t>Pro Forma</t>
  </si>
  <si>
    <t xml:space="preserve">Total Revenue Requirement </t>
  </si>
  <si>
    <t>Projected Operating Results Under Existing Rates</t>
  </si>
  <si>
    <t>Actual $</t>
  </si>
  <si>
    <t>Figure 1</t>
  </si>
  <si>
    <t>Projected Rate Increase Maintains Financial Soundness of Electric Division</t>
  </si>
  <si>
    <t>Direct Labor</t>
  </si>
  <si>
    <t>Non-Labor</t>
  </si>
  <si>
    <t>Expense Code</t>
  </si>
  <si>
    <t>Budget $</t>
  </si>
  <si>
    <t>Forecast $</t>
  </si>
  <si>
    <t>Date of Increase</t>
  </si>
  <si>
    <t>Months of First Year</t>
  </si>
  <si>
    <t>Dashboard</t>
  </si>
  <si>
    <t>Dashboard to control and monitor all Revenue and CIP adjustments</t>
  </si>
  <si>
    <t>Financial Forecasting Dashboard</t>
  </si>
  <si>
    <t>Total Transmission</t>
  </si>
  <si>
    <t>Capital Proceeds Required ($)</t>
  </si>
  <si>
    <t>Functionalization of Supervised O&amp;M</t>
  </si>
  <si>
    <t>Total Capital Bond Issuance Amount</t>
  </si>
  <si>
    <t>Escalation Rates</t>
  </si>
  <si>
    <t>Existing Debt Service</t>
  </si>
  <si>
    <t>Other Income:</t>
  </si>
  <si>
    <t>REVENUE</t>
  </si>
  <si>
    <t>Fuel_Summ</t>
  </si>
  <si>
    <t>CIP_E</t>
  </si>
  <si>
    <t>Debt_Sum</t>
  </si>
  <si>
    <t>COST OF SERVICE</t>
  </si>
  <si>
    <t>Asset_Sum</t>
  </si>
  <si>
    <t>COS_RB</t>
  </si>
  <si>
    <t>COS_RR</t>
  </si>
  <si>
    <t>COS_Alloc.</t>
  </si>
  <si>
    <t>COS_Unbun.</t>
  </si>
  <si>
    <t>COS_Summ.</t>
  </si>
  <si>
    <t>COS_Unit</t>
  </si>
  <si>
    <t>PROJECTED OPERATING RESULTS</t>
  </si>
  <si>
    <t>Residential Rate Analysis</t>
  </si>
  <si>
    <t>Rev. Req._Summ.</t>
  </si>
  <si>
    <t>Historic and projected electric system billing determinants.</t>
  </si>
  <si>
    <t>RESIDENTIAL</t>
  </si>
  <si>
    <t>Total kWh (no losses)</t>
  </si>
  <si>
    <t>Projection of revenues over the forecast period.</t>
  </si>
  <si>
    <t>Existing and projected rates.</t>
  </si>
  <si>
    <t>Summary of O&amp;M expenditures over the forecast period.</t>
  </si>
  <si>
    <t>Forecast of fuel related expenditures over the forecast period.</t>
  </si>
  <si>
    <t>Original</t>
  </si>
  <si>
    <t>Total Transmission Assets</t>
  </si>
  <si>
    <t>Code</t>
  </si>
  <si>
    <t>Transmission</t>
  </si>
  <si>
    <t>Distribution</t>
  </si>
  <si>
    <t>Total</t>
  </si>
  <si>
    <t>Service</t>
  </si>
  <si>
    <t>Ref.</t>
  </si>
  <si>
    <t>Energy</t>
  </si>
  <si>
    <t>Customers</t>
  </si>
  <si>
    <t>Demand</t>
  </si>
  <si>
    <t>Customer</t>
  </si>
  <si>
    <t>Production</t>
  </si>
  <si>
    <t>Factor</t>
  </si>
  <si>
    <t>Rounding</t>
  </si>
  <si>
    <t xml:space="preserve">TOTAL ALL GROUPS </t>
  </si>
  <si>
    <t>Customer Units of Service</t>
  </si>
  <si>
    <t>Debt Service</t>
  </si>
  <si>
    <t>Total Debt Service</t>
  </si>
  <si>
    <t>Revenue Requirements</t>
  </si>
  <si>
    <t>Max P&amp;I on Proposed</t>
  </si>
  <si>
    <t>Max P&amp;I Parity</t>
  </si>
  <si>
    <t>Max P&amp;I Total</t>
  </si>
  <si>
    <t>RATE 100 - RESIDENTIAL</t>
  </si>
  <si>
    <t>Energy Block 1 (0 - 3500 kWh)</t>
  </si>
  <si>
    <t>Rate Design - 100</t>
  </si>
  <si>
    <t>Rate Design - 200</t>
  </si>
  <si>
    <t>Rate Design - 300</t>
  </si>
  <si>
    <t>Rate Design - 400</t>
  </si>
  <si>
    <t>Rate Design - 700</t>
  </si>
  <si>
    <t>Rate design worksheet for Residential</t>
  </si>
  <si>
    <t>Rate design worksheet for Small General Service</t>
  </si>
  <si>
    <t>Rate design worksheet for Large General Service</t>
  </si>
  <si>
    <t>Rate design worksheet for Large Power Service</t>
  </si>
  <si>
    <t>Rate design worksheet for School District</t>
  </si>
  <si>
    <t>Rate design worksheet for Lighting</t>
  </si>
  <si>
    <t>Summary of Base Rate under Recommended Rates</t>
  </si>
  <si>
    <t>Rate Design Summ</t>
  </si>
  <si>
    <t>ES Tables</t>
  </si>
  <si>
    <t>Table 4-1</t>
  </si>
  <si>
    <t>Table 4-2</t>
  </si>
  <si>
    <t>Table 4-3</t>
  </si>
  <si>
    <t>Table 4-4</t>
  </si>
  <si>
    <t>Table 4-6</t>
  </si>
  <si>
    <t>Table 4-7</t>
  </si>
  <si>
    <t>Table 4-8</t>
  </si>
  <si>
    <t>Table Rate - 100</t>
  </si>
  <si>
    <t>Table Rate - 200</t>
  </si>
  <si>
    <t>Table Rate - 300</t>
  </si>
  <si>
    <t>Table Rate - 400</t>
  </si>
  <si>
    <t>Executive Summary Tables</t>
  </si>
  <si>
    <t>Summary of Capital Improvement Plan (CIP) Financing Plan</t>
  </si>
  <si>
    <t>Summary of Cost of Service</t>
  </si>
  <si>
    <t>Table 4-5</t>
  </si>
  <si>
    <t>Table 4-9</t>
  </si>
  <si>
    <t>COS RR (top sheet)</t>
  </si>
  <si>
    <t>Summary of Test Year Revenue Requirements</t>
  </si>
  <si>
    <t>Coverage Requirements</t>
  </si>
  <si>
    <t>Revenue Surplus / (Deficiency)</t>
  </si>
  <si>
    <t>A summary of the Test Year functional allocation responsibilities for customers residing in all customer classes served by</t>
  </si>
  <si>
    <t>A detailed summary of the Test Year unbundled net cost of service for customer residing in customer classes served by</t>
  </si>
  <si>
    <t xml:space="preserve">A summary of the Test Year level of service and the associated service requirements for all customers residing in customer classes served by </t>
  </si>
  <si>
    <t>Revenues:</t>
  </si>
  <si>
    <t>Cost</t>
  </si>
  <si>
    <t>Revenue Requirements:</t>
  </si>
  <si>
    <t>Total Revenue Requirements</t>
  </si>
  <si>
    <t>CASH BASIS</t>
  </si>
  <si>
    <t>Other Income Sources:</t>
  </si>
  <si>
    <t>Total Net Revenue Requirements</t>
  </si>
  <si>
    <t>Bond Interest Rate (%)</t>
  </si>
  <si>
    <t>Proposed Senior Debt Service</t>
  </si>
  <si>
    <t>Debt Service Obligations - Summary</t>
  </si>
  <si>
    <t>Existing Debt:</t>
  </si>
  <si>
    <t>Total Existing Debt</t>
  </si>
  <si>
    <t>Proposed Debt:</t>
  </si>
  <si>
    <t>Total Proposed Debt</t>
  </si>
  <si>
    <t>of Customers</t>
  </si>
  <si>
    <t>[A]</t>
  </si>
  <si>
    <t>[C]</t>
  </si>
  <si>
    <t>[D]</t>
  </si>
  <si>
    <t>[E]</t>
  </si>
  <si>
    <t>O&amp;M Summary</t>
  </si>
  <si>
    <t xml:space="preserve">Total </t>
  </si>
  <si>
    <t>Annual Cash Flow</t>
  </si>
  <si>
    <t>Beg Balance</t>
  </si>
  <si>
    <t>End Balance</t>
  </si>
  <si>
    <t xml:space="preserve">Number of </t>
  </si>
  <si>
    <t>Total Generation</t>
  </si>
  <si>
    <t>Key Assumptions</t>
  </si>
  <si>
    <t>Total Sales</t>
  </si>
  <si>
    <t>Projected Operation and Maintenance Expense by Function</t>
  </si>
  <si>
    <t>Total Non-Fuel O&amp;M</t>
  </si>
  <si>
    <t>Accumulated</t>
  </si>
  <si>
    <t>Forecast of the intended capital improvements over the forecast period.</t>
  </si>
  <si>
    <t>Forecast of the electric system's debt service obligations over the forecast period.</t>
  </si>
  <si>
    <t>Forecast of other income to be collected over the forecast period</t>
  </si>
  <si>
    <t>Forecast of other expenditures/transfers to be incurred over the forecast period.</t>
  </si>
  <si>
    <t>Summary of the total system revenue requirements or net cost of service over the forecast period.</t>
  </si>
  <si>
    <t>Functionalization of system assets at original cost and rate base.</t>
  </si>
  <si>
    <t>Functionalization of the Test Year total net cost of service for the specified Test Year.</t>
  </si>
  <si>
    <t>Production O&amp;M</t>
  </si>
  <si>
    <t>Production Plant Expenses</t>
  </si>
  <si>
    <t>Customer Accounts Expense</t>
  </si>
  <si>
    <t>Admin and General Expense</t>
  </si>
  <si>
    <t>Acct</t>
  </si>
  <si>
    <t>Energy (All kWh)</t>
  </si>
  <si>
    <t>Test</t>
  </si>
  <si>
    <t>Total Bond Issuance Cost</t>
  </si>
  <si>
    <t>Bond Terms Environmental (Years)</t>
  </si>
  <si>
    <t>Rev</t>
  </si>
  <si>
    <t>Existing</t>
  </si>
  <si>
    <t>Existing Rates</t>
  </si>
  <si>
    <t>Base Net</t>
  </si>
  <si>
    <t>COS</t>
  </si>
  <si>
    <t>Cash Financed Capital Projects</t>
  </si>
  <si>
    <t>Retail</t>
  </si>
  <si>
    <t>Operation and Maintenance Expense</t>
  </si>
  <si>
    <t>Total Expenses</t>
  </si>
  <si>
    <t>Net Revenues</t>
  </si>
  <si>
    <t>Total Other Exp. And Transfers</t>
  </si>
  <si>
    <t>Electric System</t>
  </si>
  <si>
    <t>RES Impact</t>
  </si>
  <si>
    <t>Energy Sales (kWh)</t>
  </si>
  <si>
    <t>Monthly Demand (kW)</t>
  </si>
  <si>
    <t>Annual Bills</t>
  </si>
  <si>
    <t>Total Plant Before General Plant</t>
  </si>
  <si>
    <t>Energy Charge</t>
  </si>
  <si>
    <t>Principal</t>
  </si>
  <si>
    <t>Interest</t>
  </si>
  <si>
    <t>PROPOSED DEBT</t>
  </si>
  <si>
    <t>Irrigation</t>
  </si>
  <si>
    <t>PURC POWER, BPA</t>
  </si>
  <si>
    <t>PURC POWER, PR</t>
  </si>
  <si>
    <t>MEANINGFUL PRIORITY STEP UP</t>
  </si>
  <si>
    <t>PURC POWER, WAN</t>
  </si>
  <si>
    <t>PURCHASED POWER-MARKET</t>
  </si>
  <si>
    <t>PURC POWER, QC</t>
  </si>
  <si>
    <t>NET BOOKOUTS - PURCHASE</t>
  </si>
  <si>
    <t>OTH PWR EXP-MISC</t>
  </si>
  <si>
    <t>SUPV &amp; ENG, QC OPERATIONS</t>
  </si>
  <si>
    <t>SUPV &amp; ENG, PEC OPERATIONS</t>
  </si>
  <si>
    <t>HYDRL EXP-QC</t>
  </si>
  <si>
    <t>HYDRL EXP-PEC</t>
  </si>
  <si>
    <t>ELECTRIC EXP-QC</t>
  </si>
  <si>
    <t>ELECTRIC EXP-PEC</t>
  </si>
  <si>
    <t>MISC HYD GENR-GENERAL EXP</t>
  </si>
  <si>
    <t>HYD MAINT-SUPV &amp; ENG-QC</t>
  </si>
  <si>
    <t>HYD MAINT-SUPV &amp; ENG-PEC</t>
  </si>
  <si>
    <t>HYD MAINT DAMS-GENERAL</t>
  </si>
  <si>
    <t>HYD MAINT ELEC PLT-QC</t>
  </si>
  <si>
    <t>HYD MAINT ELEC PLT-PEC</t>
  </si>
  <si>
    <t>HYD MAINT MISC-GENERAL</t>
  </si>
  <si>
    <t>HYD MAINT MISC-QC</t>
  </si>
  <si>
    <t>OTHER GENERATION - FUEL</t>
  </si>
  <si>
    <t>OTHER GENERATION - EXPENSES</t>
  </si>
  <si>
    <t>MISC OTHER POWER EXPENSE</t>
  </si>
  <si>
    <t>Generation</t>
  </si>
  <si>
    <t>T/OPERS-SUPV &amp; ENG</t>
  </si>
  <si>
    <t>T/OPERS-LOAD DISPATCHING</t>
  </si>
  <si>
    <t>T/OPERS-LOAD DISPATCH-GEN</t>
  </si>
  <si>
    <t>T/OPERS-LOAD DISPATCH, QC</t>
  </si>
  <si>
    <t>T/OPERS-LOAD DISPATCH, PEC</t>
  </si>
  <si>
    <t>T/OPERS-STATION EXP</t>
  </si>
  <si>
    <t>T/OPERS-OVERHEAD LINE EXP</t>
  </si>
  <si>
    <t>T/TRANSMISSION BY OTHERS</t>
  </si>
  <si>
    <t>T/OPERS-MISC EXP</t>
  </si>
  <si>
    <t>T/MAINT-SUPR &amp; ENG</t>
  </si>
  <si>
    <t>T/MAINT-STA EQUIP</t>
  </si>
  <si>
    <t>T/MAINT-OVERHEAD LINES</t>
  </si>
  <si>
    <t>D/OPERS-SUPV &amp; ENG</t>
  </si>
  <si>
    <t>D/OPERS-LOAD DISPATCHING</t>
  </si>
  <si>
    <t>D/OPERS-STATION EXPENSE</t>
  </si>
  <si>
    <t>D/OPERS-OVERHEAD LINES</t>
  </si>
  <si>
    <t>D/OPERS-UNDERGRD, PRIM &amp; S</t>
  </si>
  <si>
    <t>D/OPERS-METER INSTALL EXP</t>
  </si>
  <si>
    <t>D/OPERS-CUST INSTALL EXP</t>
  </si>
  <si>
    <t>D/OPERS-MISC GEN EXP</t>
  </si>
  <si>
    <t>D/OPERS-MISC-EDP</t>
  </si>
  <si>
    <t>D/MAINT-SUPV &amp; ENG</t>
  </si>
  <si>
    <t>D/MAINT-STATION EQUIPMT</t>
  </si>
  <si>
    <t>D/MAINT-OH LINE, FIBER O&amp;M</t>
  </si>
  <si>
    <t>D/MAINT-OH LINE, GEN</t>
  </si>
  <si>
    <t>D/MAINT-UNDERGRD, PRIM &amp; SEC</t>
  </si>
  <si>
    <t>D/MAINT-LINE TRANSFORMERS</t>
  </si>
  <si>
    <t>D/MAINT-OVERHD STREET LIGHTING</t>
  </si>
  <si>
    <t>D/MAINT-METERS</t>
  </si>
  <si>
    <t>Distribution Electrical</t>
  </si>
  <si>
    <t>AREIAL CABLE EXPENSE</t>
  </si>
  <si>
    <t>UNDERGROUND CABLE EXPENSE</t>
  </si>
  <si>
    <t>WFON-AERIAL</t>
  </si>
  <si>
    <t>WFON-UNDERGROUND CABLE EXPENSE</t>
  </si>
  <si>
    <t>CUST ACCTS-SUPV</t>
  </si>
  <si>
    <t>CUST ACCTS-METER READING EXP</t>
  </si>
  <si>
    <t>CUST ACCTS-REC &amp; COLL EXP</t>
  </si>
  <si>
    <t>CUST ACCTS-CASH OVER/SHORT</t>
  </si>
  <si>
    <t>CUST ACCTS-EDP</t>
  </si>
  <si>
    <t>CUST ACCTS-UNCOLLECTIBLE ACCTS</t>
  </si>
  <si>
    <t>CUSTOMER INCENTIVES</t>
  </si>
  <si>
    <t>CUST OPERS-CUST ASSISTANCE</t>
  </si>
  <si>
    <t>CUST OPERS-PUB REL &amp; AD EXP</t>
  </si>
  <si>
    <t>CUST OPERS-MISC, RATE STUDY</t>
  </si>
  <si>
    <t>FIBER GATEWAY MAINT</t>
  </si>
  <si>
    <t>HUB CABINET EXPENSE</t>
  </si>
  <si>
    <t>MAINT GEN PLT - MISC</t>
  </si>
  <si>
    <t>NOC MONITORING EXPENSE</t>
  </si>
  <si>
    <t>GENERAL AND ADMIN EXPENSES</t>
  </si>
  <si>
    <t>INFORMATION MANAGEMENT EXPENSE</t>
  </si>
  <si>
    <t>LEGAL</t>
  </si>
  <si>
    <t>WFON-LEGAL</t>
  </si>
  <si>
    <t>WFON-GENERAL AND ADMIN EXPENSE</t>
  </si>
  <si>
    <t>WFON-GATEWAY MAIN</t>
  </si>
  <si>
    <t>WFON-HUB CABINET EXPENSE</t>
  </si>
  <si>
    <t>WFON-MAINT GEN PLT MISC</t>
  </si>
  <si>
    <t>WFON-NOC MONITORING EXPENSE</t>
  </si>
  <si>
    <t>WFON-INFORMATION MNGMT EXP</t>
  </si>
  <si>
    <t>OTHER DEDUCTIONS</t>
  </si>
  <si>
    <t>A&amp;G SALARIES-GENERAL</t>
  </si>
  <si>
    <t>A&amp;G SALARIES-EDP</t>
  </si>
  <si>
    <t>OFC SUP&amp;EXP-GENERAL</t>
  </si>
  <si>
    <t>OFC SUP&amp;EXP-EDP</t>
  </si>
  <si>
    <t>OFC SUP&amp;EXP-QC ADMIN COSTS</t>
  </si>
  <si>
    <t>OFC SUP&amp;EXP-PEC ADMIN COSTS</t>
  </si>
  <si>
    <t>O/S SERVICES-ATTORNEY</t>
  </si>
  <si>
    <t>O/S SERVICES-AUDITORS</t>
  </si>
  <si>
    <t>O/S SERVICES-CONSULTANTS</t>
  </si>
  <si>
    <t>O/S SERVICES-OTHER</t>
  </si>
  <si>
    <t>PROPERTY INSURANCE</t>
  </si>
  <si>
    <t>PROPERTY INSURANCE - QC</t>
  </si>
  <si>
    <t>PROPERTY INSURANCE - PEC</t>
  </si>
  <si>
    <t>INJ &amp; DAMAGES-GENERAL</t>
  </si>
  <si>
    <t>INJ &amp; DAMAGES-LIAB INSUR</t>
  </si>
  <si>
    <t>INJ &amp; DAMAGES-MINOR CLAIMS</t>
  </si>
  <si>
    <t>OPEB EXPENSE</t>
  </si>
  <si>
    <t>REG COMM EXP-LITIGATION</t>
  </si>
  <si>
    <t>REG COMM EXP-FERC-QC</t>
  </si>
  <si>
    <t>REG COMM EXP-FERC-PEC</t>
  </si>
  <si>
    <t>DUPLIC CHARGES-KWH USE</t>
  </si>
  <si>
    <t>DUPLIC CHARGES-ADMIN OFF RENT</t>
  </si>
  <si>
    <t>G/A CAPITALIZED-ON CLOSING</t>
  </si>
  <si>
    <t>G/A CAPITALIZED-ON CWIP</t>
  </si>
  <si>
    <t>MISC GENERAL EXPENSE</t>
  </si>
  <si>
    <t>GEN AD EXP-PUBLIC RELATIONS</t>
  </si>
  <si>
    <t>RENTS EPHRATA OFFICE</t>
  </si>
  <si>
    <t>LEASE EXPENSE</t>
  </si>
  <si>
    <t>MAINT GEN PLT-MISC</t>
  </si>
  <si>
    <t>MAINT GEN PLT-COMMUNICATION</t>
  </si>
  <si>
    <t>Taxes</t>
  </si>
  <si>
    <t>416010</t>
  </si>
  <si>
    <t>Total Proposed Debt Service</t>
  </si>
  <si>
    <t>Usage</t>
  </si>
  <si>
    <t>Annual Customer and Usage Escalation Factors</t>
  </si>
  <si>
    <t>Base Rate Revenue</t>
  </si>
  <si>
    <t>[E]/[F]</t>
  </si>
  <si>
    <t>[G]/[I]</t>
  </si>
  <si>
    <t>[G] - [E]</t>
  </si>
  <si>
    <t>[A] * [B]</t>
  </si>
  <si>
    <t>[A] * [E]</t>
  </si>
  <si>
    <t>[A] * [H]</t>
  </si>
  <si>
    <t>[A] * [K]</t>
  </si>
  <si>
    <t>Transformers</t>
  </si>
  <si>
    <t>Lines</t>
  </si>
  <si>
    <t>Laterals</t>
  </si>
  <si>
    <t>Lights</t>
  </si>
  <si>
    <t>Assignment</t>
  </si>
  <si>
    <t>Revenue</t>
  </si>
  <si>
    <t>Notes</t>
  </si>
  <si>
    <t>Base Revenue Increase:</t>
  </si>
  <si>
    <t>Base COS</t>
  </si>
  <si>
    <t>Allocation</t>
  </si>
  <si>
    <t>Historic &amp; Projected Customers &amp; Billing Determinants</t>
  </si>
  <si>
    <t>Line</t>
  </si>
  <si>
    <t>Number</t>
  </si>
  <si>
    <t>Func.</t>
  </si>
  <si>
    <t>Class.</t>
  </si>
  <si>
    <t xml:space="preserve"> </t>
  </si>
  <si>
    <t>[A] / (1-[B])</t>
  </si>
  <si>
    <t>[C]/8760</t>
  </si>
  <si>
    <t>Allocated</t>
  </si>
  <si>
    <t>Acct Number</t>
  </si>
  <si>
    <t>Acct Description</t>
  </si>
  <si>
    <t>PURCHASED POWER</t>
  </si>
  <si>
    <t>Cost of Service Summary</t>
  </si>
  <si>
    <t>Debt Service Existing</t>
  </si>
  <si>
    <t>Debt Service Proposed</t>
  </si>
  <si>
    <t>Total Cost of Service</t>
  </si>
  <si>
    <t>Year</t>
  </si>
  <si>
    <t>REVENUES ($)</t>
  </si>
  <si>
    <t>REVENUE REQUIREMENTS ($)</t>
  </si>
  <si>
    <t>FINANCIAL FORECAST</t>
  </si>
  <si>
    <t>Unbundled Cost of Service</t>
  </si>
  <si>
    <t>Unbundled Unit Cost of Service</t>
  </si>
  <si>
    <t>Grand Total</t>
  </si>
  <si>
    <t>TRANSMISSION</t>
  </si>
  <si>
    <t>Retail Sales (MWh)</t>
  </si>
  <si>
    <t>Retail NEL:</t>
  </si>
  <si>
    <t>TOTAL SYSTEM</t>
  </si>
  <si>
    <t xml:space="preserve"> Retail System Peak Demand</t>
  </si>
  <si>
    <t>2014 Capital</t>
  </si>
  <si>
    <t>Percentage of Issuance Cost</t>
  </si>
  <si>
    <t>Month of Issuance</t>
  </si>
  <si>
    <t>Bond Terms Capital (Years)</t>
  </si>
  <si>
    <t>Peak &amp;</t>
  </si>
  <si>
    <t>[V]</t>
  </si>
  <si>
    <t>Power Supply</t>
  </si>
  <si>
    <t>Peak &amp; Average</t>
  </si>
  <si>
    <t>Energy All (kWh)</t>
  </si>
  <si>
    <t>Irrigation (3) 1PH</t>
  </si>
  <si>
    <t>Irrigation (3) 3 PH</t>
  </si>
  <si>
    <t>General Service (2) 1 PH</t>
  </si>
  <si>
    <t>General Service (2) 3 PH</t>
  </si>
  <si>
    <t>Demand (kW)</t>
  </si>
  <si>
    <t>Energy Block 1 (0-50,000 kWh)</t>
  </si>
  <si>
    <t>Energy All Additional (kWh)</t>
  </si>
  <si>
    <t>Energy Block 1 (0-7,300 mWh)</t>
  </si>
  <si>
    <t>Energy Block 1 (0-10,950 mWh)</t>
  </si>
  <si>
    <t>Grand Total (kWh)</t>
  </si>
  <si>
    <t>Forecast Sales (MWh)</t>
  </si>
  <si>
    <t>Table XX</t>
  </si>
  <si>
    <t>STRUC &amp; IMP, RC OFFICE</t>
  </si>
  <si>
    <t>OFFICE F&amp;E, EPH OFFICE</t>
  </si>
  <si>
    <t>OFFICE F&amp;E, EPH WHSE</t>
  </si>
  <si>
    <t>OFFICE F&amp;E, EPH LINE</t>
  </si>
  <si>
    <t>OFFICE F&amp;E, EPH METER SHOP</t>
  </si>
  <si>
    <t>OFFICE F&amp;E, EPH GARAGE</t>
  </si>
  <si>
    <t>OFFICE F&amp;E, ML OFFICE</t>
  </si>
  <si>
    <t>OFFICE F&amp;E, JOINT</t>
  </si>
  <si>
    <t>OFFICE F&amp;E, QUINCY OFFICE</t>
  </si>
  <si>
    <t>OFFICE F&amp;E, COULEE OFFICE</t>
  </si>
  <si>
    <t>OFFICE F&amp;E, EDP JOINT</t>
  </si>
  <si>
    <t>OFFICE F&amp;E, RC OFFICE</t>
  </si>
  <si>
    <t>STORES EQUIP, EPH WHSE</t>
  </si>
  <si>
    <t>STORES EQUIP, ML WHSE</t>
  </si>
  <si>
    <t>STORES EQUIP, QUINCY WHSE</t>
  </si>
  <si>
    <t>STORES EQUIP, QUINCY YARD</t>
  </si>
  <si>
    <t>STORES EQUIP, GC OFFICE</t>
  </si>
  <si>
    <t>STORES EQUIP, RC WHSE</t>
  </si>
  <si>
    <t>TOOLS, EHP OFFICE</t>
  </si>
  <si>
    <t>TOOLS, EHP GARAGE</t>
  </si>
  <si>
    <t>TOOLS, EHP LINE OFFICE</t>
  </si>
  <si>
    <t>TOOLS, EHP METER SHOP</t>
  </si>
  <si>
    <t>TOOLS, MOSES LAKE</t>
  </si>
  <si>
    <t>TOOLS, QUINCY</t>
  </si>
  <si>
    <t>TOOLS, GC WHSE</t>
  </si>
  <si>
    <t>TOOLS, JOINT</t>
  </si>
  <si>
    <t>TOOLS, RC WHSE</t>
  </si>
  <si>
    <t>LAB EQUIP, EHP METER SHOP</t>
  </si>
  <si>
    <t>TELEPHONE SYS-RC</t>
  </si>
  <si>
    <t>TELEPHONE SYSTEM-JOINT</t>
  </si>
  <si>
    <t>COMM EQUIP-SENTINEL RADIO</t>
  </si>
  <si>
    <t>COMM EQUIP-TEST EQUIP-JOINT</t>
  </si>
  <si>
    <t>COMM EQUIP-EPH WHSE</t>
  </si>
  <si>
    <t>COMM EQUIP-MICROWAVE JOINT</t>
  </si>
  <si>
    <t>COMM EQUIP-EPH TRANSMITTER</t>
  </si>
  <si>
    <t>COMM EQUIP-MOBILE</t>
  </si>
  <si>
    <t>COMM EQUIP-ML OFFICE</t>
  </si>
  <si>
    <t>ANALOG TELEM-JOINT</t>
  </si>
  <si>
    <t>COMM EQUIP-ML TRANSMITTER</t>
  </si>
  <si>
    <t>COMM EQUIP-ML SERV CENTER</t>
  </si>
  <si>
    <t>COMM EQUIP-QUINCY OFFICE</t>
  </si>
  <si>
    <t>DIG TELEM-JOINT</t>
  </si>
  <si>
    <t>FIBER BACKBONE</t>
  </si>
  <si>
    <t>COMM EQUIP-GRAND COULEE</t>
  </si>
  <si>
    <t>COMM EQUIP-RC SENT-450MHZ</t>
  </si>
  <si>
    <t>COMM EQUIP-EPH-960MC</t>
  </si>
  <si>
    <t>COMM EQUIP-QUINCY-960MC</t>
  </si>
  <si>
    <t>COMM EQUIP-MC SENT-960MC</t>
  </si>
  <si>
    <t>COMM EQUIP-MC POTHOLE-960MC</t>
  </si>
  <si>
    <t>COMM EQUIP-SUBSTATION</t>
  </si>
  <si>
    <t>COMM EQUIP-DATA CO-ML</t>
  </si>
  <si>
    <t>COMM EQUIP-DATA CO-QUINCY</t>
  </si>
  <si>
    <t>COMM EQUIP-DATA CO-POTHOLE</t>
  </si>
  <si>
    <t>COMM EQUIP-ML TELEPHONE</t>
  </si>
  <si>
    <t>COMM EQUIP-GC TELEPHONE</t>
  </si>
  <si>
    <t>COMM EQUIP-ANALOG TELEMTR</t>
  </si>
  <si>
    <t>COMM SCADA-JOINT</t>
  </si>
  <si>
    <t>MISC EQUIP-EPHRATA</t>
  </si>
  <si>
    <t>MISC EQUIP-MOSES LAKE</t>
  </si>
  <si>
    <t>MISC EQUIP-JOINT</t>
  </si>
  <si>
    <t>General Facilities:</t>
  </si>
  <si>
    <t>Total CWIP</t>
  </si>
  <si>
    <t>Total Net Plant</t>
  </si>
  <si>
    <t>Electric General Plant</t>
  </si>
  <si>
    <t>CWIP</t>
  </si>
  <si>
    <t>Transfer to Reserve</t>
  </si>
  <si>
    <t>Grant County Public Utility District</t>
  </si>
  <si>
    <t>Fiber Optic Network Operations</t>
  </si>
  <si>
    <t>Distribution Fiber Optic Network</t>
  </si>
  <si>
    <t>12CP</t>
  </si>
  <si>
    <t>Urban</t>
  </si>
  <si>
    <t>Rural</t>
  </si>
  <si>
    <t>Functionalization of Electric Plant Original Cost</t>
  </si>
  <si>
    <t>Table 10</t>
  </si>
  <si>
    <t>Cost Type</t>
  </si>
  <si>
    <t>Transmission Capacity</t>
  </si>
  <si>
    <t>Distribution Capacity</t>
  </si>
  <si>
    <t>Accounts and Services</t>
  </si>
  <si>
    <t># of Customers</t>
  </si>
  <si>
    <t>Sales Revenue</t>
  </si>
  <si>
    <t>Cost Allocators</t>
  </si>
  <si>
    <t>Maximum Class Demand</t>
  </si>
  <si>
    <t>Maximum Non-Coincident Demand</t>
  </si>
  <si>
    <t>Demand (HP)</t>
  </si>
  <si>
    <t>Table 11</t>
  </si>
  <si>
    <t>Unbundled Cost of Service Rates by class</t>
  </si>
  <si>
    <t>$/kWh</t>
  </si>
  <si>
    <t>$/kW</t>
  </si>
  <si>
    <t>$/HP</t>
  </si>
  <si>
    <t>$/Bill</t>
  </si>
  <si>
    <t>1PH &amp; (PA)</t>
  </si>
  <si>
    <t>Block 4</t>
  </si>
  <si>
    <t>Block 5</t>
  </si>
  <si>
    <t>Block 4 Percentage</t>
  </si>
  <si>
    <t>Block 5 Percentage</t>
  </si>
  <si>
    <t>Energy Block 2</t>
  </si>
  <si>
    <t>Energy Block 3</t>
  </si>
  <si>
    <t>Energy Block 4</t>
  </si>
  <si>
    <t>Energy Block 5</t>
  </si>
  <si>
    <t>Energy Block 1</t>
  </si>
  <si>
    <t>Conventional 70 and 150 Watt (per month)</t>
  </si>
  <si>
    <t>Conventional 200 and 250 Watt (per month)</t>
  </si>
  <si>
    <t>Conventional 400 Watt (per month)</t>
  </si>
  <si>
    <t>Conventional Standards - 25' to 30'</t>
  </si>
  <si>
    <t>Conventional Standards - 35' to 40'</t>
  </si>
  <si>
    <t>Decorative 1 - Tapered Post, two plain arms with acorn globes</t>
  </si>
  <si>
    <t>Decorative 1A - Two modified plain arms with acorn globes</t>
  </si>
  <si>
    <t>Decorative 2 - Fluted Post, two filigreed arms with acorn globes</t>
  </si>
  <si>
    <t>Decorative 2A - Two modified filigreed arms with acorn globes</t>
  </si>
  <si>
    <t>Decorative Option - Reflector &amp; Refractors Pair</t>
  </si>
  <si>
    <t>Decorative Option - 35 Watt Two Lamps</t>
  </si>
  <si>
    <t>Decorative Option - 70 Watt Two Lamps</t>
  </si>
  <si>
    <t>Decorative Option - 150 Watt Two Lamps</t>
  </si>
  <si>
    <t>Count</t>
  </si>
  <si>
    <t>Energy Use (kWh)</t>
  </si>
  <si>
    <t>Months per Customer</t>
  </si>
  <si>
    <t>check</t>
  </si>
  <si>
    <t>difference</t>
  </si>
  <si>
    <t>diff</t>
  </si>
  <si>
    <t>kW check</t>
  </si>
  <si>
    <t>kW diff</t>
  </si>
  <si>
    <t>HP check</t>
  </si>
  <si>
    <t>HP diff</t>
  </si>
  <si>
    <t>Trans &amp; Dist OC</t>
  </si>
  <si>
    <t>Trans &amp; Dist Sub OC</t>
  </si>
  <si>
    <t>Total Existing Rate Revenue</t>
  </si>
  <si>
    <t>Gross Revenue</t>
  </si>
  <si>
    <t>Additional Base Rate Revenue</t>
  </si>
  <si>
    <t xml:space="preserve">Months in </t>
  </si>
  <si>
    <t>Date rate increase effective</t>
  </si>
  <si>
    <t>% Increase</t>
  </si>
  <si>
    <t>First Year</t>
  </si>
  <si>
    <t>Total Additional Base Rate Revenue</t>
  </si>
  <si>
    <t># of Retail Customers</t>
  </si>
  <si>
    <t>Total check</t>
  </si>
  <si>
    <t>Total diff</t>
  </si>
  <si>
    <t>Alloc check</t>
  </si>
  <si>
    <t>Alloc diff</t>
  </si>
  <si>
    <t>Total Plant Before Gen Plant</t>
  </si>
  <si>
    <t>Trans O&amp;M</t>
  </si>
  <si>
    <t>Dist O&amp;M</t>
  </si>
  <si>
    <t>Admin &amp; General</t>
  </si>
  <si>
    <t>Debt (Existing)</t>
  </si>
  <si>
    <t>Debt (Proposed)</t>
  </si>
  <si>
    <t>Other Exp</t>
  </si>
  <si>
    <t>Cash Financed Capital</t>
  </si>
  <si>
    <t>Investment Inc.</t>
  </si>
  <si>
    <t>Other Rev.</t>
  </si>
  <si>
    <t>Cust. Accts.</t>
  </si>
  <si>
    <t>Prod. O&amp;M</t>
  </si>
  <si>
    <t>Trans OC</t>
  </si>
  <si>
    <t>Dist OC</t>
  </si>
  <si>
    <t>Supervised O&amp;M</t>
  </si>
  <si>
    <t>Accts &amp; Services</t>
  </si>
  <si>
    <t>Cust. Svc (Remainder)</t>
  </si>
  <si>
    <t>PUBLIC UTILITY DISTRICT NO. 2 OF GRANT COUNTY</t>
  </si>
  <si>
    <t>ELECTRIC SYSTEM</t>
  </si>
  <si>
    <t>UNAUDITED</t>
  </si>
  <si>
    <t>BALANCE SHEETS AND</t>
  </si>
  <si>
    <t>STATEMENTS OF REVENUES AND EXPENSES AND CHANGES IN NET POSITION</t>
  </si>
  <si>
    <t>STATEMENTS OF REVENUES AND EXPENSES AND CHANGES IN NET ASSETS</t>
  </si>
  <si>
    <t>For the Twelve Months Ending December 31, 2013</t>
  </si>
  <si>
    <t>For the Twelve Months Ending December 31, 2011</t>
  </si>
  <si>
    <t>2013</t>
  </si>
  <si>
    <t>2012</t>
  </si>
  <si>
    <t>2011</t>
  </si>
  <si>
    <t>2010</t>
  </si>
  <si>
    <t>B&amp;V Lookup1</t>
  </si>
  <si>
    <t>BV Lookup2</t>
  </si>
  <si>
    <t>CURRENT ASSETS</t>
  </si>
  <si>
    <t xml:space="preserve">   Cash: </t>
  </si>
  <si>
    <t xml:space="preserve">  1001-131000 Elect Revenue-Cash</t>
  </si>
  <si>
    <t xml:space="preserve">  1001-131801 Elect Revenue-Wfon Cash</t>
  </si>
  <si>
    <t xml:space="preserve">  1001-135050 Elect Revenue-Petty Cash Moses Lake</t>
  </si>
  <si>
    <t xml:space="preserve">  1001-135060 Elect Revenue-Petty Cash Ephrata</t>
  </si>
  <si>
    <t xml:space="preserve">  1001-135070 Elect Revenue-Petty Cash Quincy</t>
  </si>
  <si>
    <t xml:space="preserve">  1001-135080 Elect Revenue-Petty Cash Grand Coulee</t>
  </si>
  <si>
    <t xml:space="preserve">  1001-135100 Elect Revenue-Petty Cash Small Claims</t>
  </si>
  <si>
    <t xml:space="preserve">  1001-135110 Elect Revenue-Petty Cash Royal City</t>
  </si>
  <si>
    <t xml:space="preserve">  1001-135150 Elect Revenue-Petty Cash Eph Serv Center</t>
  </si>
  <si>
    <t xml:space="preserve">  1001-135200 Elect Revenue-Cashier Fund Ephrata</t>
  </si>
  <si>
    <t xml:space="preserve">  1001-135210 Elect Revenue-Cashier Fund Moses Lake</t>
  </si>
  <si>
    <t xml:space="preserve">  1001-135220 Elect Revenue-Cashier Fund Quincy</t>
  </si>
  <si>
    <t xml:space="preserve">  1001-135230 Elect Revenue-Cashier Fund Grand Coulee</t>
  </si>
  <si>
    <t xml:space="preserve">  1001-135240 Elect Revenue-Cashier Fund Royal City</t>
  </si>
  <si>
    <t xml:space="preserve">  1001-135260 Elect Revenue-Cashier Fund Lamp Fund</t>
  </si>
  <si>
    <t xml:space="preserve">  1001-135500 Elect Revenue-Revolving Fund Collections</t>
  </si>
  <si>
    <t xml:space="preserve">  1001-135510 Elect Revenue-Revolving Fund Adv Travel</t>
  </si>
  <si>
    <t xml:space="preserve">  1001-135620 Elect Revenue-Working Funds Cash Purch</t>
  </si>
  <si>
    <t xml:space="preserve">  1001-INTFND Elect Revenue-Interfund Cash</t>
  </si>
  <si>
    <t xml:space="preserve">  1002-131000 Elect Rsrv &amp; Cont-Cash</t>
  </si>
  <si>
    <t xml:space="preserve">  1005-128000 Elect Excess Earnings-Cash Special Funds</t>
  </si>
  <si>
    <t xml:space="preserve">  1008-131000 Elect Cust Deposits-Cash</t>
  </si>
  <si>
    <t>-</t>
  </si>
  <si>
    <t xml:space="preserve">   Total    Cash</t>
  </si>
  <si>
    <t xml:space="preserve">   Investments: </t>
  </si>
  <si>
    <t xml:space="preserve">  1001-136000 Elect Revenue-Investments</t>
  </si>
  <si>
    <t xml:space="preserve">  1001-136020 Elect Revenue-Investments Prem/Disc</t>
  </si>
  <si>
    <t xml:space="preserve">  1001-136801 Elect Revenue-Wfon Investments Prem/Disc</t>
  </si>
  <si>
    <t xml:space="preserve">  1001-171000 Elect Revenue-Int Rec Misc</t>
  </si>
  <si>
    <t xml:space="preserve">  1001-171900 Elect Revenue-Int Rec Funds</t>
  </si>
  <si>
    <t xml:space="preserve">  1002-136000 Elect Rsrv &amp; Cont-Investments</t>
  </si>
  <si>
    <t xml:space="preserve">  1002-136020 Elect Rsrv &amp; Cont-Investments Prem/Disc</t>
  </si>
  <si>
    <t xml:space="preserve">  1002-171900 Elect Rsrv &amp; Cont-Int Rec Funds</t>
  </si>
  <si>
    <t xml:space="preserve">  1005-128010 Elect Excess Earnings-Investments Special Funds</t>
  </si>
  <si>
    <t xml:space="preserve">  1008-136000 Elect Cust Deposits-Investments</t>
  </si>
  <si>
    <t xml:space="preserve">  1008-136020 Elect Cust Deposits-Investments Prem/Disc</t>
  </si>
  <si>
    <t xml:space="preserve">  1008-171900 Elect Cust Deposits-Int Rec Funds</t>
  </si>
  <si>
    <t xml:space="preserve">   Total    Investments</t>
  </si>
  <si>
    <t xml:space="preserve">   Restricted funds</t>
  </si>
  <si>
    <t xml:space="preserve">      Cash: </t>
  </si>
  <si>
    <t xml:space="preserve">  1009-132999 Elect Fiscal Agent-Int Spcl Dep Dist</t>
  </si>
  <si>
    <t xml:space="preserve">  1009-134999 Elect Fiscal Agent-Oth Spcl Dep Dist</t>
  </si>
  <si>
    <t xml:space="preserve">  1250-INTFND Elect Utility Plant-Interfund Cash</t>
  </si>
  <si>
    <t xml:space="preserve">  1093-125000 Elect Princ 2001H-Cash Sinking</t>
  </si>
  <si>
    <t xml:space="preserve">  1300-125000 Elect 2011I Principal/Retire-Cash Sinking</t>
  </si>
  <si>
    <t xml:space="preserve">  1094-125000 Elect Int 2001H-Cash Sinking</t>
  </si>
  <si>
    <t xml:space="preserve">  1400-125000 Electric 2011I Interest-Cash Sinking</t>
  </si>
  <si>
    <t xml:space="preserve">  1401-125000 Elect 2013J Interest-Cash Sinking</t>
  </si>
  <si>
    <t xml:space="preserve">   Total       Cash</t>
  </si>
  <si>
    <t xml:space="preserve">      Investments: </t>
  </si>
  <si>
    <t xml:space="preserve">  1093-125010 Elect Princ 2001H-Investments Sinking</t>
  </si>
  <si>
    <t xml:space="preserve">  1300-125010 Elect 2011I Principal/Retire-Investments Sinking</t>
  </si>
  <si>
    <t xml:space="preserve">  1093-171900 Elect Princ 2001H-Int Rec Funds</t>
  </si>
  <si>
    <t xml:space="preserve">  1300-125020 Elect 2011I Principal/Reti-Prem/Disc Sinking Funds</t>
  </si>
  <si>
    <t xml:space="preserve">  1094-125010 Elect Int 2001H-Investments Sinking</t>
  </si>
  <si>
    <t xml:space="preserve">  1400-125010 Electric 2011I Interest-Investments Sinking</t>
  </si>
  <si>
    <t xml:space="preserve">  1401-125010 Elect 2013J Interest-Investments Sinking</t>
  </si>
  <si>
    <t xml:space="preserve">   Total       Investments</t>
  </si>
  <si>
    <t xml:space="preserve">   Advances to Service System: </t>
  </si>
  <si>
    <t xml:space="preserve">  1001-135010 Elect Revenue-Working Funds Rev To Ins</t>
  </si>
  <si>
    <t xml:space="preserve">  1001-135040 Elect Revenue-Working Funds General</t>
  </si>
  <si>
    <t xml:space="preserve">   Total    Advances to Service System</t>
  </si>
  <si>
    <t xml:space="preserve">   Customer accounts receivable, net of allowance for</t>
  </si>
  <si>
    <t xml:space="preserve">      uncollectible accounts: </t>
  </si>
  <si>
    <t xml:space="preserve">  1001-142000 Elect Revenue-A/R Customer</t>
  </si>
  <si>
    <t xml:space="preserve">  1001-143040 Elect Revenue-A/R Miscellaneous</t>
  </si>
  <si>
    <t xml:space="preserve">  1001-143620 Elect Revenue-A/R Sales/Resale Power Rev</t>
  </si>
  <si>
    <t xml:space="preserve">  1001-143700 Elect Revenue-A/R Damage To Dist Claims</t>
  </si>
  <si>
    <t xml:space="preserve">  1001-143701 Elect Revenue-Receivable PRP PC True-up</t>
  </si>
  <si>
    <t xml:space="preserve">  1001-143801 Elect Revenue-Wfon A/R Customer</t>
  </si>
  <si>
    <t xml:space="preserve">  1001-144010 Elect Revenue-Prov Bad Acct Utility Cust</t>
  </si>
  <si>
    <t xml:space="preserve">  1001-144020 Elect Revenue-Prov Bad Acct Misc Other</t>
  </si>
  <si>
    <t xml:space="preserve">  1001-144801 Elect Revenue-Wfon Prov Bad Acct</t>
  </si>
  <si>
    <t xml:space="preserve">   Total       uncollectible accounts</t>
  </si>
  <si>
    <t xml:space="preserve">   Materials and supplies: </t>
  </si>
  <si>
    <t xml:space="preserve">  1001-154110 Elect Revenue-Plant Matls/Stores</t>
  </si>
  <si>
    <t xml:space="preserve">  1001-155880 Elect Revenue-Small Tools Inventory</t>
  </si>
  <si>
    <t xml:space="preserve">  1001-163010 Elect Revenue-Undist Stores Overhead</t>
  </si>
  <si>
    <t xml:space="preserve">  1001-163020 Elect Revenue-Inventory Count Variance</t>
  </si>
  <si>
    <t xml:space="preserve">  1001-154999 Elect Revenue-Inventory Clearing</t>
  </si>
  <si>
    <t xml:space="preserve">   Total    Materials and supplies</t>
  </si>
  <si>
    <t xml:space="preserve">   Intercompany receivables: </t>
  </si>
  <si>
    <t xml:space="preserve">  1001-146108 Elect Revenue-S R Rec Fr Cust Dep</t>
  </si>
  <si>
    <t xml:space="preserve">  1001-146130 Elect Revenue-Rec from Elec Princ</t>
  </si>
  <si>
    <t xml:space="preserve">  1001-146420 Elect Revenue-S R Rec Fr Ser Pay</t>
  </si>
  <si>
    <t xml:space="preserve">  1001-146140 Elect Revenue-Rec Elect Int</t>
  </si>
  <si>
    <t xml:space="preserve">  1001-146430 Elect Revenue-S R Rec Fr Ser Opr</t>
  </si>
  <si>
    <t xml:space="preserve">  1001-146502 Elect Revenue-N R Rec Fr E Excess Earn</t>
  </si>
  <si>
    <t xml:space="preserve">  1001-146516 Elect Revenue-R Rec Fr E 01H Prin</t>
  </si>
  <si>
    <t xml:space="preserve">  1001-146517 Elect Revenue-R Rec Fr 01H Interest</t>
  </si>
  <si>
    <t xml:space="preserve">  1002-146012 Elect Rsrv &amp; Cont-N R Rec Fr Elec Rev</t>
  </si>
  <si>
    <t xml:space="preserve">  1008-146430 Elect Cust Deposits-S R Rec Fr Ser Opr</t>
  </si>
  <si>
    <t xml:space="preserve">  1001-146410 Elect Revenue-S R Rec Fr Ser Gen</t>
  </si>
  <si>
    <t xml:space="preserve">   Total    Intercompany receivables</t>
  </si>
  <si>
    <t xml:space="preserve">   Other current assets: </t>
  </si>
  <si>
    <t xml:space="preserve">  1001-165010 Elect Revenue-Prepayments Insurance</t>
  </si>
  <si>
    <t xml:space="preserve">  1001-174020 Elect Revenue-Misc Accruals Pole Rent</t>
  </si>
  <si>
    <t xml:space="preserve">  1001-165060 Elect Revenue-Prepayments Miscellaneous</t>
  </si>
  <si>
    <t xml:space="preserve">   Total    Other current assets</t>
  </si>
  <si>
    <t xml:space="preserve">         Total current assets</t>
  </si>
  <si>
    <t>NONCURRENT ASSETS</t>
  </si>
  <si>
    <t xml:space="preserve">  1003-131000 Elect Rest Diesel Proc-Cash</t>
  </si>
  <si>
    <t xml:space="preserve">     Investments: </t>
  </si>
  <si>
    <t xml:space="preserve">  1001-124000 Elect Revenue-Long-Term Investments</t>
  </si>
  <si>
    <t xml:space="preserve">  1002-124000 Elect Rsrv &amp; Cont-Long Term Investments</t>
  </si>
  <si>
    <t xml:space="preserve">  1003-171900 Elect Rest Diesel Proc-Int Rec Funds</t>
  </si>
  <si>
    <t xml:space="preserve">  1008-124000 Elect Cust Deposits-Long-Term Investments</t>
  </si>
  <si>
    <t xml:space="preserve">   Total      Investments</t>
  </si>
  <si>
    <t xml:space="preserve">       Cash: </t>
  </si>
  <si>
    <t xml:space="preserve">  1007-131000 Elect Renew &amp; Rplc QC-Cash</t>
  </si>
  <si>
    <t xml:space="preserve">  1100-131000 Elect 2011I Debt Service Rsrv-Cash</t>
  </si>
  <si>
    <t xml:space="preserve">  1200-131000 Elect 2011 Construction-Cash</t>
  </si>
  <si>
    <t xml:space="preserve">  1100-INTFND Elect 2011I Debt Service Rsrv-Interfund Cash</t>
  </si>
  <si>
    <t xml:space="preserve">  1101-131000 Elect 2013J Debt Service Rsrv-Cash</t>
  </si>
  <si>
    <t xml:space="preserve">   Total        Cash</t>
  </si>
  <si>
    <t xml:space="preserve">       Investments: </t>
  </si>
  <si>
    <t xml:space="preserve">  1007-124000 Elect Renew &amp; Rplc QC-Long-Term Investments</t>
  </si>
  <si>
    <t xml:space="preserve">  1007-136000 Elect Renew &amp; Rplc QC-Investments</t>
  </si>
  <si>
    <t xml:space="preserve">  1007-171900 Elect Renew &amp; Rplc QC-Int Rec Funds</t>
  </si>
  <si>
    <t xml:space="preserve">  1007-136020 Elect Renew &amp; Rplc QC-Investments Prem/Disc</t>
  </si>
  <si>
    <t xml:space="preserve">  1100-124000 Elect 2011I Debt Service Rsr-Long-Term Investments</t>
  </si>
  <si>
    <t xml:space="preserve">  1100-136000 Elect 2011I Debt Service Rsrv-Investments</t>
  </si>
  <si>
    <t xml:space="preserve">  1100-136020 Elect 2011I Debt Service Rsr-Investments Prem/Disc</t>
  </si>
  <si>
    <t xml:space="preserve">  1100-171900 Elect 2011I Debt Service Rsrv-Int Rec Funds</t>
  </si>
  <si>
    <t xml:space="preserve">  1200-124000 Elect Plant/Construction-Long-Term Investments</t>
  </si>
  <si>
    <t xml:space="preserve">  1200-136000 Elect 2011 Construction-Investments</t>
  </si>
  <si>
    <t xml:space="preserve">  1101-124000 Elect 2013J Debt Service Rsr-Long-Term Investments</t>
  </si>
  <si>
    <t xml:space="preserve">  1200-136020 Elect 2011 Construction-Investments Prem/Disc</t>
  </si>
  <si>
    <t xml:space="preserve">  1101-136000 Elect 2013J Debt Service Rsrv-Investments</t>
  </si>
  <si>
    <t xml:space="preserve">  1200-171900 Elect 2011 Construction-Int Rec Funds</t>
  </si>
  <si>
    <t xml:space="preserve">  1101-136020 Elect 2013J Debt Service Rsr-Investments Prem/Disc</t>
  </si>
  <si>
    <t xml:space="preserve">  1101-171900 Elect 2013J Debt Service Rsrv-Int Rec Funds</t>
  </si>
  <si>
    <t xml:space="preserve">   Total        Investments</t>
  </si>
  <si>
    <t xml:space="preserve">   Unamortized debt expense: </t>
  </si>
  <si>
    <t xml:space="preserve">  1400-181000 Electric 2011I Interest-Unamort Debt Exp</t>
  </si>
  <si>
    <t xml:space="preserve">  1094-181000 Elect Int 2001H-Unamort Debt Exp</t>
  </si>
  <si>
    <t xml:space="preserve">   Total    Unamortized debt expense</t>
  </si>
  <si>
    <t xml:space="preserve">   Conservation loans: </t>
  </si>
  <si>
    <t xml:space="preserve">  1001-144100 Elect Revenue-Prov Bad Acct Conserv Loans</t>
  </si>
  <si>
    <t xml:space="preserve">  1001-171501 Elect Revenue-Int Rec Conserv Loans</t>
  </si>
  <si>
    <t xml:space="preserve">  1001-186100 Elect Revenue-Conservation Loans Rec</t>
  </si>
  <si>
    <t xml:space="preserve">   Total    Conservation loans</t>
  </si>
  <si>
    <t xml:space="preserve">   Demand-side management: </t>
  </si>
  <si>
    <t xml:space="preserve">  1001-186610 Elect Revenue-Cap Conservation 10 Year</t>
  </si>
  <si>
    <t xml:space="preserve">  1001-186620 Elect Revenue-Cap Conservation 12 Year</t>
  </si>
  <si>
    <t xml:space="preserve">   Total    Demand-side management</t>
  </si>
  <si>
    <t xml:space="preserve">   Preliminary expenses: </t>
  </si>
  <si>
    <t xml:space="preserve">   Deferred preliminary expenses: </t>
  </si>
  <si>
    <t xml:space="preserve">  1200-183011 Elect 2011 Construction-Preliminary Surveys</t>
  </si>
  <si>
    <t xml:space="preserve">  1001-183011 Elect Revenue-Preliminary Surveys</t>
  </si>
  <si>
    <t xml:space="preserve">  1250-183011 Elect Utility Plant-Preliminary Surveys</t>
  </si>
  <si>
    <t xml:space="preserve">   Total    Preliminary expenses</t>
  </si>
  <si>
    <t xml:space="preserve">   Total    Deferred preliminary expenses</t>
  </si>
  <si>
    <t xml:space="preserve">         Total other noncurrent assets</t>
  </si>
  <si>
    <t xml:space="preserve">         Total other noncurrents assets</t>
  </si>
  <si>
    <t xml:space="preserve">   Utility plant, net of accumulated depreciation and amortization: </t>
  </si>
  <si>
    <t xml:space="preserve">  1001-107801 Elect Revenue Wfon-Wfon CWIP</t>
  </si>
  <si>
    <t xml:space="preserve">  1001-107010 Elect Revenue-CWIP Rev Fund Plant</t>
  </si>
  <si>
    <t xml:space="preserve">  1001-368999 Elect Revenue-Xmr Cap Clearing</t>
  </si>
  <si>
    <t xml:space="preserve">  1001-107040 Elect Revenue-CWIP Jointly Owned Plt W/O</t>
  </si>
  <si>
    <t xml:space="preserve">  1001-370999 Elect Revenue-Meter Cap Clearing</t>
  </si>
  <si>
    <t xml:space="preserve">  1001-107051 Elect Revenue-CWIP QC</t>
  </si>
  <si>
    <t xml:space="preserve">  1200-107010 Elect 2011 Construction-CWIP Rev Fund Plant</t>
  </si>
  <si>
    <t xml:space="preserve">  1001-107060 Elect Revenue-CWIP PEC Headworks</t>
  </si>
  <si>
    <t xml:space="preserve">  1200-107030 Elect 2011 Construction-CWIP Contruc OH</t>
  </si>
  <si>
    <t xml:space="preserve">  1200-107040 Elect 2011 Construction-CWIP Jointly Owned Plt W/O</t>
  </si>
  <si>
    <t xml:space="preserve">  1001-107880 Elect Revenue-G&amp;A Capitalized</t>
  </si>
  <si>
    <t xml:space="preserve">  1200-107880 Elect 2011 Construction-G&amp;A Capitalized</t>
  </si>
  <si>
    <t xml:space="preserve">  1001-108140 Elect Revenue-Accum Depr Remov Cost Tran</t>
  </si>
  <si>
    <t xml:space="preserve">  1200-108200 Elect Plant/Construction-Accum Depr Salvage</t>
  </si>
  <si>
    <t xml:space="preserve">  1001-108150 Elect Revenue-Accum Depr Remov Cost Dist</t>
  </si>
  <si>
    <t xml:space="preserve">  1250-107010 Elect Utility Plant-CWIP Rev Fund Plant</t>
  </si>
  <si>
    <t xml:space="preserve">  1001-108160 Elect Revenue-Accum Depr Remov Cost Gen</t>
  </si>
  <si>
    <t xml:space="preserve">  1250-107030 Elect Utility Plant-CWIP Contruc OH</t>
  </si>
  <si>
    <t xml:space="preserve">  1001-108240 Elect Revenue-Accum Depr Salvage Trans</t>
  </si>
  <si>
    <t xml:space="preserve">  1250-107040 Elect Utility Plant-CWIP Jointly Owned Plt W/O</t>
  </si>
  <si>
    <t xml:space="preserve">  1001-108250 Elect Revenue-Accum Depr Salvage Dist</t>
  </si>
  <si>
    <t xml:space="preserve">  1250-107880 Elect Utility Plant-G&amp;A Capitalized</t>
  </si>
  <si>
    <t xml:space="preserve">  1001-108260 Elect Revenue-Accum Depr Salvage Gen</t>
  </si>
  <si>
    <t xml:space="preserve">  1250-108100 Elect Utility Plant-Accum Depr Remov Cost</t>
  </si>
  <si>
    <t xml:space="preserve">  1001-108340 Elect Revenue-Accum Depr Ret Bk Cost Tran</t>
  </si>
  <si>
    <t xml:space="preserve">  1250-108200 Elect Utility Plant-Accum Depr Salvage</t>
  </si>
  <si>
    <t xml:space="preserve">  1001-108350 Elect Revenue-Accum Depr Ret Bk Cost Dist</t>
  </si>
  <si>
    <t xml:space="preserve">  1250-108300 Elect Utility Plant-Accum Depr Ret Bk Cost</t>
  </si>
  <si>
    <t xml:space="preserve">  1001-108360 Elect Revenue-Accum Depr Ret Bk Cost Gen</t>
  </si>
  <si>
    <t xml:space="preserve">  1250-108400 Elect Utility Plant-Accum Depr Oth Chg&amp;Cr</t>
  </si>
  <si>
    <t xml:space="preserve">  1001-108450 Elect Revenue-Accum Depr Oth Chg&amp;Cr Dist</t>
  </si>
  <si>
    <t xml:space="preserve">  1250-108500 Elect Utility Plant-Accum Depr Accrual</t>
  </si>
  <si>
    <t xml:space="preserve">  1001-108460 Elect Revenue-Accum Depr Oth Chg&amp;Cr Gen</t>
  </si>
  <si>
    <t xml:space="preserve">  1250-108801 Elect Utility Plant-Wfon Accum Depr</t>
  </si>
  <si>
    <t xml:space="preserve">  1001-108525 Elect Revenue-Accum Depr Accrual NOC</t>
  </si>
  <si>
    <t xml:space="preserve">  1250-108802 Elect Utility Plant-Wfon Accum Depr Retire</t>
  </si>
  <si>
    <t xml:space="preserve">  1001-108540 Elect Revenue-Accum Depr Accrual Trans</t>
  </si>
  <si>
    <t xml:space="preserve">  1250-108803 Elect Utility Plant-Wfon Accum Depr Salvage</t>
  </si>
  <si>
    <t xml:space="preserve">  1001-108550 Elect Revenue-Accum Depr Accrual Dist</t>
  </si>
  <si>
    <t xml:space="preserve">  1250-111300 Elect Utility Plant-Accum Amort Software Intang</t>
  </si>
  <si>
    <t xml:space="preserve">  1001-108560 Elect Revenue-Accum Depr Accrual Gen</t>
  </si>
  <si>
    <t xml:space="preserve">  1250-111500 Elect Utility Plant-Amort QC Power Rights</t>
  </si>
  <si>
    <t xml:space="preserve">  1001-108801 Elect Revenue-Wfon Accum Depr</t>
  </si>
  <si>
    <t xml:space="preserve">  1250-111600 Elect Utility Plant-Amort PEC Power Right</t>
  </si>
  <si>
    <t xml:space="preserve">  1001-108802 Elect Revenue-Wfon Accum Depr Retire</t>
  </si>
  <si>
    <t xml:space="preserve">  1250-301000 Elect Utility Plant-Organization</t>
  </si>
  <si>
    <t xml:space="preserve">  1001-108803 Elect Revenue-Wfon Accum Depr Salvage</t>
  </si>
  <si>
    <t xml:space="preserve">  1250-302000 Elect Utility Plant-Franchises &amp; Consents</t>
  </si>
  <si>
    <t xml:space="preserve">  1001-111300 Elect Revenue-Accum Amort Software Intang</t>
  </si>
  <si>
    <t xml:space="preserve">  1250-303000 Elect Utility Plant-QC Power Rights</t>
  </si>
  <si>
    <t xml:space="preserve">  1001-111500 Elect Revenue-Amort QC Power Rights</t>
  </si>
  <si>
    <t xml:space="preserve">  1250-303010 Elect Utility Plant-PEC Power Rights</t>
  </si>
  <si>
    <t xml:space="preserve">  1001-111600 Elect Revenue-Amort PEC Power Right</t>
  </si>
  <si>
    <t xml:space="preserve">  1250-303100 Elect Utility Plant-QC Orig Power Rights</t>
  </si>
  <si>
    <t xml:space="preserve">  1001-301000 Elect Revenue-Organization</t>
  </si>
  <si>
    <t xml:space="preserve">  1250-303500 Elect Utility Plant-Software Intangible</t>
  </si>
  <si>
    <t xml:space="preserve">  1001-302000 Elect Revenue-Franchises &amp; Consents</t>
  </si>
  <si>
    <t xml:space="preserve">  1250-346000 Elect Utility Plant-Wind Towers</t>
  </si>
  <si>
    <t xml:space="preserve">  1001-303000 Elect Revenue-QC Power Rights</t>
  </si>
  <si>
    <t xml:space="preserve">  1250-350000 Elect Utility Plant-T/Land &amp; Land Rights</t>
  </si>
  <si>
    <t xml:space="preserve">  1001-303010 Elect Revenue-PEC Power Rights</t>
  </si>
  <si>
    <t xml:space="preserve">  1250-352000 Elect Utility Plant-T/Struct &amp; Improvements</t>
  </si>
  <si>
    <t xml:space="preserve">  1001-303100 Elect Revenue-QC Orig Power Rights</t>
  </si>
  <si>
    <t xml:space="preserve">  1250-353000 Elect Utility Plant-T/Station Equipment</t>
  </si>
  <si>
    <t xml:space="preserve">  1001-303500 Elect Revenue-Software Intangible</t>
  </si>
  <si>
    <t xml:space="preserve">  1250-354000 Elect Utility Plant-T/Towers &amp; Fixtures</t>
  </si>
  <si>
    <t xml:space="preserve">  1001-346000 Elect Revenue-Wind Towers</t>
  </si>
  <si>
    <t xml:space="preserve">  1250-355000 Elect Utility Plant-T/Poles &amp; Fixtures</t>
  </si>
  <si>
    <t xml:space="preserve">  1001-350000 Elect Revenue-T/Land &amp; Land Rights</t>
  </si>
  <si>
    <t xml:space="preserve">  1250-356000 Elect Utility Plant-T/OH Cond &amp; Devices</t>
  </si>
  <si>
    <t xml:space="preserve">  1001-352000 Elect Revenue-T/Struct &amp; Improvements</t>
  </si>
  <si>
    <t xml:space="preserve">  1250-359000 Elect Utility Plant-T/Roads &amp; Trails Trans</t>
  </si>
  <si>
    <t xml:space="preserve">  1001-353000 Elect Revenue-T/Station Equipment</t>
  </si>
  <si>
    <t xml:space="preserve">  1250-360000 Elect Utility Plant-D/Land &amp; Land Rights</t>
  </si>
  <si>
    <t xml:space="preserve">  1001-353100 Elect Revenue-Substation Meters</t>
  </si>
  <si>
    <t xml:space="preserve">  1250-361000 Elect Utility Plant-D/Struct &amp; Improvements</t>
  </si>
  <si>
    <t xml:space="preserve">  1001-353102 Elect Revenue-T/Sta Equip Switchyard</t>
  </si>
  <si>
    <t xml:space="preserve">  1250-362000 Elect Utility Plant-D/Station Equipment</t>
  </si>
  <si>
    <t xml:space="preserve">  1001-353940 Elect Revenue-T/Sta Eq Cent Disp Joint</t>
  </si>
  <si>
    <t xml:space="preserve">  1250-364000 Elect Utility Plant-D/Poles Towers Fixtures</t>
  </si>
  <si>
    <t xml:space="preserve">  1001-354000 Elect Revenue-T/Towers &amp; Fixtures</t>
  </si>
  <si>
    <t xml:space="preserve">  1250-365000 Elect Utility Plant-D/OH Cond &amp; Devices</t>
  </si>
  <si>
    <t xml:space="preserve">  1001-355000 Elect Revenue-T/Poles &amp; Fixtures</t>
  </si>
  <si>
    <t xml:space="preserve">  1250-366000 Elect Utility Plant-D/UG Conduit</t>
  </si>
  <si>
    <t xml:space="preserve">  1001-356000 Elect Revenue-T/OH Cond &amp; Devices</t>
  </si>
  <si>
    <t xml:space="preserve">  1250-367000 Elect Utility Plant-D/UG Cond &amp; Devices</t>
  </si>
  <si>
    <t xml:space="preserve">  1001-359000 Elect Revenue-T/Roads &amp; Trails Trans</t>
  </si>
  <si>
    <t xml:space="preserve">  1250-368000 Elect Utility Plant-D/Line Transformers</t>
  </si>
  <si>
    <t xml:space="preserve">  1001-360000 Elect Revenue-D/Land &amp; Land Rights</t>
  </si>
  <si>
    <t xml:space="preserve">  1250-369000 Elect Utility Plant-D/Services OH&amp;UG</t>
  </si>
  <si>
    <t xml:space="preserve">  1001-361000 Elect Revenue-D/Struct &amp; Improvements</t>
  </si>
  <si>
    <t xml:space="preserve">  1250-370000 Elect Utility Plant-D/Meters CT/PT</t>
  </si>
  <si>
    <t xml:space="preserve">  1001-362000 Elect Revenue-D/Station Equipment</t>
  </si>
  <si>
    <t xml:space="preserve">  1250-370100 Elect Utility Plant-D/NOC Software/Hardware</t>
  </si>
  <si>
    <t xml:space="preserve">  1001-364000 Elect Revenue-D/Poles Towers Fixtures</t>
  </si>
  <si>
    <t xml:space="preserve">  1250-373000 Elect Utility Plant-D/Street Lighting</t>
  </si>
  <si>
    <t xml:space="preserve">  1001-365000 Elect Revenue-D/OH Cond &amp; Devices</t>
  </si>
  <si>
    <t xml:space="preserve">  1250-389000 Elect Utility Plant-G/Land and Land Rights</t>
  </si>
  <si>
    <t xml:space="preserve">  1001-366000 Elect Revenue-D/UG Conduit</t>
  </si>
  <si>
    <t xml:space="preserve">  1250-390000 Elect Utility Plant-G/Structures &amp; Improvements</t>
  </si>
  <si>
    <t xml:space="preserve">  1001-367000 Elect Revenue-D/UG Cond &amp; Devices</t>
  </si>
  <si>
    <t xml:space="preserve">  1250-391000 Elect Utility Plant-G/Office Furniture &amp; Equip</t>
  </si>
  <si>
    <t xml:space="preserve">  1001-368000 Elect Revenue-D/Line Transformers</t>
  </si>
  <si>
    <t xml:space="preserve">  1250-391801 Elect Utility Plant-Wfon D/Office F&amp;E EDP Joint</t>
  </si>
  <si>
    <t xml:space="preserve">  1250-392000 Elect Utility Plant-G/Transportation Equip</t>
  </si>
  <si>
    <t xml:space="preserve">  1001-369010 Elect Revenue-D/Services OH</t>
  </si>
  <si>
    <t xml:space="preserve">  1250-393000 Elect Utility Plant-G/Stores Equip</t>
  </si>
  <si>
    <t xml:space="preserve">  1001-369020 Elect Revenue-D/Services UG</t>
  </si>
  <si>
    <t xml:space="preserve">  1250-394000 Elect Utility Plant-G/Tools</t>
  </si>
  <si>
    <t xml:space="preserve">  1001-370000 Elect Revenue-D/Meters CT/PT</t>
  </si>
  <si>
    <t xml:space="preserve">  1250-395000 Elect Utility Plant-G/Lab Equip</t>
  </si>
  <si>
    <t xml:space="preserve">  1001-370010 Elect Revenue-D/Meter Inventory</t>
  </si>
  <si>
    <t xml:space="preserve">  1250-396000 Elect Utility Plant-G/Power Operated Equip</t>
  </si>
  <si>
    <t xml:space="preserve">  1001-370090 Elect Revenue-D/NOC Software/ Hardware</t>
  </si>
  <si>
    <t xml:space="preserve">  1250-397000 Elect Utility Plant-G/Communication Equip</t>
  </si>
  <si>
    <t xml:space="preserve">  1250-397801 Elect Utility Plant-Wfon  D/Video Head End Equip</t>
  </si>
  <si>
    <t xml:space="preserve">  1001-373000 Elect Revenue-D/Street Lighting</t>
  </si>
  <si>
    <t xml:space="preserve">  1250-397802 Elect Utility Plant-Wfon Hub Elect Circuit Equip</t>
  </si>
  <si>
    <t xml:space="preserve">  1001-389110 Elect Revenue-G/Land Ephrata Off Site</t>
  </si>
  <si>
    <t xml:space="preserve">  1250-397803 Elect Utility Plant-Wfon Fiber Gateway</t>
  </si>
  <si>
    <t xml:space="preserve">  1001-389120 Elect Revenue-G/Land Ephrata Whse Site</t>
  </si>
  <si>
    <t xml:space="preserve">  1250-397804 Elect Utility Plant-Wfon Hub Cabinet</t>
  </si>
  <si>
    <t xml:space="preserve">  1001-389130 Elect Revenue-G/Land Ephrata Svc Center</t>
  </si>
  <si>
    <t xml:space="preserve">  1250-397805 Elect Utility Plant-Wfon Demarcation</t>
  </si>
  <si>
    <t xml:space="preserve">  1001-389210 Elect Revenue-G/Land ML Off Site</t>
  </si>
  <si>
    <t xml:space="preserve">  1250-397806 Elect Utility Plant-Wfon Aerial Cable</t>
  </si>
  <si>
    <t xml:space="preserve">  1001-389220 Elect Revenue-G/Land ML Whse Site</t>
  </si>
  <si>
    <t xml:space="preserve">  1250-397807 Elect Utility Plant-Wfon Underground Cable</t>
  </si>
  <si>
    <t xml:space="preserve">  1001-389310 Elect Revenue-G/Land Quincy Off Site</t>
  </si>
  <si>
    <t xml:space="preserve">  1250-398000 Elect Utility Plant-G/Miscellanous Equip</t>
  </si>
  <si>
    <t xml:space="preserve">  1001-389420 Elect Revenue-G/Land Grd Coulee Whse Site</t>
  </si>
  <si>
    <t xml:space="preserve">  1001-389510 Elect Revenue-G/Land Grd Coulee Off Site</t>
  </si>
  <si>
    <t xml:space="preserve">  1001-389530 Elect Revenue-G/Land RC Off &amp; Whse Site</t>
  </si>
  <si>
    <t xml:space="preserve">  1001-389720 Elect Revenue-G/Land Schawana Site</t>
  </si>
  <si>
    <t xml:space="preserve">  1001-389940 Elect Revenue-G/Land Joint</t>
  </si>
  <si>
    <t xml:space="preserve">  1001-390110 Elect Revenue-G/Struc&amp;Imp Eph Office</t>
  </si>
  <si>
    <t xml:space="preserve">  1001-390120 Elect Revenue-G/Struc&amp;Imp Eph Whse</t>
  </si>
  <si>
    <t xml:space="preserve">  1001-390130 Elect Revenue-G/Struc&amp;Imp Eph Trans Repair</t>
  </si>
  <si>
    <t xml:space="preserve">  1001-390140 Elect Revenue-G/Struc&amp;Imp Eph Line</t>
  </si>
  <si>
    <t xml:space="preserve">  1001-390150 Elect Revenue-G/Struc&amp;Imp Eph Meter Shop</t>
  </si>
  <si>
    <t xml:space="preserve">  1001-390160 Elect Revenue-G/Struc&amp;Imp Eph Serv Center</t>
  </si>
  <si>
    <t xml:space="preserve">  1001-390210 Elect Revenue-G/Struc&amp;Imp ML Office</t>
  </si>
  <si>
    <t xml:space="preserve">  1001-390220 Elect Revenue-G/Struc&amp;Imp ML Whse</t>
  </si>
  <si>
    <t xml:space="preserve">  1001-390230 Elect Revenue-G/Struc&amp;Imp ML Ems Ctr Backu</t>
  </si>
  <si>
    <t xml:space="preserve">  1001-390260 Elect Revenue-G/Struc&amp;Imp ML Stor Yd</t>
  </si>
  <si>
    <t xml:space="preserve">  1001-390310 Elect Revenue-G/Struc&amp;Imp Quincy Office</t>
  </si>
  <si>
    <t xml:space="preserve">  1001-390320 Elect Revenue-G/Struc&amp;Imp Quincy Yard</t>
  </si>
  <si>
    <t xml:space="preserve">  1001-390420 Elect Revenue-G/Struc&amp;Imp GC Whse</t>
  </si>
  <si>
    <t xml:space="preserve">  1001-390510 Elect Revenue-G/Struc&amp;Imp GC Office</t>
  </si>
  <si>
    <t xml:space="preserve">  1001-390511 Elect Revenue-G/Struc&amp;Imp GC Service Cent</t>
  </si>
  <si>
    <t xml:space="preserve">  1001-390910 Elect Revenue-G/Struc&amp;Imp RC Whse</t>
  </si>
  <si>
    <t xml:space="preserve">  1001-390920 Elect Revenue-G/Struc&amp;Imp RC Office</t>
  </si>
  <si>
    <t xml:space="preserve">  1001-391110 Elect Revenue-G/Office F&amp;E Eph Office</t>
  </si>
  <si>
    <t xml:space="preserve">  1001-391120 Elect Revenue-G/Office F&amp;E Eph Whse</t>
  </si>
  <si>
    <t xml:space="preserve">  1001-391140 Elect Revenue-G/Office F&amp;E Eph Line</t>
  </si>
  <si>
    <t xml:space="preserve">  1001-391150 Elect Revenue-G/Office F&amp;E Eph Meter Shop</t>
  </si>
  <si>
    <t xml:space="preserve">  1001-391160 Elect Revenue-G/Office F&amp;E Eph Garage</t>
  </si>
  <si>
    <t xml:space="preserve">  1001-391210 Elect Revenue-G/Office F&amp;E ML Office</t>
  </si>
  <si>
    <t xml:space="preserve">  1001-391240 Elect Revenue-G/Office F&amp;E Joint</t>
  </si>
  <si>
    <t xml:space="preserve">  1001-391310 Elect Revenue-G/Office F&amp;E Quincy Office</t>
  </si>
  <si>
    <t xml:space="preserve">  1001-391510 Elect Revenue-G/Office F&amp;E Coulee Office</t>
  </si>
  <si>
    <t xml:space="preserve">  1001-391540 Elect Revenue-G/Office F&amp;E EDP Joint</t>
  </si>
  <si>
    <t xml:space="preserve">  1001-391801 Elect Revenue-Wfon D/Office F&amp;E EDP Joint</t>
  </si>
  <si>
    <t xml:space="preserve">  1001-391910 Elect Revenue-G/Office F&amp;E RC Office</t>
  </si>
  <si>
    <t xml:space="preserve">  1001-392000 Elect Revenue-G/Transportation</t>
  </si>
  <si>
    <t xml:space="preserve">  1001-393120 Elect Revenue-G/Stores Equip Eph Whse</t>
  </si>
  <si>
    <t xml:space="preserve">  1001-393210 Elect Revenue-G/Stores Equip ML Whse</t>
  </si>
  <si>
    <t xml:space="preserve">  1001-393310 Elect Revenue-G/Stores Equip Quincy Whse</t>
  </si>
  <si>
    <t xml:space="preserve">  1001-393360 Elect Revenue-G/Stores Equip Quincy Yard</t>
  </si>
  <si>
    <t xml:space="preserve">  1001-393510 Elect Revenue-G/Stores Equip GC Office</t>
  </si>
  <si>
    <t xml:space="preserve">  1001-393910 Elect Revenue-G/Stores Equip RC Whse</t>
  </si>
  <si>
    <t xml:space="preserve">  1001-394110 Elect Revenue-G/Tools Eph Office</t>
  </si>
  <si>
    <t xml:space="preserve">  1001-394130 Elect Revenue-G/Tools Eph Garage</t>
  </si>
  <si>
    <t xml:space="preserve">  1001-394140 Elect Revenue-G/Tools Eph Line Office</t>
  </si>
  <si>
    <t xml:space="preserve">  1001-394150 Elect Revenue-G/Tools Eph Meter Shop</t>
  </si>
  <si>
    <t xml:space="preserve">  1001-394210 Elect Revenue-G/Tools Moses Lake</t>
  </si>
  <si>
    <t xml:space="preserve">  1001-394310 Elect Revenue-G/Tools Quincy</t>
  </si>
  <si>
    <t xml:space="preserve">  1001-394420 Elect Revenue-G/Tools GC Whse</t>
  </si>
  <si>
    <t xml:space="preserve">  1001-394540 Elect Revenue-G/Tools Joint</t>
  </si>
  <si>
    <t xml:space="preserve">  1001-394910 Elect Revenue-G/Tools RC Whse</t>
  </si>
  <si>
    <t xml:space="preserve">  1001-395150 Elect Revenue-G/Lab Equip Eph Meter Shop</t>
  </si>
  <si>
    <t xml:space="preserve">  1001-396000 Elect Revenue-G/Power Operated Equip</t>
  </si>
  <si>
    <t xml:space="preserve">  1001-397120 Elect Revenue-G/Comm Equip Eph Whse</t>
  </si>
  <si>
    <t xml:space="preserve">  1001-397140 Elect Revenue-G/Comm Equip Microwave Joint</t>
  </si>
  <si>
    <t xml:space="preserve">  1001-397151 Elect Revenue-G/Comm Equip Eph Transmitter</t>
  </si>
  <si>
    <t xml:space="preserve">  1001-397160 Elect Revenue-G/Comm Equip Mobile</t>
  </si>
  <si>
    <t xml:space="preserve">  1001-397210 Elect Revenue-G/Comm Equip ML Office</t>
  </si>
  <si>
    <t xml:space="preserve">  1001-397240 Elect Revenue-G/Analog Telem Joint</t>
  </si>
  <si>
    <t xml:space="preserve">  1001-397251 Elect Revenue-G/Comm Equip ML Transmitter</t>
  </si>
  <si>
    <t xml:space="preserve">  1001-397261 Elect Revenue-G/Comm Equip ML Serv Center</t>
  </si>
  <si>
    <t xml:space="preserve">  1001-397310 Elect Revenue-G/Comm Equip Quincy Office</t>
  </si>
  <si>
    <t xml:space="preserve">  1001-397340 Elect Revenue-G/Dig Telem Joint</t>
  </si>
  <si>
    <t xml:space="preserve">  1001-397341 Elect Revenue-G/Fiber Backbone</t>
  </si>
  <si>
    <t xml:space="preserve">  1001-397351 Elect Revenue-G/Comm Equip Grand Coulee</t>
  </si>
  <si>
    <t xml:space="preserve">  1001-397361 Elect Revenue-G/Comm Equip RC Sent 450Mhz</t>
  </si>
  <si>
    <t xml:space="preserve">  1001-397410 Elect Revenue-G/Comm Equip Eph 960 MC</t>
  </si>
  <si>
    <t xml:space="preserve">  1001-397430 Elect Revenue-G/Comm Equip Quincy 960 MC</t>
  </si>
  <si>
    <t xml:space="preserve">  1001-397440 Elect Revenue-G/Comm Equip Sent 960 MC</t>
  </si>
  <si>
    <t xml:space="preserve">  1001-397450 Elect Revenue-G/Comm Equip Pothole 960 MC</t>
  </si>
  <si>
    <t xml:space="preserve">  1001-397470 Elect Revenue-G/Comm Equip Substation</t>
  </si>
  <si>
    <t xml:space="preserve">  1001-397520 Elect Revenue-G/Comm Equip Data Co ML</t>
  </si>
  <si>
    <t xml:space="preserve">  1001-397530 Elect Revenue-G/Comm Equip Data Co Quincy</t>
  </si>
  <si>
    <t xml:space="preserve">  1001-397540 Elect Revenue-G/Comm Equip Data Co Pothole</t>
  </si>
  <si>
    <t xml:space="preserve">  1001-397610 Elect Revenue-G/Comm Equip ML Telephone</t>
  </si>
  <si>
    <t xml:space="preserve">  1001-397650 Elect Revenue-G/Comm Equip GC Telephone</t>
  </si>
  <si>
    <t xml:space="preserve">  1001-397700 Elect Revenue-G/Comm Equip Analog Telemtr</t>
  </si>
  <si>
    <t xml:space="preserve">  1001-397720 Elect Revenue-G/Comm Scada Joint</t>
  </si>
  <si>
    <t xml:space="preserve">  1001-397801 Elect Revenue-Wfon  D/Video Head End Equip</t>
  </si>
  <si>
    <t xml:space="preserve">  1001-397802 Elect Revenue-Wfon Hub Elect Circuit Equip</t>
  </si>
  <si>
    <t xml:space="preserve">  1001-397803 Elect Revenue-Wfon Fiber Gateway</t>
  </si>
  <si>
    <t xml:space="preserve">  1001-397804 Elect Revenue-Wfon Hub Cabinet</t>
  </si>
  <si>
    <t xml:space="preserve">  1001-397805 Elect Revenue-Wfon Demarcation</t>
  </si>
  <si>
    <t xml:space="preserve">  1001-397806 Elect Revenue-Wfon Aerial Cable</t>
  </si>
  <si>
    <t xml:space="preserve">  1001-397807 Elect Revenue-Wfon Underground Cable</t>
  </si>
  <si>
    <t xml:space="preserve">  1001-397810 Elect Revenue-G/Telephone Sys RC</t>
  </si>
  <si>
    <t xml:space="preserve">  1001-397840 Elect Revenue-G/Telephone System Joint</t>
  </si>
  <si>
    <t xml:space="preserve">  1001-397920 Elect Revenue-G/Comm Equip Sentinel Radio</t>
  </si>
  <si>
    <t xml:space="preserve">  1001-397940 Elect Revenue-G/Comm Equip Test Joint</t>
  </si>
  <si>
    <t xml:space="preserve">  1001-398010 Elect Revenue-G/Misc Equip Ephrata</t>
  </si>
  <si>
    <t xml:space="preserve">  1001-398020 Elect Revenue-G/Misc Equip Moses Lake</t>
  </si>
  <si>
    <t xml:space="preserve">  1001-398740 Elect Revenue-G/Misc Equip Joint</t>
  </si>
  <si>
    <t xml:space="preserve">  1200-107051 Elect 2011 Construction-CWIP QC</t>
  </si>
  <si>
    <t xml:space="preserve">  1001-107030 Elect Revenue-CWIP Contruc OH</t>
  </si>
  <si>
    <t xml:space="preserve">   Total    Utility plant, net of accumulated depreciation and amortization</t>
  </si>
  <si>
    <t xml:space="preserve">         Total noncurrent assets</t>
  </si>
  <si>
    <t>DEFERRED OUTFLOWS</t>
  </si>
  <si>
    <t xml:space="preserve">     Unamortized refunding loss: </t>
  </si>
  <si>
    <t xml:space="preserve">  1400-189000 Electric 2011I Interest-Unamort Loss on Refund</t>
  </si>
  <si>
    <t xml:space="preserve">  1401-189000 Elect 2013J Interest-Unamort Loss on Refund</t>
  </si>
  <si>
    <t xml:space="preserve">   Total      Unamortized refunding loss</t>
  </si>
  <si>
    <t xml:space="preserve">         Total  deferred outflows</t>
  </si>
  <si>
    <t>TOTAL ASSETS</t>
  </si>
  <si>
    <t>=</t>
  </si>
  <si>
    <t>4</t>
  </si>
  <si>
    <t>Difference</t>
  </si>
  <si>
    <t>CURRENT LIABILITIES</t>
  </si>
  <si>
    <t xml:space="preserve">   Accounts payable</t>
  </si>
  <si>
    <t xml:space="preserve">      Trade: </t>
  </si>
  <si>
    <t xml:space="preserve">  1001-232000 Elect Revenue-A/P Control</t>
  </si>
  <si>
    <t xml:space="preserve">  1001-232005 Elect Revenue-A/P Manual Accruals</t>
  </si>
  <si>
    <t xml:space="preserve">  1001-232010 Elect Revenue-A/P General</t>
  </si>
  <si>
    <t xml:space="preserve">  1001-232050 Elect Revenue-A/P Inventory</t>
  </si>
  <si>
    <t xml:space="preserve">  1001-235801 Elect Revenue-Wfon Customer Deposit</t>
  </si>
  <si>
    <t xml:space="preserve">  1001-242500 Elect Revenue-FERC Admin Charges QC</t>
  </si>
  <si>
    <t xml:space="preserve">  1008-232000 Elect Cust Deposits-A/P Control</t>
  </si>
  <si>
    <t xml:space="preserve">  1008-232005 Elect Cust Deposits-A/P Manual Accruals</t>
  </si>
  <si>
    <t xml:space="preserve">  1200-232000 Elect 2011 Construction-A/P Control</t>
  </si>
  <si>
    <t xml:space="preserve">  1200-232005 Elect 2011 Construction-A/P Manual Accruals</t>
  </si>
  <si>
    <t xml:space="preserve">  1250-232000 Elect Utility Plant-A/P Control</t>
  </si>
  <si>
    <t xml:space="preserve">  1250-232005 Elect Utility Plant-A/P Manual Accruals</t>
  </si>
  <si>
    <t xml:space="preserve">   Total       Trade</t>
  </si>
  <si>
    <t xml:space="preserve">   Intercompany payables: </t>
  </si>
  <si>
    <t xml:space="preserve">  1001-234012 Elect Revenue-N R Pay To Elec R&amp;C</t>
  </si>
  <si>
    <t xml:space="preserve">  1001-234430 Elect Revenue-S R Pay To Serv Oper</t>
  </si>
  <si>
    <t xml:space="preserve">  1005-234011 Elect Excess Earnings-N R Pay To Elec Rev</t>
  </si>
  <si>
    <t xml:space="preserve">  1008-234101 Elect Cust Deposits-S R Pay To Elec Rev</t>
  </si>
  <si>
    <t xml:space="preserve">  1008-234430 Elect Cust Deposits-S R Pay To Serv Oper</t>
  </si>
  <si>
    <t xml:space="preserve">  1093-234011 Elect Princ 2001H-N R Pay To Elec Rev</t>
  </si>
  <si>
    <t xml:space="preserve">  1200-234430 Elect 2011 Construction-S R Pay To Serv Oper</t>
  </si>
  <si>
    <t xml:space="preserve">  1094-234011 Elect Int 2001H-N R Pay To Elec Rev</t>
  </si>
  <si>
    <t xml:space="preserve">  1250-234430 Elect Utility Plant-S R Pay To Serv Oper</t>
  </si>
  <si>
    <t xml:space="preserve">  1300-234101 Elect 2011I Principal/Retire-S R Pay To Elec Rev</t>
  </si>
  <si>
    <t xml:space="preserve">  1400-234101 Electric 2011I Interest-S R Pay To Elec Rev</t>
  </si>
  <si>
    <t xml:space="preserve">   Total    Intercompany payables</t>
  </si>
  <si>
    <t xml:space="preserve">   Accrued taxes: </t>
  </si>
  <si>
    <t xml:space="preserve">  1001-236110 Elect Revenue-Accrd Tax Public Util</t>
  </si>
  <si>
    <t xml:space="preserve">  1001-236120 Elect Revenue-Accrd Tax Privilege</t>
  </si>
  <si>
    <t xml:space="preserve">  1001-236130 Elect Revenue-Accrd Tax Service Other</t>
  </si>
  <si>
    <t xml:space="preserve">  1001-236220 Elect Revenue-Accrd City Tax Moses Lake</t>
  </si>
  <si>
    <t xml:space="preserve">  1001-236300 Elect Revenue-Accrd City Tax George</t>
  </si>
  <si>
    <t xml:space="preserve">  1001-236230 Elect Revenue-Accrd City Tax Quincy</t>
  </si>
  <si>
    <t xml:space="preserve">  1001-236510 Elect Revenue-Accrd Tax Privilege QC</t>
  </si>
  <si>
    <t xml:space="preserve">  1001-236250 Elect Revenue-Accrd City Tax Soap Lake</t>
  </si>
  <si>
    <t xml:space="preserve">  1001-236600 Elect Revenue-Accrd Tax Privilege PEC</t>
  </si>
  <si>
    <t xml:space="preserve">  1001-236260 Elect Revenue-Accrd City Tax Warden</t>
  </si>
  <si>
    <t xml:space="preserve">  1001-236700 Elect Revenue-Accrd Tax Credit For Renew</t>
  </si>
  <si>
    <t xml:space="preserve">  1001-236270 Elect Revenue-Accrd City Tax Wilson Creek</t>
  </si>
  <si>
    <t xml:space="preserve">  1001-241310 Elect Revenue-Tax Coll Retail Sales Tax</t>
  </si>
  <si>
    <t xml:space="preserve">  1001-236290 Elect Revenue-Accrd City Tax Royal City</t>
  </si>
  <si>
    <t xml:space="preserve">  1001-241801 Elect Revenue-Wfon Tax Coll Ret Sales Tax</t>
  </si>
  <si>
    <t xml:space="preserve">  1001-236310 Elect Revenue-Accrd City Tax Grd Coulee</t>
  </si>
  <si>
    <t xml:space="preserve">  1001-236320 Elect Revenue-Accrd City Tax Electric City</t>
  </si>
  <si>
    <t xml:space="preserve">  1001-236330 Elect Revenue-Accrd City Tax Mattawa</t>
  </si>
  <si>
    <t xml:space="preserve">  1001-236340 Elect Revenue-Accrd City Tax Hartline</t>
  </si>
  <si>
    <t xml:space="preserve">  1001-236350 Elect Revenue-Accrd City Tax Coulee City</t>
  </si>
  <si>
    <t xml:space="preserve">   Total    Accrued taxes</t>
  </si>
  <si>
    <t xml:space="preserve">   Customer deposits: </t>
  </si>
  <si>
    <t xml:space="preserve">  1001-235350 Elect Revenue-STW Customer Help Program</t>
  </si>
  <si>
    <t xml:space="preserve">  1001-235000 Elect Revenue-Customer Deposit</t>
  </si>
  <si>
    <t xml:space="preserve">  1001-235360 Elect Revenue-STW Pledge Customer Help Prog</t>
  </si>
  <si>
    <t xml:space="preserve">  1001-235700 Elect Revenue-Power Purchaser Deposit</t>
  </si>
  <si>
    <t xml:space="preserve">  1008-235000 Elect Cust Deposits-Customer Deposit</t>
  </si>
  <si>
    <t xml:space="preserve">   Total    Customer deposits</t>
  </si>
  <si>
    <t xml:space="preserve">   Accrued bond interest: </t>
  </si>
  <si>
    <t xml:space="preserve">  1400-237000 Electric 2011I Interest-Accrd Int Funds</t>
  </si>
  <si>
    <t xml:space="preserve">  1094-237000 Elect Int 2001H-Accrd Int Funds</t>
  </si>
  <si>
    <t xml:space="preserve">  1401-237000 Elect 2013J Interest-Accrd Int Funds</t>
  </si>
  <si>
    <t xml:space="preserve">   Total    Accrued bond interest</t>
  </si>
  <si>
    <t xml:space="preserve">   Unearned revenue: </t>
  </si>
  <si>
    <t xml:space="preserve">  1001-252000 Elect Revenue-Customer Advances On Const</t>
  </si>
  <si>
    <t xml:space="preserve">  1001-253500 Elect Revenue-Current Unearned Revenue</t>
  </si>
  <si>
    <t xml:space="preserve">   Total    Unearned revenue</t>
  </si>
  <si>
    <t xml:space="preserve">   Other current liabilities: </t>
  </si>
  <si>
    <t xml:space="preserve">  1009-239999 Elect Fiscal Agent-Mat LT Debt Dist</t>
  </si>
  <si>
    <t xml:space="preserve">  1009-240999 Elect Fiscal Agent-Mat Int Dist</t>
  </si>
  <si>
    <t xml:space="preserve">   Total    Other current liabilities</t>
  </si>
  <si>
    <t xml:space="preserve">   Current portion of long-term debt: </t>
  </si>
  <si>
    <t xml:space="preserve">  1300-730050 Elect 2011I Principal/Retire-Current Portion LTD</t>
  </si>
  <si>
    <t xml:space="preserve">  1093-730050 Elect Princ 2001H-Current Portion LTD</t>
  </si>
  <si>
    <t xml:space="preserve">   Total    Current portion of long-term debt</t>
  </si>
  <si>
    <t xml:space="preserve">         Total current liabilities</t>
  </si>
  <si>
    <t>NONCURRENT LIABILITIES</t>
  </si>
  <si>
    <t xml:space="preserve">   Accrued other postemployment benefits: </t>
  </si>
  <si>
    <t xml:space="preserve">  1001-228300 Elect Revenue-Accum Provision For OPEB</t>
  </si>
  <si>
    <t xml:space="preserve">   Total    Accrued other postemployment benefits</t>
  </si>
  <si>
    <t xml:space="preserve">   Long-term unearned revenue: </t>
  </si>
  <si>
    <t xml:space="preserve">  1001-253600 Elect Revenue-Noncurrent Unearned Revenue</t>
  </si>
  <si>
    <t xml:space="preserve">   Total    Long-term unearned revenue</t>
  </si>
  <si>
    <t xml:space="preserve">   Revenue bonds, less current portion: </t>
  </si>
  <si>
    <t xml:space="preserve">  1300-221000 Elect 2011I Principal/Retire-LT Debt</t>
  </si>
  <si>
    <t xml:space="preserve">  1093-221000 Elect Princ 2001H-LT Debt</t>
  </si>
  <si>
    <t xml:space="preserve">  1300-720050 Elect 2011I Principal/Reti-Principal Due In 1 Year</t>
  </si>
  <si>
    <t xml:space="preserve">  1301-221000 Elect 2013J Principal/Retire-LT Debt</t>
  </si>
  <si>
    <t xml:space="preserve">  1093-720050 Elect Princ 2001H-Principal Due In 1 Year</t>
  </si>
  <si>
    <t xml:space="preserve">   Total    Revenue bonds, less current portion</t>
  </si>
  <si>
    <t xml:space="preserve">      Unamortized (discount) premium, net: </t>
  </si>
  <si>
    <t xml:space="preserve">  1400-226000 Electric 2011I Interest-Unamort Disc/Premium</t>
  </si>
  <si>
    <t xml:space="preserve">  1094-225000 Elect Int 2001H-Unamort Prem</t>
  </si>
  <si>
    <t xml:space="preserve">  1401-225000 Elect 2013J Interest-Unamort Prem</t>
  </si>
  <si>
    <t xml:space="preserve">  1401-226000 Elect 2013J Interest-Unamort Disc</t>
  </si>
  <si>
    <t xml:space="preserve">   Total       Unamortized (discount) premium, net</t>
  </si>
  <si>
    <t xml:space="preserve">      Unamortized refunding loss: </t>
  </si>
  <si>
    <t xml:space="preserve">  1094-226010 Elect Int 2001H-Unamort Issue Loss</t>
  </si>
  <si>
    <t xml:space="preserve">  1400-226010 Electric 2011I Interest-Unamort Issue Loss</t>
  </si>
  <si>
    <t xml:space="preserve">   Total       Unamortized refunding loss</t>
  </si>
  <si>
    <t xml:space="preserve">         Total noncurrent liabilities</t>
  </si>
  <si>
    <t xml:space="preserve">         Total liabilities</t>
  </si>
  <si>
    <t>NET POSITION</t>
  </si>
  <si>
    <t>NET ASSETS</t>
  </si>
  <si>
    <t xml:space="preserve">   Invested in capital assets, net of related debt</t>
  </si>
  <si>
    <t xml:space="preserve">   Restricted</t>
  </si>
  <si>
    <t xml:space="preserve">   Unrestricted</t>
  </si>
  <si>
    <t xml:space="preserve">         Total net position</t>
  </si>
  <si>
    <t xml:space="preserve">         Total net assets</t>
  </si>
  <si>
    <t>TOTAL LIABILITIES AND NET POSITION</t>
  </si>
  <si>
    <t>TOTAL LIABILITIES AND NET ASSETS</t>
  </si>
  <si>
    <t>5</t>
  </si>
  <si>
    <t>OPERATING REVENUES</t>
  </si>
  <si>
    <t>F-3</t>
  </si>
  <si>
    <t xml:space="preserve">   Retail energy sales</t>
  </si>
  <si>
    <t xml:space="preserve">      Residential: </t>
  </si>
  <si>
    <t xml:space="preserve">  1001-440010 Elect Revenue-Residential Sales Urban</t>
  </si>
  <si>
    <t xml:space="preserve">  1001-440020 Elect Revenue-Residential Sales Rural</t>
  </si>
  <si>
    <t xml:space="preserve">   Total       Residential</t>
  </si>
  <si>
    <t xml:space="preserve">      Irrigation: </t>
  </si>
  <si>
    <t xml:space="preserve">  1001-442010 Elect Revenue-Comm &amp; Ind Sales Irrig</t>
  </si>
  <si>
    <t xml:space="preserve">   Total       Irrigation</t>
  </si>
  <si>
    <t xml:space="preserve">      Commercial and industrial: </t>
  </si>
  <si>
    <t xml:space="preserve">  1001-442030 Elect Revenue-Comm &amp; Ind Sales, Sch 14</t>
  </si>
  <si>
    <t xml:space="preserve">  1001-442040 Elect Revenue-Comm &amp; Ind Sales Comm</t>
  </si>
  <si>
    <t xml:space="preserve">  1001-442050 Elect Revenue-Comm &amp; Ind Sales Lg Comm</t>
  </si>
  <si>
    <t xml:space="preserve">   Total       Commercial and industrial</t>
  </si>
  <si>
    <t xml:space="preserve">      Governmental and others: </t>
  </si>
  <si>
    <t xml:space="preserve">  1001-444010 Elect Revenue-Public St &amp; Hwy Lt Sch 6</t>
  </si>
  <si>
    <t xml:space="preserve">  1001-444020 Elect Revenue-Public St &amp; Hwy Lt Sch 2</t>
  </si>
  <si>
    <t xml:space="preserve">  1001-445000 Elect Revenue-Other Sales Public Authority</t>
  </si>
  <si>
    <t xml:space="preserve">   Total       Governmental and others</t>
  </si>
  <si>
    <t xml:space="preserve">   Sales to other utilities: </t>
  </si>
  <si>
    <t xml:space="preserve">  1001-447006 Elect Revenue-Monthly Fees</t>
  </si>
  <si>
    <t xml:space="preserve">  1001-447070 Elect Revenue-Sale For Resale Northwest</t>
  </si>
  <si>
    <t xml:space="preserve">  1001-447075 Elect Revenue-LT Contract</t>
  </si>
  <si>
    <t xml:space="preserve">  1001-447666 Elect Revenue-Net Bookout Sale</t>
  </si>
  <si>
    <t xml:space="preserve">  1001-447777 Elect Revenue-Displacement Revenue</t>
  </si>
  <si>
    <t xml:space="preserve">  1001-449000 Elect Revenue-Green Power Sales</t>
  </si>
  <si>
    <t xml:space="preserve">  1001-451010 Elect Revenue-Other Ser Rev Pwr Mgmt</t>
  </si>
  <si>
    <t xml:space="preserve">  1001-451012 Elect Revenue-Net Exchange Revenue</t>
  </si>
  <si>
    <t xml:space="preserve">  1001-456010 Elect Revenue-Other Electric Rev Wheeling</t>
  </si>
  <si>
    <t xml:space="preserve">   Total    Sales to other utilities</t>
  </si>
  <si>
    <t xml:space="preserve">   Fiber optic network sales: </t>
  </si>
  <si>
    <t xml:space="preserve">  1001-450801 Elect Revenue-Wfon Misc Revenue</t>
  </si>
  <si>
    <t xml:space="preserve">  1001-456801 Elect Revenue-Wfon Wholesale Serv Prov</t>
  </si>
  <si>
    <t xml:space="preserve">  1001-456802 Elect Revenue-Wfon Dark Fiber Revenue</t>
  </si>
  <si>
    <t xml:space="preserve">   Total    Fiber optic network sales</t>
  </si>
  <si>
    <t>R-2</t>
  </si>
  <si>
    <t xml:space="preserve">   Other: </t>
  </si>
  <si>
    <t xml:space="preserve">  1001-450000 Elect Revenue-Penalty For Late Payment</t>
  </si>
  <si>
    <t xml:space="preserve">  1001-451000 Elect Revenue-Misc Service Revenue</t>
  </si>
  <si>
    <t xml:space="preserve">  1001-454000 Elect Revenue-Rents Elec Property</t>
  </si>
  <si>
    <t xml:space="preserve">  1001-456000 Elect Revenue-Other Electric Revenues</t>
  </si>
  <si>
    <t xml:space="preserve">   Total    Other</t>
  </si>
  <si>
    <t xml:space="preserve">         Total operating revenues</t>
  </si>
  <si>
    <t>OPERATING EXPENSES</t>
  </si>
  <si>
    <t xml:space="preserve">   Purchased power: </t>
  </si>
  <si>
    <t xml:space="preserve">  1001-555010 Elect Revenue-Purc Power BPA</t>
  </si>
  <si>
    <t xml:space="preserve">  1001-555020 Elect Revenue-Purc Power PRP</t>
  </si>
  <si>
    <t xml:space="preserve">  1001-555025 Elect Revenue-Meaningful Priority</t>
  </si>
  <si>
    <t xml:space="preserve">  1001-555035 Elect Revenue-DSC PRP Adj to Power Cost</t>
  </si>
  <si>
    <t xml:space="preserve">  1001-555070 Elect Revenue-Purchased Power Market</t>
  </si>
  <si>
    <t xml:space="preserve">  1001-555500 Elect Revenue-Purc Power QC</t>
  </si>
  <si>
    <t xml:space="preserve">  1001-555666 Elect Revenue-Net Bookout Purchase</t>
  </si>
  <si>
    <t xml:space="preserve">  1001-555900 Elect Revenue-Power Purchases, 9 Canyon</t>
  </si>
  <si>
    <t xml:space="preserve">  1001-555999 Elect Revenue-Power Purchases, Other</t>
  </si>
  <si>
    <t xml:space="preserve">  1001-557050 Elect Revenue-Oth Pwr Exp Misc</t>
  </si>
  <si>
    <t xml:space="preserve">  1001-555030 Elect Revenue-Purc Power Wan</t>
  </si>
  <si>
    <t xml:space="preserve">   Total    Purchased power</t>
  </si>
  <si>
    <t>RR-1</t>
  </si>
  <si>
    <t xml:space="preserve">   Generation: </t>
  </si>
  <si>
    <t xml:space="preserve">  1001-535500 Elect Revenue-Supv &amp; Eng QC Operations</t>
  </si>
  <si>
    <t xml:space="preserve">  1001-535600 Elect Revenue-Supv &amp; Eng PEC Operations</t>
  </si>
  <si>
    <t xml:space="preserve">  1001-537500 Elect Revenue-Hydrl Exp QC</t>
  </si>
  <si>
    <t xml:space="preserve">  1001-537600 Elect Revenue-Hydrl Exp PEC</t>
  </si>
  <si>
    <t xml:space="preserve">  1001-538500 Elect Revenue-Electric Exp QC</t>
  </si>
  <si>
    <t xml:space="preserve">  1001-538600 Elect Revenue-Electric Exp PEC</t>
  </si>
  <si>
    <t xml:space="preserve">  1001-544500 Elect Revenue-Hyd Maint Elec Plt QC</t>
  </si>
  <si>
    <t xml:space="preserve">  1001-544600 Elect Revenue-Hyd Maint Elec Plt PEC</t>
  </si>
  <si>
    <t xml:space="preserve">  1001-549000 Elect Revenue-Misc Other Power Expense</t>
  </si>
  <si>
    <t xml:space="preserve">  1001-539010 Elect Revenue-Misc Hyd General Expense</t>
  </si>
  <si>
    <t xml:space="preserve">  1001-541500 Elect Revenue-Hyd Maint Supv &amp; Eng QC</t>
  </si>
  <si>
    <t xml:space="preserve">  1001-541600 Elect Revenue-Hyd Maint Supv &amp; Eng PEC</t>
  </si>
  <si>
    <t xml:space="preserve">  1001-543010 Elect Revenue-Hyd Maint Dams General</t>
  </si>
  <si>
    <t xml:space="preserve">  1001-545010 Elect Revenue-Hyd Maint Misc General</t>
  </si>
  <si>
    <t xml:space="preserve">  1001-545500 Elect Revenue-Hyd Maint Misc QC</t>
  </si>
  <si>
    <t xml:space="preserve">   Total    Generation</t>
  </si>
  <si>
    <t xml:space="preserve">   Transmission: </t>
  </si>
  <si>
    <t xml:space="preserve">  1001-560000 Elect Revenue-T/Opers Supv &amp; Eng</t>
  </si>
  <si>
    <t xml:space="preserve">  1001-561000 Elect Revenue-T/Opers Load Dispatching</t>
  </si>
  <si>
    <t xml:space="preserve">  1001-561010 Elect Revenue-T/Opers Load Dispatch Gen</t>
  </si>
  <si>
    <t xml:space="preserve">  1001-561500 Elect Revenue-T/Opers Load Dispatch QC</t>
  </si>
  <si>
    <t xml:space="preserve">  1001-561600 Elect Revenue-T/Opers Load Dispatch PEC</t>
  </si>
  <si>
    <t xml:space="preserve">  1001-562000 Elect Revenue-T/Opers Station Exp</t>
  </si>
  <si>
    <t xml:space="preserve">  1001-563000 Elect Revenue-T/Opers OH Line Exp</t>
  </si>
  <si>
    <t xml:space="preserve">  1001-565010 Elect Revenue-T/Transmission By Others</t>
  </si>
  <si>
    <t xml:space="preserve">  1001-566000 Elect Revenue-T/Opers Misc Exp</t>
  </si>
  <si>
    <t xml:space="preserve">  1001-568000 Elect Revenue-T/Maint Supr &amp; Eng</t>
  </si>
  <si>
    <t xml:space="preserve">  1001-570000 Elect Revenue-T/Maint Sta Equip</t>
  </si>
  <si>
    <t xml:space="preserve">  1001-571050 Elect Revenue-T/Maint OH Lines</t>
  </si>
  <si>
    <t xml:space="preserve">   Total    Transmission</t>
  </si>
  <si>
    <t xml:space="preserve">   Distribution: </t>
  </si>
  <si>
    <t xml:space="preserve">  1001-580000 Elect Revenue-D/Opers Supv &amp; Eng</t>
  </si>
  <si>
    <t xml:space="preserve">  1001-581010 Elect Revenue-D/Opers Load Dispatching</t>
  </si>
  <si>
    <t xml:space="preserve">  1001-582000 Elect Revenue-D/Opers Station Expense</t>
  </si>
  <si>
    <t xml:space="preserve">  1001-583000 Elect Revenue-D/Opers OH Lines</t>
  </si>
  <si>
    <t xml:space="preserve">  1001-584010 Elect Revenue-D/Opers Undergrd Prim &amp; S</t>
  </si>
  <si>
    <t xml:space="preserve">  1001-586010 Elect Revenue-D/Opers Meter Install Exp</t>
  </si>
  <si>
    <t xml:space="preserve">  1001-587000 Elect Revenue-D/Opers Cust Install Exp</t>
  </si>
  <si>
    <t xml:space="preserve">  1001-588000 Elect Revenue-D/Opers Misc Gen Exp</t>
  </si>
  <si>
    <t xml:space="preserve">  1001-588030 Elect Revenue-D/Opers Misc EDP</t>
  </si>
  <si>
    <t xml:space="preserve">  1001-590000 Elect Revenue-D/Maint Supv &amp; Eng</t>
  </si>
  <si>
    <t xml:space="preserve">  1001-592000 Elect Revenue-D/Maint Station Equipmt</t>
  </si>
  <si>
    <t xml:space="preserve">  1001-593010 Elect Revenue-D/Maint OH Line Gen</t>
  </si>
  <si>
    <t xml:space="preserve">  1001-593000 Elect Revenue-D/Maint OH Line Fiber O&amp;M</t>
  </si>
  <si>
    <t xml:space="preserve">  1001-594010 Elect Revenue-D/Maint UG Prim &amp; Sec</t>
  </si>
  <si>
    <t xml:space="preserve">  1001-595000 Elect Revenue-D/Maint Line Transformers</t>
  </si>
  <si>
    <t xml:space="preserve">  1001-596010 Elect Revenue-D/Maint OH Street Lighting</t>
  </si>
  <si>
    <t xml:space="preserve">  1001-597000 Elect Revenue-D/Maint Meters</t>
  </si>
  <si>
    <t xml:space="preserve">   Total    Distribution</t>
  </si>
  <si>
    <t xml:space="preserve">   Customer and information services: </t>
  </si>
  <si>
    <t xml:space="preserve">  1001-901000 Elect Revenue-Cust Accts Supv</t>
  </si>
  <si>
    <t xml:space="preserve">  1001-902000 Elect Revenue-Cust Accts Meter Reading Exp</t>
  </si>
  <si>
    <t xml:space="preserve">  1001-903000 Elect Revenue-Cust Accts Rec &amp; Coll Exp</t>
  </si>
  <si>
    <t xml:space="preserve">  1001-903010 Elect Revenue-Cust Accts Cash Over/Short</t>
  </si>
  <si>
    <t xml:space="preserve">  1001-904000 Elect Revenue-Cust Accts Uncollectible</t>
  </si>
  <si>
    <t xml:space="preserve">  1001-906100 Elect Revenue-Customer Incentives</t>
  </si>
  <si>
    <t xml:space="preserve">  1001-908000 Elect Revenue-Cust Opers Cust Assistance</t>
  </si>
  <si>
    <t xml:space="preserve">  1001-903030 Elect Revenue-Cust Accts EDP</t>
  </si>
  <si>
    <t xml:space="preserve">  1001-909010 Elect Revenue-Cust Opers Pub Rel &amp; Ad Exp</t>
  </si>
  <si>
    <t xml:space="preserve">  1001-910020 Elect Revenue-Cust Opers Misc Rate Study</t>
  </si>
  <si>
    <t xml:space="preserve">   Total    Customer and information services</t>
  </si>
  <si>
    <t xml:space="preserve">   Fiber optic network operations: </t>
  </si>
  <si>
    <t xml:space="preserve">  1001-930801 Elect Revenue-Wfon G&amp;A Expense</t>
  </si>
  <si>
    <t xml:space="preserve">  1001-935801 Elect Revenue-Wfon Gateway Maint</t>
  </si>
  <si>
    <t xml:space="preserve">  1001-935804 Elect Revenue-Wfon Underground Cable Exp</t>
  </si>
  <si>
    <t xml:space="preserve">  1001-935805 Elect Revenue-Wfon Maint Gen Plant Exp</t>
  </si>
  <si>
    <t xml:space="preserve">  1001-935806 Elect Revenue-Wfon NOC Monitoring Exp</t>
  </si>
  <si>
    <t xml:space="preserve">  1001-935807 Elect Revenue-Wfon-Information Mngmt Exp</t>
  </si>
  <si>
    <t xml:space="preserve">  1001-923801 Elect Revenue-Wfon Legal</t>
  </si>
  <si>
    <t xml:space="preserve">  1001-935802 Elect Revenue-Wfon Hub Cabinet Exp</t>
  </si>
  <si>
    <t xml:space="preserve">  1001-935803 Elect Revenue-Wfon Aerial Cable Exp</t>
  </si>
  <si>
    <t xml:space="preserve">   Total    Fiber optic network operations</t>
  </si>
  <si>
    <t xml:space="preserve">   Administrative and general: </t>
  </si>
  <si>
    <t xml:space="preserve">  1001-920050 Elect Revenue-A&amp;G Certificate Pay</t>
  </si>
  <si>
    <t xml:space="preserve">  1001-921010 Elect Revenue-Ofc Sup&amp;Exp General</t>
  </si>
  <si>
    <t xml:space="preserve">  1001-921030 Elect Revenue-Ofc Sup&amp;Exp EDP</t>
  </si>
  <si>
    <t xml:space="preserve">  1001-921500 Elect Revenue-Ofc Sup&amp;Exp QC Admin Costs</t>
  </si>
  <si>
    <t xml:space="preserve">  1001-921600 Elect Revenue-Ofc Sup&amp;Exp PEC Admin Costs</t>
  </si>
  <si>
    <t xml:space="preserve">  1001-923010 Elect Revenue-O/S Services Attorney</t>
  </si>
  <si>
    <t xml:space="preserve">  1001-923020 Elect Revenue-O/S Services Auditors</t>
  </si>
  <si>
    <t xml:space="preserve">  1001-923030 Elect Revenue-O/S Services Consultants</t>
  </si>
  <si>
    <t xml:space="preserve">  1001-924020 Elect Revenue-Property Insurance</t>
  </si>
  <si>
    <t xml:space="preserve">  1001-924500 Elect Revenue-Property Insurance QC</t>
  </si>
  <si>
    <t xml:space="preserve">  1001-924600 Elect Revenue-Property Insurance PEC</t>
  </si>
  <si>
    <t xml:space="preserve">  1001-925030 Elect Revenue-Inj &amp; Damages General</t>
  </si>
  <si>
    <t xml:space="preserve">  1001-925040 Elect Revenue-Inj &amp; Damages Liab Insur</t>
  </si>
  <si>
    <t xml:space="preserve">  1001-925050 Elect Revenue-Inj &amp; Damages Minor Claims</t>
  </si>
  <si>
    <t xml:space="preserve">  1001-926999 Elect Revenue-OPEB Expense</t>
  </si>
  <si>
    <t xml:space="preserve">  1001-928030 Elect Revenue-Reg Comm Exp Litigation</t>
  </si>
  <si>
    <t xml:space="preserve">  1001-928500 Elect Revenue-Reg Comm Exp Ferc QC</t>
  </si>
  <si>
    <t xml:space="preserve">  1001-928600 Elect Revenue-Reg Comm Exp Ferc PEC</t>
  </si>
  <si>
    <t xml:space="preserve">  1001-929010 Elect Revenue-Dup Charges Kwh Use</t>
  </si>
  <si>
    <t xml:space="preserve">  1001-929020 Elect Revenue-Dup Charges Admin Off Rent</t>
  </si>
  <si>
    <t xml:space="preserve">  1001-929880 Elect Revenue-G&amp;A Capitalized On Closing</t>
  </si>
  <si>
    <t xml:space="preserve">  1001-929980 Elect Revenue-G&amp;A Capitalized On CWIP</t>
  </si>
  <si>
    <t xml:space="preserve">  1001-930010 Elect Revenue-Misc General Expense</t>
  </si>
  <si>
    <t xml:space="preserve">  1001-930110 Elect Revenue-Gen Ad Exp Public Relations</t>
  </si>
  <si>
    <t xml:space="preserve">  1001-935010 Elect Revenue-Maint Gen Plt Misc</t>
  </si>
  <si>
    <t xml:space="preserve">  1001-935020 Elect Revenue-Maint Gen Plt Communication</t>
  </si>
  <si>
    <t xml:space="preserve">  1001-426500 Elect Revenue-Other Deductions</t>
  </si>
  <si>
    <t xml:space="preserve">  1001-920010 Elect Revenue-A&amp;G Salaries General</t>
  </si>
  <si>
    <t xml:space="preserve">  1001-920030 Elect Revenue-A&amp;G Salaries EDP</t>
  </si>
  <si>
    <t xml:space="preserve">  1001-923040 Elect Revenue-O/S Services Other</t>
  </si>
  <si>
    <t xml:space="preserve">  1001-931000 Elect Revenue-Rents Ephrata Office</t>
  </si>
  <si>
    <t xml:space="preserve">  1001-931010 Elect Revenue-Lease Expense</t>
  </si>
  <si>
    <t xml:space="preserve">  1003-426500 Elect Rest Diesel Proc-Other Deductions</t>
  </si>
  <si>
    <t xml:space="preserve">   Total    Administrative and general</t>
  </si>
  <si>
    <t xml:space="preserve">   Depreciation and amortization: </t>
  </si>
  <si>
    <t xml:space="preserve">  1001-425100 Elect Revenue-Amort Conservation 10 Year</t>
  </si>
  <si>
    <t xml:space="preserve">  1001-425110 Elect Revenue-Amort Conservation 12 Year</t>
  </si>
  <si>
    <t xml:space="preserve">  1250-403000 Elect Utility Plant-Depreciation Expense</t>
  </si>
  <si>
    <t xml:space="preserve">  1250-403100 Elect Utility Plant-Depreciation Exp Contra Alloc</t>
  </si>
  <si>
    <t xml:space="preserve">  1250-403801 Elect Utility Plant-Wfon Depreciation Expense</t>
  </si>
  <si>
    <t xml:space="preserve">  1250-404300 Elect Utility Plant-Amort Expense Software Intang</t>
  </si>
  <si>
    <t xml:space="preserve">  1250-404500 Elect Utility Plant-Amort QC Power Rights</t>
  </si>
  <si>
    <t xml:space="preserve">  1250-404600 Elect Utility Plant-Amort PEC Power Rights</t>
  </si>
  <si>
    <t xml:space="preserve">  1001-403040 Elect Revenue-Depreciation Expense Trans</t>
  </si>
  <si>
    <t xml:space="preserve">  1001-403050 Elect Revenue-Depreciation Expense Dist</t>
  </si>
  <si>
    <t xml:space="preserve">  1001-403060 Elect Revenue-Depreciation Expense Gen</t>
  </si>
  <si>
    <t xml:space="preserve">  1001-403801 Elect Revenue-Wfon Depreciation Expense</t>
  </si>
  <si>
    <t xml:space="preserve">  1001-404300 Elect Revenue-Amort Expense Software Intang</t>
  </si>
  <si>
    <t xml:space="preserve">  1001-404500 Elect Revenue-Amort QC Power Rights</t>
  </si>
  <si>
    <t xml:space="preserve">  1001-404600 Elect Revenue-Amort PEC Power Rights</t>
  </si>
  <si>
    <t xml:space="preserve">   Total    Depreciation and amortization</t>
  </si>
  <si>
    <t>RR-5</t>
  </si>
  <si>
    <t xml:space="preserve">   Taxes: </t>
  </si>
  <si>
    <t xml:space="preserve">  1001-408050 Elect Revenue-Taxes Fiber</t>
  </si>
  <si>
    <t xml:space="preserve">  1001-408100 Elect Revenue-Taxes Utility</t>
  </si>
  <si>
    <t xml:space="preserve">  1001-408200 Elect Revenue-Taxes Privilege</t>
  </si>
  <si>
    <t xml:space="preserve">  1001-408400 Elect Revenue-Taxes City</t>
  </si>
  <si>
    <t xml:space="preserve">  1001-408501 Elect Revenue-Taxes Fire District</t>
  </si>
  <si>
    <t xml:space="preserve">  1001-408510 Elect Revenue-Taxes Privilege QC</t>
  </si>
  <si>
    <t xml:space="preserve">  1001-408600 Elect Revenue-Taxes Privilege PEC</t>
  </si>
  <si>
    <t xml:space="preserve">   Total    Taxes</t>
  </si>
  <si>
    <t xml:space="preserve">         Total operating expenses</t>
  </si>
  <si>
    <t>NET OPERATING INCOME</t>
  </si>
  <si>
    <t>OTHER REVENUES (EXPENSES)</t>
  </si>
  <si>
    <t xml:space="preserve">   Interest and other income: </t>
  </si>
  <si>
    <t xml:space="preserve">  1001-415010 Elect Revenue-Oth Inc Jobbing Revenue</t>
  </si>
  <si>
    <t xml:space="preserve">  1001-416010 Elect Revenue-Oth Inc Jobbing Costs</t>
  </si>
  <si>
    <t xml:space="preserve">  1001-419000 Elect Revenue-Int Inc Funds</t>
  </si>
  <si>
    <t xml:space="preserve">  1001-419010 Elect Revenue-Int Inc Other</t>
  </si>
  <si>
    <t xml:space="preserve">  1001-419030 Elect Revenue-Unrealized Gain/Loss Invest</t>
  </si>
  <si>
    <t xml:space="preserve">  1001-419090 Elect Revenue-Int Inc Conserv Loans</t>
  </si>
  <si>
    <t xml:space="preserve">  1001-419801 Elect Revenue-Wfon Interest Income</t>
  </si>
  <si>
    <t xml:space="preserve">  1001-421000 Elect Revenue-Misc Nonoper Income</t>
  </si>
  <si>
    <t xml:space="preserve">  1001-456999 Elect Revenue-Surplus Sales</t>
  </si>
  <si>
    <t xml:space="preserve">  1002-419000 Elect Rsrv &amp; Cont-Int Inc Funds</t>
  </si>
  <si>
    <t xml:space="preserve">  1002-419030 Elect Rsrv &amp; Cont-Unrealized Gain/Loss Invest</t>
  </si>
  <si>
    <t xml:space="preserve">  1007-419000 Elect Renew &amp; Rplc QC-Int Inc Funds</t>
  </si>
  <si>
    <t xml:space="preserve">  1007-419030 Elect Renew &amp; Rplc QC-Unrealized Gain/Loss Invest</t>
  </si>
  <si>
    <t xml:space="preserve">  1008-419030 Elect Cust Deposits-Unrealized Gain/Loss Invest</t>
  </si>
  <si>
    <t xml:space="preserve">  1100-419000 Elect 2011I Debt Service Rsrv-Int Inc Funds</t>
  </si>
  <si>
    <t xml:space="preserve">  1100-419030 Elect 2011I Debt Service -Unrealized Gain/Loss Inv</t>
  </si>
  <si>
    <t xml:space="preserve">  1101-419000 Elect 2013J Debt Service Rsrv-Int Inc Funds</t>
  </si>
  <si>
    <t xml:space="preserve">  1101-419030 Elect 2013J Debt Service -Unrealized Gain/Loss Inv</t>
  </si>
  <si>
    <t xml:space="preserve">  1200-419000 Elect 2011 Construction-Int Inc Funds</t>
  </si>
  <si>
    <t xml:space="preserve">  1200-419030 Elect 2011 Construction-Unrealized Gain/Loss Inves</t>
  </si>
  <si>
    <t xml:space="preserve">  1300-419000 Elect 2011I Principal/Retire-Int Inc Funds</t>
  </si>
  <si>
    <t xml:space="preserve">  1400-419000 Electric 2011I Interest-Int Inc Funds</t>
  </si>
  <si>
    <t xml:space="preserve">  1001-419802 Elect Revenue-Wfon Unrealized Gain/Loss In</t>
  </si>
  <si>
    <t xml:space="preserve">  1003-419000 Elect Rest Diesel Proc-Int Inc Funds</t>
  </si>
  <si>
    <t xml:space="preserve">  1001-419150 Elect Revenue-Int Inc Ephr SD Pky School</t>
  </si>
  <si>
    <t xml:space="preserve">   Total    Interest and other income</t>
  </si>
  <si>
    <t xml:space="preserve">   Interest on revenue bonds and other, net of capitalized interest: </t>
  </si>
  <si>
    <t xml:space="preserve">  1001-427801 Elect Revenue-Wfon Interest Expense</t>
  </si>
  <si>
    <t xml:space="preserve">  1001-431000 Elect Revenue-Other Int Exp Cust Deposit</t>
  </si>
  <si>
    <t xml:space="preserve">  1200-427900 Elect Plant/Construction-Capitalized Interest Expe</t>
  </si>
  <si>
    <t xml:space="preserve">  1250-427900 Elect Utility Plant-Capitalized Interest Expense</t>
  </si>
  <si>
    <t xml:space="preserve">  1400-427000 Electric 2011I Interest-Int Exp Funds</t>
  </si>
  <si>
    <t xml:space="preserve">  1401-427000 Elect 2013J Interest-Int Exp Funds</t>
  </si>
  <si>
    <t xml:space="preserve">  1094-427000 Elect Int 2001H-Int Exp Funds</t>
  </si>
  <si>
    <t xml:space="preserve">   Total    Interest on revenue bonds and other, net of capitalized interest</t>
  </si>
  <si>
    <t xml:space="preserve">   Amortization of debt discount/premium and cost of debt issuance: </t>
  </si>
  <si>
    <t xml:space="preserve">   Amortization of debt expense, discount, and premium: </t>
  </si>
  <si>
    <t xml:space="preserve">  1001-428000 Elect Revenue-Amort Issue Exp</t>
  </si>
  <si>
    <t xml:space="preserve">  1400-428000 Electric 2011I Interest-Amort Issue Exp</t>
  </si>
  <si>
    <t xml:space="preserve">  1400-428010 Electric 2011I Interest-Amort Disc/Premium</t>
  </si>
  <si>
    <t xml:space="preserve">  1400-428020 Electric 2011I Interest-Amort Issue Loss</t>
  </si>
  <si>
    <t xml:space="preserve">  1401-428000 Elect 2013J Interest-Amort Issue Exp</t>
  </si>
  <si>
    <t xml:space="preserve">  1401-428010 Elect 2013J Interest-Amort Discount</t>
  </si>
  <si>
    <t xml:space="preserve">  1401-428020 Elect 2013J Interest-Amort Issue Loss</t>
  </si>
  <si>
    <t xml:space="preserve">  1094-428000 Elect Int 2001H-Amort Issue Exp</t>
  </si>
  <si>
    <t xml:space="preserve">  1094-428020 Elect Int 2001H-Amort Issue Loss</t>
  </si>
  <si>
    <t xml:space="preserve">   Total    Amortization of debt discount/premium and cost of debt issuance</t>
  </si>
  <si>
    <t xml:space="preserve">   Total    Amortization of debt expense, discount, and premium</t>
  </si>
  <si>
    <t xml:space="preserve">         Total other revenue (expenses)</t>
  </si>
  <si>
    <t xml:space="preserve">CONTRIBUTIONS IN AID OF CONSTRUCTION: </t>
  </si>
  <si>
    <t xml:space="preserve">  1001-460000 Elect Revenue-Contr In Aid Of Const</t>
  </si>
  <si>
    <t xml:space="preserve">  1001-460801 Elect Revenue-Wfon-Contrib In Aid of Const</t>
  </si>
  <si>
    <t xml:space="preserve">   Total CONTRIBUTIONS IN AID OF CONSTRUCTION</t>
  </si>
  <si>
    <t>CHANGE IN NET POSTION</t>
  </si>
  <si>
    <t>CHANGE IN NET ASSETS</t>
  </si>
  <si>
    <t>Account</t>
  </si>
  <si>
    <t>A&amp;G CERTIFICATE PAY</t>
  </si>
  <si>
    <t>POWER PURCHASES, OTHER</t>
  </si>
  <si>
    <t>POWER PURCHASES, 9 CANYON</t>
  </si>
  <si>
    <t>DSC PRP ADJ TO POWER COST</t>
  </si>
  <si>
    <t>McDonald  Transformer Replacement</t>
  </si>
  <si>
    <t>Columbia - Rocky Ford 230 kV Project &amp; Mid C Mitigation</t>
  </si>
  <si>
    <t>Dune Lake Substation</t>
  </si>
  <si>
    <t>Distribution System Class 4000 Capital</t>
  </si>
  <si>
    <t>Babcock Substation</t>
  </si>
  <si>
    <t>Peninsula Substation Metal Clad Switchgear Replacement</t>
  </si>
  <si>
    <t>Business Data Network</t>
  </si>
  <si>
    <t>DC Power Conversion</t>
  </si>
  <si>
    <t>Firewall Replacements</t>
  </si>
  <si>
    <t>GCPUD Control Centers Consoles</t>
  </si>
  <si>
    <t>Microwave Site Improvements</t>
  </si>
  <si>
    <t>Cyber Security Devices</t>
  </si>
  <si>
    <t>Telephone System</t>
  </si>
  <si>
    <t>Lic. Art. 411 Mitigation - Bird Flight Diverters</t>
  </si>
  <si>
    <t>Circuit Switcher Replacement Program</t>
  </si>
  <si>
    <t>Rocky Ford-Dover 115KV Line &amp; Rocky Ford 115KV Breaker Addition</t>
  </si>
  <si>
    <t>Wanapum-Potholes 230kV Project</t>
  </si>
  <si>
    <t>Coulee City Substation Upgrade</t>
  </si>
  <si>
    <t>New Sabey Substation (Quincy Flats)</t>
  </si>
  <si>
    <t>GIS - Electric &amp; Fiber</t>
  </si>
  <si>
    <t>South Ephrata Substation</t>
  </si>
  <si>
    <t>Substation Upgrades and Refurbishments</t>
  </si>
  <si>
    <t>Interrupter Replacement for Transmission Switches</t>
  </si>
  <si>
    <t>Spare Autotransformer Purchase &amp; Procurement of Rights</t>
  </si>
  <si>
    <t>Wheeler Substation Upgrade</t>
  </si>
  <si>
    <t>Conservation Loan Program</t>
  </si>
  <si>
    <t>Quincy Infrastructure Exp 1-4</t>
  </si>
  <si>
    <t>Wheeler Road Tap-Warden Switchyard 115kV Line Rebuild</t>
  </si>
  <si>
    <t>Mountain View Distribution Substation PH1</t>
  </si>
  <si>
    <t>Wanapum Dam Unit Controls (unit controls/governor upgrade)</t>
  </si>
  <si>
    <t>Wanapum Generator Step Up Transformer Replacement</t>
  </si>
  <si>
    <t>Wanapum ISO-Phase Bus Rehab - W07</t>
  </si>
  <si>
    <t>Wanapum Turbine Upgrade</t>
  </si>
  <si>
    <t>Wanapum Generator Upgrade</t>
  </si>
  <si>
    <t>Wanapum Spillgate Rehab</t>
  </si>
  <si>
    <t>Priest Rapids Dam Security Upgrades</t>
  </si>
  <si>
    <t>Wanapum Dam Security Upgrades</t>
  </si>
  <si>
    <t>Wanapum Oil Water Separator</t>
  </si>
  <si>
    <t>2011 Capital Tool Main Hydro</t>
  </si>
  <si>
    <t>Priest Rapids Embankment Improvements</t>
  </si>
  <si>
    <t>Wanapum Dam Embankment Liquefaction Improvements</t>
  </si>
  <si>
    <t>Wanapum Spillway Seismic Stabilization</t>
  </si>
  <si>
    <t>PR Generator Circuit Breakers Rehabilitation</t>
  </si>
  <si>
    <t>Wan Generator Circuit Breakers Rehabilitation</t>
  </si>
  <si>
    <t>PR Rotor Pole Procure/Repair</t>
  </si>
  <si>
    <t>PR Civil Systems</t>
  </si>
  <si>
    <t>PR Dam Mechanical System</t>
  </si>
  <si>
    <t>PR Dam Mechanical System-Cranes</t>
  </si>
  <si>
    <t>Wanapum Powerhouse Roof</t>
  </si>
  <si>
    <t>PR Oil Water Separator</t>
  </si>
  <si>
    <t>PEC Projects</t>
  </si>
  <si>
    <t>QC Capital</t>
  </si>
  <si>
    <t>PR Electrical Systems Reliability</t>
  </si>
  <si>
    <t>Priest Rapids Dam Unit Controls</t>
  </si>
  <si>
    <t>Priest Rapids Generator Rewind</t>
  </si>
  <si>
    <t>Priest Rapids Turbine Upgrade</t>
  </si>
  <si>
    <t>Wanapum Electrical Systems Reliability</t>
  </si>
  <si>
    <t>Wan/PR Control System Improvements &amp; Expansion</t>
  </si>
  <si>
    <t>Wanapum Mechanical Systems</t>
  </si>
  <si>
    <t>Wanapum Civil Systems</t>
  </si>
  <si>
    <t>WAN/PR Powerhouse Control Room Renovation</t>
  </si>
  <si>
    <t>Apricot Orchard Boat Launch</t>
  </si>
  <si>
    <t>Wanapum Dam Lower Boat Launch</t>
  </si>
  <si>
    <t>Wanapum Dam Upper Boat Launch</t>
  </si>
  <si>
    <t>Carlton Pond Acclimation Facility</t>
  </si>
  <si>
    <t>Nason Creek Acclimation Facility</t>
  </si>
  <si>
    <t>Priest Rapids Hatchery Renovation</t>
  </si>
  <si>
    <t>Wildlife Habitat Management Program</t>
  </si>
  <si>
    <t>Dryden Pond Acclimation Facility</t>
  </si>
  <si>
    <t>Chief Joseph Hatchery and Okanogan Weir Agreement</t>
  </si>
  <si>
    <t>Wanapum Dam Picnic Area</t>
  </si>
  <si>
    <t>Sunland Recreation Development</t>
  </si>
  <si>
    <t>Crab Creek Corridor/Burkett Lake</t>
  </si>
  <si>
    <t>Crescent Bar Off-Island Recreation Area</t>
  </si>
  <si>
    <t>Crescent Bar Island Recreation Area</t>
  </si>
  <si>
    <t>Pacific Lamprey Management Plan Program</t>
  </si>
  <si>
    <t>Chelan PUD Hatchery Sharing Agreement</t>
  </si>
  <si>
    <t>Penticton Hatchery</t>
  </si>
  <si>
    <t>Wells Hatchery-Douglas PUD</t>
  </si>
  <si>
    <t>SAN Replacement/Upgrade</t>
  </si>
  <si>
    <t>Fleet Replacement- Light Duty Purchases</t>
  </si>
  <si>
    <t>Fleet Replacement- Heavy Duty Purchases</t>
  </si>
  <si>
    <t>Copy Machine Replacements</t>
  </si>
  <si>
    <t>Disaster Relief San Replacement/Upgrade</t>
  </si>
  <si>
    <t>Maximo Upgrade</t>
  </si>
  <si>
    <t>SAN Components</t>
  </si>
  <si>
    <t>Server Replacements</t>
  </si>
  <si>
    <t xml:space="preserve">VMWare Vsphere License Purchase </t>
  </si>
  <si>
    <t>MLSC - Warehouse, Office, Dock Addition</t>
  </si>
  <si>
    <t>MLSC - Water, Sewer, Storm Improvements</t>
  </si>
  <si>
    <t>Cogsdale Treasury Software</t>
  </si>
  <si>
    <t>B Street Improvements</t>
  </si>
  <si>
    <t>Security</t>
  </si>
  <si>
    <t xml:space="preserve"> Facilities Improvements</t>
  </si>
  <si>
    <t>Capital Projects</t>
  </si>
  <si>
    <t>Total Capital Projects</t>
  </si>
  <si>
    <t>Total Capital Projects - Labor</t>
  </si>
  <si>
    <t>Interest and Other Income</t>
  </si>
  <si>
    <t xml:space="preserve">4000-10 - Distribution Feeder Lines- O&amp;M                    </t>
  </si>
  <si>
    <t xml:space="preserve">5000-35 - Insurance Administration                          </t>
  </si>
  <si>
    <t>Electric O&amp;M</t>
  </si>
  <si>
    <t>PRP O&amp;M</t>
  </si>
  <si>
    <t>Total O&amp;M</t>
  </si>
  <si>
    <t>Total Labor</t>
  </si>
  <si>
    <t>PRP</t>
  </si>
  <si>
    <t xml:space="preserve">9000-01 - Work To Be Reimbursed - O&amp;M                       </t>
  </si>
  <si>
    <t>4400-05 - Telecommunications - O&amp;M</t>
  </si>
  <si>
    <t>Warehouse Operations (T&amp;D and Hydro)</t>
  </si>
  <si>
    <t xml:space="preserve">2000-01 - FERC Funding Requirements- O&amp;M                    </t>
  </si>
  <si>
    <t>Actuals</t>
  </si>
  <si>
    <t xml:space="preserve">Budget </t>
  </si>
  <si>
    <t>Forecasted</t>
  </si>
  <si>
    <t>Actual</t>
  </si>
  <si>
    <t>Budget</t>
  </si>
  <si>
    <t>Exhibit A</t>
  </si>
  <si>
    <t>CASH/INVESTMENTS</t>
  </si>
  <si>
    <t>*</t>
  </si>
  <si>
    <t>R&amp;C</t>
  </si>
  <si>
    <t>U</t>
  </si>
  <si>
    <t xml:space="preserve">Revenue                                  </t>
  </si>
  <si>
    <t>Finance Plan Reserve</t>
  </si>
  <si>
    <t>R-D</t>
  </si>
  <si>
    <t>Customer Deposits</t>
  </si>
  <si>
    <t>Quincy Chute Reserve</t>
  </si>
  <si>
    <t xml:space="preserve">Bond Reserve  (held until final year pmt)                              </t>
  </si>
  <si>
    <t>R</t>
  </si>
  <si>
    <t>Construction Fund (remaining 2011 issue)</t>
  </si>
  <si>
    <t>Debt Service-Accrued P&amp;I (Jan pmt)</t>
  </si>
  <si>
    <t>Self Insurance Fund</t>
  </si>
  <si>
    <t>Electric System Cash/Investments</t>
  </si>
  <si>
    <t>Priest Rapids Project</t>
  </si>
  <si>
    <t xml:space="preserve">Revenue     </t>
  </si>
  <si>
    <t>Construction (Capital)</t>
  </si>
  <si>
    <t>R&amp;R/R&amp;C ($12M Res + 15% DS req)</t>
  </si>
  <si>
    <t>Habitat Fund (non District controlled)</t>
  </si>
  <si>
    <t>Priest Rapids Project Cash/Investments</t>
  </si>
  <si>
    <t>Total Cash/Investments</t>
  </si>
  <si>
    <t xml:space="preserve">       *Designations of cash above:  U= unrestricted, R= restricted, R-D = restricted but considered liquid for days cash on hand</t>
  </si>
  <si>
    <t>UTILITY PLANT, NET OF DEPRECIATION</t>
  </si>
  <si>
    <t>Electric System Plant</t>
  </si>
  <si>
    <t>Priest Rapids Project Plant</t>
  </si>
  <si>
    <t>Total Plant</t>
  </si>
  <si>
    <t>DEBT -BONDS</t>
  </si>
  <si>
    <t>PRP System</t>
  </si>
  <si>
    <t>Total Debt</t>
  </si>
  <si>
    <t>Sales to Power Purchasers at Cost (PSC)</t>
  </si>
  <si>
    <t xml:space="preserve">    Residential</t>
  </si>
  <si>
    <t xml:space="preserve">    Irrigation</t>
  </si>
  <si>
    <t xml:space="preserve">    Commercial and Industrial</t>
  </si>
  <si>
    <t xml:space="preserve">    Governmental and Others</t>
  </si>
  <si>
    <t xml:space="preserve">*Sales to Other Utilities                          </t>
  </si>
  <si>
    <t>Wholesale Fiber Optic Network Sales</t>
  </si>
  <si>
    <t xml:space="preserve">Other                                                   </t>
  </si>
  <si>
    <t>Contributions in Aid of Construction</t>
  </si>
  <si>
    <t>OPERATING EXPENDITURES (does not include capital)</t>
  </si>
  <si>
    <t xml:space="preserve">Purchased Power                                  </t>
  </si>
  <si>
    <t xml:space="preserve">Generation                                            </t>
  </si>
  <si>
    <t>Customer and Information Services</t>
  </si>
  <si>
    <t>Wholesale Fiber Optic Network Operations</t>
  </si>
  <si>
    <t>Debt Service Payments (total P&amp;I)Accural Basis</t>
  </si>
  <si>
    <t>Total Electric Operating Expenditures</t>
  </si>
  <si>
    <t xml:space="preserve">License Compliance </t>
  </si>
  <si>
    <t xml:space="preserve">Debt Service Payments (total P&amp;I) Net rebates(acruall basis)      </t>
  </si>
  <si>
    <t>(3)</t>
  </si>
  <si>
    <t>Total Priest Rapids Project Expenditures</t>
  </si>
  <si>
    <t>Total Consoldiated Operating Expenditures</t>
  </si>
  <si>
    <t>Detail of Purchased Power Shown Above</t>
  </si>
  <si>
    <t>*Market Purchases</t>
  </si>
  <si>
    <t>*EUDL-Market Offset (PRP power sales contracts)</t>
  </si>
  <si>
    <t>BPA (includes Block, Grand Coulee, and Res Exch)</t>
  </si>
  <si>
    <t>Nine Canyon Wind</t>
  </si>
  <si>
    <t>Reasonable Portion (PRP power sales contracts)</t>
  </si>
  <si>
    <t>Total Purchased Power Expenses</t>
  </si>
  <si>
    <t>NON OPERATING EXPENSES</t>
  </si>
  <si>
    <t>Non Cash Depreciation and Amortization</t>
  </si>
  <si>
    <t>Electric Depreciation</t>
  </si>
  <si>
    <t>PRP Depreciation</t>
  </si>
  <si>
    <t>CAPITAL PROGRAM</t>
  </si>
  <si>
    <t>Total Capital Program</t>
  </si>
  <si>
    <t>SUMMARY OF CHANGE IN NET ASSETS</t>
  </si>
  <si>
    <t>Revenues</t>
  </si>
  <si>
    <t>Operating Expenses</t>
  </si>
  <si>
    <t>Debt Interest, Amoritization, Income</t>
  </si>
  <si>
    <t>Change in Net Assets</t>
  </si>
  <si>
    <t>Total Net Assets</t>
  </si>
  <si>
    <t>SUMMARY OF BUDGET ITEMS</t>
  </si>
  <si>
    <t>Total Electric O&amp;M</t>
  </si>
  <si>
    <t>Total PRP O&amp;M</t>
  </si>
  <si>
    <t>TOTAL O&amp;M</t>
  </si>
  <si>
    <t>TAXES</t>
  </si>
  <si>
    <t>ELECTRIC CAPITAL</t>
  </si>
  <si>
    <t>PRP CAPITAL</t>
  </si>
  <si>
    <t>DEBT SERVICE (net of rebates)</t>
  </si>
  <si>
    <t>TOTAL EXPENDITURES</t>
  </si>
  <si>
    <t>Less Offsets</t>
  </si>
  <si>
    <t>CIAC</t>
  </si>
  <si>
    <t>Power Purchaser Payments At Cost</t>
  </si>
  <si>
    <t>Net Power (+ Expense, - Revenue)</t>
  </si>
  <si>
    <t>Conservation Loans</t>
  </si>
  <si>
    <t>TOTAL OFFSETS</t>
  </si>
  <si>
    <t xml:space="preserve">     Resolution 8653 reduction</t>
  </si>
  <si>
    <t>TOTAL BUDGET</t>
  </si>
  <si>
    <t>Exhibit B</t>
  </si>
  <si>
    <t>CONSOLIDATED OPERATIONAL PERFORMANCE</t>
  </si>
  <si>
    <t>Sales to Power Purchasers at Cost</t>
  </si>
  <si>
    <t>Retail Sales</t>
  </si>
  <si>
    <t>Net Wholesale Sales</t>
  </si>
  <si>
    <t>Wholesale Fiber Sales</t>
  </si>
  <si>
    <t xml:space="preserve">Other Revenue </t>
  </si>
  <si>
    <t>Operating Expense</t>
  </si>
  <si>
    <t>Operating Income/Loss Before Depreciation</t>
  </si>
  <si>
    <t>Operating Income/Loss</t>
  </si>
  <si>
    <t>Non Op Activity: interest, debt amortization</t>
  </si>
  <si>
    <t>Net Adjusted Financial Performance</t>
  </si>
  <si>
    <r>
      <t xml:space="preserve">LIQUIDITY   </t>
    </r>
    <r>
      <rPr>
        <b/>
        <sz val="11"/>
        <rFont val="Calibri"/>
        <family val="2"/>
      </rPr>
      <t>(measured at year end)</t>
    </r>
  </si>
  <si>
    <t xml:space="preserve">Elec System Liquidity </t>
  </si>
  <si>
    <t xml:space="preserve">Days Cash On Hand </t>
  </si>
  <si>
    <t xml:space="preserve">LEVERAGE </t>
  </si>
  <si>
    <t>Consolidated DSC</t>
  </si>
  <si>
    <t>Electric DSC</t>
  </si>
  <si>
    <t>Consolidated Debt/Plant Ratio</t>
  </si>
  <si>
    <t>Electric Debt/ Plant Ratio</t>
  </si>
  <si>
    <t>PROFITABILITY</t>
  </si>
  <si>
    <t>Rate of Return (chg in net assets / net plant)</t>
  </si>
  <si>
    <t xml:space="preserve">Retail Operating Ratio </t>
  </si>
  <si>
    <t>Adj Retail Op Ratio (assume baseline of capital)</t>
  </si>
  <si>
    <t>Retail Operating Ratio - No Use of Cash for DS</t>
  </si>
  <si>
    <t>Beginning WC (incl $20M Inv)</t>
  </si>
  <si>
    <t>Operating Income</t>
  </si>
  <si>
    <t>Less Actual DS</t>
  </si>
  <si>
    <t>Less Rev Finc Cap</t>
  </si>
  <si>
    <t>Ending WC</t>
  </si>
  <si>
    <t>Estimated R&amp;C Xfr (bal $55)</t>
  </si>
  <si>
    <t>WC after R&amp;C Xfr</t>
  </si>
  <si>
    <t>Less ill-liquid inventory</t>
  </si>
  <si>
    <t>Adjusted Liquid Inventory</t>
  </si>
  <si>
    <t>Retail Operating Ratio Calcualtion</t>
  </si>
  <si>
    <t>PRP Cash DS w/o CREBS</t>
  </si>
  <si>
    <t>Total Consolidated Operating Expenditures</t>
  </si>
  <si>
    <t>PRP Cash DS with CREBS</t>
  </si>
  <si>
    <t>Less Power Purchaser Payments</t>
  </si>
  <si>
    <t>Less Market Sales</t>
  </si>
  <si>
    <t>Total Expenditures for Calc</t>
  </si>
  <si>
    <t xml:space="preserve">     Adj Expenditures for Adj Ratio</t>
  </si>
  <si>
    <t>Watch Window:</t>
  </si>
  <si>
    <t>Less CIAC</t>
  </si>
  <si>
    <t>Ratio</t>
  </si>
  <si>
    <t>Adj Calc (add $20MM to cost for cap)</t>
  </si>
  <si>
    <t>SERVICES</t>
  </si>
  <si>
    <t>COMM EQUIP</t>
  </si>
  <si>
    <t>MISC EQUIP</t>
  </si>
  <si>
    <t>LAB EQUIP</t>
  </si>
  <si>
    <t>Horsepower (HP) Block 1</t>
  </si>
  <si>
    <t>Horsepower (HP) Block 2</t>
  </si>
  <si>
    <t>Horsepower (HP) Block 3</t>
  </si>
  <si>
    <t>De-Energized Capacity Block 1</t>
  </si>
  <si>
    <t>De-Energized Capacity Block 2</t>
  </si>
  <si>
    <t>De-Energized Capacity Block 3</t>
  </si>
  <si>
    <t>Energy Block 1 (0-10,000 kWh)</t>
  </si>
  <si>
    <t>Other Debt</t>
  </si>
  <si>
    <t>20XX Capital Bonds</t>
  </si>
  <si>
    <t>New Labor</t>
  </si>
  <si>
    <t>Electric System -O&amp;M Labor</t>
  </si>
  <si>
    <t>Electric System - Capital Labor</t>
  </si>
  <si>
    <t>Benefits/Accruals Labor</t>
  </si>
  <si>
    <t>PRP - O&amp;M Labor</t>
  </si>
  <si>
    <t>PRP - Capital Labor</t>
  </si>
  <si>
    <t>Hyd Opns Supv &amp; Eng</t>
  </si>
  <si>
    <t>Water For Power</t>
  </si>
  <si>
    <t>Hydrl Exp Dams</t>
  </si>
  <si>
    <t>Hydrl Exp Fish Facilities</t>
  </si>
  <si>
    <t>Hydrl Exp Spawning Chan</t>
  </si>
  <si>
    <t>Hydrl Exp Dept Of Game</t>
  </si>
  <si>
    <t>Hyd Elec Exp</t>
  </si>
  <si>
    <t>Misc Hyd General Cultural</t>
  </si>
  <si>
    <t>Misc Hyd General Indian Rent</t>
  </si>
  <si>
    <t>Misc Hyd General Isolat Pay</t>
  </si>
  <si>
    <t>Misc Hyd Genr-Accretion Exp</t>
  </si>
  <si>
    <t>Hyd Rents Federal</t>
  </si>
  <si>
    <t>Hyd Maint Supv &amp; Eng</t>
  </si>
  <si>
    <t>Hyd Maint Struc General</t>
  </si>
  <si>
    <t>Hyd Maint Struc Maint Ctr</t>
  </si>
  <si>
    <t>Hyd Maint Struc Ind Village</t>
  </si>
  <si>
    <t>Hyd Maint Elec Plt Gen</t>
  </si>
  <si>
    <t>Hyd Maint Misc Maint Ctr</t>
  </si>
  <si>
    <t>Hyd Maint Misc Spawn Chan</t>
  </si>
  <si>
    <t>Wanapum Village Maint</t>
  </si>
  <si>
    <t>Hyd Maint Misc Tour Fac</t>
  </si>
  <si>
    <t>Hyd Maint Misc Natural Res</t>
  </si>
  <si>
    <t>Yakama Settlement Exp</t>
  </si>
  <si>
    <t>T/Maint Sta General</t>
  </si>
  <si>
    <t>T/Maint OH Lines Midway</t>
  </si>
  <si>
    <t>Reg Comm Exp Fed Pwr Comm</t>
  </si>
  <si>
    <t>Street Lights (2) 1PH</t>
  </si>
  <si>
    <t>Street Lights (2) 3PH</t>
  </si>
  <si>
    <t>Capital Projects to Electric</t>
  </si>
  <si>
    <t>Capital Projects to PRP</t>
  </si>
  <si>
    <t>Allocated To</t>
  </si>
  <si>
    <t>General Service (2) - Christmas</t>
  </si>
  <si>
    <t>General Service (2) - Flat</t>
  </si>
  <si>
    <t>Christmas Tree</t>
  </si>
  <si>
    <t>Flat</t>
  </si>
  <si>
    <t>PRP Annual Debt Service</t>
  </si>
  <si>
    <t xml:space="preserve">Existing PRP Debt Service </t>
  </si>
  <si>
    <t>Future Annual P&amp;I in DS Plan</t>
  </si>
  <si>
    <t>New Debt Service (Incremental to plan)</t>
  </si>
  <si>
    <t>Total PRP Debt Service (Budget)</t>
  </si>
  <si>
    <t xml:space="preserve">assumes no new issance, would need to create amortization </t>
  </si>
  <si>
    <t>Total Retail Revenue</t>
  </si>
  <si>
    <t>Average Energy Charge: - Block 1</t>
  </si>
  <si>
    <t>Average Energy Charge: - Block 2</t>
  </si>
  <si>
    <t>Discount Adjustment</t>
  </si>
  <si>
    <t>Minimum Charge Adjustment</t>
  </si>
  <si>
    <t>PURC POWER</t>
  </si>
  <si>
    <t>DAM O&amp;M (WAN, PEC, PR, and QC)</t>
  </si>
  <si>
    <t>WATER FOR POWER</t>
  </si>
  <si>
    <t>HYDRAULIC EXPENSES (MAJOR)</t>
  </si>
  <si>
    <t>D/UNDERGROUND LINE EXPENSE</t>
  </si>
  <si>
    <t>D/METER EXPENSE</t>
  </si>
  <si>
    <t>INSURANCE ADMINISTRATION</t>
  </si>
  <si>
    <t>Purchased Power - Elec</t>
  </si>
  <si>
    <t>Generation - Elec</t>
  </si>
  <si>
    <t>Transmission - Elec</t>
  </si>
  <si>
    <t>Distribution - Elec</t>
  </si>
  <si>
    <t>Customer and Information Services - Elec</t>
  </si>
  <si>
    <t>Wholesale Fiber Optic Network Operations - Elec</t>
  </si>
  <si>
    <t>Administrative and General - Elec</t>
  </si>
  <si>
    <t>License Compliance  - PRP</t>
  </si>
  <si>
    <t>Generation - PRP</t>
  </si>
  <si>
    <t>Transmission - PRP</t>
  </si>
  <si>
    <t>Administrative and General - PRP</t>
  </si>
  <si>
    <t>Distribution - PRP</t>
  </si>
  <si>
    <t>Customer and Information Services - PRP</t>
  </si>
  <si>
    <t>Purchased Power - PRP</t>
  </si>
  <si>
    <t>Source:</t>
  </si>
  <si>
    <t>From Forecast*</t>
  </si>
  <si>
    <t>Liquid Cash</t>
  </si>
  <si>
    <t>CREB's Rebate Total</t>
  </si>
  <si>
    <t>Proposed PRP Debt</t>
  </si>
  <si>
    <t>Incremental PRP Debt</t>
  </si>
  <si>
    <t>Split of Taxable/Tax Exempt Debt for CREBs Rebate</t>
  </si>
  <si>
    <t>Total Elec Debt Service (Budget) (Accrual Basis)</t>
  </si>
  <si>
    <t>Incremental Debt</t>
  </si>
  <si>
    <t>T/RENTS</t>
  </si>
  <si>
    <t>X</t>
  </si>
  <si>
    <t>ENERGY CONSERVATION O&amp;M</t>
  </si>
  <si>
    <t>ADJ</t>
  </si>
  <si>
    <t>Grant Share of PRP Wholesale</t>
  </si>
  <si>
    <t>Other Share of PRP Wholesale</t>
  </si>
  <si>
    <t>Industrial (14,15,16,85,94,99)</t>
  </si>
  <si>
    <t>Sales to Grant County</t>
  </si>
  <si>
    <t>O&amp;M</t>
  </si>
  <si>
    <t>Sales to Powerpurchasers at Cost</t>
  </si>
  <si>
    <t>New wholes sale</t>
  </si>
  <si>
    <t>Revenue funded CIAC</t>
  </si>
  <si>
    <t>Total Retail Revenue Requirement</t>
  </si>
  <si>
    <t>Retail Revenue</t>
  </si>
  <si>
    <t>Other items</t>
  </si>
  <si>
    <t>R&amp;C Amount Available for Refund</t>
  </si>
  <si>
    <t>Grant Share PRP Debt Service</t>
  </si>
  <si>
    <t>Grant Share of CREB Rebate</t>
  </si>
  <si>
    <t>Purchaser Share PRP Debt Service</t>
  </si>
  <si>
    <t>Purchaser Share of CREB Rebate</t>
  </si>
  <si>
    <t>Purchaser Net Share of PRP Debt Service</t>
  </si>
  <si>
    <t>Transfer 3</t>
  </si>
  <si>
    <t>Grant Share of PRP Wholesale &amp; CREBs Rebate</t>
  </si>
  <si>
    <t>Other Share of PRP Wholesale &amp; CREBs Rebate</t>
  </si>
  <si>
    <t>Grant Net Share of PRP Debt Service - Existing</t>
  </si>
  <si>
    <t>Liquidity</t>
  </si>
  <si>
    <t>Debt Service Coverage - Electric System</t>
  </si>
  <si>
    <t>Debt Service Coverage - Consolidated System</t>
  </si>
  <si>
    <t>Retail Operating Ratio</t>
  </si>
  <si>
    <t>Total Revenue - Electric System</t>
  </si>
  <si>
    <t>Governmental and Others</t>
  </si>
  <si>
    <t>Commercial and Industrial</t>
  </si>
  <si>
    <t>Debt Service Coverage - Priest Rapids Project System</t>
  </si>
  <si>
    <t>Non-Operating Expenses</t>
  </si>
  <si>
    <t>Depreciation &amp; Amortization - Electric</t>
  </si>
  <si>
    <t>Capital Program - Electric</t>
  </si>
  <si>
    <t>Transfers</t>
  </si>
  <si>
    <t>Total Expenditures</t>
  </si>
  <si>
    <t>Total Revenue - Priest Rapids Project System</t>
  </si>
  <si>
    <t>Net Income</t>
  </si>
  <si>
    <t>License and Compliance</t>
  </si>
  <si>
    <t>LICENSE AND COMPLIANCE</t>
  </si>
  <si>
    <t>OPERATING EXPENDITURES ($)</t>
  </si>
  <si>
    <t>Rate Increases</t>
  </si>
  <si>
    <t>Rate Increase %</t>
  </si>
  <si>
    <t>Sales to Other Utilities - % of Total to Apply</t>
  </si>
  <si>
    <t>Electric/PRP System Split</t>
  </si>
  <si>
    <t>Key Financial Metrics</t>
  </si>
  <si>
    <t>Reserve Transfers</t>
  </si>
  <si>
    <t>Debt Service Coverage - Electric</t>
  </si>
  <si>
    <t>Sales to Grant County at Cost</t>
  </si>
  <si>
    <t>Available for Debt Service</t>
  </si>
  <si>
    <t>Depreciation &amp; Amortization</t>
  </si>
  <si>
    <t>Rate Stabilization</t>
  </si>
  <si>
    <t>CREB Federal Rebates</t>
  </si>
  <si>
    <t>Interest &amp; Other investment Income</t>
  </si>
  <si>
    <t>Days Cash on Hand</t>
  </si>
  <si>
    <t>Operating Cash Balance - Electric System</t>
  </si>
  <si>
    <t>Contributions in Aid of Capital</t>
  </si>
  <si>
    <t>Interest Assumption:</t>
  </si>
  <si>
    <t>Detail of Cash Funds</t>
  </si>
  <si>
    <t>Electric Revenue Fund</t>
  </si>
  <si>
    <t>Starting Balance</t>
  </si>
  <si>
    <t>Plus Revenue includes CIAC</t>
  </si>
  <si>
    <t>Less O&amp;M</t>
  </si>
  <si>
    <t>Add back "non cash" O&amp;M incl above</t>
  </si>
  <si>
    <t>Less Capital</t>
  </si>
  <si>
    <t>Less CIAC booked as unearned rev from prior year included above</t>
  </si>
  <si>
    <t>Activity to/from R&amp;C Fund</t>
  </si>
  <si>
    <t>Activity to/from Finance Reserve Fund</t>
  </si>
  <si>
    <t>Subtotal prior to interest</t>
  </si>
  <si>
    <t xml:space="preserve">Average balance </t>
  </si>
  <si>
    <t xml:space="preserve">Interest Earnings </t>
  </si>
  <si>
    <t>Ending Balance</t>
  </si>
  <si>
    <t>Priet Rapids Revenue Fund</t>
  </si>
  <si>
    <t>Carry over from timine of prior year power cost</t>
  </si>
  <si>
    <t>$1.5 million min balance</t>
  </si>
  <si>
    <t>PRP Construction Fund</t>
  </si>
  <si>
    <t>PRP RR&amp;RC</t>
  </si>
  <si>
    <t>$12 million minimum requirement</t>
  </si>
  <si>
    <t>15% monthly accrual of debt service (year end would be 15% prior year P&amp;I)</t>
  </si>
  <si>
    <t>New P&amp;I not included in above figures</t>
  </si>
  <si>
    <t>Outstanding Wanapum bonds</t>
  </si>
  <si>
    <t>PRP Bond Reserve Fund</t>
  </si>
  <si>
    <t>Existing Bond Reserves (held until final year)</t>
  </si>
  <si>
    <t>Interest Earnings</t>
  </si>
  <si>
    <t>New Bond Reserves (held until final year)</t>
  </si>
  <si>
    <t>Interest 1/1</t>
  </si>
  <si>
    <t>Interest 7/1</t>
  </si>
  <si>
    <t>n/a</t>
  </si>
  <si>
    <t>Priest Rapids System</t>
  </si>
  <si>
    <t>Purchased Power - Other</t>
  </si>
  <si>
    <t>Purchased Power - PRP &amp; EUDL</t>
  </si>
  <si>
    <t>Purchased Power - Total</t>
  </si>
  <si>
    <t>Allocation Approach*</t>
  </si>
  <si>
    <t>Rate Class</t>
  </si>
  <si>
    <t>Average &amp; Excess</t>
  </si>
  <si>
    <t>12CP (coincident peak)</t>
  </si>
  <si>
    <t>General Service</t>
  </si>
  <si>
    <t>Street Lighting</t>
  </si>
  <si>
    <t>Large Gen Service</t>
  </si>
  <si>
    <t>Industrial</t>
  </si>
  <si>
    <t>Large Industrial</t>
  </si>
  <si>
    <t>Ag Processing</t>
  </si>
  <si>
    <t>Ag Boiler</t>
  </si>
  <si>
    <t>Note:</t>
  </si>
  <si>
    <t>* Direct Assignment to Class Prior to Allocation</t>
  </si>
  <si>
    <t>Col I</t>
  </si>
  <si>
    <t>Principal Consultant</t>
  </si>
  <si>
    <t>Craig Brown</t>
  </si>
  <si>
    <t>913-458-3268</t>
  </si>
  <si>
    <t>brownc@bv.com</t>
  </si>
  <si>
    <t>Doug Ziegler</t>
  </si>
  <si>
    <t>Houston, TX</t>
  </si>
  <si>
    <t>713-590-2258</t>
  </si>
  <si>
    <t>713-961-1120</t>
  </si>
  <si>
    <t>zieglerdj@bv.com</t>
  </si>
  <si>
    <r>
      <t>This financial planning and rate design model was custom designed by members of the Management Consulting Division of Black &amp; Veatch for use by Grant County Pu</t>
    </r>
    <r>
      <rPr>
        <b/>
        <sz val="10.7"/>
        <rFont val="Times New Roman"/>
        <family val="1"/>
      </rPr>
      <t>blic Utility District</t>
    </r>
  </si>
  <si>
    <t>Analyst</t>
  </si>
  <si>
    <t>Matt Fisher</t>
  </si>
  <si>
    <t>713-275-2823</t>
  </si>
  <si>
    <t>fisherms@bv.com</t>
  </si>
  <si>
    <t>Account # 2</t>
  </si>
  <si>
    <t>RST</t>
  </si>
  <si>
    <t>BUDGETARY PID NAME</t>
  </si>
  <si>
    <t>1001</t>
  </si>
  <si>
    <t>1250</t>
  </si>
  <si>
    <t>4030</t>
  </si>
  <si>
    <t>7001</t>
  </si>
  <si>
    <t>7203</t>
  </si>
  <si>
    <t>LABOR</t>
  </si>
  <si>
    <t xml:space="preserve">Budget Electric Hardware       </t>
  </si>
  <si>
    <t xml:space="preserve">Budget-Customer Line Extension </t>
  </si>
  <si>
    <t xml:space="preserve">Budget-Dist Feeder Lines O&amp;M   </t>
  </si>
  <si>
    <t xml:space="preserve">Budget-Dist Line Chgs/Addtions </t>
  </si>
  <si>
    <t xml:space="preserve">Budget-Distribution Feeders’   </t>
  </si>
  <si>
    <t xml:space="preserve">Budget-Feeder Rebuilds’        </t>
  </si>
  <si>
    <t xml:space="preserve">Budget-Line Sectionalizing’    </t>
  </si>
  <si>
    <t xml:space="preserve">Budget-Maint Center Upgrade’   </t>
  </si>
  <si>
    <t xml:space="preserve">Budget-Planned Dist Subs’      </t>
  </si>
  <si>
    <t xml:space="preserve">Budget-Planned Trans Subs’     </t>
  </si>
  <si>
    <t xml:space="preserve">Budget-Replace Poles’          </t>
  </si>
  <si>
    <t xml:space="preserve">Budget-Sys Neutral Additions’  </t>
  </si>
  <si>
    <t xml:space="preserve">Budget-Telecommunications Cap’ </t>
  </si>
  <si>
    <t xml:space="preserve">Budget-Transmission Lines’     </t>
  </si>
  <si>
    <t xml:space="preserve">Budget-Ug Cable Replacements’  </t>
  </si>
  <si>
    <t xml:space="preserve">Budget-Work To Be Reimb Cap    </t>
  </si>
  <si>
    <t>107020</t>
  </si>
  <si>
    <t xml:space="preserve">Budget - PR Dam Elec Systems   </t>
  </si>
  <si>
    <t xml:space="preserve">Budget-Fish Passage Req        </t>
  </si>
  <si>
    <t xml:space="preserve">Budget-Hydro Facilities Cap’   </t>
  </si>
  <si>
    <t xml:space="preserve">Budget-Pr Civil Systems        </t>
  </si>
  <si>
    <t xml:space="preserve">Budget-Pr Dam Safety Impr      </t>
  </si>
  <si>
    <t xml:space="preserve">Budget-Pr Generator Upgrades   </t>
  </si>
  <si>
    <t xml:space="preserve">Budget-Pr Mechanical Systems   </t>
  </si>
  <si>
    <t xml:space="preserve">Budget-Pr Turbine Upgrades     </t>
  </si>
  <si>
    <t xml:space="preserve">Budget-Recreation Capital’     </t>
  </si>
  <si>
    <t xml:space="preserve">Budget-Wan Civil Systems       </t>
  </si>
  <si>
    <t xml:space="preserve">Budget-Wan Dam Safety Impr     </t>
  </si>
  <si>
    <t xml:space="preserve">Budget-Wan Electrical System   </t>
  </si>
  <si>
    <t xml:space="preserve">Budget-Wan Generator Upgrades  </t>
  </si>
  <si>
    <t xml:space="preserve">Budget-Wan Mechanical Systems  </t>
  </si>
  <si>
    <t xml:space="preserve">Budget-Wan Spillgate Rehab     </t>
  </si>
  <si>
    <t xml:space="preserve">Budget-Wan Transformers        </t>
  </si>
  <si>
    <t xml:space="preserve">Budget-Wan Turbine Upgrades    </t>
  </si>
  <si>
    <t xml:space="preserve">Budget-Wan Unit Controls       </t>
  </si>
  <si>
    <t xml:space="preserve">Wholesale Fiber-CAP            </t>
  </si>
  <si>
    <t xml:space="preserve">Budget-Cultural Resources Cap’ </t>
  </si>
  <si>
    <t xml:space="preserve">Budget-Fish Pass Required CAP  </t>
  </si>
  <si>
    <t xml:space="preserve">Budget-Hatchery Facilities’    </t>
  </si>
  <si>
    <t xml:space="preserve">Budget-PRP Capital Costs       </t>
  </si>
  <si>
    <t xml:space="preserve">Budget-Wildlife/Botanical Reqs </t>
  </si>
  <si>
    <t>163</t>
  </si>
  <si>
    <t xml:space="preserve">Budget-Hydro Warehouse Ops     </t>
  </si>
  <si>
    <t xml:space="preserve">Budget-Purchasing&amp;Contracting  </t>
  </si>
  <si>
    <t xml:space="preserve">Budget-T&amp;D Warehouse Ops       </t>
  </si>
  <si>
    <t>183</t>
  </si>
  <si>
    <t xml:space="preserve">Budget-Elec Facilities Improv’ </t>
  </si>
  <si>
    <t>232</t>
  </si>
  <si>
    <t>232520</t>
  </si>
  <si>
    <t xml:space="preserve">Budget-Absence With Pay’       </t>
  </si>
  <si>
    <t>232560</t>
  </si>
  <si>
    <t>232590</t>
  </si>
  <si>
    <t>232610</t>
  </si>
  <si>
    <t>232680</t>
  </si>
  <si>
    <t>242</t>
  </si>
  <si>
    <t>242010</t>
  </si>
  <si>
    <t>242020</t>
  </si>
  <si>
    <t>242110</t>
  </si>
  <si>
    <t>416</t>
  </si>
  <si>
    <t xml:space="preserve">Budget-Work to be Reimb O&amp;M    </t>
  </si>
  <si>
    <t>535</t>
  </si>
  <si>
    <t>535000</t>
  </si>
  <si>
    <t xml:space="preserve">Budget-PR Dam Operations       </t>
  </si>
  <si>
    <t xml:space="preserve">Budget-Wan Dam Operations      </t>
  </si>
  <si>
    <t xml:space="preserve">Budget-QC O&amp;M                  </t>
  </si>
  <si>
    <t>535600</t>
  </si>
  <si>
    <t xml:space="preserve">Budget-PEC O&amp;M                 </t>
  </si>
  <si>
    <t>537</t>
  </si>
  <si>
    <t>537020</t>
  </si>
  <si>
    <t xml:space="preserve">Budget-Pr Maintenance          </t>
  </si>
  <si>
    <t xml:space="preserve">Budget-Wan Maintenance         </t>
  </si>
  <si>
    <t>537500</t>
  </si>
  <si>
    <t>537600</t>
  </si>
  <si>
    <t>538</t>
  </si>
  <si>
    <t>538500</t>
  </si>
  <si>
    <t>538600</t>
  </si>
  <si>
    <t>539</t>
  </si>
  <si>
    <t>539010</t>
  </si>
  <si>
    <t xml:space="preserve">Budget-Administration          </t>
  </si>
  <si>
    <t xml:space="preserve">Budget-FWWQ                    </t>
  </si>
  <si>
    <t xml:space="preserve">Budget-Hydro Travel &amp; Training </t>
  </si>
  <si>
    <t xml:space="preserve">Budget-Internal Training Prog  </t>
  </si>
  <si>
    <t xml:space="preserve">Budget-Safety &amp; Health O&amp;M     </t>
  </si>
  <si>
    <t xml:space="preserve">Budget-Telecommunications      </t>
  </si>
  <si>
    <t xml:space="preserve">Budget-Transportation Main     </t>
  </si>
  <si>
    <t>539030</t>
  </si>
  <si>
    <t xml:space="preserve">Budget-Cultural Resources O&amp;M  </t>
  </si>
  <si>
    <t>539090</t>
  </si>
  <si>
    <t xml:space="preserve">Budget-Other Benefits          </t>
  </si>
  <si>
    <t>541</t>
  </si>
  <si>
    <t>541000</t>
  </si>
  <si>
    <t xml:space="preserve">Budget-Engineering Support     </t>
  </si>
  <si>
    <t xml:space="preserve">Budget-PR Dam Eng Support      </t>
  </si>
  <si>
    <t>542</t>
  </si>
  <si>
    <t>542010</t>
  </si>
  <si>
    <t>542050</t>
  </si>
  <si>
    <t xml:space="preserve">Budget-Hydro Facilities Maint  </t>
  </si>
  <si>
    <t>543</t>
  </si>
  <si>
    <t>543010</t>
  </si>
  <si>
    <t xml:space="preserve">Budget-Security Maintenance    </t>
  </si>
  <si>
    <t>544</t>
  </si>
  <si>
    <t>544010</t>
  </si>
  <si>
    <t xml:space="preserve">Budet-Fabric &amp; Machine Shop    </t>
  </si>
  <si>
    <t>544500</t>
  </si>
  <si>
    <t>544600</t>
  </si>
  <si>
    <t>545</t>
  </si>
  <si>
    <t>545010</t>
  </si>
  <si>
    <t xml:space="preserve">Budget-Marine Equipment        </t>
  </si>
  <si>
    <t xml:space="preserve">Budget-Wholesale Fiber         </t>
  </si>
  <si>
    <t>545060</t>
  </si>
  <si>
    <t>545070</t>
  </si>
  <si>
    <t>545900</t>
  </si>
  <si>
    <t xml:space="preserve">Budget-FERC Funding Req        </t>
  </si>
  <si>
    <t xml:space="preserve">Budget-Hatchery Req            </t>
  </si>
  <si>
    <t xml:space="preserve">Budget-License Coordination    </t>
  </si>
  <si>
    <t xml:space="preserve">Budget-Natural Resources Admin </t>
  </si>
  <si>
    <t xml:space="preserve">Budget-Rec/Shoreline Mgmt      </t>
  </si>
  <si>
    <t>560</t>
  </si>
  <si>
    <t>560000</t>
  </si>
  <si>
    <t xml:space="preserve">Budget-Transmission Lines      </t>
  </si>
  <si>
    <t xml:space="preserve">Budget-Transmission Substation </t>
  </si>
  <si>
    <t>561</t>
  </si>
  <si>
    <t>561000</t>
  </si>
  <si>
    <t>561010</t>
  </si>
  <si>
    <t xml:space="preserve">Budget-Resource Management     </t>
  </si>
  <si>
    <t>562</t>
  </si>
  <si>
    <t>562000</t>
  </si>
  <si>
    <t>563</t>
  </si>
  <si>
    <t>563000</t>
  </si>
  <si>
    <t>566</t>
  </si>
  <si>
    <t>566000</t>
  </si>
  <si>
    <t>568</t>
  </si>
  <si>
    <t>568000</t>
  </si>
  <si>
    <t>570</t>
  </si>
  <si>
    <t>570000</t>
  </si>
  <si>
    <t>570010</t>
  </si>
  <si>
    <t xml:space="preserve">Budget-Switchyard O&amp;M          </t>
  </si>
  <si>
    <t>580</t>
  </si>
  <si>
    <t>580000</t>
  </si>
  <si>
    <t>581</t>
  </si>
  <si>
    <t>581010</t>
  </si>
  <si>
    <t>582</t>
  </si>
  <si>
    <t>582000</t>
  </si>
  <si>
    <t>583</t>
  </si>
  <si>
    <t>583000</t>
  </si>
  <si>
    <t>584</t>
  </si>
  <si>
    <t>584010</t>
  </si>
  <si>
    <t>586</t>
  </si>
  <si>
    <t>586010</t>
  </si>
  <si>
    <t>587</t>
  </si>
  <si>
    <t>587000</t>
  </si>
  <si>
    <t>588</t>
  </si>
  <si>
    <t>588000</t>
  </si>
  <si>
    <t xml:space="preserve">Budget-Safety Training         </t>
  </si>
  <si>
    <t>588030</t>
  </si>
  <si>
    <t>590</t>
  </si>
  <si>
    <t>590000</t>
  </si>
  <si>
    <t>592</t>
  </si>
  <si>
    <t>592000</t>
  </si>
  <si>
    <t xml:space="preserve">Budget-Distribution Substation </t>
  </si>
  <si>
    <t>593</t>
  </si>
  <si>
    <t>593010</t>
  </si>
  <si>
    <t>901</t>
  </si>
  <si>
    <t>901000</t>
  </si>
  <si>
    <t xml:space="preserve">Budget-Customer Service O&amp;M    </t>
  </si>
  <si>
    <t>902</t>
  </si>
  <si>
    <t>902000</t>
  </si>
  <si>
    <t>903</t>
  </si>
  <si>
    <t>903000</t>
  </si>
  <si>
    <t>906</t>
  </si>
  <si>
    <t>906100</t>
  </si>
  <si>
    <t xml:space="preserve">Budget-Energy Conservation O&amp;M </t>
  </si>
  <si>
    <t>908</t>
  </si>
  <si>
    <t>908000</t>
  </si>
  <si>
    <t>920</t>
  </si>
  <si>
    <t>920050</t>
  </si>
  <si>
    <t>921</t>
  </si>
  <si>
    <t>921010</t>
  </si>
  <si>
    <t xml:space="preserve">Budget-Apprenticeships         </t>
  </si>
  <si>
    <t xml:space="preserve">Budget-Engineering&amp;Admin Svcs  </t>
  </si>
  <si>
    <t xml:space="preserve">Budget-General Accounting Ops  </t>
  </si>
  <si>
    <t xml:space="preserve">Budget-Human Resources         </t>
  </si>
  <si>
    <t xml:space="preserve">Budget-IT Operations           </t>
  </si>
  <si>
    <t xml:space="preserve">Budget-Records Administration  </t>
  </si>
  <si>
    <t xml:space="preserve">Budget-Strategic Planning      </t>
  </si>
  <si>
    <t xml:space="preserve">Budget-Treasury Operations     </t>
  </si>
  <si>
    <t>923</t>
  </si>
  <si>
    <t>923010</t>
  </si>
  <si>
    <t xml:space="preserve">Budget-Attorney Costs          </t>
  </si>
  <si>
    <t>925</t>
  </si>
  <si>
    <t>925030</t>
  </si>
  <si>
    <t>930</t>
  </si>
  <si>
    <t>930010</t>
  </si>
  <si>
    <t xml:space="preserve">Budget - Reliability &amp; Complia </t>
  </si>
  <si>
    <t>930110</t>
  </si>
  <si>
    <t xml:space="preserve">Budget-Support Services Admin  </t>
  </si>
  <si>
    <t>9300</t>
  </si>
  <si>
    <t xml:space="preserve">Budget-Renewables              </t>
  </si>
  <si>
    <t>9301</t>
  </si>
  <si>
    <t>9308</t>
  </si>
  <si>
    <t>930801</t>
  </si>
  <si>
    <t>935</t>
  </si>
  <si>
    <t>935010</t>
  </si>
  <si>
    <t xml:space="preserve">Budget-Dist Facilities Maint   </t>
  </si>
  <si>
    <t xml:space="preserve">Budget-Environ Compliance      </t>
  </si>
  <si>
    <t>935020</t>
  </si>
  <si>
    <t xml:space="preserve">Budget-Hardware/Software Maint </t>
  </si>
  <si>
    <t>9350</t>
  </si>
  <si>
    <t xml:space="preserve">Budget-Elec Facilities Maint   </t>
  </si>
  <si>
    <t>9358</t>
  </si>
  <si>
    <t>935801</t>
  </si>
  <si>
    <t>935805</t>
  </si>
  <si>
    <t>Include/Exclude?</t>
  </si>
  <si>
    <t>Exclude</t>
  </si>
  <si>
    <t>Include</t>
  </si>
  <si>
    <t>Data Source:</t>
  </si>
  <si>
    <t>F-1 2014 labor alloc.xlsx</t>
  </si>
  <si>
    <t>Data Sources:</t>
  </si>
  <si>
    <t>F-1 2014 Budgetv2.xlsx</t>
  </si>
  <si>
    <t xml:space="preserve">Source:  </t>
  </si>
  <si>
    <t>2010 and 2009 PRP BS and IS and Leadsheet.xls</t>
  </si>
  <si>
    <t>2011 and 2010 PRP_FS and LS.xls</t>
  </si>
  <si>
    <t>2013 and 2012 PRP FS and LS.xls</t>
  </si>
  <si>
    <t>Net Expenditures</t>
  </si>
  <si>
    <t xml:space="preserve">PRP </t>
  </si>
  <si>
    <t>Beginning long term debt liability</t>
  </si>
  <si>
    <t>Ending long term debt liability</t>
  </si>
  <si>
    <t>Elec</t>
  </si>
  <si>
    <t>Less Principal Payments</t>
  </si>
  <si>
    <t>Financial Statement check</t>
  </si>
  <si>
    <t>Electric System Debt Service</t>
  </si>
  <si>
    <t>New (proposed)</t>
  </si>
  <si>
    <t>Adjustments</t>
  </si>
  <si>
    <t>Interest Expense (Accrual basis)</t>
  </si>
  <si>
    <t>Current Portion LT Debt (Principal)</t>
  </si>
  <si>
    <t>Total Elec DS for Expense (accrual)</t>
  </si>
  <si>
    <t>PRP Debt Service</t>
  </si>
  <si>
    <t>2010 CREBS Sinking (cash basis)</t>
  </si>
  <si>
    <t>2012 CREBS Sinking (Cash basis)</t>
  </si>
  <si>
    <t>CREBS Sinking</t>
  </si>
  <si>
    <t>Interest Expense (accrual Basis)</t>
  </si>
  <si>
    <t>Total PRP DS for Expense (Accrual)</t>
  </si>
  <si>
    <t>Federal Rebates</t>
  </si>
  <si>
    <t>2010 - 70% Crebs Int. Refund</t>
  </si>
  <si>
    <t>2010 - 35% BABS Int. Refund</t>
  </si>
  <si>
    <t>2012 - 70% CREBS Int. Rebate</t>
  </si>
  <si>
    <t>Total Fed Rebate</t>
  </si>
  <si>
    <t>PRP Debt Service for Power Cost Expense</t>
  </si>
  <si>
    <t>PRP Debt Service for DSC</t>
  </si>
  <si>
    <t>Debt Service Calc-Consolidated</t>
  </si>
  <si>
    <t>do not use- SEE Cons DS Calc Tab</t>
  </si>
  <si>
    <t xml:space="preserve">Debt Service </t>
  </si>
  <si>
    <t>Coverage</t>
  </si>
  <si>
    <t>Debt Service Calc-Elec</t>
  </si>
  <si>
    <t>Adjusted with additional debt</t>
  </si>
  <si>
    <t>CREBS Sinking Fund</t>
  </si>
  <si>
    <t>Sizing of bond issue</t>
  </si>
  <si>
    <t xml:space="preserve">Input into hi-lighted boxes constraints.  Debt plan includes out year issuances, sensitivity is for incremental </t>
  </si>
  <si>
    <t>Capital Need</t>
  </si>
  <si>
    <t>Debt Service Reserve</t>
  </si>
  <si>
    <t>Interest Rate</t>
  </si>
  <si>
    <t>Issuance Cost as % of Total Issue</t>
  </si>
  <si>
    <t>Issuance Cost $</t>
  </si>
  <si>
    <t>Total Bond Issue</t>
  </si>
  <si>
    <t>Years</t>
  </si>
  <si>
    <t>Annual Level Pymt</t>
  </si>
  <si>
    <t>Timing:  Start date of repayment</t>
  </si>
  <si>
    <t>Annual Interest</t>
  </si>
  <si>
    <t>Annual Principal</t>
  </si>
  <si>
    <t>Check Total</t>
  </si>
  <si>
    <t>Jan Interest</t>
  </si>
  <si>
    <t>Jan Principal</t>
  </si>
  <si>
    <t>July Interest</t>
  </si>
  <si>
    <t>Electric Debt Service (Cash Basis)</t>
  </si>
  <si>
    <t>PRP Debt Service (Cash Basis)</t>
  </si>
  <si>
    <t>Debt Service (Cash Basis)</t>
  </si>
  <si>
    <t>Wanapum Dam Repair</t>
  </si>
  <si>
    <t>Total Other</t>
  </si>
  <si>
    <t>Other to Electric</t>
  </si>
  <si>
    <t>Other to PRP</t>
  </si>
  <si>
    <t>Hyd Maint Misc Fish Fac</t>
  </si>
  <si>
    <t>Retail Energy Sales from Rate Increases</t>
  </si>
  <si>
    <t>Starting Plant</t>
  </si>
  <si>
    <t>Less Depreciation</t>
  </si>
  <si>
    <t>Plus New Capital (total D, L capital plan)</t>
  </si>
  <si>
    <t>Ending Plant</t>
  </si>
  <si>
    <t>PRP Plant</t>
  </si>
  <si>
    <t>Electric Capital</t>
  </si>
  <si>
    <t>Direct Capital from MC capital plan w infl</t>
  </si>
  <si>
    <t>50% probability</t>
  </si>
  <si>
    <t xml:space="preserve">Labor </t>
  </si>
  <si>
    <t>Total Capital</t>
  </si>
  <si>
    <t>PRP Capital</t>
  </si>
  <si>
    <t>Wanapum Fracture Repair</t>
  </si>
  <si>
    <t>escalation</t>
  </si>
  <si>
    <t>MC for Q2 update 4/2014 per Mike 5/9/2014</t>
  </si>
  <si>
    <t>PRP Exceedance Levels from Forecasted</t>
  </si>
  <si>
    <t>Elec Exceedance Levels from Forecasted</t>
  </si>
  <si>
    <t>Total Capital Exceedance Levels from Forecasted</t>
  </si>
  <si>
    <t>Wan Emb Probable</t>
  </si>
  <si>
    <t>Wan Emb Alternative</t>
  </si>
  <si>
    <t>Original Depreciation Calulations, looked high.  Trended off of 2013 at 3% growth.</t>
  </si>
  <si>
    <t>New Method Calc</t>
  </si>
  <si>
    <t>Finance Plan Reserve Fund</t>
  </si>
  <si>
    <t>Current Year Adjustment - Electric</t>
  </si>
  <si>
    <t>Current Year Adjustment - PRP</t>
  </si>
  <si>
    <t>Labor</t>
  </si>
  <si>
    <t>Exceedence Value</t>
  </si>
  <si>
    <t>Capital Plan</t>
  </si>
  <si>
    <t>Total Capital Projects from CIP</t>
  </si>
  <si>
    <t>LF%</t>
  </si>
  <si>
    <t>Average 12CP</t>
  </si>
  <si>
    <t>AED 12CP</t>
  </si>
  <si>
    <t>[W]</t>
  </si>
  <si>
    <t>Loss</t>
  </si>
  <si>
    <t>Average 12CP Excess Demand</t>
  </si>
  <si>
    <t>System Load Factor (Avg 12CP)</t>
  </si>
  <si>
    <t>System Load Factor (Peak)</t>
  </si>
  <si>
    <t>[Y]</t>
  </si>
  <si>
    <t>[X]</t>
  </si>
  <si>
    <t>AED 12CP Responsibility</t>
  </si>
  <si>
    <t>Capacity Allocators</t>
  </si>
  <si>
    <t>Average &amp; Excess 12CP</t>
  </si>
  <si>
    <t>Excess12</t>
  </si>
  <si>
    <t>Substations Direct</t>
  </si>
  <si>
    <t>Direct Assign</t>
  </si>
  <si>
    <t>kVA</t>
  </si>
  <si>
    <t>Transfer to/(from) Finance Plan Reserve</t>
  </si>
  <si>
    <t>[H]/[L]</t>
  </si>
  <si>
    <t>[T] * ED</t>
  </si>
  <si>
    <t>[E] + [U]</t>
  </si>
  <si>
    <t>[E] + [V]</t>
  </si>
  <si>
    <t>[Z]</t>
  </si>
  <si>
    <t>[AA]</t>
  </si>
  <si>
    <t>[AB]</t>
  </si>
  <si>
    <t>Use of Finance Plan Reserve</t>
  </si>
  <si>
    <t>Col P</t>
  </si>
  <si>
    <t>Col AC</t>
  </si>
  <si>
    <t>Col AE</t>
  </si>
  <si>
    <t>Col AF</t>
  </si>
  <si>
    <t>Col AG</t>
  </si>
  <si>
    <t>From Fin Reserve to Revenue Fund PRP Capital</t>
  </si>
  <si>
    <t>From Fin Reserve to Pay Elec System Debt Service</t>
  </si>
  <si>
    <t>From Elec System Revenue to Fin Plan Reserve</t>
  </si>
  <si>
    <t>Transfers In</t>
  </si>
  <si>
    <t>Transfers Out</t>
  </si>
  <si>
    <t>PURC POWER, PR - EUDL</t>
  </si>
  <si>
    <t>From 2010 Study (for Comparison)</t>
  </si>
  <si>
    <t>2011 TY</t>
  </si>
  <si>
    <t>PID</t>
  </si>
  <si>
    <t>Tax Type</t>
  </si>
  <si>
    <t>Calculation</t>
  </si>
  <si>
    <t>30260/30280</t>
  </si>
  <si>
    <t>Privilege Tax PRP</t>
  </si>
  <si>
    <t>Net Generation(MWH) *.004*.05353*1000= Total Tax</t>
  </si>
  <si>
    <t>Total PRP</t>
  </si>
  <si>
    <t>30240</t>
  </si>
  <si>
    <t xml:space="preserve">Privilege Tax Electric </t>
  </si>
  <si>
    <t>Retail Revenue not including city taxes  X .0214 = Total tax</t>
  </si>
  <si>
    <t>23290</t>
  </si>
  <si>
    <t xml:space="preserve">Privilege Tax PEC              </t>
  </si>
  <si>
    <t>36610</t>
  </si>
  <si>
    <t xml:space="preserve">Privilege Tax QC               </t>
  </si>
  <si>
    <t>101469</t>
  </si>
  <si>
    <t xml:space="preserve">Services Taxes B&amp;O-Telecom     </t>
  </si>
  <si>
    <t>(Forfeited discounts + 72% of CIAC or FCC revenue)* 0.015</t>
  </si>
  <si>
    <t>30230</t>
  </si>
  <si>
    <t>Public Utility Tax</t>
  </si>
  <si>
    <t>30440</t>
  </si>
  <si>
    <t>Fire Protection District</t>
  </si>
  <si>
    <t>72030</t>
  </si>
  <si>
    <t xml:space="preserve">City Taxes                     </t>
  </si>
  <si>
    <t xml:space="preserve">Utility is pass through agency on this tax and item is no longer budgeted. </t>
  </si>
  <si>
    <t>Wholesaling</t>
  </si>
  <si>
    <t>Fiber Revenue x .00484</t>
  </si>
  <si>
    <t>Total Elect</t>
  </si>
  <si>
    <t>Total Taxes</t>
  </si>
  <si>
    <t>1.7 total</t>
  </si>
  <si>
    <t>Check</t>
  </si>
  <si>
    <t>Projected MWh of Generation</t>
  </si>
  <si>
    <t>Remove City Taxes (5.5% on 1/2 rate class 1 and 100% of Class 2)</t>
  </si>
  <si>
    <t>Retail Revenue net of taxes</t>
  </si>
  <si>
    <t>`</t>
  </si>
  <si>
    <t>Forecasted Generation uses average generation of last 5 years from 2006-2010</t>
  </si>
  <si>
    <t>Quincy Chute</t>
  </si>
  <si>
    <t>5 yr Average</t>
  </si>
  <si>
    <t>Gross Gen</t>
  </si>
  <si>
    <t>Net Gen</t>
  </si>
  <si>
    <t>Total Losses %</t>
  </si>
  <si>
    <t>Gross Gen Net of Losses</t>
  </si>
  <si>
    <t>Net Gen (Losses &amp; S/S)</t>
  </si>
  <si>
    <t>PEC Headworks</t>
  </si>
  <si>
    <t>Forefeited Discounts(Late Fees FERC 1001-450000) need to confirm data source</t>
  </si>
  <si>
    <t>Forfited discounts</t>
  </si>
  <si>
    <t>5 year average</t>
  </si>
  <si>
    <t>QC/PEC total cost</t>
  </si>
  <si>
    <t>PEC Amoritzation</t>
  </si>
  <si>
    <t>Update if straightline amount has changed</t>
  </si>
  <si>
    <t>QC Amortization</t>
  </si>
  <si>
    <t>Small hydro Directs</t>
  </si>
  <si>
    <t>Small hydro Labor</t>
  </si>
  <si>
    <t>Total Pre-Tax</t>
  </si>
  <si>
    <t>City Taxes</t>
  </si>
  <si>
    <t>Total City Tax</t>
  </si>
  <si>
    <t>Generation O&amp;M</t>
  </si>
  <si>
    <t>[M]-[O]</t>
  </si>
  <si>
    <t>Adj. [M]</t>
  </si>
  <si>
    <t>[H]-[E]</t>
  </si>
  <si>
    <t>Historical</t>
  </si>
  <si>
    <t>(Total retail revenue +Other Retail Rev+ Other Power Service revenue + 28% of CIAC - total PEC &amp; QC costs  -  .154% of retail revenue ) X  .03873 = Total Tax</t>
  </si>
  <si>
    <t>Amount established by the state based on amount of public utility tax paid by the utility. PUT X .028545832</t>
  </si>
  <si>
    <t>Choose Which Method of Capital Projects</t>
  </si>
  <si>
    <t>Capital Projects - Exceedence Value</t>
  </si>
  <si>
    <t>Senior Analyst/Consultant</t>
  </si>
  <si>
    <t>Excess 12</t>
  </si>
  <si>
    <t>Responsibility</t>
  </si>
  <si>
    <t xml:space="preserve"> Revenue</t>
  </si>
  <si>
    <t xml:space="preserve"> Difference</t>
  </si>
  <si>
    <t>Debt Service Coverage</t>
  </si>
  <si>
    <t>Purchased Power - PRP EUDL</t>
  </si>
  <si>
    <t>Purchased Power - Market Purchases</t>
  </si>
  <si>
    <t>Capital Program - Priest Rapids Project</t>
  </si>
  <si>
    <t>Depreciation &amp; Amortization - Priest Rapids Project</t>
  </si>
  <si>
    <t>Avg Cost $/MWh</t>
  </si>
  <si>
    <t>Excess Demand</t>
  </si>
  <si>
    <t>Use of Finance Plan Reserves</t>
  </si>
  <si>
    <t>NEL (MWh)</t>
  </si>
  <si>
    <t>[AC]</t>
  </si>
  <si>
    <t>2014 Rates</t>
  </si>
  <si>
    <t>Contribution in Aid of Capital</t>
  </si>
  <si>
    <t>min</t>
  </si>
  <si>
    <t>max</t>
  </si>
  <si>
    <t>SOFTWARE INTANGIBLE</t>
  </si>
  <si>
    <t>Total System (Kwh)</t>
  </si>
  <si>
    <t>Total Loss %</t>
  </si>
  <si>
    <t>Substation Amt</t>
  </si>
  <si>
    <t>1CP</t>
  </si>
  <si>
    <t>1 CP</t>
  </si>
  <si>
    <t>[AD]</t>
  </si>
  <si>
    <t>Retail System Peak Demand</t>
  </si>
  <si>
    <t>Recommended</t>
  </si>
  <si>
    <t>CAP1-D</t>
  </si>
  <si>
    <t>Residential-Total (1)</t>
  </si>
  <si>
    <t>Power - Capacity</t>
  </si>
  <si>
    <t>Trans - Capacity</t>
  </si>
  <si>
    <t>1CP (coincident peak)</t>
  </si>
  <si>
    <t>Max Class Demand (Non-Coincident Peak)</t>
  </si>
  <si>
    <t>Total Original Cost less FON</t>
  </si>
  <si>
    <t>Total OC Plant less Fiber</t>
  </si>
  <si>
    <t>Col AI</t>
  </si>
  <si>
    <t>Fiber Optic Network Sales</t>
  </si>
  <si>
    <t>Total Additional Base Rate Revenue Before Current Year's Inc.</t>
  </si>
  <si>
    <t>Rate Increases Before Current Year's Increase</t>
  </si>
  <si>
    <t>Rate Increases After Current Year's Increase</t>
  </si>
  <si>
    <t>Planned Revenue After All Rate Increases</t>
  </si>
  <si>
    <t>Planned Revenue under All Rate Increases Except Current Year</t>
  </si>
  <si>
    <t>Irrigation 1PH (3)</t>
  </si>
  <si>
    <t>Irrigation 3PH (3)</t>
  </si>
  <si>
    <t>General Service 1PH (2)</t>
  </si>
  <si>
    <t>General Service 3PH (2)</t>
  </si>
  <si>
    <t>2015 Revenue</t>
  </si>
  <si>
    <t>Cost Allocation %</t>
  </si>
  <si>
    <t xml:space="preserve">      Overall Rate Increase</t>
  </si>
  <si>
    <t>Revenue from Previous Rate Increases</t>
  </si>
  <si>
    <t>Total Rate Increase</t>
  </si>
  <si>
    <t>By Class Increase</t>
  </si>
  <si>
    <t>F-2 COSA Request 080514_Financial_Forecast_Base.xlsx</t>
  </si>
  <si>
    <t>x</t>
  </si>
  <si>
    <t>x (ok due to no additional Elec system issuance, held until final year accrues interest)</t>
  </si>
  <si>
    <t>see detail below</t>
  </si>
  <si>
    <t>need to determine if a precise method exists other then inflation of prior year figures</t>
  </si>
  <si>
    <t>Revenue Financed Capital</t>
  </si>
  <si>
    <t xml:space="preserve">Electric Bond Proceeds </t>
  </si>
  <si>
    <t>Equity Financing of PRP</t>
  </si>
  <si>
    <t xml:space="preserve">Less Wholesale Power Cash Deposits </t>
  </si>
  <si>
    <t>Additions/Removals based on Rev fund balance</t>
  </si>
  <si>
    <t>Deduction for removal</t>
  </si>
  <si>
    <t>Year end balance (prior year end plus new $, less capital spending)</t>
  </si>
  <si>
    <t>Target</t>
  </si>
  <si>
    <t>$155 MM</t>
  </si>
  <si>
    <t>&gt; 250</t>
  </si>
  <si>
    <t>&gt;1.8x</t>
  </si>
  <si>
    <t>≥ 2.0x</t>
  </si>
  <si>
    <t>&gt;4%</t>
  </si>
  <si>
    <t>≤ 100%</t>
  </si>
  <si>
    <t>≤ 60%</t>
  </si>
  <si>
    <t>Current Year Adjustment (30%)</t>
  </si>
  <si>
    <t>Current Year Adjustment (70%)</t>
  </si>
  <si>
    <t>Q3 Update 2014 - published 07/09/2014</t>
  </si>
  <si>
    <t>FROM CAPITAL PLAN 7/25/2014</t>
  </si>
  <si>
    <t>2014 YE Projections 6/30/2014</t>
  </si>
  <si>
    <t>Calculation of 2015 CY adj (Q2 2014 Update)</t>
  </si>
  <si>
    <t>Cap Plan (A)</t>
  </si>
  <si>
    <t>MC (B)</t>
  </si>
  <si>
    <t>Adj(B-A)</t>
  </si>
  <si>
    <t>Wanapum frxr</t>
  </si>
  <si>
    <t>Captial Adj</t>
  </si>
  <si>
    <t xml:space="preserve">2014 Capital adjustment </t>
  </si>
  <si>
    <t>Depreciation Calculation</t>
  </si>
  <si>
    <t>Annual Depreciation Plant  Elec</t>
  </si>
  <si>
    <t xml:space="preserve">QC/PEC Power Rights </t>
  </si>
  <si>
    <t>Conservation Amortization 10 and 12 yr</t>
  </si>
  <si>
    <t>Total Electric</t>
  </si>
  <si>
    <t>Annual Depreciation Plant PRP</t>
  </si>
  <si>
    <t>Relicensing</t>
  </si>
  <si>
    <t>Amort of future Licence Benefit</t>
  </si>
  <si>
    <t>Adopted Fx</t>
  </si>
  <si>
    <t>Diff</t>
  </si>
  <si>
    <t>From ver 1.7</t>
  </si>
  <si>
    <t>Conservation amortization</t>
  </si>
  <si>
    <t>Balance</t>
  </si>
  <si>
    <t>12 Year</t>
  </si>
  <si>
    <t>Per Brian</t>
  </si>
  <si>
    <t>10 Year</t>
  </si>
  <si>
    <t>Calculated from amortization schedule from Biran</t>
  </si>
  <si>
    <t>QC Power rights</t>
  </si>
  <si>
    <t>PEC Power rights</t>
  </si>
  <si>
    <t>2013 YE</t>
  </si>
  <si>
    <t>Plant YE 2013 to calc allocation PRP/Elec</t>
  </si>
  <si>
    <t>PRP Annual Depreciation Years</t>
  </si>
  <si>
    <t>Prior Year PRP forecasted Capital Additions</t>
  </si>
  <si>
    <t>Calculated Plant Depreciation Projection MSGP PRP</t>
  </si>
  <si>
    <t>Estitmated additional Plant deprectiation</t>
  </si>
  <si>
    <t>Estimated Depreciation PRP</t>
  </si>
  <si>
    <t>Electric System Annual Depreciation Years</t>
  </si>
  <si>
    <t xml:space="preserve">Prior Year Elect Sys forecastd Capital Additions </t>
  </si>
  <si>
    <t>Calculated Plant Depreciation Projection MSGP Elec</t>
  </si>
  <si>
    <t>Estimated Depreciation Electric</t>
  </si>
  <si>
    <t>decreased at 4%</t>
  </si>
  <si>
    <t>Plant Depreciation Projection MSGP</t>
  </si>
  <si>
    <t>Calculation of Baseline for Electric and PRP w/3% escalation</t>
  </si>
  <si>
    <t>DO NOT USE, USE MC results</t>
  </si>
  <si>
    <t>DO NOT USE , USE Capital Plan</t>
  </si>
  <si>
    <t>Use Baseline plus applicable incremental</t>
  </si>
  <si>
    <t>Baseline</t>
  </si>
  <si>
    <t>Projected Baseline Electric (directs and labor)</t>
  </si>
  <si>
    <t>Incremental</t>
  </si>
  <si>
    <t>0-10yrs</t>
  </si>
  <si>
    <t>Incremental Elect Capital Per J Shupe escalation calculation</t>
  </si>
  <si>
    <t>11-20 yrs</t>
  </si>
  <si>
    <t>21-30 yrs</t>
  </si>
  <si>
    <t>Applicable Incremental Elect Capital</t>
  </si>
  <si>
    <t>Projected Baseeline PRP (directs and labor)</t>
  </si>
  <si>
    <t>Incremental PRP Capital Per Kevin Marshall escalation calculation</t>
  </si>
  <si>
    <t>Incremental capital PRP</t>
  </si>
  <si>
    <t>Mt View 115kV Tap</t>
  </si>
  <si>
    <t>Mt View 230kV Tap</t>
  </si>
  <si>
    <t>Mt View Substations-Switchyard</t>
  </si>
  <si>
    <t>Mobile Substation</t>
  </si>
  <si>
    <t>Wanapum spillway Concrete Repair</t>
  </si>
  <si>
    <t>Wanapum Intake &amp; Draft Tube Bulhead Rehab</t>
  </si>
  <si>
    <t>Wanapum CO2 Fire Suppression System</t>
  </si>
  <si>
    <t>Priest Rapids Station Sump Mods</t>
  </si>
  <si>
    <t>Priest Rapids Spillway Concrete Repair</t>
  </si>
  <si>
    <t>Priest Rapids CO2 Fire Suppression System</t>
  </si>
  <si>
    <t>Wanapum Station Sump Mods</t>
  </si>
  <si>
    <t>Additional Debt issue</t>
  </si>
  <si>
    <t>Incremental Debt issue</t>
  </si>
  <si>
    <t>Total Elec DS for Expense (Cash)</t>
  </si>
  <si>
    <t xml:space="preserve">Principal </t>
  </si>
  <si>
    <t>Principal Incremental</t>
  </si>
  <si>
    <t>Interest Incremental</t>
  </si>
  <si>
    <t>Total PRP DS for Expense (Cash)</t>
  </si>
  <si>
    <t>Check figures</t>
  </si>
  <si>
    <t>Principal 1/1 (Includes BABs)</t>
  </si>
  <si>
    <t>Interest 1/1 (Includes BABS and CREBS)</t>
  </si>
  <si>
    <t>Interest 7/1 (Includes BABS and CREBS)</t>
  </si>
  <si>
    <t>PRP Power Cost DS(see PRP Debt Service for PC tab)</t>
  </si>
  <si>
    <t>CREBS sinking Fund</t>
  </si>
  <si>
    <t xml:space="preserve">Proposed </t>
  </si>
  <si>
    <t>Actual PRP Debt Service(Cash Basis)</t>
  </si>
  <si>
    <t>Consolidated Debt Service Expense (Cash)</t>
  </si>
  <si>
    <t>Consolidated Debt Service Coverage (Accrual)</t>
  </si>
  <si>
    <t>Per Income Statement</t>
  </si>
  <si>
    <t>Interest and other Income</t>
  </si>
  <si>
    <t>Interest on Revenue Bonds and other Cap Int</t>
  </si>
  <si>
    <t xml:space="preserve">Amortizaton of debt prem/dis and issuance expense </t>
  </si>
  <si>
    <t>Total other revenue(expenses)</t>
  </si>
  <si>
    <t>Federal Rebates on Revenue Bonds</t>
  </si>
  <si>
    <t xml:space="preserve">Est annual </t>
  </si>
  <si>
    <t xml:space="preserve">Ferc Account 428010 and 428020 </t>
  </si>
  <si>
    <t>Other Interest</t>
  </si>
  <si>
    <t>Wholesale</t>
  </si>
  <si>
    <t>Misc/Service Sales</t>
  </si>
  <si>
    <t>Expense</t>
  </si>
  <si>
    <t>Purchased Power</t>
  </si>
  <si>
    <t>Market Purchases</t>
  </si>
  <si>
    <t>EUDL - Market Offset</t>
  </si>
  <si>
    <t>BPA</t>
  </si>
  <si>
    <t>Nine Canyon Wind(Escalate 1%)</t>
  </si>
  <si>
    <t>Reasonbale Portion Proceeds</t>
  </si>
  <si>
    <t>Qunicy Chute PID 33190</t>
  </si>
  <si>
    <t>QC escalate 3%</t>
  </si>
  <si>
    <t>Total Purchased Power Expense</t>
  </si>
  <si>
    <t>BPA Detail</t>
  </si>
  <si>
    <t xml:space="preserve">Grand Coulee </t>
  </si>
  <si>
    <t>Residential Exchange</t>
  </si>
  <si>
    <t>Total BPA</t>
  </si>
  <si>
    <t>Reasonable Portion Proceeds</t>
  </si>
  <si>
    <t>Estimate of total RP Pool</t>
  </si>
  <si>
    <t>Less Grant's EUDL Take</t>
  </si>
  <si>
    <t>Amount available after EUDL</t>
  </si>
  <si>
    <t>Grant's Share of RP post EUDL</t>
  </si>
  <si>
    <t>Update wholesale 07/07/2014 Mikes Email 7/9/14</t>
  </si>
  <si>
    <t>SLICE</t>
  </si>
  <si>
    <t>Wholesale Purchases</t>
  </si>
  <si>
    <t>Wholesale Sales</t>
  </si>
  <si>
    <t>Total Net Wholesale Before EUDL</t>
  </si>
  <si>
    <t>Bad Year (75-80% Water, 85% Exceedance)</t>
  </si>
  <si>
    <t>Good Year (100% Water, 50% Exceedance)</t>
  </si>
  <si>
    <t>Total Net Wholesale</t>
  </si>
  <si>
    <t>Reasonable Portion Revenue</t>
  </si>
  <si>
    <t>Average Price</t>
  </si>
  <si>
    <t>Average PSC Load</t>
  </si>
  <si>
    <t>System Load</t>
  </si>
  <si>
    <t>1001-449000</t>
  </si>
  <si>
    <t>REC Sales</t>
  </si>
  <si>
    <t>1001-451010</t>
  </si>
  <si>
    <t>Misc. Sales (reserves,pond,Hubbing)</t>
  </si>
  <si>
    <t>1001-451012</t>
  </si>
  <si>
    <t>Exchanges (parking and lending)</t>
  </si>
  <si>
    <t>1001-456010</t>
  </si>
  <si>
    <t>Other Electric Rev Wheeling</t>
  </si>
  <si>
    <t>Update from Keith 7/3/2014</t>
  </si>
  <si>
    <t>Jennifer,</t>
  </si>
  <si>
    <t>You say you have an escalation in the Nine Canyon but it does not show any.</t>
  </si>
  <si>
    <t>Grand Coulee has increases every two year with the next one expected in Oct 2015 at around 6%, then most likely 4% every two years after that.</t>
  </si>
  <si>
    <t>The Residential exchange should be (1,370,000) decreasing each year by 0.4% with the last year having only 9 months of it so use (1,027,000).</t>
  </si>
  <si>
    <t>Keith</t>
  </si>
  <si>
    <t>GCPUD Calculation</t>
  </si>
  <si>
    <t>BV Calculation</t>
  </si>
  <si>
    <t>Active Scenario</t>
  </si>
  <si>
    <t>Net Power Scenario</t>
  </si>
  <si>
    <t xml:space="preserve">FCC Budget Forecast </t>
  </si>
  <si>
    <t>Year received associated with project construction</t>
  </si>
  <si>
    <t xml:space="preserve">Customer </t>
  </si>
  <si>
    <t>Cap ID</t>
  </si>
  <si>
    <t>Phase</t>
  </si>
  <si>
    <t>MVA</t>
  </si>
  <si>
    <t>Microsoft</t>
  </si>
  <si>
    <t>CS-55</t>
  </si>
  <si>
    <t>MWH01</t>
  </si>
  <si>
    <t>MWH01R</t>
  </si>
  <si>
    <t>CS-60</t>
  </si>
  <si>
    <t>MWH02</t>
  </si>
  <si>
    <t>MWH03</t>
  </si>
  <si>
    <t>MWH04</t>
  </si>
  <si>
    <t>SGL</t>
  </si>
  <si>
    <t>CS-05</t>
  </si>
  <si>
    <t>Phase 2</t>
  </si>
  <si>
    <t xml:space="preserve">Sabey </t>
  </si>
  <si>
    <t>Recap by type (color code)</t>
  </si>
  <si>
    <t xml:space="preserve">  Rate 15</t>
  </si>
  <si>
    <t xml:space="preserve">  Rate 14</t>
  </si>
  <si>
    <t>Primary Line</t>
  </si>
  <si>
    <t xml:space="preserve">Check Total. </t>
  </si>
  <si>
    <t>Allocation/Direct Assign Procedure</t>
  </si>
  <si>
    <t>1.  Allocate CAPX to functions based on total plant.</t>
  </si>
  <si>
    <t>2. Allocate Rev Requirements to all Classes</t>
  </si>
  <si>
    <t>3.  Deduct CIAC from Rate 15 and 14 Revenue Requirement for  Sustation Direct and Primary Line based on Recap above.</t>
  </si>
  <si>
    <t xml:space="preserve">4.  This treats CIAC as directly assigned other revenue to classes 14 and 15. </t>
  </si>
  <si>
    <t>CIAC - Substation - Rate 14</t>
  </si>
  <si>
    <t>CIAC - Substation - Rate 15</t>
  </si>
  <si>
    <t>CIAC - Line - Rate 14</t>
  </si>
  <si>
    <t>CIAC - Line - Rate 15</t>
  </si>
  <si>
    <t>CIAC - Other</t>
  </si>
  <si>
    <t>Total CIAC</t>
  </si>
  <si>
    <t>Rate 14</t>
  </si>
  <si>
    <t>Rate 15</t>
  </si>
  <si>
    <t>Rate 14 Direct</t>
  </si>
  <si>
    <t>Rate 15 Direct</t>
  </si>
  <si>
    <t>DIR-14</t>
  </si>
  <si>
    <t>DIR-15</t>
  </si>
  <si>
    <t>Substation Direct</t>
  </si>
  <si>
    <t>Other Revenue (Excluding CIAC)</t>
  </si>
  <si>
    <t>CIAC Total</t>
  </si>
  <si>
    <t>Capital Projects - Substation - Rate 14</t>
  </si>
  <si>
    <t>Capital Projects - Substation - Rate 15</t>
  </si>
  <si>
    <t>Capital Projects - Line - Rate 14</t>
  </si>
  <si>
    <t>Capital Projects - Line - Rate 15</t>
  </si>
  <si>
    <t>Capital Projects - Other</t>
  </si>
  <si>
    <t>PURC POWER, PR - REASONABLE PORTION</t>
  </si>
  <si>
    <t>Scenario Names</t>
  </si>
  <si>
    <t>Rate Increase Scenario Details</t>
  </si>
  <si>
    <t>Scenario</t>
  </si>
  <si>
    <t>Following Rate Policy</t>
  </si>
  <si>
    <t>Across the Board</t>
  </si>
  <si>
    <t>What it Takes for COS</t>
  </si>
  <si>
    <t>Make This Line = 0    --&gt;</t>
  </si>
  <si>
    <t>Target is +15% or -20%</t>
  </si>
  <si>
    <t>TY</t>
  </si>
  <si>
    <t>Revenue under All Rate Increases, including Current Year</t>
  </si>
  <si>
    <t>Iterate each year sequentially</t>
  </si>
  <si>
    <t>Transfer to Finance Plan Reserve</t>
  </si>
  <si>
    <t>Total Customers</t>
  </si>
  <si>
    <t>Projected Customers (Monthly)</t>
  </si>
  <si>
    <t>Projected Sales Revenue ($000)</t>
  </si>
  <si>
    <t>Cust Ct</t>
  </si>
  <si>
    <t>Total Customer Count</t>
  </si>
  <si>
    <t>COS_SUMM</t>
  </si>
  <si>
    <t>Target Max</t>
  </si>
  <si>
    <t>Target Min</t>
  </si>
  <si>
    <t>Line #</t>
  </si>
  <si>
    <t>Planned Rate Increase %</t>
  </si>
  <si>
    <t>Additional Base Rate Revenue ($ million)</t>
  </si>
  <si>
    <t>Offset #</t>
  </si>
  <si>
    <t>Metric</t>
  </si>
  <si>
    <t>O&amp;M Expenses</t>
  </si>
  <si>
    <t>LESS: Other Income Sources:</t>
  </si>
  <si>
    <t>Within Rate</t>
  </si>
  <si>
    <t>Policy Limits?</t>
  </si>
  <si>
    <t>Liquidity - Electric System ($ million)</t>
  </si>
  <si>
    <t>Projected Sales (GWh)</t>
  </si>
  <si>
    <t>For the Fiscal Year Ended</t>
  </si>
  <si>
    <t>This allocator is based on the original cost of fixed assets classified as transmission plant. It is used to allocate costs classified as capacity in the transmission function.</t>
  </si>
  <si>
    <t>This allocator is based on an average of original cost for all fixed asset allocations discussed above for production, transmission, and distribution assets</t>
  </si>
  <si>
    <t>This allocator is based on the original cost of fixed assets classified as electric general plant. It is generally used to allocate certain Administrative and General expenses.</t>
  </si>
  <si>
    <t>This allocator is used to directly assign cost classified as energy in the production function.</t>
  </si>
  <si>
    <t>This allocator is a direct assignment of costs to Transmission Capacity. It is used to allocate costs classified as capacity in the transmission function.</t>
  </si>
  <si>
    <t>This allocation is based on fixed assets classified as Substation plant. It is used to allocate distribution costs related to the substation sub-classification of capacity.</t>
  </si>
  <si>
    <t>This allocation is a direct assignment based on fixed assets classified as Substation plant. It is used to allocate distribution costs related to the substation sub-classification of capacity for industrial customer that have invested in them.  Allocation is based upon the ratio of transformer MVA for these classes to the total.  The remaining portion is allocated to the regular distribution Substation category.</t>
  </si>
  <si>
    <t>This allocator is used to directly assign Line Transformer costs to the Distribution Capacity – Line Transformer category.</t>
  </si>
  <si>
    <t>This allocator is a direct assignment of costs to Power Supply Capacity. It is used to allocate costs classified as capacity in the Purchased Power and Generation functions.</t>
  </si>
  <si>
    <t>This allocator is used to classify distribution assets and expenses related to overhead electric lines, poles, and related equipment between the capacity and customer classifications. Costs are split between lines (urban and rural) and laterals (urban and rural) using weighted conductor miles assigned to each category.  Urban conductor miles were weighted 1.5 times the amount of rural conductor miles.</t>
  </si>
  <si>
    <t>This allocator is used to classify distribution assets and expenses related to underground electric lines, poles, and related equipment between the capacity and customer classifications. Costs are split between lines (urban and rural) and laterals (urban and rural) using weighted conductor miles assigned to each category.  Urban conductor miles were weighted 1.5 times the amount of rural conductor miles.</t>
  </si>
  <si>
    <t>This allocator is used to directly assign costs to the customer services classification.</t>
  </si>
  <si>
    <t>This allocation is based on fixed assets classified as Meters plant. It is used to allocate distribution costs related to the meters sub-classification of customer.</t>
  </si>
  <si>
    <t>This allocation is based on fixed assets classified as Street Lights. It is used to directly allocate costs related to the street lights.</t>
  </si>
  <si>
    <t>This allocator is based on the functional classification of net plant (original cost less accumulated depreciation) of all fixed assets accounts.</t>
  </si>
  <si>
    <t>This allocator is based on the functional classification of original cost of all fixed assets.</t>
  </si>
  <si>
    <t>This allocator is based on the functional classification of original cost of all fixed assets less the original cost of all assets related to the wholesale fiber optic network.</t>
  </si>
  <si>
    <t>This allocator is used to directly assign costs to the customer function and customer classification.</t>
  </si>
  <si>
    <t>This allocator is used to directly assign costs that will be allocated to customer classes on the basis of sales revenue.</t>
  </si>
  <si>
    <t>This allocator is used to directly assign costs to the customer accounts function and customer classification.  It uses the average functionalized costs of all customer accounts expenses except for FERC account 901</t>
  </si>
  <si>
    <t>This allocation is based on fixed assets classified as Substation or Lines plant. It is used to allocate distribution costs related to the sub-classification of capacity.</t>
  </si>
  <si>
    <t>This allocation is based on O&amp;M costs classified as Purchased Power. It is used to allocate costs associated with purchased power.</t>
  </si>
  <si>
    <t>This allocation is based on O&amp;M costs classified as Generation. It is used to allocate costs associated with generation.</t>
  </si>
  <si>
    <t>This allocation is based on O&amp;M costs classified as Transmission. It is used to allocate costs associated with transmission.</t>
  </si>
  <si>
    <t>This allocation is based on O&amp;M costs classified as Distribution. It is used to allocate costs associated with distribution.</t>
  </si>
  <si>
    <t>This allocation is based on O&amp;M costs classified as Customer Accounts. It is used to allocate costs associated with customers.</t>
  </si>
  <si>
    <t>This allocation is based on O&amp;M costs classified as Fiber Optic Network Operations. It is used to allocate costs associated with the fiber optic network.</t>
  </si>
  <si>
    <t>This allocation is based on O&amp;M costs classified as Administrative &amp; General costs. It is used to allocate costs associated with the overhead.</t>
  </si>
  <si>
    <t>This allocator is based on the average of the functional classification of existing debt service. It is used to allocate debt service related costs.</t>
  </si>
  <si>
    <t>This allocator is based on the average of the functional classification of proposed debt service.  Since the Electric System does not have any proposed debt, this allocator is not currently used.</t>
  </si>
  <si>
    <t>This allocator is based on the average of the functional classification of Other Expenses.  It is not currently used to allocate costs.</t>
  </si>
  <si>
    <t>This allocator is based on the average of the functional classification of Capital Projects.  It is not currently used to allocate costs.</t>
  </si>
  <si>
    <t>This allocator is based on the average of the functional classification of Other Income.  It is not currently used to allocate costs.</t>
  </si>
  <si>
    <t>This allocator is a direct assignment for those capital expenditures (or offsetting contributions in aid of capital) that solely belong to Rate 14 customers</t>
  </si>
  <si>
    <t>This allocator is a direct assignment for those capital expenditures (or offsetting contributions in aid of capital) that solely belong to Rate 15 customers</t>
  </si>
  <si>
    <t>This allocator is based on the average of the functional classification of investment income. It is not currently used to allocate costs.</t>
  </si>
  <si>
    <t>Transmission Original Cost (OC)</t>
  </si>
  <si>
    <t>Distribution Original Cost (OC)</t>
  </si>
  <si>
    <t>Transmission &amp; Distribution Original Cost (OC)</t>
  </si>
  <si>
    <t>Transmission &amp; Distribution Substation Original Cost (OC)</t>
  </si>
  <si>
    <t>Original Plant Before General Plant</t>
  </si>
  <si>
    <t>Electric General Plant Original Cost (OC)</t>
  </si>
  <si>
    <t>Transmission - Capacity</t>
  </si>
  <si>
    <t>Accounts &amp; Services</t>
  </si>
  <si>
    <t>Number of Retail Customers</t>
  </si>
  <si>
    <t>Customer Service (Remainder)</t>
  </si>
  <si>
    <t>Substation &amp; Lines</t>
  </si>
  <si>
    <t>Customer Accounts O&amp;M</t>
  </si>
  <si>
    <t>Fiber Optic O&amp;M</t>
  </si>
  <si>
    <t>Investment Income</t>
  </si>
  <si>
    <t>This allocator is used to classify distribution assets and expenses related to electric lines, poles, and related equipment between the capacity and customer classifications. Costs are split between lines (urban and rural) and laterals (urban and rural) using the total functionalized rate base cost (original cost less accumulated deprecation) for these categories.Total OC Plant</t>
  </si>
  <si>
    <t>Allocation Factors</t>
  </si>
  <si>
    <t>#</t>
  </si>
  <si>
    <t>Function</t>
  </si>
  <si>
    <t>Classification</t>
  </si>
  <si>
    <t>Capacity (AED 12CP)</t>
  </si>
  <si>
    <t>Capacity (12CP)</t>
  </si>
  <si>
    <t>Fiber</t>
  </si>
  <si>
    <t>Wholesale Fiber Optic Network</t>
  </si>
  <si>
    <t>A&amp;G</t>
  </si>
  <si>
    <t>Administrative &amp; General</t>
  </si>
  <si>
    <t>Other Revenue Requirement &amp; Income</t>
  </si>
  <si>
    <t>FERC Acct</t>
  </si>
  <si>
    <t>Substations (60%), 
Power – Capacity (20%),
 Electric General Plant (20%)</t>
  </si>
  <si>
    <t>Direct Assign to Rate 14</t>
  </si>
  <si>
    <t>Direct Assign to Rate 15</t>
  </si>
  <si>
    <t>Capacity (Industrial Substation) - Direct</t>
  </si>
  <si>
    <t># of</t>
  </si>
  <si>
    <t>Electric Cost of Service Model</t>
  </si>
  <si>
    <t>Intangible Plant</t>
  </si>
  <si>
    <t>Total Intangible Plant</t>
  </si>
  <si>
    <t>Intangible Plant OC</t>
  </si>
  <si>
    <t>Intangible Original Cost (OC)</t>
  </si>
  <si>
    <t>This allocator is based on the original cost of fixed assets classified as intangible plant, such as Power Rights and software systems. It impacts the composite allocators for Total OC Plant and Total Net Plant.</t>
  </si>
  <si>
    <t>This allocator is a composite allocation based on the original cost of fixed assets classified as distribution plant. It is a blended allocation of many distribution fixed assets that have been direct assigned. For example, substation assets are direct assigned to the substation sub-classification under distribution capacity costs. Likewise for line transformers, lines, meters, and other distribution assets. This allocation represents an average allocation of all distribution assets.</t>
  </si>
  <si>
    <t>This allocator is a composite allocation based on the original cost of all fixed assets classified as transmission and distribution plant. It is not currently being used.</t>
  </si>
  <si>
    <t>This allocator is a composite allocation based on the original cost of all fixed assets classified as transmission and distribution substations. It is not currently being used.</t>
  </si>
  <si>
    <t>Rationale</t>
  </si>
  <si>
    <t>Capacity/Customer</t>
  </si>
  <si>
    <t>Internal</t>
  </si>
  <si>
    <t>Non PRP purchased power is driven by energy needs</t>
  </si>
  <si>
    <t>Baseload PRP purchases are a function of the capcacity needs of the system</t>
  </si>
  <si>
    <t>All transmission costs are a function of capcacity</t>
  </si>
  <si>
    <t>Owned generation costs are a function of capcacity</t>
  </si>
  <si>
    <t>Supervision is allocated on a composite of all distribution costs, using distribution fixed assets as a proxy to allocate revenue requirements</t>
  </si>
  <si>
    <t>Load dispatch costs are allocated on a composite alloction of Substation and Lines, which is the primary function they serve</t>
  </si>
  <si>
    <t>Direct allocation to the substation sub-classification</t>
  </si>
  <si>
    <t>A composite allocation of overhead lines assets split between urban and rural and primary lines (capacity) and laterals (customer)</t>
  </si>
  <si>
    <t>A composite allocation of underground lines assets split between urban and rural and primary lines (capacity) and laterals (customer)</t>
  </si>
  <si>
    <t>Direct allocation to the meters sub-classification</t>
  </si>
  <si>
    <t>Miscellaneous and more general accounts are allocated on a composite of all distribution plant</t>
  </si>
  <si>
    <t>Direct allocation to the line transformers sub-classification</t>
  </si>
  <si>
    <t>Direct allocation to the street lights sub-classification</t>
  </si>
  <si>
    <t>Customer related accounts are direct assigned to the cusomer classifcation</t>
  </si>
  <si>
    <t>Retail customers is used to weight the classification more towards the residential class, which recieves the majority of the incentives</t>
  </si>
  <si>
    <t>Admin and general (A&amp;G) expenses are allocated using a composite allocation of labor costs of primary functions (production, trans, dist, customer)</t>
  </si>
  <si>
    <t>Using this labor based allocation (Supervised O&amp;M) serves as a proxy for allocating A&amp;G costs to the functions they support</t>
  </si>
  <si>
    <t>Insurance is allocated based on a composite allocation using the relative share of the premium costs to the functions they insure.</t>
  </si>
  <si>
    <t>Insurance directly related to generation, so allocated the same</t>
  </si>
  <si>
    <t>Debt Service is allocated on total fixed assets as a proxy for what the original debt was used for.  We exclude fiber because there is not existing debt on the fiber system</t>
  </si>
  <si>
    <t>Same allocation as debt service</t>
  </si>
  <si>
    <t>Transfers to the Finance Plan Reserve are essentially return, and return is traditionally allocated on rate base, which in this case is approximated by net plant</t>
  </si>
  <si>
    <t>Use of the Finance Plan Reserve would be for capital, so it is allocated like other capital and debt servcie</t>
  </si>
  <si>
    <t>A customer allocation that is more heavily weighted to the residential class, which is where the majority comes from</t>
  </si>
  <si>
    <t>The rents are generally on poles, so they are credited back against the costs of lines and laterals</t>
  </si>
  <si>
    <t>Sales to others from PRP are credited back using the same method that PRP costs are allocated</t>
  </si>
  <si>
    <t>Black &amp; Veatch’s review of cost allocations is based on our understanding of the planning and operation of the District’s Electric system. This is a critical step in the cost allocation process since cost analysts often focus on only part of the issues that drive costs. For the District’s Electric system, weather sensitive loads may cause the utility system peak load to occur in the summer and winter.  Winter peak may grow at a different rate than the summer peak even though both peaks are important in considering the planning and operation of system capacity. Because of factors such as off-season flow patterns and flow restrictions on the hydroelectric system, the monthly system peaks drive the system capacity operating requirements.  Load is not the only demand on production resources because units must be maintained (both planned and unplanned outages). Thus Black &amp; Veatch addresses the total demand on system capacity and the availability of production to meet peak loads whenever they may occur.</t>
  </si>
  <si>
    <t xml:space="preserve"> A cost of service study uses two types of allocation factors: external factors and internal factors. External allocation factors are based on direct knowledge from data in the utility’s accounting and other records. External allocation factors include the energy allocation factor that is based on the energy billed for each class adjusted for line losses to equal total system generation. A capacity allocation factor may be the class non-coincident peak load as estimated from typical load research data or as calculated directly from customer metered data. </t>
  </si>
  <si>
    <t xml:space="preserve">Generation and purchased power costs are functionalized to production accounts, classified to demand or energy and allocated based on both an external capacity and energy allocation factor depending on the nature of the account. Transmission costs are functionalized to transmission FERC accounts and are assigned by an external transmission allocation factor. Another example of an external allocation factor is allocation of distribution system costs, both the capacity and customer components. The costs of distribution facilities are known and assigned directly to the distribution function as substations, poles, towers and fixtures, overhead and underground conductors, transformers, service lines and meters. Once assigned to distribution, the poles and conductors are allocated to primary and lateral lines based on District maintained data on the circuit miles of lines by size and number of phases, location of those lines between urban and rural, and estimates of the replacement cost of typical line configurations.    This method is designed to classify costs between the customer and capacity component. </t>
  </si>
  <si>
    <t xml:space="preserve">Internal allocation factors are based on some combination of external allocation factors, previously directly assigned costs, and other internal allocation factors. Internal allocation factors are generated within the cost of service model. Typically they represent some combination of costs allocated by external factors that are summed to reflect the total cost for a specific function that is then used to allocate a related cost component. For example, the allocation factors for property insurance costs are based on plant investment amounts assigned to each function; therefore it is necessary to compute the amount of plant by function before property insurance costs can be allocated in the same way the underlying plant is allocated to the various classes. </t>
  </si>
  <si>
    <t xml:space="preserve">As part of the assignment to allocate costs for the District, Black &amp; Veatch proposed to analyze a variety of allocation factors for review by the District. </t>
  </si>
  <si>
    <t>In general, there are many potential methods of capacity cost allocation for electric utilities. The methods essentially fall into three fundamental categories as follows:</t>
  </si>
  <si>
    <r>
      <t>1.</t>
    </r>
    <r>
      <rPr>
        <sz val="7"/>
        <rFont val="Times New Roman"/>
        <family val="1"/>
      </rPr>
      <t xml:space="preserve">       </t>
    </r>
    <r>
      <rPr>
        <sz val="11"/>
        <rFont val="Cambria"/>
        <family val="1"/>
      </rPr>
      <t>Coincident Peak (CP) Methods</t>
    </r>
  </si>
  <si>
    <r>
      <t>2.</t>
    </r>
    <r>
      <rPr>
        <sz val="7"/>
        <rFont val="Times New Roman"/>
        <family val="1"/>
      </rPr>
      <t xml:space="preserve">       </t>
    </r>
    <r>
      <rPr>
        <sz val="11"/>
        <rFont val="Cambria"/>
        <family val="1"/>
      </rPr>
      <t>Non-Coincident Peak (NCP) Methods</t>
    </r>
  </si>
  <si>
    <r>
      <t>3.</t>
    </r>
    <r>
      <rPr>
        <sz val="7"/>
        <rFont val="Times New Roman"/>
        <family val="1"/>
      </rPr>
      <t xml:space="preserve">       </t>
    </r>
    <r>
      <rPr>
        <sz val="11"/>
        <rFont val="Cambria"/>
        <family val="1"/>
      </rPr>
      <t>Average and Excess Demand (AED) Methods.</t>
    </r>
  </si>
  <si>
    <t>The following table summarizes the basic provisions of each category of allocation methods:</t>
  </si>
  <si>
    <t xml:space="preserve">
Within each of these categories, there are numerous specific types of methods. Further, to reflect the cost of an electric system, a complete cost of service study requires application of more than one category of capacity allocation factors. For example, class non-coincident peaks drive the allocation of part of the distribution system capacity while it is some combination of coincident peaks and demand and energy methods for generation. Within each classification category, there may be multiple specific methods. Under the CP allocation category options include a single CP, 12 CP, winter/summer CP and so forth. Under the AED allocation there are a number of methods that consider both demand and energy such as peak and average, peak methods and so forth. In any event, the choice of methods relies on the concept of cost causation to choose the most appropriate method that reflects those costs. NCP methods may use a variety of peaks other than the actual system peak based on the peaks of individual service classifications or individual customers. Cost causation requires the determination of the cost to serve each class of customers in a way that recognizes apparent cost responsibility and reflects the engineering and operating characteristics of the utility system. </t>
  </si>
  <si>
    <t>Allocation Method</t>
  </si>
  <si>
    <t>Allocation Factor</t>
  </si>
  <si>
    <t>CP Methods</t>
  </si>
  <si>
    <t>Class coincident demand</t>
  </si>
  <si>
    <t>AED Methods</t>
  </si>
  <si>
    <t>NCP and load factor</t>
  </si>
  <si>
    <t>NCP Methods</t>
  </si>
  <si>
    <t>Class or customer peaks drive costs</t>
  </si>
  <si>
    <t>Class or customer NCP</t>
  </si>
  <si>
    <t>Assumption About Cost</t>
  </si>
  <si>
    <t>Peak load hour drives costs</t>
  </si>
  <si>
    <t>Peak and energy drives costs</t>
  </si>
  <si>
    <t>Table 1   Cost Allocation Methods Summary</t>
  </si>
  <si>
    <t xml:space="preserve">As the above table illustrates, there is an underlying logic to the choice of the most appropriate capacity allocation factor. In the case of production, the choice of an allocation factor depends on how costs are incurred for the capacity portion of production costs. It is a basic proposition of reliable utility service that the utility must have adequate capacity to meet the peak load requirements of its customers plus a level of reserves to maintain reliability. This means that peak load causes capacity costs to be incurred. However, when a utility plans its system, it generally uses a combination of different generating technologies to meet both capacity and low cost energy requirements by taking into account the system load duration curve as well as peak load. Typically, some units have high capital costs but low operating costs. Coal, nuclear and hydroelectric plants typically have high capital costs but low operating costs.  Units that are designed to run many hours of the year, referred to as base load units, have the lowest long-run total cost (capital costs and energy) of any technology. Units with lower capital cost but higher running costs such as simple cycle combustion turbines are added to the system to operate primarily at peak hours. The higher capital cost for a base load unit is incurred to produce lower annual energy costs and recognizes that some of the higher capacity cost is offset by energy cost savings. Under these circumstances, a portion of the cost of a base load unit is incurred for the purpose of lowering energy costs. Thus some portion of the capital cost for base load capacity is related to energy. The AED method recognizes a portion of the base load cost is related to energy and the excess cost is a pure capacity related cost. </t>
  </si>
  <si>
    <t>The above discussion has implications for the choice of allocation methodologies for a number of reasons including recognition of capacity costs incurred to reduce energy costs and the need to consider the monthly peaks based on available operating margins after including the total load on the system.</t>
  </si>
  <si>
    <t>Table 2   Percent Allocation Factors for Selected Allocation Formulas</t>
  </si>
  <si>
    <t>To demonstrate a range of allocation factors, Black &amp; Veatch has developed a variety of potential allocation factors for production, transmission and distribution costs. Table 2 below provides a summary of the class allocation factors that enter into the calculation of potential generation and or transmission and distribution allocation factors:
  1. Energy 
  2. Non-coincident peak (NCP)
  3. AED using the summer peak to determine excess demand
  4. AED12CP using all monthly peaks to determine excess demand 
  5. 12 CP using each monthly peak
  6. 1 CP system summer peak
  7. Peak &amp; Average using 50/50 weights using the summer peak</t>
  </si>
  <si>
    <t>Black &amp; Veatch has added highlights in green for each class’s highest allocation factor and in red for the lowest allocation factor.  For example, for the Residential class, the most costs would be allocated under the 12CP method and the least amount of costs would be allocated under either the Energy or Peak and Average methods.</t>
  </si>
  <si>
    <t xml:space="preserve">Choosing the Allocation Factor </t>
  </si>
  <si>
    <t>Based on cost causation principles it is reasonable to eliminate some of the sample allocations because they do not reflect cost causation. For example the NCP allocation does not reflect cost causation for production or transmission since it does not include the full impact of demand diversity on investment in generation and transmission. Further, any pure demand method of cost allocation fails to recognize that significant capital costs are incurred by the District’s largest investment in its hydroelectric facilities in order to provide low cost energy. This means that either AED or P&amp;A must be used to allocate production plant fixed costs in order to recognize the cost causation relative to the capital costs incurred to reflect energy costs. With respect to transmission plant it is acceptable to use 12 CP in addition to the AED. 12 CP is widely used because it represents the most common allocation factor for transmission used by the FERC. Although the FERC does not use this method exclusively because they do permit utilities to use other CP based allocation factors based on a demonstration that cost causation is the result of fewer than 12 months. For the District the system peaks for winter and summer are relatively equal.  From a class perspective 12 CP recognizes that Residential is predominantly winter peaking with a summer season component, Industrial has a relatively high monthly load factor with little seasonal variation in monthly peaks and Irrigation is predominantly summer season peaking with no contribution to the system winter peak.  Black &amp; Veatch believes the 12CP allocation fairly recognizes the seasonal and non-seasonal load patterns of these major rate classes.</t>
  </si>
  <si>
    <t xml:space="preserve">The transmission system is designed to provide for reliable interconnect of load and generation nodes on the system and includes the ability for power to flow between nodes. In addition to flow among system nodes, transmission is designed to permit flows to and from other interconnected systems. For the District interconnections are critical because the District relies on market purchases from outside its system as part of its supply mix. In addition, interconnections provide enhanced reliability regardless of season or system load.  Black &amp; Veatch recommends use of the 12 CP method to allocate transmission recognizes each classes loading on the transmission system and captures both seasonal and non-seasonal load responsibility. </t>
  </si>
  <si>
    <t xml:space="preserve">Finally, there is the issue of the allocation of distribution plant. Distribution plant consists of different facilities that have different causation factors. The reason for this conclusion is that load diversity increases as the load becomes more remote from the individual customer. Diversity is demonstrated by the ratio NCP/CP. Thus some facility cost is directly the result of the individual customer. These facilities include the meter and service line. Other local facilities have both a customer and a demand component, such as distribution lines. Transformers are sized to meet the NCP of the customer(s) served from a single transformer. </t>
  </si>
  <si>
    <t>For facilities located close to the customer such as transformers, secondary conductor and secondary poles a NCP allocation factor is appropriate. As the cost becomes more remote from the customer, it is the class NCP that drives the costs. This applies to primary poles, primary conductor and substation related investment.</t>
  </si>
  <si>
    <t>The discussion above demonstrates that a complete cost of service study requires the use of a variety of allocation factors. Black &amp; Veatch concludes that AED12CP is appropriate for generation, 12CP for transmission, and class NCP, customer NCP and weighted numbers of customers should be used for components of the distribution system.</t>
  </si>
  <si>
    <t>With respect to the allocation of production capacity, there must be a choice between AED and P&amp;A for allocation. Both include an energy and a demand component, the P&amp;A method, however, is based on arbitrary, “judgmental energy weightings”. The method is essentially either a simple average of the two components or a weighted average of those components with judgmental weights. (In our example, we have used a simple 50/50 weighting of the values. However, Black &amp; Veatch could have chosen any weighting other than 50/50.) The method suffers from a logical flaw relative to the AED method because it uses the system average demand twice in developing its allocation factors. The allocation factor determines the share of average demand for each rate class as a percent of system average demand. This is the average component of the P&amp;A allocation factor. The P component is determined by the class contribution to a particular CP allocation factor. This CP allocation factor may be one of several different CP determinations as discussed above such as 1 CP or 12 CP. Regardless of the CP allocation factor chosen the CP is mathematically the sum of the average demand and the demand in excess of the average demand. The fundamental argument is that the average demand component relates to baseload capacity and that peaking capacity is built to serve loads in excess of the average. Conceptually, it is inconsistent to allocate a portion of cost on average demand and then use that same average demand as a part of the allocation of the residual capacity related costs based on the CP allocation factor.  In fact, this is exactly what the AED method avoids by using energy based on the system load factor (the average demand component) and the excess demand based on a CP minus the average demand. The excess component is allocated on NCP reflecting that class peak loads may require peak services even in lower load months because of other demands on capacity. For the District, this is in fact the case because the summer peak tends to drive capacity additions and yet the maximum load for the system occurs in the winter when the residential class has its NCP. The end result of the Black &amp; Veatch analysis concludes that using the AED method and the 12 CP peak for a determination of excess demand, termed the AED12CP allocator, is the allocation factor that most nearly reflects cost causation for the fixed costs of the generation component of the District’s system. With respect to transmission, there are two options for allocation: the AED method used for generation or a CP method. Both of these choices can be valid options.</t>
  </si>
  <si>
    <t>Capacity Allocation Methods</t>
  </si>
  <si>
    <r>
      <t xml:space="preserve">
</t>
    </r>
    <r>
      <rPr>
        <b/>
        <sz val="14"/>
        <color indexed="15"/>
        <rFont val="Calibri"/>
        <family val="2"/>
      </rPr>
      <t>Cost Allocation Results</t>
    </r>
  </si>
  <si>
    <t xml:space="preserve">A composit allocation to spread these costs over all customers in proportion to their use of the electric system.  WFON revenues are allocated on the same basis to syncronize cost and credits. </t>
  </si>
  <si>
    <t xml:space="preserve">Electric system overhead cost spread to all customers on the basis of the use of the system. </t>
  </si>
  <si>
    <t xml:space="preserve">Property tax based or equivalent on all plant. </t>
  </si>
  <si>
    <t xml:space="preserve">Other revenues generally result from electric system operations excluding the fiber system. </t>
  </si>
  <si>
    <t xml:space="preserve">Interest income is generally produced on debt reserves; fiber system was not debt funded. </t>
  </si>
  <si>
    <t xml:space="preserve">Spread on the same basis as the WFON costs to syncronize costs and credits. </t>
  </si>
  <si>
    <t>This allocator is based on the functional classification of direct labor and benefits costs only of production, transmission, distribution, and customer costs. It is used to allocate general plant assets and joint and common costs such as A&amp;G costs.</t>
  </si>
  <si>
    <t>This allocator is used to assign customer related cost that are unweighted by class size.</t>
  </si>
  <si>
    <t>Administrative &amp; General O&amp;M</t>
  </si>
  <si>
    <t>Energy (MWh)</t>
  </si>
  <si>
    <t>$</t>
  </si>
  <si>
    <t>Div</t>
  </si>
  <si>
    <t>Capital ID Number</t>
  </si>
  <si>
    <t>Pool</t>
  </si>
  <si>
    <t>CAF</t>
  </si>
  <si>
    <t>Date Approved</t>
  </si>
  <si>
    <t>Systym Alloc % Electric</t>
  </si>
  <si>
    <t>System Alloc % PRP</t>
  </si>
  <si>
    <t>Useful Life</t>
  </si>
  <si>
    <t>Capital Project</t>
  </si>
  <si>
    <t>Project Contract</t>
  </si>
  <si>
    <t>Budgetary PID</t>
  </si>
  <si>
    <t>Project Manager</t>
  </si>
  <si>
    <t>Priority Ranking</t>
  </si>
  <si>
    <t>Matrix Ranking</t>
  </si>
  <si>
    <t>Start Date</t>
  </si>
  <si>
    <t>End Date</t>
  </si>
  <si>
    <t>2014</t>
  </si>
  <si>
    <t>2015</t>
  </si>
  <si>
    <t>2016</t>
  </si>
  <si>
    <t>2017</t>
  </si>
  <si>
    <t>2018</t>
  </si>
  <si>
    <t>2019</t>
  </si>
  <si>
    <t>2020</t>
  </si>
  <si>
    <t>2021</t>
  </si>
  <si>
    <t>2022</t>
  </si>
  <si>
    <t>2023</t>
  </si>
  <si>
    <t>2024</t>
  </si>
  <si>
    <t>10Year Total</t>
  </si>
  <si>
    <t>2025</t>
  </si>
  <si>
    <t>2026</t>
  </si>
  <si>
    <t>2027</t>
  </si>
  <si>
    <t>Replace transformer with a high probability of failure at the McDonald  substation.</t>
  </si>
  <si>
    <t>4100-01</t>
  </si>
  <si>
    <t>B410001A</t>
  </si>
  <si>
    <t>Rudy Perez</t>
  </si>
  <si>
    <t>3-2</t>
  </si>
  <si>
    <t>5600-05</t>
  </si>
  <si>
    <t>B560005A</t>
  </si>
  <si>
    <t>No Change</t>
  </si>
  <si>
    <t>Construct a 230kV transmission line between BPA Columbia and Rocky Ford substation.</t>
  </si>
  <si>
    <t>4200-01</t>
  </si>
  <si>
    <t>B420001A</t>
  </si>
  <si>
    <t>Randall Kono</t>
  </si>
  <si>
    <t>2-2</t>
  </si>
  <si>
    <t>4300-01</t>
  </si>
  <si>
    <t>B430001A</t>
  </si>
  <si>
    <t>Construct a new substation to service increased load in the Sand Dunes area of Moses Lake.</t>
  </si>
  <si>
    <t>Shane Lunderville</t>
  </si>
  <si>
    <t>Capital investments required to meet basic operations of the utility's distribution system.</t>
  </si>
  <si>
    <t>4000-01</t>
  </si>
  <si>
    <t>B400001A</t>
  </si>
  <si>
    <t>Various</t>
  </si>
  <si>
    <t>Jeff Shupe</t>
  </si>
  <si>
    <t>Replace obsolete switchgear and upgrade substation to District standards.</t>
  </si>
  <si>
    <t>Mark Milacek</t>
  </si>
  <si>
    <t>N/A</t>
  </si>
  <si>
    <t>Angel Sanchez</t>
  </si>
  <si>
    <t>Upgrade and replace routers and switches as they reach end of life of service for all PUD facilities.</t>
  </si>
  <si>
    <t>4400-01</t>
  </si>
  <si>
    <t>B440001A</t>
  </si>
  <si>
    <t>TBD</t>
  </si>
  <si>
    <t>Larry Roberson</t>
  </si>
  <si>
    <t>Install new batteries in District communication equipment at substations which operates off of 48 volts DC to ensure substation communication.</t>
  </si>
  <si>
    <t>Troy Holt</t>
  </si>
  <si>
    <t>Build out fiber to the premises construction per Commission Resolution 8221.</t>
  </si>
  <si>
    <t>4400-02</t>
  </si>
  <si>
    <t>B440002A</t>
  </si>
  <si>
    <t>Russ Brethower</t>
  </si>
  <si>
    <t>4-3</t>
  </si>
  <si>
    <t>Upgrade and replace unsupported firewall hardware used throughout the District for electronic security.</t>
  </si>
  <si>
    <t>2-1</t>
  </si>
  <si>
    <t>Upgrade and replace obsolete equipment and unsupported hardware in the Ephrata control center.</t>
  </si>
  <si>
    <t>Replace unsupported analog and digital equipment that transmit data to and from remote substations.</t>
  </si>
  <si>
    <t>Ken Moseley</t>
  </si>
  <si>
    <t>4-2</t>
  </si>
  <si>
    <t>Replace 28 security devices used for security of the District's network infrastructure.</t>
  </si>
  <si>
    <t>Replace and upgrade aging telephone system server hardware as it reaches end of life.</t>
  </si>
  <si>
    <t>Install bird flight diverters on overhead wires to increase visibility and reduce potential bird collisions.</t>
  </si>
  <si>
    <t>2000-55</t>
  </si>
  <si>
    <t>B200055A</t>
  </si>
  <si>
    <t>Russ Seiler</t>
  </si>
  <si>
    <t>Replace seventeen under rated and aging circuit switchers at eleven District substations over the next nine years.</t>
  </si>
  <si>
    <t>Construct a new 115kV transmission line between Rocky Ford and Dover substations to maintain reliability for contingency situations.</t>
  </si>
  <si>
    <t>Add 115kV breaker Rocky Ford substation to maintain reliability for contingency situations.</t>
  </si>
  <si>
    <t>Identify and implement a capacity increase to the Wanapum-Midway 230kV line to meet future load requirements from WECC.</t>
  </si>
  <si>
    <t>1300-30</t>
  </si>
  <si>
    <t>B130030A</t>
  </si>
  <si>
    <t>Install new second lineup and decommission first lineup in the Coulee City Substation.</t>
  </si>
  <si>
    <t>4-1</t>
  </si>
  <si>
    <t>Build new substation in the Quincy area to serve projected Sabey load.</t>
  </si>
  <si>
    <t>Upgrade GIS mapping system to enhance current product compatibility and outage management.</t>
  </si>
  <si>
    <t>102577 101636</t>
  </si>
  <si>
    <t>Construct a new substation to replace the obsolete Dodson Road substation.</t>
  </si>
  <si>
    <t>Upgrade, recondition and expand the functionality of aging substations. This upgrade is to enhance the ability to remotely monitor substation equipment.</t>
  </si>
  <si>
    <t>Joe White</t>
  </si>
  <si>
    <t>Upgrade interrupting devices of certain transmission lines that are no longer adequate for energized switching.</t>
  </si>
  <si>
    <t>Purchase one spare mobile transformer and secure rights for a second to be used as the spare if the first is being used.</t>
  </si>
  <si>
    <t>Purchase and replace fiber equipment used to connect customers to the network.</t>
  </si>
  <si>
    <t>Robert Bergman</t>
  </si>
  <si>
    <t>Assist customers loans for qualifying conservation measures.</t>
  </si>
  <si>
    <t>4600-01</t>
  </si>
  <si>
    <t>Diane Chestnut</t>
  </si>
  <si>
    <t>49</t>
  </si>
  <si>
    <t>Build 230 kV transmission infrastructure in Quincy</t>
  </si>
  <si>
    <t>54</t>
  </si>
  <si>
    <t>B42001A</t>
  </si>
  <si>
    <t>1-1</t>
  </si>
  <si>
    <t>55</t>
  </si>
  <si>
    <t xml:space="preserve">Build the Distribution portion of Mountain View Substation for Customer.  Phase I is 2 xformer and 88MW </t>
  </si>
  <si>
    <t>57</t>
  </si>
  <si>
    <t>58</t>
  </si>
  <si>
    <t>Mountain View 115kV Tap</t>
  </si>
  <si>
    <t>59</t>
  </si>
  <si>
    <t>Mountain View 230kV Tap</t>
  </si>
  <si>
    <t>60</t>
  </si>
  <si>
    <t>Mountain View Transmission Substation and Switchyard</t>
  </si>
  <si>
    <t>61</t>
  </si>
  <si>
    <t>New 41MVA Mobile Substation</t>
  </si>
  <si>
    <t>New Project</t>
  </si>
  <si>
    <t>HYD</t>
  </si>
  <si>
    <t>Upgrade systems that make up the generator unit controls as part of the turbine upgrade project.</t>
  </si>
  <si>
    <t>1100-45</t>
  </si>
  <si>
    <t>B110045A</t>
  </si>
  <si>
    <t>102463-102472</t>
  </si>
  <si>
    <t>Ian Jones</t>
  </si>
  <si>
    <t>2-3</t>
  </si>
  <si>
    <t>Replace all water cooled 190MVA transformers with air cooled 250MVA along with assessing the feasibility of acquiring a spare.</t>
  </si>
  <si>
    <t>1100-40</t>
  </si>
  <si>
    <t>B110040A</t>
  </si>
  <si>
    <t>102608-102613</t>
  </si>
  <si>
    <t>Rehabilitate each of the Wanapum isolated phase bus systems which is necessary for reliability operations.</t>
  </si>
  <si>
    <t>1100-10</t>
  </si>
  <si>
    <t>B110010A</t>
  </si>
  <si>
    <t>102363,474,607,702</t>
  </si>
  <si>
    <t>John C. Goes III</t>
  </si>
  <si>
    <t>2000-25</t>
  </si>
  <si>
    <t>B200025A</t>
  </si>
  <si>
    <t>Project to improve plant efficiency, increase capacity, extend life and ensure compliance with FERC regulations. Existing turbines are showing signs of accelerated wear and deterioration.</t>
  </si>
  <si>
    <t>1100-75</t>
  </si>
  <si>
    <t>B110075A</t>
  </si>
  <si>
    <t>100114/100974/100726/100727/100728/100729/100730/100731/100732/100733</t>
  </si>
  <si>
    <t>Brad Strickler</t>
  </si>
  <si>
    <t>Project to improve plant efficiency, increase capacity, extend life and ensure compliance with regulations. Ongoing project to replace and upgrade the Wanapum generators to match new turbine capacity.</t>
  </si>
  <si>
    <t>1100-55</t>
  </si>
  <si>
    <t>B110055A</t>
  </si>
  <si>
    <t>101734/101735/101736/101737/101738/101739/101740/101741/101742/101743/101744</t>
  </si>
  <si>
    <t>Long term maintenance and repair of the twelve spillway gate including lead abatement, painting, seal replacement and modifications.</t>
  </si>
  <si>
    <t>1100-25</t>
  </si>
  <si>
    <t>B110025A</t>
  </si>
  <si>
    <t>102565-576</t>
  </si>
  <si>
    <t>Randy Nash</t>
  </si>
  <si>
    <t>Enhance physical and electronic security systems as identified by FERC, consultants and internal inspections.</t>
  </si>
  <si>
    <t>5500-05</t>
  </si>
  <si>
    <t>B550005A</t>
  </si>
  <si>
    <t>David Mishalanie</t>
  </si>
  <si>
    <t>Install oil water separator with associated piping and controls to improve spill cleanup and reduce river exposure to oil.</t>
  </si>
  <si>
    <t>1100-20</t>
  </si>
  <si>
    <t>B110020A</t>
  </si>
  <si>
    <t>Purchases to support both dams, used to repair, test, maintain hydro equipment.</t>
  </si>
  <si>
    <t>Construct stabilization and strengthening against seismic loads for spillway and gate structures as required by evaluation.</t>
  </si>
  <si>
    <t>1000-40</t>
  </si>
  <si>
    <t>B100040A</t>
  </si>
  <si>
    <t>Pending Seismic Stability and deformation analysis in 2011, conduct additional geotech investigations if necessary and design alternatives for liquifacation mitigation of PR right embankment located between the boat basin and the access road west of the Village.</t>
  </si>
  <si>
    <t>Pending Seismic Stability and deformation analysis in 2011, conduct additional geotech investigations if necessary and design alternatives for liquifacation mitigation of Wanapum left embankment located between the Maintenance Ctr. and Heritage Ctr.</t>
  </si>
  <si>
    <t>1100-05</t>
  </si>
  <si>
    <t>B110005A</t>
  </si>
  <si>
    <t>101976-102664</t>
  </si>
  <si>
    <t>Design and construct strengthening measures against seismic loads for spillway trunnion anchorage system, gate structure and piers.</t>
  </si>
  <si>
    <t>10 year overhaul of generator circuit breakers as specified by manufacturer.</t>
  </si>
  <si>
    <t>1000-01</t>
  </si>
  <si>
    <t>B100001A</t>
  </si>
  <si>
    <t>Purchase and refurbish rotor pole bodies and windings in all generators.</t>
  </si>
  <si>
    <t>Complete capital work on all civil related powerhouse, fishways, dam, spillway structures and equipment to protect plant assets.</t>
  </si>
  <si>
    <t>1000-05</t>
  </si>
  <si>
    <t>B100005A</t>
  </si>
  <si>
    <t>Ray Ellis</t>
  </si>
  <si>
    <t>Complete mechanical capital work on all powerhouse, dam, structures and equipment not associated with generation.</t>
  </si>
  <si>
    <t>1000-30</t>
  </si>
  <si>
    <t>B100030A</t>
  </si>
  <si>
    <t>Refurbish gantry cranes to bring them into compliance with industry standard and ensure reliability.</t>
  </si>
  <si>
    <t>1-2</t>
  </si>
  <si>
    <t>Evaluate and replace as needed the powerhouse roof membrane and materials capable of withstanding environmental elements.</t>
  </si>
  <si>
    <t>1100-01</t>
  </si>
  <si>
    <t>B110001A</t>
  </si>
  <si>
    <t>Study and recommend refurbishment and replacement of service and feeder buses to ensure reliability and protection.</t>
  </si>
  <si>
    <t>Funding for significant capital jobs and fitness type projects that have been identified for this site.</t>
  </si>
  <si>
    <t>1200-01</t>
  </si>
  <si>
    <t>B120001A</t>
  </si>
  <si>
    <t>Funding for significant capital jobs and fitness type projects that have been identified at this site.</t>
  </si>
  <si>
    <t>1200-10</t>
  </si>
  <si>
    <t>B120010A</t>
  </si>
  <si>
    <t>3-3</t>
  </si>
  <si>
    <t>Improvements and miscellaneous capital work to maintain and repair all electrical related powerhouse systems.</t>
  </si>
  <si>
    <t>Project to improve plant efficiency, increase capacity, extend life and ensure regulatory compliance.</t>
  </si>
  <si>
    <t>1000-20</t>
  </si>
  <si>
    <t>B100020A</t>
  </si>
  <si>
    <t>101757-101767</t>
  </si>
  <si>
    <t>Jeff Niehenke</t>
  </si>
  <si>
    <t>3-1</t>
  </si>
  <si>
    <t>1000-45</t>
  </si>
  <si>
    <t>B100045A</t>
  </si>
  <si>
    <t>101745-101756</t>
  </si>
  <si>
    <t>Support for plant control system improvements and expansions including minor hardware and software upgrades.</t>
  </si>
  <si>
    <t>2000-05</t>
  </si>
  <si>
    <t>B200005A</t>
  </si>
  <si>
    <t>62</t>
  </si>
  <si>
    <t>Study the feasibility and scope of renovating the Wanapum and Priest Rapids Dam Powerhouse Control Rooms.</t>
  </si>
  <si>
    <t>63</t>
  </si>
  <si>
    <t>Dave Mishalane</t>
  </si>
  <si>
    <t>64</t>
  </si>
  <si>
    <t>65</t>
  </si>
  <si>
    <t>66</t>
  </si>
  <si>
    <t>67</t>
  </si>
  <si>
    <t>68</t>
  </si>
  <si>
    <t>69</t>
  </si>
  <si>
    <t>NR</t>
  </si>
  <si>
    <t>FERC relicensing requirements. Build boat launch, parking area, ADA paths, single vault toilet and signage on the left bank of the Wanapum reservoir .</t>
  </si>
  <si>
    <t>2000-45</t>
  </si>
  <si>
    <t>B200045A</t>
  </si>
  <si>
    <t>Jerri Mickle</t>
  </si>
  <si>
    <t>FERC relicensing requirement. Remove current boarding platform and install new boarding platform, single vault toilet, formalize parking area and signage all up to ADA standards.</t>
  </si>
  <si>
    <t>FERC relicensing requirement. Enhance site with single vault toilet, boarding float, signage and asphalt parking area while meeting ADA standards. Dredging will remove sediment from ramp area.</t>
  </si>
  <si>
    <t>FERC requirement. Enhance Chelan PUD owned facility along with Douglas PUD to develop Chinook over-winter acclimation while altering the existing water supply and rearing system.</t>
  </si>
  <si>
    <t>2000-15</t>
  </si>
  <si>
    <t>B200015A</t>
  </si>
  <si>
    <t>Tom Dresser</t>
  </si>
  <si>
    <t>FERC requirement. Construct and fund long term facility to aid in recovery of this area for Spring Chinook. Over winter acclimation and rear 250,000 Spring Chinook smolts.</t>
  </si>
  <si>
    <t>FERC requirement. Redevelopment of the eastern portion of the existing PR hatchery to spawn, incubate and rear 7.1 million Fall Chinook.</t>
  </si>
  <si>
    <t>Develop and implement a Wildlife Habitat protection plan as required by FERC relicensing. Remove noxious plants and plant vegetation that will be conducive to upland bird species. Develop an irrigated area for plant propagation and place signage.</t>
  </si>
  <si>
    <t>FERC requirement. Development of the Chelan PUD owned facility to acclimate over winter Summer Chinook. The current site will be improved or rebuilt whichever option is the least expensive.</t>
  </si>
  <si>
    <t>FERC requirement. Construct and fund long term facility to produce 883,000 yearling Summer Chinook and determine appropriate compensation for Okanogan Basin Spring Chinook.</t>
  </si>
  <si>
    <t>Addition of two pumps to the existing fish ladder to increase water supply.</t>
  </si>
  <si>
    <t>Skyler Street</t>
  </si>
  <si>
    <t xml:space="preserve">FERC requirement. Install double vault toilet, signage, five additional picnic tables and storm water retention bio-swales. Improve access road and parking and add interpretative features. </t>
  </si>
  <si>
    <t xml:space="preserve">FERC requirement. Improve public access and sanitation, removal and restoration of encroachments, restoration of riparian and upland bird habitat areas and community access permission at existing park and possible expansions. </t>
  </si>
  <si>
    <t>FERC requirement. Install single vault toilets, enhance gravel parking areas, construct ADA fishing pier and interpretive trail.</t>
  </si>
  <si>
    <t>FERC requirement. Provide safe public access to lands and water in the area by installing a shoreline trail, dredging the navigation channel, extending boat ramps, install an ADA boarding float, picnic tables, remove existing campground and install way finding maps.</t>
  </si>
  <si>
    <t>Shannon Lowry</t>
  </si>
  <si>
    <t>FERC requirement. Improve public recreational use, wildlife habitat and protect scenic quality. Create short term RV and tent camping, trails, beach areas, ADA approved boating facilities, improve parking, install bathroom facilities, on site security and a golf course.</t>
  </si>
  <si>
    <t>Develop and implement a Lamprey protection plan as required by FERC relicensing. Design, fabricate and install aluminum plating to diffuser gratings, methods to improve counting and round sharp corners.</t>
  </si>
  <si>
    <t>Mike Clement</t>
  </si>
  <si>
    <t>FERC relicensing. Construct and fund long term facilities to aid in rearing, acclimating and releasing Chinook. This will include buildings, pumps, piping, alarms and infrastructure and equipment to the White River and Nason facilities.</t>
  </si>
  <si>
    <t>102395, 102396, 102397, 102398</t>
  </si>
  <si>
    <t>Long term Sockeye Protection Program with the Okanagan Nation Alliance for a 12 year re-introduction program to Skaha Lake, BC. This provides Grant will meet its entire Okanagan Sockeye Salmon obligation through funding hatchery operation.</t>
  </si>
  <si>
    <t>37</t>
  </si>
  <si>
    <t>Funding for Wells Hatchery capital upgrades to Douglas PUD</t>
  </si>
  <si>
    <t>SS</t>
  </si>
  <si>
    <t>5200-15</t>
  </si>
  <si>
    <t>B520015A</t>
  </si>
  <si>
    <t>Upgrade the existing Storage Area Network equipment and necessary components to provide a stable networking environment.</t>
  </si>
  <si>
    <t>Jill Hensley</t>
  </si>
  <si>
    <t>Purchase of vehicles which consist of 1 1/2 ton and below.</t>
  </si>
  <si>
    <t>5100-25</t>
  </si>
  <si>
    <t>B510025A</t>
  </si>
  <si>
    <t>Mike Phelps</t>
  </si>
  <si>
    <t>Purchase of vehicles which consist of greater than 1 1/2 tons.</t>
  </si>
  <si>
    <t>Upgrade copy machines throughout District.</t>
  </si>
  <si>
    <t>Upgrade the existing Storage Area Network equipment and necessary components at the ML backup data center to provide a stable networking environment.</t>
  </si>
  <si>
    <t>Prepare business case and implementation for upgrade of Maximo system to current software release. This includes identifying necessary functionality, support options and IT infrastructure. Support for current version that will expire in 2012/2013.</t>
  </si>
  <si>
    <t>Chris Roseburg</t>
  </si>
  <si>
    <t>Purchase additional Storage Area Network shelves to increase needed space and provide a stable networking system.</t>
  </si>
  <si>
    <t>Replace existing servers that have reached end of life status.</t>
  </si>
  <si>
    <t>Obtain licenses that allow for expansion of virtualized resources in the data center and backup center.</t>
  </si>
  <si>
    <t>Greg Minden</t>
  </si>
  <si>
    <t>Tom Hardie</t>
  </si>
  <si>
    <t>5200-06</t>
  </si>
  <si>
    <t>B520006A</t>
  </si>
  <si>
    <t>Fund purchase of treasury software module.</t>
  </si>
  <si>
    <t>21</t>
  </si>
  <si>
    <t>Construct street and utility improvements at B Street, north and south of Division Street.</t>
  </si>
  <si>
    <t>Trung Tran</t>
  </si>
  <si>
    <t>SS-H</t>
  </si>
  <si>
    <t>5200-07</t>
  </si>
  <si>
    <t>B520007A</t>
  </si>
  <si>
    <t>Roger Durkee</t>
  </si>
  <si>
    <t>Totals by Year</t>
  </si>
  <si>
    <t>Totals for Electric System</t>
  </si>
  <si>
    <t>Totals for PRP</t>
  </si>
  <si>
    <t>Lookups - DO NOT DELETE</t>
  </si>
  <si>
    <t>Orange cells are goal seeked to get the category subtotal equal to the values in the Forecast model (after manual adjustments are made)</t>
  </si>
  <si>
    <t>Green cells apply the escalation used in the Forecast model at a category-wide level.  Should align subtotals with the forecast model</t>
  </si>
  <si>
    <t>BV Workpaper Used:</t>
  </si>
  <si>
    <t>Total Prod</t>
  </si>
  <si>
    <t>Customer Rate Class</t>
  </si>
  <si>
    <t>Difference Between Revenue and Cost</t>
  </si>
  <si>
    <t>Production - Energy</t>
  </si>
  <si>
    <t>Production - Capacity</t>
  </si>
  <si>
    <t>Distribution - Distribution</t>
  </si>
  <si>
    <t>Distribution - Customer</t>
  </si>
  <si>
    <t>Transfer to/(from) Finance Plan Reserve (Debt Service)</t>
  </si>
  <si>
    <t>Transfer to/(from) Finance Plan Reserve (PRP Capital)</t>
  </si>
  <si>
    <t>% From Elec System Revenue to Fin Plan Reserve (for PRP Capital)</t>
  </si>
  <si>
    <t>General Escalation Rate</t>
  </si>
  <si>
    <t>Annual Cash Flow (rounded)</t>
  </si>
  <si>
    <t>Revenue from Forecast Rate Increases (accumulated)</t>
  </si>
  <si>
    <t>Overall Rate Increase $</t>
  </si>
  <si>
    <t>Revenue Under Existing Rates (2014)</t>
  </si>
  <si>
    <t>Fiscal Year Ending December 31,</t>
  </si>
  <si>
    <t>Category</t>
  </si>
  <si>
    <t>$/KWh</t>
  </si>
  <si>
    <t>Tab:</t>
  </si>
  <si>
    <t>Net Power</t>
  </si>
  <si>
    <t>DebtServiceSummary</t>
  </si>
  <si>
    <t>Tab Name:</t>
  </si>
  <si>
    <t>BV Budget Summary</t>
  </si>
  <si>
    <t>Ave</t>
  </si>
  <si>
    <t>CONSOLIDATED - Acct Detail</t>
  </si>
  <si>
    <t>Source File:</t>
  </si>
  <si>
    <t>Plant and Capital</t>
  </si>
  <si>
    <t>Consoldiated Summary-Base</t>
  </si>
  <si>
    <t>Source Name:</t>
  </si>
  <si>
    <t xml:space="preserve">Tab: </t>
  </si>
  <si>
    <t>Tab Name</t>
  </si>
  <si>
    <t>O&amp;M_Detail - PRP</t>
  </si>
  <si>
    <t>Grant County - PRP OM.xlsx</t>
  </si>
  <si>
    <t>O&amp;M Detail - Electric System</t>
  </si>
  <si>
    <t>O&amp;M Detail - Priest Rapids Project</t>
  </si>
  <si>
    <t>Email from Accounting Department (for Intangible Plant)</t>
  </si>
  <si>
    <t>BV Workpaper</t>
  </si>
  <si>
    <t>BV Workpaper Name:</t>
  </si>
  <si>
    <t>BV Workpaper:</t>
  </si>
  <si>
    <t>Conductor Total (BV)</t>
  </si>
  <si>
    <t>Substation (BV)</t>
  </si>
  <si>
    <t>File Name</t>
  </si>
  <si>
    <t>12 Month Coincident Peak</t>
  </si>
  <si>
    <t>Average and Excess Demand/12 Month Coincident Peak</t>
  </si>
  <si>
    <t>General Service (2), (PA)&amp;(PA St. Lghts)</t>
  </si>
  <si>
    <t>MWH Sales</t>
  </si>
  <si>
    <t>MWH Sales Increase</t>
  </si>
  <si>
    <t>Retail Rate Change by Class per year</t>
  </si>
  <si>
    <t>Class Revenue (with Retail Rate change applied for each year)</t>
  </si>
  <si>
    <t>Class Cost to Serve</t>
  </si>
  <si>
    <t>Total Growth</t>
  </si>
  <si>
    <r>
      <t>Class Revenue (</t>
    </r>
    <r>
      <rPr>
        <u/>
        <sz val="12"/>
        <rFont val="Times New Roman"/>
        <family val="1"/>
      </rPr>
      <t>no</t>
    </r>
    <r>
      <rPr>
        <sz val="12"/>
        <rFont val="Times New Roman"/>
        <family val="1"/>
      </rPr>
      <t xml:space="preserve"> Retail Rate change including Jan 1, 2015)</t>
    </r>
  </si>
  <si>
    <t>Compound Total</t>
  </si>
  <si>
    <t>Total Chg</t>
  </si>
  <si>
    <t>Average Rate</t>
  </si>
  <si>
    <t>Additional Notes</t>
  </si>
  <si>
    <t>Updated per Audited Financials and Lead Sheets</t>
  </si>
  <si>
    <t>Financial Fx</t>
  </si>
  <si>
    <t>Minimum Rev Req.</t>
  </si>
  <si>
    <t>Plug to hit overall 2% Rate Increase trajectory</t>
  </si>
  <si>
    <t>End Targets by Class</t>
  </si>
  <si>
    <t>Rate Sch. 14, 15, 16 growth for next 2-3 years is based on information from customers, then long-term percentage growth from 1-2%</t>
  </si>
  <si>
    <t>10 Yr Differential</t>
  </si>
  <si>
    <t>Class Cost to Serve Differential (Revenue-Cost) %</t>
  </si>
  <si>
    <t>Class Cost to Serve Differential (Revenue-Cost)</t>
  </si>
  <si>
    <t>Change</t>
  </si>
  <si>
    <t>Cost of Service Summary - By Class and Cost Function</t>
  </si>
  <si>
    <r>
      <t xml:space="preserve">Outside of Target Band established in Resolution #8768 - </t>
    </r>
    <r>
      <rPr>
        <u/>
        <sz val="12"/>
        <rFont val="Times New Roman"/>
        <family val="1"/>
      </rPr>
      <t>needs rate increase</t>
    </r>
    <r>
      <rPr>
        <sz val="12"/>
        <rFont val="Times New Roman"/>
        <family val="1"/>
      </rPr>
      <t xml:space="preserve"> to comply with target.</t>
    </r>
  </si>
  <si>
    <r>
      <t xml:space="preserve">Outside of Target Band established in Resolution #8768 - </t>
    </r>
    <r>
      <rPr>
        <u/>
        <sz val="12"/>
        <rFont val="Times New Roman"/>
        <family val="1"/>
      </rPr>
      <t>needs rate decrease</t>
    </r>
    <r>
      <rPr>
        <sz val="12"/>
        <rFont val="Times New Roman"/>
        <family val="1"/>
      </rPr>
      <t xml:space="preserve"> to comply with target.</t>
    </r>
  </si>
  <si>
    <t>General Catetory</t>
  </si>
  <si>
    <t>OS Category</t>
  </si>
  <si>
    <t>T&amp;D</t>
  </si>
  <si>
    <t>2028</t>
  </si>
  <si>
    <t>2029</t>
  </si>
  <si>
    <t>Fiber/Broadband</t>
  </si>
  <si>
    <t>Broadband System Expansion</t>
  </si>
  <si>
    <t>Rocky Ford-Dover 115KV Line &amp; Rocky Ford 115KV Breaker Add</t>
  </si>
  <si>
    <t>Changed PM from May Le to Angel B-Sanchez</t>
  </si>
  <si>
    <t>Business Systems</t>
  </si>
  <si>
    <t>General Plant-Elec</t>
  </si>
  <si>
    <t>Broadband Customer Connectivity</t>
  </si>
  <si>
    <t>Nelson Expansion</t>
  </si>
  <si>
    <t>Winchester Substation Replacement</t>
  </si>
  <si>
    <t>AMI</t>
  </si>
  <si>
    <t>Wireless Broadband</t>
  </si>
  <si>
    <t>Quincy Plains 230kV Tap</t>
  </si>
  <si>
    <t>Eastside Switchyard</t>
  </si>
  <si>
    <t>New Yahoo Substation (Cloud View)</t>
  </si>
  <si>
    <t>Burke Substation #2 Lineup</t>
  </si>
  <si>
    <t>70</t>
  </si>
  <si>
    <t>Battery Replacement Program</t>
  </si>
  <si>
    <t>Complete</t>
  </si>
  <si>
    <t>Moved out a year</t>
  </si>
  <si>
    <t>$1.1M moved from 2016 to 2017 (Steel Receipt)</t>
  </si>
  <si>
    <t>Miscellaneous</t>
  </si>
  <si>
    <t xml:space="preserve">Budget increase of $45K due to adjusting the out year budget level to align with the current minimum capital requirements and recent annual spending levels. </t>
  </si>
  <si>
    <t>85</t>
  </si>
  <si>
    <t>PEC Gate Hoist</t>
  </si>
  <si>
    <t>86</t>
  </si>
  <si>
    <t>PEC Headworks Turbine Rehabilitation</t>
  </si>
  <si>
    <t>87</t>
  </si>
  <si>
    <t>PEC Intake and Discharge Gate Rehabilitation</t>
  </si>
  <si>
    <t>Transportation</t>
  </si>
  <si>
    <t>Facilities</t>
  </si>
  <si>
    <t>Budget adjustment due to delay in construction timing and additional review of alternative utility service routes (coordination with City of Moses Lake and Dept of Health).</t>
  </si>
  <si>
    <t>General Plant-GA</t>
  </si>
  <si>
    <t>Eric Murray</t>
  </si>
  <si>
    <t>Changed PM from Sean McDaniel to Eric Murray.</t>
  </si>
  <si>
    <t>Fish/Wildlife</t>
  </si>
  <si>
    <t>License Implementation</t>
  </si>
  <si>
    <t>102531,32,33,35</t>
  </si>
  <si>
    <t>Powerhouse</t>
  </si>
  <si>
    <t>Powerhouse Improvements</t>
  </si>
  <si>
    <t>John Butterly</t>
  </si>
  <si>
    <t>Replace one gassing 25MVA transformer.</t>
  </si>
  <si>
    <t>B460001A</t>
  </si>
  <si>
    <t>Add new 25MVA transformer and rack to Nelson Substation</t>
  </si>
  <si>
    <t>All new 25MVA substation replacing obsolete and overloaded existing. Double capacity, area load driven</t>
  </si>
  <si>
    <t>AMI (Automatice Metering Infrastructure) pilot phase to replace one meter reader route.</t>
  </si>
  <si>
    <t>Wireless broadband expansion to cover 95% of county in conjunction with fiber buildout.</t>
  </si>
  <si>
    <t>Construct a new Switchyard on the East Side of Quincy</t>
  </si>
  <si>
    <t>Build a new substation in the Quincy area to serve projected Yahoo load. (DB)</t>
  </si>
  <si>
    <t>Build a new second lineup and rebuild the existing line up at Burke Road Substation.</t>
  </si>
  <si>
    <t>Substation battery replacements.</t>
  </si>
  <si>
    <t>Jacob Johnson</t>
  </si>
  <si>
    <t>Turbine/Generator</t>
  </si>
  <si>
    <t>Turbine/Generator Restoration</t>
  </si>
  <si>
    <t>Travis Wiser</t>
  </si>
  <si>
    <t>Mike Broadsword</t>
  </si>
  <si>
    <t>PR Spillway Stability Improvements</t>
  </si>
  <si>
    <t>Jonathan Blake</t>
  </si>
  <si>
    <t>PR Switchgear Refurbish/Replacement</t>
  </si>
  <si>
    <t>Wan Switchgear Refurbish/Replacement</t>
  </si>
  <si>
    <t xml:space="preserve">Repair concrete damage on Wanapu spillway apron and ogee. Underwater damage is assessed on a periodic basis by diver or remote operated vehicle inspection. </t>
  </si>
  <si>
    <t>PIF has not been created</t>
  </si>
  <si>
    <t>Dave Dempsey</t>
  </si>
  <si>
    <t>This project includes replacement or rehabilitation of the station sump pumps, (including line shaft bearings, drive motors, motor bearings, line shafts, impellers, pump bowls and appurtenant equipment); unwatering pumps, (including line shaft bearings, drive motors, motor bearings, line shafts, impellers, pump bowls and appurtenant equipment); and station sump and unwatering sump access modifications.</t>
  </si>
  <si>
    <t>71</t>
  </si>
  <si>
    <t>PR GCB Spare Purchase</t>
  </si>
  <si>
    <t>10/2015</t>
  </si>
  <si>
    <t>72</t>
  </si>
  <si>
    <t>WAN GCB Spare Purchase</t>
  </si>
  <si>
    <t>tbd</t>
  </si>
  <si>
    <t>73</t>
  </si>
  <si>
    <t xml:space="preserve">GSU Transformer Vacuum Oil Processeor </t>
  </si>
  <si>
    <t xml:space="preserve">This request is for the purchase of a portable vacuum oil processor for transformer oil at hydro facilities and associated equipment. </t>
  </si>
  <si>
    <t>74</t>
  </si>
  <si>
    <t>PR Isolated-Phase Bus Rehabilitiation</t>
  </si>
  <si>
    <t>Rehabilitation of the isolated phase bus for all ten units at Priest Rapids Dam</t>
  </si>
  <si>
    <t>75</t>
  </si>
  <si>
    <t>PRP Water-Based Fire Suppression System</t>
  </si>
  <si>
    <t>This project will provide the funds for a study to be performed on the water-based fire protection/suppression systems at Wanapum Dam &amp; Priest Rapids Dam.</t>
  </si>
  <si>
    <t>76</t>
  </si>
  <si>
    <t>WAN Switchyard Fitness</t>
  </si>
  <si>
    <t>Switchyard Fitness Projects are small capital projects such as equipment purchases and studies that are typically dependent upon the condition of assets and changing regulatory requirements.</t>
  </si>
  <si>
    <t>1100-30</t>
  </si>
  <si>
    <t>B110030A</t>
  </si>
  <si>
    <t>TBA</t>
  </si>
  <si>
    <t>77</t>
  </si>
  <si>
    <t>Priest Rapids Powerhouse Roof Replacement</t>
  </si>
  <si>
    <t>This project is for the removal of the existing Priest Rapids Dam powerhouse roof membrane, appurtenant roofing materials and replacement of the roofing system with the current – modern, durable roof system capable of withstanding the wind, sun, and environmental elements.</t>
  </si>
  <si>
    <t>78</t>
  </si>
  <si>
    <t>Priest Rapids Dam Governor Air Compressor Replacement</t>
  </si>
  <si>
    <t>Replace the two existing station service air compressors and the two existing governor air compressors at Priest Rapids dam in year 2019. A cost reducing alternative would be to replace just the governor air compressors in 2019. The station service compressors are newer and their replacement could be delayed 5 to 10 years.</t>
  </si>
  <si>
    <t>79</t>
  </si>
  <si>
    <t>Priest Rapids Intake and Draft Tube Bulkhead Rehab</t>
  </si>
  <si>
    <t>The Intake and Draft Tube bulkheads at Priest Rapids dam are pieces of equipment required in order to dewater a unit for performance of maintenance and repairs to a turbine.  This project authorizes the complete rehabilitation of each bulkhead, including but not limited to: 1) replacing seals and clamp bars; 2) repairing and/or replacing guide wheels; and, 3) removing and replacing the coating system.</t>
  </si>
  <si>
    <t>80</t>
  </si>
  <si>
    <t>Wanapum LB &amp; RB Sewage System Rehab</t>
  </si>
  <si>
    <t xml:space="preserve">This project is for the rehabilitation of the sewage treatment system equipment at the Wanapum left bank and Wanapum right bank. </t>
  </si>
  <si>
    <t>81</t>
  </si>
  <si>
    <t>Wanapum Downstream 35T Gantry Crane Rehab</t>
  </si>
  <si>
    <t>This project is for the rehabilitation of the Wanapum Downstream 35 Ton Gantry Crane.  This crane is used to install the downstream bulkheads that are necessary for dewatering a unit during overhauls</t>
  </si>
  <si>
    <t>Johnathan Blake</t>
  </si>
  <si>
    <t>82</t>
  </si>
  <si>
    <t>Wanapum Floating Caisson Rehab</t>
  </si>
  <si>
    <t>The floating caisson is required to allow safe performance of certain maintenance functions on the Wanapum spillway gates.  This project authorizes the complete rehabilitation of this caisson, including but not limited to: 1) replacing seals and clamp bars; 2) repairing and/or replacing internal piping and valves; 3) lead abatement on all surfaces both inside and outside the caisson; 4) repair of corrosion; and, 5) application of a new coating system.</t>
  </si>
  <si>
    <t>83</t>
  </si>
  <si>
    <t>Wanapum Bridge Crane</t>
  </si>
  <si>
    <t xml:space="preserve">This project is for the rehabilitation of the Wanapum Bridge Cranes.  Each of these two cranes consist of a bridge drive and two trolleys drives which each contain a main hoist and auxiliary hoist.  The main hoists are rated for 175 ton and the auxiliary hoists are rated at 30 ton capacity. The cranes are located in the generator hall and are used to lift and move loads throughout the powerhouse.  The rehabilitation work would consist of a controls upgrade with new motors, brakes, electronic controls, cable and conduit.  The major mechanical components will be inspected prior to contract work and rehabbed as needed.  The work would also include safety upgrades and bring the crane into compliance with current codes and best practices.  </t>
  </si>
  <si>
    <t>B11002A</t>
  </si>
  <si>
    <t>84</t>
  </si>
  <si>
    <t>Wanapum Dam 390T Gantry Crane Rehab</t>
  </si>
  <si>
    <t>This project is for the rehabilitation of the Wanapum 390 Ton Emergency Gantry Crane.  This crane is used to install the wheeled bulkhead gates, overcoming water flow in case of an emergency.  These bulkhead gates are also used for short term maintenance tasks.</t>
  </si>
  <si>
    <t>Replace the intake gate hoist and tailrace gate hoist at Potholes East Canal (PEC) hydro power generating facility.</t>
  </si>
  <si>
    <t>Project is for the rehabilitation of the hydraulic turbine, upstream turbine bearings (thrust and guide), shafts (upstream and downstream), servomotor, shaft seals (upstream and downstream), wicket gates &amp; bushings and appurtenant water passage components exhibiting wear and/or corrosion</t>
  </si>
  <si>
    <t>Rehabilitate the intake gate and discharge gate at Potholes East Canal (PEC). Replace seals and guide wheels. Sandblast and paint the gates.</t>
  </si>
  <si>
    <t>88</t>
  </si>
  <si>
    <t>General Plant-PRP</t>
  </si>
  <si>
    <t>PRP Control System Split</t>
  </si>
  <si>
    <t>Add an independent control system at Priest Rapids Dam, configuring control systems at both Wanapum and Priest Rapids to eliminate the ability to control one dam from the other.</t>
  </si>
  <si>
    <t>Jeff Reams</t>
  </si>
  <si>
    <t>89</t>
  </si>
  <si>
    <t>PRP Erosion Remediation</t>
  </si>
  <si>
    <t>FERC mitigation requirement to develop long term site specific protection measures for National Register eligible archeological sites</t>
  </si>
  <si>
    <t>Aaron Kuntz</t>
  </si>
  <si>
    <t>Recreation/Licensing</t>
  </si>
  <si>
    <t>Budget increase of $824K due to the use of external inspectors and sales tax of 8% as also been added.</t>
  </si>
  <si>
    <t>John Monahan</t>
  </si>
  <si>
    <t>Revised PIF</t>
  </si>
  <si>
    <t>PR Left Fish Attraction Pumps</t>
  </si>
  <si>
    <t>Nathan Manning</t>
  </si>
  <si>
    <t>PR Right Fish Attraction Pumps</t>
  </si>
  <si>
    <t xml:space="preserve">Budget decrease of $3.8M due to most recent construction estimates. </t>
  </si>
  <si>
    <t>38</t>
  </si>
  <si>
    <t>Omak Creek Steelhead Acclimation Projects</t>
  </si>
  <si>
    <t>FERC requirement. Construct and fund long-term facility to aid in recovery of steelhead in this area. Rearing and acclimation of all or a portion of the 100,000 steelhead in upper Columbia/Okanogan River basins.</t>
  </si>
  <si>
    <t>102957</t>
  </si>
  <si>
    <t>39</t>
  </si>
  <si>
    <t>Eastbank Hatchery Modification</t>
  </si>
  <si>
    <t>Grant PUD’s proportional share of the total cost to complete modifications at Eastbank Hatchery to utilize or develop hatchery capacity.</t>
  </si>
  <si>
    <t>Deanne Pavlik-Kunkel</t>
  </si>
  <si>
    <t>40</t>
  </si>
  <si>
    <t>Fish Passage Fitness</t>
  </si>
  <si>
    <t>This project provides the funds for the fitness of both the Wanapum and Priest Rapids fish bypass systems.</t>
  </si>
  <si>
    <t>41</t>
  </si>
  <si>
    <t>PR Hatchery - White Sturgeo Facility</t>
  </si>
  <si>
    <t xml:space="preserve">article 401(a)(11), the White Sturgeon Management Plan.  The District is currently meeting this requirement through a contract with the Yakama Nation at their Marion Drain facility.  There are concerns with the quality of the fish being provided and their ability to survive in the wild.  </t>
  </si>
  <si>
    <t>42</t>
  </si>
  <si>
    <t>Recreation Fitness</t>
  </si>
  <si>
    <t xml:space="preserve">The Priest Rapids Project License requires the development, operation and maintenance of recreation facilities for the general public.  Due to the high number of facilities present on the Priest Rapids Project, the likelihood of any one site needing unplanned capital maintenance in a given year has increased.  By budgeting accordingly, the likelihood of having to approach the FMOC for additional funds is greatly reduced.  </t>
  </si>
  <si>
    <t>43</t>
  </si>
  <si>
    <t>Wanapum Dam Upper Boat Launch Retrofit</t>
  </si>
  <si>
    <t xml:space="preserve">This work is required under FERC License Article 418 and the approved Recreation Resource Management Plan (RRMP),  as part of Grant PUD’s 44-year license. The Wanapum Dam Upper Boat Launch is located on the east side of the Columbia River in Grant County approximately 0.5 miles north of Wanapum Dam, Section 16, T16N, R23E. It is located approximately 4.5 miles south of the small community of Vantage and the I-90 bridge that crosses the Columbia River. The property is owned and maintained by Grant PUD, and provides boater access to the Wanapum Dam Reservoir. </t>
  </si>
  <si>
    <t>1/2016</t>
  </si>
  <si>
    <t>PM</t>
  </si>
  <si>
    <t>1</t>
  </si>
  <si>
    <t>Energy Accounting System</t>
  </si>
  <si>
    <t>Energy Accounting System (EAS) provides multiple functions within Power Management and Finance, tracking energy sales, purchases, interchange metering, MidC pond usage, and other Balancing Authority (BA), Transmission Operator (TOP), and Merchant functions.</t>
  </si>
  <si>
    <t>Tbd</t>
  </si>
  <si>
    <t>Jeff Mettler</t>
  </si>
  <si>
    <t>The Years are off….the 17k was for 2015, and the 39k was for 2016.  No spend for 2017.</t>
  </si>
  <si>
    <t>Construct warehouse and engineering support office expansion.</t>
  </si>
  <si>
    <t>Construct water and sewer system improvements.</t>
  </si>
  <si>
    <t>23</t>
  </si>
  <si>
    <t>Physical Security System Upgrades</t>
  </si>
  <si>
    <t xml:space="preserve">Upgrade the Galaxy servers and software production systems and backup systems to accommodate expansion of the security controllers and devices necessary to meet CIP compliance..  </t>
  </si>
  <si>
    <t>24</t>
  </si>
  <si>
    <t>IT Project Pool, Small Projects</t>
  </si>
  <si>
    <t>A pool of capital funds for funding small to medium sized IT projects from $10,000-$50,000 in total direct costs.</t>
  </si>
  <si>
    <t>Nick Webber</t>
  </si>
  <si>
    <t>PRMC Waste Management Building Improvements</t>
  </si>
  <si>
    <t>Remodel existing waste management building compliant to meet OSHA and regulatory agency requirements.</t>
  </si>
  <si>
    <t>General Plant-60e/40p</t>
  </si>
  <si>
    <t>Construct/remodel utility, site, and buildings improvements for District wide facilities.</t>
  </si>
  <si>
    <t>PR Right Bank Water System Improvements</t>
  </si>
  <si>
    <t>Construction PR RB Water System improvements.</t>
  </si>
  <si>
    <t>Security - Physical Improvements</t>
  </si>
  <si>
    <t>Extend out years for pool</t>
  </si>
  <si>
    <t>2015 FCC $ millions</t>
  </si>
  <si>
    <t>Rate class</t>
  </si>
  <si>
    <t>Total FCC Revenue</t>
  </si>
  <si>
    <t>Redundant SWYD</t>
  </si>
  <si>
    <t>CS-49, 67</t>
  </si>
  <si>
    <t>Redundant Line</t>
  </si>
  <si>
    <t>CS-xx</t>
  </si>
  <si>
    <t>Line 5</t>
  </si>
  <si>
    <t>Line 6</t>
  </si>
  <si>
    <t>Asta Real</t>
  </si>
  <si>
    <t>Yahoo</t>
  </si>
  <si>
    <t>CS-68, CloudView</t>
  </si>
  <si>
    <t>Yahoo GQ2</t>
  </si>
  <si>
    <t>CS-36, Quincy Plains</t>
  </si>
  <si>
    <t>Phase 3</t>
  </si>
  <si>
    <t>Second site</t>
  </si>
  <si>
    <t>MVA total</t>
  </si>
  <si>
    <t>CIAC by quarter</t>
  </si>
  <si>
    <t>2015-2020</t>
  </si>
  <si>
    <t>current</t>
  </si>
  <si>
    <t>J White</t>
  </si>
  <si>
    <t>RS 15</t>
  </si>
  <si>
    <t>RS 14</t>
  </si>
  <si>
    <t>Sum Check</t>
  </si>
  <si>
    <t>Sum 2016-2020</t>
  </si>
  <si>
    <t xml:space="preserve">Additional Debt issue </t>
  </si>
  <si>
    <t xml:space="preserve">Additional Jr Lien Debt issue </t>
  </si>
  <si>
    <t>Reporting adjustment for elimination of Jr Lien</t>
  </si>
  <si>
    <t>Adjusted PRP long term debt liability</t>
  </si>
  <si>
    <t>PRP (Jr Lien) (eliminated in financial statements)</t>
  </si>
  <si>
    <t xml:space="preserve">Less Principal Payments </t>
  </si>
  <si>
    <t>Ending Jr Lien long term debt liability</t>
  </si>
  <si>
    <t>Early Debt Calls</t>
  </si>
  <si>
    <t>Assumed annual interest rate</t>
  </si>
  <si>
    <t>Principal 1/1 JLB</t>
  </si>
  <si>
    <t>Interest 1/1 JLB</t>
  </si>
  <si>
    <t>Interest 7/1 JLB</t>
  </si>
  <si>
    <t>2010 CREBS Sinking (Cash Basis) Princ</t>
  </si>
  <si>
    <t>2012 CREBS Sinking (Cash Basis) Princ</t>
  </si>
  <si>
    <t>2015 CREBS Sinking (Cash Basis)  Princ</t>
  </si>
  <si>
    <t xml:space="preserve">Principal JLB </t>
  </si>
  <si>
    <t>Interest JLB</t>
  </si>
  <si>
    <t>Acc Inter no JLB</t>
  </si>
  <si>
    <t>Acc Princ no JLB</t>
  </si>
  <si>
    <t>Proposed</t>
  </si>
  <si>
    <t>Scenario Net Reduction New Allocation</t>
  </si>
  <si>
    <t>Proposed SR PRP Debt Non Conforming-USE 30 Level schedule</t>
  </si>
  <si>
    <t>Proposed JLB PRP Debt</t>
  </si>
  <si>
    <t>Interest and Other</t>
  </si>
  <si>
    <t>Interest and other Income Elect</t>
  </si>
  <si>
    <t>Interest and other Income PRP</t>
  </si>
  <si>
    <t>Interest on PRP note from Electric</t>
  </si>
  <si>
    <t xml:space="preserve">Interest on Revenue Bonds </t>
  </si>
  <si>
    <t>Amortization of debt prem/discount</t>
  </si>
  <si>
    <t>Current Debt Issuance Costs</t>
  </si>
  <si>
    <t>Capitalized Interest</t>
  </si>
  <si>
    <t xml:space="preserve">Insurance Proceeds-Extraordinary O&amp;M </t>
  </si>
  <si>
    <t>Sale of HED net of expenses-$ in Const Fund</t>
  </si>
  <si>
    <t>Use for Year 4 and out</t>
  </si>
  <si>
    <t>Use Current year average of Jan/Feb for Current plus 2 months.</t>
  </si>
  <si>
    <t>2015 Adopted Budget</t>
  </si>
  <si>
    <t>Annual amortization of Debt Prem/Discount</t>
  </si>
  <si>
    <t>Monthly Ave</t>
  </si>
  <si>
    <t>Annual estimate</t>
  </si>
  <si>
    <t>Cash</t>
  </si>
  <si>
    <t>Budget Water (100% Water, 50% Exceedance)</t>
  </si>
  <si>
    <t>1001-447006</t>
  </si>
  <si>
    <t>Monthly fees-PRP Contract</t>
  </si>
  <si>
    <t xml:space="preserve">  1001-456803 Elect Revenue-Wfon Wireless Fiber Revenue</t>
  </si>
  <si>
    <t xml:space="preserve">  1001-426300 Elect Revenue-Penalties</t>
  </si>
  <si>
    <t xml:space="preserve">  1001-920060 Elect Revenue-A&amp;G Performance Recognition Pr</t>
  </si>
  <si>
    <t xml:space="preserve">  1001-926010 Elect Revenue-PERS 1 Expense</t>
  </si>
  <si>
    <t xml:space="preserve">  1001-926020 Elect Revenue-PERS 2/3 Expense</t>
  </si>
  <si>
    <t xml:space="preserve">  1001-926900 Elect Revenue-PERS Expense Reclass GASB 68</t>
  </si>
  <si>
    <t xml:space="preserve">  1005-426500 Elect Excess Earnings-Other Deductions</t>
  </si>
  <si>
    <t xml:space="preserve">  1001-404926 Elect Revenue-Amort PERS Capitalized</t>
  </si>
  <si>
    <t xml:space="preserve">  1202-403100 ES 2014K General Construc-Depreciation Exp Contra</t>
  </si>
  <si>
    <t xml:space="preserve">  1202-404500 ES 2014K General Constructio-Amort QC Power Rights</t>
  </si>
  <si>
    <t xml:space="preserve">  1202-404600 ES 2014K General Constructi-Amort PEC Power Rights</t>
  </si>
  <si>
    <t xml:space="preserve">  1008-419000 Elect Cust Deposits-Int Inc Funds</t>
  </si>
  <si>
    <t xml:space="preserve">  1013-419000 ES 2014JLB Investment in PRP-Int Inc Funds</t>
  </si>
  <si>
    <t xml:space="preserve">  1014-419000 ES 2015JLB Investment in PRP-Int Inc Funds</t>
  </si>
  <si>
    <t xml:space="preserve">  1202-419000 ES 2014K General Construction-Int Inc Funds</t>
  </si>
  <si>
    <t xml:space="preserve">  1202-419030 ES 2014K General Construc-Unrealized Gain/Loss Inv</t>
  </si>
  <si>
    <t xml:space="preserve">  1399-419900 ES Set-Aside Principal Desposi-Int Inc Funds NPC</t>
  </si>
  <si>
    <t xml:space="preserve">  1401-419000 Elect 2013J Interest-Int Inc Funds</t>
  </si>
  <si>
    <t xml:space="preserve">  1499-419900 ES Set-Aside Interest Deposit-Int Inc Funds NPC</t>
  </si>
  <si>
    <t xml:space="preserve">  1202-427900 ES 2014K General Construc-Capitalized Interest Exp</t>
  </si>
  <si>
    <t xml:space="preserve">  1300-427000 Elect 2011I Principal/Retire-Int Exp Funds</t>
  </si>
  <si>
    <t xml:space="preserve">  1301-427000 Elect 2013J Principal/Retire-Int Exp Funds</t>
  </si>
  <si>
    <t xml:space="preserve">  1302-427000 ES 2014K Principal/Retirement-Int Exp Funds</t>
  </si>
  <si>
    <t xml:space="preserve">  1402-427000 ES 2014K Interest-Int Exp Funds</t>
  </si>
  <si>
    <t xml:space="preserve">  1300-428010 Elect 2011I Principal/Retire-Amort Discount</t>
  </si>
  <si>
    <t xml:space="preserve">  1300-428020 Elect 2011I Principal/Retire-Amort Issue Loss</t>
  </si>
  <si>
    <t xml:space="preserve">  1301-428010 Elect 2013J Principal/Retire-Amort Discount</t>
  </si>
  <si>
    <t xml:space="preserve">  1301-428020 Elect 2013J Principal/Retire-Amort Issue Loss</t>
  </si>
  <si>
    <t xml:space="preserve">   Cost of debt issuance: </t>
  </si>
  <si>
    <t xml:space="preserve">  1001-426510 Elect Revenue-Debt Issuance Exp</t>
  </si>
  <si>
    <t xml:space="preserve">  1402-428000 ES 2014K Interest-Amort Issue Exp</t>
  </si>
  <si>
    <t xml:space="preserve">   Total    Cost of debt issuance</t>
  </si>
  <si>
    <t xml:space="preserve">  1001-460010 Elect Revenue-Simple Contr In Aid of Constr</t>
  </si>
  <si>
    <t>926010</t>
  </si>
  <si>
    <t>926020</t>
  </si>
  <si>
    <t>926900</t>
  </si>
  <si>
    <t>ELECT REVENUE-PERS 1 EXPENSE</t>
  </si>
  <si>
    <t>ELECT REVENUE-PERS 2/3 EXPENSE</t>
  </si>
  <si>
    <t>ELECT REVENUE-PERS EXPENSE RECLASS GASB 68</t>
  </si>
  <si>
    <t>ELECT REVENUE-PENALTIES</t>
  </si>
  <si>
    <t>ELECT REVENUE-A&amp;G PERFORMANCE RECOGNITION PR</t>
  </si>
  <si>
    <t>Source</t>
  </si>
  <si>
    <t>2013 YE F.S.</t>
  </si>
  <si>
    <t>2014 YE F.S.</t>
  </si>
  <si>
    <t>2015 YE F.S.</t>
  </si>
  <si>
    <t>Net Plant</t>
  </si>
  <si>
    <t>Beginning Balance Plant</t>
  </si>
  <si>
    <t>Additions Bond Financed</t>
  </si>
  <si>
    <t>Additions Revenue Financed</t>
  </si>
  <si>
    <t>Salvage and Retirements</t>
  </si>
  <si>
    <t>GASB 68 (2014 was a restatement)</t>
  </si>
  <si>
    <t>CALC</t>
  </si>
  <si>
    <t>Calc Elect Net Plant</t>
  </si>
  <si>
    <t>Preliminary Expenses Electric</t>
  </si>
  <si>
    <t>YE Financial Stmt</t>
  </si>
  <si>
    <t>Beginning Balance</t>
  </si>
  <si>
    <t>Forecasted with Capital</t>
  </si>
  <si>
    <t>Net change</t>
  </si>
  <si>
    <t xml:space="preserve">Ending balance </t>
  </si>
  <si>
    <t>Electric System Plant and Preliminary Capital</t>
  </si>
  <si>
    <t>Additions</t>
  </si>
  <si>
    <t>Calc PRP Net Plant</t>
  </si>
  <si>
    <t>Preliminary Expenses PRP</t>
  </si>
  <si>
    <t>PRP Plant and Preliminary Capital</t>
  </si>
  <si>
    <t>Total Calculated Net Plant and Preliminary Capital</t>
  </si>
  <si>
    <t>Check with F.S. Utility plant, net of accumulated depreciation and amortization</t>
  </si>
  <si>
    <t>CY-Ops Sum, FY MC</t>
  </si>
  <si>
    <t>Capital Directs-MC  with escalation</t>
  </si>
  <si>
    <t>Labor (w/overhead)</t>
  </si>
  <si>
    <t>Current Year Adjustment (Year 1 only)</t>
  </si>
  <si>
    <t>2027 est from Prev Q3 2016 fx</t>
  </si>
  <si>
    <r>
      <t xml:space="preserve">ADJUSTED DIRECT CAPITAL SYSTEM ALLOCATION </t>
    </r>
    <r>
      <rPr>
        <b/>
        <sz val="14"/>
        <color rgb="FFFF0000"/>
        <rFont val="Calibri"/>
        <family val="2"/>
      </rPr>
      <t>ESCALATED $: August 2016 Capital Plan</t>
    </r>
  </si>
  <si>
    <t>AREA USED TO MAKE SCENARIO ADJUSTMENTS TO CAPITAL</t>
  </si>
  <si>
    <t>Annual Cap Cut</t>
  </si>
  <si>
    <t xml:space="preserve">Esc Cap Cut </t>
  </si>
  <si>
    <t>Income Stmt</t>
  </si>
  <si>
    <t>Amort of future License Benefit</t>
  </si>
  <si>
    <t>Demand Side Management 12 yr 1001-186620</t>
  </si>
  <si>
    <t>Calculated from amortization schedule from Brian</t>
  </si>
  <si>
    <t>Plant Dep YE 2013 to calc allocation PRP/Elec</t>
  </si>
  <si>
    <t>Estimated additional Plant depreciation</t>
  </si>
  <si>
    <t xml:space="preserve">Prior Year Elect Sys forecasted Capital Additions </t>
  </si>
  <si>
    <t>Use Capital Plan</t>
  </si>
  <si>
    <t>Projected Baseline PRP (directs and labor)</t>
  </si>
  <si>
    <t>August 2015 Actuals</t>
  </si>
  <si>
    <t>Directs</t>
  </si>
  <si>
    <t>Overhead</t>
  </si>
  <si>
    <t>G&amp;A allocation</t>
  </si>
  <si>
    <t>Total Capital Exp</t>
  </si>
  <si>
    <t>Elect</t>
  </si>
  <si>
    <t>G&amp;A</t>
  </si>
  <si>
    <t>e</t>
  </si>
  <si>
    <t>p</t>
  </si>
  <si>
    <t>Capital</t>
  </si>
  <si>
    <t>Not updated past 2017</t>
  </si>
  <si>
    <t>Service System Wages Payable</t>
  </si>
  <si>
    <t>2012 YE F.S.</t>
  </si>
  <si>
    <t>2014 Audited Actuals</t>
  </si>
  <si>
    <t>110314 Fin Fx Adopted</t>
  </si>
  <si>
    <t>3/30/2016 YE Proj</t>
  </si>
  <si>
    <t>Calc w/ 10yr update</t>
  </si>
  <si>
    <t>Cash Summary</t>
  </si>
  <si>
    <t>Finance Plan Fund</t>
  </si>
  <si>
    <t>Construction Fund</t>
  </si>
  <si>
    <t>Calc</t>
  </si>
  <si>
    <t>*Designations of cash above:  U= unrestricted, R= restricted, R-D = restricted but considered liquid for days cash on hand</t>
  </si>
  <si>
    <t>Check with F.S. Total Unrestricted and Restricted Cash and Investments"</t>
  </si>
  <si>
    <t>Plant_Capital</t>
  </si>
  <si>
    <t>PRP Jr Lien (Electric Equity)</t>
  </si>
  <si>
    <t>PP Costs</t>
  </si>
  <si>
    <t>Retail Rev</t>
  </si>
  <si>
    <t>Other Rev</t>
  </si>
  <si>
    <t>Check with F.S. Total Operating Revenues</t>
  </si>
  <si>
    <t xml:space="preserve">Debt Service(total P&amp;I, net rebates, accrual basis)       </t>
  </si>
  <si>
    <t>Check with F.S. "Total Operating Expenses"</t>
  </si>
  <si>
    <t>Check to equal line Purchase Power Line 57</t>
  </si>
  <si>
    <t>Total Depreciation and Amortization</t>
  </si>
  <si>
    <t>Depreciation and amortization</t>
  </si>
  <si>
    <t>Debt Interest, Amortization, Income</t>
  </si>
  <si>
    <t>Exhibit A-SUMMARY OF BUDGET ITEMS</t>
  </si>
  <si>
    <t>Expenditure offsets for deduction</t>
  </si>
  <si>
    <t>TOTAL EXPENDITURE OFFSETS</t>
  </si>
  <si>
    <t>TOTAL BUDGETED EXPENDITURES</t>
  </si>
  <si>
    <t>Exhibit B-CONSOLIDATED OPERATIONAL PERFORMANCE</t>
  </si>
  <si>
    <t>Net Power (Net Wholesale+Other Power Revenue)</t>
  </si>
  <si>
    <t>Other Revenues</t>
  </si>
  <si>
    <t>Net Operating Income(Loss) Before Depreciation</t>
  </si>
  <si>
    <t>Net Operating Income (Loss)</t>
  </si>
  <si>
    <t>Other Revenues (Expenses)</t>
  </si>
  <si>
    <t>Interest, debt  and other income (1)</t>
  </si>
  <si>
    <t>Change in Net Position</t>
  </si>
  <si>
    <t>CHANGES IN ELECTRIC SYSTEM LIQUIDITY ($000)</t>
  </si>
  <si>
    <t>Prior Year Balance Forward</t>
  </si>
  <si>
    <t>Subtract NP Interest earnings on Non Elect Liquidity funds</t>
  </si>
  <si>
    <t>Add back to NP Non Cash Deductions (dep&amp;amort)</t>
  </si>
  <si>
    <t>Electric Capital-Cash Funded Portion (Equity)</t>
  </si>
  <si>
    <t>PRP Capital-Cash Funded Portion(Equity)</t>
  </si>
  <si>
    <t xml:space="preserve">(1 )2015 Budgeted  Interest, debt amortization, issuance costs and other income has been corrected to include Federal rebates and Capitalized interest.  This was not previously included. </t>
  </si>
  <si>
    <t>EUDL Reclass for negative purchases</t>
  </si>
  <si>
    <t>Change in Net Position (Consolidated)</t>
  </si>
  <si>
    <t>Total Current Year Change</t>
  </si>
  <si>
    <t>Year End Balance Electric Liquidity</t>
  </si>
  <si>
    <t>Equity Financing of PRP 2 (from calc PRP Capital need sheet FF) (used this one)</t>
  </si>
  <si>
    <t>Summary of Electric System Assets ending FY 2015</t>
  </si>
  <si>
    <t>C-2 2013 Plant Assets - 2015 Audited.xlsx</t>
  </si>
  <si>
    <t>COSA Extract</t>
  </si>
  <si>
    <t>F-3  Final Dec 2015 Monthly Reports.xlsx</t>
  </si>
  <si>
    <t>Elec Sys Financials-A</t>
  </si>
  <si>
    <t>C-1 FCC CIAC</t>
  </si>
  <si>
    <t>Elec Sys Financials - A</t>
  </si>
  <si>
    <t>Consolidated (no rnd)-A (has account details)</t>
  </si>
  <si>
    <t>Tab Names:</t>
  </si>
  <si>
    <t>Capital Plan 16-08-04</t>
  </si>
  <si>
    <t>2016 Only</t>
  </si>
  <si>
    <t>107051</t>
  </si>
  <si>
    <t>183010</t>
  </si>
  <si>
    <t>228</t>
  </si>
  <si>
    <t>228420</t>
  </si>
  <si>
    <t>232570</t>
  </si>
  <si>
    <t>537010</t>
  </si>
  <si>
    <t>545960</t>
  </si>
  <si>
    <t>571</t>
  </si>
  <si>
    <t>571050</t>
  </si>
  <si>
    <t>920010</t>
  </si>
  <si>
    <t>920060</t>
  </si>
  <si>
    <t>923030</t>
  </si>
  <si>
    <t>925060</t>
  </si>
  <si>
    <t xml:space="preserve">Budget-District Fac Improvmnts </t>
  </si>
  <si>
    <t xml:space="preserve">Budget-Pole Replacement M&amp;C’   </t>
  </si>
  <si>
    <t xml:space="preserve">Budget-PR Unit Controls        </t>
  </si>
  <si>
    <t xml:space="preserve">Budget-Wan Switchyard Capital  </t>
  </si>
  <si>
    <t xml:space="preserve">Budget-QC Capital              </t>
  </si>
  <si>
    <t>(blank)</t>
  </si>
  <si>
    <t xml:space="preserve">Budget-Continuing Education    </t>
  </si>
  <si>
    <t xml:space="preserve">Budget-Risk Management         </t>
  </si>
  <si>
    <t>F-1 2017 labor alloc.xlsx</t>
  </si>
  <si>
    <t>LF-1 Load Forecast and Retail Rev by Class Updated 12-16-2016.xlsx</t>
  </si>
  <si>
    <t>Escalations</t>
  </si>
  <si>
    <t>2016 labor Pivot</t>
  </si>
  <si>
    <t>2016 Labor Pivot</t>
  </si>
  <si>
    <t>SECURITY DISTRICT WIDE</t>
  </si>
  <si>
    <t xml:space="preserve">2000 - FERC LICENSE REQUIREMENTS - O&amp;M                    </t>
  </si>
  <si>
    <t>F-2 RR-2 RR-3 RR-5 LF-2 O-4 O-5 Financial Forecast FINAL_BASE_Q4_2016_DEC</t>
  </si>
  <si>
    <t>F-1 2017 labor alloc - revised 2017 allocation</t>
  </si>
  <si>
    <t>F-1 2017 Budget Allocation Worksheets</t>
  </si>
  <si>
    <t>Sheet 3</t>
  </si>
  <si>
    <t>F-3 R-2 RR-1 Final Dec 2015 Monthly Reports</t>
  </si>
  <si>
    <t>Sheet:</t>
  </si>
  <si>
    <t>R-1, BD-1 BD-4 2014 *.xlsx</t>
  </si>
  <si>
    <t>R-1, BD-1 BD-4 2015 *.xlsx</t>
  </si>
  <si>
    <t>R-1, BD-1 BD-4 2016 *.xlsx</t>
  </si>
  <si>
    <t>various sheets</t>
  </si>
  <si>
    <t>various sheets, partial year</t>
  </si>
  <si>
    <t>F-5 (Tariff Schedules).pdf</t>
  </si>
  <si>
    <t>F-3 2016 Report of Billing - full year</t>
  </si>
  <si>
    <t>Yrend16</t>
  </si>
  <si>
    <t>% of 2016 Rate Rev</t>
  </si>
  <si>
    <t>Interest and Other Income, and JLB Payments</t>
  </si>
  <si>
    <t>*CIAC and JLB Payments are separate</t>
  </si>
  <si>
    <t>A&amp;G PERFORMANCE RECOGNITION</t>
  </si>
  <si>
    <t>Consoldiated Summary-Base, Cash (row 234), Cons DS Calc w Jr Debt</t>
  </si>
  <si>
    <t>(b) - (c)</t>
  </si>
  <si>
    <t>Non-Power Purchasers Debt Difference</t>
  </si>
  <si>
    <t>For USBR Contract</t>
  </si>
  <si>
    <t>RS 1, 2, 3 combined</t>
  </si>
  <si>
    <t>Wholesale Sales Offset by Rate Class</t>
  </si>
  <si>
    <t>Rate Sch. 1, 2, 3 blended</t>
  </si>
  <si>
    <t>Test Year 2015</t>
  </si>
  <si>
    <t>Test Year 2017 Unit Revenue</t>
  </si>
  <si>
    <t xml:space="preserve">Energy </t>
  </si>
  <si>
    <t>Variable Cost</t>
  </si>
  <si>
    <t>Fixed Cost</t>
  </si>
  <si>
    <t>Fixed - Direct / Shared</t>
  </si>
  <si>
    <t>Fixed - Direct</t>
  </si>
  <si>
    <t>[B] - [C]</t>
  </si>
  <si>
    <t>(e) - (f)</t>
  </si>
  <si>
    <t>2017 Revenue Increase</t>
  </si>
  <si>
    <t>Dollars</t>
  </si>
  <si>
    <t>Differential</t>
  </si>
  <si>
    <t>Power</t>
  </si>
  <si>
    <t>Broadband Network O&amp;M</t>
  </si>
  <si>
    <t>2017 COS</t>
  </si>
  <si>
    <t>2015 COS</t>
  </si>
  <si>
    <t>Non Rate Revenue</t>
  </si>
  <si>
    <t>Power - Sales to Other Utilities</t>
  </si>
  <si>
    <t>Broadband Network Sales</t>
  </si>
  <si>
    <t>Contribution In Aid of Construction</t>
  </si>
  <si>
    <t>Total Non Rate Revenue</t>
  </si>
  <si>
    <t>Interest / JLB Payments / Misc.</t>
  </si>
  <si>
    <t>RR-1 Opex by FERC</t>
  </si>
  <si>
    <t>Electric, Electric_Detail</t>
  </si>
  <si>
    <t>Debt Service, PP Costs</t>
  </si>
  <si>
    <t>F-1 2017 Budget Allocation Worksheets.xlsx</t>
  </si>
  <si>
    <t>C-1 10 Year Capital Improvement Program.xlsx</t>
  </si>
  <si>
    <t>File Name:</t>
  </si>
  <si>
    <t>2015 Actuals</t>
  </si>
  <si>
    <t>Rate Presentation Assumptions-updated 03/01/2017</t>
  </si>
  <si>
    <t>Based on Financial Forecast</t>
  </si>
  <si>
    <t>R-1 BD-1 BD-4  2014 full year data files</t>
  </si>
  <si>
    <t>R-1 BD-1 BD-4  2015 full year data files</t>
  </si>
  <si>
    <t>R-1 BD-1 BD-4  2016 Data through November</t>
  </si>
  <si>
    <t>F-3 BD--1 2014 Report of Billing</t>
  </si>
  <si>
    <t>F-3 BD--1 2015 Report of Billing</t>
  </si>
  <si>
    <t>F-3 BD--1 2016 Report of Billing</t>
  </si>
  <si>
    <t>From Q4 2016</t>
  </si>
  <si>
    <t xml:space="preserve">Assume 2% escalation Revenue Requirement annually.  Table below is additional cost per year added to </t>
  </si>
  <si>
    <t>Used the minimum allowed increase to bring down rate classes 2 &amp; 7 towards -20% of their cost to serve as close to the target range as possible</t>
  </si>
  <si>
    <t>Development of Capacity Allocation Factors (from 2015 COS)</t>
  </si>
  <si>
    <t>O-3 GCPUD 2016 Primary Conductor</t>
  </si>
  <si>
    <t>O-3 GCPUD Primary Conductor Support Data</t>
  </si>
  <si>
    <t>2016 Load Workpaper 10yr</t>
  </si>
  <si>
    <t>Summary</t>
  </si>
  <si>
    <t>Rate Sch. 2 &amp; 3 are on a historical regression based on time</t>
  </si>
  <si>
    <t>Rate Sch. 1 &amp; 7 growth based on population growth projections</t>
  </si>
  <si>
    <t>Stay within Resolution 8768 annual rate shock limits (0.25x - 2.50x overall change) per class</t>
  </si>
  <si>
    <t>Resolution 8768 end targets no more than +15% over cost to serve and no less than -20% under cost to serve</t>
  </si>
</sst>
</file>

<file path=xl/styles.xml><?xml version="1.0" encoding="utf-8"?>
<styleSheet xmlns="http://schemas.openxmlformats.org/spreadsheetml/2006/main" xmlns:mc="http://schemas.openxmlformats.org/markup-compatibility/2006" xmlns:x14ac="http://schemas.microsoft.com/office/spreadsheetml/2009/9/ac" mc:Ignorable="x14ac">
  <numFmts count="64">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00_);_(&quot;$&quot;* \(#,##0.00000\);_(&quot;$&quot;* &quot;-&quot;??_);_(@_)"/>
    <numFmt numFmtId="165" formatCode="_(* #,##0_);_(* \(#,##0\);_(* &quot;-&quot;??_);_(@_)"/>
    <numFmt numFmtId="166" formatCode="_(&quot;$&quot;* #,##0_);_(&quot;$&quot;* \(#,##0\);_(&quot;$&quot;* &quot;-&quot;??_);_(@_)"/>
    <numFmt numFmtId="167" formatCode="0.0%"/>
    <numFmt numFmtId="168" formatCode="&quot;$&quot;#,##0.00000_);\(&quot;$&quot;#,##0.00000\)"/>
    <numFmt numFmtId="169" formatCode=";;;"/>
    <numFmt numFmtId="170" formatCode="_(&quot;$&quot;* #,##0_);_(&quot;$&quot;* \(#,##0\)"/>
    <numFmt numFmtId="171" formatCode="&quot;$&quot;#,##0.0000"/>
    <numFmt numFmtId="172" formatCode="_(&quot;$&quot;* #,##0.00_);_(&quot;$&quot;* \(#,##0.00\)"/>
    <numFmt numFmtId="173" formatCode="_(* #,##0_);_(* \(#,##0\)"/>
    <numFmt numFmtId="174" formatCode="0.000000"/>
    <numFmt numFmtId="175" formatCode="_(&quot;$&quot;* #,##0.000000_);_(&quot;$&quot;* \(#,##0.000000\)"/>
    <numFmt numFmtId="176" formatCode="_(* #,##0.00_);_(* \(#,##0.00\)"/>
    <numFmt numFmtId="177" formatCode="_(* #,##0.000000_);_(* \(#,##0.000000\)"/>
    <numFmt numFmtId="178" formatCode="0.00000"/>
    <numFmt numFmtId="179" formatCode="_(&quot;$&quot;* #,##0.0000_);_(&quot;$&quot;* \(#,##0.0000\);_(&quot;$&quot;* &quot;-&quot;??_);_(@_)"/>
    <numFmt numFmtId="180" formatCode="_(&quot;$&quot;* #,##0.000000_);_(&quot;$&quot;* \(#,##0.000000\);_(&quot;$&quot;* &quot;-&quot;??_);_(@_)"/>
    <numFmt numFmtId="181" formatCode="_(* #,##0.000000_);_(* \(#,##0.000000\);_(* &quot;-&quot;??_);_(@_)"/>
    <numFmt numFmtId="182" formatCode="_(&quot;$&quot;* #,##0.0_);_(&quot;$&quot;* \(#,##0.0\)"/>
    <numFmt numFmtId="183" formatCode="[$-409]mmmm\ d\,\ yyyy;@"/>
    <numFmt numFmtId="184" formatCode="0.0000"/>
    <numFmt numFmtId="185" formatCode="&quot;$&quot;#,##0.00"/>
    <numFmt numFmtId="186" formatCode="_(&quot;$&quot;* #,##0.0000_);_(&quot;$&quot;* \(#,##0.0000\);_(&quot;$&quot;* &quot;-&quot;????_);_(@_)"/>
    <numFmt numFmtId="187" formatCode="&quot;$&quot;#,##0\ ;\(&quot;$&quot;#,##0\)"/>
    <numFmt numFmtId="188" formatCode="00000"/>
    <numFmt numFmtId="189" formatCode="#,##0.00000000000;[Red]\-#,##0.00000000000"/>
    <numFmt numFmtId="190" formatCode="_(&quot;$&quot;* #,##0.0_);_(&quot;$&quot;* \(#,##0.0\);_(&quot;$&quot;* &quot;-&quot;??_);_(@_)"/>
    <numFmt numFmtId="191" formatCode="General_)"/>
    <numFmt numFmtId="192" formatCode="_(* #,##0.0000_);_(* \(#,##0.0000\)"/>
    <numFmt numFmtId="193" formatCode="_(* #,##0.0_);_(* \(#,##0.0\);_(* &quot;-&quot;??_);_(@_)"/>
    <numFmt numFmtId="194" formatCode="0.000%"/>
    <numFmt numFmtId="195" formatCode="0.0000%"/>
    <numFmt numFmtId="196" formatCode="_(* #,##0.000_);_(* \(#,##0.000\);_(* &quot;-&quot;??_);_(@_)"/>
    <numFmt numFmtId="197" formatCode="#,###,##0.00;\(#,###,##0.00\);\-"/>
    <numFmt numFmtId="198" formatCode="#,###,##0;\(#,###,##0\);\-"/>
    <numFmt numFmtId="199" formatCode="#,###,;_(* \(#,###,\);_(* &quot;-&quot;_);_(@_)"/>
    <numFmt numFmtId="200" formatCode="#,###,;_(* \(#,##0\);_(* &quot;-&quot;_);_(@_)"/>
    <numFmt numFmtId="201" formatCode="#,###,;\(#,###,\)"/>
    <numFmt numFmtId="202" formatCode="_(* #,##0.0000_);_(* \(#,##0.0000\);_(* &quot;-&quot;??_);_(@_)"/>
    <numFmt numFmtId="203" formatCode="_(* #,##0_);_(* \(#,##0\);_(* &quot;0&quot;??_);_(@_)"/>
    <numFmt numFmtId="204" formatCode="_(* #,##0.00000_);_(* \(#,##0.00000\);_(* &quot;-&quot;??_);_(@_)"/>
    <numFmt numFmtId="205" formatCode="yyyy"/>
    <numFmt numFmtId="206" formatCode="&quot;$&quot;#,##0"/>
    <numFmt numFmtId="207" formatCode="#,##0.0"/>
    <numFmt numFmtId="208" formatCode="[$-409]d\-mmm\-yy;@"/>
    <numFmt numFmtId="209" formatCode="[$-409]mmm\-yy;@"/>
    <numFmt numFmtId="210" formatCode="#,###,"/>
    <numFmt numFmtId="211" formatCode="_(* #,##0.00_);_(* \(\ #,##0.00\ \);_(* &quot;-&quot;??_);_(\ @_ \)"/>
    <numFmt numFmtId="212" formatCode="mm/dd/yy"/>
    <numFmt numFmtId="213" formatCode="_([$€-2]* #,##0.00_);_([$€-2]* \(#,##0.00\);_([$€-2]* &quot;-&quot;??_)"/>
    <numFmt numFmtId="214" formatCode="0_);[Red]\(0\)"/>
    <numFmt numFmtId="215" formatCode="#,###,##0;\(#,###,##0\)"/>
    <numFmt numFmtId="216" formatCode="&quot;$&quot;#,###,##0.00;\(&quot;$&quot;#,###,##0.00\);\-"/>
    <numFmt numFmtId="217" formatCode="&quot;$&quot;#,###,##0;\(&quot;$&quot;#,###,##0\)"/>
    <numFmt numFmtId="218" formatCode="#,##0.00%;\(#,##0.00%\)"/>
    <numFmt numFmtId="219" formatCode="0.00000000%"/>
    <numFmt numFmtId="220" formatCode="#,###,;_(* \(#,###,\);_(* &quot;-&quot;_)"/>
    <numFmt numFmtId="221" formatCode="#,###.00000,;_(* \(#,###.00000,\);_(* &quot;-&quot;_)"/>
  </numFmts>
  <fonts count="386">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8"/>
      <name val="Times New Roman"/>
      <family val="1"/>
    </font>
    <font>
      <sz val="12"/>
      <name val="Times New Roman"/>
      <family val="1"/>
    </font>
    <font>
      <b/>
      <sz val="12"/>
      <name val="Times New Roman"/>
      <family val="1"/>
    </font>
    <font>
      <sz val="12"/>
      <color indexed="12"/>
      <name val="Times New Roman"/>
      <family val="1"/>
    </font>
    <font>
      <b/>
      <sz val="12"/>
      <color indexed="10"/>
      <name val="Times New Roman"/>
      <family val="1"/>
    </font>
    <font>
      <b/>
      <sz val="14"/>
      <name val="Times New Roman"/>
      <family val="1"/>
    </font>
    <font>
      <b/>
      <sz val="12"/>
      <color indexed="9"/>
      <name val="Times New Roman"/>
      <family val="1"/>
    </font>
    <font>
      <sz val="12"/>
      <color indexed="9"/>
      <name val="Times New Roman"/>
      <family val="1"/>
    </font>
    <font>
      <sz val="12"/>
      <color indexed="10"/>
      <name val="Times New Roman"/>
      <family val="1"/>
    </font>
    <font>
      <u/>
      <sz val="9"/>
      <color indexed="12"/>
      <name val="Times New Roman"/>
      <family val="1"/>
    </font>
    <font>
      <b/>
      <i/>
      <sz val="12"/>
      <name val="Times New Roman"/>
      <family val="1"/>
    </font>
    <font>
      <sz val="12"/>
      <color indexed="10"/>
      <name val="Times New Roman"/>
      <family val="1"/>
    </font>
    <font>
      <u/>
      <sz val="12"/>
      <color indexed="12"/>
      <name val="Times New Roman"/>
      <family val="1"/>
    </font>
    <font>
      <b/>
      <sz val="12"/>
      <name val="Times New Roman"/>
      <family val="1"/>
    </font>
    <font>
      <sz val="12"/>
      <name val="Times New Roman"/>
      <family val="1"/>
    </font>
    <font>
      <b/>
      <sz val="12"/>
      <color indexed="8"/>
      <name val="Arial"/>
      <family val="2"/>
    </font>
    <font>
      <sz val="12"/>
      <color indexed="12"/>
      <name val="Times New Roman"/>
      <family val="1"/>
    </font>
    <font>
      <sz val="10"/>
      <name val="Arial"/>
      <family val="2"/>
    </font>
    <font>
      <sz val="10"/>
      <name val="Times New Roman"/>
      <family val="1"/>
    </font>
    <font>
      <sz val="10"/>
      <color indexed="8"/>
      <name val="Arial"/>
      <family val="2"/>
    </font>
    <font>
      <b/>
      <sz val="12"/>
      <color indexed="12"/>
      <name val="Times New Roman"/>
      <family val="1"/>
    </font>
    <font>
      <sz val="12"/>
      <color indexed="8"/>
      <name val="Times New Roman"/>
      <family val="1"/>
    </font>
    <font>
      <i/>
      <sz val="12"/>
      <name val="Times New Roman"/>
      <family val="1"/>
    </font>
    <font>
      <b/>
      <sz val="12"/>
      <color indexed="8"/>
      <name val="Times New Roman"/>
      <family val="1"/>
    </font>
    <font>
      <i/>
      <sz val="12"/>
      <color indexed="10"/>
      <name val="Times New Roman"/>
      <family val="1"/>
    </font>
    <font>
      <sz val="12"/>
      <name val="Arial"/>
      <family val="2"/>
    </font>
    <font>
      <sz val="12"/>
      <name val="Times New Roman"/>
      <family val="1"/>
    </font>
    <font>
      <u/>
      <sz val="9"/>
      <color indexed="36"/>
      <name val="Arial MT"/>
    </font>
    <font>
      <b/>
      <sz val="14"/>
      <color indexed="8"/>
      <name val="Times New Roman"/>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color indexed="9"/>
      <name val="Times New Roman"/>
      <family val="1"/>
    </font>
    <font>
      <sz val="18"/>
      <name val="Times New Roman"/>
      <family val="1"/>
    </font>
    <font>
      <b/>
      <sz val="18"/>
      <name val="Times New Roman"/>
      <family val="1"/>
    </font>
    <font>
      <b/>
      <sz val="12"/>
      <color indexed="9"/>
      <name val="Times New Roman"/>
      <family val="1"/>
    </font>
    <font>
      <sz val="18"/>
      <name val="Times New Roman"/>
      <family val="1"/>
    </font>
    <font>
      <i/>
      <sz val="12"/>
      <name val="Times New Roman"/>
      <family val="1"/>
    </font>
    <font>
      <sz val="12"/>
      <name val="Times New Roman"/>
      <family val="1"/>
    </font>
    <font>
      <b/>
      <sz val="18"/>
      <color indexed="8"/>
      <name val="Times New Roman"/>
      <family val="1"/>
    </font>
    <font>
      <b/>
      <sz val="9"/>
      <color indexed="36"/>
      <name val="Arial MT"/>
    </font>
    <font>
      <u val="singleAccounting"/>
      <sz val="12"/>
      <name val="Times New Roman"/>
      <family val="1"/>
    </font>
    <font>
      <u val="singleAccounting"/>
      <sz val="12"/>
      <color indexed="8"/>
      <name val="Times New Roman"/>
      <family val="1"/>
    </font>
    <font>
      <sz val="10"/>
      <name val="Arial"/>
      <family val="2"/>
    </font>
    <font>
      <b/>
      <sz val="10"/>
      <name val="Arial"/>
      <family val="2"/>
    </font>
    <font>
      <b/>
      <sz val="12"/>
      <name val="Arial"/>
      <family val="2"/>
    </font>
    <font>
      <sz val="8"/>
      <name val="Arial"/>
      <family val="2"/>
    </font>
    <font>
      <sz val="12"/>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0"/>
      <color indexed="8"/>
      <name val="Arial"/>
      <family val="2"/>
    </font>
    <font>
      <sz val="11"/>
      <color indexed="62"/>
      <name val="Calibri"/>
      <family val="2"/>
    </font>
    <font>
      <shadow/>
      <sz val="10"/>
      <color indexed="12"/>
      <name val="Times New Roman"/>
      <family val="1"/>
    </font>
    <font>
      <sz val="11"/>
      <color indexed="52"/>
      <name val="Calibri"/>
      <family val="2"/>
    </font>
    <font>
      <b/>
      <sz val="12"/>
      <color indexed="9"/>
      <name val="Arial"/>
      <family val="2"/>
    </font>
    <font>
      <sz val="12"/>
      <color indexed="10"/>
      <name val="Arial"/>
      <family val="2"/>
    </font>
    <font>
      <shadow/>
      <sz val="10"/>
      <color indexed="16"/>
      <name val="Times New Roman"/>
      <family val="1"/>
    </font>
    <font>
      <sz val="11"/>
      <color indexed="60"/>
      <name val="Calibri"/>
      <family val="2"/>
    </font>
    <font>
      <sz val="10"/>
      <name val="Times New Roman"/>
      <family val="1"/>
    </font>
    <font>
      <b/>
      <sz val="11"/>
      <color indexed="63"/>
      <name val="Calibri"/>
      <family val="2"/>
    </font>
    <font>
      <sz val="10"/>
      <name val="MS Sans Serif"/>
      <family val="2"/>
    </font>
    <font>
      <b/>
      <sz val="10"/>
      <color indexed="8"/>
      <name val="Times New Roman"/>
      <family val="1"/>
    </font>
    <font>
      <b/>
      <sz val="18"/>
      <color indexed="56"/>
      <name val="Cambria"/>
      <family val="2"/>
    </font>
    <font>
      <b/>
      <sz val="14"/>
      <color indexed="8"/>
      <name val="Arial"/>
      <family val="2"/>
    </font>
    <font>
      <b/>
      <sz val="11"/>
      <color indexed="8"/>
      <name val="Calibri"/>
      <family val="2"/>
    </font>
    <font>
      <sz val="10"/>
      <color indexed="23"/>
      <name val="Times New Roman"/>
      <family val="1"/>
    </font>
    <font>
      <sz val="11"/>
      <color indexed="10"/>
      <name val="Calibri"/>
      <family val="2"/>
    </font>
    <font>
      <b/>
      <sz val="24"/>
      <name val="Times New Roman"/>
      <family val="1"/>
    </font>
    <font>
      <b/>
      <sz val="26"/>
      <name val="Times New Roman"/>
      <family val="1"/>
    </font>
    <font>
      <i/>
      <sz val="10"/>
      <name val="Arial"/>
      <family val="2"/>
    </font>
    <font>
      <b/>
      <sz val="9"/>
      <name val="Times New Roman"/>
      <family val="1"/>
    </font>
    <font>
      <b/>
      <sz val="18"/>
      <name val="Arial"/>
      <family val="2"/>
    </font>
    <font>
      <sz val="16"/>
      <name val="Arial"/>
      <family val="2"/>
    </font>
    <font>
      <sz val="12"/>
      <color indexed="46"/>
      <name val="Times New Roman"/>
      <family val="1"/>
    </font>
    <font>
      <b/>
      <u val="singleAccounting"/>
      <sz val="12"/>
      <name val="Times New Roman"/>
      <family val="1"/>
    </font>
    <font>
      <u/>
      <sz val="12"/>
      <color indexed="12"/>
      <name val="Times New Roman"/>
      <family val="1"/>
    </font>
    <font>
      <sz val="12"/>
      <name val="Helv"/>
    </font>
    <font>
      <b/>
      <sz val="8"/>
      <name val="Arial"/>
      <family val="2"/>
    </font>
    <font>
      <b/>
      <sz val="10"/>
      <name val="Arial"/>
      <family val="2"/>
    </font>
    <font>
      <b/>
      <sz val="10"/>
      <name val="Helv"/>
    </font>
    <font>
      <b/>
      <i/>
      <sz val="10"/>
      <name val="Helv"/>
    </font>
    <font>
      <i/>
      <sz val="10"/>
      <name val="Helv"/>
    </font>
    <font>
      <b/>
      <i/>
      <sz val="10"/>
      <name val="Arial"/>
      <family val="2"/>
    </font>
    <font>
      <b/>
      <sz val="12"/>
      <color indexed="60"/>
      <name val="Arial"/>
      <family val="2"/>
    </font>
    <font>
      <b/>
      <sz val="14"/>
      <color indexed="56"/>
      <name val="Arial"/>
      <family val="2"/>
    </font>
    <font>
      <sz val="12"/>
      <name val="Times New Roman"/>
      <family val="1"/>
    </font>
    <font>
      <b/>
      <sz val="10"/>
      <name val="MS Sans Serif"/>
      <family val="2"/>
    </font>
    <font>
      <sz val="9"/>
      <color indexed="8"/>
      <name val="Arial"/>
      <family val="2"/>
    </font>
    <font>
      <sz val="9"/>
      <color indexed="12"/>
      <name val="Arial"/>
      <family val="2"/>
    </font>
    <font>
      <sz val="9"/>
      <name val="Arial"/>
      <family val="2"/>
    </font>
    <font>
      <b/>
      <sz val="9"/>
      <color indexed="8"/>
      <name val="Arial"/>
      <family val="2"/>
    </font>
    <font>
      <sz val="8"/>
      <color indexed="8"/>
      <name val="Arial"/>
      <family val="2"/>
    </font>
    <font>
      <b/>
      <sz val="9"/>
      <color indexed="8"/>
      <name val="Arial"/>
      <family val="2"/>
    </font>
    <font>
      <b/>
      <sz val="9"/>
      <name val="Arial"/>
      <family val="2"/>
    </font>
    <font>
      <sz val="12"/>
      <color indexed="10"/>
      <name val="Times New Roman"/>
      <family val="1"/>
    </font>
    <font>
      <b/>
      <sz val="9"/>
      <color indexed="10"/>
      <name val="Arial"/>
      <family val="2"/>
    </font>
    <font>
      <sz val="8"/>
      <color indexed="81"/>
      <name val="Tahoma"/>
      <family val="2"/>
    </font>
    <font>
      <b/>
      <sz val="8"/>
      <color indexed="81"/>
      <name val="Tahoma"/>
      <family val="2"/>
    </font>
    <font>
      <sz val="12"/>
      <name val="Times New Roman"/>
      <family val="1"/>
    </font>
    <font>
      <b/>
      <sz val="12"/>
      <name val="Times New Roman"/>
      <family val="1"/>
    </font>
    <font>
      <sz val="10"/>
      <color indexed="12"/>
      <name val="Souvienne"/>
    </font>
    <font>
      <sz val="12"/>
      <color indexed="48"/>
      <name val="Times New Roman"/>
      <family val="1"/>
    </font>
    <font>
      <b/>
      <sz val="10.7"/>
      <name val="Times New Roman"/>
      <family val="1"/>
    </font>
    <font>
      <u/>
      <sz val="12"/>
      <name val="Arial"/>
      <family val="2"/>
    </font>
    <font>
      <b/>
      <sz val="16"/>
      <color indexed="0"/>
      <name val="Arial"/>
      <family val="2"/>
    </font>
    <font>
      <sz val="10"/>
      <color indexed="0"/>
      <name val="Arial"/>
      <family val="2"/>
    </font>
    <font>
      <b/>
      <i/>
      <sz val="10"/>
      <color indexed="0"/>
      <name val="Times New Roman"/>
      <family val="1"/>
    </font>
    <font>
      <b/>
      <sz val="12"/>
      <color indexed="0"/>
      <name val="Times New Roman"/>
      <family val="1"/>
    </font>
    <font>
      <sz val="11"/>
      <color indexed="0"/>
      <name val="Times New Roman"/>
      <family val="1"/>
    </font>
    <font>
      <i/>
      <sz val="10"/>
      <color indexed="0"/>
      <name val="Times New Roman"/>
      <family val="1"/>
    </font>
    <font>
      <b/>
      <sz val="11"/>
      <name val="Times New Roman"/>
      <family val="1"/>
    </font>
    <font>
      <sz val="12"/>
      <name val="Times New Roman"/>
      <family val="1"/>
    </font>
    <font>
      <sz val="12"/>
      <name val="Times New Roman"/>
      <family val="1"/>
    </font>
    <font>
      <sz val="9"/>
      <color indexed="81"/>
      <name val="Tahoma"/>
      <family val="2"/>
    </font>
    <font>
      <b/>
      <sz val="9"/>
      <color indexed="81"/>
      <name val="Tahoma"/>
      <family val="2"/>
    </font>
    <font>
      <b/>
      <sz val="16"/>
      <color indexed="81"/>
      <name val="Tahoma"/>
      <family val="2"/>
    </font>
    <font>
      <sz val="16"/>
      <color indexed="81"/>
      <name val="Tahoma"/>
      <family val="2"/>
    </font>
    <font>
      <b/>
      <sz val="11"/>
      <name val="Calibri"/>
      <family val="2"/>
    </font>
    <font>
      <b/>
      <sz val="13"/>
      <name val="Arial"/>
      <family val="2"/>
    </font>
    <font>
      <sz val="11"/>
      <color indexed="8"/>
      <name val="Arial"/>
      <family val="2"/>
    </font>
    <font>
      <sz val="11"/>
      <color indexed="8"/>
      <name val="Calibri"/>
      <family val="2"/>
    </font>
    <font>
      <sz val="12"/>
      <color indexed="12"/>
      <name val="Times New Roman"/>
      <family val="1"/>
    </font>
    <font>
      <sz val="12"/>
      <color indexed="10"/>
      <name val="Times New Roman"/>
      <family val="1"/>
    </font>
    <font>
      <b/>
      <sz val="11"/>
      <color indexed="18"/>
      <name val="Times New Roman"/>
      <family val="1"/>
    </font>
    <font>
      <b/>
      <sz val="11"/>
      <color indexed="8"/>
      <name val="Calibri"/>
      <family val="2"/>
    </font>
    <font>
      <sz val="11"/>
      <name val="Calibri"/>
      <family val="2"/>
    </font>
    <font>
      <b/>
      <sz val="11"/>
      <name val="Calibri"/>
      <family val="2"/>
    </font>
    <font>
      <sz val="11"/>
      <color indexed="10"/>
      <name val="Calibri"/>
      <family val="2"/>
    </font>
    <font>
      <u/>
      <sz val="11"/>
      <color indexed="8"/>
      <name val="Calibri"/>
      <family val="2"/>
    </font>
    <font>
      <i/>
      <sz val="11"/>
      <color indexed="8"/>
      <name val="Calibri"/>
      <family val="2"/>
    </font>
    <font>
      <u/>
      <sz val="11"/>
      <name val="Calibri"/>
      <family val="2"/>
    </font>
    <font>
      <sz val="8"/>
      <color indexed="10"/>
      <name val="Calibri"/>
      <family val="2"/>
    </font>
    <font>
      <i/>
      <u/>
      <sz val="11"/>
      <name val="Calibri"/>
      <family val="2"/>
    </font>
    <font>
      <i/>
      <sz val="11"/>
      <name val="Calibri"/>
      <family val="2"/>
    </font>
    <font>
      <sz val="11"/>
      <color indexed="48"/>
      <name val="Calibri"/>
      <family val="2"/>
    </font>
    <font>
      <b/>
      <sz val="11"/>
      <color indexed="48"/>
      <name val="Calibri"/>
      <family val="2"/>
    </font>
    <font>
      <b/>
      <sz val="11"/>
      <color indexed="9"/>
      <name val="Calibri"/>
      <family val="2"/>
    </font>
    <font>
      <b/>
      <u/>
      <sz val="11"/>
      <name val="Calibri"/>
      <family val="2"/>
    </font>
    <font>
      <b/>
      <u/>
      <sz val="11"/>
      <color indexed="8"/>
      <name val="Calibri"/>
      <family val="2"/>
    </font>
    <font>
      <b/>
      <sz val="12"/>
      <color indexed="12"/>
      <name val="Times New Roman"/>
      <family val="1"/>
    </font>
    <font>
      <b/>
      <sz val="12"/>
      <color indexed="10"/>
      <name val="Times New Roman"/>
      <family val="1"/>
    </font>
    <font>
      <b/>
      <sz val="9"/>
      <name val="Calibri"/>
      <family val="2"/>
    </font>
    <font>
      <sz val="9"/>
      <name val="Calibri"/>
      <family val="2"/>
    </font>
    <font>
      <sz val="12"/>
      <name val="Times New Roman"/>
      <family val="1"/>
    </font>
    <font>
      <sz val="12"/>
      <name val="Times New Roman"/>
      <family val="1"/>
    </font>
    <font>
      <sz val="12"/>
      <name val="Times New Roman"/>
      <family val="1"/>
    </font>
    <font>
      <b/>
      <u/>
      <sz val="9"/>
      <color indexed="36"/>
      <name val="Arial MT"/>
    </font>
    <font>
      <b/>
      <sz val="12"/>
      <color indexed="81"/>
      <name val="Tahoma"/>
      <family val="2"/>
    </font>
    <font>
      <sz val="12"/>
      <color indexed="81"/>
      <name val="Tahoma"/>
      <family val="2"/>
    </font>
    <font>
      <sz val="12"/>
      <name val="Times New Roman"/>
      <family val="1"/>
    </font>
    <font>
      <sz val="12"/>
      <name val="Times New Roman"/>
      <family val="1"/>
    </font>
    <font>
      <sz val="12"/>
      <name val="Times New Roman"/>
      <family val="1"/>
    </font>
    <font>
      <b/>
      <sz val="10"/>
      <name val="Letter Gothic"/>
      <family val="3"/>
    </font>
    <font>
      <sz val="12"/>
      <name val="Times New Roman"/>
      <family val="1"/>
    </font>
    <font>
      <sz val="12"/>
      <name val="Times New Roman"/>
      <family val="1"/>
    </font>
    <font>
      <i/>
      <sz val="10"/>
      <name val="Times New Roman"/>
      <family val="1"/>
    </font>
    <font>
      <sz val="12"/>
      <name val="Times New Roman"/>
      <family val="1"/>
    </font>
    <font>
      <sz val="12"/>
      <name val="Times New Roman"/>
      <family val="1"/>
    </font>
    <font>
      <sz val="12"/>
      <name val="Times New Roman"/>
      <family val="1"/>
    </font>
    <font>
      <sz val="12"/>
      <name val="Times New Roman"/>
      <family val="1"/>
    </font>
    <font>
      <sz val="11"/>
      <name val="Cambria"/>
      <family val="1"/>
    </font>
    <font>
      <b/>
      <sz val="11"/>
      <name val="Cambria"/>
      <family val="1"/>
    </font>
    <font>
      <sz val="10"/>
      <name val="Calibri"/>
      <family val="2"/>
    </font>
    <font>
      <sz val="11"/>
      <name val="Times New Roman"/>
      <family val="1"/>
    </font>
    <font>
      <sz val="7"/>
      <name val="Times New Roman"/>
      <family val="1"/>
    </font>
    <font>
      <b/>
      <sz val="14"/>
      <color indexed="15"/>
      <name val="Calibri"/>
      <family val="2"/>
    </font>
    <font>
      <sz val="12"/>
      <name val="Times New Roman"/>
      <family val="1"/>
    </font>
    <font>
      <sz val="11"/>
      <color indexed="8"/>
      <name val="Calibri"/>
      <family val="2"/>
    </font>
    <font>
      <sz val="12"/>
      <name val="Calibri"/>
      <family val="2"/>
    </font>
    <font>
      <b/>
      <sz val="18"/>
      <name val="Calibri"/>
      <family val="2"/>
    </font>
    <font>
      <b/>
      <sz val="12"/>
      <name val="Calibri"/>
      <family val="2"/>
    </font>
    <font>
      <b/>
      <sz val="12"/>
      <color indexed="9"/>
      <name val="Calibri"/>
      <family val="2"/>
    </font>
    <font>
      <b/>
      <i/>
      <sz val="12"/>
      <name val="Calibri"/>
      <family val="2"/>
    </font>
    <font>
      <b/>
      <i/>
      <u/>
      <sz val="12"/>
      <name val="Calibri"/>
      <family val="2"/>
    </font>
    <font>
      <b/>
      <sz val="12"/>
      <color indexed="12"/>
      <name val="Calibri"/>
      <family val="2"/>
    </font>
    <font>
      <sz val="12"/>
      <color indexed="12"/>
      <name val="Calibri"/>
      <family val="2"/>
    </font>
    <font>
      <i/>
      <u/>
      <sz val="12"/>
      <name val="Calibri"/>
      <family val="2"/>
    </font>
    <font>
      <sz val="12"/>
      <color indexed="10"/>
      <name val="Calibri"/>
      <family val="2"/>
    </font>
    <font>
      <u val="singleAccounting"/>
      <sz val="12"/>
      <name val="Calibri"/>
      <family val="2"/>
    </font>
    <font>
      <sz val="12"/>
      <color indexed="9"/>
      <name val="Calibri"/>
      <family val="2"/>
    </font>
    <font>
      <b/>
      <sz val="12"/>
      <color indexed="10"/>
      <name val="Calibri"/>
      <family val="2"/>
    </font>
    <font>
      <u/>
      <sz val="12"/>
      <name val="Calibri"/>
      <family val="2"/>
    </font>
    <font>
      <sz val="11"/>
      <color indexed="10"/>
      <name val="Calibri"/>
      <family val="2"/>
    </font>
    <font>
      <b/>
      <sz val="11"/>
      <color indexed="8"/>
      <name val="Calibri"/>
      <family val="2"/>
    </font>
    <font>
      <u/>
      <sz val="9"/>
      <color indexed="36"/>
      <name val="Calibri"/>
      <family val="2"/>
    </font>
    <font>
      <sz val="12"/>
      <color indexed="8"/>
      <name val="Calibri"/>
      <family val="2"/>
    </font>
    <font>
      <b/>
      <sz val="18"/>
      <color indexed="8"/>
      <name val="Calibri"/>
      <family val="2"/>
    </font>
    <font>
      <b/>
      <sz val="12"/>
      <color indexed="8"/>
      <name val="Calibri"/>
      <family val="2"/>
    </font>
    <font>
      <b/>
      <sz val="14"/>
      <color indexed="8"/>
      <name val="Calibri"/>
      <family val="2"/>
    </font>
    <font>
      <u val="singleAccounting"/>
      <sz val="12"/>
      <color indexed="8"/>
      <name val="Calibri"/>
      <family val="2"/>
    </font>
    <font>
      <b/>
      <sz val="9"/>
      <color indexed="36"/>
      <name val="Calibri"/>
      <family val="2"/>
    </font>
    <font>
      <u/>
      <sz val="12"/>
      <color indexed="8"/>
      <name val="Calibri"/>
      <family val="2"/>
    </font>
    <font>
      <b/>
      <sz val="12"/>
      <color indexed="9"/>
      <name val="Times New Roman"/>
      <family val="1"/>
    </font>
    <font>
      <sz val="12"/>
      <color indexed="9"/>
      <name val="Times New Roman"/>
      <family val="1"/>
    </font>
    <font>
      <sz val="11"/>
      <name val="Calibri"/>
      <family val="2"/>
    </font>
    <font>
      <b/>
      <sz val="11"/>
      <name val="Calibri"/>
      <family val="2"/>
    </font>
    <font>
      <sz val="12"/>
      <color indexed="12"/>
      <name val="Times New Roman"/>
      <family val="1"/>
    </font>
    <font>
      <sz val="12"/>
      <color indexed="12"/>
      <name val="Calibri"/>
      <family val="2"/>
    </font>
    <font>
      <b/>
      <sz val="12"/>
      <color indexed="10"/>
      <name val="Calibri"/>
      <family val="2"/>
    </font>
    <font>
      <b/>
      <u/>
      <sz val="11"/>
      <name val="Calibri"/>
      <family val="2"/>
    </font>
    <font>
      <sz val="10"/>
      <color indexed="12"/>
      <name val="Arial"/>
      <family val="2"/>
    </font>
    <font>
      <sz val="12"/>
      <color indexed="10"/>
      <name val="Calibri"/>
      <family val="2"/>
    </font>
    <font>
      <sz val="12"/>
      <color indexed="10"/>
      <name val="Times New Roman"/>
      <family val="1"/>
    </font>
    <font>
      <sz val="18"/>
      <color indexed="10"/>
      <name val="Calibri"/>
      <family val="2"/>
    </font>
    <font>
      <b/>
      <u/>
      <sz val="11"/>
      <color indexed="8"/>
      <name val="Calibri"/>
      <family val="2"/>
    </font>
    <font>
      <b/>
      <i/>
      <sz val="11"/>
      <color indexed="8"/>
      <name val="Calibri"/>
      <family val="2"/>
    </font>
    <font>
      <i/>
      <sz val="11"/>
      <color indexed="8"/>
      <name val="Calibri"/>
      <family val="2"/>
    </font>
    <font>
      <u/>
      <sz val="11"/>
      <color indexed="8"/>
      <name val="Calibri"/>
      <family val="2"/>
    </font>
    <font>
      <sz val="11"/>
      <color indexed="12"/>
      <name val="Calibri"/>
      <family val="2"/>
    </font>
    <font>
      <b/>
      <sz val="11"/>
      <color indexed="10"/>
      <name val="Calibri"/>
      <family val="2"/>
    </font>
    <font>
      <i/>
      <sz val="12"/>
      <color indexed="12"/>
      <name val="Times New Roman"/>
      <family val="1"/>
    </font>
    <font>
      <sz val="12"/>
      <color indexed="22"/>
      <name val="Times New Roman"/>
      <family val="1"/>
    </font>
    <font>
      <b/>
      <sz val="10"/>
      <color indexed="12"/>
      <name val="Arial"/>
      <family val="2"/>
    </font>
    <font>
      <sz val="11"/>
      <color indexed="8"/>
      <name val="Calibri"/>
      <family val="2"/>
    </font>
    <font>
      <sz val="10"/>
      <color indexed="8"/>
      <name val="Arial"/>
      <family val="2"/>
    </font>
    <font>
      <sz val="8"/>
      <color indexed="8"/>
      <name val="Arial"/>
      <family val="2"/>
    </font>
    <font>
      <b/>
      <sz val="8"/>
      <color indexed="8"/>
      <name val="Arial"/>
      <family val="2"/>
    </font>
    <font>
      <sz val="12"/>
      <color indexed="30"/>
      <name val="Times New Roman"/>
      <family val="1"/>
    </font>
    <font>
      <b/>
      <sz val="11"/>
      <color indexed="27"/>
      <name val="Calibri"/>
      <family val="2"/>
    </font>
    <font>
      <sz val="11"/>
      <color indexed="12"/>
      <name val="Calibri"/>
      <family val="2"/>
    </font>
    <font>
      <b/>
      <sz val="11"/>
      <color indexed="12"/>
      <name val="Calibri"/>
      <family val="2"/>
    </font>
    <font>
      <sz val="11"/>
      <color indexed="48"/>
      <name val="Calibri"/>
      <family val="2"/>
    </font>
    <font>
      <b/>
      <sz val="11"/>
      <color indexed="12"/>
      <name val="Calibri"/>
      <family val="2"/>
    </font>
    <font>
      <b/>
      <sz val="8"/>
      <color indexed="10"/>
      <name val="Calibri"/>
      <family val="2"/>
    </font>
    <font>
      <sz val="8"/>
      <color indexed="10"/>
      <name val="Calibri"/>
      <family val="2"/>
    </font>
    <font>
      <sz val="11"/>
      <color indexed="0"/>
      <name val="Calibri"/>
      <family val="2"/>
    </font>
    <font>
      <sz val="12"/>
      <color indexed="17"/>
      <name val="Times New Roman"/>
      <family val="1"/>
    </font>
    <font>
      <sz val="12"/>
      <color indexed="51"/>
      <name val="Times New Roman"/>
      <family val="1"/>
    </font>
    <font>
      <b/>
      <sz val="8"/>
      <color indexed="12"/>
      <name val="Calibri"/>
      <family val="2"/>
    </font>
    <font>
      <sz val="8"/>
      <color indexed="12"/>
      <name val="Calibri"/>
      <family val="2"/>
    </font>
    <font>
      <b/>
      <sz val="11"/>
      <color indexed="62"/>
      <name val="Calibri"/>
      <family val="2"/>
    </font>
    <font>
      <b/>
      <sz val="11"/>
      <color indexed="52"/>
      <name val="Calibri"/>
      <family val="2"/>
    </font>
    <font>
      <sz val="11"/>
      <color indexed="30"/>
      <name val="Calibri"/>
      <family val="2"/>
    </font>
    <font>
      <sz val="11"/>
      <color indexed="48"/>
      <name val="Calibri"/>
      <family val="2"/>
    </font>
    <font>
      <b/>
      <sz val="11"/>
      <color indexed="12"/>
      <name val="Calibri"/>
      <family val="2"/>
    </font>
    <font>
      <b/>
      <sz val="11"/>
      <color indexed="9"/>
      <name val="Calibri"/>
      <family val="2"/>
    </font>
    <font>
      <sz val="10"/>
      <name val="Calibri"/>
      <family val="2"/>
    </font>
    <font>
      <b/>
      <sz val="10"/>
      <name val="Calibri"/>
      <family val="2"/>
    </font>
    <font>
      <sz val="12"/>
      <color indexed="22"/>
      <name val="Times New Roman"/>
      <family val="1"/>
    </font>
    <font>
      <b/>
      <sz val="14"/>
      <color indexed="9"/>
      <name val="Times New Roman"/>
      <family val="1"/>
    </font>
    <font>
      <b/>
      <sz val="11"/>
      <color indexed="9"/>
      <name val="Calibri"/>
      <family val="2"/>
    </font>
    <font>
      <i/>
      <sz val="12"/>
      <color indexed="9"/>
      <name val="Times New Roman"/>
      <family val="1"/>
    </font>
    <font>
      <sz val="10"/>
      <color indexed="9"/>
      <name val="Times New Roman"/>
      <family val="1"/>
    </font>
    <font>
      <sz val="12"/>
      <color indexed="9"/>
      <name val="Arial"/>
      <family val="2"/>
    </font>
    <font>
      <b/>
      <sz val="10"/>
      <color indexed="9"/>
      <name val="Arial"/>
      <family val="2"/>
    </font>
    <font>
      <b/>
      <sz val="11"/>
      <color indexed="9"/>
      <name val="Calibri"/>
      <family val="2"/>
    </font>
    <font>
      <b/>
      <sz val="10"/>
      <color indexed="9"/>
      <name val="Calibri"/>
      <family val="2"/>
    </font>
    <font>
      <b/>
      <sz val="14"/>
      <color indexed="15"/>
      <name val="Calibri"/>
      <family val="2"/>
    </font>
    <font>
      <b/>
      <sz val="12"/>
      <color indexed="48"/>
      <name val="Calibri"/>
      <family val="2"/>
    </font>
    <font>
      <sz val="14"/>
      <color indexed="15"/>
      <name val="Times New Roman"/>
      <family val="1"/>
    </font>
    <font>
      <b/>
      <sz val="14"/>
      <color indexed="48"/>
      <name val="Calibri"/>
      <family val="2"/>
    </font>
    <font>
      <b/>
      <sz val="12"/>
      <color indexed="9"/>
      <name val="Calibri"/>
      <family val="2"/>
    </font>
    <font>
      <b/>
      <sz val="12"/>
      <color indexed="12"/>
      <name val="Times New Roman"/>
      <family val="1"/>
    </font>
    <font>
      <sz val="12"/>
      <color indexed="12"/>
      <name val="Times New Roman"/>
      <family val="1"/>
    </font>
    <font>
      <b/>
      <sz val="12"/>
      <color indexed="9"/>
      <name val="Times New Roman"/>
      <family val="1"/>
    </font>
    <font>
      <b/>
      <u val="singleAccounting"/>
      <sz val="12"/>
      <color indexed="9"/>
      <name val="Times New Roman"/>
      <family val="1"/>
    </font>
    <font>
      <sz val="12"/>
      <color indexed="12"/>
      <name val="Times New Roman"/>
      <family val="1"/>
    </font>
    <font>
      <u val="singleAccounting"/>
      <sz val="12"/>
      <color indexed="12"/>
      <name val="Times New Roman"/>
      <family val="1"/>
    </font>
    <font>
      <sz val="12"/>
      <name val="Times New Roman"/>
      <family val="1"/>
    </font>
    <font>
      <sz val="12"/>
      <color indexed="9"/>
      <name val="Times New Roman"/>
      <family val="1"/>
    </font>
    <font>
      <b/>
      <sz val="12"/>
      <color indexed="12"/>
      <name val="Times New Roman"/>
      <family val="1"/>
    </font>
    <font>
      <b/>
      <sz val="12"/>
      <color indexed="10"/>
      <name val="Times New Roman"/>
      <family val="1"/>
    </font>
    <font>
      <sz val="12"/>
      <color indexed="10"/>
      <name val="Calibri"/>
      <family val="2"/>
    </font>
    <font>
      <sz val="11"/>
      <color theme="1"/>
      <name val="Calibri"/>
      <family val="2"/>
      <scheme val="minor"/>
    </font>
    <font>
      <sz val="12"/>
      <color rgb="FF0000FF"/>
      <name val="Times New Roman"/>
      <family val="1"/>
    </font>
    <font>
      <sz val="12"/>
      <color theme="0"/>
      <name val="Times New Roman"/>
      <family val="1"/>
    </font>
    <font>
      <sz val="10"/>
      <color theme="0"/>
      <name val="Times New Roman"/>
      <family val="1"/>
    </font>
    <font>
      <sz val="11"/>
      <name val="Calibri"/>
      <family val="2"/>
      <scheme val="minor"/>
    </font>
    <font>
      <b/>
      <sz val="11"/>
      <name val="Calibri"/>
      <family val="2"/>
      <scheme val="minor"/>
    </font>
    <font>
      <sz val="11"/>
      <color rgb="FFFF0000"/>
      <name val="Calibri"/>
      <family val="2"/>
    </font>
    <font>
      <sz val="12"/>
      <color rgb="FFFF0000"/>
      <name val="Times New Roman"/>
      <family val="1"/>
    </font>
    <font>
      <u/>
      <sz val="12"/>
      <color indexed="10"/>
      <name val="Times New Roman"/>
      <family val="1"/>
    </font>
    <font>
      <u/>
      <sz val="12"/>
      <color rgb="FFFF0000"/>
      <name val="Times New Roman"/>
      <family val="1"/>
    </font>
    <font>
      <u/>
      <sz val="12"/>
      <color indexed="10"/>
      <name val="Calibri"/>
      <family val="2"/>
    </font>
    <font>
      <b/>
      <sz val="11"/>
      <color indexed="9"/>
      <name val="Times New Roman"/>
      <family val="1"/>
    </font>
    <font>
      <u/>
      <sz val="12"/>
      <name val="Times New Roman"/>
      <family val="1"/>
    </font>
    <font>
      <b/>
      <sz val="22"/>
      <color theme="1"/>
      <name val="Calibri"/>
      <family val="2"/>
      <scheme val="minor"/>
    </font>
    <font>
      <b/>
      <sz val="11"/>
      <color theme="1"/>
      <name val="Calibri"/>
      <family val="2"/>
      <scheme val="minor"/>
    </font>
    <font>
      <b/>
      <sz val="11"/>
      <color theme="6" tint="-0.499984740745262"/>
      <name val="Calibri"/>
      <family val="2"/>
      <scheme val="minor"/>
    </font>
    <font>
      <b/>
      <sz val="11"/>
      <color theme="0"/>
      <name val="Calibri"/>
      <family val="2"/>
      <scheme val="minor"/>
    </font>
    <font>
      <b/>
      <sz val="11"/>
      <color rgb="FFFF0000"/>
      <name val="Calibri"/>
      <family val="2"/>
      <scheme val="minor"/>
    </font>
    <font>
      <sz val="11"/>
      <color theme="1"/>
      <name val="Times New Roman"/>
      <family val="2"/>
    </font>
    <font>
      <sz val="11"/>
      <color theme="1"/>
      <name val="Arial"/>
      <family val="2"/>
    </font>
    <font>
      <sz val="11"/>
      <color indexed="9"/>
      <name val="Arial"/>
      <family val="2"/>
    </font>
    <font>
      <sz val="10"/>
      <color indexed="9"/>
      <name val="Arial"/>
      <family val="2"/>
    </font>
    <font>
      <sz val="11"/>
      <color rgb="FF9C0006"/>
      <name val="Arial"/>
      <family val="2"/>
    </font>
    <font>
      <sz val="11"/>
      <color indexed="20"/>
      <name val="Arial"/>
      <family val="2"/>
    </font>
    <font>
      <b/>
      <sz val="11"/>
      <color indexed="52"/>
      <name val="Arial"/>
      <family val="2"/>
    </font>
    <font>
      <b/>
      <sz val="11"/>
      <color indexed="9"/>
      <name val="Arial"/>
      <family val="2"/>
    </font>
    <font>
      <sz val="12"/>
      <color theme="1"/>
      <name val="Times New Roman"/>
      <family val="2"/>
    </font>
    <font>
      <sz val="10"/>
      <name val="Tahoma"/>
      <family val="2"/>
    </font>
    <font>
      <sz val="10"/>
      <color theme="1"/>
      <name val="Times New Roman"/>
      <family val="2"/>
    </font>
    <font>
      <sz val="10"/>
      <color theme="1"/>
      <name val="Arial"/>
      <family val="2"/>
    </font>
    <font>
      <i/>
      <sz val="11"/>
      <color indexed="23"/>
      <name val="Arial"/>
      <family val="2"/>
    </font>
    <font>
      <sz val="11"/>
      <color rgb="FF006100"/>
      <name val="Arial"/>
      <family val="2"/>
    </font>
    <font>
      <sz val="11"/>
      <color indexed="17"/>
      <name val="Arial"/>
      <family val="2"/>
    </font>
    <font>
      <sz val="10"/>
      <color rgb="FF006100"/>
      <name val="Arial"/>
      <family val="2"/>
    </font>
    <font>
      <b/>
      <sz val="15"/>
      <color indexed="56"/>
      <name val="Arial"/>
      <family val="2"/>
    </font>
    <font>
      <b/>
      <sz val="13"/>
      <color indexed="56"/>
      <name val="Arial"/>
      <family val="2"/>
    </font>
    <font>
      <b/>
      <sz val="11"/>
      <color indexed="56"/>
      <name val="Arial"/>
      <family val="2"/>
    </font>
    <font>
      <u/>
      <sz val="11"/>
      <color theme="10"/>
      <name val="Arial"/>
      <family val="2"/>
    </font>
    <font>
      <sz val="11"/>
      <color indexed="62"/>
      <name val="Arial"/>
      <family val="2"/>
    </font>
    <font>
      <sz val="11"/>
      <color indexed="52"/>
      <name val="Arial"/>
      <family val="2"/>
    </font>
    <font>
      <sz val="10"/>
      <color rgb="FF9C6500"/>
      <name val="Arial"/>
      <family val="2"/>
    </font>
    <font>
      <sz val="11"/>
      <color indexed="60"/>
      <name val="Arial"/>
      <family val="2"/>
    </font>
    <font>
      <sz val="10"/>
      <color theme="1"/>
      <name val="Calibri"/>
      <family val="2"/>
    </font>
    <font>
      <b/>
      <sz val="11"/>
      <color indexed="63"/>
      <name val="Arial"/>
      <family val="2"/>
    </font>
    <font>
      <b/>
      <i/>
      <sz val="12"/>
      <color indexed="0"/>
      <name val="Times New Roman"/>
      <family val="1"/>
    </font>
    <font>
      <sz val="12"/>
      <color indexed="0"/>
      <name val="Times New Roman"/>
      <family val="1"/>
    </font>
    <font>
      <i/>
      <sz val="12"/>
      <color indexed="0"/>
      <name val="Times New Roman"/>
      <family val="1"/>
    </font>
    <font>
      <b/>
      <sz val="12"/>
      <color indexed="0"/>
      <name val="Arial"/>
      <family val="2"/>
    </font>
    <font>
      <sz val="8"/>
      <color indexed="0"/>
      <name val="Times New Roman"/>
      <family val="1"/>
    </font>
    <font>
      <i/>
      <sz val="12"/>
      <color indexed="0"/>
      <name val="Arial"/>
      <family val="2"/>
    </font>
    <font>
      <sz val="11"/>
      <color indexed="0"/>
      <name val="Arial"/>
      <family val="2"/>
    </font>
    <font>
      <sz val="10"/>
      <color indexed="0"/>
      <name val="Times New Roman"/>
      <family val="1"/>
    </font>
    <font>
      <b/>
      <sz val="11"/>
      <color indexed="0"/>
      <name val="Arial"/>
      <family val="2"/>
    </font>
    <font>
      <i/>
      <sz val="11"/>
      <color indexed="0"/>
      <name val="Times New Roman"/>
      <family val="1"/>
    </font>
    <font>
      <b/>
      <sz val="10"/>
      <color indexed="0"/>
      <name val="Times New Roman"/>
      <family val="1"/>
    </font>
    <font>
      <b/>
      <sz val="11"/>
      <color indexed="8"/>
      <name val="Arial"/>
      <family val="2"/>
    </font>
    <font>
      <sz val="11"/>
      <color indexed="10"/>
      <name val="Arial"/>
      <family val="2"/>
    </font>
    <font>
      <sz val="14"/>
      <name val="Times New Roman"/>
      <family val="1"/>
    </font>
    <font>
      <sz val="11"/>
      <name val="Arial"/>
      <family val="2"/>
    </font>
    <font>
      <sz val="11"/>
      <name val="Times New Roman"/>
      <family val="2"/>
    </font>
    <font>
      <sz val="10"/>
      <color theme="1"/>
      <name val="Calibri"/>
      <family val="2"/>
      <scheme val="minor"/>
    </font>
    <font>
      <sz val="10"/>
      <color rgb="FFC00000"/>
      <name val="Calibri"/>
      <family val="2"/>
      <scheme val="minor"/>
    </font>
    <font>
      <b/>
      <sz val="10"/>
      <color theme="1"/>
      <name val="Calibri"/>
      <family val="2"/>
      <scheme val="minor"/>
    </font>
    <font>
      <i/>
      <sz val="10"/>
      <color theme="1"/>
      <name val="Calibri"/>
      <family val="2"/>
      <scheme val="minor"/>
    </font>
    <font>
      <i/>
      <sz val="10"/>
      <color rgb="FFC00000"/>
      <name val="Calibri"/>
      <family val="2"/>
      <scheme val="minor"/>
    </font>
    <font>
      <b/>
      <i/>
      <sz val="10"/>
      <color theme="1"/>
      <name val="Calibri"/>
      <family val="2"/>
      <scheme val="minor"/>
    </font>
    <font>
      <sz val="12"/>
      <color rgb="FFFF0000"/>
      <name val="Calibri"/>
      <family val="2"/>
    </font>
    <font>
      <b/>
      <sz val="11"/>
      <color theme="3"/>
      <name val="Calibri"/>
      <family val="2"/>
      <scheme val="minor"/>
    </font>
    <font>
      <b/>
      <u/>
      <sz val="11"/>
      <color theme="1"/>
      <name val="Calibri"/>
      <family val="2"/>
      <scheme val="minor"/>
    </font>
    <font>
      <sz val="11"/>
      <color theme="3"/>
      <name val="Calibri"/>
      <family val="2"/>
      <scheme val="minor"/>
    </font>
    <font>
      <sz val="8"/>
      <color rgb="FFFF0000"/>
      <name val="Calibri"/>
      <family val="2"/>
      <scheme val="minor"/>
    </font>
    <font>
      <b/>
      <u/>
      <sz val="14"/>
      <color theme="1"/>
      <name val="Calibri"/>
      <family val="2"/>
      <scheme val="minor"/>
    </font>
    <font>
      <b/>
      <i/>
      <sz val="11"/>
      <color theme="1"/>
      <name val="Calibri"/>
      <family val="2"/>
      <scheme val="minor"/>
    </font>
    <font>
      <i/>
      <sz val="11"/>
      <color theme="1"/>
      <name val="Calibri"/>
      <family val="2"/>
      <scheme val="minor"/>
    </font>
    <font>
      <b/>
      <sz val="11"/>
      <color rgb="FF7030A0"/>
      <name val="Calibri"/>
      <family val="2"/>
      <scheme val="minor"/>
    </font>
    <font>
      <b/>
      <u/>
      <sz val="14"/>
      <name val="Calibri"/>
      <family val="2"/>
      <scheme val="minor"/>
    </font>
    <font>
      <u/>
      <sz val="11"/>
      <color theme="1"/>
      <name val="Calibri"/>
      <family val="2"/>
      <scheme val="minor"/>
    </font>
    <font>
      <sz val="12"/>
      <name val="Calibri"/>
      <family val="2"/>
      <scheme val="minor"/>
    </font>
    <font>
      <sz val="8"/>
      <color theme="1"/>
      <name val="Calibri"/>
      <family val="2"/>
      <scheme val="minor"/>
    </font>
    <font>
      <sz val="10"/>
      <name val="Calibri"/>
      <family val="2"/>
      <scheme val="minor"/>
    </font>
    <font>
      <b/>
      <sz val="10"/>
      <name val="Calibri"/>
      <family val="2"/>
      <scheme val="minor"/>
    </font>
    <font>
      <sz val="11"/>
      <color rgb="FF9C6500"/>
      <name val="Calibri"/>
      <family val="2"/>
      <scheme val="minor"/>
    </font>
    <font>
      <b/>
      <sz val="11"/>
      <color rgb="FF9C6500"/>
      <name val="Calibri"/>
      <family val="2"/>
      <scheme val="minor"/>
    </font>
    <font>
      <i/>
      <sz val="8"/>
      <color rgb="FFFF0000"/>
      <name val="Calibri"/>
      <family val="2"/>
      <scheme val="minor"/>
    </font>
    <font>
      <i/>
      <sz val="8"/>
      <color theme="1"/>
      <name val="Calibri"/>
      <family val="2"/>
      <scheme val="minor"/>
    </font>
    <font>
      <sz val="11"/>
      <color theme="0"/>
      <name val="Calibri"/>
      <family val="2"/>
      <scheme val="minor"/>
    </font>
    <font>
      <b/>
      <sz val="14"/>
      <name val="Calibri"/>
      <family val="2"/>
    </font>
    <font>
      <b/>
      <sz val="14"/>
      <color rgb="FFFF0000"/>
      <name val="Calibri"/>
      <family val="2"/>
    </font>
    <font>
      <sz val="11"/>
      <color theme="1"/>
      <name val="Calibri"/>
      <family val="2"/>
    </font>
    <font>
      <b/>
      <sz val="12"/>
      <color rgb="FF305496"/>
      <name val="Calibri"/>
      <family val="2"/>
    </font>
    <font>
      <b/>
      <sz val="11"/>
      <color rgb="FFFFFFFF"/>
      <name val="Calibri"/>
      <family val="2"/>
    </font>
    <font>
      <sz val="11"/>
      <color rgb="FFFFFFFF"/>
      <name val="Calibri"/>
      <family val="2"/>
    </font>
    <font>
      <b/>
      <sz val="11"/>
      <color rgb="FF000000"/>
      <name val="Calibri"/>
      <family val="2"/>
    </font>
    <font>
      <b/>
      <sz val="8"/>
      <color rgb="FFFF0000"/>
      <name val="Calibri"/>
      <family val="2"/>
      <scheme val="minor"/>
    </font>
    <font>
      <sz val="11"/>
      <color indexed="0"/>
      <name val="Calibri"/>
      <family val="2"/>
      <scheme val="minor"/>
    </font>
    <font>
      <sz val="11"/>
      <color rgb="FFFF0000"/>
      <name val="Calibri"/>
      <family val="2"/>
      <scheme val="minor"/>
    </font>
    <font>
      <b/>
      <i/>
      <sz val="8"/>
      <color rgb="FFFF0000"/>
      <name val="Calibri"/>
      <family val="2"/>
      <scheme val="minor"/>
    </font>
    <font>
      <u/>
      <sz val="11"/>
      <name val="Calibri"/>
      <family val="2"/>
      <scheme val="minor"/>
    </font>
    <font>
      <b/>
      <u/>
      <sz val="11"/>
      <name val="Calibri"/>
      <family val="2"/>
      <scheme val="minor"/>
    </font>
    <font>
      <i/>
      <u/>
      <sz val="8"/>
      <color rgb="FFFF0000"/>
      <name val="Calibri"/>
      <family val="2"/>
      <scheme val="minor"/>
    </font>
    <font>
      <b/>
      <i/>
      <sz val="8"/>
      <color theme="1"/>
      <name val="Calibri"/>
      <family val="2"/>
      <scheme val="minor"/>
    </font>
    <font>
      <b/>
      <sz val="11"/>
      <color theme="3" tint="-0.249977111117893"/>
      <name val="Calibri"/>
      <family val="2"/>
      <scheme val="minor"/>
    </font>
    <font>
      <sz val="11"/>
      <color theme="3" tint="-0.249977111117893"/>
      <name val="Calibri"/>
      <family val="2"/>
      <scheme val="minor"/>
    </font>
    <font>
      <b/>
      <sz val="8"/>
      <name val="Calibri"/>
      <family val="2"/>
      <scheme val="minor"/>
    </font>
    <font>
      <sz val="9"/>
      <color indexed="81"/>
      <name val="Tahoma"/>
      <charset val="1"/>
    </font>
    <font>
      <b/>
      <sz val="9"/>
      <color indexed="81"/>
      <name val="Tahoma"/>
      <charset val="1"/>
    </font>
  </fonts>
  <fills count="11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40"/>
        <bgColor indexed="64"/>
      </patternFill>
    </fill>
    <fill>
      <patternFill patternType="solid">
        <fgColor indexed="44"/>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43"/>
        <bgColor indexed="64"/>
      </patternFill>
    </fill>
    <fill>
      <patternFill patternType="solid">
        <fgColor indexed="13"/>
        <bgColor indexed="64"/>
      </patternFill>
    </fill>
    <fill>
      <patternFill patternType="solid">
        <fgColor indexed="12"/>
        <bgColor indexed="64"/>
      </patternFill>
    </fill>
    <fill>
      <patternFill patternType="solid">
        <fgColor indexed="17"/>
        <bgColor indexed="64"/>
      </patternFill>
    </fill>
    <fill>
      <patternFill patternType="solid">
        <fgColor indexed="47"/>
        <bgColor indexed="64"/>
      </patternFill>
    </fill>
    <fill>
      <patternFill patternType="solid">
        <fgColor indexed="48"/>
        <bgColor indexed="64"/>
      </patternFill>
    </fill>
    <fill>
      <patternFill patternType="solid">
        <fgColor indexed="10"/>
        <bgColor indexed="64"/>
      </patternFill>
    </fill>
    <fill>
      <patternFill patternType="solid">
        <fgColor indexed="28"/>
        <bgColor indexed="64"/>
      </patternFill>
    </fill>
    <fill>
      <patternFill patternType="solid">
        <fgColor indexed="57"/>
        <bgColor indexed="64"/>
      </patternFill>
    </fill>
    <fill>
      <patternFill patternType="solid">
        <fgColor indexed="51"/>
        <bgColor indexed="64"/>
      </patternFill>
    </fill>
    <fill>
      <patternFill patternType="solid">
        <fgColor indexed="62"/>
        <bgColor indexed="64"/>
      </patternFill>
    </fill>
    <fill>
      <patternFill patternType="solid">
        <fgColor indexed="60"/>
        <bgColor indexed="64"/>
      </patternFill>
    </fill>
    <fill>
      <patternFill patternType="solid">
        <fgColor indexed="27"/>
        <bgColor indexed="64"/>
      </patternFill>
    </fill>
    <fill>
      <patternFill patternType="solid">
        <fgColor indexed="55"/>
        <bgColor indexed="64"/>
      </patternFill>
    </fill>
    <fill>
      <patternFill patternType="solid">
        <fgColor indexed="30"/>
        <bgColor indexed="64"/>
      </patternFill>
    </fill>
    <fill>
      <patternFill patternType="solid">
        <fgColor indexed="31"/>
        <bgColor indexed="64"/>
      </patternFill>
    </fill>
    <fill>
      <patternFill patternType="solid">
        <fgColor indexed="8"/>
        <bgColor indexed="64"/>
      </patternFill>
    </fill>
    <fill>
      <patternFill patternType="solid">
        <fgColor indexed="23"/>
        <bgColor indexed="64"/>
      </patternFill>
    </fill>
    <fill>
      <patternFill patternType="solid">
        <fgColor indexed="29"/>
        <bgColor indexed="64"/>
      </patternFill>
    </fill>
    <fill>
      <patternFill patternType="solid">
        <fgColor indexed="41"/>
        <bgColor indexed="41"/>
      </patternFill>
    </fill>
    <fill>
      <patternFill patternType="solid">
        <fgColor indexed="41"/>
        <bgColor indexed="64"/>
      </patternFill>
    </fill>
    <fill>
      <patternFill patternType="solid">
        <fgColor rgb="FF92D050"/>
        <bgColor indexed="64"/>
      </patternFill>
    </fill>
    <fill>
      <patternFill patternType="solid">
        <fgColor rgb="FFFFFF99"/>
        <bgColor indexed="64"/>
      </patternFill>
    </fill>
    <fill>
      <patternFill patternType="solid">
        <fgColor theme="3"/>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0" tint="-0.249977111117893"/>
        <bgColor indexed="64"/>
      </patternFill>
    </fill>
    <fill>
      <patternFill patternType="solid">
        <fgColor rgb="FFA5A5A5"/>
      </patternFill>
    </fill>
    <fill>
      <patternFill patternType="solid">
        <fgColor theme="0" tint="-0.14999847407452621"/>
        <bgColor indexed="64"/>
      </patternFill>
    </fill>
    <fill>
      <patternFill patternType="solid">
        <fgColor theme="8" tint="0.79998168889431442"/>
        <bgColor indexed="65"/>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rgb="FFFFC7CE"/>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rgb="FFC6EFCE"/>
      </patternFill>
    </fill>
    <fill>
      <patternFill patternType="solid">
        <fgColor rgb="FFFFEB9C"/>
      </patternFill>
    </fill>
    <fill>
      <patternFill patternType="solid">
        <fgColor theme="6" tint="0.59999389629810485"/>
        <bgColor indexed="64"/>
      </patternFill>
    </fill>
    <fill>
      <patternFill patternType="solid">
        <fgColor theme="9" tint="0.59999389629810485"/>
        <bgColor indexed="64"/>
      </patternFill>
    </fill>
    <fill>
      <patternFill patternType="solid">
        <fgColor rgb="FF66FF33"/>
        <bgColor indexed="64"/>
      </patternFill>
    </fill>
    <fill>
      <patternFill patternType="solid">
        <fgColor theme="8"/>
        <bgColor indexed="64"/>
      </patternFill>
    </fill>
    <fill>
      <patternFill patternType="solid">
        <fgColor theme="7"/>
        <bgColor indexed="64"/>
      </patternFill>
    </fill>
    <fill>
      <patternFill patternType="solid">
        <fgColor rgb="FFFF00FF"/>
        <bgColor indexed="64"/>
      </patternFill>
    </fill>
    <fill>
      <patternFill patternType="solid">
        <fgColor rgb="FF25EF2F"/>
        <bgColor indexed="64"/>
      </patternFill>
    </fill>
    <fill>
      <patternFill patternType="solid">
        <fgColor rgb="FFFF99CC"/>
        <bgColor indexed="64"/>
      </patternFill>
    </fill>
    <fill>
      <patternFill patternType="solid">
        <fgColor rgb="FFFFFF00"/>
      </patternFill>
    </fill>
    <fill>
      <patternFill patternType="solid">
        <fgColor theme="9" tint="0.79998168889431442"/>
        <bgColor indexed="64"/>
      </patternFill>
    </fill>
    <fill>
      <patternFill patternType="solid">
        <fgColor theme="0" tint="-0.34998626667073579"/>
        <bgColor indexed="64"/>
      </patternFill>
    </fill>
    <fill>
      <patternFill patternType="gray125">
        <fgColor theme="0" tint="-0.499984740745262"/>
        <bgColor theme="0" tint="-0.14996795556505021"/>
      </patternFill>
    </fill>
    <fill>
      <patternFill patternType="gray125">
        <fgColor theme="0" tint="-0.499984740745262"/>
        <bgColor rgb="FFFFFF00"/>
      </patternFill>
    </fill>
    <fill>
      <patternFill patternType="solid">
        <fgColor theme="5"/>
      </patternFill>
    </fill>
    <fill>
      <patternFill patternType="solid">
        <fgColor rgb="FF70AD47"/>
        <bgColor rgb="FF000000"/>
      </patternFill>
    </fill>
    <fill>
      <patternFill patternType="solid">
        <fgColor theme="0" tint="-0.34998626667073579"/>
        <bgColor rgb="FF000000"/>
      </patternFill>
    </fill>
    <fill>
      <patternFill patternType="solid">
        <fgColor rgb="FFFF00FF"/>
      </patternFill>
    </fill>
    <fill>
      <patternFill patternType="solid">
        <fgColor rgb="FFFF00FF"/>
        <bgColor rgb="FF000000"/>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2" tint="-0.249977111117893"/>
        <bgColor indexed="64"/>
      </patternFill>
    </fill>
    <fill>
      <patternFill patternType="solid">
        <fgColor theme="1"/>
        <bgColor indexed="64"/>
      </patternFill>
    </fill>
    <fill>
      <patternFill patternType="gray125">
        <fgColor theme="0" tint="-0.499984740745262"/>
        <bgColor theme="9" tint="0.79998168889431442"/>
      </patternFill>
    </fill>
    <fill>
      <patternFill patternType="gray125">
        <fgColor theme="0" tint="-0.499984740745262"/>
        <bgColor theme="2" tint="-0.249977111117893"/>
      </patternFill>
    </fill>
    <fill>
      <patternFill patternType="darkHorizontal"/>
    </fill>
    <fill>
      <patternFill patternType="darkHorizontal">
        <bgColor theme="9" tint="0.79998168889431442"/>
      </patternFill>
    </fill>
    <fill>
      <patternFill patternType="darkHorizontal">
        <bgColor theme="2" tint="-0.249977111117893"/>
      </patternFill>
    </fill>
    <fill>
      <patternFill patternType="darkHorizontal">
        <bgColor rgb="FFFFFF00"/>
      </patternFill>
    </fill>
    <fill>
      <patternFill patternType="solid">
        <fgColor theme="3" tint="0.79998168889431442"/>
        <bgColor indexed="64"/>
      </patternFill>
    </fill>
  </fills>
  <borders count="2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64"/>
      </left>
      <right style="thin">
        <color indexed="64"/>
      </right>
      <top/>
      <bottom/>
      <diagonal/>
    </border>
    <border>
      <left/>
      <right style="thin">
        <color indexed="64"/>
      </right>
      <top/>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medium">
        <color indexed="8"/>
      </top>
      <bottom/>
      <diagonal/>
    </border>
    <border>
      <left/>
      <right/>
      <top/>
      <bottom style="thick">
        <color indexed="8"/>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hair">
        <color indexed="64"/>
      </top>
      <bottom/>
      <diagonal/>
    </border>
    <border>
      <left/>
      <right/>
      <top style="thin">
        <color indexed="62"/>
      </top>
      <bottom style="double">
        <color indexed="62"/>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indexed="64"/>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medium">
        <color indexed="64"/>
      </left>
      <right/>
      <top/>
      <bottom/>
      <diagonal/>
    </border>
    <border>
      <left style="thin">
        <color indexed="9"/>
      </left>
      <right style="thin">
        <color indexed="9"/>
      </right>
      <top/>
      <bottom/>
      <diagonal/>
    </border>
    <border>
      <left style="thin">
        <color indexed="9"/>
      </left>
      <right/>
      <top style="thin">
        <color indexed="9"/>
      </top>
      <bottom/>
      <diagonal/>
    </border>
    <border>
      <left style="thin">
        <color indexed="9"/>
      </left>
      <right/>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bottom style="thin">
        <color indexed="9"/>
      </bottom>
      <diagonal/>
    </border>
    <border>
      <left style="medium">
        <color indexed="9"/>
      </left>
      <right/>
      <top style="medium">
        <color indexed="9"/>
      </top>
      <bottom/>
      <diagonal/>
    </border>
    <border>
      <left/>
      <right/>
      <top style="medium">
        <color indexed="9"/>
      </top>
      <bottom/>
      <diagonal/>
    </border>
    <border>
      <left/>
      <right style="medium">
        <color indexed="9"/>
      </right>
      <top style="medium">
        <color indexed="9"/>
      </top>
      <bottom/>
      <diagonal/>
    </border>
    <border>
      <left style="medium">
        <color indexed="9"/>
      </left>
      <right/>
      <top/>
      <bottom style="thin">
        <color indexed="64"/>
      </bottom>
      <diagonal/>
    </border>
    <border>
      <left/>
      <right style="medium">
        <color indexed="9"/>
      </right>
      <top/>
      <bottom style="thin">
        <color indexed="64"/>
      </bottom>
      <diagonal/>
    </border>
    <border>
      <left style="medium">
        <color indexed="9"/>
      </left>
      <right/>
      <top/>
      <bottom/>
      <diagonal/>
    </border>
    <border>
      <left style="medium">
        <color indexed="9"/>
      </left>
      <right style="thin">
        <color indexed="9"/>
      </right>
      <top/>
      <bottom/>
      <diagonal/>
    </border>
    <border>
      <left/>
      <right style="thin">
        <color indexed="9"/>
      </right>
      <top/>
      <bottom/>
      <diagonal/>
    </border>
    <border>
      <left style="thin">
        <color indexed="9"/>
      </left>
      <right style="medium">
        <color indexed="9"/>
      </right>
      <top/>
      <bottom style="medium">
        <color indexed="9"/>
      </bottom>
      <diagonal/>
    </border>
    <border>
      <left style="thin">
        <color indexed="9"/>
      </left>
      <right/>
      <top/>
      <bottom style="medium">
        <color indexed="9"/>
      </bottom>
      <diagonal/>
    </border>
    <border>
      <left/>
      <right style="medium">
        <color indexed="9"/>
      </right>
      <top/>
      <bottom/>
      <diagonal/>
    </border>
    <border>
      <left style="thin">
        <color indexed="9"/>
      </left>
      <right style="thin">
        <color indexed="9"/>
      </right>
      <top/>
      <bottom style="medium">
        <color indexed="9"/>
      </bottom>
      <diagonal/>
    </border>
    <border>
      <left style="thin">
        <color indexed="9"/>
      </left>
      <right style="thin">
        <color indexed="9"/>
      </right>
      <top style="thin">
        <color indexed="9"/>
      </top>
      <bottom style="medium">
        <color indexed="9"/>
      </bottom>
      <diagonal/>
    </border>
    <border>
      <left style="thin">
        <color indexed="9"/>
      </left>
      <right style="medium">
        <color indexed="9"/>
      </right>
      <top style="thin">
        <color indexed="9"/>
      </top>
      <bottom/>
      <diagonal/>
    </border>
    <border>
      <left/>
      <right style="thin">
        <color indexed="9"/>
      </right>
      <top style="thin">
        <color indexed="9"/>
      </top>
      <bottom/>
      <diagonal/>
    </border>
    <border>
      <left style="double">
        <color indexed="64"/>
      </left>
      <right style="double">
        <color indexed="64"/>
      </right>
      <top style="double">
        <color indexed="64"/>
      </top>
      <bottom style="thin">
        <color indexed="64"/>
      </bottom>
      <diagonal/>
    </border>
    <border>
      <left/>
      <right style="medium">
        <color indexed="9"/>
      </right>
      <top style="thin">
        <color indexed="64"/>
      </top>
      <bottom/>
      <diagonal/>
    </border>
    <border>
      <left/>
      <right/>
      <top/>
      <bottom style="medium">
        <color indexed="9"/>
      </bottom>
      <diagonal/>
    </border>
    <border>
      <left style="medium">
        <color indexed="9"/>
      </left>
      <right/>
      <top/>
      <bottom style="medium">
        <color indexed="9"/>
      </bottom>
      <diagonal/>
    </border>
    <border>
      <left/>
      <right style="medium">
        <color indexed="9"/>
      </right>
      <top/>
      <bottom style="medium">
        <color indexed="9"/>
      </bottom>
      <diagonal/>
    </border>
    <border>
      <left style="medium">
        <color indexed="64"/>
      </left>
      <right/>
      <top/>
      <bottom style="thin">
        <color indexed="64"/>
      </bottom>
      <diagonal/>
    </border>
    <border>
      <left/>
      <right style="medium">
        <color indexed="48"/>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9"/>
      </left>
      <right style="medium">
        <color indexed="9"/>
      </right>
      <top style="medium">
        <color indexed="9"/>
      </top>
      <bottom/>
      <diagonal/>
    </border>
    <border>
      <left style="medium">
        <color indexed="9"/>
      </left>
      <right style="medium">
        <color indexed="9"/>
      </right>
      <top/>
      <bottom style="medium">
        <color indexed="9"/>
      </bottom>
      <diagonal/>
    </border>
    <border>
      <left/>
      <right/>
      <top style="thin">
        <color indexed="64"/>
      </top>
      <bottom style="double">
        <color indexed="64"/>
      </bottom>
      <diagonal/>
    </border>
    <border>
      <left style="medium">
        <color indexed="9"/>
      </left>
      <right style="thick">
        <color indexed="9"/>
      </right>
      <top style="thin">
        <color indexed="64"/>
      </top>
      <bottom/>
      <diagonal/>
    </border>
    <border>
      <left style="thick">
        <color indexed="9"/>
      </left>
      <right style="thick">
        <color indexed="9"/>
      </right>
      <top style="thin">
        <color indexed="64"/>
      </top>
      <bottom/>
      <diagonal/>
    </border>
    <border>
      <left style="thick">
        <color indexed="9"/>
      </left>
      <right/>
      <top style="thin">
        <color indexed="64"/>
      </top>
      <bottom/>
      <diagonal/>
    </border>
    <border>
      <left/>
      <right style="thick">
        <color indexed="9"/>
      </right>
      <top style="thin">
        <color indexed="64"/>
      </top>
      <bottom/>
      <diagonal/>
    </border>
    <border>
      <left style="thick">
        <color indexed="9"/>
      </left>
      <right style="thick">
        <color indexed="9"/>
      </right>
      <top/>
      <bottom/>
      <diagonal/>
    </border>
    <border>
      <left/>
      <right style="thick">
        <color indexed="9"/>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thick">
        <color indexed="9"/>
      </top>
      <bottom/>
      <diagonal/>
    </border>
    <border>
      <left style="thick">
        <color indexed="9"/>
      </left>
      <right/>
      <top/>
      <bottom/>
      <diagonal/>
    </border>
    <border>
      <left style="thin">
        <color indexed="9"/>
      </left>
      <right style="thin">
        <color indexed="9"/>
      </right>
      <top style="thin">
        <color indexed="9"/>
      </top>
      <bottom style="thick">
        <color indexed="9"/>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9"/>
      </left>
      <right style="medium">
        <color indexed="9"/>
      </right>
      <top/>
      <bottom/>
      <diagonal/>
    </border>
    <border>
      <left/>
      <right style="thin">
        <color indexed="9"/>
      </right>
      <top/>
      <bottom style="thin">
        <color indexed="9"/>
      </bottom>
      <diagonal/>
    </border>
    <border>
      <left/>
      <right style="thick">
        <color indexed="9"/>
      </right>
      <top/>
      <bottom style="thin">
        <color indexed="64"/>
      </bottom>
      <diagonal/>
    </border>
    <border>
      <left style="thick">
        <color indexed="9"/>
      </left>
      <right style="thick">
        <color indexed="9"/>
      </right>
      <top/>
      <bottom style="thin">
        <color indexed="64"/>
      </bottom>
      <diagonal/>
    </border>
    <border>
      <left/>
      <right/>
      <top style="thin">
        <color indexed="9"/>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9"/>
      </left>
      <right style="thin">
        <color indexed="9"/>
      </right>
      <top/>
      <bottom style="thin">
        <color indexed="64"/>
      </bottom>
      <diagonal/>
    </border>
    <border>
      <left/>
      <right/>
      <top/>
      <bottom style="thin">
        <color indexed="44"/>
      </bottom>
      <diagonal/>
    </border>
    <border>
      <left/>
      <right/>
      <top style="thin">
        <color indexed="44"/>
      </top>
      <bottom/>
      <diagonal/>
    </border>
    <border>
      <left style="thin">
        <color indexed="64"/>
      </left>
      <right/>
      <top style="thin">
        <color indexed="9"/>
      </top>
      <bottom style="thin">
        <color indexed="9"/>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9"/>
      </left>
      <right style="thick">
        <color indexed="9"/>
      </right>
      <top/>
      <bottom/>
      <diagonal/>
    </border>
    <border>
      <left style="thin">
        <color indexed="9"/>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right style="thick">
        <color indexed="9"/>
      </right>
      <top style="thick">
        <color indexed="9"/>
      </top>
      <bottom/>
      <diagonal/>
    </border>
    <border>
      <left style="medium">
        <color indexed="9"/>
      </left>
      <right style="medium">
        <color indexed="9"/>
      </right>
      <top/>
      <bottom style="thin">
        <color indexed="64"/>
      </bottom>
      <diagonal/>
    </border>
    <border>
      <left style="thin">
        <color indexed="9"/>
      </left>
      <right/>
      <top/>
      <bottom style="thin">
        <color indexed="64"/>
      </bottom>
      <diagonal/>
    </border>
    <border>
      <left style="thin">
        <color indexed="64"/>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thick">
        <color indexed="9"/>
      </left>
      <right style="thick">
        <color indexed="9"/>
      </right>
      <top style="thick">
        <color indexed="9"/>
      </top>
      <bottom style="thick">
        <color indexed="9"/>
      </bottom>
      <diagonal/>
    </border>
    <border>
      <left/>
      <right style="thick">
        <color indexed="9"/>
      </right>
      <top style="thick">
        <color indexed="9"/>
      </top>
      <bottom style="thick">
        <color indexed="9"/>
      </bottom>
      <diagonal/>
    </border>
    <border>
      <left/>
      <right style="thick">
        <color indexed="9"/>
      </right>
      <top/>
      <bottom style="thick">
        <color indexed="9"/>
      </bottom>
      <diagonal/>
    </border>
    <border>
      <left/>
      <right style="thick">
        <color indexed="9"/>
      </right>
      <top/>
      <bottom style="thick">
        <color indexed="29"/>
      </bottom>
      <diagonal/>
    </border>
    <border>
      <left style="thick">
        <color indexed="9"/>
      </left>
      <right style="thick">
        <color indexed="9"/>
      </right>
      <top style="thick">
        <color indexed="9"/>
      </top>
      <bottom/>
      <diagonal/>
    </border>
    <border>
      <left/>
      <right/>
      <top style="thick">
        <color indexed="9"/>
      </top>
      <bottom style="thick">
        <color indexed="9"/>
      </bottom>
      <diagonal/>
    </border>
    <border>
      <left/>
      <right/>
      <top/>
      <bottom style="thick">
        <color indexed="9"/>
      </bottom>
      <diagonal/>
    </border>
    <border>
      <left/>
      <right/>
      <top/>
      <bottom style="thick">
        <color indexed="29"/>
      </bottom>
      <diagonal/>
    </border>
    <border>
      <left style="thin">
        <color indexed="9"/>
      </left>
      <right style="thin">
        <color indexed="9"/>
      </right>
      <top style="thin">
        <color indexed="9"/>
      </top>
      <bottom style="thin">
        <color indexed="64"/>
      </bottom>
      <diagonal/>
    </border>
    <border>
      <left style="thin">
        <color indexed="9"/>
      </left>
      <right style="thin">
        <color indexed="9"/>
      </right>
      <top style="thin">
        <color indexed="64"/>
      </top>
      <bottom style="thin">
        <color indexed="9"/>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9"/>
      </left>
      <right style="thin">
        <color indexed="9"/>
      </right>
      <top style="medium">
        <color indexed="64"/>
      </top>
      <bottom style="medium">
        <color indexed="64"/>
      </bottom>
      <diagonal/>
    </border>
    <border>
      <left style="thin">
        <color indexed="9"/>
      </left>
      <right/>
      <top style="thin">
        <color indexed="9"/>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9"/>
      </right>
      <top/>
      <bottom style="medium">
        <color indexed="9"/>
      </bottom>
      <diagonal/>
    </border>
    <border>
      <left style="thin">
        <color indexed="9"/>
      </left>
      <right style="thin">
        <color indexed="9"/>
      </right>
      <top style="medium">
        <color indexed="9"/>
      </top>
      <bottom/>
      <diagonal/>
    </border>
    <border>
      <left style="medium">
        <color indexed="9"/>
      </left>
      <right style="thin">
        <color indexed="9"/>
      </right>
      <top style="medium">
        <color indexed="9"/>
      </top>
      <bottom/>
      <diagonal/>
    </border>
    <border>
      <left style="medium">
        <color indexed="9"/>
      </left>
      <right style="thin">
        <color indexed="9"/>
      </right>
      <top/>
      <bottom style="medium">
        <color indexed="9"/>
      </bottom>
      <diagonal/>
    </border>
    <border>
      <left style="thin">
        <color indexed="9"/>
      </left>
      <right style="thin">
        <color indexed="9"/>
      </right>
      <top style="thin">
        <color indexed="9"/>
      </top>
      <bottom style="medium">
        <color indexed="64"/>
      </bottom>
      <diagonal/>
    </border>
    <border>
      <left/>
      <right/>
      <top style="thick">
        <color indexed="9"/>
      </top>
      <bottom style="thick">
        <color indexed="29"/>
      </bottom>
      <diagonal/>
    </border>
    <border>
      <left/>
      <right style="thick">
        <color indexed="9"/>
      </right>
      <top style="thick">
        <color indexed="9"/>
      </top>
      <bottom style="thick">
        <color indexed="29"/>
      </bottom>
      <diagonal/>
    </border>
    <border>
      <left style="thin">
        <color indexed="9"/>
      </left>
      <right/>
      <top style="medium">
        <color indexed="64"/>
      </top>
      <bottom/>
      <diagonal/>
    </border>
    <border>
      <left/>
      <right style="thin">
        <color indexed="9"/>
      </right>
      <top style="medium">
        <color indexed="64"/>
      </top>
      <bottom/>
      <diagonal/>
    </border>
    <border>
      <left style="thin">
        <color indexed="9"/>
      </left>
      <right style="thin">
        <color indexed="9"/>
      </right>
      <top style="medium">
        <color indexed="64"/>
      </top>
      <bottom/>
      <diagonal/>
    </border>
    <border>
      <left/>
      <right/>
      <top style="medium">
        <color indexed="64"/>
      </top>
      <bottom style="thin">
        <color indexed="9"/>
      </bottom>
      <diagonal/>
    </border>
    <border>
      <left style="medium">
        <color indexed="64"/>
      </left>
      <right style="thin">
        <color indexed="9"/>
      </right>
      <top style="thin">
        <color indexed="9"/>
      </top>
      <bottom/>
      <diagonal/>
    </border>
    <border>
      <left style="thin">
        <color indexed="9"/>
      </left>
      <right style="medium">
        <color indexed="64"/>
      </right>
      <top style="thin">
        <color indexed="9"/>
      </top>
      <bottom/>
      <diagonal/>
    </border>
    <border>
      <left style="medium">
        <color indexed="64"/>
      </left>
      <right style="thin">
        <color indexed="9"/>
      </right>
      <top/>
      <bottom style="medium">
        <color indexed="64"/>
      </bottom>
      <diagonal/>
    </border>
    <border>
      <left style="thin">
        <color indexed="9"/>
      </left>
      <right/>
      <top/>
      <bottom style="medium">
        <color indexed="64"/>
      </bottom>
      <diagonal/>
    </border>
    <border>
      <left/>
      <right style="thin">
        <color indexed="9"/>
      </right>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indexed="9"/>
      </left>
      <right style="thin">
        <color indexed="9"/>
      </right>
      <top/>
      <bottom style="thin">
        <color indexed="64"/>
      </bottom>
      <diagonal/>
    </border>
    <border>
      <left style="thin">
        <color theme="0"/>
      </left>
      <right style="thin">
        <color indexed="9"/>
      </right>
      <top style="thin">
        <color theme="0"/>
      </top>
      <bottom/>
      <diagonal/>
    </border>
    <border>
      <left style="thin">
        <color indexed="9"/>
      </left>
      <right style="thin">
        <color indexed="9"/>
      </right>
      <top style="thin">
        <color theme="0"/>
      </top>
      <bottom/>
      <diagonal/>
    </border>
    <border>
      <left style="thin">
        <color indexed="9"/>
      </left>
      <right/>
      <top style="thin">
        <color theme="0"/>
      </top>
      <bottom/>
      <diagonal/>
    </border>
    <border>
      <left style="thin">
        <color theme="0"/>
      </left>
      <right style="thin">
        <color indexed="9"/>
      </right>
      <top/>
      <bottom/>
      <diagonal/>
    </border>
    <border>
      <left/>
      <right style="thin">
        <color theme="0"/>
      </right>
      <top/>
      <bottom style="thin">
        <color indexed="9"/>
      </bottom>
      <diagonal/>
    </border>
    <border>
      <left style="thin">
        <color theme="0"/>
      </left>
      <right style="thin">
        <color indexed="9"/>
      </right>
      <top/>
      <bottom style="thin">
        <color indexed="9"/>
      </bottom>
      <diagonal/>
    </border>
    <border>
      <left style="thin">
        <color indexed="9"/>
      </left>
      <right style="thin">
        <color indexed="9"/>
      </right>
      <top style="thin">
        <color indexed="9"/>
      </top>
      <bottom style="thin">
        <color theme="0"/>
      </bottom>
      <diagonal/>
    </border>
    <border>
      <left style="thin">
        <color indexed="9"/>
      </left>
      <right style="thin">
        <color theme="0"/>
      </right>
      <top style="thin">
        <color indexed="9"/>
      </top>
      <bottom style="thin">
        <color theme="0"/>
      </bottom>
      <diagonal/>
    </border>
    <border>
      <left style="thin">
        <color theme="0"/>
      </left>
      <right/>
      <top/>
      <bottom/>
      <diagonal/>
    </border>
    <border>
      <left/>
      <right style="thin">
        <color theme="0"/>
      </right>
      <top/>
      <bottom/>
      <diagonal/>
    </border>
    <border>
      <left/>
      <right/>
      <top style="thin">
        <color indexed="64"/>
      </top>
      <bottom style="thin">
        <color theme="0"/>
      </bottom>
      <diagonal/>
    </border>
    <border>
      <left/>
      <right style="thin">
        <color theme="0"/>
      </right>
      <top style="thin">
        <color indexed="64"/>
      </top>
      <bottom style="thin">
        <color theme="0"/>
      </bottom>
      <diagonal/>
    </border>
    <border>
      <left/>
      <right style="thin">
        <color indexed="64"/>
      </right>
      <top style="thin">
        <color theme="0"/>
      </top>
      <bottom style="thin">
        <color theme="0"/>
      </bottom>
      <diagonal/>
    </border>
    <border>
      <left/>
      <right style="thin">
        <color indexed="9"/>
      </right>
      <top style="thin">
        <color theme="0"/>
      </top>
      <bottom/>
      <diagonal/>
    </border>
    <border>
      <left/>
      <right/>
      <top style="thin">
        <color theme="0"/>
      </top>
      <bottom style="thin">
        <color indexed="9"/>
      </bottom>
      <diagonal/>
    </border>
    <border>
      <left style="thin">
        <color theme="0"/>
      </left>
      <right style="thin">
        <color indexed="9"/>
      </right>
      <top style="thin">
        <color indexed="9"/>
      </top>
      <bottom/>
      <diagonal/>
    </border>
    <border>
      <left style="thin">
        <color indexed="9"/>
      </left>
      <right style="thin">
        <color theme="0"/>
      </right>
      <top style="thin">
        <color indexed="9"/>
      </top>
      <bottom/>
      <diagonal/>
    </border>
    <border>
      <left style="thin">
        <color theme="0"/>
      </left>
      <right style="thin">
        <color indexed="9"/>
      </right>
      <top/>
      <bottom style="thin">
        <color theme="0"/>
      </bottom>
      <diagonal/>
    </border>
    <border>
      <left/>
      <right style="thin">
        <color indexed="9"/>
      </right>
      <top/>
      <bottom style="thin">
        <color theme="0"/>
      </bottom>
      <diagonal/>
    </border>
    <border>
      <left style="thin">
        <color indexed="9"/>
      </left>
      <right/>
      <top/>
      <bottom style="thin">
        <color theme="0"/>
      </bottom>
      <diagonal/>
    </border>
    <border>
      <left style="thin">
        <color indexed="9"/>
      </left>
      <right style="thin">
        <color indexed="9"/>
      </right>
      <top/>
      <bottom style="thin">
        <color theme="0"/>
      </bottom>
      <diagonal/>
    </border>
    <border>
      <left style="thin">
        <color indexed="9"/>
      </left>
      <right style="thin">
        <color theme="0"/>
      </right>
      <top/>
      <bottom style="thin">
        <color theme="0"/>
      </bottom>
      <diagonal/>
    </border>
    <border>
      <left style="double">
        <color rgb="FF3F3F3F"/>
      </left>
      <right style="double">
        <color rgb="FF3F3F3F"/>
      </right>
      <top style="double">
        <color rgb="FF3F3F3F"/>
      </top>
      <bottom style="double">
        <color rgb="FF3F3F3F"/>
      </bottom>
      <diagonal/>
    </border>
    <border>
      <left style="double">
        <color rgb="FF3F3F3F"/>
      </left>
      <right/>
      <top style="double">
        <color rgb="FF3F3F3F"/>
      </top>
      <bottom style="double">
        <color rgb="FF3F3F3F"/>
      </bottom>
      <diagonal/>
    </border>
    <border>
      <left/>
      <right style="thin">
        <color theme="8" tint="0.39997558519241921"/>
      </right>
      <top style="thin">
        <color indexed="64"/>
      </top>
      <bottom style="thin">
        <color indexed="64"/>
      </bottom>
      <diagonal/>
    </border>
    <border>
      <left/>
      <right/>
      <top/>
      <bottom style="medium">
        <color auto="1"/>
      </bottom>
      <diagonal/>
    </border>
    <border>
      <left/>
      <right style="thin">
        <color rgb="FF9BC2E6"/>
      </right>
      <top style="thin">
        <color rgb="FF9BC2E6"/>
      </top>
      <bottom/>
      <diagonal/>
    </border>
    <border>
      <left style="thin">
        <color indexed="64"/>
      </left>
      <right/>
      <top style="thin">
        <color indexed="64"/>
      </top>
      <bottom style="double">
        <color indexed="64"/>
      </bottom>
      <diagonal/>
    </border>
    <border>
      <left/>
      <right/>
      <top/>
      <bottom style="dashed">
        <color indexed="64"/>
      </bottom>
      <diagonal/>
    </border>
    <border>
      <left/>
      <right/>
      <top style="thin">
        <color auto="1"/>
      </top>
      <bottom/>
      <diagonal/>
    </border>
    <border>
      <left style="thin">
        <color indexed="9"/>
      </left>
      <right style="thin">
        <color indexed="9"/>
      </right>
      <top style="thin">
        <color theme="0"/>
      </top>
      <bottom style="thin">
        <color indexed="9"/>
      </bottom>
      <diagonal/>
    </border>
  </borders>
  <cellStyleXfs count="1529">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5" borderId="0" applyNumberFormat="0" applyBorder="0" applyAlignment="0" applyProtection="0"/>
    <xf numFmtId="0" fontId="57" fillId="8" borderId="0" applyNumberFormat="0" applyBorder="0" applyAlignment="0" applyProtection="0"/>
    <xf numFmtId="0" fontId="57" fillId="11" borderId="0" applyNumberFormat="0" applyBorder="0" applyAlignment="0" applyProtection="0"/>
    <xf numFmtId="0" fontId="58" fillId="12"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3" borderId="0" applyNumberFormat="0" applyBorder="0" applyAlignment="0" applyProtection="0"/>
    <xf numFmtId="0" fontId="58" fillId="14" borderId="0" applyNumberFormat="0" applyBorder="0" applyAlignment="0" applyProtection="0"/>
    <xf numFmtId="0" fontId="58" fillId="19" borderId="0" applyNumberFormat="0" applyBorder="0" applyAlignment="0" applyProtection="0"/>
    <xf numFmtId="39" fontId="117" fillId="0" borderId="0" applyNumberFormat="0" applyFill="0" applyBorder="0" applyAlignment="0">
      <protection locked="0"/>
    </xf>
    <xf numFmtId="0" fontId="59" fillId="3" borderId="0" applyNumberFormat="0" applyBorder="0" applyAlignment="0" applyProtection="0"/>
    <xf numFmtId="0" fontId="60" fillId="20" borderId="1" applyNumberFormat="0" applyAlignment="0" applyProtection="0"/>
    <xf numFmtId="0" fontId="61" fillId="21" borderId="2" applyNumberFormat="0" applyAlignment="0" applyProtection="0"/>
    <xf numFmtId="43" fontId="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36" fillId="0" borderId="0" applyFont="0" applyFill="0" applyBorder="0" applyAlignment="0" applyProtection="0"/>
    <xf numFmtId="40" fontId="7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115" fillId="0" borderId="0" applyFont="0" applyFill="0" applyBorder="0" applyAlignment="0" applyProtection="0"/>
    <xf numFmtId="43" fontId="137" fillId="0" borderId="0" applyFont="0" applyFill="0" applyBorder="0" applyAlignment="0" applyProtection="0"/>
    <xf numFmtId="43" fontId="184" fillId="0" borderId="0" applyFont="0" applyFill="0" applyBorder="0" applyAlignment="0" applyProtection="0"/>
    <xf numFmtId="3" fontId="33" fillId="0" borderId="0" applyFont="0" applyFill="0" applyBorder="0" applyAlignment="0" applyProtection="0"/>
    <xf numFmtId="0" fontId="93" fillId="0" borderId="0"/>
    <xf numFmtId="0" fontId="93" fillId="0" borderId="0"/>
    <xf numFmtId="0" fontId="93" fillId="0" borderId="0"/>
    <xf numFmtId="44" fontId="7" fillId="0" borderId="0" applyFont="0" applyFill="0" applyBorder="0" applyAlignment="0" applyProtection="0"/>
    <xf numFmtId="44" fontId="25" fillId="0" borderId="0" applyFont="0" applyFill="0" applyBorder="0" applyAlignment="0" applyProtection="0"/>
    <xf numFmtId="44" fontId="56" fillId="0" borderId="0" applyFont="0" applyFill="0" applyBorder="0" applyAlignment="0" applyProtection="0"/>
    <xf numFmtId="44" fontId="25" fillId="0" borderId="0" applyFont="0" applyFill="0" applyBorder="0" applyAlignment="0" applyProtection="0"/>
    <xf numFmtId="44" fontId="115"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84" fillId="0" borderId="0" applyFont="0" applyFill="0" applyBorder="0" applyAlignment="0" applyProtection="0"/>
    <xf numFmtId="187" fontId="33" fillId="0" borderId="0" applyFont="0" applyFill="0" applyBorder="0" applyAlignment="0" applyProtection="0"/>
    <xf numFmtId="0" fontId="25" fillId="0" borderId="0" applyFont="0" applyFill="0" applyBorder="0" applyAlignment="0" applyProtection="0"/>
    <xf numFmtId="188" fontId="25" fillId="0" borderId="0"/>
    <xf numFmtId="0" fontId="62" fillId="0" borderId="0" applyNumberFormat="0" applyFill="0" applyBorder="0" applyAlignment="0" applyProtection="0"/>
    <xf numFmtId="2" fontId="33" fillId="0" borderId="0" applyFont="0" applyFill="0" applyBorder="0" applyAlignment="0" applyProtection="0"/>
    <xf numFmtId="197" fontId="122" fillId="0" borderId="0"/>
    <xf numFmtId="0" fontId="63" fillId="4" borderId="0" applyNumberFormat="0" applyBorder="0" applyAlignment="0" applyProtection="0"/>
    <xf numFmtId="38" fontId="55" fillId="22"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38" fontId="94" fillId="0" borderId="0"/>
    <xf numFmtId="40" fontId="94" fillId="0" borderId="0"/>
    <xf numFmtId="0" fontId="67" fillId="0" borderId="0">
      <alignment horizontal="left"/>
    </xf>
    <xf numFmtId="0" fontId="17" fillId="0" borderId="0" applyNumberFormat="0" applyFill="0" applyBorder="0" applyAlignment="0" applyProtection="0">
      <alignment vertical="top"/>
      <protection locked="0"/>
    </xf>
    <xf numFmtId="0" fontId="68" fillId="7" borderId="1" applyNumberFormat="0" applyAlignment="0" applyProtection="0"/>
    <xf numFmtId="10" fontId="55" fillId="23" borderId="6" applyNumberFormat="0" applyBorder="0" applyAlignment="0" applyProtection="0"/>
    <xf numFmtId="1" fontId="69" fillId="24" borderId="0">
      <alignment horizontal="center"/>
      <protection locked="0"/>
    </xf>
    <xf numFmtId="0" fontId="70" fillId="0" borderId="7" applyNumberFormat="0" applyFill="0" applyAlignment="0" applyProtection="0"/>
    <xf numFmtId="0" fontId="11" fillId="0" borderId="0" applyNumberFormat="0" applyBorder="0" applyAlignment="0" applyProtection="0"/>
    <xf numFmtId="0" fontId="9" fillId="0" borderId="0" applyNumberFormat="0" applyBorder="0" applyAlignment="0" applyProtection="0"/>
    <xf numFmtId="0" fontId="71" fillId="25" borderId="0" applyNumberFormat="0" applyBorder="0" applyAlignment="0" applyProtection="0"/>
    <xf numFmtId="0" fontId="16" fillId="24" borderId="0" applyNumberFormat="0" applyBorder="0" applyAlignment="0" applyProtection="0"/>
    <xf numFmtId="0" fontId="72" fillId="0" borderId="8" applyNumberFormat="0" applyBorder="0">
      <alignment horizontal="center"/>
    </xf>
    <xf numFmtId="0" fontId="54" fillId="23" borderId="0" applyNumberFormat="0" applyBorder="0" applyAlignment="0" applyProtection="0"/>
    <xf numFmtId="0" fontId="54" fillId="26" borderId="9" applyNumberFormat="0" applyBorder="0" applyAlignment="0" applyProtection="0"/>
    <xf numFmtId="44" fontId="95" fillId="0" borderId="10" applyNumberFormat="0" applyFont="0" applyAlignment="0">
      <alignment horizontal="center"/>
    </xf>
    <xf numFmtId="44" fontId="95" fillId="0" borderId="11" applyNumberFormat="0" applyFont="0" applyAlignment="0">
      <alignment horizontal="center"/>
    </xf>
    <xf numFmtId="0" fontId="73" fillId="0" borderId="0"/>
    <xf numFmtId="0" fontId="74" fillId="27" borderId="0" applyNumberFormat="0" applyBorder="0" applyAlignment="0" applyProtection="0"/>
    <xf numFmtId="189" fontId="25"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5" fillId="0" borderId="0"/>
    <xf numFmtId="0" fontId="280" fillId="0" borderId="0"/>
    <xf numFmtId="0" fontId="280" fillId="0" borderId="0"/>
    <xf numFmtId="0" fontId="280" fillId="0" borderId="0"/>
    <xf numFmtId="0" fontId="280" fillId="0" borderId="0"/>
    <xf numFmtId="0" fontId="77" fillId="0" borderId="0"/>
    <xf numFmtId="0" fontId="25" fillId="0" borderId="0"/>
    <xf numFmtId="0" fontId="25" fillId="0" borderId="0"/>
    <xf numFmtId="0" fontId="25"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5" fillId="0" borderId="0"/>
    <xf numFmtId="0" fontId="27" fillId="0" borderId="0"/>
    <xf numFmtId="0" fontId="25" fillId="0" borderId="0"/>
    <xf numFmtId="0" fontId="57"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5"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280" fillId="0" borderId="0"/>
    <xf numFmtId="0" fontId="9" fillId="0" borderId="0"/>
    <xf numFmtId="0" fontId="57" fillId="0" borderId="0"/>
    <xf numFmtId="0" fontId="57" fillId="0" borderId="0"/>
    <xf numFmtId="0" fontId="280" fillId="0" borderId="0"/>
    <xf numFmtId="0" fontId="25" fillId="0" borderId="0"/>
    <xf numFmtId="0" fontId="122" fillId="0" borderId="0"/>
    <xf numFmtId="0" fontId="25" fillId="0" borderId="0"/>
    <xf numFmtId="0" fontId="7" fillId="0" borderId="0"/>
    <xf numFmtId="0" fontId="7" fillId="0" borderId="0"/>
    <xf numFmtId="0" fontId="25" fillId="28" borderId="12" applyNumberFormat="0" applyFont="0" applyAlignment="0" applyProtection="0"/>
    <xf numFmtId="38" fontId="75" fillId="0" borderId="0" applyFont="0" applyFill="0" applyBorder="0" applyProtection="0"/>
    <xf numFmtId="0" fontId="76" fillId="20" borderId="13" applyNumberFormat="0" applyAlignment="0" applyProtection="0"/>
    <xf numFmtId="40" fontId="37" fillId="23" borderId="0">
      <alignment horizontal="right"/>
    </xf>
    <xf numFmtId="0" fontId="38" fillId="23" borderId="0">
      <alignment horizontal="right"/>
    </xf>
    <xf numFmtId="0" fontId="39" fillId="23" borderId="9"/>
    <xf numFmtId="0" fontId="39" fillId="0" borderId="0" applyBorder="0">
      <alignment horizontal="centerContinuous"/>
    </xf>
    <xf numFmtId="0" fontId="40" fillId="0" borderId="0" applyBorder="0">
      <alignment horizontal="centerContinuous"/>
    </xf>
    <xf numFmtId="0" fontId="93" fillId="0" borderId="0"/>
    <xf numFmtId="0" fontId="93" fillId="0" borderId="0"/>
    <xf numFmtId="9" fontId="7" fillId="0" borderId="0" applyFont="0" applyFill="0" applyBorder="0" applyAlignment="0" applyProtection="0"/>
    <xf numFmtId="10" fontId="25"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25" fillId="0" borderId="0" applyFont="0" applyFill="0" applyBorder="0" applyAlignment="0" applyProtection="0"/>
    <xf numFmtId="9" fontId="56"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9" fillId="0" borderId="0" applyFont="0" applyFill="0" applyBorder="0" applyAlignment="0" applyProtection="0"/>
    <xf numFmtId="9" fontId="115"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9" fontId="137" fillId="0" borderId="0" applyFont="0" applyFill="0" applyBorder="0" applyAlignment="0" applyProtection="0"/>
    <xf numFmtId="0" fontId="77" fillId="0" borderId="0" applyNumberFormat="0" applyFont="0" applyFill="0" applyBorder="0" applyAlignment="0" applyProtection="0">
      <alignment horizontal="left"/>
    </xf>
    <xf numFmtId="15" fontId="77" fillId="0" borderId="0" applyFont="0" applyFill="0" applyBorder="0" applyAlignment="0" applyProtection="0"/>
    <xf numFmtId="4" fontId="77" fillId="0" borderId="0" applyFont="0" applyFill="0" applyBorder="0" applyAlignment="0" applyProtection="0"/>
    <xf numFmtId="0" fontId="103" fillId="0" borderId="14">
      <alignment horizontal="center"/>
    </xf>
    <xf numFmtId="3" fontId="77" fillId="0" borderId="0" applyFont="0" applyFill="0" applyBorder="0" applyAlignment="0" applyProtection="0"/>
    <xf numFmtId="0" fontId="77" fillId="29" borderId="0" applyNumberFormat="0" applyFont="0" applyBorder="0" applyAlignment="0" applyProtection="0"/>
    <xf numFmtId="37" fontId="78" fillId="8" borderId="15">
      <alignment horizontal="left" vertical="center"/>
      <protection locked="0"/>
    </xf>
    <xf numFmtId="37" fontId="78" fillId="8" borderId="16" applyAlignment="0">
      <alignment horizontal="left" vertical="center"/>
      <protection locked="0"/>
    </xf>
    <xf numFmtId="37" fontId="78" fillId="28" borderId="15">
      <alignment horizontal="left" vertical="center"/>
      <protection locked="0"/>
    </xf>
    <xf numFmtId="42" fontId="52" fillId="23" borderId="0"/>
    <xf numFmtId="0" fontId="93" fillId="30" borderId="0"/>
    <xf numFmtId="0" fontId="96" fillId="30" borderId="17"/>
    <xf numFmtId="0" fontId="97" fillId="31" borderId="18"/>
    <xf numFmtId="0" fontId="98" fillId="30" borderId="19"/>
    <xf numFmtId="42" fontId="99" fillId="32" borderId="20">
      <alignment vertical="center"/>
    </xf>
    <xf numFmtId="0" fontId="53" fillId="23" borderId="21" applyNumberFormat="0">
      <alignment horizontal="center" vertical="center" wrapText="1"/>
    </xf>
    <xf numFmtId="186" fontId="25" fillId="23" borderId="0"/>
    <xf numFmtId="42" fontId="25" fillId="23" borderId="0"/>
    <xf numFmtId="42" fontId="86" fillId="23" borderId="22">
      <alignment horizontal="left"/>
    </xf>
    <xf numFmtId="38" fontId="55" fillId="0" borderId="23"/>
    <xf numFmtId="38" fontId="94" fillId="0" borderId="22"/>
    <xf numFmtId="174" fontId="25" fillId="0" borderId="0">
      <alignment horizontal="left" wrapText="1"/>
    </xf>
    <xf numFmtId="0" fontId="52" fillId="0" borderId="0" applyNumberFormat="0" applyBorder="0" applyAlignment="0"/>
    <xf numFmtId="0" fontId="79" fillId="0" borderId="0" applyNumberFormat="0" applyFill="0" applyBorder="0" applyAlignment="0" applyProtection="0"/>
    <xf numFmtId="0" fontId="93" fillId="0" borderId="0"/>
    <xf numFmtId="0" fontId="96" fillId="30" borderId="0"/>
    <xf numFmtId="185" fontId="100" fillId="0" borderId="0">
      <alignment horizontal="left" vertical="center"/>
    </xf>
    <xf numFmtId="0" fontId="53" fillId="23" borderId="0">
      <alignment horizontal="left" wrapText="1"/>
    </xf>
    <xf numFmtId="0" fontId="101" fillId="0" borderId="0">
      <alignment horizontal="left" vertical="center"/>
    </xf>
    <xf numFmtId="0" fontId="80" fillId="0" borderId="0">
      <alignment horizontal="centerContinuous"/>
    </xf>
    <xf numFmtId="0" fontId="81" fillId="0" borderId="24" applyNumberFormat="0" applyFill="0" applyAlignment="0" applyProtection="0"/>
    <xf numFmtId="0" fontId="82" fillId="0" borderId="0"/>
    <xf numFmtId="0" fontId="83" fillId="0" borderId="0" applyNumberFormat="0" applyFill="0" applyBorder="0" applyAlignment="0" applyProtection="0"/>
    <xf numFmtId="0" fontId="6" fillId="0" borderId="0"/>
    <xf numFmtId="0" fontId="296" fillId="61" borderId="202" applyNumberFormat="0" applyAlignment="0" applyProtection="0"/>
    <xf numFmtId="44" fontId="6" fillId="0" borderId="0" applyFont="0" applyFill="0" applyBorder="0" applyAlignment="0" applyProtection="0"/>
    <xf numFmtId="9" fontId="298" fillId="0" borderId="0" applyFont="0" applyFill="0" applyBorder="0" applyAlignment="0" applyProtection="0"/>
    <xf numFmtId="43" fontId="298" fillId="0" borderId="0" applyFont="0" applyFill="0" applyBorder="0" applyAlignment="0" applyProtection="0"/>
    <xf numFmtId="0" fontId="136" fillId="2" borderId="0" applyNumberFormat="0" applyBorder="0" applyAlignment="0" applyProtection="0"/>
    <xf numFmtId="0" fontId="136" fillId="2" borderId="0" applyNumberFormat="0" applyBorder="0" applyAlignment="0" applyProtection="0"/>
    <xf numFmtId="0" fontId="136" fillId="2" borderId="0" applyNumberFormat="0" applyBorder="0" applyAlignment="0" applyProtection="0"/>
    <xf numFmtId="0" fontId="136" fillId="2"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136" fillId="3" borderId="0" applyNumberFormat="0" applyBorder="0" applyAlignment="0" applyProtection="0"/>
    <xf numFmtId="0" fontId="57" fillId="4" borderId="0" applyNumberFormat="0" applyBorder="0" applyAlignment="0" applyProtection="0"/>
    <xf numFmtId="0" fontId="57"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4"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299" fillId="63" borderId="0" applyNumberFormat="0" applyBorder="0" applyAlignment="0" applyProtection="0"/>
    <xf numFmtId="0" fontId="136" fillId="6" borderId="0" applyNumberFormat="0" applyBorder="0" applyAlignment="0" applyProtection="0"/>
    <xf numFmtId="0" fontId="136" fillId="6" borderId="0" applyNumberFormat="0" applyBorder="0" applyAlignment="0" applyProtection="0"/>
    <xf numFmtId="0" fontId="136" fillId="6" borderId="0" applyNumberFormat="0" applyBorder="0" applyAlignment="0" applyProtection="0"/>
    <xf numFmtId="0" fontId="299" fillId="63" borderId="0" applyNumberFormat="0" applyBorder="0" applyAlignment="0" applyProtection="0"/>
    <xf numFmtId="0" fontId="136" fillId="6"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7" borderId="0" applyNumberFormat="0" applyBorder="0" applyAlignment="0" applyProtection="0"/>
    <xf numFmtId="0" fontId="136" fillId="8" borderId="0" applyNumberFormat="0" applyBorder="0" applyAlignment="0" applyProtection="0"/>
    <xf numFmtId="0" fontId="136" fillId="8" borderId="0" applyNumberFormat="0" applyBorder="0" applyAlignment="0" applyProtection="0"/>
    <xf numFmtId="0" fontId="136" fillId="8" borderId="0" applyNumberFormat="0" applyBorder="0" applyAlignment="0" applyProtection="0"/>
    <xf numFmtId="0" fontId="136" fillId="8"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5" borderId="0" applyNumberFormat="0" applyBorder="0" applyAlignment="0" applyProtection="0"/>
    <xf numFmtId="0" fontId="136" fillId="8" borderId="0" applyNumberFormat="0" applyBorder="0" applyAlignment="0" applyProtection="0"/>
    <xf numFmtId="0" fontId="136" fillId="8" borderId="0" applyNumberFormat="0" applyBorder="0" applyAlignment="0" applyProtection="0"/>
    <xf numFmtId="0" fontId="136" fillId="8" borderId="0" applyNumberFormat="0" applyBorder="0" applyAlignment="0" applyProtection="0"/>
    <xf numFmtId="0" fontId="136" fillId="8"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300" fillId="12" borderId="0" applyNumberFormat="0" applyBorder="0" applyAlignment="0" applyProtection="0"/>
    <xf numFmtId="0" fontId="300" fillId="12" borderId="0" applyNumberFormat="0" applyBorder="0" applyAlignment="0" applyProtection="0"/>
    <xf numFmtId="0" fontId="300" fillId="12" borderId="0" applyNumberFormat="0" applyBorder="0" applyAlignment="0" applyProtection="0"/>
    <xf numFmtId="0" fontId="300" fillId="12" borderId="0" applyNumberFormat="0" applyBorder="0" applyAlignment="0" applyProtection="0"/>
    <xf numFmtId="0" fontId="300" fillId="9" borderId="0" applyNumberFormat="0" applyBorder="0" applyAlignment="0" applyProtection="0"/>
    <xf numFmtId="0" fontId="300" fillId="9" borderId="0" applyNumberFormat="0" applyBorder="0" applyAlignment="0" applyProtection="0"/>
    <xf numFmtId="0" fontId="300" fillId="9" borderId="0" applyNumberFormat="0" applyBorder="0" applyAlignment="0" applyProtection="0"/>
    <xf numFmtId="0" fontId="300" fillId="9" borderId="0" applyNumberFormat="0" applyBorder="0" applyAlignment="0" applyProtection="0"/>
    <xf numFmtId="0" fontId="300" fillId="10" borderId="0" applyNumberFormat="0" applyBorder="0" applyAlignment="0" applyProtection="0"/>
    <xf numFmtId="0" fontId="300" fillId="10" borderId="0" applyNumberFormat="0" applyBorder="0" applyAlignment="0" applyProtection="0"/>
    <xf numFmtId="0" fontId="300" fillId="10" borderId="0" applyNumberFormat="0" applyBorder="0" applyAlignment="0" applyProtection="0"/>
    <xf numFmtId="0" fontId="300" fillId="10"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5" borderId="0" applyNumberFormat="0" applyBorder="0" applyAlignment="0" applyProtection="0"/>
    <xf numFmtId="0" fontId="300" fillId="15" borderId="0" applyNumberFormat="0" applyBorder="0" applyAlignment="0" applyProtection="0"/>
    <xf numFmtId="0" fontId="300" fillId="15" borderId="0" applyNumberFormat="0" applyBorder="0" applyAlignment="0" applyProtection="0"/>
    <xf numFmtId="0" fontId="300" fillId="15"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301" fillId="6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300" fillId="16" borderId="0" applyNumberFormat="0" applyBorder="0" applyAlignment="0" applyProtection="0"/>
    <xf numFmtId="0" fontId="27" fillId="67" borderId="0" applyNumberFormat="0" applyBorder="0" applyAlignment="0" applyProtection="0"/>
    <xf numFmtId="0" fontId="27" fillId="67" borderId="0" applyNumberFormat="0" applyBorder="0" applyAlignment="0" applyProtection="0"/>
    <xf numFmtId="0" fontId="27" fillId="67" borderId="0" applyNumberFormat="0" applyBorder="0" applyAlignment="0" applyProtection="0"/>
    <xf numFmtId="0" fontId="27" fillId="67"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27" fillId="68" borderId="0" applyNumberFormat="0" applyBorder="0" applyAlignment="0" applyProtection="0"/>
    <xf numFmtId="0" fontId="301" fillId="68"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300" fillId="17" borderId="0" applyNumberFormat="0" applyBorder="0" applyAlignment="0" applyProtection="0"/>
    <xf numFmtId="0" fontId="27" fillId="69" borderId="0" applyNumberFormat="0" applyBorder="0" applyAlignment="0" applyProtection="0"/>
    <xf numFmtId="0" fontId="27" fillId="69" borderId="0" applyNumberFormat="0" applyBorder="0" applyAlignment="0" applyProtection="0"/>
    <xf numFmtId="0" fontId="27" fillId="69" borderId="0" applyNumberFormat="0" applyBorder="0" applyAlignment="0" applyProtection="0"/>
    <xf numFmtId="0" fontId="27" fillId="69"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27" fillId="70" borderId="0" applyNumberFormat="0" applyBorder="0" applyAlignment="0" applyProtection="0"/>
    <xf numFmtId="0" fontId="301" fillId="70"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300" fillId="18"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27" fillId="71" borderId="0" applyNumberFormat="0" applyBorder="0" applyAlignment="0" applyProtection="0"/>
    <xf numFmtId="0" fontId="301" fillId="72"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300" fillId="1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73"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301" fillId="7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300" fillId="14"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5"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27" fillId="76" borderId="0" applyNumberFormat="0" applyBorder="0" applyAlignment="0" applyProtection="0"/>
    <xf numFmtId="0" fontId="301" fillId="77"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0" fillId="19" borderId="0" applyNumberFormat="0" applyBorder="0" applyAlignment="0" applyProtection="0"/>
    <xf numFmtId="0" fontId="302" fillId="78" borderId="0" applyNumberFormat="0" applyBorder="0" applyAlignment="0" applyProtection="0"/>
    <xf numFmtId="0" fontId="303" fillId="3" borderId="0" applyNumberFormat="0" applyBorder="0" applyAlignment="0" applyProtection="0"/>
    <xf numFmtId="0" fontId="303" fillId="3" borderId="0" applyNumberFormat="0" applyBorder="0" applyAlignment="0" applyProtection="0"/>
    <xf numFmtId="0" fontId="303" fillId="3" borderId="0" applyNumberFormat="0" applyBorder="0" applyAlignment="0" applyProtection="0"/>
    <xf numFmtId="0" fontId="303" fillId="3" borderId="0" applyNumberFormat="0" applyBorder="0" applyAlignment="0" applyProtection="0"/>
    <xf numFmtId="0" fontId="304" fillId="20" borderId="1" applyNumberFormat="0" applyAlignment="0" applyProtection="0"/>
    <xf numFmtId="0" fontId="304" fillId="20" borderId="1" applyNumberFormat="0" applyAlignment="0" applyProtection="0"/>
    <xf numFmtId="0" fontId="304" fillId="20" borderId="1" applyNumberFormat="0" applyAlignment="0" applyProtection="0"/>
    <xf numFmtId="0" fontId="304" fillId="20" borderId="1" applyNumberFormat="0" applyAlignment="0" applyProtection="0"/>
    <xf numFmtId="0" fontId="305" fillId="21" borderId="2" applyNumberFormat="0" applyAlignment="0" applyProtection="0"/>
    <xf numFmtId="0" fontId="305" fillId="21" borderId="2" applyNumberFormat="0" applyAlignment="0" applyProtection="0"/>
    <xf numFmtId="0" fontId="305" fillId="21" borderId="2" applyNumberFormat="0" applyAlignment="0" applyProtection="0"/>
    <xf numFmtId="0" fontId="305" fillId="21" borderId="2"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0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1" fontId="307" fillId="0" borderId="0" applyFont="0" applyFill="0" applyBorder="0" applyAlignment="0" applyProtection="0"/>
    <xf numFmtId="43" fontId="3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57"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298" fillId="0" borderId="0" applyFont="0" applyFill="0" applyBorder="0" applyAlignment="0" applyProtection="0"/>
    <xf numFmtId="43" fontId="309" fillId="0" borderId="0" applyFont="0" applyFill="0" applyBorder="0" applyAlignment="0" applyProtection="0"/>
    <xf numFmtId="43" fontId="298" fillId="0" borderId="0" applyFont="0" applyFill="0" applyBorder="0" applyAlignment="0" applyProtection="0"/>
    <xf numFmtId="43" fontId="136" fillId="0" borderId="0" applyFont="0" applyFill="0" applyBorder="0" applyAlignment="0" applyProtection="0"/>
    <xf numFmtId="43" fontId="306" fillId="0" borderId="0" applyFont="0" applyFill="0" applyBorder="0" applyAlignment="0" applyProtection="0"/>
    <xf numFmtId="43" fontId="2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98" fillId="0" borderId="0" applyFont="0" applyFill="0" applyBorder="0" applyAlignment="0" applyProtection="0"/>
    <xf numFmtId="44" fontId="298" fillId="0" borderId="0" applyFont="0" applyFill="0" applyBorder="0" applyAlignment="0" applyProtection="0"/>
    <xf numFmtId="44" fontId="298" fillId="0" borderId="0" applyFont="0" applyFill="0" applyBorder="0" applyAlignment="0" applyProtection="0"/>
    <xf numFmtId="44" fontId="298" fillId="0" borderId="0" applyFont="0" applyFill="0" applyBorder="0" applyAlignment="0" applyProtection="0"/>
    <xf numFmtId="44" fontId="6" fillId="0" borderId="0" applyFont="0" applyFill="0" applyBorder="0" applyAlignment="0" applyProtection="0"/>
    <xf numFmtId="44" fontId="298" fillId="0" borderId="0" applyFont="0" applyFill="0" applyBorder="0" applyAlignment="0" applyProtection="0"/>
    <xf numFmtId="44" fontId="306" fillId="0" borderId="0" applyFont="0" applyFill="0" applyBorder="0" applyAlignment="0" applyProtection="0"/>
    <xf numFmtId="44" fontId="7" fillId="0" borderId="0" applyFont="0" applyFill="0" applyBorder="0" applyAlignment="0" applyProtection="0"/>
    <xf numFmtId="44" fontId="136" fillId="0" borderId="0" applyFont="0" applyFill="0" applyBorder="0" applyAlignment="0" applyProtection="0"/>
    <xf numFmtId="44" fontId="2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306" fillId="0" borderId="0" applyFont="0" applyFill="0" applyBorder="0" applyAlignment="0" applyProtection="0"/>
    <xf numFmtId="44" fontId="136" fillId="0" borderId="0" applyFont="0" applyFill="0" applyBorder="0" applyAlignment="0" applyProtection="0"/>
    <xf numFmtId="212" fontId="25" fillId="0" borderId="0" applyFont="0" applyFill="0" applyBorder="0" applyAlignment="0" applyProtection="0"/>
    <xf numFmtId="212" fontId="25" fillId="0" borderId="0" applyFont="0" applyFill="0" applyBorder="0" applyAlignment="0" applyProtection="0"/>
    <xf numFmtId="0" fontId="67" fillId="79" borderId="0" applyNumberFormat="0" applyBorder="0" applyAlignment="0" applyProtection="0"/>
    <xf numFmtId="0" fontId="67" fillId="80" borderId="0" applyNumberFormat="0" applyBorder="0" applyAlignment="0" applyProtection="0"/>
    <xf numFmtId="0" fontId="67" fillId="81" borderId="0" applyNumberFormat="0" applyBorder="0" applyAlignment="0" applyProtection="0"/>
    <xf numFmtId="213" fontId="25" fillId="0" borderId="0" applyFont="0" applyFill="0" applyBorder="0" applyAlignment="0" applyProtection="0"/>
    <xf numFmtId="213" fontId="25" fillId="0" borderId="0" applyFon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214" fontId="25" fillId="0" borderId="0" applyFont="0" applyFill="0" applyBorder="0" applyAlignment="0" applyProtection="0"/>
    <xf numFmtId="214" fontId="25" fillId="0" borderId="0" applyFont="0" applyFill="0" applyBorder="0" applyAlignment="0" applyProtection="0"/>
    <xf numFmtId="0" fontId="8" fillId="0" borderId="0" applyFill="0" applyBorder="0" applyProtection="0">
      <alignment horizontal="left"/>
    </xf>
    <xf numFmtId="197" fontId="122" fillId="0" borderId="0"/>
    <xf numFmtId="197" fontId="122" fillId="0" borderId="0"/>
    <xf numFmtId="197" fontId="122" fillId="0" borderId="0"/>
    <xf numFmtId="197" fontId="122" fillId="0" borderId="0"/>
    <xf numFmtId="198" fontId="122" fillId="0" borderId="0"/>
    <xf numFmtId="197" fontId="122" fillId="0" borderId="0"/>
    <xf numFmtId="215" fontId="122" fillId="0" borderId="0"/>
    <xf numFmtId="215" fontId="122" fillId="0" borderId="0"/>
    <xf numFmtId="198" fontId="122" fillId="0" borderId="0"/>
    <xf numFmtId="197" fontId="122" fillId="0" borderId="0"/>
    <xf numFmtId="197" fontId="122" fillId="0" borderId="0"/>
    <xf numFmtId="198" fontId="122" fillId="0" borderId="0"/>
    <xf numFmtId="197" fontId="122" fillId="0" borderId="0"/>
    <xf numFmtId="216" fontId="122" fillId="0" borderId="0"/>
    <xf numFmtId="216" fontId="122" fillId="0" borderId="0"/>
    <xf numFmtId="216" fontId="122" fillId="0" borderId="0"/>
    <xf numFmtId="216" fontId="122" fillId="0" borderId="0"/>
    <xf numFmtId="217" fontId="122" fillId="0" borderId="0"/>
    <xf numFmtId="217" fontId="122" fillId="0" borderId="0"/>
    <xf numFmtId="216" fontId="122" fillId="0" borderId="0"/>
    <xf numFmtId="216" fontId="122" fillId="0" borderId="0"/>
    <xf numFmtId="216" fontId="122" fillId="0" borderId="0"/>
    <xf numFmtId="218" fontId="122" fillId="0" borderId="0"/>
    <xf numFmtId="218" fontId="122" fillId="0" borderId="0"/>
    <xf numFmtId="218" fontId="122" fillId="0" borderId="0"/>
    <xf numFmtId="218" fontId="122" fillId="0" borderId="0"/>
    <xf numFmtId="218" fontId="122" fillId="0" borderId="0"/>
    <xf numFmtId="218" fontId="122" fillId="0" borderId="0"/>
    <xf numFmtId="0" fontId="311" fillId="82" borderId="0" applyNumberFormat="0" applyBorder="0" applyAlignment="0" applyProtection="0"/>
    <xf numFmtId="0" fontId="311" fillId="82" borderId="0" applyNumberFormat="0" applyBorder="0" applyAlignment="0" applyProtection="0"/>
    <xf numFmtId="0" fontId="312" fillId="4" borderId="0" applyNumberFormat="0" applyBorder="0" applyAlignment="0" applyProtection="0"/>
    <xf numFmtId="0" fontId="312" fillId="4" borderId="0" applyNumberFormat="0" applyBorder="0" applyAlignment="0" applyProtection="0"/>
    <xf numFmtId="0" fontId="312" fillId="4" borderId="0" applyNumberFormat="0" applyBorder="0" applyAlignment="0" applyProtection="0"/>
    <xf numFmtId="0" fontId="311" fillId="82" borderId="0" applyNumberFormat="0" applyBorder="0" applyAlignment="0" applyProtection="0"/>
    <xf numFmtId="0" fontId="312" fillId="4" borderId="0" applyNumberFormat="0" applyBorder="0" applyAlignment="0" applyProtection="0"/>
    <xf numFmtId="0" fontId="313" fillId="82" borderId="0" applyNumberFormat="0" applyBorder="0" applyAlignment="0" applyProtection="0"/>
    <xf numFmtId="0" fontId="314" fillId="0" borderId="3" applyNumberFormat="0" applyFill="0" applyAlignment="0" applyProtection="0"/>
    <xf numFmtId="0" fontId="314" fillId="0" borderId="3" applyNumberFormat="0" applyFill="0" applyAlignment="0" applyProtection="0"/>
    <xf numFmtId="0" fontId="314" fillId="0" borderId="3" applyNumberFormat="0" applyFill="0" applyAlignment="0" applyProtection="0"/>
    <xf numFmtId="0" fontId="314" fillId="0" borderId="3" applyNumberFormat="0" applyFill="0" applyAlignment="0" applyProtection="0"/>
    <xf numFmtId="0" fontId="65" fillId="0" borderId="4" applyNumberFormat="0" applyFill="0" applyAlignment="0" applyProtection="0"/>
    <xf numFmtId="0" fontId="315" fillId="0" borderId="4" applyNumberFormat="0" applyFill="0" applyAlignment="0" applyProtection="0"/>
    <xf numFmtId="0" fontId="315" fillId="0" borderId="4" applyNumberFormat="0" applyFill="0" applyAlignment="0" applyProtection="0"/>
    <xf numFmtId="0" fontId="315" fillId="0" borderId="4" applyNumberFormat="0" applyFill="0" applyAlignment="0" applyProtection="0"/>
    <xf numFmtId="0" fontId="315" fillId="0" borderId="4"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5" applyNumberFormat="0" applyFill="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7" fillId="0" borderId="0" applyNumberFormat="0" applyFill="0" applyBorder="0" applyAlignment="0" applyProtection="0">
      <alignment vertical="top"/>
      <protection locked="0"/>
    </xf>
    <xf numFmtId="0" fontId="318" fillId="7" borderId="1" applyNumberFormat="0" applyAlignment="0" applyProtection="0"/>
    <xf numFmtId="0" fontId="318" fillId="7" borderId="1" applyNumberFormat="0" applyAlignment="0" applyProtection="0"/>
    <xf numFmtId="0" fontId="318" fillId="7" borderId="1" applyNumberFormat="0" applyAlignment="0" applyProtection="0"/>
    <xf numFmtId="0" fontId="318" fillId="7" borderId="1" applyNumberFormat="0" applyAlignment="0" applyProtection="0"/>
    <xf numFmtId="0" fontId="319" fillId="0" borderId="7" applyNumberFormat="0" applyFill="0" applyAlignment="0" applyProtection="0"/>
    <xf numFmtId="0" fontId="319" fillId="0" borderId="7" applyNumberFormat="0" applyFill="0" applyAlignment="0" applyProtection="0"/>
    <xf numFmtId="0" fontId="319" fillId="0" borderId="7" applyNumberFormat="0" applyFill="0" applyAlignment="0" applyProtection="0"/>
    <xf numFmtId="0" fontId="319" fillId="0" borderId="7" applyNumberFormat="0" applyFill="0" applyAlignment="0" applyProtection="0"/>
    <xf numFmtId="0" fontId="74" fillId="27" borderId="0" applyNumberFormat="0" applyBorder="0" applyAlignment="0" applyProtection="0"/>
    <xf numFmtId="0" fontId="74" fillId="27" borderId="0" applyNumberFormat="0" applyBorder="0" applyAlignment="0" applyProtection="0"/>
    <xf numFmtId="0" fontId="320" fillId="83" borderId="0" applyNumberFormat="0" applyBorder="0" applyAlignment="0" applyProtection="0"/>
    <xf numFmtId="0" fontId="321" fillId="27" borderId="0" applyNumberFormat="0" applyBorder="0" applyAlignment="0" applyProtection="0"/>
    <xf numFmtId="0" fontId="321" fillId="27" borderId="0" applyNumberFormat="0" applyBorder="0" applyAlignment="0" applyProtection="0"/>
    <xf numFmtId="0" fontId="321" fillId="27" borderId="0" applyNumberFormat="0" applyBorder="0" applyAlignment="0" applyProtection="0"/>
    <xf numFmtId="0" fontId="320" fillId="83" borderId="0" applyNumberFormat="0" applyBorder="0" applyAlignment="0" applyProtection="0"/>
    <xf numFmtId="0" fontId="321" fillId="2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2" fillId="0" borderId="0"/>
    <xf numFmtId="0" fontId="55" fillId="0" borderId="0" applyFill="0" applyBorder="0" applyAlignment="0" applyProtection="0"/>
    <xf numFmtId="0" fontId="25" fillId="0" borderId="0"/>
    <xf numFmtId="0" fontId="122" fillId="0" borderId="0"/>
    <xf numFmtId="0" fontId="7" fillId="0" borderId="0"/>
    <xf numFmtId="0" fontId="122" fillId="0" borderId="0"/>
    <xf numFmtId="0" fontId="6" fillId="0" borderId="0"/>
    <xf numFmtId="0" fontId="6" fillId="0" borderId="0"/>
    <xf numFmtId="0" fontId="122" fillId="0" borderId="0"/>
    <xf numFmtId="0" fontId="122" fillId="0" borderId="0"/>
    <xf numFmtId="0" fontId="7" fillId="0" borderId="0"/>
    <xf numFmtId="0" fontId="298" fillId="0" borderId="0"/>
    <xf numFmtId="0" fontId="298" fillId="0" borderId="0"/>
    <xf numFmtId="0" fontId="298" fillId="0" borderId="0"/>
    <xf numFmtId="0" fontId="298" fillId="0" borderId="0"/>
    <xf numFmtId="0" fontId="298" fillId="0" borderId="0"/>
    <xf numFmtId="0" fontId="298" fillId="0" borderId="0"/>
    <xf numFmtId="0" fontId="122" fillId="0" borderId="0"/>
    <xf numFmtId="0" fontId="57" fillId="0" borderId="0"/>
    <xf numFmtId="0" fontId="25" fillId="0" borderId="0"/>
    <xf numFmtId="0" fontId="25" fillId="0" borderId="0"/>
    <xf numFmtId="0" fontId="27" fillId="0" borderId="0"/>
    <xf numFmtId="0" fontId="309" fillId="0" borderId="0"/>
    <xf numFmtId="0" fontId="25" fillId="0" borderId="0"/>
    <xf numFmtId="0" fontId="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122" fillId="0" borderId="0"/>
    <xf numFmtId="0" fontId="306" fillId="0" borderId="0"/>
    <xf numFmtId="0" fontId="306" fillId="0" borderId="0"/>
    <xf numFmtId="0" fontId="1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9" fillId="0" borderId="0"/>
    <xf numFmtId="0" fontId="12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0" borderId="0"/>
    <xf numFmtId="0" fontId="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0" borderId="0"/>
    <xf numFmtId="0" fontId="306" fillId="0" borderId="0"/>
    <xf numFmtId="0" fontId="27" fillId="0" borderId="0"/>
    <xf numFmtId="0" fontId="25" fillId="0" borderId="0"/>
    <xf numFmtId="0" fontId="122" fillId="0" borderId="0"/>
    <xf numFmtId="0" fontId="27" fillId="0" borderId="0"/>
    <xf numFmtId="0" fontId="25" fillId="0" borderId="0"/>
    <xf numFmtId="0" fontId="6" fillId="0" borderId="0"/>
    <xf numFmtId="0" fontId="6" fillId="0" borderId="0"/>
    <xf numFmtId="0" fontId="27" fillId="0" borderId="0"/>
    <xf numFmtId="0" fontId="136" fillId="28" borderId="12" applyNumberFormat="0" applyFont="0" applyAlignment="0" applyProtection="0"/>
    <xf numFmtId="0" fontId="136" fillId="28" borderId="12" applyNumberFormat="0" applyFont="0" applyAlignment="0" applyProtection="0"/>
    <xf numFmtId="0" fontId="136" fillId="28" borderId="12" applyNumberFormat="0" applyFont="0" applyAlignment="0" applyProtection="0"/>
    <xf numFmtId="0" fontId="136" fillId="28" borderId="12" applyNumberFormat="0" applyFont="0" applyAlignment="0" applyProtection="0"/>
    <xf numFmtId="43" fontId="25" fillId="0" borderId="0"/>
    <xf numFmtId="43" fontId="25" fillId="0" borderId="0"/>
    <xf numFmtId="43" fontId="25" fillId="0" borderId="0"/>
    <xf numFmtId="43" fontId="25" fillId="0" borderId="0"/>
    <xf numFmtId="43" fontId="25" fillId="0" borderId="0"/>
    <xf numFmtId="43" fontId="25" fillId="0" borderId="0"/>
    <xf numFmtId="0" fontId="323" fillId="20" borderId="13" applyNumberFormat="0" applyAlignment="0" applyProtection="0"/>
    <xf numFmtId="0" fontId="323" fillId="20" borderId="13" applyNumberFormat="0" applyAlignment="0" applyProtection="0"/>
    <xf numFmtId="0" fontId="323" fillId="20" borderId="13" applyNumberFormat="0" applyAlignment="0" applyProtection="0"/>
    <xf numFmtId="0" fontId="323" fillId="20" borderId="13" applyNumberFormat="0" applyAlignment="0" applyProtection="0"/>
    <xf numFmtId="9" fontId="25" fillId="0" borderId="0" applyFont="0" applyFill="0" applyBorder="0" applyAlignment="0" applyProtection="0"/>
    <xf numFmtId="9" fontId="6" fillId="0" borderId="0" applyFont="0" applyFill="0" applyBorder="0" applyAlignment="0" applyProtection="0"/>
    <xf numFmtId="9" fontId="298"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7" fillId="0" borderId="0" applyFont="0" applyFill="0" applyBorder="0" applyAlignment="0" applyProtection="0"/>
    <xf numFmtId="9" fontId="298" fillId="0" borderId="0" applyFont="0" applyFill="0" applyBorder="0" applyAlignment="0" applyProtection="0"/>
    <xf numFmtId="9" fontId="136" fillId="0" borderId="0" applyFont="0" applyFill="0" applyBorder="0" applyAlignment="0" applyProtection="0"/>
    <xf numFmtId="9" fontId="27" fillId="0" borderId="0" applyFont="0" applyFill="0" applyBorder="0" applyAlignment="0" applyProtection="0"/>
    <xf numFmtId="9" fontId="25" fillId="0" borderId="0" applyFont="0" applyFill="0" applyBorder="0" applyAlignment="0" applyProtection="0"/>
    <xf numFmtId="9" fontId="136" fillId="0" borderId="0" applyFont="0" applyFill="0" applyBorder="0" applyAlignment="0" applyProtection="0"/>
    <xf numFmtId="9" fontId="27" fillId="0" borderId="0" applyFont="0" applyFill="0" applyBorder="0" applyAlignment="0" applyProtection="0"/>
    <xf numFmtId="9" fontId="25" fillId="0" borderId="0" applyFont="0" applyFill="0" applyBorder="0" applyAlignment="0" applyProtection="0"/>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103" fillId="0" borderId="14">
      <alignment horizontal="center"/>
    </xf>
    <xf numFmtId="0" fontId="79" fillId="0" borderId="0" applyNumberForma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324" fillId="0" borderId="0"/>
    <xf numFmtId="0" fontId="324" fillId="0" borderId="0"/>
    <xf numFmtId="0" fontId="325" fillId="0" borderId="0"/>
    <xf numFmtId="0" fontId="326" fillId="0" borderId="0"/>
    <xf numFmtId="0" fontId="121" fillId="0" borderId="0"/>
    <xf numFmtId="0" fontId="121" fillId="0" borderId="0"/>
    <xf numFmtId="0" fontId="121" fillId="0" borderId="0"/>
    <xf numFmtId="0" fontId="327" fillId="0" borderId="0"/>
    <xf numFmtId="0" fontId="123" fillId="0" borderId="0"/>
    <xf numFmtId="0" fontId="123" fillId="0" borderId="0"/>
    <xf numFmtId="0" fontId="123" fillId="0" borderId="0"/>
    <xf numFmtId="0" fontId="328" fillId="0" borderId="0"/>
    <xf numFmtId="0" fontId="328" fillId="0" borderId="0"/>
    <xf numFmtId="0" fontId="328" fillId="0" borderId="0"/>
    <xf numFmtId="0" fontId="328" fillId="0" borderId="0"/>
    <xf numFmtId="0" fontId="124" fillId="0" borderId="0"/>
    <xf numFmtId="0" fontId="124" fillId="0" borderId="0"/>
    <xf numFmtId="0" fontId="124" fillId="0" borderId="0"/>
    <xf numFmtId="0" fontId="329" fillId="0" borderId="0"/>
    <xf numFmtId="0" fontId="123" fillId="0" borderId="0"/>
    <xf numFmtId="0" fontId="328" fillId="0" borderId="0"/>
    <xf numFmtId="0" fontId="125" fillId="0" borderId="0"/>
    <xf numFmtId="0" fontId="125" fillId="0" borderId="0"/>
    <xf numFmtId="0" fontId="328" fillId="0" borderId="0"/>
    <xf numFmtId="0" fontId="328" fillId="0" borderId="0"/>
    <xf numFmtId="0" fontId="126" fillId="0" borderId="0"/>
    <xf numFmtId="0" fontId="330" fillId="0" borderId="0"/>
    <xf numFmtId="0" fontId="124" fillId="0" borderId="0"/>
    <xf numFmtId="0" fontId="125" fillId="0" borderId="0"/>
    <xf numFmtId="0" fontId="126" fillId="0" borderId="0"/>
    <xf numFmtId="0" fontId="126" fillId="0" borderId="0"/>
    <xf numFmtId="0" fontId="125" fillId="0" borderId="0"/>
    <xf numFmtId="0" fontId="331" fillId="0" borderId="0"/>
    <xf numFmtId="0" fontId="331" fillId="0" borderId="0"/>
    <xf numFmtId="0" fontId="125" fillId="0" borderId="0"/>
    <xf numFmtId="0" fontId="331" fillId="0" borderId="0"/>
    <xf numFmtId="0" fontId="332" fillId="0" borderId="0"/>
    <xf numFmtId="0" fontId="126" fillId="0" borderId="0"/>
    <xf numFmtId="0" fontId="126" fillId="0" borderId="0"/>
    <xf numFmtId="0" fontId="331" fillId="0" borderId="0"/>
    <xf numFmtId="0" fontId="331" fillId="0" borderId="0"/>
    <xf numFmtId="0" fontId="126" fillId="0" borderId="0"/>
    <xf numFmtId="0" fontId="125" fillId="0" borderId="0"/>
    <xf numFmtId="0" fontId="125" fillId="0" borderId="0"/>
    <xf numFmtId="0" fontId="126" fillId="0" borderId="0"/>
    <xf numFmtId="0" fontId="125" fillId="0" borderId="0"/>
    <xf numFmtId="0" fontId="125" fillId="0" borderId="0"/>
    <xf numFmtId="0" fontId="333" fillId="0" borderId="0"/>
    <xf numFmtId="0" fontId="331" fillId="0" borderId="0"/>
    <xf numFmtId="0" fontId="331" fillId="0" borderId="0"/>
    <xf numFmtId="0" fontId="331" fillId="0" borderId="0"/>
    <xf numFmtId="0" fontId="331" fillId="0" borderId="0"/>
    <xf numFmtId="0" fontId="325" fillId="0" borderId="0"/>
    <xf numFmtId="0" fontId="334" fillId="0" borderId="0"/>
    <xf numFmtId="0" fontId="334" fillId="0" borderId="0"/>
    <xf numFmtId="0" fontId="324" fillId="0" borderId="0"/>
    <xf numFmtId="0" fontId="94" fillId="0" borderId="0" applyBorder="0" applyProtection="0">
      <alignment horizontal="left"/>
    </xf>
    <xf numFmtId="0" fontId="110" fillId="0" borderId="0" applyFill="0" applyBorder="0" applyProtection="0">
      <alignment horizontal="left"/>
    </xf>
    <xf numFmtId="0" fontId="55" fillId="0" borderId="72" applyFill="0" applyBorder="0" applyProtection="0">
      <alignment horizontal="left" vertical="top"/>
    </xf>
    <xf numFmtId="49" fontId="25" fillId="0" borderId="0" applyFont="0" applyFill="0" applyBorder="0" applyAlignment="0" applyProtection="0"/>
    <xf numFmtId="49" fontId="25" fillId="0" borderId="0" applyFont="0" applyFill="0" applyBorder="0" applyAlignment="0" applyProtection="0"/>
    <xf numFmtId="49" fontId="25" fillId="0" borderId="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335" fillId="0" borderId="24" applyNumberFormat="0" applyFill="0" applyAlignment="0" applyProtection="0"/>
    <xf numFmtId="0" fontId="335" fillId="0" borderId="24" applyNumberFormat="0" applyFill="0" applyAlignment="0" applyProtection="0"/>
    <xf numFmtId="0" fontId="335" fillId="0" borderId="24" applyNumberFormat="0" applyFill="0" applyAlignment="0" applyProtection="0"/>
    <xf numFmtId="0" fontId="335" fillId="0" borderId="24" applyNumberFormat="0" applyFill="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27" fillId="0" borderId="0"/>
    <xf numFmtId="0" fontId="361" fillId="83" borderId="0" applyNumberFormat="0" applyBorder="0" applyAlignment="0" applyProtection="0"/>
    <xf numFmtId="0" fontId="4" fillId="0" borderId="0"/>
    <xf numFmtId="0" fontId="365" fillId="97" borderId="0" applyNumberFormat="0" applyBorder="0" applyAlignment="0" applyProtection="0"/>
    <xf numFmtId="44" fontId="4" fillId="0" borderId="0" applyFont="0" applyFill="0" applyBorder="0" applyAlignment="0" applyProtection="0"/>
    <xf numFmtId="43" fontId="4" fillId="0" borderId="0" applyFont="0" applyFill="0" applyBorder="0" applyAlignment="0" applyProtection="0"/>
  </cellStyleXfs>
  <cellXfs count="4651">
    <xf numFmtId="0" fontId="0" fillId="0" borderId="0" xfId="0"/>
    <xf numFmtId="0" fontId="0" fillId="0" borderId="0" xfId="0" applyFill="1"/>
    <xf numFmtId="0" fontId="9" fillId="0" borderId="0" xfId="0" applyFont="1"/>
    <xf numFmtId="0" fontId="9" fillId="0" borderId="0" xfId="0" applyFont="1" applyAlignment="1">
      <alignment horizontal="center"/>
    </xf>
    <xf numFmtId="0" fontId="9" fillId="0" borderId="0" xfId="0" applyFont="1" applyFill="1"/>
    <xf numFmtId="0" fontId="10" fillId="0" borderId="0" xfId="0" applyFont="1" applyAlignment="1">
      <alignment horizontal="center"/>
    </xf>
    <xf numFmtId="0" fontId="10" fillId="0" borderId="0" xfId="0" applyFont="1"/>
    <xf numFmtId="0" fontId="10" fillId="0" borderId="0" xfId="0" applyFont="1" applyAlignment="1">
      <alignment horizontal="left"/>
    </xf>
    <xf numFmtId="0" fontId="10" fillId="0" borderId="0" xfId="0" applyFont="1" applyBorder="1" applyAlignment="1">
      <alignment horizontal="center"/>
    </xf>
    <xf numFmtId="0" fontId="10" fillId="0" borderId="0" xfId="0" applyFont="1" applyFill="1" applyBorder="1" applyAlignment="1">
      <alignment horizontal="center"/>
    </xf>
    <xf numFmtId="0" fontId="9" fillId="0" borderId="0" xfId="0" applyFont="1" applyFill="1" applyBorder="1" applyAlignment="1">
      <alignment horizontal="center"/>
    </xf>
    <xf numFmtId="0" fontId="9" fillId="0" borderId="0" xfId="0" applyFont="1" applyFill="1" applyBorder="1"/>
    <xf numFmtId="0" fontId="10" fillId="0" borderId="0" xfId="0" applyFont="1" applyFill="1" applyAlignment="1">
      <alignment horizontal="center"/>
    </xf>
    <xf numFmtId="0" fontId="9" fillId="0" borderId="0" xfId="0" applyFont="1" applyBorder="1"/>
    <xf numFmtId="0" fontId="10" fillId="0" borderId="0" xfId="0" applyFont="1" applyFill="1" applyAlignment="1">
      <alignment horizontal="left"/>
    </xf>
    <xf numFmtId="0" fontId="9" fillId="0" borderId="0" xfId="0" applyFont="1" applyFill="1" applyAlignment="1">
      <alignment horizontal="left" indent="1"/>
    </xf>
    <xf numFmtId="165" fontId="9" fillId="0" borderId="0" xfId="29" applyNumberFormat="1" applyFont="1" applyFill="1" applyBorder="1"/>
    <xf numFmtId="0" fontId="0" fillId="0" borderId="0" xfId="0" applyFill="1" applyBorder="1"/>
    <xf numFmtId="0" fontId="0" fillId="0" borderId="0" xfId="0" applyAlignment="1">
      <alignment horizontal="center"/>
    </xf>
    <xf numFmtId="165" fontId="0" fillId="0" borderId="0" xfId="29" applyNumberFormat="1" applyFont="1" applyFill="1" applyBorder="1"/>
    <xf numFmtId="0" fontId="0" fillId="0" borderId="0" xfId="0" applyBorder="1"/>
    <xf numFmtId="10" fontId="15" fillId="0" borderId="0" xfId="162" applyNumberFormat="1" applyFont="1" applyFill="1" applyAlignment="1">
      <alignment horizontal="center"/>
    </xf>
    <xf numFmtId="0" fontId="22" fillId="0" borderId="0" xfId="0" applyFont="1" applyFill="1"/>
    <xf numFmtId="0" fontId="9" fillId="0" borderId="0" xfId="150" applyFont="1"/>
    <xf numFmtId="0" fontId="10" fillId="0" borderId="0" xfId="150" applyFont="1"/>
    <xf numFmtId="0" fontId="9" fillId="0" borderId="0" xfId="149" applyFont="1"/>
    <xf numFmtId="0" fontId="9" fillId="0" borderId="0" xfId="150" applyFont="1" applyFill="1"/>
    <xf numFmtId="0" fontId="9" fillId="0" borderId="0" xfId="149" applyFont="1" applyFill="1"/>
    <xf numFmtId="0" fontId="10" fillId="0" borderId="0" xfId="150" applyFont="1" applyFill="1"/>
    <xf numFmtId="0" fontId="33" fillId="0" borderId="0" xfId="0" applyFont="1"/>
    <xf numFmtId="0" fontId="34" fillId="0" borderId="0" xfId="0" applyFont="1"/>
    <xf numFmtId="0" fontId="22" fillId="0" borderId="0" xfId="0" applyFont="1"/>
    <xf numFmtId="170" fontId="10" fillId="0" borderId="0" xfId="0" applyNumberFormat="1" applyFont="1"/>
    <xf numFmtId="0" fontId="35" fillId="0" borderId="0" xfId="0" applyNumberFormat="1" applyFont="1" applyFill="1" applyAlignment="1"/>
    <xf numFmtId="0" fontId="23" fillId="0" borderId="0" xfId="0" applyNumberFormat="1" applyFont="1" applyFill="1" applyAlignment="1"/>
    <xf numFmtId="0" fontId="30" fillId="0" borderId="0" xfId="0" applyFont="1" applyAlignment="1">
      <alignment horizontal="center"/>
    </xf>
    <xf numFmtId="0" fontId="18" fillId="0" borderId="0" xfId="0" quotePrefix="1" applyFont="1" applyFill="1" applyAlignment="1">
      <alignment horizontal="center"/>
    </xf>
    <xf numFmtId="0" fontId="18" fillId="0" borderId="0" xfId="0" quotePrefix="1" applyFont="1" applyAlignment="1">
      <alignment horizontal="center"/>
    </xf>
    <xf numFmtId="0" fontId="9" fillId="0" borderId="0" xfId="0" applyFont="1" applyFill="1" applyAlignment="1">
      <alignment horizontal="left"/>
    </xf>
    <xf numFmtId="0" fontId="9" fillId="0" borderId="0" xfId="0" applyFont="1" applyFill="1" applyAlignment="1">
      <alignment horizontal="left" indent="2"/>
    </xf>
    <xf numFmtId="0" fontId="10" fillId="0" borderId="0" xfId="0" applyFont="1" applyFill="1"/>
    <xf numFmtId="0" fontId="9" fillId="0" borderId="0" xfId="0" applyFont="1" applyFill="1" applyAlignment="1">
      <alignment horizontal="left" indent="3"/>
    </xf>
    <xf numFmtId="0" fontId="21" fillId="0" borderId="0" xfId="0" applyFont="1" applyFill="1" applyAlignment="1">
      <alignment horizontal="left"/>
    </xf>
    <xf numFmtId="0" fontId="10" fillId="33" borderId="25" xfId="0" applyFont="1" applyFill="1" applyBorder="1" applyAlignment="1">
      <alignment horizontal="center"/>
    </xf>
    <xf numFmtId="170" fontId="10" fillId="0" borderId="0" xfId="0" applyNumberFormat="1" applyFont="1" applyFill="1"/>
    <xf numFmtId="170" fontId="0" fillId="0" borderId="0" xfId="0" applyNumberFormat="1" applyFill="1"/>
    <xf numFmtId="10" fontId="0" fillId="0" borderId="0" xfId="162" applyNumberFormat="1" applyFont="1" applyFill="1" applyAlignment="1">
      <alignment horizontal="center"/>
    </xf>
    <xf numFmtId="10" fontId="0" fillId="0" borderId="0" xfId="162" applyNumberFormat="1" applyFont="1" applyFill="1" applyBorder="1"/>
    <xf numFmtId="0" fontId="14" fillId="0" borderId="0" xfId="0" applyFont="1" applyFill="1" applyAlignment="1">
      <alignment horizontal="center"/>
    </xf>
    <xf numFmtId="0" fontId="10" fillId="0" borderId="0" xfId="0" applyFont="1" applyBorder="1" applyAlignment="1"/>
    <xf numFmtId="0" fontId="42" fillId="0" borderId="0" xfId="0" applyFont="1"/>
    <xf numFmtId="0" fontId="0" fillId="22" borderId="0" xfId="0" applyFill="1"/>
    <xf numFmtId="0" fontId="20" fillId="22" borderId="0" xfId="67" applyFont="1" applyFill="1" applyAlignment="1" applyProtection="1"/>
    <xf numFmtId="0" fontId="43" fillId="0" borderId="0" xfId="0" applyFont="1" applyAlignment="1"/>
    <xf numFmtId="0" fontId="0" fillId="22" borderId="0" xfId="0" applyFill="1" applyAlignment="1">
      <alignment horizontal="center"/>
    </xf>
    <xf numFmtId="0" fontId="14" fillId="34" borderId="0" xfId="0" applyFont="1" applyFill="1" applyBorder="1" applyAlignment="1">
      <alignment horizontal="center"/>
    </xf>
    <xf numFmtId="0" fontId="10" fillId="0" borderId="0" xfId="0" applyFont="1" applyAlignment="1"/>
    <xf numFmtId="0" fontId="14" fillId="0" borderId="0" xfId="0" applyFont="1" applyFill="1" applyBorder="1" applyAlignment="1"/>
    <xf numFmtId="0" fontId="10" fillId="22" borderId="0" xfId="0" applyFont="1" applyFill="1"/>
    <xf numFmtId="0" fontId="14" fillId="34" borderId="21" xfId="0" applyFont="1" applyFill="1" applyBorder="1" applyAlignment="1">
      <alignment horizontal="center"/>
    </xf>
    <xf numFmtId="0" fontId="14" fillId="34" borderId="0" xfId="0" applyFont="1" applyFill="1" applyAlignment="1">
      <alignment horizontal="center"/>
    </xf>
    <xf numFmtId="0" fontId="10" fillId="22" borderId="0" xfId="0" applyFont="1" applyFill="1" applyBorder="1"/>
    <xf numFmtId="0" fontId="10" fillId="32" borderId="26" xfId="0" applyFont="1" applyFill="1" applyBorder="1" applyAlignment="1">
      <alignment horizontal="center"/>
    </xf>
    <xf numFmtId="0" fontId="10" fillId="32" borderId="27" xfId="0" applyFont="1" applyFill="1" applyBorder="1" applyAlignment="1">
      <alignment horizontal="center"/>
    </xf>
    <xf numFmtId="0" fontId="14" fillId="0" borderId="0" xfId="0" applyFont="1" applyFill="1" applyBorder="1" applyAlignment="1">
      <alignment horizontal="center"/>
    </xf>
    <xf numFmtId="0" fontId="14" fillId="22" borderId="0" xfId="0" applyFont="1" applyFill="1" applyBorder="1" applyAlignment="1">
      <alignment horizontal="center"/>
    </xf>
    <xf numFmtId="0" fontId="0" fillId="32" borderId="28" xfId="0" applyFill="1" applyBorder="1" applyAlignment="1">
      <alignment horizontal="center"/>
    </xf>
    <xf numFmtId="0" fontId="14" fillId="34" borderId="0" xfId="150" applyFont="1" applyFill="1" applyAlignment="1">
      <alignment horizontal="center"/>
    </xf>
    <xf numFmtId="170" fontId="11" fillId="32" borderId="29" xfId="44" applyNumberFormat="1" applyFont="1" applyFill="1" applyBorder="1"/>
    <xf numFmtId="170" fontId="11" fillId="32" borderId="30" xfId="44" applyNumberFormat="1" applyFont="1" applyFill="1" applyBorder="1"/>
    <xf numFmtId="173" fontId="11" fillId="32" borderId="32" xfId="44" applyNumberFormat="1" applyFont="1" applyFill="1" applyBorder="1"/>
    <xf numFmtId="173" fontId="11" fillId="32" borderId="14" xfId="44" applyNumberFormat="1" applyFont="1" applyFill="1" applyBorder="1"/>
    <xf numFmtId="170" fontId="11" fillId="32" borderId="34" xfId="44" applyNumberFormat="1" applyFont="1" applyFill="1" applyBorder="1"/>
    <xf numFmtId="170" fontId="11" fillId="32" borderId="35" xfId="44" applyNumberFormat="1" applyFont="1" applyFill="1" applyBorder="1"/>
    <xf numFmtId="0" fontId="15" fillId="34" borderId="0" xfId="0" applyFont="1" applyFill="1" applyAlignment="1">
      <alignment horizontal="center"/>
    </xf>
    <xf numFmtId="0" fontId="0" fillId="32" borderId="26" xfId="0" applyFill="1" applyBorder="1" applyAlignment="1">
      <alignment horizontal="center"/>
    </xf>
    <xf numFmtId="0" fontId="0" fillId="32" borderId="27" xfId="0" applyFill="1" applyBorder="1" applyAlignment="1">
      <alignment horizontal="center"/>
    </xf>
    <xf numFmtId="2" fontId="24" fillId="32" borderId="36" xfId="29" applyNumberFormat="1" applyFont="1" applyFill="1" applyBorder="1" applyAlignment="1">
      <alignment horizontal="center"/>
    </xf>
    <xf numFmtId="2" fontId="24" fillId="32" borderId="27" xfId="29" applyNumberFormat="1" applyFont="1" applyFill="1" applyBorder="1" applyAlignment="1">
      <alignment horizontal="center"/>
    </xf>
    <xf numFmtId="0" fontId="0" fillId="32" borderId="37" xfId="0" applyFill="1" applyBorder="1" applyAlignment="1">
      <alignment horizontal="center"/>
    </xf>
    <xf numFmtId="0" fontId="11" fillId="32" borderId="26" xfId="0" applyFont="1" applyFill="1" applyBorder="1" applyAlignment="1">
      <alignment horizontal="center"/>
    </xf>
    <xf numFmtId="0" fontId="11" fillId="32" borderId="36" xfId="0" applyFont="1" applyFill="1" applyBorder="1" applyAlignment="1">
      <alignment horizontal="center"/>
    </xf>
    <xf numFmtId="0" fontId="11" fillId="32" borderId="27" xfId="0" applyFont="1" applyFill="1" applyBorder="1" applyAlignment="1">
      <alignment horizontal="center"/>
    </xf>
    <xf numFmtId="0" fontId="9" fillId="23" borderId="0" xfId="0" applyFont="1" applyFill="1" applyAlignment="1">
      <alignment horizontal="center"/>
    </xf>
    <xf numFmtId="0" fontId="9" fillId="23" borderId="0" xfId="0" applyFont="1" applyFill="1"/>
    <xf numFmtId="0" fontId="10" fillId="23" borderId="0" xfId="0" applyFont="1" applyFill="1" applyBorder="1" applyAlignment="1">
      <alignment horizontal="center"/>
    </xf>
    <xf numFmtId="0" fontId="0" fillId="23" borderId="0" xfId="0" applyFill="1"/>
    <xf numFmtId="0" fontId="0" fillId="23" borderId="0" xfId="0" applyFill="1" applyBorder="1"/>
    <xf numFmtId="0" fontId="10" fillId="23" borderId="0" xfId="0" applyFont="1" applyFill="1" applyBorder="1"/>
    <xf numFmtId="0" fontId="43" fillId="0" borderId="0" xfId="150" applyFont="1" applyAlignment="1"/>
    <xf numFmtId="0" fontId="0" fillId="23" borderId="0" xfId="0" applyFill="1" applyAlignment="1">
      <alignment horizontal="center"/>
    </xf>
    <xf numFmtId="0" fontId="10" fillId="23" borderId="0" xfId="0" applyFont="1" applyFill="1"/>
    <xf numFmtId="165" fontId="0" fillId="23" borderId="0" xfId="29" applyNumberFormat="1" applyFont="1" applyFill="1" applyBorder="1"/>
    <xf numFmtId="10" fontId="24" fillId="23" borderId="0" xfId="162" applyNumberFormat="1" applyFont="1" applyFill="1" applyBorder="1" applyAlignment="1">
      <alignment horizontal="center"/>
    </xf>
    <xf numFmtId="165" fontId="41" fillId="23" borderId="0" xfId="29" applyNumberFormat="1" applyFont="1" applyFill="1" applyBorder="1"/>
    <xf numFmtId="10" fontId="10" fillId="23" borderId="0" xfId="162" applyNumberFormat="1" applyFont="1" applyFill="1" applyAlignment="1">
      <alignment horizontal="center"/>
    </xf>
    <xf numFmtId="10" fontId="0" fillId="23" borderId="0" xfId="162" applyNumberFormat="1" applyFont="1" applyFill="1" applyBorder="1" applyAlignment="1">
      <alignment horizontal="center"/>
    </xf>
    <xf numFmtId="10" fontId="0" fillId="23" borderId="0" xfId="162" applyNumberFormat="1" applyFont="1" applyFill="1" applyBorder="1"/>
    <xf numFmtId="10" fontId="15" fillId="23" borderId="0" xfId="162" applyNumberFormat="1" applyFont="1" applyFill="1" applyAlignment="1">
      <alignment horizontal="center"/>
    </xf>
    <xf numFmtId="0" fontId="18" fillId="23" borderId="0" xfId="0" quotePrefix="1" applyFont="1" applyFill="1" applyAlignment="1">
      <alignment horizontal="center"/>
    </xf>
    <xf numFmtId="0" fontId="14" fillId="23" borderId="0" xfId="0" applyFont="1" applyFill="1" applyBorder="1" applyAlignment="1">
      <alignment horizontal="center"/>
    </xf>
    <xf numFmtId="0" fontId="30" fillId="23" borderId="0" xfId="0" applyFont="1" applyFill="1" applyAlignment="1">
      <alignment horizontal="center"/>
    </xf>
    <xf numFmtId="0" fontId="44" fillId="22" borderId="0" xfId="0" applyFont="1" applyFill="1" applyBorder="1" applyAlignment="1">
      <alignment horizontal="center" vertical="center"/>
    </xf>
    <xf numFmtId="169" fontId="10" fillId="23" borderId="0" xfId="0" applyNumberFormat="1" applyFont="1" applyFill="1" applyAlignment="1">
      <alignment horizontal="center"/>
    </xf>
    <xf numFmtId="173" fontId="9" fillId="23" borderId="0" xfId="0" applyNumberFormat="1" applyFont="1" applyFill="1" applyBorder="1"/>
    <xf numFmtId="170" fontId="10" fillId="23" borderId="0" xfId="0" applyNumberFormat="1" applyFont="1" applyFill="1" applyBorder="1"/>
    <xf numFmtId="0" fontId="22" fillId="23" borderId="0" xfId="0" applyFont="1" applyFill="1"/>
    <xf numFmtId="0" fontId="20" fillId="22" borderId="0" xfId="67" quotePrefix="1" applyFont="1" applyFill="1" applyAlignment="1" applyProtection="1"/>
    <xf numFmtId="7" fontId="22" fillId="0" borderId="0" xfId="0" applyNumberFormat="1" applyFont="1"/>
    <xf numFmtId="0" fontId="0" fillId="0" borderId="0" xfId="0" applyAlignment="1">
      <alignment horizontal="centerContinuous"/>
    </xf>
    <xf numFmtId="0" fontId="14" fillId="34" borderId="38" xfId="0" applyFont="1" applyFill="1" applyBorder="1" applyAlignment="1">
      <alignment horizontal="center" vertical="center"/>
    </xf>
    <xf numFmtId="0" fontId="14" fillId="35" borderId="39" xfId="0" applyFont="1" applyFill="1" applyBorder="1" applyAlignment="1">
      <alignment horizontal="center"/>
    </xf>
    <xf numFmtId="0" fontId="9" fillId="0" borderId="0" xfId="0" applyNumberFormat="1" applyFont="1" applyFill="1"/>
    <xf numFmtId="4" fontId="9" fillId="0" borderId="0" xfId="0" applyNumberFormat="1" applyFont="1" applyFill="1"/>
    <xf numFmtId="0" fontId="9" fillId="0" borderId="6" xfId="0" applyFont="1" applyFill="1" applyBorder="1" applyAlignment="1">
      <alignment horizontal="center"/>
    </xf>
    <xf numFmtId="0" fontId="11" fillId="32" borderId="28" xfId="0" applyFont="1" applyFill="1" applyBorder="1" applyAlignment="1">
      <alignment horizontal="center"/>
    </xf>
    <xf numFmtId="49" fontId="14" fillId="34" borderId="38" xfId="0" applyNumberFormat="1" applyFont="1" applyFill="1" applyBorder="1" applyAlignment="1">
      <alignment horizontal="center" wrapText="1"/>
    </xf>
    <xf numFmtId="165" fontId="10" fillId="0" borderId="0" xfId="29" applyNumberFormat="1" applyFont="1" applyFill="1" applyBorder="1"/>
    <xf numFmtId="165" fontId="9" fillId="0" borderId="0" xfId="0" applyNumberFormat="1" applyFont="1" applyFill="1" applyBorder="1"/>
    <xf numFmtId="0" fontId="9" fillId="0" borderId="0" xfId="0" applyNumberFormat="1" applyFont="1" applyFill="1" applyBorder="1"/>
    <xf numFmtId="49" fontId="10" fillId="0" borderId="0" xfId="0" applyNumberFormat="1" applyFont="1" applyFill="1" applyBorder="1"/>
    <xf numFmtId="0" fontId="10" fillId="0" borderId="0" xfId="0" applyNumberFormat="1" applyFont="1" applyFill="1" applyBorder="1"/>
    <xf numFmtId="167" fontId="9" fillId="0" borderId="0" xfId="162" applyNumberFormat="1" applyFont="1" applyFill="1" applyBorder="1"/>
    <xf numFmtId="0" fontId="14" fillId="35" borderId="39" xfId="150" applyFont="1" applyFill="1" applyBorder="1" applyAlignment="1">
      <alignment horizontal="center"/>
    </xf>
    <xf numFmtId="0" fontId="14" fillId="34" borderId="39" xfId="0" applyFont="1" applyFill="1" applyBorder="1" applyAlignment="1">
      <alignment horizontal="centerContinuous"/>
    </xf>
    <xf numFmtId="0" fontId="14" fillId="34" borderId="40" xfId="0" applyFont="1" applyFill="1" applyBorder="1" applyAlignment="1">
      <alignment vertical="center"/>
    </xf>
    <xf numFmtId="0" fontId="9" fillId="0" borderId="0" xfId="150" applyFont="1" applyAlignment="1">
      <alignment horizontal="centerContinuous"/>
    </xf>
    <xf numFmtId="0" fontId="9" fillId="0" borderId="0" xfId="0" applyFont="1" applyAlignment="1">
      <alignment horizontal="centerContinuous"/>
    </xf>
    <xf numFmtId="0" fontId="45" fillId="0" borderId="0" xfId="150" applyFont="1" applyAlignment="1">
      <alignment horizontal="centerContinuous"/>
    </xf>
    <xf numFmtId="0" fontId="14" fillId="34" borderId="40" xfId="0" applyFont="1" applyFill="1" applyBorder="1" applyAlignment="1">
      <alignment horizontal="center"/>
    </xf>
    <xf numFmtId="0" fontId="14" fillId="34" borderId="0" xfId="0" applyFont="1" applyFill="1" applyBorder="1" applyAlignment="1">
      <alignment horizontal="centerContinuous"/>
    </xf>
    <xf numFmtId="0" fontId="14" fillId="34" borderId="41" xfId="0" applyFont="1" applyFill="1" applyBorder="1" applyAlignment="1">
      <alignment horizontal="center"/>
    </xf>
    <xf numFmtId="0" fontId="14" fillId="34" borderId="38" xfId="0" applyFont="1" applyFill="1" applyBorder="1" applyAlignment="1">
      <alignment horizontal="center"/>
    </xf>
    <xf numFmtId="165" fontId="11" fillId="32" borderId="0" xfId="29" applyNumberFormat="1" applyFont="1" applyFill="1" applyBorder="1"/>
    <xf numFmtId="165" fontId="11" fillId="32" borderId="42" xfId="29" applyNumberFormat="1" applyFont="1" applyFill="1" applyBorder="1"/>
    <xf numFmtId="0" fontId="10" fillId="0" borderId="0" xfId="0" applyFont="1" applyBorder="1"/>
    <xf numFmtId="182" fontId="0" fillId="0" borderId="0" xfId="0" applyNumberFormat="1" applyBorder="1"/>
    <xf numFmtId="0" fontId="0" fillId="23" borderId="0" xfId="0" applyFill="1" applyBorder="1" applyAlignment="1">
      <alignment horizontal="center"/>
    </xf>
    <xf numFmtId="0" fontId="24" fillId="32" borderId="36" xfId="0" applyFont="1" applyFill="1" applyBorder="1" applyAlignment="1">
      <alignment horizontal="center"/>
    </xf>
    <xf numFmtId="0" fontId="24" fillId="32" borderId="27" xfId="0" applyFont="1" applyFill="1" applyBorder="1" applyAlignment="1">
      <alignment horizontal="center"/>
    </xf>
    <xf numFmtId="0" fontId="15" fillId="34" borderId="40" xfId="0" applyFont="1" applyFill="1" applyBorder="1" applyAlignment="1">
      <alignment horizontal="center"/>
    </xf>
    <xf numFmtId="0" fontId="44" fillId="34" borderId="38" xfId="0" applyFont="1" applyFill="1" applyBorder="1" applyAlignment="1">
      <alignment horizontal="center"/>
    </xf>
    <xf numFmtId="0" fontId="10" fillId="36" borderId="40" xfId="0" applyFont="1" applyFill="1" applyBorder="1" applyAlignment="1">
      <alignment horizontal="center"/>
    </xf>
    <xf numFmtId="0" fontId="14" fillId="34" borderId="43" xfId="0" applyFont="1" applyFill="1" applyBorder="1" applyAlignment="1">
      <alignment horizontal="center"/>
    </xf>
    <xf numFmtId="170" fontId="41" fillId="34" borderId="0" xfId="0" applyNumberFormat="1" applyFont="1" applyFill="1" applyBorder="1" applyAlignment="1">
      <alignment horizontal="centerContinuous"/>
    </xf>
    <xf numFmtId="0" fontId="14" fillId="35" borderId="40" xfId="0" applyFont="1" applyFill="1" applyBorder="1"/>
    <xf numFmtId="0" fontId="14" fillId="35" borderId="38" xfId="0" applyFont="1" applyFill="1" applyBorder="1" applyAlignment="1">
      <alignment horizontal="center"/>
    </xf>
    <xf numFmtId="0" fontId="14" fillId="35" borderId="44" xfId="0" applyFont="1" applyFill="1" applyBorder="1"/>
    <xf numFmtId="0" fontId="14" fillId="35" borderId="41" xfId="0" applyFont="1" applyFill="1" applyBorder="1" applyAlignment="1">
      <alignment horizontal="center"/>
    </xf>
    <xf numFmtId="0" fontId="14" fillId="34" borderId="44" xfId="0" applyFont="1" applyFill="1" applyBorder="1" applyAlignment="1">
      <alignment horizontal="center"/>
    </xf>
    <xf numFmtId="0" fontId="14" fillId="34" borderId="45" xfId="0" applyFont="1" applyFill="1" applyBorder="1" applyAlignment="1">
      <alignment horizontal="center"/>
    </xf>
    <xf numFmtId="0" fontId="44" fillId="35" borderId="39" xfId="0" applyFont="1" applyFill="1" applyBorder="1" applyAlignment="1">
      <alignment horizontal="center"/>
    </xf>
    <xf numFmtId="0" fontId="41" fillId="35" borderId="40" xfId="0" applyFont="1" applyFill="1" applyBorder="1"/>
    <xf numFmtId="0" fontId="14" fillId="35" borderId="40" xfId="0" applyFont="1" applyFill="1" applyBorder="1" applyAlignment="1">
      <alignment horizontal="center"/>
    </xf>
    <xf numFmtId="0" fontId="14" fillId="34" borderId="46" xfId="0" applyFont="1" applyFill="1" applyBorder="1" applyAlignment="1">
      <alignment horizontal="centerContinuous"/>
    </xf>
    <xf numFmtId="0" fontId="14" fillId="34" borderId="47" xfId="0" applyFont="1" applyFill="1" applyBorder="1" applyAlignment="1">
      <alignment horizontal="centerContinuous"/>
    </xf>
    <xf numFmtId="0" fontId="14" fillId="34" borderId="48" xfId="0" applyFont="1" applyFill="1" applyBorder="1" applyAlignment="1">
      <alignment horizontal="centerContinuous"/>
    </xf>
    <xf numFmtId="0" fontId="10" fillId="34" borderId="40" xfId="0" applyFont="1" applyFill="1" applyBorder="1" applyAlignment="1">
      <alignment horizontal="left"/>
    </xf>
    <xf numFmtId="0" fontId="9" fillId="34" borderId="40" xfId="0" applyFont="1" applyFill="1" applyBorder="1"/>
    <xf numFmtId="0" fontId="49" fillId="0" borderId="0" xfId="0" applyNumberFormat="1" applyFont="1" applyFill="1" applyAlignment="1"/>
    <xf numFmtId="165" fontId="23" fillId="0" borderId="0" xfId="29" applyNumberFormat="1" applyFont="1" applyFill="1" applyAlignment="1"/>
    <xf numFmtId="0" fontId="14" fillId="34" borderId="41" xfId="0" applyFont="1" applyFill="1" applyBorder="1" applyAlignment="1">
      <alignment horizontal="centerContinuous"/>
    </xf>
    <xf numFmtId="2" fontId="24" fillId="32" borderId="26" xfId="29" applyNumberFormat="1" applyFont="1" applyFill="1" applyBorder="1" applyAlignment="1">
      <alignment horizontal="center"/>
    </xf>
    <xf numFmtId="0" fontId="14" fillId="35" borderId="43" xfId="0" applyFont="1" applyFill="1" applyBorder="1" applyAlignment="1">
      <alignment horizontal="center"/>
    </xf>
    <xf numFmtId="0" fontId="41" fillId="35" borderId="43" xfId="0" applyFont="1" applyFill="1" applyBorder="1" applyAlignment="1">
      <alignment horizontal="center"/>
    </xf>
    <xf numFmtId="0" fontId="0" fillId="0" borderId="0" xfId="0" applyFill="1" applyBorder="1" applyAlignment="1">
      <alignment horizontal="center"/>
    </xf>
    <xf numFmtId="0" fontId="41" fillId="0" borderId="0" xfId="0" applyFont="1" applyFill="1" applyBorder="1" applyAlignment="1">
      <alignment horizontal="center"/>
    </xf>
    <xf numFmtId="0" fontId="43" fillId="0" borderId="0" xfId="0" applyFont="1" applyFill="1" applyAlignment="1">
      <alignment horizontal="centerContinuous"/>
    </xf>
    <xf numFmtId="0" fontId="10" fillId="0" borderId="0" xfId="0" applyFont="1" applyAlignment="1">
      <alignment horizontal="centerContinuous"/>
    </xf>
    <xf numFmtId="0" fontId="43" fillId="23" borderId="0" xfId="0" applyFont="1" applyFill="1" applyAlignment="1">
      <alignment horizontal="centerContinuous"/>
    </xf>
    <xf numFmtId="0" fontId="41" fillId="35" borderId="45" xfId="0" applyFont="1" applyFill="1" applyBorder="1" applyAlignment="1">
      <alignment horizontal="center"/>
    </xf>
    <xf numFmtId="0" fontId="14" fillId="23" borderId="0" xfId="0" applyFont="1" applyFill="1" applyBorder="1" applyAlignment="1"/>
    <xf numFmtId="0" fontId="14" fillId="23" borderId="0" xfId="0" applyFont="1" applyFill="1" applyBorder="1"/>
    <xf numFmtId="165" fontId="7" fillId="23" borderId="0" xfId="29" applyNumberFormat="1" applyFill="1" applyBorder="1"/>
    <xf numFmtId="10" fontId="7" fillId="23" borderId="0" xfId="162" applyNumberFormat="1" applyFill="1" applyBorder="1" applyAlignment="1">
      <alignment horizontal="center"/>
    </xf>
    <xf numFmtId="10" fontId="7" fillId="23" borderId="0" xfId="162" applyNumberFormat="1" applyFill="1" applyBorder="1"/>
    <xf numFmtId="165" fontId="7" fillId="0" borderId="0" xfId="29" applyNumberFormat="1" applyFill="1" applyBorder="1"/>
    <xf numFmtId="10" fontId="7" fillId="0" borderId="0" xfId="162" applyNumberFormat="1" applyFill="1" applyBorder="1"/>
    <xf numFmtId="10" fontId="7" fillId="23" borderId="0" xfId="162" applyNumberFormat="1" applyFill="1" applyAlignment="1">
      <alignment horizontal="center"/>
    </xf>
    <xf numFmtId="10" fontId="7" fillId="0" borderId="0" xfId="162" applyNumberFormat="1" applyFill="1" applyBorder="1" applyAlignment="1">
      <alignment horizontal="center"/>
    </xf>
    <xf numFmtId="10" fontId="10" fillId="23" borderId="0" xfId="162" applyNumberFormat="1" applyFont="1" applyFill="1" applyBorder="1"/>
    <xf numFmtId="10" fontId="7" fillId="0" borderId="0" xfId="162" applyNumberFormat="1" applyFont="1" applyFill="1" applyAlignment="1">
      <alignment horizontal="center"/>
    </xf>
    <xf numFmtId="0" fontId="9" fillId="0" borderId="0" xfId="0" applyNumberFormat="1" applyFont="1" applyFill="1" applyAlignment="1"/>
    <xf numFmtId="0" fontId="10" fillId="0" borderId="0" xfId="0" applyNumberFormat="1" applyFont="1" applyFill="1" applyAlignment="1"/>
    <xf numFmtId="0" fontId="23" fillId="0" borderId="0" xfId="0" applyNumberFormat="1" applyFont="1" applyFill="1" applyBorder="1" applyAlignment="1"/>
    <xf numFmtId="0" fontId="31" fillId="0" borderId="0" xfId="0" applyNumberFormat="1" applyFont="1" applyFill="1" applyBorder="1" applyAlignment="1"/>
    <xf numFmtId="0" fontId="31" fillId="0" borderId="0" xfId="0" applyNumberFormat="1" applyFont="1" applyFill="1" applyBorder="1" applyAlignment="1">
      <alignment horizontal="left" indent="2"/>
    </xf>
    <xf numFmtId="43" fontId="0" fillId="0" borderId="0" xfId="29" applyFont="1" applyFill="1" applyBorder="1"/>
    <xf numFmtId="0" fontId="24" fillId="32" borderId="26" xfId="0" applyFont="1" applyFill="1" applyBorder="1" applyAlignment="1">
      <alignment horizontal="center"/>
    </xf>
    <xf numFmtId="170" fontId="10" fillId="23" borderId="0" xfId="0" applyNumberFormat="1" applyFont="1" applyFill="1" applyBorder="1" applyAlignment="1">
      <alignment horizontal="center"/>
    </xf>
    <xf numFmtId="0" fontId="0" fillId="23" borderId="0" xfId="0" applyNumberFormat="1" applyFill="1" applyBorder="1"/>
    <xf numFmtId="0" fontId="0" fillId="23" borderId="0" xfId="0" applyNumberFormat="1" applyFill="1" applyBorder="1" applyAlignment="1">
      <alignment horizontal="center"/>
    </xf>
    <xf numFmtId="43" fontId="10" fillId="23" borderId="0" xfId="0" applyNumberFormat="1" applyFont="1" applyFill="1" applyBorder="1" applyAlignment="1">
      <alignment horizontal="center"/>
    </xf>
    <xf numFmtId="165" fontId="16" fillId="0" borderId="0" xfId="29" applyNumberFormat="1" applyFont="1" applyBorder="1"/>
    <xf numFmtId="10" fontId="16" fillId="0" borderId="0" xfId="0" applyNumberFormat="1" applyFont="1" applyBorder="1"/>
    <xf numFmtId="0" fontId="10" fillId="23" borderId="0" xfId="0" applyFont="1" applyFill="1" applyAlignment="1">
      <alignment horizontal="center"/>
    </xf>
    <xf numFmtId="0" fontId="7" fillId="0" borderId="0" xfId="0" applyFont="1"/>
    <xf numFmtId="0" fontId="7" fillId="0" borderId="0" xfId="0" applyFont="1" applyFill="1"/>
    <xf numFmtId="0" fontId="14" fillId="23" borderId="49" xfId="0" applyFont="1" applyFill="1" applyBorder="1" applyAlignment="1">
      <alignment vertical="center"/>
    </xf>
    <xf numFmtId="0" fontId="33" fillId="23" borderId="0" xfId="0" applyFont="1" applyFill="1"/>
    <xf numFmtId="0" fontId="7" fillId="23" borderId="0" xfId="0" applyFont="1" applyFill="1"/>
    <xf numFmtId="0" fontId="14" fillId="34" borderId="44" xfId="0" applyFont="1" applyFill="1" applyBorder="1" applyAlignment="1">
      <alignment horizontal="center" vertical="center" wrapText="1"/>
    </xf>
    <xf numFmtId="0" fontId="10" fillId="0" borderId="40" xfId="0" applyFont="1" applyBorder="1" applyAlignment="1">
      <alignment horizontal="center"/>
    </xf>
    <xf numFmtId="10" fontId="0" fillId="23" borderId="0" xfId="0" applyNumberFormat="1" applyFill="1"/>
    <xf numFmtId="165" fontId="10" fillId="23" borderId="0" xfId="29" applyNumberFormat="1" applyFont="1" applyFill="1" applyBorder="1"/>
    <xf numFmtId="165" fontId="9" fillId="0" borderId="0" xfId="29" applyNumberFormat="1" applyFont="1" applyFill="1"/>
    <xf numFmtId="0" fontId="10" fillId="0" borderId="0" xfId="0" applyFont="1" applyFill="1" applyBorder="1"/>
    <xf numFmtId="0" fontId="14" fillId="34" borderId="0" xfId="150" applyFont="1" applyFill="1" applyBorder="1" applyAlignment="1">
      <alignment horizontal="center"/>
    </xf>
    <xf numFmtId="0" fontId="14" fillId="34" borderId="50" xfId="0" applyFont="1" applyFill="1" applyBorder="1" applyAlignment="1">
      <alignment horizontal="center"/>
    </xf>
    <xf numFmtId="0" fontId="14" fillId="34" borderId="51" xfId="0" applyFont="1" applyFill="1" applyBorder="1" applyAlignment="1">
      <alignment horizontal="center"/>
    </xf>
    <xf numFmtId="0" fontId="14" fillId="34" borderId="52" xfId="0" applyFont="1" applyFill="1" applyBorder="1" applyAlignment="1">
      <alignment horizontal="center"/>
    </xf>
    <xf numFmtId="0" fontId="14" fillId="34" borderId="53" xfId="0" applyFont="1" applyFill="1" applyBorder="1" applyAlignment="1">
      <alignment horizontal="center"/>
    </xf>
    <xf numFmtId="0" fontId="14" fillId="34" borderId="54" xfId="0" applyFont="1" applyFill="1" applyBorder="1" applyAlignment="1">
      <alignment horizontal="center"/>
    </xf>
    <xf numFmtId="0" fontId="14" fillId="23" borderId="55" xfId="0" applyFont="1" applyFill="1" applyBorder="1" applyAlignment="1"/>
    <xf numFmtId="0" fontId="43" fillId="23" borderId="0" xfId="0" applyFont="1" applyFill="1" applyAlignment="1">
      <alignment horizontal="center"/>
    </xf>
    <xf numFmtId="170" fontId="0" fillId="23" borderId="0" xfId="0" applyNumberFormat="1" applyFill="1" applyBorder="1"/>
    <xf numFmtId="166" fontId="9" fillId="23" borderId="0" xfId="44" applyNumberFormat="1" applyFont="1" applyFill="1" applyBorder="1"/>
    <xf numFmtId="173" fontId="0" fillId="23" borderId="0" xfId="0" applyNumberFormat="1" applyFill="1" applyBorder="1"/>
    <xf numFmtId="166" fontId="0" fillId="23" borderId="0" xfId="44" applyNumberFormat="1" applyFont="1" applyFill="1" applyBorder="1"/>
    <xf numFmtId="10" fontId="0" fillId="23" borderId="0" xfId="0" applyNumberFormat="1" applyFill="1" applyBorder="1" applyAlignment="1">
      <alignment horizontal="center"/>
    </xf>
    <xf numFmtId="10" fontId="0" fillId="23" borderId="0" xfId="162" applyNumberFormat="1" applyFont="1" applyFill="1" applyAlignment="1">
      <alignment horizontal="center"/>
    </xf>
    <xf numFmtId="0" fontId="14" fillId="23" borderId="56" xfId="0" applyFont="1" applyFill="1" applyBorder="1" applyAlignment="1">
      <alignment horizontal="center"/>
    </xf>
    <xf numFmtId="0" fontId="14" fillId="23" borderId="57" xfId="0" applyFont="1" applyFill="1" applyBorder="1" applyAlignment="1">
      <alignment horizontal="center"/>
    </xf>
    <xf numFmtId="0" fontId="14" fillId="34" borderId="58" xfId="0" applyFont="1" applyFill="1" applyBorder="1" applyAlignment="1">
      <alignment horizontal="center"/>
    </xf>
    <xf numFmtId="0" fontId="14" fillId="34" borderId="59" xfId="0" applyFont="1" applyFill="1" applyBorder="1" applyAlignment="1">
      <alignment horizontal="center"/>
    </xf>
    <xf numFmtId="0" fontId="0" fillId="0" borderId="60" xfId="0" applyBorder="1"/>
    <xf numFmtId="0" fontId="14" fillId="34" borderId="61" xfId="0" applyFont="1" applyFill="1" applyBorder="1" applyAlignment="1">
      <alignment horizontal="center"/>
    </xf>
    <xf numFmtId="0" fontId="10" fillId="36" borderId="62" xfId="0" applyFont="1" applyFill="1" applyBorder="1" applyAlignment="1">
      <alignment horizontal="center"/>
    </xf>
    <xf numFmtId="0" fontId="14" fillId="34" borderId="59" xfId="0" applyFont="1" applyFill="1" applyBorder="1" applyAlignment="1">
      <alignment horizontal="center" vertical="center" wrapText="1"/>
    </xf>
    <xf numFmtId="10" fontId="24" fillId="23" borderId="0" xfId="0" applyNumberFormat="1" applyFont="1" applyFill="1" applyBorder="1" applyAlignment="1">
      <alignment horizontal="center"/>
    </xf>
    <xf numFmtId="0" fontId="14" fillId="34" borderId="63" xfId="0" applyFont="1" applyFill="1" applyBorder="1" applyAlignment="1">
      <alignment horizontal="center"/>
    </xf>
    <xf numFmtId="0" fontId="0" fillId="0" borderId="60" xfId="0" applyBorder="1" applyAlignment="1">
      <alignment horizontal="center"/>
    </xf>
    <xf numFmtId="0" fontId="10" fillId="36" borderId="61" xfId="0" applyFont="1" applyFill="1" applyBorder="1" applyAlignment="1">
      <alignment horizontal="center"/>
    </xf>
    <xf numFmtId="0" fontId="15" fillId="34" borderId="64" xfId="0" applyFont="1" applyFill="1" applyBorder="1" applyAlignment="1">
      <alignment horizontal="center"/>
    </xf>
    <xf numFmtId="0" fontId="44" fillId="34" borderId="43" xfId="0" applyFont="1" applyFill="1" applyBorder="1" applyAlignment="1">
      <alignment horizontal="center"/>
    </xf>
    <xf numFmtId="9" fontId="9" fillId="0" borderId="0" xfId="162" applyFont="1" applyFill="1" applyBorder="1"/>
    <xf numFmtId="0" fontId="9" fillId="0" borderId="0" xfId="0" applyFont="1" applyFill="1" applyAlignment="1">
      <alignment horizontal="center"/>
    </xf>
    <xf numFmtId="0" fontId="9" fillId="0" borderId="0" xfId="0" applyNumberFormat="1" applyFont="1" applyFill="1" applyAlignment="1">
      <alignment horizontal="center"/>
    </xf>
    <xf numFmtId="0" fontId="10" fillId="0" borderId="0" xfId="0" applyNumberFormat="1" applyFont="1" applyFill="1" applyAlignment="1">
      <alignment horizontal="left" indent="1"/>
    </xf>
    <xf numFmtId="165" fontId="10" fillId="0" borderId="22" xfId="29" applyNumberFormat="1" applyFont="1" applyFill="1" applyBorder="1"/>
    <xf numFmtId="0" fontId="26" fillId="0" borderId="0" xfId="0" applyNumberFormat="1" applyFont="1" applyFill="1" applyAlignment="1">
      <alignment horizontal="right"/>
    </xf>
    <xf numFmtId="0" fontId="10" fillId="0" borderId="0" xfId="0" applyNumberFormat="1" applyFont="1" applyFill="1"/>
    <xf numFmtId="0" fontId="29" fillId="0" borderId="0" xfId="0" applyNumberFormat="1" applyFont="1" applyFill="1" applyAlignment="1">
      <alignment horizontal="center"/>
    </xf>
    <xf numFmtId="0" fontId="29" fillId="0" borderId="0" xfId="0" applyNumberFormat="1" applyFont="1" applyFill="1" applyBorder="1" applyAlignment="1">
      <alignment horizontal="left" indent="1"/>
    </xf>
    <xf numFmtId="165" fontId="29" fillId="0" borderId="0" xfId="29" applyNumberFormat="1" applyFont="1" applyFill="1" applyBorder="1" applyAlignment="1"/>
    <xf numFmtId="0" fontId="31" fillId="0" borderId="0" xfId="0" applyNumberFormat="1" applyFont="1" applyFill="1" applyBorder="1" applyAlignment="1">
      <alignment horizontal="left"/>
    </xf>
    <xf numFmtId="0" fontId="10" fillId="0" borderId="0" xfId="0" applyFont="1" applyFill="1" applyBorder="1" applyAlignment="1">
      <alignment horizontal="left"/>
    </xf>
    <xf numFmtId="0" fontId="9" fillId="0" borderId="0" xfId="0" applyFont="1" applyFill="1" applyBorder="1" applyAlignment="1">
      <alignment horizontal="left" indent="1"/>
    </xf>
    <xf numFmtId="0" fontId="9" fillId="0" borderId="0" xfId="0" applyFont="1" applyFill="1" applyBorder="1" applyAlignment="1">
      <alignment horizontal="left" indent="2"/>
    </xf>
    <xf numFmtId="0" fontId="9" fillId="0" borderId="0" xfId="0" applyFont="1" applyFill="1" applyBorder="1" applyAlignment="1">
      <alignment horizontal="left" indent="3"/>
    </xf>
    <xf numFmtId="0" fontId="0" fillId="0" borderId="0" xfId="0" applyFill="1" applyAlignment="1">
      <alignment horizontal="left" indent="1"/>
    </xf>
    <xf numFmtId="0" fontId="10" fillId="0" borderId="0" xfId="0" applyFont="1" applyFill="1" applyAlignment="1">
      <alignment horizontal="left" indent="2"/>
    </xf>
    <xf numFmtId="0" fontId="0" fillId="0" borderId="0" xfId="0" applyFill="1" applyBorder="1" applyAlignment="1">
      <alignment horizontal="left" indent="1"/>
    </xf>
    <xf numFmtId="0" fontId="10" fillId="0" borderId="0" xfId="0" applyFont="1" applyFill="1" applyBorder="1" applyAlignment="1">
      <alignment horizontal="left" indent="2"/>
    </xf>
    <xf numFmtId="0" fontId="10" fillId="0" borderId="0" xfId="0" applyFont="1" applyFill="1" applyBorder="1" applyAlignment="1">
      <alignment horizontal="left" indent="1"/>
    </xf>
    <xf numFmtId="0" fontId="0" fillId="0" borderId="0" xfId="0" applyFill="1" applyBorder="1" applyAlignment="1">
      <alignment horizontal="left" indent="2"/>
    </xf>
    <xf numFmtId="166" fontId="10" fillId="0" borderId="0" xfId="44" applyNumberFormat="1" applyFont="1" applyFill="1" applyBorder="1"/>
    <xf numFmtId="165" fontId="7" fillId="0" borderId="0" xfId="29" applyNumberFormat="1" applyFont="1" applyFill="1" applyBorder="1"/>
    <xf numFmtId="0" fontId="7" fillId="0" borderId="0" xfId="0" applyFont="1" applyFill="1" applyBorder="1"/>
    <xf numFmtId="165" fontId="0" fillId="0" borderId="21" xfId="0" applyNumberFormat="1" applyFill="1" applyBorder="1"/>
    <xf numFmtId="165" fontId="0" fillId="0" borderId="0" xfId="0" applyNumberFormat="1" applyFill="1" applyBorder="1"/>
    <xf numFmtId="0" fontId="0" fillId="0" borderId="0" xfId="0" applyFill="1" applyAlignment="1">
      <alignment horizontal="center"/>
    </xf>
    <xf numFmtId="0" fontId="11" fillId="0" borderId="0" xfId="0" applyFont="1" applyFill="1" applyBorder="1" applyAlignment="1">
      <alignment horizontal="center"/>
    </xf>
    <xf numFmtId="165" fontId="10" fillId="0" borderId="0" xfId="29" applyNumberFormat="1" applyFont="1" applyFill="1"/>
    <xf numFmtId="0" fontId="0" fillId="0" borderId="0" xfId="0" applyFill="1" applyAlignment="1">
      <alignment horizontal="left"/>
    </xf>
    <xf numFmtId="0" fontId="0" fillId="0" borderId="42" xfId="0" applyFill="1" applyBorder="1" applyAlignment="1">
      <alignment horizontal="left"/>
    </xf>
    <xf numFmtId="0" fontId="28" fillId="0" borderId="0" xfId="0" applyFont="1" applyFill="1" applyBorder="1" applyAlignment="1"/>
    <xf numFmtId="0" fontId="22" fillId="0" borderId="0" xfId="0" applyFont="1" applyFill="1" applyBorder="1" applyAlignment="1">
      <alignment horizontal="center"/>
    </xf>
    <xf numFmtId="0" fontId="7" fillId="0" borderId="0" xfId="0" applyFont="1" applyFill="1" applyAlignment="1">
      <alignment horizontal="center"/>
    </xf>
    <xf numFmtId="0" fontId="7" fillId="0" borderId="0" xfId="0" applyFont="1" applyFill="1" applyAlignment="1">
      <alignment horizontal="left" indent="1"/>
    </xf>
    <xf numFmtId="41" fontId="9" fillId="0" borderId="0" xfId="0" applyNumberFormat="1" applyFont="1" applyFill="1" applyBorder="1"/>
    <xf numFmtId="10" fontId="10" fillId="0" borderId="0" xfId="162" applyNumberFormat="1" applyFont="1" applyFill="1" applyBorder="1"/>
    <xf numFmtId="0" fontId="9" fillId="0" borderId="0" xfId="0" applyFont="1" applyFill="1" applyAlignment="1">
      <alignment horizontal="left" indent="5"/>
    </xf>
    <xf numFmtId="0" fontId="10" fillId="0" borderId="0" xfId="0" applyFont="1" applyFill="1" applyAlignment="1">
      <alignment horizontal="left" indent="1"/>
    </xf>
    <xf numFmtId="10" fontId="9" fillId="0" borderId="0" xfId="162" applyNumberFormat="1" applyFont="1" applyFill="1" applyAlignment="1">
      <alignment horizontal="center"/>
    </xf>
    <xf numFmtId="10" fontId="9" fillId="0" borderId="0" xfId="162" applyNumberFormat="1" applyFont="1" applyFill="1" applyBorder="1" applyAlignment="1">
      <alignment horizontal="center"/>
    </xf>
    <xf numFmtId="10" fontId="11" fillId="0" borderId="0" xfId="162" applyNumberFormat="1" applyFont="1" applyFill="1" applyBorder="1" applyAlignment="1">
      <alignment horizontal="center"/>
    </xf>
    <xf numFmtId="165" fontId="9" fillId="0" borderId="21" xfId="29" applyNumberFormat="1" applyFont="1" applyFill="1" applyBorder="1"/>
    <xf numFmtId="0" fontId="10" fillId="0" borderId="0" xfId="0" applyFont="1" applyFill="1" applyBorder="1" applyAlignment="1"/>
    <xf numFmtId="166" fontId="9" fillId="0" borderId="0" xfId="44" applyNumberFormat="1" applyFont="1" applyFill="1" applyBorder="1"/>
    <xf numFmtId="165" fontId="9" fillId="0" borderId="21" xfId="0" applyNumberFormat="1" applyFont="1" applyFill="1" applyBorder="1"/>
    <xf numFmtId="165" fontId="9" fillId="0" borderId="0" xfId="0" applyNumberFormat="1" applyFont="1" applyFill="1"/>
    <xf numFmtId="49" fontId="10" fillId="0" borderId="0" xfId="0" applyNumberFormat="1" applyFont="1" applyFill="1"/>
    <xf numFmtId="49" fontId="10" fillId="0" borderId="0" xfId="0" applyNumberFormat="1" applyFont="1" applyFill="1" applyBorder="1" applyAlignment="1">
      <alignment horizontal="center" wrapText="1"/>
    </xf>
    <xf numFmtId="3" fontId="10" fillId="0" borderId="22" xfId="0" applyNumberFormat="1" applyFont="1" applyFill="1" applyBorder="1"/>
    <xf numFmtId="3" fontId="10" fillId="0" borderId="0" xfId="0" applyNumberFormat="1" applyFont="1" applyFill="1" applyBorder="1" applyAlignment="1">
      <alignment horizontal="center" wrapText="1"/>
    </xf>
    <xf numFmtId="0" fontId="14" fillId="34" borderId="65" xfId="0" applyFont="1" applyFill="1" applyBorder="1" applyAlignment="1">
      <alignment horizontal="center"/>
    </xf>
    <xf numFmtId="0" fontId="9" fillId="0" borderId="0" xfId="0" applyFont="1" applyFill="1" applyBorder="1" applyAlignment="1">
      <alignment horizontal="left"/>
    </xf>
    <xf numFmtId="170" fontId="9" fillId="0" borderId="0" xfId="0" applyNumberFormat="1" applyFont="1" applyFill="1" applyBorder="1"/>
    <xf numFmtId="0" fontId="9" fillId="0" borderId="0" xfId="150" applyFont="1" applyFill="1" applyAlignment="1">
      <alignment horizontal="center"/>
    </xf>
    <xf numFmtId="173" fontId="9" fillId="0" borderId="0" xfId="44" applyNumberFormat="1" applyFont="1" applyFill="1"/>
    <xf numFmtId="166" fontId="9" fillId="0" borderId="21" xfId="44" applyNumberFormat="1" applyFont="1" applyFill="1" applyBorder="1"/>
    <xf numFmtId="170" fontId="10" fillId="0" borderId="0" xfId="44" applyNumberFormat="1" applyFont="1" applyFill="1"/>
    <xf numFmtId="0" fontId="10" fillId="0" borderId="0" xfId="150" applyFont="1" applyFill="1" applyAlignment="1">
      <alignment horizontal="center"/>
    </xf>
    <xf numFmtId="0" fontId="9" fillId="0" borderId="0" xfId="150" applyFont="1" applyFill="1" applyAlignment="1">
      <alignment horizontal="left" indent="1"/>
    </xf>
    <xf numFmtId="170" fontId="9" fillId="0" borderId="0" xfId="150" applyNumberFormat="1" applyFont="1" applyFill="1"/>
    <xf numFmtId="166" fontId="10" fillId="0" borderId="0" xfId="44" applyNumberFormat="1" applyFont="1" applyFill="1"/>
    <xf numFmtId="1" fontId="9" fillId="0" borderId="0" xfId="44" applyNumberFormat="1" applyFont="1" applyFill="1" applyAlignment="1">
      <alignment horizontal="center"/>
    </xf>
    <xf numFmtId="10" fontId="9" fillId="0" borderId="0" xfId="44" applyNumberFormat="1" applyFont="1" applyFill="1" applyAlignment="1">
      <alignment horizontal="center"/>
    </xf>
    <xf numFmtId="1" fontId="11" fillId="0" borderId="0" xfId="44" applyNumberFormat="1" applyFont="1" applyFill="1" applyBorder="1" applyAlignment="1">
      <alignment horizontal="center"/>
    </xf>
    <xf numFmtId="170" fontId="10" fillId="0" borderId="0" xfId="44" applyNumberFormat="1" applyFont="1" applyFill="1" applyBorder="1"/>
    <xf numFmtId="166" fontId="9" fillId="0" borderId="0" xfId="44" applyNumberFormat="1" applyFont="1" applyFill="1"/>
    <xf numFmtId="170" fontId="9" fillId="0" borderId="0" xfId="44" applyNumberFormat="1" applyFont="1" applyFill="1"/>
    <xf numFmtId="0" fontId="10" fillId="0" borderId="0" xfId="150" applyFont="1" applyFill="1" applyAlignment="1">
      <alignment horizontal="left"/>
    </xf>
    <xf numFmtId="0" fontId="10" fillId="0" borderId="0" xfId="150" applyFont="1" applyFill="1" applyAlignment="1">
      <alignment horizontal="left" indent="1"/>
    </xf>
    <xf numFmtId="41" fontId="9" fillId="0" borderId="0" xfId="0" applyNumberFormat="1" applyFont="1" applyFill="1" applyAlignment="1">
      <alignment horizontal="left" indent="1"/>
    </xf>
    <xf numFmtId="43" fontId="9" fillId="0" borderId="0" xfId="29" applyFont="1" applyFill="1" applyAlignment="1">
      <alignment horizontal="left" indent="1"/>
    </xf>
    <xf numFmtId="170" fontId="9" fillId="0" borderId="0" xfId="0" applyNumberFormat="1" applyFont="1" applyFill="1"/>
    <xf numFmtId="170" fontId="0" fillId="0" borderId="0" xfId="0" applyNumberFormat="1" applyFill="1" applyBorder="1"/>
    <xf numFmtId="0" fontId="0" fillId="0" borderId="0" xfId="0" applyFill="1" applyAlignment="1">
      <alignment horizontal="left" indent="2"/>
    </xf>
    <xf numFmtId="0" fontId="10" fillId="0" borderId="0" xfId="0" applyFont="1" applyFill="1" applyBorder="1" applyAlignment="1">
      <alignment horizontal="left" indent="3"/>
    </xf>
    <xf numFmtId="170" fontId="10" fillId="0" borderId="0" xfId="0" applyNumberFormat="1" applyFont="1" applyFill="1" applyBorder="1"/>
    <xf numFmtId="10" fontId="10" fillId="0" borderId="0" xfId="162" applyNumberFormat="1" applyFont="1" applyFill="1" applyBorder="1" applyAlignment="1">
      <alignment horizontal="center"/>
    </xf>
    <xf numFmtId="173" fontId="9" fillId="0" borderId="0" xfId="0" applyNumberFormat="1" applyFont="1" applyFill="1" applyBorder="1"/>
    <xf numFmtId="0" fontId="33" fillId="0" borderId="0" xfId="0" applyFont="1" applyFill="1"/>
    <xf numFmtId="173" fontId="9" fillId="0" borderId="21" xfId="0" applyNumberFormat="1" applyFont="1" applyFill="1" applyBorder="1"/>
    <xf numFmtId="0" fontId="44" fillId="0" borderId="50" xfId="0" applyFont="1" applyFill="1" applyBorder="1" applyAlignment="1">
      <alignment horizontal="center"/>
    </xf>
    <xf numFmtId="0" fontId="0" fillId="0" borderId="51" xfId="0" applyFill="1" applyBorder="1" applyAlignment="1">
      <alignment horizontal="center"/>
    </xf>
    <xf numFmtId="0" fontId="14" fillId="0" borderId="51" xfId="0" applyFont="1" applyFill="1" applyBorder="1" applyAlignment="1">
      <alignment horizontal="center"/>
    </xf>
    <xf numFmtId="0" fontId="44" fillId="0" borderId="51" xfId="0" applyFont="1" applyFill="1" applyBorder="1" applyAlignment="1">
      <alignment horizontal="center" vertical="center"/>
    </xf>
    <xf numFmtId="0" fontId="10" fillId="0" borderId="51" xfId="0" applyFont="1" applyFill="1" applyBorder="1" applyAlignment="1">
      <alignment horizontal="center"/>
    </xf>
    <xf numFmtId="0" fontId="10" fillId="0" borderId="51" xfId="0" applyFont="1" applyFill="1" applyBorder="1" applyAlignment="1">
      <alignment horizontal="center" vertical="center"/>
    </xf>
    <xf numFmtId="0" fontId="0" fillId="0" borderId="55" xfId="0" applyFill="1" applyBorder="1"/>
    <xf numFmtId="170" fontId="0" fillId="0" borderId="0" xfId="29" applyNumberFormat="1" applyFont="1" applyFill="1" applyBorder="1"/>
    <xf numFmtId="166" fontId="9" fillId="0" borderId="22" xfId="44" applyNumberFormat="1" applyFont="1" applyFill="1" applyBorder="1"/>
    <xf numFmtId="0" fontId="0" fillId="0" borderId="60" xfId="0" applyFill="1" applyBorder="1"/>
    <xf numFmtId="43" fontId="0" fillId="0" borderId="0" xfId="0" applyNumberFormat="1" applyFill="1" applyBorder="1"/>
    <xf numFmtId="166" fontId="9" fillId="0" borderId="66" xfId="44" applyNumberFormat="1" applyFont="1" applyFill="1" applyBorder="1"/>
    <xf numFmtId="173" fontId="9" fillId="0" borderId="60" xfId="0" applyNumberFormat="1" applyFont="1" applyFill="1" applyBorder="1"/>
    <xf numFmtId="170" fontId="10" fillId="0" borderId="60" xfId="0" applyNumberFormat="1" applyFont="1" applyFill="1" applyBorder="1"/>
    <xf numFmtId="170" fontId="22" fillId="0" borderId="0" xfId="0" applyNumberFormat="1" applyFont="1" applyFill="1" applyBorder="1"/>
    <xf numFmtId="166" fontId="0" fillId="0" borderId="0" xfId="44" applyNumberFormat="1" applyFont="1" applyFill="1" applyBorder="1"/>
    <xf numFmtId="166" fontId="0" fillId="0" borderId="0" xfId="0" applyNumberFormat="1" applyFill="1" applyBorder="1"/>
    <xf numFmtId="10" fontId="0" fillId="0" borderId="0" xfId="162" applyNumberFormat="1" applyFont="1" applyFill="1" applyBorder="1" applyAlignment="1">
      <alignment horizontal="center"/>
    </xf>
    <xf numFmtId="10" fontId="0" fillId="0" borderId="60" xfId="162" applyNumberFormat="1" applyFont="1" applyFill="1" applyBorder="1" applyAlignment="1">
      <alignment horizontal="center"/>
    </xf>
    <xf numFmtId="10" fontId="0" fillId="0" borderId="0" xfId="0" applyNumberFormat="1" applyFill="1" applyBorder="1" applyAlignment="1">
      <alignment horizontal="center"/>
    </xf>
    <xf numFmtId="0" fontId="0" fillId="0" borderId="55" xfId="0" applyFill="1" applyBorder="1" applyAlignment="1">
      <alignment horizontal="center"/>
    </xf>
    <xf numFmtId="0" fontId="10" fillId="0" borderId="21" xfId="0" applyFont="1" applyFill="1" applyBorder="1" applyAlignment="1">
      <alignment horizontal="center"/>
    </xf>
    <xf numFmtId="0" fontId="0" fillId="0" borderId="67" xfId="0" applyFill="1" applyBorder="1"/>
    <xf numFmtId="165" fontId="0" fillId="0" borderId="0" xfId="29" applyNumberFormat="1" applyFont="1" applyFill="1"/>
    <xf numFmtId="170" fontId="10" fillId="0" borderId="22" xfId="0" applyNumberFormat="1" applyFont="1" applyFill="1" applyBorder="1"/>
    <xf numFmtId="0" fontId="10" fillId="0" borderId="55" xfId="0" applyFont="1" applyFill="1" applyBorder="1" applyAlignment="1">
      <alignment horizontal="left"/>
    </xf>
    <xf numFmtId="0" fontId="9" fillId="0" borderId="55" xfId="0" applyFont="1" applyFill="1" applyBorder="1" applyAlignment="1">
      <alignment horizontal="center"/>
    </xf>
    <xf numFmtId="173" fontId="0" fillId="0" borderId="0" xfId="0" applyNumberFormat="1" applyFill="1" applyBorder="1"/>
    <xf numFmtId="0" fontId="0" fillId="0" borderId="21" xfId="0" applyFill="1" applyBorder="1" applyAlignment="1">
      <alignment horizontal="center"/>
    </xf>
    <xf numFmtId="165" fontId="9" fillId="0" borderId="54" xfId="29" applyNumberFormat="1" applyFont="1" applyFill="1" applyBorder="1"/>
    <xf numFmtId="173" fontId="0" fillId="0" borderId="60" xfId="0" applyNumberFormat="1" applyFill="1" applyBorder="1"/>
    <xf numFmtId="165" fontId="9" fillId="0" borderId="60" xfId="29" applyNumberFormat="1" applyFont="1" applyFill="1" applyBorder="1"/>
    <xf numFmtId="10" fontId="10" fillId="0" borderId="60" xfId="162" applyNumberFormat="1" applyFont="1" applyFill="1" applyBorder="1" applyAlignment="1">
      <alignment horizontal="right"/>
    </xf>
    <xf numFmtId="170" fontId="0" fillId="0" borderId="60" xfId="0" applyNumberFormat="1" applyFill="1" applyBorder="1"/>
    <xf numFmtId="0" fontId="10" fillId="0" borderId="68" xfId="0" applyFont="1" applyFill="1" applyBorder="1" applyAlignment="1">
      <alignment horizontal="left"/>
    </xf>
    <xf numFmtId="0" fontId="10" fillId="0" borderId="67" xfId="0" applyFont="1" applyFill="1" applyBorder="1" applyAlignment="1">
      <alignment horizontal="left"/>
    </xf>
    <xf numFmtId="0" fontId="9" fillId="0" borderId="67" xfId="0" applyFont="1" applyFill="1" applyBorder="1"/>
    <xf numFmtId="173" fontId="0" fillId="0" borderId="67" xfId="0" applyNumberFormat="1" applyFill="1" applyBorder="1"/>
    <xf numFmtId="0" fontId="0" fillId="0" borderId="67" xfId="0" applyFill="1" applyBorder="1" applyAlignment="1">
      <alignment horizontal="center"/>
    </xf>
    <xf numFmtId="0" fontId="0" fillId="0" borderId="69" xfId="0" applyFill="1" applyBorder="1"/>
    <xf numFmtId="0" fontId="10" fillId="0" borderId="50" xfId="0" applyFont="1" applyFill="1" applyBorder="1" applyAlignment="1">
      <alignment horizontal="center"/>
    </xf>
    <xf numFmtId="0" fontId="0" fillId="0" borderId="51" xfId="0" applyFill="1" applyBorder="1" applyAlignment="1">
      <alignment horizontal="center" vertical="center"/>
    </xf>
    <xf numFmtId="0" fontId="10" fillId="0" borderId="52" xfId="0" applyFont="1" applyFill="1" applyBorder="1" applyAlignment="1">
      <alignment horizontal="center"/>
    </xf>
    <xf numFmtId="0" fontId="0" fillId="0" borderId="0" xfId="0" applyFill="1" applyBorder="1" applyAlignment="1">
      <alignment horizontal="left" indent="3"/>
    </xf>
    <xf numFmtId="0" fontId="0" fillId="0" borderId="0" xfId="0" applyFill="1" applyBorder="1" applyAlignment="1">
      <alignment horizontal="left" indent="4"/>
    </xf>
    <xf numFmtId="0" fontId="10" fillId="0" borderId="0" xfId="0" applyFont="1" applyFill="1" applyBorder="1" applyAlignment="1">
      <alignment horizontal="right"/>
    </xf>
    <xf numFmtId="166" fontId="0" fillId="0" borderId="22" xfId="44" applyNumberFormat="1" applyFont="1" applyFill="1" applyBorder="1"/>
    <xf numFmtId="173" fontId="11" fillId="0" borderId="0" xfId="0" applyNumberFormat="1" applyFont="1" applyFill="1" applyBorder="1" applyAlignment="1">
      <alignment horizontal="center"/>
    </xf>
    <xf numFmtId="10" fontId="7" fillId="0" borderId="0" xfId="162" applyNumberFormat="1" applyFont="1" applyFill="1" applyBorder="1" applyAlignment="1">
      <alignment horizontal="center"/>
    </xf>
    <xf numFmtId="10" fontId="7" fillId="0" borderId="0" xfId="0" applyNumberFormat="1" applyFont="1" applyFill="1" applyBorder="1" applyAlignment="1">
      <alignment horizontal="center"/>
    </xf>
    <xf numFmtId="0" fontId="24" fillId="0" borderId="0" xfId="0" applyFont="1" applyFill="1" applyBorder="1" applyAlignment="1">
      <alignment horizontal="center"/>
    </xf>
    <xf numFmtId="166" fontId="0" fillId="0" borderId="66" xfId="44" applyNumberFormat="1" applyFont="1" applyFill="1" applyBorder="1"/>
    <xf numFmtId="165" fontId="10" fillId="0" borderId="34" xfId="29" applyNumberFormat="1" applyFont="1" applyFill="1" applyBorder="1"/>
    <xf numFmtId="10" fontId="24" fillId="0" borderId="0" xfId="162" applyNumberFormat="1" applyFont="1" applyFill="1" applyBorder="1" applyAlignment="1">
      <alignment horizontal="center"/>
    </xf>
    <xf numFmtId="10" fontId="10" fillId="0" borderId="0" xfId="162" applyNumberFormat="1" applyFont="1" applyFill="1" applyAlignment="1">
      <alignment horizontal="right"/>
    </xf>
    <xf numFmtId="165" fontId="0" fillId="0" borderId="22" xfId="29" applyNumberFormat="1" applyFont="1" applyFill="1" applyBorder="1"/>
    <xf numFmtId="0" fontId="30" fillId="0" borderId="0" xfId="0" applyFont="1" applyFill="1" applyAlignment="1">
      <alignment horizontal="center"/>
    </xf>
    <xf numFmtId="0" fontId="30" fillId="0" borderId="0" xfId="0" applyFont="1" applyFill="1" applyBorder="1" applyAlignment="1">
      <alignment horizontal="center"/>
    </xf>
    <xf numFmtId="0" fontId="9" fillId="0" borderId="0" xfId="0" quotePrefix="1" applyFont="1" applyFill="1" applyAlignment="1">
      <alignment horizontal="center"/>
    </xf>
    <xf numFmtId="0" fontId="30" fillId="0" borderId="0" xfId="0" quotePrefix="1" applyFont="1" applyFill="1" applyAlignment="1">
      <alignment horizontal="center"/>
    </xf>
    <xf numFmtId="165" fontId="0" fillId="0" borderId="42" xfId="29" applyNumberFormat="1" applyFont="1" applyFill="1" applyBorder="1"/>
    <xf numFmtId="10" fontId="15" fillId="0" borderId="0" xfId="162" applyNumberFormat="1" applyFont="1" applyFill="1" applyBorder="1" applyAlignment="1">
      <alignment horizontal="center"/>
    </xf>
    <xf numFmtId="10" fontId="28" fillId="0" borderId="0" xfId="162" applyNumberFormat="1" applyFont="1" applyFill="1" applyBorder="1" applyAlignment="1">
      <alignment horizontal="center"/>
    </xf>
    <xf numFmtId="165" fontId="0" fillId="0" borderId="0" xfId="0" applyNumberFormat="1" applyFill="1"/>
    <xf numFmtId="10" fontId="7" fillId="0" borderId="0" xfId="162" applyNumberFormat="1" applyFill="1" applyAlignment="1">
      <alignment horizontal="center"/>
    </xf>
    <xf numFmtId="165" fontId="7" fillId="0" borderId="70" xfId="29" applyNumberFormat="1" applyFill="1" applyBorder="1"/>
    <xf numFmtId="165" fontId="7" fillId="0" borderId="21" xfId="29" applyNumberFormat="1" applyFill="1" applyBorder="1"/>
    <xf numFmtId="0" fontId="10" fillId="0" borderId="0" xfId="151" applyFont="1" applyFill="1" applyAlignment="1">
      <alignment horizontal="left" indent="2"/>
    </xf>
    <xf numFmtId="0" fontId="44"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14" fillId="0" borderId="60" xfId="0" applyFont="1" applyFill="1" applyBorder="1" applyAlignment="1">
      <alignment horizontal="center"/>
    </xf>
    <xf numFmtId="0" fontId="46" fillId="0" borderId="0" xfId="0" applyFont="1" applyFill="1" applyAlignment="1">
      <alignment horizontal="center"/>
    </xf>
    <xf numFmtId="10" fontId="47" fillId="0" borderId="0" xfId="0" applyNumberFormat="1" applyFont="1" applyFill="1" applyBorder="1" applyAlignment="1">
      <alignment horizontal="center"/>
    </xf>
    <xf numFmtId="0" fontId="47" fillId="0" borderId="0" xfId="0" applyFont="1" applyFill="1" applyBorder="1" applyAlignment="1">
      <alignment horizontal="center"/>
    </xf>
    <xf numFmtId="0" fontId="10" fillId="0" borderId="67" xfId="0" applyFont="1" applyFill="1" applyBorder="1"/>
    <xf numFmtId="0" fontId="44" fillId="34" borderId="57" xfId="0" applyFont="1" applyFill="1" applyBorder="1" applyAlignment="1">
      <alignment horizontal="center"/>
    </xf>
    <xf numFmtId="0" fontId="44" fillId="0" borderId="0" xfId="0" applyFont="1" applyFill="1" applyBorder="1" applyAlignment="1">
      <alignment horizontal="center"/>
    </xf>
    <xf numFmtId="0" fontId="21" fillId="0" borderId="0" xfId="0" applyFont="1" applyFill="1" applyAlignment="1">
      <alignment horizontal="center"/>
    </xf>
    <xf numFmtId="173" fontId="9" fillId="0" borderId="54" xfId="0" applyNumberFormat="1" applyFont="1" applyFill="1" applyBorder="1"/>
    <xf numFmtId="174" fontId="0" fillId="0" borderId="0" xfId="0" applyNumberFormat="1" applyFill="1"/>
    <xf numFmtId="174" fontId="0" fillId="0" borderId="60" xfId="0" applyNumberFormat="1" applyFill="1" applyBorder="1"/>
    <xf numFmtId="174" fontId="0" fillId="0" borderId="0" xfId="0" applyNumberFormat="1" applyFill="1" applyBorder="1"/>
    <xf numFmtId="165" fontId="32" fillId="0" borderId="0" xfId="29" applyNumberFormat="1" applyFont="1" applyFill="1" applyBorder="1" applyAlignment="1">
      <alignment horizontal="center"/>
    </xf>
    <xf numFmtId="165" fontId="32" fillId="0" borderId="60" xfId="29" applyNumberFormat="1" applyFont="1" applyFill="1" applyBorder="1" applyAlignment="1">
      <alignment horizontal="center"/>
    </xf>
    <xf numFmtId="10" fontId="9" fillId="0" borderId="60" xfId="162" applyNumberFormat="1" applyFont="1" applyFill="1" applyBorder="1" applyAlignment="1">
      <alignment horizontal="center"/>
    </xf>
    <xf numFmtId="173" fontId="10" fillId="0" borderId="0" xfId="0" applyNumberFormat="1" applyFont="1" applyFill="1" applyBorder="1"/>
    <xf numFmtId="173" fontId="10" fillId="0" borderId="21" xfId="0" applyNumberFormat="1" applyFont="1" applyFill="1" applyBorder="1"/>
    <xf numFmtId="170" fontId="10" fillId="0" borderId="67" xfId="0" applyNumberFormat="1" applyFont="1" applyFill="1" applyBorder="1"/>
    <xf numFmtId="173" fontId="9" fillId="0" borderId="67" xfId="0" applyNumberFormat="1" applyFont="1" applyFill="1" applyBorder="1"/>
    <xf numFmtId="173" fontId="9" fillId="0" borderId="69" xfId="0" applyNumberFormat="1" applyFont="1" applyFill="1" applyBorder="1"/>
    <xf numFmtId="0" fontId="9" fillId="0" borderId="67" xfId="0" applyFont="1" applyFill="1" applyBorder="1" applyAlignment="1">
      <alignment horizontal="center"/>
    </xf>
    <xf numFmtId="0" fontId="10" fillId="0" borderId="67" xfId="0" applyFont="1" applyFill="1" applyBorder="1" applyAlignment="1">
      <alignment horizontal="left" indent="2"/>
    </xf>
    <xf numFmtId="166" fontId="0" fillId="0" borderId="0" xfId="0" applyNumberFormat="1" applyFill="1"/>
    <xf numFmtId="0" fontId="0" fillId="37" borderId="71" xfId="0" applyFill="1" applyBorder="1"/>
    <xf numFmtId="0" fontId="84" fillId="0" borderId="0" xfId="0" applyFont="1" applyFill="1" applyAlignment="1">
      <alignment vertical="center"/>
    </xf>
    <xf numFmtId="0" fontId="85" fillId="0" borderId="0" xfId="0" applyFont="1" applyFill="1" applyAlignment="1"/>
    <xf numFmtId="0" fontId="71" fillId="25" borderId="0" xfId="74" applyBorder="1" applyAlignment="1">
      <alignment horizontal="center"/>
    </xf>
    <xf numFmtId="0" fontId="0" fillId="37" borderId="0" xfId="0" applyFill="1"/>
    <xf numFmtId="0" fontId="0" fillId="0" borderId="0" xfId="0" applyFill="1" applyBorder="1" applyAlignment="1">
      <alignment horizontal="left"/>
    </xf>
    <xf numFmtId="0" fontId="35" fillId="0" borderId="45" xfId="0" applyNumberFormat="1" applyFont="1" applyFill="1" applyBorder="1" applyAlignment="1"/>
    <xf numFmtId="49" fontId="14" fillId="34" borderId="43" xfId="0" applyNumberFormat="1" applyFont="1" applyFill="1" applyBorder="1" applyAlignment="1">
      <alignment horizontal="center" wrapText="1"/>
    </xf>
    <xf numFmtId="0" fontId="14" fillId="34" borderId="43" xfId="0" applyNumberFormat="1" applyFont="1" applyFill="1" applyBorder="1" applyAlignment="1">
      <alignment horizontal="center"/>
    </xf>
    <xf numFmtId="0" fontId="10" fillId="0" borderId="0" xfId="0" applyFont="1" applyBorder="1" applyAlignment="1">
      <alignment horizontal="left"/>
    </xf>
    <xf numFmtId="0" fontId="0" fillId="0" borderId="42" xfId="0" applyBorder="1"/>
    <xf numFmtId="0" fontId="14" fillId="34" borderId="49" xfId="0" applyFont="1" applyFill="1" applyBorder="1" applyAlignment="1">
      <alignment horizontal="centerContinuous"/>
    </xf>
    <xf numFmtId="170" fontId="10" fillId="0" borderId="0" xfId="150" applyNumberFormat="1" applyFont="1" applyFill="1"/>
    <xf numFmtId="165" fontId="0" fillId="0" borderId="0" xfId="0" applyNumberFormat="1"/>
    <xf numFmtId="43" fontId="9" fillId="0" borderId="0" xfId="0" applyNumberFormat="1" applyFont="1" applyBorder="1"/>
    <xf numFmtId="184" fontId="9" fillId="0" borderId="0" xfId="0" applyNumberFormat="1" applyFont="1"/>
    <xf numFmtId="0" fontId="0" fillId="0" borderId="21" xfId="0" applyBorder="1"/>
    <xf numFmtId="0" fontId="9" fillId="0" borderId="72" xfId="0" applyFont="1" applyFill="1" applyBorder="1" applyAlignment="1">
      <alignment horizontal="center"/>
    </xf>
    <xf numFmtId="10" fontId="9" fillId="0" borderId="0" xfId="162" applyNumberFormat="1" applyFont="1" applyFill="1"/>
    <xf numFmtId="0" fontId="43" fillId="0" borderId="0" xfId="0" applyFont="1" applyAlignment="1">
      <alignment horizontal="centerContinuous"/>
    </xf>
    <xf numFmtId="0" fontId="14" fillId="25" borderId="40" xfId="0" applyFont="1" applyFill="1" applyBorder="1" applyAlignment="1">
      <alignment horizontal="center"/>
    </xf>
    <xf numFmtId="0" fontId="14" fillId="25" borderId="38" xfId="0" applyFont="1" applyFill="1" applyBorder="1" applyAlignment="1">
      <alignment horizontal="center"/>
    </xf>
    <xf numFmtId="0" fontId="0" fillId="0" borderId="0" xfId="0" applyBorder="1" applyAlignment="1">
      <alignment horizontal="center" vertical="center" wrapText="1"/>
    </xf>
    <xf numFmtId="0" fontId="9" fillId="0" borderId="73" xfId="0" applyFont="1" applyFill="1" applyBorder="1" applyAlignment="1">
      <alignment horizontal="center"/>
    </xf>
    <xf numFmtId="4" fontId="9" fillId="0" borderId="0" xfId="0" applyNumberFormat="1" applyFont="1" applyFill="1" applyBorder="1"/>
    <xf numFmtId="167" fontId="11" fillId="32" borderId="74" xfId="162" applyNumberFormat="1" applyFont="1" applyFill="1" applyBorder="1"/>
    <xf numFmtId="167" fontId="11" fillId="32" borderId="9" xfId="162" applyNumberFormat="1" applyFont="1" applyFill="1" applyBorder="1"/>
    <xf numFmtId="0" fontId="14" fillId="38" borderId="0" xfId="0" applyFont="1" applyFill="1"/>
    <xf numFmtId="0" fontId="14" fillId="38" borderId="0" xfId="0" applyFont="1" applyFill="1" applyBorder="1"/>
    <xf numFmtId="37" fontId="14" fillId="38" borderId="0" xfId="0" applyNumberFormat="1" applyFont="1" applyFill="1" applyBorder="1"/>
    <xf numFmtId="0" fontId="12" fillId="0" borderId="0" xfId="0" applyFont="1" applyFill="1" applyAlignment="1"/>
    <xf numFmtId="0" fontId="9" fillId="0" borderId="75" xfId="0" applyFont="1" applyFill="1" applyBorder="1" applyAlignment="1">
      <alignment horizontal="center" wrapText="1"/>
    </xf>
    <xf numFmtId="0" fontId="36" fillId="0" borderId="0" xfId="147" applyFont="1" applyFill="1" applyBorder="1" applyAlignment="1" applyProtection="1">
      <alignment horizontal="left"/>
      <protection locked="0"/>
    </xf>
    <xf numFmtId="0" fontId="47" fillId="0" borderId="0" xfId="0" applyFont="1" applyFill="1" applyAlignment="1">
      <alignment horizontal="center"/>
    </xf>
    <xf numFmtId="173" fontId="0" fillId="0" borderId="0" xfId="0" applyNumberFormat="1" applyFill="1"/>
    <xf numFmtId="173" fontId="10" fillId="0" borderId="0" xfId="0" applyNumberFormat="1" applyFont="1" applyFill="1"/>
    <xf numFmtId="175" fontId="0" fillId="0" borderId="0" xfId="0" applyNumberFormat="1" applyFill="1"/>
    <xf numFmtId="175" fontId="0" fillId="0" borderId="60" xfId="0" applyNumberFormat="1" applyFill="1" applyBorder="1"/>
    <xf numFmtId="175" fontId="9" fillId="0" borderId="0" xfId="0" applyNumberFormat="1" applyFont="1" applyFill="1" applyBorder="1"/>
    <xf numFmtId="175" fontId="9" fillId="0" borderId="60" xfId="0" applyNumberFormat="1" applyFont="1" applyFill="1" applyBorder="1"/>
    <xf numFmtId="175" fontId="9" fillId="0" borderId="21" xfId="0" applyNumberFormat="1" applyFont="1" applyFill="1" applyBorder="1"/>
    <xf numFmtId="175" fontId="9" fillId="0" borderId="54" xfId="0" applyNumberFormat="1" applyFont="1" applyFill="1" applyBorder="1"/>
    <xf numFmtId="177" fontId="9" fillId="0" borderId="0" xfId="0" applyNumberFormat="1" applyFont="1" applyFill="1" applyBorder="1"/>
    <xf numFmtId="175" fontId="10" fillId="0" borderId="60" xfId="0" applyNumberFormat="1" applyFont="1" applyFill="1" applyBorder="1"/>
    <xf numFmtId="175" fontId="0" fillId="0" borderId="0" xfId="0" applyNumberFormat="1" applyFill="1" applyBorder="1"/>
    <xf numFmtId="175" fontId="10" fillId="0" borderId="0" xfId="0" applyNumberFormat="1" applyFont="1" applyFill="1" applyBorder="1"/>
    <xf numFmtId="43" fontId="0" fillId="0" borderId="0" xfId="0" applyNumberFormat="1" applyFill="1"/>
    <xf numFmtId="0" fontId="88" fillId="0" borderId="0" xfId="0" applyNumberFormat="1" applyFont="1" applyFill="1" applyBorder="1" applyAlignment="1">
      <alignment horizontal="centerContinuous"/>
    </xf>
    <xf numFmtId="165" fontId="89" fillId="0" borderId="0" xfId="29" applyNumberFormat="1" applyFont="1" applyFill="1" applyBorder="1" applyAlignment="1">
      <alignment horizontal="centerContinuous"/>
    </xf>
    <xf numFmtId="165" fontId="0" fillId="0" borderId="0" xfId="29" applyNumberFormat="1" applyFont="1" applyFill="1" applyBorder="1" applyAlignment="1">
      <alignment horizontal="center"/>
    </xf>
    <xf numFmtId="170" fontId="0" fillId="0" borderId="21" xfId="0" applyNumberFormat="1" applyFill="1" applyBorder="1"/>
    <xf numFmtId="165" fontId="10" fillId="23" borderId="0" xfId="0" applyNumberFormat="1" applyFont="1" applyFill="1" applyBorder="1" applyAlignment="1">
      <alignment horizontal="center"/>
    </xf>
    <xf numFmtId="166" fontId="11" fillId="0" borderId="0" xfId="0" applyNumberFormat="1" applyFont="1" applyFill="1" applyBorder="1" applyAlignment="1">
      <alignment horizontal="center"/>
    </xf>
    <xf numFmtId="0" fontId="12" fillId="0" borderId="6" xfId="0" applyNumberFormat="1" applyFont="1" applyFill="1" applyBorder="1" applyAlignment="1">
      <alignment horizontal="center"/>
    </xf>
    <xf numFmtId="165" fontId="12" fillId="0" borderId="75" xfId="29" applyNumberFormat="1" applyFont="1" applyFill="1" applyBorder="1"/>
    <xf numFmtId="9" fontId="7" fillId="23" borderId="0" xfId="162" applyFill="1" applyBorder="1"/>
    <xf numFmtId="167" fontId="0" fillId="0" borderId="0" xfId="162" applyNumberFormat="1" applyFont="1" applyFill="1" applyAlignment="1">
      <alignment horizontal="center"/>
    </xf>
    <xf numFmtId="0" fontId="14" fillId="38" borderId="0" xfId="150" applyFont="1" applyFill="1" applyAlignment="1">
      <alignment horizontal="center"/>
    </xf>
    <xf numFmtId="0" fontId="90" fillId="34" borderId="76" xfId="0" applyFont="1" applyFill="1" applyBorder="1" applyAlignment="1">
      <alignment horizontal="center"/>
    </xf>
    <xf numFmtId="0" fontId="14" fillId="34" borderId="77" xfId="0" applyFont="1" applyFill="1" applyBorder="1" applyAlignment="1">
      <alignment horizontal="center"/>
    </xf>
    <xf numFmtId="175" fontId="0" fillId="0" borderId="0" xfId="0" applyNumberFormat="1"/>
    <xf numFmtId="172" fontId="0" fillId="0" borderId="0" xfId="0" applyNumberFormat="1" applyFill="1"/>
    <xf numFmtId="172" fontId="0" fillId="0" borderId="60" xfId="0" applyNumberFormat="1" applyFill="1" applyBorder="1"/>
    <xf numFmtId="172" fontId="0" fillId="0" borderId="0" xfId="0" applyNumberFormat="1"/>
    <xf numFmtId="172" fontId="9" fillId="0" borderId="0" xfId="0" applyNumberFormat="1" applyFont="1" applyFill="1" applyBorder="1"/>
    <xf numFmtId="172" fontId="9" fillId="0" borderId="60" xfId="0" applyNumberFormat="1" applyFont="1" applyFill="1" applyBorder="1"/>
    <xf numFmtId="172" fontId="0" fillId="0" borderId="0" xfId="0" applyNumberFormat="1" applyFill="1" applyBorder="1"/>
    <xf numFmtId="172" fontId="10" fillId="0" borderId="0" xfId="0" applyNumberFormat="1" applyFont="1" applyFill="1" applyBorder="1"/>
    <xf numFmtId="172" fontId="10" fillId="0" borderId="60" xfId="0" applyNumberFormat="1" applyFont="1" applyFill="1" applyBorder="1"/>
    <xf numFmtId="172" fontId="32" fillId="0" borderId="0" xfId="29" applyNumberFormat="1" applyFont="1" applyFill="1" applyBorder="1" applyAlignment="1">
      <alignment horizontal="center"/>
    </xf>
    <xf numFmtId="172" fontId="32" fillId="0" borderId="60" xfId="29" applyNumberFormat="1" applyFont="1" applyFill="1" applyBorder="1" applyAlignment="1">
      <alignment horizontal="center"/>
    </xf>
    <xf numFmtId="0" fontId="15" fillId="34" borderId="43" xfId="0" applyFont="1" applyFill="1" applyBorder="1"/>
    <xf numFmtId="0" fontId="0" fillId="34" borderId="40" xfId="0" applyFill="1" applyBorder="1"/>
    <xf numFmtId="0" fontId="10" fillId="34" borderId="40" xfId="0" applyFont="1" applyFill="1" applyBorder="1"/>
    <xf numFmtId="43" fontId="0" fillId="0" borderId="0" xfId="0" applyNumberFormat="1"/>
    <xf numFmtId="0" fontId="14" fillId="38" borderId="0" xfId="0" applyFont="1" applyFill="1" applyAlignment="1">
      <alignment horizontal="center"/>
    </xf>
    <xf numFmtId="180" fontId="0" fillId="0" borderId="0" xfId="44" applyNumberFormat="1" applyFont="1" applyFill="1"/>
    <xf numFmtId="180" fontId="0" fillId="0" borderId="60" xfId="44" applyNumberFormat="1" applyFont="1" applyFill="1" applyBorder="1"/>
    <xf numFmtId="0" fontId="9" fillId="0" borderId="0" xfId="0" quotePrefix="1" applyFont="1" applyAlignment="1">
      <alignment horizontal="center"/>
    </xf>
    <xf numFmtId="0" fontId="10" fillId="0" borderId="0" xfId="150" applyFont="1" applyFill="1" applyBorder="1" applyAlignment="1">
      <alignment horizontal="left"/>
    </xf>
    <xf numFmtId="0" fontId="7" fillId="37" borderId="71" xfId="0" applyFont="1" applyFill="1" applyBorder="1"/>
    <xf numFmtId="16" fontId="43" fillId="0" borderId="0" xfId="0" applyNumberFormat="1" applyFont="1" applyAlignment="1"/>
    <xf numFmtId="165" fontId="9" fillId="23" borderId="0" xfId="29" applyNumberFormat="1" applyFont="1" applyFill="1" applyBorder="1"/>
    <xf numFmtId="166" fontId="0" fillId="23" borderId="0" xfId="0" applyNumberFormat="1" applyFill="1" applyBorder="1"/>
    <xf numFmtId="0" fontId="9" fillId="23" borderId="0" xfId="0" applyFont="1" applyFill="1" applyBorder="1" applyAlignment="1">
      <alignment horizontal="center"/>
    </xf>
    <xf numFmtId="167" fontId="9" fillId="23" borderId="0" xfId="162" applyNumberFormat="1" applyFont="1" applyFill="1" applyBorder="1"/>
    <xf numFmtId="0" fontId="7" fillId="37" borderId="0" xfId="0" applyFont="1" applyFill="1"/>
    <xf numFmtId="0" fontId="0" fillId="23" borderId="0" xfId="0" applyFill="1" applyBorder="1" applyAlignment="1">
      <alignment horizontal="left" indent="2"/>
    </xf>
    <xf numFmtId="170" fontId="10" fillId="23" borderId="0" xfId="0" applyNumberFormat="1" applyFont="1" applyFill="1"/>
    <xf numFmtId="165" fontId="7" fillId="0" borderId="0" xfId="29" applyNumberFormat="1" applyFont="1"/>
    <xf numFmtId="7" fontId="7" fillId="0" borderId="0" xfId="0" applyNumberFormat="1" applyFont="1"/>
    <xf numFmtId="170" fontId="7" fillId="0" borderId="0" xfId="0" applyNumberFormat="1" applyFont="1"/>
    <xf numFmtId="0" fontId="0" fillId="37" borderId="71" xfId="0" applyFill="1" applyBorder="1" applyAlignment="1">
      <alignment horizontal="center"/>
    </xf>
    <xf numFmtId="0" fontId="9" fillId="37" borderId="71" xfId="0" applyFont="1" applyFill="1" applyBorder="1" applyAlignment="1">
      <alignment horizontal="center"/>
    </xf>
    <xf numFmtId="165" fontId="9" fillId="0" borderId="78" xfId="29" applyNumberFormat="1" applyFont="1" applyFill="1" applyBorder="1"/>
    <xf numFmtId="10" fontId="9" fillId="0" borderId="0" xfId="162" applyNumberFormat="1" applyFont="1" applyFill="1" applyBorder="1" applyAlignment="1">
      <alignment horizontal="right"/>
    </xf>
    <xf numFmtId="10" fontId="7" fillId="0" borderId="0" xfId="162" applyNumberFormat="1" applyFont="1" applyFill="1" applyBorder="1"/>
    <xf numFmtId="2" fontId="7" fillId="0" borderId="0" xfId="29" applyNumberFormat="1" applyFont="1" applyFill="1" applyBorder="1" applyAlignment="1">
      <alignment horizontal="right"/>
    </xf>
    <xf numFmtId="0" fontId="21" fillId="0" borderId="0" xfId="151" applyFont="1" applyFill="1" applyAlignment="1">
      <alignment horizontal="left" indent="2"/>
    </xf>
    <xf numFmtId="10" fontId="9" fillId="0" borderId="0" xfId="162" applyNumberFormat="1" applyFont="1" applyFill="1" applyBorder="1"/>
    <xf numFmtId="0" fontId="21" fillId="0" borderId="0" xfId="0" applyFont="1" applyFill="1"/>
    <xf numFmtId="10" fontId="7" fillId="0" borderId="0" xfId="162" applyNumberFormat="1" applyAlignment="1">
      <alignment horizontal="center"/>
    </xf>
    <xf numFmtId="0" fontId="7" fillId="0" borderId="79" xfId="0" applyFont="1" applyFill="1" applyBorder="1"/>
    <xf numFmtId="0" fontId="7" fillId="0" borderId="80" xfId="0" applyFont="1" applyFill="1" applyBorder="1"/>
    <xf numFmtId="0" fontId="14" fillId="0" borderId="0" xfId="0" applyFont="1" applyFill="1" applyBorder="1" applyAlignment="1">
      <alignment horizontal="center" vertical="center"/>
    </xf>
    <xf numFmtId="166" fontId="7" fillId="0" borderId="0" xfId="44" applyNumberFormat="1" applyFill="1" applyBorder="1"/>
    <xf numFmtId="0" fontId="10" fillId="0" borderId="45" xfId="0" applyFont="1" applyFill="1" applyBorder="1" applyAlignment="1">
      <alignment horizontal="center"/>
    </xf>
    <xf numFmtId="0" fontId="9" fillId="37" borderId="71" xfId="0" applyFont="1" applyFill="1" applyBorder="1"/>
    <xf numFmtId="0" fontId="7" fillId="0" borderId="55" xfId="0" applyFont="1" applyFill="1" applyBorder="1"/>
    <xf numFmtId="6" fontId="75" fillId="0" borderId="0" xfId="0" applyNumberFormat="1" applyFont="1" applyFill="1" applyBorder="1" applyAlignment="1">
      <alignment horizontal="center"/>
    </xf>
    <xf numFmtId="0" fontId="21" fillId="0" borderId="0" xfId="0" applyFont="1" applyFill="1" applyBorder="1"/>
    <xf numFmtId="0" fontId="7" fillId="0" borderId="55" xfId="0" applyFont="1" applyFill="1" applyBorder="1" applyAlignment="1">
      <alignment horizontal="center"/>
    </xf>
    <xf numFmtId="0" fontId="7" fillId="0" borderId="0" xfId="0" applyFont="1" applyFill="1" applyBorder="1" applyAlignment="1">
      <alignment horizontal="left" indent="1"/>
    </xf>
    <xf numFmtId="166" fontId="7" fillId="0" borderId="0" xfId="44" applyNumberFormat="1" applyFont="1" applyFill="1" applyBorder="1"/>
    <xf numFmtId="170" fontId="7" fillId="0" borderId="0" xfId="0" applyNumberFormat="1" applyFont="1" applyFill="1" applyBorder="1"/>
    <xf numFmtId="173" fontId="7" fillId="0" borderId="0" xfId="0" applyNumberFormat="1" applyFont="1" applyFill="1" applyBorder="1"/>
    <xf numFmtId="10" fontId="7" fillId="0" borderId="0" xfId="162" applyNumberFormat="1" applyBorder="1"/>
    <xf numFmtId="169" fontId="7" fillId="0" borderId="80" xfId="0" applyNumberFormat="1" applyFont="1" applyFill="1" applyBorder="1" applyAlignment="1">
      <alignment horizontal="center"/>
    </xf>
    <xf numFmtId="169" fontId="7" fillId="0" borderId="81" xfId="0" applyNumberFormat="1" applyFont="1" applyFill="1" applyBorder="1" applyAlignment="1">
      <alignment horizontal="center"/>
    </xf>
    <xf numFmtId="169" fontId="21" fillId="0" borderId="80" xfId="0" applyNumberFormat="1" applyFont="1" applyFill="1" applyBorder="1" applyAlignment="1">
      <alignment horizontal="center"/>
    </xf>
    <xf numFmtId="0" fontId="30" fillId="37" borderId="71" xfId="0" applyFont="1" applyFill="1" applyBorder="1" applyAlignment="1">
      <alignment horizontal="center"/>
    </xf>
    <xf numFmtId="0" fontId="30" fillId="0" borderId="60" xfId="0" applyFont="1" applyBorder="1" applyAlignment="1">
      <alignment horizontal="center"/>
    </xf>
    <xf numFmtId="0" fontId="21" fillId="0" borderId="0" xfId="150" applyFont="1" applyFill="1" applyAlignment="1">
      <alignment horizontal="left"/>
    </xf>
    <xf numFmtId="165" fontId="46" fillId="0" borderId="0" xfId="29" applyNumberFormat="1" applyFont="1" applyFill="1" applyBorder="1" applyAlignment="1">
      <alignment horizontal="center"/>
    </xf>
    <xf numFmtId="41" fontId="7" fillId="0" borderId="0" xfId="0" applyNumberFormat="1" applyFont="1" applyFill="1" applyBorder="1"/>
    <xf numFmtId="0" fontId="7" fillId="0" borderId="0" xfId="0" applyFont="1" applyFill="1" applyAlignment="1">
      <alignment horizontal="left" indent="2"/>
    </xf>
    <xf numFmtId="0" fontId="21" fillId="0" borderId="0" xfId="0" applyFont="1" applyFill="1" applyBorder="1" applyAlignment="1">
      <alignment horizontal="left"/>
    </xf>
    <xf numFmtId="170" fontId="7" fillId="0" borderId="0" xfId="0" applyNumberFormat="1" applyFont="1" applyFill="1"/>
    <xf numFmtId="0" fontId="0" fillId="0" borderId="80" xfId="0" applyFill="1" applyBorder="1"/>
    <xf numFmtId="0" fontId="0" fillId="0" borderId="81" xfId="0" applyFill="1" applyBorder="1"/>
    <xf numFmtId="0" fontId="10" fillId="0" borderId="39" xfId="150" applyFont="1" applyFill="1" applyBorder="1" applyAlignment="1">
      <alignment horizontal="left"/>
    </xf>
    <xf numFmtId="165" fontId="7" fillId="0" borderId="0" xfId="29" applyNumberFormat="1" applyFill="1"/>
    <xf numFmtId="176" fontId="9" fillId="0" borderId="0" xfId="0" applyNumberFormat="1" applyFont="1" applyFill="1" applyBorder="1"/>
    <xf numFmtId="44" fontId="9" fillId="0" borderId="0" xfId="44" applyFont="1" applyFill="1" applyBorder="1"/>
    <xf numFmtId="176" fontId="0" fillId="0" borderId="0" xfId="0" applyNumberFormat="1" applyFill="1"/>
    <xf numFmtId="176" fontId="0" fillId="0" borderId="0" xfId="0" applyNumberFormat="1" applyFill="1" applyBorder="1"/>
    <xf numFmtId="176" fontId="0" fillId="0" borderId="83" xfId="0" applyNumberFormat="1" applyFill="1" applyBorder="1"/>
    <xf numFmtId="41" fontId="9" fillId="0" borderId="78" xfId="0" applyNumberFormat="1" applyFont="1" applyFill="1" applyBorder="1"/>
    <xf numFmtId="44" fontId="7" fillId="0" borderId="0" xfId="44" applyFill="1"/>
    <xf numFmtId="0" fontId="28" fillId="0" borderId="0" xfId="0" applyFont="1" applyFill="1" applyBorder="1" applyAlignment="1">
      <alignment horizontal="left"/>
    </xf>
    <xf numFmtId="167" fontId="10" fillId="0" borderId="0" xfId="162" applyNumberFormat="1" applyFont="1" applyFill="1" applyBorder="1"/>
    <xf numFmtId="44" fontId="9" fillId="0" borderId="0" xfId="44" applyNumberFormat="1" applyFont="1" applyFill="1" applyBorder="1"/>
    <xf numFmtId="43" fontId="9" fillId="0" borderId="0" xfId="29" applyNumberFormat="1" applyFont="1" applyFill="1" applyBorder="1"/>
    <xf numFmtId="43" fontId="9" fillId="0" borderId="0" xfId="29" applyNumberFormat="1" applyFont="1" applyFill="1" applyBorder="1" applyAlignment="1">
      <alignment horizontal="left"/>
    </xf>
    <xf numFmtId="49" fontId="92" fillId="0" borderId="0" xfId="67" applyNumberFormat="1" applyFont="1" applyFill="1" applyBorder="1" applyAlignment="1" applyProtection="1">
      <alignment horizontal="left"/>
    </xf>
    <xf numFmtId="43" fontId="9" fillId="0" borderId="0" xfId="0" applyNumberFormat="1" applyFont="1" applyFill="1" applyBorder="1"/>
    <xf numFmtId="0" fontId="28" fillId="0" borderId="0" xfId="0" applyFont="1" applyFill="1" applyBorder="1" applyAlignment="1">
      <alignment horizontal="center"/>
    </xf>
    <xf numFmtId="165" fontId="7" fillId="0" borderId="60" xfId="29" applyNumberFormat="1" applyFill="1" applyBorder="1"/>
    <xf numFmtId="0" fontId="0" fillId="0" borderId="84" xfId="0" applyFill="1" applyBorder="1"/>
    <xf numFmtId="9" fontId="14" fillId="34" borderId="40" xfId="0" applyNumberFormat="1" applyFont="1" applyFill="1" applyBorder="1" applyAlignment="1">
      <alignment horizontal="center"/>
    </xf>
    <xf numFmtId="0" fontId="14" fillId="38" borderId="45" xfId="0" applyFont="1" applyFill="1" applyBorder="1" applyAlignment="1">
      <alignment horizontal="center"/>
    </xf>
    <xf numFmtId="0" fontId="16" fillId="0" borderId="0" xfId="0" applyFont="1"/>
    <xf numFmtId="41" fontId="7" fillId="0" borderId="0" xfId="0" applyNumberFormat="1" applyFont="1" applyFill="1"/>
    <xf numFmtId="167" fontId="7" fillId="0" borderId="0" xfId="162" applyNumberFormat="1" applyFont="1" applyFill="1" applyBorder="1" applyAlignment="1">
      <alignment horizontal="center"/>
    </xf>
    <xf numFmtId="165" fontId="102" fillId="0" borderId="0" xfId="29" applyNumberFormat="1" applyFont="1" applyFill="1" applyBorder="1"/>
    <xf numFmtId="165" fontId="102" fillId="0" borderId="21" xfId="29" applyNumberFormat="1" applyFont="1" applyFill="1" applyBorder="1"/>
    <xf numFmtId="0" fontId="10" fillId="0" borderId="40" xfId="0" applyFont="1" applyFill="1" applyBorder="1" applyAlignment="1">
      <alignment horizontal="center"/>
    </xf>
    <xf numFmtId="0" fontId="10" fillId="0" borderId="43" xfId="0" applyFont="1" applyFill="1" applyBorder="1" applyAlignment="1">
      <alignment horizontal="center"/>
    </xf>
    <xf numFmtId="0" fontId="91" fillId="0" borderId="38" xfId="0" applyFont="1" applyFill="1" applyBorder="1" applyAlignment="1">
      <alignment horizontal="center"/>
    </xf>
    <xf numFmtId="43" fontId="9" fillId="0" borderId="0" xfId="29" applyFont="1" applyFill="1" applyBorder="1"/>
    <xf numFmtId="44" fontId="9" fillId="0" borderId="78" xfId="44" applyFont="1" applyFill="1" applyBorder="1"/>
    <xf numFmtId="44" fontId="7" fillId="0" borderId="78" xfId="44" applyFill="1" applyBorder="1"/>
    <xf numFmtId="177" fontId="50" fillId="0" borderId="0" xfId="0" applyNumberFormat="1" applyFont="1" applyFill="1" applyBorder="1"/>
    <xf numFmtId="165" fontId="22" fillId="0" borderId="0" xfId="29" applyNumberFormat="1" applyFont="1" applyFill="1" applyBorder="1"/>
    <xf numFmtId="0" fontId="7" fillId="0" borderId="0" xfId="0" applyFont="1" applyAlignment="1">
      <alignment horizontal="center"/>
    </xf>
    <xf numFmtId="0" fontId="0" fillId="0" borderId="0" xfId="0" applyNumberFormat="1" applyFill="1" applyBorder="1" applyAlignment="1">
      <alignment horizontal="center"/>
    </xf>
    <xf numFmtId="0" fontId="21" fillId="22" borderId="0" xfId="0" applyFont="1" applyFill="1"/>
    <xf numFmtId="0" fontId="22" fillId="22" borderId="0" xfId="0" applyFont="1" applyFill="1"/>
    <xf numFmtId="173" fontId="19" fillId="0" borderId="0" xfId="0" applyNumberFormat="1" applyFont="1" applyFill="1" applyBorder="1"/>
    <xf numFmtId="0" fontId="19" fillId="23" borderId="6" xfId="0" applyFont="1" applyFill="1" applyBorder="1" applyAlignment="1">
      <alignment horizontal="center"/>
    </xf>
    <xf numFmtId="165" fontId="19" fillId="23" borderId="85" xfId="29" applyNumberFormat="1" applyFont="1" applyFill="1" applyBorder="1"/>
    <xf numFmtId="165" fontId="19" fillId="23" borderId="86" xfId="29" applyNumberFormat="1" applyFont="1" applyFill="1" applyBorder="1"/>
    <xf numFmtId="0" fontId="48" fillId="0" borderId="0" xfId="147" applyFont="1" applyFill="1" applyBorder="1" applyAlignment="1" applyProtection="1">
      <protection locked="0"/>
    </xf>
    <xf numFmtId="3" fontId="9" fillId="0" borderId="0" xfId="0" applyNumberFormat="1" applyFont="1"/>
    <xf numFmtId="49" fontId="10" fillId="0" borderId="0" xfId="0" applyNumberFormat="1" applyFont="1" applyFill="1" applyBorder="1" applyAlignment="1">
      <alignment horizontal="center"/>
    </xf>
    <xf numFmtId="0" fontId="10" fillId="0" borderId="0" xfId="0" applyNumberFormat="1" applyFont="1" applyFill="1" applyAlignment="1">
      <alignment horizontal="center"/>
    </xf>
    <xf numFmtId="43" fontId="9" fillId="0" borderId="0" xfId="0" applyNumberFormat="1" applyFont="1" applyFill="1" applyAlignment="1">
      <alignment horizontal="center"/>
    </xf>
    <xf numFmtId="3" fontId="0" fillId="0" borderId="0" xfId="0" applyNumberFormat="1"/>
    <xf numFmtId="42" fontId="9" fillId="0" borderId="0" xfId="44" applyNumberFormat="1" applyFont="1" applyFill="1" applyBorder="1"/>
    <xf numFmtId="42" fontId="10" fillId="0" borderId="0" xfId="44" applyNumberFormat="1" applyFont="1" applyFill="1" applyBorder="1"/>
    <xf numFmtId="0" fontId="10" fillId="0" borderId="22" xfId="0" applyFont="1" applyFill="1" applyBorder="1" applyAlignment="1">
      <alignment horizontal="center"/>
    </xf>
    <xf numFmtId="165" fontId="0" fillId="0" borderId="21" xfId="29" applyNumberFormat="1" applyFont="1" applyFill="1" applyBorder="1" applyAlignment="1">
      <alignment horizontal="center"/>
    </xf>
    <xf numFmtId="43" fontId="0" fillId="0" borderId="0" xfId="0" applyNumberFormat="1" applyFill="1" applyBorder="1" applyAlignment="1">
      <alignment horizontal="left" indent="1"/>
    </xf>
    <xf numFmtId="0" fontId="10" fillId="22" borderId="43" xfId="0" applyFont="1" applyFill="1" applyBorder="1" applyAlignment="1">
      <alignment horizontal="center"/>
    </xf>
    <xf numFmtId="10" fontId="111" fillId="0" borderId="0" xfId="162" applyNumberFormat="1" applyFont="1" applyFill="1" applyBorder="1" applyAlignment="1">
      <alignment horizontal="center"/>
    </xf>
    <xf numFmtId="0" fontId="14" fillId="34" borderId="87" xfId="0" applyFont="1" applyFill="1" applyBorder="1" applyAlignment="1">
      <alignment horizontal="center"/>
    </xf>
    <xf numFmtId="0" fontId="10" fillId="32" borderId="31" xfId="0" applyFont="1" applyFill="1" applyBorder="1" applyAlignment="1">
      <alignment horizontal="center"/>
    </xf>
    <xf numFmtId="0" fontId="10" fillId="32" borderId="33" xfId="0" applyFont="1" applyFill="1" applyBorder="1" applyAlignment="1">
      <alignment horizontal="center"/>
    </xf>
    <xf numFmtId="0" fontId="14" fillId="38" borderId="85" xfId="0" applyFont="1" applyFill="1" applyBorder="1" applyAlignment="1">
      <alignment horizontal="center"/>
    </xf>
    <xf numFmtId="0" fontId="14" fillId="38" borderId="8" xfId="0" applyFont="1" applyFill="1" applyBorder="1" applyAlignment="1">
      <alignment horizontal="center"/>
    </xf>
    <xf numFmtId="0" fontId="14" fillId="0" borderId="8" xfId="0" applyFont="1" applyFill="1" applyBorder="1" applyAlignment="1">
      <alignment horizontal="center"/>
    </xf>
    <xf numFmtId="41" fontId="111" fillId="0" borderId="8" xfId="0" applyNumberFormat="1" applyFont="1" applyFill="1" applyBorder="1" applyAlignment="1">
      <alignment horizontal="left" indent="1"/>
    </xf>
    <xf numFmtId="0" fontId="14" fillId="34" borderId="40" xfId="0" applyFont="1" applyFill="1" applyBorder="1" applyAlignment="1">
      <alignment horizontal="center" vertical="center" wrapText="1"/>
    </xf>
    <xf numFmtId="0" fontId="77" fillId="0" borderId="0" xfId="95"/>
    <xf numFmtId="42" fontId="0" fillId="0" borderId="0" xfId="0" applyNumberFormat="1" applyFill="1"/>
    <xf numFmtId="41" fontId="0" fillId="0" borderId="0" xfId="29" applyNumberFormat="1" applyFont="1" applyFill="1"/>
    <xf numFmtId="0" fontId="14" fillId="34" borderId="43" xfId="0" applyFont="1" applyFill="1" applyBorder="1" applyAlignment="1">
      <alignment horizontal="center" vertical="center" wrapText="1"/>
    </xf>
    <xf numFmtId="0" fontId="9" fillId="0" borderId="88" xfId="0" applyFont="1" applyFill="1" applyBorder="1"/>
    <xf numFmtId="0" fontId="0" fillId="0" borderId="89" xfId="0" applyFill="1" applyBorder="1"/>
    <xf numFmtId="0" fontId="10" fillId="36" borderId="90" xfId="0" applyFont="1" applyFill="1" applyBorder="1" applyAlignment="1">
      <alignment horizontal="center"/>
    </xf>
    <xf numFmtId="10" fontId="11" fillId="32" borderId="26" xfId="162" applyNumberFormat="1" applyFont="1" applyFill="1" applyBorder="1" applyAlignment="1">
      <alignment horizontal="center"/>
    </xf>
    <xf numFmtId="10" fontId="11" fillId="32" borderId="27" xfId="162" applyNumberFormat="1" applyFont="1" applyFill="1" applyBorder="1" applyAlignment="1">
      <alignment horizontal="center"/>
    </xf>
    <xf numFmtId="10" fontId="11" fillId="32" borderId="37" xfId="162" applyNumberFormat="1" applyFont="1" applyFill="1" applyBorder="1" applyAlignment="1">
      <alignment horizontal="center"/>
    </xf>
    <xf numFmtId="14" fontId="0" fillId="0" borderId="0" xfId="0" applyNumberFormat="1" applyFill="1"/>
    <xf numFmtId="166" fontId="22" fillId="0" borderId="0" xfId="44" applyNumberFormat="1" applyFont="1" applyFill="1" applyBorder="1"/>
    <xf numFmtId="166" fontId="22" fillId="0" borderId="22" xfId="44" applyNumberFormat="1" applyFont="1" applyFill="1" applyBorder="1"/>
    <xf numFmtId="0" fontId="12" fillId="0" borderId="0" xfId="0" applyFont="1" applyAlignment="1">
      <alignment horizontal="center"/>
    </xf>
    <xf numFmtId="9" fontId="11" fillId="32" borderId="37" xfId="162" applyNumberFormat="1" applyFont="1" applyFill="1" applyBorder="1" applyAlignment="1">
      <alignment horizontal="center"/>
    </xf>
    <xf numFmtId="9" fontId="0" fillId="0" borderId="0" xfId="162" applyNumberFormat="1" applyFont="1" applyFill="1" applyAlignment="1">
      <alignment horizontal="center"/>
    </xf>
    <xf numFmtId="9" fontId="0" fillId="0" borderId="0" xfId="0" applyNumberFormat="1" applyFill="1" applyBorder="1"/>
    <xf numFmtId="9" fontId="0" fillId="0" borderId="0" xfId="162" applyNumberFormat="1" applyFont="1" applyFill="1" applyBorder="1" applyAlignment="1">
      <alignment horizontal="center"/>
    </xf>
    <xf numFmtId="9" fontId="11" fillId="32" borderId="26" xfId="162" applyNumberFormat="1" applyFont="1" applyFill="1" applyBorder="1" applyAlignment="1">
      <alignment horizontal="center"/>
    </xf>
    <xf numFmtId="9" fontId="11" fillId="32" borderId="27" xfId="162" applyNumberFormat="1" applyFont="1" applyFill="1" applyBorder="1" applyAlignment="1">
      <alignment horizontal="center"/>
    </xf>
    <xf numFmtId="9" fontId="41" fillId="40" borderId="0" xfId="162" applyNumberFormat="1" applyFont="1" applyFill="1" applyBorder="1" applyAlignment="1">
      <alignment horizontal="center"/>
    </xf>
    <xf numFmtId="9" fontId="15" fillId="0" borderId="0" xfId="162" applyNumberFormat="1" applyFont="1" applyFill="1" applyBorder="1" applyAlignment="1">
      <alignment horizontal="center"/>
    </xf>
    <xf numFmtId="9" fontId="10" fillId="0" borderId="0" xfId="162" applyNumberFormat="1" applyFont="1" applyFill="1" applyBorder="1" applyAlignment="1">
      <alignment horizontal="center"/>
    </xf>
    <xf numFmtId="165" fontId="22" fillId="0" borderId="91" xfId="29" applyNumberFormat="1" applyFont="1" applyFill="1" applyBorder="1"/>
    <xf numFmtId="41" fontId="9" fillId="0" borderId="0" xfId="0" applyNumberFormat="1" applyFont="1" applyFill="1" applyBorder="1" applyAlignment="1">
      <alignment horizontal="left" indent="2"/>
    </xf>
    <xf numFmtId="41" fontId="10" fillId="0" borderId="0" xfId="0" applyNumberFormat="1" applyFont="1" applyFill="1" applyBorder="1" applyAlignment="1">
      <alignment horizontal="left"/>
    </xf>
    <xf numFmtId="10" fontId="111" fillId="0" borderId="0" xfId="162" applyNumberFormat="1" applyFont="1" applyFill="1" applyAlignment="1">
      <alignment horizontal="center"/>
    </xf>
    <xf numFmtId="10" fontId="10" fillId="0" borderId="0" xfId="162" applyNumberFormat="1" applyFont="1" applyFill="1"/>
    <xf numFmtId="0" fontId="15" fillId="34" borderId="37" xfId="0" applyFont="1" applyFill="1" applyBorder="1" applyAlignment="1">
      <alignment horizontal="center"/>
    </xf>
    <xf numFmtId="0" fontId="14" fillId="0" borderId="88" xfId="0" applyFont="1" applyFill="1" applyBorder="1" applyAlignment="1">
      <alignment horizontal="center"/>
    </xf>
    <xf numFmtId="0" fontId="44" fillId="0" borderId="88" xfId="0" applyFont="1" applyFill="1" applyBorder="1" applyAlignment="1">
      <alignment horizontal="center"/>
    </xf>
    <xf numFmtId="41" fontId="7" fillId="0" borderId="21" xfId="0" applyNumberFormat="1" applyFont="1" applyFill="1" applyBorder="1"/>
    <xf numFmtId="49" fontId="104" fillId="0" borderId="21" xfId="0" applyNumberFormat="1" applyFont="1" applyFill="1" applyBorder="1" applyAlignment="1" applyProtection="1">
      <alignment horizontal="center" vertical="center" wrapText="1"/>
    </xf>
    <xf numFmtId="191" fontId="104" fillId="0" borderId="92" xfId="0" applyNumberFormat="1" applyFont="1" applyFill="1" applyBorder="1" applyAlignment="1" applyProtection="1">
      <alignment horizontal="left"/>
    </xf>
    <xf numFmtId="191" fontId="104" fillId="0" borderId="22" xfId="0" applyNumberFormat="1" applyFont="1" applyFill="1" applyBorder="1" applyAlignment="1" applyProtection="1">
      <alignment horizontal="left"/>
    </xf>
    <xf numFmtId="37" fontId="105" fillId="0" borderId="0" xfId="0" applyNumberFormat="1" applyFont="1" applyBorder="1" applyProtection="1">
      <protection locked="0"/>
    </xf>
    <xf numFmtId="44" fontId="105" fillId="0" borderId="0" xfId="0" applyNumberFormat="1" applyFont="1" applyBorder="1" applyProtection="1">
      <protection locked="0"/>
    </xf>
    <xf numFmtId="191" fontId="104" fillId="0" borderId="42" xfId="0" applyNumberFormat="1" applyFont="1" applyFill="1" applyBorder="1" applyAlignment="1" applyProtection="1">
      <alignment horizontal="left"/>
    </xf>
    <xf numFmtId="191" fontId="104" fillId="0" borderId="0" xfId="0" applyNumberFormat="1" applyFont="1" applyFill="1" applyBorder="1" applyAlignment="1" applyProtection="1">
      <alignment horizontal="left"/>
    </xf>
    <xf numFmtId="0" fontId="106" fillId="0" borderId="42" xfId="0" applyFont="1" applyBorder="1"/>
    <xf numFmtId="191" fontId="107" fillId="0" borderId="0" xfId="0" applyNumberFormat="1" applyFont="1" applyFill="1" applyBorder="1" applyAlignment="1" applyProtection="1">
      <alignment horizontal="left"/>
    </xf>
    <xf numFmtId="37" fontId="104" fillId="0" borderId="22" xfId="0" applyNumberFormat="1" applyFont="1" applyFill="1" applyBorder="1"/>
    <xf numFmtId="44" fontId="104" fillId="0" borderId="22" xfId="44" applyNumberFormat="1" applyFont="1" applyFill="1" applyBorder="1"/>
    <xf numFmtId="0" fontId="106" fillId="0" borderId="0" xfId="0" applyFont="1" applyBorder="1"/>
    <xf numFmtId="37" fontId="106" fillId="0" borderId="0" xfId="0" applyNumberFormat="1" applyFont="1" applyBorder="1"/>
    <xf numFmtId="44" fontId="106" fillId="0" borderId="0" xfId="44" applyNumberFormat="1" applyFont="1" applyBorder="1"/>
    <xf numFmtId="49" fontId="108" fillId="0" borderId="0" xfId="0" quotePrefix="1" applyNumberFormat="1" applyFont="1" applyFill="1" applyBorder="1" applyAlignment="1" applyProtection="1">
      <alignment horizontal="left" vertical="center" wrapText="1"/>
    </xf>
    <xf numFmtId="44" fontId="105" fillId="0" borderId="93" xfId="0" applyNumberFormat="1" applyFont="1" applyBorder="1" applyProtection="1">
      <protection locked="0"/>
    </xf>
    <xf numFmtId="37" fontId="105" fillId="0" borderId="21" xfId="0" applyNumberFormat="1" applyFont="1" applyBorder="1" applyProtection="1">
      <protection locked="0"/>
    </xf>
    <xf numFmtId="44" fontId="105" fillId="0" borderId="21" xfId="0" applyNumberFormat="1" applyFont="1" applyBorder="1" applyProtection="1">
      <protection locked="0"/>
    </xf>
    <xf numFmtId="44" fontId="105" fillId="0" borderId="91" xfId="0" applyNumberFormat="1" applyFont="1" applyBorder="1" applyProtection="1">
      <protection locked="0"/>
    </xf>
    <xf numFmtId="37" fontId="106" fillId="0" borderId="0" xfId="0" applyNumberFormat="1" applyFont="1" applyBorder="1" applyProtection="1"/>
    <xf numFmtId="44" fontId="106" fillId="0" borderId="0" xfId="0" applyNumberFormat="1" applyFont="1" applyBorder="1" applyProtection="1"/>
    <xf numFmtId="49" fontId="104" fillId="0" borderId="93" xfId="0" applyNumberFormat="1" applyFont="1" applyFill="1" applyBorder="1" applyAlignment="1" applyProtection="1">
      <alignment horizontal="center" vertical="center" wrapText="1"/>
    </xf>
    <xf numFmtId="44" fontId="105" fillId="0" borderId="94" xfId="0" applyNumberFormat="1" applyFont="1" applyBorder="1" applyProtection="1">
      <protection locked="0"/>
    </xf>
    <xf numFmtId="44" fontId="104" fillId="0" borderId="94" xfId="44" applyNumberFormat="1" applyFont="1" applyFill="1" applyBorder="1"/>
    <xf numFmtId="44" fontId="106" fillId="0" borderId="93" xfId="44" applyNumberFormat="1" applyFont="1" applyBorder="1"/>
    <xf numFmtId="0" fontId="106" fillId="0" borderId="32" xfId="0" applyFont="1" applyBorder="1"/>
    <xf numFmtId="191" fontId="107" fillId="0" borderId="14" xfId="0" applyNumberFormat="1" applyFont="1" applyFill="1" applyBorder="1" applyAlignment="1" applyProtection="1">
      <alignment horizontal="left"/>
    </xf>
    <xf numFmtId="37" fontId="106" fillId="0" borderId="14" xfId="0" applyNumberFormat="1" applyFont="1" applyBorder="1" applyProtection="1"/>
    <xf numFmtId="44" fontId="106" fillId="0" borderId="14" xfId="0" applyNumberFormat="1" applyFont="1" applyBorder="1" applyProtection="1"/>
    <xf numFmtId="44" fontId="106" fillId="0" borderId="95" xfId="0" applyNumberFormat="1" applyFont="1" applyBorder="1" applyProtection="1"/>
    <xf numFmtId="37" fontId="105" fillId="0" borderId="0" xfId="0" applyNumberFormat="1" applyFont="1" applyFill="1" applyBorder="1" applyProtection="1">
      <protection locked="0"/>
    </xf>
    <xf numFmtId="44" fontId="105" fillId="0" borderId="0" xfId="0" applyNumberFormat="1" applyFont="1" applyFill="1" applyBorder="1" applyProtection="1">
      <protection locked="0"/>
    </xf>
    <xf numFmtId="37" fontId="106" fillId="0" borderId="0" xfId="0" applyNumberFormat="1" applyFont="1" applyFill="1" applyBorder="1"/>
    <xf numFmtId="44" fontId="106" fillId="0" borderId="0" xfId="44" applyNumberFormat="1" applyFont="1" applyFill="1" applyBorder="1"/>
    <xf numFmtId="0" fontId="0" fillId="0" borderId="31" xfId="0" applyBorder="1"/>
    <xf numFmtId="37" fontId="105" fillId="0" borderId="93" xfId="0" applyNumberFormat="1" applyFont="1" applyFill="1" applyBorder="1" applyProtection="1">
      <protection locked="0"/>
    </xf>
    <xf numFmtId="37" fontId="104" fillId="0" borderId="94" xfId="0" applyNumberFormat="1" applyFont="1" applyFill="1" applyBorder="1"/>
    <xf numFmtId="191" fontId="104" fillId="0" borderId="0" xfId="0" applyNumberFormat="1" applyFont="1" applyFill="1" applyBorder="1" applyAlignment="1" applyProtection="1">
      <alignment horizontal="left" indent="1"/>
    </xf>
    <xf numFmtId="191" fontId="104" fillId="0" borderId="0" xfId="0" applyNumberFormat="1" applyFont="1" applyFill="1" applyBorder="1" applyAlignment="1" applyProtection="1">
      <alignment horizontal="left" indent="2"/>
    </xf>
    <xf numFmtId="49" fontId="104" fillId="0" borderId="91" xfId="0" applyNumberFormat="1" applyFont="1" applyFill="1" applyBorder="1" applyAlignment="1" applyProtection="1">
      <alignment horizontal="center" vertical="center" wrapText="1"/>
    </xf>
    <xf numFmtId="0" fontId="0" fillId="0" borderId="30" xfId="0" applyBorder="1"/>
    <xf numFmtId="191" fontId="104" fillId="0" borderId="31" xfId="0" applyNumberFormat="1" applyFont="1" applyFill="1" applyBorder="1" applyAlignment="1" applyProtection="1">
      <alignment horizontal="center" vertical="center"/>
    </xf>
    <xf numFmtId="0" fontId="0" fillId="0" borderId="14" xfId="0" applyBorder="1"/>
    <xf numFmtId="44" fontId="106" fillId="0" borderId="33" xfId="0" applyNumberFormat="1" applyFont="1" applyBorder="1" applyProtection="1"/>
    <xf numFmtId="191" fontId="109" fillId="0" borderId="0" xfId="0" applyNumberFormat="1" applyFont="1" applyFill="1" applyBorder="1" applyAlignment="1" applyProtection="1">
      <alignment horizontal="left" indent="2"/>
    </xf>
    <xf numFmtId="0" fontId="110" fillId="0" borderId="0" xfId="0" applyFont="1" applyAlignment="1">
      <alignment horizontal="center"/>
    </xf>
    <xf numFmtId="0" fontId="112" fillId="0" borderId="0" xfId="0" applyFont="1" applyAlignment="1">
      <alignment horizontal="center"/>
    </xf>
    <xf numFmtId="0" fontId="106" fillId="0" borderId="0" xfId="0" applyFont="1"/>
    <xf numFmtId="44" fontId="106" fillId="0" borderId="0" xfId="0" applyNumberFormat="1" applyFont="1"/>
    <xf numFmtId="10" fontId="106" fillId="0" borderId="0" xfId="162" applyNumberFormat="1" applyFont="1"/>
    <xf numFmtId="0" fontId="106" fillId="0" borderId="0" xfId="0" applyFont="1" applyAlignment="1">
      <alignment horizontal="center"/>
    </xf>
    <xf numFmtId="10" fontId="106" fillId="0" borderId="0" xfId="162" applyNumberFormat="1" applyFont="1" applyAlignment="1">
      <alignment horizontal="center"/>
    </xf>
    <xf numFmtId="44" fontId="106" fillId="0" borderId="0" xfId="162" applyNumberFormat="1" applyFont="1"/>
    <xf numFmtId="44" fontId="106" fillId="0" borderId="93" xfId="0" applyNumberFormat="1" applyFont="1" applyBorder="1" applyProtection="1">
      <protection locked="0"/>
    </xf>
    <xf numFmtId="44" fontId="106" fillId="0" borderId="91" xfId="0" applyNumberFormat="1" applyFont="1" applyBorder="1" applyProtection="1">
      <protection locked="0"/>
    </xf>
    <xf numFmtId="37" fontId="106" fillId="0" borderId="0" xfId="0" applyNumberFormat="1" applyFont="1" applyFill="1" applyBorder="1" applyProtection="1">
      <protection locked="0"/>
    </xf>
    <xf numFmtId="0" fontId="0" fillId="0" borderId="29" xfId="0" applyBorder="1"/>
    <xf numFmtId="0" fontId="0" fillId="0" borderId="93" xfId="0" applyBorder="1"/>
    <xf numFmtId="0" fontId="0" fillId="0" borderId="32" xfId="0" applyBorder="1"/>
    <xf numFmtId="0" fontId="0" fillId="0" borderId="33" xfId="0" applyBorder="1"/>
    <xf numFmtId="167" fontId="7" fillId="0" borderId="21" xfId="162" applyNumberFormat="1" applyFont="1" applyFill="1" applyBorder="1" applyAlignment="1">
      <alignment horizontal="center"/>
    </xf>
    <xf numFmtId="0" fontId="14" fillId="34" borderId="96" xfId="0" applyFont="1" applyFill="1" applyBorder="1" applyAlignment="1">
      <alignment horizontal="center"/>
    </xf>
    <xf numFmtId="1" fontId="24" fillId="32" borderId="26" xfId="0" applyNumberFormat="1" applyFont="1" applyFill="1" applyBorder="1" applyAlignment="1">
      <alignment horizontal="center"/>
    </xf>
    <xf numFmtId="1" fontId="11" fillId="32" borderId="36" xfId="0" applyNumberFormat="1" applyFont="1" applyFill="1" applyBorder="1" applyAlignment="1">
      <alignment horizontal="center"/>
    </xf>
    <xf numFmtId="1" fontId="11" fillId="32" borderId="27" xfId="0" applyNumberFormat="1" applyFont="1" applyFill="1" applyBorder="1" applyAlignment="1">
      <alignment horizontal="center"/>
    </xf>
    <xf numFmtId="9" fontId="0" fillId="0" borderId="0" xfId="162" applyFont="1" applyFill="1" applyBorder="1" applyAlignment="1">
      <alignment horizontal="center"/>
    </xf>
    <xf numFmtId="169" fontId="0" fillId="0" borderId="0" xfId="0" applyNumberFormat="1" applyFill="1" applyAlignment="1">
      <alignment horizontal="center"/>
    </xf>
    <xf numFmtId="0" fontId="0" fillId="0" borderId="97" xfId="0" applyBorder="1"/>
    <xf numFmtId="0" fontId="0" fillId="0" borderId="49" xfId="0" applyBorder="1"/>
    <xf numFmtId="181" fontId="0" fillId="0" borderId="0" xfId="29" applyNumberFormat="1" applyFont="1" applyBorder="1"/>
    <xf numFmtId="181" fontId="10" fillId="0" borderId="0" xfId="29" applyNumberFormat="1" applyFont="1" applyBorder="1"/>
    <xf numFmtId="42" fontId="9" fillId="0" borderId="60" xfId="44" applyNumberFormat="1" applyFont="1" applyFill="1" applyBorder="1"/>
    <xf numFmtId="42" fontId="10" fillId="0" borderId="0" xfId="0" applyNumberFormat="1" applyFont="1" applyFill="1" applyBorder="1"/>
    <xf numFmtId="42" fontId="10" fillId="0" borderId="60" xfId="0" applyNumberFormat="1" applyFont="1" applyFill="1" applyBorder="1"/>
    <xf numFmtId="42" fontId="10" fillId="0" borderId="22" xfId="0" applyNumberFormat="1" applyFont="1" applyFill="1" applyBorder="1"/>
    <xf numFmtId="42" fontId="10" fillId="0" borderId="66" xfId="0" applyNumberFormat="1" applyFont="1" applyFill="1" applyBorder="1"/>
    <xf numFmtId="42" fontId="9" fillId="0" borderId="0" xfId="0" applyNumberFormat="1" applyFont="1" applyFill="1" applyBorder="1"/>
    <xf numFmtId="42" fontId="9" fillId="0" borderId="60" xfId="0" applyNumberFormat="1" applyFont="1" applyFill="1" applyBorder="1"/>
    <xf numFmtId="190" fontId="7" fillId="0" borderId="0" xfId="44" applyNumberFormat="1" applyFill="1" applyBorder="1"/>
    <xf numFmtId="190" fontId="7" fillId="0" borderId="0" xfId="29" applyNumberFormat="1" applyFill="1" applyBorder="1"/>
    <xf numFmtId="190" fontId="7" fillId="0" borderId="98" xfId="29" applyNumberFormat="1" applyFill="1" applyBorder="1"/>
    <xf numFmtId="190" fontId="7" fillId="0" borderId="99" xfId="29" applyNumberFormat="1" applyFill="1" applyBorder="1"/>
    <xf numFmtId="190" fontId="10" fillId="0" borderId="0" xfId="44" applyNumberFormat="1" applyFont="1" applyFill="1" applyBorder="1"/>
    <xf numFmtId="190" fontId="9" fillId="0" borderId="0" xfId="0" applyNumberFormat="1" applyFont="1" applyFill="1" applyBorder="1"/>
    <xf numFmtId="190" fontId="9" fillId="0" borderId="0" xfId="44" applyNumberFormat="1" applyFont="1" applyFill="1" applyBorder="1"/>
    <xf numFmtId="190" fontId="10" fillId="0" borderId="78" xfId="44" applyNumberFormat="1" applyFont="1" applyFill="1" applyBorder="1"/>
    <xf numFmtId="10" fontId="0" fillId="0" borderId="0" xfId="0" applyNumberFormat="1"/>
    <xf numFmtId="0" fontId="14" fillId="34" borderId="43" xfId="0" applyFont="1" applyFill="1" applyBorder="1" applyAlignment="1">
      <alignment horizontal="centerContinuous"/>
    </xf>
    <xf numFmtId="0" fontId="43" fillId="0" borderId="0" xfId="0" applyFont="1" applyAlignment="1">
      <alignment horizontal="center"/>
    </xf>
    <xf numFmtId="0" fontId="0" fillId="0" borderId="45" xfId="0" applyBorder="1"/>
    <xf numFmtId="0" fontId="9" fillId="0" borderId="0" xfId="143"/>
    <xf numFmtId="0" fontId="9" fillId="37" borderId="71" xfId="143" applyFill="1" applyBorder="1"/>
    <xf numFmtId="0" fontId="9" fillId="0" borderId="0" xfId="143" applyFont="1"/>
    <xf numFmtId="0" fontId="9" fillId="23" borderId="0" xfId="143" applyFont="1" applyFill="1" applyBorder="1"/>
    <xf numFmtId="41" fontId="9" fillId="0" borderId="0" xfId="143" applyNumberFormat="1" applyFont="1" applyFill="1" applyBorder="1"/>
    <xf numFmtId="0" fontId="10" fillId="0" borderId="0" xfId="143" applyFont="1" applyFill="1" applyBorder="1"/>
    <xf numFmtId="0" fontId="9" fillId="0" borderId="0" xfId="143" applyFont="1" applyFill="1" applyAlignment="1">
      <alignment horizontal="center"/>
    </xf>
    <xf numFmtId="41" fontId="9" fillId="0" borderId="21" xfId="143" applyNumberFormat="1" applyFont="1" applyFill="1" applyBorder="1"/>
    <xf numFmtId="41" fontId="9" fillId="0" borderId="22" xfId="143" applyNumberFormat="1" applyFont="1" applyFill="1" applyBorder="1"/>
    <xf numFmtId="0" fontId="10" fillId="0" borderId="0" xfId="143" applyFont="1" applyFill="1" applyBorder="1" applyAlignment="1">
      <alignment horizontal="left"/>
    </xf>
    <xf numFmtId="0" fontId="9" fillId="0" borderId="0" xfId="143" applyFont="1" applyFill="1" applyBorder="1" applyAlignment="1">
      <alignment horizontal="left" indent="1"/>
    </xf>
    <xf numFmtId="0" fontId="9" fillId="0" borderId="0" xfId="143" applyFont="1" applyFill="1" applyAlignment="1">
      <alignment horizontal="left" indent="2"/>
    </xf>
    <xf numFmtId="0" fontId="9" fillId="0" borderId="0" xfId="143" applyFont="1" applyFill="1" applyAlignment="1">
      <alignment horizontal="left" indent="1"/>
    </xf>
    <xf numFmtId="41" fontId="10" fillId="0" borderId="0" xfId="143" applyNumberFormat="1" applyFont="1" applyFill="1" applyBorder="1"/>
    <xf numFmtId="9" fontId="9" fillId="23" borderId="0" xfId="179" applyFont="1" applyFill="1" applyBorder="1"/>
    <xf numFmtId="165" fontId="9" fillId="23" borderId="0" xfId="36" applyNumberFormat="1" applyFont="1" applyFill="1" applyBorder="1"/>
    <xf numFmtId="41" fontId="9" fillId="23" borderId="0" xfId="143" applyNumberFormat="1" applyFont="1" applyFill="1" applyBorder="1"/>
    <xf numFmtId="0" fontId="10" fillId="0" borderId="0" xfId="143" applyFont="1" applyFill="1" applyAlignment="1">
      <alignment horizontal="left"/>
    </xf>
    <xf numFmtId="0" fontId="9" fillId="0" borderId="0" xfId="143" applyFont="1" applyFill="1" applyBorder="1"/>
    <xf numFmtId="0" fontId="9" fillId="0" borderId="0" xfId="143" applyFont="1" applyFill="1" applyAlignment="1">
      <alignment horizontal="left" indent="5"/>
    </xf>
    <xf numFmtId="0" fontId="9" fillId="23" borderId="0" xfId="143" applyFont="1" applyFill="1"/>
    <xf numFmtId="0" fontId="9" fillId="0" borderId="0" xfId="143" applyFont="1" applyFill="1"/>
    <xf numFmtId="41" fontId="9" fillId="0" borderId="0" xfId="143" applyNumberFormat="1" applyFont="1" applyFill="1"/>
    <xf numFmtId="0" fontId="16" fillId="0" borderId="0" xfId="143" applyFont="1" applyFill="1"/>
    <xf numFmtId="0" fontId="12" fillId="0" borderId="0" xfId="143" applyFont="1" applyFill="1"/>
    <xf numFmtId="0" fontId="14" fillId="34" borderId="0" xfId="143" applyFont="1" applyFill="1" applyAlignment="1">
      <alignment horizontal="center"/>
    </xf>
    <xf numFmtId="0" fontId="10" fillId="0" borderId="0" xfId="143" applyFont="1" applyFill="1"/>
    <xf numFmtId="0" fontId="14" fillId="34" borderId="38" xfId="143" applyFont="1" applyFill="1" applyBorder="1" applyAlignment="1">
      <alignment horizontal="center"/>
    </xf>
    <xf numFmtId="0" fontId="14" fillId="34" borderId="40" xfId="143" applyFont="1" applyFill="1" applyBorder="1" applyAlignment="1">
      <alignment horizontal="center"/>
    </xf>
    <xf numFmtId="0" fontId="10" fillId="0" borderId="0" xfId="143" applyFont="1"/>
    <xf numFmtId="0" fontId="10" fillId="0" borderId="0" xfId="143" applyFont="1" applyAlignment="1">
      <alignment horizontal="left"/>
    </xf>
    <xf numFmtId="0" fontId="9" fillId="0" borderId="0" xfId="143" applyFont="1" applyFill="1" applyAlignment="1">
      <alignment horizontal="left"/>
    </xf>
    <xf numFmtId="0" fontId="9" fillId="0" borderId="0" xfId="143" applyFont="1" applyAlignment="1">
      <alignment horizontal="left"/>
    </xf>
    <xf numFmtId="0" fontId="13" fillId="0" borderId="0" xfId="143" applyFont="1" applyFill="1" applyAlignment="1">
      <alignment horizontal="center"/>
    </xf>
    <xf numFmtId="0" fontId="9" fillId="0" borderId="0" xfId="143" applyFont="1" applyFill="1" applyAlignment="1"/>
    <xf numFmtId="0" fontId="9" fillId="23" borderId="0" xfId="143" applyFont="1" applyFill="1" applyAlignment="1"/>
    <xf numFmtId="0" fontId="9" fillId="0" borderId="0" xfId="143" applyFont="1" applyAlignment="1"/>
    <xf numFmtId="0" fontId="9" fillId="0" borderId="0" xfId="143" applyFont="1" applyFill="1" applyAlignment="1">
      <alignment horizontal="left" indent="3"/>
    </xf>
    <xf numFmtId="44" fontId="9" fillId="0" borderId="0" xfId="49" applyFont="1" applyFill="1" applyAlignment="1"/>
    <xf numFmtId="0" fontId="9" fillId="0" borderId="0" xfId="143" applyFont="1" applyFill="1" applyBorder="1" applyAlignment="1"/>
    <xf numFmtId="0" fontId="14" fillId="0" borderId="0" xfId="143" applyFont="1" applyFill="1" applyAlignment="1">
      <alignment horizontal="left"/>
    </xf>
    <xf numFmtId="164" fontId="9" fillId="0" borderId="0" xfId="49" applyNumberFormat="1" applyFont="1" applyFill="1" applyAlignment="1"/>
    <xf numFmtId="164" fontId="118" fillId="0" borderId="0" xfId="49" applyNumberFormat="1" applyFont="1" applyFill="1" applyAlignment="1"/>
    <xf numFmtId="44" fontId="118" fillId="0" borderId="0" xfId="49" applyFont="1" applyFill="1" applyAlignment="1"/>
    <xf numFmtId="44" fontId="118" fillId="0" borderId="0" xfId="49" applyFont="1" applyFill="1" applyBorder="1" applyAlignment="1"/>
    <xf numFmtId="168" fontId="9" fillId="0" borderId="0" xfId="49" applyNumberFormat="1" applyFont="1" applyFill="1" applyAlignment="1"/>
    <xf numFmtId="171" fontId="9" fillId="0" borderId="0" xfId="143" applyNumberFormat="1" applyFont="1" applyFill="1" applyAlignment="1"/>
    <xf numFmtId="171" fontId="9" fillId="0" borderId="0" xfId="143" applyNumberFormat="1" applyFont="1" applyFill="1" applyBorder="1" applyAlignment="1"/>
    <xf numFmtId="0" fontId="9" fillId="0" borderId="0" xfId="143" applyFont="1" applyFill="1" applyBorder="1" applyAlignment="1">
      <alignment horizontal="centerContinuous"/>
    </xf>
    <xf numFmtId="0" fontId="10" fillId="0" borderId="0" xfId="143" applyFont="1" applyFill="1" applyBorder="1" applyAlignment="1">
      <alignment horizontal="centerContinuous"/>
    </xf>
    <xf numFmtId="0" fontId="10" fillId="0" borderId="0" xfId="143" applyFont="1" applyFill="1" applyAlignment="1">
      <alignment horizontal="center"/>
    </xf>
    <xf numFmtId="0" fontId="14" fillId="34" borderId="26" xfId="143" applyFont="1" applyFill="1" applyBorder="1" applyAlignment="1">
      <alignment horizontal="center"/>
    </xf>
    <xf numFmtId="0" fontId="14" fillId="35" borderId="40" xfId="143" applyFont="1" applyFill="1" applyBorder="1" applyAlignment="1">
      <alignment horizontal="center"/>
    </xf>
    <xf numFmtId="0" fontId="14" fillId="34" borderId="97" xfId="143" applyFont="1" applyFill="1" applyBorder="1" applyAlignment="1">
      <alignment horizontal="center"/>
    </xf>
    <xf numFmtId="0" fontId="14" fillId="34" borderId="41" xfId="143" applyFont="1" applyFill="1" applyBorder="1" applyAlignment="1">
      <alignment horizontal="center"/>
    </xf>
    <xf numFmtId="0" fontId="14" fillId="34" borderId="47" xfId="143" applyFont="1" applyFill="1" applyBorder="1" applyAlignment="1">
      <alignment horizontal="centerContinuous"/>
    </xf>
    <xf numFmtId="0" fontId="14" fillId="34" borderId="48" xfId="143" applyFont="1" applyFill="1" applyBorder="1" applyAlignment="1">
      <alignment horizontal="centerContinuous"/>
    </xf>
    <xf numFmtId="0" fontId="14" fillId="34" borderId="46" xfId="143" applyFont="1" applyFill="1" applyBorder="1" applyAlignment="1">
      <alignment horizontal="centerContinuous"/>
    </xf>
    <xf numFmtId="0" fontId="14" fillId="34" borderId="64" xfId="143" applyFont="1" applyFill="1" applyBorder="1" applyAlignment="1"/>
    <xf numFmtId="0" fontId="15" fillId="34" borderId="44" xfId="143" applyFont="1" applyFill="1" applyBorder="1" applyAlignment="1"/>
    <xf numFmtId="0" fontId="10" fillId="0" borderId="0" xfId="143" applyFont="1" applyFill="1" applyBorder="1" applyAlignment="1">
      <alignment horizontal="center"/>
    </xf>
    <xf numFmtId="167" fontId="9" fillId="0" borderId="0" xfId="179" applyNumberFormat="1" applyFont="1" applyAlignment="1">
      <alignment horizontal="center"/>
    </xf>
    <xf numFmtId="10" fontId="0" fillId="0" borderId="0" xfId="0" applyNumberFormat="1" applyFill="1"/>
    <xf numFmtId="0" fontId="9" fillId="32" borderId="26" xfId="0" applyFont="1" applyFill="1" applyBorder="1" applyAlignment="1">
      <alignment horizontal="center"/>
    </xf>
    <xf numFmtId="0" fontId="9" fillId="32" borderId="27" xfId="0" applyFont="1" applyFill="1" applyBorder="1" applyAlignment="1">
      <alignment horizontal="center"/>
    </xf>
    <xf numFmtId="10" fontId="9" fillId="0" borderId="0" xfId="143" applyNumberFormat="1" applyFont="1" applyFill="1" applyAlignment="1"/>
    <xf numFmtId="43" fontId="9" fillId="0" borderId="0" xfId="143" applyNumberFormat="1" applyFont="1" applyFill="1" applyAlignment="1"/>
    <xf numFmtId="1" fontId="9" fillId="0" borderId="0" xfId="143" applyNumberFormat="1" applyFont="1" applyFill="1" applyAlignment="1"/>
    <xf numFmtId="0" fontId="10" fillId="0" borderId="0" xfId="0" applyFont="1" applyFill="1" applyAlignment="1">
      <alignment horizontal="left" indent="4"/>
    </xf>
    <xf numFmtId="165" fontId="12" fillId="0" borderId="6" xfId="29" applyNumberFormat="1" applyFont="1" applyFill="1" applyBorder="1"/>
    <xf numFmtId="167" fontId="47" fillId="0" borderId="0" xfId="0" applyNumberFormat="1" applyFont="1" applyFill="1" applyBorder="1" applyAlignment="1">
      <alignment horizontal="center"/>
    </xf>
    <xf numFmtId="167" fontId="47" fillId="0" borderId="21" xfId="0" applyNumberFormat="1" applyFont="1" applyFill="1" applyBorder="1" applyAlignment="1">
      <alignment horizontal="center"/>
    </xf>
    <xf numFmtId="167" fontId="47" fillId="33" borderId="0" xfId="0" applyNumberFormat="1" applyFont="1" applyFill="1" applyBorder="1" applyAlignment="1">
      <alignment horizontal="center"/>
    </xf>
    <xf numFmtId="167" fontId="0" fillId="0" borderId="0" xfId="0" applyNumberFormat="1" applyFill="1"/>
    <xf numFmtId="167" fontId="0" fillId="0" borderId="0" xfId="0" applyNumberFormat="1" applyFill="1" applyBorder="1"/>
    <xf numFmtId="167" fontId="10" fillId="0" borderId="67" xfId="0" applyNumberFormat="1" applyFont="1" applyFill="1" applyBorder="1" applyAlignment="1">
      <alignment horizontal="center"/>
    </xf>
    <xf numFmtId="41" fontId="50" fillId="0" borderId="0" xfId="0" applyNumberFormat="1" applyFont="1" applyFill="1" applyBorder="1" applyAlignment="1">
      <alignment horizontal="center"/>
    </xf>
    <xf numFmtId="43" fontId="7" fillId="0" borderId="0" xfId="29" applyNumberFormat="1" applyFill="1" applyAlignment="1">
      <alignment horizontal="right"/>
    </xf>
    <xf numFmtId="192" fontId="9" fillId="0" borderId="0" xfId="0" applyNumberFormat="1" applyFont="1" applyFill="1" applyBorder="1"/>
    <xf numFmtId="173" fontId="0" fillId="0" borderId="21" xfId="0" applyNumberFormat="1" applyFill="1" applyBorder="1"/>
    <xf numFmtId="172" fontId="0" fillId="0" borderId="21" xfId="0" applyNumberFormat="1" applyFill="1" applyBorder="1"/>
    <xf numFmtId="172" fontId="0" fillId="0" borderId="53" xfId="0" applyNumberFormat="1" applyBorder="1"/>
    <xf numFmtId="181" fontId="7" fillId="0" borderId="0" xfId="29" applyNumberFormat="1" applyFill="1" applyAlignment="1">
      <alignment horizontal="right"/>
    </xf>
    <xf numFmtId="181" fontId="7" fillId="0" borderId="0" xfId="29" applyNumberFormat="1" applyFont="1" applyFill="1" applyBorder="1" applyAlignment="1">
      <alignment horizontal="right"/>
    </xf>
    <xf numFmtId="180" fontId="7" fillId="0" borderId="78" xfId="44" applyNumberFormat="1" applyFill="1" applyBorder="1" applyAlignment="1">
      <alignment horizontal="center"/>
    </xf>
    <xf numFmtId="41" fontId="0" fillId="0" borderId="0" xfId="0" applyNumberFormat="1"/>
    <xf numFmtId="41" fontId="0" fillId="0" borderId="0" xfId="0" applyNumberFormat="1" applyBorder="1"/>
    <xf numFmtId="175" fontId="0" fillId="0" borderId="21" xfId="0" applyNumberFormat="1" applyFill="1" applyBorder="1"/>
    <xf numFmtId="172" fontId="0" fillId="0" borderId="21" xfId="0" applyNumberFormat="1" applyBorder="1"/>
    <xf numFmtId="193" fontId="7" fillId="0" borderId="0" xfId="29" applyNumberFormat="1" applyFont="1" applyFill="1" applyBorder="1"/>
    <xf numFmtId="193" fontId="7" fillId="0" borderId="84" xfId="29" applyNumberFormat="1" applyFont="1" applyFill="1" applyBorder="1"/>
    <xf numFmtId="193" fontId="7" fillId="0" borderId="83" xfId="29" applyNumberFormat="1" applyFont="1" applyFill="1" applyBorder="1"/>
    <xf numFmtId="195" fontId="47" fillId="0" borderId="0" xfId="0" applyNumberFormat="1" applyFont="1" applyFill="1" applyBorder="1" applyAlignment="1">
      <alignment horizontal="center"/>
    </xf>
    <xf numFmtId="0" fontId="0" fillId="0" borderId="88" xfId="0" applyFill="1" applyBorder="1"/>
    <xf numFmtId="0" fontId="10" fillId="22" borderId="90" xfId="0" applyFont="1" applyFill="1" applyBorder="1" applyAlignment="1">
      <alignment horizontal="center"/>
    </xf>
    <xf numFmtId="0" fontId="48" fillId="0" borderId="0" xfId="147" applyFont="1" applyFill="1" applyBorder="1" applyAlignment="1" applyProtection="1">
      <alignment horizontal="center"/>
      <protection locked="0"/>
    </xf>
    <xf numFmtId="0" fontId="43" fillId="0" borderId="0" xfId="143" applyFont="1" applyFill="1" applyAlignment="1">
      <alignment horizontal="center"/>
    </xf>
    <xf numFmtId="0" fontId="43" fillId="0" borderId="0" xfId="0" applyFont="1" applyFill="1" applyAlignment="1">
      <alignment horizontal="center"/>
    </xf>
    <xf numFmtId="0" fontId="33" fillId="0" borderId="0" xfId="0" applyFont="1" applyFill="1" applyBorder="1"/>
    <xf numFmtId="0" fontId="120" fillId="0" borderId="0" xfId="29" applyNumberFormat="1" applyFont="1" applyFill="1" applyBorder="1" applyAlignment="1">
      <alignment horizontal="center"/>
    </xf>
    <xf numFmtId="166" fontId="33" fillId="0" borderId="0" xfId="44" applyNumberFormat="1" applyFont="1" applyFill="1" applyBorder="1" applyAlignment="1">
      <alignment horizontal="center"/>
    </xf>
    <xf numFmtId="165" fontId="33" fillId="0" borderId="0" xfId="29" applyNumberFormat="1" applyFont="1" applyFill="1" applyBorder="1"/>
    <xf numFmtId="0" fontId="33" fillId="0" borderId="0" xfId="0" applyNumberFormat="1" applyFont="1" applyFill="1" applyAlignment="1">
      <alignment horizontal="left"/>
    </xf>
    <xf numFmtId="0" fontId="54" fillId="0" borderId="0" xfId="0" applyNumberFormat="1" applyFont="1" applyFill="1" applyAlignment="1">
      <alignment horizontal="left" indent="1"/>
    </xf>
    <xf numFmtId="165" fontId="54" fillId="0" borderId="22" xfId="29" applyNumberFormat="1" applyFont="1" applyFill="1" applyBorder="1"/>
    <xf numFmtId="41" fontId="138" fillId="32" borderId="0" xfId="37" applyNumberFormat="1" applyFont="1" applyFill="1" applyBorder="1"/>
    <xf numFmtId="165" fontId="9" fillId="41" borderId="0" xfId="29" applyNumberFormat="1" applyFont="1" applyFill="1" applyBorder="1"/>
    <xf numFmtId="165" fontId="9" fillId="41" borderId="21" xfId="29" applyNumberFormat="1" applyFont="1" applyFill="1" applyBorder="1"/>
    <xf numFmtId="165" fontId="10" fillId="0" borderId="0" xfId="29" applyNumberFormat="1" applyFont="1"/>
    <xf numFmtId="179" fontId="138" fillId="32" borderId="27" xfId="49" applyNumberFormat="1" applyFont="1" applyFill="1" applyBorder="1" applyAlignment="1"/>
    <xf numFmtId="37" fontId="138" fillId="32" borderId="37" xfId="49" applyNumberFormat="1" applyFont="1" applyFill="1" applyBorder="1" applyAlignment="1"/>
    <xf numFmtId="10" fontId="138" fillId="32" borderId="37" xfId="49" applyNumberFormat="1" applyFont="1" applyFill="1" applyBorder="1" applyAlignment="1"/>
    <xf numFmtId="44" fontId="138" fillId="32" borderId="37" xfId="49" applyFont="1" applyFill="1" applyBorder="1" applyAlignment="1"/>
    <xf numFmtId="179" fontId="138" fillId="32" borderId="37" xfId="49" applyNumberFormat="1" applyFont="1" applyFill="1" applyBorder="1" applyAlignment="1"/>
    <xf numFmtId="44" fontId="138" fillId="32" borderId="26" xfId="49" applyFont="1" applyFill="1" applyBorder="1" applyAlignment="1"/>
    <xf numFmtId="44" fontId="138" fillId="32" borderId="36" xfId="49" applyFont="1" applyFill="1" applyBorder="1" applyAlignment="1"/>
    <xf numFmtId="10" fontId="138" fillId="32" borderId="26" xfId="49" applyNumberFormat="1" applyFont="1" applyFill="1" applyBorder="1" applyAlignment="1"/>
    <xf numFmtId="10" fontId="138" fillId="32" borderId="36" xfId="49" applyNumberFormat="1" applyFont="1" applyFill="1" applyBorder="1" applyAlignment="1"/>
    <xf numFmtId="10" fontId="138" fillId="32" borderId="27" xfId="49" applyNumberFormat="1" applyFont="1" applyFill="1" applyBorder="1" applyAlignment="1"/>
    <xf numFmtId="179" fontId="138" fillId="32" borderId="26" xfId="49" applyNumberFormat="1" applyFont="1" applyFill="1" applyBorder="1" applyAlignment="1"/>
    <xf numFmtId="179" fontId="138" fillId="32" borderId="36" xfId="49" applyNumberFormat="1" applyFont="1" applyFill="1" applyBorder="1" applyAlignment="1"/>
    <xf numFmtId="164" fontId="138" fillId="32" borderId="26" xfId="44" applyNumberFormat="1" applyFont="1" applyFill="1" applyBorder="1" applyAlignment="1"/>
    <xf numFmtId="164" fontId="138" fillId="32" borderId="36" xfId="44" applyNumberFormat="1" applyFont="1" applyFill="1" applyBorder="1" applyAlignment="1"/>
    <xf numFmtId="164" fontId="138" fillId="32" borderId="27" xfId="44" applyNumberFormat="1" applyFont="1" applyFill="1" applyBorder="1" applyAlignment="1"/>
    <xf numFmtId="165" fontId="9" fillId="23" borderId="21" xfId="29" applyNumberFormat="1" applyFont="1" applyFill="1" applyBorder="1"/>
    <xf numFmtId="166" fontId="10" fillId="23" borderId="0" xfId="44" applyNumberFormat="1" applyFont="1" applyFill="1" applyBorder="1"/>
    <xf numFmtId="0" fontId="9" fillId="38" borderId="0" xfId="143" applyFont="1" applyFill="1" applyAlignment="1">
      <alignment horizontal="left" indent="1"/>
    </xf>
    <xf numFmtId="0" fontId="280" fillId="0" borderId="0" xfId="103" applyBorder="1"/>
    <xf numFmtId="43" fontId="9" fillId="0" borderId="37" xfId="29" applyFont="1" applyFill="1" applyBorder="1" applyAlignment="1"/>
    <xf numFmtId="43" fontId="9" fillId="0" borderId="0" xfId="29" applyFont="1" applyFill="1" applyAlignment="1"/>
    <xf numFmtId="43" fontId="138" fillId="32" borderId="37" xfId="29" applyFont="1" applyFill="1" applyBorder="1" applyAlignment="1"/>
    <xf numFmtId="44" fontId="138" fillId="32" borderId="37" xfId="44" applyFont="1" applyFill="1" applyBorder="1" applyAlignment="1"/>
    <xf numFmtId="165" fontId="138" fillId="32" borderId="34" xfId="29" applyNumberFormat="1" applyFont="1" applyFill="1" applyBorder="1"/>
    <xf numFmtId="165" fontId="138" fillId="32" borderId="35" xfId="29" applyNumberFormat="1" applyFont="1" applyFill="1" applyBorder="1"/>
    <xf numFmtId="165" fontId="138" fillId="32" borderId="87" xfId="29" applyNumberFormat="1" applyFont="1" applyFill="1" applyBorder="1"/>
    <xf numFmtId="0" fontId="14" fillId="34" borderId="100" xfId="0" applyFont="1" applyFill="1" applyBorder="1" applyAlignment="1">
      <alignment horizontal="center"/>
    </xf>
    <xf numFmtId="0" fontId="139" fillId="0" borderId="73" xfId="0" applyNumberFormat="1" applyFont="1" applyFill="1" applyBorder="1" applyAlignment="1">
      <alignment horizontal="right" indent="1"/>
    </xf>
    <xf numFmtId="165" fontId="139" fillId="0" borderId="74" xfId="29" applyNumberFormat="1" applyFont="1" applyFill="1" applyBorder="1"/>
    <xf numFmtId="0" fontId="139" fillId="0" borderId="101" xfId="0" applyNumberFormat="1" applyFont="1" applyFill="1" applyBorder="1" applyAlignment="1">
      <alignment horizontal="right" indent="1"/>
    </xf>
    <xf numFmtId="165" fontId="139" fillId="0" borderId="102" xfId="29" applyNumberFormat="1" applyFont="1" applyFill="1" applyBorder="1"/>
    <xf numFmtId="0" fontId="139" fillId="0" borderId="73" xfId="0" applyFont="1" applyFill="1" applyBorder="1" applyAlignment="1">
      <alignment horizontal="right"/>
    </xf>
    <xf numFmtId="165" fontId="139" fillId="0" borderId="74" xfId="29" applyNumberFormat="1" applyFont="1" applyFill="1" applyBorder="1" applyAlignment="1">
      <alignment horizontal="right"/>
    </xf>
    <xf numFmtId="0" fontId="139" fillId="0" borderId="101" xfId="0" applyFont="1" applyFill="1" applyBorder="1" applyAlignment="1">
      <alignment horizontal="right"/>
    </xf>
    <xf numFmtId="165" fontId="139" fillId="0" borderId="102" xfId="29" applyNumberFormat="1" applyFont="1" applyFill="1" applyBorder="1" applyAlignment="1">
      <alignment horizontal="right"/>
    </xf>
    <xf numFmtId="165" fontId="19" fillId="0" borderId="22" xfId="29" applyNumberFormat="1" applyFont="1" applyFill="1" applyBorder="1"/>
    <xf numFmtId="165" fontId="19" fillId="0" borderId="74" xfId="29" applyNumberFormat="1" applyFont="1" applyFill="1" applyBorder="1"/>
    <xf numFmtId="165" fontId="19" fillId="0" borderId="21" xfId="29" applyNumberFormat="1" applyFont="1" applyFill="1" applyBorder="1"/>
    <xf numFmtId="165" fontId="19" fillId="0" borderId="102" xfId="29" applyNumberFormat="1" applyFont="1" applyFill="1" applyBorder="1"/>
    <xf numFmtId="0" fontId="139" fillId="0" borderId="73" xfId="0" applyFont="1" applyBorder="1" applyAlignment="1">
      <alignment horizontal="right"/>
    </xf>
    <xf numFmtId="41" fontId="139" fillId="0" borderId="74" xfId="0" applyNumberFormat="1" applyFont="1" applyBorder="1"/>
    <xf numFmtId="0" fontId="139" fillId="0" borderId="101" xfId="0" applyFont="1" applyBorder="1" applyAlignment="1">
      <alignment horizontal="right"/>
    </xf>
    <xf numFmtId="41" fontId="139" fillId="0" borderId="102" xfId="0" applyNumberFormat="1" applyFont="1" applyBorder="1"/>
    <xf numFmtId="0" fontId="0" fillId="0" borderId="22" xfId="0" applyBorder="1"/>
    <xf numFmtId="165" fontId="139" fillId="0" borderId="73" xfId="29" applyNumberFormat="1" applyFont="1" applyFill="1" applyBorder="1"/>
    <xf numFmtId="165" fontId="139" fillId="0" borderId="101" xfId="29" applyNumberFormat="1" applyFont="1" applyFill="1" applyBorder="1"/>
    <xf numFmtId="0" fontId="22" fillId="0" borderId="0" xfId="0" applyFont="1" applyFill="1" applyBorder="1"/>
    <xf numFmtId="10" fontId="0" fillId="0" borderId="0" xfId="0" applyNumberFormat="1" applyFill="1" applyBorder="1"/>
    <xf numFmtId="0" fontId="0" fillId="0" borderId="42" xfId="0" applyFill="1" applyBorder="1" applyAlignment="1">
      <alignment horizontal="center"/>
    </xf>
    <xf numFmtId="170" fontId="16" fillId="0" borderId="0" xfId="0" applyNumberFormat="1" applyFont="1" applyFill="1" applyBorder="1"/>
    <xf numFmtId="170" fontId="16" fillId="0" borderId="93" xfId="0" applyNumberFormat="1" applyFont="1" applyFill="1" applyBorder="1"/>
    <xf numFmtId="10" fontId="0" fillId="0" borderId="93" xfId="0" applyNumberFormat="1" applyFill="1" applyBorder="1" applyAlignment="1">
      <alignment horizontal="center"/>
    </xf>
    <xf numFmtId="10" fontId="7" fillId="0" borderId="93" xfId="162" applyNumberFormat="1" applyFont="1" applyFill="1" applyBorder="1" applyAlignment="1">
      <alignment horizontal="center"/>
    </xf>
    <xf numFmtId="10" fontId="0" fillId="0" borderId="93" xfId="162" applyNumberFormat="1" applyFont="1" applyFill="1" applyBorder="1" applyAlignment="1">
      <alignment horizontal="center"/>
    </xf>
    <xf numFmtId="10" fontId="0" fillId="0" borderId="14" xfId="162" applyNumberFormat="1" applyFont="1" applyFill="1" applyBorder="1" applyAlignment="1">
      <alignment horizontal="center"/>
    </xf>
    <xf numFmtId="10" fontId="0" fillId="0" borderId="33" xfId="162" applyNumberFormat="1" applyFont="1" applyFill="1" applyBorder="1" applyAlignment="1">
      <alignment horizontal="center"/>
    </xf>
    <xf numFmtId="10" fontId="0" fillId="0" borderId="34" xfId="0" applyNumberFormat="1" applyFill="1" applyBorder="1" applyAlignment="1">
      <alignment horizontal="center"/>
    </xf>
    <xf numFmtId="10" fontId="0" fillId="0" borderId="14" xfId="0" applyNumberFormat="1" applyFill="1" applyBorder="1" applyAlignment="1">
      <alignment horizontal="center"/>
    </xf>
    <xf numFmtId="10" fontId="0" fillId="0" borderId="33" xfId="0" applyNumberFormat="1" applyFill="1" applyBorder="1" applyAlignment="1">
      <alignment horizontal="center"/>
    </xf>
    <xf numFmtId="10" fontId="0" fillId="0" borderId="30" xfId="0" applyNumberFormat="1" applyFill="1" applyBorder="1"/>
    <xf numFmtId="10" fontId="0" fillId="0" borderId="30" xfId="162" applyNumberFormat="1" applyFont="1" applyFill="1" applyBorder="1" applyAlignment="1">
      <alignment horizontal="center"/>
    </xf>
    <xf numFmtId="10" fontId="0" fillId="0" borderId="31" xfId="162" applyNumberFormat="1" applyFont="1" applyFill="1" applyBorder="1" applyAlignment="1">
      <alignment horizontal="center"/>
    </xf>
    <xf numFmtId="0" fontId="0" fillId="0" borderId="42" xfId="0" applyFill="1" applyBorder="1" applyAlignment="1">
      <alignment horizontal="left" indent="1"/>
    </xf>
    <xf numFmtId="0" fontId="9" fillId="0" borderId="42" xfId="0" applyFont="1" applyFill="1" applyBorder="1" applyAlignment="1">
      <alignment horizontal="left" indent="1"/>
    </xf>
    <xf numFmtId="10" fontId="0" fillId="0" borderId="14" xfId="0" applyNumberFormat="1" applyFill="1" applyBorder="1"/>
    <xf numFmtId="0" fontId="14" fillId="34" borderId="44" xfId="0" applyNumberFormat="1" applyFont="1" applyFill="1" applyBorder="1" applyAlignment="1">
      <alignment horizontal="center" vertical="center" wrapText="1"/>
    </xf>
    <xf numFmtId="0" fontId="9" fillId="0" borderId="42" xfId="0" applyFont="1" applyFill="1" applyBorder="1" applyAlignment="1">
      <alignment horizontal="left"/>
    </xf>
    <xf numFmtId="0" fontId="14" fillId="34" borderId="59" xfId="0" applyNumberFormat="1" applyFont="1" applyFill="1" applyBorder="1" applyAlignment="1">
      <alignment horizontal="center" vertical="center" wrapText="1"/>
    </xf>
    <xf numFmtId="0" fontId="10" fillId="0" borderId="0" xfId="0" applyNumberFormat="1" applyFont="1" applyFill="1" applyAlignment="1">
      <alignment horizontal="left"/>
    </xf>
    <xf numFmtId="0" fontId="9" fillId="0" borderId="32" xfId="0" applyFont="1" applyFill="1" applyBorder="1" applyAlignment="1">
      <alignment horizontal="left"/>
    </xf>
    <xf numFmtId="0" fontId="138" fillId="32" borderId="26" xfId="0" applyFont="1" applyFill="1" applyBorder="1" applyAlignment="1">
      <alignment horizontal="center"/>
    </xf>
    <xf numFmtId="0" fontId="138" fillId="32" borderId="36" xfId="0" applyFont="1" applyFill="1" applyBorder="1" applyAlignment="1">
      <alignment horizontal="center"/>
    </xf>
    <xf numFmtId="0" fontId="138" fillId="32" borderId="27" xfId="0" applyFont="1" applyFill="1" applyBorder="1" applyAlignment="1">
      <alignment horizontal="center"/>
    </xf>
    <xf numFmtId="0" fontId="0" fillId="0" borderId="30" xfId="0" applyFill="1" applyBorder="1" applyAlignment="1">
      <alignment horizontal="center"/>
    </xf>
    <xf numFmtId="0" fontId="0" fillId="0" borderId="14" xfId="0" applyFill="1" applyBorder="1" applyAlignment="1">
      <alignment horizontal="center"/>
    </xf>
    <xf numFmtId="0" fontId="16" fillId="0" borderId="0" xfId="0" applyFont="1" applyAlignment="1">
      <alignment horizontal="center"/>
    </xf>
    <xf numFmtId="10" fontId="9" fillId="0" borderId="93" xfId="162" applyNumberFormat="1" applyFont="1" applyFill="1" applyBorder="1" applyAlignment="1">
      <alignment horizontal="center"/>
    </xf>
    <xf numFmtId="10" fontId="0" fillId="0" borderId="35" xfId="0" applyNumberFormat="1" applyFill="1" applyBorder="1" applyAlignment="1">
      <alignment horizontal="center"/>
    </xf>
    <xf numFmtId="10" fontId="0" fillId="0" borderId="87" xfId="0" applyNumberFormat="1" applyFill="1" applyBorder="1" applyAlignment="1">
      <alignment horizontal="center"/>
    </xf>
    <xf numFmtId="0" fontId="10" fillId="0" borderId="103" xfId="0" applyFont="1" applyFill="1" applyBorder="1" applyAlignment="1">
      <alignment horizontal="left"/>
    </xf>
    <xf numFmtId="10" fontId="0" fillId="0" borderId="0" xfId="162" applyNumberFormat="1" applyFont="1" applyBorder="1" applyAlignment="1">
      <alignment horizontal="center"/>
    </xf>
    <xf numFmtId="0" fontId="14" fillId="34" borderId="67" xfId="0" applyFont="1" applyFill="1" applyBorder="1" applyAlignment="1">
      <alignment horizontal="center"/>
    </xf>
    <xf numFmtId="0" fontId="9" fillId="38" borderId="0" xfId="0" applyFont="1" applyFill="1" applyAlignment="1">
      <alignment horizontal="left" indent="2"/>
    </xf>
    <xf numFmtId="165" fontId="139" fillId="0" borderId="21" xfId="29" applyNumberFormat="1" applyFont="1" applyBorder="1"/>
    <xf numFmtId="10" fontId="138" fillId="32" borderId="27" xfId="162" applyNumberFormat="1" applyFont="1" applyFill="1" applyBorder="1" applyAlignment="1"/>
    <xf numFmtId="44" fontId="9" fillId="0" borderId="0" xfId="44" applyFont="1" applyFill="1" applyAlignment="1"/>
    <xf numFmtId="0" fontId="121" fillId="0" borderId="0" xfId="0" applyFont="1" applyAlignment="1">
      <alignment horizontal="left"/>
    </xf>
    <xf numFmtId="197" fontId="122" fillId="0" borderId="0" xfId="57"/>
    <xf numFmtId="0" fontId="121" fillId="0" borderId="0" xfId="95" applyFont="1" applyAlignment="1">
      <alignment horizontal="left"/>
    </xf>
    <xf numFmtId="0" fontId="123" fillId="0" borderId="0" xfId="0" applyFont="1" applyAlignment="1">
      <alignment horizontal="left"/>
    </xf>
    <xf numFmtId="0" fontId="123" fillId="0" borderId="0" xfId="95" applyFont="1" applyAlignment="1">
      <alignment horizontal="left"/>
    </xf>
    <xf numFmtId="0" fontId="124" fillId="0" borderId="0" xfId="0" applyFont="1" applyAlignment="1">
      <alignment horizontal="left"/>
    </xf>
    <xf numFmtId="0" fontId="124" fillId="0" borderId="0" xfId="95" applyFont="1" applyAlignment="1">
      <alignment horizontal="left"/>
    </xf>
    <xf numFmtId="49" fontId="124" fillId="33" borderId="0" xfId="57" applyNumberFormat="1" applyFont="1" applyFill="1" applyAlignment="1">
      <alignment horizontal="center"/>
    </xf>
    <xf numFmtId="0" fontId="125" fillId="0" borderId="0" xfId="0" applyFont="1" applyAlignment="1">
      <alignment horizontal="left"/>
    </xf>
    <xf numFmtId="197" fontId="125" fillId="0" borderId="0" xfId="57" applyFont="1"/>
    <xf numFmtId="0" fontId="125" fillId="0" borderId="0" xfId="95" applyFont="1" applyAlignment="1">
      <alignment horizontal="left"/>
    </xf>
    <xf numFmtId="197" fontId="126" fillId="0" borderId="0" xfId="57" applyFont="1"/>
    <xf numFmtId="0" fontId="125" fillId="0" borderId="0" xfId="0" applyFont="1"/>
    <xf numFmtId="0" fontId="125" fillId="0" borderId="0" xfId="95" applyFont="1"/>
    <xf numFmtId="49" fontId="125" fillId="0" borderId="0" xfId="57" applyNumberFormat="1" applyFont="1" applyAlignment="1">
      <alignment horizontal="fill"/>
    </xf>
    <xf numFmtId="49" fontId="126" fillId="0" borderId="0" xfId="57" applyNumberFormat="1" applyFont="1" applyAlignment="1">
      <alignment horizontal="fill"/>
    </xf>
    <xf numFmtId="49" fontId="125" fillId="0" borderId="0" xfId="57" applyNumberFormat="1" applyFont="1" applyAlignment="1">
      <alignment horizontal="centerContinuous"/>
    </xf>
    <xf numFmtId="197" fontId="125" fillId="0" borderId="0" xfId="57" applyFont="1" applyAlignment="1">
      <alignment horizontal="centerContinuous"/>
    </xf>
    <xf numFmtId="49" fontId="125" fillId="0" borderId="0" xfId="57" applyNumberFormat="1" applyFont="1" applyAlignment="1">
      <alignment horizontal="center"/>
    </xf>
    <xf numFmtId="49" fontId="126" fillId="0" borderId="0" xfId="57" applyNumberFormat="1" applyFont="1" applyAlignment="1">
      <alignment horizontal="center"/>
    </xf>
    <xf numFmtId="0" fontId="125" fillId="0" borderId="104" xfId="0" applyFont="1" applyBorder="1"/>
    <xf numFmtId="49" fontId="125" fillId="0" borderId="104" xfId="57" applyNumberFormat="1" applyFont="1" applyBorder="1" applyAlignment="1">
      <alignment horizontal="centerContinuous"/>
    </xf>
    <xf numFmtId="197" fontId="125" fillId="0" borderId="104" xfId="57" applyFont="1" applyBorder="1" applyAlignment="1">
      <alignment horizontal="centerContinuous"/>
    </xf>
    <xf numFmtId="0" fontId="125" fillId="0" borderId="104" xfId="95" applyFont="1" applyBorder="1"/>
    <xf numFmtId="197" fontId="126" fillId="0" borderId="104" xfId="57" applyFont="1" applyBorder="1"/>
    <xf numFmtId="0" fontId="0" fillId="0" borderId="0" xfId="0" applyAlignment="1">
      <alignment horizontal="right"/>
    </xf>
    <xf numFmtId="0" fontId="122" fillId="0" borderId="0" xfId="0" applyFont="1"/>
    <xf numFmtId="0" fontId="125" fillId="0" borderId="0" xfId="0" applyFont="1" applyFill="1" applyAlignment="1">
      <alignment horizontal="left"/>
    </xf>
    <xf numFmtId="197" fontId="125" fillId="0" borderId="0" xfId="57" applyFont="1" applyFill="1"/>
    <xf numFmtId="0" fontId="125" fillId="0" borderId="0" xfId="95" applyFont="1" applyFill="1" applyAlignment="1">
      <alignment horizontal="left"/>
    </xf>
    <xf numFmtId="0" fontId="125" fillId="0" borderId="0" xfId="0" applyFont="1" applyFill="1"/>
    <xf numFmtId="49" fontId="125" fillId="0" borderId="0" xfId="57" applyNumberFormat="1" applyFont="1" applyFill="1" applyAlignment="1">
      <alignment horizontal="fill"/>
    </xf>
    <xf numFmtId="0" fontId="125" fillId="0" borderId="0" xfId="95" applyFont="1" applyFill="1"/>
    <xf numFmtId="197" fontId="122" fillId="0" borderId="0" xfId="57" applyFill="1"/>
    <xf numFmtId="0" fontId="125" fillId="0" borderId="0" xfId="148" applyFont="1" applyAlignment="1">
      <alignment horizontal="left"/>
    </xf>
    <xf numFmtId="0" fontId="125" fillId="23" borderId="0" xfId="95" applyFont="1" applyFill="1"/>
    <xf numFmtId="165" fontId="138" fillId="32" borderId="0" xfId="29" applyNumberFormat="1" applyFont="1" applyFill="1" applyBorder="1"/>
    <xf numFmtId="0" fontId="124" fillId="0" borderId="0" xfId="57" applyNumberFormat="1" applyFont="1" applyAlignment="1">
      <alignment horizontal="center"/>
    </xf>
    <xf numFmtId="198" fontId="125" fillId="0" borderId="0" xfId="57" applyNumberFormat="1" applyFont="1"/>
    <xf numFmtId="198" fontId="125" fillId="0" borderId="0" xfId="57" applyNumberFormat="1" applyFont="1" applyFill="1"/>
    <xf numFmtId="198" fontId="0" fillId="0" borderId="0" xfId="0" applyNumberFormat="1"/>
    <xf numFmtId="0" fontId="125" fillId="41" borderId="0" xfId="0" applyFont="1" applyFill="1" applyAlignment="1">
      <alignment horizontal="left"/>
    </xf>
    <xf numFmtId="0" fontId="125" fillId="33" borderId="0" xfId="0" applyFont="1" applyFill="1" applyAlignment="1">
      <alignment horizontal="left"/>
    </xf>
    <xf numFmtId="198" fontId="125" fillId="33" borderId="0" xfId="57" applyNumberFormat="1" applyFont="1" applyFill="1"/>
    <xf numFmtId="0" fontId="125" fillId="33" borderId="0" xfId="95" applyFont="1" applyFill="1" applyAlignment="1">
      <alignment horizontal="left"/>
    </xf>
    <xf numFmtId="198" fontId="125" fillId="38" borderId="0" xfId="57" applyNumberFormat="1" applyFont="1" applyFill="1"/>
    <xf numFmtId="0" fontId="125" fillId="33" borderId="0" xfId="148" applyFont="1" applyFill="1" applyAlignment="1">
      <alignment horizontal="left"/>
    </xf>
    <xf numFmtId="49" fontId="124" fillId="44" borderId="0" xfId="57" applyNumberFormat="1" applyFont="1" applyFill="1" applyAlignment="1">
      <alignment horizontal="center"/>
    </xf>
    <xf numFmtId="198" fontId="125" fillId="0" borderId="0" xfId="57" applyNumberFormat="1" applyFont="1" applyAlignment="1">
      <alignment horizontal="fill"/>
    </xf>
    <xf numFmtId="198" fontId="125" fillId="23" borderId="0" xfId="57" applyNumberFormat="1" applyFont="1" applyFill="1"/>
    <xf numFmtId="3" fontId="10" fillId="0" borderId="0" xfId="0" applyNumberFormat="1" applyFont="1" applyFill="1" applyBorder="1"/>
    <xf numFmtId="165" fontId="138" fillId="32" borderId="29" xfId="29" applyNumberFormat="1" applyFont="1" applyFill="1" applyBorder="1"/>
    <xf numFmtId="165" fontId="138" fillId="32" borderId="31" xfId="29" applyNumberFormat="1" applyFont="1" applyFill="1" applyBorder="1"/>
    <xf numFmtId="165" fontId="138" fillId="32" borderId="42" xfId="29" applyNumberFormat="1" applyFont="1" applyFill="1" applyBorder="1"/>
    <xf numFmtId="165" fontId="138" fillId="32" borderId="93" xfId="29" applyNumberFormat="1" applyFont="1" applyFill="1" applyBorder="1"/>
    <xf numFmtId="165" fontId="138" fillId="32" borderId="32" xfId="29" applyNumberFormat="1" applyFont="1" applyFill="1" applyBorder="1"/>
    <xf numFmtId="165" fontId="138" fillId="32" borderId="33" xfId="29" applyNumberFormat="1" applyFont="1" applyFill="1" applyBorder="1"/>
    <xf numFmtId="165" fontId="138" fillId="32" borderId="30" xfId="29" applyNumberFormat="1" applyFont="1" applyFill="1" applyBorder="1"/>
    <xf numFmtId="165" fontId="138" fillId="32" borderId="14" xfId="29" applyNumberFormat="1" applyFont="1" applyFill="1" applyBorder="1"/>
    <xf numFmtId="0" fontId="138" fillId="32" borderId="42" xfId="0" applyNumberFormat="1" applyFont="1" applyFill="1" applyBorder="1"/>
    <xf numFmtId="0" fontId="138" fillId="32" borderId="32" xfId="0" applyNumberFormat="1" applyFont="1" applyFill="1" applyBorder="1"/>
    <xf numFmtId="0" fontId="127" fillId="47" borderId="0" xfId="57" applyNumberFormat="1" applyFont="1" applyFill="1" applyAlignment="1">
      <alignment horizontal="center"/>
    </xf>
    <xf numFmtId="165" fontId="139" fillId="0" borderId="0" xfId="29" applyNumberFormat="1" applyFont="1" applyFill="1" applyBorder="1"/>
    <xf numFmtId="165" fontId="125" fillId="0" borderId="0" xfId="29" applyNumberFormat="1" applyFont="1"/>
    <xf numFmtId="165" fontId="125" fillId="0" borderId="0" xfId="29" applyNumberFormat="1" applyFont="1" applyFill="1"/>
    <xf numFmtId="165" fontId="125" fillId="33" borderId="0" xfId="29" applyNumberFormat="1" applyFont="1" applyFill="1"/>
    <xf numFmtId="165" fontId="0" fillId="0" borderId="0" xfId="29" applyNumberFormat="1" applyFont="1"/>
    <xf numFmtId="165" fontId="125" fillId="38" borderId="0" xfId="29" applyNumberFormat="1" applyFont="1" applyFill="1"/>
    <xf numFmtId="0" fontId="0" fillId="0" borderId="8" xfId="0" applyBorder="1"/>
    <xf numFmtId="0" fontId="9" fillId="0" borderId="105" xfId="0" applyFont="1" applyFill="1" applyBorder="1" applyAlignment="1">
      <alignment horizontal="center"/>
    </xf>
    <xf numFmtId="0" fontId="9" fillId="0" borderId="6" xfId="0" applyFont="1" applyFill="1" applyBorder="1" applyAlignment="1">
      <alignment horizontal="center" wrapText="1"/>
    </xf>
    <xf numFmtId="170" fontId="11" fillId="41" borderId="29" xfId="44" applyNumberFormat="1" applyFont="1" applyFill="1" applyBorder="1"/>
    <xf numFmtId="170" fontId="11" fillId="41" borderId="31" xfId="44" applyNumberFormat="1" applyFont="1" applyFill="1" applyBorder="1"/>
    <xf numFmtId="170" fontId="11" fillId="41" borderId="30" xfId="44" applyNumberFormat="1" applyFont="1" applyFill="1" applyBorder="1"/>
    <xf numFmtId="173" fontId="11" fillId="41" borderId="32" xfId="44" applyNumberFormat="1" applyFont="1" applyFill="1" applyBorder="1"/>
    <xf numFmtId="173" fontId="11" fillId="41" borderId="33" xfId="44" applyNumberFormat="1" applyFont="1" applyFill="1" applyBorder="1"/>
    <xf numFmtId="173" fontId="11" fillId="41" borderId="14" xfId="44" applyNumberFormat="1" applyFont="1" applyFill="1" applyBorder="1"/>
    <xf numFmtId="10" fontId="11" fillId="41" borderId="26" xfId="44" applyNumberFormat="1" applyFont="1" applyFill="1" applyBorder="1" applyAlignment="1">
      <alignment horizontal="center"/>
    </xf>
    <xf numFmtId="1" fontId="11" fillId="41" borderId="27" xfId="44" applyNumberFormat="1" applyFont="1" applyFill="1" applyBorder="1" applyAlignment="1">
      <alignment horizontal="center"/>
    </xf>
    <xf numFmtId="10" fontId="11" fillId="32" borderId="26" xfId="44" applyNumberFormat="1" applyFont="1" applyFill="1" applyBorder="1" applyAlignment="1">
      <alignment horizontal="center"/>
    </xf>
    <xf numFmtId="1" fontId="11" fillId="32" borderId="36" xfId="44" applyNumberFormat="1" applyFont="1" applyFill="1" applyBorder="1" applyAlignment="1">
      <alignment horizontal="center"/>
    </xf>
    <xf numFmtId="1" fontId="11" fillId="32" borderId="27" xfId="44" applyNumberFormat="1" applyFont="1" applyFill="1" applyBorder="1" applyAlignment="1">
      <alignment horizontal="center"/>
    </xf>
    <xf numFmtId="166" fontId="10" fillId="0" borderId="22" xfId="48" applyNumberFormat="1" applyFont="1" applyFill="1" applyBorder="1"/>
    <xf numFmtId="165" fontId="9" fillId="0" borderId="14" xfId="29" applyNumberFormat="1" applyFont="1" applyFill="1" applyBorder="1"/>
    <xf numFmtId="170" fontId="9" fillId="0" borderId="30" xfId="29" applyNumberFormat="1" applyFont="1" applyFill="1" applyBorder="1"/>
    <xf numFmtId="0" fontId="14" fillId="34" borderId="38" xfId="0" applyNumberFormat="1" applyFont="1" applyFill="1" applyBorder="1" applyAlignment="1">
      <alignment horizontal="center" wrapText="1"/>
    </xf>
    <xf numFmtId="0" fontId="141" fillId="0" borderId="0" xfId="0" applyFont="1"/>
    <xf numFmtId="165" fontId="141" fillId="0" borderId="0" xfId="29" applyNumberFormat="1" applyFont="1"/>
    <xf numFmtId="165" fontId="141" fillId="0" borderId="0" xfId="0" applyNumberFormat="1" applyFont="1"/>
    <xf numFmtId="0" fontId="9" fillId="33" borderId="0" xfId="0" applyNumberFormat="1" applyFont="1" applyFill="1" applyAlignment="1">
      <alignment horizontal="center"/>
    </xf>
    <xf numFmtId="0" fontId="9" fillId="33" borderId="0" xfId="0" applyNumberFormat="1" applyFont="1" applyFill="1"/>
    <xf numFmtId="170" fontId="11" fillId="32" borderId="29" xfId="29" applyNumberFormat="1" applyFont="1" applyFill="1" applyBorder="1"/>
    <xf numFmtId="170" fontId="11" fillId="32" borderId="30" xfId="29" applyNumberFormat="1" applyFont="1" applyFill="1" applyBorder="1"/>
    <xf numFmtId="0" fontId="137" fillId="0" borderId="0" xfId="96" applyFont="1"/>
    <xf numFmtId="49" fontId="137" fillId="0" borderId="0" xfId="96" applyNumberFormat="1" applyFont="1" applyAlignment="1">
      <alignment horizontal="center"/>
    </xf>
    <xf numFmtId="0" fontId="142" fillId="0" borderId="0" xfId="96" applyFont="1"/>
    <xf numFmtId="0" fontId="142" fillId="0" borderId="0" xfId="96" applyFont="1" applyFill="1" applyAlignment="1"/>
    <xf numFmtId="0" fontId="143" fillId="0" borderId="0" xfId="96" applyFont="1" applyAlignment="1">
      <alignment horizontal="center" vertical="center"/>
    </xf>
    <xf numFmtId="0" fontId="143" fillId="0" borderId="0" xfId="96" applyFont="1" applyFill="1" applyAlignment="1">
      <alignment horizontal="center"/>
    </xf>
    <xf numFmtId="0" fontId="142" fillId="0" borderId="0" xfId="96" applyFont="1" applyFill="1"/>
    <xf numFmtId="0" fontId="25" fillId="0" borderId="0" xfId="96"/>
    <xf numFmtId="0" fontId="143" fillId="0" borderId="0" xfId="96" applyFont="1" applyAlignment="1">
      <alignment horizontal="center"/>
    </xf>
    <xf numFmtId="0" fontId="143" fillId="22" borderId="0" xfId="96" applyFont="1" applyFill="1" applyAlignment="1">
      <alignment horizontal="center"/>
    </xf>
    <xf numFmtId="0" fontId="143" fillId="22" borderId="0" xfId="96" applyFont="1" applyFill="1" applyAlignment="1">
      <alignment horizontal="center" vertical="center"/>
    </xf>
    <xf numFmtId="0" fontId="141" fillId="0" borderId="0" xfId="96" applyFont="1" applyAlignment="1">
      <alignment horizontal="center"/>
    </xf>
    <xf numFmtId="0" fontId="141" fillId="0" borderId="0" xfId="96" applyFont="1" applyFill="1" applyAlignment="1">
      <alignment horizontal="center"/>
    </xf>
    <xf numFmtId="0" fontId="141" fillId="0" borderId="0" xfId="96" applyFont="1"/>
    <xf numFmtId="49" fontId="143" fillId="0" borderId="0" xfId="96" applyNumberFormat="1" applyFont="1" applyAlignment="1">
      <alignment horizontal="center"/>
    </xf>
    <xf numFmtId="0" fontId="141" fillId="22" borderId="0" xfId="96" applyFont="1" applyFill="1" applyAlignment="1">
      <alignment horizontal="center"/>
    </xf>
    <xf numFmtId="0" fontId="135" fillId="0" borderId="0" xfId="96" applyFont="1" applyAlignment="1">
      <alignment horizontal="center"/>
    </xf>
    <xf numFmtId="0" fontId="137" fillId="0" borderId="0" xfId="96" applyFont="1" applyAlignment="1">
      <alignment horizontal="center"/>
    </xf>
    <xf numFmtId="0" fontId="137" fillId="22" borderId="0" xfId="96" applyFont="1" applyFill="1" applyAlignment="1">
      <alignment horizontal="center"/>
    </xf>
    <xf numFmtId="0" fontId="144" fillId="0" borderId="0" xfId="96" applyFont="1" applyFill="1" applyAlignment="1">
      <alignment horizontal="left"/>
    </xf>
    <xf numFmtId="0" fontId="137" fillId="0" borderId="0" xfId="96" applyFont="1" applyFill="1" applyAlignment="1">
      <alignment horizontal="center"/>
    </xf>
    <xf numFmtId="0" fontId="145" fillId="0" borderId="0" xfId="96" applyFont="1" applyAlignment="1">
      <alignment horizontal="left"/>
    </xf>
    <xf numFmtId="165" fontId="142" fillId="0" borderId="0" xfId="34" applyNumberFormat="1" applyFont="1"/>
    <xf numFmtId="0" fontId="142" fillId="22" borderId="0" xfId="96" applyFont="1" applyFill="1" applyAlignment="1"/>
    <xf numFmtId="0" fontId="142" fillId="22" borderId="0" xfId="96" applyFont="1" applyFill="1"/>
    <xf numFmtId="0" fontId="142" fillId="0" borderId="0" xfId="90" applyFont="1" applyFill="1"/>
    <xf numFmtId="49" fontId="142" fillId="0" borderId="0" xfId="96" applyNumberFormat="1" applyFont="1" applyFill="1" applyAlignment="1">
      <alignment horizontal="center"/>
    </xf>
    <xf numFmtId="165" fontId="142" fillId="0" borderId="0" xfId="34" applyNumberFormat="1" applyFont="1" applyFill="1"/>
    <xf numFmtId="199" fontId="142" fillId="0" borderId="0" xfId="34" applyNumberFormat="1" applyFont="1" applyFill="1"/>
    <xf numFmtId="165" fontId="142" fillId="0" borderId="0" xfId="34" applyNumberFormat="1" applyFont="1" applyFill="1" applyAlignment="1"/>
    <xf numFmtId="165" fontId="142" fillId="0" borderId="0" xfId="29" applyNumberFormat="1" applyFont="1" applyFill="1"/>
    <xf numFmtId="165" fontId="142" fillId="0" borderId="0" xfId="32" applyNumberFormat="1" applyFont="1" applyFill="1" applyAlignment="1"/>
    <xf numFmtId="0" fontId="141" fillId="0" borderId="0" xfId="96" applyFont="1" applyFill="1"/>
    <xf numFmtId="49" fontId="141" fillId="0" borderId="0" xfId="96" applyNumberFormat="1" applyFont="1" applyFill="1" applyAlignment="1">
      <alignment horizontal="center"/>
    </xf>
    <xf numFmtId="165" fontId="141" fillId="0" borderId="20" xfId="34" applyNumberFormat="1" applyFont="1" applyFill="1" applyBorder="1"/>
    <xf numFmtId="200" fontId="141" fillId="0" borderId="20" xfId="34" applyNumberFormat="1" applyFont="1" applyFill="1" applyBorder="1"/>
    <xf numFmtId="165" fontId="141" fillId="0" borderId="20" xfId="34" applyNumberFormat="1" applyFont="1" applyFill="1" applyBorder="1" applyAlignment="1"/>
    <xf numFmtId="165" fontId="141" fillId="0" borderId="20" xfId="29" applyNumberFormat="1" applyFont="1" applyFill="1" applyBorder="1"/>
    <xf numFmtId="0" fontId="137" fillId="0" borderId="0" xfId="96" applyFont="1" applyFill="1"/>
    <xf numFmtId="49" fontId="137" fillId="0" borderId="0" xfId="96" applyNumberFormat="1" applyFont="1" applyFill="1" applyAlignment="1">
      <alignment horizontal="center"/>
    </xf>
    <xf numFmtId="165" fontId="137" fillId="0" borderId="0" xfId="34" applyNumberFormat="1" applyFont="1" applyFill="1" applyBorder="1"/>
    <xf numFmtId="165" fontId="137" fillId="0" borderId="0" xfId="34" applyNumberFormat="1" applyFont="1" applyFill="1" applyBorder="1" applyAlignment="1"/>
    <xf numFmtId="165" fontId="137" fillId="0" borderId="0" xfId="29" applyNumberFormat="1" applyFont="1" applyFill="1" applyBorder="1"/>
    <xf numFmtId="0" fontId="145" fillId="0" borderId="0" xfId="96" applyFont="1" applyFill="1" applyAlignment="1">
      <alignment horizontal="left"/>
    </xf>
    <xf numFmtId="200" fontId="142" fillId="0" borderId="0" xfId="34" applyNumberFormat="1" applyFont="1" applyFill="1"/>
    <xf numFmtId="165" fontId="141" fillId="0" borderId="78" xfId="34" applyNumberFormat="1" applyFont="1" applyFill="1" applyBorder="1"/>
    <xf numFmtId="200" fontId="141" fillId="0" borderId="78" xfId="34" applyNumberFormat="1" applyFont="1" applyFill="1" applyBorder="1"/>
    <xf numFmtId="165" fontId="141" fillId="0" borderId="78" xfId="34" applyNumberFormat="1" applyFont="1" applyFill="1" applyBorder="1" applyAlignment="1"/>
    <xf numFmtId="165" fontId="141" fillId="0" borderId="78" xfId="29" applyNumberFormat="1" applyFont="1" applyFill="1" applyBorder="1"/>
    <xf numFmtId="0" fontId="146" fillId="0" borderId="0" xfId="96" applyFont="1" applyFill="1"/>
    <xf numFmtId="165" fontId="137" fillId="0" borderId="0" xfId="29" applyNumberFormat="1" applyFont="1" applyFill="1" applyAlignment="1">
      <alignment horizontal="center"/>
    </xf>
    <xf numFmtId="0" fontId="137" fillId="0" borderId="0" xfId="96" applyFont="1" applyFill="1" applyAlignment="1">
      <alignment horizontal="left"/>
    </xf>
    <xf numFmtId="49" fontId="145" fillId="0" borderId="0" xfId="96" applyNumberFormat="1" applyFont="1" applyFill="1" applyAlignment="1">
      <alignment horizontal="center"/>
    </xf>
    <xf numFmtId="199" fontId="142" fillId="0" borderId="0" xfId="32" applyNumberFormat="1" applyFont="1" applyFill="1" applyAlignment="1"/>
    <xf numFmtId="199" fontId="141" fillId="0" borderId="20" xfId="34" applyNumberFormat="1" applyFont="1" applyFill="1" applyBorder="1" applyAlignment="1"/>
    <xf numFmtId="0" fontId="137" fillId="0" borderId="0" xfId="96" applyFont="1" applyFill="1" applyAlignment="1"/>
    <xf numFmtId="165" fontId="137" fillId="0" borderId="0" xfId="29" applyNumberFormat="1" applyFont="1" applyFill="1"/>
    <xf numFmtId="49" fontId="146" fillId="0" borderId="0" xfId="96" applyNumberFormat="1" applyFont="1" applyFill="1" applyAlignment="1">
      <alignment horizontal="center"/>
    </xf>
    <xf numFmtId="165" fontId="137" fillId="0" borderId="0" xfId="34" applyNumberFormat="1" applyFont="1" applyFill="1"/>
    <xf numFmtId="165" fontId="137" fillId="0" borderId="0" xfId="34" applyNumberFormat="1" applyFont="1" applyFill="1" applyAlignment="1"/>
    <xf numFmtId="0" fontId="143" fillId="0" borderId="0" xfId="96" applyFont="1" applyFill="1"/>
    <xf numFmtId="43" fontId="142" fillId="0" borderId="0" xfId="32" applyNumberFormat="1" applyFont="1" applyFill="1" applyAlignment="1"/>
    <xf numFmtId="165" fontId="142" fillId="0" borderId="0" xfId="32" applyNumberFormat="1" applyFont="1" applyFill="1"/>
    <xf numFmtId="165" fontId="142" fillId="0" borderId="0" xfId="32" applyNumberFormat="1" applyFont="1" applyFill="1" applyAlignment="1">
      <alignment horizontal="center"/>
    </xf>
    <xf numFmtId="199" fontId="142" fillId="0" borderId="0" xfId="32" applyNumberFormat="1" applyFont="1" applyFill="1"/>
    <xf numFmtId="0" fontId="147" fillId="0" borderId="0" xfId="96" applyFont="1" applyFill="1" applyBorder="1"/>
    <xf numFmtId="49" fontId="142" fillId="0" borderId="0" xfId="96" applyNumberFormat="1" applyFont="1" applyFill="1" applyBorder="1" applyAlignment="1">
      <alignment horizontal="center"/>
    </xf>
    <xf numFmtId="165" fontId="142" fillId="0" borderId="0" xfId="34" applyNumberFormat="1" applyFont="1" applyFill="1" applyBorder="1"/>
    <xf numFmtId="165" fontId="142" fillId="0" borderId="0" xfId="34" applyNumberFormat="1" applyFont="1" applyFill="1" applyBorder="1" applyAlignment="1"/>
    <xf numFmtId="165" fontId="142" fillId="0" borderId="0" xfId="29" applyNumberFormat="1" applyFont="1" applyFill="1" applyBorder="1"/>
    <xf numFmtId="0" fontId="142" fillId="0" borderId="0" xfId="96" applyFont="1" applyFill="1" applyBorder="1"/>
    <xf numFmtId="199" fontId="142" fillId="0" borderId="0" xfId="34" applyNumberFormat="1" applyFont="1" applyFill="1" applyBorder="1"/>
    <xf numFmtId="37" fontId="141" fillId="0" borderId="78" xfId="34" applyNumberFormat="1" applyFont="1" applyFill="1" applyBorder="1"/>
    <xf numFmtId="199" fontId="141" fillId="0" borderId="78" xfId="34" applyNumberFormat="1" applyFont="1" applyFill="1" applyBorder="1"/>
    <xf numFmtId="10" fontId="137" fillId="0" borderId="0" xfId="162" applyNumberFormat="1" applyFont="1" applyFill="1" applyBorder="1"/>
    <xf numFmtId="165" fontId="142" fillId="0" borderId="0" xfId="96" applyNumberFormat="1" applyFont="1" applyFill="1"/>
    <xf numFmtId="165" fontId="142" fillId="0" borderId="0" xfId="96" applyNumberFormat="1" applyFont="1" applyFill="1" applyAlignment="1"/>
    <xf numFmtId="0" fontId="147" fillId="0" borderId="0" xfId="96" applyFont="1" applyFill="1"/>
    <xf numFmtId="49" fontId="147" fillId="0" borderId="0" xfId="96" applyNumberFormat="1" applyFont="1" applyFill="1" applyAlignment="1">
      <alignment horizontal="center"/>
    </xf>
    <xf numFmtId="41" fontId="142" fillId="0" borderId="0" xfId="96" applyNumberFormat="1" applyFont="1" applyFill="1"/>
    <xf numFmtId="199" fontId="141" fillId="0" borderId="20" xfId="34" applyNumberFormat="1" applyFont="1" applyFill="1" applyBorder="1"/>
    <xf numFmtId="9" fontId="137" fillId="0" borderId="0" xfId="175" applyFont="1" applyFill="1" applyBorder="1"/>
    <xf numFmtId="165" fontId="137" fillId="0" borderId="22" xfId="34" applyNumberFormat="1" applyFont="1" applyFill="1" applyBorder="1"/>
    <xf numFmtId="165" fontId="137" fillId="0" borderId="22" xfId="34" applyNumberFormat="1" applyFont="1" applyFill="1" applyBorder="1" applyAlignment="1"/>
    <xf numFmtId="165" fontId="148" fillId="0" borderId="0" xfId="34" applyNumberFormat="1" applyFont="1" applyFill="1" applyBorder="1"/>
    <xf numFmtId="0" fontId="55" fillId="0" borderId="0" xfId="96" applyFont="1"/>
    <xf numFmtId="199" fontId="142" fillId="0" borderId="0" xfId="96" applyNumberFormat="1" applyFont="1" applyFill="1"/>
    <xf numFmtId="165" fontId="144" fillId="0" borderId="0" xfId="34" applyNumberFormat="1" applyFont="1" applyFill="1"/>
    <xf numFmtId="0" fontId="149" fillId="22" borderId="73" xfId="96" applyFont="1" applyFill="1" applyBorder="1"/>
    <xf numFmtId="49" fontId="142" fillId="22" borderId="22" xfId="96" applyNumberFormat="1" applyFont="1" applyFill="1" applyBorder="1" applyAlignment="1">
      <alignment horizontal="center"/>
    </xf>
    <xf numFmtId="165" fontId="142" fillId="22" borderId="22" xfId="34" applyNumberFormat="1" applyFont="1" applyFill="1" applyBorder="1"/>
    <xf numFmtId="165" fontId="142" fillId="22" borderId="22" xfId="34" applyNumberFormat="1" applyFont="1" applyFill="1" applyBorder="1" applyAlignment="1"/>
    <xf numFmtId="165" fontId="142" fillId="22" borderId="22" xfId="29" applyNumberFormat="1" applyFont="1" applyFill="1" applyBorder="1"/>
    <xf numFmtId="165" fontId="142" fillId="22" borderId="74" xfId="34" applyNumberFormat="1" applyFont="1" applyFill="1" applyBorder="1"/>
    <xf numFmtId="0" fontId="142" fillId="22" borderId="72" xfId="96" applyFont="1" applyFill="1" applyBorder="1"/>
    <xf numFmtId="49" fontId="142" fillId="22" borderId="0" xfId="96" applyNumberFormat="1" applyFont="1" applyFill="1" applyBorder="1" applyAlignment="1">
      <alignment horizontal="center"/>
    </xf>
    <xf numFmtId="165" fontId="142" fillId="22" borderId="0" xfId="34" applyNumberFormat="1" applyFont="1" applyFill="1" applyBorder="1"/>
    <xf numFmtId="199" fontId="142" fillId="22" borderId="0" xfId="34" applyNumberFormat="1" applyFont="1" applyFill="1" applyBorder="1"/>
    <xf numFmtId="165" fontId="142" fillId="22" borderId="0" xfId="34" applyNumberFormat="1" applyFont="1" applyFill="1" applyBorder="1" applyAlignment="1"/>
    <xf numFmtId="165" fontId="142" fillId="22" borderId="0" xfId="29" applyNumberFormat="1" applyFont="1" applyFill="1" applyBorder="1"/>
    <xf numFmtId="0" fontId="141" fillId="22" borderId="101" xfId="96" applyFont="1" applyFill="1" applyBorder="1"/>
    <xf numFmtId="49" fontId="141" fillId="22" borderId="21" xfId="96" applyNumberFormat="1" applyFont="1" applyFill="1" applyBorder="1" applyAlignment="1">
      <alignment horizontal="center"/>
    </xf>
    <xf numFmtId="165" fontId="141" fillId="22" borderId="20" xfId="34" applyNumberFormat="1" applyFont="1" applyFill="1" applyBorder="1"/>
    <xf numFmtId="199" fontId="141" fillId="22" borderId="20" xfId="34" applyNumberFormat="1" applyFont="1" applyFill="1" applyBorder="1"/>
    <xf numFmtId="165" fontId="141" fillId="22" borderId="20" xfId="34" applyNumberFormat="1" applyFont="1" applyFill="1" applyBorder="1" applyAlignment="1"/>
    <xf numFmtId="165" fontId="141" fillId="22" borderId="20" xfId="29" applyNumberFormat="1" applyFont="1" applyFill="1" applyBorder="1"/>
    <xf numFmtId="0" fontId="150" fillId="0" borderId="0" xfId="96" applyFont="1" applyFill="1"/>
    <xf numFmtId="49" fontId="150" fillId="0" borderId="0" xfId="96" applyNumberFormat="1" applyFont="1" applyFill="1" applyAlignment="1">
      <alignment horizontal="center"/>
    </xf>
    <xf numFmtId="0" fontId="146" fillId="0" borderId="0" xfId="96" applyFont="1" applyFill="1" applyAlignment="1">
      <alignment horizontal="left" wrapText="1"/>
    </xf>
    <xf numFmtId="165" fontId="146" fillId="0" borderId="0" xfId="29" applyNumberFormat="1" applyFont="1" applyFill="1" applyAlignment="1">
      <alignment horizontal="left" wrapText="1"/>
    </xf>
    <xf numFmtId="0" fontId="142" fillId="48" borderId="0" xfId="96" applyFont="1" applyFill="1"/>
    <xf numFmtId="49" fontId="142" fillId="48" borderId="0" xfId="96" applyNumberFormat="1" applyFont="1" applyFill="1" applyAlignment="1">
      <alignment horizontal="center"/>
    </xf>
    <xf numFmtId="165" fontId="142" fillId="48" borderId="0" xfId="34" applyNumberFormat="1" applyFont="1" applyFill="1"/>
    <xf numFmtId="0" fontId="142" fillId="48" borderId="0" xfId="96" applyFont="1" applyFill="1" applyAlignment="1"/>
    <xf numFmtId="165" fontId="142" fillId="48" borderId="0" xfId="29" applyNumberFormat="1" applyFont="1" applyFill="1"/>
    <xf numFmtId="0" fontId="146" fillId="0" borderId="0" xfId="96" applyFont="1" applyAlignment="1">
      <alignment horizontal="left" wrapText="1"/>
    </xf>
    <xf numFmtId="0" fontId="146" fillId="22" borderId="0" xfId="96" applyFont="1" applyFill="1" applyAlignment="1">
      <alignment horizontal="left" wrapText="1"/>
    </xf>
    <xf numFmtId="165" fontId="146" fillId="22" borderId="0" xfId="29" applyNumberFormat="1" applyFont="1" applyFill="1" applyAlignment="1">
      <alignment horizontal="left" wrapText="1"/>
    </xf>
    <xf numFmtId="0" fontId="143" fillId="0" borderId="0" xfId="96" applyFont="1"/>
    <xf numFmtId="49" fontId="146" fillId="0" borderId="0" xfId="96" applyNumberFormat="1" applyFont="1" applyAlignment="1">
      <alignment horizontal="center"/>
    </xf>
    <xf numFmtId="43" fontId="142" fillId="0" borderId="0" xfId="34" applyNumberFormat="1" applyFont="1"/>
    <xf numFmtId="165" fontId="142" fillId="22" borderId="0" xfId="34" applyNumberFormat="1" applyFont="1" applyFill="1" applyAlignment="1"/>
    <xf numFmtId="165" fontId="142" fillId="22" borderId="0" xfId="29" applyNumberFormat="1" applyFont="1" applyFill="1"/>
    <xf numFmtId="0" fontId="147" fillId="0" borderId="0" xfId="96" applyFont="1"/>
    <xf numFmtId="49" fontId="142" fillId="0" borderId="0" xfId="96" applyNumberFormat="1" applyFont="1" applyAlignment="1">
      <alignment horizontal="center"/>
    </xf>
    <xf numFmtId="49" fontId="141" fillId="0" borderId="0" xfId="96" applyNumberFormat="1" applyFont="1" applyAlignment="1">
      <alignment horizontal="center"/>
    </xf>
    <xf numFmtId="165" fontId="141" fillId="0" borderId="20" xfId="34" applyNumberFormat="1" applyFont="1" applyBorder="1"/>
    <xf numFmtId="199" fontId="141" fillId="0" borderId="20" xfId="34" applyNumberFormat="1" applyFont="1" applyBorder="1"/>
    <xf numFmtId="165" fontId="137" fillId="0" borderId="0" xfId="34" applyNumberFormat="1" applyFont="1" applyBorder="1"/>
    <xf numFmtId="165" fontId="137" fillId="22" borderId="0" xfId="34" applyNumberFormat="1" applyFont="1" applyFill="1" applyBorder="1" applyAlignment="1"/>
    <xf numFmtId="165" fontId="137" fillId="22" borderId="0" xfId="29" applyNumberFormat="1" applyFont="1" applyFill="1" applyBorder="1"/>
    <xf numFmtId="199" fontId="137" fillId="0" borderId="0" xfId="34" applyNumberFormat="1" applyFont="1" applyBorder="1"/>
    <xf numFmtId="165" fontId="142" fillId="0" borderId="0" xfId="96" applyNumberFormat="1" applyFont="1"/>
    <xf numFmtId="199" fontId="142" fillId="0" borderId="0" xfId="96" applyNumberFormat="1" applyFont="1"/>
    <xf numFmtId="199" fontId="142" fillId="48" borderId="0" xfId="96" applyNumberFormat="1" applyFont="1" applyFill="1"/>
    <xf numFmtId="0" fontId="146" fillId="0" borderId="0" xfId="96" applyFont="1"/>
    <xf numFmtId="199" fontId="142" fillId="0" borderId="0" xfId="34" applyNumberFormat="1" applyFont="1"/>
    <xf numFmtId="199" fontId="142" fillId="41" borderId="0" xfId="34" applyNumberFormat="1" applyFont="1" applyFill="1"/>
    <xf numFmtId="199" fontId="142" fillId="44" borderId="0" xfId="34" applyNumberFormat="1" applyFont="1" applyFill="1"/>
    <xf numFmtId="165" fontId="142" fillId="22" borderId="0" xfId="32" applyNumberFormat="1" applyFont="1" applyFill="1" applyAlignment="1"/>
    <xf numFmtId="165" fontId="141" fillId="22" borderId="78" xfId="34" applyNumberFormat="1" applyFont="1" applyFill="1" applyBorder="1" applyAlignment="1"/>
    <xf numFmtId="165" fontId="137" fillId="0" borderId="0" xfId="34" applyNumberFormat="1" applyFont="1"/>
    <xf numFmtId="0" fontId="137" fillId="0" borderId="0" xfId="34" applyNumberFormat="1" applyFont="1" applyAlignment="1">
      <alignment horizontal="center"/>
    </xf>
    <xf numFmtId="0" fontId="137" fillId="22" borderId="0" xfId="34" applyNumberFormat="1" applyFont="1" applyFill="1" applyAlignment="1">
      <alignment horizontal="center"/>
    </xf>
    <xf numFmtId="165" fontId="137" fillId="22" borderId="0" xfId="29" applyNumberFormat="1" applyFont="1" applyFill="1" applyAlignment="1">
      <alignment horizontal="center"/>
    </xf>
    <xf numFmtId="199" fontId="137" fillId="0" borderId="0" xfId="34" applyNumberFormat="1" applyFont="1" applyAlignment="1">
      <alignment horizontal="center"/>
    </xf>
    <xf numFmtId="0" fontId="137" fillId="0" borderId="0" xfId="34" applyNumberFormat="1" applyFont="1" applyFill="1" applyAlignment="1">
      <alignment horizontal="center"/>
    </xf>
    <xf numFmtId="37" fontId="151" fillId="0" borderId="0" xfId="32" applyNumberFormat="1" applyFont="1"/>
    <xf numFmtId="199" fontId="151" fillId="0" borderId="0" xfId="32" applyNumberFormat="1" applyFont="1"/>
    <xf numFmtId="165" fontId="151" fillId="22" borderId="0" xfId="29" applyNumberFormat="1" applyFont="1" applyFill="1"/>
    <xf numFmtId="199" fontId="151" fillId="0" borderId="0" xfId="32" applyNumberFormat="1" applyFont="1" applyFill="1"/>
    <xf numFmtId="37" fontId="142" fillId="0" borderId="20" xfId="32" applyNumberFormat="1" applyFont="1" applyBorder="1"/>
    <xf numFmtId="165" fontId="142" fillId="22" borderId="20" xfId="32" applyNumberFormat="1" applyFont="1" applyFill="1" applyBorder="1" applyAlignment="1"/>
    <xf numFmtId="199" fontId="142" fillId="0" borderId="20" xfId="32" applyNumberFormat="1" applyFont="1" applyFill="1" applyBorder="1"/>
    <xf numFmtId="199" fontId="143" fillId="0" borderId="78" xfId="96" applyNumberFormat="1" applyFont="1" applyFill="1" applyBorder="1"/>
    <xf numFmtId="37" fontId="143" fillId="0" borderId="0" xfId="32" applyNumberFormat="1" applyFont="1" applyBorder="1"/>
    <xf numFmtId="199" fontId="143" fillId="0" borderId="0" xfId="32" applyNumberFormat="1" applyFont="1" applyFill="1" applyBorder="1" applyAlignment="1">
      <alignment horizontal="right" vertical="top"/>
    </xf>
    <xf numFmtId="165" fontId="143" fillId="0" borderId="0" xfId="96" applyNumberFormat="1" applyFont="1" applyFill="1" applyBorder="1"/>
    <xf numFmtId="0" fontId="142" fillId="23" borderId="0" xfId="96" applyFont="1" applyFill="1"/>
    <xf numFmtId="199" fontId="142" fillId="23" borderId="0" xfId="96" applyNumberFormat="1" applyFont="1" applyFill="1"/>
    <xf numFmtId="199" fontId="151" fillId="0" borderId="0" xfId="32" applyNumberFormat="1" applyFont="1" applyFill="1" applyBorder="1"/>
    <xf numFmtId="199" fontId="141" fillId="0" borderId="22" xfId="32" applyNumberFormat="1" applyFont="1" applyFill="1" applyBorder="1"/>
    <xf numFmtId="199" fontId="137" fillId="0" borderId="0" xfId="32" applyNumberFormat="1" applyFont="1" applyFill="1" applyBorder="1"/>
    <xf numFmtId="199" fontId="141" fillId="22" borderId="20" xfId="32" applyNumberFormat="1" applyFont="1" applyFill="1" applyBorder="1"/>
    <xf numFmtId="37" fontId="141" fillId="22" borderId="20" xfId="32" applyNumberFormat="1" applyFont="1" applyFill="1" applyBorder="1"/>
    <xf numFmtId="199" fontId="152" fillId="22" borderId="20" xfId="32" applyNumberFormat="1" applyFont="1" applyFill="1" applyBorder="1"/>
    <xf numFmtId="37" fontId="152" fillId="22" borderId="20" xfId="32" applyNumberFormat="1" applyFont="1" applyFill="1" applyBorder="1"/>
    <xf numFmtId="199" fontId="137" fillId="0" borderId="0" xfId="32" applyNumberFormat="1" applyFont="1" applyFill="1"/>
    <xf numFmtId="199" fontId="141" fillId="0" borderId="20" xfId="32" applyNumberFormat="1" applyFont="1" applyFill="1" applyBorder="1"/>
    <xf numFmtId="199" fontId="141" fillId="0" borderId="0" xfId="32" applyNumberFormat="1" applyFont="1" applyFill="1" applyBorder="1"/>
    <xf numFmtId="199" fontId="141" fillId="0" borderId="0" xfId="32" applyNumberFormat="1" applyFont="1" applyFill="1"/>
    <xf numFmtId="199" fontId="143" fillId="45" borderId="20" xfId="32" applyNumberFormat="1" applyFont="1" applyFill="1" applyBorder="1"/>
    <xf numFmtId="37" fontId="143" fillId="0" borderId="20" xfId="32" applyNumberFormat="1" applyFont="1" applyFill="1" applyBorder="1"/>
    <xf numFmtId="37" fontId="143" fillId="22" borderId="20" xfId="32" applyNumberFormat="1" applyFont="1" applyFill="1" applyBorder="1"/>
    <xf numFmtId="199" fontId="143" fillId="0" borderId="0" xfId="32" applyNumberFormat="1" applyFont="1" applyBorder="1"/>
    <xf numFmtId="37" fontId="143" fillId="0" borderId="0" xfId="32" applyNumberFormat="1" applyFont="1" applyFill="1" applyBorder="1"/>
    <xf numFmtId="199" fontId="143" fillId="0" borderId="0" xfId="32" applyNumberFormat="1" applyFont="1" applyFill="1" applyBorder="1"/>
    <xf numFmtId="199" fontId="142" fillId="0" borderId="0" xfId="32" applyNumberFormat="1" applyFont="1"/>
    <xf numFmtId="37" fontId="142" fillId="0" borderId="0" xfId="32" applyNumberFormat="1" applyFont="1" applyFill="1"/>
    <xf numFmtId="37" fontId="142" fillId="0" borderId="0" xfId="32" applyNumberFormat="1" applyFont="1"/>
    <xf numFmtId="199" fontId="151" fillId="39" borderId="0" xfId="32" applyNumberFormat="1" applyFont="1" applyFill="1"/>
    <xf numFmtId="37" fontId="151" fillId="39" borderId="0" xfId="32" applyNumberFormat="1" applyFont="1" applyFill="1"/>
    <xf numFmtId="37" fontId="143" fillId="45" borderId="20" xfId="32" applyNumberFormat="1" applyFont="1" applyFill="1" applyBorder="1"/>
    <xf numFmtId="199" fontId="150" fillId="0" borderId="0" xfId="32" applyNumberFormat="1" applyFont="1"/>
    <xf numFmtId="199" fontId="153" fillId="48" borderId="78" xfId="96" applyNumberFormat="1" applyFont="1" applyFill="1" applyBorder="1"/>
    <xf numFmtId="37" fontId="153" fillId="0" borderId="78" xfId="96" applyNumberFormat="1" applyFont="1" applyFill="1" applyBorder="1"/>
    <xf numFmtId="37" fontId="153" fillId="48" borderId="78" xfId="96" applyNumberFormat="1" applyFont="1" applyFill="1" applyBorder="1"/>
    <xf numFmtId="37" fontId="142" fillId="0" borderId="0" xfId="96" applyNumberFormat="1" applyFont="1" applyFill="1"/>
    <xf numFmtId="199" fontId="143" fillId="0" borderId="0" xfId="32" applyNumberFormat="1" applyFont="1" applyFill="1" applyBorder="1" applyAlignment="1">
      <alignment horizontal="left" vertical="top"/>
    </xf>
    <xf numFmtId="199" fontId="143" fillId="0" borderId="20" xfId="96" applyNumberFormat="1" applyFont="1" applyFill="1" applyBorder="1"/>
    <xf numFmtId="0" fontId="154" fillId="22" borderId="0" xfId="96" applyFont="1" applyFill="1"/>
    <xf numFmtId="49" fontId="142" fillId="22" borderId="0" xfId="96" applyNumberFormat="1" applyFont="1" applyFill="1" applyAlignment="1">
      <alignment horizontal="center"/>
    </xf>
    <xf numFmtId="37" fontId="142" fillId="22" borderId="0" xfId="96" applyNumberFormat="1" applyFont="1" applyFill="1"/>
    <xf numFmtId="9" fontId="142" fillId="0" borderId="0" xfId="179" applyFont="1" applyFill="1"/>
    <xf numFmtId="3" fontId="142" fillId="22" borderId="0" xfId="96" applyNumberFormat="1" applyFont="1" applyFill="1"/>
    <xf numFmtId="9" fontId="142" fillId="0" borderId="0" xfId="162" applyFont="1" applyFill="1"/>
    <xf numFmtId="0" fontId="142" fillId="44" borderId="0" xfId="96" applyFont="1" applyFill="1"/>
    <xf numFmtId="49" fontId="142" fillId="44" borderId="0" xfId="96" applyNumberFormat="1" applyFont="1" applyFill="1" applyAlignment="1">
      <alignment horizontal="center"/>
    </xf>
    <xf numFmtId="9" fontId="142" fillId="44" borderId="0" xfId="162" applyFont="1" applyFill="1"/>
    <xf numFmtId="9" fontId="142" fillId="44" borderId="0" xfId="96" applyNumberFormat="1" applyFont="1" applyFill="1"/>
    <xf numFmtId="9" fontId="142" fillId="44" borderId="0" xfId="96" applyNumberFormat="1" applyFont="1" applyFill="1" applyAlignment="1"/>
    <xf numFmtId="3" fontId="142" fillId="44" borderId="0" xfId="96" applyNumberFormat="1" applyFont="1" applyFill="1"/>
    <xf numFmtId="0" fontId="142" fillId="44" borderId="0" xfId="96" applyFont="1" applyFill="1" applyAlignment="1"/>
    <xf numFmtId="165" fontId="142" fillId="44" borderId="0" xfId="29" applyNumberFormat="1" applyFont="1" applyFill="1"/>
    <xf numFmtId="3" fontId="142" fillId="0" borderId="0" xfId="96" applyNumberFormat="1" applyFont="1"/>
    <xf numFmtId="165" fontId="142" fillId="0" borderId="0" xfId="29" applyNumberFormat="1" applyFont="1"/>
    <xf numFmtId="165" fontId="142" fillId="0" borderId="0" xfId="32" applyNumberFormat="1" applyFont="1"/>
    <xf numFmtId="165" fontId="142" fillId="0" borderId="0" xfId="32" applyNumberFormat="1" applyFont="1" applyAlignment="1">
      <alignment horizontal="center"/>
    </xf>
    <xf numFmtId="3" fontId="142" fillId="0" borderId="0" xfId="32" applyNumberFormat="1" applyFont="1"/>
    <xf numFmtId="201" fontId="142" fillId="0" borderId="0" xfId="32" applyNumberFormat="1" applyFont="1"/>
    <xf numFmtId="201" fontId="142" fillId="0" borderId="20" xfId="32" applyNumberFormat="1" applyFont="1" applyBorder="1"/>
    <xf numFmtId="3" fontId="142" fillId="0" borderId="0" xfId="32" applyNumberFormat="1" applyFont="1" applyFill="1"/>
    <xf numFmtId="201" fontId="142" fillId="0" borderId="20" xfId="32" applyNumberFormat="1" applyFont="1" applyFill="1" applyBorder="1"/>
    <xf numFmtId="165" fontId="142" fillId="0" borderId="20" xfId="32" applyNumberFormat="1" applyFont="1" applyFill="1" applyBorder="1" applyAlignment="1"/>
    <xf numFmtId="37" fontId="142" fillId="0" borderId="20" xfId="32" applyNumberFormat="1" applyFont="1" applyFill="1" applyBorder="1"/>
    <xf numFmtId="41" fontId="142" fillId="0" borderId="20" xfId="96" applyNumberFormat="1" applyFont="1" applyBorder="1"/>
    <xf numFmtId="41" fontId="142" fillId="22" borderId="20" xfId="96" applyNumberFormat="1" applyFont="1" applyFill="1" applyBorder="1" applyAlignment="1"/>
    <xf numFmtId="165" fontId="142" fillId="0" borderId="20" xfId="32" applyNumberFormat="1" applyFont="1" applyBorder="1"/>
    <xf numFmtId="0" fontId="155" fillId="0" borderId="0" xfId="96" applyFont="1"/>
    <xf numFmtId="0" fontId="143" fillId="0" borderId="0" xfId="96" applyFont="1" applyFill="1" applyAlignment="1"/>
    <xf numFmtId="165" fontId="143" fillId="0" borderId="20" xfId="29" applyNumberFormat="1" applyFont="1" applyFill="1" applyBorder="1"/>
    <xf numFmtId="0" fontId="143" fillId="33" borderId="0" xfId="96" applyFont="1" applyFill="1"/>
    <xf numFmtId="0" fontId="143" fillId="33" borderId="0" xfId="96" applyFont="1" applyFill="1" applyAlignment="1"/>
    <xf numFmtId="43" fontId="142" fillId="0" borderId="0" xfId="96" applyNumberFormat="1" applyFont="1" applyFill="1"/>
    <xf numFmtId="10" fontId="0" fillId="0" borderId="0" xfId="162" applyNumberFormat="1" applyFont="1"/>
    <xf numFmtId="0" fontId="9" fillId="0" borderId="0" xfId="95" applyNumberFormat="1" applyFont="1" applyFill="1" applyAlignment="1">
      <alignment horizontal="center"/>
    </xf>
    <xf numFmtId="0" fontId="9" fillId="0" borderId="0" xfId="95" applyFont="1" applyFill="1" applyAlignment="1">
      <alignment horizontal="center"/>
    </xf>
    <xf numFmtId="0" fontId="9" fillId="0" borderId="0" xfId="95" applyFont="1" applyFill="1" applyAlignment="1">
      <alignment horizontal="left" indent="1"/>
    </xf>
    <xf numFmtId="9" fontId="11" fillId="32" borderId="30" xfId="174" applyFont="1" applyFill="1" applyBorder="1" applyAlignment="1">
      <alignment horizontal="center"/>
    </xf>
    <xf numFmtId="170" fontId="9" fillId="0" borderId="0" xfId="95" applyNumberFormat="1" applyFont="1" applyFill="1"/>
    <xf numFmtId="173" fontId="11" fillId="32" borderId="42" xfId="95" applyNumberFormat="1" applyFont="1" applyFill="1" applyBorder="1"/>
    <xf numFmtId="9" fontId="11" fillId="32" borderId="0" xfId="174" applyFont="1" applyFill="1" applyBorder="1" applyAlignment="1">
      <alignment horizontal="center"/>
    </xf>
    <xf numFmtId="173" fontId="11" fillId="32" borderId="0" xfId="95" applyNumberFormat="1" applyFont="1" applyFill="1" applyBorder="1"/>
    <xf numFmtId="0" fontId="9" fillId="49" borderId="0" xfId="95" applyNumberFormat="1" applyFont="1" applyFill="1" applyAlignment="1">
      <alignment horizontal="center"/>
    </xf>
    <xf numFmtId="0" fontId="9" fillId="49" borderId="0" xfId="95" applyFont="1" applyFill="1" applyAlignment="1">
      <alignment horizontal="center"/>
    </xf>
    <xf numFmtId="0" fontId="9" fillId="49" borderId="0" xfId="95" applyFont="1" applyFill="1" applyAlignment="1">
      <alignment horizontal="left" indent="1"/>
    </xf>
    <xf numFmtId="173" fontId="11" fillId="32" borderId="32" xfId="95" applyNumberFormat="1" applyFont="1" applyFill="1" applyBorder="1"/>
    <xf numFmtId="9" fontId="11" fillId="32" borderId="14" xfId="174" applyFont="1" applyFill="1" applyBorder="1" applyAlignment="1">
      <alignment horizontal="center"/>
    </xf>
    <xf numFmtId="173" fontId="11" fillId="32" borderId="14" xfId="95" applyNumberFormat="1" applyFont="1" applyFill="1" applyBorder="1"/>
    <xf numFmtId="0" fontId="9" fillId="0" borderId="0" xfId="95" applyFont="1" applyFill="1"/>
    <xf numFmtId="0" fontId="9" fillId="0" borderId="0" xfId="95" applyFont="1" applyBorder="1"/>
    <xf numFmtId="0" fontId="9" fillId="0" borderId="21" xfId="95" applyFont="1" applyFill="1" applyBorder="1"/>
    <xf numFmtId="0" fontId="10" fillId="0" borderId="0" xfId="95" applyFont="1" applyFill="1"/>
    <xf numFmtId="170" fontId="10" fillId="0" borderId="0" xfId="95" applyNumberFormat="1" applyFont="1" applyFill="1" applyBorder="1"/>
    <xf numFmtId="0" fontId="9" fillId="0" borderId="0" xfId="95" applyFont="1"/>
    <xf numFmtId="0" fontId="14" fillId="34" borderId="40" xfId="95" applyFont="1" applyFill="1" applyBorder="1" applyAlignment="1">
      <alignment horizontal="center"/>
    </xf>
    <xf numFmtId="0" fontId="14" fillId="34" borderId="38" xfId="95" applyFont="1" applyFill="1" applyBorder="1" applyAlignment="1">
      <alignment horizontal="center"/>
    </xf>
    <xf numFmtId="0" fontId="33" fillId="0" borderId="0" xfId="95" applyFont="1" applyFill="1"/>
    <xf numFmtId="173" fontId="9" fillId="0" borderId="0" xfId="95" applyNumberFormat="1" applyFont="1" applyBorder="1"/>
    <xf numFmtId="170" fontId="10" fillId="0" borderId="0" xfId="95" applyNumberFormat="1" applyFont="1" applyFill="1"/>
    <xf numFmtId="173" fontId="9" fillId="0" borderId="72" xfId="95" applyNumberFormat="1" applyFont="1" applyBorder="1"/>
    <xf numFmtId="165" fontId="9" fillId="0" borderId="0" xfId="33" applyNumberFormat="1" applyFont="1"/>
    <xf numFmtId="165" fontId="9" fillId="38" borderId="0" xfId="29" applyNumberFormat="1" applyFont="1" applyFill="1" applyBorder="1"/>
    <xf numFmtId="41" fontId="139" fillId="0" borderId="0" xfId="143" applyNumberFormat="1" applyFont="1" applyFill="1" applyBorder="1"/>
    <xf numFmtId="0" fontId="157" fillId="0" borderId="0" xfId="150" applyFont="1" applyFill="1"/>
    <xf numFmtId="0" fontId="139" fillId="0" borderId="0" xfId="150" applyFont="1" applyFill="1" applyAlignment="1">
      <alignment horizontal="left" indent="2"/>
    </xf>
    <xf numFmtId="49" fontId="10" fillId="33" borderId="38" xfId="0" applyNumberFormat="1" applyFont="1" applyFill="1" applyBorder="1" applyAlignment="1">
      <alignment horizontal="center" wrapText="1"/>
    </xf>
    <xf numFmtId="165" fontId="137" fillId="0" borderId="0" xfId="29" applyNumberFormat="1" applyFont="1"/>
    <xf numFmtId="0" fontId="158" fillId="0" borderId="0" xfId="0" applyFont="1" applyBorder="1"/>
    <xf numFmtId="0" fontId="159" fillId="0" borderId="0" xfId="0" applyNumberFormat="1" applyFont="1" applyAlignment="1">
      <alignment horizontal="center"/>
    </xf>
    <xf numFmtId="0" fontId="9" fillId="45" borderId="0" xfId="0" applyNumberFormat="1" applyFont="1" applyFill="1"/>
    <xf numFmtId="0" fontId="10" fillId="45" borderId="0" xfId="0" applyNumberFormat="1" applyFont="1" applyFill="1"/>
    <xf numFmtId="165" fontId="141" fillId="45" borderId="0" xfId="0" applyNumberFormat="1" applyFont="1" applyFill="1"/>
    <xf numFmtId="0" fontId="0" fillId="0" borderId="0" xfId="0" applyFont="1"/>
    <xf numFmtId="0" fontId="0" fillId="0" borderId="0" xfId="0" applyNumberFormat="1"/>
    <xf numFmtId="0" fontId="25" fillId="37" borderId="71" xfId="109" applyFill="1" applyBorder="1"/>
    <xf numFmtId="0" fontId="9" fillId="0" borderId="0" xfId="109" applyFont="1"/>
    <xf numFmtId="0" fontId="43" fillId="0" borderId="0" xfId="109" applyFont="1" applyFill="1" applyAlignment="1">
      <alignment horizontal="center"/>
    </xf>
    <xf numFmtId="0" fontId="9" fillId="0" borderId="0" xfId="109" applyFont="1" applyFill="1"/>
    <xf numFmtId="0" fontId="9" fillId="0" borderId="0" xfId="109" applyFont="1" applyFill="1" applyBorder="1"/>
    <xf numFmtId="0" fontId="12" fillId="0" borderId="0" xfId="109" applyFont="1" applyFill="1" applyAlignment="1"/>
    <xf numFmtId="0" fontId="10" fillId="0" borderId="0" xfId="109" applyFont="1" applyFill="1"/>
    <xf numFmtId="0" fontId="9" fillId="0" borderId="0" xfId="109" applyFont="1" applyBorder="1"/>
    <xf numFmtId="0" fontId="139" fillId="0" borderId="0" xfId="109" applyFont="1" applyAlignment="1">
      <alignment horizontal="center"/>
    </xf>
    <xf numFmtId="0" fontId="25" fillId="0" borderId="0" xfId="109"/>
    <xf numFmtId="49" fontId="14" fillId="34" borderId="38" xfId="109" applyNumberFormat="1" applyFont="1" applyFill="1" applyBorder="1" applyAlignment="1">
      <alignment horizontal="center" wrapText="1"/>
    </xf>
    <xf numFmtId="0" fontId="14" fillId="35" borderId="38" xfId="109" applyFont="1" applyFill="1" applyBorder="1" applyAlignment="1">
      <alignment horizontal="center"/>
    </xf>
    <xf numFmtId="0" fontId="14" fillId="34" borderId="65" xfId="109" applyFont="1" applyFill="1" applyBorder="1" applyAlignment="1">
      <alignment horizontal="center"/>
    </xf>
    <xf numFmtId="184" fontId="9" fillId="0" borderId="0" xfId="109" applyNumberFormat="1" applyFont="1"/>
    <xf numFmtId="49" fontId="10" fillId="0" borderId="0" xfId="109" applyNumberFormat="1" applyFont="1" applyFill="1" applyBorder="1"/>
    <xf numFmtId="0" fontId="9" fillId="0" borderId="0" xfId="109" applyFont="1" applyFill="1" applyBorder="1" applyAlignment="1">
      <alignment horizontal="center"/>
    </xf>
    <xf numFmtId="0" fontId="11" fillId="32" borderId="28" xfId="109" applyFont="1" applyFill="1" applyBorder="1" applyAlignment="1">
      <alignment horizontal="center"/>
    </xf>
    <xf numFmtId="49" fontId="10" fillId="0" borderId="0" xfId="109" applyNumberFormat="1" applyFont="1" applyFill="1"/>
    <xf numFmtId="9" fontId="9" fillId="0" borderId="0" xfId="174" applyFont="1" applyFill="1" applyBorder="1"/>
    <xf numFmtId="0" fontId="9" fillId="0" borderId="0" xfId="109" applyFont="1" applyFill="1" applyAlignment="1">
      <alignment horizontal="center"/>
    </xf>
    <xf numFmtId="0" fontId="9" fillId="0" borderId="0" xfId="109" applyNumberFormat="1" applyFont="1" applyFill="1" applyAlignment="1">
      <alignment horizontal="center"/>
    </xf>
    <xf numFmtId="0" fontId="9" fillId="0" borderId="0" xfId="109" applyNumberFormat="1" applyFont="1" applyFill="1"/>
    <xf numFmtId="165" fontId="138" fillId="32" borderId="29" xfId="33" applyNumberFormat="1" applyFont="1" applyFill="1" applyBorder="1"/>
    <xf numFmtId="165" fontId="138" fillId="32" borderId="31" xfId="33" applyNumberFormat="1" applyFont="1" applyFill="1" applyBorder="1"/>
    <xf numFmtId="165" fontId="138" fillId="32" borderId="30" xfId="33" applyNumberFormat="1" applyFont="1" applyFill="1" applyBorder="1"/>
    <xf numFmtId="165" fontId="9" fillId="0" borderId="0" xfId="33" applyNumberFormat="1" applyFont="1" applyFill="1"/>
    <xf numFmtId="165" fontId="138" fillId="32" borderId="42" xfId="33" applyNumberFormat="1" applyFont="1" applyFill="1" applyBorder="1"/>
    <xf numFmtId="165" fontId="138" fillId="32" borderId="93" xfId="33" applyNumberFormat="1" applyFont="1" applyFill="1" applyBorder="1"/>
    <xf numFmtId="165" fontId="138" fillId="32" borderId="0" xfId="33" applyNumberFormat="1" applyFont="1" applyFill="1" applyBorder="1"/>
    <xf numFmtId="165" fontId="138" fillId="32" borderId="32" xfId="33" applyNumberFormat="1" applyFont="1" applyFill="1" applyBorder="1"/>
    <xf numFmtId="165" fontId="138" fillId="32" borderId="33" xfId="33" applyNumberFormat="1" applyFont="1" applyFill="1" applyBorder="1"/>
    <xf numFmtId="165" fontId="138" fillId="32" borderId="14" xfId="33" applyNumberFormat="1" applyFont="1" applyFill="1" applyBorder="1"/>
    <xf numFmtId="165" fontId="10" fillId="0" borderId="0" xfId="33" applyNumberFormat="1" applyFont="1" applyFill="1" applyBorder="1"/>
    <xf numFmtId="3" fontId="10" fillId="0" borderId="0" xfId="109" applyNumberFormat="1" applyFont="1" applyFill="1" applyBorder="1" applyAlignment="1">
      <alignment horizontal="center" wrapText="1"/>
    </xf>
    <xf numFmtId="165" fontId="139" fillId="0" borderId="0" xfId="33" applyNumberFormat="1" applyFont="1" applyFill="1" applyBorder="1"/>
    <xf numFmtId="165" fontId="11" fillId="0" borderId="0" xfId="33" applyNumberFormat="1" applyFont="1" applyFill="1" applyBorder="1"/>
    <xf numFmtId="0" fontId="139" fillId="37" borderId="71" xfId="109" applyFont="1" applyFill="1" applyBorder="1"/>
    <xf numFmtId="3" fontId="10" fillId="0" borderId="0" xfId="109" applyNumberFormat="1" applyFont="1" applyFill="1" applyBorder="1"/>
    <xf numFmtId="49" fontId="10" fillId="0" borderId="0" xfId="109" applyNumberFormat="1" applyFont="1" applyFill="1" applyBorder="1" applyAlignment="1">
      <alignment horizontal="center"/>
    </xf>
    <xf numFmtId="49" fontId="10" fillId="0" borderId="0" xfId="109" applyNumberFormat="1" applyFont="1" applyFill="1" applyBorder="1" applyAlignment="1">
      <alignment horizontal="center" wrapText="1"/>
    </xf>
    <xf numFmtId="165" fontId="9" fillId="0" borderId="0" xfId="33" applyNumberFormat="1" applyFont="1" applyFill="1" applyBorder="1"/>
    <xf numFmtId="43" fontId="9" fillId="0" borderId="0" xfId="109" applyNumberFormat="1" applyFont="1" applyBorder="1"/>
    <xf numFmtId="0" fontId="10" fillId="0" borderId="0" xfId="109" applyNumberFormat="1" applyFont="1" applyFill="1"/>
    <xf numFmtId="0" fontId="10" fillId="0" borderId="0" xfId="109" applyNumberFormat="1" applyFont="1" applyFill="1" applyAlignment="1">
      <alignment horizontal="center"/>
    </xf>
    <xf numFmtId="165" fontId="10" fillId="0" borderId="0" xfId="33" applyNumberFormat="1" applyFont="1" applyFill="1"/>
    <xf numFmtId="0" fontId="9" fillId="0" borderId="6" xfId="109" applyFont="1" applyFill="1" applyBorder="1" applyAlignment="1">
      <alignment horizontal="center"/>
    </xf>
    <xf numFmtId="165" fontId="9" fillId="0" borderId="0" xfId="109" applyNumberFormat="1" applyFont="1" applyFill="1"/>
    <xf numFmtId="0" fontId="14" fillId="38" borderId="0" xfId="109" applyFont="1" applyFill="1"/>
    <xf numFmtId="0" fontId="14" fillId="38" borderId="0" xfId="109" applyFont="1" applyFill="1" applyBorder="1"/>
    <xf numFmtId="37" fontId="14" fillId="38" borderId="0" xfId="109" applyNumberFormat="1" applyFont="1" applyFill="1" applyBorder="1"/>
    <xf numFmtId="166" fontId="156" fillId="32" borderId="0" xfId="44" applyNumberFormat="1" applyFont="1" applyFill="1" applyBorder="1"/>
    <xf numFmtId="194" fontId="139" fillId="0" borderId="0" xfId="162" applyNumberFormat="1" applyFont="1"/>
    <xf numFmtId="0" fontId="35" fillId="0" borderId="0" xfId="109" applyNumberFormat="1" applyFont="1" applyFill="1" applyAlignment="1"/>
    <xf numFmtId="0" fontId="29" fillId="0" borderId="0" xfId="109" applyNumberFormat="1" applyFont="1" applyFill="1" applyAlignment="1"/>
    <xf numFmtId="0" fontId="29" fillId="0" borderId="0" xfId="109" applyNumberFormat="1" applyFont="1" applyFill="1" applyBorder="1" applyAlignment="1"/>
    <xf numFmtId="0" fontId="29" fillId="0" borderId="49" xfId="109" applyNumberFormat="1" applyFont="1" applyFill="1" applyBorder="1" applyAlignment="1"/>
    <xf numFmtId="0" fontId="14" fillId="34" borderId="46" xfId="109" applyNumberFormat="1" applyFont="1" applyFill="1" applyBorder="1" applyAlignment="1">
      <alignment horizontal="centerContinuous"/>
    </xf>
    <xf numFmtId="0" fontId="14" fillId="35" borderId="39" xfId="109" applyNumberFormat="1" applyFont="1" applyFill="1" applyBorder="1" applyAlignment="1">
      <alignment horizontal="center"/>
    </xf>
    <xf numFmtId="0" fontId="35" fillId="0" borderId="0" xfId="109" applyNumberFormat="1" applyFont="1" applyFill="1" applyBorder="1" applyAlignment="1"/>
    <xf numFmtId="0" fontId="9" fillId="0" borderId="0" xfId="109" applyNumberFormat="1" applyFont="1" applyFill="1" applyAlignment="1"/>
    <xf numFmtId="0" fontId="29" fillId="0" borderId="0" xfId="109" applyNumberFormat="1" applyFont="1" applyFill="1" applyAlignment="1">
      <alignment horizontal="center"/>
    </xf>
    <xf numFmtId="0" fontId="9" fillId="0" borderId="0" xfId="109" applyNumberFormat="1" applyFont="1" applyFill="1" applyBorder="1" applyAlignment="1"/>
    <xf numFmtId="0" fontId="14" fillId="34" borderId="0" xfId="109" applyNumberFormat="1" applyFont="1" applyFill="1" applyBorder="1" applyAlignment="1">
      <alignment horizontal="center"/>
    </xf>
    <xf numFmtId="0" fontId="31" fillId="0" borderId="0" xfId="109" applyNumberFormat="1" applyFont="1" applyFill="1" applyBorder="1" applyAlignment="1"/>
    <xf numFmtId="0" fontId="29" fillId="0" borderId="0" xfId="109" applyNumberFormat="1" applyFont="1" applyFill="1" applyBorder="1" applyAlignment="1">
      <alignment horizontal="left" indent="1"/>
    </xf>
    <xf numFmtId="165" fontId="29" fillId="0" borderId="0" xfId="33" applyNumberFormat="1" applyFont="1" applyFill="1" applyBorder="1" applyAlignment="1"/>
    <xf numFmtId="165" fontId="51" fillId="0" borderId="0" xfId="33" applyNumberFormat="1" applyFont="1" applyFill="1" applyBorder="1" applyAlignment="1"/>
    <xf numFmtId="0" fontId="31" fillId="0" borderId="0" xfId="109" applyNumberFormat="1" applyFont="1" applyFill="1" applyBorder="1" applyAlignment="1">
      <alignment horizontal="left" indent="1"/>
    </xf>
    <xf numFmtId="165" fontId="31" fillId="0" borderId="0" xfId="33" applyNumberFormat="1" applyFont="1" applyFill="1" applyBorder="1" applyAlignment="1"/>
    <xf numFmtId="165" fontId="9" fillId="0" borderId="0" xfId="33" applyNumberFormat="1" applyFont="1" applyFill="1" applyBorder="1" applyAlignment="1"/>
    <xf numFmtId="0" fontId="31" fillId="0" borderId="0" xfId="109" applyNumberFormat="1" applyFont="1" applyFill="1" applyBorder="1" applyAlignment="1">
      <alignment horizontal="left"/>
    </xf>
    <xf numFmtId="0" fontId="49" fillId="0" borderId="0" xfId="109" applyNumberFormat="1" applyFont="1" applyFill="1" applyAlignment="1"/>
    <xf numFmtId="0" fontId="31" fillId="0" borderId="0" xfId="109" applyNumberFormat="1" applyFont="1" applyFill="1" applyBorder="1" applyAlignment="1">
      <alignment horizontal="left" indent="2"/>
    </xf>
    <xf numFmtId="165" fontId="10" fillId="0" borderId="0" xfId="33" applyNumberFormat="1" applyFont="1" applyFill="1" applyBorder="1" applyAlignment="1"/>
    <xf numFmtId="0" fontId="23" fillId="0" borderId="0" xfId="109" applyNumberFormat="1" applyFont="1" applyFill="1" applyAlignment="1"/>
    <xf numFmtId="0" fontId="25" fillId="0" borderId="0" xfId="109" applyFill="1" applyAlignment="1">
      <alignment horizontal="left" indent="1"/>
    </xf>
    <xf numFmtId="9" fontId="29" fillId="0" borderId="0" xfId="174" applyFont="1" applyFill="1" applyBorder="1" applyAlignment="1"/>
    <xf numFmtId="0" fontId="29" fillId="0" borderId="0" xfId="109" applyNumberFormat="1" applyFont="1" applyFill="1" applyBorder="1" applyAlignment="1">
      <alignment horizontal="left"/>
    </xf>
    <xf numFmtId="166" fontId="156" fillId="0" borderId="22" xfId="48" applyNumberFormat="1" applyFont="1" applyFill="1" applyBorder="1"/>
    <xf numFmtId="41" fontId="10" fillId="0" borderId="0" xfId="0" applyNumberFormat="1" applyFont="1"/>
    <xf numFmtId="165" fontId="139" fillId="0" borderId="22" xfId="29" applyNumberFormat="1" applyFont="1" applyFill="1" applyBorder="1"/>
    <xf numFmtId="0" fontId="185" fillId="37" borderId="71" xfId="0" applyFont="1" applyFill="1" applyBorder="1"/>
    <xf numFmtId="0" fontId="185" fillId="0" borderId="0" xfId="0" applyFont="1"/>
    <xf numFmtId="0" fontId="186" fillId="0" borderId="0" xfId="0" applyFont="1" applyAlignment="1">
      <alignment horizontal="center"/>
    </xf>
    <xf numFmtId="0" fontId="187" fillId="0" borderId="0" xfId="0" applyFont="1" applyFill="1" applyAlignment="1">
      <alignment horizontal="left"/>
    </xf>
    <xf numFmtId="0" fontId="185" fillId="0" borderId="0" xfId="0" applyFont="1" applyAlignment="1"/>
    <xf numFmtId="0" fontId="185" fillId="0" borderId="0" xfId="0" applyFont="1" applyAlignment="1">
      <alignment horizontal="left"/>
    </xf>
    <xf numFmtId="0" fontId="185" fillId="0" borderId="0" xfId="0" applyFont="1" applyFill="1" applyAlignment="1"/>
    <xf numFmtId="0" fontId="185" fillId="0" borderId="0" xfId="0" applyFont="1" applyFill="1" applyAlignment="1">
      <alignment horizontal="center"/>
    </xf>
    <xf numFmtId="0" fontId="188" fillId="34" borderId="40" xfId="0" applyFont="1" applyFill="1" applyBorder="1" applyAlignment="1">
      <alignment horizontal="center"/>
    </xf>
    <xf numFmtId="0" fontId="188" fillId="34" borderId="47" xfId="0" applyFont="1" applyFill="1" applyBorder="1" applyAlignment="1"/>
    <xf numFmtId="0" fontId="185" fillId="0" borderId="45" xfId="0" applyFont="1" applyBorder="1"/>
    <xf numFmtId="0" fontId="188" fillId="34" borderId="0" xfId="0" applyFont="1" applyFill="1" applyBorder="1" applyAlignment="1"/>
    <xf numFmtId="0" fontId="188" fillId="34" borderId="26" xfId="143" applyFont="1" applyFill="1" applyBorder="1" applyAlignment="1">
      <alignment horizontal="center"/>
    </xf>
    <xf numFmtId="0" fontId="188" fillId="34" borderId="38" xfId="0" applyFont="1" applyFill="1" applyBorder="1" applyAlignment="1">
      <alignment horizontal="center"/>
    </xf>
    <xf numFmtId="0" fontId="188" fillId="35" borderId="39" xfId="0" applyFont="1" applyFill="1" applyBorder="1" applyAlignment="1">
      <alignment horizontal="center"/>
    </xf>
    <xf numFmtId="0" fontId="188" fillId="34" borderId="0" xfId="0" applyFont="1" applyFill="1" applyBorder="1" applyAlignment="1">
      <alignment horizontal="center"/>
    </xf>
    <xf numFmtId="0" fontId="185" fillId="32" borderId="26" xfId="0" applyFont="1" applyFill="1" applyBorder="1" applyAlignment="1">
      <alignment horizontal="center"/>
    </xf>
    <xf numFmtId="0" fontId="185" fillId="0" borderId="0" xfId="0" applyFont="1" applyFill="1" applyAlignment="1">
      <alignment horizontal="left"/>
    </xf>
    <xf numFmtId="0" fontId="185" fillId="0" borderId="0" xfId="0" applyFont="1" applyFill="1" applyBorder="1" applyAlignment="1">
      <alignment horizontal="center"/>
    </xf>
    <xf numFmtId="0" fontId="185" fillId="0" borderId="0" xfId="0" applyFont="1" applyFill="1" applyBorder="1" applyAlignment="1"/>
    <xf numFmtId="0" fontId="189" fillId="0" borderId="0" xfId="0" applyFont="1" applyFill="1" applyBorder="1" applyAlignment="1">
      <alignment horizontal="center"/>
    </xf>
    <xf numFmtId="0" fontId="190" fillId="0" borderId="0" xfId="0" applyFont="1" applyFill="1" applyAlignment="1">
      <alignment horizontal="left"/>
    </xf>
    <xf numFmtId="0" fontId="191" fillId="0" borderId="0" xfId="0" applyFont="1" applyFill="1" applyBorder="1" applyAlignment="1"/>
    <xf numFmtId="165" fontId="192" fillId="32" borderId="29" xfId="0" applyNumberFormat="1" applyFont="1" applyFill="1" applyBorder="1" applyAlignment="1"/>
    <xf numFmtId="165" fontId="192" fillId="32" borderId="30" xfId="29" applyNumberFormat="1" applyFont="1" applyFill="1" applyBorder="1" applyAlignment="1"/>
    <xf numFmtId="165" fontId="185" fillId="0" borderId="0" xfId="29" applyNumberFormat="1" applyFont="1" applyFill="1" applyBorder="1" applyAlignment="1"/>
    <xf numFmtId="165" fontId="192" fillId="32" borderId="32" xfId="0" applyNumberFormat="1" applyFont="1" applyFill="1" applyBorder="1" applyAlignment="1"/>
    <xf numFmtId="165" fontId="192" fillId="32" borderId="14" xfId="29" applyNumberFormat="1" applyFont="1" applyFill="1" applyBorder="1" applyAlignment="1"/>
    <xf numFmtId="165" fontId="192" fillId="32" borderId="32" xfId="29" applyNumberFormat="1" applyFont="1" applyFill="1" applyBorder="1" applyAlignment="1"/>
    <xf numFmtId="165" fontId="192" fillId="32" borderId="33" xfId="29" applyNumberFormat="1" applyFont="1" applyFill="1" applyBorder="1" applyAlignment="1"/>
    <xf numFmtId="0" fontId="193" fillId="0" borderId="0" xfId="0" applyFont="1" applyFill="1" applyAlignment="1">
      <alignment horizontal="left"/>
    </xf>
    <xf numFmtId="41" fontId="185" fillId="0" borderId="0" xfId="0" applyNumberFormat="1" applyFont="1" applyFill="1" applyBorder="1" applyAlignment="1"/>
    <xf numFmtId="41" fontId="185" fillId="0" borderId="0" xfId="0" applyNumberFormat="1" applyFont="1" applyFill="1" applyAlignment="1"/>
    <xf numFmtId="165" fontId="192" fillId="32" borderId="29" xfId="29" applyNumberFormat="1" applyFont="1" applyFill="1" applyBorder="1" applyAlignment="1"/>
    <xf numFmtId="165" fontId="192" fillId="32" borderId="31" xfId="29" applyNumberFormat="1" applyFont="1" applyFill="1" applyBorder="1" applyAlignment="1"/>
    <xf numFmtId="165" fontId="192" fillId="32" borderId="42" xfId="0" applyNumberFormat="1" applyFont="1" applyFill="1" applyBorder="1" applyAlignment="1"/>
    <xf numFmtId="165" fontId="192" fillId="32" borderId="0" xfId="29" applyNumberFormat="1" applyFont="1" applyFill="1" applyBorder="1" applyAlignment="1"/>
    <xf numFmtId="165" fontId="192" fillId="32" borderId="42" xfId="29" applyNumberFormat="1" applyFont="1" applyFill="1" applyBorder="1" applyAlignment="1"/>
    <xf numFmtId="165" fontId="192" fillId="32" borderId="93" xfId="29" applyNumberFormat="1" applyFont="1" applyFill="1" applyBorder="1" applyAlignment="1"/>
    <xf numFmtId="165" fontId="185" fillId="0" borderId="21" xfId="29" applyNumberFormat="1" applyFont="1" applyFill="1" applyBorder="1" applyAlignment="1"/>
    <xf numFmtId="0" fontId="185" fillId="0" borderId="21" xfId="0" applyFont="1" applyBorder="1"/>
    <xf numFmtId="0" fontId="185" fillId="0" borderId="0" xfId="0" applyFont="1" applyFill="1" applyAlignment="1">
      <alignment horizontal="left" indent="1"/>
    </xf>
    <xf numFmtId="41" fontId="192" fillId="32" borderId="34" xfId="0" applyNumberFormat="1" applyFont="1" applyFill="1" applyBorder="1" applyAlignment="1"/>
    <xf numFmtId="165" fontId="192" fillId="32" borderId="35" xfId="29" applyNumberFormat="1" applyFont="1" applyFill="1" applyBorder="1" applyAlignment="1"/>
    <xf numFmtId="165" fontId="192" fillId="32" borderId="34" xfId="29" applyNumberFormat="1" applyFont="1" applyFill="1" applyBorder="1" applyAlignment="1"/>
    <xf numFmtId="165" fontId="192" fillId="32" borderId="87" xfId="29" applyNumberFormat="1" applyFont="1" applyFill="1" applyBorder="1" applyAlignment="1"/>
    <xf numFmtId="165" fontId="185" fillId="0" borderId="0" xfId="0" applyNumberFormat="1" applyFont="1" applyFill="1" applyAlignment="1"/>
    <xf numFmtId="165" fontId="192" fillId="32" borderId="93" xfId="0" applyNumberFormat="1" applyFont="1" applyFill="1" applyBorder="1" applyAlignment="1"/>
    <xf numFmtId="41" fontId="192" fillId="32" borderId="29" xfId="0" applyNumberFormat="1" applyFont="1" applyFill="1" applyBorder="1" applyAlignment="1"/>
    <xf numFmtId="41" fontId="192" fillId="32" borderId="32" xfId="0" applyNumberFormat="1" applyFont="1" applyFill="1" applyBorder="1" applyAlignment="1"/>
    <xf numFmtId="165" fontId="192" fillId="32" borderId="30" xfId="0" applyNumberFormat="1" applyFont="1" applyFill="1" applyBorder="1" applyAlignment="1"/>
    <xf numFmtId="165" fontId="192" fillId="32" borderId="31" xfId="0" applyNumberFormat="1" applyFont="1" applyFill="1" applyBorder="1" applyAlignment="1"/>
    <xf numFmtId="165" fontId="192" fillId="32" borderId="0" xfId="0" applyNumberFormat="1" applyFont="1" applyFill="1" applyBorder="1" applyAlignment="1"/>
    <xf numFmtId="165" fontId="192" fillId="32" borderId="14" xfId="0" applyNumberFormat="1" applyFont="1" applyFill="1" applyBorder="1" applyAlignment="1"/>
    <xf numFmtId="165" fontId="192" fillId="32" borderId="33" xfId="0" applyNumberFormat="1" applyFont="1" applyFill="1" applyBorder="1" applyAlignment="1"/>
    <xf numFmtId="165" fontId="185" fillId="0" borderId="21" xfId="0" applyNumberFormat="1" applyFont="1" applyFill="1" applyBorder="1" applyAlignment="1"/>
    <xf numFmtId="165" fontId="192" fillId="32" borderId="34" xfId="0" applyNumberFormat="1" applyFont="1" applyFill="1" applyBorder="1" applyAlignment="1"/>
    <xf numFmtId="165" fontId="192" fillId="0" borderId="42" xfId="0" applyNumberFormat="1" applyFont="1" applyFill="1" applyBorder="1" applyAlignment="1"/>
    <xf numFmtId="165" fontId="192" fillId="0" borderId="0" xfId="29" applyNumberFormat="1" applyFont="1" applyFill="1" applyBorder="1" applyAlignment="1"/>
    <xf numFmtId="165" fontId="192" fillId="0" borderId="42" xfId="29" applyNumberFormat="1" applyFont="1" applyFill="1" applyBorder="1" applyAlignment="1"/>
    <xf numFmtId="0" fontId="185" fillId="0" borderId="0" xfId="0" applyFont="1" applyFill="1" applyBorder="1" applyAlignment="1">
      <alignment horizontal="left"/>
    </xf>
    <xf numFmtId="0" fontId="185" fillId="0" borderId="29" xfId="0" applyFont="1" applyFill="1" applyBorder="1" applyAlignment="1">
      <alignment horizontal="left"/>
    </xf>
    <xf numFmtId="165" fontId="185" fillId="0" borderId="30" xfId="0" applyNumberFormat="1" applyFont="1" applyFill="1" applyBorder="1" applyAlignment="1">
      <alignment horizontal="left" indent="1"/>
    </xf>
    <xf numFmtId="41" fontId="185" fillId="0" borderId="30" xfId="0" applyNumberFormat="1" applyFont="1" applyFill="1" applyBorder="1" applyAlignment="1"/>
    <xf numFmtId="0" fontId="185" fillId="0" borderId="42" xfId="0" applyFont="1" applyFill="1" applyBorder="1" applyAlignment="1">
      <alignment horizontal="left"/>
    </xf>
    <xf numFmtId="165" fontId="185" fillId="0" borderId="0" xfId="0" applyNumberFormat="1" applyFont="1" applyFill="1" applyBorder="1" applyAlignment="1">
      <alignment horizontal="left" indent="1"/>
    </xf>
    <xf numFmtId="41" fontId="185" fillId="0" borderId="0" xfId="0" applyNumberFormat="1" applyFont="1" applyFill="1" applyBorder="1" applyAlignment="1">
      <alignment horizontal="left" indent="1"/>
    </xf>
    <xf numFmtId="41" fontId="185" fillId="0" borderId="0" xfId="0" applyNumberFormat="1" applyFont="1" applyFill="1" applyBorder="1" applyAlignment="1">
      <alignment horizontal="left"/>
    </xf>
    <xf numFmtId="165" fontId="185" fillId="0" borderId="0" xfId="0" applyNumberFormat="1" applyFont="1" applyFill="1" applyBorder="1" applyAlignment="1">
      <alignment horizontal="left"/>
    </xf>
    <xf numFmtId="0" fontId="185" fillId="0" borderId="42" xfId="0" applyFont="1" applyFill="1" applyBorder="1" applyAlignment="1"/>
    <xf numFmtId="0" fontId="185" fillId="0" borderId="32" xfId="0" applyFont="1" applyFill="1" applyBorder="1" applyAlignment="1"/>
    <xf numFmtId="41" fontId="185" fillId="0" borderId="14" xfId="0" applyNumberFormat="1" applyFont="1" applyFill="1" applyBorder="1" applyAlignment="1"/>
    <xf numFmtId="0" fontId="194" fillId="0" borderId="0" xfId="0" applyFont="1" applyFill="1" applyAlignment="1">
      <alignment horizontal="right"/>
    </xf>
    <xf numFmtId="165" fontId="194" fillId="0" borderId="0" xfId="29" applyNumberFormat="1" applyFont="1" applyFill="1" applyAlignment="1">
      <alignment horizontal="right"/>
    </xf>
    <xf numFmtId="43" fontId="185" fillId="0" borderId="0" xfId="0" applyNumberFormat="1" applyFont="1" applyFill="1" applyAlignment="1"/>
    <xf numFmtId="165" fontId="185" fillId="0" borderId="0" xfId="29" applyNumberFormat="1" applyFont="1" applyFill="1" applyAlignment="1"/>
    <xf numFmtId="0" fontId="187" fillId="0" borderId="0" xfId="0" applyFont="1" applyFill="1" applyBorder="1" applyAlignment="1">
      <alignment horizontal="center" vertical="center"/>
    </xf>
    <xf numFmtId="0" fontId="185" fillId="0" borderId="44" xfId="0" applyFont="1" applyFill="1" applyBorder="1" applyAlignment="1">
      <alignment horizontal="center"/>
    </xf>
    <xf numFmtId="0" fontId="185" fillId="0" borderId="100" xfId="0" applyFont="1" applyFill="1" applyBorder="1" applyAlignment="1">
      <alignment horizontal="center"/>
    </xf>
    <xf numFmtId="0" fontId="187" fillId="0" borderId="47" xfId="0" applyFont="1" applyFill="1" applyBorder="1" applyAlignment="1"/>
    <xf numFmtId="0" fontId="187" fillId="0" borderId="0" xfId="0" applyFont="1" applyFill="1" applyBorder="1" applyAlignment="1"/>
    <xf numFmtId="0" fontId="187" fillId="0" borderId="106" xfId="0" applyFont="1" applyFill="1" applyBorder="1" applyAlignment="1">
      <alignment horizontal="center" vertical="center"/>
    </xf>
    <xf numFmtId="0" fontId="187" fillId="0" borderId="106" xfId="0" applyFont="1" applyFill="1" applyBorder="1" applyAlignment="1">
      <alignment horizontal="center"/>
    </xf>
    <xf numFmtId="0" fontId="185" fillId="0" borderId="80" xfId="0" applyFont="1" applyFill="1" applyBorder="1"/>
    <xf numFmtId="0" fontId="185" fillId="0" borderId="81" xfId="0" applyFont="1" applyFill="1" applyBorder="1"/>
    <xf numFmtId="0" fontId="185" fillId="0" borderId="0" xfId="0" applyFont="1" applyFill="1" applyBorder="1"/>
    <xf numFmtId="0" fontId="185" fillId="0" borderId="0" xfId="0" applyFont="1" applyFill="1"/>
    <xf numFmtId="0" fontId="187" fillId="0" borderId="0" xfId="0" applyFont="1" applyFill="1" applyAlignment="1"/>
    <xf numFmtId="41" fontId="195" fillId="0" borderId="0" xfId="0" applyNumberFormat="1" applyFont="1" applyFill="1" applyAlignment="1"/>
    <xf numFmtId="0" fontId="185" fillId="0" borderId="0" xfId="0" applyFont="1" applyAlignment="1">
      <alignment horizontal="center"/>
    </xf>
    <xf numFmtId="0" fontId="196" fillId="0" borderId="0" xfId="0" applyFont="1" applyAlignment="1">
      <alignment horizontal="center"/>
    </xf>
    <xf numFmtId="0" fontId="197" fillId="0" borderId="0" xfId="0" applyFont="1" applyFill="1" applyBorder="1" applyAlignment="1">
      <alignment horizontal="center"/>
    </xf>
    <xf numFmtId="0" fontId="185" fillId="22" borderId="0" xfId="0" applyFont="1" applyFill="1"/>
    <xf numFmtId="0" fontId="198" fillId="0" borderId="0" xfId="0" applyFont="1" applyFill="1"/>
    <xf numFmtId="10" fontId="185" fillId="0" borderId="0" xfId="162" applyNumberFormat="1" applyFont="1" applyFill="1" applyAlignment="1">
      <alignment horizontal="center"/>
    </xf>
    <xf numFmtId="0" fontId="196" fillId="0" borderId="0" xfId="0" applyFont="1" applyFill="1" applyAlignment="1">
      <alignment horizontal="center"/>
    </xf>
    <xf numFmtId="0" fontId="196" fillId="0" borderId="0" xfId="0" applyFont="1" applyFill="1"/>
    <xf numFmtId="10" fontId="196" fillId="0" borderId="0" xfId="162" applyNumberFormat="1" applyFont="1" applyFill="1" applyAlignment="1">
      <alignment horizontal="center"/>
    </xf>
    <xf numFmtId="167" fontId="185" fillId="0" borderId="0" xfId="162" applyNumberFormat="1" applyFont="1" applyFill="1" applyAlignment="1"/>
    <xf numFmtId="0" fontId="199" fillId="0" borderId="0" xfId="0" applyFont="1"/>
    <xf numFmtId="165" fontId="200" fillId="0" borderId="20" xfId="0" applyNumberFormat="1" applyFont="1" applyBorder="1"/>
    <xf numFmtId="0" fontId="200" fillId="0" borderId="0" xfId="0" applyFont="1"/>
    <xf numFmtId="0" fontId="14" fillId="34" borderId="0" xfId="109" applyNumberFormat="1" applyFont="1" applyFill="1" applyBorder="1" applyAlignment="1">
      <alignment horizontal="left"/>
    </xf>
    <xf numFmtId="0" fontId="201" fillId="0" borderId="0" xfId="0" applyNumberFormat="1" applyFont="1" applyFill="1" applyAlignment="1"/>
    <xf numFmtId="0" fontId="202" fillId="0" borderId="0" xfId="0" applyNumberFormat="1" applyFont="1" applyFill="1" applyAlignment="1"/>
    <xf numFmtId="0" fontId="203" fillId="0" borderId="0" xfId="147" applyFont="1" applyFill="1" applyBorder="1" applyAlignment="1" applyProtection="1">
      <protection locked="0"/>
    </xf>
    <xf numFmtId="0" fontId="204" fillId="0" borderId="0" xfId="0" applyNumberFormat="1" applyFont="1" applyFill="1" applyAlignment="1"/>
    <xf numFmtId="0" fontId="203" fillId="0" borderId="0" xfId="147" applyFont="1" applyFill="1" applyBorder="1" applyAlignment="1" applyProtection="1">
      <alignment horizontal="center"/>
      <protection locked="0"/>
    </xf>
    <xf numFmtId="0" fontId="202" fillId="0" borderId="0" xfId="0" applyNumberFormat="1" applyFont="1" applyFill="1" applyBorder="1" applyAlignment="1"/>
    <xf numFmtId="0" fontId="205" fillId="0" borderId="0" xfId="147" applyFont="1" applyFill="1" applyBorder="1" applyAlignment="1" applyProtection="1">
      <alignment horizontal="left"/>
      <protection locked="0"/>
    </xf>
    <xf numFmtId="0" fontId="202" fillId="0" borderId="49" xfId="0" applyNumberFormat="1" applyFont="1" applyFill="1" applyBorder="1" applyAlignment="1"/>
    <xf numFmtId="0" fontId="188" fillId="34" borderId="46" xfId="0" applyNumberFormat="1" applyFont="1" applyFill="1" applyBorder="1" applyAlignment="1">
      <alignment horizontal="centerContinuous"/>
    </xf>
    <xf numFmtId="0" fontId="201" fillId="0" borderId="45" xfId="0" applyNumberFormat="1" applyFont="1" applyFill="1" applyBorder="1" applyAlignment="1"/>
    <xf numFmtId="0" fontId="188" fillId="35" borderId="39" xfId="0" applyNumberFormat="1" applyFont="1" applyFill="1" applyBorder="1" applyAlignment="1">
      <alignment horizontal="center"/>
    </xf>
    <xf numFmtId="0" fontId="201" fillId="0" borderId="0" xfId="0" applyNumberFormat="1" applyFont="1" applyFill="1" applyBorder="1" applyAlignment="1"/>
    <xf numFmtId="0" fontId="185" fillId="0" borderId="0" xfId="0" applyNumberFormat="1" applyFont="1" applyFill="1" applyAlignment="1"/>
    <xf numFmtId="0" fontId="202" fillId="0" borderId="0" xfId="0" applyNumberFormat="1" applyFont="1" applyFill="1" applyAlignment="1">
      <alignment horizontal="center"/>
    </xf>
    <xf numFmtId="0" fontId="185" fillId="0" borderId="0" xfId="0" applyNumberFormat="1" applyFont="1" applyFill="1" applyBorder="1" applyAlignment="1"/>
    <xf numFmtId="0" fontId="187" fillId="0" borderId="0" xfId="0" applyNumberFormat="1" applyFont="1" applyFill="1" applyAlignment="1"/>
    <xf numFmtId="0" fontId="188" fillId="34" borderId="0" xfId="0" applyNumberFormat="1" applyFont="1" applyFill="1" applyBorder="1" applyAlignment="1">
      <alignment horizontal="center"/>
    </xf>
    <xf numFmtId="0" fontId="204" fillId="0" borderId="0" xfId="0" applyNumberFormat="1" applyFont="1" applyFill="1" applyBorder="1" applyAlignment="1"/>
    <xf numFmtId="165" fontId="204" fillId="0" borderId="0" xfId="29" applyNumberFormat="1" applyFont="1" applyFill="1" applyAlignment="1"/>
    <xf numFmtId="0" fontId="202" fillId="0" borderId="0" xfId="0" applyNumberFormat="1" applyFont="1" applyFill="1" applyBorder="1" applyAlignment="1">
      <alignment horizontal="left" indent="1"/>
    </xf>
    <xf numFmtId="165" fontId="202" fillId="0" borderId="0" xfId="29" applyNumberFormat="1" applyFont="1" applyFill="1" applyBorder="1" applyAlignment="1"/>
    <xf numFmtId="0" fontId="202" fillId="0" borderId="0" xfId="0" applyNumberFormat="1" applyFont="1" applyFill="1" applyBorder="1" applyAlignment="1">
      <alignment horizontal="left" indent="2"/>
    </xf>
    <xf numFmtId="165" fontId="206" fillId="0" borderId="0" xfId="29" applyNumberFormat="1" applyFont="1" applyFill="1" applyBorder="1" applyAlignment="1"/>
    <xf numFmtId="0" fontId="202" fillId="0" borderId="0" xfId="0" applyNumberFormat="1" applyFont="1" applyFill="1" applyBorder="1" applyAlignment="1">
      <alignment horizontal="left" indent="3"/>
    </xf>
    <xf numFmtId="202" fontId="202" fillId="0" borderId="0" xfId="29" applyNumberFormat="1" applyFont="1" applyFill="1" applyBorder="1" applyAlignment="1"/>
    <xf numFmtId="165" fontId="202" fillId="41" borderId="0" xfId="29" applyNumberFormat="1" applyFont="1" applyFill="1" applyBorder="1" applyAlignment="1"/>
    <xf numFmtId="0" fontId="204" fillId="0" borderId="0" xfId="0" applyNumberFormat="1" applyFont="1" applyFill="1" applyBorder="1" applyAlignment="1">
      <alignment horizontal="left" indent="1"/>
    </xf>
    <xf numFmtId="165" fontId="204" fillId="0" borderId="0" xfId="29" applyNumberFormat="1" applyFont="1" applyFill="1" applyBorder="1" applyAlignment="1"/>
    <xf numFmtId="0" fontId="204" fillId="0" borderId="0" xfId="0" applyNumberFormat="1" applyFont="1" applyFill="1" applyBorder="1" applyAlignment="1">
      <alignment horizontal="left"/>
    </xf>
    <xf numFmtId="0" fontId="207" fillId="0" borderId="0" xfId="0" applyNumberFormat="1" applyFont="1" applyFill="1" applyAlignment="1"/>
    <xf numFmtId="0" fontId="204" fillId="0" borderId="0" xfId="0" applyNumberFormat="1" applyFont="1" applyFill="1" applyBorder="1" applyAlignment="1">
      <alignment horizontal="left" indent="2"/>
    </xf>
    <xf numFmtId="165" fontId="187" fillId="0" borderId="0" xfId="29" applyNumberFormat="1" applyFont="1" applyFill="1" applyBorder="1" applyAlignment="1"/>
    <xf numFmtId="0" fontId="204" fillId="23" borderId="0" xfId="0" applyNumberFormat="1" applyFont="1" applyFill="1" applyBorder="1" applyAlignment="1">
      <alignment horizontal="left"/>
    </xf>
    <xf numFmtId="0" fontId="202" fillId="23" borderId="0" xfId="0" applyNumberFormat="1" applyFont="1" applyFill="1" applyBorder="1" applyAlignment="1"/>
    <xf numFmtId="0" fontId="202" fillId="23" borderId="0" xfId="0" applyNumberFormat="1" applyFont="1" applyFill="1" applyBorder="1" applyAlignment="1">
      <alignment horizontal="center"/>
    </xf>
    <xf numFmtId="0" fontId="208" fillId="23" borderId="0" xfId="0" applyNumberFormat="1" applyFont="1" applyFill="1" applyBorder="1" applyAlignment="1">
      <alignment horizontal="left" indent="1"/>
    </xf>
    <xf numFmtId="0" fontId="208" fillId="23" borderId="0" xfId="0" applyNumberFormat="1" applyFont="1" applyFill="1" applyBorder="1" applyAlignment="1">
      <alignment horizontal="center"/>
    </xf>
    <xf numFmtId="183" fontId="202" fillId="23" borderId="0" xfId="0" applyNumberFormat="1" applyFont="1" applyFill="1" applyBorder="1" applyAlignment="1">
      <alignment horizontal="center"/>
    </xf>
    <xf numFmtId="165" fontId="202" fillId="23" borderId="0" xfId="36" applyNumberFormat="1" applyFont="1" applyFill="1" applyBorder="1" applyAlignment="1"/>
    <xf numFmtId="165" fontId="185" fillId="0" borderId="0" xfId="36" applyNumberFormat="1" applyFont="1" applyFill="1" applyBorder="1" applyAlignment="1"/>
    <xf numFmtId="165" fontId="185" fillId="23" borderId="0" xfId="36" applyNumberFormat="1" applyFont="1" applyFill="1" applyBorder="1" applyAlignment="1"/>
    <xf numFmtId="165" fontId="185" fillId="0" borderId="22" xfId="36" applyNumberFormat="1" applyFont="1" applyFill="1" applyBorder="1" applyAlignment="1"/>
    <xf numFmtId="165" fontId="202" fillId="0" borderId="0" xfId="29" applyNumberFormat="1" applyFont="1" applyFill="1" applyBorder="1" applyAlignment="1">
      <alignment horizontal="left"/>
    </xf>
    <xf numFmtId="0" fontId="185" fillId="41" borderId="0" xfId="0" applyFont="1" applyFill="1" applyAlignment="1">
      <alignment horizontal="left" indent="1"/>
    </xf>
    <xf numFmtId="9" fontId="202" fillId="0" borderId="0" xfId="162" applyFont="1" applyFill="1" applyBorder="1" applyAlignment="1"/>
    <xf numFmtId="0" fontId="202" fillId="0" borderId="0" xfId="0" applyNumberFormat="1" applyFont="1" applyFill="1" applyBorder="1" applyAlignment="1">
      <alignment horizontal="left"/>
    </xf>
    <xf numFmtId="49" fontId="209" fillId="50" borderId="38" xfId="0" applyNumberFormat="1" applyFont="1" applyFill="1" applyBorder="1" applyAlignment="1">
      <alignment horizontal="center" wrapText="1"/>
    </xf>
    <xf numFmtId="0" fontId="210" fillId="42" borderId="0" xfId="0" applyNumberFormat="1" applyFont="1" applyFill="1" applyAlignment="1">
      <alignment horizontal="center"/>
    </xf>
    <xf numFmtId="166" fontId="10" fillId="0" borderId="0" xfId="0" applyNumberFormat="1" applyFont="1" applyFill="1"/>
    <xf numFmtId="0" fontId="202" fillId="0" borderId="0" xfId="109" applyNumberFormat="1" applyFont="1" applyFill="1" applyBorder="1" applyAlignment="1">
      <alignment horizontal="left" indent="1"/>
    </xf>
    <xf numFmtId="0" fontId="9" fillId="0" borderId="8" xfId="0" applyFont="1" applyFill="1" applyBorder="1" applyAlignment="1">
      <alignment horizontal="left"/>
    </xf>
    <xf numFmtId="0" fontId="9" fillId="0" borderId="85" xfId="0" applyFont="1" applyFill="1" applyBorder="1" applyAlignment="1">
      <alignment horizontal="left"/>
    </xf>
    <xf numFmtId="167" fontId="11" fillId="41" borderId="9" xfId="162" applyNumberFormat="1" applyFont="1" applyFill="1" applyBorder="1"/>
    <xf numFmtId="165" fontId="129" fillId="0" borderId="0" xfId="29" applyNumberFormat="1" applyFont="1" applyFill="1" applyBorder="1"/>
    <xf numFmtId="167" fontId="11" fillId="0" borderId="9" xfId="162" applyNumberFormat="1" applyFont="1" applyFill="1" applyBorder="1"/>
    <xf numFmtId="165" fontId="9" fillId="0" borderId="0" xfId="33" applyNumberFormat="1" applyFont="1" applyFill="1" applyAlignment="1"/>
    <xf numFmtId="170" fontId="9" fillId="0" borderId="0" xfId="0" applyNumberFormat="1" applyFont="1"/>
    <xf numFmtId="0" fontId="211" fillId="0" borderId="0" xfId="0" applyFont="1"/>
    <xf numFmtId="0" fontId="211" fillId="0" borderId="0" xfId="0" applyFont="1" applyAlignment="1">
      <alignment horizontal="left" indent="1"/>
    </xf>
    <xf numFmtId="0" fontId="212" fillId="0" borderId="0" xfId="0" applyFont="1"/>
    <xf numFmtId="165" fontId="211" fillId="0" borderId="0" xfId="29" applyNumberFormat="1" applyFont="1"/>
    <xf numFmtId="0" fontId="211" fillId="0" borderId="0" xfId="0" applyFont="1" applyAlignment="1">
      <alignment horizontal="center"/>
    </xf>
    <xf numFmtId="165" fontId="211" fillId="0" borderId="0" xfId="0" applyNumberFormat="1" applyFont="1"/>
    <xf numFmtId="165" fontId="211" fillId="0" borderId="21" xfId="29" applyNumberFormat="1" applyFont="1" applyBorder="1"/>
    <xf numFmtId="165" fontId="211" fillId="0" borderId="0" xfId="29" applyNumberFormat="1" applyFont="1" applyBorder="1"/>
    <xf numFmtId="165" fontId="141" fillId="38" borderId="0" xfId="0" applyNumberFormat="1" applyFont="1" applyFill="1"/>
    <xf numFmtId="0" fontId="200" fillId="0" borderId="0" xfId="0" applyFont="1" applyFill="1"/>
    <xf numFmtId="165" fontId="10" fillId="0" borderId="0" xfId="0" applyNumberFormat="1" applyFont="1"/>
    <xf numFmtId="196" fontId="0" fillId="0" borderId="0" xfId="29" applyNumberFormat="1" applyFont="1"/>
    <xf numFmtId="10" fontId="204" fillId="0" borderId="0" xfId="162" applyNumberFormat="1" applyFont="1" applyFill="1" applyBorder="1" applyAlignment="1"/>
    <xf numFmtId="0" fontId="211" fillId="0" borderId="0" xfId="96" applyFont="1" applyAlignment="1">
      <alignment horizontal="right"/>
    </xf>
    <xf numFmtId="199" fontId="211" fillId="22" borderId="0" xfId="96" applyNumberFormat="1" applyFont="1" applyFill="1"/>
    <xf numFmtId="199" fontId="211" fillId="0" borderId="0" xfId="96" applyNumberFormat="1" applyFont="1" applyFill="1"/>
    <xf numFmtId="0" fontId="212" fillId="0" borderId="0" xfId="96" applyFont="1" applyAlignment="1">
      <alignment horizontal="right"/>
    </xf>
    <xf numFmtId="0" fontId="211" fillId="0" borderId="0" xfId="96" applyFont="1"/>
    <xf numFmtId="0" fontId="211" fillId="22" borderId="0" xfId="96" applyFont="1" applyFill="1"/>
    <xf numFmtId="0" fontId="211" fillId="0" borderId="0" xfId="96" applyFont="1" applyFill="1"/>
    <xf numFmtId="10" fontId="29" fillId="0" borderId="0" xfId="162" applyNumberFormat="1" applyFont="1" applyFill="1" applyBorder="1" applyAlignment="1"/>
    <xf numFmtId="167" fontId="0" fillId="0" borderId="0" xfId="162" applyNumberFormat="1" applyFont="1"/>
    <xf numFmtId="10" fontId="142" fillId="0" borderId="0" xfId="162" applyNumberFormat="1" applyFont="1" applyFill="1"/>
    <xf numFmtId="43" fontId="204" fillId="0" borderId="0" xfId="29" applyFont="1" applyFill="1" applyAlignment="1"/>
    <xf numFmtId="10" fontId="213" fillId="32" borderId="6" xfId="162" applyNumberFormat="1" applyFont="1" applyFill="1" applyBorder="1" applyAlignment="1">
      <alignment horizontal="center"/>
    </xf>
    <xf numFmtId="10" fontId="185" fillId="0" borderId="29" xfId="179" applyNumberFormat="1" applyFont="1" applyFill="1" applyBorder="1" applyAlignment="1"/>
    <xf numFmtId="0" fontId="185" fillId="0" borderId="31" xfId="0" applyNumberFormat="1" applyFont="1" applyFill="1" applyBorder="1" applyAlignment="1"/>
    <xf numFmtId="10" fontId="185" fillId="0" borderId="42" xfId="179" applyNumberFormat="1" applyFont="1" applyFill="1" applyBorder="1" applyAlignment="1"/>
    <xf numFmtId="0" fontId="185" fillId="0" borderId="93" xfId="0" applyNumberFormat="1" applyFont="1" applyFill="1" applyBorder="1" applyAlignment="1"/>
    <xf numFmtId="10" fontId="185" fillId="0" borderId="32" xfId="179" applyNumberFormat="1" applyFont="1" applyFill="1" applyBorder="1" applyAlignment="1"/>
    <xf numFmtId="0" fontId="185" fillId="0" borderId="33" xfId="0" applyNumberFormat="1" applyFont="1" applyFill="1" applyBorder="1" applyAlignment="1"/>
    <xf numFmtId="0" fontId="208" fillId="0" borderId="0" xfId="0" applyNumberFormat="1" applyFont="1" applyFill="1" applyBorder="1" applyAlignment="1">
      <alignment horizontal="left"/>
    </xf>
    <xf numFmtId="165" fontId="51" fillId="0" borderId="0" xfId="33" applyNumberFormat="1" applyFont="1" applyFill="1" applyBorder="1" applyAlignment="1">
      <alignment horizontal="left"/>
    </xf>
    <xf numFmtId="10" fontId="9" fillId="0" borderId="0" xfId="0" applyNumberFormat="1" applyFont="1" applyFill="1"/>
    <xf numFmtId="0" fontId="10" fillId="47" borderId="21" xfId="0" applyFont="1" applyFill="1" applyBorder="1" applyAlignment="1">
      <alignment horizontal="center"/>
    </xf>
    <xf numFmtId="165" fontId="204" fillId="0" borderId="0" xfId="0" applyNumberFormat="1" applyFont="1" applyFill="1" applyAlignment="1"/>
    <xf numFmtId="165" fontId="202" fillId="0" borderId="0" xfId="29" applyNumberFormat="1" applyFont="1" applyFill="1" applyAlignment="1"/>
    <xf numFmtId="165" fontId="202" fillId="0" borderId="0" xfId="0" applyNumberFormat="1" applyFont="1" applyFill="1" applyAlignment="1"/>
    <xf numFmtId="165" fontId="214" fillId="32" borderId="0" xfId="29" applyNumberFormat="1" applyFont="1" applyFill="1" applyAlignment="1"/>
    <xf numFmtId="43" fontId="187" fillId="0" borderId="0" xfId="29" applyFont="1" applyFill="1" applyAlignment="1"/>
    <xf numFmtId="0" fontId="215" fillId="0" borderId="0" xfId="0" applyNumberFormat="1" applyFont="1" applyFill="1" applyAlignment="1"/>
    <xf numFmtId="165" fontId="211" fillId="38" borderId="0" xfId="29" applyNumberFormat="1" applyFont="1" applyFill="1" applyBorder="1"/>
    <xf numFmtId="165" fontId="211" fillId="0" borderId="0" xfId="29" applyNumberFormat="1" applyFont="1" applyFill="1" applyBorder="1"/>
    <xf numFmtId="0" fontId="25" fillId="0" borderId="0" xfId="96" applyFill="1"/>
    <xf numFmtId="0" fontId="216" fillId="0" borderId="0" xfId="96" applyFont="1" applyFill="1"/>
    <xf numFmtId="0" fontId="212" fillId="0" borderId="0" xfId="96" applyFont="1" applyFill="1"/>
    <xf numFmtId="165" fontId="25" fillId="38" borderId="0" xfId="29" applyNumberFormat="1" applyFont="1" applyFill="1"/>
    <xf numFmtId="165" fontId="217" fillId="32" borderId="26" xfId="29" applyNumberFormat="1" applyFont="1" applyFill="1" applyBorder="1"/>
    <xf numFmtId="165" fontId="212" fillId="0" borderId="0" xfId="0" applyNumberFormat="1" applyFont="1"/>
    <xf numFmtId="170" fontId="11" fillId="41" borderId="42" xfId="44" applyNumberFormat="1" applyFont="1" applyFill="1" applyBorder="1"/>
    <xf numFmtId="170" fontId="11" fillId="41" borderId="93" xfId="44" applyNumberFormat="1" applyFont="1" applyFill="1" applyBorder="1"/>
    <xf numFmtId="170" fontId="11" fillId="41" borderId="0" xfId="44" applyNumberFormat="1" applyFont="1" applyFill="1" applyBorder="1"/>
    <xf numFmtId="170" fontId="11" fillId="32" borderId="0" xfId="44" applyNumberFormat="1" applyFont="1" applyFill="1" applyBorder="1"/>
    <xf numFmtId="0" fontId="211" fillId="49" borderId="0" xfId="0" applyFont="1" applyFill="1"/>
    <xf numFmtId="0" fontId="185" fillId="49" borderId="0" xfId="0" applyFont="1" applyFill="1"/>
    <xf numFmtId="165" fontId="211" fillId="49" borderId="0" xfId="29" applyNumberFormat="1" applyFont="1" applyFill="1"/>
    <xf numFmtId="0" fontId="216" fillId="0" borderId="0" xfId="0" applyFont="1"/>
    <xf numFmtId="37" fontId="211" fillId="0" borderId="0" xfId="0" applyNumberFormat="1" applyFont="1"/>
    <xf numFmtId="165" fontId="211" fillId="0" borderId="0" xfId="29" applyNumberFormat="1" applyFont="1" applyFill="1"/>
    <xf numFmtId="165" fontId="25" fillId="0" borderId="20" xfId="96" applyNumberFormat="1" applyFill="1" applyBorder="1"/>
    <xf numFmtId="0" fontId="212" fillId="0" borderId="0" xfId="0" applyFont="1" applyAlignment="1">
      <alignment horizontal="left" indent="1"/>
    </xf>
    <xf numFmtId="165" fontId="212" fillId="0" borderId="0" xfId="29" applyNumberFormat="1" applyFont="1"/>
    <xf numFmtId="0" fontId="212" fillId="0" borderId="0" xfId="0" applyFont="1" applyAlignment="1">
      <alignment horizontal="left" indent="2"/>
    </xf>
    <xf numFmtId="0" fontId="211" fillId="0" borderId="0" xfId="0" applyFont="1" applyFill="1" applyAlignment="1">
      <alignment horizontal="left" indent="1"/>
    </xf>
    <xf numFmtId="0" fontId="211" fillId="0" borderId="0" xfId="0" applyFont="1" applyFill="1"/>
    <xf numFmtId="0" fontId="0" fillId="0" borderId="0" xfId="0" applyNumberFormat="1" applyFill="1" applyAlignment="1">
      <alignment horizontal="center"/>
    </xf>
    <xf numFmtId="165" fontId="161" fillId="23" borderId="22" xfId="29" applyNumberFormat="1" applyFont="1" applyFill="1" applyBorder="1"/>
    <xf numFmtId="0" fontId="10" fillId="23" borderId="0" xfId="0" applyFont="1" applyFill="1" applyBorder="1" applyAlignment="1">
      <alignment horizontal="left"/>
    </xf>
    <xf numFmtId="0" fontId="9" fillId="23" borderId="0" xfId="0" applyFont="1" applyFill="1" applyAlignment="1">
      <alignment horizontal="left" indent="2"/>
    </xf>
    <xf numFmtId="43" fontId="0" fillId="23" borderId="0" xfId="29" applyFont="1" applyFill="1"/>
    <xf numFmtId="166" fontId="0" fillId="0" borderId="0" xfId="0" applyNumberFormat="1"/>
    <xf numFmtId="0" fontId="25" fillId="0" borderId="0" xfId="90"/>
    <xf numFmtId="0" fontId="25" fillId="0" borderId="72" xfId="90" applyBorder="1"/>
    <xf numFmtId="0" fontId="25" fillId="0" borderId="0" xfId="90" applyBorder="1"/>
    <xf numFmtId="167" fontId="25" fillId="0" borderId="72" xfId="90" applyNumberFormat="1" applyBorder="1"/>
    <xf numFmtId="167" fontId="25" fillId="22" borderId="0" xfId="90" applyNumberFormat="1" applyFill="1" applyBorder="1"/>
    <xf numFmtId="167" fontId="25" fillId="0" borderId="0" xfId="90" applyNumberFormat="1" applyBorder="1"/>
    <xf numFmtId="0" fontId="25" fillId="0" borderId="101" xfId="90" applyBorder="1"/>
    <xf numFmtId="0" fontId="25" fillId="0" borderId="21" xfId="90" applyBorder="1"/>
    <xf numFmtId="167" fontId="25" fillId="0" borderId="101" xfId="90" applyNumberFormat="1" applyBorder="1"/>
    <xf numFmtId="167" fontId="25" fillId="22" borderId="21" xfId="90" applyNumberFormat="1" applyFill="1" applyBorder="1"/>
    <xf numFmtId="167" fontId="25" fillId="0" borderId="21" xfId="90" applyNumberFormat="1" applyBorder="1"/>
    <xf numFmtId="0" fontId="25" fillId="0" borderId="0" xfId="90" applyFont="1" applyFill="1" applyBorder="1" applyAlignment="1">
      <alignment horizontal="right"/>
    </xf>
    <xf numFmtId="167" fontId="25" fillId="0" borderId="0" xfId="90" applyNumberFormat="1" applyFont="1"/>
    <xf numFmtId="167" fontId="25" fillId="0" borderId="0" xfId="90" applyNumberFormat="1"/>
    <xf numFmtId="0" fontId="25" fillId="0" borderId="0" xfId="90" quotePrefix="1" applyFont="1"/>
    <xf numFmtId="0" fontId="200" fillId="51" borderId="107" xfId="0" applyFont="1" applyFill="1" applyBorder="1"/>
    <xf numFmtId="0" fontId="200" fillId="0" borderId="107" xfId="0" applyFont="1" applyBorder="1"/>
    <xf numFmtId="0" fontId="200" fillId="0" borderId="0" xfId="0" applyFont="1" applyBorder="1"/>
    <xf numFmtId="0" fontId="200" fillId="51" borderId="108" xfId="0" applyFont="1" applyFill="1" applyBorder="1"/>
    <xf numFmtId="3" fontId="200" fillId="51" borderId="108" xfId="0" applyNumberFormat="1" applyFont="1" applyFill="1" applyBorder="1"/>
    <xf numFmtId="0" fontId="200" fillId="0" borderId="0" xfId="0" applyFont="1" applyFill="1" applyBorder="1" applyAlignment="1">
      <alignment horizontal="right"/>
    </xf>
    <xf numFmtId="0" fontId="185" fillId="0" borderId="0" xfId="0" applyFont="1" applyAlignment="1">
      <alignment wrapText="1"/>
    </xf>
    <xf numFmtId="0" fontId="187" fillId="0" borderId="0" xfId="0" applyFont="1"/>
    <xf numFmtId="3" fontId="185" fillId="0" borderId="0" xfId="0" applyNumberFormat="1" applyFont="1"/>
    <xf numFmtId="3" fontId="187" fillId="0" borderId="0" xfId="0" applyNumberFormat="1" applyFont="1"/>
    <xf numFmtId="165" fontId="185" fillId="0" borderId="0" xfId="29" applyNumberFormat="1" applyFont="1"/>
    <xf numFmtId="165" fontId="187" fillId="0" borderId="0" xfId="29" applyNumberFormat="1" applyFont="1"/>
    <xf numFmtId="165" fontId="185" fillId="0" borderId="21" xfId="29" applyNumberFormat="1" applyFont="1" applyBorder="1"/>
    <xf numFmtId="165" fontId="187" fillId="0" borderId="21" xfId="29" applyNumberFormat="1" applyFont="1" applyBorder="1"/>
    <xf numFmtId="165" fontId="187" fillId="0" borderId="0" xfId="0" applyNumberFormat="1" applyFont="1"/>
    <xf numFmtId="0" fontId="218" fillId="0" borderId="0" xfId="0" applyFont="1"/>
    <xf numFmtId="0" fontId="218" fillId="0" borderId="0" xfId="0" applyFont="1" applyFill="1" applyAlignment="1">
      <alignment horizontal="left"/>
    </xf>
    <xf numFmtId="0" fontId="219" fillId="0" borderId="0" xfId="143" applyFont="1" applyFill="1" applyAlignment="1">
      <alignment horizontal="left" indent="1"/>
    </xf>
    <xf numFmtId="0" fontId="219" fillId="0" borderId="0" xfId="0" applyFont="1"/>
    <xf numFmtId="0" fontId="220" fillId="0" borderId="0" xfId="0" applyFont="1" applyAlignment="1">
      <alignment horizontal="center"/>
    </xf>
    <xf numFmtId="170" fontId="9" fillId="23" borderId="30" xfId="95" applyNumberFormat="1" applyFont="1" applyFill="1" applyBorder="1"/>
    <xf numFmtId="170" fontId="9" fillId="23" borderId="31" xfId="95" applyNumberFormat="1" applyFont="1" applyFill="1" applyBorder="1"/>
    <xf numFmtId="37" fontId="9" fillId="23" borderId="0" xfId="95" applyNumberFormat="1" applyFont="1" applyFill="1" applyBorder="1"/>
    <xf numFmtId="37" fontId="9" fillId="23" borderId="93" xfId="95" applyNumberFormat="1" applyFont="1" applyFill="1" applyBorder="1"/>
    <xf numFmtId="37" fontId="9" fillId="23" borderId="14" xfId="95" applyNumberFormat="1" applyFont="1" applyFill="1" applyBorder="1"/>
    <xf numFmtId="37" fontId="9" fillId="23" borderId="33" xfId="95" applyNumberFormat="1" applyFont="1" applyFill="1" applyBorder="1"/>
    <xf numFmtId="173" fontId="9" fillId="23" borderId="0" xfId="95" applyNumberFormat="1" applyFont="1" applyFill="1" applyBorder="1"/>
    <xf numFmtId="170" fontId="10" fillId="23" borderId="0" xfId="95" applyNumberFormat="1" applyFont="1" applyFill="1"/>
    <xf numFmtId="0" fontId="9" fillId="23" borderId="0" xfId="95" applyFont="1" applyFill="1"/>
    <xf numFmtId="37" fontId="9" fillId="23" borderId="0" xfId="33" applyNumberFormat="1" applyFont="1" applyFill="1" applyBorder="1"/>
    <xf numFmtId="37" fontId="9" fillId="23" borderId="93" xfId="33" applyNumberFormat="1" applyFont="1" applyFill="1" applyBorder="1"/>
    <xf numFmtId="37" fontId="9" fillId="23" borderId="33" xfId="33" applyNumberFormat="1" applyFont="1" applyFill="1" applyBorder="1"/>
    <xf numFmtId="173" fontId="9" fillId="23" borderId="9" xfId="95" applyNumberFormat="1" applyFont="1" applyFill="1" applyBorder="1"/>
    <xf numFmtId="173" fontId="9" fillId="0" borderId="21" xfId="95" applyNumberFormat="1" applyFont="1" applyFill="1" applyBorder="1"/>
    <xf numFmtId="170" fontId="10" fillId="23" borderId="0" xfId="95" applyNumberFormat="1" applyFont="1" applyFill="1" applyBorder="1"/>
    <xf numFmtId="0" fontId="9" fillId="23" borderId="0" xfId="95" applyFont="1" applyFill="1" applyBorder="1"/>
    <xf numFmtId="165" fontId="211" fillId="38" borderId="21" xfId="29" applyNumberFormat="1" applyFont="1" applyFill="1" applyBorder="1"/>
    <xf numFmtId="10" fontId="217" fillId="32" borderId="34" xfId="162" applyNumberFormat="1" applyFont="1" applyFill="1" applyBorder="1" applyAlignment="1">
      <alignment horizontal="center"/>
    </xf>
    <xf numFmtId="10" fontId="217" fillId="32" borderId="35" xfId="162" applyNumberFormat="1" applyFont="1" applyFill="1" applyBorder="1" applyAlignment="1">
      <alignment horizontal="center"/>
    </xf>
    <xf numFmtId="165" fontId="29" fillId="0" borderId="0" xfId="109" applyNumberFormat="1" applyFont="1" applyFill="1" applyAlignment="1"/>
    <xf numFmtId="0" fontId="200" fillId="0" borderId="21" xfId="0" applyFont="1" applyBorder="1" applyAlignment="1">
      <alignment horizontal="center"/>
    </xf>
    <xf numFmtId="0" fontId="221" fillId="0" borderId="0" xfId="0" applyFont="1"/>
    <xf numFmtId="165" fontId="0" fillId="44" borderId="0" xfId="0" applyNumberFormat="1" applyFill="1"/>
    <xf numFmtId="0" fontId="0" fillId="44" borderId="0" xfId="0" applyFill="1"/>
    <xf numFmtId="0" fontId="222" fillId="0" borderId="0" xfId="0" applyFont="1" applyAlignment="1">
      <alignment horizontal="left"/>
    </xf>
    <xf numFmtId="0" fontId="223" fillId="0" borderId="22" xfId="0" applyFont="1" applyBorder="1" applyAlignment="1">
      <alignment horizontal="left" indent="2"/>
    </xf>
    <xf numFmtId="0" fontId="223" fillId="0" borderId="22" xfId="0" applyFont="1" applyBorder="1"/>
    <xf numFmtId="0" fontId="223" fillId="0" borderId="0" xfId="0" applyFont="1" applyBorder="1" applyAlignment="1">
      <alignment horizontal="left" indent="2"/>
    </xf>
    <xf numFmtId="0" fontId="223" fillId="0" borderId="0" xfId="0" applyFont="1" applyBorder="1"/>
    <xf numFmtId="0" fontId="223" fillId="0" borderId="21" xfId="0" applyFont="1" applyBorder="1" applyAlignment="1">
      <alignment horizontal="left" indent="2"/>
    </xf>
    <xf numFmtId="0" fontId="223" fillId="0" borderId="21" xfId="0" applyFont="1" applyBorder="1"/>
    <xf numFmtId="165" fontId="200" fillId="0" borderId="0" xfId="30" applyNumberFormat="1" applyFont="1"/>
    <xf numFmtId="0" fontId="200" fillId="0" borderId="0" xfId="0" applyFont="1" applyAlignment="1">
      <alignment horizontal="left" indent="2"/>
    </xf>
    <xf numFmtId="0" fontId="200" fillId="41" borderId="0" xfId="0" applyFont="1" applyFill="1"/>
    <xf numFmtId="165" fontId="200" fillId="41" borderId="20" xfId="30" applyNumberFormat="1" applyFont="1" applyFill="1" applyBorder="1"/>
    <xf numFmtId="0" fontId="0" fillId="38" borderId="0" xfId="0" applyFill="1"/>
    <xf numFmtId="0" fontId="224" fillId="0" borderId="0" xfId="0" applyFont="1"/>
    <xf numFmtId="0" fontId="223" fillId="0" borderId="0" xfId="0" applyFont="1"/>
    <xf numFmtId="3" fontId="223" fillId="0" borderId="0" xfId="0" applyNumberFormat="1" applyFont="1" applyBorder="1"/>
    <xf numFmtId="3" fontId="223" fillId="0" borderId="21" xfId="0" applyNumberFormat="1" applyFont="1" applyBorder="1"/>
    <xf numFmtId="0" fontId="222" fillId="0" borderId="0" xfId="0" applyFont="1"/>
    <xf numFmtId="0" fontId="222" fillId="0" borderId="0" xfId="0" applyFont="1" applyAlignment="1">
      <alignment horizontal="left" indent="2"/>
    </xf>
    <xf numFmtId="0" fontId="200" fillId="33" borderId="0" xfId="0" applyFont="1" applyFill="1"/>
    <xf numFmtId="3" fontId="200" fillId="33" borderId="20" xfId="0" applyNumberFormat="1" applyFont="1" applyFill="1" applyBorder="1"/>
    <xf numFmtId="165" fontId="200" fillId="44" borderId="20" xfId="30" applyNumberFormat="1" applyFont="1" applyFill="1" applyBorder="1"/>
    <xf numFmtId="0" fontId="221" fillId="38" borderId="0" xfId="0" applyFont="1" applyFill="1"/>
    <xf numFmtId="43" fontId="0" fillId="0" borderId="0" xfId="29" applyFont="1"/>
    <xf numFmtId="0" fontId="211" fillId="23" borderId="0" xfId="96" applyFont="1" applyFill="1"/>
    <xf numFmtId="165" fontId="225" fillId="32" borderId="37" xfId="29" applyNumberFormat="1" applyFont="1" applyFill="1" applyBorder="1"/>
    <xf numFmtId="165" fontId="212" fillId="0" borderId="20" xfId="29" applyNumberFormat="1" applyFont="1" applyFill="1" applyBorder="1"/>
    <xf numFmtId="165" fontId="162" fillId="22" borderId="0" xfId="29" applyNumberFormat="1" applyFont="1" applyFill="1"/>
    <xf numFmtId="165" fontId="0" fillId="22" borderId="0" xfId="0" applyNumberFormat="1" applyFill="1"/>
    <xf numFmtId="0" fontId="0" fillId="49" borderId="0" xfId="0" applyFill="1"/>
    <xf numFmtId="10" fontId="202" fillId="0" borderId="0" xfId="162" applyNumberFormat="1" applyFont="1" applyFill="1" applyBorder="1" applyAlignment="1"/>
    <xf numFmtId="0" fontId="53" fillId="37" borderId="71" xfId="109" applyFont="1" applyFill="1" applyBorder="1"/>
    <xf numFmtId="0" fontId="163" fillId="0" borderId="0" xfId="109" applyNumberFormat="1" applyFont="1" applyFill="1" applyAlignment="1"/>
    <xf numFmtId="0" fontId="31" fillId="0" borderId="0" xfId="109" applyNumberFormat="1" applyFont="1" applyFill="1" applyAlignment="1">
      <alignment horizontal="center"/>
    </xf>
    <xf numFmtId="0" fontId="163" fillId="0" borderId="0" xfId="0" applyNumberFormat="1" applyFont="1" applyFill="1" applyAlignment="1"/>
    <xf numFmtId="166" fontId="10" fillId="0" borderId="0" xfId="48" applyNumberFormat="1" applyFont="1" applyFill="1" applyBorder="1"/>
    <xf numFmtId="41" fontId="138" fillId="32" borderId="21" xfId="37" applyNumberFormat="1" applyFont="1" applyFill="1" applyBorder="1"/>
    <xf numFmtId="41" fontId="11" fillId="32" borderId="21" xfId="37" applyNumberFormat="1" applyFont="1" applyFill="1" applyBorder="1"/>
    <xf numFmtId="0" fontId="188" fillId="34" borderId="109" xfId="0" applyNumberFormat="1" applyFont="1" applyFill="1" applyBorder="1" applyAlignment="1">
      <alignment horizontal="centerContinuous"/>
    </xf>
    <xf numFmtId="0" fontId="201" fillId="0" borderId="72" xfId="0" applyNumberFormat="1" applyFont="1" applyFill="1" applyBorder="1" applyAlignment="1"/>
    <xf numFmtId="165" fontId="185" fillId="0" borderId="72" xfId="29" applyNumberFormat="1" applyFont="1" applyFill="1" applyBorder="1" applyAlignment="1"/>
    <xf numFmtId="0" fontId="202" fillId="0" borderId="72" xfId="0" applyNumberFormat="1" applyFont="1" applyFill="1" applyBorder="1" applyAlignment="1"/>
    <xf numFmtId="165" fontId="204" fillId="0" borderId="72" xfId="29" applyNumberFormat="1" applyFont="1" applyFill="1" applyBorder="1" applyAlignment="1"/>
    <xf numFmtId="165" fontId="202" fillId="0" borderId="72" xfId="29" applyNumberFormat="1" applyFont="1" applyFill="1" applyBorder="1" applyAlignment="1"/>
    <xf numFmtId="165" fontId="206" fillId="0" borderId="72" xfId="29" applyNumberFormat="1" applyFont="1" applyFill="1" applyBorder="1" applyAlignment="1"/>
    <xf numFmtId="165" fontId="187" fillId="0" borderId="72" xfId="29" applyNumberFormat="1" applyFont="1" applyFill="1" applyBorder="1" applyAlignment="1"/>
    <xf numFmtId="165" fontId="202" fillId="0" borderId="72" xfId="29" applyNumberFormat="1" applyFont="1" applyFill="1" applyBorder="1" applyAlignment="1">
      <alignment horizontal="left"/>
    </xf>
    <xf numFmtId="0" fontId="0" fillId="0" borderId="72" xfId="0" applyBorder="1"/>
    <xf numFmtId="9" fontId="202" fillId="0" borderId="72" xfId="162" applyFont="1" applyFill="1" applyBorder="1" applyAlignment="1"/>
    <xf numFmtId="165" fontId="185" fillId="0" borderId="72" xfId="0" applyNumberFormat="1" applyFont="1" applyFill="1" applyBorder="1" applyAlignment="1"/>
    <xf numFmtId="43" fontId="187" fillId="0" borderId="72" xfId="29" applyFont="1" applyFill="1" applyBorder="1" applyAlignment="1"/>
    <xf numFmtId="0" fontId="215" fillId="0" borderId="72" xfId="0" applyNumberFormat="1" applyFont="1" applyFill="1" applyBorder="1" applyAlignment="1"/>
    <xf numFmtId="165" fontId="214" fillId="32" borderId="72" xfId="29" applyNumberFormat="1" applyFont="1" applyFill="1" applyBorder="1" applyAlignment="1"/>
    <xf numFmtId="43" fontId="204" fillId="0" borderId="72" xfId="29" applyFont="1" applyFill="1" applyBorder="1" applyAlignment="1"/>
    <xf numFmtId="0" fontId="204" fillId="0" borderId="72" xfId="0" applyNumberFormat="1" applyFont="1" applyFill="1" applyBorder="1" applyAlignment="1"/>
    <xf numFmtId="10" fontId="213" fillId="32" borderId="0" xfId="167" applyNumberFormat="1" applyFont="1" applyFill="1"/>
    <xf numFmtId="165" fontId="211" fillId="0" borderId="0" xfId="0" applyNumberFormat="1" applyFont="1" applyFill="1"/>
    <xf numFmtId="165" fontId="202" fillId="0" borderId="21" xfId="0" applyNumberFormat="1" applyFont="1" applyFill="1" applyBorder="1" applyAlignment="1"/>
    <xf numFmtId="41" fontId="11" fillId="32" borderId="0" xfId="37" applyNumberFormat="1" applyFont="1" applyFill="1" applyBorder="1"/>
    <xf numFmtId="9" fontId="0" fillId="0" borderId="0" xfId="162" applyFont="1"/>
    <xf numFmtId="165" fontId="0" fillId="0" borderId="21" xfId="29" applyNumberFormat="1" applyFont="1" applyBorder="1"/>
    <xf numFmtId="165" fontId="200" fillId="0" borderId="0" xfId="29" applyNumberFormat="1" applyFont="1" applyBorder="1"/>
    <xf numFmtId="0" fontId="200" fillId="23" borderId="110" xfId="0" applyFont="1" applyFill="1" applyBorder="1" applyAlignment="1">
      <alignment horizontal="center"/>
    </xf>
    <xf numFmtId="0" fontId="200" fillId="23" borderId="6" xfId="0" applyFont="1" applyFill="1" applyBorder="1" applyAlignment="1">
      <alignment horizontal="center"/>
    </xf>
    <xf numFmtId="0" fontId="0" fillId="23" borderId="111" xfId="0" applyFill="1" applyBorder="1" applyAlignment="1">
      <alignment horizontal="center"/>
    </xf>
    <xf numFmtId="0" fontId="0" fillId="23" borderId="72" xfId="0" applyFill="1" applyBorder="1" applyAlignment="1">
      <alignment horizontal="center"/>
    </xf>
    <xf numFmtId="0" fontId="0" fillId="23" borderId="42" xfId="0" applyFill="1" applyBorder="1"/>
    <xf numFmtId="0" fontId="0" fillId="23" borderId="93" xfId="0" applyFill="1" applyBorder="1"/>
    <xf numFmtId="3" fontId="0" fillId="23" borderId="30" xfId="0" applyNumberFormat="1" applyFill="1" applyBorder="1" applyAlignment="1">
      <alignment horizontal="center" vertical="center"/>
    </xf>
    <xf numFmtId="3" fontId="0" fillId="23" borderId="31" xfId="0" applyNumberFormat="1" applyFill="1" applyBorder="1" applyAlignment="1">
      <alignment horizontal="center" vertical="center"/>
    </xf>
    <xf numFmtId="3" fontId="0" fillId="23" borderId="42" xfId="0" applyNumberFormat="1" applyFill="1" applyBorder="1" applyAlignment="1">
      <alignment horizontal="center"/>
    </xf>
    <xf numFmtId="3" fontId="0" fillId="23" borderId="0" xfId="0" applyNumberFormat="1" applyFill="1" applyBorder="1" applyAlignment="1">
      <alignment horizontal="center"/>
    </xf>
    <xf numFmtId="3" fontId="0" fillId="23" borderId="93" xfId="0" applyNumberFormat="1" applyFill="1" applyBorder="1" applyAlignment="1">
      <alignment horizontal="center"/>
    </xf>
    <xf numFmtId="0" fontId="226" fillId="44" borderId="0" xfId="0" applyFont="1" applyFill="1"/>
    <xf numFmtId="0" fontId="200" fillId="44" borderId="0" xfId="0" applyFont="1" applyFill="1" applyAlignment="1">
      <alignment horizontal="center"/>
    </xf>
    <xf numFmtId="165" fontId="200" fillId="44" borderId="0" xfId="29" applyNumberFormat="1" applyFont="1" applyFill="1"/>
    <xf numFmtId="3" fontId="199" fillId="32" borderId="42" xfId="0" applyNumberFormat="1" applyFont="1" applyFill="1" applyBorder="1" applyAlignment="1">
      <alignment horizontal="center" vertical="center"/>
    </xf>
    <xf numFmtId="3" fontId="199" fillId="32" borderId="0" xfId="0" applyNumberFormat="1" applyFont="1" applyFill="1" applyBorder="1" applyAlignment="1">
      <alignment horizontal="center" vertical="center"/>
    </xf>
    <xf numFmtId="3" fontId="199" fillId="32" borderId="93" xfId="0" applyNumberFormat="1" applyFont="1" applyFill="1" applyBorder="1" applyAlignment="1">
      <alignment horizontal="center" vertical="center"/>
    </xf>
    <xf numFmtId="3" fontId="199" fillId="32" borderId="42" xfId="0" applyNumberFormat="1" applyFont="1" applyFill="1" applyBorder="1"/>
    <xf numFmtId="3" fontId="199" fillId="32" borderId="0" xfId="0" applyNumberFormat="1" applyFont="1" applyFill="1" applyBorder="1"/>
    <xf numFmtId="3" fontId="199" fillId="32" borderId="93" xfId="0" applyNumberFormat="1" applyFont="1" applyFill="1" applyBorder="1"/>
    <xf numFmtId="3" fontId="213" fillId="32" borderId="42" xfId="0" applyNumberFormat="1" applyFont="1" applyFill="1" applyBorder="1" applyAlignment="1">
      <alignment horizontal="center" vertical="center"/>
    </xf>
    <xf numFmtId="3" fontId="213" fillId="32" borderId="0" xfId="0" applyNumberFormat="1" applyFont="1" applyFill="1" applyBorder="1" applyAlignment="1">
      <alignment horizontal="center" vertical="center"/>
    </xf>
    <xf numFmtId="3" fontId="213" fillId="32" borderId="93" xfId="0" applyNumberFormat="1" applyFont="1" applyFill="1" applyBorder="1" applyAlignment="1">
      <alignment horizontal="center" vertical="center"/>
    </xf>
    <xf numFmtId="3" fontId="213" fillId="32" borderId="29" xfId="0" applyNumberFormat="1" applyFont="1" applyFill="1" applyBorder="1" applyAlignment="1">
      <alignment horizontal="center" vertical="center"/>
    </xf>
    <xf numFmtId="3" fontId="213" fillId="32" borderId="30" xfId="0" applyNumberFormat="1" applyFont="1" applyFill="1" applyBorder="1" applyAlignment="1">
      <alignment horizontal="center" vertical="center"/>
    </xf>
    <xf numFmtId="3" fontId="213" fillId="32" borderId="31" xfId="0" applyNumberFormat="1" applyFont="1" applyFill="1" applyBorder="1" applyAlignment="1">
      <alignment horizontal="center" vertical="center"/>
    </xf>
    <xf numFmtId="3" fontId="213" fillId="32" borderId="29" xfId="0" applyNumberFormat="1" applyFont="1" applyFill="1" applyBorder="1"/>
    <xf numFmtId="3" fontId="213" fillId="32" borderId="30" xfId="0" applyNumberFormat="1" applyFont="1" applyFill="1" applyBorder="1"/>
    <xf numFmtId="3" fontId="213" fillId="32" borderId="31" xfId="0" applyNumberFormat="1" applyFont="1" applyFill="1" applyBorder="1"/>
    <xf numFmtId="165" fontId="213" fillId="32" borderId="21" xfId="29" applyNumberFormat="1" applyFont="1" applyFill="1" applyBorder="1"/>
    <xf numFmtId="3" fontId="0" fillId="41" borderId="0" xfId="0" applyNumberFormat="1" applyFill="1"/>
    <xf numFmtId="0" fontId="0" fillId="0" borderId="0" xfId="0" applyAlignment="1">
      <alignment horizontal="left"/>
    </xf>
    <xf numFmtId="0" fontId="188" fillId="34" borderId="0" xfId="0" applyNumberFormat="1" applyFont="1" applyFill="1" applyBorder="1" applyAlignment="1">
      <alignment horizontal="left"/>
    </xf>
    <xf numFmtId="0" fontId="10" fillId="36" borderId="62" xfId="0" applyFont="1" applyFill="1" applyBorder="1" applyAlignment="1">
      <alignment horizontal="center" vertical="center"/>
    </xf>
    <xf numFmtId="0" fontId="10" fillId="36" borderId="40" xfId="0" applyFont="1" applyFill="1" applyBorder="1" applyAlignment="1">
      <alignment horizontal="center" vertical="center"/>
    </xf>
    <xf numFmtId="0" fontId="10" fillId="36" borderId="61" xfId="0" applyFont="1" applyFill="1" applyBorder="1" applyAlignment="1">
      <alignment horizontal="center" vertical="center"/>
    </xf>
    <xf numFmtId="0" fontId="219" fillId="0" borderId="0" xfId="0" applyFont="1" applyAlignment="1">
      <alignment horizontal="right"/>
    </xf>
    <xf numFmtId="173" fontId="219" fillId="0" borderId="0" xfId="0" applyNumberFormat="1" applyFont="1" applyFill="1" applyBorder="1"/>
    <xf numFmtId="10" fontId="219" fillId="0" borderId="0" xfId="162" applyNumberFormat="1" applyFont="1" applyFill="1" applyBorder="1" applyAlignment="1">
      <alignment horizontal="center"/>
    </xf>
    <xf numFmtId="165" fontId="213" fillId="32" borderId="0" xfId="29" applyNumberFormat="1" applyFont="1" applyFill="1" applyBorder="1"/>
    <xf numFmtId="172" fontId="0" fillId="0" borderId="0" xfId="0" applyNumberFormat="1" applyBorder="1"/>
    <xf numFmtId="10" fontId="219" fillId="0" borderId="30" xfId="162" applyNumberFormat="1" applyFont="1" applyFill="1" applyBorder="1" applyAlignment="1">
      <alignment horizontal="center"/>
    </xf>
    <xf numFmtId="167" fontId="219" fillId="0" borderId="0" xfId="162" applyNumberFormat="1" applyFont="1" applyFill="1" applyBorder="1" applyAlignment="1">
      <alignment horizontal="center"/>
    </xf>
    <xf numFmtId="10" fontId="219" fillId="0" borderId="14" xfId="0" applyNumberFormat="1" applyFont="1" applyFill="1" applyBorder="1" applyAlignment="1">
      <alignment horizontal="center"/>
    </xf>
    <xf numFmtId="0" fontId="10" fillId="22" borderId="43" xfId="0" applyFont="1" applyFill="1" applyBorder="1" applyAlignment="1">
      <alignment horizontal="center" vertical="center"/>
    </xf>
    <xf numFmtId="0" fontId="0" fillId="0" borderId="0" xfId="0" applyFill="1" applyBorder="1" applyAlignment="1">
      <alignment vertical="center"/>
    </xf>
    <xf numFmtId="43" fontId="0" fillId="0" borderId="0" xfId="0" applyNumberFormat="1" applyFill="1" applyBorder="1" applyAlignment="1">
      <alignment vertical="center"/>
    </xf>
    <xf numFmtId="166" fontId="9" fillId="0" borderId="0" xfId="44" applyNumberFormat="1" applyFont="1" applyFill="1" applyBorder="1" applyAlignment="1">
      <alignment vertical="center"/>
    </xf>
    <xf numFmtId="165" fontId="0" fillId="0" borderId="0" xfId="29" applyNumberFormat="1" applyFont="1" applyFill="1" applyBorder="1" applyAlignment="1">
      <alignment vertical="center"/>
    </xf>
    <xf numFmtId="166" fontId="9" fillId="0" borderId="22" xfId="44" applyNumberFormat="1" applyFont="1" applyFill="1" applyBorder="1" applyAlignment="1">
      <alignment vertical="center"/>
    </xf>
    <xf numFmtId="173" fontId="9" fillId="0" borderId="0" xfId="0" applyNumberFormat="1" applyFont="1" applyFill="1" applyBorder="1" applyAlignment="1">
      <alignment vertical="center"/>
    </xf>
    <xf numFmtId="170" fontId="22" fillId="0" borderId="0" xfId="0" applyNumberFormat="1" applyFont="1" applyFill="1" applyBorder="1" applyAlignment="1">
      <alignment vertical="center"/>
    </xf>
    <xf numFmtId="0" fontId="227" fillId="32" borderId="6" xfId="0" applyFont="1" applyFill="1" applyBorder="1" applyAlignment="1">
      <alignment horizontal="center"/>
    </xf>
    <xf numFmtId="10" fontId="213" fillId="32" borderId="0" xfId="0" applyNumberFormat="1" applyFont="1" applyFill="1" applyAlignment="1">
      <alignment horizontal="center"/>
    </xf>
    <xf numFmtId="10" fontId="213" fillId="32" borderId="21" xfId="0" applyNumberFormat="1" applyFont="1" applyFill="1" applyBorder="1" applyAlignment="1">
      <alignment horizontal="center"/>
    </xf>
    <xf numFmtId="0" fontId="9" fillId="0" borderId="0" xfId="0" applyFont="1" applyAlignment="1">
      <alignment horizontal="right"/>
    </xf>
    <xf numFmtId="10" fontId="9" fillId="0" borderId="0" xfId="162" applyNumberFormat="1" applyFont="1" applyFill="1" applyAlignment="1">
      <alignment horizontal="right"/>
    </xf>
    <xf numFmtId="0" fontId="10" fillId="0" borderId="0" xfId="0" applyFont="1" applyFill="1" applyAlignment="1">
      <alignment horizontal="right"/>
    </xf>
    <xf numFmtId="0" fontId="14" fillId="35" borderId="64" xfId="0" applyFont="1" applyFill="1" applyBorder="1"/>
    <xf numFmtId="0" fontId="14" fillId="35" borderId="97" xfId="0" applyFont="1" applyFill="1" applyBorder="1" applyAlignment="1">
      <alignment horizontal="center"/>
    </xf>
    <xf numFmtId="0" fontId="14" fillId="34" borderId="38" xfId="0" applyFont="1" applyFill="1" applyBorder="1" applyAlignment="1">
      <alignment horizontal="centerContinuous"/>
    </xf>
    <xf numFmtId="0" fontId="10" fillId="0" borderId="0" xfId="0" applyFont="1" applyAlignment="1">
      <alignment horizontal="right"/>
    </xf>
    <xf numFmtId="169" fontId="228" fillId="0" borderId="0" xfId="0" applyNumberFormat="1" applyFont="1" applyFill="1" applyAlignment="1"/>
    <xf numFmtId="165" fontId="128" fillId="0" borderId="0" xfId="29" applyNumberFormat="1" applyFont="1" applyFill="1" applyBorder="1"/>
    <xf numFmtId="9" fontId="213" fillId="32" borderId="85" xfId="162" applyFont="1" applyFill="1" applyBorder="1" applyAlignment="1">
      <alignment horizontal="center"/>
    </xf>
    <xf numFmtId="9" fontId="213" fillId="32" borderId="86" xfId="162" applyFont="1" applyFill="1" applyBorder="1" applyAlignment="1">
      <alignment horizontal="center"/>
    </xf>
    <xf numFmtId="0" fontId="10" fillId="36" borderId="43" xfId="0" applyFont="1" applyFill="1" applyBorder="1" applyAlignment="1">
      <alignment horizontal="center" vertical="center"/>
    </xf>
    <xf numFmtId="0" fontId="0" fillId="0" borderId="72" xfId="0" applyFill="1" applyBorder="1" applyAlignment="1">
      <alignment horizontal="center"/>
    </xf>
    <xf numFmtId="0" fontId="9" fillId="0" borderId="9" xfId="0" applyFont="1" applyBorder="1" applyAlignment="1">
      <alignment horizontal="center"/>
    </xf>
    <xf numFmtId="10" fontId="0" fillId="0" borderId="72" xfId="0" applyNumberFormat="1" applyFill="1" applyBorder="1"/>
    <xf numFmtId="0" fontId="0" fillId="0" borderId="9" xfId="0" applyBorder="1"/>
    <xf numFmtId="0" fontId="0" fillId="0" borderId="8" xfId="0" applyFill="1" applyBorder="1" applyAlignment="1">
      <alignment horizontal="center"/>
    </xf>
    <xf numFmtId="0" fontId="0" fillId="0" borderId="8" xfId="0" applyFill="1" applyBorder="1"/>
    <xf numFmtId="0" fontId="0" fillId="0" borderId="73" xfId="0" applyBorder="1"/>
    <xf numFmtId="0" fontId="14" fillId="35" borderId="43" xfId="0" applyFont="1" applyFill="1" applyBorder="1"/>
    <xf numFmtId="165" fontId="219" fillId="0" borderId="0" xfId="29" applyNumberFormat="1" applyFont="1" applyFill="1" applyBorder="1"/>
    <xf numFmtId="10" fontId="11" fillId="32" borderId="37" xfId="179" applyNumberFormat="1" applyFont="1" applyFill="1" applyBorder="1" applyAlignment="1">
      <alignment horizontal="center"/>
    </xf>
    <xf numFmtId="10" fontId="0" fillId="0" borderId="0" xfId="179" applyNumberFormat="1" applyFont="1" applyFill="1" applyAlignment="1">
      <alignment horizontal="center"/>
    </xf>
    <xf numFmtId="10" fontId="0" fillId="0" borderId="0" xfId="179" applyNumberFormat="1" applyFont="1" applyFill="1" applyBorder="1" applyAlignment="1">
      <alignment horizontal="center"/>
    </xf>
    <xf numFmtId="10" fontId="11" fillId="32" borderId="26" xfId="179" applyNumberFormat="1" applyFont="1" applyFill="1" applyBorder="1" applyAlignment="1">
      <alignment horizontal="center"/>
    </xf>
    <xf numFmtId="10" fontId="11" fillId="32" borderId="27" xfId="179" applyNumberFormat="1" applyFont="1" applyFill="1" applyBorder="1" applyAlignment="1">
      <alignment horizontal="center"/>
    </xf>
    <xf numFmtId="10" fontId="16" fillId="0" borderId="0" xfId="179" applyNumberFormat="1" applyFont="1" applyFill="1" applyBorder="1" applyAlignment="1">
      <alignment horizontal="center"/>
    </xf>
    <xf numFmtId="10" fontId="11" fillId="0" borderId="0" xfId="179" applyNumberFormat="1" applyFont="1" applyFill="1" applyBorder="1" applyAlignment="1">
      <alignment horizontal="center"/>
    </xf>
    <xf numFmtId="10" fontId="11" fillId="0" borderId="0" xfId="179" applyNumberFormat="1" applyFont="1" applyFill="1" applyAlignment="1">
      <alignment horizontal="center"/>
    </xf>
    <xf numFmtId="195" fontId="0" fillId="0" borderId="0" xfId="162" applyNumberFormat="1" applyFont="1" applyFill="1" applyBorder="1" applyAlignment="1">
      <alignment horizontal="center"/>
    </xf>
    <xf numFmtId="10" fontId="219" fillId="0" borderId="0" xfId="162" applyNumberFormat="1" applyFont="1" applyFill="1" applyBorder="1" applyAlignment="1">
      <alignment horizontal="right"/>
    </xf>
    <xf numFmtId="167" fontId="0" fillId="0" borderId="0" xfId="162" applyNumberFormat="1" applyFont="1" applyFill="1" applyBorder="1" applyAlignment="1">
      <alignment horizontal="center"/>
    </xf>
    <xf numFmtId="165" fontId="213" fillId="32" borderId="37" xfId="29" applyNumberFormat="1" applyFont="1" applyFill="1" applyBorder="1"/>
    <xf numFmtId="165" fontId="213" fillId="32" borderId="26" xfId="29" applyNumberFormat="1" applyFont="1" applyFill="1" applyBorder="1"/>
    <xf numFmtId="165" fontId="213" fillId="32" borderId="27" xfId="29" applyNumberFormat="1" applyFont="1" applyFill="1" applyBorder="1"/>
    <xf numFmtId="0" fontId="213" fillId="32" borderId="37" xfId="0" applyFont="1" applyFill="1" applyBorder="1"/>
    <xf numFmtId="37" fontId="229" fillId="32" borderId="37" xfId="96" applyNumberFormat="1" applyFont="1" applyFill="1" applyBorder="1"/>
    <xf numFmtId="167" fontId="25" fillId="0" borderId="0" xfId="90" applyNumberFormat="1" applyFill="1" applyBorder="1"/>
    <xf numFmtId="167" fontId="25" fillId="0" borderId="21" xfId="90" applyNumberFormat="1" applyFill="1" applyBorder="1"/>
    <xf numFmtId="165" fontId="166" fillId="0" borderId="0" xfId="29" applyNumberFormat="1" applyFont="1" applyFill="1" applyBorder="1"/>
    <xf numFmtId="0" fontId="25" fillId="0" borderId="0" xfId="90" applyFill="1"/>
    <xf numFmtId="0" fontId="185" fillId="0" borderId="0" xfId="0" applyFont="1" applyBorder="1" applyAlignment="1">
      <alignment horizontal="center" vertical="center" wrapText="1"/>
    </xf>
    <xf numFmtId="0" fontId="185" fillId="0" borderId="0" xfId="0" applyNumberFormat="1" applyFont="1" applyFill="1" applyBorder="1" applyAlignment="1">
      <alignment horizontal="center"/>
    </xf>
    <xf numFmtId="0" fontId="187" fillId="0" borderId="0" xfId="0" applyFont="1" applyFill="1"/>
    <xf numFmtId="44" fontId="185" fillId="0" borderId="0" xfId="0" applyNumberFormat="1" applyFont="1" applyFill="1"/>
    <xf numFmtId="10" fontId="214" fillId="0" borderId="0" xfId="162" applyNumberFormat="1" applyFont="1"/>
    <xf numFmtId="0" fontId="185" fillId="0" borderId="0" xfId="0" applyFont="1" applyAlignment="1">
      <alignment horizontal="left" indent="1"/>
    </xf>
    <xf numFmtId="0" fontId="185" fillId="0" borderId="0" xfId="0" applyFont="1" applyAlignment="1">
      <alignment horizontal="left" indent="2"/>
    </xf>
    <xf numFmtId="0" fontId="187" fillId="0" borderId="0" xfId="0" applyFont="1" applyAlignment="1">
      <alignment horizontal="left" indent="2"/>
    </xf>
    <xf numFmtId="165" fontId="185" fillId="0" borderId="0" xfId="0" applyNumberFormat="1" applyFont="1"/>
    <xf numFmtId="43" fontId="185" fillId="0" borderId="0" xfId="0" applyNumberFormat="1" applyFont="1" applyFill="1"/>
    <xf numFmtId="165" fontId="185" fillId="0" borderId="0" xfId="0" applyNumberFormat="1" applyFont="1" applyFill="1"/>
    <xf numFmtId="165" fontId="185" fillId="0" borderId="0" xfId="29" applyNumberFormat="1" applyFont="1" applyFill="1"/>
    <xf numFmtId="37" fontId="185" fillId="0" borderId="0" xfId="0" applyNumberFormat="1" applyFont="1"/>
    <xf numFmtId="37" fontId="187" fillId="0" borderId="0" xfId="0" applyNumberFormat="1" applyFont="1"/>
    <xf numFmtId="0" fontId="195" fillId="0" borderId="0" xfId="0" applyFont="1" applyBorder="1"/>
    <xf numFmtId="165" fontId="195" fillId="0" borderId="0" xfId="0" applyNumberFormat="1" applyFont="1" applyBorder="1"/>
    <xf numFmtId="0" fontId="199" fillId="22" borderId="0" xfId="0" applyFont="1" applyFill="1"/>
    <xf numFmtId="0" fontId="0" fillId="0" borderId="0" xfId="0" applyAlignment="1">
      <alignment wrapText="1"/>
    </xf>
    <xf numFmtId="0" fontId="230" fillId="39" borderId="0" xfId="88" applyFont="1" applyFill="1"/>
    <xf numFmtId="0" fontId="0" fillId="52" borderId="0" xfId="0" applyFill="1"/>
    <xf numFmtId="0" fontId="231" fillId="22" borderId="0" xfId="88" applyFont="1" applyFill="1"/>
    <xf numFmtId="0" fontId="280" fillId="22" borderId="0" xfId="88" applyFill="1"/>
    <xf numFmtId="0" fontId="232" fillId="22" borderId="0" xfId="88" applyFont="1" applyFill="1"/>
    <xf numFmtId="165" fontId="232" fillId="22" borderId="0" xfId="29" applyNumberFormat="1" applyFont="1" applyFill="1"/>
    <xf numFmtId="0" fontId="280" fillId="22" borderId="0" xfId="94" applyFill="1"/>
    <xf numFmtId="0" fontId="280" fillId="22" borderId="0" xfId="94" applyFill="1" applyAlignment="1">
      <alignment horizontal="center"/>
    </xf>
    <xf numFmtId="0" fontId="280" fillId="22" borderId="0" xfId="94" applyFill="1" applyBorder="1" applyAlignment="1">
      <alignment horizontal="center"/>
    </xf>
    <xf numFmtId="0" fontId="280" fillId="22" borderId="30" xfId="94" applyFill="1" applyBorder="1" applyAlignment="1">
      <alignment horizontal="center" wrapText="1"/>
    </xf>
    <xf numFmtId="0" fontId="280" fillId="22" borderId="31" xfId="94" applyFill="1" applyBorder="1" applyAlignment="1">
      <alignment horizontal="center" wrapText="1"/>
    </xf>
    <xf numFmtId="0" fontId="280" fillId="22" borderId="0" xfId="94" applyFill="1" applyBorder="1" applyAlignment="1">
      <alignment horizontal="center" wrapText="1"/>
    </xf>
    <xf numFmtId="41" fontId="280" fillId="22" borderId="0" xfId="94" applyNumberFormat="1" applyFill="1" applyBorder="1" applyAlignment="1">
      <alignment horizontal="right"/>
    </xf>
    <xf numFmtId="0" fontId="280" fillId="22" borderId="93" xfId="94" applyFill="1" applyBorder="1" applyAlignment="1">
      <alignment horizontal="right"/>
    </xf>
    <xf numFmtId="0" fontId="280" fillId="22" borderId="0" xfId="94" applyFill="1" applyBorder="1" applyAlignment="1">
      <alignment horizontal="right"/>
    </xf>
    <xf numFmtId="0" fontId="169" fillId="22" borderId="42" xfId="94" applyFont="1" applyFill="1" applyBorder="1"/>
    <xf numFmtId="41" fontId="280" fillId="22" borderId="93" xfId="94" applyNumberFormat="1" applyFill="1" applyBorder="1" applyAlignment="1">
      <alignment horizontal="right"/>
    </xf>
    <xf numFmtId="0" fontId="169" fillId="22" borderId="0" xfId="94" applyFont="1" applyFill="1" applyBorder="1"/>
    <xf numFmtId="0" fontId="280" fillId="22" borderId="42" xfId="94" applyFill="1" applyBorder="1"/>
    <xf numFmtId="0" fontId="280" fillId="22" borderId="93" xfId="94" applyFill="1" applyBorder="1"/>
    <xf numFmtId="41" fontId="280" fillId="22" borderId="42" xfId="94" applyNumberFormat="1" applyFill="1" applyBorder="1"/>
    <xf numFmtId="41" fontId="280" fillId="22" borderId="93" xfId="94" applyNumberFormat="1" applyFill="1" applyBorder="1"/>
    <xf numFmtId="41" fontId="280" fillId="22" borderId="0" xfId="94" applyNumberFormat="1" applyFill="1"/>
    <xf numFmtId="41" fontId="280" fillId="22" borderId="0" xfId="94" applyNumberFormat="1" applyFill="1" applyAlignment="1">
      <alignment horizontal="center"/>
    </xf>
    <xf numFmtId="0" fontId="280" fillId="22" borderId="0" xfId="94" applyNumberFormat="1" applyFill="1" applyAlignment="1">
      <alignment horizontal="center"/>
    </xf>
    <xf numFmtId="41" fontId="280" fillId="22" borderId="30" xfId="94" applyNumberFormat="1" applyFill="1" applyBorder="1" applyAlignment="1">
      <alignment horizontal="center" wrapText="1"/>
    </xf>
    <xf numFmtId="41" fontId="280" fillId="22" borderId="0" xfId="94" applyNumberFormat="1" applyFill="1" applyBorder="1"/>
    <xf numFmtId="0" fontId="280" fillId="22" borderId="0" xfId="94" applyFill="1" applyBorder="1"/>
    <xf numFmtId="0" fontId="0" fillId="24" borderId="0" xfId="0" applyFill="1"/>
    <xf numFmtId="0" fontId="233" fillId="24" borderId="0" xfId="88" applyFont="1" applyFill="1"/>
    <xf numFmtId="0" fontId="232" fillId="24" borderId="0" xfId="88" applyFont="1" applyFill="1"/>
    <xf numFmtId="0" fontId="280" fillId="24" borderId="0" xfId="94" applyFill="1"/>
    <xf numFmtId="0" fontId="280" fillId="23" borderId="0" xfId="94" applyFill="1"/>
    <xf numFmtId="165" fontId="170" fillId="23" borderId="0" xfId="31" applyNumberFormat="1" applyFont="1" applyFill="1"/>
    <xf numFmtId="0" fontId="232" fillId="23" borderId="0" xfId="88" applyFont="1" applyFill="1" applyAlignment="1">
      <alignment horizontal="right"/>
    </xf>
    <xf numFmtId="0" fontId="231" fillId="23" borderId="0" xfId="88" applyFont="1" applyFill="1" applyAlignment="1">
      <alignment horizontal="right"/>
    </xf>
    <xf numFmtId="0" fontId="233" fillId="23" borderId="0" xfId="88" applyFont="1" applyFill="1" applyAlignment="1">
      <alignment horizontal="right"/>
    </xf>
    <xf numFmtId="0" fontId="10" fillId="0" borderId="0" xfId="0" applyFont="1" applyAlignment="1">
      <alignment wrapText="1"/>
    </xf>
    <xf numFmtId="0" fontId="0" fillId="39" borderId="0" xfId="0" applyFill="1" applyAlignment="1">
      <alignment vertical="center" wrapText="1"/>
    </xf>
    <xf numFmtId="0" fontId="0" fillId="0" borderId="0" xfId="0" applyAlignment="1">
      <alignment vertical="center"/>
    </xf>
    <xf numFmtId="0" fontId="0" fillId="52" borderId="0" xfId="0" applyFill="1" applyAlignment="1">
      <alignment vertical="center" wrapText="1"/>
    </xf>
    <xf numFmtId="0" fontId="0" fillId="22" borderId="0" xfId="0" applyFill="1" applyAlignment="1">
      <alignment vertical="center" wrapText="1"/>
    </xf>
    <xf numFmtId="0" fontId="0" fillId="24" borderId="0" xfId="0" applyFill="1" applyAlignment="1">
      <alignment vertical="center" wrapText="1"/>
    </xf>
    <xf numFmtId="0" fontId="0" fillId="23" borderId="0" xfId="0" applyFill="1" applyAlignment="1">
      <alignment vertical="center" wrapText="1"/>
    </xf>
    <xf numFmtId="0" fontId="0" fillId="26" borderId="0" xfId="0" applyFill="1" applyAlignment="1">
      <alignment vertical="center" wrapText="1"/>
    </xf>
    <xf numFmtId="0" fontId="0" fillId="0" borderId="0" xfId="0" applyAlignment="1">
      <alignment vertical="center" wrapText="1"/>
    </xf>
    <xf numFmtId="0" fontId="200" fillId="0" borderId="0" xfId="0" applyFont="1" applyAlignment="1">
      <alignment vertical="center" wrapText="1"/>
    </xf>
    <xf numFmtId="0" fontId="0" fillId="0" borderId="0" xfId="0" applyAlignment="1">
      <alignment horizontal="left" vertical="center" wrapText="1"/>
    </xf>
    <xf numFmtId="165" fontId="0" fillId="0" borderId="21" xfId="29" applyNumberFormat="1" applyFont="1" applyBorder="1" applyAlignment="1">
      <alignment vertical="center" wrapText="1"/>
    </xf>
    <xf numFmtId="165" fontId="200" fillId="0" borderId="20" xfId="29" applyNumberFormat="1" applyFont="1" applyBorder="1" applyAlignment="1">
      <alignment vertical="center"/>
    </xf>
    <xf numFmtId="165" fontId="200" fillId="0" borderId="0" xfId="29" applyNumberFormat="1" applyFont="1" applyAlignment="1">
      <alignment vertical="center"/>
    </xf>
    <xf numFmtId="165" fontId="199" fillId="22" borderId="0" xfId="29" applyNumberFormat="1" applyFont="1" applyFill="1" applyAlignment="1">
      <alignment vertical="center"/>
    </xf>
    <xf numFmtId="165" fontId="199" fillId="22" borderId="0" xfId="0" applyNumberFormat="1" applyFont="1" applyFill="1" applyAlignment="1">
      <alignment vertical="center"/>
    </xf>
    <xf numFmtId="165" fontId="200" fillId="0" borderId="0" xfId="29" applyNumberFormat="1" applyFont="1" applyAlignment="1">
      <alignment vertical="center" wrapText="1"/>
    </xf>
    <xf numFmtId="10" fontId="0" fillId="0" borderId="0" xfId="162" applyNumberFormat="1" applyFont="1" applyAlignment="1">
      <alignment wrapText="1"/>
    </xf>
    <xf numFmtId="165" fontId="10" fillId="0" borderId="21" xfId="29" applyNumberFormat="1" applyFont="1" applyBorder="1"/>
    <xf numFmtId="193" fontId="0" fillId="0" borderId="0" xfId="0" applyNumberFormat="1"/>
    <xf numFmtId="165" fontId="9" fillId="0" borderId="0" xfId="29" applyNumberFormat="1" applyFont="1" applyFill="1" applyAlignment="1">
      <alignment vertical="center" wrapText="1"/>
    </xf>
    <xf numFmtId="9" fontId="213" fillId="32" borderId="8" xfId="162" applyFont="1" applyFill="1" applyBorder="1" applyAlignment="1">
      <alignment horizontal="center"/>
    </xf>
    <xf numFmtId="165" fontId="167" fillId="0" borderId="0" xfId="29" applyNumberFormat="1" applyFont="1" applyFill="1" applyBorder="1"/>
    <xf numFmtId="0" fontId="9" fillId="22" borderId="37" xfId="0" applyNumberFormat="1" applyFont="1" applyFill="1" applyBorder="1" applyAlignment="1">
      <alignment horizontal="center"/>
    </xf>
    <xf numFmtId="9" fontId="7" fillId="0" borderId="0" xfId="162" applyFont="1"/>
    <xf numFmtId="10" fontId="9" fillId="0" borderId="0" xfId="162" applyNumberFormat="1" applyFont="1"/>
    <xf numFmtId="165" fontId="214" fillId="32" borderId="21" xfId="29" applyNumberFormat="1" applyFont="1" applyFill="1" applyBorder="1" applyAlignment="1"/>
    <xf numFmtId="165" fontId="185" fillId="0" borderId="101" xfId="29" applyNumberFormat="1" applyFont="1" applyFill="1" applyBorder="1" applyAlignment="1"/>
    <xf numFmtId="0" fontId="9" fillId="0" borderId="0" xfId="0" applyFont="1" applyAlignment="1">
      <alignment vertical="center" wrapText="1"/>
    </xf>
    <xf numFmtId="0" fontId="10" fillId="33" borderId="0" xfId="0" applyFont="1" applyFill="1" applyBorder="1" applyAlignment="1"/>
    <xf numFmtId="10" fontId="213" fillId="32" borderId="0" xfId="162" applyNumberFormat="1" applyFont="1" applyFill="1" applyBorder="1" applyAlignment="1">
      <alignment horizontal="center"/>
    </xf>
    <xf numFmtId="190" fontId="9" fillId="0" borderId="0" xfId="44" applyNumberFormat="1" applyFont="1" applyFill="1" applyBorder="1" applyAlignment="1"/>
    <xf numFmtId="190" fontId="7" fillId="0" borderId="0" xfId="44" applyNumberFormat="1" applyFill="1" applyBorder="1" applyAlignment="1"/>
    <xf numFmtId="0" fontId="116" fillId="47" borderId="21" xfId="0" applyFont="1" applyFill="1" applyBorder="1" applyAlignment="1">
      <alignment horizontal="centerContinuous"/>
    </xf>
    <xf numFmtId="0" fontId="10" fillId="47" borderId="106" xfId="0" applyFont="1" applyFill="1" applyBorder="1" applyAlignment="1">
      <alignment horizontal="center" vertical="center"/>
    </xf>
    <xf numFmtId="0" fontId="10" fillId="47" borderId="106" xfId="0" applyFont="1" applyFill="1" applyBorder="1" applyAlignment="1">
      <alignment horizontal="center"/>
    </xf>
    <xf numFmtId="0" fontId="115" fillId="47" borderId="43" xfId="0" applyFont="1" applyFill="1" applyBorder="1" applyAlignment="1">
      <alignment horizontal="center"/>
    </xf>
    <xf numFmtId="0" fontId="115" fillId="47" borderId="112" xfId="0" applyFont="1" applyFill="1" applyBorder="1" applyAlignment="1">
      <alignment horizontal="center"/>
    </xf>
    <xf numFmtId="0" fontId="212" fillId="47" borderId="0" xfId="0" applyFont="1" applyFill="1" applyAlignment="1">
      <alignment horizontal="center"/>
    </xf>
    <xf numFmtId="0" fontId="185" fillId="0" borderId="72" xfId="0" applyFont="1" applyBorder="1"/>
    <xf numFmtId="165" fontId="185" fillId="0" borderId="0" xfId="0" applyNumberFormat="1" applyFont="1" applyFill="1" applyBorder="1" applyAlignment="1"/>
    <xf numFmtId="43" fontId="187" fillId="0" borderId="0" xfId="29" applyFont="1" applyFill="1" applyBorder="1" applyAlignment="1"/>
    <xf numFmtId="0" fontId="215" fillId="0" borderId="0" xfId="0" applyNumberFormat="1" applyFont="1" applyFill="1" applyBorder="1" applyAlignment="1"/>
    <xf numFmtId="165" fontId="214" fillId="32" borderId="0" xfId="29" applyNumberFormat="1" applyFont="1" applyFill="1" applyBorder="1" applyAlignment="1"/>
    <xf numFmtId="43" fontId="204" fillId="0" borderId="0" xfId="29" applyFont="1" applyFill="1" applyBorder="1" applyAlignment="1"/>
    <xf numFmtId="165" fontId="214" fillId="32" borderId="75" xfId="29" applyNumberFormat="1" applyFont="1" applyFill="1" applyBorder="1" applyAlignment="1"/>
    <xf numFmtId="165" fontId="214" fillId="32" borderId="20" xfId="29" applyNumberFormat="1" applyFont="1" applyFill="1" applyBorder="1" applyAlignment="1"/>
    <xf numFmtId="165" fontId="187" fillId="0" borderId="0" xfId="0" applyNumberFormat="1" applyFont="1" applyFill="1" applyAlignment="1"/>
    <xf numFmtId="165" fontId="187" fillId="0" borderId="72" xfId="0" applyNumberFormat="1" applyFont="1" applyFill="1" applyBorder="1" applyAlignment="1"/>
    <xf numFmtId="165" fontId="187" fillId="0" borderId="0" xfId="0" applyNumberFormat="1" applyFont="1" applyFill="1" applyBorder="1" applyAlignment="1"/>
    <xf numFmtId="0" fontId="204" fillId="41" borderId="0" xfId="0" applyNumberFormat="1" applyFont="1" applyFill="1" applyAlignment="1"/>
    <xf numFmtId="0" fontId="204" fillId="41" borderId="72" xfId="0" applyNumberFormat="1" applyFont="1" applyFill="1" applyBorder="1" applyAlignment="1"/>
    <xf numFmtId="165" fontId="9" fillId="0" borderId="0" xfId="36" applyNumberFormat="1" applyFill="1" applyBorder="1"/>
    <xf numFmtId="0" fontId="91" fillId="0" borderId="64" xfId="0" applyFont="1" applyFill="1" applyBorder="1" applyAlignment="1">
      <alignment horizontal="center"/>
    </xf>
    <xf numFmtId="0" fontId="91" fillId="0" borderId="97" xfId="0" applyFont="1" applyFill="1" applyBorder="1" applyAlignment="1">
      <alignment horizontal="center"/>
    </xf>
    <xf numFmtId="43" fontId="7" fillId="0" borderId="0" xfId="0" applyNumberFormat="1" applyFont="1"/>
    <xf numFmtId="10" fontId="213" fillId="0" borderId="72" xfId="0" applyNumberFormat="1" applyFont="1" applyFill="1" applyBorder="1" applyAlignment="1">
      <alignment horizontal="center"/>
    </xf>
    <xf numFmtId="10" fontId="213" fillId="0" borderId="101" xfId="0" applyNumberFormat="1" applyFont="1" applyFill="1" applyBorder="1" applyAlignment="1">
      <alignment horizontal="center"/>
    </xf>
    <xf numFmtId="165" fontId="213" fillId="32" borderId="0" xfId="29" applyNumberFormat="1" applyFont="1" applyFill="1"/>
    <xf numFmtId="0" fontId="14" fillId="34" borderId="44" xfId="0" applyFont="1" applyFill="1" applyBorder="1" applyAlignment="1"/>
    <xf numFmtId="204" fontId="0" fillId="0" borderId="0" xfId="0" applyNumberFormat="1" applyFill="1" applyBorder="1"/>
    <xf numFmtId="165" fontId="9" fillId="24" borderId="87" xfId="75" applyNumberFormat="1" applyFont="1" applyBorder="1"/>
    <xf numFmtId="0" fontId="218" fillId="0" borderId="0" xfId="95" applyFont="1" applyFill="1"/>
    <xf numFmtId="10" fontId="196" fillId="0" borderId="0" xfId="174" applyNumberFormat="1" applyFont="1" applyFill="1" applyAlignment="1">
      <alignment horizontal="center"/>
    </xf>
    <xf numFmtId="10" fontId="0" fillId="0" borderId="0" xfId="0" applyNumberFormat="1" applyAlignment="1">
      <alignment horizontal="center"/>
    </xf>
    <xf numFmtId="165" fontId="7" fillId="0" borderId="21" xfId="29" applyNumberFormat="1" applyFont="1" applyBorder="1"/>
    <xf numFmtId="10" fontId="7" fillId="0" borderId="0" xfId="162" applyNumberFormat="1" applyFont="1"/>
    <xf numFmtId="10" fontId="0" fillId="0" borderId="0" xfId="162" applyNumberFormat="1" applyFont="1" applyFill="1"/>
    <xf numFmtId="0" fontId="14" fillId="35" borderId="64" xfId="0" applyFont="1" applyFill="1" applyBorder="1" applyAlignment="1">
      <alignment horizontal="center"/>
    </xf>
    <xf numFmtId="197" fontId="125" fillId="41" borderId="0" xfId="57" applyFont="1" applyFill="1"/>
    <xf numFmtId="197" fontId="126" fillId="0" borderId="0" xfId="57" applyFont="1" applyFill="1"/>
    <xf numFmtId="197" fontId="172" fillId="0" borderId="0" xfId="57" applyFont="1" applyFill="1"/>
    <xf numFmtId="165" fontId="202" fillId="22" borderId="0" xfId="29" applyNumberFormat="1" applyFont="1" applyFill="1" applyBorder="1" applyAlignment="1"/>
    <xf numFmtId="167" fontId="7" fillId="0" borderId="0" xfId="0" applyNumberFormat="1" applyFont="1"/>
    <xf numFmtId="202" fontId="0" fillId="0" borderId="0" xfId="0" applyNumberFormat="1"/>
    <xf numFmtId="10" fontId="9" fillId="0" borderId="85" xfId="162" applyNumberFormat="1" applyFont="1" applyFill="1" applyBorder="1" applyAlignment="1"/>
    <xf numFmtId="0" fontId="9" fillId="0" borderId="8" xfId="0" applyFont="1" applyBorder="1" applyAlignment="1"/>
    <xf numFmtId="0" fontId="9" fillId="0" borderId="86" xfId="0" applyFont="1" applyBorder="1" applyAlignment="1"/>
    <xf numFmtId="0" fontId="91" fillId="0" borderId="45" xfId="0" applyFont="1" applyFill="1" applyBorder="1" applyAlignment="1">
      <alignment horizontal="center"/>
    </xf>
    <xf numFmtId="0" fontId="234" fillId="0" borderId="0" xfId="0" applyFont="1" applyFill="1"/>
    <xf numFmtId="41" fontId="234" fillId="0" borderId="0" xfId="0" applyNumberFormat="1" applyFont="1" applyFill="1"/>
    <xf numFmtId="166" fontId="234" fillId="0" borderId="0" xfId="44" applyNumberFormat="1" applyFont="1" applyFill="1" applyBorder="1"/>
    <xf numFmtId="167" fontId="234" fillId="0" borderId="0" xfId="162" applyNumberFormat="1" applyFont="1" applyFill="1" applyBorder="1" applyAlignment="1">
      <alignment horizontal="center"/>
    </xf>
    <xf numFmtId="165" fontId="234" fillId="0" borderId="0" xfId="29" applyNumberFormat="1" applyFont="1" applyFill="1" applyBorder="1"/>
    <xf numFmtId="167" fontId="25" fillId="0" borderId="9" xfId="90" applyNumberFormat="1" applyFill="1" applyBorder="1"/>
    <xf numFmtId="167" fontId="25" fillId="0" borderId="102" xfId="90" applyNumberFormat="1" applyFill="1" applyBorder="1"/>
    <xf numFmtId="0" fontId="9" fillId="0" borderId="0" xfId="0" applyFont="1" applyAlignment="1">
      <alignment horizontal="left"/>
    </xf>
    <xf numFmtId="43" fontId="213" fillId="32" borderId="0" xfId="29" applyNumberFormat="1" applyFont="1" applyFill="1" applyAlignment="1">
      <alignment horizontal="center"/>
    </xf>
    <xf numFmtId="43" fontId="213" fillId="32" borderId="21" xfId="29" applyNumberFormat="1" applyFont="1" applyFill="1" applyBorder="1" applyAlignment="1">
      <alignment horizontal="center"/>
    </xf>
    <xf numFmtId="43" fontId="0" fillId="0" borderId="0" xfId="29" applyNumberFormat="1" applyFont="1" applyFill="1"/>
    <xf numFmtId="165" fontId="213" fillId="0" borderId="0" xfId="29" applyNumberFormat="1" applyFont="1" applyFill="1" applyBorder="1" applyAlignment="1">
      <alignment horizontal="center"/>
    </xf>
    <xf numFmtId="165" fontId="213" fillId="0" borderId="21" xfId="29" applyNumberFormat="1" applyFont="1" applyFill="1" applyBorder="1" applyAlignment="1">
      <alignment horizontal="center"/>
    </xf>
    <xf numFmtId="165" fontId="0" fillId="0" borderId="0" xfId="29" applyNumberFormat="1" applyFont="1" applyAlignment="1">
      <alignment horizontal="centerContinuous"/>
    </xf>
    <xf numFmtId="165" fontId="18" fillId="0" borderId="0" xfId="29" quotePrefix="1" applyNumberFormat="1" applyFont="1" applyAlignment="1">
      <alignment horizontal="center"/>
    </xf>
    <xf numFmtId="165" fontId="14" fillId="35" borderId="40" xfId="29" applyNumberFormat="1" applyFont="1" applyFill="1" applyBorder="1"/>
    <xf numFmtId="165" fontId="14" fillId="35" borderId="38" xfId="29" applyNumberFormat="1" applyFont="1" applyFill="1" applyBorder="1" applyAlignment="1">
      <alignment horizontal="center"/>
    </xf>
    <xf numFmtId="165" fontId="30" fillId="0" borderId="0" xfId="29" applyNumberFormat="1" applyFont="1" applyFill="1" applyAlignment="1">
      <alignment horizontal="center"/>
    </xf>
    <xf numFmtId="165" fontId="9" fillId="0" borderId="0" xfId="29" applyNumberFormat="1" applyFont="1" applyFill="1" applyAlignment="1">
      <alignment horizontal="center"/>
    </xf>
    <xf numFmtId="165" fontId="0" fillId="0" borderId="0" xfId="29" applyNumberFormat="1" applyFont="1" applyFill="1" applyAlignment="1">
      <alignment horizontal="center"/>
    </xf>
    <xf numFmtId="165" fontId="213" fillId="32" borderId="0" xfId="29" applyNumberFormat="1" applyFont="1" applyFill="1" applyBorder="1" applyAlignment="1">
      <alignment horizontal="center"/>
    </xf>
    <xf numFmtId="0" fontId="219" fillId="0" borderId="0" xfId="0" applyFont="1" applyFill="1"/>
    <xf numFmtId="165" fontId="219" fillId="0" borderId="0" xfId="29" applyNumberFormat="1" applyFont="1"/>
    <xf numFmtId="165" fontId="7" fillId="0" borderId="0" xfId="29" applyNumberFormat="1" applyFont="1" applyFill="1"/>
    <xf numFmtId="165" fontId="173" fillId="0" borderId="0" xfId="29" applyNumberFormat="1" applyFont="1" applyFill="1" applyBorder="1" applyAlignment="1">
      <alignment horizontal="center"/>
    </xf>
    <xf numFmtId="10" fontId="171" fillId="0" borderId="0" xfId="162" applyNumberFormat="1" applyFont="1" applyFill="1" applyBorder="1" applyAlignment="1">
      <alignment horizontal="center"/>
    </xf>
    <xf numFmtId="165" fontId="171" fillId="0" borderId="0" xfId="162" applyNumberFormat="1" applyFont="1" applyFill="1" applyBorder="1" applyAlignment="1">
      <alignment horizontal="center"/>
    </xf>
    <xf numFmtId="165" fontId="173" fillId="0" borderId="0" xfId="29" applyNumberFormat="1" applyFont="1" applyFill="1" applyAlignment="1">
      <alignment horizontal="center"/>
    </xf>
    <xf numFmtId="10" fontId="171" fillId="0" borderId="0" xfId="162" applyNumberFormat="1" applyFont="1" applyFill="1" applyAlignment="1">
      <alignment horizontal="center"/>
    </xf>
    <xf numFmtId="165" fontId="173" fillId="0" borderId="0" xfId="29" applyNumberFormat="1" applyFont="1" applyFill="1" applyBorder="1"/>
    <xf numFmtId="165" fontId="173" fillId="0" borderId="21" xfId="29" applyNumberFormat="1" applyFont="1" applyFill="1" applyBorder="1" applyAlignment="1">
      <alignment horizontal="center"/>
    </xf>
    <xf numFmtId="165" fontId="171" fillId="0" borderId="21" xfId="162" applyNumberFormat="1" applyFont="1" applyFill="1" applyBorder="1" applyAlignment="1">
      <alignment horizontal="center"/>
    </xf>
    <xf numFmtId="10" fontId="171" fillId="0" borderId="0" xfId="162" applyNumberFormat="1" applyFont="1" applyFill="1" applyBorder="1"/>
    <xf numFmtId="2" fontId="11" fillId="32" borderId="26" xfId="36" applyNumberFormat="1" applyFont="1" applyFill="1" applyBorder="1" applyAlignment="1">
      <alignment horizontal="center"/>
    </xf>
    <xf numFmtId="2" fontId="11" fillId="32" borderId="36" xfId="36" applyNumberFormat="1" applyFont="1" applyFill="1" applyBorder="1" applyAlignment="1">
      <alignment horizontal="center"/>
    </xf>
    <xf numFmtId="2" fontId="11" fillId="32" borderId="27" xfId="36" applyNumberFormat="1" applyFont="1" applyFill="1" applyBorder="1" applyAlignment="1">
      <alignment horizontal="center"/>
    </xf>
    <xf numFmtId="165" fontId="9" fillId="0" borderId="0" xfId="29" applyNumberFormat="1" applyFont="1"/>
    <xf numFmtId="0" fontId="7" fillId="0" borderId="0" xfId="0" applyFont="1" applyBorder="1"/>
    <xf numFmtId="0" fontId="91" fillId="0" borderId="0" xfId="0" applyFont="1" applyFill="1" applyBorder="1" applyAlignment="1">
      <alignment horizontal="center"/>
    </xf>
    <xf numFmtId="41" fontId="9" fillId="0" borderId="0" xfId="0" applyNumberFormat="1" applyFont="1" applyFill="1"/>
    <xf numFmtId="165" fontId="7" fillId="0" borderId="0" xfId="29" applyNumberFormat="1" applyFont="1" applyBorder="1"/>
    <xf numFmtId="166" fontId="0" fillId="0" borderId="22" xfId="0" applyNumberFormat="1" applyFill="1" applyBorder="1"/>
    <xf numFmtId="0" fontId="202" fillId="0" borderId="0" xfId="0" applyNumberFormat="1" applyFont="1" applyFill="1" applyBorder="1" applyAlignment="1">
      <alignment horizontal="center"/>
    </xf>
    <xf numFmtId="0" fontId="208" fillId="0" borderId="0" xfId="0" applyNumberFormat="1" applyFont="1" applyFill="1" applyBorder="1" applyAlignment="1">
      <alignment horizontal="left" indent="1"/>
    </xf>
    <xf numFmtId="0" fontId="208" fillId="0" borderId="0" xfId="0" applyNumberFormat="1" applyFont="1" applyFill="1" applyBorder="1" applyAlignment="1">
      <alignment horizontal="center"/>
    </xf>
    <xf numFmtId="183" fontId="202" fillId="0" borderId="0" xfId="0" applyNumberFormat="1" applyFont="1" applyFill="1" applyBorder="1" applyAlignment="1">
      <alignment horizontal="center"/>
    </xf>
    <xf numFmtId="165" fontId="202" fillId="0" borderId="0" xfId="36" applyNumberFormat="1" applyFont="1" applyFill="1" applyBorder="1" applyAlignment="1"/>
    <xf numFmtId="165" fontId="185" fillId="22" borderId="0" xfId="36" applyNumberFormat="1" applyFont="1" applyFill="1" applyBorder="1" applyAlignment="1"/>
    <xf numFmtId="10" fontId="185" fillId="45" borderId="29" xfId="179" applyNumberFormat="1" applyFont="1" applyFill="1" applyBorder="1" applyAlignment="1"/>
    <xf numFmtId="0" fontId="10" fillId="0" borderId="113" xfId="0" applyFont="1" applyBorder="1" applyAlignment="1">
      <alignment horizontal="center"/>
    </xf>
    <xf numFmtId="0" fontId="10" fillId="0" borderId="43" xfId="0" applyFont="1" applyFill="1" applyBorder="1" applyAlignment="1">
      <alignment horizontal="left"/>
    </xf>
    <xf numFmtId="0" fontId="91" fillId="0" borderId="38" xfId="0" applyFont="1" applyFill="1" applyBorder="1" applyAlignment="1">
      <alignment horizontal="left"/>
    </xf>
    <xf numFmtId="165" fontId="9" fillId="22" borderId="0" xfId="29" applyNumberFormat="1" applyFont="1" applyFill="1"/>
    <xf numFmtId="165" fontId="219" fillId="22" borderId="0" xfId="29" applyNumberFormat="1" applyFont="1" applyFill="1" applyBorder="1"/>
    <xf numFmtId="165" fontId="7" fillId="22" borderId="0" xfId="29" applyNumberFormat="1" applyFont="1" applyFill="1"/>
    <xf numFmtId="165" fontId="7" fillId="22" borderId="0" xfId="29" applyNumberFormat="1" applyFont="1" applyFill="1" applyBorder="1"/>
    <xf numFmtId="0" fontId="9" fillId="0" borderId="49" xfId="0" applyFont="1" applyFill="1" applyBorder="1" applyAlignment="1"/>
    <xf numFmtId="165" fontId="7" fillId="0" borderId="21" xfId="29" applyNumberFormat="1" applyFont="1" applyFill="1" applyBorder="1"/>
    <xf numFmtId="165" fontId="102" fillId="0" borderId="22" xfId="29" applyNumberFormat="1" applyFont="1" applyFill="1" applyBorder="1"/>
    <xf numFmtId="0" fontId="9" fillId="23" borderId="21" xfId="0" applyFont="1" applyFill="1" applyBorder="1" applyAlignment="1">
      <alignment horizontal="center"/>
    </xf>
    <xf numFmtId="0" fontId="10" fillId="0" borderId="44" xfId="0" applyFont="1" applyFill="1" applyBorder="1" applyAlignment="1">
      <alignment horizontal="center"/>
    </xf>
    <xf numFmtId="2" fontId="0" fillId="0" borderId="0" xfId="0" applyNumberFormat="1" applyAlignment="1">
      <alignment horizontal="center"/>
    </xf>
    <xf numFmtId="2" fontId="0" fillId="0" borderId="21" xfId="0" applyNumberFormat="1" applyBorder="1" applyAlignment="1">
      <alignment horizontal="center"/>
    </xf>
    <xf numFmtId="0" fontId="10" fillId="0" borderId="20" xfId="0" applyFont="1" applyFill="1" applyBorder="1" applyAlignment="1">
      <alignment horizontal="center"/>
    </xf>
    <xf numFmtId="194" fontId="0" fillId="0" borderId="0" xfId="162" applyNumberFormat="1" applyFont="1" applyFill="1" applyAlignment="1">
      <alignment horizontal="center"/>
    </xf>
    <xf numFmtId="194" fontId="0" fillId="0" borderId="22" xfId="162" applyNumberFormat="1" applyFont="1" applyFill="1" applyBorder="1" applyAlignment="1">
      <alignment horizontal="center"/>
    </xf>
    <xf numFmtId="194" fontId="10" fillId="0" borderId="60" xfId="162" applyNumberFormat="1" applyFont="1" applyFill="1" applyBorder="1" applyAlignment="1">
      <alignment horizontal="right"/>
    </xf>
    <xf numFmtId="2" fontId="0" fillId="0" borderId="0" xfId="0" applyNumberFormat="1"/>
    <xf numFmtId="194" fontId="7" fillId="0" borderId="22" xfId="0" applyNumberFormat="1" applyFont="1" applyFill="1" applyBorder="1" applyAlignment="1">
      <alignment horizontal="center"/>
    </xf>
    <xf numFmtId="195" fontId="0" fillId="0" borderId="0" xfId="162" applyNumberFormat="1" applyFont="1" applyFill="1" applyBorder="1"/>
    <xf numFmtId="194" fontId="7" fillId="23" borderId="0" xfId="0" applyNumberFormat="1" applyFont="1" applyFill="1" applyAlignment="1">
      <alignment horizontal="center"/>
    </xf>
    <xf numFmtId="165" fontId="0" fillId="23" borderId="0" xfId="29" applyNumberFormat="1" applyFont="1" applyFill="1"/>
    <xf numFmtId="166" fontId="9" fillId="0" borderId="22" xfId="0" applyNumberFormat="1" applyFont="1" applyBorder="1"/>
    <xf numFmtId="165" fontId="0" fillId="23" borderId="22" xfId="0" applyNumberFormat="1" applyFill="1" applyBorder="1"/>
    <xf numFmtId="0" fontId="226" fillId="23" borderId="29" xfId="0" applyFont="1" applyFill="1" applyBorder="1" applyAlignment="1">
      <alignment horizontal="center" vertical="center" wrapText="1"/>
    </xf>
    <xf numFmtId="0" fontId="226" fillId="23" borderId="30" xfId="0" applyFont="1" applyFill="1" applyBorder="1" applyAlignment="1">
      <alignment horizontal="center" vertical="center" wrapText="1"/>
    </xf>
    <xf numFmtId="0" fontId="235" fillId="23" borderId="114" xfId="0" quotePrefix="1" applyFont="1" applyFill="1" applyBorder="1" applyAlignment="1">
      <alignment horizontal="center"/>
    </xf>
    <xf numFmtId="0" fontId="235" fillId="23" borderId="115" xfId="0" applyFont="1" applyFill="1" applyBorder="1" applyAlignment="1">
      <alignment horizontal="center"/>
    </xf>
    <xf numFmtId="0" fontId="235" fillId="23" borderId="116" xfId="0" applyFont="1" applyFill="1" applyBorder="1" applyAlignment="1">
      <alignment horizontal="center"/>
    </xf>
    <xf numFmtId="0" fontId="200" fillId="23" borderId="110" xfId="0" applyFont="1" applyFill="1" applyBorder="1" applyAlignment="1">
      <alignment horizontal="center" vertical="center" wrapText="1"/>
    </xf>
    <xf numFmtId="0" fontId="200" fillId="23" borderId="6" xfId="0" applyFont="1" applyFill="1" applyBorder="1" applyAlignment="1">
      <alignment horizontal="center" vertical="center" wrapText="1"/>
    </xf>
    <xf numFmtId="0" fontId="200" fillId="23" borderId="117" xfId="0" applyFont="1" applyFill="1" applyBorder="1" applyAlignment="1">
      <alignment horizontal="center" vertical="center" wrapText="1"/>
    </xf>
    <xf numFmtId="0" fontId="200" fillId="23" borderId="118" xfId="0" applyFont="1" applyFill="1" applyBorder="1" applyAlignment="1">
      <alignment horizontal="center" vertical="center" wrapText="1"/>
    </xf>
    <xf numFmtId="0" fontId="200" fillId="0" borderId="0" xfId="96" applyFont="1" applyFill="1" applyAlignment="1">
      <alignment horizontal="center"/>
    </xf>
    <xf numFmtId="199" fontId="142" fillId="0" borderId="0" xfId="32" applyNumberFormat="1" applyFont="1" applyFill="1" applyBorder="1"/>
    <xf numFmtId="199" fontId="212" fillId="0" borderId="78" xfId="96" applyNumberFormat="1" applyFont="1" applyFill="1" applyBorder="1"/>
    <xf numFmtId="199" fontId="211" fillId="0" borderId="0" xfId="34" applyNumberFormat="1" applyFont="1" applyFill="1"/>
    <xf numFmtId="0" fontId="211" fillId="0" borderId="0" xfId="96" applyFont="1" applyFill="1" applyAlignment="1"/>
    <xf numFmtId="165" fontId="211" fillId="0" borderId="0" xfId="32" applyNumberFormat="1" applyFont="1" applyFill="1"/>
    <xf numFmtId="199" fontId="143" fillId="0" borderId="0" xfId="96" applyNumberFormat="1" applyFont="1" applyFill="1" applyBorder="1"/>
    <xf numFmtId="199" fontId="212" fillId="0" borderId="0" xfId="32" applyNumberFormat="1" applyFont="1" applyFill="1" applyBorder="1" applyAlignment="1">
      <alignment horizontal="left" vertical="top"/>
    </xf>
    <xf numFmtId="49" fontId="143" fillId="0" borderId="0" xfId="96" applyNumberFormat="1" applyFont="1" applyFill="1" applyAlignment="1">
      <alignment horizontal="center"/>
    </xf>
    <xf numFmtId="37" fontId="141" fillId="0" borderId="21" xfId="96" applyNumberFormat="1" applyFont="1" applyFill="1" applyBorder="1" applyAlignment="1">
      <alignment horizontal="center"/>
    </xf>
    <xf numFmtId="0" fontId="141" fillId="0" borderId="21" xfId="96" applyFont="1" applyFill="1" applyBorder="1" applyAlignment="1">
      <alignment horizontal="center"/>
    </xf>
    <xf numFmtId="0" fontId="135" fillId="0" borderId="0" xfId="96" applyFont="1" applyFill="1" applyAlignment="1">
      <alignment horizontal="center"/>
    </xf>
    <xf numFmtId="37" fontId="151" fillId="0" borderId="0" xfId="32" applyNumberFormat="1" applyFont="1" applyFill="1"/>
    <xf numFmtId="165" fontId="151" fillId="0" borderId="0" xfId="29" applyNumberFormat="1" applyFont="1" applyFill="1"/>
    <xf numFmtId="37" fontId="143" fillId="0" borderId="20" xfId="96" applyNumberFormat="1" applyFont="1" applyFill="1" applyBorder="1"/>
    <xf numFmtId="165" fontId="143" fillId="0" borderId="20" xfId="96" applyNumberFormat="1" applyFont="1" applyFill="1" applyBorder="1" applyAlignment="1"/>
    <xf numFmtId="37" fontId="151" fillId="0" borderId="0" xfId="96" applyNumberFormat="1" applyFont="1" applyFill="1"/>
    <xf numFmtId="199" fontId="151" fillId="0" borderId="0" xfId="96" applyNumberFormat="1" applyFont="1" applyFill="1"/>
    <xf numFmtId="37" fontId="143" fillId="0" borderId="78" xfId="96" applyNumberFormat="1" applyFont="1" applyFill="1" applyBorder="1"/>
    <xf numFmtId="165" fontId="143" fillId="0" borderId="78" xfId="96" applyNumberFormat="1" applyFont="1" applyFill="1" applyBorder="1" applyAlignment="1"/>
    <xf numFmtId="165" fontId="143" fillId="0" borderId="78" xfId="29" applyNumberFormat="1" applyFont="1" applyFill="1" applyBorder="1"/>
    <xf numFmtId="0" fontId="142" fillId="0" borderId="0" xfId="96" applyFont="1" applyFill="1" applyAlignment="1">
      <alignment horizontal="center"/>
    </xf>
    <xf numFmtId="0" fontId="143" fillId="0" borderId="0" xfId="96" applyFont="1" applyFill="1" applyAlignment="1">
      <alignment horizontal="right" vertical="center"/>
    </xf>
    <xf numFmtId="0" fontId="143" fillId="0" borderId="0" xfId="96" applyFont="1" applyFill="1" applyAlignment="1">
      <alignment horizontal="center" vertical="center"/>
    </xf>
    <xf numFmtId="0" fontId="141" fillId="0" borderId="0" xfId="96" applyFont="1" applyFill="1" applyAlignment="1">
      <alignment horizontal="right"/>
    </xf>
    <xf numFmtId="165" fontId="211" fillId="22" borderId="0" xfId="32" applyNumberFormat="1" applyFont="1" applyFill="1"/>
    <xf numFmtId="9" fontId="211" fillId="0" borderId="0" xfId="179" applyFont="1" applyFill="1"/>
    <xf numFmtId="9" fontId="211" fillId="22" borderId="0" xfId="179" applyFont="1" applyFill="1"/>
    <xf numFmtId="199" fontId="236" fillId="0" borderId="0" xfId="34" applyNumberFormat="1" applyFont="1" applyFill="1"/>
    <xf numFmtId="200" fontId="236" fillId="0" borderId="0" xfId="34" applyNumberFormat="1" applyFont="1" applyFill="1"/>
    <xf numFmtId="199" fontId="236" fillId="0" borderId="0" xfId="32" applyNumberFormat="1" applyFont="1" applyFill="1"/>
    <xf numFmtId="165" fontId="236" fillId="0" borderId="0" xfId="34" applyNumberFormat="1" applyFont="1" applyFill="1" applyBorder="1"/>
    <xf numFmtId="199" fontId="236" fillId="0" borderId="0" xfId="34" applyNumberFormat="1" applyFont="1" applyFill="1" applyBorder="1"/>
    <xf numFmtId="10" fontId="236" fillId="0" borderId="0" xfId="162" applyNumberFormat="1" applyFont="1" applyFill="1" applyBorder="1"/>
    <xf numFmtId="199" fontId="236" fillId="22" borderId="0" xfId="34" applyNumberFormat="1" applyFont="1" applyFill="1" applyBorder="1"/>
    <xf numFmtId="199" fontId="237" fillId="0" borderId="78" xfId="96" applyNumberFormat="1" applyFont="1" applyFill="1" applyBorder="1"/>
    <xf numFmtId="199" fontId="236" fillId="39" borderId="0" xfId="32" applyNumberFormat="1" applyFont="1" applyFill="1"/>
    <xf numFmtId="199" fontId="237" fillId="0" borderId="20" xfId="34" applyNumberFormat="1" applyFont="1" applyFill="1" applyBorder="1"/>
    <xf numFmtId="199" fontId="225" fillId="0" borderId="0" xfId="96" applyNumberFormat="1" applyFont="1" applyFill="1"/>
    <xf numFmtId="9" fontId="236" fillId="44" borderId="0" xfId="96" applyNumberFormat="1" applyFont="1" applyFill="1"/>
    <xf numFmtId="0" fontId="236" fillId="44" borderId="0" xfId="96" applyFont="1" applyFill="1"/>
    <xf numFmtId="10" fontId="236" fillId="44" borderId="0" xfId="162" applyNumberFormat="1" applyFont="1" applyFill="1"/>
    <xf numFmtId="165" fontId="236" fillId="0" borderId="0" xfId="29" applyNumberFormat="1" applyFont="1" applyFill="1"/>
    <xf numFmtId="165" fontId="237" fillId="33" borderId="0" xfId="29" applyNumberFormat="1" applyFont="1" applyFill="1"/>
    <xf numFmtId="43" fontId="236" fillId="0" borderId="0" xfId="96" applyNumberFormat="1" applyFont="1" applyFill="1"/>
    <xf numFmtId="199" fontId="238" fillId="0" borderId="0" xfId="32" applyNumberFormat="1" applyFont="1" applyFill="1"/>
    <xf numFmtId="199" fontId="238" fillId="22" borderId="0" xfId="32" applyNumberFormat="1" applyFont="1" applyFill="1"/>
    <xf numFmtId="199" fontId="211" fillId="0" borderId="20" xfId="32" applyNumberFormat="1" applyFont="1" applyFill="1" applyBorder="1"/>
    <xf numFmtId="199" fontId="211" fillId="22" borderId="20" xfId="32" applyNumberFormat="1" applyFont="1" applyFill="1" applyBorder="1"/>
    <xf numFmtId="199" fontId="238" fillId="0" borderId="0" xfId="32" applyNumberFormat="1" applyFont="1" applyFill="1" applyBorder="1"/>
    <xf numFmtId="199" fontId="200" fillId="0" borderId="22" xfId="32" applyNumberFormat="1" applyFont="1" applyFill="1" applyBorder="1"/>
    <xf numFmtId="165" fontId="184" fillId="0" borderId="0" xfId="32" applyNumberFormat="1" applyFont="1" applyFill="1" applyBorder="1"/>
    <xf numFmtId="9" fontId="184" fillId="0" borderId="0" xfId="179" applyFont="1" applyFill="1" applyBorder="1"/>
    <xf numFmtId="199" fontId="134" fillId="22" borderId="20" xfId="32" applyNumberFormat="1" applyFont="1" applyFill="1" applyBorder="1"/>
    <xf numFmtId="199" fontId="134" fillId="0" borderId="20" xfId="32" applyNumberFormat="1" applyFont="1" applyFill="1" applyBorder="1"/>
    <xf numFmtId="199" fontId="134" fillId="0" borderId="0" xfId="32" applyNumberFormat="1" applyFont="1" applyFill="1" applyBorder="1"/>
    <xf numFmtId="199" fontId="134" fillId="45" borderId="20" xfId="32" applyNumberFormat="1" applyFont="1" applyFill="1" applyBorder="1"/>
    <xf numFmtId="199" fontId="142" fillId="39" borderId="0" xfId="32" applyNumberFormat="1" applyFont="1" applyFill="1"/>
    <xf numFmtId="199" fontId="212" fillId="0" borderId="20" xfId="96" applyNumberFormat="1" applyFont="1" applyFill="1" applyBorder="1"/>
    <xf numFmtId="199" fontId="212" fillId="22" borderId="20" xfId="96" applyNumberFormat="1" applyFont="1" applyFill="1" applyBorder="1"/>
    <xf numFmtId="199" fontId="200" fillId="0" borderId="20" xfId="34" applyNumberFormat="1" applyFont="1" applyFill="1" applyBorder="1"/>
    <xf numFmtId="165" fontId="213" fillId="0" borderId="0" xfId="29" applyNumberFormat="1" applyFont="1"/>
    <xf numFmtId="37" fontId="142" fillId="0" borderId="0" xfId="34" applyNumberFormat="1" applyFont="1" applyFill="1"/>
    <xf numFmtId="43" fontId="142" fillId="0" borderId="0" xfId="96" applyNumberFormat="1" applyFont="1" applyFill="1" applyAlignment="1"/>
    <xf numFmtId="43" fontId="142" fillId="0" borderId="0" xfId="29" applyNumberFormat="1" applyFont="1" applyFill="1"/>
    <xf numFmtId="37" fontId="142" fillId="0" borderId="0" xfId="29" applyNumberFormat="1" applyFont="1" applyFill="1"/>
    <xf numFmtId="43" fontId="236" fillId="0" borderId="0" xfId="29" applyFont="1" applyFill="1"/>
    <xf numFmtId="37" fontId="142" fillId="0" borderId="0" xfId="179" applyNumberFormat="1" applyFont="1" applyFill="1"/>
    <xf numFmtId="9" fontId="142" fillId="0" borderId="0" xfId="179" applyFont="1" applyFill="1" applyAlignment="1"/>
    <xf numFmtId="167" fontId="142" fillId="0" borderId="0" xfId="179" applyNumberFormat="1" applyFont="1" applyFill="1"/>
    <xf numFmtId="9" fontId="142" fillId="0" borderId="0" xfId="96" applyNumberFormat="1" applyFont="1" applyFill="1"/>
    <xf numFmtId="165" fontId="142" fillId="0" borderId="20" xfId="29" applyNumberFormat="1" applyFont="1" applyFill="1" applyBorder="1"/>
    <xf numFmtId="37" fontId="143" fillId="0" borderId="0" xfId="96" applyNumberFormat="1" applyFont="1" applyFill="1" applyBorder="1"/>
    <xf numFmtId="165" fontId="143" fillId="0" borderId="0" xfId="96" applyNumberFormat="1" applyFont="1" applyFill="1" applyBorder="1" applyAlignment="1"/>
    <xf numFmtId="165" fontId="143" fillId="0" borderId="0" xfId="29" applyNumberFormat="1" applyFont="1" applyFill="1" applyBorder="1"/>
    <xf numFmtId="0" fontId="143" fillId="0" borderId="0" xfId="96" applyFont="1" applyFill="1" applyAlignment="1">
      <alignment wrapText="1"/>
    </xf>
    <xf numFmtId="165" fontId="143" fillId="0" borderId="0" xfId="32" applyNumberFormat="1" applyFont="1" applyFill="1" applyBorder="1"/>
    <xf numFmtId="165" fontId="143" fillId="0" borderId="0" xfId="96" applyNumberFormat="1" applyFont="1" applyFill="1" applyBorder="1" applyAlignment="1">
      <alignment horizontal="right"/>
    </xf>
    <xf numFmtId="165" fontId="143" fillId="0" borderId="0" xfId="29" applyNumberFormat="1" applyFont="1" applyFill="1" applyBorder="1" applyAlignment="1">
      <alignment horizontal="right"/>
    </xf>
    <xf numFmtId="0" fontId="142" fillId="0" borderId="0" xfId="96" applyFont="1" applyFill="1" applyAlignment="1">
      <alignment horizontal="left"/>
    </xf>
    <xf numFmtId="165" fontId="137" fillId="0" borderId="0" xfId="32" applyNumberFormat="1" applyFont="1" applyFill="1" applyAlignment="1"/>
    <xf numFmtId="0" fontId="142" fillId="0" borderId="0" xfId="96" applyFont="1" applyFill="1" applyBorder="1" applyAlignment="1">
      <alignment horizontal="left"/>
    </xf>
    <xf numFmtId="37" fontId="151" fillId="0" borderId="0" xfId="32" applyNumberFormat="1" applyFont="1" applyFill="1" applyBorder="1"/>
    <xf numFmtId="165" fontId="137" fillId="0" borderId="0" xfId="32" applyNumberFormat="1" applyFont="1" applyFill="1" applyBorder="1" applyAlignment="1"/>
    <xf numFmtId="165" fontId="151" fillId="0" borderId="0" xfId="29" applyNumberFormat="1" applyFont="1" applyFill="1" applyBorder="1"/>
    <xf numFmtId="0" fontId="143" fillId="0" borderId="0" xfId="96" applyFont="1" applyFill="1" applyBorder="1"/>
    <xf numFmtId="49" fontId="143" fillId="0" borderId="0" xfId="96" applyNumberFormat="1" applyFont="1" applyFill="1" applyBorder="1" applyAlignment="1">
      <alignment horizontal="center"/>
    </xf>
    <xf numFmtId="37" fontId="141" fillId="0" borderId="22" xfId="32" applyNumberFormat="1" applyFont="1" applyFill="1" applyBorder="1"/>
    <xf numFmtId="165" fontId="141" fillId="0" borderId="22" xfId="32" applyNumberFormat="1" applyFont="1" applyFill="1" applyBorder="1" applyAlignment="1"/>
    <xf numFmtId="165" fontId="141" fillId="0" borderId="22" xfId="29" applyNumberFormat="1" applyFont="1" applyFill="1" applyBorder="1"/>
    <xf numFmtId="37" fontId="137" fillId="0" borderId="0" xfId="32" applyNumberFormat="1" applyFont="1" applyFill="1" applyBorder="1"/>
    <xf numFmtId="199" fontId="184" fillId="0" borderId="0" xfId="32" applyNumberFormat="1" applyFont="1" applyFill="1" applyBorder="1"/>
    <xf numFmtId="37" fontId="137" fillId="0" borderId="0" xfId="179" applyNumberFormat="1" applyFont="1" applyFill="1" applyBorder="1"/>
    <xf numFmtId="199" fontId="137" fillId="0" borderId="0" xfId="179" applyNumberFormat="1" applyFont="1" applyFill="1" applyBorder="1"/>
    <xf numFmtId="199" fontId="184" fillId="0" borderId="0" xfId="179" applyNumberFormat="1" applyFont="1" applyFill="1" applyBorder="1"/>
    <xf numFmtId="165" fontId="142" fillId="0" borderId="0" xfId="96" applyNumberFormat="1" applyFont="1" applyFill="1" applyBorder="1"/>
    <xf numFmtId="9" fontId="137" fillId="0" borderId="0" xfId="162" applyNumberFormat="1" applyFont="1" applyFill="1" applyBorder="1"/>
    <xf numFmtId="37" fontId="137" fillId="0" borderId="0" xfId="32" applyNumberFormat="1" applyFont="1" applyFill="1"/>
    <xf numFmtId="37" fontId="141" fillId="0" borderId="20" xfId="32" applyNumberFormat="1" applyFont="1" applyFill="1" applyBorder="1"/>
    <xf numFmtId="199" fontId="134" fillId="0" borderId="0" xfId="32" applyNumberFormat="1" applyFont="1" applyFill="1"/>
    <xf numFmtId="37" fontId="141" fillId="0" borderId="0" xfId="32" applyNumberFormat="1" applyFont="1" applyFill="1"/>
    <xf numFmtId="37" fontId="141" fillId="0" borderId="0" xfId="32" applyNumberFormat="1" applyFont="1" applyFill="1" applyBorder="1"/>
    <xf numFmtId="9" fontId="211" fillId="0" borderId="0" xfId="162" applyFont="1" applyFill="1"/>
    <xf numFmtId="9" fontId="211" fillId="22" borderId="0" xfId="162" applyFont="1" applyFill="1"/>
    <xf numFmtId="199" fontId="211" fillId="0" borderId="0" xfId="32" applyNumberFormat="1" applyFont="1" applyFill="1"/>
    <xf numFmtId="199" fontId="211" fillId="22" borderId="0" xfId="32" applyNumberFormat="1" applyFont="1" applyFill="1"/>
    <xf numFmtId="41" fontId="211" fillId="0" borderId="20" xfId="96" applyNumberFormat="1" applyFont="1" applyFill="1" applyBorder="1"/>
    <xf numFmtId="41" fontId="211" fillId="22" borderId="20" xfId="96" applyNumberFormat="1" applyFont="1" applyFill="1" applyBorder="1"/>
    <xf numFmtId="165" fontId="225" fillId="0" borderId="20" xfId="32" applyNumberFormat="1" applyFont="1" applyFill="1" applyBorder="1"/>
    <xf numFmtId="165" fontId="225" fillId="22" borderId="20" xfId="32" applyNumberFormat="1" applyFont="1" applyFill="1" applyBorder="1"/>
    <xf numFmtId="165" fontId="211" fillId="22" borderId="0" xfId="29" applyNumberFormat="1" applyFont="1" applyFill="1"/>
    <xf numFmtId="165" fontId="212" fillId="22" borderId="20" xfId="29" applyNumberFormat="1" applyFont="1" applyFill="1" applyBorder="1"/>
    <xf numFmtId="165" fontId="212" fillId="33" borderId="20" xfId="29" applyNumberFormat="1" applyFont="1" applyFill="1" applyBorder="1"/>
    <xf numFmtId="43" fontId="211" fillId="0" borderId="0" xfId="96" applyNumberFormat="1" applyFont="1" applyFill="1"/>
    <xf numFmtId="43" fontId="211" fillId="22" borderId="0" xfId="96" applyNumberFormat="1" applyFont="1" applyFill="1"/>
    <xf numFmtId="10" fontId="225" fillId="32" borderId="35" xfId="0" applyNumberFormat="1" applyFont="1" applyFill="1" applyBorder="1" applyAlignment="1">
      <alignment horizontal="center"/>
    </xf>
    <xf numFmtId="0" fontId="53" fillId="0" borderId="0" xfId="96" applyFont="1" applyFill="1"/>
    <xf numFmtId="0" fontId="25" fillId="0" borderId="0" xfId="96" applyFont="1" applyFill="1"/>
    <xf numFmtId="165" fontId="9" fillId="0" borderId="0" xfId="109" applyNumberFormat="1" applyFont="1" applyFill="1" applyBorder="1"/>
    <xf numFmtId="165" fontId="9" fillId="0" borderId="22" xfId="109" applyNumberFormat="1" applyFont="1" applyFill="1" applyBorder="1"/>
    <xf numFmtId="165" fontId="25" fillId="0" borderId="0" xfId="29" applyNumberFormat="1" applyFont="1" applyFill="1"/>
    <xf numFmtId="165" fontId="217" fillId="32" borderId="37" xfId="29" applyNumberFormat="1" applyFont="1" applyFill="1" applyBorder="1"/>
    <xf numFmtId="165" fontId="25" fillId="0" borderId="0" xfId="29" applyNumberFormat="1" applyFont="1" applyFill="1" applyBorder="1"/>
    <xf numFmtId="165" fontId="217" fillId="32" borderId="0" xfId="29" applyNumberFormat="1" applyFont="1" applyFill="1" applyBorder="1"/>
    <xf numFmtId="165" fontId="225" fillId="44" borderId="0" xfId="29" applyNumberFormat="1" applyFont="1" applyFill="1"/>
    <xf numFmtId="165" fontId="212" fillId="0" borderId="22" xfId="29" applyNumberFormat="1" applyFont="1" applyBorder="1"/>
    <xf numFmtId="165" fontId="225" fillId="0" borderId="21" xfId="29" applyNumberFormat="1" applyFont="1" applyFill="1" applyBorder="1"/>
    <xf numFmtId="165" fontId="225" fillId="32" borderId="0" xfId="29" applyNumberFormat="1" applyFont="1" applyFill="1"/>
    <xf numFmtId="165" fontId="217" fillId="32" borderId="0" xfId="29" applyNumberFormat="1" applyFont="1" applyFill="1"/>
    <xf numFmtId="165" fontId="217" fillId="44" borderId="0" xfId="29" applyNumberFormat="1" applyFont="1" applyFill="1"/>
    <xf numFmtId="165" fontId="225" fillId="32" borderId="0" xfId="29" applyNumberFormat="1" applyFont="1" applyFill="1" applyBorder="1"/>
    <xf numFmtId="165" fontId="225" fillId="32" borderId="0" xfId="0" applyNumberFormat="1" applyFont="1" applyFill="1" applyBorder="1"/>
    <xf numFmtId="165" fontId="212" fillId="0" borderId="22" xfId="0" applyNumberFormat="1" applyFont="1" applyFill="1" applyBorder="1"/>
    <xf numFmtId="165" fontId="211" fillId="0" borderId="21" xfId="29" applyNumberFormat="1" applyFont="1" applyFill="1" applyBorder="1"/>
    <xf numFmtId="49" fontId="134" fillId="0" borderId="0" xfId="96" applyNumberFormat="1" applyFont="1" applyFill="1" applyAlignment="1">
      <alignment horizontal="center"/>
    </xf>
    <xf numFmtId="0" fontId="200" fillId="0" borderId="0" xfId="0" applyFont="1" applyAlignment="1">
      <alignment horizontal="center"/>
    </xf>
    <xf numFmtId="165" fontId="174" fillId="26" borderId="0" xfId="29" applyNumberFormat="1" applyFont="1" applyFill="1"/>
    <xf numFmtId="165" fontId="174" fillId="46" borderId="0" xfId="29" applyNumberFormat="1" applyFont="1" applyFill="1"/>
    <xf numFmtId="165" fontId="0" fillId="0" borderId="0" xfId="29" applyNumberFormat="1" applyFont="1" applyBorder="1"/>
    <xf numFmtId="9" fontId="0" fillId="0" borderId="0" xfId="0" applyNumberFormat="1"/>
    <xf numFmtId="0" fontId="235" fillId="22" borderId="114" xfId="0" quotePrefix="1" applyFont="1" applyFill="1" applyBorder="1" applyAlignment="1">
      <alignment horizontal="center"/>
    </xf>
    <xf numFmtId="0" fontId="235" fillId="22" borderId="115" xfId="0" applyFont="1" applyFill="1" applyBorder="1" applyAlignment="1">
      <alignment horizontal="center"/>
    </xf>
    <xf numFmtId="0" fontId="226" fillId="23" borderId="32" xfId="0" applyFont="1" applyFill="1" applyBorder="1" applyAlignment="1">
      <alignment horizontal="center" vertical="center" wrapText="1"/>
    </xf>
    <xf numFmtId="0" fontId="226" fillId="23" borderId="14" xfId="0" applyFont="1" applyFill="1" applyBorder="1" applyAlignment="1">
      <alignment horizontal="center" vertical="center" wrapText="1"/>
    </xf>
    <xf numFmtId="0" fontId="200" fillId="22" borderId="6" xfId="0" applyFont="1" applyFill="1" applyBorder="1" applyAlignment="1">
      <alignment horizontal="center"/>
    </xf>
    <xf numFmtId="0" fontId="226" fillId="22" borderId="0" xfId="0" applyFont="1" applyFill="1"/>
    <xf numFmtId="165" fontId="226" fillId="22" borderId="0" xfId="29" applyNumberFormat="1" applyFont="1" applyFill="1" applyBorder="1" applyAlignment="1">
      <alignment horizontal="center" vertical="center"/>
    </xf>
    <xf numFmtId="165" fontId="226" fillId="22" borderId="0" xfId="29" applyNumberFormat="1" applyFont="1" applyFill="1"/>
    <xf numFmtId="165" fontId="226" fillId="22" borderId="0" xfId="29" applyNumberFormat="1" applyFont="1" applyFill="1" applyBorder="1" applyAlignment="1">
      <alignment horizontal="center"/>
    </xf>
    <xf numFmtId="0" fontId="0" fillId="23" borderId="119" xfId="0" applyFill="1" applyBorder="1" applyAlignment="1">
      <alignment horizontal="center"/>
    </xf>
    <xf numFmtId="165" fontId="226" fillId="22" borderId="0" xfId="29" applyNumberFormat="1" applyFont="1" applyFill="1" applyBorder="1"/>
    <xf numFmtId="165" fontId="226" fillId="22" borderId="0" xfId="0" applyNumberFormat="1" applyFont="1" applyFill="1"/>
    <xf numFmtId="0" fontId="200" fillId="0" borderId="0" xfId="0" applyFont="1" applyFill="1" applyBorder="1"/>
    <xf numFmtId="3" fontId="0" fillId="23" borderId="14" xfId="0" applyNumberFormat="1" applyFill="1" applyBorder="1" applyAlignment="1">
      <alignment horizontal="center" vertical="center"/>
    </xf>
    <xf numFmtId="3" fontId="0" fillId="23" borderId="33" xfId="0" applyNumberFormat="1" applyFill="1" applyBorder="1" applyAlignment="1">
      <alignment horizontal="center" vertical="center"/>
    </xf>
    <xf numFmtId="0" fontId="200" fillId="23" borderId="114" xfId="0" quotePrefix="1" applyFont="1" applyFill="1" applyBorder="1" applyAlignment="1">
      <alignment horizontal="left" vertical="center"/>
    </xf>
    <xf numFmtId="0" fontId="200" fillId="23" borderId="115" xfId="0" applyFont="1" applyFill="1" applyBorder="1" applyAlignment="1">
      <alignment horizontal="left" vertical="center" wrapText="1"/>
    </xf>
    <xf numFmtId="0" fontId="200" fillId="23" borderId="110" xfId="0" applyFont="1" applyFill="1" applyBorder="1" applyAlignment="1">
      <alignment horizontal="left" vertical="center" wrapText="1"/>
    </xf>
    <xf numFmtId="0" fontId="200" fillId="23" borderId="6" xfId="0" applyFont="1" applyFill="1" applyBorder="1" applyAlignment="1">
      <alignment horizontal="left" vertical="center" wrapText="1"/>
    </xf>
    <xf numFmtId="0" fontId="200" fillId="23" borderId="117" xfId="0" applyFont="1" applyFill="1" applyBorder="1" applyAlignment="1">
      <alignment horizontal="left" vertical="center" wrapText="1"/>
    </xf>
    <xf numFmtId="0" fontId="200" fillId="23" borderId="118" xfId="0" applyFont="1" applyFill="1" applyBorder="1" applyAlignment="1">
      <alignment horizontal="left" vertical="center" wrapText="1"/>
    </xf>
    <xf numFmtId="0" fontId="200" fillId="23" borderId="42" xfId="0" applyFont="1" applyFill="1" applyBorder="1" applyAlignment="1">
      <alignment horizontal="left" vertical="center" wrapText="1"/>
    </xf>
    <xf numFmtId="0" fontId="200" fillId="23" borderId="0" xfId="0" applyFont="1" applyFill="1" applyBorder="1" applyAlignment="1">
      <alignment horizontal="left" vertical="center" wrapText="1"/>
    </xf>
    <xf numFmtId="165" fontId="213" fillId="44" borderId="21" xfId="29" applyNumberFormat="1" applyFont="1" applyFill="1" applyBorder="1"/>
    <xf numFmtId="0" fontId="0" fillId="0" borderId="21" xfId="0" applyFill="1" applyBorder="1"/>
    <xf numFmtId="199" fontId="239" fillId="32" borderId="0" xfId="34" applyNumberFormat="1" applyFont="1" applyFill="1"/>
    <xf numFmtId="165" fontId="0" fillId="38" borderId="0" xfId="0" applyNumberFormat="1" applyFill="1"/>
    <xf numFmtId="0" fontId="200" fillId="35" borderId="6" xfId="0" applyFont="1" applyFill="1" applyBorder="1"/>
    <xf numFmtId="0" fontId="200" fillId="35" borderId="6" xfId="0" applyFont="1" applyFill="1" applyBorder="1" applyAlignment="1">
      <alignment horizontal="center"/>
    </xf>
    <xf numFmtId="3" fontId="0" fillId="38" borderId="0" xfId="0" applyNumberFormat="1" applyFill="1"/>
    <xf numFmtId="43" fontId="0" fillId="38" borderId="0" xfId="0" applyNumberFormat="1" applyFill="1"/>
    <xf numFmtId="165" fontId="200" fillId="35" borderId="6" xfId="29" applyNumberFormat="1" applyFont="1" applyFill="1" applyBorder="1"/>
    <xf numFmtId="165" fontId="200" fillId="35" borderId="6" xfId="0" applyNumberFormat="1" applyFont="1" applyFill="1" applyBorder="1"/>
    <xf numFmtId="165" fontId="200" fillId="43" borderId="6" xfId="0" applyNumberFormat="1" applyFont="1" applyFill="1" applyBorder="1"/>
    <xf numFmtId="0" fontId="0" fillId="43" borderId="0" xfId="0" applyFill="1"/>
    <xf numFmtId="0" fontId="200" fillId="0" borderId="0" xfId="0" applyFont="1" applyFill="1" applyBorder="1" applyAlignment="1">
      <alignment horizontal="right" vertical="center"/>
    </xf>
    <xf numFmtId="165" fontId="200" fillId="0" borderId="0" xfId="29" applyNumberFormat="1" applyFont="1" applyFill="1" applyBorder="1" applyAlignment="1">
      <alignment horizontal="center" vertical="center"/>
    </xf>
    <xf numFmtId="0" fontId="200" fillId="0" borderId="0" xfId="0" applyFont="1" applyFill="1" applyBorder="1" applyAlignment="1">
      <alignment horizontal="center" vertical="center"/>
    </xf>
    <xf numFmtId="0" fontId="200" fillId="0" borderId="0" xfId="0" applyFont="1" applyAlignment="1">
      <alignment horizontal="right"/>
    </xf>
    <xf numFmtId="165" fontId="0" fillId="39" borderId="0" xfId="0" applyNumberFormat="1" applyFill="1"/>
    <xf numFmtId="165" fontId="200" fillId="0" borderId="0" xfId="29" applyNumberFormat="1" applyFont="1" applyFill="1"/>
    <xf numFmtId="165" fontId="200" fillId="0" borderId="0" xfId="29" applyNumberFormat="1" applyFont="1"/>
    <xf numFmtId="165" fontId="200" fillId="0" borderId="0" xfId="0" applyNumberFormat="1" applyFont="1"/>
    <xf numFmtId="0" fontId="240" fillId="22" borderId="0" xfId="0" applyFont="1" applyFill="1" applyAlignment="1">
      <alignment horizontal="right"/>
    </xf>
    <xf numFmtId="165" fontId="241" fillId="22" borderId="0" xfId="29" applyNumberFormat="1" applyFont="1" applyFill="1"/>
    <xf numFmtId="0" fontId="226" fillId="0" borderId="0" xfId="0" applyFont="1"/>
    <xf numFmtId="0" fontId="240" fillId="0" borderId="0" xfId="0" applyFont="1" applyFill="1" applyAlignment="1">
      <alignment horizontal="right"/>
    </xf>
    <xf numFmtId="165" fontId="241" fillId="0" borderId="0" xfId="29" applyNumberFormat="1" applyFont="1" applyFill="1"/>
    <xf numFmtId="0" fontId="184" fillId="0" borderId="0" xfId="94" applyFont="1"/>
    <xf numFmtId="165" fontId="184" fillId="0" borderId="0" xfId="94" applyNumberFormat="1" applyFont="1"/>
    <xf numFmtId="44" fontId="184" fillId="0" borderId="0" xfId="94" applyNumberFormat="1" applyFont="1"/>
    <xf numFmtId="166" fontId="211" fillId="0" borderId="0" xfId="94" applyNumberFormat="1" applyFont="1" applyFill="1"/>
    <xf numFmtId="166" fontId="211" fillId="0" borderId="75" xfId="94" applyNumberFormat="1" applyFont="1" applyBorder="1"/>
    <xf numFmtId="165" fontId="211" fillId="0" borderId="105" xfId="31" applyNumberFormat="1" applyFont="1" applyFill="1" applyBorder="1"/>
    <xf numFmtId="0" fontId="184" fillId="0" borderId="0" xfId="94" applyFont="1" applyFill="1"/>
    <xf numFmtId="0" fontId="184" fillId="39" borderId="0" xfId="94" applyFont="1" applyFill="1"/>
    <xf numFmtId="197" fontId="184" fillId="39" borderId="0" xfId="94" applyNumberFormat="1" applyFont="1" applyFill="1"/>
    <xf numFmtId="197" fontId="184" fillId="0" borderId="0" xfId="94" applyNumberFormat="1" applyFont="1"/>
    <xf numFmtId="0" fontId="242" fillId="0" borderId="0" xfId="94" applyFont="1" applyBorder="1" applyAlignment="1">
      <alignment horizontal="left"/>
    </xf>
    <xf numFmtId="9" fontId="0" fillId="0" borderId="0" xfId="162" applyFont="1" applyBorder="1"/>
    <xf numFmtId="0" fontId="242" fillId="0" borderId="0" xfId="94" applyFont="1" applyAlignment="1">
      <alignment horizontal="left"/>
    </xf>
    <xf numFmtId="0" fontId="184" fillId="44" borderId="0" xfId="94" applyFont="1" applyFill="1" applyAlignment="1">
      <alignment horizontal="center"/>
    </xf>
    <xf numFmtId="165" fontId="184" fillId="0" borderId="0" xfId="29" applyNumberFormat="1" applyFont="1" applyBorder="1"/>
    <xf numFmtId="0" fontId="242" fillId="46" borderId="0" xfId="94" applyFont="1" applyFill="1" applyBorder="1" applyAlignment="1">
      <alignment horizontal="left"/>
    </xf>
    <xf numFmtId="165" fontId="174" fillId="46" borderId="0" xfId="29" applyNumberFormat="1" applyFont="1" applyFill="1" applyBorder="1"/>
    <xf numFmtId="0" fontId="242" fillId="26" borderId="0" xfId="94" applyFont="1" applyFill="1" applyBorder="1" applyAlignment="1">
      <alignment horizontal="left"/>
    </xf>
    <xf numFmtId="165" fontId="174" fillId="26" borderId="0" xfId="29" applyNumberFormat="1" applyFont="1" applyFill="1" applyBorder="1"/>
    <xf numFmtId="49" fontId="174" fillId="33" borderId="0" xfId="94" applyNumberFormat="1" applyFont="1" applyFill="1" applyBorder="1" applyAlignment="1">
      <alignment horizontal="left"/>
    </xf>
    <xf numFmtId="0" fontId="0" fillId="33" borderId="0" xfId="0" applyFill="1" applyBorder="1"/>
    <xf numFmtId="165" fontId="226" fillId="0" borderId="0" xfId="0" applyNumberFormat="1" applyFont="1" applyBorder="1" applyAlignment="1">
      <alignment horizontal="center"/>
    </xf>
    <xf numFmtId="0" fontId="199" fillId="0" borderId="0" xfId="0" applyFont="1" applyBorder="1" applyAlignment="1">
      <alignment horizontal="right"/>
    </xf>
    <xf numFmtId="0" fontId="226" fillId="0" borderId="6" xfId="0" applyFont="1" applyBorder="1"/>
    <xf numFmtId="0" fontId="212" fillId="0" borderId="6" xfId="0" applyFont="1" applyBorder="1"/>
    <xf numFmtId="0" fontId="212" fillId="22" borderId="6" xfId="0" applyFont="1" applyFill="1" applyBorder="1" applyAlignment="1">
      <alignment horizontal="center"/>
    </xf>
    <xf numFmtId="0" fontId="0" fillId="0" borderId="6" xfId="0" applyBorder="1"/>
    <xf numFmtId="0" fontId="212" fillId="0" borderId="6" xfId="0" applyFont="1" applyBorder="1" applyAlignment="1">
      <alignment horizontal="center"/>
    </xf>
    <xf numFmtId="0" fontId="212" fillId="23" borderId="6" xfId="0" applyFont="1" applyFill="1" applyBorder="1" applyAlignment="1">
      <alignment horizontal="center"/>
    </xf>
    <xf numFmtId="0" fontId="212" fillId="46" borderId="6" xfId="0" applyFont="1" applyFill="1" applyBorder="1" applyAlignment="1">
      <alignment horizontal="center"/>
    </xf>
    <xf numFmtId="0" fontId="212" fillId="45" borderId="6" xfId="0" applyFont="1" applyFill="1" applyBorder="1" applyAlignment="1">
      <alignment horizontal="center"/>
    </xf>
    <xf numFmtId="9" fontId="226" fillId="0" borderId="6" xfId="0" applyNumberFormat="1" applyFont="1" applyBorder="1"/>
    <xf numFmtId="165" fontId="226" fillId="22" borderId="6" xfId="29" applyNumberFormat="1" applyFont="1" applyFill="1" applyBorder="1" applyAlignment="1">
      <alignment horizontal="right"/>
    </xf>
    <xf numFmtId="165" fontId="174" fillId="22" borderId="6" xfId="29" applyNumberFormat="1" applyFont="1" applyFill="1" applyBorder="1"/>
    <xf numFmtId="165" fontId="174" fillId="23" borderId="6" xfId="29" applyNumberFormat="1" applyFont="1" applyFill="1" applyBorder="1"/>
    <xf numFmtId="165" fontId="174" fillId="46" borderId="6" xfId="29" applyNumberFormat="1" applyFont="1" applyFill="1" applyBorder="1"/>
    <xf numFmtId="165" fontId="174" fillId="45" borderId="6" xfId="29" applyNumberFormat="1" applyFont="1" applyFill="1" applyBorder="1"/>
    <xf numFmtId="9" fontId="211" fillId="0" borderId="6" xfId="0" applyNumberFormat="1" applyFont="1" applyBorder="1" applyAlignment="1">
      <alignment horizontal="right"/>
    </xf>
    <xf numFmtId="165" fontId="0" fillId="0" borderId="6" xfId="29" applyNumberFormat="1" applyFont="1" applyFill="1" applyBorder="1"/>
    <xf numFmtId="165" fontId="241" fillId="0" borderId="6" xfId="29" applyNumberFormat="1" applyFont="1" applyFill="1" applyBorder="1"/>
    <xf numFmtId="0" fontId="0" fillId="0" borderId="6" xfId="0" applyFill="1" applyBorder="1"/>
    <xf numFmtId="9" fontId="226" fillId="0" borderId="6" xfId="0" applyNumberFormat="1" applyFont="1" applyFill="1" applyBorder="1"/>
    <xf numFmtId="165" fontId="0" fillId="0" borderId="6" xfId="29" applyNumberFormat="1" applyFont="1" applyBorder="1"/>
    <xf numFmtId="0" fontId="199" fillId="22" borderId="6" xfId="0" applyFont="1" applyFill="1" applyBorder="1" applyAlignment="1">
      <alignment horizontal="right"/>
    </xf>
    <xf numFmtId="0" fontId="0" fillId="23" borderId="6" xfId="0" applyFill="1" applyBorder="1"/>
    <xf numFmtId="0" fontId="0" fillId="46" borderId="6" xfId="0" applyFill="1" applyBorder="1"/>
    <xf numFmtId="0" fontId="0" fillId="45" borderId="6" xfId="0" applyFill="1" applyBorder="1"/>
    <xf numFmtId="165" fontId="213" fillId="0" borderId="21" xfId="29" applyNumberFormat="1" applyFont="1" applyFill="1" applyBorder="1"/>
    <xf numFmtId="165" fontId="174" fillId="41" borderId="21" xfId="29" applyNumberFormat="1" applyFont="1" applyFill="1" applyBorder="1"/>
    <xf numFmtId="165" fontId="174" fillId="41" borderId="0" xfId="29" applyNumberFormat="1" applyFont="1" applyFill="1" applyBorder="1"/>
    <xf numFmtId="165" fontId="243" fillId="46" borderId="6" xfId="29" applyNumberFormat="1" applyFont="1" applyFill="1" applyBorder="1"/>
    <xf numFmtId="165" fontId="243" fillId="45" borderId="6" xfId="29" applyNumberFormat="1" applyFont="1" applyFill="1" applyBorder="1"/>
    <xf numFmtId="165" fontId="244" fillId="45" borderId="6" xfId="29" applyNumberFormat="1" applyFont="1" applyFill="1" applyBorder="1"/>
    <xf numFmtId="165" fontId="213" fillId="33" borderId="0" xfId="29" applyNumberFormat="1" applyFont="1" applyFill="1" applyBorder="1"/>
    <xf numFmtId="43" fontId="213" fillId="39" borderId="0" xfId="29" applyNumberFormat="1" applyFont="1" applyFill="1"/>
    <xf numFmtId="0" fontId="235" fillId="0" borderId="115" xfId="0" applyFont="1" applyFill="1" applyBorder="1" applyAlignment="1">
      <alignment horizontal="center"/>
    </xf>
    <xf numFmtId="0" fontId="200" fillId="0" borderId="6" xfId="0" applyFont="1" applyFill="1" applyBorder="1" applyAlignment="1">
      <alignment horizontal="center"/>
    </xf>
    <xf numFmtId="9" fontId="213" fillId="32" borderId="0" xfId="0" applyNumberFormat="1" applyFont="1" applyFill="1"/>
    <xf numFmtId="165" fontId="239" fillId="32" borderId="20" xfId="29" applyNumberFormat="1" applyFont="1" applyFill="1" applyBorder="1"/>
    <xf numFmtId="3" fontId="213" fillId="32" borderId="32" xfId="0" applyNumberFormat="1" applyFont="1" applyFill="1" applyBorder="1" applyAlignment="1">
      <alignment horizontal="center"/>
    </xf>
    <xf numFmtId="3" fontId="213" fillId="32" borderId="14" xfId="0" applyNumberFormat="1" applyFont="1" applyFill="1" applyBorder="1" applyAlignment="1">
      <alignment horizontal="center"/>
    </xf>
    <xf numFmtId="3" fontId="213" fillId="32" borderId="33" xfId="0" applyNumberFormat="1" applyFont="1" applyFill="1" applyBorder="1" applyAlignment="1">
      <alignment horizontal="center"/>
    </xf>
    <xf numFmtId="3" fontId="213" fillId="32" borderId="32" xfId="0" applyNumberFormat="1" applyFont="1" applyFill="1" applyBorder="1"/>
    <xf numFmtId="3" fontId="213" fillId="32" borderId="14" xfId="0" applyNumberFormat="1" applyFont="1" applyFill="1" applyBorder="1"/>
    <xf numFmtId="3" fontId="213" fillId="32" borderId="33" xfId="0" applyNumberFormat="1" applyFont="1" applyFill="1" applyBorder="1"/>
    <xf numFmtId="165" fontId="239" fillId="35" borderId="6" xfId="29" applyNumberFormat="1" applyFont="1" applyFill="1" applyBorder="1"/>
    <xf numFmtId="165" fontId="213" fillId="44" borderId="0" xfId="29" applyNumberFormat="1" applyFont="1" applyFill="1"/>
    <xf numFmtId="165" fontId="213" fillId="33" borderId="21" xfId="29" applyNumberFormat="1" applyFont="1" applyFill="1" applyBorder="1"/>
    <xf numFmtId="0" fontId="213" fillId="38" borderId="0" xfId="0" applyFont="1" applyFill="1"/>
    <xf numFmtId="3" fontId="213" fillId="38" borderId="0" xfId="0" applyNumberFormat="1" applyFont="1" applyFill="1"/>
    <xf numFmtId="165" fontId="213" fillId="0" borderId="0" xfId="29" applyNumberFormat="1" applyFont="1" applyFill="1" applyBorder="1"/>
    <xf numFmtId="165" fontId="213" fillId="0" borderId="0" xfId="0" applyNumberFormat="1" applyFont="1" applyFill="1" applyBorder="1"/>
    <xf numFmtId="165" fontId="213" fillId="22" borderId="14" xfId="0" applyNumberFormat="1" applyFont="1" applyFill="1" applyBorder="1"/>
    <xf numFmtId="165" fontId="213" fillId="0" borderId="0" xfId="0" applyNumberFormat="1" applyFont="1"/>
    <xf numFmtId="165" fontId="213" fillId="0" borderId="21" xfId="0" applyNumberFormat="1" applyFont="1" applyBorder="1"/>
    <xf numFmtId="197" fontId="225" fillId="0" borderId="0" xfId="57" applyFont="1"/>
    <xf numFmtId="44" fontId="225" fillId="0" borderId="0" xfId="94" applyNumberFormat="1" applyFont="1"/>
    <xf numFmtId="165" fontId="225" fillId="0" borderId="14" xfId="31" applyNumberFormat="1" applyFont="1" applyBorder="1" applyAlignment="1"/>
    <xf numFmtId="39" fontId="225" fillId="22" borderId="20" xfId="45" applyNumberFormat="1" applyFont="1" applyFill="1" applyBorder="1"/>
    <xf numFmtId="165" fontId="225" fillId="22" borderId="20" xfId="31" applyNumberFormat="1" applyFont="1" applyFill="1" applyBorder="1"/>
    <xf numFmtId="165" fontId="225" fillId="0" borderId="20" xfId="31" applyNumberFormat="1" applyFont="1" applyFill="1" applyBorder="1"/>
    <xf numFmtId="0" fontId="225" fillId="0" borderId="0" xfId="94" applyFont="1"/>
    <xf numFmtId="166" fontId="225" fillId="0" borderId="0" xfId="94" applyNumberFormat="1" applyFont="1"/>
    <xf numFmtId="197" fontId="225" fillId="0" borderId="0" xfId="94" applyNumberFormat="1" applyFont="1" applyFill="1"/>
    <xf numFmtId="165" fontId="239" fillId="22" borderId="6" xfId="29" applyNumberFormat="1" applyFont="1" applyFill="1" applyBorder="1" applyAlignment="1">
      <alignment horizontal="right"/>
    </xf>
    <xf numFmtId="165" fontId="245" fillId="0" borderId="6" xfId="29" applyNumberFormat="1" applyFont="1" applyFill="1" applyBorder="1" applyAlignment="1">
      <alignment horizontal="right"/>
    </xf>
    <xf numFmtId="165" fontId="246" fillId="0" borderId="6" xfId="29" applyNumberFormat="1" applyFont="1" applyFill="1" applyBorder="1" applyAlignment="1">
      <alignment horizontal="right"/>
    </xf>
    <xf numFmtId="9" fontId="239" fillId="32" borderId="6" xfId="0" applyNumberFormat="1" applyFont="1" applyFill="1" applyBorder="1"/>
    <xf numFmtId="165" fontId="174" fillId="52" borderId="0" xfId="29" applyNumberFormat="1" applyFont="1" applyFill="1"/>
    <xf numFmtId="203" fontId="174" fillId="22" borderId="0" xfId="31" applyNumberFormat="1" applyFont="1" applyFill="1"/>
    <xf numFmtId="0" fontId="280" fillId="22" borderId="14" xfId="94" applyFill="1" applyBorder="1" applyAlignment="1">
      <alignment horizontal="center"/>
    </xf>
    <xf numFmtId="203" fontId="174" fillId="22" borderId="29" xfId="31" applyNumberFormat="1" applyFont="1" applyFill="1" applyBorder="1" applyAlignment="1">
      <alignment horizontal="center" wrapText="1"/>
    </xf>
    <xf numFmtId="41" fontId="174" fillId="22" borderId="42" xfId="31" applyNumberFormat="1" applyFont="1" applyFill="1" applyBorder="1" applyAlignment="1">
      <alignment horizontal="right"/>
    </xf>
    <xf numFmtId="10" fontId="174" fillId="22" borderId="93" xfId="162" applyNumberFormat="1" applyFont="1" applyFill="1" applyBorder="1" applyAlignment="1">
      <alignment horizontal="right"/>
    </xf>
    <xf numFmtId="10" fontId="174" fillId="22" borderId="0" xfId="162" applyNumberFormat="1" applyFont="1" applyFill="1" applyBorder="1" applyAlignment="1">
      <alignment horizontal="right"/>
    </xf>
    <xf numFmtId="41" fontId="174" fillId="22" borderId="0" xfId="31" applyNumberFormat="1" applyFont="1" applyFill="1" applyBorder="1" applyAlignment="1">
      <alignment horizontal="right"/>
    </xf>
    <xf numFmtId="41" fontId="174" fillId="22" borderId="93" xfId="31" applyNumberFormat="1" applyFont="1" applyFill="1" applyBorder="1" applyAlignment="1">
      <alignment horizontal="right"/>
    </xf>
    <xf numFmtId="41" fontId="280" fillId="22" borderId="32" xfId="94" applyNumberFormat="1" applyFill="1" applyBorder="1" applyAlignment="1">
      <alignment horizontal="right"/>
    </xf>
    <xf numFmtId="41" fontId="174" fillId="22" borderId="14" xfId="31" applyNumberFormat="1" applyFont="1" applyFill="1" applyBorder="1" applyAlignment="1">
      <alignment horizontal="right"/>
    </xf>
    <xf numFmtId="10" fontId="174" fillId="22" borderId="33" xfId="162" applyNumberFormat="1" applyFont="1" applyFill="1" applyBorder="1" applyAlignment="1">
      <alignment horizontal="right"/>
    </xf>
    <xf numFmtId="41" fontId="174" fillId="22" borderId="33" xfId="31" applyNumberFormat="1" applyFont="1" applyFill="1" applyBorder="1" applyAlignment="1">
      <alignment horizontal="right"/>
    </xf>
    <xf numFmtId="41" fontId="280" fillId="22" borderId="32" xfId="94" applyNumberFormat="1" applyFill="1" applyBorder="1"/>
    <xf numFmtId="41" fontId="280" fillId="22" borderId="33" xfId="94" applyNumberFormat="1" applyFill="1" applyBorder="1"/>
    <xf numFmtId="41" fontId="174" fillId="22" borderId="0" xfId="31" applyNumberFormat="1" applyFont="1" applyFill="1"/>
    <xf numFmtId="0" fontId="174" fillId="22" borderId="0" xfId="31" applyNumberFormat="1" applyFont="1" applyFill="1"/>
    <xf numFmtId="0" fontId="280" fillId="22" borderId="14" xfId="94" applyNumberFormat="1" applyFill="1" applyBorder="1" applyAlignment="1">
      <alignment horizontal="center"/>
    </xf>
    <xf numFmtId="10" fontId="174" fillId="22" borderId="93" xfId="162" applyNumberFormat="1" applyFont="1" applyFill="1" applyBorder="1"/>
    <xf numFmtId="10" fontId="174" fillId="22" borderId="0" xfId="162" applyNumberFormat="1" applyFont="1" applyFill="1" applyBorder="1"/>
    <xf numFmtId="41" fontId="174" fillId="22" borderId="0" xfId="162" applyNumberFormat="1" applyFont="1" applyFill="1" applyBorder="1"/>
    <xf numFmtId="41" fontId="174" fillId="22" borderId="93" xfId="162" applyNumberFormat="1" applyFont="1" applyFill="1" applyBorder="1"/>
    <xf numFmtId="41" fontId="174" fillId="22" borderId="42" xfId="31" applyNumberFormat="1" applyFont="1" applyFill="1" applyBorder="1"/>
    <xf numFmtId="41" fontId="280" fillId="22" borderId="14" xfId="94" applyNumberFormat="1" applyFill="1" applyBorder="1"/>
    <xf numFmtId="10" fontId="174" fillId="22" borderId="33" xfId="162" applyNumberFormat="1" applyFont="1" applyFill="1" applyBorder="1"/>
    <xf numFmtId="165" fontId="174" fillId="24" borderId="0" xfId="29" applyNumberFormat="1" applyFont="1" applyFill="1"/>
    <xf numFmtId="165" fontId="174" fillId="24" borderId="0" xfId="31" applyNumberFormat="1" applyFont="1" applyFill="1"/>
    <xf numFmtId="0" fontId="211" fillId="44" borderId="0" xfId="0" applyFont="1" applyFill="1" applyAlignment="1">
      <alignment horizontal="left" indent="1"/>
    </xf>
    <xf numFmtId="165" fontId="200" fillId="0" borderId="20" xfId="0" applyNumberFormat="1" applyFont="1" applyFill="1" applyBorder="1"/>
    <xf numFmtId="165" fontId="225" fillId="0" borderId="22" xfId="30" applyNumberFormat="1" applyFont="1" applyBorder="1"/>
    <xf numFmtId="0" fontId="200" fillId="22" borderId="0" xfId="0" applyFont="1" applyFill="1"/>
    <xf numFmtId="165" fontId="200" fillId="22" borderId="0" xfId="0" applyNumberFormat="1" applyFont="1" applyFill="1"/>
    <xf numFmtId="165" fontId="211" fillId="0" borderId="0" xfId="30" applyNumberFormat="1" applyFont="1"/>
    <xf numFmtId="0" fontId="247" fillId="0" borderId="0" xfId="0" applyFont="1" applyFill="1" applyAlignment="1">
      <alignment horizontal="left" indent="2"/>
    </xf>
    <xf numFmtId="165" fontId="247" fillId="22" borderId="0" xfId="30" applyNumberFormat="1" applyFont="1" applyFill="1"/>
    <xf numFmtId="165" fontId="247" fillId="0" borderId="0" xfId="30" applyNumberFormat="1" applyFont="1"/>
    <xf numFmtId="165" fontId="247" fillId="0" borderId="0" xfId="30" applyNumberFormat="1" applyFont="1" applyFill="1"/>
    <xf numFmtId="3" fontId="200" fillId="22" borderId="20" xfId="0" applyNumberFormat="1" applyFont="1" applyFill="1" applyBorder="1"/>
    <xf numFmtId="3" fontId="200" fillId="41" borderId="20" xfId="0" applyNumberFormat="1" applyFont="1" applyFill="1" applyBorder="1"/>
    <xf numFmtId="0" fontId="200" fillId="22" borderId="21" xfId="0" applyFont="1" applyFill="1" applyBorder="1" applyAlignment="1">
      <alignment horizontal="center"/>
    </xf>
    <xf numFmtId="165" fontId="200" fillId="0" borderId="20" xfId="29" applyNumberFormat="1" applyFont="1" applyFill="1" applyBorder="1"/>
    <xf numFmtId="205" fontId="200" fillId="22" borderId="0" xfId="0" applyNumberFormat="1" applyFont="1" applyFill="1"/>
    <xf numFmtId="205" fontId="200" fillId="38" borderId="0" xfId="0" applyNumberFormat="1" applyFont="1" applyFill="1"/>
    <xf numFmtId="0" fontId="223" fillId="22" borderId="22" xfId="0" applyFont="1" applyFill="1" applyBorder="1"/>
    <xf numFmtId="0" fontId="223" fillId="22" borderId="0" xfId="0" applyFont="1" applyFill="1" applyBorder="1"/>
    <xf numFmtId="0" fontId="223" fillId="22" borderId="21" xfId="0" applyFont="1" applyFill="1" applyBorder="1"/>
    <xf numFmtId="165" fontId="200" fillId="22" borderId="0" xfId="30" applyNumberFormat="1" applyFont="1" applyFill="1"/>
    <xf numFmtId="165" fontId="200" fillId="22" borderId="20" xfId="30" applyNumberFormat="1" applyFont="1" applyFill="1" applyBorder="1"/>
    <xf numFmtId="205" fontId="200" fillId="0" borderId="0" xfId="0" applyNumberFormat="1" applyFont="1"/>
    <xf numFmtId="0" fontId="200" fillId="22" borderId="0" xfId="0" applyFont="1" applyFill="1" applyBorder="1" applyAlignment="1">
      <alignment horizontal="center"/>
    </xf>
    <xf numFmtId="0" fontId="200" fillId="0" borderId="0" xfId="0" applyFont="1" applyFill="1" applyBorder="1" applyAlignment="1">
      <alignment horizontal="center"/>
    </xf>
    <xf numFmtId="0" fontId="223" fillId="0" borderId="20" xfId="0" applyFont="1" applyBorder="1" applyAlignment="1">
      <alignment horizontal="left"/>
    </xf>
    <xf numFmtId="0" fontId="223" fillId="22" borderId="20" xfId="0" applyFont="1" applyFill="1" applyBorder="1"/>
    <xf numFmtId="0" fontId="223" fillId="0" borderId="20" xfId="0" applyFont="1" applyBorder="1"/>
    <xf numFmtId="3" fontId="223" fillId="0" borderId="20" xfId="0" applyNumberFormat="1" applyFont="1" applyBorder="1"/>
    <xf numFmtId="205" fontId="200" fillId="22" borderId="21" xfId="0" applyNumberFormat="1" applyFont="1" applyFill="1" applyBorder="1" applyAlignment="1">
      <alignment horizontal="center"/>
    </xf>
    <xf numFmtId="205" fontId="200" fillId="0" borderId="21" xfId="0" applyNumberFormat="1" applyFont="1" applyFill="1" applyBorder="1" applyAlignment="1">
      <alignment horizontal="center"/>
    </xf>
    <xf numFmtId="165" fontId="225" fillId="22" borderId="0" xfId="30" applyNumberFormat="1" applyFont="1" applyFill="1"/>
    <xf numFmtId="165" fontId="225" fillId="0" borderId="0" xfId="30" applyNumberFormat="1" applyFont="1"/>
    <xf numFmtId="165" fontId="239" fillId="22" borderId="20" xfId="29" applyNumberFormat="1" applyFont="1" applyFill="1" applyBorder="1"/>
    <xf numFmtId="38" fontId="225" fillId="0" borderId="0" xfId="30" applyNumberFormat="1" applyFont="1" applyFill="1"/>
    <xf numFmtId="38" fontId="225" fillId="0" borderId="0" xfId="30" applyNumberFormat="1" applyFont="1" applyFill="1" applyBorder="1"/>
    <xf numFmtId="38" fontId="225" fillId="0" borderId="21" xfId="30" applyNumberFormat="1" applyFont="1" applyFill="1" applyBorder="1"/>
    <xf numFmtId="199" fontId="225" fillId="23" borderId="0" xfId="96" applyNumberFormat="1" applyFont="1" applyFill="1"/>
    <xf numFmtId="0" fontId="200" fillId="44" borderId="0" xfId="0" applyFont="1" applyFill="1"/>
    <xf numFmtId="165" fontId="200" fillId="22" borderId="0" xfId="30" applyNumberFormat="1" applyFont="1" applyFill="1" applyBorder="1"/>
    <xf numFmtId="165" fontId="200" fillId="44" borderId="0" xfId="30" applyNumberFormat="1" applyFont="1" applyFill="1" applyBorder="1"/>
    <xf numFmtId="0" fontId="211" fillId="44" borderId="0" xfId="96" applyFont="1" applyFill="1" applyAlignment="1">
      <alignment horizontal="center"/>
    </xf>
    <xf numFmtId="0" fontId="211" fillId="44" borderId="0" xfId="96" applyFont="1" applyFill="1" applyAlignment="1">
      <alignment horizontal="left"/>
    </xf>
    <xf numFmtId="165" fontId="184" fillId="44" borderId="0" xfId="29" applyNumberFormat="1" applyFont="1" applyFill="1" applyAlignment="1">
      <alignment horizontal="right"/>
    </xf>
    <xf numFmtId="49" fontId="211" fillId="44" borderId="0" xfId="96" applyNumberFormat="1" applyFont="1" applyFill="1" applyAlignment="1">
      <alignment horizontal="center"/>
    </xf>
    <xf numFmtId="165" fontId="211" fillId="44" borderId="0" xfId="96" applyNumberFormat="1" applyFont="1" applyFill="1" applyAlignment="1">
      <alignment horizontal="center"/>
    </xf>
    <xf numFmtId="49" fontId="211" fillId="22" borderId="0" xfId="96" applyNumberFormat="1" applyFont="1" applyFill="1" applyAlignment="1">
      <alignment horizontal="center"/>
    </xf>
    <xf numFmtId="165" fontId="225" fillId="44" borderId="0" xfId="29" applyNumberFormat="1" applyFont="1" applyFill="1" applyAlignment="1">
      <alignment horizontal="right"/>
    </xf>
    <xf numFmtId="165" fontId="225" fillId="44" borderId="21" xfId="29" applyNumberFormat="1" applyFont="1" applyFill="1" applyBorder="1" applyAlignment="1">
      <alignment horizontal="right"/>
    </xf>
    <xf numFmtId="0" fontId="248" fillId="20" borderId="1" xfId="27" applyFont="1"/>
    <xf numFmtId="165" fontId="248" fillId="20" borderId="1" xfId="27" applyNumberFormat="1" applyFont="1"/>
    <xf numFmtId="0" fontId="248" fillId="20" borderId="1" xfId="27" applyFont="1" applyAlignment="1">
      <alignment horizontal="center"/>
    </xf>
    <xf numFmtId="0" fontId="184" fillId="22" borderId="0" xfId="94" applyFont="1" applyFill="1"/>
    <xf numFmtId="199" fontId="184" fillId="0" borderId="0" xfId="94" applyNumberFormat="1" applyFont="1"/>
    <xf numFmtId="0" fontId="211" fillId="22" borderId="0" xfId="0" applyFont="1" applyFill="1"/>
    <xf numFmtId="165" fontId="225" fillId="0" borderId="0" xfId="0" applyNumberFormat="1" applyFont="1" applyFill="1"/>
    <xf numFmtId="165" fontId="225" fillId="44" borderId="0" xfId="0" applyNumberFormat="1" applyFont="1" applyFill="1"/>
    <xf numFmtId="0" fontId="199" fillId="0" borderId="0" xfId="0" applyFont="1" applyAlignment="1">
      <alignment horizontal="right"/>
    </xf>
    <xf numFmtId="165" fontId="199" fillId="22" borderId="0" xfId="0" applyNumberFormat="1" applyFont="1" applyFill="1"/>
    <xf numFmtId="0" fontId="211" fillId="38" borderId="0" xfId="0" applyFont="1" applyFill="1"/>
    <xf numFmtId="0" fontId="211" fillId="0" borderId="21" xfId="0" applyFont="1" applyBorder="1"/>
    <xf numFmtId="0" fontId="211" fillId="0" borderId="22" xfId="0" applyFont="1" applyBorder="1" applyAlignment="1">
      <alignment horizontal="left" indent="2"/>
    </xf>
    <xf numFmtId="165" fontId="225" fillId="22" borderId="22" xfId="30" applyNumberFormat="1" applyFont="1" applyFill="1" applyBorder="1"/>
    <xf numFmtId="165" fontId="225" fillId="0" borderId="0" xfId="30" applyNumberFormat="1" applyFont="1" applyBorder="1"/>
    <xf numFmtId="165" fontId="211" fillId="0" borderId="0" xfId="30" applyNumberFormat="1" applyFont="1" applyBorder="1"/>
    <xf numFmtId="0" fontId="211" fillId="0" borderId="0" xfId="0" applyFont="1" applyBorder="1" applyAlignment="1">
      <alignment horizontal="left" indent="2"/>
    </xf>
    <xf numFmtId="0" fontId="211" fillId="0" borderId="21" xfId="0" applyFont="1" applyBorder="1" applyAlignment="1">
      <alignment horizontal="left" indent="2"/>
    </xf>
    <xf numFmtId="165" fontId="225" fillId="22" borderId="21" xfId="30" applyNumberFormat="1" applyFont="1" applyFill="1" applyBorder="1"/>
    <xf numFmtId="165" fontId="225" fillId="0" borderId="21" xfId="30" applyNumberFormat="1" applyFont="1" applyBorder="1"/>
    <xf numFmtId="165" fontId="211" fillId="0" borderId="21" xfId="30" applyNumberFormat="1" applyFont="1" applyBorder="1"/>
    <xf numFmtId="0" fontId="211" fillId="22" borderId="22" xfId="0" applyFont="1" applyFill="1" applyBorder="1"/>
    <xf numFmtId="165" fontId="211" fillId="0" borderId="22" xfId="30" applyNumberFormat="1" applyFont="1" applyBorder="1"/>
    <xf numFmtId="0" fontId="211" fillId="22" borderId="0" xfId="0" applyFont="1" applyFill="1" applyBorder="1"/>
    <xf numFmtId="0" fontId="211" fillId="22" borderId="21" xfId="0" applyFont="1" applyFill="1" applyBorder="1"/>
    <xf numFmtId="0" fontId="211" fillId="0" borderId="0" xfId="0" applyFont="1" applyBorder="1"/>
    <xf numFmtId="0" fontId="216" fillId="38" borderId="0" xfId="0" applyFont="1" applyFill="1"/>
    <xf numFmtId="3" fontId="211" fillId="0" borderId="0" xfId="0" applyNumberFormat="1" applyFont="1"/>
    <xf numFmtId="165" fontId="211" fillId="0" borderId="22" xfId="30" applyNumberFormat="1" applyFont="1" applyBorder="1" applyAlignment="1">
      <alignment horizontal="left" indent="2"/>
    </xf>
    <xf numFmtId="165" fontId="211" fillId="0" borderId="0" xfId="30" applyNumberFormat="1" applyFont="1" applyBorder="1" applyAlignment="1">
      <alignment horizontal="left" indent="2"/>
    </xf>
    <xf numFmtId="165" fontId="225" fillId="22" borderId="0" xfId="30" applyNumberFormat="1" applyFont="1" applyFill="1" applyBorder="1"/>
    <xf numFmtId="165" fontId="211" fillId="0" borderId="21" xfId="30" applyNumberFormat="1" applyFont="1" applyBorder="1" applyAlignment="1">
      <alignment horizontal="left" indent="2"/>
    </xf>
    <xf numFmtId="165" fontId="211" fillId="22" borderId="22" xfId="30" applyNumberFormat="1" applyFont="1" applyFill="1" applyBorder="1"/>
    <xf numFmtId="165" fontId="211" fillId="0" borderId="22" xfId="30" applyNumberFormat="1" applyFont="1" applyFill="1" applyBorder="1"/>
    <xf numFmtId="165" fontId="225" fillId="0" borderId="22" xfId="30" applyNumberFormat="1" applyFont="1" applyFill="1" applyBorder="1"/>
    <xf numFmtId="165" fontId="211" fillId="22" borderId="0" xfId="30" applyNumberFormat="1" applyFont="1" applyFill="1" applyBorder="1"/>
    <xf numFmtId="165" fontId="211" fillId="0" borderId="0" xfId="30" applyNumberFormat="1" applyFont="1" applyFill="1" applyBorder="1"/>
    <xf numFmtId="165" fontId="225" fillId="0" borderId="0" xfId="30" applyNumberFormat="1" applyFont="1" applyFill="1" applyBorder="1"/>
    <xf numFmtId="165" fontId="211" fillId="22" borderId="0" xfId="0" applyNumberFormat="1" applyFont="1" applyFill="1"/>
    <xf numFmtId="43" fontId="211" fillId="22" borderId="0" xfId="0" applyNumberFormat="1" applyFont="1" applyFill="1"/>
    <xf numFmtId="43" fontId="211" fillId="0" borderId="0" xfId="0" applyNumberFormat="1" applyFont="1"/>
    <xf numFmtId="0" fontId="225" fillId="0" borderId="0" xfId="0" applyFont="1"/>
    <xf numFmtId="0" fontId="211" fillId="44" borderId="0" xfId="0" applyFont="1" applyFill="1"/>
    <xf numFmtId="3" fontId="211" fillId="44" borderId="0" xfId="0" applyNumberFormat="1" applyFont="1" applyFill="1"/>
    <xf numFmtId="165" fontId="211" fillId="44" borderId="0" xfId="29" applyNumberFormat="1" applyFont="1" applyFill="1"/>
    <xf numFmtId="165" fontId="211" fillId="44" borderId="0" xfId="0" applyNumberFormat="1" applyFont="1" applyFill="1"/>
    <xf numFmtId="3" fontId="211" fillId="22" borderId="0" xfId="0" applyNumberFormat="1" applyFont="1" applyFill="1"/>
    <xf numFmtId="165" fontId="225" fillId="22" borderId="0" xfId="29" applyNumberFormat="1" applyFont="1" applyFill="1"/>
    <xf numFmtId="165" fontId="225" fillId="38" borderId="0" xfId="29" applyNumberFormat="1" applyFont="1" applyFill="1"/>
    <xf numFmtId="165" fontId="211" fillId="38" borderId="0" xfId="29" applyNumberFormat="1" applyFont="1" applyFill="1"/>
    <xf numFmtId="165" fontId="200" fillId="38" borderId="0" xfId="29" applyNumberFormat="1" applyFont="1" applyFill="1"/>
    <xf numFmtId="43" fontId="211" fillId="22" borderId="0" xfId="29" applyFont="1" applyFill="1"/>
    <xf numFmtId="43" fontId="211" fillId="38" borderId="0" xfId="29" applyFont="1" applyFill="1"/>
    <xf numFmtId="43" fontId="225" fillId="38" borderId="0" xfId="29" applyFont="1" applyFill="1"/>
    <xf numFmtId="43" fontId="211" fillId="0" borderId="0" xfId="29" applyFont="1"/>
    <xf numFmtId="2" fontId="225" fillId="22" borderId="0" xfId="0" applyNumberFormat="1" applyFont="1" applyFill="1"/>
    <xf numFmtId="2" fontId="225" fillId="38" borderId="0" xfId="0" applyNumberFormat="1" applyFont="1" applyFill="1"/>
    <xf numFmtId="0" fontId="225" fillId="22" borderId="0" xfId="0" applyFont="1" applyFill="1"/>
    <xf numFmtId="165" fontId="225" fillId="0" borderId="0" xfId="29" applyNumberFormat="1" applyFont="1"/>
    <xf numFmtId="43" fontId="211" fillId="22" borderId="0" xfId="29" applyNumberFormat="1" applyFont="1" applyFill="1"/>
    <xf numFmtId="43" fontId="211" fillId="0" borderId="0" xfId="29" applyNumberFormat="1" applyFont="1"/>
    <xf numFmtId="0" fontId="184" fillId="0" borderId="0" xfId="96" applyFont="1"/>
    <xf numFmtId="49" fontId="184" fillId="22" borderId="0" xfId="96" applyNumberFormat="1" applyFont="1" applyFill="1" applyAlignment="1">
      <alignment horizontal="center"/>
    </xf>
    <xf numFmtId="0" fontId="211" fillId="0" borderId="0" xfId="96" applyFont="1" applyAlignment="1"/>
    <xf numFmtId="0" fontId="200" fillId="44" borderId="0" xfId="96" applyFont="1" applyFill="1" applyAlignment="1">
      <alignment horizontal="center"/>
    </xf>
    <xf numFmtId="0" fontId="212" fillId="0" borderId="0" xfId="96" applyFont="1" applyAlignment="1">
      <alignment horizontal="center"/>
    </xf>
    <xf numFmtId="165" fontId="200" fillId="0" borderId="0" xfId="96" applyNumberFormat="1" applyFont="1" applyAlignment="1">
      <alignment horizontal="center"/>
    </xf>
    <xf numFmtId="16" fontId="211" fillId="0" borderId="0" xfId="0" applyNumberFormat="1" applyFont="1"/>
    <xf numFmtId="17" fontId="211" fillId="0" borderId="0" xfId="0" applyNumberFormat="1" applyFont="1"/>
    <xf numFmtId="43" fontId="225" fillId="0" borderId="0" xfId="29" applyFont="1"/>
    <xf numFmtId="10" fontId="185" fillId="0" borderId="0" xfId="179" applyNumberFormat="1" applyFont="1" applyFill="1" applyAlignment="1">
      <alignment horizontal="center"/>
    </xf>
    <xf numFmtId="10" fontId="196" fillId="0" borderId="0" xfId="179" applyNumberFormat="1" applyFont="1" applyFill="1" applyAlignment="1">
      <alignment horizontal="center"/>
    </xf>
    <xf numFmtId="202" fontId="211" fillId="0" borderId="0" xfId="29" applyNumberFormat="1" applyFont="1" applyFill="1"/>
    <xf numFmtId="165" fontId="200" fillId="22" borderId="20" xfId="0" applyNumberFormat="1" applyFont="1" applyFill="1" applyBorder="1"/>
    <xf numFmtId="165" fontId="200" fillId="45" borderId="20" xfId="29" applyNumberFormat="1" applyFont="1" applyFill="1" applyBorder="1"/>
    <xf numFmtId="10" fontId="200" fillId="0" borderId="0" xfId="0" applyNumberFormat="1" applyFont="1"/>
    <xf numFmtId="165" fontId="200" fillId="0" borderId="120" xfId="29" applyNumberFormat="1" applyFont="1" applyBorder="1"/>
    <xf numFmtId="0" fontId="249" fillId="0" borderId="0" xfId="0" applyFont="1" applyAlignment="1">
      <alignment horizontal="right"/>
    </xf>
    <xf numFmtId="0" fontId="199" fillId="45" borderId="0" xfId="0" applyFont="1" applyFill="1"/>
    <xf numFmtId="0" fontId="199" fillId="0" borderId="0" xfId="0" applyFont="1" applyFill="1"/>
    <xf numFmtId="0" fontId="199" fillId="45" borderId="0" xfId="0" applyFont="1" applyFill="1" applyAlignment="1">
      <alignment vertical="center"/>
    </xf>
    <xf numFmtId="0" fontId="226" fillId="45" borderId="0" xfId="0" applyFont="1" applyFill="1"/>
    <xf numFmtId="0" fontId="226" fillId="0" borderId="0" xfId="0" applyFont="1" applyFill="1"/>
    <xf numFmtId="0" fontId="250" fillId="45" borderId="0" xfId="0" applyFont="1" applyFill="1" applyAlignment="1">
      <alignment vertical="center"/>
    </xf>
    <xf numFmtId="165" fontId="225" fillId="0" borderId="0" xfId="29" applyNumberFormat="1" applyFont="1" applyBorder="1"/>
    <xf numFmtId="165" fontId="211" fillId="26" borderId="0" xfId="29" applyNumberFormat="1" applyFont="1" applyFill="1"/>
    <xf numFmtId="165" fontId="211" fillId="41" borderId="0" xfId="29" applyNumberFormat="1" applyFont="1" applyFill="1"/>
    <xf numFmtId="9" fontId="211" fillId="0" borderId="0" xfId="0" applyNumberFormat="1" applyFont="1" applyFill="1"/>
    <xf numFmtId="165" fontId="211" fillId="39" borderId="0" xfId="29" applyNumberFormat="1" applyFont="1" applyFill="1"/>
    <xf numFmtId="165" fontId="211" fillId="23" borderId="0" xfId="29" applyNumberFormat="1" applyFont="1" applyFill="1"/>
    <xf numFmtId="165" fontId="225" fillId="45" borderId="0" xfId="29" applyNumberFormat="1" applyFont="1" applyFill="1"/>
    <xf numFmtId="165" fontId="211" fillId="33" borderId="0" xfId="29" applyNumberFormat="1" applyFont="1" applyFill="1"/>
    <xf numFmtId="165" fontId="211" fillId="45" borderId="0" xfId="29" applyNumberFormat="1" applyFont="1" applyFill="1"/>
    <xf numFmtId="165" fontId="225" fillId="39" borderId="0" xfId="29" applyNumberFormat="1" applyFont="1" applyFill="1"/>
    <xf numFmtId="165" fontId="211" fillId="0" borderId="20" xfId="29" applyNumberFormat="1" applyFont="1" applyBorder="1"/>
    <xf numFmtId="0" fontId="199" fillId="0" borderId="0" xfId="97" applyFont="1"/>
    <xf numFmtId="0" fontId="226" fillId="0" borderId="0" xfId="97" applyFont="1"/>
    <xf numFmtId="0" fontId="211" fillId="0" borderId="0" xfId="97" applyFont="1"/>
    <xf numFmtId="0" fontId="212" fillId="0" borderId="6" xfId="97" applyFont="1" applyBorder="1" applyAlignment="1">
      <alignment horizontal="center"/>
    </xf>
    <xf numFmtId="206" fontId="225" fillId="32" borderId="22" xfId="97" applyNumberFormat="1" applyFont="1" applyFill="1" applyBorder="1" applyAlignment="1">
      <alignment horizontal="center"/>
    </xf>
    <xf numFmtId="9" fontId="211" fillId="0" borderId="0" xfId="97" applyNumberFormat="1" applyFont="1"/>
    <xf numFmtId="0" fontId="212" fillId="0" borderId="75" xfId="97" quotePrefix="1" applyFont="1" applyBorder="1" applyAlignment="1">
      <alignment horizontal="center"/>
    </xf>
    <xf numFmtId="0" fontId="212" fillId="0" borderId="105" xfId="97" quotePrefix="1" applyFont="1" applyBorder="1" applyAlignment="1">
      <alignment horizontal="center"/>
    </xf>
    <xf numFmtId="0" fontId="212" fillId="0" borderId="0" xfId="97" applyFont="1" applyBorder="1" applyAlignment="1">
      <alignment horizontal="center"/>
    </xf>
    <xf numFmtId="206" fontId="239" fillId="0" borderId="0" xfId="97" applyNumberFormat="1" applyFont="1" applyBorder="1" applyAlignment="1">
      <alignment horizontal="center"/>
    </xf>
    <xf numFmtId="206" fontId="212" fillId="0" borderId="0" xfId="97" applyNumberFormat="1" applyFont="1" applyBorder="1" applyAlignment="1">
      <alignment horizontal="center"/>
    </xf>
    <xf numFmtId="0" fontId="212" fillId="0" borderId="75" xfId="97" applyFont="1" applyBorder="1" applyAlignment="1">
      <alignment horizontal="center"/>
    </xf>
    <xf numFmtId="206" fontId="239" fillId="39" borderId="20" xfId="97" applyNumberFormat="1" applyFont="1" applyFill="1" applyBorder="1" applyAlignment="1">
      <alignment horizontal="center"/>
    </xf>
    <xf numFmtId="10" fontId="211" fillId="0" borderId="0" xfId="162" applyNumberFormat="1" applyFont="1"/>
    <xf numFmtId="206" fontId="239" fillId="0" borderId="20" xfId="97" applyNumberFormat="1" applyFont="1" applyFill="1" applyBorder="1" applyAlignment="1">
      <alignment horizontal="center"/>
    </xf>
    <xf numFmtId="206" fontId="239" fillId="0" borderId="105" xfId="97" applyNumberFormat="1" applyFont="1" applyFill="1" applyBorder="1" applyAlignment="1">
      <alignment horizontal="center"/>
    </xf>
    <xf numFmtId="0" fontId="225" fillId="0" borderId="0" xfId="97" applyFont="1"/>
    <xf numFmtId="0" fontId="212" fillId="38" borderId="0" xfId="97" applyFont="1" applyFill="1" applyBorder="1" applyAlignment="1">
      <alignment horizontal="center"/>
    </xf>
    <xf numFmtId="14" fontId="211" fillId="38" borderId="0" xfId="97" applyNumberFormat="1" applyFont="1" applyFill="1" applyBorder="1"/>
    <xf numFmtId="0" fontId="225" fillId="38" borderId="0" xfId="97" applyFont="1" applyFill="1" applyBorder="1"/>
    <xf numFmtId="0" fontId="225" fillId="38" borderId="0" xfId="97" applyFont="1" applyFill="1"/>
    <xf numFmtId="0" fontId="211" fillId="38" borderId="0" xfId="97" applyFont="1" applyFill="1"/>
    <xf numFmtId="0" fontId="211" fillId="0" borderId="0" xfId="97" applyFont="1" applyBorder="1"/>
    <xf numFmtId="193" fontId="225" fillId="0" borderId="0" xfId="29" applyNumberFormat="1" applyFont="1" applyBorder="1"/>
    <xf numFmtId="193" fontId="225" fillId="39" borderId="0" xfId="29" applyNumberFormat="1" applyFont="1" applyFill="1" applyBorder="1"/>
    <xf numFmtId="206" fontId="212" fillId="0" borderId="21" xfId="97" applyNumberFormat="1" applyFont="1" applyFill="1" applyBorder="1" applyAlignment="1">
      <alignment horizontal="center"/>
    </xf>
    <xf numFmtId="206" fontId="212" fillId="0" borderId="0" xfId="97" applyNumberFormat="1" applyFont="1" applyFill="1" applyBorder="1" applyAlignment="1">
      <alignment horizontal="center"/>
    </xf>
    <xf numFmtId="0" fontId="212" fillId="0" borderId="0" xfId="96" applyFont="1" applyBorder="1"/>
    <xf numFmtId="0" fontId="212" fillId="0" borderId="0" xfId="96" applyFont="1" applyBorder="1" applyAlignment="1">
      <alignment horizontal="right"/>
    </xf>
    <xf numFmtId="165" fontId="225" fillId="0" borderId="21" xfId="29" applyNumberFormat="1" applyFont="1" applyBorder="1"/>
    <xf numFmtId="0" fontId="211" fillId="0" borderId="0" xfId="96" applyFont="1" applyBorder="1"/>
    <xf numFmtId="0" fontId="212" fillId="0" borderId="0" xfId="96" applyFont="1" applyBorder="1" applyAlignment="1"/>
    <xf numFmtId="165" fontId="211" fillId="41" borderId="0" xfId="0" applyNumberFormat="1" applyFont="1" applyFill="1"/>
    <xf numFmtId="0" fontId="211" fillId="45" borderId="0" xfId="0" applyFont="1" applyFill="1"/>
    <xf numFmtId="165" fontId="9" fillId="0" borderId="0" xfId="0" applyNumberFormat="1" applyFont="1"/>
    <xf numFmtId="165" fontId="9" fillId="0" borderId="21" xfId="29" applyNumberFormat="1" applyFont="1" applyFill="1" applyBorder="1" applyAlignment="1">
      <alignment vertical="center" wrapText="1"/>
    </xf>
    <xf numFmtId="165" fontId="9" fillId="52" borderId="21" xfId="29" applyNumberFormat="1" applyFont="1" applyFill="1" applyBorder="1"/>
    <xf numFmtId="165" fontId="9" fillId="52" borderId="0" xfId="29" applyNumberFormat="1" applyFont="1" applyFill="1"/>
    <xf numFmtId="0" fontId="9" fillId="0" borderId="0" xfId="0" applyFont="1" applyFill="1" applyAlignment="1">
      <alignment horizontal="right"/>
    </xf>
    <xf numFmtId="165" fontId="174" fillId="49" borderId="0" xfId="29" applyNumberFormat="1" applyFont="1" applyFill="1"/>
    <xf numFmtId="165" fontId="213" fillId="49" borderId="0" xfId="29" applyNumberFormat="1" applyFont="1" applyFill="1"/>
    <xf numFmtId="199" fontId="142" fillId="22" borderId="9" xfId="34" applyNumberFormat="1" applyFont="1" applyFill="1" applyBorder="1"/>
    <xf numFmtId="206" fontId="225" fillId="26" borderId="0" xfId="97" applyNumberFormat="1" applyFont="1" applyFill="1" applyBorder="1" applyAlignment="1">
      <alignment horizontal="center"/>
    </xf>
    <xf numFmtId="206" fontId="225" fillId="0" borderId="0" xfId="97" applyNumberFormat="1" applyFont="1" applyFill="1" applyBorder="1" applyAlignment="1">
      <alignment horizontal="center"/>
    </xf>
    <xf numFmtId="0" fontId="212" fillId="0" borderId="105" xfId="97" applyFont="1" applyBorder="1" applyAlignment="1">
      <alignment horizontal="center"/>
    </xf>
    <xf numFmtId="206" fontId="212" fillId="0" borderId="75" xfId="97" applyNumberFormat="1" applyFont="1" applyBorder="1" applyAlignment="1">
      <alignment horizontal="center"/>
    </xf>
    <xf numFmtId="206" fontId="212" fillId="0" borderId="105" xfId="97" applyNumberFormat="1" applyFont="1" applyBorder="1" applyAlignment="1">
      <alignment horizontal="center"/>
    </xf>
    <xf numFmtId="0" fontId="211" fillId="0" borderId="0" xfId="96" applyFont="1" applyFill="1" applyBorder="1" applyAlignment="1">
      <alignment horizontal="right"/>
    </xf>
    <xf numFmtId="165" fontId="211" fillId="0" borderId="22" xfId="29" applyNumberFormat="1" applyFont="1" applyFill="1" applyBorder="1"/>
    <xf numFmtId="0" fontId="251" fillId="0" borderId="75" xfId="97" quotePrefix="1" applyFont="1" applyBorder="1" applyAlignment="1"/>
    <xf numFmtId="0" fontId="251" fillId="0" borderId="105" xfId="97" quotePrefix="1" applyFont="1" applyBorder="1" applyAlignment="1">
      <alignment horizontal="center"/>
    </xf>
    <xf numFmtId="0" fontId="251" fillId="0" borderId="105" xfId="97" applyFont="1" applyBorder="1" applyAlignment="1">
      <alignment horizontal="center"/>
    </xf>
    <xf numFmtId="0" fontId="212" fillId="0" borderId="75" xfId="97" quotePrefix="1" applyFont="1" applyBorder="1" applyAlignment="1">
      <alignment horizontal="right"/>
    </xf>
    <xf numFmtId="0" fontId="212" fillId="0" borderId="105" xfId="97" quotePrefix="1" applyFont="1" applyBorder="1" applyAlignment="1">
      <alignment horizontal="right"/>
    </xf>
    <xf numFmtId="0" fontId="211" fillId="0" borderId="74" xfId="97" applyFont="1" applyBorder="1" applyAlignment="1"/>
    <xf numFmtId="0" fontId="211" fillId="0" borderId="102" xfId="97" applyFont="1" applyBorder="1" applyAlignment="1"/>
    <xf numFmtId="0" fontId="211" fillId="0" borderId="73" xfId="97" applyFont="1" applyBorder="1" applyAlignment="1">
      <alignment horizontal="right"/>
    </xf>
    <xf numFmtId="0" fontId="211" fillId="0" borderId="101" xfId="97" applyFont="1" applyBorder="1" applyAlignment="1">
      <alignment horizontal="right"/>
    </xf>
    <xf numFmtId="10" fontId="192" fillId="32" borderId="6" xfId="162" applyNumberFormat="1" applyFont="1" applyFill="1" applyBorder="1" applyAlignment="1">
      <alignment horizontal="center"/>
    </xf>
    <xf numFmtId="14" fontId="192" fillId="32" borderId="6" xfId="0" applyNumberFormat="1" applyFont="1" applyFill="1" applyBorder="1" applyAlignment="1">
      <alignment horizontal="center"/>
    </xf>
    <xf numFmtId="0" fontId="214" fillId="32" borderId="6" xfId="0" applyNumberFormat="1" applyFont="1" applyFill="1" applyBorder="1" applyAlignment="1">
      <alignment horizontal="center" wrapText="1"/>
    </xf>
    <xf numFmtId="9" fontId="214" fillId="32" borderId="6" xfId="0" applyNumberFormat="1" applyFont="1" applyFill="1" applyBorder="1" applyAlignment="1">
      <alignment horizontal="center"/>
    </xf>
    <xf numFmtId="165" fontId="214" fillId="32" borderId="6" xfId="29" applyNumberFormat="1" applyFont="1" applyFill="1" applyBorder="1" applyAlignment="1">
      <alignment horizontal="center"/>
    </xf>
    <xf numFmtId="10" fontId="214" fillId="32" borderId="6" xfId="162" applyNumberFormat="1" applyFont="1" applyFill="1" applyBorder="1" applyAlignment="1">
      <alignment horizontal="center"/>
    </xf>
    <xf numFmtId="10" fontId="214" fillId="32" borderId="6" xfId="0" applyNumberFormat="1" applyFont="1" applyFill="1" applyBorder="1" applyAlignment="1">
      <alignment horizontal="center"/>
    </xf>
    <xf numFmtId="0" fontId="202" fillId="0" borderId="0" xfId="0" applyNumberFormat="1" applyFont="1" applyFill="1" applyAlignment="1">
      <alignment horizontal="center" vertical="center"/>
    </xf>
    <xf numFmtId="0" fontId="185" fillId="0" borderId="0" xfId="0" applyFont="1" applyAlignment="1">
      <alignment vertical="center"/>
    </xf>
    <xf numFmtId="0" fontId="253" fillId="0" borderId="0" xfId="0" applyFont="1" applyFill="1"/>
    <xf numFmtId="0" fontId="254" fillId="0" borderId="0" xfId="0" applyFont="1" applyFill="1"/>
    <xf numFmtId="44" fontId="253" fillId="0" borderId="0" xfId="51" applyFont="1" applyFill="1"/>
    <xf numFmtId="0" fontId="254" fillId="26" borderId="0" xfId="0" applyFont="1" applyFill="1"/>
    <xf numFmtId="0" fontId="253" fillId="26" borderId="0" xfId="0" applyFont="1" applyFill="1"/>
    <xf numFmtId="0" fontId="254" fillId="33" borderId="0" xfId="0" applyFont="1" applyFill="1"/>
    <xf numFmtId="44" fontId="253" fillId="0" borderId="0" xfId="0" applyNumberFormat="1" applyFont="1" applyFill="1"/>
    <xf numFmtId="0" fontId="254" fillId="41" borderId="0" xfId="0" applyFont="1" applyFill="1"/>
    <xf numFmtId="166" fontId="0" fillId="0" borderId="22" xfId="0" applyNumberFormat="1" applyBorder="1"/>
    <xf numFmtId="170" fontId="0" fillId="0" borderId="22" xfId="0" applyNumberFormat="1" applyFill="1" applyBorder="1"/>
    <xf numFmtId="166" fontId="0" fillId="0" borderId="60" xfId="44" applyNumberFormat="1" applyFont="1" applyFill="1" applyBorder="1"/>
    <xf numFmtId="0" fontId="10" fillId="0" borderId="21" xfId="0" applyFont="1" applyBorder="1"/>
    <xf numFmtId="0" fontId="255" fillId="0" borderId="0" xfId="0" applyFont="1"/>
    <xf numFmtId="43" fontId="9" fillId="0" borderId="0" xfId="0" applyNumberFormat="1" applyFont="1"/>
    <xf numFmtId="0" fontId="9" fillId="0" borderId="0" xfId="0" applyFont="1" applyFill="1" applyBorder="1" applyAlignment="1"/>
    <xf numFmtId="0" fontId="9" fillId="0" borderId="21" xfId="0" applyFont="1" applyBorder="1"/>
    <xf numFmtId="0" fontId="10" fillId="0" borderId="21" xfId="0" applyFont="1" applyFill="1" applyBorder="1"/>
    <xf numFmtId="0" fontId="10" fillId="23" borderId="0" xfId="0" applyFont="1" applyFill="1" applyAlignment="1">
      <alignment horizontal="left"/>
    </xf>
    <xf numFmtId="0" fontId="213" fillId="32" borderId="37" xfId="0" applyFont="1" applyFill="1" applyBorder="1" applyAlignment="1">
      <alignment horizontal="center" vertical="center"/>
    </xf>
    <xf numFmtId="37" fontId="7" fillId="23" borderId="0" xfId="0" applyNumberFormat="1" applyFont="1" applyFill="1" applyAlignment="1">
      <alignment horizontal="center"/>
    </xf>
    <xf numFmtId="167" fontId="9" fillId="52" borderId="85" xfId="0" applyNumberFormat="1" applyFont="1" applyFill="1" applyBorder="1" applyAlignment="1">
      <alignment horizontal="center"/>
    </xf>
    <xf numFmtId="167" fontId="9" fillId="52" borderId="8" xfId="0" applyNumberFormat="1" applyFont="1" applyFill="1" applyBorder="1" applyAlignment="1">
      <alignment horizontal="center"/>
    </xf>
    <xf numFmtId="167" fontId="9" fillId="52" borderId="86" xfId="0" applyNumberFormat="1" applyFont="1" applyFill="1" applyBorder="1" applyAlignment="1">
      <alignment horizontal="center"/>
    </xf>
    <xf numFmtId="10" fontId="9" fillId="0" borderId="73" xfId="0" applyNumberFormat="1" applyFont="1" applyFill="1" applyBorder="1" applyAlignment="1">
      <alignment horizontal="center"/>
    </xf>
    <xf numFmtId="10" fontId="9" fillId="0" borderId="22" xfId="0" applyNumberFormat="1" applyFont="1" applyFill="1" applyBorder="1" applyAlignment="1">
      <alignment horizontal="center"/>
    </xf>
    <xf numFmtId="10" fontId="9" fillId="0" borderId="74" xfId="0" applyNumberFormat="1" applyFont="1" applyFill="1" applyBorder="1" applyAlignment="1">
      <alignment horizontal="center"/>
    </xf>
    <xf numFmtId="10" fontId="9" fillId="0" borderId="72" xfId="0" applyNumberFormat="1" applyFont="1" applyFill="1" applyBorder="1" applyAlignment="1">
      <alignment horizontal="center"/>
    </xf>
    <xf numFmtId="10" fontId="9" fillId="0" borderId="0" xfId="0" applyNumberFormat="1" applyFont="1" applyFill="1" applyBorder="1" applyAlignment="1">
      <alignment horizontal="center"/>
    </xf>
    <xf numFmtId="10" fontId="9" fillId="0" borderId="9" xfId="0" applyNumberFormat="1" applyFont="1" applyFill="1" applyBorder="1" applyAlignment="1">
      <alignment horizontal="center"/>
    </xf>
    <xf numFmtId="10" fontId="9" fillId="0" borderId="101" xfId="0" applyNumberFormat="1" applyFont="1" applyFill="1" applyBorder="1" applyAlignment="1">
      <alignment horizontal="center"/>
    </xf>
    <xf numFmtId="10" fontId="9" fillId="0" borderId="21" xfId="0" applyNumberFormat="1" applyFont="1" applyFill="1" applyBorder="1" applyAlignment="1">
      <alignment horizontal="center"/>
    </xf>
    <xf numFmtId="10" fontId="9" fillId="0" borderId="102" xfId="0" applyNumberFormat="1" applyFont="1" applyFill="1" applyBorder="1" applyAlignment="1">
      <alignment horizontal="center"/>
    </xf>
    <xf numFmtId="10" fontId="213" fillId="32" borderId="73" xfId="0" applyNumberFormat="1" applyFont="1" applyFill="1" applyBorder="1" applyAlignment="1">
      <alignment horizontal="center"/>
    </xf>
    <xf numFmtId="10" fontId="213" fillId="32" borderId="22" xfId="0" applyNumberFormat="1" applyFont="1" applyFill="1" applyBorder="1" applyAlignment="1">
      <alignment horizontal="center"/>
    </xf>
    <xf numFmtId="10" fontId="213" fillId="32" borderId="74" xfId="0" applyNumberFormat="1" applyFont="1" applyFill="1" applyBorder="1" applyAlignment="1">
      <alignment horizontal="center"/>
    </xf>
    <xf numFmtId="10" fontId="213" fillId="32" borderId="72" xfId="0" applyNumberFormat="1" applyFont="1" applyFill="1" applyBorder="1" applyAlignment="1">
      <alignment horizontal="center"/>
    </xf>
    <xf numFmtId="10" fontId="213" fillId="32" borderId="0" xfId="0" applyNumberFormat="1" applyFont="1" applyFill="1" applyBorder="1" applyAlignment="1">
      <alignment horizontal="center"/>
    </xf>
    <xf numFmtId="10" fontId="213" fillId="32" borderId="9" xfId="0" applyNumberFormat="1" applyFont="1" applyFill="1" applyBorder="1" applyAlignment="1">
      <alignment horizontal="center"/>
    </xf>
    <xf numFmtId="10" fontId="213" fillId="32" borderId="101" xfId="0" applyNumberFormat="1" applyFont="1" applyFill="1" applyBorder="1" applyAlignment="1">
      <alignment horizontal="center"/>
    </xf>
    <xf numFmtId="10" fontId="213" fillId="32" borderId="102" xfId="0" applyNumberFormat="1" applyFont="1" applyFill="1" applyBorder="1" applyAlignment="1">
      <alignment horizontal="center"/>
    </xf>
    <xf numFmtId="9" fontId="7" fillId="0" borderId="0" xfId="162" applyNumberFormat="1" applyFont="1"/>
    <xf numFmtId="167" fontId="219" fillId="0" borderId="0" xfId="0" applyNumberFormat="1" applyFont="1"/>
    <xf numFmtId="0" fontId="9" fillId="23" borderId="0" xfId="0" quotePrefix="1" applyFont="1" applyFill="1" applyAlignment="1">
      <alignment horizontal="center"/>
    </xf>
    <xf numFmtId="41" fontId="0" fillId="23" borderId="0" xfId="0" applyNumberFormat="1" applyFill="1"/>
    <xf numFmtId="165" fontId="175" fillId="23" borderId="0" xfId="29" applyNumberFormat="1" applyFont="1" applyFill="1"/>
    <xf numFmtId="165" fontId="10" fillId="23" borderId="22" xfId="29" applyNumberFormat="1" applyFont="1" applyFill="1" applyBorder="1"/>
    <xf numFmtId="0" fontId="0" fillId="23" borderId="9" xfId="0" applyFill="1" applyBorder="1"/>
    <xf numFmtId="0" fontId="10" fillId="23" borderId="9" xfId="0" applyFont="1" applyFill="1" applyBorder="1"/>
    <xf numFmtId="0" fontId="185" fillId="23" borderId="9" xfId="0" applyFont="1" applyFill="1" applyBorder="1" applyAlignment="1">
      <alignment horizontal="left" indent="1"/>
    </xf>
    <xf numFmtId="0" fontId="187" fillId="23" borderId="9" xfId="0" applyFont="1" applyFill="1" applyBorder="1" applyAlignment="1">
      <alignment horizontal="left" indent="1"/>
    </xf>
    <xf numFmtId="10" fontId="185" fillId="0" borderId="0" xfId="162" applyNumberFormat="1" applyFont="1" applyFill="1" applyAlignment="1"/>
    <xf numFmtId="41" fontId="186" fillId="0" borderId="0" xfId="0" applyNumberFormat="1" applyFont="1" applyAlignment="1">
      <alignment horizontal="center"/>
    </xf>
    <xf numFmtId="43" fontId="204" fillId="0" borderId="0" xfId="29" applyNumberFormat="1" applyFont="1" applyFill="1" applyBorder="1" applyAlignment="1"/>
    <xf numFmtId="167" fontId="204" fillId="0" borderId="0" xfId="162" applyNumberFormat="1" applyFont="1" applyFill="1" applyBorder="1" applyAlignment="1"/>
    <xf numFmtId="41" fontId="9" fillId="23" borderId="0" xfId="0" applyNumberFormat="1" applyFont="1" applyFill="1"/>
    <xf numFmtId="167" fontId="9" fillId="23" borderId="0" xfId="162" applyNumberFormat="1" applyFont="1" applyFill="1" applyBorder="1" applyAlignment="1">
      <alignment horizontal="center"/>
    </xf>
    <xf numFmtId="41" fontId="7" fillId="23" borderId="0" xfId="0" applyNumberFormat="1" applyFont="1" applyFill="1"/>
    <xf numFmtId="165" fontId="7" fillId="23" borderId="0" xfId="29" applyNumberFormat="1" applyFont="1" applyFill="1" applyBorder="1"/>
    <xf numFmtId="167" fontId="7" fillId="23" borderId="0" xfId="162" applyNumberFormat="1" applyFont="1" applyFill="1" applyBorder="1" applyAlignment="1">
      <alignment horizontal="center"/>
    </xf>
    <xf numFmtId="41" fontId="7" fillId="23" borderId="21" xfId="0" applyNumberFormat="1" applyFont="1" applyFill="1" applyBorder="1"/>
    <xf numFmtId="165" fontId="102" fillId="23" borderId="21" xfId="29" applyNumberFormat="1" applyFont="1" applyFill="1" applyBorder="1"/>
    <xf numFmtId="167" fontId="7" fillId="23" borderId="21" xfId="162" applyNumberFormat="1" applyFont="1" applyFill="1" applyBorder="1" applyAlignment="1">
      <alignment horizontal="center"/>
    </xf>
    <xf numFmtId="0" fontId="209" fillId="37" borderId="40" xfId="0" applyFont="1" applyFill="1" applyBorder="1" applyAlignment="1">
      <alignment horizontal="center"/>
    </xf>
    <xf numFmtId="0" fontId="209" fillId="37" borderId="43" xfId="0" applyFont="1" applyFill="1" applyBorder="1" applyAlignment="1">
      <alignment horizontal="center"/>
    </xf>
    <xf numFmtId="0" fontId="209" fillId="37" borderId="38" xfId="0" applyFont="1" applyFill="1" applyBorder="1" applyAlignment="1">
      <alignment horizontal="center"/>
    </xf>
    <xf numFmtId="0" fontId="14" fillId="37" borderId="39" xfId="0" applyNumberFormat="1" applyFont="1" applyFill="1" applyBorder="1" applyAlignment="1">
      <alignment horizontal="center"/>
    </xf>
    <xf numFmtId="4" fontId="9" fillId="23" borderId="0" xfId="0" applyNumberFormat="1" applyFont="1" applyFill="1"/>
    <xf numFmtId="207" fontId="9" fillId="23" borderId="0" xfId="0" applyNumberFormat="1" applyFont="1" applyFill="1"/>
    <xf numFmtId="167" fontId="9" fillId="23" borderId="0" xfId="162" applyNumberFormat="1" applyFont="1" applyFill="1"/>
    <xf numFmtId="4" fontId="219" fillId="0" borderId="0" xfId="0" applyNumberFormat="1" applyFont="1" applyFill="1"/>
    <xf numFmtId="0" fontId="209" fillId="37" borderId="40" xfId="0" applyFont="1" applyFill="1" applyBorder="1" applyAlignment="1">
      <alignment horizontal="center" vertical="center"/>
    </xf>
    <xf numFmtId="0" fontId="209" fillId="37" borderId="44" xfId="0" applyFont="1" applyFill="1" applyBorder="1" applyAlignment="1">
      <alignment horizontal="center"/>
    </xf>
    <xf numFmtId="0" fontId="210" fillId="37" borderId="0" xfId="0" applyFont="1" applyFill="1" applyAlignment="1">
      <alignment horizontal="center"/>
    </xf>
    <xf numFmtId="0" fontId="210" fillId="37" borderId="0" xfId="0" quotePrefix="1" applyFont="1" applyFill="1" applyAlignment="1">
      <alignment horizontal="center"/>
    </xf>
    <xf numFmtId="0" fontId="256" fillId="37" borderId="21" xfId="0" applyFont="1" applyFill="1" applyBorder="1" applyAlignment="1">
      <alignment horizontal="center" vertical="center"/>
    </xf>
    <xf numFmtId="0" fontId="256" fillId="37" borderId="102" xfId="0" applyFont="1" applyFill="1" applyBorder="1" applyAlignment="1">
      <alignment horizontal="center" vertical="center"/>
    </xf>
    <xf numFmtId="193" fontId="0" fillId="23" borderId="0" xfId="0" applyNumberFormat="1" applyFill="1"/>
    <xf numFmtId="0" fontId="188" fillId="37" borderId="39" xfId="0" applyNumberFormat="1" applyFont="1" applyFill="1" applyBorder="1" applyAlignment="1">
      <alignment horizontal="center"/>
    </xf>
    <xf numFmtId="0" fontId="187" fillId="0" borderId="0" xfId="0" applyNumberFormat="1" applyFont="1" applyFill="1" applyBorder="1" applyAlignment="1">
      <alignment horizontal="center"/>
    </xf>
    <xf numFmtId="0" fontId="202" fillId="22" borderId="0" xfId="0" applyNumberFormat="1" applyFont="1" applyFill="1" applyAlignment="1">
      <alignment horizontal="center"/>
    </xf>
    <xf numFmtId="0" fontId="204" fillId="22" borderId="0" xfId="0" applyNumberFormat="1" applyFont="1" applyFill="1" applyBorder="1" applyAlignment="1"/>
    <xf numFmtId="165" fontId="204" fillId="22" borderId="0" xfId="29" applyNumberFormat="1" applyFont="1" applyFill="1" applyAlignment="1"/>
    <xf numFmtId="0" fontId="201" fillId="22" borderId="0" xfId="0" applyNumberFormat="1" applyFont="1" applyFill="1" applyAlignment="1"/>
    <xf numFmtId="0" fontId="204" fillId="22" borderId="0" xfId="0" applyNumberFormat="1" applyFont="1" applyFill="1" applyAlignment="1"/>
    <xf numFmtId="0" fontId="202" fillId="22" borderId="0" xfId="0" applyNumberFormat="1" applyFont="1" applyFill="1" applyBorder="1" applyAlignment="1">
      <alignment horizontal="left" indent="2"/>
    </xf>
    <xf numFmtId="0" fontId="202" fillId="22" borderId="0" xfId="0" applyNumberFormat="1" applyFont="1" applyFill="1" applyBorder="1" applyAlignment="1">
      <alignment horizontal="left" indent="3"/>
    </xf>
    <xf numFmtId="0" fontId="202" fillId="22" borderId="0" xfId="0" applyNumberFormat="1" applyFont="1" applyFill="1" applyBorder="1" applyAlignment="1">
      <alignment horizontal="left" indent="1"/>
    </xf>
    <xf numFmtId="202" fontId="202" fillId="22" borderId="0" xfId="29" applyNumberFormat="1" applyFont="1" applyFill="1" applyBorder="1" applyAlignment="1"/>
    <xf numFmtId="0" fontId="207" fillId="22" borderId="0" xfId="0" applyNumberFormat="1" applyFont="1" applyFill="1" applyAlignment="1"/>
    <xf numFmtId="165" fontId="204" fillId="22" borderId="0" xfId="29" applyNumberFormat="1" applyFont="1" applyFill="1" applyBorder="1" applyAlignment="1"/>
    <xf numFmtId="0" fontId="204" fillId="22" borderId="0" xfId="0" applyNumberFormat="1" applyFont="1" applyFill="1" applyBorder="1" applyAlignment="1">
      <alignment horizontal="left" indent="1"/>
    </xf>
    <xf numFmtId="0" fontId="204" fillId="22" borderId="0" xfId="0" applyNumberFormat="1" applyFont="1" applyFill="1" applyBorder="1" applyAlignment="1">
      <alignment horizontal="left"/>
    </xf>
    <xf numFmtId="10" fontId="202" fillId="22" borderId="0" xfId="162" applyNumberFormat="1" applyFont="1" applyFill="1" applyBorder="1" applyAlignment="1"/>
    <xf numFmtId="165" fontId="206" fillId="22" borderId="0" xfId="29" applyNumberFormat="1" applyFont="1" applyFill="1" applyBorder="1" applyAlignment="1"/>
    <xf numFmtId="0" fontId="204" fillId="22" borderId="0" xfId="0" applyNumberFormat="1" applyFont="1" applyFill="1" applyBorder="1" applyAlignment="1">
      <alignment horizontal="left" indent="2"/>
    </xf>
    <xf numFmtId="0" fontId="185" fillId="22" borderId="0" xfId="0" applyFont="1" applyFill="1" applyAlignment="1">
      <alignment horizontal="left" indent="1"/>
    </xf>
    <xf numFmtId="0" fontId="202" fillId="22" borderId="0" xfId="0" applyNumberFormat="1" applyFont="1" applyFill="1" applyBorder="1" applyAlignment="1">
      <alignment horizontal="left"/>
    </xf>
    <xf numFmtId="0" fontId="202" fillId="22" borderId="0" xfId="0" applyNumberFormat="1" applyFont="1" applyFill="1" applyBorder="1" applyAlignment="1"/>
    <xf numFmtId="43" fontId="204" fillId="22" borderId="0" xfId="29" applyFont="1" applyFill="1" applyAlignment="1"/>
    <xf numFmtId="0" fontId="188" fillId="37" borderId="47" xfId="0" applyNumberFormat="1" applyFont="1" applyFill="1" applyBorder="1" applyAlignment="1"/>
    <xf numFmtId="0" fontId="142" fillId="0" borderId="0" xfId="0" applyFont="1" applyAlignment="1">
      <alignment vertical="center"/>
    </xf>
    <xf numFmtId="0" fontId="10" fillId="47" borderId="21" xfId="0" applyFont="1" applyFill="1" applyBorder="1" applyAlignment="1">
      <alignment horizontal="center" wrapText="1"/>
    </xf>
    <xf numFmtId="0" fontId="257" fillId="46" borderId="121" xfId="0" applyFont="1" applyFill="1" applyBorder="1" applyAlignment="1">
      <alignment horizontal="center" vertical="center" wrapText="1"/>
    </xf>
    <xf numFmtId="0" fontId="185" fillId="22" borderId="9" xfId="0" applyFont="1" applyFill="1" applyBorder="1" applyAlignment="1">
      <alignment horizontal="left" indent="1"/>
    </xf>
    <xf numFmtId="41" fontId="0" fillId="22" borderId="0" xfId="0" applyNumberFormat="1" applyFill="1"/>
    <xf numFmtId="0" fontId="187" fillId="22" borderId="9" xfId="0" applyFont="1" applyFill="1" applyBorder="1" applyAlignment="1">
      <alignment horizontal="left" indent="1"/>
    </xf>
    <xf numFmtId="165" fontId="10" fillId="22" borderId="22" xfId="29" applyNumberFormat="1" applyFont="1" applyFill="1" applyBorder="1"/>
    <xf numFmtId="0" fontId="10" fillId="22" borderId="9" xfId="0" applyFont="1" applyFill="1" applyBorder="1"/>
    <xf numFmtId="193" fontId="0" fillId="22" borderId="0" xfId="0" applyNumberFormat="1" applyFill="1"/>
    <xf numFmtId="0" fontId="0" fillId="22" borderId="9" xfId="0" applyFill="1" applyBorder="1"/>
    <xf numFmtId="165" fontId="175" fillId="22" borderId="0" xfId="29" applyNumberFormat="1" applyFont="1" applyFill="1"/>
    <xf numFmtId="0" fontId="209" fillId="37" borderId="0" xfId="0" applyFont="1" applyFill="1" applyAlignment="1">
      <alignment horizontal="left"/>
    </xf>
    <xf numFmtId="0" fontId="209" fillId="37" borderId="76" xfId="0" applyFont="1" applyFill="1" applyBorder="1" applyAlignment="1">
      <alignment horizontal="center"/>
    </xf>
    <xf numFmtId="0" fontId="209" fillId="37" borderId="52" xfId="0" applyFont="1" applyFill="1" applyBorder="1" applyAlignment="1">
      <alignment horizontal="center"/>
    </xf>
    <xf numFmtId="0" fontId="209" fillId="37" borderId="122" xfId="0" applyFont="1" applyFill="1" applyBorder="1" applyAlignment="1">
      <alignment horizontal="center"/>
    </xf>
    <xf numFmtId="0" fontId="209" fillId="37" borderId="54" xfId="0" applyFont="1" applyFill="1" applyBorder="1" applyAlignment="1">
      <alignment horizontal="center"/>
    </xf>
    <xf numFmtId="0" fontId="210" fillId="37" borderId="0" xfId="0" applyFont="1" applyFill="1"/>
    <xf numFmtId="0" fontId="210" fillId="37" borderId="40" xfId="0" applyFont="1" applyFill="1" applyBorder="1" applyAlignment="1">
      <alignment horizontal="center"/>
    </xf>
    <xf numFmtId="0" fontId="210" fillId="37" borderId="43" xfId="0" applyFont="1" applyFill="1" applyBorder="1" applyAlignment="1">
      <alignment horizontal="center"/>
    </xf>
    <xf numFmtId="0" fontId="210" fillId="37" borderId="45" xfId="0" applyFont="1" applyFill="1" applyBorder="1" applyAlignment="1">
      <alignment horizontal="center"/>
    </xf>
    <xf numFmtId="0" fontId="210" fillId="37" borderId="0" xfId="0" applyFont="1" applyFill="1" applyBorder="1" applyAlignment="1">
      <alignment horizontal="center"/>
    </xf>
    <xf numFmtId="0" fontId="209" fillId="37" borderId="0" xfId="0" applyFont="1" applyFill="1" applyAlignment="1">
      <alignment horizontal="center"/>
    </xf>
    <xf numFmtId="0" fontId="209" fillId="37" borderId="45" xfId="0" applyFont="1" applyFill="1" applyBorder="1" applyAlignment="1">
      <alignment horizontal="center"/>
    </xf>
    <xf numFmtId="0" fontId="9" fillId="22" borderId="0" xfId="0" applyFont="1" applyFill="1" applyAlignment="1">
      <alignment horizontal="center"/>
    </xf>
    <xf numFmtId="165" fontId="9" fillId="22" borderId="0" xfId="29" applyNumberFormat="1" applyFont="1" applyFill="1" applyBorder="1"/>
    <xf numFmtId="166" fontId="9" fillId="22" borderId="0" xfId="44" applyNumberFormat="1" applyFont="1" applyFill="1" applyBorder="1"/>
    <xf numFmtId="0" fontId="10" fillId="22" borderId="0" xfId="0" applyFont="1" applyFill="1" applyAlignment="1">
      <alignment horizontal="left" indent="2"/>
    </xf>
    <xf numFmtId="0" fontId="210" fillId="37" borderId="38" xfId="0" applyFont="1" applyFill="1" applyBorder="1" applyAlignment="1">
      <alignment horizontal="center"/>
    </xf>
    <xf numFmtId="0" fontId="9" fillId="22" borderId="0" xfId="0" applyFont="1" applyFill="1" applyBorder="1" applyAlignment="1">
      <alignment horizontal="left"/>
    </xf>
    <xf numFmtId="10" fontId="9" fillId="22" borderId="0" xfId="162" applyNumberFormat="1" applyFont="1" applyFill="1" applyAlignment="1">
      <alignment horizontal="center"/>
    </xf>
    <xf numFmtId="10" fontId="9" fillId="22" borderId="0" xfId="162" applyNumberFormat="1" applyFont="1" applyFill="1" applyBorder="1" applyAlignment="1">
      <alignment horizontal="center"/>
    </xf>
    <xf numFmtId="165" fontId="9" fillId="22" borderId="0" xfId="29" applyNumberFormat="1" applyFont="1" applyFill="1" applyBorder="1" applyAlignment="1">
      <alignment horizontal="center"/>
    </xf>
    <xf numFmtId="165" fontId="9" fillId="22" borderId="78" xfId="29" applyNumberFormat="1" applyFont="1" applyFill="1" applyBorder="1"/>
    <xf numFmtId="0" fontId="10" fillId="37" borderId="71" xfId="0" applyFont="1" applyFill="1" applyBorder="1"/>
    <xf numFmtId="0" fontId="10" fillId="22" borderId="0" xfId="0" applyFont="1" applyFill="1" applyBorder="1" applyAlignment="1">
      <alignment horizontal="left"/>
    </xf>
    <xf numFmtId="165" fontId="10" fillId="22" borderId="78" xfId="29" applyNumberFormat="1" applyFont="1" applyFill="1" applyBorder="1"/>
    <xf numFmtId="10" fontId="10" fillId="22" borderId="0" xfId="162" applyNumberFormat="1" applyFont="1" applyFill="1" applyAlignment="1">
      <alignment horizontal="center"/>
    </xf>
    <xf numFmtId="10" fontId="10" fillId="22" borderId="0" xfId="162" applyNumberFormat="1" applyFont="1" applyFill="1" applyBorder="1" applyAlignment="1">
      <alignment horizontal="center"/>
    </xf>
    <xf numFmtId="10" fontId="28" fillId="22" borderId="0" xfId="162" applyNumberFormat="1" applyFont="1" applyFill="1" applyBorder="1" applyAlignment="1">
      <alignment horizontal="center"/>
    </xf>
    <xf numFmtId="0" fontId="7" fillId="22" borderId="0" xfId="0" applyFont="1" applyFill="1" applyAlignment="1">
      <alignment horizontal="center"/>
    </xf>
    <xf numFmtId="0" fontId="9" fillId="22" borderId="0" xfId="0" applyFont="1" applyFill="1" applyAlignment="1">
      <alignment horizontal="left"/>
    </xf>
    <xf numFmtId="2" fontId="7" fillId="22" borderId="0" xfId="29" applyNumberFormat="1" applyFont="1" applyFill="1" applyBorder="1" applyAlignment="1">
      <alignment horizontal="right"/>
    </xf>
    <xf numFmtId="10" fontId="7" fillId="22" borderId="0" xfId="162" applyNumberFormat="1" applyFont="1" applyFill="1" applyAlignment="1">
      <alignment horizontal="center"/>
    </xf>
    <xf numFmtId="10" fontId="7" fillId="22" borderId="0" xfId="162" applyNumberFormat="1" applyFont="1" applyFill="1" applyBorder="1" applyAlignment="1">
      <alignment horizontal="center"/>
    </xf>
    <xf numFmtId="0" fontId="9" fillId="22" borderId="0" xfId="0" applyFont="1" applyFill="1"/>
    <xf numFmtId="10" fontId="9" fillId="22" borderId="0" xfId="162" applyNumberFormat="1" applyFont="1" applyFill="1" applyBorder="1"/>
    <xf numFmtId="0" fontId="0" fillId="22" borderId="55" xfId="0" applyFill="1" applyBorder="1"/>
    <xf numFmtId="0" fontId="0" fillId="22" borderId="0" xfId="0" applyFill="1" applyBorder="1"/>
    <xf numFmtId="43" fontId="0" fillId="22" borderId="0" xfId="0" applyNumberFormat="1" applyFill="1" applyBorder="1"/>
    <xf numFmtId="0" fontId="0" fillId="22" borderId="55" xfId="0" applyFill="1" applyBorder="1" applyAlignment="1">
      <alignment horizontal="center"/>
    </xf>
    <xf numFmtId="0" fontId="0" fillId="22" borderId="0" xfId="0" applyFill="1" applyBorder="1" applyAlignment="1">
      <alignment horizontal="center"/>
    </xf>
    <xf numFmtId="0" fontId="9" fillId="22" borderId="0" xfId="0" applyFont="1" applyFill="1" applyBorder="1" applyAlignment="1">
      <alignment horizontal="left" indent="1"/>
    </xf>
    <xf numFmtId="190" fontId="7" fillId="22" borderId="0" xfId="29" applyNumberFormat="1" applyFill="1" applyBorder="1"/>
    <xf numFmtId="166" fontId="7" fillId="22" borderId="0" xfId="44" applyNumberFormat="1" applyFill="1" applyBorder="1"/>
    <xf numFmtId="190" fontId="7" fillId="22" borderId="98" xfId="29" applyNumberFormat="1" applyFill="1" applyBorder="1"/>
    <xf numFmtId="190" fontId="7" fillId="22" borderId="99" xfId="29" applyNumberFormat="1" applyFill="1" applyBorder="1"/>
    <xf numFmtId="190" fontId="9" fillId="22" borderId="0" xfId="0" applyNumberFormat="1" applyFont="1" applyFill="1" applyBorder="1"/>
    <xf numFmtId="173" fontId="9" fillId="22" borderId="0" xfId="0" applyNumberFormat="1" applyFont="1" applyFill="1" applyBorder="1"/>
    <xf numFmtId="190" fontId="7" fillId="22" borderId="0" xfId="44" applyNumberFormat="1" applyFill="1" applyBorder="1"/>
    <xf numFmtId="0" fontId="10" fillId="22" borderId="0" xfId="0" applyFont="1" applyFill="1" applyBorder="1" applyAlignment="1">
      <alignment horizontal="left" indent="2"/>
    </xf>
    <xf numFmtId="190" fontId="10" fillId="22" borderId="0" xfId="44" applyNumberFormat="1" applyFont="1" applyFill="1" applyBorder="1"/>
    <xf numFmtId="166" fontId="10" fillId="22" borderId="0" xfId="44" applyNumberFormat="1" applyFont="1" applyFill="1" applyBorder="1"/>
    <xf numFmtId="166" fontId="7" fillId="22" borderId="0" xfId="44" applyNumberFormat="1" applyFont="1" applyFill="1" applyBorder="1"/>
    <xf numFmtId="190" fontId="10" fillId="22" borderId="78" xfId="44" applyNumberFormat="1" applyFont="1" applyFill="1" applyBorder="1"/>
    <xf numFmtId="190" fontId="9" fillId="22" borderId="0" xfId="44" applyNumberFormat="1" applyFont="1" applyFill="1" applyBorder="1" applyAlignment="1"/>
    <xf numFmtId="190" fontId="7" fillId="22" borderId="99" xfId="44" applyNumberFormat="1" applyFill="1" applyBorder="1" applyAlignment="1"/>
    <xf numFmtId="170" fontId="10" fillId="22" borderId="0" xfId="0" applyNumberFormat="1" applyFont="1" applyFill="1" applyBorder="1"/>
    <xf numFmtId="0" fontId="209" fillId="23" borderId="0" xfId="0" applyFont="1" applyFill="1" applyAlignment="1">
      <alignment horizontal="left"/>
    </xf>
    <xf numFmtId="0" fontId="210" fillId="23" borderId="0" xfId="0" applyFont="1" applyFill="1"/>
    <xf numFmtId="0" fontId="7" fillId="22" borderId="55" xfId="0" applyFont="1" applyFill="1" applyBorder="1" applyAlignment="1">
      <alignment horizontal="center"/>
    </xf>
    <xf numFmtId="0" fontId="7" fillId="22" borderId="0" xfId="0" applyFont="1" applyFill="1" applyBorder="1" applyAlignment="1">
      <alignment horizontal="left" indent="1"/>
    </xf>
    <xf numFmtId="190" fontId="7" fillId="22" borderId="0" xfId="44" applyNumberFormat="1" applyFont="1" applyFill="1" applyBorder="1"/>
    <xf numFmtId="193" fontId="7" fillId="22" borderId="0" xfId="29" applyNumberFormat="1" applyFont="1" applyFill="1" applyBorder="1"/>
    <xf numFmtId="0" fontId="21" fillId="22" borderId="0" xfId="0" applyFont="1" applyFill="1" applyBorder="1"/>
    <xf numFmtId="190" fontId="10" fillId="0" borderId="104" xfId="44" applyNumberFormat="1" applyFont="1" applyFill="1" applyBorder="1"/>
    <xf numFmtId="0" fontId="7" fillId="22" borderId="0" xfId="0" applyFont="1" applyFill="1" applyBorder="1" applyAlignment="1">
      <alignment horizontal="center"/>
    </xf>
    <xf numFmtId="170" fontId="7" fillId="22" borderId="0" xfId="0" applyNumberFormat="1" applyFont="1" applyFill="1" applyBorder="1"/>
    <xf numFmtId="0" fontId="7" fillId="22" borderId="0" xfId="0" applyFont="1" applyFill="1" applyBorder="1"/>
    <xf numFmtId="173" fontId="7" fillId="22" borderId="0" xfId="0" applyNumberFormat="1" applyFont="1" applyFill="1" applyBorder="1"/>
    <xf numFmtId="190" fontId="7" fillId="22" borderId="0" xfId="0" applyNumberFormat="1" applyFont="1" applyFill="1" applyBorder="1"/>
    <xf numFmtId="190" fontId="7" fillId="22" borderId="0" xfId="29" applyNumberFormat="1" applyFont="1" applyFill="1" applyBorder="1"/>
    <xf numFmtId="170" fontId="7" fillId="22" borderId="21" xfId="0" applyNumberFormat="1" applyFont="1" applyFill="1" applyBorder="1"/>
    <xf numFmtId="0" fontId="7" fillId="22" borderId="21" xfId="0" applyFont="1" applyFill="1" applyBorder="1"/>
    <xf numFmtId="0" fontId="21" fillId="22" borderId="0" xfId="0" applyFont="1" applyFill="1" applyAlignment="1">
      <alignment horizontal="left"/>
    </xf>
    <xf numFmtId="0" fontId="46" fillId="22" borderId="0" xfId="0" applyFont="1" applyFill="1" applyAlignment="1">
      <alignment horizontal="center"/>
    </xf>
    <xf numFmtId="10" fontId="7" fillId="22" borderId="0" xfId="0" applyNumberFormat="1" applyFont="1" applyFill="1" applyBorder="1" applyAlignment="1">
      <alignment horizontal="center"/>
    </xf>
    <xf numFmtId="167" fontId="10" fillId="22" borderId="0" xfId="0" applyNumberFormat="1" applyFont="1" applyFill="1" applyBorder="1" applyAlignment="1">
      <alignment horizontal="center"/>
    </xf>
    <xf numFmtId="0" fontId="0" fillId="0" borderId="0" xfId="0" applyBorder="1" applyAlignment="1">
      <alignment horizontal="center"/>
    </xf>
    <xf numFmtId="0" fontId="7" fillId="22" borderId="0" xfId="0" applyFont="1" applyFill="1"/>
    <xf numFmtId="41" fontId="9" fillId="22" borderId="0" xfId="0" applyNumberFormat="1" applyFont="1" applyFill="1" applyBorder="1"/>
    <xf numFmtId="41" fontId="7" fillId="22" borderId="0" xfId="0" applyNumberFormat="1" applyFont="1" applyFill="1" applyBorder="1"/>
    <xf numFmtId="0" fontId="21" fillId="22" borderId="0" xfId="0" applyFont="1" applyFill="1" applyBorder="1" applyAlignment="1">
      <alignment horizontal="left"/>
    </xf>
    <xf numFmtId="166" fontId="21" fillId="22" borderId="78" xfId="44" applyNumberFormat="1" applyFont="1" applyFill="1" applyBorder="1"/>
    <xf numFmtId="165" fontId="7" fillId="22" borderId="0" xfId="29" applyNumberFormat="1" applyFill="1"/>
    <xf numFmtId="180" fontId="7" fillId="22" borderId="0" xfId="44" applyNumberFormat="1" applyFill="1" applyAlignment="1"/>
    <xf numFmtId="181" fontId="7" fillId="22" borderId="0" xfId="29" applyNumberFormat="1" applyFill="1" applyAlignment="1">
      <alignment horizontal="right"/>
    </xf>
    <xf numFmtId="0" fontId="0" fillId="22" borderId="0" xfId="0" applyFill="1" applyAlignment="1">
      <alignment horizontal="left" indent="1"/>
    </xf>
    <xf numFmtId="165" fontId="7" fillId="22" borderId="0" xfId="29" applyNumberFormat="1" applyFill="1" applyBorder="1"/>
    <xf numFmtId="178" fontId="0" fillId="22" borderId="0" xfId="0" applyNumberFormat="1" applyFill="1" applyAlignment="1">
      <alignment horizontal="center"/>
    </xf>
    <xf numFmtId="0" fontId="9" fillId="22" borderId="0" xfId="0" applyFont="1" applyFill="1" applyAlignment="1">
      <alignment horizontal="left" indent="2"/>
    </xf>
    <xf numFmtId="177" fontId="9" fillId="22" borderId="0" xfId="0" applyNumberFormat="1" applyFont="1" applyFill="1" applyBorder="1"/>
    <xf numFmtId="44" fontId="7" fillId="22" borderId="0" xfId="44" applyNumberFormat="1" applyFill="1" applyAlignment="1"/>
    <xf numFmtId="44" fontId="7" fillId="22" borderId="0" xfId="44" applyNumberFormat="1" applyFill="1"/>
    <xf numFmtId="176" fontId="9" fillId="22" borderId="0" xfId="0" applyNumberFormat="1" applyFont="1" applyFill="1" applyBorder="1"/>
    <xf numFmtId="43" fontId="7" fillId="22" borderId="0" xfId="29" applyNumberFormat="1" applyFill="1" applyAlignment="1">
      <alignment horizontal="right"/>
    </xf>
    <xf numFmtId="176" fontId="0" fillId="22" borderId="0" xfId="0" applyNumberFormat="1" applyFill="1"/>
    <xf numFmtId="176" fontId="0" fillId="22" borderId="0" xfId="0" applyNumberFormat="1" applyFill="1" applyBorder="1"/>
    <xf numFmtId="43" fontId="9" fillId="22" borderId="0" xfId="29" applyFont="1" applyFill="1" applyBorder="1"/>
    <xf numFmtId="44" fontId="9" fillId="22" borderId="0" xfId="44" applyFont="1" applyFill="1" applyBorder="1"/>
    <xf numFmtId="44" fontId="7" fillId="22" borderId="0" xfId="44" applyFill="1"/>
    <xf numFmtId="174" fontId="0" fillId="22" borderId="0" xfId="0" applyNumberFormat="1" applyFill="1" applyBorder="1"/>
    <xf numFmtId="0" fontId="210" fillId="37" borderId="0" xfId="0" applyFont="1" applyFill="1" applyBorder="1"/>
    <xf numFmtId="0" fontId="210" fillId="37" borderId="39" xfId="0" applyFont="1" applyFill="1" applyBorder="1" applyAlignment="1">
      <alignment horizontal="center"/>
    </xf>
    <xf numFmtId="175" fontId="0" fillId="22" borderId="0" xfId="0" applyNumberFormat="1" applyFill="1"/>
    <xf numFmtId="172" fontId="0" fillId="22" borderId="0" xfId="0" applyNumberFormat="1" applyFill="1"/>
    <xf numFmtId="0" fontId="9" fillId="22" borderId="0" xfId="0" applyFont="1" applyFill="1" applyAlignment="1">
      <alignment horizontal="left" indent="1"/>
    </xf>
    <xf numFmtId="41" fontId="9" fillId="22" borderId="0" xfId="0" applyNumberFormat="1" applyFont="1" applyFill="1"/>
    <xf numFmtId="167" fontId="9" fillId="22" borderId="0" xfId="162" applyNumberFormat="1" applyFont="1" applyFill="1" applyBorder="1" applyAlignment="1">
      <alignment horizontal="center"/>
    </xf>
    <xf numFmtId="41" fontId="7" fillId="22" borderId="0" xfId="0" applyNumberFormat="1" applyFont="1" applyFill="1"/>
    <xf numFmtId="167" fontId="7" fillId="22" borderId="0" xfId="162" applyNumberFormat="1" applyFont="1" applyFill="1" applyBorder="1" applyAlignment="1">
      <alignment horizontal="center"/>
    </xf>
    <xf numFmtId="165" fontId="102" fillId="22" borderId="0" xfId="29" applyNumberFormat="1" applyFont="1" applyFill="1" applyBorder="1"/>
    <xf numFmtId="165" fontId="10" fillId="22" borderId="0" xfId="29" applyNumberFormat="1" applyFont="1" applyFill="1"/>
    <xf numFmtId="167" fontId="10" fillId="22" borderId="0" xfId="162" applyNumberFormat="1" applyFont="1" applyFill="1" applyAlignment="1">
      <alignment horizontal="center"/>
    </xf>
    <xf numFmtId="0" fontId="9" fillId="23" borderId="0" xfId="0" applyFont="1" applyFill="1" applyBorder="1"/>
    <xf numFmtId="167" fontId="0" fillId="23" borderId="0" xfId="0" applyNumberFormat="1" applyFill="1" applyBorder="1" applyAlignment="1">
      <alignment horizontal="center"/>
    </xf>
    <xf numFmtId="167" fontId="176" fillId="23" borderId="0" xfId="162" applyNumberFormat="1" applyFont="1" applyFill="1" applyBorder="1" applyAlignment="1">
      <alignment horizontal="center"/>
    </xf>
    <xf numFmtId="0" fontId="9" fillId="22" borderId="0" xfId="0" applyFont="1" applyFill="1" applyBorder="1"/>
    <xf numFmtId="167" fontId="0" fillId="22" borderId="0" xfId="0" applyNumberFormat="1" applyFill="1" applyBorder="1" applyAlignment="1">
      <alignment horizontal="center"/>
    </xf>
    <xf numFmtId="167" fontId="176" fillId="22" borderId="0" xfId="162" applyNumberFormat="1" applyFont="1" applyFill="1" applyBorder="1" applyAlignment="1">
      <alignment horizontal="center"/>
    </xf>
    <xf numFmtId="4" fontId="9" fillId="22" borderId="0" xfId="0" applyNumberFormat="1" applyFont="1" applyFill="1"/>
    <xf numFmtId="3" fontId="9" fillId="22" borderId="0" xfId="0" applyNumberFormat="1" applyFont="1" applyFill="1"/>
    <xf numFmtId="9" fontId="10" fillId="23" borderId="0" xfId="0" applyNumberFormat="1" applyFont="1" applyFill="1" applyAlignment="1">
      <alignment horizontal="center"/>
    </xf>
    <xf numFmtId="0" fontId="9" fillId="23" borderId="9" xfId="0" applyFont="1" applyFill="1" applyBorder="1"/>
    <xf numFmtId="0" fontId="9" fillId="23" borderId="0" xfId="0" applyFont="1" applyFill="1" applyAlignment="1"/>
    <xf numFmtId="0" fontId="261" fillId="37" borderId="75" xfId="90" applyFont="1" applyFill="1" applyBorder="1"/>
    <xf numFmtId="0" fontId="261" fillId="37" borderId="20" xfId="90" applyFont="1" applyFill="1" applyBorder="1"/>
    <xf numFmtId="0" fontId="261" fillId="37" borderId="101" xfId="90" applyFont="1" applyFill="1" applyBorder="1" applyAlignment="1">
      <alignment horizontal="center" wrapText="1"/>
    </xf>
    <xf numFmtId="0" fontId="261" fillId="37" borderId="21" xfId="90" applyFont="1" applyFill="1" applyBorder="1" applyAlignment="1">
      <alignment horizontal="center" wrapText="1"/>
    </xf>
    <xf numFmtId="0" fontId="261" fillId="37" borderId="102" xfId="90" applyFont="1" applyFill="1" applyBorder="1" applyAlignment="1">
      <alignment horizontal="center" wrapText="1"/>
    </xf>
    <xf numFmtId="0" fontId="53" fillId="0" borderId="0" xfId="90" applyFont="1" applyFill="1"/>
    <xf numFmtId="0" fontId="53" fillId="0" borderId="0" xfId="90" applyFont="1" applyFill="1" applyAlignment="1">
      <alignment horizontal="right"/>
    </xf>
    <xf numFmtId="0" fontId="53" fillId="0" borderId="0" xfId="90" quotePrefix="1" applyFont="1" applyFill="1" applyBorder="1" applyAlignment="1">
      <alignment horizontal="center"/>
    </xf>
    <xf numFmtId="167" fontId="53" fillId="0" borderId="101" xfId="90" applyNumberFormat="1" applyFont="1" applyBorder="1"/>
    <xf numFmtId="167" fontId="53" fillId="22" borderId="21" xfId="90" applyNumberFormat="1" applyFont="1" applyFill="1" applyBorder="1"/>
    <xf numFmtId="167" fontId="53" fillId="0" borderId="21" xfId="90" applyNumberFormat="1" applyFont="1" applyBorder="1"/>
    <xf numFmtId="167" fontId="53" fillId="0" borderId="21" xfId="90" applyNumberFormat="1" applyFont="1" applyFill="1" applyBorder="1"/>
    <xf numFmtId="167" fontId="53" fillId="0" borderId="102" xfId="90" applyNumberFormat="1" applyFont="1" applyFill="1" applyBorder="1"/>
    <xf numFmtId="0" fontId="261" fillId="37" borderId="124" xfId="90" applyFont="1" applyFill="1" applyBorder="1"/>
    <xf numFmtId="0" fontId="261" fillId="37" borderId="125" xfId="90" applyFont="1" applyFill="1" applyBorder="1"/>
    <xf numFmtId="0" fontId="261" fillId="37" borderId="124" xfId="90" quotePrefix="1" applyFont="1" applyFill="1" applyBorder="1" applyAlignment="1">
      <alignment horizontal="center" wrapText="1"/>
    </xf>
    <xf numFmtId="0" fontId="261" fillId="37" borderId="125" xfId="90" applyFont="1" applyFill="1" applyBorder="1" applyAlignment="1">
      <alignment horizontal="center" wrapText="1"/>
    </xf>
    <xf numFmtId="0" fontId="261" fillId="37" borderId="126" xfId="90" applyFont="1" applyFill="1" applyBorder="1" applyAlignment="1">
      <alignment horizontal="center" wrapText="1"/>
    </xf>
    <xf numFmtId="0" fontId="0" fillId="0" borderId="6" xfId="0" applyBorder="1" applyAlignment="1">
      <alignment horizontal="center" vertical="top"/>
    </xf>
    <xf numFmtId="0" fontId="178" fillId="0" borderId="6" xfId="0" applyFont="1" applyBorder="1" applyAlignment="1">
      <alignment vertical="top"/>
    </xf>
    <xf numFmtId="0" fontId="0" fillId="0" borderId="6" xfId="0" applyBorder="1" applyAlignment="1">
      <alignment vertical="top" wrapText="1"/>
    </xf>
    <xf numFmtId="0" fontId="177" fillId="0" borderId="6" xfId="0" applyFont="1" applyBorder="1" applyAlignment="1">
      <alignment vertical="top" wrapText="1"/>
    </xf>
    <xf numFmtId="0" fontId="262" fillId="46" borderId="88" xfId="0" applyFont="1" applyFill="1" applyBorder="1" applyAlignment="1">
      <alignment horizontal="center" vertical="center" wrapText="1"/>
    </xf>
    <xf numFmtId="0" fontId="262" fillId="46" borderId="127" xfId="0" applyFont="1" applyFill="1" applyBorder="1" applyAlignment="1">
      <alignment horizontal="left" vertical="center" wrapText="1"/>
    </xf>
    <xf numFmtId="0" fontId="180" fillId="37" borderId="71" xfId="0" applyFont="1" applyFill="1" applyBorder="1"/>
    <xf numFmtId="0" fontId="180" fillId="0" borderId="0" xfId="0" applyFont="1" applyBorder="1"/>
    <xf numFmtId="0" fontId="180" fillId="0" borderId="0" xfId="0" applyFont="1" applyAlignment="1">
      <alignment horizontal="center"/>
    </xf>
    <xf numFmtId="0" fontId="180" fillId="0" borderId="0" xfId="0" applyFont="1"/>
    <xf numFmtId="0" fontId="211" fillId="0" borderId="0" xfId="0" applyFont="1" applyAlignment="1">
      <alignment horizontal="left"/>
    </xf>
    <xf numFmtId="0" fontId="142" fillId="23" borderId="128" xfId="0" applyFont="1" applyFill="1" applyBorder="1" applyAlignment="1">
      <alignment horizontal="center" vertical="center" wrapText="1"/>
    </xf>
    <xf numFmtId="0" fontId="142" fillId="23" borderId="128" xfId="0" applyFont="1" applyFill="1" applyBorder="1" applyAlignment="1">
      <alignment vertical="center" wrapText="1"/>
    </xf>
    <xf numFmtId="0" fontId="142" fillId="22" borderId="129" xfId="0" applyFont="1" applyFill="1" applyBorder="1" applyAlignment="1">
      <alignment horizontal="center" vertical="center" wrapText="1"/>
    </xf>
    <xf numFmtId="0" fontId="142" fillId="22" borderId="129" xfId="0" applyFont="1" applyFill="1" applyBorder="1" applyAlignment="1">
      <alignment vertical="center" wrapText="1"/>
    </xf>
    <xf numFmtId="0" fontId="142" fillId="23" borderId="129" xfId="0" applyFont="1" applyFill="1" applyBorder="1" applyAlignment="1">
      <alignment horizontal="center" vertical="center" wrapText="1"/>
    </xf>
    <xf numFmtId="0" fontId="142" fillId="23" borderId="129" xfId="0" applyFont="1" applyFill="1" applyBorder="1" applyAlignment="1">
      <alignment vertical="center" wrapText="1"/>
    </xf>
    <xf numFmtId="0" fontId="142" fillId="22" borderId="130" xfId="0" applyFont="1" applyFill="1" applyBorder="1" applyAlignment="1">
      <alignment horizontal="center" vertical="center" wrapText="1"/>
    </xf>
    <xf numFmtId="0" fontId="142" fillId="22" borderId="130" xfId="0" applyFont="1" applyFill="1" applyBorder="1" applyAlignment="1">
      <alignment vertical="center" wrapText="1"/>
    </xf>
    <xf numFmtId="0" fontId="142" fillId="23" borderId="130" xfId="0" applyFont="1" applyFill="1" applyBorder="1" applyAlignment="1">
      <alignment horizontal="center" vertical="center" wrapText="1"/>
    </xf>
    <xf numFmtId="0" fontId="142" fillId="23" borderId="130" xfId="0" applyFont="1" applyFill="1" applyBorder="1" applyAlignment="1">
      <alignment vertical="center" wrapText="1"/>
    </xf>
    <xf numFmtId="0" fontId="142" fillId="22" borderId="121" xfId="0" applyFont="1" applyFill="1" applyBorder="1" applyAlignment="1">
      <alignment horizontal="center" vertical="center" wrapText="1"/>
    </xf>
    <xf numFmtId="0" fontId="142" fillId="22" borderId="131" xfId="0" applyFont="1" applyFill="1" applyBorder="1" applyAlignment="1">
      <alignment vertical="center" wrapText="1"/>
    </xf>
    <xf numFmtId="0" fontId="142" fillId="23" borderId="121" xfId="0" applyFont="1" applyFill="1" applyBorder="1" applyAlignment="1">
      <alignment horizontal="center" vertical="center" wrapText="1"/>
    </xf>
    <xf numFmtId="0" fontId="142" fillId="23" borderId="131" xfId="0" applyFont="1" applyFill="1" applyBorder="1" applyAlignment="1">
      <alignment vertical="center" wrapText="1"/>
    </xf>
    <xf numFmtId="0" fontId="179" fillId="22" borderId="129" xfId="0" applyFont="1" applyFill="1" applyBorder="1" applyAlignment="1">
      <alignment vertical="center" wrapText="1"/>
    </xf>
    <xf numFmtId="0" fontId="263" fillId="46" borderId="88" xfId="0" applyFont="1" applyFill="1" applyBorder="1" applyAlignment="1">
      <alignment horizontal="center" vertical="center" wrapText="1"/>
    </xf>
    <xf numFmtId="0" fontId="263" fillId="46" borderId="121" xfId="0" applyFont="1" applyFill="1" applyBorder="1" applyAlignment="1">
      <alignment horizontal="center" vertical="center" wrapText="1"/>
    </xf>
    <xf numFmtId="0" fontId="179" fillId="23" borderId="128" xfId="0" applyFont="1" applyFill="1" applyBorder="1" applyAlignment="1">
      <alignment vertical="center" wrapText="1"/>
    </xf>
    <xf numFmtId="0" fontId="179" fillId="23" borderId="128" xfId="0" applyFont="1" applyFill="1" applyBorder="1" applyAlignment="1">
      <alignment horizontal="center" vertical="center" wrapText="1"/>
    </xf>
    <xf numFmtId="0" fontId="179" fillId="23" borderId="132" xfId="0" applyFont="1" applyFill="1" applyBorder="1" applyAlignment="1">
      <alignment horizontal="center" vertical="center" wrapText="1"/>
    </xf>
    <xf numFmtId="0" fontId="179" fillId="22" borderId="129" xfId="0" applyFont="1" applyFill="1" applyBorder="1" applyAlignment="1">
      <alignment horizontal="right" vertical="center" wrapText="1"/>
    </xf>
    <xf numFmtId="10" fontId="179" fillId="36" borderId="129" xfId="0" applyNumberFormat="1" applyFont="1" applyFill="1" applyBorder="1" applyAlignment="1">
      <alignment horizontal="right" vertical="center" wrapText="1"/>
    </xf>
    <xf numFmtId="10" fontId="179" fillId="22" borderId="129" xfId="0" applyNumberFormat="1" applyFont="1" applyFill="1" applyBorder="1" applyAlignment="1">
      <alignment horizontal="right" vertical="center" wrapText="1"/>
    </xf>
    <xf numFmtId="10" fontId="179" fillId="39" borderId="129" xfId="0" applyNumberFormat="1" applyFont="1" applyFill="1" applyBorder="1" applyAlignment="1">
      <alignment horizontal="right" vertical="center" wrapText="1"/>
    </xf>
    <xf numFmtId="10" fontId="179" fillId="36" borderId="133" xfId="0" applyNumberFormat="1" applyFont="1" applyFill="1" applyBorder="1" applyAlignment="1">
      <alignment horizontal="right" vertical="center" wrapText="1"/>
    </xf>
    <xf numFmtId="0" fontId="179" fillId="23" borderId="129" xfId="0" applyFont="1" applyFill="1" applyBorder="1" applyAlignment="1">
      <alignment vertical="center" wrapText="1"/>
    </xf>
    <xf numFmtId="0" fontId="179" fillId="23" borderId="129" xfId="0" applyFont="1" applyFill="1" applyBorder="1" applyAlignment="1">
      <alignment horizontal="right" vertical="center" wrapText="1"/>
    </xf>
    <xf numFmtId="10" fontId="179" fillId="23" borderId="129" xfId="0" applyNumberFormat="1" applyFont="1" applyFill="1" applyBorder="1" applyAlignment="1">
      <alignment horizontal="right" vertical="center" wrapText="1"/>
    </xf>
    <xf numFmtId="10" fontId="179" fillId="23" borderId="133" xfId="0" applyNumberFormat="1" applyFont="1" applyFill="1" applyBorder="1" applyAlignment="1">
      <alignment horizontal="right" vertical="center" wrapText="1"/>
    </xf>
    <xf numFmtId="10" fontId="179" fillId="22" borderId="133" xfId="0" applyNumberFormat="1" applyFont="1" applyFill="1" applyBorder="1" applyAlignment="1">
      <alignment horizontal="right" vertical="center" wrapText="1"/>
    </xf>
    <xf numFmtId="10" fontId="263" fillId="50" borderId="130" xfId="0" applyNumberFormat="1" applyFont="1" applyFill="1" applyBorder="1" applyAlignment="1">
      <alignment horizontal="right" vertical="center" wrapText="1"/>
    </xf>
    <xf numFmtId="10" fontId="263" fillId="50" borderId="134" xfId="0" applyNumberFormat="1" applyFont="1" applyFill="1" applyBorder="1" applyAlignment="1">
      <alignment horizontal="right" vertical="center" wrapText="1"/>
    </xf>
    <xf numFmtId="0" fontId="9" fillId="0" borderId="6" xfId="0" applyFont="1" applyBorder="1" applyAlignment="1">
      <alignment vertical="top" wrapText="1"/>
    </xf>
    <xf numFmtId="0" fontId="211" fillId="0" borderId="0" xfId="0" applyFont="1" applyFill="1" applyAlignment="1">
      <alignment horizontal="left"/>
    </xf>
    <xf numFmtId="0" fontId="209" fillId="37" borderId="0" xfId="0" applyFont="1" applyFill="1" applyBorder="1" applyAlignment="1"/>
    <xf numFmtId="0" fontId="209" fillId="37" borderId="61" xfId="0" applyFont="1" applyFill="1" applyBorder="1" applyAlignment="1">
      <alignment horizontal="center" vertical="center"/>
    </xf>
    <xf numFmtId="0" fontId="209" fillId="37" borderId="61" xfId="0" applyFont="1" applyFill="1" applyBorder="1" applyAlignment="1">
      <alignment horizontal="center"/>
    </xf>
    <xf numFmtId="0" fontId="209" fillId="37" borderId="62" xfId="0" applyFont="1" applyFill="1" applyBorder="1" applyAlignment="1">
      <alignment horizontal="center"/>
    </xf>
    <xf numFmtId="0" fontId="209" fillId="37" borderId="58" xfId="0" applyFont="1" applyFill="1" applyBorder="1" applyAlignment="1">
      <alignment horizontal="center"/>
    </xf>
    <xf numFmtId="0" fontId="9" fillId="22" borderId="55" xfId="0" applyFont="1" applyFill="1" applyBorder="1" applyAlignment="1">
      <alignment horizontal="center"/>
    </xf>
    <xf numFmtId="0" fontId="0" fillId="22" borderId="0" xfId="0" applyFill="1" applyBorder="1" applyAlignment="1">
      <alignment horizontal="left"/>
    </xf>
    <xf numFmtId="10" fontId="183" fillId="22" borderId="0" xfId="162" applyNumberFormat="1" applyFont="1" applyFill="1" applyBorder="1" applyAlignment="1">
      <alignment horizontal="center"/>
    </xf>
    <xf numFmtId="10" fontId="0" fillId="22" borderId="0" xfId="0" applyNumberFormat="1" applyFill="1" applyBorder="1" applyAlignment="1">
      <alignment horizontal="center"/>
    </xf>
    <xf numFmtId="0" fontId="209" fillId="37" borderId="44" xfId="0" applyFont="1" applyFill="1" applyBorder="1" applyAlignment="1">
      <alignment horizontal="center" vertical="center" wrapText="1"/>
    </xf>
    <xf numFmtId="0" fontId="209" fillId="37" borderId="59" xfId="0" applyFont="1" applyFill="1" applyBorder="1" applyAlignment="1">
      <alignment horizontal="center" vertical="center" wrapText="1"/>
    </xf>
    <xf numFmtId="0" fontId="209" fillId="37" borderId="59" xfId="0" applyFont="1" applyFill="1" applyBorder="1" applyAlignment="1">
      <alignment horizontal="center"/>
    </xf>
    <xf numFmtId="0" fontId="9" fillId="23" borderId="55" xfId="0" applyFont="1" applyFill="1" applyBorder="1" applyAlignment="1">
      <alignment horizontal="center"/>
    </xf>
    <xf numFmtId="0" fontId="0" fillId="23" borderId="60" xfId="0" applyFill="1" applyBorder="1"/>
    <xf numFmtId="173" fontId="9" fillId="23" borderId="60" xfId="0" applyNumberFormat="1" applyFont="1" applyFill="1" applyBorder="1"/>
    <xf numFmtId="166" fontId="9" fillId="23" borderId="22" xfId="44" applyNumberFormat="1" applyFont="1" applyFill="1" applyBorder="1"/>
    <xf numFmtId="166" fontId="9" fillId="23" borderId="66" xfId="44" applyNumberFormat="1" applyFont="1" applyFill="1" applyBorder="1"/>
    <xf numFmtId="0" fontId="9" fillId="23" borderId="0" xfId="0" applyNumberFormat="1" applyFont="1" applyFill="1" applyAlignment="1">
      <alignment horizontal="center"/>
    </xf>
    <xf numFmtId="0" fontId="9" fillId="23" borderId="0" xfId="0" applyNumberFormat="1" applyFont="1" applyFill="1"/>
    <xf numFmtId="0" fontId="10" fillId="23" borderId="0" xfId="0" applyFont="1" applyFill="1" applyBorder="1" applyAlignment="1">
      <alignment horizontal="right"/>
    </xf>
    <xf numFmtId="0" fontId="9" fillId="23" borderId="0" xfId="0" applyFont="1" applyFill="1" applyBorder="1" applyAlignment="1">
      <alignment horizontal="left" indent="2"/>
    </xf>
    <xf numFmtId="41" fontId="10" fillId="23" borderId="0" xfId="0" applyNumberFormat="1" applyFont="1" applyFill="1" applyBorder="1" applyAlignment="1">
      <alignment horizontal="left"/>
    </xf>
    <xf numFmtId="0" fontId="9" fillId="23" borderId="60" xfId="0" applyFont="1" applyFill="1" applyBorder="1"/>
    <xf numFmtId="0" fontId="9" fillId="23" borderId="0" xfId="0" applyFont="1" applyFill="1" applyBorder="1" applyAlignment="1">
      <alignment horizontal="left" indent="1"/>
    </xf>
    <xf numFmtId="170" fontId="9" fillId="23" borderId="0" xfId="0" applyNumberFormat="1" applyFont="1" applyFill="1" applyBorder="1"/>
    <xf numFmtId="0" fontId="9" fillId="23" borderId="26" xfId="0" applyFont="1" applyFill="1" applyBorder="1" applyAlignment="1">
      <alignment horizontal="center"/>
    </xf>
    <xf numFmtId="0" fontId="9" fillId="23" borderId="36" xfId="0" applyFont="1" applyFill="1" applyBorder="1" applyAlignment="1">
      <alignment horizontal="center"/>
    </xf>
    <xf numFmtId="9" fontId="9" fillId="23" borderId="85" xfId="162" applyFont="1" applyFill="1" applyBorder="1" applyAlignment="1">
      <alignment horizontal="center"/>
    </xf>
    <xf numFmtId="0" fontId="9" fillId="23" borderId="27" xfId="0" applyFont="1" applyFill="1" applyBorder="1" applyAlignment="1">
      <alignment horizontal="center"/>
    </xf>
    <xf numFmtId="166" fontId="9" fillId="23" borderId="0" xfId="0" applyNumberFormat="1" applyFont="1" applyFill="1" applyBorder="1" applyAlignment="1">
      <alignment horizontal="center"/>
    </xf>
    <xf numFmtId="1" fontId="9" fillId="23" borderId="36" xfId="0" applyNumberFormat="1" applyFont="1" applyFill="1" applyBorder="1" applyAlignment="1">
      <alignment horizontal="center"/>
    </xf>
    <xf numFmtId="43" fontId="9" fillId="23" borderId="0" xfId="0" applyNumberFormat="1" applyFont="1" applyFill="1" applyBorder="1" applyAlignment="1">
      <alignment horizontal="left" indent="1"/>
    </xf>
    <xf numFmtId="170" fontId="9" fillId="23" borderId="60" xfId="0" applyNumberFormat="1" applyFont="1" applyFill="1" applyBorder="1"/>
    <xf numFmtId="9" fontId="9" fillId="23" borderId="8" xfId="162" applyFont="1" applyFill="1" applyBorder="1" applyAlignment="1">
      <alignment horizontal="center"/>
    </xf>
    <xf numFmtId="170" fontId="9" fillId="23" borderId="22" xfId="0" applyNumberFormat="1" applyFont="1" applyFill="1" applyBorder="1"/>
    <xf numFmtId="0" fontId="9" fillId="22" borderId="0" xfId="0" applyFont="1" applyFill="1" applyBorder="1" applyAlignment="1">
      <alignment horizontal="center"/>
    </xf>
    <xf numFmtId="0" fontId="9" fillId="22" borderId="60" xfId="0" applyFont="1" applyFill="1" applyBorder="1"/>
    <xf numFmtId="0" fontId="9" fillId="22" borderId="36" xfId="0" applyFont="1" applyFill="1" applyBorder="1" applyAlignment="1">
      <alignment horizontal="center"/>
    </xf>
    <xf numFmtId="173" fontId="9" fillId="22" borderId="60" xfId="0" applyNumberFormat="1" applyFont="1" applyFill="1" applyBorder="1"/>
    <xf numFmtId="170" fontId="9" fillId="22" borderId="0" xfId="0" applyNumberFormat="1" applyFont="1" applyFill="1" applyBorder="1"/>
    <xf numFmtId="9" fontId="9" fillId="22" borderId="86" xfId="162" applyFont="1" applyFill="1" applyBorder="1" applyAlignment="1">
      <alignment horizontal="center"/>
    </xf>
    <xf numFmtId="0" fontId="9" fillId="22" borderId="0" xfId="0" applyFont="1" applyFill="1" applyBorder="1" applyAlignment="1">
      <alignment horizontal="left" indent="2"/>
    </xf>
    <xf numFmtId="166" fontId="9" fillId="22" borderId="22" xfId="44" applyNumberFormat="1" applyFont="1" applyFill="1" applyBorder="1"/>
    <xf numFmtId="166" fontId="9" fillId="22" borderId="0" xfId="0" applyNumberFormat="1" applyFont="1" applyFill="1" applyBorder="1" applyAlignment="1">
      <alignment horizontal="center"/>
    </xf>
    <xf numFmtId="166" fontId="9" fillId="22" borderId="66" xfId="44" applyNumberFormat="1" applyFont="1" applyFill="1" applyBorder="1"/>
    <xf numFmtId="0" fontId="9" fillId="22" borderId="0" xfId="0" applyNumberFormat="1" applyFont="1" applyFill="1" applyAlignment="1">
      <alignment horizontal="center"/>
    </xf>
    <xf numFmtId="0" fontId="9" fillId="22" borderId="0" xfId="0" applyNumberFormat="1" applyFont="1" applyFill="1"/>
    <xf numFmtId="0" fontId="9" fillId="22" borderId="27" xfId="0" applyFont="1" applyFill="1" applyBorder="1" applyAlignment="1">
      <alignment horizontal="center"/>
    </xf>
    <xf numFmtId="0" fontId="9" fillId="22" borderId="26" xfId="0" applyFont="1" applyFill="1" applyBorder="1" applyAlignment="1">
      <alignment horizontal="center"/>
    </xf>
    <xf numFmtId="1" fontId="9" fillId="22" borderId="36" xfId="0" applyNumberFormat="1" applyFont="1" applyFill="1" applyBorder="1" applyAlignment="1">
      <alignment horizontal="center"/>
    </xf>
    <xf numFmtId="1" fontId="9" fillId="22" borderId="27" xfId="0" applyNumberFormat="1" applyFont="1" applyFill="1" applyBorder="1" applyAlignment="1">
      <alignment horizontal="center"/>
    </xf>
    <xf numFmtId="0" fontId="9" fillId="22" borderId="0" xfId="0" applyFont="1" applyFill="1" applyBorder="1" applyAlignment="1">
      <alignment horizontal="left" indent="3"/>
    </xf>
    <xf numFmtId="0" fontId="9" fillId="22" borderId="0" xfId="0" applyFont="1" applyFill="1" applyBorder="1" applyAlignment="1">
      <alignment horizontal="left" indent="4"/>
    </xf>
    <xf numFmtId="9" fontId="9" fillId="22" borderId="85" xfId="162" applyFont="1" applyFill="1" applyBorder="1" applyAlignment="1">
      <alignment horizontal="center"/>
    </xf>
    <xf numFmtId="0" fontId="10" fillId="22" borderId="0" xfId="0" applyFont="1" applyFill="1" applyBorder="1" applyAlignment="1">
      <alignment horizontal="center"/>
    </xf>
    <xf numFmtId="166" fontId="9" fillId="22" borderId="60" xfId="44" applyNumberFormat="1" applyFont="1" applyFill="1" applyBorder="1"/>
    <xf numFmtId="10" fontId="11" fillId="22" borderId="0" xfId="162" applyNumberFormat="1" applyFont="1" applyFill="1" applyBorder="1" applyAlignment="1">
      <alignment horizontal="center"/>
    </xf>
    <xf numFmtId="10" fontId="9" fillId="22" borderId="0" xfId="162" applyNumberFormat="1" applyFont="1" applyFill="1" applyBorder="1" applyAlignment="1">
      <alignment horizontal="right"/>
    </xf>
    <xf numFmtId="14" fontId="9" fillId="22" borderId="0" xfId="162" applyNumberFormat="1" applyFont="1" applyFill="1" applyBorder="1" applyAlignment="1">
      <alignment horizontal="right"/>
    </xf>
    <xf numFmtId="10" fontId="214" fillId="32" borderId="0" xfId="179" applyNumberFormat="1" applyFont="1" applyFill="1" applyAlignment="1">
      <alignment horizontal="center"/>
    </xf>
    <xf numFmtId="165" fontId="214" fillId="32" borderId="29" xfId="29" applyNumberFormat="1" applyFont="1" applyFill="1" applyBorder="1" applyAlignment="1"/>
    <xf numFmtId="165" fontId="214" fillId="32" borderId="31" xfId="29" applyNumberFormat="1" applyFont="1" applyFill="1" applyBorder="1" applyAlignment="1"/>
    <xf numFmtId="165" fontId="214" fillId="32" borderId="42" xfId="29" applyNumberFormat="1" applyFont="1" applyFill="1" applyBorder="1" applyAlignment="1"/>
    <xf numFmtId="165" fontId="214" fillId="32" borderId="93" xfId="29" applyNumberFormat="1" applyFont="1" applyFill="1" applyBorder="1" applyAlignment="1"/>
    <xf numFmtId="165" fontId="214" fillId="32" borderId="32" xfId="29" applyNumberFormat="1" applyFont="1" applyFill="1" applyBorder="1" applyAlignment="1"/>
    <xf numFmtId="165" fontId="214" fillId="32" borderId="33" xfId="29" applyNumberFormat="1" applyFont="1" applyFill="1" applyBorder="1" applyAlignment="1"/>
    <xf numFmtId="194" fontId="185" fillId="0" borderId="0" xfId="162" applyNumberFormat="1" applyFont="1" applyFill="1" applyAlignment="1"/>
    <xf numFmtId="10" fontId="214" fillId="32" borderId="0" xfId="174" applyNumberFormat="1" applyFont="1" applyFill="1" applyAlignment="1">
      <alignment horizontal="center"/>
    </xf>
    <xf numFmtId="10" fontId="213" fillId="32" borderId="37" xfId="0" applyNumberFormat="1" applyFont="1" applyFill="1" applyBorder="1"/>
    <xf numFmtId="9" fontId="213" fillId="32" borderId="37" xfId="0" applyNumberFormat="1" applyFont="1" applyFill="1" applyBorder="1"/>
    <xf numFmtId="0" fontId="269" fillId="32" borderId="6" xfId="0" applyFont="1" applyFill="1" applyBorder="1" applyAlignment="1">
      <alignment horizontal="center"/>
    </xf>
    <xf numFmtId="165" fontId="9" fillId="0" borderId="0" xfId="36" applyNumberFormat="1" applyFont="1" applyFill="1"/>
    <xf numFmtId="165" fontId="9" fillId="0" borderId="0" xfId="36" applyNumberFormat="1" applyFont="1" applyFill="1" applyBorder="1"/>
    <xf numFmtId="165" fontId="10" fillId="0" borderId="0" xfId="36" applyNumberFormat="1" applyFont="1" applyFill="1" applyBorder="1"/>
    <xf numFmtId="165" fontId="10" fillId="0" borderId="22" xfId="36" applyNumberFormat="1" applyFont="1" applyFill="1" applyBorder="1"/>
    <xf numFmtId="165" fontId="11" fillId="0" borderId="0" xfId="179" applyNumberFormat="1" applyFont="1" applyFill="1" applyBorder="1"/>
    <xf numFmtId="10" fontId="11" fillId="0" borderId="0" xfId="179" applyNumberFormat="1" applyFont="1" applyFill="1" applyBorder="1"/>
    <xf numFmtId="165" fontId="11" fillId="0" borderId="0" xfId="36" applyNumberFormat="1" applyFont="1" applyFill="1" applyBorder="1"/>
    <xf numFmtId="165" fontId="9" fillId="41" borderId="0" xfId="36" applyNumberFormat="1" applyFont="1" applyFill="1"/>
    <xf numFmtId="196" fontId="9" fillId="0" borderId="0" xfId="36" applyNumberFormat="1" applyFont="1" applyFill="1" applyBorder="1"/>
    <xf numFmtId="10" fontId="9" fillId="0" borderId="0" xfId="179" applyNumberFormat="1" applyFont="1" applyFill="1"/>
    <xf numFmtId="165" fontId="14" fillId="38" borderId="0" xfId="36" applyNumberFormat="1" applyFont="1" applyFill="1" applyBorder="1"/>
    <xf numFmtId="167" fontId="11" fillId="32" borderId="74" xfId="179" applyNumberFormat="1" applyFont="1" applyFill="1" applyBorder="1"/>
    <xf numFmtId="167" fontId="11" fillId="32" borderId="9" xfId="179" applyNumberFormat="1" applyFont="1" applyFill="1" applyBorder="1"/>
    <xf numFmtId="167" fontId="11" fillId="41" borderId="9" xfId="179" applyNumberFormat="1" applyFont="1" applyFill="1" applyBorder="1"/>
    <xf numFmtId="167" fontId="11" fillId="0" borderId="9" xfId="179" applyNumberFormat="1" applyFont="1" applyFill="1" applyBorder="1"/>
    <xf numFmtId="165" fontId="16" fillId="0" borderId="0" xfId="36" applyNumberFormat="1" applyFont="1" applyFill="1" applyBorder="1"/>
    <xf numFmtId="0" fontId="210" fillId="37" borderId="40" xfId="0" applyFont="1" applyFill="1" applyBorder="1" applyAlignment="1">
      <alignment vertical="center"/>
    </xf>
    <xf numFmtId="9" fontId="210" fillId="37" borderId="40" xfId="0" applyNumberFormat="1" applyFont="1" applyFill="1" applyBorder="1" applyAlignment="1">
      <alignment horizontal="center"/>
    </xf>
    <xf numFmtId="0" fontId="210" fillId="37" borderId="43" xfId="0" applyFont="1" applyFill="1" applyBorder="1" applyAlignment="1">
      <alignment vertical="center"/>
    </xf>
    <xf numFmtId="0" fontId="210" fillId="37" borderId="40" xfId="0" applyFont="1" applyFill="1" applyBorder="1" applyAlignment="1">
      <alignment horizontal="center" vertical="center"/>
    </xf>
    <xf numFmtId="0" fontId="271" fillId="37" borderId="40" xfId="0" applyFont="1" applyFill="1" applyBorder="1" applyAlignment="1">
      <alignment horizontal="center"/>
    </xf>
    <xf numFmtId="0" fontId="271" fillId="37" borderId="43" xfId="0" applyFont="1" applyFill="1" applyBorder="1" applyAlignment="1">
      <alignment horizontal="center"/>
    </xf>
    <xf numFmtId="0" fontId="272" fillId="37" borderId="38" xfId="0" applyFont="1" applyFill="1" applyBorder="1" applyAlignment="1">
      <alignment horizontal="center"/>
    </xf>
    <xf numFmtId="0" fontId="212" fillId="44" borderId="6" xfId="97" quotePrefix="1" applyFont="1" applyFill="1" applyBorder="1" applyAlignment="1">
      <alignment horizontal="center" wrapText="1"/>
    </xf>
    <xf numFmtId="165" fontId="185" fillId="22" borderId="0" xfId="0" applyNumberFormat="1" applyFont="1" applyFill="1"/>
    <xf numFmtId="165" fontId="274" fillId="32" borderId="0" xfId="33" applyNumberFormat="1" applyFont="1" applyFill="1" applyBorder="1" applyAlignment="1"/>
    <xf numFmtId="165" fontId="275" fillId="41" borderId="0" xfId="29" applyNumberFormat="1" applyFont="1" applyFill="1"/>
    <xf numFmtId="0" fontId="9" fillId="23" borderId="0" xfId="0" applyNumberFormat="1" applyFont="1" applyFill="1" applyBorder="1" applyAlignment="1">
      <alignment horizontal="center"/>
    </xf>
    <xf numFmtId="9" fontId="9" fillId="23" borderId="86" xfId="162" applyFont="1" applyFill="1" applyBorder="1" applyAlignment="1">
      <alignment horizontal="center"/>
    </xf>
    <xf numFmtId="9" fontId="9" fillId="23" borderId="0" xfId="162" applyFont="1" applyFill="1" applyBorder="1" applyAlignment="1">
      <alignment horizontal="center"/>
    </xf>
    <xf numFmtId="41" fontId="9" fillId="23" borderId="0" xfId="0" applyNumberFormat="1" applyFont="1" applyFill="1" applyBorder="1" applyAlignment="1">
      <alignment horizontal="left" indent="2"/>
    </xf>
    <xf numFmtId="0" fontId="0" fillId="23" borderId="0" xfId="0" applyFill="1" applyBorder="1" applyAlignment="1">
      <alignment horizontal="left" indent="1"/>
    </xf>
    <xf numFmtId="173" fontId="11" fillId="23" borderId="0" xfId="0" applyNumberFormat="1" applyFont="1" applyFill="1" applyBorder="1" applyAlignment="1">
      <alignment horizontal="center"/>
    </xf>
    <xf numFmtId="0" fontId="9" fillId="23" borderId="0" xfId="0" applyNumberFormat="1" applyFont="1" applyFill="1" applyBorder="1"/>
    <xf numFmtId="165" fontId="16" fillId="23" borderId="0" xfId="29" applyNumberFormat="1" applyFont="1" applyFill="1" applyBorder="1"/>
    <xf numFmtId="0" fontId="9" fillId="22" borderId="0" xfId="0" applyNumberFormat="1" applyFont="1" applyFill="1" applyBorder="1" applyAlignment="1">
      <alignment horizontal="center"/>
    </xf>
    <xf numFmtId="9" fontId="9" fillId="22" borderId="0" xfId="162" applyFont="1" applyFill="1" applyBorder="1" applyAlignment="1">
      <alignment horizontal="center"/>
    </xf>
    <xf numFmtId="165" fontId="9" fillId="22" borderId="91" xfId="29" applyNumberFormat="1" applyFont="1" applyFill="1" applyBorder="1"/>
    <xf numFmtId="173" fontId="9" fillId="22" borderId="21" xfId="0" applyNumberFormat="1" applyFont="1" applyFill="1" applyBorder="1"/>
    <xf numFmtId="173" fontId="9" fillId="22" borderId="54" xfId="0" applyNumberFormat="1" applyFont="1" applyFill="1" applyBorder="1"/>
    <xf numFmtId="0" fontId="0" fillId="22" borderId="60" xfId="0" applyFill="1" applyBorder="1"/>
    <xf numFmtId="41" fontId="10" fillId="22" borderId="0" xfId="0" applyNumberFormat="1" applyFont="1" applyFill="1" applyBorder="1" applyAlignment="1">
      <alignment horizontal="left"/>
    </xf>
    <xf numFmtId="0" fontId="10" fillId="22" borderId="0" xfId="0" applyFont="1" applyFill="1" applyBorder="1" applyAlignment="1">
      <alignment horizontal="left" indent="1"/>
    </xf>
    <xf numFmtId="0" fontId="10" fillId="41" borderId="37" xfId="0" applyFont="1" applyFill="1" applyBorder="1" applyAlignment="1">
      <alignment horizontal="center"/>
    </xf>
    <xf numFmtId="170" fontId="277" fillId="44" borderId="0" xfId="95" applyNumberFormat="1" applyFont="1" applyFill="1"/>
    <xf numFmtId="43" fontId="278" fillId="0" borderId="0" xfId="29" applyFont="1" applyFill="1" applyBorder="1"/>
    <xf numFmtId="43" fontId="278" fillId="0" borderId="75" xfId="29" applyFont="1" applyFill="1" applyBorder="1"/>
    <xf numFmtId="43" fontId="278" fillId="0" borderId="105" xfId="29" applyFont="1" applyFill="1" applyBorder="1"/>
    <xf numFmtId="43" fontId="278" fillId="0" borderId="21" xfId="29" applyFont="1" applyFill="1" applyBorder="1"/>
    <xf numFmtId="10" fontId="138" fillId="0" borderId="29" xfId="0" applyNumberFormat="1" applyFont="1" applyFill="1" applyBorder="1" applyAlignment="1">
      <alignment horizontal="center"/>
    </xf>
    <xf numFmtId="10" fontId="138" fillId="0" borderId="30" xfId="0" applyNumberFormat="1" applyFont="1" applyFill="1" applyBorder="1" applyAlignment="1">
      <alignment horizontal="center"/>
    </xf>
    <xf numFmtId="10" fontId="138" fillId="0" borderId="31" xfId="0" applyNumberFormat="1" applyFont="1" applyFill="1" applyBorder="1" applyAlignment="1">
      <alignment horizontal="center"/>
    </xf>
    <xf numFmtId="10" fontId="138" fillId="0" borderId="42" xfId="0" applyNumberFormat="1" applyFont="1" applyFill="1" applyBorder="1" applyAlignment="1">
      <alignment horizontal="center"/>
    </xf>
    <xf numFmtId="10" fontId="138" fillId="0" borderId="0" xfId="0" applyNumberFormat="1" applyFont="1" applyFill="1" applyBorder="1" applyAlignment="1">
      <alignment horizontal="center"/>
    </xf>
    <xf numFmtId="10" fontId="138" fillId="0" borderId="93" xfId="0" applyNumberFormat="1" applyFont="1" applyFill="1" applyBorder="1" applyAlignment="1">
      <alignment horizontal="center"/>
    </xf>
    <xf numFmtId="10" fontId="138" fillId="0" borderId="34" xfId="0" applyNumberFormat="1" applyFont="1" applyFill="1" applyBorder="1" applyAlignment="1">
      <alignment horizontal="center"/>
    </xf>
    <xf numFmtId="10" fontId="138" fillId="0" borderId="87" xfId="0" applyNumberFormat="1" applyFont="1" applyFill="1" applyBorder="1" applyAlignment="1">
      <alignment horizontal="center"/>
    </xf>
    <xf numFmtId="10" fontId="138" fillId="0" borderId="35" xfId="0" applyNumberFormat="1" applyFont="1" applyFill="1" applyBorder="1" applyAlignment="1">
      <alignment horizontal="center"/>
    </xf>
    <xf numFmtId="10" fontId="138" fillId="0" borderId="32" xfId="0" applyNumberFormat="1" applyFont="1" applyFill="1" applyBorder="1" applyAlignment="1">
      <alignment horizontal="center"/>
    </xf>
    <xf numFmtId="10" fontId="138" fillId="0" borderId="14" xfId="0" applyNumberFormat="1" applyFont="1" applyFill="1" applyBorder="1" applyAlignment="1">
      <alignment horizontal="center"/>
    </xf>
    <xf numFmtId="10" fontId="138" fillId="0" borderId="33" xfId="0" applyNumberFormat="1" applyFont="1" applyFill="1" applyBorder="1" applyAlignment="1">
      <alignment horizontal="center"/>
    </xf>
    <xf numFmtId="10" fontId="213" fillId="0" borderId="30" xfId="0" applyNumberFormat="1" applyFont="1" applyFill="1" applyBorder="1" applyAlignment="1">
      <alignment horizontal="center"/>
    </xf>
    <xf numFmtId="10" fontId="213" fillId="0" borderId="14" xfId="0" applyNumberFormat="1" applyFont="1" applyFill="1" applyBorder="1" applyAlignment="1">
      <alignment horizontal="center"/>
    </xf>
    <xf numFmtId="10" fontId="213" fillId="32" borderId="29" xfId="0" applyNumberFormat="1" applyFont="1" applyFill="1" applyBorder="1" applyAlignment="1">
      <alignment horizontal="center"/>
    </xf>
    <xf numFmtId="10" fontId="213" fillId="32" borderId="30" xfId="0" applyNumberFormat="1" applyFont="1" applyFill="1" applyBorder="1" applyAlignment="1">
      <alignment horizontal="center"/>
    </xf>
    <xf numFmtId="10" fontId="213" fillId="32" borderId="31" xfId="0" applyNumberFormat="1" applyFont="1" applyFill="1" applyBorder="1" applyAlignment="1">
      <alignment horizontal="center"/>
    </xf>
    <xf numFmtId="10" fontId="213" fillId="32" borderId="32" xfId="0" applyNumberFormat="1" applyFont="1" applyFill="1" applyBorder="1" applyAlignment="1">
      <alignment horizontal="center"/>
    </xf>
    <xf numFmtId="10" fontId="213" fillId="32" borderId="14" xfId="0" applyNumberFormat="1" applyFont="1" applyFill="1" applyBorder="1" applyAlignment="1">
      <alignment horizontal="center"/>
    </xf>
    <xf numFmtId="10" fontId="213" fillId="32" borderId="33" xfId="0" applyNumberFormat="1" applyFont="1" applyFill="1" applyBorder="1" applyAlignment="1">
      <alignment horizontal="center"/>
    </xf>
    <xf numFmtId="0" fontId="279" fillId="0" borderId="0" xfId="0" applyFont="1"/>
    <xf numFmtId="10" fontId="138" fillId="0" borderId="37" xfId="0" applyNumberFormat="1" applyFont="1" applyFill="1" applyBorder="1" applyAlignment="1">
      <alignment horizontal="center"/>
    </xf>
    <xf numFmtId="10" fontId="24" fillId="0" borderId="29" xfId="0" applyNumberFormat="1" applyFont="1" applyFill="1" applyBorder="1" applyAlignment="1">
      <alignment horizontal="center"/>
    </xf>
    <xf numFmtId="10" fontId="24" fillId="0" borderId="30" xfId="0" applyNumberFormat="1" applyFont="1" applyFill="1" applyBorder="1" applyAlignment="1">
      <alignment horizontal="center"/>
    </xf>
    <xf numFmtId="10" fontId="24" fillId="0" borderId="31" xfId="0" applyNumberFormat="1" applyFont="1" applyFill="1" applyBorder="1" applyAlignment="1">
      <alignment horizontal="center"/>
    </xf>
    <xf numFmtId="10" fontId="24" fillId="0" borderId="42" xfId="0" applyNumberFormat="1" applyFont="1" applyFill="1" applyBorder="1" applyAlignment="1">
      <alignment horizontal="center"/>
    </xf>
    <xf numFmtId="10" fontId="24" fillId="0" borderId="0" xfId="0" applyNumberFormat="1" applyFont="1" applyFill="1" applyBorder="1" applyAlignment="1">
      <alignment horizontal="center"/>
    </xf>
    <xf numFmtId="10" fontId="24" fillId="0" borderId="93" xfId="0" applyNumberFormat="1" applyFont="1" applyFill="1" applyBorder="1" applyAlignment="1">
      <alignment horizontal="center"/>
    </xf>
    <xf numFmtId="10" fontId="24" fillId="0" borderId="32" xfId="0" applyNumberFormat="1" applyFont="1" applyFill="1" applyBorder="1" applyAlignment="1">
      <alignment horizontal="center"/>
    </xf>
    <xf numFmtId="10" fontId="24" fillId="0" borderId="14" xfId="0" applyNumberFormat="1" applyFont="1" applyFill="1" applyBorder="1" applyAlignment="1">
      <alignment horizontal="center"/>
    </xf>
    <xf numFmtId="10" fontId="24" fillId="0" borderId="33" xfId="0" applyNumberFormat="1" applyFont="1" applyFill="1" applyBorder="1" applyAlignment="1">
      <alignment horizontal="center"/>
    </xf>
    <xf numFmtId="10" fontId="213" fillId="0" borderId="34" xfId="162" applyNumberFormat="1" applyFont="1" applyFill="1" applyBorder="1" applyAlignment="1">
      <alignment horizontal="center"/>
    </xf>
    <xf numFmtId="10" fontId="213" fillId="0" borderId="35" xfId="162" applyNumberFormat="1" applyFont="1" applyFill="1" applyBorder="1" applyAlignment="1">
      <alignment horizontal="center"/>
    </xf>
    <xf numFmtId="10" fontId="213" fillId="0" borderId="87" xfId="162" applyNumberFormat="1" applyFont="1" applyFill="1" applyBorder="1" applyAlignment="1">
      <alignment horizontal="center"/>
    </xf>
    <xf numFmtId="10" fontId="213" fillId="0" borderId="30" xfId="162" applyNumberFormat="1" applyFont="1" applyFill="1" applyBorder="1" applyAlignment="1">
      <alignment horizontal="center"/>
    </xf>
    <xf numFmtId="10" fontId="213" fillId="0" borderId="31" xfId="162" applyNumberFormat="1" applyFont="1" applyFill="1" applyBorder="1" applyAlignment="1">
      <alignment horizontal="center"/>
    </xf>
    <xf numFmtId="10" fontId="213" fillId="0" borderId="14" xfId="162" applyNumberFormat="1" applyFont="1" applyFill="1" applyBorder="1" applyAlignment="1">
      <alignment horizontal="center"/>
    </xf>
    <xf numFmtId="10" fontId="213" fillId="0" borderId="33" xfId="162" applyNumberFormat="1" applyFont="1" applyFill="1" applyBorder="1" applyAlignment="1">
      <alignment horizontal="center"/>
    </xf>
    <xf numFmtId="10" fontId="138" fillId="32" borderId="34" xfId="0" applyNumberFormat="1" applyFont="1" applyFill="1" applyBorder="1" applyAlignment="1">
      <alignment horizontal="center"/>
    </xf>
    <xf numFmtId="10" fontId="138" fillId="32" borderId="87" xfId="0" applyNumberFormat="1" applyFont="1" applyFill="1" applyBorder="1" applyAlignment="1">
      <alignment horizontal="center"/>
    </xf>
    <xf numFmtId="167" fontId="11" fillId="41" borderId="8" xfId="162" applyNumberFormat="1" applyFont="1" applyFill="1" applyBorder="1"/>
    <xf numFmtId="167" fontId="11" fillId="32" borderId="8" xfId="162" applyNumberFormat="1" applyFont="1" applyFill="1" applyBorder="1"/>
    <xf numFmtId="10" fontId="9" fillId="23" borderId="0" xfId="162" applyNumberFormat="1" applyFont="1" applyFill="1" applyBorder="1" applyAlignment="1">
      <alignment horizontal="right"/>
    </xf>
    <xf numFmtId="165" fontId="213" fillId="23" borderId="74" xfId="29" applyNumberFormat="1" applyFont="1" applyFill="1" applyBorder="1"/>
    <xf numFmtId="165" fontId="213" fillId="23" borderId="9" xfId="29" applyNumberFormat="1" applyFont="1" applyFill="1" applyBorder="1"/>
    <xf numFmtId="165" fontId="213" fillId="23" borderId="102" xfId="29" applyNumberFormat="1" applyFont="1" applyFill="1" applyBorder="1"/>
    <xf numFmtId="9" fontId="213" fillId="32" borderId="0" xfId="162" applyFont="1" applyFill="1" applyAlignment="1">
      <alignment horizontal="center"/>
    </xf>
    <xf numFmtId="9" fontId="0" fillId="0" borderId="0" xfId="162" applyFont="1" applyAlignment="1">
      <alignment horizontal="center"/>
    </xf>
    <xf numFmtId="9" fontId="213" fillId="32" borderId="21" xfId="162" applyFont="1" applyFill="1" applyBorder="1" applyAlignment="1">
      <alignment horizontal="center"/>
    </xf>
    <xf numFmtId="9" fontId="0" fillId="0" borderId="21" xfId="162" applyFont="1" applyBorder="1" applyAlignment="1">
      <alignment horizontal="center"/>
    </xf>
    <xf numFmtId="9" fontId="0" fillId="0" borderId="0" xfId="162" applyFont="1" applyFill="1"/>
    <xf numFmtId="10" fontId="213" fillId="23" borderId="9" xfId="162" applyNumberFormat="1" applyFont="1" applyFill="1" applyBorder="1" applyAlignment="1"/>
    <xf numFmtId="165" fontId="273" fillId="41" borderId="0" xfId="29" applyNumberFormat="1" applyFont="1" applyFill="1" applyBorder="1"/>
    <xf numFmtId="165" fontId="273" fillId="41" borderId="37" xfId="29" applyNumberFormat="1" applyFont="1" applyFill="1" applyBorder="1"/>
    <xf numFmtId="167" fontId="213" fillId="41" borderId="0" xfId="0" applyNumberFormat="1" applyFont="1" applyFill="1" applyBorder="1" applyAlignment="1">
      <alignment horizontal="center"/>
    </xf>
    <xf numFmtId="167" fontId="7" fillId="41" borderId="0" xfId="0" applyNumberFormat="1" applyFont="1" applyFill="1" applyAlignment="1">
      <alignment horizontal="center"/>
    </xf>
    <xf numFmtId="165" fontId="30" fillId="0" borderId="0" xfId="29" applyNumberFormat="1" applyFont="1" applyFill="1" applyBorder="1" applyAlignment="1">
      <alignment horizontal="center"/>
    </xf>
    <xf numFmtId="167" fontId="213" fillId="32" borderId="85" xfId="162" applyNumberFormat="1" applyFont="1" applyFill="1" applyBorder="1"/>
    <xf numFmtId="167" fontId="213" fillId="32" borderId="8" xfId="162" applyNumberFormat="1" applyFont="1" applyFill="1" applyBorder="1"/>
    <xf numFmtId="167" fontId="213" fillId="32" borderId="86" xfId="162" applyNumberFormat="1" applyFont="1" applyFill="1" applyBorder="1"/>
    <xf numFmtId="0" fontId="10" fillId="22" borderId="40" xfId="0" applyFont="1" applyFill="1" applyBorder="1" applyAlignment="1">
      <alignment horizontal="center"/>
    </xf>
    <xf numFmtId="0" fontId="91" fillId="22" borderId="38" xfId="0" applyFont="1" applyFill="1" applyBorder="1" applyAlignment="1">
      <alignment horizontal="center"/>
    </xf>
    <xf numFmtId="0" fontId="33" fillId="22" borderId="0" xfId="0" applyFont="1" applyFill="1"/>
    <xf numFmtId="41" fontId="168" fillId="22" borderId="0" xfId="0" applyNumberFormat="1" applyFont="1" applyFill="1"/>
    <xf numFmtId="166" fontId="168" fillId="22" borderId="0" xfId="44" applyNumberFormat="1" applyFont="1" applyFill="1" applyBorder="1"/>
    <xf numFmtId="167" fontId="168" fillId="22" borderId="0" xfId="162" applyNumberFormat="1" applyFont="1" applyFill="1" applyBorder="1" applyAlignment="1">
      <alignment horizontal="center"/>
    </xf>
    <xf numFmtId="165" fontId="168" fillId="22" borderId="0" xfId="29" applyNumberFormat="1" applyFont="1" applyFill="1" applyBorder="1"/>
    <xf numFmtId="41" fontId="168" fillId="22" borderId="21" xfId="0" applyNumberFormat="1" applyFont="1" applyFill="1" applyBorder="1"/>
    <xf numFmtId="165" fontId="9" fillId="22" borderId="21" xfId="29" applyNumberFormat="1" applyFont="1" applyFill="1" applyBorder="1"/>
    <xf numFmtId="167" fontId="168" fillId="22" borderId="21" xfId="162" applyNumberFormat="1" applyFont="1" applyFill="1" applyBorder="1" applyAlignment="1">
      <alignment horizontal="center"/>
    </xf>
    <xf numFmtId="0" fontId="0" fillId="22" borderId="0" xfId="0" applyFill="1" applyAlignment="1">
      <alignment horizontal="left" indent="2"/>
    </xf>
    <xf numFmtId="165" fontId="170" fillId="22" borderId="0" xfId="29" applyNumberFormat="1" applyFont="1" applyFill="1"/>
    <xf numFmtId="166" fontId="0" fillId="22" borderId="0" xfId="0" applyNumberFormat="1" applyFill="1"/>
    <xf numFmtId="167" fontId="170" fillId="22" borderId="0" xfId="162" applyNumberFormat="1" applyFont="1" applyFill="1" applyAlignment="1">
      <alignment horizontal="center"/>
    </xf>
    <xf numFmtId="170" fontId="0" fillId="41" borderId="0" xfId="0" applyNumberFormat="1" applyFill="1" applyBorder="1"/>
    <xf numFmtId="0" fontId="276" fillId="37" borderId="37" xfId="0" applyFont="1" applyFill="1" applyBorder="1" applyAlignment="1">
      <alignment horizontal="center" wrapText="1"/>
    </xf>
    <xf numFmtId="0" fontId="9" fillId="22" borderId="36" xfId="0" applyFont="1" applyFill="1" applyBorder="1"/>
    <xf numFmtId="0" fontId="9" fillId="39" borderId="42" xfId="0" applyFont="1" applyFill="1" applyBorder="1"/>
    <xf numFmtId="0" fontId="9" fillId="39" borderId="0" xfId="0" applyFont="1" applyFill="1" applyBorder="1"/>
    <xf numFmtId="0" fontId="9" fillId="39" borderId="93" xfId="0" applyFont="1" applyFill="1" applyBorder="1"/>
    <xf numFmtId="0" fontId="9" fillId="47" borderId="42" xfId="0" applyFont="1" applyFill="1" applyBorder="1"/>
    <xf numFmtId="0" fontId="9" fillId="47" borderId="93" xfId="0" applyFont="1" applyFill="1" applyBorder="1"/>
    <xf numFmtId="0" fontId="0" fillId="36" borderId="42" xfId="0" applyFont="1" applyFill="1" applyBorder="1" applyAlignment="1">
      <alignment horizontal="center"/>
    </xf>
    <xf numFmtId="0" fontId="0" fillId="36" borderId="93" xfId="0" applyFont="1" applyFill="1" applyBorder="1" applyAlignment="1">
      <alignment horizontal="center"/>
    </xf>
    <xf numFmtId="0" fontId="9" fillId="0" borderId="36" xfId="0" applyFont="1" applyFill="1" applyBorder="1" applyAlignment="1">
      <alignment horizontal="left"/>
    </xf>
    <xf numFmtId="166" fontId="9" fillId="39" borderId="42" xfId="49" applyNumberFormat="1" applyFont="1" applyFill="1" applyBorder="1"/>
    <xf numFmtId="166" fontId="9" fillId="39" borderId="0" xfId="49" applyNumberFormat="1" applyFont="1" applyFill="1" applyBorder="1"/>
    <xf numFmtId="166" fontId="9" fillId="39" borderId="93" xfId="49" applyNumberFormat="1" applyFont="1" applyFill="1" applyBorder="1"/>
    <xf numFmtId="166" fontId="9" fillId="47" borderId="42" xfId="49" applyNumberFormat="1" applyFont="1" applyFill="1" applyBorder="1"/>
    <xf numFmtId="166" fontId="9" fillId="47" borderId="93" xfId="49" applyNumberFormat="1" applyFont="1" applyFill="1" applyBorder="1"/>
    <xf numFmtId="166" fontId="9" fillId="36" borderId="42" xfId="49" applyNumberFormat="1" applyFont="1" applyFill="1" applyBorder="1"/>
    <xf numFmtId="167" fontId="10" fillId="36" borderId="93" xfId="179" applyNumberFormat="1" applyFont="1" applyFill="1" applyBorder="1"/>
    <xf numFmtId="41" fontId="9" fillId="39" borderId="42" xfId="0" applyNumberFormat="1" applyFont="1" applyFill="1" applyBorder="1"/>
    <xf numFmtId="41" fontId="9" fillId="39" borderId="0" xfId="0" applyNumberFormat="1" applyFont="1" applyFill="1" applyBorder="1"/>
    <xf numFmtId="41" fontId="9" fillId="39" borderId="93" xfId="0" applyNumberFormat="1" applyFont="1" applyFill="1" applyBorder="1"/>
    <xf numFmtId="41" fontId="9" fillId="47" borderId="42" xfId="0" applyNumberFormat="1" applyFont="1" applyFill="1" applyBorder="1"/>
    <xf numFmtId="41" fontId="9" fillId="47" borderId="93" xfId="0" applyNumberFormat="1" applyFont="1" applyFill="1" applyBorder="1"/>
    <xf numFmtId="41" fontId="9" fillId="36" borderId="42" xfId="0" applyNumberFormat="1" applyFont="1" applyFill="1" applyBorder="1"/>
    <xf numFmtId="0" fontId="9" fillId="0" borderId="36" xfId="0" applyFont="1" applyFill="1" applyBorder="1" applyAlignment="1">
      <alignment horizontal="left" indent="2"/>
    </xf>
    <xf numFmtId="166" fontId="10" fillId="36" borderId="93" xfId="49" applyNumberFormat="1" applyFont="1" applyFill="1" applyBorder="1"/>
    <xf numFmtId="0" fontId="10" fillId="22" borderId="27" xfId="0" applyFont="1" applyFill="1" applyBorder="1" applyAlignment="1">
      <alignment horizontal="left"/>
    </xf>
    <xf numFmtId="166" fontId="10" fillId="39" borderId="139" xfId="49" applyNumberFormat="1" applyFont="1" applyFill="1" applyBorder="1"/>
    <xf numFmtId="166" fontId="10" fillId="39" borderId="120" xfId="49" applyNumberFormat="1" applyFont="1" applyFill="1" applyBorder="1"/>
    <xf numFmtId="166" fontId="10" fillId="39" borderId="95" xfId="49" applyNumberFormat="1" applyFont="1" applyFill="1" applyBorder="1"/>
    <xf numFmtId="166" fontId="10" fillId="47" borderId="139" xfId="49" applyNumberFormat="1" applyFont="1" applyFill="1" applyBorder="1"/>
    <xf numFmtId="166" fontId="10" fillId="47" borderId="95" xfId="49" applyNumberFormat="1" applyFont="1" applyFill="1" applyBorder="1"/>
    <xf numFmtId="166" fontId="10" fillId="36" borderId="139" xfId="49" applyNumberFormat="1" applyFont="1" applyFill="1" applyBorder="1"/>
    <xf numFmtId="167" fontId="10" fillId="36" borderId="95" xfId="179" applyNumberFormat="1" applyFont="1" applyFill="1" applyBorder="1"/>
    <xf numFmtId="0" fontId="9" fillId="39" borderId="137" xfId="0" applyFont="1" applyFill="1" applyBorder="1" applyAlignment="1">
      <alignment horizontal="center" wrapText="1"/>
    </xf>
    <xf numFmtId="0" fontId="0" fillId="0" borderId="0" xfId="0"/>
    <xf numFmtId="0" fontId="226" fillId="53" borderId="0" xfId="97" applyFont="1" applyFill="1"/>
    <xf numFmtId="0" fontId="252" fillId="53" borderId="75" xfId="97" quotePrefix="1" applyFont="1" applyFill="1" applyBorder="1" applyAlignment="1"/>
    <xf numFmtId="0" fontId="252" fillId="53" borderId="105" xfId="97" applyFont="1" applyFill="1" applyBorder="1" applyAlignment="1">
      <alignment horizontal="center"/>
    </xf>
    <xf numFmtId="0" fontId="212" fillId="53" borderId="75" xfId="97" applyFont="1" applyFill="1" applyBorder="1" applyAlignment="1">
      <alignment horizontal="center"/>
    </xf>
    <xf numFmtId="0" fontId="212" fillId="53" borderId="105" xfId="97" applyFont="1" applyFill="1" applyBorder="1" applyAlignment="1">
      <alignment horizontal="center"/>
    </xf>
    <xf numFmtId="0" fontId="212" fillId="53" borderId="6" xfId="97" quotePrefix="1" applyFont="1" applyFill="1" applyBorder="1" applyAlignment="1">
      <alignment horizontal="center" wrapText="1"/>
    </xf>
    <xf numFmtId="206" fontId="211" fillId="53" borderId="22" xfId="97" applyNumberFormat="1" applyFont="1" applyFill="1" applyBorder="1" applyAlignment="1">
      <alignment horizontal="center"/>
    </xf>
    <xf numFmtId="206" fontId="211" fillId="53" borderId="0" xfId="97" applyNumberFormat="1" applyFont="1" applyFill="1" applyBorder="1" applyAlignment="1">
      <alignment horizontal="center"/>
    </xf>
    <xf numFmtId="206" fontId="212" fillId="53" borderId="21" xfId="97" applyNumberFormat="1" applyFont="1" applyFill="1" applyBorder="1" applyAlignment="1">
      <alignment horizontal="center"/>
    </xf>
    <xf numFmtId="165" fontId="213" fillId="53" borderId="0" xfId="29" applyNumberFormat="1" applyFont="1" applyFill="1"/>
    <xf numFmtId="165" fontId="239" fillId="53" borderId="20" xfId="29" applyNumberFormat="1" applyFont="1" applyFill="1" applyBorder="1"/>
    <xf numFmtId="170" fontId="11" fillId="53" borderId="30" xfId="44" applyNumberFormat="1" applyFont="1" applyFill="1" applyBorder="1"/>
    <xf numFmtId="165" fontId="11" fillId="53" borderId="0" xfId="29" applyNumberFormat="1" applyFont="1" applyFill="1" applyBorder="1"/>
    <xf numFmtId="173" fontId="11" fillId="53" borderId="14" xfId="44" applyNumberFormat="1" applyFont="1" applyFill="1" applyBorder="1"/>
    <xf numFmtId="3" fontId="213" fillId="53" borderId="0" xfId="0" applyNumberFormat="1" applyFont="1" applyFill="1"/>
    <xf numFmtId="165" fontId="281" fillId="0" borderId="0" xfId="29" applyNumberFormat="1" applyFont="1"/>
    <xf numFmtId="165" fontId="281" fillId="53" borderId="0" xfId="29" applyNumberFormat="1" applyFont="1" applyFill="1"/>
    <xf numFmtId="165" fontId="281" fillId="54" borderId="0" xfId="29" applyNumberFormat="1" applyFont="1" applyFill="1"/>
    <xf numFmtId="170" fontId="270" fillId="53" borderId="26" xfId="29" applyNumberFormat="1" applyFont="1" applyFill="1" applyBorder="1"/>
    <xf numFmtId="165" fontId="270" fillId="53" borderId="36" xfId="29" applyNumberFormat="1" applyFont="1" applyFill="1" applyBorder="1"/>
    <xf numFmtId="165" fontId="270" fillId="53" borderId="27" xfId="29" applyNumberFormat="1" applyFont="1" applyFill="1" applyBorder="1"/>
    <xf numFmtId="165" fontId="270" fillId="53" borderId="35" xfId="29" applyNumberFormat="1" applyFont="1" applyFill="1" applyBorder="1"/>
    <xf numFmtId="10" fontId="273" fillId="53" borderId="85" xfId="162" applyNumberFormat="1" applyFont="1" applyFill="1" applyBorder="1"/>
    <xf numFmtId="10" fontId="273" fillId="53" borderId="8" xfId="162" applyNumberFormat="1" applyFont="1" applyFill="1" applyBorder="1"/>
    <xf numFmtId="167" fontId="11" fillId="53" borderId="9" xfId="179" applyNumberFormat="1" applyFont="1" applyFill="1" applyBorder="1"/>
    <xf numFmtId="165" fontId="273" fillId="53" borderId="0" xfId="29" applyNumberFormat="1" applyFont="1" applyFill="1"/>
    <xf numFmtId="166" fontId="273" fillId="53" borderId="0" xfId="44" applyNumberFormat="1" applyFont="1" applyFill="1" applyBorder="1"/>
    <xf numFmtId="165" fontId="273" fillId="53" borderId="0" xfId="29" applyNumberFormat="1" applyFont="1" applyFill="1" applyBorder="1"/>
    <xf numFmtId="0" fontId="282" fillId="55" borderId="0" xfId="0" applyFont="1" applyFill="1" applyAlignment="1">
      <alignment horizontal="center" wrapText="1"/>
    </xf>
    <xf numFmtId="0" fontId="14" fillId="34" borderId="40" xfId="0" applyFont="1" applyFill="1" applyBorder="1" applyAlignment="1">
      <alignment horizontal="center" vertical="center" wrapText="1"/>
    </xf>
    <xf numFmtId="0" fontId="0" fillId="0" borderId="0" xfId="0"/>
    <xf numFmtId="0" fontId="282" fillId="55" borderId="0" xfId="0" applyFont="1" applyFill="1" applyAlignment="1">
      <alignment horizontal="center"/>
    </xf>
    <xf numFmtId="0" fontId="282" fillId="55" borderId="0" xfId="0" quotePrefix="1" applyFont="1" applyFill="1" applyAlignment="1">
      <alignment horizontal="center"/>
    </xf>
    <xf numFmtId="0" fontId="282" fillId="55" borderId="39" xfId="0" applyFont="1" applyFill="1" applyBorder="1" applyAlignment="1">
      <alignment horizontal="center" vertical="center"/>
    </xf>
    <xf numFmtId="0" fontId="282" fillId="55" borderId="40" xfId="0" applyFont="1" applyFill="1" applyBorder="1" applyAlignment="1">
      <alignment horizontal="center" vertical="center"/>
    </xf>
    <xf numFmtId="0" fontId="282" fillId="55" borderId="40" xfId="0" applyFont="1" applyFill="1" applyBorder="1" applyAlignment="1">
      <alignment horizontal="center"/>
    </xf>
    <xf numFmtId="9" fontId="282" fillId="55" borderId="40" xfId="0" applyNumberFormat="1" applyFont="1" applyFill="1" applyBorder="1" applyAlignment="1">
      <alignment horizontal="center"/>
    </xf>
    <xf numFmtId="0" fontId="282" fillId="55" borderId="43" xfId="0" applyFont="1" applyFill="1" applyBorder="1" applyAlignment="1">
      <alignment horizontal="center"/>
    </xf>
    <xf numFmtId="0" fontId="282" fillId="55" borderId="106" xfId="0" applyFont="1" applyFill="1" applyBorder="1" applyAlignment="1">
      <alignment horizontal="center"/>
    </xf>
    <xf numFmtId="0" fontId="282" fillId="55" borderId="135" xfId="0" applyFont="1" applyFill="1" applyBorder="1" applyAlignment="1">
      <alignment horizontal="center"/>
    </xf>
    <xf numFmtId="0" fontId="282" fillId="55" borderId="135" xfId="0" applyFont="1" applyFill="1" applyBorder="1" applyAlignment="1">
      <alignment horizontal="center" vertical="center"/>
    </xf>
    <xf numFmtId="0" fontId="282" fillId="55" borderId="141" xfId="0" applyFont="1" applyFill="1" applyBorder="1" applyAlignment="1">
      <alignment horizontal="center" vertical="center"/>
    </xf>
    <xf numFmtId="0" fontId="282" fillId="55" borderId="38" xfId="0" applyFont="1" applyFill="1" applyBorder="1" applyAlignment="1">
      <alignment horizontal="center"/>
    </xf>
    <xf numFmtId="6" fontId="283" fillId="55" borderId="80" xfId="0" applyNumberFormat="1" applyFont="1" applyFill="1" applyBorder="1" applyAlignment="1">
      <alignment horizontal="center"/>
    </xf>
    <xf numFmtId="6" fontId="283" fillId="55" borderId="83" xfId="0" applyNumberFormat="1" applyFont="1" applyFill="1" applyBorder="1" applyAlignment="1">
      <alignment horizontal="center"/>
    </xf>
    <xf numFmtId="0" fontId="210" fillId="55" borderId="0" xfId="0" applyFont="1" applyFill="1" applyAlignment="1">
      <alignment horizontal="center"/>
    </xf>
    <xf numFmtId="0" fontId="210" fillId="55" borderId="136" xfId="0" applyFont="1" applyFill="1" applyBorder="1"/>
    <xf numFmtId="6" fontId="259" fillId="55" borderId="82" xfId="0" applyNumberFormat="1" applyFont="1" applyFill="1" applyBorder="1" applyAlignment="1">
      <alignment horizontal="center"/>
    </xf>
    <xf numFmtId="0" fontId="210" fillId="37" borderId="41" xfId="0" applyFont="1" applyFill="1" applyBorder="1"/>
    <xf numFmtId="0" fontId="210" fillId="37" borderId="97" xfId="0" applyFont="1" applyFill="1" applyBorder="1"/>
    <xf numFmtId="0" fontId="7" fillId="39" borderId="140" xfId="0" applyFont="1" applyFill="1" applyBorder="1" applyAlignment="1">
      <alignment horizontal="center" wrapText="1"/>
    </xf>
    <xf numFmtId="0" fontId="7" fillId="39" borderId="138" xfId="0" applyFont="1" applyFill="1" applyBorder="1" applyAlignment="1">
      <alignment horizontal="center" wrapText="1"/>
    </xf>
    <xf numFmtId="0" fontId="7" fillId="47" borderId="137" xfId="0" applyFont="1" applyFill="1" applyBorder="1" applyAlignment="1">
      <alignment horizontal="center" wrapText="1"/>
    </xf>
    <xf numFmtId="0" fontId="7" fillId="47" borderId="138" xfId="0" applyFont="1" applyFill="1" applyBorder="1" applyAlignment="1">
      <alignment horizontal="center" wrapText="1"/>
    </xf>
    <xf numFmtId="0" fontId="7" fillId="39" borderId="137" xfId="0" applyFont="1" applyFill="1" applyBorder="1" applyAlignment="1">
      <alignment horizontal="center" wrapText="1"/>
    </xf>
    <xf numFmtId="9" fontId="213" fillId="53" borderId="85" xfId="162" applyFont="1" applyFill="1" applyBorder="1" applyAlignment="1">
      <alignment horizontal="center"/>
    </xf>
    <xf numFmtId="9" fontId="213" fillId="53" borderId="86" xfId="162" applyFont="1" applyFill="1" applyBorder="1" applyAlignment="1">
      <alignment horizontal="center"/>
    </xf>
    <xf numFmtId="0" fontId="24" fillId="53" borderId="26" xfId="0" applyFont="1" applyFill="1" applyBorder="1" applyAlignment="1">
      <alignment horizontal="center"/>
    </xf>
    <xf numFmtId="0" fontId="11" fillId="53" borderId="36" xfId="0" applyFont="1" applyFill="1" applyBorder="1" applyAlignment="1">
      <alignment horizontal="center"/>
    </xf>
    <xf numFmtId="0" fontId="24" fillId="53" borderId="36" xfId="0" applyFont="1" applyFill="1" applyBorder="1" applyAlignment="1">
      <alignment horizontal="center"/>
    </xf>
    <xf numFmtId="0" fontId="24" fillId="53" borderId="27" xfId="0" applyFont="1" applyFill="1" applyBorder="1" applyAlignment="1">
      <alignment horizontal="center"/>
    </xf>
    <xf numFmtId="1" fontId="24" fillId="53" borderId="26" xfId="0" applyNumberFormat="1" applyFont="1" applyFill="1" applyBorder="1" applyAlignment="1">
      <alignment horizontal="center"/>
    </xf>
    <xf numFmtId="1" fontId="24" fillId="53" borderId="36" xfId="0" applyNumberFormat="1" applyFont="1" applyFill="1" applyBorder="1" applyAlignment="1">
      <alignment horizontal="center"/>
    </xf>
    <xf numFmtId="1" fontId="24" fillId="53" borderId="27" xfId="0" applyNumberFormat="1" applyFont="1" applyFill="1" applyBorder="1" applyAlignment="1">
      <alignment horizontal="center"/>
    </xf>
    <xf numFmtId="0" fontId="11" fillId="53" borderId="27" xfId="0" applyFont="1" applyFill="1" applyBorder="1" applyAlignment="1">
      <alignment horizontal="center"/>
    </xf>
    <xf numFmtId="0" fontId="284" fillId="0" borderId="0" xfId="96" applyFont="1" applyFill="1"/>
    <xf numFmtId="0" fontId="285" fillId="0" borderId="0" xfId="96" applyFont="1" applyFill="1"/>
    <xf numFmtId="165" fontId="187" fillId="0" borderId="9" xfId="0" applyNumberFormat="1" applyFont="1" applyFill="1" applyBorder="1" applyAlignment="1"/>
    <xf numFmtId="165" fontId="185" fillId="0" borderId="9" xfId="0" applyNumberFormat="1" applyFont="1" applyFill="1" applyBorder="1" applyAlignment="1"/>
    <xf numFmtId="0" fontId="138" fillId="53" borderId="26" xfId="0" applyFont="1" applyFill="1" applyBorder="1" applyAlignment="1">
      <alignment horizontal="center"/>
    </xf>
    <xf numFmtId="0" fontId="138" fillId="53" borderId="36" xfId="0" applyFont="1" applyFill="1" applyBorder="1" applyAlignment="1">
      <alignment horizontal="center"/>
    </xf>
    <xf numFmtId="0" fontId="138" fillId="53" borderId="27" xfId="0" applyFont="1" applyFill="1" applyBorder="1" applyAlignment="1">
      <alignment horizontal="center"/>
    </xf>
    <xf numFmtId="0" fontId="0" fillId="56" borderId="42" xfId="0" applyFill="1" applyBorder="1" applyAlignment="1">
      <alignment horizontal="left" indent="1"/>
    </xf>
    <xf numFmtId="0" fontId="0" fillId="56" borderId="32" xfId="0" applyFill="1" applyBorder="1" applyAlignment="1">
      <alignment horizontal="left" indent="1"/>
    </xf>
    <xf numFmtId="0" fontId="10" fillId="0" borderId="0" xfId="0" applyFont="1" applyFill="1" applyBorder="1" applyAlignment="1">
      <alignment horizontal="left" wrapText="1" indent="2"/>
    </xf>
    <xf numFmtId="166" fontId="0" fillId="0" borderId="0" xfId="0" applyNumberFormat="1" applyFill="1" applyBorder="1" applyAlignment="1">
      <alignment horizontal="center"/>
    </xf>
    <xf numFmtId="0" fontId="9" fillId="56" borderId="29" xfId="0" applyFont="1" applyFill="1" applyBorder="1" applyAlignment="1">
      <alignment horizontal="left" indent="1"/>
    </xf>
    <xf numFmtId="0" fontId="9" fillId="56" borderId="42" xfId="0" applyFont="1" applyFill="1" applyBorder="1" applyAlignment="1">
      <alignment horizontal="left" indent="1"/>
    </xf>
    <xf numFmtId="0" fontId="286" fillId="0" borderId="0" xfId="0" applyFont="1"/>
    <xf numFmtId="0" fontId="287" fillId="0" borderId="0" xfId="0" applyFont="1"/>
    <xf numFmtId="0" fontId="194" fillId="0" borderId="0" xfId="0" applyFont="1"/>
    <xf numFmtId="165" fontId="9" fillId="56" borderId="0" xfId="29" applyNumberFormat="1" applyFont="1" applyFill="1" applyBorder="1"/>
    <xf numFmtId="0" fontId="288" fillId="0" borderId="0" xfId="0" applyFont="1"/>
    <xf numFmtId="0" fontId="289" fillId="0" borderId="0" xfId="0" applyFont="1"/>
    <xf numFmtId="0" fontId="290" fillId="0" borderId="0" xfId="0" applyFont="1"/>
    <xf numFmtId="0" fontId="289" fillId="0" borderId="0" xfId="0" applyFont="1" applyFill="1"/>
    <xf numFmtId="0" fontId="7" fillId="56" borderId="0" xfId="0" applyFont="1" applyFill="1" applyBorder="1" applyAlignment="1">
      <alignment horizontal="left" indent="2"/>
    </xf>
    <xf numFmtId="166" fontId="9" fillId="56" borderId="0" xfId="44" applyNumberFormat="1" applyFont="1" applyFill="1" applyBorder="1"/>
    <xf numFmtId="0" fontId="0" fillId="56" borderId="0" xfId="0" applyFill="1" applyBorder="1" applyAlignment="1">
      <alignment horizontal="center"/>
    </xf>
    <xf numFmtId="41" fontId="111" fillId="56" borderId="8" xfId="0" applyNumberFormat="1" applyFont="1" applyFill="1" applyBorder="1" applyAlignment="1">
      <alignment horizontal="left" indent="1"/>
    </xf>
    <xf numFmtId="0" fontId="7" fillId="56" borderId="0" xfId="0" applyFont="1" applyFill="1" applyBorder="1" applyAlignment="1">
      <alignment horizontal="left" wrapText="1" indent="2"/>
    </xf>
    <xf numFmtId="165" fontId="213" fillId="56" borderId="37" xfId="29" applyNumberFormat="1" applyFont="1" applyFill="1" applyBorder="1"/>
    <xf numFmtId="0" fontId="213" fillId="56" borderId="37" xfId="0" applyFont="1" applyFill="1" applyBorder="1"/>
    <xf numFmtId="0" fontId="7" fillId="0" borderId="0" xfId="0" applyFont="1" applyFill="1" applyAlignment="1">
      <alignment horizontal="left"/>
    </xf>
    <xf numFmtId="0" fontId="209" fillId="37" borderId="44" xfId="0" applyFont="1" applyFill="1" applyBorder="1" applyAlignment="1">
      <alignment horizontal="center"/>
    </xf>
    <xf numFmtId="0" fontId="282" fillId="55" borderId="41" xfId="0" applyFont="1" applyFill="1" applyBorder="1" applyAlignment="1">
      <alignment horizontal="center"/>
    </xf>
    <xf numFmtId="0" fontId="282" fillId="55" borderId="97" xfId="0" applyFont="1" applyFill="1" applyBorder="1" applyAlignment="1">
      <alignment horizontal="center"/>
    </xf>
    <xf numFmtId="0" fontId="210" fillId="37" borderId="46" xfId="0" applyFont="1" applyFill="1" applyBorder="1" applyAlignment="1">
      <alignment horizontal="center" vertical="center"/>
    </xf>
    <xf numFmtId="0" fontId="210" fillId="37" borderId="48" xfId="0" applyFont="1" applyFill="1" applyBorder="1" applyAlignment="1">
      <alignment horizontal="center" vertical="center"/>
    </xf>
    <xf numFmtId="0" fontId="210" fillId="37" borderId="48" xfId="0" applyFont="1" applyFill="1" applyBorder="1" applyAlignment="1">
      <alignment horizontal="center"/>
    </xf>
    <xf numFmtId="0" fontId="209" fillId="37" borderId="40" xfId="0" applyFont="1" applyFill="1" applyBorder="1" applyAlignment="1">
      <alignment horizontal="center" vertical="center"/>
    </xf>
    <xf numFmtId="0" fontId="209" fillId="37" borderId="40" xfId="0" applyFont="1" applyFill="1" applyBorder="1" applyAlignment="1">
      <alignment horizontal="center"/>
    </xf>
    <xf numFmtId="0" fontId="209" fillId="37" borderId="44" xfId="0" applyFont="1" applyFill="1" applyBorder="1" applyAlignment="1">
      <alignment horizontal="center"/>
    </xf>
    <xf numFmtId="0" fontId="209" fillId="37" borderId="40" xfId="0" applyFont="1" applyFill="1" applyBorder="1" applyAlignment="1">
      <alignment horizontal="center" vertical="center"/>
    </xf>
    <xf numFmtId="0" fontId="209" fillId="37" borderId="49" xfId="0" applyFont="1" applyFill="1" applyBorder="1" applyAlignment="1">
      <alignment horizontal="center"/>
    </xf>
    <xf numFmtId="0" fontId="209" fillId="37" borderId="40" xfId="0" applyFont="1" applyFill="1" applyBorder="1" applyAlignment="1">
      <alignment horizontal="center"/>
    </xf>
    <xf numFmtId="9" fontId="213" fillId="54" borderId="85" xfId="162" applyFont="1" applyFill="1" applyBorder="1" applyAlignment="1">
      <alignment horizontal="center"/>
    </xf>
    <xf numFmtId="9" fontId="213" fillId="54" borderId="86" xfId="162" applyFont="1" applyFill="1" applyBorder="1" applyAlignment="1">
      <alignment horizontal="center"/>
    </xf>
    <xf numFmtId="167" fontId="213" fillId="54" borderId="85" xfId="162" applyNumberFormat="1" applyFont="1" applyFill="1" applyBorder="1" applyAlignment="1">
      <alignment horizontal="center"/>
    </xf>
    <xf numFmtId="167" fontId="213" fillId="54" borderId="86" xfId="162" applyNumberFormat="1" applyFont="1" applyFill="1" applyBorder="1" applyAlignment="1">
      <alignment horizontal="center"/>
    </xf>
    <xf numFmtId="0" fontId="210" fillId="37" borderId="29" xfId="0" applyFont="1" applyFill="1" applyBorder="1"/>
    <xf numFmtId="0" fontId="210" fillId="37" borderId="30" xfId="0" applyFont="1" applyFill="1" applyBorder="1"/>
    <xf numFmtId="0" fontId="209" fillId="37" borderId="30" xfId="0" applyFont="1" applyFill="1" applyBorder="1" applyAlignment="1">
      <alignment horizontal="center"/>
    </xf>
    <xf numFmtId="0" fontId="209" fillId="37" borderId="30" xfId="0" applyFont="1" applyFill="1" applyBorder="1" applyAlignment="1"/>
    <xf numFmtId="0" fontId="209" fillId="37" borderId="153" xfId="0" applyFont="1" applyFill="1" applyBorder="1" applyAlignment="1">
      <alignment horizontal="center"/>
    </xf>
    <xf numFmtId="0" fontId="209" fillId="37" borderId="31" xfId="0" applyFont="1" applyFill="1" applyBorder="1" applyAlignment="1">
      <alignment horizontal="center"/>
    </xf>
    <xf numFmtId="0" fontId="210" fillId="37" borderId="42" xfId="0" applyFont="1" applyFill="1" applyBorder="1" applyAlignment="1">
      <alignment horizontal="center"/>
    </xf>
    <xf numFmtId="0" fontId="209" fillId="37" borderId="0" xfId="0" applyFont="1" applyFill="1" applyBorder="1" applyAlignment="1">
      <alignment horizontal="center"/>
    </xf>
    <xf numFmtId="0" fontId="209" fillId="37" borderId="93" xfId="0" applyFont="1" applyFill="1" applyBorder="1" applyAlignment="1">
      <alignment horizontal="center"/>
    </xf>
    <xf numFmtId="0" fontId="209" fillId="37" borderId="156" xfId="0" applyFont="1" applyFill="1" applyBorder="1" applyAlignment="1">
      <alignment horizontal="center"/>
    </xf>
    <xf numFmtId="0" fontId="209" fillId="37" borderId="158" xfId="0" applyFont="1" applyFill="1" applyBorder="1" applyAlignment="1">
      <alignment horizontal="center" vertical="center" wrapText="1"/>
    </xf>
    <xf numFmtId="0" fontId="209" fillId="37" borderId="158" xfId="0" applyFont="1" applyFill="1" applyBorder="1" applyAlignment="1">
      <alignment horizontal="center"/>
    </xf>
    <xf numFmtId="0" fontId="209" fillId="37" borderId="160" xfId="0" applyFont="1" applyFill="1" applyBorder="1" applyAlignment="1">
      <alignment horizontal="center"/>
    </xf>
    <xf numFmtId="0" fontId="209" fillId="37" borderId="160" xfId="0" applyFont="1" applyFill="1" applyBorder="1" applyAlignment="1">
      <alignment horizontal="center" vertical="center"/>
    </xf>
    <xf numFmtId="0" fontId="209" fillId="37" borderId="148" xfId="0" applyFont="1" applyFill="1" applyBorder="1" applyAlignment="1">
      <alignment horizontal="center"/>
    </xf>
    <xf numFmtId="0" fontId="209" fillId="37" borderId="161" xfId="0" applyFont="1" applyFill="1" applyBorder="1" applyAlignment="1">
      <alignment horizontal="center"/>
    </xf>
    <xf numFmtId="0" fontId="282" fillId="55" borderId="166" xfId="0" applyFont="1" applyFill="1" applyBorder="1" applyAlignment="1">
      <alignment wrapText="1"/>
    </xf>
    <xf numFmtId="0" fontId="282" fillId="55" borderId="166" xfId="0" quotePrefix="1" applyFont="1" applyFill="1" applyBorder="1" applyAlignment="1">
      <alignment horizontal="center" wrapText="1"/>
    </xf>
    <xf numFmtId="0" fontId="282" fillId="55" borderId="166" xfId="0" applyFont="1" applyFill="1" applyBorder="1" applyAlignment="1">
      <alignment horizontal="center" wrapText="1"/>
    </xf>
    <xf numFmtId="0" fontId="282" fillId="55" borderId="166" xfId="0" applyFont="1" applyFill="1" applyBorder="1" applyAlignment="1">
      <alignment horizontal="center" vertical="center" wrapText="1"/>
    </xf>
    <xf numFmtId="6" fontId="283" fillId="55" borderId="166" xfId="0" applyNumberFormat="1" applyFont="1" applyFill="1" applyBorder="1" applyAlignment="1">
      <alignment horizontal="center" wrapText="1"/>
    </xf>
    <xf numFmtId="0" fontId="282" fillId="55" borderId="167" xfId="0" quotePrefix="1" applyFont="1" applyFill="1" applyBorder="1" applyAlignment="1">
      <alignment horizontal="center" wrapText="1"/>
    </xf>
    <xf numFmtId="0" fontId="282" fillId="55" borderId="168" xfId="0" applyFont="1" applyFill="1" applyBorder="1" applyAlignment="1">
      <alignment horizontal="center" wrapText="1"/>
    </xf>
    <xf numFmtId="0" fontId="282" fillId="55" borderId="169" xfId="0" applyFont="1" applyFill="1" applyBorder="1" applyAlignment="1">
      <alignment horizontal="center" wrapText="1"/>
    </xf>
    <xf numFmtId="0" fontId="282" fillId="55" borderId="167" xfId="0" applyFont="1" applyFill="1" applyBorder="1" applyAlignment="1">
      <alignment horizontal="center" wrapText="1"/>
    </xf>
    <xf numFmtId="0" fontId="282" fillId="55" borderId="167" xfId="0" applyFont="1" applyFill="1" applyBorder="1" applyAlignment="1">
      <alignment horizontal="center" vertical="center" wrapText="1"/>
    </xf>
    <xf numFmtId="0" fontId="282" fillId="55" borderId="168" xfId="0" applyFont="1" applyFill="1" applyBorder="1" applyAlignment="1">
      <alignment horizontal="center" vertical="center" wrapText="1"/>
    </xf>
    <xf numFmtId="0" fontId="282" fillId="55" borderId="168" xfId="0" applyFont="1" applyFill="1" applyBorder="1" applyAlignment="1">
      <alignment wrapText="1"/>
    </xf>
    <xf numFmtId="0" fontId="282" fillId="55" borderId="167" xfId="0" applyFont="1" applyFill="1" applyBorder="1" applyAlignment="1">
      <alignment wrapText="1"/>
    </xf>
    <xf numFmtId="0" fontId="282" fillId="55" borderId="169" xfId="0" applyFont="1" applyFill="1" applyBorder="1" applyAlignment="1">
      <alignment wrapText="1"/>
    </xf>
    <xf numFmtId="0" fontId="282" fillId="55" borderId="170" xfId="0" quotePrefix="1" applyFont="1" applyFill="1" applyBorder="1" applyAlignment="1">
      <alignment horizontal="center" wrapText="1"/>
    </xf>
    <xf numFmtId="0" fontId="282" fillId="55" borderId="171" xfId="0" quotePrefix="1" applyFont="1" applyFill="1" applyBorder="1" applyAlignment="1">
      <alignment horizontal="center" wrapText="1"/>
    </xf>
    <xf numFmtId="0" fontId="282" fillId="55" borderId="172" xfId="0" quotePrefix="1" applyFont="1" applyFill="1" applyBorder="1" applyAlignment="1">
      <alignment horizontal="center" wrapText="1"/>
    </xf>
    <xf numFmtId="0" fontId="282" fillId="55" borderId="173" xfId="0" quotePrefix="1" applyFont="1" applyFill="1" applyBorder="1" applyAlignment="1">
      <alignment horizontal="center" wrapText="1"/>
    </xf>
    <xf numFmtId="0" fontId="282" fillId="55" borderId="174" xfId="0" quotePrefix="1" applyFont="1" applyFill="1" applyBorder="1" applyAlignment="1">
      <alignment horizontal="center" wrapText="1"/>
    </xf>
    <xf numFmtId="0" fontId="282" fillId="55" borderId="175" xfId="0" quotePrefix="1" applyFont="1" applyFill="1" applyBorder="1" applyAlignment="1">
      <alignment horizontal="center" wrapText="1"/>
    </xf>
    <xf numFmtId="9" fontId="282" fillId="55" borderId="176" xfId="0" applyNumberFormat="1" applyFont="1" applyFill="1" applyBorder="1" applyAlignment="1">
      <alignment horizontal="center" wrapText="1"/>
    </xf>
    <xf numFmtId="0" fontId="282" fillId="55" borderId="177" xfId="0" applyFont="1" applyFill="1" applyBorder="1" applyAlignment="1">
      <alignment horizontal="center" wrapText="1"/>
    </xf>
    <xf numFmtId="0" fontId="282" fillId="55" borderId="178" xfId="0" applyFont="1" applyFill="1" applyBorder="1" applyAlignment="1">
      <alignment horizontal="center" wrapText="1"/>
    </xf>
    <xf numFmtId="0" fontId="282" fillId="55" borderId="43" xfId="0" applyFont="1" applyFill="1" applyBorder="1" applyAlignment="1">
      <alignment horizontal="center" vertical="center"/>
    </xf>
    <xf numFmtId="0" fontId="282" fillId="55" borderId="56" xfId="0" applyFont="1" applyFill="1" applyBorder="1" applyAlignment="1">
      <alignment horizontal="center"/>
    </xf>
    <xf numFmtId="0" fontId="282" fillId="55" borderId="179" xfId="0" applyFont="1" applyFill="1" applyBorder="1" applyAlignment="1">
      <alignment horizontal="center"/>
    </xf>
    <xf numFmtId="0" fontId="210" fillId="55" borderId="166" xfId="0" applyFont="1" applyFill="1" applyBorder="1" applyAlignment="1">
      <alignment horizontal="center"/>
    </xf>
    <xf numFmtId="0" fontId="282" fillId="55" borderId="166" xfId="0" applyFont="1" applyFill="1" applyBorder="1" applyAlignment="1">
      <alignment horizontal="center"/>
    </xf>
    <xf numFmtId="0" fontId="282" fillId="55" borderId="166" xfId="0" quotePrefix="1" applyFont="1" applyFill="1" applyBorder="1" applyAlignment="1">
      <alignment horizontal="center"/>
    </xf>
    <xf numFmtId="9" fontId="282" fillId="55" borderId="166" xfId="0" applyNumberFormat="1" applyFont="1" applyFill="1" applyBorder="1" applyAlignment="1">
      <alignment horizontal="center"/>
    </xf>
    <xf numFmtId="0" fontId="282" fillId="55" borderId="166" xfId="0" applyFont="1" applyFill="1" applyBorder="1" applyAlignment="1">
      <alignment horizontal="center" vertical="center"/>
    </xf>
    <xf numFmtId="0" fontId="210" fillId="55" borderId="166" xfId="0" applyFont="1" applyFill="1" applyBorder="1"/>
    <xf numFmtId="6" fontId="259" fillId="55" borderId="166" xfId="0" applyNumberFormat="1" applyFont="1" applyFill="1" applyBorder="1" applyAlignment="1">
      <alignment horizontal="center"/>
    </xf>
    <xf numFmtId="6" fontId="283" fillId="55" borderId="166" xfId="0" applyNumberFormat="1" applyFont="1" applyFill="1" applyBorder="1" applyAlignment="1">
      <alignment horizontal="center"/>
    </xf>
    <xf numFmtId="0" fontId="282" fillId="55" borderId="170" xfId="0" applyFont="1" applyFill="1" applyBorder="1" applyAlignment="1">
      <alignment horizontal="center"/>
    </xf>
    <xf numFmtId="0" fontId="282" fillId="55" borderId="172" xfId="0" applyFont="1" applyFill="1" applyBorder="1" applyAlignment="1">
      <alignment horizontal="center"/>
    </xf>
    <xf numFmtId="0" fontId="282" fillId="55" borderId="171" xfId="0" applyFont="1" applyFill="1" applyBorder="1" applyAlignment="1">
      <alignment horizontal="center"/>
    </xf>
    <xf numFmtId="0" fontId="0" fillId="0" borderId="83" xfId="0" applyFill="1" applyBorder="1"/>
    <xf numFmtId="0" fontId="210" fillId="37" borderId="44" xfId="0" applyFont="1" applyFill="1" applyBorder="1" applyAlignment="1">
      <alignment horizontal="center"/>
    </xf>
    <xf numFmtId="0" fontId="210" fillId="37" borderId="100" xfId="0" applyFont="1" applyFill="1" applyBorder="1" applyAlignment="1">
      <alignment horizontal="center"/>
    </xf>
    <xf numFmtId="0" fontId="210" fillId="37" borderId="100" xfId="0" quotePrefix="1" applyFont="1" applyFill="1" applyBorder="1" applyAlignment="1">
      <alignment horizontal="center"/>
    </xf>
    <xf numFmtId="0" fontId="210" fillId="37" borderId="64" xfId="0" applyFont="1" applyFill="1" applyBorder="1" applyAlignment="1">
      <alignment horizontal="center"/>
    </xf>
    <xf numFmtId="0" fontId="210" fillId="37" borderId="97" xfId="0" applyFont="1" applyFill="1" applyBorder="1" applyAlignment="1">
      <alignment horizontal="center"/>
    </xf>
    <xf numFmtId="0" fontId="210" fillId="37" borderId="39" xfId="0" applyFont="1" applyFill="1" applyBorder="1" applyAlignment="1">
      <alignment horizontal="center" vertical="center"/>
    </xf>
    <xf numFmtId="165" fontId="214" fillId="54" borderId="6" xfId="29" applyNumberFormat="1" applyFont="1" applyFill="1" applyBorder="1" applyAlignment="1">
      <alignment horizontal="center"/>
    </xf>
    <xf numFmtId="0" fontId="0" fillId="57" borderId="0" xfId="0" applyFill="1"/>
    <xf numFmtId="165" fontId="204" fillId="0" borderId="22" xfId="29" applyNumberFormat="1" applyFont="1" applyFill="1" applyBorder="1" applyAlignment="1"/>
    <xf numFmtId="0" fontId="204" fillId="22" borderId="0" xfId="0" applyNumberFormat="1" applyFont="1" applyFill="1" applyAlignment="1">
      <alignment horizontal="center"/>
    </xf>
    <xf numFmtId="0" fontId="209" fillId="37" borderId="180" xfId="0" applyFont="1" applyFill="1" applyBorder="1" applyAlignment="1">
      <alignment horizontal="center"/>
    </xf>
    <xf numFmtId="0" fontId="209" fillId="37" borderId="181" xfId="0" applyFont="1" applyFill="1" applyBorder="1" applyAlignment="1">
      <alignment horizontal="center"/>
    </xf>
    <xf numFmtId="0" fontId="209" fillId="37" borderId="182" xfId="0" applyFont="1" applyFill="1" applyBorder="1" applyAlignment="1">
      <alignment horizontal="center"/>
    </xf>
    <xf numFmtId="0" fontId="209" fillId="37" borderId="183" xfId="0" applyFont="1" applyFill="1" applyBorder="1" applyAlignment="1">
      <alignment horizontal="center"/>
    </xf>
    <xf numFmtId="0" fontId="209" fillId="37" borderId="185" xfId="0" applyFont="1" applyFill="1" applyBorder="1" applyAlignment="1">
      <alignment horizontal="center"/>
    </xf>
    <xf numFmtId="0" fontId="209" fillId="37" borderId="184" xfId="0" applyFont="1" applyFill="1" applyBorder="1" applyAlignment="1">
      <alignment horizontal="center"/>
    </xf>
    <xf numFmtId="0" fontId="209" fillId="37" borderId="176" xfId="0" applyFont="1" applyFill="1" applyBorder="1" applyAlignment="1">
      <alignment horizontal="center"/>
    </xf>
    <xf numFmtId="0" fontId="209" fillId="37" borderId="177" xfId="0" applyFont="1" applyFill="1" applyBorder="1"/>
    <xf numFmtId="0" fontId="209" fillId="37" borderId="186" xfId="0" applyFont="1" applyFill="1" applyBorder="1" applyAlignment="1">
      <alignment horizontal="center"/>
    </xf>
    <xf numFmtId="0" fontId="209" fillId="37" borderId="187" xfId="0" applyFont="1" applyFill="1" applyBorder="1" applyAlignment="1">
      <alignment horizontal="center"/>
    </xf>
    <xf numFmtId="0" fontId="9" fillId="0" borderId="188" xfId="0" applyFont="1" applyFill="1" applyBorder="1" applyAlignment="1">
      <alignment horizontal="center"/>
    </xf>
    <xf numFmtId="0" fontId="0" fillId="0" borderId="189" xfId="0" applyFill="1" applyBorder="1" applyAlignment="1">
      <alignment horizontal="center"/>
    </xf>
    <xf numFmtId="0" fontId="0" fillId="22" borderId="188" xfId="0" applyFill="1" applyBorder="1" applyAlignment="1">
      <alignment horizontal="center"/>
    </xf>
    <xf numFmtId="167" fontId="9" fillId="22" borderId="189" xfId="162" applyNumberFormat="1" applyFont="1" applyFill="1" applyBorder="1"/>
    <xf numFmtId="0" fontId="0" fillId="0" borderId="188" xfId="0" applyFill="1" applyBorder="1" applyAlignment="1">
      <alignment horizontal="center"/>
    </xf>
    <xf numFmtId="167" fontId="9" fillId="0" borderId="189" xfId="162" applyNumberFormat="1" applyFont="1" applyFill="1" applyBorder="1"/>
    <xf numFmtId="0" fontId="9" fillId="22" borderId="176" xfId="0" applyFont="1" applyFill="1" applyBorder="1" applyAlignment="1">
      <alignment horizontal="center"/>
    </xf>
    <xf numFmtId="0" fontId="10" fillId="22" borderId="177" xfId="0" applyFont="1" applyFill="1" applyBorder="1" applyAlignment="1">
      <alignment horizontal="left" indent="2"/>
    </xf>
    <xf numFmtId="165" fontId="10" fillId="22" borderId="190" xfId="29" applyNumberFormat="1" applyFont="1" applyFill="1" applyBorder="1"/>
    <xf numFmtId="166" fontId="10" fillId="22" borderId="190" xfId="0" applyNumberFormat="1" applyFont="1" applyFill="1" applyBorder="1"/>
    <xf numFmtId="167" fontId="10" fillId="22" borderId="191" xfId="162" applyNumberFormat="1" applyFont="1" applyFill="1" applyBorder="1"/>
    <xf numFmtId="0" fontId="0" fillId="22" borderId="173" xfId="0" applyFill="1" applyBorder="1" applyAlignment="1">
      <alignment horizontal="center"/>
    </xf>
    <xf numFmtId="0" fontId="0" fillId="22" borderId="174" xfId="0" applyFill="1" applyBorder="1"/>
    <xf numFmtId="165" fontId="9" fillId="22" borderId="174" xfId="29" applyNumberFormat="1" applyFont="1" applyFill="1" applyBorder="1"/>
    <xf numFmtId="166" fontId="9" fillId="22" borderId="174" xfId="44" applyNumberFormat="1" applyFont="1" applyFill="1" applyBorder="1"/>
    <xf numFmtId="167" fontId="9" fillId="22" borderId="175" xfId="162" applyNumberFormat="1" applyFont="1" applyFill="1" applyBorder="1"/>
    <xf numFmtId="0" fontId="209" fillId="37" borderId="173" xfId="0" applyFont="1" applyFill="1" applyBorder="1"/>
    <xf numFmtId="0" fontId="209" fillId="37" borderId="174" xfId="0" applyFont="1" applyFill="1" applyBorder="1" applyAlignment="1">
      <alignment horizontal="center"/>
    </xf>
    <xf numFmtId="0" fontId="209" fillId="37" borderId="174" xfId="0" applyFont="1" applyFill="1" applyBorder="1" applyAlignment="1"/>
    <xf numFmtId="0" fontId="209" fillId="37" borderId="175" xfId="0" applyFont="1" applyFill="1" applyBorder="1" applyAlignment="1">
      <alignment horizontal="center"/>
    </xf>
    <xf numFmtId="0" fontId="209" fillId="37" borderId="188" xfId="0" applyFont="1" applyFill="1" applyBorder="1" applyAlignment="1">
      <alignment horizontal="center"/>
    </xf>
    <xf numFmtId="0" fontId="209" fillId="37" borderId="189" xfId="0" applyFont="1" applyFill="1" applyBorder="1" applyAlignment="1">
      <alignment horizontal="center"/>
    </xf>
    <xf numFmtId="0" fontId="209" fillId="37" borderId="196" xfId="0" applyFont="1" applyFill="1" applyBorder="1" applyAlignment="1">
      <alignment horizontal="center"/>
    </xf>
    <xf numFmtId="0" fontId="209" fillId="37" borderId="199" xfId="0" applyFont="1" applyFill="1" applyBorder="1" applyAlignment="1">
      <alignment horizontal="center"/>
    </xf>
    <xf numFmtId="0" fontId="209" fillId="37" borderId="200" xfId="0" applyFont="1" applyFill="1" applyBorder="1" applyAlignment="1">
      <alignment horizontal="center" vertical="center"/>
    </xf>
    <xf numFmtId="0" fontId="209" fillId="37" borderId="200" xfId="0" applyFont="1" applyFill="1" applyBorder="1" applyAlignment="1">
      <alignment horizontal="center"/>
    </xf>
    <xf numFmtId="0" fontId="209" fillId="37" borderId="201" xfId="0" applyFont="1" applyFill="1" applyBorder="1" applyAlignment="1">
      <alignment horizontal="center"/>
    </xf>
    <xf numFmtId="0" fontId="210" fillId="55" borderId="163" xfId="0" applyFont="1" applyFill="1" applyBorder="1" applyAlignment="1">
      <alignment horizontal="center"/>
    </xf>
    <xf numFmtId="0" fontId="210" fillId="55" borderId="165" xfId="0" applyFont="1" applyFill="1" applyBorder="1" applyAlignment="1">
      <alignment horizontal="center"/>
    </xf>
    <xf numFmtId="0" fontId="210" fillId="55" borderId="164" xfId="0" applyFont="1" applyFill="1" applyBorder="1" applyAlignment="1">
      <alignment horizontal="center"/>
    </xf>
    <xf numFmtId="0" fontId="210" fillId="55" borderId="162" xfId="0" applyFont="1" applyFill="1" applyBorder="1" applyAlignment="1">
      <alignment horizontal="center"/>
    </xf>
    <xf numFmtId="0" fontId="258" fillId="55" borderId="162" xfId="0" applyFont="1" applyFill="1" applyBorder="1" applyAlignment="1">
      <alignment horizontal="center"/>
    </xf>
    <xf numFmtId="0" fontId="258" fillId="55" borderId="162" xfId="0" quotePrefix="1" applyFont="1" applyFill="1" applyBorder="1" applyAlignment="1">
      <alignment horizontal="center"/>
    </xf>
    <xf numFmtId="0" fontId="209" fillId="55" borderId="40" xfId="0" applyFont="1" applyFill="1" applyBorder="1" applyAlignment="1">
      <alignment horizontal="center"/>
    </xf>
    <xf numFmtId="0" fontId="209" fillId="55" borderId="43" xfId="0" applyFont="1" applyFill="1" applyBorder="1" applyAlignment="1">
      <alignment horizontal="center"/>
    </xf>
    <xf numFmtId="0" fontId="209" fillId="55" borderId="38" xfId="0" applyFont="1" applyFill="1" applyBorder="1" applyAlignment="1">
      <alignment horizontal="center"/>
    </xf>
    <xf numFmtId="0" fontId="33" fillId="55" borderId="0" xfId="0" applyFont="1" applyFill="1"/>
    <xf numFmtId="0" fontId="9" fillId="55" borderId="0" xfId="0" applyFont="1" applyFill="1"/>
    <xf numFmtId="0" fontId="209" fillId="55" borderId="39" xfId="0" applyFont="1" applyFill="1" applyBorder="1" applyAlignment="1">
      <alignment horizontal="center"/>
    </xf>
    <xf numFmtId="0" fontId="209" fillId="55" borderId="48" xfId="0" applyFont="1" applyFill="1" applyBorder="1" applyAlignment="1"/>
    <xf numFmtId="0" fontId="209" fillId="55" borderId="40" xfId="0" applyFont="1" applyFill="1" applyBorder="1" applyAlignment="1">
      <alignment horizontal="center" vertical="center"/>
    </xf>
    <xf numFmtId="0" fontId="209" fillId="55" borderId="38" xfId="0" applyFont="1" applyFill="1" applyBorder="1" applyAlignment="1">
      <alignment horizontal="center" vertical="center" wrapText="1"/>
    </xf>
    <xf numFmtId="0" fontId="260" fillId="55" borderId="0" xfId="0" applyFont="1" applyFill="1"/>
    <xf numFmtId="0" fontId="210" fillId="55" borderId="0" xfId="0" applyFont="1" applyFill="1"/>
    <xf numFmtId="41" fontId="0" fillId="23" borderId="0" xfId="0" applyNumberFormat="1" applyFill="1" applyAlignment="1">
      <alignment horizontal="right"/>
    </xf>
    <xf numFmtId="3" fontId="0" fillId="22" borderId="0" xfId="0" applyNumberFormat="1" applyFill="1" applyAlignment="1">
      <alignment horizontal="right"/>
    </xf>
    <xf numFmtId="206" fontId="0" fillId="22" borderId="0" xfId="0" applyNumberFormat="1" applyFill="1" applyAlignment="1">
      <alignment horizontal="right"/>
    </xf>
    <xf numFmtId="185" fontId="183" fillId="22" borderId="0" xfId="44" applyNumberFormat="1" applyFont="1" applyFill="1" applyAlignment="1">
      <alignment horizontal="right"/>
    </xf>
    <xf numFmtId="3" fontId="0" fillId="23" borderId="0" xfId="0" applyNumberFormat="1" applyFill="1" applyAlignment="1">
      <alignment horizontal="right"/>
    </xf>
    <xf numFmtId="206" fontId="0" fillId="23" borderId="0" xfId="0" applyNumberFormat="1" applyFill="1" applyAlignment="1">
      <alignment horizontal="right"/>
    </xf>
    <xf numFmtId="185" fontId="0" fillId="23" borderId="0" xfId="0" applyNumberFormat="1" applyFill="1" applyAlignment="1">
      <alignment horizontal="right"/>
    </xf>
    <xf numFmtId="185" fontId="0" fillId="22" borderId="0" xfId="0" applyNumberFormat="1" applyFill="1" applyAlignment="1">
      <alignment horizontal="right"/>
    </xf>
    <xf numFmtId="185" fontId="9" fillId="22" borderId="0" xfId="0" applyNumberFormat="1" applyFont="1" applyFill="1" applyAlignment="1">
      <alignment horizontal="right"/>
    </xf>
    <xf numFmtId="185" fontId="9" fillId="23" borderId="0" xfId="0" applyNumberFormat="1" applyFont="1" applyFill="1" applyAlignment="1">
      <alignment horizontal="right"/>
    </xf>
    <xf numFmtId="3" fontId="10" fillId="23" borderId="0" xfId="0" applyNumberFormat="1" applyFont="1" applyFill="1" applyAlignment="1">
      <alignment horizontal="right"/>
    </xf>
    <xf numFmtId="206" fontId="10" fillId="23" borderId="0" xfId="0" applyNumberFormat="1" applyFont="1" applyFill="1" applyAlignment="1">
      <alignment horizontal="right"/>
    </xf>
    <xf numFmtId="185" fontId="10" fillId="23" borderId="0" xfId="0" applyNumberFormat="1" applyFont="1" applyFill="1" applyAlignment="1">
      <alignment horizontal="right"/>
    </xf>
    <xf numFmtId="0" fontId="291" fillId="37" borderId="170" xfId="0" applyFont="1" applyFill="1" applyBorder="1" applyAlignment="1">
      <alignment horizontal="center" vertical="center"/>
    </xf>
    <xf numFmtId="0" fontId="291" fillId="37" borderId="192" xfId="0" applyFont="1" applyFill="1" applyBorder="1" applyAlignment="1">
      <alignment horizontal="center" vertical="center"/>
    </xf>
    <xf numFmtId="0" fontId="291" fillId="37" borderId="172" xfId="0" applyFont="1" applyFill="1" applyBorder="1" applyAlignment="1">
      <alignment horizontal="center" vertical="center"/>
    </xf>
    <xf numFmtId="0" fontId="291" fillId="37" borderId="171" xfId="0" applyFont="1" applyFill="1" applyBorder="1" applyAlignment="1">
      <alignment horizontal="center" vertical="center" wrapText="1"/>
    </xf>
    <xf numFmtId="10" fontId="7" fillId="23" borderId="0" xfId="0" applyNumberFormat="1" applyFont="1" applyFill="1"/>
    <xf numFmtId="167" fontId="0" fillId="0" borderId="21" xfId="162" applyNumberFormat="1" applyFont="1" applyBorder="1"/>
    <xf numFmtId="37" fontId="0" fillId="0" borderId="0" xfId="0" applyNumberFormat="1" applyFill="1"/>
    <xf numFmtId="10" fontId="0" fillId="0" borderId="21" xfId="0" applyNumberFormat="1" applyBorder="1"/>
    <xf numFmtId="41" fontId="7" fillId="0" borderId="0" xfId="0" applyNumberFormat="1" applyFont="1"/>
    <xf numFmtId="165" fontId="7" fillId="0" borderId="0" xfId="0" applyNumberFormat="1" applyFont="1"/>
    <xf numFmtId="0" fontId="9" fillId="0" borderId="72" xfId="0" applyFont="1" applyFill="1" applyBorder="1"/>
    <xf numFmtId="165" fontId="0" fillId="0" borderId="9" xfId="29" applyNumberFormat="1" applyFont="1" applyBorder="1"/>
    <xf numFmtId="0" fontId="7" fillId="0" borderId="72" xfId="0" applyFont="1" applyFill="1" applyBorder="1"/>
    <xf numFmtId="0" fontId="0" fillId="0" borderId="72" xfId="0" applyFill="1" applyBorder="1"/>
    <xf numFmtId="0" fontId="0" fillId="0" borderId="101" xfId="0" applyFill="1" applyBorder="1"/>
    <xf numFmtId="165" fontId="0" fillId="0" borderId="102" xfId="29" applyNumberFormat="1" applyFont="1" applyBorder="1"/>
    <xf numFmtId="0" fontId="7" fillId="0" borderId="101" xfId="0" applyFont="1" applyFill="1" applyBorder="1" applyAlignment="1">
      <alignment horizontal="right"/>
    </xf>
    <xf numFmtId="165" fontId="0" fillId="0" borderId="21" xfId="0" applyNumberFormat="1" applyBorder="1"/>
    <xf numFmtId="165" fontId="0" fillId="0" borderId="102" xfId="0" applyNumberFormat="1" applyBorder="1"/>
    <xf numFmtId="167" fontId="0" fillId="0" borderId="0" xfId="162" applyNumberFormat="1" applyFont="1" applyBorder="1"/>
    <xf numFmtId="167" fontId="0" fillId="0" borderId="9" xfId="162" applyNumberFormat="1" applyFont="1" applyBorder="1"/>
    <xf numFmtId="167" fontId="0" fillId="0" borderId="102" xfId="162" applyNumberFormat="1" applyFont="1" applyBorder="1"/>
    <xf numFmtId="10" fontId="0" fillId="0" borderId="0" xfId="0" applyNumberFormat="1" applyBorder="1"/>
    <xf numFmtId="10" fontId="0" fillId="0" borderId="9" xfId="0" applyNumberFormat="1" applyBorder="1"/>
    <xf numFmtId="10" fontId="0" fillId="0" borderId="102" xfId="0" applyNumberFormat="1" applyBorder="1"/>
    <xf numFmtId="0" fontId="0" fillId="58" borderId="0" xfId="0" applyFill="1"/>
    <xf numFmtId="0" fontId="7" fillId="58" borderId="0" xfId="0" applyFont="1" applyFill="1"/>
    <xf numFmtId="0" fontId="7" fillId="0" borderId="0" xfId="0" applyFont="1" applyFill="1" applyBorder="1" applyAlignment="1">
      <alignment horizontal="right"/>
    </xf>
    <xf numFmtId="165" fontId="0" fillId="0" borderId="0" xfId="0" applyNumberFormat="1" applyBorder="1"/>
    <xf numFmtId="167" fontId="0" fillId="0" borderId="0" xfId="0" applyNumberFormat="1" applyBorder="1"/>
    <xf numFmtId="0" fontId="7" fillId="59" borderId="0" xfId="0" applyFont="1" applyFill="1"/>
    <xf numFmtId="0" fontId="0" fillId="59" borderId="0" xfId="0" applyFill="1"/>
    <xf numFmtId="0" fontId="7" fillId="0" borderId="9" xfId="0" applyFont="1" applyBorder="1"/>
    <xf numFmtId="204" fontId="0" fillId="0" borderId="0" xfId="29" applyNumberFormat="1" applyFont="1" applyBorder="1"/>
    <xf numFmtId="0" fontId="0" fillId="0" borderId="74" xfId="0" applyBorder="1"/>
    <xf numFmtId="204" fontId="0" fillId="0" borderId="9" xfId="29" applyNumberFormat="1" applyFont="1" applyBorder="1"/>
    <xf numFmtId="204" fontId="0" fillId="0" borderId="21" xfId="29" applyNumberFormat="1" applyFont="1" applyBorder="1"/>
    <xf numFmtId="204" fontId="0" fillId="0" borderId="102" xfId="29" applyNumberFormat="1" applyFont="1" applyBorder="1"/>
    <xf numFmtId="0" fontId="0" fillId="0" borderId="85" xfId="0" applyBorder="1"/>
    <xf numFmtId="204" fontId="0" fillId="0" borderId="8" xfId="29" applyNumberFormat="1" applyFont="1" applyBorder="1"/>
    <xf numFmtId="204" fontId="0" fillId="0" borderId="86" xfId="29" applyNumberFormat="1" applyFont="1" applyBorder="1"/>
    <xf numFmtId="0" fontId="293" fillId="0" borderId="0" xfId="219" applyFont="1"/>
    <xf numFmtId="0" fontId="294" fillId="0" borderId="0" xfId="219" applyFont="1"/>
    <xf numFmtId="0" fontId="6" fillId="0" borderId="0" xfId="219"/>
    <xf numFmtId="0" fontId="295" fillId="60" borderId="0" xfId="219" applyFont="1" applyFill="1" applyAlignment="1">
      <alignment horizontal="center"/>
    </xf>
    <xf numFmtId="0" fontId="295" fillId="60" borderId="0" xfId="219" applyFont="1" applyFill="1"/>
    <xf numFmtId="0" fontId="296" fillId="61" borderId="202" xfId="220"/>
    <xf numFmtId="0" fontId="297" fillId="60" borderId="0" xfId="219" applyFont="1" applyFill="1"/>
    <xf numFmtId="0" fontId="6" fillId="0" borderId="0" xfId="219" applyFill="1"/>
    <xf numFmtId="0" fontId="296" fillId="61" borderId="203" xfId="220" applyBorder="1"/>
    <xf numFmtId="0" fontId="296" fillId="0" borderId="0" xfId="220" applyFill="1" applyBorder="1"/>
    <xf numFmtId="0" fontId="284" fillId="0" borderId="0" xfId="219" applyFont="1"/>
    <xf numFmtId="0" fontId="6" fillId="0" borderId="0" xfId="219" applyFill="1" applyBorder="1"/>
    <xf numFmtId="0" fontId="295" fillId="0" borderId="0" xfId="219" applyFont="1"/>
    <xf numFmtId="0" fontId="296" fillId="61" borderId="202" xfId="220" quotePrefix="1"/>
    <xf numFmtId="167" fontId="0" fillId="0" borderId="9" xfId="0" applyNumberFormat="1" applyBorder="1"/>
    <xf numFmtId="167" fontId="0" fillId="0" borderId="102" xfId="0" applyNumberFormat="1" applyBorder="1"/>
    <xf numFmtId="167" fontId="0" fillId="0" borderId="21" xfId="0" applyNumberFormat="1" applyBorder="1"/>
    <xf numFmtId="164" fontId="138" fillId="32" borderId="37" xfId="49" applyNumberFormat="1" applyFont="1" applyFill="1" applyBorder="1" applyAlignment="1"/>
    <xf numFmtId="164" fontId="138" fillId="32" borderId="26" xfId="49" applyNumberFormat="1" applyFont="1" applyFill="1" applyBorder="1" applyAlignment="1"/>
    <xf numFmtId="164" fontId="138" fillId="32" borderId="36" xfId="49" applyNumberFormat="1" applyFont="1" applyFill="1" applyBorder="1" applyAlignment="1"/>
    <xf numFmtId="164" fontId="138" fillId="32" borderId="27" xfId="49" applyNumberFormat="1" applyFont="1" applyFill="1" applyBorder="1" applyAlignment="1"/>
    <xf numFmtId="165" fontId="53" fillId="0" borderId="20" xfId="542" applyNumberFormat="1" applyFont="1" applyFill="1" applyBorder="1" applyAlignment="1">
      <alignment horizontal="center" vertical="center" wrapText="1"/>
    </xf>
    <xf numFmtId="210" fontId="338" fillId="0" borderId="104" xfId="695" applyNumberFormat="1" applyFont="1" applyFill="1" applyBorder="1" applyAlignment="1">
      <alignment horizontal="right"/>
    </xf>
    <xf numFmtId="49" fontId="53" fillId="0" borderId="21" xfId="1038" applyNumberFormat="1" applyFont="1" applyFill="1" applyBorder="1" applyAlignment="1">
      <alignment horizontal="center" vertical="center" wrapText="1"/>
    </xf>
    <xf numFmtId="49" fontId="53" fillId="0" borderId="21" xfId="1038" applyNumberFormat="1" applyFont="1" applyFill="1" applyBorder="1" applyAlignment="1" applyProtection="1">
      <alignment horizontal="center" vertical="center" wrapText="1"/>
      <protection locked="0"/>
    </xf>
    <xf numFmtId="208" fontId="53" fillId="0" borderId="21" xfId="1038" applyNumberFormat="1" applyFont="1" applyFill="1" applyBorder="1" applyAlignment="1">
      <alignment horizontal="center" vertical="center" wrapText="1"/>
    </xf>
    <xf numFmtId="0" fontId="53" fillId="0" borderId="21" xfId="1038" applyFont="1" applyFill="1" applyBorder="1" applyAlignment="1">
      <alignment horizontal="center" vertical="center" wrapText="1"/>
    </xf>
    <xf numFmtId="209" fontId="53" fillId="0" borderId="21" xfId="1038" applyNumberFormat="1" applyFont="1" applyFill="1" applyBorder="1" applyAlignment="1">
      <alignment horizontal="center" vertical="center" wrapText="1"/>
    </xf>
    <xf numFmtId="0" fontId="53" fillId="0" borderId="21" xfId="1038" applyNumberFormat="1" applyFont="1" applyFill="1" applyBorder="1" applyAlignment="1">
      <alignment horizontal="center" vertical="center" wrapText="1"/>
    </xf>
    <xf numFmtId="49" fontId="53" fillId="0" borderId="20" xfId="1038" applyNumberFormat="1" applyFont="1" applyFill="1" applyBorder="1" applyAlignment="1">
      <alignment horizontal="center" vertical="center" wrapText="1"/>
    </xf>
    <xf numFmtId="49" fontId="53" fillId="0" borderId="204" xfId="1038" applyNumberFormat="1" applyFont="1" applyFill="1" applyBorder="1" applyAlignment="1">
      <alignment horizontal="center" vertical="center" wrapText="1"/>
    </xf>
    <xf numFmtId="0" fontId="53" fillId="0" borderId="0" xfId="1038" applyFont="1" applyFill="1" applyBorder="1" applyAlignment="1">
      <alignment horizontal="center" vertical="center" wrapText="1"/>
    </xf>
    <xf numFmtId="49" fontId="25" fillId="0" borderId="20" xfId="1038" applyNumberFormat="1" applyFont="1" applyFill="1" applyBorder="1" applyAlignment="1">
      <alignment horizontal="left" vertical="center"/>
    </xf>
    <xf numFmtId="0" fontId="25" fillId="0" borderId="75" xfId="1038" applyNumberFormat="1" applyFont="1" applyFill="1" applyBorder="1" applyAlignment="1" applyProtection="1">
      <alignment horizontal="left" vertical="center"/>
      <protection locked="0"/>
    </xf>
    <xf numFmtId="0" fontId="25" fillId="0" borderId="20" xfId="1038" applyNumberFormat="1" applyFont="1" applyFill="1" applyBorder="1" applyAlignment="1" applyProtection="1">
      <alignment horizontal="left" vertical="center"/>
      <protection locked="0"/>
    </xf>
    <xf numFmtId="208" fontId="25" fillId="0" borderId="20" xfId="1038" applyNumberFormat="1" applyFont="1" applyFill="1" applyBorder="1" applyAlignment="1">
      <alignment horizontal="left" vertical="center"/>
    </xf>
    <xf numFmtId="0" fontId="25" fillId="0" borderId="20" xfId="1038" applyFont="1" applyFill="1" applyBorder="1" applyAlignment="1">
      <alignment horizontal="left" vertical="center"/>
    </xf>
    <xf numFmtId="0" fontId="25" fillId="0" borderId="20" xfId="1038" applyFont="1" applyFill="1" applyBorder="1" applyAlignment="1">
      <alignment horizontal="left" vertical="center" wrapText="1"/>
    </xf>
    <xf numFmtId="0" fontId="25" fillId="0" borderId="20" xfId="1038" applyFont="1" applyFill="1" applyBorder="1" applyAlignment="1">
      <alignment horizontal="left" vertical="top" wrapText="1"/>
    </xf>
    <xf numFmtId="0" fontId="25" fillId="0" borderId="20" xfId="1038" applyFont="1" applyFill="1" applyBorder="1" applyAlignment="1">
      <alignment horizontal="center" vertical="center"/>
    </xf>
    <xf numFmtId="0" fontId="25" fillId="0" borderId="20" xfId="1038" applyFont="1" applyFill="1" applyBorder="1" applyAlignment="1">
      <alignment horizontal="center" vertical="center" wrapText="1"/>
    </xf>
    <xf numFmtId="209" fontId="25" fillId="0" borderId="20" xfId="1038" applyNumberFormat="1" applyFont="1" applyFill="1" applyBorder="1" applyAlignment="1">
      <alignment horizontal="left" vertical="center"/>
    </xf>
    <xf numFmtId="49" fontId="25" fillId="0" borderId="20" xfId="1038" applyNumberFormat="1" applyFont="1" applyFill="1" applyBorder="1" applyAlignment="1">
      <alignment horizontal="center" vertical="center"/>
    </xf>
    <xf numFmtId="0" fontId="25" fillId="0" borderId="20" xfId="1038" applyNumberFormat="1" applyFont="1" applyFill="1" applyBorder="1" applyAlignment="1">
      <alignment horizontal="center" vertical="center"/>
    </xf>
    <xf numFmtId="210" fontId="25" fillId="0" borderId="20" xfId="1038" applyNumberFormat="1" applyFont="1" applyFill="1" applyBorder="1" applyAlignment="1">
      <alignment vertical="center"/>
    </xf>
    <xf numFmtId="210" fontId="53" fillId="0" borderId="20" xfId="1038" applyNumberFormat="1" applyFont="1" applyFill="1" applyBorder="1" applyAlignment="1">
      <alignment vertical="center"/>
    </xf>
    <xf numFmtId="210" fontId="53" fillId="0" borderId="22" xfId="1038" applyNumberFormat="1" applyFont="1" applyFill="1" applyBorder="1" applyAlignment="1">
      <alignment vertical="center"/>
    </xf>
    <xf numFmtId="49" fontId="25" fillId="0" borderId="21" xfId="1038" applyNumberFormat="1" applyFont="1" applyFill="1" applyBorder="1" applyAlignment="1">
      <alignment horizontal="left" vertical="top" wrapText="1"/>
    </xf>
    <xf numFmtId="0" fontId="25" fillId="0" borderId="0" xfId="1038" applyFont="1" applyFill="1"/>
    <xf numFmtId="49" fontId="25" fillId="0" borderId="20" xfId="1038" applyNumberFormat="1" applyFont="1" applyFill="1" applyBorder="1" applyAlignment="1">
      <alignment horizontal="left" vertical="top" wrapText="1"/>
    </xf>
    <xf numFmtId="16" fontId="25" fillId="0" borderId="20" xfId="1038" applyNumberFormat="1" applyFont="1" applyFill="1" applyBorder="1" applyAlignment="1">
      <alignment horizontal="left" vertical="center" wrapText="1"/>
    </xf>
    <xf numFmtId="16" fontId="25" fillId="0" borderId="20" xfId="1038" applyNumberFormat="1" applyFont="1" applyFill="1" applyBorder="1" applyAlignment="1">
      <alignment horizontal="left" vertical="top" wrapText="1"/>
    </xf>
    <xf numFmtId="0" fontId="25" fillId="0" borderId="20" xfId="1523" applyFont="1" applyFill="1" applyBorder="1" applyAlignment="1">
      <alignment horizontal="center" vertical="center" wrapText="1"/>
    </xf>
    <xf numFmtId="209" fontId="25" fillId="0" borderId="0" xfId="1038" applyNumberFormat="1" applyFont="1" applyFill="1" applyBorder="1" applyAlignment="1">
      <alignment horizontal="left" vertical="center"/>
    </xf>
    <xf numFmtId="0" fontId="25" fillId="0" borderId="21" xfId="1038" applyNumberFormat="1" applyFont="1" applyFill="1" applyBorder="1" applyAlignment="1" applyProtection="1">
      <alignment horizontal="left" vertical="center"/>
      <protection locked="0"/>
    </xf>
    <xf numFmtId="208" fontId="25" fillId="0" borderId="21" xfId="1038" applyNumberFormat="1" applyFont="1" applyFill="1" applyBorder="1" applyAlignment="1">
      <alignment horizontal="left" vertical="center"/>
    </xf>
    <xf numFmtId="16" fontId="25" fillId="0" borderId="20" xfId="1038" applyNumberFormat="1" applyFont="1" applyFill="1" applyBorder="1" applyAlignment="1">
      <alignment horizontal="center" vertical="center"/>
    </xf>
    <xf numFmtId="3" fontId="25" fillId="0" borderId="20" xfId="1038" quotePrefix="1" applyNumberFormat="1" applyFont="1" applyFill="1" applyBorder="1" applyAlignment="1">
      <alignment horizontal="center" vertical="center" wrapText="1"/>
    </xf>
    <xf numFmtId="0" fontId="25" fillId="0" borderId="0" xfId="1038" applyFont="1" applyFill="1" applyAlignment="1"/>
    <xf numFmtId="0" fontId="25" fillId="0" borderId="0" xfId="1038" applyFont="1" applyFill="1" applyBorder="1" applyAlignment="1"/>
    <xf numFmtId="0" fontId="25" fillId="0" borderId="20" xfId="1038" quotePrefix="1" applyFont="1" applyFill="1" applyBorder="1" applyAlignment="1">
      <alignment horizontal="center" vertical="center" wrapText="1"/>
    </xf>
    <xf numFmtId="165" fontId="25" fillId="0" borderId="20" xfId="542" applyNumberFormat="1" applyFont="1" applyFill="1" applyBorder="1" applyAlignment="1">
      <alignment vertical="center"/>
    </xf>
    <xf numFmtId="49" fontId="25" fillId="0" borderId="22" xfId="1038" applyNumberFormat="1" applyFont="1" applyFill="1" applyBorder="1" applyAlignment="1">
      <alignment horizontal="left" vertical="center"/>
    </xf>
    <xf numFmtId="0" fontId="25" fillId="0" borderId="73" xfId="1038" applyNumberFormat="1" applyFont="1" applyFill="1" applyBorder="1" applyAlignment="1" applyProtection="1">
      <alignment horizontal="left" vertical="center"/>
      <protection locked="0"/>
    </xf>
    <xf numFmtId="0" fontId="25" fillId="0" borderId="22" xfId="1038" applyNumberFormat="1" applyFont="1" applyFill="1" applyBorder="1" applyAlignment="1" applyProtection="1">
      <alignment horizontal="left" vertical="center"/>
      <protection locked="0"/>
    </xf>
    <xf numFmtId="208" fontId="25" fillId="0" borderId="22" xfId="1038" applyNumberFormat="1" applyFont="1" applyFill="1" applyBorder="1" applyAlignment="1">
      <alignment horizontal="left" vertical="center"/>
    </xf>
    <xf numFmtId="0" fontId="25" fillId="0" borderId="22" xfId="1038" applyFont="1" applyFill="1" applyBorder="1" applyAlignment="1">
      <alignment horizontal="left" vertical="center"/>
    </xf>
    <xf numFmtId="0" fontId="25" fillId="0" borderId="22" xfId="1038" applyFont="1" applyFill="1" applyBorder="1" applyAlignment="1">
      <alignment horizontal="left" vertical="center" wrapText="1"/>
    </xf>
    <xf numFmtId="0" fontId="25" fillId="0" borderId="22" xfId="1038" applyFont="1" applyFill="1" applyBorder="1" applyAlignment="1">
      <alignment horizontal="left" vertical="top" wrapText="1"/>
    </xf>
    <xf numFmtId="0" fontId="25" fillId="0" borderId="22" xfId="1038" applyFont="1" applyFill="1" applyBorder="1" applyAlignment="1">
      <alignment horizontal="center" vertical="center"/>
    </xf>
    <xf numFmtId="0" fontId="25" fillId="0" borderId="22" xfId="1038" applyFont="1" applyFill="1" applyBorder="1" applyAlignment="1">
      <alignment horizontal="center" vertical="center" wrapText="1"/>
    </xf>
    <xf numFmtId="209" fontId="25" fillId="0" borderId="22" xfId="1038" applyNumberFormat="1" applyFont="1" applyFill="1" applyBorder="1" applyAlignment="1">
      <alignment horizontal="left" vertical="center"/>
    </xf>
    <xf numFmtId="49" fontId="25" fillId="0" borderId="22" xfId="1038" applyNumberFormat="1" applyFont="1" applyFill="1" applyBorder="1" applyAlignment="1">
      <alignment horizontal="center" vertical="center"/>
    </xf>
    <xf numFmtId="210" fontId="25" fillId="0" borderId="22" xfId="1038" applyNumberFormat="1" applyFont="1" applyFill="1" applyBorder="1" applyAlignment="1">
      <alignment vertical="center"/>
    </xf>
    <xf numFmtId="210" fontId="53" fillId="0" borderId="22" xfId="542" applyNumberFormat="1" applyFont="1" applyFill="1" applyBorder="1" applyAlignment="1">
      <alignment vertical="center"/>
    </xf>
    <xf numFmtId="0" fontId="25" fillId="0" borderId="22" xfId="1038" applyNumberFormat="1" applyFont="1" applyFill="1" applyBorder="1" applyAlignment="1">
      <alignment horizontal="center" vertical="center"/>
    </xf>
    <xf numFmtId="49" fontId="338" fillId="0" borderId="0" xfId="1038" applyNumberFormat="1" applyFont="1" applyFill="1" applyBorder="1" applyAlignment="1">
      <alignment horizontal="left"/>
    </xf>
    <xf numFmtId="49" fontId="338" fillId="0" borderId="0" xfId="1038" applyNumberFormat="1" applyFont="1" applyFill="1" applyBorder="1" applyAlignment="1" applyProtection="1">
      <alignment horizontal="left"/>
      <protection locked="0"/>
    </xf>
    <xf numFmtId="208" fontId="338" fillId="0" borderId="0" xfId="1038" applyNumberFormat="1" applyFont="1" applyFill="1" applyBorder="1" applyAlignment="1">
      <alignment horizontal="center"/>
    </xf>
    <xf numFmtId="0" fontId="338" fillId="0" borderId="0" xfId="1038" applyFont="1" applyFill="1" applyBorder="1" applyAlignment="1">
      <alignment horizontal="center"/>
    </xf>
    <xf numFmtId="0" fontId="338" fillId="0" borderId="0" xfId="1038" applyFont="1" applyFill="1" applyBorder="1" applyAlignment="1">
      <alignment wrapText="1"/>
    </xf>
    <xf numFmtId="0" fontId="338" fillId="0" borderId="0" xfId="1038" applyFont="1" applyFill="1" applyBorder="1" applyAlignment="1">
      <alignment horizontal="center" wrapText="1"/>
    </xf>
    <xf numFmtId="0" fontId="338" fillId="0" borderId="0" xfId="1038" applyFont="1" applyFill="1" applyBorder="1"/>
    <xf numFmtId="209" fontId="338" fillId="0" borderId="0" xfId="1038" applyNumberFormat="1" applyFont="1" applyFill="1"/>
    <xf numFmtId="0" fontId="338" fillId="0" borderId="104" xfId="1038" applyFont="1" applyFill="1" applyBorder="1" applyAlignment="1">
      <alignment horizontal="right"/>
    </xf>
    <xf numFmtId="38" fontId="338" fillId="0" borderId="0" xfId="1038" applyNumberFormat="1" applyFont="1" applyFill="1" applyAlignment="1">
      <alignment wrapText="1"/>
    </xf>
    <xf numFmtId="0" fontId="338" fillId="0" borderId="0" xfId="1038" applyFont="1" applyFill="1"/>
    <xf numFmtId="0" fontId="338" fillId="0" borderId="0" xfId="1038" applyFont="1" applyFill="1" applyBorder="1" applyAlignment="1">
      <alignment horizontal="right"/>
    </xf>
    <xf numFmtId="210" fontId="338" fillId="0" borderId="0" xfId="1038" applyNumberFormat="1" applyFont="1" applyFill="1" applyBorder="1" applyAlignment="1">
      <alignment horizontal="right"/>
    </xf>
    <xf numFmtId="49" fontId="25" fillId="0" borderId="0" xfId="1038" applyNumberFormat="1" applyFont="1" applyFill="1" applyAlignment="1">
      <alignment horizontal="left"/>
    </xf>
    <xf numFmtId="49" fontId="25" fillId="0" borderId="0" xfId="1038" applyNumberFormat="1" applyFont="1" applyFill="1" applyAlignment="1" applyProtection="1">
      <alignment horizontal="left"/>
      <protection locked="0"/>
    </xf>
    <xf numFmtId="208" fontId="25" fillId="0" borderId="0" xfId="1038" applyNumberFormat="1" applyFont="1" applyFill="1" applyAlignment="1">
      <alignment horizontal="center"/>
    </xf>
    <xf numFmtId="0" fontId="25" fillId="0" borderId="0" xfId="1038" applyFont="1" applyFill="1" applyAlignment="1">
      <alignment horizontal="center"/>
    </xf>
    <xf numFmtId="0" fontId="25" fillId="0" borderId="0" xfId="1038" applyFont="1" applyFill="1" applyAlignment="1">
      <alignment wrapText="1"/>
    </xf>
    <xf numFmtId="0" fontId="25" fillId="0" borderId="0" xfId="1038" applyFont="1" applyFill="1" applyAlignment="1">
      <alignment horizontal="center" wrapText="1"/>
    </xf>
    <xf numFmtId="209" fontId="25" fillId="0" borderId="0" xfId="1038" applyNumberFormat="1" applyFont="1" applyFill="1"/>
    <xf numFmtId="49" fontId="25" fillId="0" borderId="0" xfId="1038" applyNumberFormat="1" applyFont="1" applyFill="1" applyAlignment="1">
      <alignment horizontal="center"/>
    </xf>
    <xf numFmtId="0" fontId="25" fillId="0" borderId="0" xfId="1038" applyNumberFormat="1" applyFont="1" applyFill="1" applyAlignment="1">
      <alignment horizontal="center"/>
    </xf>
    <xf numFmtId="0" fontId="339" fillId="0" borderId="0" xfId="1038" applyFont="1"/>
    <xf numFmtId="210" fontId="25" fillId="0" borderId="0" xfId="1038" applyNumberFormat="1" applyFont="1" applyFill="1" applyBorder="1" applyAlignment="1">
      <alignment horizontal="right"/>
    </xf>
    <xf numFmtId="210" fontId="53" fillId="0" borderId="0" xfId="1038" applyNumberFormat="1" applyFont="1" applyFill="1" applyBorder="1" applyAlignment="1">
      <alignment horizontal="right"/>
    </xf>
    <xf numFmtId="209" fontId="25" fillId="0" borderId="0" xfId="1038" applyNumberFormat="1" applyFont="1" applyFill="1" applyAlignment="1">
      <alignment horizontal="right"/>
    </xf>
    <xf numFmtId="38" fontId="25" fillId="0" borderId="0" xfId="1038" applyNumberFormat="1" applyFont="1" applyFill="1"/>
    <xf numFmtId="38" fontId="53" fillId="0" borderId="0" xfId="1038" applyNumberFormat="1" applyFont="1" applyFill="1"/>
    <xf numFmtId="38" fontId="53" fillId="0" borderId="0" xfId="1038" applyNumberFormat="1" applyFont="1" applyFill="1" applyBorder="1"/>
    <xf numFmtId="38" fontId="25" fillId="0" borderId="0" xfId="1038" applyNumberFormat="1" applyFont="1" applyFill="1" applyBorder="1"/>
    <xf numFmtId="210" fontId="25" fillId="0" borderId="0" xfId="695" applyNumberFormat="1" applyFont="1" applyFill="1" applyBorder="1" applyAlignment="1">
      <alignment horizontal="right"/>
    </xf>
    <xf numFmtId="210" fontId="53" fillId="0" borderId="0" xfId="695" applyNumberFormat="1" applyFont="1" applyFill="1" applyBorder="1" applyAlignment="1">
      <alignment horizontal="right"/>
    </xf>
    <xf numFmtId="0" fontId="287" fillId="0" borderId="0" xfId="0" applyFont="1" applyFill="1"/>
    <xf numFmtId="0" fontId="340" fillId="0" borderId="0" xfId="0" applyFont="1"/>
    <xf numFmtId="0" fontId="341" fillId="0" borderId="0" xfId="0" applyFont="1" applyAlignment="1">
      <alignment horizontal="center"/>
    </xf>
    <xf numFmtId="14" fontId="340" fillId="0" borderId="0" xfId="0" applyNumberFormat="1" applyFont="1"/>
    <xf numFmtId="0" fontId="342" fillId="0" borderId="0" xfId="0" applyFont="1" applyAlignment="1">
      <alignment horizontal="center"/>
    </xf>
    <xf numFmtId="0" fontId="343" fillId="0" borderId="21" xfId="0" applyFont="1" applyBorder="1"/>
    <xf numFmtId="0" fontId="344" fillId="0" borderId="21" xfId="0" applyFont="1" applyBorder="1" applyAlignment="1">
      <alignment horizontal="center"/>
    </xf>
    <xf numFmtId="0" fontId="345" fillId="0" borderId="21" xfId="0" applyFont="1" applyFill="1" applyBorder="1"/>
    <xf numFmtId="0" fontId="343" fillId="0" borderId="0" xfId="0" applyFont="1"/>
    <xf numFmtId="44" fontId="340" fillId="0" borderId="0" xfId="44" applyNumberFormat="1" applyFont="1"/>
    <xf numFmtId="44" fontId="340" fillId="84" borderId="0" xfId="0" applyNumberFormat="1" applyFont="1" applyFill="1"/>
    <xf numFmtId="0" fontId="340" fillId="0" borderId="0" xfId="0" applyFont="1" applyBorder="1"/>
    <xf numFmtId="0" fontId="341" fillId="0" borderId="0" xfId="0" applyFont="1" applyBorder="1" applyAlignment="1">
      <alignment horizontal="center"/>
    </xf>
    <xf numFmtId="0" fontId="340" fillId="0" borderId="21" xfId="0" applyFont="1" applyBorder="1"/>
    <xf numFmtId="0" fontId="341" fillId="0" borderId="21" xfId="0" applyFont="1" applyBorder="1" applyAlignment="1">
      <alignment horizontal="center"/>
    </xf>
    <xf numFmtId="44" fontId="340" fillId="0" borderId="21" xfId="44" applyNumberFormat="1" applyFont="1" applyBorder="1"/>
    <xf numFmtId="44" fontId="340" fillId="0" borderId="0" xfId="44" applyFont="1"/>
    <xf numFmtId="44" fontId="340" fillId="0" borderId="0" xfId="44" applyFont="1" applyBorder="1"/>
    <xf numFmtId="167" fontId="340" fillId="0" borderId="0" xfId="162" applyNumberFormat="1" applyFont="1"/>
    <xf numFmtId="44" fontId="340" fillId="0" borderId="0" xfId="0" applyNumberFormat="1" applyFont="1"/>
    <xf numFmtId="10" fontId="185" fillId="53" borderId="0" xfId="179" applyNumberFormat="1" applyFont="1" applyFill="1" applyAlignment="1">
      <alignment horizontal="center"/>
    </xf>
    <xf numFmtId="165" fontId="185" fillId="32" borderId="29" xfId="29" applyNumberFormat="1" applyFont="1" applyFill="1" applyBorder="1" applyAlignment="1"/>
    <xf numFmtId="165" fontId="185" fillId="32" borderId="31" xfId="29" applyNumberFormat="1" applyFont="1" applyFill="1" applyBorder="1" applyAlignment="1"/>
    <xf numFmtId="165" fontId="185" fillId="32" borderId="34" xfId="29" applyNumberFormat="1" applyFont="1" applyFill="1" applyBorder="1" applyAlignment="1"/>
    <xf numFmtId="165" fontId="185" fillId="32" borderId="87" xfId="29" applyNumberFormat="1" applyFont="1" applyFill="1" applyBorder="1" applyAlignment="1"/>
    <xf numFmtId="165" fontId="225" fillId="58" borderId="0" xfId="30" applyNumberFormat="1" applyFont="1" applyFill="1" applyBorder="1"/>
    <xf numFmtId="165" fontId="225" fillId="58" borderId="21" xfId="30" applyNumberFormat="1" applyFont="1" applyFill="1" applyBorder="1"/>
    <xf numFmtId="165" fontId="211" fillId="58" borderId="22" xfId="30" applyNumberFormat="1" applyFont="1" applyFill="1" applyBorder="1"/>
    <xf numFmtId="165" fontId="211" fillId="58" borderId="0" xfId="30" applyNumberFormat="1" applyFont="1" applyFill="1" applyBorder="1"/>
    <xf numFmtId="165" fontId="211" fillId="58" borderId="21" xfId="30" applyNumberFormat="1" applyFont="1" applyFill="1" applyBorder="1"/>
    <xf numFmtId="165" fontId="239" fillId="58" borderId="20" xfId="29" applyNumberFormat="1" applyFont="1" applyFill="1" applyBorder="1"/>
    <xf numFmtId="0" fontId="347" fillId="85" borderId="0" xfId="96" applyFont="1" applyFill="1" applyBorder="1" applyAlignment="1">
      <alignment horizontal="center"/>
    </xf>
    <xf numFmtId="219" fontId="347" fillId="85" borderId="0" xfId="220" applyNumberFormat="1" applyFont="1" applyFill="1" applyBorder="1" applyAlignment="1">
      <alignment horizontal="center"/>
    </xf>
    <xf numFmtId="219" fontId="284" fillId="0" borderId="0" xfId="1374" applyNumberFormat="1" applyFont="1" applyFill="1"/>
    <xf numFmtId="0" fontId="347" fillId="85" borderId="0" xfId="96" applyFont="1" applyFill="1" applyAlignment="1">
      <alignment horizontal="center"/>
    </xf>
    <xf numFmtId="0" fontId="347" fillId="85" borderId="0" xfId="220" applyFont="1" applyFill="1" applyBorder="1" applyAlignment="1">
      <alignment horizontal="center"/>
    </xf>
    <xf numFmtId="0" fontId="285" fillId="0" borderId="0" xfId="96" applyFont="1" applyFill="1" applyAlignment="1">
      <alignment horizontal="center"/>
    </xf>
    <xf numFmtId="0" fontId="294" fillId="0" borderId="0" xfId="0" applyFont="1" applyAlignment="1">
      <alignment horizontal="center"/>
    </xf>
    <xf numFmtId="0" fontId="348" fillId="0" borderId="0" xfId="0" applyFont="1"/>
    <xf numFmtId="0" fontId="348" fillId="85" borderId="0" xfId="0" applyFont="1" applyFill="1"/>
    <xf numFmtId="220" fontId="349" fillId="85" borderId="0" xfId="34" applyNumberFormat="1" applyFont="1" applyFill="1" applyBorder="1"/>
    <xf numFmtId="165" fontId="349" fillId="85" borderId="0" xfId="542" applyNumberFormat="1" applyFont="1" applyFill="1" applyBorder="1"/>
    <xf numFmtId="0" fontId="294" fillId="0" borderId="0" xfId="0" applyFont="1"/>
    <xf numFmtId="165" fontId="347" fillId="85" borderId="20" xfId="542" applyNumberFormat="1" applyFont="1" applyFill="1" applyBorder="1"/>
    <xf numFmtId="165" fontId="294" fillId="0" borderId="20" xfId="542" applyNumberFormat="1" applyFont="1" applyFill="1" applyBorder="1"/>
    <xf numFmtId="0" fontId="284" fillId="85" borderId="202" xfId="220" applyFont="1" applyFill="1"/>
    <xf numFmtId="165" fontId="284" fillId="85" borderId="202" xfId="220" applyNumberFormat="1" applyFont="1" applyFill="1"/>
    <xf numFmtId="0" fontId="294" fillId="85" borderId="0" xfId="0" applyFont="1" applyFill="1"/>
    <xf numFmtId="165" fontId="294" fillId="85" borderId="0" xfId="542" applyNumberFormat="1" applyFont="1" applyFill="1" applyBorder="1"/>
    <xf numFmtId="165" fontId="347" fillId="85" borderId="0" xfId="542" applyNumberFormat="1" applyFont="1" applyFill="1" applyBorder="1"/>
    <xf numFmtId="165" fontId="294" fillId="0" borderId="0" xfId="542" applyNumberFormat="1" applyFont="1" applyFill="1" applyBorder="1"/>
    <xf numFmtId="165" fontId="5" fillId="0" borderId="0" xfId="542" applyNumberFormat="1" applyFont="1" applyFill="1" applyBorder="1"/>
    <xf numFmtId="165" fontId="294" fillId="85" borderId="20" xfId="542" applyNumberFormat="1" applyFont="1" applyFill="1" applyBorder="1"/>
    <xf numFmtId="165" fontId="294" fillId="0" borderId="20" xfId="0" applyNumberFormat="1" applyFont="1" applyFill="1" applyBorder="1"/>
    <xf numFmtId="165" fontId="294" fillId="86" borderId="20" xfId="0" applyNumberFormat="1" applyFont="1" applyFill="1" applyBorder="1"/>
    <xf numFmtId="0" fontId="350" fillId="0" borderId="0" xfId="0" applyFont="1" applyAlignment="1">
      <alignment horizontal="right"/>
    </xf>
    <xf numFmtId="0" fontId="350" fillId="85" borderId="0" xfId="0" applyFont="1" applyFill="1" applyAlignment="1">
      <alignment horizontal="right"/>
    </xf>
    <xf numFmtId="165" fontId="350" fillId="85" borderId="0" xfId="0" applyNumberFormat="1" applyFont="1" applyFill="1"/>
    <xf numFmtId="165" fontId="350" fillId="60" borderId="0" xfId="0" applyNumberFormat="1" applyFont="1" applyFill="1"/>
    <xf numFmtId="0" fontId="351" fillId="59" borderId="0" xfId="0" applyFont="1" applyFill="1"/>
    <xf numFmtId="0" fontId="351" fillId="85" borderId="0" xfId="0" applyFont="1" applyFill="1"/>
    <xf numFmtId="205" fontId="294" fillId="85" borderId="0" xfId="0" applyNumberFormat="1" applyFont="1" applyFill="1"/>
    <xf numFmtId="205" fontId="294" fillId="59" borderId="0" xfId="0" applyNumberFormat="1" applyFont="1" applyFill="1"/>
    <xf numFmtId="0" fontId="352" fillId="0" borderId="0" xfId="0" applyFont="1" applyFill="1" applyAlignment="1">
      <alignment horizontal="left"/>
    </xf>
    <xf numFmtId="0" fontId="352" fillId="85" borderId="0" xfId="0" applyFont="1" applyFill="1" applyAlignment="1">
      <alignment horizontal="left"/>
    </xf>
    <xf numFmtId="0" fontId="353" fillId="0" borderId="22" xfId="0" applyFont="1" applyFill="1" applyBorder="1" applyAlignment="1">
      <alignment horizontal="left" indent="2"/>
    </xf>
    <xf numFmtId="0" fontId="353" fillId="85" borderId="22" xfId="0" applyFont="1" applyFill="1" applyBorder="1" applyAlignment="1">
      <alignment horizontal="left" indent="2"/>
    </xf>
    <xf numFmtId="0" fontId="353" fillId="85" borderId="22" xfId="0" applyFont="1" applyFill="1" applyBorder="1"/>
    <xf numFmtId="0" fontId="353" fillId="0" borderId="0" xfId="0" applyFont="1" applyFill="1" applyBorder="1" applyAlignment="1">
      <alignment horizontal="left" indent="2"/>
    </xf>
    <xf numFmtId="0" fontId="353" fillId="85" borderId="0" xfId="0" applyFont="1" applyFill="1" applyBorder="1" applyAlignment="1">
      <alignment horizontal="left" indent="2"/>
    </xf>
    <xf numFmtId="0" fontId="353" fillId="85" borderId="0" xfId="0" applyFont="1" applyFill="1" applyBorder="1"/>
    <xf numFmtId="0" fontId="353" fillId="0" borderId="21" xfId="0" applyFont="1" applyFill="1" applyBorder="1" applyAlignment="1">
      <alignment horizontal="left" indent="2"/>
    </xf>
    <xf numFmtId="0" fontId="353" fillId="85" borderId="21" xfId="0" applyFont="1" applyFill="1" applyBorder="1" applyAlignment="1">
      <alignment horizontal="left" indent="2"/>
    </xf>
    <xf numFmtId="0" fontId="353" fillId="85" borderId="21" xfId="0" applyFont="1" applyFill="1" applyBorder="1"/>
    <xf numFmtId="165" fontId="294" fillId="85" borderId="0" xfId="30" applyNumberFormat="1" applyFont="1" applyFill="1"/>
    <xf numFmtId="165" fontId="294" fillId="0" borderId="0" xfId="30" applyNumberFormat="1" applyFont="1"/>
    <xf numFmtId="0" fontId="294" fillId="0" borderId="0" xfId="0" applyFont="1" applyAlignment="1">
      <alignment horizontal="left" indent="2"/>
    </xf>
    <xf numFmtId="0" fontId="294" fillId="85" borderId="0" xfId="0" applyFont="1" applyFill="1" applyAlignment="1">
      <alignment horizontal="left" indent="2"/>
    </xf>
    <xf numFmtId="0" fontId="294" fillId="87" borderId="0" xfId="0" applyFont="1" applyFill="1"/>
    <xf numFmtId="165" fontId="294" fillId="85" borderId="0" xfId="0" applyNumberFormat="1" applyFont="1" applyFill="1"/>
    <xf numFmtId="165" fontId="294" fillId="87" borderId="0" xfId="0" applyNumberFormat="1" applyFont="1" applyFill="1"/>
    <xf numFmtId="0" fontId="354" fillId="0" borderId="0" xfId="0" applyFont="1" applyFill="1" applyAlignment="1">
      <alignment horizontal="left" indent="2"/>
    </xf>
    <xf numFmtId="0" fontId="354" fillId="85" borderId="0" xfId="0" applyFont="1" applyFill="1" applyAlignment="1">
      <alignment horizontal="left" indent="2"/>
    </xf>
    <xf numFmtId="165" fontId="354" fillId="85" borderId="0" xfId="30" applyNumberFormat="1" applyFont="1" applyFill="1"/>
    <xf numFmtId="165" fontId="354" fillId="0" borderId="0" xfId="30" applyNumberFormat="1" applyFont="1" applyFill="1"/>
    <xf numFmtId="0" fontId="294" fillId="88" borderId="0" xfId="0" applyFont="1" applyFill="1"/>
    <xf numFmtId="165" fontId="294" fillId="85" borderId="20" xfId="30" applyNumberFormat="1" applyFont="1" applyFill="1" applyBorder="1"/>
    <xf numFmtId="165" fontId="294" fillId="88" borderId="20" xfId="30" applyNumberFormat="1" applyFont="1" applyFill="1" applyBorder="1"/>
    <xf numFmtId="0" fontId="355" fillId="59" borderId="0" xfId="0" applyFont="1" applyFill="1"/>
    <xf numFmtId="0" fontId="355" fillId="85" borderId="0" xfId="0" applyFont="1" applyFill="1"/>
    <xf numFmtId="205" fontId="294" fillId="0" borderId="0" xfId="0" applyNumberFormat="1" applyFont="1"/>
    <xf numFmtId="0" fontId="294" fillId="85" borderId="0" xfId="0" applyFont="1" applyFill="1" applyBorder="1" applyAlignment="1">
      <alignment horizontal="center"/>
    </xf>
    <xf numFmtId="0" fontId="294" fillId="0" borderId="0" xfId="0" applyFont="1" applyFill="1" applyBorder="1" applyAlignment="1">
      <alignment horizontal="center"/>
    </xf>
    <xf numFmtId="0" fontId="356" fillId="0" borderId="0" xfId="0" applyFont="1"/>
    <xf numFmtId="0" fontId="356" fillId="85" borderId="0" xfId="0" applyFont="1" applyFill="1"/>
    <xf numFmtId="38" fontId="5" fillId="85" borderId="0" xfId="30" applyNumberFormat="1" applyFont="1" applyFill="1"/>
    <xf numFmtId="38" fontId="5" fillId="0" borderId="0" xfId="30" applyNumberFormat="1" applyFont="1" applyFill="1"/>
    <xf numFmtId="38" fontId="5" fillId="85" borderId="0" xfId="30" applyNumberFormat="1" applyFont="1" applyFill="1" applyBorder="1"/>
    <xf numFmtId="38" fontId="5" fillId="0" borderId="0" xfId="30" applyNumberFormat="1" applyFont="1" applyFill="1" applyBorder="1"/>
    <xf numFmtId="38" fontId="5" fillId="85" borderId="21" xfId="30" applyNumberFormat="1" applyFont="1" applyFill="1" applyBorder="1"/>
    <xf numFmtId="38" fontId="5" fillId="0" borderId="21" xfId="30" applyNumberFormat="1" applyFont="1" applyFill="1" applyBorder="1"/>
    <xf numFmtId="0" fontId="353" fillId="86" borderId="20" xfId="0" applyFont="1" applyFill="1" applyBorder="1" applyAlignment="1">
      <alignment horizontal="left"/>
    </xf>
    <xf numFmtId="0" fontId="353" fillId="85" borderId="20" xfId="0" applyFont="1" applyFill="1" applyBorder="1" applyAlignment="1">
      <alignment horizontal="left"/>
    </xf>
    <xf numFmtId="0" fontId="353" fillId="85" borderId="20" xfId="0" applyFont="1" applyFill="1" applyBorder="1"/>
    <xf numFmtId="0" fontId="353" fillId="86" borderId="20" xfId="0" applyFont="1" applyFill="1" applyBorder="1"/>
    <xf numFmtId="0" fontId="353" fillId="86" borderId="22" xfId="0" applyFont="1" applyFill="1" applyBorder="1" applyAlignment="1">
      <alignment horizontal="left" indent="2"/>
    </xf>
    <xf numFmtId="0" fontId="353" fillId="86" borderId="22" xfId="0" applyFont="1" applyFill="1" applyBorder="1"/>
    <xf numFmtId="0" fontId="353" fillId="86" borderId="0" xfId="0" applyFont="1" applyFill="1" applyBorder="1" applyAlignment="1">
      <alignment horizontal="left" indent="2"/>
    </xf>
    <xf numFmtId="165" fontId="353" fillId="85" borderId="0" xfId="542" applyNumberFormat="1" applyFont="1" applyFill="1" applyBorder="1"/>
    <xf numFmtId="0" fontId="353" fillId="86" borderId="21" xfId="0" applyFont="1" applyFill="1" applyBorder="1" applyAlignment="1">
      <alignment horizontal="left" indent="2"/>
    </xf>
    <xf numFmtId="0" fontId="352" fillId="0" borderId="0" xfId="0" applyFont="1"/>
    <xf numFmtId="0" fontId="352" fillId="85" borderId="0" xfId="0" applyFont="1" applyFill="1"/>
    <xf numFmtId="0" fontId="352" fillId="0" borderId="0" xfId="0" applyFont="1" applyAlignment="1">
      <alignment horizontal="left" indent="2"/>
    </xf>
    <xf numFmtId="0" fontId="352" fillId="85" borderId="0" xfId="0" applyFont="1" applyFill="1" applyAlignment="1">
      <alignment horizontal="left" indent="2"/>
    </xf>
    <xf numFmtId="165" fontId="354" fillId="0" borderId="0" xfId="30" applyNumberFormat="1" applyFont="1"/>
    <xf numFmtId="3" fontId="294" fillId="85" borderId="20" xfId="0" applyNumberFormat="1" applyFont="1" applyFill="1" applyBorder="1"/>
    <xf numFmtId="3" fontId="294" fillId="58" borderId="20" xfId="0" applyNumberFormat="1" applyFont="1" applyFill="1" applyBorder="1"/>
    <xf numFmtId="3" fontId="294" fillId="88" borderId="20" xfId="0" applyNumberFormat="1" applyFont="1" applyFill="1" applyBorder="1"/>
    <xf numFmtId="43" fontId="294" fillId="89" borderId="0" xfId="0" applyNumberFormat="1" applyFont="1" applyFill="1"/>
    <xf numFmtId="165" fontId="296" fillId="89" borderId="0" xfId="542" applyNumberFormat="1" applyFont="1" applyFill="1"/>
    <xf numFmtId="165" fontId="294" fillId="89" borderId="0" xfId="0" applyNumberFormat="1" applyFont="1" applyFill="1"/>
    <xf numFmtId="205" fontId="294" fillId="85" borderId="21" xfId="0" applyNumberFormat="1" applyFont="1" applyFill="1" applyBorder="1" applyAlignment="1">
      <alignment horizontal="center"/>
    </xf>
    <xf numFmtId="205" fontId="294" fillId="0" borderId="21" xfId="0" applyNumberFormat="1" applyFont="1" applyFill="1" applyBorder="1" applyAlignment="1">
      <alignment horizontal="center"/>
    </xf>
    <xf numFmtId="0" fontId="294" fillId="58" borderId="0" xfId="0" applyFont="1" applyFill="1"/>
    <xf numFmtId="0" fontId="294" fillId="53" borderId="0" xfId="0" applyFont="1" applyFill="1"/>
    <xf numFmtId="165" fontId="294" fillId="53" borderId="20" xfId="30" applyNumberFormat="1" applyFont="1" applyFill="1" applyBorder="1"/>
    <xf numFmtId="165" fontId="294" fillId="85" borderId="0" xfId="30" applyNumberFormat="1" applyFont="1" applyFill="1" applyBorder="1"/>
    <xf numFmtId="165" fontId="294" fillId="53" borderId="0" xfId="30" applyNumberFormat="1" applyFont="1" applyFill="1" applyBorder="1"/>
    <xf numFmtId="0" fontId="294" fillId="56" borderId="0" xfId="0" applyFont="1" applyFill="1"/>
    <xf numFmtId="165" fontId="294" fillId="56" borderId="20" xfId="30" applyNumberFormat="1" applyFont="1" applyFill="1" applyBorder="1"/>
    <xf numFmtId="165" fontId="294" fillId="87" borderId="20" xfId="30" applyNumberFormat="1" applyFont="1" applyFill="1" applyBorder="1"/>
    <xf numFmtId="0" fontId="284" fillId="53" borderId="0" xfId="96" applyFont="1" applyFill="1" applyAlignment="1">
      <alignment horizontal="center"/>
    </xf>
    <xf numFmtId="0" fontId="284" fillId="85" borderId="0" xfId="96" applyFont="1" applyFill="1" applyAlignment="1">
      <alignment horizontal="center"/>
    </xf>
    <xf numFmtId="0" fontId="342" fillId="85" borderId="0" xfId="96" applyFont="1" applyFill="1" applyAlignment="1">
      <alignment horizontal="center"/>
    </xf>
    <xf numFmtId="0" fontId="342" fillId="53" borderId="0" xfId="96" applyFont="1" applyFill="1" applyAlignment="1">
      <alignment horizontal="center"/>
    </xf>
    <xf numFmtId="0" fontId="284" fillId="53" borderId="0" xfId="96" applyFont="1" applyFill="1" applyAlignment="1">
      <alignment horizontal="left"/>
    </xf>
    <xf numFmtId="0" fontId="284" fillId="85" borderId="0" xfId="96" applyFont="1" applyFill="1" applyAlignment="1">
      <alignment horizontal="left"/>
    </xf>
    <xf numFmtId="165" fontId="5" fillId="85" borderId="0" xfId="542" applyNumberFormat="1" applyFont="1" applyFill="1" applyAlignment="1">
      <alignment horizontal="right"/>
    </xf>
    <xf numFmtId="165" fontId="5" fillId="53" borderId="0" xfId="542" applyNumberFormat="1" applyFont="1" applyFill="1" applyAlignment="1">
      <alignment horizontal="right"/>
    </xf>
    <xf numFmtId="165" fontId="5" fillId="85" borderId="0" xfId="542" applyNumberFormat="1" applyFont="1" applyFill="1" applyBorder="1" applyAlignment="1">
      <alignment horizontal="right"/>
    </xf>
    <xf numFmtId="165" fontId="5" fillId="53" borderId="0" xfId="542" applyNumberFormat="1" applyFont="1" applyFill="1" applyBorder="1" applyAlignment="1">
      <alignment horizontal="right"/>
    </xf>
    <xf numFmtId="165" fontId="5" fillId="53" borderId="21" xfId="542" applyNumberFormat="1" applyFont="1" applyFill="1" applyBorder="1" applyAlignment="1">
      <alignment horizontal="right"/>
    </xf>
    <xf numFmtId="49" fontId="284" fillId="53" borderId="0" xfId="96" applyNumberFormat="1" applyFont="1" applyFill="1" applyAlignment="1">
      <alignment horizontal="center"/>
    </xf>
    <xf numFmtId="49" fontId="284" fillId="85" borderId="0" xfId="96" applyNumberFormat="1" applyFont="1" applyFill="1" applyAlignment="1">
      <alignment horizontal="center"/>
    </xf>
    <xf numFmtId="165" fontId="284" fillId="85" borderId="0" xfId="96" applyNumberFormat="1" applyFont="1" applyFill="1" applyAlignment="1">
      <alignment horizontal="center"/>
    </xf>
    <xf numFmtId="165" fontId="284" fillId="53" borderId="0" xfId="96" applyNumberFormat="1" applyFont="1" applyFill="1" applyAlignment="1">
      <alignment horizontal="center"/>
    </xf>
    <xf numFmtId="0" fontId="284" fillId="57" borderId="0" xfId="96" applyFont="1" applyFill="1"/>
    <xf numFmtId="0" fontId="284" fillId="85" borderId="0" xfId="96" applyFont="1" applyFill="1"/>
    <xf numFmtId="199" fontId="284" fillId="85" borderId="0" xfId="96" applyNumberFormat="1" applyFont="1" applyFill="1"/>
    <xf numFmtId="0" fontId="348" fillId="60" borderId="42" xfId="0" applyFont="1" applyFill="1" applyBorder="1"/>
    <xf numFmtId="0" fontId="357" fillId="0" borderId="0" xfId="0" applyFont="1"/>
    <xf numFmtId="0" fontId="357" fillId="85" borderId="0" xfId="0" applyFont="1" applyFill="1"/>
    <xf numFmtId="165" fontId="357" fillId="0" borderId="0" xfId="0" applyNumberFormat="1" applyFont="1" applyFill="1"/>
    <xf numFmtId="0" fontId="296" fillId="61" borderId="202" xfId="220" applyFont="1"/>
    <xf numFmtId="165" fontId="296" fillId="61" borderId="202" xfId="220" applyNumberFormat="1" applyFont="1"/>
    <xf numFmtId="165" fontId="357" fillId="0" borderId="20" xfId="0" applyNumberFormat="1" applyFont="1" applyBorder="1"/>
    <xf numFmtId="0" fontId="357" fillId="0" borderId="0" xfId="0" applyFont="1" applyBorder="1"/>
    <xf numFmtId="165" fontId="357" fillId="86" borderId="0" xfId="0" applyNumberFormat="1" applyFont="1" applyFill="1"/>
    <xf numFmtId="0" fontId="357" fillId="59" borderId="0" xfId="0" applyFont="1" applyFill="1"/>
    <xf numFmtId="0" fontId="357" fillId="85" borderId="21" xfId="0" applyFont="1" applyFill="1" applyBorder="1"/>
    <xf numFmtId="0" fontId="357" fillId="0" borderId="21" xfId="0" applyFont="1" applyBorder="1"/>
    <xf numFmtId="0" fontId="357" fillId="0" borderId="22" xfId="0" applyFont="1" applyBorder="1" applyAlignment="1">
      <alignment horizontal="left" indent="2"/>
    </xf>
    <xf numFmtId="0" fontId="357" fillId="85" borderId="22" xfId="0" applyFont="1" applyFill="1" applyBorder="1" applyAlignment="1">
      <alignment horizontal="left" indent="2"/>
    </xf>
    <xf numFmtId="165" fontId="357" fillId="85" borderId="22" xfId="30" applyNumberFormat="1" applyFont="1" applyFill="1" applyBorder="1"/>
    <xf numFmtId="165" fontId="357" fillId="85" borderId="0" xfId="30" applyNumberFormat="1" applyFont="1" applyFill="1" applyBorder="1"/>
    <xf numFmtId="165" fontId="357" fillId="0" borderId="0" xfId="30" applyNumberFormat="1" applyFont="1" applyBorder="1"/>
    <xf numFmtId="0" fontId="357" fillId="0" borderId="0" xfId="0" applyFont="1" applyBorder="1" applyAlignment="1">
      <alignment horizontal="left" indent="2"/>
    </xf>
    <xf numFmtId="0" fontId="357" fillId="85" borderId="0" xfId="0" applyFont="1" applyFill="1" applyBorder="1" applyAlignment="1">
      <alignment horizontal="left" indent="2"/>
    </xf>
    <xf numFmtId="165" fontId="357" fillId="85" borderId="0" xfId="30" applyNumberFormat="1" applyFont="1" applyFill="1"/>
    <xf numFmtId="0" fontId="357" fillId="0" borderId="21" xfId="0" applyFont="1" applyBorder="1" applyAlignment="1">
      <alignment horizontal="left" indent="2"/>
    </xf>
    <xf numFmtId="0" fontId="357" fillId="85" borderId="21" xfId="0" applyFont="1" applyFill="1" applyBorder="1" applyAlignment="1">
      <alignment horizontal="left" indent="2"/>
    </xf>
    <xf numFmtId="165" fontId="357" fillId="85" borderId="21" xfId="30" applyNumberFormat="1" applyFont="1" applyFill="1" applyBorder="1"/>
    <xf numFmtId="165" fontId="357" fillId="0" borderId="21" xfId="30" applyNumberFormat="1" applyFont="1" applyBorder="1"/>
    <xf numFmtId="165" fontId="357" fillId="0" borderId="0" xfId="30" applyNumberFormat="1" applyFont="1"/>
    <xf numFmtId="0" fontId="357" fillId="85" borderId="22" xfId="0" applyFont="1" applyFill="1" applyBorder="1"/>
    <xf numFmtId="165" fontId="357" fillId="0" borderId="22" xfId="30" applyNumberFormat="1" applyFont="1" applyBorder="1"/>
    <xf numFmtId="0" fontId="357" fillId="85" borderId="0" xfId="0" applyFont="1" applyFill="1" applyBorder="1"/>
    <xf numFmtId="165" fontId="357" fillId="0" borderId="0" xfId="30" applyNumberFormat="1" applyFont="1" applyFill="1" applyBorder="1"/>
    <xf numFmtId="10" fontId="357" fillId="86" borderId="0" xfId="1374" applyNumberFormat="1" applyFont="1" applyFill="1" applyBorder="1"/>
    <xf numFmtId="165" fontId="357" fillId="0" borderId="22" xfId="30" applyNumberFormat="1" applyFont="1" applyFill="1" applyBorder="1"/>
    <xf numFmtId="165" fontId="357" fillId="86" borderId="0" xfId="30" applyNumberFormat="1" applyFont="1" applyFill="1" applyBorder="1"/>
    <xf numFmtId="165" fontId="357" fillId="0" borderId="21" xfId="30" applyNumberFormat="1" applyFont="1" applyFill="1" applyBorder="1"/>
    <xf numFmtId="165" fontId="357" fillId="86" borderId="21" xfId="30" applyNumberFormat="1" applyFont="1" applyFill="1" applyBorder="1"/>
    <xf numFmtId="165" fontId="357" fillId="85" borderId="0" xfId="0" applyNumberFormat="1" applyFont="1" applyFill="1"/>
    <xf numFmtId="165" fontId="357" fillId="0" borderId="0" xfId="0" applyNumberFormat="1" applyFont="1"/>
    <xf numFmtId="0" fontId="357" fillId="0" borderId="0" xfId="0" applyFont="1" applyFill="1"/>
    <xf numFmtId="165" fontId="357" fillId="0" borderId="22" xfId="30" applyNumberFormat="1" applyFont="1" applyBorder="1" applyAlignment="1">
      <alignment horizontal="left" indent="2"/>
    </xf>
    <xf numFmtId="165" fontId="357" fillId="85" borderId="22" xfId="30" applyNumberFormat="1" applyFont="1" applyFill="1" applyBorder="1" applyAlignment="1">
      <alignment horizontal="left" indent="2"/>
    </xf>
    <xf numFmtId="165" fontId="357" fillId="0" borderId="22" xfId="542" applyNumberFormat="1" applyFont="1" applyBorder="1"/>
    <xf numFmtId="165" fontId="357" fillId="0" borderId="0" xfId="30" applyNumberFormat="1" applyFont="1" applyBorder="1" applyAlignment="1">
      <alignment horizontal="left" indent="2"/>
    </xf>
    <xf numFmtId="165" fontId="357" fillId="85" borderId="0" xfId="30" applyNumberFormat="1" applyFont="1" applyFill="1" applyBorder="1" applyAlignment="1">
      <alignment horizontal="left" indent="2"/>
    </xf>
    <xf numFmtId="165" fontId="357" fillId="0" borderId="21" xfId="30" applyNumberFormat="1" applyFont="1" applyBorder="1" applyAlignment="1">
      <alignment horizontal="left" indent="2"/>
    </xf>
    <xf numFmtId="165" fontId="357" fillId="85" borderId="21" xfId="30" applyNumberFormat="1" applyFont="1" applyFill="1" applyBorder="1" applyAlignment="1">
      <alignment horizontal="left" indent="2"/>
    </xf>
    <xf numFmtId="43" fontId="357" fillId="85" borderId="0" xfId="0" applyNumberFormat="1" applyFont="1" applyFill="1"/>
    <xf numFmtId="165" fontId="357" fillId="90" borderId="0" xfId="30" applyNumberFormat="1" applyFont="1" applyFill="1"/>
    <xf numFmtId="0" fontId="357" fillId="53" borderId="0" xfId="0" applyFont="1" applyFill="1"/>
    <xf numFmtId="165" fontId="357" fillId="85" borderId="0" xfId="542" applyNumberFormat="1" applyFont="1" applyFill="1"/>
    <xf numFmtId="165" fontId="357" fillId="53" borderId="0" xfId="542" applyNumberFormat="1" applyFont="1" applyFill="1"/>
    <xf numFmtId="165" fontId="357" fillId="53" borderId="0" xfId="0" applyNumberFormat="1" applyFont="1" applyFill="1"/>
    <xf numFmtId="3" fontId="357" fillId="85" borderId="0" xfId="0" applyNumberFormat="1" applyFont="1" applyFill="1"/>
    <xf numFmtId="165" fontId="357" fillId="0" borderId="0" xfId="542" applyNumberFormat="1" applyFont="1"/>
    <xf numFmtId="165" fontId="357" fillId="60" borderId="0" xfId="542" applyNumberFormat="1" applyFont="1" applyFill="1"/>
    <xf numFmtId="43" fontId="357" fillId="85" borderId="0" xfId="542" applyNumberFormat="1" applyFont="1" applyFill="1"/>
    <xf numFmtId="43" fontId="357" fillId="0" borderId="0" xfId="542" applyNumberFormat="1" applyFont="1"/>
    <xf numFmtId="0" fontId="340" fillId="0" borderId="0" xfId="96" applyFont="1"/>
    <xf numFmtId="0" fontId="340" fillId="85" borderId="0" xfId="96" applyFont="1" applyFill="1"/>
    <xf numFmtId="49" fontId="358" fillId="85" borderId="0" xfId="96" applyNumberFormat="1" applyFont="1" applyFill="1" applyAlignment="1">
      <alignment horizontal="center"/>
    </xf>
    <xf numFmtId="0" fontId="359" fillId="85" borderId="0" xfId="96" applyFont="1" applyFill="1" applyAlignment="1"/>
    <xf numFmtId="0" fontId="359" fillId="0" borderId="0" xfId="96" applyFont="1"/>
    <xf numFmtId="0" fontId="360" fillId="0" borderId="0" xfId="96" applyFont="1" applyAlignment="1">
      <alignment horizontal="center"/>
    </xf>
    <xf numFmtId="0" fontId="360" fillId="85" borderId="0" xfId="96" applyFont="1" applyFill="1" applyAlignment="1">
      <alignment horizontal="center"/>
    </xf>
    <xf numFmtId="165" fontId="342" fillId="85" borderId="0" xfId="96" applyNumberFormat="1" applyFont="1" applyFill="1" applyAlignment="1">
      <alignment horizontal="center"/>
    </xf>
    <xf numFmtId="165" fontId="342" fillId="0" borderId="0" xfId="96" applyNumberFormat="1" applyFont="1" applyAlignment="1">
      <alignment horizontal="center"/>
    </xf>
    <xf numFmtId="199" fontId="359" fillId="0" borderId="0" xfId="96" applyNumberFormat="1" applyFont="1" applyFill="1"/>
    <xf numFmtId="0" fontId="5" fillId="0" borderId="0" xfId="1038" applyFont="1"/>
    <xf numFmtId="0" fontId="5" fillId="85" borderId="0" xfId="1038" applyFont="1" applyFill="1"/>
    <xf numFmtId="199" fontId="5" fillId="0" borderId="0" xfId="1038" applyNumberFormat="1" applyFont="1"/>
    <xf numFmtId="199" fontId="5" fillId="85" borderId="0" xfId="1038" applyNumberFormat="1" applyFont="1" applyFill="1"/>
    <xf numFmtId="43" fontId="357" fillId="0" borderId="0" xfId="542" applyFont="1"/>
    <xf numFmtId="0" fontId="357" fillId="60" borderId="0" xfId="0" applyFont="1" applyFill="1"/>
    <xf numFmtId="0" fontId="357" fillId="60" borderId="29" xfId="0" applyFont="1" applyFill="1" applyBorder="1"/>
    <xf numFmtId="3" fontId="357" fillId="60" borderId="31" xfId="0" applyNumberFormat="1" applyFont="1" applyFill="1" applyBorder="1"/>
    <xf numFmtId="16" fontId="357" fillId="60" borderId="0" xfId="0" applyNumberFormat="1" applyFont="1" applyFill="1"/>
    <xf numFmtId="0" fontId="357" fillId="60" borderId="93" xfId="0" applyFont="1" applyFill="1" applyBorder="1"/>
    <xf numFmtId="17" fontId="357" fillId="60" borderId="0" xfId="542" applyNumberFormat="1" applyFont="1" applyFill="1"/>
    <xf numFmtId="43" fontId="357" fillId="60" borderId="0" xfId="542" applyFont="1" applyFill="1"/>
    <xf numFmtId="0" fontId="357" fillId="60" borderId="42" xfId="0" applyFont="1" applyFill="1" applyBorder="1"/>
    <xf numFmtId="165" fontId="357" fillId="60" borderId="93" xfId="542" applyNumberFormat="1" applyFont="1" applyFill="1" applyBorder="1"/>
    <xf numFmtId="17" fontId="357" fillId="60" borderId="0" xfId="0" applyNumberFormat="1" applyFont="1" applyFill="1"/>
    <xf numFmtId="0" fontId="357" fillId="60" borderId="0" xfId="0" applyNumberFormat="1" applyFont="1" applyFill="1"/>
    <xf numFmtId="165" fontId="357" fillId="60" borderId="0" xfId="0" applyNumberFormat="1" applyFont="1" applyFill="1"/>
    <xf numFmtId="0" fontId="357" fillId="60" borderId="32" xfId="0" applyFont="1" applyFill="1" applyBorder="1"/>
    <xf numFmtId="43" fontId="357" fillId="60" borderId="33" xfId="542" applyNumberFormat="1" applyFont="1" applyFill="1" applyBorder="1"/>
    <xf numFmtId="3" fontId="357" fillId="0" borderId="0" xfId="0" applyNumberFormat="1" applyFont="1"/>
    <xf numFmtId="165" fontId="213" fillId="91" borderId="0" xfId="29" applyNumberFormat="1" applyFont="1" applyFill="1"/>
    <xf numFmtId="165" fontId="211" fillId="0" borderId="72" xfId="29" applyNumberFormat="1" applyFont="1" applyFill="1" applyBorder="1"/>
    <xf numFmtId="165" fontId="212" fillId="0" borderId="75" xfId="29" applyNumberFormat="1" applyFont="1" applyFill="1" applyBorder="1"/>
    <xf numFmtId="0" fontId="237" fillId="0" borderId="75" xfId="97" quotePrefix="1" applyFont="1" applyBorder="1" applyAlignment="1"/>
    <xf numFmtId="0" fontId="125" fillId="0" borderId="0" xfId="1044" applyFont="1" applyAlignment="1">
      <alignment horizontal="left"/>
    </xf>
    <xf numFmtId="0" fontId="143" fillId="91" borderId="0" xfId="96" applyFont="1" applyFill="1" applyAlignment="1">
      <alignment horizontal="center"/>
    </xf>
    <xf numFmtId="0" fontId="143" fillId="91" borderId="0" xfId="96" applyFont="1" applyFill="1" applyAlignment="1">
      <alignment horizontal="center" vertical="center"/>
    </xf>
    <xf numFmtId="0" fontId="362" fillId="83" borderId="0" xfId="1524" applyFont="1" applyAlignment="1">
      <alignment horizontal="left" vertical="center" wrapText="1"/>
    </xf>
    <xf numFmtId="0" fontId="4" fillId="0" borderId="0" xfId="1525"/>
    <xf numFmtId="0" fontId="347" fillId="0" borderId="0" xfId="96" applyFont="1" applyFill="1" applyBorder="1" applyAlignment="1">
      <alignment horizontal="center"/>
    </xf>
    <xf numFmtId="165" fontId="347" fillId="93" borderId="0" xfId="542" applyNumberFormat="1" applyFont="1" applyFill="1" applyAlignment="1">
      <alignment horizontal="center"/>
    </xf>
    <xf numFmtId="0" fontId="347" fillId="0" borderId="0" xfId="96" applyFont="1" applyFill="1" applyAlignment="1">
      <alignment horizontal="center"/>
    </xf>
    <xf numFmtId="1" fontId="347" fillId="93" borderId="0" xfId="542" applyNumberFormat="1" applyFont="1" applyFill="1" applyAlignment="1">
      <alignment horizontal="center"/>
    </xf>
    <xf numFmtId="0" fontId="294" fillId="0" borderId="0" xfId="1525" applyFont="1" applyAlignment="1">
      <alignment horizontal="center"/>
    </xf>
    <xf numFmtId="0" fontId="294" fillId="0" borderId="0" xfId="1525" applyFont="1"/>
    <xf numFmtId="0" fontId="348" fillId="0" borderId="0" xfId="1525" applyFont="1"/>
    <xf numFmtId="165" fontId="349" fillId="93" borderId="0" xfId="542" applyNumberFormat="1" applyFont="1" applyFill="1"/>
    <xf numFmtId="0" fontId="348" fillId="0" borderId="0" xfId="1525" applyFont="1" applyAlignment="1">
      <alignment horizontal="left" indent="1"/>
    </xf>
    <xf numFmtId="0" fontId="4" fillId="0" borderId="0" xfId="1525" applyAlignment="1">
      <alignment horizontal="left" indent="1"/>
    </xf>
    <xf numFmtId="165" fontId="4" fillId="0" borderId="0" xfId="1525" applyNumberFormat="1"/>
    <xf numFmtId="165" fontId="4" fillId="53" borderId="0" xfId="1525" applyNumberFormat="1" applyFill="1"/>
    <xf numFmtId="165" fontId="4" fillId="0" borderId="0" xfId="1525" applyNumberFormat="1" applyFill="1"/>
    <xf numFmtId="165" fontId="0" fillId="0" borderId="0" xfId="542" applyNumberFormat="1" applyFont="1" applyFill="1"/>
    <xf numFmtId="0" fontId="294" fillId="0" borderId="0" xfId="1525" applyFont="1" applyAlignment="1">
      <alignment horizontal="left" indent="1"/>
    </xf>
    <xf numFmtId="165" fontId="347" fillId="93" borderId="22" xfId="542" applyNumberFormat="1" applyFont="1" applyFill="1" applyBorder="1"/>
    <xf numFmtId="165" fontId="294" fillId="0" borderId="22" xfId="1525" applyNumberFormat="1" applyFont="1" applyBorder="1"/>
    <xf numFmtId="165" fontId="347" fillId="93" borderId="0" xfId="542" applyNumberFormat="1" applyFont="1" applyFill="1" applyBorder="1"/>
    <xf numFmtId="165" fontId="294" fillId="0" borderId="0" xfId="1525" applyNumberFormat="1" applyFont="1" applyBorder="1"/>
    <xf numFmtId="0" fontId="4" fillId="0" borderId="0" xfId="1525" applyFont="1" applyAlignment="1">
      <alignment horizontal="left" indent="1"/>
    </xf>
    <xf numFmtId="165" fontId="349" fillId="93" borderId="0" xfId="542" applyNumberFormat="1" applyFont="1" applyFill="1" applyBorder="1"/>
    <xf numFmtId="165" fontId="294" fillId="94" borderId="0" xfId="1525" applyNumberFormat="1" applyFont="1" applyFill="1" applyBorder="1"/>
    <xf numFmtId="165" fontId="349" fillId="93" borderId="21" xfId="542" applyNumberFormat="1" applyFont="1" applyFill="1" applyBorder="1"/>
    <xf numFmtId="165" fontId="347" fillId="93" borderId="20" xfId="542" applyNumberFormat="1" applyFont="1" applyFill="1" applyBorder="1"/>
    <xf numFmtId="165" fontId="347" fillId="93" borderId="21" xfId="542" applyNumberFormat="1" applyFont="1" applyFill="1" applyBorder="1"/>
    <xf numFmtId="165" fontId="294" fillId="0" borderId="21" xfId="1525" applyNumberFormat="1" applyFont="1" applyBorder="1"/>
    <xf numFmtId="165" fontId="347" fillId="93" borderId="0" xfId="542" applyNumberFormat="1" applyFont="1" applyFill="1"/>
    <xf numFmtId="165" fontId="294" fillId="0" borderId="0" xfId="1525" applyNumberFormat="1" applyFont="1"/>
    <xf numFmtId="220" fontId="363" fillId="95" borderId="0" xfId="34" applyNumberFormat="1" applyFont="1" applyFill="1" applyBorder="1"/>
    <xf numFmtId="165" fontId="363" fillId="95" borderId="0" xfId="542" applyNumberFormat="1" applyFont="1" applyFill="1" applyBorder="1"/>
    <xf numFmtId="220" fontId="363" fillId="0" borderId="0" xfId="34" applyNumberFormat="1" applyFont="1" applyFill="1" applyBorder="1"/>
    <xf numFmtId="165" fontId="363" fillId="0" borderId="0" xfId="542" applyNumberFormat="1" applyFont="1" applyFill="1" applyBorder="1"/>
    <xf numFmtId="10" fontId="0" fillId="0" borderId="0" xfId="1374" applyNumberFormat="1" applyFont="1"/>
    <xf numFmtId="3" fontId="4" fillId="0" borderId="0" xfId="1525" applyNumberFormat="1"/>
    <xf numFmtId="0" fontId="362" fillId="83" borderId="0" xfId="1524" applyFont="1" applyAlignment="1">
      <alignment horizontal="left" wrapText="1"/>
    </xf>
    <xf numFmtId="0" fontId="4" fillId="0" borderId="0" xfId="1525" applyFill="1"/>
    <xf numFmtId="3" fontId="4" fillId="0" borderId="0" xfId="1525" applyNumberFormat="1" applyFill="1"/>
    <xf numFmtId="0" fontId="4" fillId="0" borderId="0" xfId="1525" applyFill="1" applyBorder="1"/>
    <xf numFmtId="165" fontId="0" fillId="0" borderId="0" xfId="542" applyNumberFormat="1" applyFont="1" applyFill="1" applyBorder="1"/>
    <xf numFmtId="165" fontId="0" fillId="0" borderId="0" xfId="542" applyNumberFormat="1" applyFont="1" applyBorder="1"/>
    <xf numFmtId="0" fontId="4" fillId="0" borderId="21" xfId="1525" applyFill="1" applyBorder="1"/>
    <xf numFmtId="165" fontId="0" fillId="0" borderId="21" xfId="542" applyNumberFormat="1" applyFont="1" applyFill="1" applyBorder="1"/>
    <xf numFmtId="165" fontId="365" fillId="0" borderId="21" xfId="1526" applyNumberFormat="1" applyFill="1" applyBorder="1"/>
    <xf numFmtId="165" fontId="0" fillId="0" borderId="21" xfId="542" applyNumberFormat="1" applyFont="1" applyBorder="1"/>
    <xf numFmtId="165" fontId="285" fillId="0" borderId="0" xfId="542" applyNumberFormat="1" applyFont="1" applyFill="1"/>
    <xf numFmtId="165" fontId="294" fillId="0" borderId="0" xfId="542" applyNumberFormat="1" applyFont="1" applyBorder="1"/>
    <xf numFmtId="3" fontId="348" fillId="0" borderId="0" xfId="1525" applyNumberFormat="1" applyFont="1"/>
    <xf numFmtId="165" fontId="0" fillId="0" borderId="0" xfId="542" applyNumberFormat="1" applyFont="1"/>
    <xf numFmtId="165" fontId="296" fillId="59" borderId="0" xfId="542" applyNumberFormat="1" applyFont="1" applyFill="1" applyBorder="1"/>
    <xf numFmtId="0" fontId="365" fillId="59" borderId="0" xfId="1525" applyFont="1" applyFill="1"/>
    <xf numFmtId="0" fontId="366" fillId="0" borderId="0" xfId="1525" applyFont="1" applyFill="1" applyBorder="1" applyAlignment="1">
      <alignment horizontal="left"/>
    </xf>
    <xf numFmtId="0" fontId="368" fillId="0" borderId="0" xfId="1525" applyFont="1" applyFill="1" applyBorder="1"/>
    <xf numFmtId="0" fontId="369" fillId="0" borderId="0" xfId="1525" applyFont="1" applyFill="1" applyBorder="1" applyAlignment="1">
      <alignment horizontal="left"/>
    </xf>
    <xf numFmtId="0" fontId="369" fillId="0" borderId="206" xfId="1525" applyFont="1" applyFill="1" applyBorder="1" applyAlignment="1">
      <alignment horizontal="center"/>
    </xf>
    <xf numFmtId="0" fontId="370" fillId="0" borderId="0" xfId="1525" applyFont="1" applyFill="1" applyBorder="1"/>
    <xf numFmtId="0" fontId="368" fillId="0" borderId="30" xfId="1525" applyFont="1" applyFill="1" applyBorder="1" applyAlignment="1">
      <alignment horizontal="left"/>
    </xf>
    <xf numFmtId="0" fontId="368" fillId="0" borderId="30" xfId="1525" applyFont="1" applyFill="1" applyBorder="1" applyAlignment="1">
      <alignment horizontal="right"/>
    </xf>
    <xf numFmtId="0" fontId="368" fillId="99" borderId="111" xfId="1525" applyFont="1" applyFill="1" applyBorder="1"/>
    <xf numFmtId="166" fontId="370" fillId="99" borderId="30" xfId="1527" applyNumberFormat="1" applyFont="1" applyFill="1" applyBorder="1"/>
    <xf numFmtId="0" fontId="4" fillId="94" borderId="30" xfId="1525" applyFill="1" applyBorder="1"/>
    <xf numFmtId="166" fontId="371" fillId="98" borderId="29" xfId="1527" applyNumberFormat="1" applyFont="1" applyFill="1" applyBorder="1"/>
    <xf numFmtId="166" fontId="371" fillId="98" borderId="30" xfId="1527" applyNumberFormat="1" applyFont="1" applyFill="1" applyBorder="1"/>
    <xf numFmtId="166" fontId="371" fillId="98" borderId="31" xfId="1527" applyNumberFormat="1" applyFont="1" applyFill="1" applyBorder="1"/>
    <xf numFmtId="0" fontId="368" fillId="0" borderId="0" xfId="1525" applyFont="1" applyFill="1" applyBorder="1" applyAlignment="1">
      <alignment horizontal="left"/>
    </xf>
    <xf numFmtId="0" fontId="368" fillId="0" borderId="0" xfId="1525" applyFont="1" applyFill="1" applyBorder="1" applyAlignment="1">
      <alignment horizontal="right"/>
    </xf>
    <xf numFmtId="0" fontId="368" fillId="99" borderId="72" xfId="1525" applyFont="1" applyFill="1" applyBorder="1"/>
    <xf numFmtId="166" fontId="370" fillId="99" borderId="0" xfId="1527" applyNumberFormat="1" applyFont="1" applyFill="1" applyBorder="1"/>
    <xf numFmtId="0" fontId="4" fillId="94" borderId="0" xfId="1525" applyFill="1" applyBorder="1"/>
    <xf numFmtId="166" fontId="371" fillId="98" borderId="70" xfId="1527" applyNumberFormat="1" applyFont="1" applyFill="1" applyBorder="1"/>
    <xf numFmtId="166" fontId="371" fillId="98" borderId="21" xfId="1527" applyNumberFormat="1" applyFont="1" applyFill="1" applyBorder="1"/>
    <xf numFmtId="166" fontId="371" fillId="98" borderId="91" xfId="1527" applyNumberFormat="1" applyFont="1" applyFill="1" applyBorder="1"/>
    <xf numFmtId="0" fontId="368" fillId="98" borderId="32" xfId="1525" applyFont="1" applyFill="1" applyBorder="1"/>
    <xf numFmtId="0" fontId="372" fillId="0" borderId="205" xfId="1525" applyFont="1" applyFill="1" applyBorder="1" applyAlignment="1">
      <alignment horizontal="right"/>
    </xf>
    <xf numFmtId="0" fontId="368" fillId="0" borderId="205" xfId="1525" applyFont="1" applyFill="1" applyBorder="1"/>
    <xf numFmtId="0" fontId="368" fillId="99" borderId="119" xfId="1525" applyFont="1" applyFill="1" applyBorder="1"/>
    <xf numFmtId="166" fontId="370" fillId="99" borderId="205" xfId="1527" applyNumberFormat="1" applyFont="1" applyFill="1" applyBorder="1"/>
    <xf numFmtId="0" fontId="4" fillId="94" borderId="205" xfId="1525" applyFill="1" applyBorder="1"/>
    <xf numFmtId="166" fontId="370" fillId="98" borderId="32" xfId="1527" applyNumberFormat="1" applyFont="1" applyFill="1" applyBorder="1"/>
    <xf numFmtId="166" fontId="370" fillId="98" borderId="205" xfId="1527" applyNumberFormat="1" applyFont="1" applyFill="1" applyBorder="1"/>
    <xf numFmtId="166" fontId="370" fillId="98" borderId="33" xfId="1527" applyNumberFormat="1" applyFont="1" applyFill="1" applyBorder="1"/>
    <xf numFmtId="0" fontId="362" fillId="100" borderId="0" xfId="1524" applyFont="1" applyFill="1" applyAlignment="1">
      <alignment horizontal="left" vertical="center" wrapText="1"/>
    </xf>
    <xf numFmtId="0" fontId="368" fillId="101" borderId="0" xfId="1525" applyFont="1" applyFill="1" applyBorder="1"/>
    <xf numFmtId="0" fontId="372" fillId="89" borderId="0" xfId="1525" applyFont="1" applyFill="1" applyBorder="1" applyAlignment="1">
      <alignment horizontal="right"/>
    </xf>
    <xf numFmtId="0" fontId="368" fillId="89" borderId="0" xfId="1525" applyFont="1" applyFill="1" applyBorder="1"/>
    <xf numFmtId="166" fontId="370" fillId="101" borderId="0" xfId="1527" applyNumberFormat="1" applyFont="1" applyFill="1" applyBorder="1"/>
    <xf numFmtId="0" fontId="4" fillId="89" borderId="0" xfId="1525" applyFill="1" applyBorder="1"/>
    <xf numFmtId="0" fontId="4" fillId="89" borderId="0" xfId="1525" applyFill="1"/>
    <xf numFmtId="0" fontId="285" fillId="100" borderId="0" xfId="1524" applyFont="1" applyFill="1" applyAlignment="1">
      <alignment horizontal="left" vertical="center"/>
    </xf>
    <xf numFmtId="0" fontId="296" fillId="89" borderId="0" xfId="1525" applyFont="1" applyFill="1" applyBorder="1"/>
    <xf numFmtId="10" fontId="370" fillId="101" borderId="37" xfId="1374" applyNumberFormat="1" applyFont="1" applyFill="1" applyBorder="1"/>
    <xf numFmtId="9" fontId="370" fillId="101" borderId="0" xfId="1374" applyFont="1" applyFill="1" applyBorder="1"/>
    <xf numFmtId="10" fontId="370" fillId="101" borderId="0" xfId="1374" applyNumberFormat="1" applyFont="1" applyFill="1" applyBorder="1"/>
    <xf numFmtId="166" fontId="370" fillId="101" borderId="37" xfId="1527" applyNumberFormat="1" applyFont="1" applyFill="1" applyBorder="1"/>
    <xf numFmtId="165" fontId="370" fillId="101" borderId="0" xfId="542" applyNumberFormat="1" applyFont="1" applyFill="1" applyBorder="1"/>
    <xf numFmtId="9" fontId="0" fillId="0" borderId="0" xfId="1374" applyFont="1"/>
    <xf numFmtId="0" fontId="294" fillId="0" borderId="0" xfId="1525" applyFont="1" applyAlignment="1">
      <alignment horizontal="right"/>
    </xf>
    <xf numFmtId="165" fontId="0" fillId="102" borderId="0" xfId="542" applyNumberFormat="1" applyFont="1" applyFill="1"/>
    <xf numFmtId="165" fontId="4" fillId="103" borderId="0" xfId="1525" applyNumberFormat="1" applyFill="1"/>
    <xf numFmtId="165" fontId="4" fillId="84" borderId="205" xfId="1525" applyNumberFormat="1" applyFill="1" applyBorder="1"/>
    <xf numFmtId="165" fontId="294" fillId="0" borderId="0" xfId="542" applyNumberFormat="1" applyFont="1" applyFill="1"/>
    <xf numFmtId="165" fontId="0" fillId="104" borderId="0" xfId="542" applyNumberFormat="1" applyFont="1" applyFill="1"/>
    <xf numFmtId="165" fontId="4" fillId="0" borderId="21" xfId="1525" applyNumberFormat="1" applyBorder="1"/>
    <xf numFmtId="165" fontId="294" fillId="0" borderId="0" xfId="542" applyNumberFormat="1" applyFont="1"/>
    <xf numFmtId="0" fontId="297" fillId="0" borderId="0" xfId="1525" applyFont="1"/>
    <xf numFmtId="0" fontId="373" fillId="0" borderId="0" xfId="1525" applyFont="1" applyFill="1" applyAlignment="1">
      <alignment horizontal="right"/>
    </xf>
    <xf numFmtId="43" fontId="350" fillId="0" borderId="0" xfId="542" applyNumberFormat="1" applyFont="1" applyFill="1"/>
    <xf numFmtId="165" fontId="350" fillId="0" borderId="0" xfId="542" applyNumberFormat="1" applyFont="1" applyFill="1"/>
    <xf numFmtId="0" fontId="0" fillId="0" borderId="0" xfId="1038" applyFont="1"/>
    <xf numFmtId="0" fontId="4" fillId="0" borderId="0" xfId="1038" applyFont="1"/>
    <xf numFmtId="165" fontId="4" fillId="0" borderId="0" xfId="1038" applyNumberFormat="1" applyFont="1"/>
    <xf numFmtId="44" fontId="4" fillId="0" borderId="0" xfId="1038" applyNumberFormat="1" applyFont="1"/>
    <xf numFmtId="197" fontId="374" fillId="0" borderId="0" xfId="57" applyFont="1"/>
    <xf numFmtId="165" fontId="284" fillId="0" borderId="205" xfId="1528" applyNumberFormat="1" applyFont="1" applyBorder="1" applyAlignment="1"/>
    <xf numFmtId="165" fontId="284" fillId="0" borderId="0" xfId="1528" applyNumberFormat="1" applyFont="1" applyBorder="1" applyAlignment="1"/>
    <xf numFmtId="166" fontId="284" fillId="0" borderId="0" xfId="1038" applyNumberFormat="1" applyFont="1" applyFill="1"/>
    <xf numFmtId="166" fontId="4" fillId="0" borderId="0" xfId="1038" applyNumberFormat="1" applyFont="1"/>
    <xf numFmtId="166" fontId="284" fillId="0" borderId="75" xfId="1038" applyNumberFormat="1" applyFont="1" applyBorder="1"/>
    <xf numFmtId="39" fontId="284" fillId="84" borderId="20" xfId="45" applyNumberFormat="1" applyFont="1" applyFill="1" applyBorder="1"/>
    <xf numFmtId="165" fontId="284" fillId="84" borderId="20" xfId="1528" applyNumberFormat="1" applyFont="1" applyFill="1" applyBorder="1"/>
    <xf numFmtId="165" fontId="284" fillId="0" borderId="20" xfId="1528" applyNumberFormat="1" applyFont="1" applyFill="1" applyBorder="1"/>
    <xf numFmtId="165" fontId="284" fillId="0" borderId="105" xfId="1528" applyNumberFormat="1" applyFont="1" applyFill="1" applyBorder="1"/>
    <xf numFmtId="39" fontId="4" fillId="0" borderId="0" xfId="1525" applyNumberFormat="1"/>
    <xf numFmtId="0" fontId="4" fillId="0" borderId="0" xfId="1038" applyFont="1" applyFill="1"/>
    <xf numFmtId="197" fontId="4" fillId="0" borderId="0" xfId="1038" applyNumberFormat="1" applyFont="1" applyFill="1"/>
    <xf numFmtId="0" fontId="4" fillId="103" borderId="0" xfId="1038" applyFont="1" applyFill="1"/>
    <xf numFmtId="197" fontId="4" fillId="103" borderId="0" xfId="1038" applyNumberFormat="1" applyFont="1" applyFill="1"/>
    <xf numFmtId="197" fontId="4" fillId="0" borderId="0" xfId="1038" applyNumberFormat="1" applyFont="1"/>
    <xf numFmtId="0" fontId="374" fillId="0" borderId="0" xfId="1038" applyFont="1" applyBorder="1" applyAlignment="1">
      <alignment horizontal="left"/>
    </xf>
    <xf numFmtId="9" fontId="0" fillId="0" borderId="0" xfId="1374" applyFont="1" applyBorder="1"/>
    <xf numFmtId="0" fontId="374" fillId="0" borderId="0" xfId="1038" applyFont="1" applyAlignment="1">
      <alignment horizontal="left"/>
    </xf>
    <xf numFmtId="0" fontId="4" fillId="53" borderId="0" xfId="1038" applyFont="1" applyFill="1" applyAlignment="1">
      <alignment horizontal="center"/>
    </xf>
    <xf numFmtId="165" fontId="4" fillId="0" borderId="0" xfId="542" applyNumberFormat="1" applyFont="1" applyBorder="1"/>
    <xf numFmtId="49" fontId="0" fillId="0" borderId="0" xfId="1038" applyNumberFormat="1" applyFont="1" applyBorder="1" applyAlignment="1">
      <alignment horizontal="left"/>
    </xf>
    <xf numFmtId="0" fontId="4" fillId="0" borderId="0" xfId="1525" applyBorder="1"/>
    <xf numFmtId="0" fontId="374" fillId="104" borderId="0" xfId="1038" applyFont="1" applyFill="1" applyBorder="1" applyAlignment="1">
      <alignment horizontal="left"/>
    </xf>
    <xf numFmtId="165" fontId="0" fillId="104" borderId="0" xfId="542" applyNumberFormat="1" applyFont="1" applyFill="1" applyBorder="1"/>
    <xf numFmtId="0" fontId="374" fillId="102" borderId="0" xfId="1038" applyFont="1" applyFill="1" applyBorder="1" applyAlignment="1">
      <alignment horizontal="left"/>
    </xf>
    <xf numFmtId="165" fontId="0" fillId="102" borderId="0" xfId="542" applyNumberFormat="1" applyFont="1" applyFill="1" applyBorder="1"/>
    <xf numFmtId="49" fontId="0" fillId="58" borderId="0" xfId="1038" applyNumberFormat="1" applyFont="1" applyFill="1" applyBorder="1" applyAlignment="1">
      <alignment horizontal="left"/>
    </xf>
    <xf numFmtId="0" fontId="4" fillId="58" borderId="0" xfId="1525" applyFill="1" applyBorder="1"/>
    <xf numFmtId="165" fontId="0" fillId="58" borderId="0" xfId="542" applyNumberFormat="1" applyFont="1" applyFill="1" applyBorder="1"/>
    <xf numFmtId="43" fontId="0" fillId="103" borderId="0" xfId="542" applyNumberFormat="1" applyFont="1" applyFill="1"/>
    <xf numFmtId="165" fontId="297" fillId="0" borderId="0" xfId="1525" applyNumberFormat="1" applyFont="1" applyBorder="1" applyAlignment="1">
      <alignment horizontal="center"/>
    </xf>
    <xf numFmtId="43" fontId="4" fillId="0" borderId="0" xfId="1525" applyNumberFormat="1"/>
    <xf numFmtId="0" fontId="375" fillId="0" borderId="0" xfId="1525" applyFont="1" applyBorder="1" applyAlignment="1">
      <alignment horizontal="right"/>
    </xf>
    <xf numFmtId="0" fontId="297" fillId="0" borderId="6" xfId="1525" applyFont="1" applyBorder="1"/>
    <xf numFmtId="0" fontId="285" fillId="0" borderId="6" xfId="1525" applyFont="1" applyBorder="1"/>
    <xf numFmtId="0" fontId="285" fillId="60" borderId="6" xfId="1525" applyFont="1" applyFill="1" applyBorder="1" applyAlignment="1">
      <alignment horizontal="center"/>
    </xf>
    <xf numFmtId="0" fontId="4" fillId="0" borderId="6" xfId="1525" applyBorder="1"/>
    <xf numFmtId="0" fontId="285" fillId="0" borderId="6" xfId="1525" applyFont="1" applyBorder="1" applyAlignment="1">
      <alignment horizontal="center"/>
    </xf>
    <xf numFmtId="0" fontId="285" fillId="105" borderId="6" xfId="1525" applyFont="1" applyFill="1" applyBorder="1" applyAlignment="1">
      <alignment horizontal="center"/>
    </xf>
    <xf numFmtId="0" fontId="285" fillId="104" borderId="6" xfId="1525" applyFont="1" applyFill="1" applyBorder="1" applyAlignment="1">
      <alignment horizontal="center"/>
    </xf>
    <xf numFmtId="9" fontId="297" fillId="0" borderId="6" xfId="1525" applyNumberFormat="1" applyFont="1" applyBorder="1"/>
    <xf numFmtId="165" fontId="297" fillId="60" borderId="6" xfId="542" applyNumberFormat="1" applyFont="1" applyFill="1" applyBorder="1" applyAlignment="1">
      <alignment horizontal="right"/>
    </xf>
    <xf numFmtId="165" fontId="0" fillId="60" borderId="6" xfId="542" applyNumberFormat="1" applyFont="1" applyFill="1" applyBorder="1"/>
    <xf numFmtId="165" fontId="0" fillId="105" borderId="6" xfId="542" applyNumberFormat="1" applyFont="1" applyFill="1" applyBorder="1"/>
    <xf numFmtId="165" fontId="0" fillId="104" borderId="6" xfId="542" applyNumberFormat="1" applyFont="1" applyFill="1" applyBorder="1"/>
    <xf numFmtId="9" fontId="284" fillId="0" borderId="6" xfId="1525" applyNumberFormat="1" applyFont="1" applyBorder="1" applyAlignment="1">
      <alignment horizontal="right"/>
    </xf>
    <xf numFmtId="165" fontId="373" fillId="0" borderId="6" xfId="542" applyNumberFormat="1" applyFont="1" applyFill="1" applyBorder="1" applyAlignment="1">
      <alignment horizontal="right"/>
    </xf>
    <xf numFmtId="165" fontId="0" fillId="0" borderId="6" xfId="542" applyNumberFormat="1" applyFont="1" applyFill="1" applyBorder="1"/>
    <xf numFmtId="165" fontId="350" fillId="0" borderId="6" xfId="542" applyNumberFormat="1" applyFont="1" applyFill="1" applyBorder="1"/>
    <xf numFmtId="165" fontId="350" fillId="94" borderId="6" xfId="542" applyNumberFormat="1" applyFont="1" applyFill="1" applyBorder="1"/>
    <xf numFmtId="0" fontId="4" fillId="0" borderId="6" xfId="1525" applyFill="1" applyBorder="1"/>
    <xf numFmtId="9" fontId="297" fillId="0" borderId="6" xfId="1525" applyNumberFormat="1" applyFont="1" applyFill="1" applyBorder="1"/>
    <xf numFmtId="165" fontId="350" fillId="0" borderId="6" xfId="542" applyNumberFormat="1" applyFont="1" applyFill="1" applyBorder="1" applyAlignment="1">
      <alignment horizontal="right"/>
    </xf>
    <xf numFmtId="0" fontId="375" fillId="60" borderId="6" xfId="1525" applyFont="1" applyFill="1" applyBorder="1" applyAlignment="1">
      <alignment horizontal="right"/>
    </xf>
    <xf numFmtId="0" fontId="4" fillId="105" borderId="6" xfId="1525" applyFill="1" applyBorder="1"/>
    <xf numFmtId="0" fontId="4" fillId="104" borderId="6" xfId="1525" applyFill="1" applyBorder="1"/>
    <xf numFmtId="0" fontId="4" fillId="106" borderId="29" xfId="1525" applyFill="1" applyBorder="1"/>
    <xf numFmtId="0" fontId="4" fillId="106" borderId="30" xfId="1525" applyFill="1" applyBorder="1"/>
    <xf numFmtId="0" fontId="4" fillId="106" borderId="31" xfId="1525" applyFill="1" applyBorder="1"/>
    <xf numFmtId="0" fontId="4" fillId="106" borderId="42" xfId="1525" applyFill="1" applyBorder="1"/>
    <xf numFmtId="0" fontId="4" fillId="106" borderId="0" xfId="1525" applyFill="1" applyBorder="1"/>
    <xf numFmtId="0" fontId="4" fillId="105" borderId="0" xfId="1525" applyFill="1" applyBorder="1" applyAlignment="1">
      <alignment horizontal="center"/>
    </xf>
    <xf numFmtId="0" fontId="4" fillId="106" borderId="93" xfId="1525" applyFill="1" applyBorder="1"/>
    <xf numFmtId="165" fontId="0" fillId="106" borderId="0" xfId="542" applyNumberFormat="1" applyFont="1" applyFill="1" applyBorder="1"/>
    <xf numFmtId="165" fontId="4" fillId="106" borderId="93" xfId="1525" applyNumberFormat="1" applyFill="1" applyBorder="1"/>
    <xf numFmtId="0" fontId="4" fillId="105" borderId="42" xfId="1525" applyFill="1" applyBorder="1"/>
    <xf numFmtId="165" fontId="0" fillId="106" borderId="21" xfId="542" applyNumberFormat="1" applyFont="1" applyFill="1" applyBorder="1"/>
    <xf numFmtId="165" fontId="4" fillId="106" borderId="91" xfId="1525" applyNumberFormat="1" applyFill="1" applyBorder="1"/>
    <xf numFmtId="0" fontId="4" fillId="106" borderId="32" xfId="1525" applyFill="1" applyBorder="1"/>
    <xf numFmtId="0" fontId="4" fillId="106" borderId="205" xfId="1525" applyFill="1" applyBorder="1"/>
    <xf numFmtId="0" fontId="4" fillId="106" borderId="33" xfId="1525" applyFill="1" applyBorder="1"/>
    <xf numFmtId="0" fontId="10" fillId="47" borderId="123" xfId="0" applyFont="1" applyFill="1" applyBorder="1" applyAlignment="1">
      <alignment horizontal="center"/>
    </xf>
    <xf numFmtId="0" fontId="142" fillId="0" borderId="72" xfId="96" applyFont="1" applyFill="1" applyBorder="1"/>
    <xf numFmtId="0" fontId="200" fillId="0" borderId="72" xfId="96" applyFont="1" applyFill="1" applyBorder="1" applyAlignment="1">
      <alignment horizontal="center"/>
    </xf>
    <xf numFmtId="0" fontId="135" fillId="0" borderId="72" xfId="96" applyFont="1" applyBorder="1" applyAlignment="1">
      <alignment horizontal="center"/>
    </xf>
    <xf numFmtId="199" fontId="236" fillId="0" borderId="72" xfId="34" applyNumberFormat="1" applyFont="1" applyFill="1" applyBorder="1"/>
    <xf numFmtId="200" fontId="141" fillId="0" borderId="75" xfId="34" applyNumberFormat="1" applyFont="1" applyFill="1" applyBorder="1"/>
    <xf numFmtId="200" fontId="236" fillId="0" borderId="72" xfId="34" applyNumberFormat="1" applyFont="1" applyFill="1" applyBorder="1"/>
    <xf numFmtId="200" fontId="141" fillId="0" borderId="207" xfId="34" applyNumberFormat="1" applyFont="1" applyFill="1" applyBorder="1"/>
    <xf numFmtId="0" fontId="137" fillId="0" borderId="72" xfId="96" applyFont="1" applyFill="1" applyBorder="1"/>
    <xf numFmtId="165" fontId="137" fillId="0" borderId="72" xfId="34" applyNumberFormat="1" applyFont="1" applyFill="1" applyBorder="1"/>
    <xf numFmtId="9" fontId="142" fillId="0" borderId="72" xfId="162" applyFont="1" applyFill="1" applyBorder="1"/>
    <xf numFmtId="199" fontId="236" fillId="0" borderId="72" xfId="32" applyNumberFormat="1" applyFont="1" applyFill="1" applyBorder="1"/>
    <xf numFmtId="165" fontId="236" fillId="0" borderId="72" xfId="34" applyNumberFormat="1" applyFont="1" applyFill="1" applyBorder="1"/>
    <xf numFmtId="199" fontId="141" fillId="0" borderId="207" xfId="34" applyNumberFormat="1" applyFont="1" applyFill="1" applyBorder="1"/>
    <xf numFmtId="165" fontId="142" fillId="0" borderId="72" xfId="96" applyNumberFormat="1" applyFont="1" applyFill="1" applyBorder="1"/>
    <xf numFmtId="199" fontId="141" fillId="0" borderId="75" xfId="34" applyNumberFormat="1" applyFont="1" applyFill="1" applyBorder="1"/>
    <xf numFmtId="9" fontId="137" fillId="0" borderId="72" xfId="175" applyFont="1" applyFill="1" applyBorder="1"/>
    <xf numFmtId="165" fontId="142" fillId="0" borderId="72" xfId="34" applyNumberFormat="1" applyFont="1" applyFill="1" applyBorder="1"/>
    <xf numFmtId="165" fontId="137" fillId="0" borderId="73" xfId="34" applyNumberFormat="1" applyFont="1" applyFill="1" applyBorder="1"/>
    <xf numFmtId="165" fontId="148" fillId="0" borderId="72" xfId="34" applyNumberFormat="1" applyFont="1" applyFill="1" applyBorder="1"/>
    <xf numFmtId="165" fontId="142" fillId="22" borderId="73" xfId="34" applyNumberFormat="1" applyFont="1" applyFill="1" applyBorder="1"/>
    <xf numFmtId="199" fontId="142" fillId="22" borderId="72" xfId="34" applyNumberFormat="1" applyFont="1" applyFill="1" applyBorder="1"/>
    <xf numFmtId="199" fontId="141" fillId="22" borderId="75" xfId="34" applyNumberFormat="1" applyFont="1" applyFill="1" applyBorder="1"/>
    <xf numFmtId="0" fontId="142" fillId="48" borderId="72" xfId="96" applyFont="1" applyFill="1" applyBorder="1"/>
    <xf numFmtId="0" fontId="137" fillId="0" borderId="72" xfId="34" applyNumberFormat="1" applyFont="1" applyFill="1" applyBorder="1" applyAlignment="1">
      <alignment horizontal="center"/>
    </xf>
    <xf numFmtId="199" fontId="238" fillId="0" borderId="72" xfId="32" applyNumberFormat="1" applyFont="1" applyFill="1" applyBorder="1"/>
    <xf numFmtId="199" fontId="211" fillId="0" borderId="75" xfId="32" applyNumberFormat="1" applyFont="1" applyFill="1" applyBorder="1"/>
    <xf numFmtId="199" fontId="212" fillId="0" borderId="207" xfId="96" applyNumberFormat="1" applyFont="1" applyFill="1" applyBorder="1"/>
    <xf numFmtId="199" fontId="143" fillId="0" borderId="72" xfId="96" applyNumberFormat="1" applyFont="1" applyFill="1" applyBorder="1"/>
    <xf numFmtId="165" fontId="143" fillId="0" borderId="72" xfId="96" applyNumberFormat="1" applyFont="1" applyFill="1" applyBorder="1"/>
    <xf numFmtId="199" fontId="200" fillId="0" borderId="73" xfId="32" applyNumberFormat="1" applyFont="1" applyFill="1" applyBorder="1"/>
    <xf numFmtId="165" fontId="184" fillId="0" borderId="72" xfId="32" applyNumberFormat="1" applyFont="1" applyFill="1" applyBorder="1"/>
    <xf numFmtId="199" fontId="137" fillId="0" borderId="72" xfId="32" applyNumberFormat="1" applyFont="1" applyFill="1" applyBorder="1"/>
    <xf numFmtId="199" fontId="141" fillId="22" borderId="75" xfId="32" applyNumberFormat="1" applyFont="1" applyFill="1" applyBorder="1"/>
    <xf numFmtId="199" fontId="134" fillId="22" borderId="75" xfId="32" applyNumberFormat="1" applyFont="1" applyFill="1" applyBorder="1"/>
    <xf numFmtId="199" fontId="142" fillId="0" borderId="72" xfId="32" applyNumberFormat="1" applyFont="1" applyFill="1" applyBorder="1"/>
    <xf numFmtId="199" fontId="134" fillId="0" borderId="75" xfId="32" applyNumberFormat="1" applyFont="1" applyFill="1" applyBorder="1"/>
    <xf numFmtId="199" fontId="134" fillId="0" borderId="72" xfId="32" applyNumberFormat="1" applyFont="1" applyFill="1" applyBorder="1"/>
    <xf numFmtId="199" fontId="141" fillId="0" borderId="72" xfId="32" applyNumberFormat="1" applyFont="1" applyFill="1" applyBorder="1"/>
    <xf numFmtId="199" fontId="143" fillId="45" borderId="75" xfId="32" applyNumberFormat="1" applyFont="1" applyFill="1" applyBorder="1"/>
    <xf numFmtId="199" fontId="143" fillId="0" borderId="72" xfId="32" applyNumberFormat="1" applyFont="1" applyFill="1" applyBorder="1"/>
    <xf numFmtId="199" fontId="142" fillId="39" borderId="72" xfId="32" applyNumberFormat="1" applyFont="1" applyFill="1" applyBorder="1"/>
    <xf numFmtId="199" fontId="236" fillId="39" borderId="72" xfId="32" applyNumberFormat="1" applyFont="1" applyFill="1" applyBorder="1"/>
    <xf numFmtId="199" fontId="153" fillId="48" borderId="207" xfId="96" applyNumberFormat="1" applyFont="1" applyFill="1" applyBorder="1"/>
    <xf numFmtId="199" fontId="212" fillId="0" borderId="75" xfId="96" applyNumberFormat="1" applyFont="1" applyFill="1" applyBorder="1"/>
    <xf numFmtId="199" fontId="200" fillId="0" borderId="75" xfId="34" applyNumberFormat="1" applyFont="1" applyFill="1" applyBorder="1"/>
    <xf numFmtId="199" fontId="142" fillId="0" borderId="72" xfId="96" applyNumberFormat="1" applyFont="1" applyFill="1" applyBorder="1"/>
    <xf numFmtId="199" fontId="225" fillId="0" borderId="72" xfId="96" applyNumberFormat="1" applyFont="1" applyFill="1" applyBorder="1"/>
    <xf numFmtId="199" fontId="211" fillId="0" borderId="72" xfId="96" applyNumberFormat="1" applyFont="1" applyFill="1" applyBorder="1"/>
    <xf numFmtId="165" fontId="236" fillId="0" borderId="72" xfId="29" applyNumberFormat="1" applyFont="1" applyFill="1" applyBorder="1"/>
    <xf numFmtId="0" fontId="141" fillId="0" borderId="72" xfId="96" applyFont="1" applyFill="1" applyBorder="1" applyAlignment="1">
      <alignment horizontal="center"/>
    </xf>
    <xf numFmtId="199" fontId="211" fillId="0" borderId="72" xfId="34" applyNumberFormat="1" applyFont="1" applyFill="1" applyBorder="1"/>
    <xf numFmtId="165" fontId="211" fillId="0" borderId="72" xfId="32" applyNumberFormat="1" applyFont="1" applyFill="1" applyBorder="1"/>
    <xf numFmtId="43" fontId="236" fillId="0" borderId="72" xfId="96" applyNumberFormat="1" applyFont="1" applyFill="1" applyBorder="1"/>
    <xf numFmtId="43" fontId="236" fillId="0" borderId="72" xfId="29" applyFont="1" applyFill="1" applyBorder="1"/>
    <xf numFmtId="9" fontId="211" fillId="0" borderId="72" xfId="179" applyFont="1" applyFill="1" applyBorder="1"/>
    <xf numFmtId="9" fontId="211" fillId="0" borderId="72" xfId="162" applyFont="1" applyFill="1" applyBorder="1"/>
    <xf numFmtId="9" fontId="236" fillId="44" borderId="72" xfId="96" applyNumberFormat="1" applyFont="1" applyFill="1" applyBorder="1"/>
    <xf numFmtId="10" fontId="236" fillId="44" borderId="72" xfId="162" applyNumberFormat="1" applyFont="1" applyFill="1" applyBorder="1"/>
    <xf numFmtId="199" fontId="211" fillId="0" borderId="72" xfId="32" applyNumberFormat="1" applyFont="1" applyFill="1" applyBorder="1"/>
    <xf numFmtId="41" fontId="211" fillId="0" borderId="75" xfId="96" applyNumberFormat="1" applyFont="1" applyFill="1" applyBorder="1"/>
    <xf numFmtId="165" fontId="225" fillId="0" borderId="75" xfId="32" applyNumberFormat="1" applyFont="1" applyFill="1" applyBorder="1"/>
    <xf numFmtId="165" fontId="142" fillId="0" borderId="72" xfId="29" applyNumberFormat="1" applyFont="1" applyFill="1" applyBorder="1"/>
    <xf numFmtId="165" fontId="237" fillId="33" borderId="72" xfId="29" applyNumberFormat="1" applyFont="1" applyFill="1" applyBorder="1"/>
    <xf numFmtId="165" fontId="212" fillId="33" borderId="75" xfId="29" applyNumberFormat="1" applyFont="1" applyFill="1" applyBorder="1"/>
    <xf numFmtId="43" fontId="211" fillId="0" borderId="72" xfId="96" applyNumberFormat="1" applyFont="1" applyFill="1" applyBorder="1"/>
    <xf numFmtId="0" fontId="211" fillId="0" borderId="72" xfId="96" applyFont="1" applyFill="1" applyBorder="1"/>
    <xf numFmtId="220" fontId="349" fillId="93" borderId="0" xfId="34" applyNumberFormat="1" applyFont="1" applyFill="1"/>
    <xf numFmtId="0" fontId="362" fillId="83" borderId="0" xfId="1524" applyFont="1" applyAlignment="1">
      <alignment horizontal="center" wrapText="1"/>
    </xf>
    <xf numFmtId="0" fontId="294" fillId="92" borderId="0" xfId="1524" applyFont="1" applyFill="1" applyAlignment="1">
      <alignment horizontal="center" wrapText="1"/>
    </xf>
    <xf numFmtId="0" fontId="362" fillId="0" borderId="0" xfId="1524" applyFont="1" applyFill="1" applyBorder="1" applyAlignment="1">
      <alignment horizontal="center" wrapText="1"/>
    </xf>
    <xf numFmtId="0" fontId="3" fillId="0" borderId="0" xfId="96" applyFont="1"/>
    <xf numFmtId="49" fontId="3" fillId="0" borderId="0" xfId="96" applyNumberFormat="1" applyFont="1" applyAlignment="1">
      <alignment horizontal="center"/>
    </xf>
    <xf numFmtId="0" fontId="347" fillId="93" borderId="0" xfId="96" applyFont="1" applyFill="1" applyAlignment="1">
      <alignment horizontal="center" vertical="center"/>
    </xf>
    <xf numFmtId="0" fontId="347" fillId="93" borderId="0" xfId="96" applyFont="1" applyFill="1" applyAlignment="1">
      <alignment horizontal="center"/>
    </xf>
    <xf numFmtId="0" fontId="285" fillId="107" borderId="0" xfId="96" applyFont="1" applyFill="1" applyAlignment="1" applyProtection="1">
      <alignment horizontal="center"/>
    </xf>
    <xf numFmtId="0" fontId="285" fillId="107" borderId="0" xfId="96" applyFont="1" applyFill="1" applyAlignment="1">
      <alignment horizontal="center"/>
    </xf>
    <xf numFmtId="0" fontId="3" fillId="58" borderId="0" xfId="96" applyFont="1" applyFill="1"/>
    <xf numFmtId="0" fontId="284" fillId="0" borderId="0" xfId="96" applyFont="1" applyFill="1" applyBorder="1"/>
    <xf numFmtId="0" fontId="284" fillId="0" borderId="0" xfId="96" applyFont="1"/>
    <xf numFmtId="0" fontId="294" fillId="58" borderId="0" xfId="96" applyFont="1" applyFill="1" applyAlignment="1">
      <alignment horizontal="center"/>
    </xf>
    <xf numFmtId="0" fontId="294" fillId="0" borderId="0" xfId="96" applyFont="1"/>
    <xf numFmtId="0" fontId="349" fillId="93" borderId="0" xfId="96" applyFont="1" applyFill="1" applyAlignment="1">
      <alignment horizontal="center"/>
    </xf>
    <xf numFmtId="199" fontId="349" fillId="93" borderId="0" xfId="96" applyNumberFormat="1" applyFont="1" applyFill="1" applyAlignment="1">
      <alignment horizontal="center"/>
    </xf>
    <xf numFmtId="0" fontId="349" fillId="93" borderId="0" xfId="96" applyFont="1" applyFill="1" applyAlignment="1">
      <alignment horizontal="left"/>
    </xf>
    <xf numFmtId="0" fontId="284" fillId="107" borderId="0" xfId="96" applyFont="1" applyFill="1" applyAlignment="1" applyProtection="1">
      <alignment horizontal="left"/>
    </xf>
    <xf numFmtId="0" fontId="284" fillId="107" borderId="0" xfId="96" applyFont="1" applyFill="1" applyAlignment="1">
      <alignment horizontal="center"/>
    </xf>
    <xf numFmtId="0" fontId="284" fillId="0" borderId="0" xfId="96" applyFont="1" applyFill="1" applyAlignment="1">
      <alignment horizontal="center"/>
    </xf>
    <xf numFmtId="0" fontId="348" fillId="0" borderId="0" xfId="96" applyFont="1" applyAlignment="1">
      <alignment horizontal="left"/>
    </xf>
    <xf numFmtId="0" fontId="349" fillId="93" borderId="0" xfId="96" applyFont="1" applyFill="1"/>
    <xf numFmtId="0" fontId="284" fillId="107" borderId="0" xfId="96" applyFont="1" applyFill="1" applyProtection="1"/>
    <xf numFmtId="0" fontId="284" fillId="107" borderId="0" xfId="96" applyFont="1" applyFill="1"/>
    <xf numFmtId="0" fontId="284" fillId="0" borderId="0" xfId="90" applyFont="1" applyFill="1"/>
    <xf numFmtId="49" fontId="284" fillId="0" borderId="0" xfId="96" applyNumberFormat="1" applyFont="1" applyFill="1" applyAlignment="1">
      <alignment horizontal="center"/>
    </xf>
    <xf numFmtId="220" fontId="284" fillId="107" borderId="0" xfId="34" applyNumberFormat="1" applyFont="1" applyFill="1" applyProtection="1"/>
    <xf numFmtId="220" fontId="284" fillId="107" borderId="0" xfId="34" applyNumberFormat="1" applyFont="1" applyFill="1"/>
    <xf numFmtId="220" fontId="284" fillId="0" borderId="0" xfId="34" applyNumberFormat="1" applyFont="1" applyFill="1"/>
    <xf numFmtId="220" fontId="3" fillId="58" borderId="0" xfId="34" applyNumberFormat="1" applyFont="1" applyFill="1"/>
    <xf numFmtId="0" fontId="294" fillId="0" borderId="0" xfId="96" applyFont="1" applyFill="1"/>
    <xf numFmtId="49" fontId="294" fillId="0" borderId="0" xfId="96" applyNumberFormat="1" applyFont="1" applyFill="1" applyAlignment="1">
      <alignment horizontal="center"/>
    </xf>
    <xf numFmtId="220" fontId="347" fillId="93" borderId="20" xfId="34" applyNumberFormat="1" applyFont="1" applyFill="1" applyBorder="1"/>
    <xf numFmtId="220" fontId="285" fillId="107" borderId="20" xfId="34" applyNumberFormat="1" applyFont="1" applyFill="1" applyBorder="1" applyProtection="1"/>
    <xf numFmtId="220" fontId="285" fillId="107" borderId="20" xfId="34" applyNumberFormat="1" applyFont="1" applyFill="1" applyBorder="1"/>
    <xf numFmtId="220" fontId="285" fillId="0" borderId="20" xfId="34" applyNumberFormat="1" applyFont="1" applyFill="1" applyBorder="1"/>
    <xf numFmtId="220" fontId="294" fillId="58" borderId="20" xfId="34" applyNumberFormat="1" applyFont="1" applyFill="1" applyBorder="1"/>
    <xf numFmtId="0" fontId="285" fillId="0" borderId="0" xfId="96" applyFont="1" applyFill="1" applyBorder="1"/>
    <xf numFmtId="0" fontId="348" fillId="0" borderId="0" xfId="96" applyFont="1" applyFill="1" applyAlignment="1">
      <alignment horizontal="left"/>
    </xf>
    <xf numFmtId="49" fontId="3" fillId="0" borderId="0" xfId="96" applyNumberFormat="1" applyFont="1" applyFill="1" applyAlignment="1">
      <alignment horizontal="center"/>
    </xf>
    <xf numFmtId="220" fontId="349" fillId="93" borderId="0" xfId="96" applyNumberFormat="1" applyFont="1" applyFill="1"/>
    <xf numFmtId="220" fontId="284" fillId="107" borderId="0" xfId="96" applyNumberFormat="1" applyFont="1" applyFill="1" applyProtection="1"/>
    <xf numFmtId="220" fontId="284" fillId="0" borderId="0" xfId="96" applyNumberFormat="1" applyFont="1" applyFill="1"/>
    <xf numFmtId="220" fontId="3" fillId="58" borderId="0" xfId="96" applyNumberFormat="1" applyFont="1" applyFill="1"/>
    <xf numFmtId="220" fontId="284" fillId="107" borderId="0" xfId="96" applyNumberFormat="1" applyFont="1" applyFill="1"/>
    <xf numFmtId="220" fontId="347" fillId="93" borderId="78" xfId="34" applyNumberFormat="1" applyFont="1" applyFill="1" applyBorder="1"/>
    <xf numFmtId="220" fontId="285" fillId="107" borderId="78" xfId="34" applyNumberFormat="1" applyFont="1" applyFill="1" applyBorder="1" applyProtection="1"/>
    <xf numFmtId="220" fontId="285" fillId="107" borderId="78" xfId="34" applyNumberFormat="1" applyFont="1" applyFill="1" applyBorder="1"/>
    <xf numFmtId="220" fontId="285" fillId="0" borderId="78" xfId="34" applyNumberFormat="1" applyFont="1" applyFill="1" applyBorder="1"/>
    <xf numFmtId="220" fontId="294" fillId="58" borderId="78" xfId="34" applyNumberFormat="1" applyFont="1" applyFill="1" applyBorder="1"/>
    <xf numFmtId="0" fontId="376" fillId="0" borderId="0" xfId="96" applyFont="1" applyFill="1" applyAlignment="1">
      <alignment horizontal="left"/>
    </xf>
    <xf numFmtId="220" fontId="347" fillId="93" borderId="0" xfId="34" applyNumberFormat="1" applyFont="1" applyFill="1" applyBorder="1"/>
    <xf numFmtId="220" fontId="285" fillId="107" borderId="0" xfId="34" applyNumberFormat="1" applyFont="1" applyFill="1" applyBorder="1" applyProtection="1"/>
    <xf numFmtId="220" fontId="285" fillId="107" borderId="0" xfId="34" applyNumberFormat="1" applyFont="1" applyFill="1" applyBorder="1"/>
    <xf numFmtId="220" fontId="285" fillId="0" borderId="0" xfId="34" applyNumberFormat="1" applyFont="1" applyFill="1" applyBorder="1"/>
    <xf numFmtId="220" fontId="294" fillId="58" borderId="0" xfId="34" applyNumberFormat="1" applyFont="1" applyFill="1" applyBorder="1"/>
    <xf numFmtId="220" fontId="363" fillId="109" borderId="0" xfId="34" applyNumberFormat="1" applyFont="1" applyFill="1" applyBorder="1"/>
    <xf numFmtId="220" fontId="363" fillId="110" borderId="0" xfId="34" applyNumberFormat="1" applyFont="1" applyFill="1" applyBorder="1"/>
    <xf numFmtId="220" fontId="364" fillId="96" borderId="0" xfId="34" applyNumberFormat="1" applyFont="1" applyFill="1" applyBorder="1"/>
    <xf numFmtId="220" fontId="349" fillId="93" borderId="0" xfId="96" applyNumberFormat="1" applyFont="1" applyFill="1" applyAlignment="1">
      <alignment horizontal="center"/>
    </xf>
    <xf numFmtId="220" fontId="349" fillId="93" borderId="0" xfId="96" applyNumberFormat="1" applyFont="1" applyFill="1" applyAlignment="1">
      <alignment horizontal="left"/>
    </xf>
    <xf numFmtId="220" fontId="284" fillId="107" borderId="0" xfId="96" applyNumberFormat="1" applyFont="1" applyFill="1" applyAlignment="1" applyProtection="1">
      <alignment horizontal="left"/>
    </xf>
    <xf numFmtId="220" fontId="284" fillId="107" borderId="0" xfId="96" applyNumberFormat="1" applyFont="1" applyFill="1" applyAlignment="1">
      <alignment horizontal="center"/>
    </xf>
    <xf numFmtId="220" fontId="284" fillId="0" borderId="0" xfId="96" applyNumberFormat="1" applyFont="1" applyFill="1" applyAlignment="1">
      <alignment horizontal="center"/>
    </xf>
    <xf numFmtId="0" fontId="3" fillId="0" borderId="0" xfId="96" applyFont="1" applyFill="1" applyAlignment="1">
      <alignment horizontal="left"/>
    </xf>
    <xf numFmtId="49" fontId="356" fillId="0" borderId="0" xfId="96" applyNumberFormat="1" applyFont="1" applyFill="1" applyAlignment="1">
      <alignment horizontal="center"/>
    </xf>
    <xf numFmtId="0" fontId="284" fillId="0" borderId="0" xfId="96" applyFont="1" applyFill="1" applyAlignment="1">
      <alignment horizontal="left" indent="2"/>
    </xf>
    <xf numFmtId="220" fontId="349" fillId="93" borderId="208" xfId="34" applyNumberFormat="1" applyFont="1" applyFill="1" applyBorder="1"/>
    <xf numFmtId="220" fontId="284" fillId="107" borderId="208" xfId="34" applyNumberFormat="1" applyFont="1" applyFill="1" applyBorder="1" applyProtection="1"/>
    <xf numFmtId="220" fontId="284" fillId="107" borderId="208" xfId="34" applyNumberFormat="1" applyFont="1" applyFill="1" applyBorder="1"/>
    <xf numFmtId="220" fontId="284" fillId="0" borderId="208" xfId="34" applyNumberFormat="1" applyFont="1" applyFill="1" applyBorder="1"/>
    <xf numFmtId="220" fontId="3" fillId="58" borderId="208" xfId="34" applyNumberFormat="1" applyFont="1" applyFill="1" applyBorder="1"/>
    <xf numFmtId="220" fontId="349" fillId="93" borderId="0" xfId="32" applyNumberFormat="1" applyFont="1" applyFill="1"/>
    <xf numFmtId="221" fontId="349" fillId="93" borderId="0" xfId="32" applyNumberFormat="1" applyFont="1" applyFill="1"/>
    <xf numFmtId="220" fontId="349" fillId="93" borderId="0" xfId="34" applyNumberFormat="1" applyFont="1" applyFill="1" applyBorder="1"/>
    <xf numFmtId="220" fontId="284" fillId="107" borderId="0" xfId="34" applyNumberFormat="1" applyFont="1" applyFill="1" applyBorder="1" applyProtection="1"/>
    <xf numFmtId="220" fontId="284" fillId="0" borderId="0" xfId="34" applyNumberFormat="1" applyFont="1" applyFill="1" applyBorder="1"/>
    <xf numFmtId="220" fontId="3" fillId="58" borderId="0" xfId="34" applyNumberFormat="1" applyFont="1" applyFill="1" applyBorder="1"/>
    <xf numFmtId="165" fontId="284" fillId="0" borderId="0" xfId="32" applyNumberFormat="1" applyFont="1" applyFill="1"/>
    <xf numFmtId="165" fontId="284" fillId="0" borderId="0" xfId="32" applyNumberFormat="1" applyFont="1" applyFill="1" applyAlignment="1">
      <alignment horizontal="center"/>
    </xf>
    <xf numFmtId="220" fontId="284" fillId="107" borderId="0" xfId="32" applyNumberFormat="1" applyFont="1" applyFill="1" applyProtection="1"/>
    <xf numFmtId="220" fontId="284" fillId="0" borderId="0" xfId="32" applyNumberFormat="1" applyFont="1" applyFill="1"/>
    <xf numFmtId="220" fontId="3" fillId="58" borderId="0" xfId="32" applyNumberFormat="1" applyFont="1" applyFill="1"/>
    <xf numFmtId="165" fontId="284" fillId="0" borderId="0" xfId="32" applyNumberFormat="1" applyFont="1" applyFill="1" applyBorder="1"/>
    <xf numFmtId="0" fontId="377" fillId="0" borderId="0" xfId="96" applyFont="1" applyFill="1" applyBorder="1"/>
    <xf numFmtId="49" fontId="284" fillId="0" borderId="0" xfId="96" applyNumberFormat="1" applyFont="1" applyFill="1" applyBorder="1" applyAlignment="1">
      <alignment horizontal="center"/>
    </xf>
    <xf numFmtId="220" fontId="349" fillId="93" borderId="0" xfId="96" applyNumberFormat="1" applyFont="1" applyFill="1" applyBorder="1"/>
    <xf numFmtId="220" fontId="284" fillId="107" borderId="0" xfId="96" applyNumberFormat="1" applyFont="1" applyFill="1" applyBorder="1" applyProtection="1"/>
    <xf numFmtId="220" fontId="284" fillId="0" borderId="0" xfId="96" applyNumberFormat="1" applyFont="1" applyFill="1" applyBorder="1"/>
    <xf numFmtId="220" fontId="3" fillId="58" borderId="0" xfId="96" applyNumberFormat="1" applyFont="1" applyFill="1" applyBorder="1"/>
    <xf numFmtId="220" fontId="284" fillId="107" borderId="0" xfId="34" applyNumberFormat="1" applyFont="1" applyFill="1" applyBorder="1"/>
    <xf numFmtId="220" fontId="284" fillId="107" borderId="0" xfId="32" applyNumberFormat="1" applyFont="1" applyFill="1"/>
    <xf numFmtId="220" fontId="284" fillId="107" borderId="0" xfId="96" applyNumberFormat="1" applyFont="1" applyFill="1" applyBorder="1"/>
    <xf numFmtId="0" fontId="375" fillId="107" borderId="0" xfId="96" applyFont="1" applyFill="1" applyBorder="1"/>
    <xf numFmtId="0" fontId="375" fillId="0" borderId="0" xfId="96" applyFont="1" applyFill="1" applyBorder="1"/>
    <xf numFmtId="165" fontId="284" fillId="0" borderId="0" xfId="542" applyNumberFormat="1" applyFont="1" applyFill="1" applyBorder="1"/>
    <xf numFmtId="0" fontId="378" fillId="0" borderId="0" xfId="96" applyFont="1" applyFill="1"/>
    <xf numFmtId="49" fontId="377" fillId="0" borderId="0" xfId="96" applyNumberFormat="1" applyFont="1" applyFill="1" applyAlignment="1">
      <alignment horizontal="center"/>
    </xf>
    <xf numFmtId="165" fontId="284" fillId="0" borderId="0" xfId="96" applyNumberFormat="1" applyFont="1" applyFill="1" applyBorder="1"/>
    <xf numFmtId="220" fontId="285" fillId="0" borderId="0" xfId="96" applyNumberFormat="1" applyFont="1" applyFill="1" applyBorder="1"/>
    <xf numFmtId="165" fontId="285" fillId="0" borderId="0" xfId="542" applyNumberFormat="1" applyFont="1" applyFill="1" applyBorder="1"/>
    <xf numFmtId="0" fontId="350" fillId="0" borderId="0" xfId="96" applyFont="1" applyFill="1" applyBorder="1"/>
    <xf numFmtId="0" fontId="350" fillId="0" borderId="0" xfId="96" applyFont="1" applyFill="1"/>
    <xf numFmtId="2" fontId="363" fillId="0" borderId="0" xfId="96" applyNumberFormat="1" applyFont="1" applyFill="1" applyAlignment="1">
      <alignment horizontal="center"/>
    </xf>
    <xf numFmtId="220" fontId="350" fillId="93" borderId="0" xfId="96" applyNumberFormat="1" applyFont="1" applyFill="1"/>
    <xf numFmtId="220" fontId="350" fillId="107" borderId="0" xfId="96" applyNumberFormat="1" applyFont="1" applyFill="1" applyProtection="1"/>
    <xf numFmtId="220" fontId="350" fillId="107" borderId="0" xfId="34" applyNumberFormat="1" applyFont="1" applyFill="1" applyBorder="1"/>
    <xf numFmtId="220" fontId="350" fillId="0" borderId="0" xfId="34" applyNumberFormat="1" applyFont="1" applyFill="1" applyBorder="1"/>
    <xf numFmtId="220" fontId="358" fillId="58" borderId="0" xfId="34" applyNumberFormat="1" applyFont="1" applyFill="1" applyBorder="1"/>
    <xf numFmtId="0" fontId="379" fillId="95" borderId="73" xfId="96" applyFont="1" applyFill="1" applyBorder="1"/>
    <xf numFmtId="0" fontId="379" fillId="95" borderId="209" xfId="96" applyFont="1" applyFill="1" applyBorder="1"/>
    <xf numFmtId="49" fontId="363" fillId="95" borderId="209" xfId="96" applyNumberFormat="1" applyFont="1" applyFill="1" applyBorder="1" applyAlignment="1">
      <alignment horizontal="center"/>
    </xf>
    <xf numFmtId="220" fontId="363" fillId="109" borderId="209" xfId="34" applyNumberFormat="1" applyFont="1" applyFill="1" applyBorder="1"/>
    <xf numFmtId="220" fontId="363" fillId="110" borderId="209" xfId="34" applyNumberFormat="1" applyFont="1" applyFill="1" applyBorder="1" applyProtection="1"/>
    <xf numFmtId="220" fontId="363" fillId="110" borderId="209" xfId="34" applyNumberFormat="1" applyFont="1" applyFill="1" applyBorder="1"/>
    <xf numFmtId="220" fontId="363" fillId="95" borderId="209" xfId="34" applyNumberFormat="1" applyFont="1" applyFill="1" applyBorder="1"/>
    <xf numFmtId="220" fontId="364" fillId="96" borderId="209" xfId="34" applyNumberFormat="1" applyFont="1" applyFill="1" applyBorder="1"/>
    <xf numFmtId="0" fontId="363" fillId="95" borderId="72" xfId="96" applyFont="1" applyFill="1" applyBorder="1"/>
    <xf numFmtId="0" fontId="363" fillId="95" borderId="0" xfId="96" applyFont="1" applyFill="1" applyBorder="1"/>
    <xf numFmtId="49" fontId="363" fillId="95" borderId="0" xfId="96" applyNumberFormat="1" applyFont="1" applyFill="1" applyBorder="1" applyAlignment="1">
      <alignment horizontal="center"/>
    </xf>
    <xf numFmtId="220" fontId="363" fillId="110" borderId="0" xfId="34" applyNumberFormat="1" applyFont="1" applyFill="1" applyBorder="1" applyProtection="1"/>
    <xf numFmtId="220" fontId="376" fillId="109" borderId="209" xfId="34" applyNumberFormat="1" applyFont="1" applyFill="1" applyBorder="1"/>
    <xf numFmtId="220" fontId="376" fillId="110" borderId="209" xfId="34" applyNumberFormat="1" applyFont="1" applyFill="1" applyBorder="1" applyProtection="1"/>
    <xf numFmtId="220" fontId="376" fillId="110" borderId="209" xfId="34" applyNumberFormat="1" applyFont="1" applyFill="1" applyBorder="1"/>
    <xf numFmtId="220" fontId="376" fillId="95" borderId="209" xfId="34" applyNumberFormat="1" applyFont="1" applyFill="1" applyBorder="1"/>
    <xf numFmtId="220" fontId="380" fillId="96" borderId="209" xfId="34" applyNumberFormat="1" applyFont="1" applyFill="1" applyBorder="1"/>
    <xf numFmtId="220" fontId="363" fillId="95" borderId="21" xfId="34" applyNumberFormat="1" applyFont="1" applyFill="1" applyBorder="1"/>
    <xf numFmtId="220" fontId="363" fillId="109" borderId="21" xfId="34" applyNumberFormat="1" applyFont="1" applyFill="1" applyBorder="1"/>
    <xf numFmtId="220" fontId="363" fillId="110" borderId="21" xfId="34" applyNumberFormat="1" applyFont="1" applyFill="1" applyBorder="1"/>
    <xf numFmtId="220" fontId="364" fillId="96" borderId="21" xfId="34" applyNumberFormat="1" applyFont="1" applyFill="1" applyBorder="1"/>
    <xf numFmtId="0" fontId="285" fillId="0" borderId="0" xfId="96" applyFont="1"/>
    <xf numFmtId="49" fontId="353" fillId="0" borderId="0" xfId="96" applyNumberFormat="1" applyFont="1" applyAlignment="1">
      <alignment horizontal="center"/>
    </xf>
    <xf numFmtId="220" fontId="363" fillId="107" borderId="0" xfId="34" applyNumberFormat="1" applyFont="1" applyFill="1" applyBorder="1"/>
    <xf numFmtId="0" fontId="378" fillId="0" borderId="0" xfId="96" applyFont="1"/>
    <xf numFmtId="49" fontId="284" fillId="0" borderId="0" xfId="96" applyNumberFormat="1" applyFont="1" applyAlignment="1">
      <alignment horizontal="center"/>
    </xf>
    <xf numFmtId="220" fontId="376" fillId="107" borderId="0" xfId="34" applyNumberFormat="1" applyFont="1" applyFill="1" applyBorder="1"/>
    <xf numFmtId="49" fontId="294" fillId="0" borderId="0" xfId="96" applyNumberFormat="1" applyFont="1" applyAlignment="1">
      <alignment horizontal="center"/>
    </xf>
    <xf numFmtId="220" fontId="349" fillId="93" borderId="20" xfId="32" applyNumberFormat="1" applyFont="1" applyFill="1" applyBorder="1"/>
    <xf numFmtId="220" fontId="284" fillId="107" borderId="20" xfId="32" applyNumberFormat="1" applyFont="1" applyFill="1" applyBorder="1" applyProtection="1"/>
    <xf numFmtId="220" fontId="284" fillId="107" borderId="20" xfId="32" applyNumberFormat="1" applyFont="1" applyFill="1" applyBorder="1"/>
    <xf numFmtId="220" fontId="284" fillId="0" borderId="20" xfId="32" applyNumberFormat="1" applyFont="1" applyFill="1" applyBorder="1"/>
    <xf numFmtId="220" fontId="3" fillId="58" borderId="20" xfId="32" applyNumberFormat="1" applyFont="1" applyFill="1" applyBorder="1"/>
    <xf numFmtId="49" fontId="285" fillId="0" borderId="0" xfId="96" applyNumberFormat="1" applyFont="1" applyAlignment="1">
      <alignment horizontal="center"/>
    </xf>
    <xf numFmtId="220" fontId="347" fillId="93" borderId="78" xfId="96" applyNumberFormat="1" applyFont="1" applyFill="1" applyBorder="1"/>
    <xf numFmtId="220" fontId="285" fillId="107" borderId="78" xfId="96" applyNumberFormat="1" applyFont="1" applyFill="1" applyBorder="1"/>
    <xf numFmtId="220" fontId="285" fillId="0" borderId="78" xfId="96" applyNumberFormat="1" applyFont="1" applyFill="1" applyBorder="1"/>
    <xf numFmtId="220" fontId="294" fillId="58" borderId="78" xfId="96" applyNumberFormat="1" applyFont="1" applyFill="1" applyBorder="1"/>
    <xf numFmtId="220" fontId="296" fillId="108" borderId="78" xfId="96" applyNumberFormat="1" applyFont="1" applyFill="1" applyBorder="1"/>
    <xf numFmtId="0" fontId="285" fillId="111" borderId="0" xfId="96" applyFont="1" applyFill="1"/>
    <xf numFmtId="49" fontId="285" fillId="111" borderId="0" xfId="96" applyNumberFormat="1" applyFont="1" applyFill="1" applyAlignment="1">
      <alignment horizontal="center"/>
    </xf>
    <xf numFmtId="220" fontId="347" fillId="112" borderId="0" xfId="96" applyNumberFormat="1" applyFont="1" applyFill="1" applyBorder="1"/>
    <xf numFmtId="220" fontId="285" fillId="113" borderId="0" xfId="96" applyNumberFormat="1" applyFont="1" applyFill="1" applyBorder="1"/>
    <xf numFmtId="220" fontId="285" fillId="111" borderId="0" xfId="96" applyNumberFormat="1" applyFont="1" applyFill="1" applyBorder="1"/>
    <xf numFmtId="220" fontId="294" fillId="114" borderId="0" xfId="96" applyNumberFormat="1" applyFont="1" applyFill="1" applyBorder="1"/>
    <xf numFmtId="49" fontId="285" fillId="0" borderId="0" xfId="96" applyNumberFormat="1" applyFont="1" applyFill="1" applyAlignment="1">
      <alignment horizontal="center"/>
    </xf>
    <xf numFmtId="0" fontId="285" fillId="0" borderId="0" xfId="96" applyFont="1" applyFill="1" applyBorder="1" applyAlignment="1">
      <alignment horizontal="center"/>
    </xf>
    <xf numFmtId="0" fontId="284" fillId="0" borderId="0" xfId="96" applyFont="1" applyFill="1" applyAlignment="1">
      <alignment horizontal="left"/>
    </xf>
    <xf numFmtId="0" fontId="284" fillId="0" borderId="0" xfId="96" applyFont="1" applyFill="1" applyBorder="1" applyAlignment="1">
      <alignment horizontal="left"/>
    </xf>
    <xf numFmtId="220" fontId="349" fillId="93" borderId="0" xfId="32" applyNumberFormat="1" applyFont="1" applyFill="1" applyBorder="1"/>
    <xf numFmtId="220" fontId="284" fillId="107" borderId="0" xfId="32" applyNumberFormat="1" applyFont="1" applyFill="1" applyBorder="1" applyProtection="1"/>
    <xf numFmtId="220" fontId="284" fillId="107" borderId="0" xfId="32" applyNumberFormat="1" applyFont="1" applyFill="1" applyBorder="1"/>
    <xf numFmtId="220" fontId="284" fillId="0" borderId="0" xfId="32" applyNumberFormat="1" applyFont="1" applyFill="1" applyBorder="1"/>
    <xf numFmtId="49" fontId="285" fillId="0" borderId="0" xfId="96" applyNumberFormat="1" applyFont="1" applyFill="1" applyBorder="1" applyAlignment="1">
      <alignment horizontal="center"/>
    </xf>
    <xf numFmtId="220" fontId="347" fillId="93" borderId="209" xfId="32" applyNumberFormat="1" applyFont="1" applyFill="1" applyBorder="1"/>
    <xf numFmtId="220" fontId="285" fillId="107" borderId="209" xfId="32" applyNumberFormat="1" applyFont="1" applyFill="1" applyBorder="1"/>
    <xf numFmtId="220" fontId="285" fillId="0" borderId="209" xfId="32" applyNumberFormat="1" applyFont="1" applyFill="1" applyBorder="1"/>
    <xf numFmtId="0" fontId="378" fillId="0" borderId="0" xfId="96" applyFont="1" applyFill="1" applyBorder="1"/>
    <xf numFmtId="220" fontId="349" fillId="93" borderId="0" xfId="1382" applyNumberFormat="1" applyFont="1" applyFill="1" applyBorder="1"/>
    <xf numFmtId="220" fontId="284" fillId="107" borderId="0" xfId="1382" applyNumberFormat="1" applyFont="1" applyFill="1" applyBorder="1" applyProtection="1"/>
    <xf numFmtId="220" fontId="285" fillId="107" borderId="209" xfId="32" applyNumberFormat="1" applyFont="1" applyFill="1" applyBorder="1" applyProtection="1"/>
    <xf numFmtId="220" fontId="347" fillId="93" borderId="21" xfId="32" applyNumberFormat="1" applyFont="1" applyFill="1" applyBorder="1"/>
    <xf numFmtId="220" fontId="285" fillId="107" borderId="21" xfId="32" applyNumberFormat="1" applyFont="1" applyFill="1" applyBorder="1"/>
    <xf numFmtId="220" fontId="285" fillId="0" borderId="21" xfId="32" applyNumberFormat="1" applyFont="1" applyFill="1" applyBorder="1"/>
    <xf numFmtId="0" fontId="284" fillId="57" borderId="0" xfId="96" applyFont="1" applyFill="1" applyBorder="1"/>
    <xf numFmtId="49" fontId="284" fillId="57" borderId="0" xfId="96" applyNumberFormat="1" applyFont="1" applyFill="1" applyBorder="1" applyAlignment="1">
      <alignment horizontal="center"/>
    </xf>
    <xf numFmtId="0" fontId="285" fillId="62" borderId="20" xfId="96" applyFont="1" applyFill="1" applyBorder="1"/>
    <xf numFmtId="199" fontId="294" fillId="62" borderId="20" xfId="32" applyNumberFormat="1" applyFont="1" applyFill="1" applyBorder="1"/>
    <xf numFmtId="220" fontId="347" fillId="93" borderId="20" xfId="32" applyNumberFormat="1" applyFont="1" applyFill="1" applyBorder="1"/>
    <xf numFmtId="220" fontId="285" fillId="107" borderId="20" xfId="32" applyNumberFormat="1" applyFont="1" applyFill="1" applyBorder="1" applyProtection="1"/>
    <xf numFmtId="220" fontId="285" fillId="107" borderId="20" xfId="32" applyNumberFormat="1" applyFont="1" applyFill="1" applyBorder="1"/>
    <xf numFmtId="220" fontId="285" fillId="62" borderId="20" xfId="32" applyNumberFormat="1" applyFont="1" applyFill="1" applyBorder="1"/>
    <xf numFmtId="220" fontId="296" fillId="108" borderId="20" xfId="32" applyNumberFormat="1" applyFont="1" applyFill="1" applyBorder="1"/>
    <xf numFmtId="199" fontId="3" fillId="57" borderId="0" xfId="32" applyNumberFormat="1" applyFont="1" applyFill="1" applyBorder="1"/>
    <xf numFmtId="220" fontId="349" fillId="93" borderId="0" xfId="1374" applyNumberFormat="1" applyFont="1" applyFill="1" applyBorder="1"/>
    <xf numFmtId="199" fontId="381" fillId="62" borderId="20" xfId="32" applyNumberFormat="1" applyFont="1" applyFill="1" applyBorder="1"/>
    <xf numFmtId="199" fontId="284" fillId="57" borderId="0" xfId="32" applyNumberFormat="1" applyFont="1" applyFill="1"/>
    <xf numFmtId="199" fontId="3" fillId="57" borderId="0" xfId="32" applyNumberFormat="1" applyFont="1" applyFill="1"/>
    <xf numFmtId="199" fontId="285" fillId="57" borderId="20" xfId="32" applyNumberFormat="1" applyFont="1" applyFill="1" applyBorder="1"/>
    <xf numFmtId="199" fontId="294" fillId="57" borderId="20" xfId="32" applyNumberFormat="1" applyFont="1" applyFill="1" applyBorder="1"/>
    <xf numFmtId="220" fontId="285" fillId="0" borderId="20" xfId="32" applyNumberFormat="1" applyFont="1" applyFill="1" applyBorder="1"/>
    <xf numFmtId="199" fontId="285" fillId="57" borderId="0" xfId="32" applyNumberFormat="1" applyFont="1" applyFill="1" applyBorder="1"/>
    <xf numFmtId="199" fontId="294" fillId="57" borderId="0" xfId="32" applyNumberFormat="1" applyFont="1" applyFill="1" applyBorder="1"/>
    <xf numFmtId="220" fontId="347" fillId="93" borderId="0" xfId="32" applyNumberFormat="1" applyFont="1" applyFill="1" applyBorder="1"/>
    <xf numFmtId="220" fontId="285" fillId="107" borderId="0" xfId="32" applyNumberFormat="1" applyFont="1" applyFill="1" applyBorder="1" applyProtection="1"/>
    <xf numFmtId="220" fontId="285" fillId="107" borderId="0" xfId="32" applyNumberFormat="1" applyFont="1" applyFill="1" applyBorder="1"/>
    <xf numFmtId="220" fontId="285" fillId="0" borderId="0" xfId="32" applyNumberFormat="1" applyFont="1" applyFill="1" applyBorder="1"/>
    <xf numFmtId="199" fontId="294" fillId="57" borderId="0" xfId="32" applyNumberFormat="1" applyFont="1" applyFill="1"/>
    <xf numFmtId="220" fontId="347" fillId="93" borderId="0" xfId="32" applyNumberFormat="1" applyFont="1" applyFill="1"/>
    <xf numFmtId="220" fontId="285" fillId="107" borderId="0" xfId="32" applyNumberFormat="1" applyFont="1" applyFill="1" applyProtection="1"/>
    <xf numFmtId="220" fontId="285" fillId="107" borderId="0" xfId="32" applyNumberFormat="1" applyFont="1" applyFill="1"/>
    <xf numFmtId="220" fontId="285" fillId="0" borderId="0" xfId="32" applyNumberFormat="1" applyFont="1" applyFill="1"/>
    <xf numFmtId="0" fontId="296" fillId="108" borderId="20" xfId="96" applyFont="1" applyFill="1" applyBorder="1"/>
    <xf numFmtId="199" fontId="296" fillId="108" borderId="20" xfId="32" applyNumberFormat="1" applyFont="1" applyFill="1" applyBorder="1"/>
    <xf numFmtId="220" fontId="296" fillId="108" borderId="20" xfId="32" applyNumberFormat="1" applyFont="1" applyFill="1" applyBorder="1" applyProtection="1"/>
    <xf numFmtId="199" fontId="285" fillId="0" borderId="0" xfId="32" applyNumberFormat="1" applyFont="1" applyBorder="1"/>
    <xf numFmtId="0" fontId="285" fillId="62" borderId="209" xfId="96" applyFont="1" applyFill="1" applyBorder="1"/>
    <xf numFmtId="199" fontId="284" fillId="62" borderId="209" xfId="32" applyNumberFormat="1" applyFont="1" applyFill="1" applyBorder="1"/>
    <xf numFmtId="220" fontId="349" fillId="93" borderId="209" xfId="32" applyNumberFormat="1" applyFont="1" applyFill="1" applyBorder="1"/>
    <xf numFmtId="220" fontId="284" fillId="107" borderId="209" xfId="32" applyNumberFormat="1" applyFont="1" applyFill="1" applyBorder="1" applyProtection="1"/>
    <xf numFmtId="220" fontId="284" fillId="107" borderId="209" xfId="32" applyNumberFormat="1" applyFont="1" applyFill="1" applyBorder="1"/>
    <xf numFmtId="220" fontId="284" fillId="62" borderId="209" xfId="32" applyNumberFormat="1" applyFont="1" applyFill="1" applyBorder="1"/>
    <xf numFmtId="0" fontId="284" fillId="62" borderId="0" xfId="96" applyFont="1" applyFill="1" applyBorder="1"/>
    <xf numFmtId="199" fontId="382" fillId="62" borderId="0" xfId="32" applyNumberFormat="1" applyFont="1" applyFill="1" applyBorder="1"/>
    <xf numFmtId="220" fontId="284" fillId="62" borderId="0" xfId="32" applyNumberFormat="1" applyFont="1" applyFill="1" applyBorder="1"/>
    <xf numFmtId="0" fontId="285" fillId="62" borderId="21" xfId="96" applyFont="1" applyFill="1" applyBorder="1"/>
    <xf numFmtId="199" fontId="285" fillId="62" borderId="21" xfId="32" applyNumberFormat="1" applyFont="1" applyFill="1" applyBorder="1"/>
    <xf numFmtId="165" fontId="285" fillId="0" borderId="0" xfId="32" applyNumberFormat="1" applyFont="1" applyFill="1" applyBorder="1"/>
    <xf numFmtId="199" fontId="285" fillId="0" borderId="0" xfId="32" applyNumberFormat="1" applyFont="1" applyFill="1" applyBorder="1"/>
    <xf numFmtId="199" fontId="285" fillId="0" borderId="209" xfId="32" applyNumberFormat="1" applyFont="1" applyFill="1" applyBorder="1"/>
    <xf numFmtId="199" fontId="296" fillId="108" borderId="78" xfId="96" applyNumberFormat="1" applyFont="1" applyFill="1" applyBorder="1"/>
    <xf numFmtId="220" fontId="296" fillId="108" borderId="78" xfId="96" applyNumberFormat="1" applyFont="1" applyFill="1" applyBorder="1" applyProtection="1"/>
    <xf numFmtId="0" fontId="296" fillId="0" borderId="0" xfId="96" applyFont="1" applyFill="1" applyBorder="1"/>
    <xf numFmtId="165" fontId="284" fillId="0" borderId="0" xfId="542" applyNumberFormat="1" applyFont="1" applyFill="1" applyAlignment="1">
      <alignment horizontal="center"/>
    </xf>
    <xf numFmtId="220" fontId="347" fillId="93" borderId="20" xfId="96" applyNumberFormat="1" applyFont="1" applyFill="1" applyBorder="1"/>
    <xf numFmtId="220" fontId="285" fillId="107" borderId="20" xfId="96" applyNumberFormat="1" applyFont="1" applyFill="1" applyBorder="1" applyProtection="1"/>
    <xf numFmtId="220" fontId="285" fillId="107" borderId="20" xfId="96" applyNumberFormat="1" applyFont="1" applyFill="1" applyBorder="1"/>
    <xf numFmtId="220" fontId="285" fillId="0" borderId="20" xfId="96" applyNumberFormat="1" applyFont="1" applyFill="1" applyBorder="1"/>
    <xf numFmtId="220" fontId="349" fillId="93" borderId="20" xfId="34" applyNumberFormat="1" applyFont="1" applyFill="1" applyBorder="1"/>
    <xf numFmtId="220" fontId="284" fillId="107" borderId="20" xfId="34" applyNumberFormat="1" applyFont="1" applyFill="1" applyBorder="1" applyProtection="1"/>
    <xf numFmtId="220" fontId="284" fillId="107" borderId="20" xfId="34" applyNumberFormat="1" applyFont="1" applyFill="1" applyBorder="1"/>
    <xf numFmtId="220" fontId="284" fillId="0" borderId="20" xfId="34" applyNumberFormat="1" applyFont="1" applyFill="1" applyBorder="1"/>
    <xf numFmtId="220" fontId="285" fillId="107" borderId="78" xfId="96" applyNumberFormat="1" applyFont="1" applyFill="1" applyBorder="1" applyProtection="1"/>
    <xf numFmtId="220" fontId="347" fillId="93" borderId="0" xfId="96" applyNumberFormat="1" applyFont="1" applyFill="1" applyBorder="1"/>
    <xf numFmtId="220" fontId="285" fillId="107" borderId="0" xfId="96" applyNumberFormat="1" applyFont="1" applyFill="1" applyBorder="1"/>
    <xf numFmtId="220" fontId="347" fillId="0" borderId="0" xfId="96" applyNumberFormat="1" applyFont="1" applyFill="1" applyBorder="1"/>
    <xf numFmtId="9" fontId="349" fillId="0" borderId="0" xfId="1374" applyFont="1" applyFill="1" applyBorder="1"/>
    <xf numFmtId="1" fontId="285" fillId="107" borderId="0" xfId="1374" applyNumberFormat="1" applyFont="1" applyFill="1" applyBorder="1" applyAlignment="1">
      <alignment horizontal="center"/>
    </xf>
    <xf numFmtId="1" fontId="285" fillId="0" borderId="0" xfId="1374" applyNumberFormat="1" applyFont="1" applyFill="1" applyBorder="1" applyAlignment="1">
      <alignment horizontal="center"/>
    </xf>
    <xf numFmtId="0" fontId="284" fillId="0" borderId="0" xfId="96" applyFont="1" applyFill="1" applyBorder="1" applyAlignment="1">
      <alignment horizontal="left" indent="2"/>
    </xf>
    <xf numFmtId="220" fontId="349" fillId="93" borderId="208" xfId="96" applyNumberFormat="1" applyFont="1" applyFill="1" applyBorder="1"/>
    <xf numFmtId="220" fontId="284" fillId="107" borderId="208" xfId="96" applyNumberFormat="1" applyFont="1" applyFill="1" applyBorder="1" applyProtection="1"/>
    <xf numFmtId="220" fontId="347" fillId="93" borderId="0" xfId="96" applyNumberFormat="1" applyFont="1" applyFill="1"/>
    <xf numFmtId="220" fontId="285" fillId="107" borderId="0" xfId="96" applyNumberFormat="1" applyFont="1" applyFill="1" applyProtection="1"/>
    <xf numFmtId="0" fontId="383" fillId="0" borderId="0" xfId="96" applyFont="1" applyFill="1"/>
    <xf numFmtId="0" fontId="284" fillId="0" borderId="0" xfId="96" applyFont="1" applyFill="1" applyProtection="1"/>
    <xf numFmtId="0" fontId="284" fillId="87" borderId="0" xfId="96" applyFont="1" applyFill="1" applyBorder="1"/>
    <xf numFmtId="0" fontId="284" fillId="87" borderId="0" xfId="96" applyFont="1" applyFill="1"/>
    <xf numFmtId="220" fontId="363" fillId="96" borderId="0" xfId="34" applyNumberFormat="1" applyFont="1" applyFill="1" applyBorder="1"/>
    <xf numFmtId="220" fontId="363" fillId="96" borderId="21" xfId="34" applyNumberFormat="1" applyFont="1" applyFill="1" applyBorder="1"/>
    <xf numFmtId="220" fontId="284" fillId="91" borderId="0" xfId="96" applyNumberFormat="1" applyFont="1" applyFill="1" applyBorder="1"/>
    <xf numFmtId="0" fontId="284" fillId="91" borderId="0" xfId="96" applyFont="1" applyFill="1" applyBorder="1"/>
    <xf numFmtId="9" fontId="284" fillId="0" borderId="0" xfId="162" applyFont="1" applyFill="1" applyBorder="1"/>
    <xf numFmtId="0" fontId="142" fillId="0" borderId="0" xfId="0" applyFont="1" applyAlignment="1">
      <alignment horizontal="left" indent="1"/>
    </xf>
    <xf numFmtId="0" fontId="14" fillId="35" borderId="41" xfId="109" applyFont="1" applyFill="1" applyBorder="1" applyAlignment="1">
      <alignment horizontal="center"/>
    </xf>
    <xf numFmtId="0" fontId="9" fillId="0" borderId="75" xfId="109" applyFont="1" applyFill="1" applyBorder="1" applyAlignment="1">
      <alignment horizontal="center"/>
    </xf>
    <xf numFmtId="0" fontId="9" fillId="0" borderId="20" xfId="0" applyFont="1" applyFill="1" applyBorder="1" applyAlignment="1">
      <alignment horizontal="center"/>
    </xf>
    <xf numFmtId="167" fontId="11" fillId="32" borderId="72" xfId="162" applyNumberFormat="1" applyFont="1" applyFill="1" applyBorder="1"/>
    <xf numFmtId="165" fontId="189" fillId="0" borderId="0" xfId="0" applyNumberFormat="1" applyFont="1" applyFill="1" applyBorder="1" applyAlignment="1">
      <alignment horizontal="center"/>
    </xf>
    <xf numFmtId="173" fontId="287" fillId="41" borderId="0" xfId="95" applyNumberFormat="1" applyFont="1" applyFill="1" applyBorder="1"/>
    <xf numFmtId="173" fontId="287" fillId="41" borderId="42" xfId="95" applyNumberFormat="1" applyFont="1" applyFill="1" applyBorder="1"/>
    <xf numFmtId="10" fontId="213" fillId="91" borderId="0" xfId="0" applyNumberFormat="1" applyFont="1" applyFill="1" applyAlignment="1">
      <alignment horizontal="center"/>
    </xf>
    <xf numFmtId="10" fontId="0" fillId="91" borderId="0" xfId="0" applyNumberFormat="1" applyFill="1" applyAlignment="1">
      <alignment horizontal="center"/>
    </xf>
    <xf numFmtId="10" fontId="213" fillId="91" borderId="21" xfId="0" applyNumberFormat="1" applyFont="1" applyFill="1" applyBorder="1" applyAlignment="1">
      <alignment horizontal="center"/>
    </xf>
    <xf numFmtId="43" fontId="213" fillId="91" borderId="0" xfId="29" applyNumberFormat="1" applyFont="1" applyFill="1" applyAlignment="1">
      <alignment horizontal="center"/>
    </xf>
    <xf numFmtId="2" fontId="0" fillId="91" borderId="0" xfId="0" applyNumberFormat="1" applyFill="1" applyAlignment="1">
      <alignment horizontal="center"/>
    </xf>
    <xf numFmtId="43" fontId="213" fillId="91" borderId="21" xfId="29" applyNumberFormat="1" applyFont="1" applyFill="1" applyBorder="1" applyAlignment="1">
      <alignment horizontal="center"/>
    </xf>
    <xf numFmtId="2" fontId="0" fillId="91" borderId="21" xfId="0" applyNumberFormat="1" applyFill="1" applyBorder="1" applyAlignment="1">
      <alignment horizontal="center"/>
    </xf>
    <xf numFmtId="9" fontId="0" fillId="91" borderId="0" xfId="162" applyFont="1" applyFill="1" applyAlignment="1">
      <alignment horizontal="center"/>
    </xf>
    <xf numFmtId="9" fontId="0" fillId="91" borderId="21" xfId="162" applyFont="1" applyFill="1" applyBorder="1" applyAlignment="1">
      <alignment horizontal="center"/>
    </xf>
    <xf numFmtId="165" fontId="213" fillId="91" borderId="0" xfId="29" applyNumberFormat="1" applyFont="1" applyFill="1" applyBorder="1"/>
    <xf numFmtId="165" fontId="9" fillId="91" borderId="0" xfId="29" applyNumberFormat="1" applyFont="1" applyFill="1"/>
    <xf numFmtId="165" fontId="160" fillId="0" borderId="0" xfId="29" applyNumberFormat="1" applyFont="1" applyFill="1"/>
    <xf numFmtId="0" fontId="7" fillId="0" borderId="0" xfId="0" applyNumberFormat="1" applyFont="1" applyFill="1"/>
    <xf numFmtId="0" fontId="7" fillId="33" borderId="0" xfId="0" applyNumberFormat="1" applyFont="1" applyFill="1"/>
    <xf numFmtId="0" fontId="9" fillId="58" borderId="0" xfId="0" applyNumberFormat="1" applyFont="1" applyFill="1"/>
    <xf numFmtId="165" fontId="141" fillId="0" borderId="0" xfId="29" applyNumberFormat="1" applyFont="1" applyFill="1"/>
    <xf numFmtId="0" fontId="375" fillId="0" borderId="0" xfId="96" applyFont="1"/>
    <xf numFmtId="0" fontId="194" fillId="0" borderId="0" xfId="0" applyFont="1" applyFill="1" applyAlignment="1">
      <alignment horizontal="left"/>
    </xf>
    <xf numFmtId="0" fontId="346" fillId="0" borderId="0" xfId="0" applyFont="1"/>
    <xf numFmtId="0" fontId="16" fillId="0" borderId="0" xfId="143" applyFont="1" applyFill="1" applyAlignment="1">
      <alignment horizontal="left" indent="1"/>
    </xf>
    <xf numFmtId="195" fontId="185" fillId="0" borderId="0" xfId="162" applyNumberFormat="1" applyFont="1" applyFill="1" applyAlignment="1"/>
    <xf numFmtId="0" fontId="7" fillId="0" borderId="0" xfId="0" applyFont="1" applyAlignment="1">
      <alignment wrapText="1"/>
    </xf>
    <xf numFmtId="41" fontId="7" fillId="0" borderId="0" xfId="0" applyNumberFormat="1" applyFont="1" applyFill="1" applyAlignment="1">
      <alignment horizontal="left" indent="1"/>
    </xf>
    <xf numFmtId="10" fontId="7" fillId="0" borderId="0" xfId="162" applyNumberFormat="1" applyFont="1" applyFill="1"/>
    <xf numFmtId="165" fontId="11" fillId="32" borderId="31" xfId="33" applyNumberFormat="1" applyFont="1" applyFill="1" applyBorder="1"/>
    <xf numFmtId="165" fontId="11" fillId="32" borderId="93" xfId="33" applyNumberFormat="1" applyFont="1" applyFill="1" applyBorder="1"/>
    <xf numFmtId="165" fontId="11" fillId="32" borderId="33" xfId="33" applyNumberFormat="1" applyFont="1" applyFill="1" applyBorder="1"/>
    <xf numFmtId="165" fontId="11" fillId="32" borderId="26" xfId="33" applyNumberFormat="1" applyFont="1" applyFill="1" applyBorder="1"/>
    <xf numFmtId="165" fontId="11" fillId="32" borderId="36" xfId="33" applyNumberFormat="1" applyFont="1" applyFill="1" applyBorder="1"/>
    <xf numFmtId="165" fontId="11" fillId="32" borderId="27" xfId="33" applyNumberFormat="1" applyFont="1" applyFill="1" applyBorder="1"/>
    <xf numFmtId="43" fontId="357" fillId="0" borderId="0" xfId="0" applyNumberFormat="1" applyFont="1"/>
    <xf numFmtId="0" fontId="0" fillId="0" borderId="209" xfId="0" applyBorder="1"/>
    <xf numFmtId="165" fontId="0" fillId="0" borderId="20" xfId="0" applyNumberFormat="1" applyBorder="1"/>
    <xf numFmtId="167" fontId="7" fillId="0" borderId="0" xfId="162" applyNumberFormat="1" applyFont="1"/>
    <xf numFmtId="0" fontId="13" fillId="0" borderId="0" xfId="0" applyFont="1" applyFill="1" applyAlignment="1">
      <alignment horizontal="center"/>
    </xf>
    <xf numFmtId="44" fontId="0" fillId="0" borderId="0" xfId="0" applyNumberFormat="1"/>
    <xf numFmtId="10" fontId="10" fillId="0" borderId="0" xfId="162" applyNumberFormat="1" applyFont="1" applyFill="1" applyBorder="1" applyAlignment="1">
      <alignment horizontal="right"/>
    </xf>
    <xf numFmtId="0" fontId="15" fillId="37" borderId="0" xfId="0" quotePrefix="1" applyFont="1" applyFill="1" applyAlignment="1">
      <alignment horizontal="center"/>
    </xf>
    <xf numFmtId="0" fontId="14" fillId="37" borderId="0" xfId="0" applyFont="1" applyFill="1" applyBorder="1" applyAlignment="1">
      <alignment horizontal="center"/>
    </xf>
    <xf numFmtId="42" fontId="7" fillId="0" borderId="0" xfId="44" applyNumberFormat="1" applyFont="1" applyFill="1" applyBorder="1"/>
    <xf numFmtId="42" fontId="7" fillId="0" borderId="60" xfId="44" applyNumberFormat="1" applyFont="1" applyFill="1" applyBorder="1"/>
    <xf numFmtId="165" fontId="7" fillId="0" borderId="54" xfId="29" applyNumberFormat="1" applyFont="1" applyFill="1" applyBorder="1"/>
    <xf numFmtId="165" fontId="7" fillId="0" borderId="60" xfId="29" applyNumberFormat="1" applyFont="1" applyFill="1" applyBorder="1"/>
    <xf numFmtId="42" fontId="7" fillId="0" borderId="60" xfId="0" applyNumberFormat="1" applyFont="1" applyFill="1" applyBorder="1"/>
    <xf numFmtId="167" fontId="7" fillId="0" borderId="0" xfId="162" applyNumberFormat="1" applyFont="1" applyFill="1" applyBorder="1"/>
    <xf numFmtId="0" fontId="0" fillId="0" borderId="29" xfId="0" applyFill="1" applyBorder="1"/>
    <xf numFmtId="167" fontId="7" fillId="0" borderId="31" xfId="162" applyNumberFormat="1" applyFont="1" applyFill="1" applyBorder="1"/>
    <xf numFmtId="0" fontId="0" fillId="0" borderId="42" xfId="0" applyFill="1" applyBorder="1"/>
    <xf numFmtId="167" fontId="0" fillId="0" borderId="93" xfId="0" applyNumberFormat="1" applyBorder="1"/>
    <xf numFmtId="0" fontId="7" fillId="0" borderId="42" xfId="0" applyFont="1" applyFill="1" applyBorder="1"/>
    <xf numFmtId="167" fontId="0" fillId="0" borderId="93" xfId="162" applyNumberFormat="1" applyFont="1" applyBorder="1"/>
    <xf numFmtId="0" fontId="0" fillId="0" borderId="32" xfId="0" applyFill="1" applyBorder="1"/>
    <xf numFmtId="167" fontId="0" fillId="0" borderId="33" xfId="0" applyNumberFormat="1" applyBorder="1"/>
    <xf numFmtId="0" fontId="14" fillId="37" borderId="186" xfId="0" applyFont="1" applyFill="1" applyBorder="1" applyAlignment="1">
      <alignment horizontal="center"/>
    </xf>
    <xf numFmtId="0" fontId="7" fillId="23" borderId="0" xfId="0" quotePrefix="1" applyFont="1" applyFill="1" applyAlignment="1">
      <alignment horizontal="center"/>
    </xf>
    <xf numFmtId="0" fontId="14" fillId="55" borderId="40" xfId="0" applyFont="1" applyFill="1" applyBorder="1" applyAlignment="1">
      <alignment horizontal="center"/>
    </xf>
    <xf numFmtId="0" fontId="14" fillId="55" borderId="43" xfId="0" applyFont="1" applyFill="1" applyBorder="1" applyAlignment="1">
      <alignment horizontal="center"/>
    </xf>
    <xf numFmtId="0" fontId="14" fillId="55" borderId="38" xfId="0" applyFont="1" applyFill="1" applyBorder="1" applyAlignment="1">
      <alignment horizontal="center"/>
    </xf>
    <xf numFmtId="0" fontId="14" fillId="55" borderId="210" xfId="0" applyFont="1" applyFill="1" applyBorder="1" applyAlignment="1">
      <alignment horizontal="center"/>
    </xf>
    <xf numFmtId="0" fontId="15" fillId="55" borderId="0" xfId="0" applyFont="1" applyFill="1"/>
    <xf numFmtId="0" fontId="15" fillId="55" borderId="0" xfId="0" applyFont="1" applyFill="1" applyAlignment="1">
      <alignment horizontal="center"/>
    </xf>
    <xf numFmtId="0" fontId="15" fillId="55" borderId="0" xfId="0" quotePrefix="1" applyFont="1" applyFill="1" applyAlignment="1">
      <alignment horizontal="center"/>
    </xf>
    <xf numFmtId="0" fontId="7" fillId="23" borderId="0" xfId="0" applyFont="1" applyFill="1" applyAlignment="1">
      <alignment horizontal="center"/>
    </xf>
    <xf numFmtId="166" fontId="7" fillId="23" borderId="0" xfId="44" applyNumberFormat="1" applyFont="1" applyFill="1" applyBorder="1"/>
    <xf numFmtId="165" fontId="7" fillId="23" borderId="21" xfId="29" applyNumberFormat="1" applyFont="1" applyFill="1" applyBorder="1"/>
    <xf numFmtId="166" fontId="7" fillId="23" borderId="0" xfId="44" applyNumberFormat="1" applyFont="1" applyFill="1" applyBorder="1" applyAlignment="1">
      <alignment horizontal="center"/>
    </xf>
    <xf numFmtId="165" fontId="7" fillId="22" borderId="0" xfId="29" applyNumberFormat="1" applyFont="1" applyFill="1" applyBorder="1" applyAlignment="1">
      <alignment horizontal="center"/>
    </xf>
    <xf numFmtId="165" fontId="7" fillId="23" borderId="0" xfId="29" applyNumberFormat="1" applyFont="1" applyFill="1" applyBorder="1" applyAlignment="1">
      <alignment horizontal="center"/>
    </xf>
    <xf numFmtId="165" fontId="7" fillId="23" borderId="21" xfId="29" applyNumberFormat="1" applyFont="1" applyFill="1" applyBorder="1" applyAlignment="1">
      <alignment horizontal="center"/>
    </xf>
    <xf numFmtId="165" fontId="10" fillId="22" borderId="0" xfId="29" applyNumberFormat="1" applyFont="1" applyFill="1" applyAlignment="1">
      <alignment horizontal="center"/>
    </xf>
    <xf numFmtId="0" fontId="10" fillId="0" borderId="73" xfId="0" applyFont="1" applyBorder="1"/>
    <xf numFmtId="0" fontId="10" fillId="0" borderId="22" xfId="0" applyFont="1" applyBorder="1" applyAlignment="1">
      <alignment horizontal="center"/>
    </xf>
    <xf numFmtId="0" fontId="10" fillId="0" borderId="74" xfId="0" applyFont="1" applyBorder="1" applyAlignment="1">
      <alignment horizontal="center"/>
    </xf>
    <xf numFmtId="42" fontId="0" fillId="0" borderId="0" xfId="0" applyNumberFormat="1" applyBorder="1"/>
    <xf numFmtId="42" fontId="0" fillId="0" borderId="9" xfId="0" applyNumberFormat="1" applyBorder="1"/>
    <xf numFmtId="0" fontId="31" fillId="115" borderId="101" xfId="0" applyNumberFormat="1" applyFont="1" applyFill="1" applyBorder="1" applyAlignment="1">
      <alignment horizontal="left" indent="1"/>
    </xf>
    <xf numFmtId="0" fontId="0" fillId="115" borderId="21" xfId="0" applyFill="1" applyBorder="1"/>
    <xf numFmtId="42" fontId="0" fillId="0" borderId="21" xfId="0" applyNumberFormat="1" applyBorder="1"/>
    <xf numFmtId="42" fontId="0" fillId="0" borderId="102" xfId="0" applyNumberFormat="1" applyBorder="1"/>
    <xf numFmtId="0" fontId="0" fillId="0" borderId="101" xfId="0" applyBorder="1"/>
    <xf numFmtId="0" fontId="29" fillId="0" borderId="21" xfId="0" applyNumberFormat="1" applyFont="1" applyFill="1" applyBorder="1" applyAlignment="1">
      <alignment horizontal="left" indent="1"/>
    </xf>
    <xf numFmtId="0" fontId="10" fillId="0" borderId="72" xfId="0" applyFont="1" applyBorder="1"/>
    <xf numFmtId="0" fontId="31" fillId="58" borderId="101" xfId="0" applyNumberFormat="1" applyFont="1" applyFill="1" applyBorder="1" applyAlignment="1">
      <alignment horizontal="left" indent="1"/>
    </xf>
    <xf numFmtId="0" fontId="29" fillId="58" borderId="21" xfId="0" applyNumberFormat="1" applyFont="1" applyFill="1" applyBorder="1" applyAlignment="1">
      <alignment horizontal="left" indent="1"/>
    </xf>
    <xf numFmtId="0" fontId="0" fillId="58" borderId="21" xfId="0" applyFill="1" applyBorder="1"/>
    <xf numFmtId="0" fontId="140" fillId="0" borderId="0" xfId="0" applyFont="1" applyFill="1"/>
    <xf numFmtId="0" fontId="124" fillId="0" borderId="0" xfId="57" applyNumberFormat="1" applyFont="1" applyFill="1" applyAlignment="1">
      <alignment horizontal="center"/>
    </xf>
    <xf numFmtId="49" fontId="125" fillId="0" borderId="0" xfId="57" applyNumberFormat="1" applyFont="1" applyFill="1" applyAlignment="1">
      <alignment horizontal="centerContinuous"/>
    </xf>
    <xf numFmtId="49" fontId="125" fillId="0" borderId="0" xfId="57" applyNumberFormat="1" applyFont="1" applyFill="1" applyAlignment="1">
      <alignment horizontal="center"/>
    </xf>
    <xf numFmtId="49" fontId="125" fillId="0" borderId="104" xfId="57" applyNumberFormat="1" applyFont="1" applyFill="1" applyBorder="1" applyAlignment="1">
      <alignment horizontal="centerContinuous"/>
    </xf>
    <xf numFmtId="0" fontId="127" fillId="0" borderId="0" xfId="57" applyNumberFormat="1" applyFont="1" applyFill="1" applyAlignment="1">
      <alignment horizontal="center"/>
    </xf>
    <xf numFmtId="198" fontId="125" fillId="0" borderId="0" xfId="57" applyNumberFormat="1" applyFont="1" applyFill="1" applyAlignment="1">
      <alignment horizontal="fill"/>
    </xf>
    <xf numFmtId="0" fontId="142" fillId="0" borderId="0" xfId="0" applyFont="1" applyFill="1"/>
    <xf numFmtId="165" fontId="225" fillId="0" borderId="0" xfId="29" applyNumberFormat="1" applyFont="1" applyFill="1"/>
    <xf numFmtId="206" fontId="142" fillId="32" borderId="0" xfId="97" applyNumberFormat="1" applyFont="1" applyFill="1" applyBorder="1" applyAlignment="1">
      <alignment horizontal="center"/>
    </xf>
    <xf numFmtId="206" fontId="142" fillId="26" borderId="0" xfId="97" applyNumberFormat="1" applyFont="1" applyFill="1" applyBorder="1" applyAlignment="1">
      <alignment horizontal="center"/>
    </xf>
    <xf numFmtId="193" fontId="225" fillId="0" borderId="0" xfId="29" applyNumberFormat="1" applyFont="1" applyFill="1" applyBorder="1"/>
    <xf numFmtId="165" fontId="139" fillId="0" borderId="102" xfId="29" applyNumberFormat="1" applyFont="1" applyBorder="1"/>
    <xf numFmtId="0" fontId="7" fillId="0" borderId="0" xfId="0" applyFont="1" applyFill="1" applyBorder="1" applyAlignment="1">
      <alignment horizontal="center"/>
    </xf>
    <xf numFmtId="165" fontId="281" fillId="0" borderId="0" xfId="29" applyNumberFormat="1" applyFont="1" applyFill="1"/>
    <xf numFmtId="165" fontId="281" fillId="0" borderId="29" xfId="29" applyNumberFormat="1" applyFont="1" applyFill="1" applyBorder="1"/>
    <xf numFmtId="165" fontId="281" fillId="0" borderId="30" xfId="29" applyNumberFormat="1" applyFont="1" applyFill="1" applyBorder="1"/>
    <xf numFmtId="165" fontId="281" fillId="0" borderId="31" xfId="29" applyNumberFormat="1" applyFont="1" applyFill="1" applyBorder="1"/>
    <xf numFmtId="165" fontId="281" fillId="0" borderId="42" xfId="29" applyNumberFormat="1" applyFont="1" applyFill="1" applyBorder="1"/>
    <xf numFmtId="165" fontId="281" fillId="0" borderId="0" xfId="29" applyNumberFormat="1" applyFont="1" applyFill="1" applyBorder="1"/>
    <xf numFmtId="165" fontId="281" fillId="0" borderId="93" xfId="29" applyNumberFormat="1" applyFont="1" applyFill="1" applyBorder="1"/>
    <xf numFmtId="165" fontId="281" fillId="0" borderId="32" xfId="29" applyNumberFormat="1" applyFont="1" applyFill="1" applyBorder="1"/>
    <xf numFmtId="165" fontId="281" fillId="0" borderId="205" xfId="29" applyNumberFormat="1" applyFont="1" applyFill="1" applyBorder="1"/>
    <xf numFmtId="165" fontId="281" fillId="0" borderId="33" xfId="29" applyNumberFormat="1" applyFont="1" applyFill="1" applyBorder="1"/>
    <xf numFmtId="165" fontId="11" fillId="0" borderId="31" xfId="36" applyNumberFormat="1" applyFont="1" applyFill="1" applyBorder="1"/>
    <xf numFmtId="165" fontId="11" fillId="0" borderId="26" xfId="36" applyNumberFormat="1" applyFont="1" applyFill="1" applyBorder="1"/>
    <xf numFmtId="165" fontId="11" fillId="0" borderId="93" xfId="36" applyNumberFormat="1" applyFont="1" applyFill="1" applyBorder="1"/>
    <xf numFmtId="165" fontId="11" fillId="0" borderId="36" xfId="36" applyNumberFormat="1" applyFont="1" applyFill="1" applyBorder="1"/>
    <xf numFmtId="165" fontId="11" fillId="0" borderId="33" xfId="36" applyNumberFormat="1" applyFont="1" applyFill="1" applyBorder="1"/>
    <xf numFmtId="165" fontId="11" fillId="0" borderId="27" xfId="36" applyNumberFormat="1" applyFont="1" applyFill="1" applyBorder="1"/>
    <xf numFmtId="165" fontId="11" fillId="41" borderId="36" xfId="36" applyNumberFormat="1" applyFont="1" applyFill="1" applyBorder="1"/>
    <xf numFmtId="167" fontId="0" fillId="0" borderId="0" xfId="162" applyNumberFormat="1" applyFont="1" applyFill="1"/>
    <xf numFmtId="173" fontId="7" fillId="32" borderId="14" xfId="44" applyNumberFormat="1" applyFont="1" applyFill="1" applyBorder="1"/>
    <xf numFmtId="165" fontId="270" fillId="53" borderId="34" xfId="29" applyNumberFormat="1" applyFont="1" applyFill="1" applyBorder="1"/>
    <xf numFmtId="0" fontId="54" fillId="0" borderId="0" xfId="96" applyFont="1" applyFill="1" applyAlignment="1">
      <alignment horizontal="left"/>
    </xf>
    <xf numFmtId="165" fontId="273" fillId="53" borderId="72" xfId="29" applyNumberFormat="1" applyFont="1" applyFill="1" applyBorder="1"/>
    <xf numFmtId="170" fontId="9" fillId="23" borderId="29" xfId="95" applyNumberFormat="1" applyFont="1" applyFill="1" applyBorder="1"/>
    <xf numFmtId="37" fontId="9" fillId="23" borderId="42" xfId="95" applyNumberFormat="1" applyFont="1" applyFill="1" applyBorder="1"/>
    <xf numFmtId="37" fontId="9" fillId="23" borderId="32" xfId="95" applyNumberFormat="1" applyFont="1" applyFill="1" applyBorder="1"/>
    <xf numFmtId="9" fontId="11" fillId="32" borderId="205" xfId="174" applyFont="1" applyFill="1" applyBorder="1" applyAlignment="1">
      <alignment horizontal="center"/>
    </xf>
    <xf numFmtId="37" fontId="9" fillId="23" borderId="205" xfId="95" applyNumberFormat="1" applyFont="1" applyFill="1" applyBorder="1"/>
    <xf numFmtId="37" fontId="9" fillId="23" borderId="42" xfId="33" applyNumberFormat="1" applyFont="1" applyFill="1" applyBorder="1"/>
    <xf numFmtId="37" fontId="9" fillId="23" borderId="32" xfId="33" applyNumberFormat="1" applyFont="1" applyFill="1" applyBorder="1"/>
    <xf numFmtId="37" fontId="9" fillId="23" borderId="205" xfId="33" applyNumberFormat="1" applyFont="1" applyFill="1" applyBorder="1"/>
    <xf numFmtId="0" fontId="2" fillId="0" borderId="0" xfId="219" applyFont="1"/>
    <xf numFmtId="0" fontId="2" fillId="0" borderId="0" xfId="219" applyFont="1" applyFill="1"/>
    <xf numFmtId="0" fontId="84" fillId="0" borderId="0" xfId="0" applyFont="1" applyFill="1" applyBorder="1" applyAlignment="1">
      <alignment horizontal="left" vertical="center"/>
    </xf>
    <xf numFmtId="0" fontId="84" fillId="0" borderId="0" xfId="0" applyFont="1" applyFill="1" applyBorder="1" applyAlignment="1">
      <alignment horizontal="left" vertical="top"/>
    </xf>
    <xf numFmtId="0" fontId="44" fillId="25" borderId="44" xfId="0" applyFont="1" applyFill="1" applyBorder="1" applyAlignment="1">
      <alignment horizontal="center" vertical="center"/>
    </xf>
    <xf numFmtId="0" fontId="44" fillId="25" borderId="41" xfId="0" applyFont="1" applyFill="1" applyBorder="1" applyAlignment="1">
      <alignment horizontal="center" vertical="center"/>
    </xf>
    <xf numFmtId="0" fontId="43" fillId="0" borderId="0" xfId="0" applyFont="1" applyAlignment="1">
      <alignment horizontal="center"/>
    </xf>
    <xf numFmtId="0" fontId="54" fillId="52" borderId="29" xfId="0" applyFont="1" applyFill="1" applyBorder="1" applyAlignment="1">
      <alignment horizontal="center"/>
    </xf>
    <xf numFmtId="0" fontId="54" fillId="52" borderId="30" xfId="0" applyFont="1" applyFill="1" applyBorder="1" applyAlignment="1">
      <alignment horizontal="center"/>
    </xf>
    <xf numFmtId="0" fontId="54" fillId="52" borderId="31" xfId="0" applyFont="1" applyFill="1" applyBorder="1" applyAlignment="1">
      <alignment horizontal="center"/>
    </xf>
    <xf numFmtId="0" fontId="95" fillId="52" borderId="32" xfId="0" applyFont="1" applyFill="1" applyBorder="1" applyAlignment="1">
      <alignment horizontal="center" vertical="center"/>
    </xf>
    <xf numFmtId="0" fontId="95" fillId="52" borderId="14" xfId="0" applyFont="1" applyFill="1" applyBorder="1" applyAlignment="1">
      <alignment horizontal="center" vertical="center"/>
    </xf>
    <xf numFmtId="0" fontId="95" fillId="52" borderId="33" xfId="0" applyFont="1" applyFill="1" applyBorder="1" applyAlignment="1">
      <alignment horizontal="center" vertical="center"/>
    </xf>
    <xf numFmtId="191" fontId="104" fillId="0" borderId="30" xfId="0" applyNumberFormat="1" applyFont="1" applyFill="1" applyBorder="1" applyAlignment="1" applyProtection="1">
      <alignment horizontal="center" vertical="center" wrapText="1"/>
    </xf>
    <xf numFmtId="191" fontId="104" fillId="0" borderId="21" xfId="0" applyNumberFormat="1" applyFont="1" applyFill="1" applyBorder="1" applyAlignment="1" applyProtection="1">
      <alignment horizontal="center" vertical="center" wrapText="1"/>
    </xf>
    <xf numFmtId="191" fontId="104" fillId="0" borderId="29" xfId="0" applyNumberFormat="1" applyFont="1" applyFill="1" applyBorder="1" applyAlignment="1" applyProtection="1">
      <alignment horizontal="center" vertical="center" wrapText="1"/>
    </xf>
    <xf numFmtId="191" fontId="104" fillId="0" borderId="70" xfId="0" applyNumberFormat="1" applyFont="1" applyFill="1" applyBorder="1" applyAlignment="1" applyProtection="1">
      <alignment horizontal="center" vertical="center" wrapText="1"/>
    </xf>
    <xf numFmtId="191" fontId="104" fillId="0" borderId="30" xfId="0" applyNumberFormat="1" applyFont="1" applyFill="1" applyBorder="1" applyAlignment="1" applyProtection="1">
      <alignment horizontal="left" vertical="center"/>
    </xf>
    <xf numFmtId="191" fontId="104" fillId="0" borderId="30" xfId="0" quotePrefix="1" applyNumberFormat="1" applyFont="1" applyFill="1" applyBorder="1" applyAlignment="1" applyProtection="1">
      <alignment horizontal="left" vertical="center"/>
    </xf>
    <xf numFmtId="0" fontId="0" fillId="52" borderId="14" xfId="0" applyFill="1" applyBorder="1" applyAlignment="1">
      <alignment horizontal="center" vertical="center"/>
    </xf>
    <xf numFmtId="0" fontId="0" fillId="52" borderId="33" xfId="0" applyFill="1" applyBorder="1" applyAlignment="1">
      <alignment horizontal="center" vertical="center"/>
    </xf>
    <xf numFmtId="191" fontId="104" fillId="0" borderId="42" xfId="0" applyNumberFormat="1" applyFont="1" applyFill="1" applyBorder="1" applyAlignment="1" applyProtection="1">
      <alignment horizontal="center" vertical="center" wrapText="1"/>
    </xf>
    <xf numFmtId="191" fontId="104" fillId="0" borderId="0" xfId="0" applyNumberFormat="1" applyFont="1" applyFill="1" applyBorder="1" applyAlignment="1" applyProtection="1">
      <alignment horizontal="center" vertical="center" wrapText="1"/>
    </xf>
    <xf numFmtId="191" fontId="104" fillId="0" borderId="0" xfId="0" applyNumberFormat="1" applyFont="1" applyFill="1" applyBorder="1" applyAlignment="1" applyProtection="1">
      <alignment horizontal="left" vertical="center"/>
    </xf>
    <xf numFmtId="191" fontId="104" fillId="0" borderId="93" xfId="0" quotePrefix="1" applyNumberFormat="1" applyFont="1" applyFill="1" applyBorder="1" applyAlignment="1" applyProtection="1">
      <alignment horizontal="left" vertical="center"/>
    </xf>
    <xf numFmtId="0" fontId="212" fillId="45" borderId="6" xfId="0" applyFont="1" applyFill="1" applyBorder="1" applyAlignment="1">
      <alignment horizontal="center"/>
    </xf>
    <xf numFmtId="0" fontId="200" fillId="23" borderId="32" xfId="0" quotePrefix="1" applyFont="1" applyFill="1" applyBorder="1" applyAlignment="1">
      <alignment horizontal="center"/>
    </xf>
    <xf numFmtId="0" fontId="200" fillId="23" borderId="14" xfId="0" applyFont="1" applyFill="1" applyBorder="1" applyAlignment="1">
      <alignment horizontal="center"/>
    </xf>
    <xf numFmtId="0" fontId="200" fillId="23" borderId="142" xfId="0" applyFont="1" applyFill="1" applyBorder="1" applyAlignment="1">
      <alignment horizontal="center"/>
    </xf>
    <xf numFmtId="0" fontId="200" fillId="23" borderId="29" xfId="0" applyFont="1" applyFill="1" applyBorder="1" applyAlignment="1">
      <alignment horizontal="center"/>
    </xf>
    <xf numFmtId="0" fontId="200" fillId="23" borderId="30" xfId="0" applyFont="1" applyFill="1" applyBorder="1" applyAlignment="1">
      <alignment horizontal="center"/>
    </xf>
    <xf numFmtId="0" fontId="200" fillId="23" borderId="143" xfId="0" applyFont="1" applyFill="1" applyBorder="1" applyAlignment="1">
      <alignment horizontal="center"/>
    </xf>
    <xf numFmtId="0" fontId="226" fillId="22" borderId="0" xfId="0" applyFont="1" applyFill="1" applyAlignment="1">
      <alignment horizontal="center"/>
    </xf>
    <xf numFmtId="0" fontId="200" fillId="35" borderId="73" xfId="0" applyFont="1" applyFill="1" applyBorder="1" applyAlignment="1">
      <alignment horizontal="center" vertical="center"/>
    </xf>
    <xf numFmtId="0" fontId="200" fillId="35" borderId="22" xfId="0" applyFont="1" applyFill="1" applyBorder="1" applyAlignment="1">
      <alignment horizontal="center" vertical="center"/>
    </xf>
    <xf numFmtId="0" fontId="200" fillId="35" borderId="74" xfId="0" applyFont="1" applyFill="1" applyBorder="1" applyAlignment="1">
      <alignment horizontal="center" vertical="center"/>
    </xf>
    <xf numFmtId="0" fontId="200" fillId="35" borderId="101" xfId="0" applyFont="1" applyFill="1" applyBorder="1" applyAlignment="1">
      <alignment horizontal="center" vertical="center"/>
    </xf>
    <xf numFmtId="0" fontId="200" fillId="35" borderId="21" xfId="0" applyFont="1" applyFill="1" applyBorder="1" applyAlignment="1">
      <alignment horizontal="center" vertical="center"/>
    </xf>
    <xf numFmtId="0" fontId="200" fillId="35" borderId="102" xfId="0" applyFont="1" applyFill="1" applyBorder="1" applyAlignment="1">
      <alignment horizontal="center" vertical="center"/>
    </xf>
    <xf numFmtId="0" fontId="212" fillId="23" borderId="6" xfId="0" applyFont="1" applyFill="1" applyBorder="1" applyAlignment="1">
      <alignment horizontal="center"/>
    </xf>
    <xf numFmtId="0" fontId="212" fillId="46" borderId="6" xfId="0" applyFont="1" applyFill="1" applyBorder="1" applyAlignment="1">
      <alignment horizontal="center"/>
    </xf>
    <xf numFmtId="165" fontId="297" fillId="94" borderId="0" xfId="1525" applyNumberFormat="1" applyFont="1" applyFill="1" applyBorder="1" applyAlignment="1">
      <alignment horizontal="center" vertical="center"/>
    </xf>
    <xf numFmtId="165" fontId="294" fillId="94" borderId="0" xfId="1525" applyNumberFormat="1" applyFont="1" applyFill="1" applyBorder="1" applyAlignment="1">
      <alignment horizontal="center" vertical="center"/>
    </xf>
    <xf numFmtId="0" fontId="368" fillId="98" borderId="29" xfId="1525" applyFont="1" applyFill="1" applyBorder="1"/>
    <xf numFmtId="0" fontId="368" fillId="98" borderId="42" xfId="1525" applyFont="1" applyFill="1" applyBorder="1"/>
    <xf numFmtId="0" fontId="285" fillId="105" borderId="75" xfId="1525" applyFont="1" applyFill="1" applyBorder="1" applyAlignment="1">
      <alignment horizontal="center"/>
    </xf>
    <xf numFmtId="0" fontId="285" fillId="105" borderId="20" xfId="1525" applyFont="1" applyFill="1" applyBorder="1" applyAlignment="1">
      <alignment horizontal="center"/>
    </xf>
    <xf numFmtId="0" fontId="285" fillId="105" borderId="105" xfId="1525" applyFont="1" applyFill="1" applyBorder="1" applyAlignment="1">
      <alignment horizontal="center"/>
    </xf>
    <xf numFmtId="0" fontId="285" fillId="104" borderId="75" xfId="1525" applyFont="1" applyFill="1" applyBorder="1" applyAlignment="1">
      <alignment horizontal="center"/>
    </xf>
    <xf numFmtId="0" fontId="285" fillId="104" borderId="20" xfId="1525" applyFont="1" applyFill="1" applyBorder="1" applyAlignment="1">
      <alignment horizontal="center"/>
    </xf>
    <xf numFmtId="0" fontId="285" fillId="104" borderId="105" xfId="1525" applyFont="1" applyFill="1" applyBorder="1" applyAlignment="1">
      <alignment horizontal="center"/>
    </xf>
    <xf numFmtId="0" fontId="212" fillId="0" borderId="75" xfId="97" applyFont="1" applyBorder="1" applyAlignment="1">
      <alignment horizontal="center"/>
    </xf>
    <xf numFmtId="0" fontId="212" fillId="0" borderId="105" xfId="97" quotePrefix="1" applyFont="1" applyBorder="1" applyAlignment="1">
      <alignment horizontal="center"/>
    </xf>
    <xf numFmtId="0" fontId="212" fillId="0" borderId="21" xfId="97" quotePrefix="1" applyFont="1" applyBorder="1" applyAlignment="1">
      <alignment horizontal="center"/>
    </xf>
    <xf numFmtId="0" fontId="212" fillId="0" borderId="21" xfId="97" applyFont="1" applyBorder="1" applyAlignment="1">
      <alignment horizontal="center"/>
    </xf>
    <xf numFmtId="0" fontId="211" fillId="53" borderId="72" xfId="97" applyFont="1" applyFill="1" applyBorder="1" applyAlignment="1">
      <alignment horizontal="center"/>
    </xf>
    <xf numFmtId="0" fontId="211" fillId="53" borderId="9" xfId="97" applyFont="1" applyFill="1" applyBorder="1" applyAlignment="1">
      <alignment horizontal="center"/>
    </xf>
    <xf numFmtId="0" fontId="212" fillId="53" borderId="75" xfId="97" quotePrefix="1" applyFont="1" applyFill="1" applyBorder="1" applyAlignment="1">
      <alignment horizontal="center"/>
    </xf>
    <xf numFmtId="0" fontId="212" fillId="53" borderId="105" xfId="97" quotePrefix="1" applyFont="1" applyFill="1" applyBorder="1" applyAlignment="1">
      <alignment horizontal="center"/>
    </xf>
    <xf numFmtId="0" fontId="186" fillId="0" borderId="0" xfId="0" applyFont="1" applyAlignment="1">
      <alignment horizontal="center"/>
    </xf>
    <xf numFmtId="0" fontId="188" fillId="34" borderId="40" xfId="0" applyFont="1" applyFill="1" applyBorder="1" applyAlignment="1">
      <alignment horizontal="center" vertical="center"/>
    </xf>
    <xf numFmtId="0" fontId="188" fillId="34" borderId="38" xfId="0" applyFont="1" applyFill="1" applyBorder="1" applyAlignment="1">
      <alignment horizontal="center" vertical="center"/>
    </xf>
    <xf numFmtId="0" fontId="43" fillId="0" borderId="0" xfId="143" applyFont="1" applyFill="1" applyAlignment="1">
      <alignment horizontal="center"/>
    </xf>
    <xf numFmtId="0" fontId="10" fillId="36" borderId="75" xfId="143" applyFont="1" applyFill="1" applyBorder="1" applyAlignment="1">
      <alignment horizontal="center"/>
    </xf>
    <xf numFmtId="0" fontId="10" fillId="36" borderId="20" xfId="143" applyFont="1" applyFill="1" applyBorder="1" applyAlignment="1">
      <alignment horizontal="center"/>
    </xf>
    <xf numFmtId="0" fontId="10" fillId="36" borderId="105" xfId="143" applyFont="1" applyFill="1" applyBorder="1" applyAlignment="1">
      <alignment horizontal="center"/>
    </xf>
    <xf numFmtId="0" fontId="14" fillId="34" borderId="43" xfId="0" applyFont="1" applyFill="1" applyBorder="1" applyAlignment="1">
      <alignment horizontal="center" vertical="center"/>
    </xf>
    <xf numFmtId="0" fontId="14" fillId="34" borderId="38" xfId="0" applyFont="1" applyFill="1" applyBorder="1" applyAlignment="1">
      <alignment horizontal="center" vertical="center"/>
    </xf>
    <xf numFmtId="0" fontId="43" fillId="0" borderId="0" xfId="0" applyFont="1" applyFill="1" applyAlignment="1">
      <alignment horizontal="center"/>
    </xf>
    <xf numFmtId="0" fontId="14" fillId="34" borderId="45" xfId="0" applyFont="1" applyFill="1" applyBorder="1" applyAlignment="1">
      <alignment horizontal="center"/>
    </xf>
    <xf numFmtId="0" fontId="14" fillId="34" borderId="0" xfId="0" applyFont="1" applyFill="1" applyBorder="1" applyAlignment="1">
      <alignment horizontal="center"/>
    </xf>
    <xf numFmtId="0" fontId="43" fillId="0" borderId="0" xfId="109" applyFont="1" applyFill="1" applyAlignment="1">
      <alignment horizontal="center"/>
    </xf>
    <xf numFmtId="0" fontId="43" fillId="0" borderId="0" xfId="150" applyFont="1" applyAlignment="1">
      <alignment horizontal="center"/>
    </xf>
    <xf numFmtId="0" fontId="10" fillId="47" borderId="89" xfId="0" applyFont="1" applyFill="1" applyBorder="1" applyAlignment="1">
      <alignment horizontal="center"/>
    </xf>
    <xf numFmtId="0" fontId="10" fillId="47" borderId="0" xfId="0" applyFont="1" applyFill="1" applyBorder="1" applyAlignment="1">
      <alignment horizontal="center"/>
    </xf>
    <xf numFmtId="0" fontId="14" fillId="34" borderId="40" xfId="0" applyFont="1" applyFill="1" applyBorder="1" applyAlignment="1">
      <alignment horizontal="center" vertical="center"/>
    </xf>
    <xf numFmtId="0" fontId="14" fillId="34" borderId="57" xfId="0" applyFont="1" applyFill="1" applyBorder="1" applyAlignment="1">
      <alignment horizontal="center"/>
    </xf>
    <xf numFmtId="49" fontId="14" fillId="34" borderId="43" xfId="0" applyNumberFormat="1" applyFont="1" applyFill="1" applyBorder="1" applyAlignment="1">
      <alignment horizontal="center" wrapText="1"/>
    </xf>
    <xf numFmtId="0" fontId="48" fillId="0" borderId="0" xfId="147" applyFont="1" applyFill="1" applyBorder="1" applyAlignment="1" applyProtection="1">
      <alignment horizontal="center"/>
      <protection locked="0"/>
    </xf>
    <xf numFmtId="0" fontId="14" fillId="34" borderId="40" xfId="109" applyNumberFormat="1" applyFont="1" applyFill="1" applyBorder="1" applyAlignment="1">
      <alignment horizontal="center" vertical="center" wrapText="1"/>
    </xf>
    <xf numFmtId="0" fontId="25" fillId="0" borderId="38" xfId="109" applyBorder="1" applyAlignment="1">
      <alignment horizontal="center" vertical="center" wrapText="1"/>
    </xf>
    <xf numFmtId="0" fontId="14" fillId="34" borderId="43" xfId="109" applyNumberFormat="1" applyFont="1" applyFill="1" applyBorder="1" applyAlignment="1">
      <alignment horizontal="center" vertical="center" wrapText="1"/>
    </xf>
    <xf numFmtId="0" fontId="188" fillId="34" borderId="40" xfId="0" applyNumberFormat="1" applyFont="1" applyFill="1" applyBorder="1" applyAlignment="1">
      <alignment horizontal="center" vertical="center" wrapText="1"/>
    </xf>
    <xf numFmtId="0" fontId="185" fillId="0" borderId="38" xfId="0" applyFont="1" applyBorder="1" applyAlignment="1">
      <alignment horizontal="center" vertical="center" wrapText="1"/>
    </xf>
    <xf numFmtId="0" fontId="203" fillId="0" borderId="0" xfId="147" applyFont="1" applyFill="1" applyBorder="1" applyAlignment="1" applyProtection="1">
      <alignment horizontal="center"/>
      <protection locked="0"/>
    </xf>
    <xf numFmtId="0" fontId="188" fillId="34" borderId="43" xfId="0" applyNumberFormat="1" applyFont="1" applyFill="1" applyBorder="1" applyAlignment="1">
      <alignment horizontal="center" vertical="center" wrapText="1"/>
    </xf>
    <xf numFmtId="0" fontId="188" fillId="34" borderId="45" xfId="0" applyNumberFormat="1" applyFont="1" applyFill="1" applyBorder="1" applyAlignment="1">
      <alignment horizontal="center" vertical="center" wrapText="1"/>
    </xf>
    <xf numFmtId="0" fontId="188" fillId="34" borderId="0" xfId="0" applyNumberFormat="1" applyFont="1" applyFill="1" applyBorder="1" applyAlignment="1">
      <alignment horizontal="center" vertical="center" wrapText="1"/>
    </xf>
    <xf numFmtId="0" fontId="188" fillId="34" borderId="41" xfId="0" applyNumberFormat="1" applyFont="1" applyFill="1" applyBorder="1" applyAlignment="1">
      <alignment horizontal="center" vertical="center" wrapText="1"/>
    </xf>
    <xf numFmtId="0" fontId="188" fillId="34" borderId="49" xfId="0" applyNumberFormat="1" applyFont="1" applyFill="1" applyBorder="1" applyAlignment="1">
      <alignment horizontal="center" vertical="center" wrapText="1"/>
    </xf>
    <xf numFmtId="0" fontId="188" fillId="34" borderId="49" xfId="0" applyNumberFormat="1" applyFont="1" applyFill="1" applyBorder="1" applyAlignment="1">
      <alignment horizontal="center"/>
    </xf>
    <xf numFmtId="0" fontId="43" fillId="0" borderId="0" xfId="143" applyFont="1" applyAlignment="1">
      <alignment horizontal="center"/>
    </xf>
    <xf numFmtId="0" fontId="14" fillId="34" borderId="40" xfId="143" applyFont="1" applyFill="1" applyBorder="1" applyAlignment="1">
      <alignment horizontal="center" vertical="center"/>
    </xf>
    <xf numFmtId="0" fontId="14" fillId="34" borderId="38" xfId="143" applyFont="1" applyFill="1" applyBorder="1" applyAlignment="1">
      <alignment horizontal="center" vertical="center"/>
    </xf>
    <xf numFmtId="0" fontId="0" fillId="0" borderId="0" xfId="0" applyFill="1" applyBorder="1" applyAlignment="1">
      <alignment horizontal="left" wrapText="1"/>
    </xf>
    <xf numFmtId="0" fontId="0" fillId="0" borderId="60" xfId="0" applyFill="1" applyBorder="1" applyAlignment="1">
      <alignment horizontal="left" wrapText="1"/>
    </xf>
    <xf numFmtId="0" fontId="14" fillId="35" borderId="57" xfId="0" applyFont="1" applyFill="1" applyBorder="1" applyAlignment="1">
      <alignment horizontal="center" vertical="center"/>
    </xf>
    <xf numFmtId="0" fontId="14" fillId="35" borderId="144" xfId="0" applyFont="1" applyFill="1" applyBorder="1" applyAlignment="1">
      <alignment horizontal="center" vertical="center"/>
    </xf>
    <xf numFmtId="0" fontId="10" fillId="36" borderId="46" xfId="0" applyFont="1" applyFill="1" applyBorder="1" applyAlignment="1">
      <alignment horizontal="center" vertical="center"/>
    </xf>
    <xf numFmtId="0" fontId="10" fillId="36" borderId="48" xfId="0" applyFont="1" applyFill="1" applyBorder="1" applyAlignment="1">
      <alignment horizontal="center" vertical="center"/>
    </xf>
    <xf numFmtId="0" fontId="14" fillId="34" borderId="46" xfId="0" applyFont="1" applyFill="1" applyBorder="1" applyAlignment="1">
      <alignment horizontal="center"/>
    </xf>
    <xf numFmtId="0" fontId="14" fillId="34" borderId="47" xfId="0" applyFont="1" applyFill="1" applyBorder="1" applyAlignment="1">
      <alignment horizontal="center"/>
    </xf>
    <xf numFmtId="0" fontId="14" fillId="34" borderId="44" xfId="0" applyFont="1" applyFill="1" applyBorder="1" applyAlignment="1">
      <alignment horizontal="center"/>
    </xf>
    <xf numFmtId="0" fontId="14" fillId="34" borderId="100" xfId="0" applyFont="1" applyFill="1" applyBorder="1" applyAlignment="1">
      <alignment horizontal="center"/>
    </xf>
    <xf numFmtId="0" fontId="14" fillId="34" borderId="64" xfId="0" applyFont="1" applyFill="1" applyBorder="1" applyAlignment="1">
      <alignment horizontal="center"/>
    </xf>
    <xf numFmtId="0" fontId="14" fillId="35" borderId="46" xfId="0" applyFont="1" applyFill="1" applyBorder="1" applyAlignment="1">
      <alignment horizontal="center"/>
    </xf>
    <xf numFmtId="0" fontId="14" fillId="35" borderId="47" xfId="0" applyFont="1" applyFill="1" applyBorder="1" applyAlignment="1">
      <alignment horizontal="center"/>
    </xf>
    <xf numFmtId="0" fontId="14" fillId="35" borderId="48" xfId="0" applyFont="1" applyFill="1" applyBorder="1" applyAlignment="1">
      <alignment horizontal="center"/>
    </xf>
    <xf numFmtId="0" fontId="14" fillId="34" borderId="44" xfId="0" applyFont="1" applyFill="1" applyBorder="1" applyAlignment="1">
      <alignment horizontal="center" vertical="center"/>
    </xf>
    <xf numFmtId="0" fontId="14" fillId="34" borderId="64" xfId="0" applyFont="1" applyFill="1" applyBorder="1" applyAlignment="1">
      <alignment horizontal="center" vertical="center"/>
    </xf>
    <xf numFmtId="0" fontId="14" fillId="34" borderId="41" xfId="0" applyFont="1" applyFill="1" applyBorder="1" applyAlignment="1">
      <alignment horizontal="center" vertical="center"/>
    </xf>
    <xf numFmtId="0" fontId="14" fillId="34" borderId="97" xfId="0" applyFont="1" applyFill="1" applyBorder="1" applyAlignment="1">
      <alignment horizontal="center" vertical="center"/>
    </xf>
    <xf numFmtId="0" fontId="14" fillId="35" borderId="40" xfId="0" applyFont="1" applyFill="1" applyBorder="1" applyAlignment="1">
      <alignment horizontal="center" vertical="center"/>
    </xf>
    <xf numFmtId="0" fontId="14" fillId="35" borderId="61" xfId="0" applyFont="1" applyFill="1" applyBorder="1" applyAlignment="1">
      <alignment horizontal="center" vertical="center"/>
    </xf>
    <xf numFmtId="0" fontId="14" fillId="34" borderId="40" xfId="0" applyFont="1" applyFill="1" applyBorder="1" applyAlignment="1">
      <alignment horizontal="center"/>
    </xf>
    <xf numFmtId="0" fontId="14" fillId="34" borderId="61" xfId="0" applyFont="1" applyFill="1" applyBorder="1" applyAlignment="1">
      <alignment horizontal="center"/>
    </xf>
    <xf numFmtId="0" fontId="10" fillId="36" borderId="43" xfId="0" applyFont="1" applyFill="1" applyBorder="1" applyAlignment="1">
      <alignment horizontal="center" vertical="center"/>
    </xf>
    <xf numFmtId="0" fontId="14" fillId="35" borderId="44" xfId="0" applyFont="1" applyFill="1" applyBorder="1" applyAlignment="1">
      <alignment horizontal="center" vertical="center"/>
    </xf>
    <xf numFmtId="0" fontId="14" fillId="35" borderId="64" xfId="0" applyFont="1" applyFill="1" applyBorder="1" applyAlignment="1">
      <alignment horizontal="center" vertical="center"/>
    </xf>
    <xf numFmtId="0" fontId="14" fillId="35" borderId="44" xfId="0" applyFont="1" applyFill="1" applyBorder="1" applyAlignment="1">
      <alignment horizontal="center"/>
    </xf>
    <xf numFmtId="0" fontId="14" fillId="35" borderId="64" xfId="0" applyFont="1" applyFill="1" applyBorder="1" applyAlignment="1">
      <alignment horizontal="center"/>
    </xf>
    <xf numFmtId="0" fontId="14" fillId="34" borderId="40" xfId="0" applyFont="1" applyFill="1" applyBorder="1" applyAlignment="1">
      <alignment horizontal="center" vertical="center" wrapText="1"/>
    </xf>
    <xf numFmtId="0" fontId="0" fillId="0" borderId="61" xfId="0" applyBorder="1"/>
    <xf numFmtId="0" fontId="14" fillId="34" borderId="41" xfId="0" applyFont="1" applyFill="1" applyBorder="1" applyAlignment="1">
      <alignment horizontal="center"/>
    </xf>
    <xf numFmtId="0" fontId="14" fillId="34" borderId="49" xfId="0" applyFont="1" applyFill="1" applyBorder="1" applyAlignment="1">
      <alignment horizontal="center"/>
    </xf>
    <xf numFmtId="0" fontId="0" fillId="0" borderId="61" xfId="0" applyBorder="1" applyAlignment="1">
      <alignment horizontal="center" vertical="center" wrapText="1"/>
    </xf>
    <xf numFmtId="9" fontId="14" fillId="34" borderId="40" xfId="0" applyNumberFormat="1" applyFont="1" applyFill="1" applyBorder="1" applyAlignment="1">
      <alignment horizontal="center"/>
    </xf>
    <xf numFmtId="9" fontId="14" fillId="34" borderId="61" xfId="0" applyNumberFormat="1" applyFont="1" applyFill="1" applyBorder="1" applyAlignment="1">
      <alignment horizontal="center"/>
    </xf>
    <xf numFmtId="0" fontId="10" fillId="36" borderId="39" xfId="0" applyFont="1" applyFill="1" applyBorder="1" applyAlignment="1">
      <alignment horizontal="center" vertical="center"/>
    </xf>
    <xf numFmtId="0" fontId="10" fillId="36" borderId="62" xfId="0" applyFont="1" applyFill="1" applyBorder="1" applyAlignment="1">
      <alignment horizontal="center" vertical="center"/>
    </xf>
    <xf numFmtId="0" fontId="10" fillId="36" borderId="46" xfId="0" applyFont="1" applyFill="1" applyBorder="1" applyAlignment="1">
      <alignment horizontal="center"/>
    </xf>
    <xf numFmtId="0" fontId="10" fillId="36" borderId="48" xfId="0" applyFont="1" applyFill="1" applyBorder="1" applyAlignment="1">
      <alignment horizontal="center"/>
    </xf>
    <xf numFmtId="0" fontId="14" fillId="34" borderId="64" xfId="0" applyFont="1" applyFill="1" applyBorder="1" applyAlignment="1">
      <alignment horizontal="center" vertical="center" wrapText="1"/>
    </xf>
    <xf numFmtId="0" fontId="0" fillId="0" borderId="144" xfId="0" applyBorder="1" applyAlignment="1">
      <alignment horizontal="center" vertical="center" wrapText="1"/>
    </xf>
    <xf numFmtId="0" fontId="14" fillId="34" borderId="40" xfId="0" applyFont="1" applyFill="1" applyBorder="1" applyAlignment="1">
      <alignment horizontal="center" wrapText="1"/>
    </xf>
    <xf numFmtId="0" fontId="14" fillId="34" borderId="38" xfId="0" applyFont="1" applyFill="1" applyBorder="1" applyAlignment="1">
      <alignment horizontal="center" wrapText="1"/>
    </xf>
    <xf numFmtId="0" fontId="91" fillId="0" borderId="0" xfId="0" applyFont="1" applyAlignment="1">
      <alignment horizontal="center"/>
    </xf>
    <xf numFmtId="0" fontId="9" fillId="0" borderId="75" xfId="0" applyFont="1" applyBorder="1" applyAlignment="1">
      <alignment horizontal="right"/>
    </xf>
    <xf numFmtId="0" fontId="9" fillId="0" borderId="105" xfId="0" applyFont="1" applyBorder="1" applyAlignment="1">
      <alignment horizontal="right"/>
    </xf>
    <xf numFmtId="0" fontId="14" fillId="34" borderId="100" xfId="0" applyFont="1" applyFill="1" applyBorder="1" applyAlignment="1">
      <alignment horizontal="center" wrapText="1"/>
    </xf>
    <xf numFmtId="0" fontId="14" fillId="34" borderId="64" xfId="0" applyFont="1" applyFill="1" applyBorder="1" applyAlignment="1">
      <alignment horizontal="center" wrapText="1"/>
    </xf>
    <xf numFmtId="0" fontId="14" fillId="34" borderId="0" xfId="0" applyFont="1" applyFill="1" applyBorder="1" applyAlignment="1">
      <alignment horizontal="center" wrapText="1"/>
    </xf>
    <xf numFmtId="0" fontId="14" fillId="34" borderId="57" xfId="0" applyFont="1" applyFill="1" applyBorder="1" applyAlignment="1">
      <alignment horizontal="center" wrapText="1"/>
    </xf>
    <xf numFmtId="0" fontId="14" fillId="34" borderId="44" xfId="0" applyFont="1" applyFill="1" applyBorder="1" applyAlignment="1">
      <alignment horizontal="center" wrapText="1"/>
    </xf>
    <xf numFmtId="0" fontId="14" fillId="34" borderId="41" xfId="0" applyFont="1" applyFill="1" applyBorder="1" applyAlignment="1">
      <alignment horizontal="center" wrapText="1"/>
    </xf>
    <xf numFmtId="0" fontId="14" fillId="34" borderId="97" xfId="0" applyFont="1" applyFill="1" applyBorder="1" applyAlignment="1">
      <alignment horizontal="center" wrapText="1"/>
    </xf>
    <xf numFmtId="0" fontId="14" fillId="34" borderId="49" xfId="0" applyFont="1" applyFill="1" applyBorder="1" applyAlignment="1">
      <alignment horizontal="center" wrapText="1"/>
    </xf>
    <xf numFmtId="0" fontId="14" fillId="34" borderId="97" xfId="0" applyFont="1" applyFill="1" applyBorder="1" applyAlignment="1">
      <alignment horizontal="center"/>
    </xf>
    <xf numFmtId="0" fontId="14" fillId="34" borderId="48" xfId="0" applyFont="1" applyFill="1" applyBorder="1" applyAlignment="1">
      <alignment horizontal="center"/>
    </xf>
    <xf numFmtId="0" fontId="10" fillId="36" borderId="40" xfId="0" applyFont="1" applyFill="1" applyBorder="1" applyAlignment="1">
      <alignment horizontal="center"/>
    </xf>
    <xf numFmtId="0" fontId="10" fillId="36" borderId="61" xfId="0" applyFont="1" applyFill="1" applyBorder="1" applyAlignment="1">
      <alignment horizontal="center"/>
    </xf>
    <xf numFmtId="0" fontId="44" fillId="34" borderId="146" xfId="0" applyFont="1" applyFill="1" applyBorder="1" applyAlignment="1">
      <alignment horizontal="center" vertical="center" wrapText="1"/>
    </xf>
    <xf numFmtId="0" fontId="0" fillId="0" borderId="147" xfId="0" applyBorder="1" applyAlignment="1">
      <alignment horizontal="center" vertical="center" wrapText="1"/>
    </xf>
    <xf numFmtId="0" fontId="44" fillId="34" borderId="145" xfId="0" applyFont="1" applyFill="1" applyBorder="1" applyAlignment="1">
      <alignment horizontal="center" vertical="center" wrapText="1"/>
    </xf>
    <xf numFmtId="0" fontId="10" fillId="36" borderId="40" xfId="0" applyFont="1" applyFill="1" applyBorder="1" applyAlignment="1">
      <alignment horizontal="center" vertical="center"/>
    </xf>
    <xf numFmtId="0" fontId="10" fillId="36" borderId="61" xfId="0" applyFont="1" applyFill="1" applyBorder="1" applyAlignment="1">
      <alignment horizontal="center" vertical="center"/>
    </xf>
    <xf numFmtId="16" fontId="43" fillId="0" borderId="0" xfId="0" applyNumberFormat="1" applyFont="1" applyAlignment="1">
      <alignment horizontal="center"/>
    </xf>
    <xf numFmtId="0" fontId="272" fillId="37" borderId="44" xfId="0" applyFont="1" applyFill="1" applyBorder="1" applyAlignment="1">
      <alignment horizontal="center"/>
    </xf>
    <xf numFmtId="0" fontId="272" fillId="37" borderId="64" xfId="0" applyFont="1" applyFill="1" applyBorder="1" applyAlignment="1">
      <alignment horizontal="center"/>
    </xf>
    <xf numFmtId="0" fontId="272" fillId="37" borderId="41" xfId="0" applyFont="1" applyFill="1" applyBorder="1" applyAlignment="1">
      <alignment horizontal="center"/>
    </xf>
    <xf numFmtId="0" fontId="272" fillId="37" borderId="97" xfId="0" applyFont="1" applyFill="1" applyBorder="1" applyAlignment="1">
      <alignment horizontal="center"/>
    </xf>
    <xf numFmtId="0" fontId="91" fillId="22" borderId="44" xfId="0" applyFont="1" applyFill="1" applyBorder="1" applyAlignment="1">
      <alignment horizontal="center"/>
    </xf>
    <xf numFmtId="0" fontId="91" fillId="22" borderId="64" xfId="0" applyFont="1" applyFill="1" applyBorder="1" applyAlignment="1">
      <alignment horizontal="center"/>
    </xf>
    <xf numFmtId="0" fontId="91" fillId="22" borderId="41" xfId="0" applyFont="1" applyFill="1" applyBorder="1" applyAlignment="1">
      <alignment horizontal="center"/>
    </xf>
    <xf numFmtId="0" fontId="91" fillId="22" borderId="97" xfId="0" applyFont="1" applyFill="1" applyBorder="1" applyAlignment="1">
      <alignment horizontal="center"/>
    </xf>
    <xf numFmtId="0" fontId="9" fillId="22" borderId="49" xfId="0" applyFont="1" applyFill="1" applyBorder="1" applyAlignment="1">
      <alignment horizontal="left"/>
    </xf>
    <xf numFmtId="0" fontId="10" fillId="41" borderId="34" xfId="0" applyFont="1" applyFill="1" applyBorder="1" applyAlignment="1">
      <alignment horizontal="center"/>
    </xf>
    <xf numFmtId="0" fontId="10" fillId="41" borderId="35" xfId="0" applyFont="1" applyFill="1" applyBorder="1" applyAlignment="1">
      <alignment horizontal="center"/>
    </xf>
    <xf numFmtId="0" fontId="10" fillId="41" borderId="87" xfId="0" applyFont="1" applyFill="1" applyBorder="1" applyAlignment="1">
      <alignment horizontal="center"/>
    </xf>
    <xf numFmtId="0" fontId="9" fillId="0" borderId="123" xfId="0" applyFont="1" applyBorder="1" applyAlignment="1">
      <alignment horizontal="center"/>
    </xf>
    <xf numFmtId="0" fontId="9" fillId="0" borderId="21" xfId="0" applyFont="1" applyBorder="1" applyAlignment="1">
      <alignment horizontal="center"/>
    </xf>
    <xf numFmtId="194" fontId="10" fillId="23" borderId="21" xfId="162" applyNumberFormat="1" applyFont="1" applyFill="1" applyBorder="1" applyAlignment="1">
      <alignment horizontal="center"/>
    </xf>
    <xf numFmtId="0" fontId="10" fillId="41" borderId="0" xfId="0" applyFont="1" applyFill="1" applyAlignment="1">
      <alignment horizontal="center"/>
    </xf>
    <xf numFmtId="0" fontId="7" fillId="0" borderId="75" xfId="0" applyFont="1" applyBorder="1" applyAlignment="1">
      <alignment horizontal="center"/>
    </xf>
    <xf numFmtId="0" fontId="7" fillId="0" borderId="20" xfId="0" applyFont="1" applyBorder="1" applyAlignment="1">
      <alignment horizontal="center"/>
    </xf>
    <xf numFmtId="0" fontId="7" fillId="0" borderId="209" xfId="0" applyFont="1" applyBorder="1" applyAlignment="1">
      <alignment horizontal="center"/>
    </xf>
    <xf numFmtId="0" fontId="7" fillId="0" borderId="105" xfId="0" applyFont="1" applyBorder="1" applyAlignment="1">
      <alignment horizontal="center"/>
    </xf>
    <xf numFmtId="0" fontId="209" fillId="55" borderId="44" xfId="0" applyFont="1" applyFill="1" applyBorder="1" applyAlignment="1">
      <alignment horizontal="center"/>
    </xf>
    <xf numFmtId="0" fontId="209" fillId="55" borderId="64" xfId="0" applyFont="1" applyFill="1" applyBorder="1" applyAlignment="1">
      <alignment horizontal="center"/>
    </xf>
    <xf numFmtId="0" fontId="209" fillId="55" borderId="41" xfId="0" applyFont="1" applyFill="1" applyBorder="1" applyAlignment="1">
      <alignment horizontal="center"/>
    </xf>
    <xf numFmtId="0" fontId="209" fillId="55" borderId="97" xfId="0" applyFont="1" applyFill="1" applyBorder="1" applyAlignment="1">
      <alignment horizontal="center"/>
    </xf>
    <xf numFmtId="0" fontId="209" fillId="55" borderId="39" xfId="0" applyFont="1" applyFill="1" applyBorder="1" applyAlignment="1">
      <alignment horizontal="center"/>
    </xf>
    <xf numFmtId="0" fontId="209" fillId="55" borderId="40" xfId="0" applyFont="1" applyFill="1" applyBorder="1" applyAlignment="1">
      <alignment horizontal="center"/>
    </xf>
    <xf numFmtId="0" fontId="14" fillId="55" borderId="44" xfId="0" applyFont="1" applyFill="1" applyBorder="1" applyAlignment="1">
      <alignment horizontal="center"/>
    </xf>
    <xf numFmtId="0" fontId="14" fillId="55" borderId="64" xfId="0" applyFont="1" applyFill="1" applyBorder="1" applyAlignment="1">
      <alignment horizontal="center"/>
    </xf>
    <xf numFmtId="0" fontId="14" fillId="55" borderId="41" xfId="0" applyFont="1" applyFill="1" applyBorder="1" applyAlignment="1">
      <alignment horizontal="center"/>
    </xf>
    <xf numFmtId="0" fontId="14" fillId="55" borderId="97" xfId="0" applyFont="1" applyFill="1" applyBorder="1" applyAlignment="1">
      <alignment horizontal="center"/>
    </xf>
    <xf numFmtId="0" fontId="14" fillId="55" borderId="44" xfId="0" applyFont="1" applyFill="1" applyBorder="1" applyAlignment="1">
      <alignment horizontal="center" vertical="center" wrapText="1"/>
    </xf>
    <xf numFmtId="0" fontId="0" fillId="0" borderId="64" xfId="0" applyBorder="1" applyAlignment="1">
      <alignment horizontal="center" vertical="center" wrapText="1"/>
    </xf>
    <xf numFmtId="0" fontId="0" fillId="0" borderId="199" xfId="0" applyBorder="1" applyAlignment="1">
      <alignment horizontal="center" vertical="center" wrapText="1"/>
    </xf>
    <xf numFmtId="0" fontId="0" fillId="0" borderId="198" xfId="0" applyBorder="1" applyAlignment="1">
      <alignment horizontal="center" vertical="center" wrapText="1"/>
    </xf>
    <xf numFmtId="0" fontId="10" fillId="44" borderId="34" xfId="0" applyFont="1" applyFill="1" applyBorder="1" applyAlignment="1">
      <alignment horizontal="center"/>
    </xf>
    <xf numFmtId="0" fontId="10" fillId="44" borderId="35" xfId="0" applyFont="1" applyFill="1" applyBorder="1" applyAlignment="1">
      <alignment horizontal="center"/>
    </xf>
    <xf numFmtId="0" fontId="10" fillId="44" borderId="87" xfId="0" applyFont="1" applyFill="1" applyBorder="1" applyAlignment="1">
      <alignment horizontal="center"/>
    </xf>
    <xf numFmtId="0" fontId="10" fillId="53" borderId="21" xfId="0" applyFont="1" applyFill="1" applyBorder="1" applyAlignment="1">
      <alignment horizontal="center"/>
    </xf>
    <xf numFmtId="0" fontId="10" fillId="46" borderId="21" xfId="0" applyFont="1" applyFill="1" applyBorder="1" applyAlignment="1">
      <alignment horizontal="center"/>
    </xf>
    <xf numFmtId="0" fontId="10" fillId="41" borderId="21" xfId="0" applyFont="1" applyFill="1" applyBorder="1" applyAlignment="1">
      <alignment horizontal="center"/>
    </xf>
    <xf numFmtId="0" fontId="265" fillId="0" borderId="133" xfId="0" applyFont="1" applyBorder="1" applyAlignment="1">
      <alignment horizontal="center" wrapText="1"/>
    </xf>
    <xf numFmtId="0" fontId="268" fillId="46" borderId="39" xfId="0" applyFont="1" applyFill="1" applyBorder="1" applyAlignment="1">
      <alignment horizontal="center" wrapText="1"/>
    </xf>
    <xf numFmtId="0" fontId="185" fillId="22" borderId="39" xfId="0" applyFont="1" applyFill="1" applyBorder="1" applyAlignment="1">
      <alignment horizontal="center" wrapText="1"/>
    </xf>
    <xf numFmtId="0" fontId="0" fillId="0" borderId="0" xfId="0" applyAlignment="1">
      <alignment horizontal="left" wrapText="1"/>
    </xf>
    <xf numFmtId="0" fontId="177" fillId="0" borderId="0" xfId="0" applyFont="1" applyAlignment="1">
      <alignment horizontal="left" vertical="center" wrapText="1"/>
    </xf>
    <xf numFmtId="0" fontId="267" fillId="0" borderId="0" xfId="0" applyFont="1" applyAlignment="1">
      <alignment horizontal="left" wrapText="1"/>
    </xf>
    <xf numFmtId="0" fontId="177" fillId="0" borderId="0" xfId="0" applyFont="1" applyAlignment="1">
      <alignment horizontal="left" vertical="center" wrapText="1" indent="1"/>
    </xf>
    <xf numFmtId="0" fontId="264" fillId="0" borderId="0" xfId="0" applyFont="1" applyAlignment="1">
      <alignment horizontal="left" wrapText="1"/>
    </xf>
    <xf numFmtId="0" fontId="9" fillId="0" borderId="0" xfId="0" applyFont="1" applyAlignment="1">
      <alignment horizontal="left" wrapText="1"/>
    </xf>
    <xf numFmtId="0" fontId="265" fillId="0" borderId="49" xfId="0" applyFont="1" applyBorder="1" applyAlignment="1">
      <alignment horizontal="center" wrapText="1"/>
    </xf>
    <xf numFmtId="0" fontId="266" fillId="0" borderId="0" xfId="0" applyFont="1" applyAlignment="1">
      <alignment horizontal="left" wrapText="1"/>
    </xf>
    <xf numFmtId="0" fontId="185" fillId="22" borderId="148" xfId="0" applyFont="1" applyFill="1" applyBorder="1" applyAlignment="1">
      <alignment horizontal="center" wrapText="1"/>
    </xf>
    <xf numFmtId="0" fontId="263" fillId="46" borderId="132" xfId="0" applyFont="1" applyFill="1" applyBorder="1" applyAlignment="1">
      <alignment horizontal="center" vertical="center" wrapText="1"/>
    </xf>
    <xf numFmtId="0" fontId="263" fillId="46" borderId="128" xfId="0" applyFont="1" applyFill="1" applyBorder="1" applyAlignment="1">
      <alignment horizontal="center" vertical="center" wrapText="1"/>
    </xf>
    <xf numFmtId="0" fontId="263" fillId="50" borderId="149" xfId="0" applyFont="1" applyFill="1" applyBorder="1" applyAlignment="1">
      <alignment horizontal="right" vertical="center" wrapText="1"/>
    </xf>
    <xf numFmtId="0" fontId="263" fillId="50" borderId="150" xfId="0" applyFont="1" applyFill="1" applyBorder="1" applyAlignment="1">
      <alignment horizontal="right" vertical="center" wrapText="1"/>
    </xf>
    <xf numFmtId="0" fontId="53" fillId="0" borderId="0" xfId="90" applyFont="1" applyFill="1" applyBorder="1" applyAlignment="1">
      <alignment horizontal="center"/>
    </xf>
    <xf numFmtId="0" fontId="13" fillId="0" borderId="0" xfId="0" applyFont="1" applyFill="1" applyAlignment="1">
      <alignment horizontal="center"/>
    </xf>
    <xf numFmtId="0" fontId="209" fillId="37" borderId="41" xfId="0" applyFont="1" applyFill="1" applyBorder="1" applyAlignment="1">
      <alignment horizontal="center"/>
    </xf>
    <xf numFmtId="0" fontId="209" fillId="37" borderId="184" xfId="0" applyFont="1" applyFill="1" applyBorder="1" applyAlignment="1">
      <alignment horizontal="center"/>
    </xf>
    <xf numFmtId="16" fontId="13" fillId="0" borderId="0" xfId="0" applyNumberFormat="1" applyFont="1" applyAlignment="1">
      <alignment horizontal="center"/>
    </xf>
    <xf numFmtId="0" fontId="13" fillId="0" borderId="0" xfId="0" applyFont="1" applyAlignment="1">
      <alignment horizontal="center"/>
    </xf>
    <xf numFmtId="0" fontId="13" fillId="0" borderId="0" xfId="0" applyNumberFormat="1" applyFont="1" applyFill="1" applyAlignment="1">
      <alignment horizontal="center"/>
    </xf>
    <xf numFmtId="0" fontId="209" fillId="37" borderId="182" xfId="0" applyFont="1" applyFill="1" applyBorder="1" applyAlignment="1">
      <alignment horizontal="center"/>
    </xf>
    <xf numFmtId="0" fontId="209" fillId="37" borderId="175" xfId="0" applyFont="1" applyFill="1" applyBorder="1" applyAlignment="1">
      <alignment horizontal="center"/>
    </xf>
    <xf numFmtId="0" fontId="282" fillId="55" borderId="166" xfId="0" applyFont="1" applyFill="1" applyBorder="1" applyAlignment="1">
      <alignment horizontal="center" wrapText="1"/>
    </xf>
    <xf numFmtId="0" fontId="282" fillId="55" borderId="167" xfId="0" applyFont="1" applyFill="1" applyBorder="1" applyAlignment="1">
      <alignment horizontal="center" wrapText="1"/>
    </xf>
    <xf numFmtId="0" fontId="282" fillId="55" borderId="168" xfId="0" applyFont="1" applyFill="1" applyBorder="1" applyAlignment="1">
      <alignment horizontal="center" wrapText="1"/>
    </xf>
    <xf numFmtId="0" fontId="210" fillId="55" borderId="162" xfId="0" applyFont="1" applyFill="1" applyBorder="1" applyAlignment="1">
      <alignment horizontal="center"/>
    </xf>
    <xf numFmtId="0" fontId="13" fillId="23" borderId="0" xfId="0" applyFont="1" applyFill="1" applyAlignment="1">
      <alignment horizontal="center"/>
    </xf>
    <xf numFmtId="0" fontId="282" fillId="55" borderId="166" xfId="0" applyFont="1" applyFill="1" applyBorder="1" applyAlignment="1">
      <alignment horizontal="center" vertical="center" wrapText="1"/>
    </xf>
    <xf numFmtId="0" fontId="13" fillId="0" borderId="57" xfId="0" applyFont="1" applyFill="1" applyBorder="1" applyAlignment="1">
      <alignment horizontal="center"/>
    </xf>
    <xf numFmtId="0" fontId="282" fillId="55" borderId="46" xfId="0" applyFont="1" applyFill="1" applyBorder="1" applyAlignment="1">
      <alignment horizontal="center"/>
    </xf>
    <xf numFmtId="0" fontId="282" fillId="55" borderId="48" xfId="0" applyFont="1" applyFill="1" applyBorder="1" applyAlignment="1">
      <alignment horizontal="center"/>
    </xf>
    <xf numFmtId="0" fontId="282" fillId="55" borderId="46" xfId="0" applyFont="1" applyFill="1" applyBorder="1" applyAlignment="1">
      <alignment horizontal="center" vertical="center"/>
    </xf>
    <xf numFmtId="0" fontId="282" fillId="55" borderId="48" xfId="0" applyFont="1" applyFill="1" applyBorder="1" applyAlignment="1">
      <alignment horizontal="center" vertical="center"/>
    </xf>
    <xf numFmtId="0" fontId="282" fillId="55" borderId="44" xfId="0" applyFont="1" applyFill="1" applyBorder="1" applyAlignment="1">
      <alignment horizontal="center"/>
    </xf>
    <xf numFmtId="0" fontId="282" fillId="55" borderId="64" xfId="0" applyFont="1" applyFill="1" applyBorder="1" applyAlignment="1">
      <alignment horizontal="center"/>
    </xf>
    <xf numFmtId="0" fontId="282" fillId="55" borderId="47" xfId="0" applyFont="1" applyFill="1" applyBorder="1" applyAlignment="1">
      <alignment horizontal="center"/>
    </xf>
    <xf numFmtId="0" fontId="282" fillId="55" borderId="41" xfId="0" applyFont="1" applyFill="1" applyBorder="1" applyAlignment="1">
      <alignment horizontal="center"/>
    </xf>
    <xf numFmtId="0" fontId="282" fillId="55" borderId="97" xfId="0" applyFont="1" applyFill="1" applyBorder="1" applyAlignment="1">
      <alignment horizontal="center"/>
    </xf>
    <xf numFmtId="0" fontId="210" fillId="55" borderId="40" xfId="0" applyFont="1" applyFill="1" applyBorder="1" applyAlignment="1">
      <alignment horizontal="center" wrapText="1"/>
    </xf>
    <xf numFmtId="0" fontId="210" fillId="55" borderId="106" xfId="0" applyFont="1" applyFill="1" applyBorder="1" applyAlignment="1">
      <alignment horizontal="center" wrapText="1"/>
    </xf>
    <xf numFmtId="0" fontId="282" fillId="55" borderId="166" xfId="0" applyFont="1" applyFill="1" applyBorder="1" applyAlignment="1">
      <alignment horizontal="center"/>
    </xf>
    <xf numFmtId="0" fontId="210" fillId="55" borderId="166" xfId="0" applyFont="1" applyFill="1" applyBorder="1" applyAlignment="1">
      <alignment horizontal="center" wrapText="1"/>
    </xf>
    <xf numFmtId="0" fontId="210" fillId="37" borderId="46" xfId="0" applyFont="1" applyFill="1" applyBorder="1" applyAlignment="1">
      <alignment horizontal="center"/>
    </xf>
    <xf numFmtId="0" fontId="210" fillId="37" borderId="48" xfId="0" applyFont="1" applyFill="1" applyBorder="1" applyAlignment="1">
      <alignment horizontal="center"/>
    </xf>
    <xf numFmtId="0" fontId="210" fillId="37" borderId="47" xfId="0" applyFont="1" applyFill="1" applyBorder="1" applyAlignment="1">
      <alignment horizontal="center"/>
    </xf>
    <xf numFmtId="0" fontId="210" fillId="37" borderId="40" xfId="0" applyFont="1" applyFill="1" applyBorder="1" applyAlignment="1">
      <alignment horizontal="center" wrapText="1"/>
    </xf>
    <xf numFmtId="0" fontId="210" fillId="37" borderId="38" xfId="0" applyFont="1" applyFill="1" applyBorder="1" applyAlignment="1">
      <alignment horizontal="center" wrapText="1"/>
    </xf>
    <xf numFmtId="0" fontId="210" fillId="37" borderId="46" xfId="0" applyFont="1" applyFill="1" applyBorder="1" applyAlignment="1">
      <alignment horizontal="center" vertical="center"/>
    </xf>
    <xf numFmtId="0" fontId="210" fillId="37" borderId="48" xfId="0" applyFont="1" applyFill="1" applyBorder="1" applyAlignment="1">
      <alignment horizontal="center" vertical="center"/>
    </xf>
    <xf numFmtId="16" fontId="13" fillId="0" borderId="0" xfId="0" applyNumberFormat="1" applyFont="1" applyFill="1" applyAlignment="1">
      <alignment horizontal="center"/>
    </xf>
    <xf numFmtId="0" fontId="209" fillId="37" borderId="151" xfId="0" applyFont="1" applyFill="1" applyBorder="1" applyAlignment="1">
      <alignment horizontal="center" vertical="center"/>
    </xf>
    <xf numFmtId="0" fontId="209" fillId="37" borderId="152" xfId="0" applyFont="1" applyFill="1" applyBorder="1" applyAlignment="1">
      <alignment horizontal="center" vertical="center"/>
    </xf>
    <xf numFmtId="0" fontId="209" fillId="37" borderId="41" xfId="0" applyFont="1" applyFill="1" applyBorder="1" applyAlignment="1">
      <alignment horizontal="center" vertical="center"/>
    </xf>
    <xf numFmtId="0" fontId="209" fillId="37" borderId="97" xfId="0" applyFont="1" applyFill="1" applyBorder="1" applyAlignment="1">
      <alignment horizontal="center" vertical="center"/>
    </xf>
    <xf numFmtId="0" fontId="209" fillId="37" borderId="153" xfId="0" applyFont="1" applyFill="1" applyBorder="1" applyAlignment="1">
      <alignment horizontal="center" vertical="center"/>
    </xf>
    <xf numFmtId="0" fontId="209" fillId="37" borderId="38" xfId="0" applyFont="1" applyFill="1" applyBorder="1" applyAlignment="1">
      <alignment horizontal="center" vertical="center"/>
    </xf>
    <xf numFmtId="0" fontId="209" fillId="37" borderId="154" xfId="0" applyFont="1" applyFill="1" applyBorder="1" applyAlignment="1">
      <alignment horizontal="center"/>
    </xf>
    <xf numFmtId="0" fontId="209" fillId="37" borderId="47" xfId="0" applyFont="1" applyFill="1" applyBorder="1" applyAlignment="1">
      <alignment horizontal="center"/>
    </xf>
    <xf numFmtId="0" fontId="209" fillId="37" borderId="48" xfId="0" applyFont="1" applyFill="1" applyBorder="1" applyAlignment="1">
      <alignment horizontal="center"/>
    </xf>
    <xf numFmtId="0" fontId="209" fillId="37" borderId="46" xfId="0" applyFont="1" applyFill="1" applyBorder="1" applyAlignment="1">
      <alignment horizontal="center"/>
    </xf>
    <xf numFmtId="9" fontId="209" fillId="37" borderId="40" xfId="0" applyNumberFormat="1" applyFont="1" applyFill="1" applyBorder="1" applyAlignment="1">
      <alignment horizontal="center"/>
    </xf>
    <xf numFmtId="9" fontId="209" fillId="37" borderId="160" xfId="0" applyNumberFormat="1" applyFont="1" applyFill="1" applyBorder="1" applyAlignment="1">
      <alignment horizontal="center"/>
    </xf>
    <xf numFmtId="0" fontId="209" fillId="37" borderId="44" xfId="0" applyFont="1" applyFill="1" applyBorder="1" applyAlignment="1">
      <alignment horizontal="center" vertical="center"/>
    </xf>
    <xf numFmtId="0" fontId="209" fillId="37" borderId="64" xfId="0" applyFont="1" applyFill="1" applyBorder="1" applyAlignment="1">
      <alignment horizontal="center" vertical="center"/>
    </xf>
    <xf numFmtId="0" fontId="209" fillId="37" borderId="40" xfId="0" applyFont="1" applyFill="1" applyBorder="1" applyAlignment="1">
      <alignment horizontal="center" vertical="center"/>
    </xf>
    <xf numFmtId="0" fontId="209" fillId="37" borderId="49" xfId="0" applyFont="1" applyFill="1" applyBorder="1" applyAlignment="1">
      <alignment horizontal="center"/>
    </xf>
    <xf numFmtId="0" fontId="209" fillId="37" borderId="57" xfId="0" applyFont="1" applyFill="1" applyBorder="1" applyAlignment="1">
      <alignment horizontal="center" vertical="center"/>
    </xf>
    <xf numFmtId="0" fontId="209" fillId="37" borderId="159" xfId="0" applyFont="1" applyFill="1" applyBorder="1" applyAlignment="1">
      <alignment horizontal="center" vertical="center"/>
    </xf>
    <xf numFmtId="0" fontId="209" fillId="37" borderId="39" xfId="0" applyFont="1" applyFill="1" applyBorder="1" applyAlignment="1">
      <alignment horizontal="center" vertical="center"/>
    </xf>
    <xf numFmtId="0" fontId="209" fillId="37" borderId="148" xfId="0" applyFont="1" applyFill="1" applyBorder="1" applyAlignment="1">
      <alignment horizontal="center" vertical="center"/>
    </xf>
    <xf numFmtId="0" fontId="209" fillId="37" borderId="44" xfId="0" applyFont="1" applyFill="1" applyBorder="1" applyAlignment="1">
      <alignment horizontal="center"/>
    </xf>
    <xf numFmtId="0" fontId="209" fillId="37" borderId="64" xfId="0" applyFont="1" applyFill="1" applyBorder="1" applyAlignment="1">
      <alignment horizontal="center"/>
    </xf>
    <xf numFmtId="0" fontId="209" fillId="37" borderId="160" xfId="0" applyFont="1" applyFill="1" applyBorder="1" applyAlignment="1">
      <alignment horizontal="center" vertical="center"/>
    </xf>
    <xf numFmtId="0" fontId="209" fillId="37" borderId="61" xfId="0" applyFont="1" applyFill="1" applyBorder="1" applyAlignment="1">
      <alignment horizontal="center" vertical="center"/>
    </xf>
    <xf numFmtId="0" fontId="209" fillId="37" borderId="155" xfId="0" applyFont="1" applyFill="1" applyBorder="1" applyAlignment="1">
      <alignment horizontal="center" vertical="center" wrapText="1"/>
    </xf>
    <xf numFmtId="0" fontId="210" fillId="37" borderId="157" xfId="0" applyFont="1" applyFill="1" applyBorder="1" applyAlignment="1">
      <alignment horizontal="center" vertical="center" wrapText="1"/>
    </xf>
    <xf numFmtId="0" fontId="209" fillId="37" borderId="64" xfId="0" applyFont="1" applyFill="1" applyBorder="1" applyAlignment="1">
      <alignment horizontal="center" vertical="center" wrapText="1"/>
    </xf>
    <xf numFmtId="0" fontId="210" fillId="37" borderId="159" xfId="0" applyFont="1" applyFill="1" applyBorder="1" applyAlignment="1">
      <alignment horizontal="center" vertical="center" wrapText="1"/>
    </xf>
    <xf numFmtId="0" fontId="209" fillId="37" borderId="62" xfId="0" applyFont="1" applyFill="1" applyBorder="1" applyAlignment="1">
      <alignment horizontal="center" vertical="center"/>
    </xf>
    <xf numFmtId="9" fontId="209" fillId="37" borderId="61" xfId="0" applyNumberFormat="1" applyFont="1" applyFill="1" applyBorder="1" applyAlignment="1">
      <alignment horizontal="center"/>
    </xf>
    <xf numFmtId="0" fontId="209" fillId="37" borderId="40" xfId="0" applyFont="1" applyFill="1" applyBorder="1" applyAlignment="1">
      <alignment horizontal="center" vertical="center" wrapText="1"/>
    </xf>
    <xf numFmtId="0" fontId="210" fillId="37" borderId="61" xfId="0" applyFont="1" applyFill="1" applyBorder="1" applyAlignment="1">
      <alignment horizontal="center" vertical="center" wrapText="1"/>
    </xf>
    <xf numFmtId="0" fontId="210" fillId="37" borderId="144" xfId="0" applyFont="1" applyFill="1" applyBorder="1" applyAlignment="1">
      <alignment horizontal="center" vertical="center" wrapText="1"/>
    </xf>
    <xf numFmtId="0" fontId="209" fillId="37" borderId="144" xfId="0" applyFont="1" applyFill="1" applyBorder="1" applyAlignment="1">
      <alignment horizontal="center" vertical="center"/>
    </xf>
    <xf numFmtId="0" fontId="188" fillId="37" borderId="40" xfId="0" applyNumberFormat="1" applyFont="1" applyFill="1" applyBorder="1" applyAlignment="1">
      <alignment horizontal="center" vertical="center" wrapText="1"/>
    </xf>
    <xf numFmtId="0" fontId="185" fillId="37" borderId="38" xfId="0" applyFont="1" applyFill="1" applyBorder="1" applyAlignment="1">
      <alignment horizontal="center" vertical="center" wrapText="1"/>
    </xf>
    <xf numFmtId="0" fontId="188" fillId="37" borderId="46" xfId="0" applyNumberFormat="1" applyFont="1" applyFill="1" applyBorder="1" applyAlignment="1">
      <alignment horizontal="center"/>
    </xf>
    <xf numFmtId="0" fontId="188" fillId="37" borderId="47" xfId="0" applyNumberFormat="1" applyFont="1" applyFill="1" applyBorder="1" applyAlignment="1">
      <alignment horizontal="center"/>
    </xf>
    <xf numFmtId="0" fontId="209" fillId="37" borderId="195" xfId="0" applyFont="1" applyFill="1" applyBorder="1" applyAlignment="1">
      <alignment horizontal="center" vertical="center" wrapText="1"/>
    </xf>
    <xf numFmtId="0" fontId="209" fillId="37" borderId="197" xfId="0" applyFont="1" applyFill="1" applyBorder="1" applyAlignment="1">
      <alignment horizontal="center" vertical="center" wrapText="1"/>
    </xf>
    <xf numFmtId="0" fontId="209" fillId="37" borderId="198" xfId="0" applyFont="1" applyFill="1" applyBorder="1" applyAlignment="1">
      <alignment horizontal="center" vertical="center" wrapText="1"/>
    </xf>
    <xf numFmtId="0" fontId="209" fillId="37" borderId="198" xfId="0" applyFont="1" applyFill="1" applyBorder="1" applyAlignment="1">
      <alignment horizontal="center" vertical="center"/>
    </xf>
    <xf numFmtId="0" fontId="209" fillId="37" borderId="200" xfId="0" applyFont="1" applyFill="1" applyBorder="1" applyAlignment="1">
      <alignment horizontal="center" vertical="center"/>
    </xf>
    <xf numFmtId="0" fontId="209" fillId="37" borderId="182" xfId="0" applyFont="1" applyFill="1" applyBorder="1" applyAlignment="1">
      <alignment horizontal="center" vertical="center"/>
    </xf>
    <xf numFmtId="0" fontId="209" fillId="37" borderId="193" xfId="0" applyFont="1" applyFill="1" applyBorder="1" applyAlignment="1">
      <alignment horizontal="center" vertical="center"/>
    </xf>
    <xf numFmtId="0" fontId="209" fillId="37" borderId="181" xfId="0" applyFont="1" applyFill="1" applyBorder="1" applyAlignment="1">
      <alignment horizontal="center" vertical="center"/>
    </xf>
    <xf numFmtId="0" fontId="209" fillId="37" borderId="194" xfId="0" applyFont="1" applyFill="1" applyBorder="1" applyAlignment="1">
      <alignment horizontal="center"/>
    </xf>
    <xf numFmtId="9" fontId="209" fillId="37" borderId="200" xfId="0" applyNumberFormat="1" applyFont="1" applyFill="1" applyBorder="1" applyAlignment="1">
      <alignment horizontal="center"/>
    </xf>
    <xf numFmtId="0" fontId="209" fillId="37" borderId="186" xfId="0" applyFont="1" applyFill="1" applyBorder="1" applyAlignment="1">
      <alignment horizontal="center" vertical="center"/>
    </xf>
    <xf numFmtId="0" fontId="7" fillId="36" borderId="34" xfId="0" applyFont="1" applyFill="1" applyBorder="1" applyAlignment="1">
      <alignment horizontal="center" wrapText="1"/>
    </xf>
    <xf numFmtId="0" fontId="7" fillId="36" borderId="87" xfId="0" applyFont="1" applyFill="1" applyBorder="1" applyAlignment="1">
      <alignment horizontal="center" wrapText="1"/>
    </xf>
    <xf numFmtId="0" fontId="337" fillId="0" borderId="0" xfId="143" applyFont="1" applyAlignment="1">
      <alignment horizontal="center"/>
    </xf>
    <xf numFmtId="0" fontId="10" fillId="0" borderId="0" xfId="0" applyFont="1" applyFill="1" applyBorder="1" applyAlignment="1">
      <alignment horizontal="justify" vertical="top" wrapText="1"/>
    </xf>
    <xf numFmtId="0" fontId="43" fillId="0" borderId="0" xfId="0" applyFont="1" applyBorder="1" applyAlignment="1">
      <alignment horizontal="left" vertical="center"/>
    </xf>
    <xf numFmtId="0" fontId="0" fillId="0" borderId="0" xfId="0" applyAlignment="1"/>
    <xf numFmtId="0" fontId="43" fillId="0" borderId="0" xfId="0" applyFont="1" applyAlignment="1">
      <alignment horizontal="left" vertical="center"/>
    </xf>
    <xf numFmtId="165" fontId="214" fillId="32" borderId="26" xfId="29" applyNumberFormat="1" applyFont="1" applyFill="1" applyBorder="1" applyAlignment="1"/>
    <xf numFmtId="165" fontId="214" fillId="32" borderId="36" xfId="29" applyNumberFormat="1" applyFont="1" applyFill="1" applyBorder="1" applyAlignment="1"/>
    <xf numFmtId="165" fontId="192" fillId="32" borderId="27" xfId="29" applyNumberFormat="1" applyFont="1" applyFill="1" applyBorder="1" applyAlignment="1"/>
    <xf numFmtId="43" fontId="9" fillId="57" borderId="0" xfId="29" applyFont="1" applyFill="1" applyAlignment="1"/>
    <xf numFmtId="1" fontId="9" fillId="57" borderId="0" xfId="143" applyNumberFormat="1" applyFont="1" applyFill="1" applyAlignment="1"/>
    <xf numFmtId="10" fontId="9" fillId="57" borderId="0" xfId="143" applyNumberFormat="1" applyFont="1" applyFill="1" applyAlignment="1"/>
    <xf numFmtId="164" fontId="0" fillId="0" borderId="0" xfId="0" applyNumberFormat="1"/>
    <xf numFmtId="0" fontId="1" fillId="0" borderId="0" xfId="219" applyFont="1" applyFill="1"/>
  </cellXfs>
  <cellStyles count="1529">
    <cellStyle name="20% - Accent1" xfId="1" builtinId="30" customBuiltin="1"/>
    <cellStyle name="20% - Accent1 2" xfId="224"/>
    <cellStyle name="20% - Accent1 3" xfId="225"/>
    <cellStyle name="20% - Accent1 4" xfId="226"/>
    <cellStyle name="20% - Accent1 5" xfId="227"/>
    <cellStyle name="20% - Accent2" xfId="2" builtinId="34" customBuiltin="1"/>
    <cellStyle name="20% - Accent2 2" xfId="228"/>
    <cellStyle name="20% - Accent2 3" xfId="229"/>
    <cellStyle name="20% - Accent2 4" xfId="230"/>
    <cellStyle name="20% - Accent2 5" xfId="231"/>
    <cellStyle name="20% - Accent3" xfId="3" builtinId="38" customBuiltin="1"/>
    <cellStyle name="20% - Accent3 2" xfId="232"/>
    <cellStyle name="20% - Accent3 2 2" xfId="233"/>
    <cellStyle name="20% - Accent3 3" xfId="234"/>
    <cellStyle name="20% - Accent3 4" xfId="235"/>
    <cellStyle name="20% - Accent3 5" xfId="236"/>
    <cellStyle name="20% - Accent3 6" xfId="237"/>
    <cellStyle name="20% - Accent4" xfId="4" builtinId="42" customBuiltin="1"/>
    <cellStyle name="20% - Accent4 2" xfId="238"/>
    <cellStyle name="20% - Accent4 3" xfId="239"/>
    <cellStyle name="20% - Accent4 4" xfId="240"/>
    <cellStyle name="20% - Accent4 5" xfId="241"/>
    <cellStyle name="20% - Accent5" xfId="5" builtinId="46" customBuiltin="1"/>
    <cellStyle name="20% - Accent5 2" xfId="242"/>
    <cellStyle name="20% - Accent5 3" xfId="243"/>
    <cellStyle name="20% - Accent5 4" xfId="244"/>
    <cellStyle name="20% - Accent5 5" xfId="245"/>
    <cellStyle name="20% - Accent5 6" xfId="246"/>
    <cellStyle name="20% - Accent5 7" xfId="247"/>
    <cellStyle name="20% - Accent6" xfId="6" builtinId="50" customBuiltin="1"/>
    <cellStyle name="20% - Accent6 2" xfId="248"/>
    <cellStyle name="20% - Accent6 3" xfId="249"/>
    <cellStyle name="20% - Accent6 4" xfId="250"/>
    <cellStyle name="20% - Accent6 5" xfId="251"/>
    <cellStyle name="40% - Accent1" xfId="7" builtinId="31" customBuiltin="1"/>
    <cellStyle name="40% - Accent1 2" xfId="252"/>
    <cellStyle name="40% - Accent1 3" xfId="253"/>
    <cellStyle name="40% - Accent1 4" xfId="254"/>
    <cellStyle name="40% - Accent1 5" xfId="255"/>
    <cellStyle name="40% - Accent2" xfId="8" builtinId="35" customBuiltin="1"/>
    <cellStyle name="40% - Accent2 2" xfId="256"/>
    <cellStyle name="40% - Accent2 3" xfId="257"/>
    <cellStyle name="40% - Accent2 4" xfId="258"/>
    <cellStyle name="40% - Accent2 5" xfId="259"/>
    <cellStyle name="40% - Accent3" xfId="9" builtinId="39" customBuiltin="1"/>
    <cellStyle name="40% - Accent3 2" xfId="260"/>
    <cellStyle name="40% - Accent3 3" xfId="261"/>
    <cellStyle name="40% - Accent3 4" xfId="262"/>
    <cellStyle name="40% - Accent3 5" xfId="263"/>
    <cellStyle name="40% - Accent4" xfId="10" builtinId="43" customBuiltin="1"/>
    <cellStyle name="40% - Accent4 2" xfId="264"/>
    <cellStyle name="40% - Accent4 3" xfId="265"/>
    <cellStyle name="40% - Accent4 4" xfId="266"/>
    <cellStyle name="40% - Accent4 5" xfId="267"/>
    <cellStyle name="40% - Accent5" xfId="11" builtinId="47" customBuiltin="1"/>
    <cellStyle name="40% - Accent5 2" xfId="268"/>
    <cellStyle name="40% - Accent5 3" xfId="269"/>
    <cellStyle name="40% - Accent5 4" xfId="270"/>
    <cellStyle name="40% - Accent5 5" xfId="271"/>
    <cellStyle name="40% - Accent6" xfId="12" builtinId="51" customBuiltin="1"/>
    <cellStyle name="40% - Accent6 2" xfId="272"/>
    <cellStyle name="40% - Accent6 3" xfId="273"/>
    <cellStyle name="40% - Accent6 4" xfId="274"/>
    <cellStyle name="40% - Accent6 5" xfId="275"/>
    <cellStyle name="60% - Accent1" xfId="13" builtinId="32" customBuiltin="1"/>
    <cellStyle name="60% - Accent1 2" xfId="276"/>
    <cellStyle name="60% - Accent1 3" xfId="277"/>
    <cellStyle name="60% - Accent1 4" xfId="278"/>
    <cellStyle name="60% - Accent1 5" xfId="279"/>
    <cellStyle name="60% - Accent2" xfId="14" builtinId="36" customBuiltin="1"/>
    <cellStyle name="60% - Accent2 2" xfId="280"/>
    <cellStyle name="60% - Accent2 3" xfId="281"/>
    <cellStyle name="60% - Accent2 4" xfId="282"/>
    <cellStyle name="60% - Accent2 5" xfId="283"/>
    <cellStyle name="60% - Accent3" xfId="15" builtinId="40" customBuiltin="1"/>
    <cellStyle name="60% - Accent3 2" xfId="284"/>
    <cellStyle name="60% - Accent3 3" xfId="285"/>
    <cellStyle name="60% - Accent3 4" xfId="286"/>
    <cellStyle name="60% - Accent3 5" xfId="287"/>
    <cellStyle name="60% - Accent4" xfId="16" builtinId="44" customBuiltin="1"/>
    <cellStyle name="60% - Accent4 2" xfId="288"/>
    <cellStyle name="60% - Accent4 3" xfId="289"/>
    <cellStyle name="60% - Accent4 4" xfId="290"/>
    <cellStyle name="60% - Accent4 5" xfId="291"/>
    <cellStyle name="60% - Accent5" xfId="17" builtinId="48" customBuiltin="1"/>
    <cellStyle name="60% - Accent5 2" xfId="292"/>
    <cellStyle name="60% - Accent5 3" xfId="293"/>
    <cellStyle name="60% - Accent5 4" xfId="294"/>
    <cellStyle name="60% - Accent5 5" xfId="295"/>
    <cellStyle name="60% - Accent6" xfId="18" builtinId="52" customBuiltin="1"/>
    <cellStyle name="60% - Accent6 2" xfId="296"/>
    <cellStyle name="60% - Accent6 3" xfId="297"/>
    <cellStyle name="60% - Accent6 4" xfId="298"/>
    <cellStyle name="60% - Accent6 5" xfId="299"/>
    <cellStyle name="Accent1" xfId="19" builtinId="29" customBuiltin="1"/>
    <cellStyle name="Accent1 - 20%" xfId="300"/>
    <cellStyle name="Accent1 - 20% 2" xfId="301"/>
    <cellStyle name="Accent1 - 20% 3" xfId="302"/>
    <cellStyle name="Accent1 - 20% 4" xfId="303"/>
    <cellStyle name="Accent1 - 40%" xfId="304"/>
    <cellStyle name="Accent1 - 40% 2" xfId="305"/>
    <cellStyle name="Accent1 - 40% 3" xfId="306"/>
    <cellStyle name="Accent1 - 40% 4" xfId="307"/>
    <cellStyle name="Accent1 - 60%" xfId="308"/>
    <cellStyle name="Accent1 10" xfId="309"/>
    <cellStyle name="Accent1 11" xfId="310"/>
    <cellStyle name="Accent1 12" xfId="311"/>
    <cellStyle name="Accent1 13" xfId="312"/>
    <cellStyle name="Accent1 14" xfId="313"/>
    <cellStyle name="Accent1 15" xfId="314"/>
    <cellStyle name="Accent1 16" xfId="315"/>
    <cellStyle name="Accent1 17" xfId="316"/>
    <cellStyle name="Accent1 18" xfId="317"/>
    <cellStyle name="Accent1 19" xfId="318"/>
    <cellStyle name="Accent1 2" xfId="319"/>
    <cellStyle name="Accent1 20" xfId="320"/>
    <cellStyle name="Accent1 21" xfId="321"/>
    <cellStyle name="Accent1 22" xfId="322"/>
    <cellStyle name="Accent1 23" xfId="323"/>
    <cellStyle name="Accent1 24" xfId="324"/>
    <cellStyle name="Accent1 25" xfId="325"/>
    <cellStyle name="Accent1 3" xfId="326"/>
    <cellStyle name="Accent1 4" xfId="327"/>
    <cellStyle name="Accent1 5" xfId="328"/>
    <cellStyle name="Accent1 6" xfId="329"/>
    <cellStyle name="Accent1 7" xfId="330"/>
    <cellStyle name="Accent1 8" xfId="331"/>
    <cellStyle name="Accent1 9" xfId="332"/>
    <cellStyle name="Accent2" xfId="20" builtinId="33" customBuiltin="1"/>
    <cellStyle name="Accent2 - 20%" xfId="333"/>
    <cellStyle name="Accent2 - 20% 2" xfId="334"/>
    <cellStyle name="Accent2 - 20% 3" xfId="335"/>
    <cellStyle name="Accent2 - 20% 4" xfId="336"/>
    <cellStyle name="Accent2 - 40%" xfId="337"/>
    <cellStyle name="Accent2 - 40% 2" xfId="338"/>
    <cellStyle name="Accent2 - 40% 3" xfId="339"/>
    <cellStyle name="Accent2 - 40% 4" xfId="340"/>
    <cellStyle name="Accent2 - 60%" xfId="341"/>
    <cellStyle name="Accent2 10" xfId="342"/>
    <cellStyle name="Accent2 11" xfId="343"/>
    <cellStyle name="Accent2 12" xfId="344"/>
    <cellStyle name="Accent2 13" xfId="345"/>
    <cellStyle name="Accent2 14" xfId="346"/>
    <cellStyle name="Accent2 15" xfId="347"/>
    <cellStyle name="Accent2 16" xfId="348"/>
    <cellStyle name="Accent2 17" xfId="349"/>
    <cellStyle name="Accent2 18" xfId="350"/>
    <cellStyle name="Accent2 19" xfId="351"/>
    <cellStyle name="Accent2 2" xfId="352"/>
    <cellStyle name="Accent2 20" xfId="353"/>
    <cellStyle name="Accent2 21" xfId="354"/>
    <cellStyle name="Accent2 22" xfId="355"/>
    <cellStyle name="Accent2 23" xfId="356"/>
    <cellStyle name="Accent2 24" xfId="357"/>
    <cellStyle name="Accent2 25" xfId="358"/>
    <cellStyle name="Accent2 26" xfId="1526"/>
    <cellStyle name="Accent2 3" xfId="359"/>
    <cellStyle name="Accent2 4" xfId="360"/>
    <cellStyle name="Accent2 5" xfId="361"/>
    <cellStyle name="Accent2 6" xfId="362"/>
    <cellStyle name="Accent2 7" xfId="363"/>
    <cellStyle name="Accent2 8" xfId="364"/>
    <cellStyle name="Accent2 9" xfId="365"/>
    <cellStyle name="Accent3" xfId="21" builtinId="37" customBuiltin="1"/>
    <cellStyle name="Accent3 - 20%" xfId="366"/>
    <cellStyle name="Accent3 - 20% 2" xfId="367"/>
    <cellStyle name="Accent3 - 20% 3" xfId="368"/>
    <cellStyle name="Accent3 - 20% 4" xfId="369"/>
    <cellStyle name="Accent3 - 40%" xfId="370"/>
    <cellStyle name="Accent3 - 40% 2" xfId="371"/>
    <cellStyle name="Accent3 - 40% 3" xfId="372"/>
    <cellStyle name="Accent3 - 40% 4" xfId="373"/>
    <cellStyle name="Accent3 - 60%" xfId="374"/>
    <cellStyle name="Accent3 10" xfId="375"/>
    <cellStyle name="Accent3 11" xfId="376"/>
    <cellStyle name="Accent3 12" xfId="377"/>
    <cellStyle name="Accent3 13" xfId="378"/>
    <cellStyle name="Accent3 14" xfId="379"/>
    <cellStyle name="Accent3 15" xfId="380"/>
    <cellStyle name="Accent3 16" xfId="381"/>
    <cellStyle name="Accent3 17" xfId="382"/>
    <cellStyle name="Accent3 18" xfId="383"/>
    <cellStyle name="Accent3 19" xfId="384"/>
    <cellStyle name="Accent3 2" xfId="385"/>
    <cellStyle name="Accent3 20" xfId="386"/>
    <cellStyle name="Accent3 21" xfId="387"/>
    <cellStyle name="Accent3 22" xfId="388"/>
    <cellStyle name="Accent3 23" xfId="389"/>
    <cellStyle name="Accent3 24" xfId="390"/>
    <cellStyle name="Accent3 25" xfId="391"/>
    <cellStyle name="Accent3 3" xfId="392"/>
    <cellStyle name="Accent3 4" xfId="393"/>
    <cellStyle name="Accent3 5" xfId="394"/>
    <cellStyle name="Accent3 6" xfId="395"/>
    <cellStyle name="Accent3 7" xfId="396"/>
    <cellStyle name="Accent3 8" xfId="397"/>
    <cellStyle name="Accent3 9" xfId="398"/>
    <cellStyle name="Accent4" xfId="22" builtinId="41" customBuiltin="1"/>
    <cellStyle name="Accent4 - 20%" xfId="399"/>
    <cellStyle name="Accent4 - 20% 2" xfId="400"/>
    <cellStyle name="Accent4 - 20% 3" xfId="401"/>
    <cellStyle name="Accent4 - 20% 4" xfId="402"/>
    <cellStyle name="Accent4 - 40%" xfId="403"/>
    <cellStyle name="Accent4 - 40% 2" xfId="404"/>
    <cellStyle name="Accent4 - 40% 3" xfId="405"/>
    <cellStyle name="Accent4 - 40% 4" xfId="406"/>
    <cellStyle name="Accent4 - 60%" xfId="407"/>
    <cellStyle name="Accent4 10" xfId="408"/>
    <cellStyle name="Accent4 11" xfId="409"/>
    <cellStyle name="Accent4 12" xfId="410"/>
    <cellStyle name="Accent4 13" xfId="411"/>
    <cellStyle name="Accent4 14" xfId="412"/>
    <cellStyle name="Accent4 15" xfId="413"/>
    <cellStyle name="Accent4 16" xfId="414"/>
    <cellStyle name="Accent4 17" xfId="415"/>
    <cellStyle name="Accent4 18" xfId="416"/>
    <cellStyle name="Accent4 19" xfId="417"/>
    <cellStyle name="Accent4 2" xfId="418"/>
    <cellStyle name="Accent4 20" xfId="419"/>
    <cellStyle name="Accent4 21" xfId="420"/>
    <cellStyle name="Accent4 22" xfId="421"/>
    <cellStyle name="Accent4 23" xfId="422"/>
    <cellStyle name="Accent4 24" xfId="423"/>
    <cellStyle name="Accent4 25" xfId="424"/>
    <cellStyle name="Accent4 3" xfId="425"/>
    <cellStyle name="Accent4 4" xfId="426"/>
    <cellStyle name="Accent4 5" xfId="427"/>
    <cellStyle name="Accent4 6" xfId="428"/>
    <cellStyle name="Accent4 7" xfId="429"/>
    <cellStyle name="Accent4 8" xfId="430"/>
    <cellStyle name="Accent4 9" xfId="431"/>
    <cellStyle name="Accent5" xfId="23" builtinId="45" customBuiltin="1"/>
    <cellStyle name="Accent5 - 20%" xfId="432"/>
    <cellStyle name="Accent5 - 20% 2" xfId="433"/>
    <cellStyle name="Accent5 - 20% 3" xfId="434"/>
    <cellStyle name="Accent5 - 20% 4" xfId="435"/>
    <cellStyle name="Accent5 - 40%" xfId="436"/>
    <cellStyle name="Accent5 - 40% 2" xfId="437"/>
    <cellStyle name="Accent5 - 40% 3" xfId="438"/>
    <cellStyle name="Accent5 - 40% 4" xfId="439"/>
    <cellStyle name="Accent5 - 60%" xfId="440"/>
    <cellStyle name="Accent5 10" xfId="441"/>
    <cellStyle name="Accent5 11" xfId="442"/>
    <cellStyle name="Accent5 12" xfId="443"/>
    <cellStyle name="Accent5 13" xfId="444"/>
    <cellStyle name="Accent5 14" xfId="445"/>
    <cellStyle name="Accent5 15" xfId="446"/>
    <cellStyle name="Accent5 16" xfId="447"/>
    <cellStyle name="Accent5 17" xfId="448"/>
    <cellStyle name="Accent5 18" xfId="449"/>
    <cellStyle name="Accent5 19" xfId="450"/>
    <cellStyle name="Accent5 2" xfId="451"/>
    <cellStyle name="Accent5 20" xfId="452"/>
    <cellStyle name="Accent5 21" xfId="453"/>
    <cellStyle name="Accent5 22" xfId="454"/>
    <cellStyle name="Accent5 23" xfId="455"/>
    <cellStyle name="Accent5 24" xfId="456"/>
    <cellStyle name="Accent5 25" xfId="457"/>
    <cellStyle name="Accent5 3" xfId="458"/>
    <cellStyle name="Accent5 4" xfId="459"/>
    <cellStyle name="Accent5 5" xfId="460"/>
    <cellStyle name="Accent5 6" xfId="461"/>
    <cellStyle name="Accent5 7" xfId="462"/>
    <cellStyle name="Accent5 8" xfId="463"/>
    <cellStyle name="Accent5 9" xfId="464"/>
    <cellStyle name="Accent6" xfId="24" builtinId="49" customBuiltin="1"/>
    <cellStyle name="Accent6 - 20%" xfId="465"/>
    <cellStyle name="Accent6 - 20% 2" xfId="466"/>
    <cellStyle name="Accent6 - 20% 3" xfId="467"/>
    <cellStyle name="Accent6 - 20% 4" xfId="468"/>
    <cellStyle name="Accent6 - 40%" xfId="469"/>
    <cellStyle name="Accent6 - 40% 2" xfId="470"/>
    <cellStyle name="Accent6 - 40% 3" xfId="471"/>
    <cellStyle name="Accent6 - 40% 4" xfId="472"/>
    <cellStyle name="Accent6 - 60%" xfId="473"/>
    <cellStyle name="Accent6 10" xfId="474"/>
    <cellStyle name="Accent6 11" xfId="475"/>
    <cellStyle name="Accent6 12" xfId="476"/>
    <cellStyle name="Accent6 13" xfId="477"/>
    <cellStyle name="Accent6 14" xfId="478"/>
    <cellStyle name="Accent6 15" xfId="479"/>
    <cellStyle name="Accent6 16" xfId="480"/>
    <cellStyle name="Accent6 17" xfId="481"/>
    <cellStyle name="Accent6 18" xfId="482"/>
    <cellStyle name="Accent6 19" xfId="483"/>
    <cellStyle name="Accent6 2" xfId="484"/>
    <cellStyle name="Accent6 20" xfId="485"/>
    <cellStyle name="Accent6 21" xfId="486"/>
    <cellStyle name="Accent6 22" xfId="487"/>
    <cellStyle name="Accent6 23" xfId="488"/>
    <cellStyle name="Accent6 24" xfId="489"/>
    <cellStyle name="Accent6 25" xfId="490"/>
    <cellStyle name="Accent6 3" xfId="491"/>
    <cellStyle name="Accent6 4" xfId="492"/>
    <cellStyle name="Accent6 5" xfId="493"/>
    <cellStyle name="Accent6 6" xfId="494"/>
    <cellStyle name="Accent6 7" xfId="495"/>
    <cellStyle name="Accent6 8" xfId="496"/>
    <cellStyle name="Accent6 9" xfId="497"/>
    <cellStyle name="Adjustable" xfId="25"/>
    <cellStyle name="Bad" xfId="26" builtinId="27" customBuiltin="1"/>
    <cellStyle name="Bad 2" xfId="498"/>
    <cellStyle name="Bad 3" xfId="499"/>
    <cellStyle name="Bad 4" xfId="500"/>
    <cellStyle name="Bad 5" xfId="501"/>
    <cellStyle name="Bad 6" xfId="502"/>
    <cellStyle name="Calculation" xfId="27" builtinId="22" customBuiltin="1"/>
    <cellStyle name="Calculation 2" xfId="503"/>
    <cellStyle name="Calculation 3" xfId="504"/>
    <cellStyle name="Calculation 4" xfId="505"/>
    <cellStyle name="Calculation 5" xfId="506"/>
    <cellStyle name="Check Cell" xfId="28" builtinId="23" customBuiltin="1"/>
    <cellStyle name="Check Cell 2" xfId="220"/>
    <cellStyle name="Check Cell 3" xfId="507"/>
    <cellStyle name="Check Cell 4" xfId="508"/>
    <cellStyle name="Check Cell 5" xfId="509"/>
    <cellStyle name="Check Cell 6" xfId="510"/>
    <cellStyle name="Comma" xfId="29" builtinId="3"/>
    <cellStyle name="Comma 10" xfId="30"/>
    <cellStyle name="Comma 10 2" xfId="511"/>
    <cellStyle name="Comma 10 2 2" xfId="512"/>
    <cellStyle name="Comma 10 2 2 2" xfId="513"/>
    <cellStyle name="Comma 10 2 3" xfId="514"/>
    <cellStyle name="Comma 10 2 3 2" xfId="31"/>
    <cellStyle name="Comma 10 2 3 2 2" xfId="1528"/>
    <cellStyle name="Comma 10 2 4" xfId="515"/>
    <cellStyle name="Comma 10 3" xfId="516"/>
    <cellStyle name="Comma 10 3 2" xfId="517"/>
    <cellStyle name="Comma 10 3 2 2" xfId="518"/>
    <cellStyle name="Comma 10 3 3" xfId="519"/>
    <cellStyle name="Comma 10 4" xfId="520"/>
    <cellStyle name="Comma 10 4 2" xfId="521"/>
    <cellStyle name="Comma 10 4 2 2" xfId="522"/>
    <cellStyle name="Comma 10 4 3" xfId="523"/>
    <cellStyle name="Comma 10 5" xfId="524"/>
    <cellStyle name="Comma 10 5 2" xfId="525"/>
    <cellStyle name="Comma 10 5 2 2" xfId="526"/>
    <cellStyle name="Comma 10 5 3" xfId="527"/>
    <cellStyle name="Comma 10 6" xfId="528"/>
    <cellStyle name="Comma 10 6 2" xfId="529"/>
    <cellStyle name="Comma 10 7" xfId="530"/>
    <cellStyle name="Comma 10 7 2" xfId="531"/>
    <cellStyle name="Comma 10 8" xfId="532"/>
    <cellStyle name="Comma 11" xfId="533"/>
    <cellStyle name="Comma 12" xfId="32"/>
    <cellStyle name="Comma 13" xfId="534"/>
    <cellStyle name="Comma 13 2" xfId="535"/>
    <cellStyle name="Comma 14" xfId="536"/>
    <cellStyle name="Comma 15" xfId="537"/>
    <cellStyle name="Comma 16" xfId="538"/>
    <cellStyle name="Comma 16 2" xfId="539"/>
    <cellStyle name="Comma 17" xfId="540"/>
    <cellStyle name="Comma 17 2" xfId="541"/>
    <cellStyle name="Comma 18" xfId="542"/>
    <cellStyle name="Comma 18 2" xfId="543"/>
    <cellStyle name="Comma 19" xfId="544"/>
    <cellStyle name="Comma 2" xfId="33"/>
    <cellStyle name="Comma 2 2" xfId="34"/>
    <cellStyle name="Comma 2 2 2" xfId="545"/>
    <cellStyle name="Comma 2 2 3" xfId="546"/>
    <cellStyle name="Comma 2 2 4" xfId="547"/>
    <cellStyle name="Comma 2 3" xfId="548"/>
    <cellStyle name="Comma 2 4" xfId="549"/>
    <cellStyle name="Comma 2 5" xfId="550"/>
    <cellStyle name="Comma 2 6" xfId="551"/>
    <cellStyle name="Comma 2 7" xfId="552"/>
    <cellStyle name="Comma 20" xfId="553"/>
    <cellStyle name="Comma 21" xfId="554"/>
    <cellStyle name="Comma 22" xfId="555"/>
    <cellStyle name="Comma 23" xfId="556"/>
    <cellStyle name="Comma 24" xfId="557"/>
    <cellStyle name="Comma 3" xfId="35"/>
    <cellStyle name="Comma 3 2" xfId="558"/>
    <cellStyle name="Comma 3 3" xfId="559"/>
    <cellStyle name="Comma 3 4" xfId="560"/>
    <cellStyle name="Comma 4" xfId="223"/>
    <cellStyle name="Comma 4 2" xfId="561"/>
    <cellStyle name="Comma 4 2 2" xfId="562"/>
    <cellStyle name="Comma 4 2 2 2" xfId="563"/>
    <cellStyle name="Comma 4 2 2 2 2" xfId="564"/>
    <cellStyle name="Comma 4 2 2 3" xfId="565"/>
    <cellStyle name="Comma 4 2 2 3 2" xfId="566"/>
    <cellStyle name="Comma 4 2 2 4" xfId="567"/>
    <cellStyle name="Comma 4 2 3" xfId="568"/>
    <cellStyle name="Comma 4 2 3 2" xfId="569"/>
    <cellStyle name="Comma 4 2 3 2 2" xfId="570"/>
    <cellStyle name="Comma 4 2 3 3" xfId="571"/>
    <cellStyle name="Comma 4 2 4" xfId="572"/>
    <cellStyle name="Comma 4 2 4 2" xfId="573"/>
    <cellStyle name="Comma 4 2 4 2 2" xfId="574"/>
    <cellStyle name="Comma 4 2 4 3" xfId="575"/>
    <cellStyle name="Comma 4 2 5" xfId="576"/>
    <cellStyle name="Comma 4 2 5 2" xfId="577"/>
    <cellStyle name="Comma 4 2 6" xfId="578"/>
    <cellStyle name="Comma 4 2 6 2" xfId="579"/>
    <cellStyle name="Comma 4 2 7" xfId="580"/>
    <cellStyle name="Comma 4 3" xfId="581"/>
    <cellStyle name="Comma 4 3 2" xfId="582"/>
    <cellStyle name="Comma 4 3 3" xfId="583"/>
    <cellStyle name="Comma 4 3 3 2" xfId="584"/>
    <cellStyle name="Comma 4 4" xfId="585"/>
    <cellStyle name="Comma 4 4 2" xfId="586"/>
    <cellStyle name="Comma 4 4 2 2" xfId="587"/>
    <cellStyle name="Comma 4 4 3" xfId="588"/>
    <cellStyle name="Comma 4 5" xfId="589"/>
    <cellStyle name="Comma 4 5 2" xfId="590"/>
    <cellStyle name="Comma 4 6" xfId="591"/>
    <cellStyle name="Comma 4 6 2" xfId="592"/>
    <cellStyle name="Comma 4 7" xfId="593"/>
    <cellStyle name="Comma 5" xfId="594"/>
    <cellStyle name="Comma 5 2" xfId="595"/>
    <cellStyle name="Comma 5 2 2" xfId="596"/>
    <cellStyle name="Comma 5 2 2 2" xfId="597"/>
    <cellStyle name="Comma 5 2 2 2 2" xfId="598"/>
    <cellStyle name="Comma 5 2 2 2 2 2" xfId="599"/>
    <cellStyle name="Comma 5 2 2 2 3" xfId="600"/>
    <cellStyle name="Comma 5 2 2 2 3 2" xfId="601"/>
    <cellStyle name="Comma 5 2 2 2 4" xfId="602"/>
    <cellStyle name="Comma 5 2 2 3" xfId="603"/>
    <cellStyle name="Comma 5 2 2 3 2" xfId="604"/>
    <cellStyle name="Comma 5 2 2 3 2 2" xfId="605"/>
    <cellStyle name="Comma 5 2 2 3 3" xfId="606"/>
    <cellStyle name="Comma 5 2 2 4" xfId="607"/>
    <cellStyle name="Comma 5 2 2 4 2" xfId="608"/>
    <cellStyle name="Comma 5 2 2 4 2 2" xfId="609"/>
    <cellStyle name="Comma 5 2 2 4 3" xfId="610"/>
    <cellStyle name="Comma 5 2 2 5" xfId="611"/>
    <cellStyle name="Comma 5 2 2 5 2" xfId="612"/>
    <cellStyle name="Comma 5 2 2 5 2 2" xfId="613"/>
    <cellStyle name="Comma 5 2 2 5 3" xfId="614"/>
    <cellStyle name="Comma 5 2 2 6" xfId="615"/>
    <cellStyle name="Comma 5 2 2 6 2" xfId="616"/>
    <cellStyle name="Comma 5 2 2 7" xfId="617"/>
    <cellStyle name="Comma 5 2 2 7 2" xfId="618"/>
    <cellStyle name="Comma 5 2 2 8" xfId="619"/>
    <cellStyle name="Comma 5 2 3" xfId="620"/>
    <cellStyle name="Comma 5 2 3 2" xfId="621"/>
    <cellStyle name="Comma 5 2 3 2 2" xfId="622"/>
    <cellStyle name="Comma 5 2 3 3" xfId="623"/>
    <cellStyle name="Comma 5 2 3 3 2" xfId="624"/>
    <cellStyle name="Comma 5 2 3 4" xfId="625"/>
    <cellStyle name="Comma 5 2 4" xfId="626"/>
    <cellStyle name="Comma 5 2 4 2" xfId="627"/>
    <cellStyle name="Comma 5 2 4 2 2" xfId="628"/>
    <cellStyle name="Comma 5 2 4 3" xfId="629"/>
    <cellStyle name="Comma 5 2 5" xfId="630"/>
    <cellStyle name="Comma 5 2 5 2" xfId="631"/>
    <cellStyle name="Comma 5 2 5 2 2" xfId="632"/>
    <cellStyle name="Comma 5 2 5 3" xfId="633"/>
    <cellStyle name="Comma 5 2 6" xfId="634"/>
    <cellStyle name="Comma 5 2 6 2" xfId="635"/>
    <cellStyle name="Comma 5 2 6 2 2" xfId="636"/>
    <cellStyle name="Comma 5 2 6 3" xfId="637"/>
    <cellStyle name="Comma 5 2 7" xfId="638"/>
    <cellStyle name="Comma 5 2 7 2" xfId="639"/>
    <cellStyle name="Comma 5 2 8" xfId="640"/>
    <cellStyle name="Comma 5 2 8 2" xfId="641"/>
    <cellStyle name="Comma 5 2 9" xfId="642"/>
    <cellStyle name="Comma 5 3" xfId="643"/>
    <cellStyle name="Comma 5 3 2" xfId="644"/>
    <cellStyle name="Comma 5 3 2 2" xfId="645"/>
    <cellStyle name="Comma 5 3 2 2 2" xfId="646"/>
    <cellStyle name="Comma 5 3 2 2 2 2" xfId="647"/>
    <cellStyle name="Comma 5 3 2 2 3" xfId="648"/>
    <cellStyle name="Comma 5 3 2 2 3 2" xfId="649"/>
    <cellStyle name="Comma 5 3 2 2 4" xfId="650"/>
    <cellStyle name="Comma 5 3 2 3" xfId="651"/>
    <cellStyle name="Comma 5 3 2 3 2" xfId="652"/>
    <cellStyle name="Comma 5 3 2 3 2 2" xfId="653"/>
    <cellStyle name="Comma 5 3 2 3 3" xfId="654"/>
    <cellStyle name="Comma 5 3 2 4" xfId="655"/>
    <cellStyle name="Comma 5 3 2 4 2" xfId="656"/>
    <cellStyle name="Comma 5 3 2 4 2 2" xfId="657"/>
    <cellStyle name="Comma 5 3 2 4 3" xfId="658"/>
    <cellStyle name="Comma 5 3 2 5" xfId="659"/>
    <cellStyle name="Comma 5 3 2 5 2" xfId="660"/>
    <cellStyle name="Comma 5 3 2 5 2 2" xfId="661"/>
    <cellStyle name="Comma 5 3 2 5 3" xfId="662"/>
    <cellStyle name="Comma 5 3 2 6" xfId="663"/>
    <cellStyle name="Comma 5 3 2 6 2" xfId="664"/>
    <cellStyle name="Comma 5 3 2 7" xfId="665"/>
    <cellStyle name="Comma 5 3 2 7 2" xfId="666"/>
    <cellStyle name="Comma 5 3 2 8" xfId="667"/>
    <cellStyle name="Comma 5 3 3" xfId="668"/>
    <cellStyle name="Comma 5 3 3 2" xfId="669"/>
    <cellStyle name="Comma 5 3 3 2 2" xfId="670"/>
    <cellStyle name="Comma 5 3 3 3" xfId="671"/>
    <cellStyle name="Comma 5 3 3 3 2" xfId="672"/>
    <cellStyle name="Comma 5 3 3 4" xfId="673"/>
    <cellStyle name="Comma 5 3 4" xfId="674"/>
    <cellStyle name="Comma 5 3 4 2" xfId="675"/>
    <cellStyle name="Comma 5 3 4 2 2" xfId="676"/>
    <cellStyle name="Comma 5 3 4 3" xfId="677"/>
    <cellStyle name="Comma 5 3 5" xfId="678"/>
    <cellStyle name="Comma 5 3 5 2" xfId="679"/>
    <cellStyle name="Comma 5 3 5 2 2" xfId="680"/>
    <cellStyle name="Comma 5 3 5 3" xfId="681"/>
    <cellStyle name="Comma 5 3 6" xfId="682"/>
    <cellStyle name="Comma 5 3 6 2" xfId="683"/>
    <cellStyle name="Comma 5 3 6 2 2" xfId="684"/>
    <cellStyle name="Comma 5 3 6 3" xfId="685"/>
    <cellStyle name="Comma 5 3 7" xfId="686"/>
    <cellStyle name="Comma 5 3 7 2" xfId="687"/>
    <cellStyle name="Comma 5 3 8" xfId="688"/>
    <cellStyle name="Comma 5 3 8 2" xfId="689"/>
    <cellStyle name="Comma 5 3 9" xfId="690"/>
    <cellStyle name="Comma 6" xfId="36"/>
    <cellStyle name="Comma 7" xfId="37"/>
    <cellStyle name="Comma 7 2" xfId="691"/>
    <cellStyle name="Comma 8" xfId="38"/>
    <cellStyle name="Comma 9" xfId="39"/>
    <cellStyle name="Comma0" xfId="40"/>
    <cellStyle name="Comma0 - Style4" xfId="41"/>
    <cellStyle name="Comma1 - Style1" xfId="42"/>
    <cellStyle name="Curren - Style2" xfId="43"/>
    <cellStyle name="Currency" xfId="44" builtinId="4"/>
    <cellStyle name="Currency 10" xfId="692"/>
    <cellStyle name="Currency 10 2" xfId="693"/>
    <cellStyle name="Currency 11" xfId="694"/>
    <cellStyle name="Currency 12" xfId="695"/>
    <cellStyle name="Currency 12 2" xfId="696"/>
    <cellStyle name="Currency 12 3" xfId="697"/>
    <cellStyle name="Currency 13" xfId="698"/>
    <cellStyle name="Currency 14" xfId="699"/>
    <cellStyle name="Currency 15" xfId="700"/>
    <cellStyle name="Currency 16" xfId="1527"/>
    <cellStyle name="Currency 2" xfId="45"/>
    <cellStyle name="Currency 2 2" xfId="46"/>
    <cellStyle name="Currency 2 3" xfId="47"/>
    <cellStyle name="Currency 2 4" xfId="701"/>
    <cellStyle name="Currency 2 5" xfId="702"/>
    <cellStyle name="Currency 3" xfId="221"/>
    <cellStyle name="Currency 3 2" xfId="703"/>
    <cellStyle name="Currency 3 3" xfId="704"/>
    <cellStyle name="Currency 3 4" xfId="705"/>
    <cellStyle name="Currency 4" xfId="48"/>
    <cellStyle name="Currency 5" xfId="49"/>
    <cellStyle name="Currency 5 2" xfId="706"/>
    <cellStyle name="Currency 6" xfId="50"/>
    <cellStyle name="Currency 7" xfId="51"/>
    <cellStyle name="Currency 8" xfId="707"/>
    <cellStyle name="Currency 9" xfId="708"/>
    <cellStyle name="Currency0" xfId="52"/>
    <cellStyle name="Date" xfId="53"/>
    <cellStyle name="Date 2" xfId="709"/>
    <cellStyle name="Date 3" xfId="710"/>
    <cellStyle name="Emphasis 1" xfId="711"/>
    <cellStyle name="Emphasis 2" xfId="712"/>
    <cellStyle name="Emphasis 3" xfId="713"/>
    <cellStyle name="Entered" xfId="54"/>
    <cellStyle name="Euro" xfId="714"/>
    <cellStyle name="Euro 2" xfId="715"/>
    <cellStyle name="Explanatory Text" xfId="55" builtinId="53" customBuiltin="1"/>
    <cellStyle name="Explanatory Text 2" xfId="716"/>
    <cellStyle name="Explanatory Text 3" xfId="717"/>
    <cellStyle name="Explanatory Text 4" xfId="718"/>
    <cellStyle name="Explanatory Text 5" xfId="719"/>
    <cellStyle name="Fixed" xfId="56"/>
    <cellStyle name="Fixed 2" xfId="720"/>
    <cellStyle name="Fixed 3" xfId="721"/>
    <cellStyle name="Footnote" xfId="722"/>
    <cellStyle name="FRxAmtStyle" xfId="57"/>
    <cellStyle name="FRxAmtStyle 2" xfId="723"/>
    <cellStyle name="FRxAmtStyle 2 2" xfId="724"/>
    <cellStyle name="FRxAmtStyle 2 3" xfId="725"/>
    <cellStyle name="FRxAmtStyle 2 3 2" xfId="726"/>
    <cellStyle name="FRxAmtStyle 2 3 3" xfId="727"/>
    <cellStyle name="FRxAmtStyle 3" xfId="728"/>
    <cellStyle name="FRxAmtStyle 4" xfId="729"/>
    <cellStyle name="FRxAmtStyle 5" xfId="730"/>
    <cellStyle name="FRxAmtStyle 6" xfId="731"/>
    <cellStyle name="FRxAmtStyle 6 2" xfId="732"/>
    <cellStyle name="FRxAmtStyle 6 3" xfId="733"/>
    <cellStyle name="FRxAmtStyle 6 4" xfId="734"/>
    <cellStyle name="FRxAmtStyle_0930 Elec Detail" xfId="735"/>
    <cellStyle name="FRxCurrStyle" xfId="736"/>
    <cellStyle name="FRxCurrStyle 2" xfId="737"/>
    <cellStyle name="FRxCurrStyle 2 2" xfId="738"/>
    <cellStyle name="FRxCurrStyle 3" xfId="739"/>
    <cellStyle name="FRxCurrStyle 4" xfId="740"/>
    <cellStyle name="FRxCurrStyle 5" xfId="741"/>
    <cellStyle name="FRxCurrStyle 6" xfId="742"/>
    <cellStyle name="FRxCurrStyle 6 2" xfId="743"/>
    <cellStyle name="FRxCurrStyle 6 3" xfId="744"/>
    <cellStyle name="FRxPcntStyle" xfId="745"/>
    <cellStyle name="FRxPcntStyle 2" xfId="746"/>
    <cellStyle name="FRxPcntStyle 2 2" xfId="747"/>
    <cellStyle name="FRxPcntStyle 3" xfId="748"/>
    <cellStyle name="FRxPcntStyle 3 2" xfId="749"/>
    <cellStyle name="FRxPcntStyle 3 3" xfId="750"/>
    <cellStyle name="Good" xfId="58" builtinId="26" customBuiltin="1"/>
    <cellStyle name="Good 2" xfId="751"/>
    <cellStyle name="Good 3" xfId="752"/>
    <cellStyle name="Good 4" xfId="753"/>
    <cellStyle name="Good 5" xfId="754"/>
    <cellStyle name="Good 6" xfId="755"/>
    <cellStyle name="Good 7" xfId="756"/>
    <cellStyle name="Good 8" xfId="757"/>
    <cellStyle name="Good 9" xfId="758"/>
    <cellStyle name="Grey" xfId="59"/>
    <cellStyle name="Heading 1" xfId="60" builtinId="16" customBuiltin="1"/>
    <cellStyle name="Heading 1 2" xfId="759"/>
    <cellStyle name="Heading 1 3" xfId="760"/>
    <cellStyle name="Heading 1 4" xfId="761"/>
    <cellStyle name="Heading 1 5" xfId="762"/>
    <cellStyle name="Heading 2" xfId="61" builtinId="17" customBuiltin="1"/>
    <cellStyle name="Heading 2 2" xfId="763"/>
    <cellStyle name="Heading 2 3" xfId="764"/>
    <cellStyle name="Heading 2 4" xfId="765"/>
    <cellStyle name="Heading 2 5" xfId="766"/>
    <cellStyle name="Heading 2 6" xfId="767"/>
    <cellStyle name="Heading 3" xfId="62" builtinId="18" customBuiltin="1"/>
    <cellStyle name="Heading 3 2" xfId="768"/>
    <cellStyle name="Heading 3 2 2" xfId="769"/>
    <cellStyle name="Heading 3 2 2 2" xfId="770"/>
    <cellStyle name="Heading 3 2 2 2 2" xfId="771"/>
    <cellStyle name="Heading 3 2 2 2 2 2" xfId="772"/>
    <cellStyle name="Heading 3 2 2 2 2 2 2" xfId="773"/>
    <cellStyle name="Heading 3 2 2 2 2 3" xfId="774"/>
    <cellStyle name="Heading 3 2 2 2 2 4" xfId="775"/>
    <cellStyle name="Heading 3 2 2 2 2 4 2" xfId="776"/>
    <cellStyle name="Heading 3 2 2 2 3" xfId="777"/>
    <cellStyle name="Heading 3 2 2 2 3 2" xfId="778"/>
    <cellStyle name="Heading 3 2 2 2 3 2 2" xfId="779"/>
    <cellStyle name="Heading 3 2 2 2 3 3" xfId="780"/>
    <cellStyle name="Heading 3 2 2 2 3 4" xfId="781"/>
    <cellStyle name="Heading 3 2 2 2 3 4 2" xfId="782"/>
    <cellStyle name="Heading 3 2 2 2 4" xfId="783"/>
    <cellStyle name="Heading 3 2 2 2 4 2" xfId="784"/>
    <cellStyle name="Heading 3 2 2 2 5" xfId="785"/>
    <cellStyle name="Heading 3 2 2 2 5 2" xfId="786"/>
    <cellStyle name="Heading 3 2 2 2 6" xfId="787"/>
    <cellStyle name="Heading 3 2 2 2 7" xfId="788"/>
    <cellStyle name="Heading 3 2 2 2 7 2" xfId="789"/>
    <cellStyle name="Heading 3 2 2 3" xfId="790"/>
    <cellStyle name="Heading 3 2 2 3 2" xfId="791"/>
    <cellStyle name="Heading 3 2 2 3 2 2" xfId="792"/>
    <cellStyle name="Heading 3 2 2 3 3" xfId="793"/>
    <cellStyle name="Heading 3 2 2 3 4" xfId="794"/>
    <cellStyle name="Heading 3 2 2 3 4 2" xfId="795"/>
    <cellStyle name="Heading 3 2 2 4" xfId="796"/>
    <cellStyle name="Heading 3 2 2 4 2" xfId="797"/>
    <cellStyle name="Heading 3 2 2 4 2 2" xfId="798"/>
    <cellStyle name="Heading 3 2 2 4 3" xfId="799"/>
    <cellStyle name="Heading 3 2 2 4 4" xfId="800"/>
    <cellStyle name="Heading 3 2 2 4 4 2" xfId="801"/>
    <cellStyle name="Heading 3 2 2 5" xfId="802"/>
    <cellStyle name="Heading 3 2 2 5 2" xfId="803"/>
    <cellStyle name="Heading 3 2 2 6" xfId="804"/>
    <cellStyle name="Heading 3 2 2 6 2" xfId="805"/>
    <cellStyle name="Heading 3 2 2 7" xfId="806"/>
    <cellStyle name="Heading 3 2 2 8" xfId="807"/>
    <cellStyle name="Heading 3 2 2 8 2" xfId="808"/>
    <cellStyle name="Heading 3 2 3" xfId="809"/>
    <cellStyle name="Heading 3 2 3 2" xfId="810"/>
    <cellStyle name="Heading 3 2 3 2 2" xfId="811"/>
    <cellStyle name="Heading 3 2 3 3" xfId="812"/>
    <cellStyle name="Heading 3 2 3 4" xfId="813"/>
    <cellStyle name="Heading 3 2 3 4 2" xfId="814"/>
    <cellStyle name="Heading 3 3" xfId="815"/>
    <cellStyle name="Heading 3 3 2" xfId="816"/>
    <cellStyle name="Heading 3 3 2 2" xfId="817"/>
    <cellStyle name="Heading 3 3 2 2 2" xfId="818"/>
    <cellStyle name="Heading 3 3 2 2 2 2" xfId="819"/>
    <cellStyle name="Heading 3 3 2 2 2 2 2" xfId="820"/>
    <cellStyle name="Heading 3 3 2 2 2 3" xfId="821"/>
    <cellStyle name="Heading 3 3 2 2 2 4" xfId="822"/>
    <cellStyle name="Heading 3 3 2 2 2 4 2" xfId="823"/>
    <cellStyle name="Heading 3 3 2 2 3" xfId="824"/>
    <cellStyle name="Heading 3 3 2 2 3 2" xfId="825"/>
    <cellStyle name="Heading 3 3 2 2 3 2 2" xfId="826"/>
    <cellStyle name="Heading 3 3 2 2 3 3" xfId="827"/>
    <cellStyle name="Heading 3 3 2 2 3 4" xfId="828"/>
    <cellStyle name="Heading 3 3 2 2 3 4 2" xfId="829"/>
    <cellStyle name="Heading 3 3 2 2 4" xfId="830"/>
    <cellStyle name="Heading 3 3 2 2 4 2" xfId="831"/>
    <cellStyle name="Heading 3 3 2 2 5" xfId="832"/>
    <cellStyle name="Heading 3 3 2 2 5 2" xfId="833"/>
    <cellStyle name="Heading 3 3 2 2 6" xfId="834"/>
    <cellStyle name="Heading 3 3 2 2 7" xfId="835"/>
    <cellStyle name="Heading 3 3 2 2 7 2" xfId="836"/>
    <cellStyle name="Heading 3 3 2 3" xfId="837"/>
    <cellStyle name="Heading 3 3 2 3 2" xfId="838"/>
    <cellStyle name="Heading 3 3 2 3 2 2" xfId="839"/>
    <cellStyle name="Heading 3 3 2 3 3" xfId="840"/>
    <cellStyle name="Heading 3 3 2 3 4" xfId="841"/>
    <cellStyle name="Heading 3 3 2 3 4 2" xfId="842"/>
    <cellStyle name="Heading 3 3 2 4" xfId="843"/>
    <cellStyle name="Heading 3 3 2 4 2" xfId="844"/>
    <cellStyle name="Heading 3 3 2 4 2 2" xfId="845"/>
    <cellStyle name="Heading 3 3 2 4 3" xfId="846"/>
    <cellStyle name="Heading 3 3 2 4 4" xfId="847"/>
    <cellStyle name="Heading 3 3 2 4 4 2" xfId="848"/>
    <cellStyle name="Heading 3 3 2 5" xfId="849"/>
    <cellStyle name="Heading 3 3 2 5 2" xfId="850"/>
    <cellStyle name="Heading 3 3 2 6" xfId="851"/>
    <cellStyle name="Heading 3 3 2 6 2" xfId="852"/>
    <cellStyle name="Heading 3 3 2 7" xfId="853"/>
    <cellStyle name="Heading 3 3 2 8" xfId="854"/>
    <cellStyle name="Heading 3 3 2 8 2" xfId="855"/>
    <cellStyle name="Heading 3 3 3" xfId="856"/>
    <cellStyle name="Heading 3 3 3 2" xfId="857"/>
    <cellStyle name="Heading 3 3 3 2 2" xfId="858"/>
    <cellStyle name="Heading 3 3 3 3" xfId="859"/>
    <cellStyle name="Heading 3 3 3 4" xfId="860"/>
    <cellStyle name="Heading 3 3 3 4 2" xfId="861"/>
    <cellStyle name="Heading 3 4" xfId="862"/>
    <cellStyle name="Heading 3 4 2" xfId="863"/>
    <cellStyle name="Heading 3 4 2 2" xfId="864"/>
    <cellStyle name="Heading 3 4 2 2 2" xfId="865"/>
    <cellStyle name="Heading 3 4 2 2 2 2" xfId="866"/>
    <cellStyle name="Heading 3 4 2 2 2 2 2" xfId="867"/>
    <cellStyle name="Heading 3 4 2 2 2 3" xfId="868"/>
    <cellStyle name="Heading 3 4 2 2 2 4" xfId="869"/>
    <cellStyle name="Heading 3 4 2 2 2 4 2" xfId="870"/>
    <cellStyle name="Heading 3 4 2 2 3" xfId="871"/>
    <cellStyle name="Heading 3 4 2 2 3 2" xfId="872"/>
    <cellStyle name="Heading 3 4 2 2 3 2 2" xfId="873"/>
    <cellStyle name="Heading 3 4 2 2 3 3" xfId="874"/>
    <cellStyle name="Heading 3 4 2 2 3 4" xfId="875"/>
    <cellStyle name="Heading 3 4 2 2 3 4 2" xfId="876"/>
    <cellStyle name="Heading 3 4 2 2 4" xfId="877"/>
    <cellStyle name="Heading 3 4 2 2 4 2" xfId="878"/>
    <cellStyle name="Heading 3 4 2 2 5" xfId="879"/>
    <cellStyle name="Heading 3 4 2 2 5 2" xfId="880"/>
    <cellStyle name="Heading 3 4 2 2 6" xfId="881"/>
    <cellStyle name="Heading 3 4 2 2 7" xfId="882"/>
    <cellStyle name="Heading 3 4 2 2 7 2" xfId="883"/>
    <cellStyle name="Heading 3 4 2 3" xfId="884"/>
    <cellStyle name="Heading 3 4 2 3 2" xfId="885"/>
    <cellStyle name="Heading 3 4 2 3 2 2" xfId="886"/>
    <cellStyle name="Heading 3 4 2 3 3" xfId="887"/>
    <cellStyle name="Heading 3 4 2 3 4" xfId="888"/>
    <cellStyle name="Heading 3 4 2 3 4 2" xfId="889"/>
    <cellStyle name="Heading 3 4 2 4" xfId="890"/>
    <cellStyle name="Heading 3 4 2 4 2" xfId="891"/>
    <cellStyle name="Heading 3 4 2 4 2 2" xfId="892"/>
    <cellStyle name="Heading 3 4 2 4 3" xfId="893"/>
    <cellStyle name="Heading 3 4 2 4 4" xfId="894"/>
    <cellStyle name="Heading 3 4 2 4 4 2" xfId="895"/>
    <cellStyle name="Heading 3 4 2 5" xfId="896"/>
    <cellStyle name="Heading 3 4 2 5 2" xfId="897"/>
    <cellStyle name="Heading 3 4 2 6" xfId="898"/>
    <cellStyle name="Heading 3 4 2 6 2" xfId="899"/>
    <cellStyle name="Heading 3 4 2 7" xfId="900"/>
    <cellStyle name="Heading 3 4 2 8" xfId="901"/>
    <cellStyle name="Heading 3 4 2 8 2" xfId="902"/>
    <cellStyle name="Heading 3 4 3" xfId="903"/>
    <cellStyle name="Heading 3 4 3 2" xfId="904"/>
    <cellStyle name="Heading 3 4 3 2 2" xfId="905"/>
    <cellStyle name="Heading 3 4 3 3" xfId="906"/>
    <cellStyle name="Heading 3 4 3 4" xfId="907"/>
    <cellStyle name="Heading 3 4 3 4 2" xfId="908"/>
    <cellStyle name="Heading 3 5" xfId="909"/>
    <cellStyle name="Heading 3 5 2" xfId="910"/>
    <cellStyle name="Heading 3 5 2 2" xfId="911"/>
    <cellStyle name="Heading 3 5 2 2 2" xfId="912"/>
    <cellStyle name="Heading 3 5 2 2 2 2" xfId="913"/>
    <cellStyle name="Heading 3 5 2 2 3" xfId="914"/>
    <cellStyle name="Heading 3 5 2 2 4" xfId="915"/>
    <cellStyle name="Heading 3 5 2 2 4 2" xfId="916"/>
    <cellStyle name="Heading 3 5 2 3" xfId="917"/>
    <cellStyle name="Heading 3 5 2 3 2" xfId="918"/>
    <cellStyle name="Heading 3 5 2 3 2 2" xfId="919"/>
    <cellStyle name="Heading 3 5 2 3 3" xfId="920"/>
    <cellStyle name="Heading 3 5 2 3 4" xfId="921"/>
    <cellStyle name="Heading 3 5 2 3 4 2" xfId="922"/>
    <cellStyle name="Heading 3 5 2 4" xfId="923"/>
    <cellStyle name="Heading 3 5 2 4 2" xfId="924"/>
    <cellStyle name="Heading 3 5 2 5" xfId="925"/>
    <cellStyle name="Heading 3 5 2 5 2" xfId="926"/>
    <cellStyle name="Heading 3 5 2 6" xfId="927"/>
    <cellStyle name="Heading 3 5 2 7" xfId="928"/>
    <cellStyle name="Heading 3 5 2 7 2" xfId="929"/>
    <cellStyle name="Heading 3 5 3" xfId="930"/>
    <cellStyle name="Heading 3 5 3 2" xfId="931"/>
    <cellStyle name="Heading 3 5 3 2 2" xfId="932"/>
    <cellStyle name="Heading 3 5 3 3" xfId="933"/>
    <cellStyle name="Heading 3 5 3 4" xfId="934"/>
    <cellStyle name="Heading 3 5 3 4 2" xfId="935"/>
    <cellStyle name="Heading 3 5 4" xfId="936"/>
    <cellStyle name="Heading 3 5 4 2" xfId="937"/>
    <cellStyle name="Heading 3 5 4 2 2" xfId="938"/>
    <cellStyle name="Heading 3 5 4 3" xfId="939"/>
    <cellStyle name="Heading 3 5 4 4" xfId="940"/>
    <cellStyle name="Heading 3 5 4 4 2" xfId="941"/>
    <cellStyle name="Heading 3 5 5" xfId="942"/>
    <cellStyle name="Heading 3 5 5 2" xfId="943"/>
    <cellStyle name="Heading 3 5 6" xfId="944"/>
    <cellStyle name="Heading 3 5 6 2" xfId="945"/>
    <cellStyle name="Heading 3 5 7" xfId="946"/>
    <cellStyle name="Heading 3 5 8" xfId="947"/>
    <cellStyle name="Heading 3 5 8 2" xfId="948"/>
    <cellStyle name="Heading 3 6" xfId="949"/>
    <cellStyle name="Heading 3 6 2" xfId="950"/>
    <cellStyle name="Heading 3 6 2 2" xfId="951"/>
    <cellStyle name="Heading 3 6 2 2 2" xfId="952"/>
    <cellStyle name="Heading 3 6 2 3" xfId="953"/>
    <cellStyle name="Heading 3 6 2 4" xfId="954"/>
    <cellStyle name="Heading 3 6 2 4 2" xfId="955"/>
    <cellStyle name="Heading 4" xfId="63" builtinId="19" customBuiltin="1"/>
    <cellStyle name="Heading 4 2" xfId="956"/>
    <cellStyle name="Heading 4 3" xfId="957"/>
    <cellStyle name="Heading 4 4" xfId="958"/>
    <cellStyle name="Heading 4 5" xfId="959"/>
    <cellStyle name="Heading1" xfId="64"/>
    <cellStyle name="Heading2" xfId="65"/>
    <cellStyle name="Headings" xfId="66"/>
    <cellStyle name="Hyperlink" xfId="67" builtinId="8"/>
    <cellStyle name="Hyperlink 2" xfId="960"/>
    <cellStyle name="Input" xfId="68" builtinId="20" customBuiltin="1"/>
    <cellStyle name="Input [yellow]" xfId="69"/>
    <cellStyle name="Input 2" xfId="961"/>
    <cellStyle name="Input 3" xfId="962"/>
    <cellStyle name="Input 4" xfId="963"/>
    <cellStyle name="Input 5" xfId="964"/>
    <cellStyle name="Input Year" xfId="70"/>
    <cellStyle name="Linked Cell" xfId="71" builtinId="24" customBuiltin="1"/>
    <cellStyle name="Linked Cell 2" xfId="965"/>
    <cellStyle name="Linked Cell 3" xfId="966"/>
    <cellStyle name="Linked Cell 4" xfId="967"/>
    <cellStyle name="Linked Cell 5" xfId="968"/>
    <cellStyle name="Model Formula Ref Another Tab" xfId="72"/>
    <cellStyle name="Model Formula Ref Only Within Tab" xfId="73"/>
    <cellStyle name="Model Heading" xfId="74"/>
    <cellStyle name="Model Input" xfId="75"/>
    <cellStyle name="Model List" xfId="76"/>
    <cellStyle name="Model Sub Heading" xfId="77"/>
    <cellStyle name="Model Sub Heading 2" xfId="78"/>
    <cellStyle name="modified border" xfId="79"/>
    <cellStyle name="modified border1" xfId="80"/>
    <cellStyle name="Net Number" xfId="81"/>
    <cellStyle name="Neutral" xfId="82" builtinId="28" customBuiltin="1"/>
    <cellStyle name="Neutral 2" xfId="969"/>
    <cellStyle name="Neutral 2 2" xfId="970"/>
    <cellStyle name="Neutral 3" xfId="971"/>
    <cellStyle name="Neutral 4" xfId="972"/>
    <cellStyle name="Neutral 5" xfId="973"/>
    <cellStyle name="Neutral 6" xfId="974"/>
    <cellStyle name="Neutral 7" xfId="975"/>
    <cellStyle name="Neutral 8" xfId="976"/>
    <cellStyle name="Neutral 9" xfId="1524"/>
    <cellStyle name="Normal" xfId="0" builtinId="0"/>
    <cellStyle name="Normal - Style1" xfId="83"/>
    <cellStyle name="Normal 10" xfId="84"/>
    <cellStyle name="Normal 10 2" xfId="977"/>
    <cellStyle name="Normal 10 2 2" xfId="978"/>
    <cellStyle name="Normal 10 2 2 2" xfId="979"/>
    <cellStyle name="Normal 10 2 2 2 2" xfId="980"/>
    <cellStyle name="Normal 10 2 2 3" xfId="981"/>
    <cellStyle name="Normal 10 2 3" xfId="982"/>
    <cellStyle name="Normal 10 2 3 2" xfId="983"/>
    <cellStyle name="Normal 10 2 4" xfId="984"/>
    <cellStyle name="Normal 10 2 4 2" xfId="985"/>
    <cellStyle name="Normal 10 2 5" xfId="986"/>
    <cellStyle name="Normal 10 3" xfId="987"/>
    <cellStyle name="Normal 10 3 2" xfId="988"/>
    <cellStyle name="Normal 10 3 2 2" xfId="989"/>
    <cellStyle name="Normal 10 3 3" xfId="990"/>
    <cellStyle name="Normal 10 4" xfId="991"/>
    <cellStyle name="Normal 10 4 2" xfId="992"/>
    <cellStyle name="Normal 10 4 2 2" xfId="993"/>
    <cellStyle name="Normal 10 4 3" xfId="994"/>
    <cellStyle name="Normal 10 5" xfId="995"/>
    <cellStyle name="Normal 10 5 2" xfId="996"/>
    <cellStyle name="Normal 10 5 2 2" xfId="997"/>
    <cellStyle name="Normal 10 5 3" xfId="998"/>
    <cellStyle name="Normal 10 6" xfId="999"/>
    <cellStyle name="Normal 10 6 2" xfId="1000"/>
    <cellStyle name="Normal 10 7" xfId="1001"/>
    <cellStyle name="Normal 10 7 2" xfId="1002"/>
    <cellStyle name="Normal 10 8" xfId="1003"/>
    <cellStyle name="Normal 11" xfId="85"/>
    <cellStyle name="Normal 12" xfId="86"/>
    <cellStyle name="Normal 12 2" xfId="1004"/>
    <cellStyle name="Normal 12 2 2" xfId="1005"/>
    <cellStyle name="Normal 12 2 2 2" xfId="1006"/>
    <cellStyle name="Normal 12 2 3" xfId="1007"/>
    <cellStyle name="Normal 12 2 3 2" xfId="1008"/>
    <cellStyle name="Normal 12 2 4" xfId="1009"/>
    <cellStyle name="Normal 12 3" xfId="1010"/>
    <cellStyle name="Normal 12 3 2" xfId="1011"/>
    <cellStyle name="Normal 12 3 2 2" xfId="1012"/>
    <cellStyle name="Normal 12 3 3" xfId="1013"/>
    <cellStyle name="Normal 12 4" xfId="1014"/>
    <cellStyle name="Normal 12 4 2" xfId="1015"/>
    <cellStyle name="Normal 12 4 2 2" xfId="1016"/>
    <cellStyle name="Normal 12 4 3" xfId="1017"/>
    <cellStyle name="Normal 12 5" xfId="1018"/>
    <cellStyle name="Normal 12 5 2" xfId="1019"/>
    <cellStyle name="Normal 12 5 2 2" xfId="1020"/>
    <cellStyle name="Normal 12 5 3" xfId="1021"/>
    <cellStyle name="Normal 12 6" xfId="1022"/>
    <cellStyle name="Normal 12 6 2" xfId="1023"/>
    <cellStyle name="Normal 12 7" xfId="1024"/>
    <cellStyle name="Normal 12 7 2" xfId="1025"/>
    <cellStyle name="Normal 12 8" xfId="1026"/>
    <cellStyle name="Normal 13" xfId="87"/>
    <cellStyle name="Normal 14" xfId="88"/>
    <cellStyle name="Normal 15" xfId="89"/>
    <cellStyle name="Normal 15 2" xfId="90"/>
    <cellStyle name="Normal 15 3" xfId="1027"/>
    <cellStyle name="Normal 15 4" xfId="1028"/>
    <cellStyle name="Normal 16" xfId="91"/>
    <cellStyle name="Normal 16 2" xfId="1029"/>
    <cellStyle name="Normal 17" xfId="92"/>
    <cellStyle name="Normal 17 2" xfId="1030"/>
    <cellStyle name="Normal 17 3" xfId="1031"/>
    <cellStyle name="Normal 17 4" xfId="1032"/>
    <cellStyle name="Normal 17 5" xfId="1033"/>
    <cellStyle name="Normal 17 6" xfId="1034"/>
    <cellStyle name="Normal 18" xfId="93"/>
    <cellStyle name="Normal 18 2" xfId="1035"/>
    <cellStyle name="Normal 18 3" xfId="1036"/>
    <cellStyle name="Normal 18 4" xfId="1037"/>
    <cellStyle name="Normal 19" xfId="94"/>
    <cellStyle name="Normal 19 2" xfId="1038"/>
    <cellStyle name="Normal 19 2 2" xfId="1039"/>
    <cellStyle name="Normal 19 2 2 2" xfId="1040"/>
    <cellStyle name="Normal 19 3" xfId="1041"/>
    <cellStyle name="Normal 19 4" xfId="1042"/>
    <cellStyle name="Normal 19 5" xfId="1043"/>
    <cellStyle name="Normal 2" xfId="95"/>
    <cellStyle name="Normal 2 10" xfId="1044"/>
    <cellStyle name="Normal 2 11" xfId="1045"/>
    <cellStyle name="Normal 2 2" xfId="96"/>
    <cellStyle name="Normal 2 2 2" xfId="1046"/>
    <cellStyle name="Normal 2 2 3" xfId="1047"/>
    <cellStyle name="Normal 2 2 4" xfId="1048"/>
    <cellStyle name="Normal 2 2_Medium Power" xfId="1049"/>
    <cellStyle name="Normal 2 3" xfId="97"/>
    <cellStyle name="Normal 2 3 2" xfId="1050"/>
    <cellStyle name="Normal 2 3 3" xfId="1051"/>
    <cellStyle name="Normal 2 4" xfId="1052"/>
    <cellStyle name="Normal 2 4 2" xfId="1053"/>
    <cellStyle name="Normal 2 4 2 2" xfId="1054"/>
    <cellStyle name="Normal 2 4 2 2 2" xfId="1055"/>
    <cellStyle name="Normal 2 4 2 2 2 2" xfId="1056"/>
    <cellStyle name="Normal 2 4 2 2 3" xfId="1057"/>
    <cellStyle name="Normal 2 4 2 2 3 2" xfId="1058"/>
    <cellStyle name="Normal 2 4 2 2 4" xfId="1059"/>
    <cellStyle name="Normal 2 4 2 3" xfId="1060"/>
    <cellStyle name="Normal 2 4 2 3 2" xfId="1061"/>
    <cellStyle name="Normal 2 4 2 3 2 2" xfId="1062"/>
    <cellStyle name="Normal 2 4 2 3 3" xfId="1063"/>
    <cellStyle name="Normal 2 4 2 4" xfId="1064"/>
    <cellStyle name="Normal 2 4 2 4 2" xfId="1065"/>
    <cellStyle name="Normal 2 4 2 4 2 2" xfId="1066"/>
    <cellStyle name="Normal 2 4 2 4 3" xfId="1067"/>
    <cellStyle name="Normal 2 4 2 5" xfId="1068"/>
    <cellStyle name="Normal 2 4 2 5 2" xfId="1069"/>
    <cellStyle name="Normal 2 4 2 5 2 2" xfId="1070"/>
    <cellStyle name="Normal 2 4 2 5 3" xfId="1071"/>
    <cellStyle name="Normal 2 4 2 6" xfId="1072"/>
    <cellStyle name="Normal 2 4 2 6 2" xfId="1073"/>
    <cellStyle name="Normal 2 4 2 7" xfId="1074"/>
    <cellStyle name="Normal 2 4 2 7 2" xfId="1075"/>
    <cellStyle name="Normal 2 4 2 8" xfId="1076"/>
    <cellStyle name="Normal 2 4 3" xfId="1077"/>
    <cellStyle name="Normal 2 4 3 2" xfId="1078"/>
    <cellStyle name="Normal 2 4 3 2 2" xfId="1079"/>
    <cellStyle name="Normal 2 4 3 3" xfId="1080"/>
    <cellStyle name="Normal 2 4 3 3 2" xfId="1081"/>
    <cellStyle name="Normal 2 4 3 4" xfId="1082"/>
    <cellStyle name="Normal 2 4 4" xfId="1083"/>
    <cellStyle name="Normal 2 4 4 2" xfId="1084"/>
    <cellStyle name="Normal 2 4 4 2 2" xfId="1085"/>
    <cellStyle name="Normal 2 4 4 3" xfId="1086"/>
    <cellStyle name="Normal 2 4 5" xfId="1087"/>
    <cellStyle name="Normal 2 4 5 2" xfId="1088"/>
    <cellStyle name="Normal 2 4 5 2 2" xfId="1089"/>
    <cellStyle name="Normal 2 4 5 3" xfId="1090"/>
    <cellStyle name="Normal 2 4 6" xfId="1091"/>
    <cellStyle name="Normal 2 4 6 2" xfId="1092"/>
    <cellStyle name="Normal 2 4 6 2 2" xfId="1093"/>
    <cellStyle name="Normal 2 4 6 3" xfId="1094"/>
    <cellStyle name="Normal 2 4 7" xfId="1095"/>
    <cellStyle name="Normal 2 4 7 2" xfId="1096"/>
    <cellStyle name="Normal 2 4 8" xfId="1097"/>
    <cellStyle name="Normal 2 4 8 2" xfId="1098"/>
    <cellStyle name="Normal 2 4 9" xfId="1099"/>
    <cellStyle name="Normal 2 5" xfId="1100"/>
    <cellStyle name="Normal 2 5 2" xfId="1101"/>
    <cellStyle name="Normal 2 5 2 2" xfId="1102"/>
    <cellStyle name="Normal 2 5 2 2 2" xfId="1103"/>
    <cellStyle name="Normal 2 5 2 3" xfId="1104"/>
    <cellStyle name="Normal 2 5 2 3 2" xfId="1105"/>
    <cellStyle name="Normal 2 5 2 4" xfId="1106"/>
    <cellStyle name="Normal 2 5 3" xfId="1107"/>
    <cellStyle name="Normal 2 5 3 2" xfId="1108"/>
    <cellStyle name="Normal 2 5 3 2 2" xfId="1109"/>
    <cellStyle name="Normal 2 5 3 3" xfId="1110"/>
    <cellStyle name="Normal 2 5 4" xfId="1111"/>
    <cellStyle name="Normal 2 5 4 2" xfId="1112"/>
    <cellStyle name="Normal 2 5 4 2 2" xfId="1113"/>
    <cellStyle name="Normal 2 5 4 3" xfId="1114"/>
    <cellStyle name="Normal 2 5 5" xfId="1115"/>
    <cellStyle name="Normal 2 5 5 2" xfId="1116"/>
    <cellStyle name="Normal 2 5 5 2 2" xfId="1117"/>
    <cellStyle name="Normal 2 5 5 3" xfId="1118"/>
    <cellStyle name="Normal 2 5 6" xfId="1119"/>
    <cellStyle name="Normal 2 5 6 2" xfId="1120"/>
    <cellStyle name="Normal 2 5 7" xfId="1121"/>
    <cellStyle name="Normal 2 5 7 2" xfId="1122"/>
    <cellStyle name="Normal 2 5 8" xfId="1123"/>
    <cellStyle name="Normal 2 6" xfId="1124"/>
    <cellStyle name="Normal 2 7" xfId="1125"/>
    <cellStyle name="Normal 2 8" xfId="1126"/>
    <cellStyle name="Normal 2 8 2" xfId="1127"/>
    <cellStyle name="Normal 2 9" xfId="1128"/>
    <cellStyle name="Normal 2_COS Elec System FY10-19 - Interruptible Class" xfId="98"/>
    <cellStyle name="Normal 20" xfId="99"/>
    <cellStyle name="Normal 20 2" xfId="1129"/>
    <cellStyle name="Normal 21" xfId="100"/>
    <cellStyle name="Normal 22" xfId="101"/>
    <cellStyle name="Normal 23" xfId="102"/>
    <cellStyle name="Normal 24" xfId="103"/>
    <cellStyle name="Normal 25" xfId="104"/>
    <cellStyle name="Normal 25 2" xfId="1130"/>
    <cellStyle name="Normal 26" xfId="105"/>
    <cellStyle name="Normal 27" xfId="106"/>
    <cellStyle name="Normal 28" xfId="107"/>
    <cellStyle name="Normal 29" xfId="108"/>
    <cellStyle name="Normal 3" xfId="109"/>
    <cellStyle name="Normal 3 2" xfId="110"/>
    <cellStyle name="Normal 3 2 2" xfId="1131"/>
    <cellStyle name="Normal 3 2 2 2" xfId="1132"/>
    <cellStyle name="Normal 3 2 2 2 2" xfId="1133"/>
    <cellStyle name="Normal 3 2 2 3" xfId="1134"/>
    <cellStyle name="Normal 3 2 2 3 2" xfId="1135"/>
    <cellStyle name="Normal 3 2 2 4" xfId="1136"/>
    <cellStyle name="Normal 3 2 3" xfId="1137"/>
    <cellStyle name="Normal 3 2 3 2" xfId="1138"/>
    <cellStyle name="Normal 3 2 3 2 2" xfId="1139"/>
    <cellStyle name="Normal 3 2 3 3" xfId="1140"/>
    <cellStyle name="Normal 3 2 4" xfId="1141"/>
    <cellStyle name="Normal 3 2 4 2" xfId="1142"/>
    <cellStyle name="Normal 3 2 4 2 2" xfId="1143"/>
    <cellStyle name="Normal 3 2 4 3" xfId="1144"/>
    <cellStyle name="Normal 3 2 5" xfId="1145"/>
    <cellStyle name="Normal 3 2 5 2" xfId="1146"/>
    <cellStyle name="Normal 3 2 6" xfId="1147"/>
    <cellStyle name="Normal 3 2 6 2" xfId="1148"/>
    <cellStyle name="Normal 3 2 7" xfId="1149"/>
    <cellStyle name="Normal 3 3" xfId="111"/>
    <cellStyle name="Normal 3 3 2" xfId="1150"/>
    <cellStyle name="Normal 3 3 2 2" xfId="1151"/>
    <cellStyle name="Normal 3 3 2 2 2" xfId="1152"/>
    <cellStyle name="Normal 3 3 2 3" xfId="1153"/>
    <cellStyle name="Normal 3 3 2 3 2" xfId="1154"/>
    <cellStyle name="Normal 3 3 2 4" xfId="1155"/>
    <cellStyle name="Normal 3 3 3" xfId="1156"/>
    <cellStyle name="Normal 3 3 3 2" xfId="1157"/>
    <cellStyle name="Normal 3 3 3 2 2" xfId="1158"/>
    <cellStyle name="Normal 3 3 3 3" xfId="1159"/>
    <cellStyle name="Normal 3 3 4" xfId="1160"/>
    <cellStyle name="Normal 3 3 4 2" xfId="1161"/>
    <cellStyle name="Normal 3 3 4 2 2" xfId="1162"/>
    <cellStyle name="Normal 3 3 4 3" xfId="1163"/>
    <cellStyle name="Normal 3 3 5" xfId="1164"/>
    <cellStyle name="Normal 3 3 5 2" xfId="1165"/>
    <cellStyle name="Normal 3 3 6" xfId="1166"/>
    <cellStyle name="Normal 3 3 6 2" xfId="1167"/>
    <cellStyle name="Normal 3 3 7" xfId="1168"/>
    <cellStyle name="Normal 3 4" xfId="1169"/>
    <cellStyle name="Normal 3 5" xfId="1170"/>
    <cellStyle name="Normal 3_COS Elec System FY10-19 - Interruptible Class" xfId="112"/>
    <cellStyle name="Normal 30" xfId="113"/>
    <cellStyle name="Normal 31" xfId="114"/>
    <cellStyle name="Normal 32" xfId="115"/>
    <cellStyle name="Normal 33" xfId="116"/>
    <cellStyle name="Normal 34" xfId="117"/>
    <cellStyle name="Normal 35" xfId="118"/>
    <cellStyle name="Normal 36" xfId="119"/>
    <cellStyle name="Normal 37" xfId="120"/>
    <cellStyle name="Normal 38" xfId="121"/>
    <cellStyle name="Normal 38 2" xfId="1171"/>
    <cellStyle name="Normal 39" xfId="122"/>
    <cellStyle name="Normal 4" xfId="123"/>
    <cellStyle name="Normal 4 2" xfId="1172"/>
    <cellStyle name="Normal 4 2 2" xfId="1173"/>
    <cellStyle name="Normal 4 2 2 2" xfId="1174"/>
    <cellStyle name="Normal 4 2 2 2 2" xfId="1175"/>
    <cellStyle name="Normal 4 2 2 3" xfId="1176"/>
    <cellStyle name="Normal 4 2 2 3 2" xfId="1177"/>
    <cellStyle name="Normal 4 2 2 4" xfId="1178"/>
    <cellStyle name="Normal 4 2 3" xfId="1179"/>
    <cellStyle name="Normal 4 2 3 2" xfId="1180"/>
    <cellStyle name="Normal 4 2 3 2 2" xfId="1181"/>
    <cellStyle name="Normal 4 2 3 3" xfId="1182"/>
    <cellStyle name="Normal 4 2 4" xfId="1183"/>
    <cellStyle name="Normal 4 2 4 2" xfId="1184"/>
    <cellStyle name="Normal 4 2 4 2 2" xfId="1185"/>
    <cellStyle name="Normal 4 2 4 3" xfId="1186"/>
    <cellStyle name="Normal 4 2 5" xfId="1187"/>
    <cellStyle name="Normal 4 2 5 2" xfId="1188"/>
    <cellStyle name="Normal 4 2 6" xfId="1189"/>
    <cellStyle name="Normal 4 2 6 2" xfId="1190"/>
    <cellStyle name="Normal 4 2 7" xfId="1191"/>
    <cellStyle name="Normal 4 3" xfId="1192"/>
    <cellStyle name="Normal 4 3 2" xfId="1193"/>
    <cellStyle name="Normal 4 3 3" xfId="1194"/>
    <cellStyle name="Normal 4 3 3 2" xfId="1195"/>
    <cellStyle name="Normal 4 4" xfId="1196"/>
    <cellStyle name="Normal 4 4 2" xfId="1197"/>
    <cellStyle name="Normal 4 4 2 2" xfId="1198"/>
    <cellStyle name="Normal 4 4 3" xfId="1199"/>
    <cellStyle name="Normal 4 5" xfId="1200"/>
    <cellStyle name="Normal 4_Medium Power" xfId="1201"/>
    <cellStyle name="Normal 40" xfId="124"/>
    <cellStyle name="Normal 41" xfId="125"/>
    <cellStyle name="Normal 42" xfId="126"/>
    <cellStyle name="Normal 43" xfId="127"/>
    <cellStyle name="Normal 44" xfId="128"/>
    <cellStyle name="Normal 45" xfId="129"/>
    <cellStyle name="Normal 46" xfId="130"/>
    <cellStyle name="Normal 47" xfId="131"/>
    <cellStyle name="Normal 48" xfId="132"/>
    <cellStyle name="Normal 49" xfId="133"/>
    <cellStyle name="Normal 5" xfId="219"/>
    <cellStyle name="Normal 5 2" xfId="1202"/>
    <cellStyle name="Normal 5 2 2" xfId="1203"/>
    <cellStyle name="Normal 5 2 2 2" xfId="1204"/>
    <cellStyle name="Normal 5 2 2 2 2" xfId="1205"/>
    <cellStyle name="Normal 5 2 2 2 2 2" xfId="1206"/>
    <cellStyle name="Normal 5 2 2 2 3" xfId="1207"/>
    <cellStyle name="Normal 5 2 2 2 3 2" xfId="1208"/>
    <cellStyle name="Normal 5 2 2 2 4" xfId="1209"/>
    <cellStyle name="Normal 5 2 2 3" xfId="1210"/>
    <cellStyle name="Normal 5 2 2 3 2" xfId="1211"/>
    <cellStyle name="Normal 5 2 2 3 2 2" xfId="1212"/>
    <cellStyle name="Normal 5 2 2 3 3" xfId="1213"/>
    <cellStyle name="Normal 5 2 2 4" xfId="1214"/>
    <cellStyle name="Normal 5 2 2 4 2" xfId="1215"/>
    <cellStyle name="Normal 5 2 2 4 2 2" xfId="1216"/>
    <cellStyle name="Normal 5 2 2 4 3" xfId="1217"/>
    <cellStyle name="Normal 5 2 2 5" xfId="1218"/>
    <cellStyle name="Normal 5 2 2 5 2" xfId="1219"/>
    <cellStyle name="Normal 5 2 2 5 2 2" xfId="1220"/>
    <cellStyle name="Normal 5 2 2 5 3" xfId="1221"/>
    <cellStyle name="Normal 5 2 2 6" xfId="1222"/>
    <cellStyle name="Normal 5 2 2 6 2" xfId="1223"/>
    <cellStyle name="Normal 5 2 2 7" xfId="1224"/>
    <cellStyle name="Normal 5 2 2 7 2" xfId="1225"/>
    <cellStyle name="Normal 5 2 2 8" xfId="1226"/>
    <cellStyle name="Normal 5 2 3" xfId="1227"/>
    <cellStyle name="Normal 5 2 3 2" xfId="1228"/>
    <cellStyle name="Normal 5 2 3 2 2" xfId="1229"/>
    <cellStyle name="Normal 5 2 3 3" xfId="1230"/>
    <cellStyle name="Normal 5 2 3 3 2" xfId="1231"/>
    <cellStyle name="Normal 5 2 3 4" xfId="1232"/>
    <cellStyle name="Normal 5 2 4" xfId="1233"/>
    <cellStyle name="Normal 5 2 4 2" xfId="1234"/>
    <cellStyle name="Normal 5 2 4 2 2" xfId="1235"/>
    <cellStyle name="Normal 5 2 4 3" xfId="1236"/>
    <cellStyle name="Normal 5 2 5" xfId="1237"/>
    <cellStyle name="Normal 5 2 5 2" xfId="1238"/>
    <cellStyle name="Normal 5 2 5 2 2" xfId="1239"/>
    <cellStyle name="Normal 5 2 5 3" xfId="1240"/>
    <cellStyle name="Normal 5 2 6" xfId="1241"/>
    <cellStyle name="Normal 5 2 6 2" xfId="1242"/>
    <cellStyle name="Normal 5 2 6 2 2" xfId="1243"/>
    <cellStyle name="Normal 5 2 6 3" xfId="1244"/>
    <cellStyle name="Normal 5 2 7" xfId="1245"/>
    <cellStyle name="Normal 5 2 7 2" xfId="1246"/>
    <cellStyle name="Normal 5 2 8" xfId="1247"/>
    <cellStyle name="Normal 5 2 8 2" xfId="1248"/>
    <cellStyle name="Normal 5 2 9" xfId="1249"/>
    <cellStyle name="Normal 5 3" xfId="1250"/>
    <cellStyle name="Normal 5 3 2" xfId="1251"/>
    <cellStyle name="Normal 5 4" xfId="1252"/>
    <cellStyle name="Normal 5 4 2" xfId="1253"/>
    <cellStyle name="Normal 5 4 2 2" xfId="1254"/>
    <cellStyle name="Normal 5 4 2 2 2" xfId="1255"/>
    <cellStyle name="Normal 5 4 2 2 2 2" xfId="1256"/>
    <cellStyle name="Normal 5 4 2 2 3" xfId="1257"/>
    <cellStyle name="Normal 5 4 2 2 3 2" xfId="1258"/>
    <cellStyle name="Normal 5 4 2 2 4" xfId="1259"/>
    <cellStyle name="Normal 5 4 2 3" xfId="1260"/>
    <cellStyle name="Normal 5 4 2 3 2" xfId="1261"/>
    <cellStyle name="Normal 5 4 2 3 2 2" xfId="1262"/>
    <cellStyle name="Normal 5 4 2 3 3" xfId="1263"/>
    <cellStyle name="Normal 5 4 2 4" xfId="1264"/>
    <cellStyle name="Normal 5 4 2 4 2" xfId="1265"/>
    <cellStyle name="Normal 5 4 2 4 2 2" xfId="1266"/>
    <cellStyle name="Normal 5 4 2 4 3" xfId="1267"/>
    <cellStyle name="Normal 5 4 2 5" xfId="1268"/>
    <cellStyle name="Normal 5 4 2 5 2" xfId="1269"/>
    <cellStyle name="Normal 5 4 2 5 2 2" xfId="1270"/>
    <cellStyle name="Normal 5 4 2 5 3" xfId="1271"/>
    <cellStyle name="Normal 5 4 2 6" xfId="1272"/>
    <cellStyle name="Normal 5 4 2 6 2" xfId="1273"/>
    <cellStyle name="Normal 5 4 2 7" xfId="1274"/>
    <cellStyle name="Normal 5 4 2 7 2" xfId="1275"/>
    <cellStyle name="Normal 5 4 2 8" xfId="1276"/>
    <cellStyle name="Normal 5 4 3" xfId="1277"/>
    <cellStyle name="Normal 5 4 3 2" xfId="1278"/>
    <cellStyle name="Normal 5 4 3 2 2" xfId="1279"/>
    <cellStyle name="Normal 5 4 3 3" xfId="1280"/>
    <cellStyle name="Normal 5 4 3 3 2" xfId="1281"/>
    <cellStyle name="Normal 5 4 3 4" xfId="1282"/>
    <cellStyle name="Normal 5 4 4" xfId="1283"/>
    <cellStyle name="Normal 5 4 4 2" xfId="1284"/>
    <cellStyle name="Normal 5 4 4 2 2" xfId="1285"/>
    <cellStyle name="Normal 5 4 4 3" xfId="1286"/>
    <cellStyle name="Normal 5 4 5" xfId="1287"/>
    <cellStyle name="Normal 5 4 5 2" xfId="1288"/>
    <cellStyle name="Normal 5 4 5 2 2" xfId="1289"/>
    <cellStyle name="Normal 5 4 5 3" xfId="1290"/>
    <cellStyle name="Normal 5 4 6" xfId="1291"/>
    <cellStyle name="Normal 5 4 6 2" xfId="1292"/>
    <cellStyle name="Normal 5 4 6 2 2" xfId="1293"/>
    <cellStyle name="Normal 5 4 6 3" xfId="1294"/>
    <cellStyle name="Normal 5 4 7" xfId="1295"/>
    <cellStyle name="Normal 5 4 7 2" xfId="1296"/>
    <cellStyle name="Normal 5 4 8" xfId="1297"/>
    <cellStyle name="Normal 5 4 8 2" xfId="1298"/>
    <cellStyle name="Normal 5 4 9" xfId="1299"/>
    <cellStyle name="Normal 5 5" xfId="1300"/>
    <cellStyle name="Normal 5 5 2" xfId="1301"/>
    <cellStyle name="Normal 5 5 2 2" xfId="1302"/>
    <cellStyle name="Normal 5 5 2 2 2" xfId="1303"/>
    <cellStyle name="Normal 5 5 2 2 2 2" xfId="1304"/>
    <cellStyle name="Normal 5 5 2 2 3" xfId="1305"/>
    <cellStyle name="Normal 5 5 2 2 3 2" xfId="1306"/>
    <cellStyle name="Normal 5 5 2 2 4" xfId="1307"/>
    <cellStyle name="Normal 5 5 2 3" xfId="1308"/>
    <cellStyle name="Normal 5 5 2 3 2" xfId="1309"/>
    <cellStyle name="Normal 5 5 2 3 2 2" xfId="1310"/>
    <cellStyle name="Normal 5 5 2 3 3" xfId="1311"/>
    <cellStyle name="Normal 5 5 2 4" xfId="1312"/>
    <cellStyle name="Normal 5 5 2 4 2" xfId="1313"/>
    <cellStyle name="Normal 5 5 2 4 2 2" xfId="1314"/>
    <cellStyle name="Normal 5 5 2 4 3" xfId="1315"/>
    <cellStyle name="Normal 5 5 2 5" xfId="1316"/>
    <cellStyle name="Normal 5 5 2 5 2" xfId="1317"/>
    <cellStyle name="Normal 5 5 2 5 2 2" xfId="1318"/>
    <cellStyle name="Normal 5 5 2 5 3" xfId="1319"/>
    <cellStyle name="Normal 5 5 2 6" xfId="1320"/>
    <cellStyle name="Normal 5 5 2 6 2" xfId="1321"/>
    <cellStyle name="Normal 5 5 2 7" xfId="1322"/>
    <cellStyle name="Normal 5 5 2 7 2" xfId="1323"/>
    <cellStyle name="Normal 5 5 2 8" xfId="1324"/>
    <cellStyle name="Normal 5 5 3" xfId="1325"/>
    <cellStyle name="Normal 5 5 3 2" xfId="1326"/>
    <cellStyle name="Normal 5 5 3 2 2" xfId="1327"/>
    <cellStyle name="Normal 5 5 3 3" xfId="1328"/>
    <cellStyle name="Normal 5 5 3 3 2" xfId="1329"/>
    <cellStyle name="Normal 5 5 3 4" xfId="1330"/>
    <cellStyle name="Normal 5 5 4" xfId="1331"/>
    <cellStyle name="Normal 5 5 4 2" xfId="1332"/>
    <cellStyle name="Normal 5 5 4 2 2" xfId="1333"/>
    <cellStyle name="Normal 5 5 4 3" xfId="1334"/>
    <cellStyle name="Normal 5 5 5" xfId="1335"/>
    <cellStyle name="Normal 5 5 5 2" xfId="1336"/>
    <cellStyle name="Normal 5 5 5 2 2" xfId="1337"/>
    <cellStyle name="Normal 5 5 5 3" xfId="1338"/>
    <cellStyle name="Normal 5 5 6" xfId="1339"/>
    <cellStyle name="Normal 5 5 6 2" xfId="1340"/>
    <cellStyle name="Normal 5 5 6 2 2" xfId="1341"/>
    <cellStyle name="Normal 5 5 6 3" xfId="1342"/>
    <cellStyle name="Normal 5 5 7" xfId="1343"/>
    <cellStyle name="Normal 5 5 7 2" xfId="1344"/>
    <cellStyle name="Normal 5 5 8" xfId="1345"/>
    <cellStyle name="Normal 5 5 8 2" xfId="1346"/>
    <cellStyle name="Normal 5 5 9" xfId="1347"/>
    <cellStyle name="Normal 5 6" xfId="1348"/>
    <cellStyle name="Normal 5 7" xfId="1349"/>
    <cellStyle name="Normal 50" xfId="134"/>
    <cellStyle name="Normal 51" xfId="135"/>
    <cellStyle name="Normal 52" xfId="136"/>
    <cellStyle name="Normal 53" xfId="137"/>
    <cellStyle name="Normal 54" xfId="138"/>
    <cellStyle name="Normal 55" xfId="139"/>
    <cellStyle name="Normal 56" xfId="140"/>
    <cellStyle name="Normal 57" xfId="141"/>
    <cellStyle name="Normal 58" xfId="142"/>
    <cellStyle name="Normal 59" xfId="1525"/>
    <cellStyle name="Normal 6" xfId="143"/>
    <cellStyle name="Normal 6 2" xfId="1350"/>
    <cellStyle name="Normal 6 3" xfId="1351"/>
    <cellStyle name="Normal 7" xfId="144"/>
    <cellStyle name="Normal 7 2" xfId="1352"/>
    <cellStyle name="Normal 7 3" xfId="1353"/>
    <cellStyle name="Normal 8" xfId="145"/>
    <cellStyle name="Normal 8 2" xfId="1354"/>
    <cellStyle name="Normal 8 3" xfId="1355"/>
    <cellStyle name="Normal 8 3 2" xfId="1356"/>
    <cellStyle name="Normal 9" xfId="146"/>
    <cellStyle name="Normal 9 2" xfId="1357"/>
    <cellStyle name="Normal_Actuals" xfId="1523"/>
    <cellStyle name="Normal_Budget Plan01-02 version 10-17 " xfId="147"/>
    <cellStyle name="Normal_CONSOLIDATED - Acct Detail" xfId="148"/>
    <cellStyle name="Normal_Debt_Sum" xfId="149"/>
    <cellStyle name="Normal_Debt_Sum_1" xfId="150"/>
    <cellStyle name="Normal_Sheet1" xfId="151"/>
    <cellStyle name="Note" xfId="152" builtinId="10" customBuiltin="1"/>
    <cellStyle name="Note 2" xfId="1358"/>
    <cellStyle name="Note 3" xfId="1359"/>
    <cellStyle name="Note 4" xfId="1360"/>
    <cellStyle name="Note 5" xfId="1361"/>
    <cellStyle name="NPLODE" xfId="1362"/>
    <cellStyle name="NPLODE 2" xfId="1363"/>
    <cellStyle name="NPLODE 2 2" xfId="1364"/>
    <cellStyle name="NPLODE 3" xfId="1365"/>
    <cellStyle name="NPLODE 3 2" xfId="1366"/>
    <cellStyle name="NPLODE_Medium Power" xfId="1367"/>
    <cellStyle name="Number" xfId="153"/>
    <cellStyle name="Output" xfId="154" builtinId="21" customBuiltin="1"/>
    <cellStyle name="Output 2" xfId="1368"/>
    <cellStyle name="Output 3" xfId="1369"/>
    <cellStyle name="Output 4" xfId="1370"/>
    <cellStyle name="Output 5" xfId="1371"/>
    <cellStyle name="Output Amounts" xfId="155"/>
    <cellStyle name="Output Column Headings" xfId="156"/>
    <cellStyle name="Output Line Items" xfId="157"/>
    <cellStyle name="Output Report Heading" xfId="158"/>
    <cellStyle name="Output Report Title" xfId="159"/>
    <cellStyle name="Percen - Style2" xfId="160"/>
    <cellStyle name="Percen - Style3" xfId="161"/>
    <cellStyle name="Percent" xfId="162" builtinId="5"/>
    <cellStyle name="Percent [2]" xfId="163"/>
    <cellStyle name="Percent 10" xfId="164"/>
    <cellStyle name="Percent 10 2" xfId="1372"/>
    <cellStyle name="Percent 11" xfId="165"/>
    <cellStyle name="Percent 12" xfId="166"/>
    <cellStyle name="Percent 13" xfId="167"/>
    <cellStyle name="Percent 14" xfId="168"/>
    <cellStyle name="Percent 14 2" xfId="1373"/>
    <cellStyle name="Percent 15" xfId="169"/>
    <cellStyle name="Percent 16" xfId="170"/>
    <cellStyle name="Percent 16 2" xfId="1374"/>
    <cellStyle name="Percent 17" xfId="171"/>
    <cellStyle name="Percent 18" xfId="172"/>
    <cellStyle name="Percent 19" xfId="173"/>
    <cellStyle name="Percent 2" xfId="174"/>
    <cellStyle name="Percent 2 2" xfId="175"/>
    <cellStyle name="Percent 2 2 2" xfId="1375"/>
    <cellStyle name="Percent 2 2 3" xfId="1376"/>
    <cellStyle name="Percent 2 2 4" xfId="1377"/>
    <cellStyle name="Percent 2 3" xfId="1378"/>
    <cellStyle name="Percent 2 4" xfId="1379"/>
    <cellStyle name="Percent 2 5" xfId="1380"/>
    <cellStyle name="Percent 2 6" xfId="1381"/>
    <cellStyle name="Percent 20" xfId="176"/>
    <cellStyle name="Percent 21" xfId="177"/>
    <cellStyle name="Percent 22" xfId="178"/>
    <cellStyle name="Percent 23" xfId="222"/>
    <cellStyle name="Percent 3" xfId="179"/>
    <cellStyle name="Percent 3 2" xfId="1382"/>
    <cellStyle name="Percent 3 3" xfId="1383"/>
    <cellStyle name="Percent 3 4" xfId="1384"/>
    <cellStyle name="Percent 4" xfId="180"/>
    <cellStyle name="Percent 4 2" xfId="1385"/>
    <cellStyle name="Percent 4 3" xfId="1386"/>
    <cellStyle name="Percent 5" xfId="181"/>
    <cellStyle name="Percent 6" xfId="182"/>
    <cellStyle name="Percent 6 2" xfId="1387"/>
    <cellStyle name="Percent 7" xfId="183"/>
    <cellStyle name="Percent 8" xfId="184"/>
    <cellStyle name="Percent 9" xfId="185"/>
    <cellStyle name="PSChar" xfId="186"/>
    <cellStyle name="PSDate" xfId="187"/>
    <cellStyle name="PSDec" xfId="188"/>
    <cellStyle name="PSHeading" xfId="189"/>
    <cellStyle name="PSHeading 2" xfId="1388"/>
    <cellStyle name="PSHeading 2 2" xfId="1389"/>
    <cellStyle name="PSHeading 2 2 2" xfId="1390"/>
    <cellStyle name="PSHeading 2 2 2 2" xfId="1391"/>
    <cellStyle name="PSHeading 2 2 3" xfId="1392"/>
    <cellStyle name="PSHeading 2 2 3 2" xfId="1393"/>
    <cellStyle name="PSHeading 2 2 4" xfId="1394"/>
    <cellStyle name="PSHeading 2 3" xfId="1395"/>
    <cellStyle name="PSHeading 2 3 2" xfId="1396"/>
    <cellStyle name="PSHeading 2 3 2 2" xfId="1397"/>
    <cellStyle name="PSHeading 2 3 3" xfId="1398"/>
    <cellStyle name="PSHeading 2 3 3 2" xfId="1399"/>
    <cellStyle name="PSHeading 2 3 4" xfId="1400"/>
    <cellStyle name="PSHeading 3" xfId="1401"/>
    <cellStyle name="PSHeading 3 2" xfId="1402"/>
    <cellStyle name="PSHeading 3 2 2" xfId="1403"/>
    <cellStyle name="PSHeading 3 2 2 2" xfId="1404"/>
    <cellStyle name="PSHeading 3 2 2 2 2" xfId="1405"/>
    <cellStyle name="PSHeading 3 2 2 3" xfId="1406"/>
    <cellStyle name="PSHeading 3 2 2 3 2" xfId="1407"/>
    <cellStyle name="PSHeading 3 2 2 4" xfId="1408"/>
    <cellStyle name="PSHeading 3 2 3" xfId="1409"/>
    <cellStyle name="PSHeading 3 2 3 2" xfId="1410"/>
    <cellStyle name="PSHeading 3 2 3 2 2" xfId="1411"/>
    <cellStyle name="PSHeading 3 2 3 3" xfId="1412"/>
    <cellStyle name="PSHeading 3 2 3 3 2" xfId="1413"/>
    <cellStyle name="PSHeading 3 2 3 4" xfId="1414"/>
    <cellStyle name="PSHeading 3 2 4" xfId="1415"/>
    <cellStyle name="PSHeading 3 2 4 2" xfId="1416"/>
    <cellStyle name="PSHeading 3 2 5" xfId="1417"/>
    <cellStyle name="PSHeading 3 2 5 2" xfId="1418"/>
    <cellStyle name="PSHeading 3 2 6" xfId="1419"/>
    <cellStyle name="PSHeading 3 2 6 2" xfId="1420"/>
    <cellStyle name="PSHeading 3 2 7" xfId="1421"/>
    <cellStyle name="PSHeading 3 3" xfId="1422"/>
    <cellStyle name="PSHeading 3 3 2" xfId="1423"/>
    <cellStyle name="PSHeading 3 3 2 2" xfId="1424"/>
    <cellStyle name="PSHeading 3 3 3" xfId="1425"/>
    <cellStyle name="PSHeading 3 3 3 2" xfId="1426"/>
    <cellStyle name="PSHeading 3 3 4" xfId="1427"/>
    <cellStyle name="PSHeading 4" xfId="1428"/>
    <cellStyle name="PSHeading 4 2" xfId="1429"/>
    <cellStyle name="PSHeading 4 2 2" xfId="1430"/>
    <cellStyle name="PSHeading 4 3" xfId="1431"/>
    <cellStyle name="PSHeading 4 3 2" xfId="1432"/>
    <cellStyle name="PSHeading 4 4" xfId="1433"/>
    <cellStyle name="PSHeading 5" xfId="1434"/>
    <cellStyle name="PSHeading 5 2" xfId="1435"/>
    <cellStyle name="PSHeading 6" xfId="1436"/>
    <cellStyle name="PSHeading 6 2" xfId="1437"/>
    <cellStyle name="PSHeading 7" xfId="1438"/>
    <cellStyle name="PSHeading 7 2" xfId="1439"/>
    <cellStyle name="PSHeading 8" xfId="1440"/>
    <cellStyle name="PSInt" xfId="190"/>
    <cellStyle name="PSSpacer" xfId="191"/>
    <cellStyle name="Range Header" xfId="192"/>
    <cellStyle name="Range Header 2" xfId="193"/>
    <cellStyle name="Range Header_Bill Compare" xfId="194"/>
    <cellStyle name="Report" xfId="195"/>
    <cellStyle name="Report - Style5" xfId="196"/>
    <cellStyle name="Report - Style6" xfId="197"/>
    <cellStyle name="Report - Style7" xfId="198"/>
    <cellStyle name="Report - Style8" xfId="199"/>
    <cellStyle name="Report Bar" xfId="200"/>
    <cellStyle name="Report Heading" xfId="201"/>
    <cellStyle name="Report Unit Cost" xfId="202"/>
    <cellStyle name="Report_BPU Elec COS Model (Oct2010)" xfId="203"/>
    <cellStyle name="Reports Total" xfId="204"/>
    <cellStyle name="Sheet Title" xfId="1441"/>
    <cellStyle name="StmtTtl1" xfId="205"/>
    <cellStyle name="StmtTtl2" xfId="206"/>
    <cellStyle name="Style 1" xfId="207"/>
    <cellStyle name="STYLE1" xfId="1442"/>
    <cellStyle name="STYLE1 2" xfId="1443"/>
    <cellStyle name="STYLE1 2 2" xfId="1444"/>
    <cellStyle name="STYLE1 3" xfId="1445"/>
    <cellStyle name="STYLE1 3 2" xfId="1446"/>
    <cellStyle name="STYLE1 3 3" xfId="1447"/>
    <cellStyle name="STYLE10" xfId="1448"/>
    <cellStyle name="STYLE10 2" xfId="1449"/>
    <cellStyle name="STYLE10 3" xfId="1450"/>
    <cellStyle name="STYLE11" xfId="1451"/>
    <cellStyle name="STYLE2" xfId="1452"/>
    <cellStyle name="STYLE2 2" xfId="1453"/>
    <cellStyle name="STYLE2 2 2" xfId="1454"/>
    <cellStyle name="STYLE2 3" xfId="1455"/>
    <cellStyle name="STYLE3" xfId="1456"/>
    <cellStyle name="STYLE3 2" xfId="1457"/>
    <cellStyle name="STYLE3 2 2" xfId="1458"/>
    <cellStyle name="STYLE3 3" xfId="1459"/>
    <cellStyle name="STYLE3 3 2" xfId="1460"/>
    <cellStyle name="STYLE3 3 3" xfId="1461"/>
    <cellStyle name="STYLE3 4" xfId="1462"/>
    <cellStyle name="STYLE4" xfId="1463"/>
    <cellStyle name="STYLE4 2" xfId="1464"/>
    <cellStyle name="STYLE4 2 2" xfId="1465"/>
    <cellStyle name="STYLE4 3" xfId="1466"/>
    <cellStyle name="STYLE4 4" xfId="1467"/>
    <cellStyle name="STYLE5" xfId="1468"/>
    <cellStyle name="STYLE5 2" xfId="1469"/>
    <cellStyle name="STYLE5 2 2" xfId="1470"/>
    <cellStyle name="STYLE5 2 3" xfId="1471"/>
    <cellStyle name="STYLE5 3" xfId="1472"/>
    <cellStyle name="STYLE5 4" xfId="1473"/>
    <cellStyle name="STYLE5 5" xfId="1474"/>
    <cellStyle name="STYLE5 6" xfId="1475"/>
    <cellStyle name="STYLE6" xfId="1476"/>
    <cellStyle name="STYLE6 2" xfId="1477"/>
    <cellStyle name="STYLE6 2 2" xfId="1478"/>
    <cellStyle name="STYLE6 2 3" xfId="1479"/>
    <cellStyle name="STYLE6 3" xfId="1480"/>
    <cellStyle name="STYLE6 3 2" xfId="1481"/>
    <cellStyle name="STYLE6 4" xfId="1482"/>
    <cellStyle name="STYLE6 5" xfId="1483"/>
    <cellStyle name="STYLE6 6" xfId="1484"/>
    <cellStyle name="STYLE6 7" xfId="1485"/>
    <cellStyle name="STYLE7" xfId="1486"/>
    <cellStyle name="STYLE7 2" xfId="1487"/>
    <cellStyle name="STYLE7 2 2" xfId="1488"/>
    <cellStyle name="STYLE7 2 3" xfId="1489"/>
    <cellStyle name="STYLE7 3" xfId="1490"/>
    <cellStyle name="STYLE7 3 2" xfId="1491"/>
    <cellStyle name="STYLE7 4" xfId="1492"/>
    <cellStyle name="STYLE7 5" xfId="1493"/>
    <cellStyle name="STYLE7 6" xfId="1494"/>
    <cellStyle name="STYLE7 7" xfId="1495"/>
    <cellStyle name="STYLE8" xfId="1496"/>
    <cellStyle name="STYLE8 2" xfId="1497"/>
    <cellStyle name="STYLE8 2 2" xfId="1498"/>
    <cellStyle name="STYLE8 3" xfId="1499"/>
    <cellStyle name="STYLE8 4" xfId="1500"/>
    <cellStyle name="STYLE9" xfId="1501"/>
    <cellStyle name="STYLE9 2" xfId="1502"/>
    <cellStyle name="STYLE9 3" xfId="1503"/>
    <cellStyle name="Table Heading" xfId="1504"/>
    <cellStyle name="Table Title" xfId="1505"/>
    <cellStyle name="Table Units" xfId="1506"/>
    <cellStyle name="Test" xfId="208"/>
    <cellStyle name="Text" xfId="1507"/>
    <cellStyle name="Text 2" xfId="1508"/>
    <cellStyle name="Text 3" xfId="1509"/>
    <cellStyle name="Title" xfId="209" builtinId="15" customBuiltin="1"/>
    <cellStyle name="Title 2" xfId="1510"/>
    <cellStyle name="Title 3" xfId="1511"/>
    <cellStyle name="Title 4" xfId="1512"/>
    <cellStyle name="Title 5" xfId="1513"/>
    <cellStyle name="Title: - Style3" xfId="210"/>
    <cellStyle name="Title: - Style4" xfId="211"/>
    <cellStyle name="Title: Major" xfId="212"/>
    <cellStyle name="Title: Minor" xfId="213"/>
    <cellStyle name="Title: Worksheet" xfId="214"/>
    <cellStyle name="Titles" xfId="215"/>
    <cellStyle name="Total" xfId="216" builtinId="25" customBuiltin="1"/>
    <cellStyle name="Total 2" xfId="1514"/>
    <cellStyle name="Total 3" xfId="1515"/>
    <cellStyle name="Total 4" xfId="1516"/>
    <cellStyle name="Total 5" xfId="1517"/>
    <cellStyle name="Version" xfId="217"/>
    <cellStyle name="Warning Text" xfId="218" builtinId="11" customBuiltin="1"/>
    <cellStyle name="Warning Text 2" xfId="1518"/>
    <cellStyle name="Warning Text 2 2" xfId="1519"/>
    <cellStyle name="Warning Text 3" xfId="1520"/>
    <cellStyle name="Warning Text 4" xfId="1521"/>
    <cellStyle name="Warning Text 5" xfId="1522"/>
  </cellStyles>
  <dxfs count="91">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4"/>
        </patternFill>
      </fill>
    </dxf>
    <dxf>
      <font>
        <color theme="1"/>
      </font>
      <fill>
        <patternFill>
          <bgColor rgb="FFFF0000"/>
        </patternFill>
      </fill>
    </dxf>
    <dxf>
      <font>
        <color theme="0"/>
      </font>
      <fill>
        <patternFill>
          <bgColor rgb="FF00B050"/>
        </patternFill>
      </fill>
    </dxf>
    <dxf>
      <fill>
        <patternFill>
          <bgColor rgb="FF92D050"/>
        </patternFill>
      </fill>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1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09" formatCode="[$-409]mmm\-yy;@"/>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auto="1"/>
        <name val="Arial"/>
        <scheme val="none"/>
      </font>
      <numFmt numFmtId="209" formatCode="[$-409]mmm\-yy;@"/>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top"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208" formatCode="[$-409]d\-mmm\-yy;@"/>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left" vertical="center" textRotation="0" wrapText="0" indent="0" justifyLastLine="0" shrinkToFit="0" readingOrder="0"/>
      <border diagonalUp="0" diagonalDown="0" outline="0">
        <left/>
        <right/>
        <top style="thin">
          <color indexed="64"/>
        </top>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scheme val="none"/>
      </font>
      <numFmt numFmtId="30" formatCode="@"/>
      <fill>
        <patternFill patternType="none">
          <fgColor indexed="64"/>
          <bgColor auto="1"/>
        </patternFill>
      </fill>
      <alignment horizontal="center" vertical="center"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D3DEED"/>
      <rgbColor rgb="00BC3E19"/>
      <rgbColor rgb="00FFFFCC"/>
      <rgbColor rgb="00A78827"/>
      <rgbColor rgb="00E2D3AC"/>
      <rgbColor rgb="00424242"/>
      <rgbColor rgb="000066CC"/>
      <rgbColor rgb="00ACC1DC"/>
      <rgbColor rgb="00000080"/>
      <rgbColor rgb="00FF00FF"/>
      <rgbColor rgb="00FFFF00"/>
      <rgbColor rgb="0000FFFF"/>
      <rgbColor rgb="00800080"/>
      <rgbColor rgb="00800000"/>
      <rgbColor rgb="00008080"/>
      <rgbColor rgb="000000FF"/>
      <rgbColor rgb="005480B8"/>
      <rgbColor rgb="00CCFFFF"/>
      <rgbColor rgb="00CCFFCC"/>
      <rgbColor rgb="00FFFF99"/>
      <rgbColor rgb="0099CCFF"/>
      <rgbColor rgb="00FF99CC"/>
      <rgbColor rgb="00CC99FF"/>
      <rgbColor rgb="00FFCC99"/>
      <rgbColor rgb="003256A0"/>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CC"/>
      <color rgb="FF66FF66"/>
      <color rgb="FFFF7C80"/>
      <color rgb="FFFF6699"/>
      <color rgb="FFFF9999"/>
      <color rgb="FFFF5050"/>
      <color rgb="FFFF3399"/>
      <color rgb="FFFF66CC"/>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3.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90"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93"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sharedStrings" Target="sharedStrings.xml"/><Relationship Id="rId9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Fixed - Variable Cost</a:t>
            </a:r>
            <a:r>
              <a:rPr lang="en-US" b="1" baseline="0"/>
              <a:t> Breakdown</a:t>
            </a:r>
            <a:endParaRPr lang="en-US" b="1"/>
          </a:p>
        </c:rich>
      </c:tx>
      <c:layout>
        <c:manualLayout>
          <c:xMode val="edge"/>
          <c:yMode val="edge"/>
          <c:x val="0.25021114929579685"/>
          <c:y val="0.1084673225691615"/>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explosion val="3"/>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2.4505134484174546E-2"/>
                  <c:y val="0.10571298385777775"/>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192623923220442"/>
                  <c:y val="-0.12340955687220831"/>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11429031701686"/>
                  <c:y val="0.1059085816773649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2909141211666367E-2"/>
                  <c:y val="-0.14782053732397593"/>
                </c:manualLayout>
              </c:layou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'COS_Unbun.'!$E$318:$E$321</c:f>
              <c:strCache>
                <c:ptCount val="4"/>
                <c:pt idx="0">
                  <c:v>Variable Cost</c:v>
                </c:pt>
                <c:pt idx="1">
                  <c:v>Fixed Cost</c:v>
                </c:pt>
                <c:pt idx="2">
                  <c:v>Fixed - Direct / Shared</c:v>
                </c:pt>
                <c:pt idx="3">
                  <c:v>Fixed - Direct</c:v>
                </c:pt>
              </c:strCache>
            </c:strRef>
          </c:cat>
          <c:val>
            <c:numRef>
              <c:f>'COS_Unbun.'!$F$318:$F$321</c:f>
              <c:numCache>
                <c:formatCode>0.0%</c:formatCode>
                <c:ptCount val="4"/>
                <c:pt idx="0">
                  <c:v>5.0096262362307589E-2</c:v>
                </c:pt>
                <c:pt idx="1">
                  <c:v>0.86466565649280325</c:v>
                </c:pt>
                <c:pt idx="2">
                  <c:v>8.0675838823089596E-2</c:v>
                </c:pt>
                <c:pt idx="3">
                  <c:v>4.5622423217996063E-3</c:v>
                </c:pt>
              </c:numCache>
            </c:numRef>
          </c:val>
        </c:ser>
        <c:dLbls>
          <c:showLegendKey val="0"/>
          <c:showVal val="0"/>
          <c:showCatName val="1"/>
          <c:showSerName val="0"/>
          <c:showPercent val="1"/>
          <c:showBubbleSize val="0"/>
          <c:showLeaderLines val="1"/>
        </c:dLbls>
        <c:firstSliceAng val="11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8"/>
          <c:order val="0"/>
          <c:spPr>
            <a:solidFill>
              <a:schemeClr val="accent1"/>
            </a:solidFill>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'Function Cost by Rate Class'!$C$8:$C$16</c:f>
              <c:strCache>
                <c:ptCount val="9"/>
                <c:pt idx="0">
                  <c:v>Residential</c:v>
                </c:pt>
                <c:pt idx="1">
                  <c:v>Irrigation (3)</c:v>
                </c:pt>
                <c:pt idx="2">
                  <c:v>General Service (2) &amp; (PA)</c:v>
                </c:pt>
                <c:pt idx="3">
                  <c:v>Large General Service (7)</c:v>
                </c:pt>
                <c:pt idx="4">
                  <c:v>Industrial (14)</c:v>
                </c:pt>
                <c:pt idx="5">
                  <c:v>Large Industrial (15) &amp; (94)</c:v>
                </c:pt>
                <c:pt idx="6">
                  <c:v>Agricultural Processing (16)</c:v>
                </c:pt>
                <c:pt idx="7">
                  <c:v>Agricultural Boiler (85)</c:v>
                </c:pt>
                <c:pt idx="8">
                  <c:v>Street Lights (6)</c:v>
                </c:pt>
              </c:strCache>
            </c:strRef>
          </c:cat>
          <c:val>
            <c:numRef>
              <c:f>'Function Cost by Rate Class'!$L$8:$L$16</c:f>
              <c:numCache>
                <c:formatCode>0.0%</c:formatCode>
                <c:ptCount val="9"/>
                <c:pt idx="0">
                  <c:v>-0.21718804598254932</c:v>
                </c:pt>
                <c:pt idx="1">
                  <c:v>-0.24152781639312484</c:v>
                </c:pt>
                <c:pt idx="2">
                  <c:v>-0.14944813402370588</c:v>
                </c:pt>
                <c:pt idx="3">
                  <c:v>-0.13579224735640835</c:v>
                </c:pt>
                <c:pt idx="4">
                  <c:v>0.10303479117523</c:v>
                </c:pt>
                <c:pt idx="5">
                  <c:v>0.1440716288787402</c:v>
                </c:pt>
                <c:pt idx="6">
                  <c:v>6.4212804768112378E-2</c:v>
                </c:pt>
                <c:pt idx="7">
                  <c:v>-0.22619506473215523</c:v>
                </c:pt>
                <c:pt idx="8">
                  <c:v>0.24897796297448013</c:v>
                </c:pt>
              </c:numCache>
            </c:numRef>
          </c:val>
        </c:ser>
        <c:dLbls>
          <c:showLegendKey val="0"/>
          <c:showVal val="0"/>
          <c:showCatName val="0"/>
          <c:showSerName val="0"/>
          <c:showPercent val="0"/>
          <c:showBubbleSize val="0"/>
        </c:dLbls>
        <c:gapWidth val="150"/>
        <c:axId val="590442224"/>
        <c:axId val="590442616"/>
      </c:barChart>
      <c:catAx>
        <c:axId val="590442224"/>
        <c:scaling>
          <c:orientation val="minMax"/>
        </c:scaling>
        <c:delete val="0"/>
        <c:axPos val="b"/>
        <c:numFmt formatCode="General" sourceLinked="1"/>
        <c:majorTickMark val="out"/>
        <c:minorTickMark val="none"/>
        <c:tickLblPos val="nextTo"/>
        <c:txPr>
          <a:bodyPr rot="-2820000" vert="horz"/>
          <a:lstStyle/>
          <a:p>
            <a:pPr>
              <a:defRPr/>
            </a:pPr>
            <a:endParaRPr lang="en-US"/>
          </a:p>
        </c:txPr>
        <c:crossAx val="590442616"/>
        <c:crosses val="autoZero"/>
        <c:auto val="1"/>
        <c:lblAlgn val="ctr"/>
        <c:lblOffset val="300"/>
        <c:noMultiLvlLbl val="0"/>
      </c:catAx>
      <c:valAx>
        <c:axId val="590442616"/>
        <c:scaling>
          <c:orientation val="minMax"/>
        </c:scaling>
        <c:delete val="0"/>
        <c:axPos val="l"/>
        <c:majorGridlines>
          <c:spPr>
            <a:ln>
              <a:solidFill>
                <a:schemeClr val="bg1">
                  <a:lumMod val="75000"/>
                </a:schemeClr>
              </a:solidFill>
              <a:prstDash val="solid"/>
            </a:ln>
          </c:spPr>
        </c:majorGridlines>
        <c:numFmt formatCode="0%" sourceLinked="0"/>
        <c:majorTickMark val="out"/>
        <c:minorTickMark val="none"/>
        <c:tickLblPos val="nextTo"/>
        <c:crossAx val="5904422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COS_Summ!A1"/><Relationship Id="rId3" Type="http://schemas.openxmlformats.org/officeDocument/2006/relationships/image" Target="../media/image2.png"/><Relationship Id="rId7" Type="http://schemas.openxmlformats.org/officeDocument/2006/relationships/hyperlink" Target="#'Fin Forecast - Elec'!A1"/><Relationship Id="rId2" Type="http://schemas.openxmlformats.org/officeDocument/2006/relationships/hyperlink" Target="#Main!A1"/><Relationship Id="rId1" Type="http://schemas.openxmlformats.org/officeDocument/2006/relationships/image" Target="../media/image1.jpeg"/><Relationship Id="rId6" Type="http://schemas.openxmlformats.org/officeDocument/2006/relationships/hyperlink" Target="#'COS_RR (top sheet)'!A1"/><Relationship Id="rId5" Type="http://schemas.openxmlformats.org/officeDocument/2006/relationships/hyperlink" Target="#Rev!A1"/><Relationship Id="rId10" Type="http://schemas.openxmlformats.org/officeDocument/2006/relationships/hyperlink" Target="#Contacts!A1"/><Relationship Id="rId4" Type="http://schemas.openxmlformats.org/officeDocument/2006/relationships/hyperlink" Target="#Dashboard"/><Relationship Id="rId9"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1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1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1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1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18.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19.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2.xml.rels><?xml version="1.0" encoding="UTF-8" standalone="yes"?>
<Relationships xmlns="http://schemas.openxmlformats.org/package/2006/relationships"><Relationship Id="rId8" Type="http://schemas.openxmlformats.org/officeDocument/2006/relationships/hyperlink" Target="#'Rate Dsn'!A1"/><Relationship Id="rId3" Type="http://schemas.openxmlformats.org/officeDocument/2006/relationships/hyperlink" Target="#Revenue!B9"/><Relationship Id="rId7" Type="http://schemas.openxmlformats.org/officeDocument/2006/relationships/hyperlink" Target="#COS!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rcst'!A1"/><Relationship Id="rId11" Type="http://schemas.openxmlformats.org/officeDocument/2006/relationships/hyperlink" Target="#Support!A1"/><Relationship Id="rId5" Type="http://schemas.openxmlformats.org/officeDocument/2006/relationships/hyperlink" Target="#'Rev Req'!A1"/><Relationship Id="rId10" Type="http://schemas.openxmlformats.org/officeDocument/2006/relationships/image" Target="../media/image4.png"/><Relationship Id="rId4" Type="http://schemas.openxmlformats.org/officeDocument/2006/relationships/hyperlink" Target="#Revenue!A1"/><Relationship Id="rId9" Type="http://schemas.openxmlformats.org/officeDocument/2006/relationships/hyperlink" Target="#Other!A1"/></Relationships>
</file>

<file path=xl/drawings/_rels/drawing2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2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2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2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2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2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2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2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28.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29.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3.xml.rels><?xml version="1.0" encoding="UTF-8" standalone="yes"?>
<Relationships xmlns="http://schemas.openxmlformats.org/package/2006/relationships"><Relationship Id="rId8" Type="http://schemas.openxmlformats.org/officeDocument/2006/relationships/hyperlink" Target="#'Rate Dsn'!A1"/><Relationship Id="rId3" Type="http://schemas.openxmlformats.org/officeDocument/2006/relationships/hyperlink" Target="#'Rev Req'!B9"/><Relationship Id="rId7" Type="http://schemas.openxmlformats.org/officeDocument/2006/relationships/hyperlink" Target="#COS!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rcst'!A1"/><Relationship Id="rId11" Type="http://schemas.openxmlformats.org/officeDocument/2006/relationships/hyperlink" Target="#Support!A1"/><Relationship Id="rId5" Type="http://schemas.openxmlformats.org/officeDocument/2006/relationships/hyperlink" Target="#'Rev Req'!A1"/><Relationship Id="rId10" Type="http://schemas.openxmlformats.org/officeDocument/2006/relationships/image" Target="../media/image4.png"/><Relationship Id="rId4" Type="http://schemas.openxmlformats.org/officeDocument/2006/relationships/hyperlink" Target="#Revenue!A1"/><Relationship Id="rId9" Type="http://schemas.openxmlformats.org/officeDocument/2006/relationships/hyperlink" Target="#Other!A1"/></Relationships>
</file>

<file path=xl/drawings/_rels/drawing30.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3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3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3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3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3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3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3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38.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39.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4.xml.rels><?xml version="1.0" encoding="UTF-8" standalone="yes"?>
<Relationships xmlns="http://schemas.openxmlformats.org/package/2006/relationships"><Relationship Id="rId8" Type="http://schemas.openxmlformats.org/officeDocument/2006/relationships/hyperlink" Target="#'Rate Dsn'!A1"/><Relationship Id="rId3" Type="http://schemas.openxmlformats.org/officeDocument/2006/relationships/hyperlink" Target="#'Fin Frcst'!B9"/><Relationship Id="rId7" Type="http://schemas.openxmlformats.org/officeDocument/2006/relationships/hyperlink" Target="#COS!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rcst'!A1"/><Relationship Id="rId11" Type="http://schemas.openxmlformats.org/officeDocument/2006/relationships/hyperlink" Target="#Support!A1"/><Relationship Id="rId5" Type="http://schemas.openxmlformats.org/officeDocument/2006/relationships/hyperlink" Target="#'Rev Req'!A1"/><Relationship Id="rId10" Type="http://schemas.openxmlformats.org/officeDocument/2006/relationships/image" Target="../media/image4.png"/><Relationship Id="rId4" Type="http://schemas.openxmlformats.org/officeDocument/2006/relationships/hyperlink" Target="#Revenue!A1"/><Relationship Id="rId9" Type="http://schemas.openxmlformats.org/officeDocument/2006/relationships/hyperlink" Target="#Other!A1"/></Relationships>
</file>

<file path=xl/drawings/_rels/drawing40.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10" Type="http://schemas.openxmlformats.org/officeDocument/2006/relationships/chart" Target="../charts/chart1.xml"/><Relationship Id="rId4" Type="http://schemas.openxmlformats.org/officeDocument/2006/relationships/hyperlink" Target="#Rev!A1"/><Relationship Id="rId9" Type="http://schemas.openxmlformats.org/officeDocument/2006/relationships/hyperlink" Target="#Contacts!A1"/></Relationships>
</file>

<file path=xl/drawings/_rels/drawing4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42.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4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4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45.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4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4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4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49.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5.xml.rels><?xml version="1.0" encoding="UTF-8" standalone="yes"?>
<Relationships xmlns="http://schemas.openxmlformats.org/package/2006/relationships"><Relationship Id="rId8" Type="http://schemas.openxmlformats.org/officeDocument/2006/relationships/hyperlink" Target="#'Rate Dsn'!A1"/><Relationship Id="rId3" Type="http://schemas.openxmlformats.org/officeDocument/2006/relationships/hyperlink" Target="#COS!B9"/><Relationship Id="rId7" Type="http://schemas.openxmlformats.org/officeDocument/2006/relationships/hyperlink" Target="#COS!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rcst'!A1"/><Relationship Id="rId11" Type="http://schemas.openxmlformats.org/officeDocument/2006/relationships/hyperlink" Target="#Support!A1"/><Relationship Id="rId5" Type="http://schemas.openxmlformats.org/officeDocument/2006/relationships/hyperlink" Target="#'Rev Req'!A1"/><Relationship Id="rId10" Type="http://schemas.openxmlformats.org/officeDocument/2006/relationships/image" Target="../media/image4.png"/><Relationship Id="rId4" Type="http://schemas.openxmlformats.org/officeDocument/2006/relationships/hyperlink" Target="#Revenue!A1"/><Relationship Id="rId9" Type="http://schemas.openxmlformats.org/officeDocument/2006/relationships/hyperlink" Target="#Other!A1"/></Relationships>
</file>

<file path=xl/drawings/_rels/drawing5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5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5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53.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5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55.xml.rels><?xml version="1.0" encoding="UTF-8" standalone="yes"?>
<Relationships xmlns="http://schemas.openxmlformats.org/package/2006/relationships"><Relationship Id="rId8" Type="http://schemas.openxmlformats.org/officeDocument/2006/relationships/hyperlink" Target="#COS_Summ!A1"/><Relationship Id="rId3" Type="http://schemas.openxmlformats.org/officeDocument/2006/relationships/image" Target="../media/image2.png"/><Relationship Id="rId7" Type="http://schemas.openxmlformats.org/officeDocument/2006/relationships/hyperlink" Target="#'Fin Forecast - Elec'!A1"/><Relationship Id="rId2" Type="http://schemas.openxmlformats.org/officeDocument/2006/relationships/hyperlink" Target="#Main!A1"/><Relationship Id="rId1" Type="http://schemas.openxmlformats.org/officeDocument/2006/relationships/image" Target="../media/image12.jpeg"/><Relationship Id="rId6" Type="http://schemas.openxmlformats.org/officeDocument/2006/relationships/hyperlink" Target="#'COS_RR (top sheet)'!A1"/><Relationship Id="rId5" Type="http://schemas.openxmlformats.org/officeDocument/2006/relationships/hyperlink" Target="#Rev!A1"/><Relationship Id="rId10" Type="http://schemas.openxmlformats.org/officeDocument/2006/relationships/hyperlink" Target="#Contacts!A1"/><Relationship Id="rId4" Type="http://schemas.openxmlformats.org/officeDocument/2006/relationships/hyperlink" Target="#Dashboard"/><Relationship Id="rId9" Type="http://schemas.openxmlformats.org/officeDocument/2006/relationships/image" Target="../media/image3.png"/></Relationships>
</file>

<file path=xl/drawings/_rels/drawing5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5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5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59.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6.xml.rels><?xml version="1.0" encoding="UTF-8" standalone="yes"?>
<Relationships xmlns="http://schemas.openxmlformats.org/package/2006/relationships"><Relationship Id="rId8" Type="http://schemas.openxmlformats.org/officeDocument/2006/relationships/hyperlink" Target="#'Rate Dsn'!A1"/><Relationship Id="rId3" Type="http://schemas.openxmlformats.org/officeDocument/2006/relationships/hyperlink" Target="#'Rate Dsn'!B9"/><Relationship Id="rId7" Type="http://schemas.openxmlformats.org/officeDocument/2006/relationships/hyperlink" Target="#COS!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rcst'!A1"/><Relationship Id="rId11" Type="http://schemas.openxmlformats.org/officeDocument/2006/relationships/hyperlink" Target="#Support!A1"/><Relationship Id="rId5" Type="http://schemas.openxmlformats.org/officeDocument/2006/relationships/hyperlink" Target="#'Rev Req'!A1"/><Relationship Id="rId10" Type="http://schemas.openxmlformats.org/officeDocument/2006/relationships/image" Target="../media/image4.png"/><Relationship Id="rId4" Type="http://schemas.openxmlformats.org/officeDocument/2006/relationships/hyperlink" Target="#Revenue!A1"/><Relationship Id="rId9" Type="http://schemas.openxmlformats.org/officeDocument/2006/relationships/hyperlink" Target="#Other!A1"/></Relationships>
</file>

<file path=xl/drawings/_rels/drawing60.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6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6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63.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6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6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6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67.xml.rels><?xml version="1.0" encoding="UTF-8" standalone="yes"?>
<Relationships xmlns="http://schemas.openxmlformats.org/package/2006/relationships"><Relationship Id="rId8" Type="http://schemas.openxmlformats.org/officeDocument/2006/relationships/hyperlink" Target="#COS_Summ!A1"/><Relationship Id="rId3" Type="http://schemas.openxmlformats.org/officeDocument/2006/relationships/image" Target="../media/image2.png"/><Relationship Id="rId7" Type="http://schemas.openxmlformats.org/officeDocument/2006/relationships/hyperlink" Target="#'Fin Forecast - Elec'!A1"/><Relationship Id="rId2" Type="http://schemas.openxmlformats.org/officeDocument/2006/relationships/hyperlink" Target="#Main!A1"/><Relationship Id="rId1" Type="http://schemas.openxmlformats.org/officeDocument/2006/relationships/chart" Target="../charts/chart2.xml"/><Relationship Id="rId6" Type="http://schemas.openxmlformats.org/officeDocument/2006/relationships/hyperlink" Target="#'COS_RR (top sheet)'!A1"/><Relationship Id="rId5" Type="http://schemas.openxmlformats.org/officeDocument/2006/relationships/hyperlink" Target="#Rev!A1"/><Relationship Id="rId10" Type="http://schemas.openxmlformats.org/officeDocument/2006/relationships/hyperlink" Target="#Contacts!A1"/><Relationship Id="rId4" Type="http://schemas.openxmlformats.org/officeDocument/2006/relationships/hyperlink" Target="#Dashboard"/><Relationship Id="rId9" Type="http://schemas.openxmlformats.org/officeDocument/2006/relationships/image" Target="../media/image13.png"/></Relationships>
</file>

<file path=xl/drawings/_rels/drawing68.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Dashboard"/><Relationship Id="rId7" Type="http://schemas.openxmlformats.org/officeDocument/2006/relationships/hyperlink" Target="#COS_Summ!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orecast - Elec'!A1"/><Relationship Id="rId5" Type="http://schemas.openxmlformats.org/officeDocument/2006/relationships/hyperlink" Target="#'COS_RR (top sheet)'!A1"/><Relationship Id="rId4" Type="http://schemas.openxmlformats.org/officeDocument/2006/relationships/hyperlink" Target="#Rev!A1"/><Relationship Id="rId9" Type="http://schemas.openxmlformats.org/officeDocument/2006/relationships/hyperlink" Target="#Contacts!A1"/></Relationships>
</file>

<file path=xl/drawings/_rels/drawing7.xml.rels><?xml version="1.0" encoding="UTF-8" standalone="yes"?>
<Relationships xmlns="http://schemas.openxmlformats.org/package/2006/relationships"><Relationship Id="rId8" Type="http://schemas.openxmlformats.org/officeDocument/2006/relationships/hyperlink" Target="#'Rate Dsn'!A1"/><Relationship Id="rId3" Type="http://schemas.openxmlformats.org/officeDocument/2006/relationships/hyperlink" Target="#Other!B9"/><Relationship Id="rId7" Type="http://schemas.openxmlformats.org/officeDocument/2006/relationships/hyperlink" Target="#COS!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rcst'!A1"/><Relationship Id="rId11" Type="http://schemas.openxmlformats.org/officeDocument/2006/relationships/hyperlink" Target="#Support!A1"/><Relationship Id="rId5" Type="http://schemas.openxmlformats.org/officeDocument/2006/relationships/hyperlink" Target="#'Rev Req'!A1"/><Relationship Id="rId10" Type="http://schemas.openxmlformats.org/officeDocument/2006/relationships/image" Target="../media/image4.png"/><Relationship Id="rId4" Type="http://schemas.openxmlformats.org/officeDocument/2006/relationships/hyperlink" Target="#Revenue!A1"/><Relationship Id="rId9" Type="http://schemas.openxmlformats.org/officeDocument/2006/relationships/hyperlink" Target="#Other!A1"/></Relationships>
</file>

<file path=xl/drawings/_rels/drawing8.xml.rels><?xml version="1.0" encoding="UTF-8" standalone="yes"?>
<Relationships xmlns="http://schemas.openxmlformats.org/package/2006/relationships"><Relationship Id="rId8" Type="http://schemas.openxmlformats.org/officeDocument/2006/relationships/hyperlink" Target="#'Rate Dsn'!A1"/><Relationship Id="rId3" Type="http://schemas.openxmlformats.org/officeDocument/2006/relationships/hyperlink" Target="#Support!B9"/><Relationship Id="rId7" Type="http://schemas.openxmlformats.org/officeDocument/2006/relationships/hyperlink" Target="#COS!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rcst'!A1"/><Relationship Id="rId11" Type="http://schemas.openxmlformats.org/officeDocument/2006/relationships/hyperlink" Target="#Support!A1"/><Relationship Id="rId5" Type="http://schemas.openxmlformats.org/officeDocument/2006/relationships/hyperlink" Target="#'Rev Req'!A1"/><Relationship Id="rId10" Type="http://schemas.openxmlformats.org/officeDocument/2006/relationships/image" Target="../media/image4.png"/><Relationship Id="rId4" Type="http://schemas.openxmlformats.org/officeDocument/2006/relationships/hyperlink" Target="#Revenue!A1"/><Relationship Id="rId9" Type="http://schemas.openxmlformats.org/officeDocument/2006/relationships/hyperlink" Target="#Other!A1"/></Relationships>
</file>

<file path=xl/drawings/_rels/drawing9.xml.rels><?xml version="1.0" encoding="UTF-8" standalone="yes"?>
<Relationships xmlns="http://schemas.openxmlformats.org/package/2006/relationships"><Relationship Id="rId8" Type="http://schemas.openxmlformats.org/officeDocument/2006/relationships/hyperlink" Target="#'Rate Dsn'!A1"/><Relationship Id="rId3" Type="http://schemas.openxmlformats.org/officeDocument/2006/relationships/hyperlink" Target="#Index!B9"/><Relationship Id="rId7" Type="http://schemas.openxmlformats.org/officeDocument/2006/relationships/hyperlink" Target="#COS!A1"/><Relationship Id="rId2" Type="http://schemas.openxmlformats.org/officeDocument/2006/relationships/image" Target="../media/image2.png"/><Relationship Id="rId1" Type="http://schemas.openxmlformats.org/officeDocument/2006/relationships/hyperlink" Target="#Main!A1"/><Relationship Id="rId6" Type="http://schemas.openxmlformats.org/officeDocument/2006/relationships/hyperlink" Target="#'Fin Frcst'!A1"/><Relationship Id="rId11" Type="http://schemas.openxmlformats.org/officeDocument/2006/relationships/hyperlink" Target="#Support!A1"/><Relationship Id="rId5" Type="http://schemas.openxmlformats.org/officeDocument/2006/relationships/hyperlink" Target="#'Rev Req'!A1"/><Relationship Id="rId10" Type="http://schemas.openxmlformats.org/officeDocument/2006/relationships/image" Target="../media/image4.png"/><Relationship Id="rId4" Type="http://schemas.openxmlformats.org/officeDocument/2006/relationships/hyperlink" Target="#Revenue!A1"/><Relationship Id="rId9" Type="http://schemas.openxmlformats.org/officeDocument/2006/relationships/hyperlink" Target="#Other!A1"/></Relationships>
</file>

<file path=xl/drawings/drawing1.xml><?xml version="1.0" encoding="utf-8"?>
<xdr:wsDr xmlns:xdr="http://schemas.openxmlformats.org/drawingml/2006/spreadsheetDrawing" xmlns:a="http://schemas.openxmlformats.org/drawingml/2006/main">
  <xdr:twoCellAnchor>
    <xdr:from>
      <xdr:col>7</xdr:col>
      <xdr:colOff>142875</xdr:colOff>
      <xdr:row>26</xdr:row>
      <xdr:rowOff>28575</xdr:rowOff>
    </xdr:from>
    <xdr:to>
      <xdr:col>9</xdr:col>
      <xdr:colOff>600075</xdr:colOff>
      <xdr:row>28</xdr:row>
      <xdr:rowOff>85725</xdr:rowOff>
    </xdr:to>
    <xdr:sp macro="[0]!Saveas" textlink="">
      <xdr:nvSpPr>
        <xdr:cNvPr id="67585" name="AutoShape 23" descr="39dadd8e-2442-4305-bc0b-77bae2f53b8d"/>
        <xdr:cNvSpPr>
          <a:spLocks noChangeArrowheads="1"/>
        </xdr:cNvSpPr>
      </xdr:nvSpPr>
      <xdr:spPr bwMode="auto">
        <a:xfrm>
          <a:off x="5457825" y="5229225"/>
          <a:ext cx="1828800" cy="457200"/>
        </a:xfrm>
        <a:prstGeom prst="roundRect">
          <a:avLst>
            <a:gd name="adj" fmla="val 16667"/>
          </a:avLst>
        </a:prstGeom>
        <a:solidFill>
          <a:srgbClr val="5480B8"/>
        </a:solidFill>
        <a:ln w="9525" algn="ctr">
          <a:solidFill>
            <a:srgbClr val="FFFFFF"/>
          </a:solidFill>
          <a:round/>
          <a:headEnd/>
          <a:tailEnd/>
        </a:ln>
        <a:effectLst>
          <a:outerShdw dist="35921" dir="2700000" algn="ctr" rotWithShape="0">
            <a:srgbClr val="333333"/>
          </a:outerShdw>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"SAVE AS" MODEL</a:t>
          </a:r>
        </a:p>
      </xdr:txBody>
    </xdr:sp>
    <xdr:clientData/>
  </xdr:twoCellAnchor>
  <xdr:twoCellAnchor>
    <xdr:from>
      <xdr:col>2</xdr:col>
      <xdr:colOff>66675</xdr:colOff>
      <xdr:row>13</xdr:row>
      <xdr:rowOff>76200</xdr:rowOff>
    </xdr:from>
    <xdr:to>
      <xdr:col>15</xdr:col>
      <xdr:colOff>66675</xdr:colOff>
      <xdr:row>19</xdr:row>
      <xdr:rowOff>0</xdr:rowOff>
    </xdr:to>
    <xdr:sp macro="" textlink="">
      <xdr:nvSpPr>
        <xdr:cNvPr id="67586" name="Text Box 25"/>
        <xdr:cNvSpPr txBox="1">
          <a:spLocks noChangeArrowheads="1"/>
        </xdr:cNvSpPr>
      </xdr:nvSpPr>
      <xdr:spPr bwMode="auto">
        <a:xfrm>
          <a:off x="1952625" y="2676525"/>
          <a:ext cx="8915400" cy="1123950"/>
        </a:xfrm>
        <a:prstGeom prst="rect">
          <a:avLst/>
        </a:prstGeom>
        <a:solidFill>
          <a:srgbClr val="C0C0C0"/>
        </a:solidFill>
        <a:ln w="25400" algn="ctr">
          <a:solidFill>
            <a:srgbClr val="FFFFFF"/>
          </a:solidFill>
          <a:miter lim="800000"/>
          <a:headEnd/>
          <a:tailEnd/>
        </a:ln>
      </xdr:spPr>
      <xdr:txBody>
        <a:bodyPr vertOverflow="clip" wrap="square" lIns="91440" tIns="0" rIns="91440" bIns="45720" anchor="t" upright="1"/>
        <a:lstStyle/>
        <a:p>
          <a:pPr algn="l" rtl="0">
            <a:lnSpc>
              <a:spcPts val="1200"/>
            </a:lnSpc>
            <a:defRPr sz="1000"/>
          </a:pPr>
          <a:r>
            <a:rPr lang="en-US" sz="1200" b="1" i="0" u="none" strike="noStrike" baseline="0">
              <a:solidFill>
                <a:srgbClr val="000000"/>
              </a:solidFill>
              <a:latin typeface="Times New Roman"/>
              <a:cs typeface="Times New Roman"/>
            </a:rPr>
            <a:t>USER COMMENTS</a:t>
          </a:r>
          <a:r>
            <a:rPr lang="en-US" sz="1200" b="0" i="0" u="none" strike="noStrike" baseline="0">
              <a:solidFill>
                <a:srgbClr val="000000"/>
              </a:solidFill>
              <a:latin typeface="Times New Roman"/>
              <a:cs typeface="Times New Roman"/>
            </a:rPr>
            <a:t>:</a:t>
          </a:r>
        </a:p>
        <a:p>
          <a:pPr algn="l" rtl="0">
            <a:lnSpc>
              <a:spcPts val="1200"/>
            </a:lnSpc>
            <a:defRPr sz="1000"/>
          </a:pPr>
          <a:endParaRPr lang="en-US" sz="1200" b="0" i="0" u="none" strike="noStrike" baseline="0">
            <a:solidFill>
              <a:srgbClr val="000000"/>
            </a:solidFill>
            <a:latin typeface="Times New Roman"/>
            <a:cs typeface="Times New Roman"/>
          </a:endParaRPr>
        </a:p>
        <a:p>
          <a:pPr algn="l" rtl="0">
            <a:lnSpc>
              <a:spcPts val="1200"/>
            </a:lnSpc>
            <a:defRPr sz="1000"/>
          </a:pPr>
          <a:endParaRPr lang="en-US" sz="1200" b="0" i="0" u="none" strike="noStrike" baseline="0">
            <a:solidFill>
              <a:srgbClr val="000000"/>
            </a:solidFill>
            <a:latin typeface="Times New Roman"/>
            <a:cs typeface="Times New Roman"/>
          </a:endParaRPr>
        </a:p>
        <a:p>
          <a:pPr algn="l" rtl="0">
            <a:lnSpc>
              <a:spcPts val="1200"/>
            </a:lnSpc>
            <a:defRPr sz="1000"/>
          </a:pPr>
          <a:endParaRPr lang="en-US" sz="1200" b="0" i="0" u="none" strike="noStrike" baseline="0">
            <a:solidFill>
              <a:srgbClr val="000000"/>
            </a:solidFill>
            <a:latin typeface="Times New Roman"/>
            <a:cs typeface="Times New Roman"/>
          </a:endParaRPr>
        </a:p>
        <a:p>
          <a:pPr algn="l" rtl="0">
            <a:lnSpc>
              <a:spcPts val="1200"/>
            </a:lnSpc>
            <a:defRPr sz="1000"/>
          </a:pPr>
          <a:endParaRPr lang="en-US" sz="1200" b="0" i="0" u="none" strike="noStrike" baseline="0">
            <a:solidFill>
              <a:srgbClr val="000000"/>
            </a:solidFill>
            <a:latin typeface="Times New Roman"/>
            <a:cs typeface="Times New Roman"/>
          </a:endParaRPr>
        </a:p>
        <a:p>
          <a:pPr algn="l" rtl="0">
            <a:lnSpc>
              <a:spcPts val="1300"/>
            </a:lnSpc>
            <a:defRPr sz="1000"/>
          </a:pPr>
          <a:endParaRPr lang="en-US" sz="1200" b="0" i="0" u="none" strike="noStrike" baseline="0">
            <a:solidFill>
              <a:srgbClr val="000000"/>
            </a:solidFill>
            <a:latin typeface="Times New Roman"/>
            <a:cs typeface="Times New Roman"/>
          </a:endParaRPr>
        </a:p>
        <a:p>
          <a:pPr algn="l" rtl="0">
            <a:lnSpc>
              <a:spcPts val="1200"/>
            </a:lnSpc>
            <a:defRPr sz="1000"/>
          </a:pPr>
          <a:endParaRPr lang="en-US" sz="1200" b="0" i="0" u="none" strike="noStrike" baseline="0">
            <a:solidFill>
              <a:srgbClr val="000000"/>
            </a:solidFill>
            <a:latin typeface="Times New Roman"/>
            <a:cs typeface="Times New Roman"/>
          </a:endParaRPr>
        </a:p>
        <a:p>
          <a:pPr algn="l" rtl="0">
            <a:lnSpc>
              <a:spcPts val="1200"/>
            </a:lnSpc>
            <a:defRPr sz="1000"/>
          </a:pPr>
          <a:endParaRPr lang="en-US" sz="1200" b="0" i="0" u="none" strike="noStrike" baseline="0">
            <a:solidFill>
              <a:srgbClr val="000000"/>
            </a:solidFill>
            <a:latin typeface="Times New Roman"/>
            <a:cs typeface="Times New Roman"/>
          </a:endParaRPr>
        </a:p>
      </xdr:txBody>
    </xdr:sp>
    <xdr:clientData/>
  </xdr:twoCellAnchor>
  <xdr:twoCellAnchor>
    <xdr:from>
      <xdr:col>7</xdr:col>
      <xdr:colOff>152400</xdr:colOff>
      <xdr:row>20</xdr:row>
      <xdr:rowOff>38100</xdr:rowOff>
    </xdr:from>
    <xdr:to>
      <xdr:col>9</xdr:col>
      <xdr:colOff>609600</xdr:colOff>
      <xdr:row>22</xdr:row>
      <xdr:rowOff>95250</xdr:rowOff>
    </xdr:to>
    <xdr:sp macro="[0]!Save" textlink="">
      <xdr:nvSpPr>
        <xdr:cNvPr id="67587" name="AutoShape 23" descr="14eb02ff-eaec-4d5d-9658-5d15e5b009e2"/>
        <xdr:cNvSpPr>
          <a:spLocks noChangeArrowheads="1"/>
        </xdr:cNvSpPr>
      </xdr:nvSpPr>
      <xdr:spPr bwMode="auto">
        <a:xfrm>
          <a:off x="5467350" y="4038600"/>
          <a:ext cx="1828800" cy="457200"/>
        </a:xfrm>
        <a:prstGeom prst="roundRect">
          <a:avLst>
            <a:gd name="adj" fmla="val 16667"/>
          </a:avLst>
        </a:prstGeom>
        <a:solidFill>
          <a:srgbClr val="5480B8"/>
        </a:solidFill>
        <a:ln w="9525" algn="ctr">
          <a:solidFill>
            <a:srgbClr val="FFFFFF"/>
          </a:solidFill>
          <a:round/>
          <a:headEnd/>
          <a:tailEnd/>
        </a:ln>
        <a:effectLst>
          <a:outerShdw dist="35921" dir="2700000" algn="ctr" rotWithShape="0">
            <a:srgbClr val="333333"/>
          </a:outerShdw>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SAVE MODEL</a:t>
          </a:r>
        </a:p>
      </xdr:txBody>
    </xdr:sp>
    <xdr:clientData/>
  </xdr:twoCellAnchor>
  <xdr:twoCellAnchor>
    <xdr:from>
      <xdr:col>7</xdr:col>
      <xdr:colOff>152400</xdr:colOff>
      <xdr:row>23</xdr:row>
      <xdr:rowOff>28575</xdr:rowOff>
    </xdr:from>
    <xdr:to>
      <xdr:col>9</xdr:col>
      <xdr:colOff>609600</xdr:colOff>
      <xdr:row>25</xdr:row>
      <xdr:rowOff>85725</xdr:rowOff>
    </xdr:to>
    <xdr:sp macro="[0]!SaveClose" textlink="">
      <xdr:nvSpPr>
        <xdr:cNvPr id="67588" name="AutoShape 23" descr="36d2e2a1-6e7e-49dc-9b15-92f9eb74e12f"/>
        <xdr:cNvSpPr>
          <a:spLocks noChangeArrowheads="1"/>
        </xdr:cNvSpPr>
      </xdr:nvSpPr>
      <xdr:spPr bwMode="auto">
        <a:xfrm>
          <a:off x="5467350" y="4629150"/>
          <a:ext cx="1828800" cy="457200"/>
        </a:xfrm>
        <a:prstGeom prst="roundRect">
          <a:avLst>
            <a:gd name="adj" fmla="val 16667"/>
          </a:avLst>
        </a:prstGeom>
        <a:solidFill>
          <a:srgbClr val="5480B8"/>
        </a:solidFill>
        <a:ln w="9525" algn="ctr">
          <a:solidFill>
            <a:srgbClr val="FFFFFF"/>
          </a:solidFill>
          <a:round/>
          <a:headEnd/>
          <a:tailEnd/>
        </a:ln>
        <a:effectLst>
          <a:outerShdw dist="35921" dir="2700000" algn="ctr" rotWithShape="0">
            <a:srgbClr val="333333"/>
          </a:outerShdw>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SAVE &amp; CLOSE MODEL</a:t>
          </a:r>
        </a:p>
      </xdr:txBody>
    </xdr:sp>
    <xdr:clientData/>
  </xdr:twoCellAnchor>
  <xdr:twoCellAnchor>
    <xdr:from>
      <xdr:col>11</xdr:col>
      <xdr:colOff>638175</xdr:colOff>
      <xdr:row>20</xdr:row>
      <xdr:rowOff>66675</xdr:rowOff>
    </xdr:from>
    <xdr:to>
      <xdr:col>15</xdr:col>
      <xdr:colOff>38100</xdr:colOff>
      <xdr:row>26</xdr:row>
      <xdr:rowOff>190500</xdr:rowOff>
    </xdr:to>
    <xdr:pic>
      <xdr:nvPicPr>
        <xdr:cNvPr id="7111152" name="Picture 6" descr="Electri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2632" r="17894"/>
        <a:stretch>
          <a:fillRect/>
        </a:stretch>
      </xdr:blipFill>
      <xdr:spPr bwMode="auto">
        <a:xfrm>
          <a:off x="8696325" y="4067175"/>
          <a:ext cx="21431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20</xdr:row>
      <xdr:rowOff>66675</xdr:rowOff>
    </xdr:from>
    <xdr:to>
      <xdr:col>5</xdr:col>
      <xdr:colOff>28575</xdr:colOff>
      <xdr:row>26</xdr:row>
      <xdr:rowOff>114300</xdr:rowOff>
    </xdr:to>
    <xdr:pic>
      <xdr:nvPicPr>
        <xdr:cNvPr id="7111153" name="Picture 7" descr="Electri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5790" r="46841"/>
        <a:stretch>
          <a:fillRect/>
        </a:stretch>
      </xdr:blipFill>
      <xdr:spPr bwMode="auto">
        <a:xfrm>
          <a:off x="1990725" y="4067175"/>
          <a:ext cx="19812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1714500</xdr:colOff>
      <xdr:row>17</xdr:row>
      <xdr:rowOff>161925</xdr:rowOff>
    </xdr:to>
    <xdr:grpSp>
      <xdr:nvGrpSpPr>
        <xdr:cNvPr id="7111154" name="Group 2"/>
        <xdr:cNvGrpSpPr>
          <a:grpSpLocks/>
        </xdr:cNvGrpSpPr>
      </xdr:nvGrpSpPr>
      <xdr:grpSpPr bwMode="auto">
        <a:xfrm>
          <a:off x="0" y="0"/>
          <a:ext cx="1714500" cy="3602831"/>
          <a:chOff x="0" y="0"/>
          <a:chExt cx="1714500" cy="3602831"/>
        </a:xfrm>
      </xdr:grpSpPr>
      <xdr:pic>
        <xdr:nvPicPr>
          <xdr:cNvPr id="7111155" name="Picture 9" descr="Another Button copy">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67594" name="Text Box 10">
            <a:hlinkClick xmlns:r="http://schemas.openxmlformats.org/officeDocument/2006/relationships" r:id="rId2"/>
          </xdr:cNvPr>
          <xdr:cNvSpPr txBox="1">
            <a:spLocks noChangeArrowheads="1" noTextEdit="1"/>
          </xdr:cNvSpPr>
        </xdr:nvSpPr>
        <xdr:spPr bwMode="auto">
          <a:xfrm>
            <a:off x="304800" y="9633"/>
            <a:ext cx="1123950" cy="3949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418E38D-39C4-491F-B0A0-7BB125CB96E1}"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11157" name="Picture 11"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1158" name="Picture 13"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67598" name="Text Box 14">
            <a:hlinkClick xmlns:r="http://schemas.openxmlformats.org/officeDocument/2006/relationships" r:id="rId5"/>
          </xdr:cNvPr>
          <xdr:cNvSpPr txBox="1">
            <a:spLocks noChangeArrowheads="1" noTextEdit="1"/>
          </xdr:cNvSpPr>
        </xdr:nvSpPr>
        <xdr:spPr bwMode="auto">
          <a:xfrm>
            <a:off x="295275" y="866991"/>
            <a:ext cx="1143000" cy="404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DAC15DF-DFEE-4694-9056-8F4DB64B5E6A}"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11160" name="Picture 15"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67600" name="Text Box 16">
            <a:hlinkClick xmlns:r="http://schemas.openxmlformats.org/officeDocument/2006/relationships" r:id="rId6"/>
          </xdr:cNvPr>
          <xdr:cNvSpPr txBox="1">
            <a:spLocks noChangeArrowheads="1" noTextEdit="1"/>
          </xdr:cNvSpPr>
        </xdr:nvSpPr>
        <xdr:spPr bwMode="auto">
          <a:xfrm>
            <a:off x="47625" y="1300487"/>
            <a:ext cx="1552575" cy="38533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B252D5D-23CA-46A2-A16E-1D1ECA469BC8}"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11162" name="Picture 17"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67602" name="Text Box 18">
            <a:hlinkClick xmlns:r="http://schemas.openxmlformats.org/officeDocument/2006/relationships" r:id="rId7"/>
          </xdr:cNvPr>
          <xdr:cNvSpPr txBox="1">
            <a:spLocks noChangeArrowheads="1" noTextEdit="1"/>
          </xdr:cNvSpPr>
        </xdr:nvSpPr>
        <xdr:spPr bwMode="auto">
          <a:xfrm>
            <a:off x="133350" y="1733983"/>
            <a:ext cx="1447800" cy="404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9193C71-F1A2-4601-AFEB-578621ED568C}"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11164" name="Picture 19" descr="Another Button copy">
            <a:hlinkClick xmlns:r="http://schemas.openxmlformats.org/officeDocument/2006/relationships" r:id="rId8"/>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67604" name="Text Box 20">
            <a:hlinkClick xmlns:r="http://schemas.openxmlformats.org/officeDocument/2006/relationships" r:id="rId8"/>
          </xdr:cNvPr>
          <xdr:cNvSpPr txBox="1">
            <a:spLocks noChangeArrowheads="1" noTextEdit="1"/>
          </xdr:cNvSpPr>
        </xdr:nvSpPr>
        <xdr:spPr bwMode="auto">
          <a:xfrm>
            <a:off x="142875" y="2157845"/>
            <a:ext cx="1409700" cy="404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3B73A50-1745-469F-ABEE-9D5A15EC2944}"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11166" name="Picture 25" descr="Logo vert 293 reversed"/>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1167" name="Picture 26" descr="Another Button copy">
            <a:hlinkClick xmlns:r="http://schemas.openxmlformats.org/officeDocument/2006/relationships" r:id="rId10"/>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67611" name="Text Box 27">
            <a:hlinkClick xmlns:r="http://schemas.openxmlformats.org/officeDocument/2006/relationships" r:id="rId10"/>
          </xdr:cNvPr>
          <xdr:cNvSpPr txBox="1">
            <a:spLocks noChangeArrowheads="1" noTextEdit="1"/>
          </xdr:cNvSpPr>
        </xdr:nvSpPr>
        <xdr:spPr bwMode="auto">
          <a:xfrm>
            <a:off x="104775" y="2562441"/>
            <a:ext cx="1485900" cy="404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C2523EC-5FF7-496F-8DB4-76075497B8DB}"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2" name="TextBox 1">
            <a:hlinkClick xmlns:r="http://schemas.openxmlformats.org/officeDocument/2006/relationships" r:id="rId4"/>
          </xdr:cNvPr>
          <xdr:cNvSpPr txBox="1"/>
        </xdr:nvSpPr>
        <xdr:spPr>
          <a:xfrm>
            <a:off x="200025" y="500928"/>
            <a:ext cx="1323975" cy="269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97</xdr:row>
      <xdr:rowOff>0</xdr:rowOff>
    </xdr:from>
    <xdr:to>
      <xdr:col>0</xdr:col>
      <xdr:colOff>1924050</xdr:colOff>
      <xdr:row>105</xdr:row>
      <xdr:rowOff>133350</xdr:rowOff>
    </xdr:to>
    <xdr:pic>
      <xdr:nvPicPr>
        <xdr:cNvPr id="715776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07200"/>
          <a:ext cx="19240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82</xdr:row>
      <xdr:rowOff>0</xdr:rowOff>
    </xdr:from>
    <xdr:ext cx="1924050" cy="1733332"/>
    <xdr:pic>
      <xdr:nvPicPr>
        <xdr:cNvPr id="2" name="Picture 1"/>
        <xdr:cNvPicPr>
          <a:picLocks noChangeAspect="1"/>
        </xdr:cNvPicPr>
      </xdr:nvPicPr>
      <xdr:blipFill>
        <a:blip xmlns:r="http://schemas.openxmlformats.org/officeDocument/2006/relationships" r:embed="rId1"/>
        <a:stretch>
          <a:fillRect/>
        </a:stretch>
      </xdr:blipFill>
      <xdr:spPr>
        <a:xfrm>
          <a:off x="1362075" y="15363825"/>
          <a:ext cx="1924050" cy="1733332"/>
        </a:xfrm>
        <a:prstGeom prst="rect">
          <a:avLst/>
        </a:prstGeom>
      </xdr:spPr>
    </xdr:pic>
    <xdr:clientData/>
  </xdr:oneCellAnchor>
  <xdr:twoCellAnchor>
    <xdr:from>
      <xdr:col>8</xdr:col>
      <xdr:colOff>342899</xdr:colOff>
      <xdr:row>5</xdr:row>
      <xdr:rowOff>47622</xdr:rowOff>
    </xdr:from>
    <xdr:to>
      <xdr:col>18</xdr:col>
      <xdr:colOff>0</xdr:colOff>
      <xdr:row>5</xdr:row>
      <xdr:rowOff>95249</xdr:rowOff>
    </xdr:to>
    <xdr:sp macro="" textlink="">
      <xdr:nvSpPr>
        <xdr:cNvPr id="3" name="Right Arrow 2" descr="cebb32ab-8d32-4e0e-9e20-8fb41c2b7fe2"/>
        <xdr:cNvSpPr/>
      </xdr:nvSpPr>
      <xdr:spPr>
        <a:xfrm flipV="1">
          <a:off x="11306174" y="238122"/>
          <a:ext cx="10182225" cy="47627"/>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161924</xdr:colOff>
      <xdr:row>4</xdr:row>
      <xdr:rowOff>108586</xdr:rowOff>
    </xdr:from>
    <xdr:to>
      <xdr:col>21</xdr:col>
      <xdr:colOff>619125</xdr:colOff>
      <xdr:row>4</xdr:row>
      <xdr:rowOff>154305</xdr:rowOff>
    </xdr:to>
    <xdr:sp macro="" textlink="">
      <xdr:nvSpPr>
        <xdr:cNvPr id="2" name="Right Arrow 1" descr="520b6a21-f6b3-4fa9-98f0-f591b06de455"/>
        <xdr:cNvSpPr/>
      </xdr:nvSpPr>
      <xdr:spPr>
        <a:xfrm flipV="1">
          <a:off x="4705349" y="537211"/>
          <a:ext cx="9448801" cy="4571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590550</xdr:colOff>
      <xdr:row>106</xdr:row>
      <xdr:rowOff>71352</xdr:rowOff>
    </xdr:from>
    <xdr:to>
      <xdr:col>21</xdr:col>
      <xdr:colOff>304800</xdr:colOff>
      <xdr:row>106</xdr:row>
      <xdr:rowOff>117071</xdr:rowOff>
    </xdr:to>
    <xdr:sp macro="" textlink="">
      <xdr:nvSpPr>
        <xdr:cNvPr id="3" name="Right Arrow 2" descr="508568e9-beb6-4046-9d30-a4bc4d8db50d"/>
        <xdr:cNvSpPr/>
      </xdr:nvSpPr>
      <xdr:spPr>
        <a:xfrm>
          <a:off x="5133975" y="21683577"/>
          <a:ext cx="8705850" cy="4571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371475</xdr:colOff>
      <xdr:row>143</xdr:row>
      <xdr:rowOff>72392</xdr:rowOff>
    </xdr:from>
    <xdr:to>
      <xdr:col>21</xdr:col>
      <xdr:colOff>600075</xdr:colOff>
      <xdr:row>143</xdr:row>
      <xdr:rowOff>118111</xdr:rowOff>
    </xdr:to>
    <xdr:sp macro="" textlink="">
      <xdr:nvSpPr>
        <xdr:cNvPr id="4" name="Right Arrow 3" descr="2d8db73c-0fc4-4cb0-9629-6a63f244b5f1"/>
        <xdr:cNvSpPr/>
      </xdr:nvSpPr>
      <xdr:spPr>
        <a:xfrm flipV="1">
          <a:off x="4914900" y="26589992"/>
          <a:ext cx="9220200" cy="45719"/>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47625</xdr:rowOff>
    </xdr:to>
    <xdr:grpSp>
      <xdr:nvGrpSpPr>
        <xdr:cNvPr id="7092608" name="Group 40"/>
        <xdr:cNvGrpSpPr>
          <a:grpSpLocks/>
        </xdr:cNvGrpSpPr>
      </xdr:nvGrpSpPr>
      <xdr:grpSpPr bwMode="auto">
        <a:xfrm>
          <a:off x="0" y="0"/>
          <a:ext cx="1714500" cy="3599890"/>
          <a:chOff x="0" y="0"/>
          <a:chExt cx="1714500" cy="3602831"/>
        </a:xfrm>
      </xdr:grpSpPr>
      <xdr:pic>
        <xdr:nvPicPr>
          <xdr:cNvPr id="7092609"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43" name="Text Box 10">
            <a:hlinkClick xmlns:r="http://schemas.openxmlformats.org/officeDocument/2006/relationships" r:id="rId1"/>
          </xdr:cNvPr>
          <xdr:cNvSpPr txBox="1">
            <a:spLocks noChangeArrowheads="1" noTextEdit="1"/>
          </xdr:cNvSpPr>
        </xdr:nvSpPr>
        <xdr:spPr bwMode="auto">
          <a:xfrm>
            <a:off x="304800" y="9582"/>
            <a:ext cx="1123950" cy="39286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7090127-321E-4B46-953F-8CAA1DCE2FEC}"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92611"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2612"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46" name="Text Box 14">
            <a:hlinkClick xmlns:r="http://schemas.openxmlformats.org/officeDocument/2006/relationships" r:id="rId4"/>
          </xdr:cNvPr>
          <xdr:cNvSpPr txBox="1">
            <a:spLocks noChangeArrowheads="1" noTextEdit="1"/>
          </xdr:cNvSpPr>
        </xdr:nvSpPr>
        <xdr:spPr bwMode="auto">
          <a:xfrm>
            <a:off x="295275" y="862380"/>
            <a:ext cx="11430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9FAE18A-D220-4631-A430-810BA7A14F03}"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92614"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48" name="Text Box 16">
            <a:hlinkClick xmlns:r="http://schemas.openxmlformats.org/officeDocument/2006/relationships" r:id="rId5"/>
          </xdr:cNvPr>
          <xdr:cNvSpPr txBox="1">
            <a:spLocks noChangeArrowheads="1" noTextEdit="1"/>
          </xdr:cNvSpPr>
        </xdr:nvSpPr>
        <xdr:spPr bwMode="auto">
          <a:xfrm>
            <a:off x="47625" y="1303152"/>
            <a:ext cx="1552575" cy="38328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60BFEC9-E637-4557-9F23-D1839C4956C7}"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92616"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50" name="Text Box 18">
            <a:hlinkClick xmlns:r="http://schemas.openxmlformats.org/officeDocument/2006/relationships" r:id="rId6"/>
          </xdr:cNvPr>
          <xdr:cNvSpPr txBox="1">
            <a:spLocks noChangeArrowheads="1" noTextEdit="1"/>
          </xdr:cNvSpPr>
        </xdr:nvSpPr>
        <xdr:spPr bwMode="auto">
          <a:xfrm>
            <a:off x="133350" y="1734342"/>
            <a:ext cx="14478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EC7397F-923A-40AE-87DC-B0CBB9269310}"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92618"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52" name="Text Box 20">
            <a:hlinkClick xmlns:r="http://schemas.openxmlformats.org/officeDocument/2006/relationships" r:id="rId7"/>
          </xdr:cNvPr>
          <xdr:cNvSpPr txBox="1">
            <a:spLocks noChangeArrowheads="1" noTextEdit="1"/>
          </xdr:cNvSpPr>
        </xdr:nvSpPr>
        <xdr:spPr bwMode="auto">
          <a:xfrm>
            <a:off x="142875" y="2155949"/>
            <a:ext cx="14097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0A26B30-22A0-4C5E-A33F-4FD7754AEE82}"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92620"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2621"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55" name="Text Box 27">
            <a:hlinkClick xmlns:r="http://schemas.openxmlformats.org/officeDocument/2006/relationships" r:id="rId9"/>
          </xdr:cNvPr>
          <xdr:cNvSpPr txBox="1">
            <a:spLocks noChangeArrowheads="1" noTextEdit="1"/>
          </xdr:cNvSpPr>
        </xdr:nvSpPr>
        <xdr:spPr bwMode="auto">
          <a:xfrm>
            <a:off x="104775" y="2558393"/>
            <a:ext cx="14859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174DB3E-E77C-4552-9AE0-C2056F2464DE}"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56" name="TextBox 55">
            <a:hlinkClick xmlns:r="http://schemas.openxmlformats.org/officeDocument/2006/relationships" r:id="rId3"/>
          </xdr:cNvPr>
          <xdr:cNvSpPr txBox="1"/>
        </xdr:nvSpPr>
        <xdr:spPr>
          <a:xfrm>
            <a:off x="200025" y="498264"/>
            <a:ext cx="1323975" cy="277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114300</xdr:rowOff>
    </xdr:to>
    <xdr:grpSp>
      <xdr:nvGrpSpPr>
        <xdr:cNvPr id="7093632" name="Group 17"/>
        <xdr:cNvGrpSpPr>
          <a:grpSpLocks/>
        </xdr:cNvGrpSpPr>
      </xdr:nvGrpSpPr>
      <xdr:grpSpPr bwMode="auto">
        <a:xfrm>
          <a:off x="0" y="0"/>
          <a:ext cx="1714500" cy="3600450"/>
          <a:chOff x="0" y="0"/>
          <a:chExt cx="1714500" cy="3602831"/>
        </a:xfrm>
      </xdr:grpSpPr>
      <xdr:pic>
        <xdr:nvPicPr>
          <xdr:cNvPr id="7093633"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31"/>
            <a:ext cx="1123950" cy="39078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1F68F36-5503-440B-B6B3-A6617EBF4E24}"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93635"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3636"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7348"/>
            <a:ext cx="11430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79D431F-5B39-4463-9930-83664F4EFB7B}"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93638"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6257"/>
            <a:ext cx="1552575" cy="39078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1FDA4C7-8A7F-4E5A-A68C-9F641F7B8872}"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93640"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4696"/>
            <a:ext cx="14478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3B6FD92-6850-4E44-AA48-EE7FE881A7A8}"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93642"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4074"/>
            <a:ext cx="1409700" cy="40984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1D320B7-0EFF-45BE-AFDB-F12B9C2F91C8}"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93644"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3645"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3919"/>
            <a:ext cx="14859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4B7937E-F658-4EDA-8184-2CCED8D39C5C}"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5628"/>
            <a:ext cx="1323975" cy="276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47625</xdr:rowOff>
    </xdr:to>
    <xdr:grpSp>
      <xdr:nvGrpSpPr>
        <xdr:cNvPr id="7094656" name="Group 17"/>
        <xdr:cNvGrpSpPr>
          <a:grpSpLocks/>
        </xdr:cNvGrpSpPr>
      </xdr:nvGrpSpPr>
      <xdr:grpSpPr bwMode="auto">
        <a:xfrm>
          <a:off x="0" y="0"/>
          <a:ext cx="1714500" cy="3599890"/>
          <a:chOff x="0" y="0"/>
          <a:chExt cx="1714500" cy="3602831"/>
        </a:xfrm>
      </xdr:grpSpPr>
      <xdr:pic>
        <xdr:nvPicPr>
          <xdr:cNvPr id="7094657"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659"/>
            <a:ext cx="1123950" cy="39602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5E650D5-EFDD-4747-88CC-FFEDC87AACCF}"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94659"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4660"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9316"/>
            <a:ext cx="11430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A368DD7-F187-48FC-85A7-61E3704E28D7}"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94662"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974"/>
            <a:ext cx="1552575" cy="3863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DA5F3FE-7C42-4B41-A95D-D00A8BB0A3DA}"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94664"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8632"/>
            <a:ext cx="1447800" cy="39602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31B593B-80BE-4F1E-9A80-9A098B233173}"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94666"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3971"/>
            <a:ext cx="14097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302A5F3-BA6F-409F-84B5-778F5C327A87}"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94668"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4669"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9652"/>
            <a:ext cx="14859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B9670E3-4868-4D22-930D-4E6BE593197B}"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2271"/>
            <a:ext cx="1323975" cy="270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142875</xdr:rowOff>
    </xdr:to>
    <xdr:grpSp>
      <xdr:nvGrpSpPr>
        <xdr:cNvPr id="7095680" name="Group 18"/>
        <xdr:cNvGrpSpPr>
          <a:grpSpLocks/>
        </xdr:cNvGrpSpPr>
      </xdr:nvGrpSpPr>
      <xdr:grpSpPr bwMode="auto">
        <a:xfrm>
          <a:off x="0" y="0"/>
          <a:ext cx="1714500" cy="3599089"/>
          <a:chOff x="0" y="0"/>
          <a:chExt cx="1714500" cy="3602831"/>
        </a:xfrm>
      </xdr:grpSpPr>
      <xdr:pic>
        <xdr:nvPicPr>
          <xdr:cNvPr id="7095681"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1" name="Text Box 10">
            <a:hlinkClick xmlns:r="http://schemas.openxmlformats.org/officeDocument/2006/relationships" r:id="rId1"/>
          </xdr:cNvPr>
          <xdr:cNvSpPr txBox="1">
            <a:spLocks noChangeArrowheads="1" noTextEdit="1"/>
          </xdr:cNvSpPr>
        </xdr:nvSpPr>
        <xdr:spPr bwMode="auto">
          <a:xfrm>
            <a:off x="304800" y="9685"/>
            <a:ext cx="1123950" cy="39708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1FD7AD9-FCA7-4739-97D2-044A4CC83C29}"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95683"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5684"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4" name="Text Box 14">
            <a:hlinkClick xmlns:r="http://schemas.openxmlformats.org/officeDocument/2006/relationships" r:id="rId4"/>
          </xdr:cNvPr>
          <xdr:cNvSpPr txBox="1">
            <a:spLocks noChangeArrowheads="1" noTextEdit="1"/>
          </xdr:cNvSpPr>
        </xdr:nvSpPr>
        <xdr:spPr bwMode="auto">
          <a:xfrm>
            <a:off x="295275" y="871653"/>
            <a:ext cx="1143000" cy="39708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D3DBE54-57C5-4F5A-B056-6DACB9DC457B}"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95686"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7794"/>
            <a:ext cx="1552575" cy="38740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6F2CE4C-7909-4302-A7D0-C1AEE02AE4B2}"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95688"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8" name="Text Box 18">
            <a:hlinkClick xmlns:r="http://schemas.openxmlformats.org/officeDocument/2006/relationships" r:id="rId6"/>
          </xdr:cNvPr>
          <xdr:cNvSpPr txBox="1">
            <a:spLocks noChangeArrowheads="1" noTextEdit="1"/>
          </xdr:cNvSpPr>
        </xdr:nvSpPr>
        <xdr:spPr bwMode="auto">
          <a:xfrm>
            <a:off x="133350" y="1733620"/>
            <a:ext cx="1447800" cy="40677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8121F1B-3489-472D-9B28-BC76B3D9F540}"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95690"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0" name="Text Box 20">
            <a:hlinkClick xmlns:r="http://schemas.openxmlformats.org/officeDocument/2006/relationships" r:id="rId7"/>
          </xdr:cNvPr>
          <xdr:cNvSpPr txBox="1">
            <a:spLocks noChangeArrowheads="1" noTextEdit="1"/>
          </xdr:cNvSpPr>
        </xdr:nvSpPr>
        <xdr:spPr bwMode="auto">
          <a:xfrm>
            <a:off x="142875" y="2159762"/>
            <a:ext cx="1409700" cy="40677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E033660-B99C-4AD8-B246-EC1D64ACEB75}"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95692"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5693"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3" name="Text Box 27">
            <a:hlinkClick xmlns:r="http://schemas.openxmlformats.org/officeDocument/2006/relationships" r:id="rId9"/>
          </xdr:cNvPr>
          <xdr:cNvSpPr txBox="1">
            <a:spLocks noChangeArrowheads="1" noTextEdit="1"/>
          </xdr:cNvSpPr>
        </xdr:nvSpPr>
        <xdr:spPr bwMode="auto">
          <a:xfrm>
            <a:off x="104775" y="2566533"/>
            <a:ext cx="1485900" cy="39708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19E1E32-10D2-4D88-8EAC-D35BE5307694}"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4" name="TextBox 33">
            <a:hlinkClick xmlns:r="http://schemas.openxmlformats.org/officeDocument/2006/relationships" r:id="rId3"/>
          </xdr:cNvPr>
          <xdr:cNvSpPr txBox="1"/>
        </xdr:nvSpPr>
        <xdr:spPr>
          <a:xfrm>
            <a:off x="200025" y="503622"/>
            <a:ext cx="1323975" cy="271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95250</xdr:rowOff>
    </xdr:to>
    <xdr:grpSp>
      <xdr:nvGrpSpPr>
        <xdr:cNvPr id="7096704" name="Group 17"/>
        <xdr:cNvGrpSpPr>
          <a:grpSpLocks/>
        </xdr:cNvGrpSpPr>
      </xdr:nvGrpSpPr>
      <xdr:grpSpPr bwMode="auto">
        <a:xfrm>
          <a:off x="0" y="0"/>
          <a:ext cx="1714500" cy="3605893"/>
          <a:chOff x="0" y="0"/>
          <a:chExt cx="1714500" cy="3602831"/>
        </a:xfrm>
      </xdr:grpSpPr>
      <xdr:pic>
        <xdr:nvPicPr>
          <xdr:cNvPr id="7096705"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659"/>
            <a:ext cx="1123950" cy="39602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D74CB1A-5CE3-46AD-9EFC-3061747809E5}"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96707"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6708"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9316"/>
            <a:ext cx="11430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DE40ADD-AEEB-4FE0-AFE7-F6BD327A5E77}"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96710"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974"/>
            <a:ext cx="1552575" cy="3863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84D0560-A6E1-44A9-9382-DAD321612B03}"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96712"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8632"/>
            <a:ext cx="1447800" cy="39602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C589E78-368F-475F-ABEE-D0BFE8E7F9B0}"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96714"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3971"/>
            <a:ext cx="14097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447EFB8-CC5C-44D0-9321-F4019288BB95}"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96716"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6717"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9652"/>
            <a:ext cx="14859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EADA035-E782-4382-888A-DB32291A20E2}"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2271"/>
            <a:ext cx="1323975" cy="270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14</xdr:row>
      <xdr:rowOff>104775</xdr:rowOff>
    </xdr:to>
    <xdr:grpSp>
      <xdr:nvGrpSpPr>
        <xdr:cNvPr id="7083396" name="Group 18"/>
        <xdr:cNvGrpSpPr>
          <a:grpSpLocks/>
        </xdr:cNvGrpSpPr>
      </xdr:nvGrpSpPr>
      <xdr:grpSpPr bwMode="auto">
        <a:xfrm>
          <a:off x="0" y="0"/>
          <a:ext cx="1714500" cy="3506561"/>
          <a:chOff x="0" y="0"/>
          <a:chExt cx="1714500" cy="3602831"/>
        </a:xfrm>
      </xdr:grpSpPr>
      <xdr:pic>
        <xdr:nvPicPr>
          <xdr:cNvPr id="7083397"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1" name="Text Box 10">
            <a:hlinkClick xmlns:r="http://schemas.openxmlformats.org/officeDocument/2006/relationships" r:id="rId1"/>
          </xdr:cNvPr>
          <xdr:cNvSpPr txBox="1">
            <a:spLocks noChangeArrowheads="1" noTextEdit="1"/>
          </xdr:cNvSpPr>
        </xdr:nvSpPr>
        <xdr:spPr bwMode="auto">
          <a:xfrm>
            <a:off x="304800" y="9737"/>
            <a:ext cx="1123950" cy="39923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6E39FF4-64EC-49AE-9510-3484728810B4}"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83399"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3400"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4" name="Text Box 14">
            <a:hlinkClick xmlns:r="http://schemas.openxmlformats.org/officeDocument/2006/relationships" r:id="rId4"/>
          </xdr:cNvPr>
          <xdr:cNvSpPr txBox="1">
            <a:spLocks noChangeArrowheads="1" noTextEdit="1"/>
          </xdr:cNvSpPr>
        </xdr:nvSpPr>
        <xdr:spPr bwMode="auto">
          <a:xfrm>
            <a:off x="295275" y="866627"/>
            <a:ext cx="1143000" cy="40897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C7EBE21-074E-49F6-97DF-0514080C9C38}"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83402"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4809"/>
            <a:ext cx="1552575" cy="37975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E0E6FDF-D333-46D7-BE8F-5F2BDF760FDE}"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83404"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8" name="Text Box 18">
            <a:hlinkClick xmlns:r="http://schemas.openxmlformats.org/officeDocument/2006/relationships" r:id="rId6"/>
          </xdr:cNvPr>
          <xdr:cNvSpPr txBox="1">
            <a:spLocks noChangeArrowheads="1" noTextEdit="1"/>
          </xdr:cNvSpPr>
        </xdr:nvSpPr>
        <xdr:spPr bwMode="auto">
          <a:xfrm>
            <a:off x="133350" y="1733254"/>
            <a:ext cx="1447800" cy="40897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437AD06-CD97-4531-BF7C-C5497B4ACA49}"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83406"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0" name="Text Box 20">
            <a:hlinkClick xmlns:r="http://schemas.openxmlformats.org/officeDocument/2006/relationships" r:id="rId7"/>
          </xdr:cNvPr>
          <xdr:cNvSpPr txBox="1">
            <a:spLocks noChangeArrowheads="1" noTextEdit="1"/>
          </xdr:cNvSpPr>
        </xdr:nvSpPr>
        <xdr:spPr bwMode="auto">
          <a:xfrm>
            <a:off x="142875" y="2161699"/>
            <a:ext cx="1409700" cy="39923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9D1BDA5-FA36-4219-A8BC-DE46DB289099}"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83408"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3409"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3" name="Text Box 27">
            <a:hlinkClick xmlns:r="http://schemas.openxmlformats.org/officeDocument/2006/relationships" r:id="rId9"/>
          </xdr:cNvPr>
          <xdr:cNvSpPr txBox="1">
            <a:spLocks noChangeArrowheads="1" noTextEdit="1"/>
          </xdr:cNvSpPr>
        </xdr:nvSpPr>
        <xdr:spPr bwMode="auto">
          <a:xfrm>
            <a:off x="104775" y="2560931"/>
            <a:ext cx="1485900" cy="40897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0B8E106-1FF3-48DF-A405-281EEAE22359}"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4" name="TextBox 33">
            <a:hlinkClick xmlns:r="http://schemas.openxmlformats.org/officeDocument/2006/relationships" r:id="rId3"/>
          </xdr:cNvPr>
          <xdr:cNvSpPr txBox="1"/>
        </xdr:nvSpPr>
        <xdr:spPr>
          <a:xfrm>
            <a:off x="200025" y="496606"/>
            <a:ext cx="1323975" cy="272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1714500</xdr:colOff>
      <xdr:row>14</xdr:row>
      <xdr:rowOff>200025</xdr:rowOff>
    </xdr:to>
    <xdr:grpSp>
      <xdr:nvGrpSpPr>
        <xdr:cNvPr id="7084417" name="Group 17"/>
        <xdr:cNvGrpSpPr>
          <a:grpSpLocks/>
        </xdr:cNvGrpSpPr>
      </xdr:nvGrpSpPr>
      <xdr:grpSpPr bwMode="auto">
        <a:xfrm>
          <a:off x="0" y="0"/>
          <a:ext cx="1714500" cy="3601811"/>
          <a:chOff x="0" y="0"/>
          <a:chExt cx="1714500" cy="3602831"/>
        </a:xfrm>
      </xdr:grpSpPr>
      <xdr:pic>
        <xdr:nvPicPr>
          <xdr:cNvPr id="7084418"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481"/>
            <a:ext cx="1123950" cy="39820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3CC326E-81AB-4B13-99C0-32BAEDCA50BA}"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84420"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4421"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783"/>
            <a:ext cx="1143000" cy="407689"/>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732A0AB-DC23-4600-A140-F58A01DDF389}"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84423"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8915"/>
            <a:ext cx="1552575" cy="38872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F66249B-CD00-476C-A6E2-1045BE1AD899}"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84425"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5048"/>
            <a:ext cx="1447800" cy="407689"/>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63A6CED-DDF4-4DB0-8695-318AE417E1AB}"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84427"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61699"/>
            <a:ext cx="1409700" cy="39820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A96C3D3-941C-48E0-A742-EF2C4BCEF902}"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84429"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4430"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9906"/>
            <a:ext cx="1485900" cy="407689"/>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6356078-F8E5-4870-B3C7-2792AF18F836}"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2500"/>
            <a:ext cx="1323975" cy="274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9525</xdr:colOff>
      <xdr:row>0</xdr:row>
      <xdr:rowOff>0</xdr:rowOff>
    </xdr:from>
    <xdr:to>
      <xdr:col>0</xdr:col>
      <xdr:colOff>1714500</xdr:colOff>
      <xdr:row>23</xdr:row>
      <xdr:rowOff>114300</xdr:rowOff>
    </xdr:to>
    <xdr:grpSp>
      <xdr:nvGrpSpPr>
        <xdr:cNvPr id="7144616" name="Group 1"/>
        <xdr:cNvGrpSpPr>
          <a:grpSpLocks/>
        </xdr:cNvGrpSpPr>
      </xdr:nvGrpSpPr>
      <xdr:grpSpPr bwMode="auto">
        <a:xfrm>
          <a:off x="9525" y="0"/>
          <a:ext cx="1704975" cy="4972050"/>
          <a:chOff x="1" y="0"/>
          <a:chExt cx="179" cy="522"/>
        </a:xfrm>
      </xdr:grpSpPr>
      <xdr:pic>
        <xdr:nvPicPr>
          <xdr:cNvPr id="7144617" name="Picture 2"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4755" name="Text Box 3">
            <a:hlinkClick xmlns:r="http://schemas.openxmlformats.org/officeDocument/2006/relationships" r:id="rId1"/>
          </xdr:cNvPr>
          <xdr:cNvSpPr txBox="1">
            <a:spLocks noChangeArrowheads="1"/>
          </xdr:cNvSpPr>
        </xdr:nvSpPr>
        <xdr:spPr bwMode="auto">
          <a:xfrm>
            <a:off x="32" y="1"/>
            <a:ext cx="118"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Main</a:t>
            </a:r>
          </a:p>
        </xdr:txBody>
      </xdr:sp>
      <xdr:pic>
        <xdr:nvPicPr>
          <xdr:cNvPr id="7144619" name="Picture 4"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4757" name="Text Box 5">
            <a:hlinkClick xmlns:r="http://schemas.openxmlformats.org/officeDocument/2006/relationships" r:id="rId3"/>
          </xdr:cNvPr>
          <xdr:cNvSpPr txBox="1">
            <a:spLocks noChangeArrowheads="1"/>
          </xdr:cNvSpPr>
        </xdr:nvSpPr>
        <xdr:spPr bwMode="auto">
          <a:xfrm>
            <a:off x="28" y="45"/>
            <a:ext cx="124"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Home</a:t>
            </a:r>
          </a:p>
        </xdr:txBody>
      </xdr:sp>
      <xdr:pic>
        <xdr:nvPicPr>
          <xdr:cNvPr id="7144621" name="Picture 6"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9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4759" name="Text Box 7">
            <a:hlinkClick xmlns:r="http://schemas.openxmlformats.org/officeDocument/2006/relationships" r:id="rId4"/>
          </xdr:cNvPr>
          <xdr:cNvSpPr txBox="1">
            <a:spLocks noChangeArrowheads="1"/>
          </xdr:cNvSpPr>
        </xdr:nvSpPr>
        <xdr:spPr bwMode="auto">
          <a:xfrm>
            <a:off x="31" y="90"/>
            <a:ext cx="120"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a:t>
            </a:r>
          </a:p>
        </xdr:txBody>
      </xdr:sp>
      <xdr:pic>
        <xdr:nvPicPr>
          <xdr:cNvPr id="7144623" name="Picture 8"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3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4761" name="Text Box 9">
            <a:hlinkClick xmlns:r="http://schemas.openxmlformats.org/officeDocument/2006/relationships" r:id="rId5"/>
          </xdr:cNvPr>
          <xdr:cNvSpPr txBox="1">
            <a:spLocks noChangeArrowheads="1"/>
          </xdr:cNvSpPr>
        </xdr:nvSpPr>
        <xdr:spPr bwMode="auto">
          <a:xfrm>
            <a:off x="5" y="135"/>
            <a:ext cx="163" cy="40"/>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 Requirements</a:t>
            </a:r>
          </a:p>
        </xdr:txBody>
      </xdr:sp>
      <xdr:pic>
        <xdr:nvPicPr>
          <xdr:cNvPr id="7144625" name="Picture 10"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8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4763" name="Text Box 11">
            <a:hlinkClick xmlns:r="http://schemas.openxmlformats.org/officeDocument/2006/relationships" r:id="rId6"/>
          </xdr:cNvPr>
          <xdr:cNvSpPr txBox="1">
            <a:spLocks noChangeArrowheads="1"/>
          </xdr:cNvSpPr>
        </xdr:nvSpPr>
        <xdr:spPr bwMode="auto">
          <a:xfrm>
            <a:off x="14" y="180"/>
            <a:ext cx="152"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Financial Forecast</a:t>
            </a:r>
          </a:p>
        </xdr:txBody>
      </xdr:sp>
      <xdr:pic>
        <xdr:nvPicPr>
          <xdr:cNvPr id="7144627" name="Picture 12"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24"/>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4765" name="Text Box 13">
            <a:hlinkClick xmlns:r="http://schemas.openxmlformats.org/officeDocument/2006/relationships" r:id="rId7"/>
          </xdr:cNvPr>
          <xdr:cNvSpPr txBox="1">
            <a:spLocks noChangeArrowheads="1"/>
          </xdr:cNvSpPr>
        </xdr:nvSpPr>
        <xdr:spPr bwMode="auto">
          <a:xfrm>
            <a:off x="15" y="224"/>
            <a:ext cx="148"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Cost of Service</a:t>
            </a:r>
          </a:p>
        </xdr:txBody>
      </xdr:sp>
      <xdr:pic>
        <xdr:nvPicPr>
          <xdr:cNvPr id="7144629" name="Picture 14" descr="Another Button copy">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68"/>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4767" name="Text Box 15">
            <a:hlinkClick xmlns:r="http://schemas.openxmlformats.org/officeDocument/2006/relationships" r:id="rId8"/>
          </xdr:cNvPr>
          <xdr:cNvSpPr txBox="1">
            <a:spLocks noChangeArrowheads="1"/>
          </xdr:cNvSpPr>
        </xdr:nvSpPr>
        <xdr:spPr bwMode="auto">
          <a:xfrm>
            <a:off x="11" y="268"/>
            <a:ext cx="153"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Rate Design</a:t>
            </a:r>
          </a:p>
        </xdr:txBody>
      </xdr:sp>
      <xdr:pic>
        <xdr:nvPicPr>
          <xdr:cNvPr id="7144631" name="Picture 1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12"/>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4769" name="Text Box 17">
            <a:hlinkClick xmlns:r="http://schemas.openxmlformats.org/officeDocument/2006/relationships" r:id="rId9"/>
          </xdr:cNvPr>
          <xdr:cNvSpPr txBox="1">
            <a:spLocks noChangeArrowheads="1"/>
          </xdr:cNvSpPr>
        </xdr:nvSpPr>
        <xdr:spPr bwMode="auto">
          <a:xfrm>
            <a:off x="11" y="312"/>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Control / Other</a:t>
            </a:r>
          </a:p>
        </xdr:txBody>
      </xdr:sp>
      <xdr:pic>
        <xdr:nvPicPr>
          <xdr:cNvPr id="7144633" name="Picture 18" descr="Logo vert 293 reversed"/>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 y="472"/>
            <a:ext cx="158" cy="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44634" name="Picture 19" descr="Another Button copy">
            <a:hlinkClick xmlns:r="http://schemas.openxmlformats.org/officeDocument/2006/relationships" r:id="rId1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57"/>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4772" name="Text Box 20">
            <a:hlinkClick xmlns:r="http://schemas.openxmlformats.org/officeDocument/2006/relationships" r:id="rId11"/>
          </xdr:cNvPr>
          <xdr:cNvSpPr txBox="1">
            <a:spLocks noChangeArrowheads="1"/>
          </xdr:cNvSpPr>
        </xdr:nvSpPr>
        <xdr:spPr bwMode="auto">
          <a:xfrm>
            <a:off x="12" y="357"/>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Support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17</xdr:row>
      <xdr:rowOff>133350</xdr:rowOff>
    </xdr:to>
    <xdr:grpSp>
      <xdr:nvGrpSpPr>
        <xdr:cNvPr id="7080339" name="Group 34"/>
        <xdr:cNvGrpSpPr>
          <a:grpSpLocks/>
        </xdr:cNvGrpSpPr>
      </xdr:nvGrpSpPr>
      <xdr:grpSpPr bwMode="auto">
        <a:xfrm>
          <a:off x="0" y="0"/>
          <a:ext cx="1714500" cy="3603171"/>
          <a:chOff x="0" y="0"/>
          <a:chExt cx="1714500" cy="3602831"/>
        </a:xfrm>
      </xdr:grpSpPr>
      <xdr:pic>
        <xdr:nvPicPr>
          <xdr:cNvPr id="7080340"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37" name="Text Box 10">
            <a:hlinkClick xmlns:r="http://schemas.openxmlformats.org/officeDocument/2006/relationships" r:id="rId1"/>
          </xdr:cNvPr>
          <xdr:cNvSpPr txBox="1">
            <a:spLocks noChangeArrowheads="1" noTextEdit="1"/>
          </xdr:cNvSpPr>
        </xdr:nvSpPr>
        <xdr:spPr bwMode="auto">
          <a:xfrm>
            <a:off x="304800" y="9531"/>
            <a:ext cx="1123950" cy="39078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5EEAB69-0F84-4E43-9531-B11E10F5C2D1}"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80342"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0343"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40" name="Text Box 14">
            <a:hlinkClick xmlns:r="http://schemas.openxmlformats.org/officeDocument/2006/relationships" r:id="rId4"/>
          </xdr:cNvPr>
          <xdr:cNvSpPr txBox="1">
            <a:spLocks noChangeArrowheads="1" noTextEdit="1"/>
          </xdr:cNvSpPr>
        </xdr:nvSpPr>
        <xdr:spPr bwMode="auto">
          <a:xfrm>
            <a:off x="295275" y="867348"/>
            <a:ext cx="11430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6E479EA-F25F-4605-ACAF-EC4434F04CBF}"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80345"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42" name="Text Box 16">
            <a:hlinkClick xmlns:r="http://schemas.openxmlformats.org/officeDocument/2006/relationships" r:id="rId5"/>
          </xdr:cNvPr>
          <xdr:cNvSpPr txBox="1">
            <a:spLocks noChangeArrowheads="1" noTextEdit="1"/>
          </xdr:cNvSpPr>
        </xdr:nvSpPr>
        <xdr:spPr bwMode="auto">
          <a:xfrm>
            <a:off x="47625" y="1296257"/>
            <a:ext cx="1552575" cy="39078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E67CB24-41D8-45BA-8F69-BF289694ABE8}"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80347"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44" name="Text Box 18">
            <a:hlinkClick xmlns:r="http://schemas.openxmlformats.org/officeDocument/2006/relationships" r:id="rId6"/>
          </xdr:cNvPr>
          <xdr:cNvSpPr txBox="1">
            <a:spLocks noChangeArrowheads="1" noTextEdit="1"/>
          </xdr:cNvSpPr>
        </xdr:nvSpPr>
        <xdr:spPr bwMode="auto">
          <a:xfrm>
            <a:off x="133350" y="1734696"/>
            <a:ext cx="14478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7A87324-B6C0-40EE-9B73-457B25C48826}"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80349"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46" name="Text Box 20">
            <a:hlinkClick xmlns:r="http://schemas.openxmlformats.org/officeDocument/2006/relationships" r:id="rId7"/>
          </xdr:cNvPr>
          <xdr:cNvSpPr txBox="1">
            <a:spLocks noChangeArrowheads="1" noTextEdit="1"/>
          </xdr:cNvSpPr>
        </xdr:nvSpPr>
        <xdr:spPr bwMode="auto">
          <a:xfrm>
            <a:off x="142875" y="2154074"/>
            <a:ext cx="1409700" cy="40984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3A82357-7845-4F53-8DD8-3C0217313DA9}"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80351"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0352"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49" name="Text Box 27">
            <a:hlinkClick xmlns:r="http://schemas.openxmlformats.org/officeDocument/2006/relationships" r:id="rId9"/>
          </xdr:cNvPr>
          <xdr:cNvSpPr txBox="1">
            <a:spLocks noChangeArrowheads="1" noTextEdit="1"/>
          </xdr:cNvSpPr>
        </xdr:nvSpPr>
        <xdr:spPr bwMode="auto">
          <a:xfrm>
            <a:off x="104775" y="2563919"/>
            <a:ext cx="14859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843815C-7A84-4D5D-B065-E922991E8BE7}"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50" name="TextBox 49">
            <a:hlinkClick xmlns:r="http://schemas.openxmlformats.org/officeDocument/2006/relationships" r:id="rId3"/>
          </xdr:cNvPr>
          <xdr:cNvSpPr txBox="1"/>
        </xdr:nvSpPr>
        <xdr:spPr>
          <a:xfrm>
            <a:off x="200025" y="495628"/>
            <a:ext cx="1323975" cy="276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161925</xdr:rowOff>
    </xdr:to>
    <xdr:grpSp>
      <xdr:nvGrpSpPr>
        <xdr:cNvPr id="7097728" name="Group 17"/>
        <xdr:cNvGrpSpPr>
          <a:grpSpLocks/>
        </xdr:cNvGrpSpPr>
      </xdr:nvGrpSpPr>
      <xdr:grpSpPr bwMode="auto">
        <a:xfrm>
          <a:off x="0" y="0"/>
          <a:ext cx="1714500" cy="3604532"/>
          <a:chOff x="0" y="0"/>
          <a:chExt cx="1714500" cy="3602831"/>
        </a:xfrm>
      </xdr:grpSpPr>
      <xdr:pic>
        <xdr:nvPicPr>
          <xdr:cNvPr id="7097729"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608"/>
            <a:ext cx="1123950" cy="39391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EA2C563-5322-4C9E-B046-7907E11C0C3E}"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97731"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7732"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4679"/>
            <a:ext cx="11430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AF5BA35-D3A9-428E-9CD2-57F7DFD9C6E5}"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97734"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7019"/>
            <a:ext cx="1552575" cy="3843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879DD65-B618-4368-9C6E-6DF19280F45C}"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97736"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29359"/>
            <a:ext cx="1447800" cy="41312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6C5D521-6445-4739-8475-C1ECE7E024C0}"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97738"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61699"/>
            <a:ext cx="14097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B266A8C-CB7C-4852-8EA4-AB901D84A07D}"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97740"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7741"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5216"/>
            <a:ext cx="14859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EC7BC2D-53B1-4C80-84C3-5D48DAB8CBAB}"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9593"/>
            <a:ext cx="1323975" cy="27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18</xdr:row>
      <xdr:rowOff>152400</xdr:rowOff>
    </xdr:to>
    <xdr:grpSp>
      <xdr:nvGrpSpPr>
        <xdr:cNvPr id="7135503" name="Group 17"/>
        <xdr:cNvGrpSpPr>
          <a:grpSpLocks/>
        </xdr:cNvGrpSpPr>
      </xdr:nvGrpSpPr>
      <xdr:grpSpPr bwMode="auto">
        <a:xfrm>
          <a:off x="0" y="0"/>
          <a:ext cx="1714500" cy="3948793"/>
          <a:chOff x="0" y="0"/>
          <a:chExt cx="1714500" cy="3602831"/>
        </a:xfrm>
      </xdr:grpSpPr>
      <xdr:pic>
        <xdr:nvPicPr>
          <xdr:cNvPr id="7135504"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844"/>
            <a:ext cx="1123950" cy="39375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88AC299-6D8F-420F-BDC0-8D5A67B5395C}"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35506"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35507"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6254"/>
            <a:ext cx="1143000" cy="403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1B8C477-F6EA-4381-BB48-46C88100BA49}"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35509"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9382"/>
            <a:ext cx="1552575" cy="38390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30BCE1D-2B9E-43CF-A6FE-148D35737149}"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35511"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2509"/>
            <a:ext cx="1447800" cy="403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ACFC6B8-0B2A-4032-8E7E-DEBA2F3C5C5C}"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35513"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5792"/>
            <a:ext cx="1409700" cy="403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B740A28-23A7-43FB-9F27-F65D63C2530E}"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35515"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35516"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9388"/>
            <a:ext cx="1485900" cy="403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EEA2E46-95C8-4AFF-9305-7CC9B52C1BD9}"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2034"/>
            <a:ext cx="1323975" cy="275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200025</xdr:rowOff>
    </xdr:to>
    <xdr:grpSp>
      <xdr:nvGrpSpPr>
        <xdr:cNvPr id="7074251" name="Group 17"/>
        <xdr:cNvGrpSpPr>
          <a:grpSpLocks/>
        </xdr:cNvGrpSpPr>
      </xdr:nvGrpSpPr>
      <xdr:grpSpPr bwMode="auto">
        <a:xfrm>
          <a:off x="0" y="0"/>
          <a:ext cx="1714500" cy="3605213"/>
          <a:chOff x="0" y="0"/>
          <a:chExt cx="1714500" cy="3602831"/>
        </a:xfrm>
      </xdr:grpSpPr>
      <xdr:pic>
        <xdr:nvPicPr>
          <xdr:cNvPr id="7074252"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82"/>
            <a:ext cx="1123950" cy="39286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8B80430-86F3-48F3-AB3F-F2F8888C2A54}"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74254"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74255"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380"/>
            <a:ext cx="11430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42929EB-9B3E-4F58-BA14-E4B6021EEA29}"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74257"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152"/>
            <a:ext cx="1552575" cy="38328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85402C4-5433-43D5-BE4D-1E1A0A54694D}"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74259"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4342"/>
            <a:ext cx="14478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D4F9AA2-6426-4953-9FD9-E9831D51A09B}"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74261"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5949"/>
            <a:ext cx="14097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CE0A6DA-C112-460C-937E-37C5A2E65AB8}"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74263"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74264"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8393"/>
            <a:ext cx="14859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151BD56-074C-4925-9026-3129676F1C79}"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8264"/>
            <a:ext cx="1323975" cy="277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13</xdr:row>
      <xdr:rowOff>190500</xdr:rowOff>
    </xdr:to>
    <xdr:grpSp>
      <xdr:nvGrpSpPr>
        <xdr:cNvPr id="7098752" name="Group 18"/>
        <xdr:cNvGrpSpPr>
          <a:grpSpLocks/>
        </xdr:cNvGrpSpPr>
      </xdr:nvGrpSpPr>
      <xdr:grpSpPr bwMode="auto">
        <a:xfrm>
          <a:off x="0" y="0"/>
          <a:ext cx="1714500" cy="3605893"/>
          <a:chOff x="0" y="0"/>
          <a:chExt cx="1714500" cy="3602831"/>
        </a:xfrm>
      </xdr:grpSpPr>
      <xdr:pic>
        <xdr:nvPicPr>
          <xdr:cNvPr id="7098753"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1" name="Text Box 10">
            <a:hlinkClick xmlns:r="http://schemas.openxmlformats.org/officeDocument/2006/relationships" r:id="rId1"/>
          </xdr:cNvPr>
          <xdr:cNvSpPr txBox="1">
            <a:spLocks noChangeArrowheads="1" noTextEdit="1"/>
          </xdr:cNvSpPr>
        </xdr:nvSpPr>
        <xdr:spPr bwMode="auto">
          <a:xfrm>
            <a:off x="304800" y="9557"/>
            <a:ext cx="1123950" cy="39182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30BA8D3-4C20-4EEC-A664-CA0546E48C51}"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98755"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8756"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4" name="Text Box 14">
            <a:hlinkClick xmlns:r="http://schemas.openxmlformats.org/officeDocument/2006/relationships" r:id="rId4"/>
          </xdr:cNvPr>
          <xdr:cNvSpPr txBox="1">
            <a:spLocks noChangeArrowheads="1" noTextEdit="1"/>
          </xdr:cNvSpPr>
        </xdr:nvSpPr>
        <xdr:spPr bwMode="auto">
          <a:xfrm>
            <a:off x="295275" y="869649"/>
            <a:ext cx="11430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70E613F-5301-4D46-B01F-FAEB8EFF8A80}"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98758"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9695"/>
            <a:ext cx="1552575" cy="3822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9A1F4A4-70D2-4A1E-9BFF-9DA658803BF6}"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98760"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8" name="Text Box 18">
            <a:hlinkClick xmlns:r="http://schemas.openxmlformats.org/officeDocument/2006/relationships" r:id="rId6"/>
          </xdr:cNvPr>
          <xdr:cNvSpPr txBox="1">
            <a:spLocks noChangeArrowheads="1" noTextEdit="1"/>
          </xdr:cNvSpPr>
        </xdr:nvSpPr>
        <xdr:spPr bwMode="auto">
          <a:xfrm>
            <a:off x="133350" y="1729741"/>
            <a:ext cx="1447800" cy="41093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6A40A0A-E031-47FD-9A59-AE58F7D268E5}"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98762"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0" name="Text Box 20">
            <a:hlinkClick xmlns:r="http://schemas.openxmlformats.org/officeDocument/2006/relationships" r:id="rId7"/>
          </xdr:cNvPr>
          <xdr:cNvSpPr txBox="1">
            <a:spLocks noChangeArrowheads="1" noTextEdit="1"/>
          </xdr:cNvSpPr>
        </xdr:nvSpPr>
        <xdr:spPr bwMode="auto">
          <a:xfrm>
            <a:off x="142875" y="2159787"/>
            <a:ext cx="14097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F7A5E16-F9C0-478C-A35B-97A9EC4D1950}"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98764"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8765"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3" name="Text Box 27">
            <a:hlinkClick xmlns:r="http://schemas.openxmlformats.org/officeDocument/2006/relationships" r:id="rId9"/>
          </xdr:cNvPr>
          <xdr:cNvSpPr txBox="1">
            <a:spLocks noChangeArrowheads="1" noTextEdit="1"/>
          </xdr:cNvSpPr>
        </xdr:nvSpPr>
        <xdr:spPr bwMode="auto">
          <a:xfrm>
            <a:off x="104775" y="2561164"/>
            <a:ext cx="14859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D4CFFC9-2EA8-438B-AA18-A0FC9DE5D05F}"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4" name="TextBox 33">
            <a:hlinkClick xmlns:r="http://schemas.openxmlformats.org/officeDocument/2006/relationships" r:id="rId3"/>
          </xdr:cNvPr>
          <xdr:cNvSpPr txBox="1"/>
        </xdr:nvSpPr>
        <xdr:spPr>
          <a:xfrm>
            <a:off x="200025" y="496942"/>
            <a:ext cx="1323975" cy="277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15</xdr:row>
      <xdr:rowOff>57150</xdr:rowOff>
    </xdr:to>
    <xdr:grpSp>
      <xdr:nvGrpSpPr>
        <xdr:cNvPr id="7099776" name="Group 17"/>
        <xdr:cNvGrpSpPr>
          <a:grpSpLocks/>
        </xdr:cNvGrpSpPr>
      </xdr:nvGrpSpPr>
      <xdr:grpSpPr bwMode="auto">
        <a:xfrm>
          <a:off x="0" y="0"/>
          <a:ext cx="1714500" cy="3607377"/>
          <a:chOff x="0" y="0"/>
          <a:chExt cx="1714500" cy="3602831"/>
        </a:xfrm>
      </xdr:grpSpPr>
      <xdr:pic>
        <xdr:nvPicPr>
          <xdr:cNvPr id="7099777"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737"/>
            <a:ext cx="1123950" cy="39923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9BA2A1E-7472-4BC7-B733-EB8BE1E3CB6F}"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99779"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9780"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6627"/>
            <a:ext cx="1143000" cy="40897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3107505-EB58-43FA-88E9-9CB8D8527E94}"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99782"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4809"/>
            <a:ext cx="1552575" cy="37975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CE3BF9F-AE6B-4B75-A682-BBABACD81DAD}"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99784"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3254"/>
            <a:ext cx="1447800" cy="40897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F6DFD3A-E8F9-4AA2-B1EB-9C8B69DE9559}"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99786"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61699"/>
            <a:ext cx="1409700" cy="39923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C2A8AB2-9539-4B97-ADAA-F59D2F58F234}"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99788"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9789"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0931"/>
            <a:ext cx="1485900" cy="40897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2F486DF-187D-4298-A2E1-E5BBA1C2141A}"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6606"/>
            <a:ext cx="1323975" cy="272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17</xdr:row>
      <xdr:rowOff>133350</xdr:rowOff>
    </xdr:to>
    <xdr:grpSp>
      <xdr:nvGrpSpPr>
        <xdr:cNvPr id="7100800" name="Group 18"/>
        <xdr:cNvGrpSpPr>
          <a:grpSpLocks/>
        </xdr:cNvGrpSpPr>
      </xdr:nvGrpSpPr>
      <xdr:grpSpPr bwMode="auto">
        <a:xfrm>
          <a:off x="0" y="0"/>
          <a:ext cx="1714500" cy="3598069"/>
          <a:chOff x="0" y="0"/>
          <a:chExt cx="1714500" cy="3602831"/>
        </a:xfrm>
      </xdr:grpSpPr>
      <xdr:pic>
        <xdr:nvPicPr>
          <xdr:cNvPr id="7100801"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1" name="Text Box 10">
            <a:hlinkClick xmlns:r="http://schemas.openxmlformats.org/officeDocument/2006/relationships" r:id="rId1"/>
          </xdr:cNvPr>
          <xdr:cNvSpPr txBox="1">
            <a:spLocks noChangeArrowheads="1" noTextEdit="1"/>
          </xdr:cNvSpPr>
        </xdr:nvSpPr>
        <xdr:spPr bwMode="auto">
          <a:xfrm>
            <a:off x="304800" y="9659"/>
            <a:ext cx="1123950" cy="39602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42DA38C-1F8E-4EC3-9C00-F595C2E46042}"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00803"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0804"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4" name="Text Box 14">
            <a:hlinkClick xmlns:r="http://schemas.openxmlformats.org/officeDocument/2006/relationships" r:id="rId4"/>
          </xdr:cNvPr>
          <xdr:cNvSpPr txBox="1">
            <a:spLocks noChangeArrowheads="1" noTextEdit="1"/>
          </xdr:cNvSpPr>
        </xdr:nvSpPr>
        <xdr:spPr bwMode="auto">
          <a:xfrm>
            <a:off x="295275" y="869316"/>
            <a:ext cx="11430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5721618-4E79-4EDB-8156-A7729F69FDF8}"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00806"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974"/>
            <a:ext cx="1552575" cy="3863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2B4C35C-F7D3-4C6C-B218-59B371927ECF}"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00808"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8" name="Text Box 18">
            <a:hlinkClick xmlns:r="http://schemas.openxmlformats.org/officeDocument/2006/relationships" r:id="rId6"/>
          </xdr:cNvPr>
          <xdr:cNvSpPr txBox="1">
            <a:spLocks noChangeArrowheads="1" noTextEdit="1"/>
          </xdr:cNvSpPr>
        </xdr:nvSpPr>
        <xdr:spPr bwMode="auto">
          <a:xfrm>
            <a:off x="133350" y="1738632"/>
            <a:ext cx="1447800" cy="39602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7D58AE1-DB08-4BE3-A1C8-1B34EA2A5434}"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00810"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0" name="Text Box 20">
            <a:hlinkClick xmlns:r="http://schemas.openxmlformats.org/officeDocument/2006/relationships" r:id="rId7"/>
          </xdr:cNvPr>
          <xdr:cNvSpPr txBox="1">
            <a:spLocks noChangeArrowheads="1" noTextEdit="1"/>
          </xdr:cNvSpPr>
        </xdr:nvSpPr>
        <xdr:spPr bwMode="auto">
          <a:xfrm>
            <a:off x="142875" y="2153971"/>
            <a:ext cx="14097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14AF0AB-B48E-4155-A0CB-278E21711C07}"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00812"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0813"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3" name="Text Box 27">
            <a:hlinkClick xmlns:r="http://schemas.openxmlformats.org/officeDocument/2006/relationships" r:id="rId9"/>
          </xdr:cNvPr>
          <xdr:cNvSpPr txBox="1">
            <a:spLocks noChangeArrowheads="1" noTextEdit="1"/>
          </xdr:cNvSpPr>
        </xdr:nvSpPr>
        <xdr:spPr bwMode="auto">
          <a:xfrm>
            <a:off x="104775" y="2559652"/>
            <a:ext cx="14859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A4B2328-1D11-4F90-8D96-6323788C048D}"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4" name="TextBox 33">
            <a:hlinkClick xmlns:r="http://schemas.openxmlformats.org/officeDocument/2006/relationships" r:id="rId3"/>
          </xdr:cNvPr>
          <xdr:cNvSpPr txBox="1"/>
        </xdr:nvSpPr>
        <xdr:spPr>
          <a:xfrm>
            <a:off x="200025" y="502271"/>
            <a:ext cx="1323975" cy="270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133350</xdr:rowOff>
    </xdr:to>
    <xdr:grpSp>
      <xdr:nvGrpSpPr>
        <xdr:cNvPr id="7085442" name="Group 17"/>
        <xdr:cNvGrpSpPr>
          <a:grpSpLocks/>
        </xdr:cNvGrpSpPr>
      </xdr:nvGrpSpPr>
      <xdr:grpSpPr bwMode="auto">
        <a:xfrm>
          <a:off x="0" y="0"/>
          <a:ext cx="1714500" cy="3603171"/>
          <a:chOff x="0" y="0"/>
          <a:chExt cx="1714500" cy="3602831"/>
        </a:xfrm>
      </xdr:grpSpPr>
      <xdr:pic>
        <xdr:nvPicPr>
          <xdr:cNvPr id="7085443"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685"/>
            <a:ext cx="1123950" cy="39708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838A071-C169-41F2-948F-D77BD1F50061}"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85445"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5446"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71653"/>
            <a:ext cx="1143000" cy="39708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6BCAE6A-A05A-47EC-9C31-5D49965D2643}"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85448"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7794"/>
            <a:ext cx="1552575" cy="38740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75E4F4B-9BB5-4EAD-8FE8-C3F32B6326A4}"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85450"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3620"/>
            <a:ext cx="1447800" cy="40677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777789E-5B0C-429D-9E2F-D5344B4324AC}"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85452"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9762"/>
            <a:ext cx="1409700" cy="40677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3049B9B-14C1-4E5F-968E-73240FC53C61}"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85454"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5455"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6533"/>
            <a:ext cx="1485900" cy="39708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81D6254-DF09-4808-8C9E-6AA7BBB95D1F}"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3622"/>
            <a:ext cx="1323975" cy="271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9525</xdr:rowOff>
    </xdr:to>
    <xdr:grpSp>
      <xdr:nvGrpSpPr>
        <xdr:cNvPr id="7101824" name="Group 17"/>
        <xdr:cNvGrpSpPr>
          <a:grpSpLocks/>
        </xdr:cNvGrpSpPr>
      </xdr:nvGrpSpPr>
      <xdr:grpSpPr bwMode="auto">
        <a:xfrm>
          <a:off x="0" y="0"/>
          <a:ext cx="1714500" cy="3601811"/>
          <a:chOff x="0" y="0"/>
          <a:chExt cx="1714500" cy="3602831"/>
        </a:xfrm>
      </xdr:grpSpPr>
      <xdr:pic>
        <xdr:nvPicPr>
          <xdr:cNvPr id="7101825"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711"/>
            <a:ext cx="112395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DF42D38-B1CB-4581-BDD3-FB867F7B45D3}"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01827"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1828"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4291"/>
            <a:ext cx="11430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DD266A6-3B10-4EFB-BB52-2DAFF6CF72CD}"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01830"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5" name="Text Box 16">
            <a:hlinkClick xmlns:r="http://schemas.openxmlformats.org/officeDocument/2006/relationships" r:id="rId5"/>
          </xdr:cNvPr>
          <xdr:cNvSpPr txBox="1">
            <a:spLocks noChangeArrowheads="1" noTextEdit="1"/>
          </xdr:cNvSpPr>
        </xdr:nvSpPr>
        <xdr:spPr bwMode="auto">
          <a:xfrm>
            <a:off x="47625" y="1301292"/>
            <a:ext cx="1552575" cy="38844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B1D1BDF-5003-428F-A39A-A3A15AE8D984}"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01832"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9" name="Text Box 18">
            <a:hlinkClick xmlns:r="http://schemas.openxmlformats.org/officeDocument/2006/relationships" r:id="rId6"/>
          </xdr:cNvPr>
          <xdr:cNvSpPr txBox="1">
            <a:spLocks noChangeArrowheads="1" noTextEdit="1"/>
          </xdr:cNvSpPr>
        </xdr:nvSpPr>
        <xdr:spPr bwMode="auto">
          <a:xfrm>
            <a:off x="133350" y="1738293"/>
            <a:ext cx="144780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E1C5812-A1BF-4EDD-9B41-3A31D65AF097}"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01834"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3" name="Text Box 20">
            <a:hlinkClick xmlns:r="http://schemas.openxmlformats.org/officeDocument/2006/relationships" r:id="rId7"/>
          </xdr:cNvPr>
          <xdr:cNvSpPr txBox="1">
            <a:spLocks noChangeArrowheads="1" noTextEdit="1"/>
          </xdr:cNvSpPr>
        </xdr:nvSpPr>
        <xdr:spPr bwMode="auto">
          <a:xfrm>
            <a:off x="142875" y="2155872"/>
            <a:ext cx="14097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B1A299E-DDC8-4B1E-9B2E-287018DCE5E6}"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01836"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1837"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8" name="Text Box 27">
            <a:hlinkClick xmlns:r="http://schemas.openxmlformats.org/officeDocument/2006/relationships" r:id="rId9"/>
          </xdr:cNvPr>
          <xdr:cNvSpPr txBox="1">
            <a:spLocks noChangeArrowheads="1" noTextEdit="1"/>
          </xdr:cNvSpPr>
        </xdr:nvSpPr>
        <xdr:spPr bwMode="auto">
          <a:xfrm>
            <a:off x="104775" y="2563740"/>
            <a:ext cx="14859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DAB99F2-0A93-47EE-BD0A-768B1AA1AB80}"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5268"/>
            <a:ext cx="1323975" cy="281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9525</xdr:rowOff>
    </xdr:to>
    <xdr:grpSp>
      <xdr:nvGrpSpPr>
        <xdr:cNvPr id="7086467" name="Group 17"/>
        <xdr:cNvGrpSpPr>
          <a:grpSpLocks/>
        </xdr:cNvGrpSpPr>
      </xdr:nvGrpSpPr>
      <xdr:grpSpPr bwMode="auto">
        <a:xfrm>
          <a:off x="0" y="0"/>
          <a:ext cx="1714500" cy="3601811"/>
          <a:chOff x="0" y="0"/>
          <a:chExt cx="1714500" cy="3602831"/>
        </a:xfrm>
      </xdr:grpSpPr>
      <xdr:pic>
        <xdr:nvPicPr>
          <xdr:cNvPr id="7086468"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711"/>
            <a:ext cx="112395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F2265BB-4CC8-403C-9D7B-7BD783B09D09}"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86470"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6471"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4291"/>
            <a:ext cx="11430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453331F-A6AA-484E-BE3C-689C4D5042BA}"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86473"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1292"/>
            <a:ext cx="1552575" cy="38844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5B7FAFC-8D26-4942-A9BE-0E4BE3FC8F28}"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86475"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8293"/>
            <a:ext cx="144780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049C0CA-91D2-4BD1-8CEE-B5E9F130F39B}"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86477"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5872"/>
            <a:ext cx="14097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BDFF9D5-B376-402D-8055-02264ACECAA0}"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86479"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6480"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3740"/>
            <a:ext cx="14859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3A521C3-BFB9-4666-96D0-BF8EFE643078}"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5268"/>
            <a:ext cx="1323975" cy="281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9525</xdr:colOff>
      <xdr:row>0</xdr:row>
      <xdr:rowOff>0</xdr:rowOff>
    </xdr:from>
    <xdr:to>
      <xdr:col>0</xdr:col>
      <xdr:colOff>1714500</xdr:colOff>
      <xdr:row>23</xdr:row>
      <xdr:rowOff>114300</xdr:rowOff>
    </xdr:to>
    <xdr:grpSp>
      <xdr:nvGrpSpPr>
        <xdr:cNvPr id="7145640" name="Group 1"/>
        <xdr:cNvGrpSpPr>
          <a:grpSpLocks/>
        </xdr:cNvGrpSpPr>
      </xdr:nvGrpSpPr>
      <xdr:grpSpPr bwMode="auto">
        <a:xfrm>
          <a:off x="9525" y="0"/>
          <a:ext cx="1704975" cy="4972050"/>
          <a:chOff x="1" y="0"/>
          <a:chExt cx="179" cy="522"/>
        </a:xfrm>
      </xdr:grpSpPr>
      <xdr:pic>
        <xdr:nvPicPr>
          <xdr:cNvPr id="7145641" name="Picture 2"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5779" name="Text Box 3">
            <a:hlinkClick xmlns:r="http://schemas.openxmlformats.org/officeDocument/2006/relationships" r:id="rId1"/>
          </xdr:cNvPr>
          <xdr:cNvSpPr txBox="1">
            <a:spLocks noChangeArrowheads="1"/>
          </xdr:cNvSpPr>
        </xdr:nvSpPr>
        <xdr:spPr bwMode="auto">
          <a:xfrm>
            <a:off x="32" y="1"/>
            <a:ext cx="118"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Main</a:t>
            </a:r>
          </a:p>
        </xdr:txBody>
      </xdr:sp>
      <xdr:pic>
        <xdr:nvPicPr>
          <xdr:cNvPr id="7145643" name="Picture 4"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5781" name="Text Box 5">
            <a:hlinkClick xmlns:r="http://schemas.openxmlformats.org/officeDocument/2006/relationships" r:id="rId3"/>
          </xdr:cNvPr>
          <xdr:cNvSpPr txBox="1">
            <a:spLocks noChangeArrowheads="1"/>
          </xdr:cNvSpPr>
        </xdr:nvSpPr>
        <xdr:spPr bwMode="auto">
          <a:xfrm>
            <a:off x="28" y="45"/>
            <a:ext cx="124"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Home</a:t>
            </a:r>
          </a:p>
        </xdr:txBody>
      </xdr:sp>
      <xdr:pic>
        <xdr:nvPicPr>
          <xdr:cNvPr id="7145645" name="Picture 6"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9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5783" name="Text Box 7">
            <a:hlinkClick xmlns:r="http://schemas.openxmlformats.org/officeDocument/2006/relationships" r:id="rId4"/>
          </xdr:cNvPr>
          <xdr:cNvSpPr txBox="1">
            <a:spLocks noChangeArrowheads="1"/>
          </xdr:cNvSpPr>
        </xdr:nvSpPr>
        <xdr:spPr bwMode="auto">
          <a:xfrm>
            <a:off x="31" y="90"/>
            <a:ext cx="120"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a:t>
            </a:r>
          </a:p>
        </xdr:txBody>
      </xdr:sp>
      <xdr:pic>
        <xdr:nvPicPr>
          <xdr:cNvPr id="7145647" name="Picture 8"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3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5785" name="Text Box 9">
            <a:hlinkClick xmlns:r="http://schemas.openxmlformats.org/officeDocument/2006/relationships" r:id="rId5"/>
          </xdr:cNvPr>
          <xdr:cNvSpPr txBox="1">
            <a:spLocks noChangeArrowheads="1"/>
          </xdr:cNvSpPr>
        </xdr:nvSpPr>
        <xdr:spPr bwMode="auto">
          <a:xfrm>
            <a:off x="5" y="135"/>
            <a:ext cx="163" cy="40"/>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 Requirements</a:t>
            </a:r>
          </a:p>
        </xdr:txBody>
      </xdr:sp>
      <xdr:pic>
        <xdr:nvPicPr>
          <xdr:cNvPr id="7145649" name="Picture 10"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8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5787" name="Text Box 11">
            <a:hlinkClick xmlns:r="http://schemas.openxmlformats.org/officeDocument/2006/relationships" r:id="rId6"/>
          </xdr:cNvPr>
          <xdr:cNvSpPr txBox="1">
            <a:spLocks noChangeArrowheads="1"/>
          </xdr:cNvSpPr>
        </xdr:nvSpPr>
        <xdr:spPr bwMode="auto">
          <a:xfrm>
            <a:off x="14" y="180"/>
            <a:ext cx="152"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Financial Forecast</a:t>
            </a:r>
          </a:p>
        </xdr:txBody>
      </xdr:sp>
      <xdr:pic>
        <xdr:nvPicPr>
          <xdr:cNvPr id="7145651" name="Picture 12"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24"/>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5789" name="Text Box 13">
            <a:hlinkClick xmlns:r="http://schemas.openxmlformats.org/officeDocument/2006/relationships" r:id="rId7"/>
          </xdr:cNvPr>
          <xdr:cNvSpPr txBox="1">
            <a:spLocks noChangeArrowheads="1"/>
          </xdr:cNvSpPr>
        </xdr:nvSpPr>
        <xdr:spPr bwMode="auto">
          <a:xfrm>
            <a:off x="15" y="224"/>
            <a:ext cx="148"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Cost of Service</a:t>
            </a:r>
          </a:p>
        </xdr:txBody>
      </xdr:sp>
      <xdr:pic>
        <xdr:nvPicPr>
          <xdr:cNvPr id="7145653" name="Picture 14" descr="Another Button copy">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68"/>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5791" name="Text Box 15">
            <a:hlinkClick xmlns:r="http://schemas.openxmlformats.org/officeDocument/2006/relationships" r:id="rId8"/>
          </xdr:cNvPr>
          <xdr:cNvSpPr txBox="1">
            <a:spLocks noChangeArrowheads="1"/>
          </xdr:cNvSpPr>
        </xdr:nvSpPr>
        <xdr:spPr bwMode="auto">
          <a:xfrm>
            <a:off x="11" y="268"/>
            <a:ext cx="153"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Rate Design</a:t>
            </a:r>
          </a:p>
        </xdr:txBody>
      </xdr:sp>
      <xdr:pic>
        <xdr:nvPicPr>
          <xdr:cNvPr id="7145655" name="Picture 1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12"/>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5793" name="Text Box 17">
            <a:hlinkClick xmlns:r="http://schemas.openxmlformats.org/officeDocument/2006/relationships" r:id="rId9"/>
          </xdr:cNvPr>
          <xdr:cNvSpPr txBox="1">
            <a:spLocks noChangeArrowheads="1"/>
          </xdr:cNvSpPr>
        </xdr:nvSpPr>
        <xdr:spPr bwMode="auto">
          <a:xfrm>
            <a:off x="11" y="312"/>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Control / Other</a:t>
            </a:r>
          </a:p>
        </xdr:txBody>
      </xdr:sp>
      <xdr:pic>
        <xdr:nvPicPr>
          <xdr:cNvPr id="7145657" name="Picture 18" descr="Logo vert 293 reversed"/>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 y="472"/>
            <a:ext cx="158" cy="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45658" name="Picture 19" descr="Another Button copy">
            <a:hlinkClick xmlns:r="http://schemas.openxmlformats.org/officeDocument/2006/relationships" r:id="rId1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57"/>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5796" name="Text Box 20">
            <a:hlinkClick xmlns:r="http://schemas.openxmlformats.org/officeDocument/2006/relationships" r:id="rId11"/>
          </xdr:cNvPr>
          <xdr:cNvSpPr txBox="1">
            <a:spLocks noChangeArrowheads="1"/>
          </xdr:cNvSpPr>
        </xdr:nvSpPr>
        <xdr:spPr bwMode="auto">
          <a:xfrm>
            <a:off x="12" y="357"/>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Support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2136322</xdr:colOff>
      <xdr:row>20</xdr:row>
      <xdr:rowOff>108857</xdr:rowOff>
    </xdr:from>
    <xdr:to>
      <xdr:col>6</xdr:col>
      <xdr:colOff>898071</xdr:colOff>
      <xdr:row>35</xdr:row>
      <xdr:rowOff>0</xdr:rowOff>
    </xdr:to>
    <xdr:cxnSp macro="">
      <xdr:nvCxnSpPr>
        <xdr:cNvPr id="3" name="Straight Arrow Connector 2" descr="aff5634f-fa27-4cdf-8df0-16e8f32f7ba8"/>
        <xdr:cNvCxnSpPr/>
      </xdr:nvCxnSpPr>
      <xdr:spPr>
        <a:xfrm flipV="1">
          <a:off x="4435929" y="4803321"/>
          <a:ext cx="3197678" cy="29527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xdr:col>
      <xdr:colOff>0</xdr:colOff>
      <xdr:row>14</xdr:row>
      <xdr:rowOff>133350</xdr:rowOff>
    </xdr:to>
    <xdr:grpSp>
      <xdr:nvGrpSpPr>
        <xdr:cNvPr id="7076302" name="Group 18"/>
        <xdr:cNvGrpSpPr>
          <a:grpSpLocks/>
        </xdr:cNvGrpSpPr>
      </xdr:nvGrpSpPr>
      <xdr:grpSpPr bwMode="auto">
        <a:xfrm>
          <a:off x="0" y="0"/>
          <a:ext cx="1714500" cy="3603171"/>
          <a:chOff x="0" y="0"/>
          <a:chExt cx="1714500" cy="3602831"/>
        </a:xfrm>
      </xdr:grpSpPr>
      <xdr:pic>
        <xdr:nvPicPr>
          <xdr:cNvPr id="7076303"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1" name="Text Box 10">
            <a:hlinkClick xmlns:r="http://schemas.openxmlformats.org/officeDocument/2006/relationships" r:id="rId1"/>
          </xdr:cNvPr>
          <xdr:cNvSpPr txBox="1">
            <a:spLocks noChangeArrowheads="1" noTextEdit="1"/>
          </xdr:cNvSpPr>
        </xdr:nvSpPr>
        <xdr:spPr bwMode="auto">
          <a:xfrm>
            <a:off x="304800" y="9608"/>
            <a:ext cx="1123950" cy="39391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C4F9ACF-604B-4B8F-BA0A-E8DD55F9290E}"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76305"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76306"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4" name="Text Box 14">
            <a:hlinkClick xmlns:r="http://schemas.openxmlformats.org/officeDocument/2006/relationships" r:id="rId4"/>
          </xdr:cNvPr>
          <xdr:cNvSpPr txBox="1">
            <a:spLocks noChangeArrowheads="1" noTextEdit="1"/>
          </xdr:cNvSpPr>
        </xdr:nvSpPr>
        <xdr:spPr bwMode="auto">
          <a:xfrm>
            <a:off x="295275" y="864679"/>
            <a:ext cx="11430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991EBBF-5B89-4D37-B36A-DFDCC99B86A2}"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76308"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8" name="Text Box 16">
            <a:hlinkClick xmlns:r="http://schemas.openxmlformats.org/officeDocument/2006/relationships" r:id="rId5"/>
          </xdr:cNvPr>
          <xdr:cNvSpPr txBox="1">
            <a:spLocks noChangeArrowheads="1" noTextEdit="1"/>
          </xdr:cNvSpPr>
        </xdr:nvSpPr>
        <xdr:spPr bwMode="auto">
          <a:xfrm>
            <a:off x="47625" y="1297019"/>
            <a:ext cx="1552575" cy="3843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4F37C61-4B20-4231-B118-05FE5C0ECE50}"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76310"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2" name="Text Box 18">
            <a:hlinkClick xmlns:r="http://schemas.openxmlformats.org/officeDocument/2006/relationships" r:id="rId6"/>
          </xdr:cNvPr>
          <xdr:cNvSpPr txBox="1">
            <a:spLocks noChangeArrowheads="1" noTextEdit="1"/>
          </xdr:cNvSpPr>
        </xdr:nvSpPr>
        <xdr:spPr bwMode="auto">
          <a:xfrm>
            <a:off x="133350" y="1729359"/>
            <a:ext cx="1447800" cy="41312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09243A0-C556-408D-BF6A-ED5A522871A6}"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76312"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6" name="Text Box 20">
            <a:hlinkClick xmlns:r="http://schemas.openxmlformats.org/officeDocument/2006/relationships" r:id="rId7"/>
          </xdr:cNvPr>
          <xdr:cNvSpPr txBox="1">
            <a:spLocks noChangeArrowheads="1" noTextEdit="1"/>
          </xdr:cNvSpPr>
        </xdr:nvSpPr>
        <xdr:spPr bwMode="auto">
          <a:xfrm>
            <a:off x="142875" y="2161699"/>
            <a:ext cx="14097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ECF86A6-575E-490B-910F-C3CF46E9D3BD}"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76314"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76315"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40" name="Text Box 27">
            <a:hlinkClick xmlns:r="http://schemas.openxmlformats.org/officeDocument/2006/relationships" r:id="rId9"/>
          </xdr:cNvPr>
          <xdr:cNvSpPr txBox="1">
            <a:spLocks noChangeArrowheads="1" noTextEdit="1"/>
          </xdr:cNvSpPr>
        </xdr:nvSpPr>
        <xdr:spPr bwMode="auto">
          <a:xfrm>
            <a:off x="104775" y="2565216"/>
            <a:ext cx="14859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E8B6F3E-16DF-4D43-A5B9-24FA53D8B534}"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1" name="TextBox 40">
            <a:hlinkClick xmlns:r="http://schemas.openxmlformats.org/officeDocument/2006/relationships" r:id="rId3"/>
          </xdr:cNvPr>
          <xdr:cNvSpPr txBox="1"/>
        </xdr:nvSpPr>
        <xdr:spPr>
          <a:xfrm>
            <a:off x="200025" y="499593"/>
            <a:ext cx="1323975" cy="27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15</xdr:row>
      <xdr:rowOff>209550</xdr:rowOff>
    </xdr:to>
    <xdr:grpSp>
      <xdr:nvGrpSpPr>
        <xdr:cNvPr id="7102848" name="Group 17"/>
        <xdr:cNvGrpSpPr>
          <a:grpSpLocks/>
        </xdr:cNvGrpSpPr>
      </xdr:nvGrpSpPr>
      <xdr:grpSpPr bwMode="auto">
        <a:xfrm>
          <a:off x="0" y="0"/>
          <a:ext cx="1714500" cy="3602831"/>
          <a:chOff x="0" y="0"/>
          <a:chExt cx="1714500" cy="3602831"/>
        </a:xfrm>
      </xdr:grpSpPr>
      <xdr:pic>
        <xdr:nvPicPr>
          <xdr:cNvPr id="7102849"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633"/>
            <a:ext cx="1123950" cy="3949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339A3EF-EA58-461D-9741-D1E67B86EC5A}"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02851"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2852"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6991"/>
            <a:ext cx="1143000" cy="404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C4E162B-4EEB-425D-ADBB-300CC15B5D4B}"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02854"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0487"/>
            <a:ext cx="1552575" cy="38533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1674D80-CEAA-4D98-8343-CE8EDAE4A08A}"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02856"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3983"/>
            <a:ext cx="1447800" cy="404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578BD2A-FBC9-49A9-BEF0-2173CE85ED27}"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02858"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7845"/>
            <a:ext cx="1409700" cy="404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73CB30B-5101-499A-B90D-9D5296F39FA4}"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02860"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2861"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2441"/>
            <a:ext cx="1485900" cy="4045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23E441C-9199-4761-BF54-00257ED55D46}"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0928"/>
            <a:ext cx="1323975" cy="269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20</xdr:row>
      <xdr:rowOff>133350</xdr:rowOff>
    </xdr:to>
    <xdr:grpSp>
      <xdr:nvGrpSpPr>
        <xdr:cNvPr id="7103872" name="Group 17"/>
        <xdr:cNvGrpSpPr>
          <a:grpSpLocks/>
        </xdr:cNvGrpSpPr>
      </xdr:nvGrpSpPr>
      <xdr:grpSpPr bwMode="auto">
        <a:xfrm>
          <a:off x="0" y="0"/>
          <a:ext cx="1714500" cy="3603171"/>
          <a:chOff x="0" y="0"/>
          <a:chExt cx="1714500" cy="3602831"/>
        </a:xfrm>
      </xdr:grpSpPr>
      <xdr:pic>
        <xdr:nvPicPr>
          <xdr:cNvPr id="7103873"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608"/>
            <a:ext cx="1123950" cy="39391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8B2E703-4344-4C6D-B887-5442FAFA25FC}"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03875"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3876"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4679"/>
            <a:ext cx="11430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39B7882-1EC0-4828-A0A2-F6E01DECB8C6}"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03878"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5" name="Text Box 16">
            <a:hlinkClick xmlns:r="http://schemas.openxmlformats.org/officeDocument/2006/relationships" r:id="rId5"/>
          </xdr:cNvPr>
          <xdr:cNvSpPr txBox="1">
            <a:spLocks noChangeArrowheads="1" noTextEdit="1"/>
          </xdr:cNvSpPr>
        </xdr:nvSpPr>
        <xdr:spPr bwMode="auto">
          <a:xfrm>
            <a:off x="47625" y="1297019"/>
            <a:ext cx="1552575" cy="3843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95832A5-6797-44C3-9E67-B65E226B8384}"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03880"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8" name="Text Box 18">
            <a:hlinkClick xmlns:r="http://schemas.openxmlformats.org/officeDocument/2006/relationships" r:id="rId6"/>
          </xdr:cNvPr>
          <xdr:cNvSpPr txBox="1">
            <a:spLocks noChangeArrowheads="1" noTextEdit="1"/>
          </xdr:cNvSpPr>
        </xdr:nvSpPr>
        <xdr:spPr bwMode="auto">
          <a:xfrm>
            <a:off x="133350" y="1729359"/>
            <a:ext cx="1447800" cy="41312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BF59393-3D39-4552-8DFF-6662117430DE}"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03882"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0" name="Text Box 20">
            <a:hlinkClick xmlns:r="http://schemas.openxmlformats.org/officeDocument/2006/relationships" r:id="rId7"/>
          </xdr:cNvPr>
          <xdr:cNvSpPr txBox="1">
            <a:spLocks noChangeArrowheads="1" noTextEdit="1"/>
          </xdr:cNvSpPr>
        </xdr:nvSpPr>
        <xdr:spPr bwMode="auto">
          <a:xfrm>
            <a:off x="142875" y="2161699"/>
            <a:ext cx="14097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F32105C-5682-4AA3-9956-1CC658257B35}"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03884"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3885"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4" name="Text Box 27">
            <a:hlinkClick xmlns:r="http://schemas.openxmlformats.org/officeDocument/2006/relationships" r:id="rId9"/>
          </xdr:cNvPr>
          <xdr:cNvSpPr txBox="1">
            <a:spLocks noChangeArrowheads="1" noTextEdit="1"/>
          </xdr:cNvSpPr>
        </xdr:nvSpPr>
        <xdr:spPr bwMode="auto">
          <a:xfrm>
            <a:off x="104775" y="2565216"/>
            <a:ext cx="14859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E64C0A2-BC50-42AA-934A-B95227AD059E}"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6" name="TextBox 35">
            <a:hlinkClick xmlns:r="http://schemas.openxmlformats.org/officeDocument/2006/relationships" r:id="rId3"/>
          </xdr:cNvPr>
          <xdr:cNvSpPr txBox="1"/>
        </xdr:nvSpPr>
        <xdr:spPr>
          <a:xfrm>
            <a:off x="200025" y="499593"/>
            <a:ext cx="1323975" cy="27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17</xdr:row>
      <xdr:rowOff>66675</xdr:rowOff>
    </xdr:to>
    <xdr:grpSp>
      <xdr:nvGrpSpPr>
        <xdr:cNvPr id="7087489" name="Group 17"/>
        <xdr:cNvGrpSpPr>
          <a:grpSpLocks/>
        </xdr:cNvGrpSpPr>
      </xdr:nvGrpSpPr>
      <xdr:grpSpPr bwMode="auto">
        <a:xfrm>
          <a:off x="0" y="0"/>
          <a:ext cx="1714500" cy="3604532"/>
          <a:chOff x="0" y="0"/>
          <a:chExt cx="1714500" cy="3602831"/>
        </a:xfrm>
      </xdr:grpSpPr>
      <xdr:pic>
        <xdr:nvPicPr>
          <xdr:cNvPr id="7087490"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608"/>
            <a:ext cx="1123950" cy="39391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A128FB3-C089-499C-983B-9C4135D19957}"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87492"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7493"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4679"/>
            <a:ext cx="11430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FF91DFC-C731-4681-B534-E7109CFCD8B7}"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87495"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7019"/>
            <a:ext cx="1552575" cy="3843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145E748-9E79-470D-93BC-512134FA9629}"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87497"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29359"/>
            <a:ext cx="1447800" cy="41312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8E2B2DD-7F31-483F-BC76-3666FB8F0243}"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87499"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61699"/>
            <a:ext cx="14097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05D2B16-FEC8-44D4-ABD3-30045466878D}"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87501"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7502"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5216"/>
            <a:ext cx="14859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043E653-E0F5-474D-BFA1-4BDCC0D73673}"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9593"/>
            <a:ext cx="1323975" cy="27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17</xdr:row>
      <xdr:rowOff>95250</xdr:rowOff>
    </xdr:to>
    <xdr:grpSp>
      <xdr:nvGrpSpPr>
        <xdr:cNvPr id="7072255" name="Group 17"/>
        <xdr:cNvGrpSpPr>
          <a:grpSpLocks/>
        </xdr:cNvGrpSpPr>
      </xdr:nvGrpSpPr>
      <xdr:grpSpPr bwMode="auto">
        <a:xfrm>
          <a:off x="0" y="0"/>
          <a:ext cx="1714500" cy="3891643"/>
          <a:chOff x="0" y="0"/>
          <a:chExt cx="1714500" cy="3602831"/>
        </a:xfrm>
      </xdr:grpSpPr>
      <xdr:pic>
        <xdr:nvPicPr>
          <xdr:cNvPr id="7072256"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57"/>
            <a:ext cx="1123950" cy="39182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C2C199B-C5F2-404F-8C6B-110080132D2A}"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72258"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72259"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9649"/>
            <a:ext cx="11430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DB95D38-3507-45EB-89CC-72C506FE4BC4}"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72261"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9695"/>
            <a:ext cx="1552575" cy="3822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36A0117-EEFD-4CE0-B8D6-CC77D644F327}"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72263"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29741"/>
            <a:ext cx="1447800" cy="41093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49F6894-2038-490B-B9E8-D8347976DA61}"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72265"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9787"/>
            <a:ext cx="14097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0509681-4BA6-4C81-80E9-6AAE25773279}"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72267"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72268"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1164"/>
            <a:ext cx="14859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158674D-557A-459A-8C52-2F4BEEDB71A5}"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6942"/>
            <a:ext cx="1323975" cy="277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152400</xdr:rowOff>
    </xdr:to>
    <xdr:grpSp>
      <xdr:nvGrpSpPr>
        <xdr:cNvPr id="7078347" name="Group 17"/>
        <xdr:cNvGrpSpPr>
          <a:grpSpLocks/>
        </xdr:cNvGrpSpPr>
      </xdr:nvGrpSpPr>
      <xdr:grpSpPr bwMode="auto">
        <a:xfrm>
          <a:off x="0" y="0"/>
          <a:ext cx="1714500" cy="3806536"/>
          <a:chOff x="0" y="0"/>
          <a:chExt cx="1714500" cy="3602831"/>
        </a:xfrm>
      </xdr:grpSpPr>
      <xdr:pic>
        <xdr:nvPicPr>
          <xdr:cNvPr id="7078348"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817"/>
            <a:ext cx="1123950" cy="392679"/>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71711EE-384A-4779-BC09-A2D895BD23B4}"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78350"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78351"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3894"/>
            <a:ext cx="1143000" cy="41231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29BC5F8-6EE3-4725-A7A1-CF9C9E841667}"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78353"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5841"/>
            <a:ext cx="1552575" cy="392679"/>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13AEB55-E292-4992-B556-3A92D85870D4}"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78355"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7605"/>
            <a:ext cx="1447800" cy="4024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FEAF7E1-9DBB-40A7-8EF7-9318442D1112}"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78357"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9735"/>
            <a:ext cx="1409700" cy="4024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1457992-482B-404A-8F8F-ABE1E867418A}"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78359"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78360"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2231"/>
            <a:ext cx="1485900" cy="4024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B05DF40-695B-40F2-B2C3-FD6B7F95598D}"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0666"/>
            <a:ext cx="1323975" cy="27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17</xdr:row>
      <xdr:rowOff>28575</xdr:rowOff>
    </xdr:to>
    <xdr:grpSp>
      <xdr:nvGrpSpPr>
        <xdr:cNvPr id="7081378" name="Group 17"/>
        <xdr:cNvGrpSpPr>
          <a:grpSpLocks/>
        </xdr:cNvGrpSpPr>
      </xdr:nvGrpSpPr>
      <xdr:grpSpPr bwMode="auto">
        <a:xfrm>
          <a:off x="0" y="0"/>
          <a:ext cx="1714500" cy="3607254"/>
          <a:chOff x="0" y="0"/>
          <a:chExt cx="1714500" cy="3602831"/>
        </a:xfrm>
      </xdr:grpSpPr>
      <xdr:pic>
        <xdr:nvPicPr>
          <xdr:cNvPr id="7081379"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358"/>
            <a:ext cx="1123950" cy="39303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02B9CE7-FF25-42E3-B9B9-6F8C6A11BF5E}"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81381"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1382"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70294"/>
            <a:ext cx="1143000" cy="40239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C12A083-59A0-4499-95ED-DED6E1CA5000}"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81384"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0762"/>
            <a:ext cx="1552575" cy="38367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A0B9E67-088A-4CF3-B62B-DC5212F4DAFB}"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81386"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1230"/>
            <a:ext cx="1447800" cy="41175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E68D392-1722-4FF8-81B3-CA40E4026C46}"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81388"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61699"/>
            <a:ext cx="1409700" cy="40239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0841DAD-2DF3-4876-AB2D-0AD868206A70}"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81390"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1391"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4093"/>
            <a:ext cx="1485900" cy="40239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BC41345-CDB5-418F-9385-713EFB690FE6}"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5974"/>
            <a:ext cx="1323975" cy="280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15</xdr:row>
      <xdr:rowOff>171450</xdr:rowOff>
    </xdr:to>
    <xdr:grpSp>
      <xdr:nvGrpSpPr>
        <xdr:cNvPr id="7104897" name="Group 17"/>
        <xdr:cNvGrpSpPr>
          <a:grpSpLocks/>
        </xdr:cNvGrpSpPr>
      </xdr:nvGrpSpPr>
      <xdr:grpSpPr bwMode="auto">
        <a:xfrm>
          <a:off x="0" y="0"/>
          <a:ext cx="1714500" cy="3578038"/>
          <a:chOff x="0" y="0"/>
          <a:chExt cx="1714500" cy="3602831"/>
        </a:xfrm>
      </xdr:grpSpPr>
      <xdr:pic>
        <xdr:nvPicPr>
          <xdr:cNvPr id="7104898"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711"/>
            <a:ext cx="112395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CAEF1DB-445E-46B5-B6D4-6A6E8136CC5B}"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04900"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4901"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4291"/>
            <a:ext cx="11430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3B87246-DADB-48CB-A594-969C92A6BCB4}"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04903"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1292"/>
            <a:ext cx="1552575" cy="38844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A80C80B-7DB2-479A-9962-5FD048EE36C1}"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04905"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8293"/>
            <a:ext cx="144780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5F434F9-31AE-46EC-9B00-B79B3B87C9BC}"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04907"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5872"/>
            <a:ext cx="14097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31F6045-DF4A-47C5-A6E5-DBB6055B3D5A}"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04909"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4910"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3740"/>
            <a:ext cx="14859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BE6C53D-4889-4CE4-8248-36B0EDC225EF}"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5268"/>
            <a:ext cx="1323975" cy="281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133350</xdr:rowOff>
    </xdr:to>
    <xdr:grpSp>
      <xdr:nvGrpSpPr>
        <xdr:cNvPr id="7105920" name="Group 17"/>
        <xdr:cNvGrpSpPr>
          <a:grpSpLocks/>
        </xdr:cNvGrpSpPr>
      </xdr:nvGrpSpPr>
      <xdr:grpSpPr bwMode="auto">
        <a:xfrm>
          <a:off x="0" y="0"/>
          <a:ext cx="1714500" cy="3603171"/>
          <a:chOff x="0" y="0"/>
          <a:chExt cx="1714500" cy="3602831"/>
        </a:xfrm>
      </xdr:grpSpPr>
      <xdr:pic>
        <xdr:nvPicPr>
          <xdr:cNvPr id="7105921"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310"/>
            <a:ext cx="1123950" cy="39100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9CAB324-C794-4EE8-BFBE-CDA0DD43CBCB}"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05923"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5924"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5797"/>
            <a:ext cx="1143000" cy="40962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AF8DC15-4925-47EA-9349-FE652E8A1150}"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05926"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350"/>
            <a:ext cx="1552575" cy="38169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2F816E2-3875-4C0A-BDCF-1A2B9D911F3F}"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05928"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1593"/>
            <a:ext cx="1447800" cy="40962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3E26201-4508-4E0A-BA02-BEBA5F682061}"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05930"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9837"/>
            <a:ext cx="14097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D964AB9-BF32-43BC-93F2-F5376C0B9004}"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05932"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5933"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0151"/>
            <a:ext cx="1485900" cy="40962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A82EF75-2939-4723-8CD4-C9513C80D33F}"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2721"/>
            <a:ext cx="1323975" cy="269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76200</xdr:rowOff>
    </xdr:to>
    <xdr:grpSp>
      <xdr:nvGrpSpPr>
        <xdr:cNvPr id="7088515" name="Group 17"/>
        <xdr:cNvGrpSpPr>
          <a:grpSpLocks/>
        </xdr:cNvGrpSpPr>
      </xdr:nvGrpSpPr>
      <xdr:grpSpPr bwMode="auto">
        <a:xfrm>
          <a:off x="0" y="0"/>
          <a:ext cx="1714500" cy="3586843"/>
          <a:chOff x="0" y="0"/>
          <a:chExt cx="1714500" cy="3602831"/>
        </a:xfrm>
      </xdr:grpSpPr>
      <xdr:pic>
        <xdr:nvPicPr>
          <xdr:cNvPr id="7088516"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06"/>
            <a:ext cx="1123950" cy="39925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C122E5D-DC17-432B-8121-AA6ACC51AA26}"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88518"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8519"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5060"/>
            <a:ext cx="1143000" cy="40876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3F59D5C-5511-44E4-BBCC-D73BE7A9C0DC}"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88521"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2343"/>
            <a:ext cx="1552575" cy="38024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B3FF771-F2ED-4F7F-9F95-9D10A3D85D56}"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88523"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0119"/>
            <a:ext cx="1447800" cy="40876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15D7AAB-BC51-4387-A98F-042059BE3EB3}"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88525"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7896"/>
            <a:ext cx="1409700" cy="40876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DA289B0-A2A9-4B0A-BF46-D49E46EE7FD5}"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88527"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8528"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6661"/>
            <a:ext cx="1485900" cy="39925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AEB2619-23EC-4EE8-BD8D-1CCA3827EA20}"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3826"/>
            <a:ext cx="1323975" cy="266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9525</xdr:colOff>
      <xdr:row>0</xdr:row>
      <xdr:rowOff>0</xdr:rowOff>
    </xdr:from>
    <xdr:to>
      <xdr:col>0</xdr:col>
      <xdr:colOff>1714500</xdr:colOff>
      <xdr:row>23</xdr:row>
      <xdr:rowOff>114300</xdr:rowOff>
    </xdr:to>
    <xdr:grpSp>
      <xdr:nvGrpSpPr>
        <xdr:cNvPr id="7146664" name="Group 1"/>
        <xdr:cNvGrpSpPr>
          <a:grpSpLocks/>
        </xdr:cNvGrpSpPr>
      </xdr:nvGrpSpPr>
      <xdr:grpSpPr bwMode="auto">
        <a:xfrm>
          <a:off x="9525" y="0"/>
          <a:ext cx="1704975" cy="4972050"/>
          <a:chOff x="1" y="0"/>
          <a:chExt cx="179" cy="522"/>
        </a:xfrm>
      </xdr:grpSpPr>
      <xdr:pic>
        <xdr:nvPicPr>
          <xdr:cNvPr id="7146665" name="Picture 2"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6803" name="Text Box 3">
            <a:hlinkClick xmlns:r="http://schemas.openxmlformats.org/officeDocument/2006/relationships" r:id="rId1"/>
          </xdr:cNvPr>
          <xdr:cNvSpPr txBox="1">
            <a:spLocks noChangeArrowheads="1"/>
          </xdr:cNvSpPr>
        </xdr:nvSpPr>
        <xdr:spPr bwMode="auto">
          <a:xfrm>
            <a:off x="32" y="1"/>
            <a:ext cx="118"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Main</a:t>
            </a:r>
          </a:p>
        </xdr:txBody>
      </xdr:sp>
      <xdr:pic>
        <xdr:nvPicPr>
          <xdr:cNvPr id="7146667" name="Picture 4"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6805" name="Text Box 5">
            <a:hlinkClick xmlns:r="http://schemas.openxmlformats.org/officeDocument/2006/relationships" r:id="rId3"/>
          </xdr:cNvPr>
          <xdr:cNvSpPr txBox="1">
            <a:spLocks noChangeArrowheads="1"/>
          </xdr:cNvSpPr>
        </xdr:nvSpPr>
        <xdr:spPr bwMode="auto">
          <a:xfrm>
            <a:off x="28" y="45"/>
            <a:ext cx="124"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Home</a:t>
            </a:r>
          </a:p>
        </xdr:txBody>
      </xdr:sp>
      <xdr:pic>
        <xdr:nvPicPr>
          <xdr:cNvPr id="7146669" name="Picture 6"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9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6807" name="Text Box 7">
            <a:hlinkClick xmlns:r="http://schemas.openxmlformats.org/officeDocument/2006/relationships" r:id="rId4"/>
          </xdr:cNvPr>
          <xdr:cNvSpPr txBox="1">
            <a:spLocks noChangeArrowheads="1"/>
          </xdr:cNvSpPr>
        </xdr:nvSpPr>
        <xdr:spPr bwMode="auto">
          <a:xfrm>
            <a:off x="31" y="90"/>
            <a:ext cx="120"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a:t>
            </a:r>
          </a:p>
        </xdr:txBody>
      </xdr:sp>
      <xdr:pic>
        <xdr:nvPicPr>
          <xdr:cNvPr id="7146671" name="Picture 8"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3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6809" name="Text Box 9">
            <a:hlinkClick xmlns:r="http://schemas.openxmlformats.org/officeDocument/2006/relationships" r:id="rId5"/>
          </xdr:cNvPr>
          <xdr:cNvSpPr txBox="1">
            <a:spLocks noChangeArrowheads="1"/>
          </xdr:cNvSpPr>
        </xdr:nvSpPr>
        <xdr:spPr bwMode="auto">
          <a:xfrm>
            <a:off x="5" y="135"/>
            <a:ext cx="163" cy="40"/>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 Requirements</a:t>
            </a:r>
          </a:p>
        </xdr:txBody>
      </xdr:sp>
      <xdr:pic>
        <xdr:nvPicPr>
          <xdr:cNvPr id="7146673" name="Picture 10"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8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6811" name="Text Box 11">
            <a:hlinkClick xmlns:r="http://schemas.openxmlformats.org/officeDocument/2006/relationships" r:id="rId6"/>
          </xdr:cNvPr>
          <xdr:cNvSpPr txBox="1">
            <a:spLocks noChangeArrowheads="1"/>
          </xdr:cNvSpPr>
        </xdr:nvSpPr>
        <xdr:spPr bwMode="auto">
          <a:xfrm>
            <a:off x="14" y="180"/>
            <a:ext cx="152"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Financial Forecast</a:t>
            </a:r>
          </a:p>
        </xdr:txBody>
      </xdr:sp>
      <xdr:pic>
        <xdr:nvPicPr>
          <xdr:cNvPr id="7146675" name="Picture 12"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24"/>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6813" name="Text Box 13">
            <a:hlinkClick xmlns:r="http://schemas.openxmlformats.org/officeDocument/2006/relationships" r:id="rId7"/>
          </xdr:cNvPr>
          <xdr:cNvSpPr txBox="1">
            <a:spLocks noChangeArrowheads="1"/>
          </xdr:cNvSpPr>
        </xdr:nvSpPr>
        <xdr:spPr bwMode="auto">
          <a:xfrm>
            <a:off x="15" y="224"/>
            <a:ext cx="148"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Cost of Service</a:t>
            </a:r>
          </a:p>
        </xdr:txBody>
      </xdr:sp>
      <xdr:pic>
        <xdr:nvPicPr>
          <xdr:cNvPr id="7146677" name="Picture 14" descr="Another Button copy">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68"/>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6815" name="Text Box 15">
            <a:hlinkClick xmlns:r="http://schemas.openxmlformats.org/officeDocument/2006/relationships" r:id="rId8"/>
          </xdr:cNvPr>
          <xdr:cNvSpPr txBox="1">
            <a:spLocks noChangeArrowheads="1"/>
          </xdr:cNvSpPr>
        </xdr:nvSpPr>
        <xdr:spPr bwMode="auto">
          <a:xfrm>
            <a:off x="11" y="268"/>
            <a:ext cx="153"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Rate Design</a:t>
            </a:r>
          </a:p>
        </xdr:txBody>
      </xdr:sp>
      <xdr:pic>
        <xdr:nvPicPr>
          <xdr:cNvPr id="7146679" name="Picture 1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12"/>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6817" name="Text Box 17">
            <a:hlinkClick xmlns:r="http://schemas.openxmlformats.org/officeDocument/2006/relationships" r:id="rId9"/>
          </xdr:cNvPr>
          <xdr:cNvSpPr txBox="1">
            <a:spLocks noChangeArrowheads="1"/>
          </xdr:cNvSpPr>
        </xdr:nvSpPr>
        <xdr:spPr bwMode="auto">
          <a:xfrm>
            <a:off x="11" y="312"/>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Control / Other</a:t>
            </a:r>
          </a:p>
        </xdr:txBody>
      </xdr:sp>
      <xdr:pic>
        <xdr:nvPicPr>
          <xdr:cNvPr id="7146681" name="Picture 18" descr="Logo vert 293 reversed"/>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 y="472"/>
            <a:ext cx="158" cy="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46682" name="Picture 19" descr="Another Button copy">
            <a:hlinkClick xmlns:r="http://schemas.openxmlformats.org/officeDocument/2006/relationships" r:id="rId1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57"/>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6820" name="Text Box 20">
            <a:hlinkClick xmlns:r="http://schemas.openxmlformats.org/officeDocument/2006/relationships" r:id="rId11"/>
          </xdr:cNvPr>
          <xdr:cNvSpPr txBox="1">
            <a:spLocks noChangeArrowheads="1"/>
          </xdr:cNvSpPr>
        </xdr:nvSpPr>
        <xdr:spPr bwMode="auto">
          <a:xfrm>
            <a:off x="12" y="357"/>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Support</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95250</xdr:rowOff>
    </xdr:to>
    <xdr:grpSp>
      <xdr:nvGrpSpPr>
        <xdr:cNvPr id="7106944" name="Group 17"/>
        <xdr:cNvGrpSpPr>
          <a:grpSpLocks/>
        </xdr:cNvGrpSpPr>
      </xdr:nvGrpSpPr>
      <xdr:grpSpPr bwMode="auto">
        <a:xfrm>
          <a:off x="0" y="0"/>
          <a:ext cx="1714500" cy="3568212"/>
          <a:chOff x="0" y="0"/>
          <a:chExt cx="1714500" cy="3602831"/>
        </a:xfrm>
      </xdr:grpSpPr>
      <xdr:pic>
        <xdr:nvPicPr>
          <xdr:cNvPr id="7106945"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82"/>
            <a:ext cx="1123950" cy="39286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32B39B8-99D6-48F6-B26C-B7C25E66C066}"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06947"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6948"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380"/>
            <a:ext cx="11430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B25A1E4-E676-43D7-82CF-CB5F00881AE1}"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06950"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152"/>
            <a:ext cx="1552575" cy="38328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75B5B9C-032D-4002-B150-D077E7C3E35B}"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06952"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4342"/>
            <a:ext cx="14478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947135B-792C-4A12-B164-2F1784A39301}"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06954"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5949"/>
            <a:ext cx="14097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8E5092B-17C3-471C-B98B-B112506B40D8}"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06956"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6957"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8393"/>
            <a:ext cx="14859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04FB826-2113-4B0E-8313-472BD0BDBF9B}"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8264"/>
            <a:ext cx="1323975" cy="277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twoCellAnchor>
    <xdr:from>
      <xdr:col>6</xdr:col>
      <xdr:colOff>510267</xdr:colOff>
      <xdr:row>316</xdr:row>
      <xdr:rowOff>24847</xdr:rowOff>
    </xdr:from>
    <xdr:to>
      <xdr:col>10</xdr:col>
      <xdr:colOff>796017</xdr:colOff>
      <xdr:row>328</xdr:row>
      <xdr:rowOff>198781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95250</xdr:rowOff>
    </xdr:to>
    <xdr:grpSp>
      <xdr:nvGrpSpPr>
        <xdr:cNvPr id="7107968" name="Group 17"/>
        <xdr:cNvGrpSpPr>
          <a:grpSpLocks/>
        </xdr:cNvGrpSpPr>
      </xdr:nvGrpSpPr>
      <xdr:grpSpPr bwMode="auto">
        <a:xfrm>
          <a:off x="0" y="0"/>
          <a:ext cx="1714500" cy="3605893"/>
          <a:chOff x="0" y="0"/>
          <a:chExt cx="1714500" cy="3602831"/>
        </a:xfrm>
      </xdr:grpSpPr>
      <xdr:pic>
        <xdr:nvPicPr>
          <xdr:cNvPr id="7107969"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82"/>
            <a:ext cx="1123950" cy="39286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2561A57-ECC5-4BDB-ADA8-127A591DBB7F}"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07971"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7972"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380"/>
            <a:ext cx="11430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076A2FB-79B8-453B-9C8A-26999D8F429D}"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07974"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152"/>
            <a:ext cx="1552575" cy="38328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78A9A9F-FD51-4C0B-BB7F-6CD08E5FFC8E}"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07976"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4342"/>
            <a:ext cx="14478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40D283D-096D-47DD-96A3-F2712955C6DA}"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07978"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5949"/>
            <a:ext cx="14097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89E34FA-5B8E-4342-B6DB-1E8C26CB8C8D}"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07980"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7981"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8393"/>
            <a:ext cx="14859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09EB2F1-1DB9-4F74-96C6-34D6F085B4B3}"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8264"/>
            <a:ext cx="1323975" cy="277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57150</xdr:rowOff>
    </xdr:to>
    <xdr:grpSp>
      <xdr:nvGrpSpPr>
        <xdr:cNvPr id="7089538" name="Group 17"/>
        <xdr:cNvGrpSpPr>
          <a:grpSpLocks/>
        </xdr:cNvGrpSpPr>
      </xdr:nvGrpSpPr>
      <xdr:grpSpPr bwMode="auto">
        <a:xfrm>
          <a:off x="0" y="0"/>
          <a:ext cx="1714500" cy="3602567"/>
          <a:chOff x="0" y="0"/>
          <a:chExt cx="1714500" cy="3602831"/>
        </a:xfrm>
      </xdr:grpSpPr>
      <xdr:pic>
        <xdr:nvPicPr>
          <xdr:cNvPr id="7089539"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57"/>
            <a:ext cx="1123950" cy="39182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B3F7674-2459-4007-B54A-360493E61101}"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89541"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9542"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9649"/>
            <a:ext cx="11430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16BAB4E-FBCC-40DC-B396-C8261DBED9EA}"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89544"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9695"/>
            <a:ext cx="1552575" cy="3822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644250E-7FA2-47C7-8E6F-6D60EBDB79AF}"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89546"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29741"/>
            <a:ext cx="1447800" cy="41093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80ACBA4-89E4-4C13-8BB4-FCAC79F7E212}"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89548"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9787"/>
            <a:ext cx="14097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E11D94D-1E1A-4EBD-A187-62CC40BD84D7}"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89550"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89551"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1164"/>
            <a:ext cx="14859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6663C98-8885-4052-BA1F-D6A5B007BC27}"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6942"/>
            <a:ext cx="1323975" cy="277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28575</xdr:rowOff>
    </xdr:to>
    <xdr:grpSp>
      <xdr:nvGrpSpPr>
        <xdr:cNvPr id="7090566" name="Group 17"/>
        <xdr:cNvGrpSpPr>
          <a:grpSpLocks/>
        </xdr:cNvGrpSpPr>
      </xdr:nvGrpSpPr>
      <xdr:grpSpPr bwMode="auto">
        <a:xfrm>
          <a:off x="0" y="0"/>
          <a:ext cx="1714500" cy="3607254"/>
          <a:chOff x="0" y="0"/>
          <a:chExt cx="1714500" cy="3602831"/>
        </a:xfrm>
      </xdr:grpSpPr>
      <xdr:pic>
        <xdr:nvPicPr>
          <xdr:cNvPr id="7090567"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82"/>
            <a:ext cx="1123950" cy="39286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34FA731-4735-42E3-9AB3-4624C6C4394C}"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90569"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0570"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380"/>
            <a:ext cx="11430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03EE877-8D23-49D2-BA3E-B6D0CC4790AC}"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90572"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152"/>
            <a:ext cx="1552575" cy="38328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8D4267C-4DB0-4989-B453-26BC6B3D66CC}"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90574"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4342"/>
            <a:ext cx="14478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03F0C75-22A1-4634-B79B-54B8C927694F}"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90576"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5949"/>
            <a:ext cx="14097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B45EABD-CBF5-4E8E-B9F3-8574E1966DE6}"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90578"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90579"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8393"/>
            <a:ext cx="14859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29C6BEC-495B-4A00-9642-3D18164D62CF}"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8264"/>
            <a:ext cx="1323975" cy="277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17</xdr:row>
      <xdr:rowOff>133350</xdr:rowOff>
    </xdr:to>
    <xdr:grpSp>
      <xdr:nvGrpSpPr>
        <xdr:cNvPr id="7127408" name="Group 33"/>
        <xdr:cNvGrpSpPr>
          <a:grpSpLocks/>
        </xdr:cNvGrpSpPr>
      </xdr:nvGrpSpPr>
      <xdr:grpSpPr bwMode="auto">
        <a:xfrm>
          <a:off x="0" y="0"/>
          <a:ext cx="1714500" cy="3603171"/>
          <a:chOff x="0" y="0"/>
          <a:chExt cx="1714500" cy="3602831"/>
        </a:xfrm>
      </xdr:grpSpPr>
      <xdr:pic>
        <xdr:nvPicPr>
          <xdr:cNvPr id="7127409"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36" name="Text Box 10">
            <a:hlinkClick xmlns:r="http://schemas.openxmlformats.org/officeDocument/2006/relationships" r:id="rId1"/>
          </xdr:cNvPr>
          <xdr:cNvSpPr txBox="1">
            <a:spLocks noChangeArrowheads="1" noTextEdit="1"/>
          </xdr:cNvSpPr>
        </xdr:nvSpPr>
        <xdr:spPr bwMode="auto">
          <a:xfrm>
            <a:off x="304800" y="9711"/>
            <a:ext cx="112395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EB7E0DE-6999-4FD1-8BAB-4910040C742A}"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27411"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7412"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39" name="Text Box 14">
            <a:hlinkClick xmlns:r="http://schemas.openxmlformats.org/officeDocument/2006/relationships" r:id="rId4"/>
          </xdr:cNvPr>
          <xdr:cNvSpPr txBox="1">
            <a:spLocks noChangeArrowheads="1" noTextEdit="1"/>
          </xdr:cNvSpPr>
        </xdr:nvSpPr>
        <xdr:spPr bwMode="auto">
          <a:xfrm>
            <a:off x="295275" y="864291"/>
            <a:ext cx="11430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0B87ACE-31AB-4300-B20D-07D9716BB051}"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27414"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41" name="Text Box 16">
            <a:hlinkClick xmlns:r="http://schemas.openxmlformats.org/officeDocument/2006/relationships" r:id="rId5"/>
          </xdr:cNvPr>
          <xdr:cNvSpPr txBox="1">
            <a:spLocks noChangeArrowheads="1" noTextEdit="1"/>
          </xdr:cNvSpPr>
        </xdr:nvSpPr>
        <xdr:spPr bwMode="auto">
          <a:xfrm>
            <a:off x="47625" y="1301292"/>
            <a:ext cx="1552575" cy="38844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4AB1A82-B19C-44E6-846A-33F8DEEC7000}"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27416"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43" name="Text Box 18">
            <a:hlinkClick xmlns:r="http://schemas.openxmlformats.org/officeDocument/2006/relationships" r:id="rId6"/>
          </xdr:cNvPr>
          <xdr:cNvSpPr txBox="1">
            <a:spLocks noChangeArrowheads="1" noTextEdit="1"/>
          </xdr:cNvSpPr>
        </xdr:nvSpPr>
        <xdr:spPr bwMode="auto">
          <a:xfrm>
            <a:off x="133350" y="1738293"/>
            <a:ext cx="144780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6846B8E-DF51-4C7D-AF74-CA649103B4D8}"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27418"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45" name="Text Box 20">
            <a:hlinkClick xmlns:r="http://schemas.openxmlformats.org/officeDocument/2006/relationships" r:id="rId7"/>
          </xdr:cNvPr>
          <xdr:cNvSpPr txBox="1">
            <a:spLocks noChangeArrowheads="1" noTextEdit="1"/>
          </xdr:cNvSpPr>
        </xdr:nvSpPr>
        <xdr:spPr bwMode="auto">
          <a:xfrm>
            <a:off x="142875" y="2155872"/>
            <a:ext cx="14097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92ED027-B417-49A9-A725-8D2D7B5CEAE7}"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27420"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7421"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48" name="Text Box 27">
            <a:hlinkClick xmlns:r="http://schemas.openxmlformats.org/officeDocument/2006/relationships" r:id="rId9"/>
          </xdr:cNvPr>
          <xdr:cNvSpPr txBox="1">
            <a:spLocks noChangeArrowheads="1" noTextEdit="1"/>
          </xdr:cNvSpPr>
        </xdr:nvSpPr>
        <xdr:spPr bwMode="auto">
          <a:xfrm>
            <a:off x="104775" y="2563740"/>
            <a:ext cx="14859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509DFC7-4A22-47CB-A86D-76354A2DC260}"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9" name="TextBox 48">
            <a:hlinkClick xmlns:r="http://schemas.openxmlformats.org/officeDocument/2006/relationships" r:id="rId3"/>
          </xdr:cNvPr>
          <xdr:cNvSpPr txBox="1"/>
        </xdr:nvSpPr>
        <xdr:spPr>
          <a:xfrm>
            <a:off x="200025" y="495268"/>
            <a:ext cx="1323975" cy="281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15</xdr:row>
      <xdr:rowOff>152400</xdr:rowOff>
    </xdr:to>
    <xdr:grpSp>
      <xdr:nvGrpSpPr>
        <xdr:cNvPr id="7108992" name="Group 18"/>
        <xdr:cNvGrpSpPr>
          <a:grpSpLocks/>
        </xdr:cNvGrpSpPr>
      </xdr:nvGrpSpPr>
      <xdr:grpSpPr bwMode="auto">
        <a:xfrm>
          <a:off x="0" y="0"/>
          <a:ext cx="1714500" cy="3525371"/>
          <a:chOff x="0" y="0"/>
          <a:chExt cx="1714500" cy="3602831"/>
        </a:xfrm>
      </xdr:grpSpPr>
      <xdr:pic>
        <xdr:nvPicPr>
          <xdr:cNvPr id="7108993"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1" name="Text Box 10">
            <a:hlinkClick xmlns:r="http://schemas.openxmlformats.org/officeDocument/2006/relationships" r:id="rId1"/>
          </xdr:cNvPr>
          <xdr:cNvSpPr txBox="1">
            <a:spLocks noChangeArrowheads="1" noTextEdit="1"/>
          </xdr:cNvSpPr>
        </xdr:nvSpPr>
        <xdr:spPr bwMode="auto">
          <a:xfrm>
            <a:off x="304800" y="9790"/>
            <a:ext cx="1123950" cy="39161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0ECC979-CDAB-4ECA-B3B4-6C2D74F89EC3}"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08995"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8996"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4" name="Text Box 14">
            <a:hlinkClick xmlns:r="http://schemas.openxmlformats.org/officeDocument/2006/relationships" r:id="rId4"/>
          </xdr:cNvPr>
          <xdr:cNvSpPr txBox="1">
            <a:spLocks noChangeArrowheads="1" noTextEdit="1"/>
          </xdr:cNvSpPr>
        </xdr:nvSpPr>
        <xdr:spPr bwMode="auto">
          <a:xfrm>
            <a:off x="295275" y="871337"/>
            <a:ext cx="1143000" cy="4014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800455A-5FD5-4E44-83B6-FE63F2B484E8}"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08998"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2110"/>
            <a:ext cx="1552575" cy="38182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37B4EE4-507E-45C6-A453-DA23C49D5869}"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09000"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8" name="Text Box 18">
            <a:hlinkClick xmlns:r="http://schemas.openxmlformats.org/officeDocument/2006/relationships" r:id="rId6"/>
          </xdr:cNvPr>
          <xdr:cNvSpPr txBox="1">
            <a:spLocks noChangeArrowheads="1" noTextEdit="1"/>
          </xdr:cNvSpPr>
        </xdr:nvSpPr>
        <xdr:spPr bwMode="auto">
          <a:xfrm>
            <a:off x="133350" y="1732883"/>
            <a:ext cx="1447800" cy="4014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2173DA6-44DF-4FA9-ADAE-6DA780A12F55}"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09002"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0" name="Text Box 20">
            <a:hlinkClick xmlns:r="http://schemas.openxmlformats.org/officeDocument/2006/relationships" r:id="rId7"/>
          </xdr:cNvPr>
          <xdr:cNvSpPr txBox="1">
            <a:spLocks noChangeArrowheads="1" noTextEdit="1"/>
          </xdr:cNvSpPr>
        </xdr:nvSpPr>
        <xdr:spPr bwMode="auto">
          <a:xfrm>
            <a:off x="142875" y="2153866"/>
            <a:ext cx="1409700" cy="41119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2BCA659-9946-4956-A12D-EBA61D2C42A5}"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09004"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09005"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3" name="Text Box 27">
            <a:hlinkClick xmlns:r="http://schemas.openxmlformats.org/officeDocument/2006/relationships" r:id="rId9"/>
          </xdr:cNvPr>
          <xdr:cNvSpPr txBox="1">
            <a:spLocks noChangeArrowheads="1" noTextEdit="1"/>
          </xdr:cNvSpPr>
        </xdr:nvSpPr>
        <xdr:spPr bwMode="auto">
          <a:xfrm>
            <a:off x="104775" y="2565059"/>
            <a:ext cx="1485900" cy="4014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A5D15BC-91C5-47C0-A508-C23E917579A7}"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4" name="TextBox 33">
            <a:hlinkClick xmlns:r="http://schemas.openxmlformats.org/officeDocument/2006/relationships" r:id="rId3"/>
          </xdr:cNvPr>
          <xdr:cNvSpPr txBox="1"/>
        </xdr:nvSpPr>
        <xdr:spPr>
          <a:xfrm>
            <a:off x="200025" y="499305"/>
            <a:ext cx="1323975" cy="27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8</xdr:row>
      <xdr:rowOff>180975</xdr:rowOff>
    </xdr:to>
    <xdr:grpSp>
      <xdr:nvGrpSpPr>
        <xdr:cNvPr id="7112048" name="Group 17"/>
        <xdr:cNvGrpSpPr>
          <a:grpSpLocks/>
        </xdr:cNvGrpSpPr>
      </xdr:nvGrpSpPr>
      <xdr:grpSpPr bwMode="auto">
        <a:xfrm>
          <a:off x="0" y="0"/>
          <a:ext cx="1714500" cy="3599392"/>
          <a:chOff x="0" y="0"/>
          <a:chExt cx="1714500" cy="3602831"/>
        </a:xfrm>
      </xdr:grpSpPr>
      <xdr:pic>
        <xdr:nvPicPr>
          <xdr:cNvPr id="7112049"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82"/>
            <a:ext cx="1123950" cy="39286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7E9A894-A0B9-495F-82BE-672CA1D02C6B}"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12051"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2052"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380"/>
            <a:ext cx="11430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70ECBCC-9C34-4333-89D8-FA59A4F54E14}"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12054"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5" name="Text Box 16">
            <a:hlinkClick xmlns:r="http://schemas.openxmlformats.org/officeDocument/2006/relationships" r:id="rId5"/>
          </xdr:cNvPr>
          <xdr:cNvSpPr txBox="1">
            <a:spLocks noChangeArrowheads="1" noTextEdit="1"/>
          </xdr:cNvSpPr>
        </xdr:nvSpPr>
        <xdr:spPr bwMode="auto">
          <a:xfrm>
            <a:off x="47625" y="1303152"/>
            <a:ext cx="1552575" cy="38328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7F113A7-CF80-49BE-98A8-721D86DE6B1B}"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12056"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7" name="Text Box 18">
            <a:hlinkClick xmlns:r="http://schemas.openxmlformats.org/officeDocument/2006/relationships" r:id="rId6"/>
          </xdr:cNvPr>
          <xdr:cNvSpPr txBox="1">
            <a:spLocks noChangeArrowheads="1" noTextEdit="1"/>
          </xdr:cNvSpPr>
        </xdr:nvSpPr>
        <xdr:spPr bwMode="auto">
          <a:xfrm>
            <a:off x="133350" y="1734342"/>
            <a:ext cx="14478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9CD9BA9-47EB-4EF3-8092-C90F79C71E4A}"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12058"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29" name="Text Box 20">
            <a:hlinkClick xmlns:r="http://schemas.openxmlformats.org/officeDocument/2006/relationships" r:id="rId7"/>
          </xdr:cNvPr>
          <xdr:cNvSpPr txBox="1">
            <a:spLocks noChangeArrowheads="1" noTextEdit="1"/>
          </xdr:cNvSpPr>
        </xdr:nvSpPr>
        <xdr:spPr bwMode="auto">
          <a:xfrm>
            <a:off x="142875" y="2155949"/>
            <a:ext cx="14097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C53A6FC-68E5-433B-BFDC-6410775DB033}"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12060"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2061"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2" name="Text Box 27">
            <a:hlinkClick xmlns:r="http://schemas.openxmlformats.org/officeDocument/2006/relationships" r:id="rId9"/>
          </xdr:cNvPr>
          <xdr:cNvSpPr txBox="1">
            <a:spLocks noChangeArrowheads="1" noTextEdit="1"/>
          </xdr:cNvSpPr>
        </xdr:nvSpPr>
        <xdr:spPr bwMode="auto">
          <a:xfrm>
            <a:off x="104775" y="2558393"/>
            <a:ext cx="14859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F3C5022-420B-4663-8DB4-5F5A43DB5306}"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3" name="TextBox 32">
            <a:hlinkClick xmlns:r="http://schemas.openxmlformats.org/officeDocument/2006/relationships" r:id="rId3"/>
          </xdr:cNvPr>
          <xdr:cNvSpPr txBox="1"/>
        </xdr:nvSpPr>
        <xdr:spPr>
          <a:xfrm>
            <a:off x="200025" y="498264"/>
            <a:ext cx="1323975" cy="277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209550</xdr:rowOff>
    </xdr:to>
    <xdr:grpSp>
      <xdr:nvGrpSpPr>
        <xdr:cNvPr id="7113072" name="Group 17"/>
        <xdr:cNvGrpSpPr>
          <a:grpSpLocks/>
        </xdr:cNvGrpSpPr>
      </xdr:nvGrpSpPr>
      <xdr:grpSpPr bwMode="auto">
        <a:xfrm>
          <a:off x="0" y="0"/>
          <a:ext cx="1714500" cy="3602831"/>
          <a:chOff x="0" y="0"/>
          <a:chExt cx="1714500" cy="3602831"/>
        </a:xfrm>
      </xdr:grpSpPr>
      <xdr:pic>
        <xdr:nvPicPr>
          <xdr:cNvPr id="7113073"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711"/>
            <a:ext cx="112395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86B686A-4052-4008-8F86-B0F3AC81AD97}"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13075"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3076"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4291"/>
            <a:ext cx="11430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8219EEA-899A-49A4-809E-ABE49070AACE}"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13078"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5" name="Text Box 16">
            <a:hlinkClick xmlns:r="http://schemas.openxmlformats.org/officeDocument/2006/relationships" r:id="rId5"/>
          </xdr:cNvPr>
          <xdr:cNvSpPr txBox="1">
            <a:spLocks noChangeArrowheads="1" noTextEdit="1"/>
          </xdr:cNvSpPr>
        </xdr:nvSpPr>
        <xdr:spPr bwMode="auto">
          <a:xfrm>
            <a:off x="47625" y="1301292"/>
            <a:ext cx="1552575" cy="38844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8433FA7-0CC5-4491-AC60-1DF694919220}"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13080"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7" name="Text Box 18">
            <a:hlinkClick xmlns:r="http://schemas.openxmlformats.org/officeDocument/2006/relationships" r:id="rId6"/>
          </xdr:cNvPr>
          <xdr:cNvSpPr txBox="1">
            <a:spLocks noChangeArrowheads="1" noTextEdit="1"/>
          </xdr:cNvSpPr>
        </xdr:nvSpPr>
        <xdr:spPr bwMode="auto">
          <a:xfrm>
            <a:off x="133350" y="1738293"/>
            <a:ext cx="144780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36D8E72-D557-4BF6-91C6-AE5892A98BD3}"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13082"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29" name="Text Box 20">
            <a:hlinkClick xmlns:r="http://schemas.openxmlformats.org/officeDocument/2006/relationships" r:id="rId7"/>
          </xdr:cNvPr>
          <xdr:cNvSpPr txBox="1">
            <a:spLocks noChangeArrowheads="1" noTextEdit="1"/>
          </xdr:cNvSpPr>
        </xdr:nvSpPr>
        <xdr:spPr bwMode="auto">
          <a:xfrm>
            <a:off x="142875" y="2155872"/>
            <a:ext cx="14097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A4D93CB-0F94-4CB2-80CD-99549C8E2006}"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13084"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3085"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2" name="Text Box 27">
            <a:hlinkClick xmlns:r="http://schemas.openxmlformats.org/officeDocument/2006/relationships" r:id="rId9"/>
          </xdr:cNvPr>
          <xdr:cNvSpPr txBox="1">
            <a:spLocks noChangeArrowheads="1" noTextEdit="1"/>
          </xdr:cNvSpPr>
        </xdr:nvSpPr>
        <xdr:spPr bwMode="auto">
          <a:xfrm>
            <a:off x="104775" y="2563740"/>
            <a:ext cx="14859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022B53B-0347-4F05-AFBA-5CFEFA3FA2D0}"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3" name="TextBox 32">
            <a:hlinkClick xmlns:r="http://schemas.openxmlformats.org/officeDocument/2006/relationships" r:id="rId3"/>
          </xdr:cNvPr>
          <xdr:cNvSpPr txBox="1"/>
        </xdr:nvSpPr>
        <xdr:spPr>
          <a:xfrm>
            <a:off x="200025" y="495268"/>
            <a:ext cx="1323975" cy="281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5</xdr:row>
      <xdr:rowOff>771525</xdr:rowOff>
    </xdr:to>
    <xdr:grpSp>
      <xdr:nvGrpSpPr>
        <xdr:cNvPr id="6598098" name="Group 17"/>
        <xdr:cNvGrpSpPr>
          <a:grpSpLocks/>
        </xdr:cNvGrpSpPr>
      </xdr:nvGrpSpPr>
      <xdr:grpSpPr bwMode="auto">
        <a:xfrm>
          <a:off x="0" y="0"/>
          <a:ext cx="1714500" cy="3606613"/>
          <a:chOff x="0" y="0"/>
          <a:chExt cx="1714500" cy="3602831"/>
        </a:xfrm>
      </xdr:grpSpPr>
      <xdr:pic>
        <xdr:nvPicPr>
          <xdr:cNvPr id="6598099"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31"/>
            <a:ext cx="1123950" cy="39078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278EAE1-39D3-4472-A978-E488D58426DB}"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6598101"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6598102"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7348"/>
            <a:ext cx="11430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EB8C732-C90E-4B44-86A3-678A845762B8}"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6598104"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5" name="Text Box 16">
            <a:hlinkClick xmlns:r="http://schemas.openxmlformats.org/officeDocument/2006/relationships" r:id="rId5"/>
          </xdr:cNvPr>
          <xdr:cNvSpPr txBox="1">
            <a:spLocks noChangeArrowheads="1" noTextEdit="1"/>
          </xdr:cNvSpPr>
        </xdr:nvSpPr>
        <xdr:spPr bwMode="auto">
          <a:xfrm>
            <a:off x="47625" y="1296257"/>
            <a:ext cx="1552575" cy="39078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919EDDD-D0D7-4B3A-9CA6-F7F81E47410E}"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6598106"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7" name="Text Box 18">
            <a:hlinkClick xmlns:r="http://schemas.openxmlformats.org/officeDocument/2006/relationships" r:id="rId6"/>
          </xdr:cNvPr>
          <xdr:cNvSpPr txBox="1">
            <a:spLocks noChangeArrowheads="1" noTextEdit="1"/>
          </xdr:cNvSpPr>
        </xdr:nvSpPr>
        <xdr:spPr bwMode="auto">
          <a:xfrm>
            <a:off x="133350" y="1734696"/>
            <a:ext cx="14478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3E2E6F8-6930-4605-A9C3-738CF2BBD094}"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6598108"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29" name="Text Box 20">
            <a:hlinkClick xmlns:r="http://schemas.openxmlformats.org/officeDocument/2006/relationships" r:id="rId7"/>
          </xdr:cNvPr>
          <xdr:cNvSpPr txBox="1">
            <a:spLocks noChangeArrowheads="1" noTextEdit="1"/>
          </xdr:cNvSpPr>
        </xdr:nvSpPr>
        <xdr:spPr bwMode="auto">
          <a:xfrm>
            <a:off x="142875" y="2154074"/>
            <a:ext cx="1409700" cy="40984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1FFA7C7-4E01-4823-8968-A5AB72594657}"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6598110"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6598111"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2" name="Text Box 27">
            <a:hlinkClick xmlns:r="http://schemas.openxmlformats.org/officeDocument/2006/relationships" r:id="rId9"/>
          </xdr:cNvPr>
          <xdr:cNvSpPr txBox="1">
            <a:spLocks noChangeArrowheads="1" noTextEdit="1"/>
          </xdr:cNvSpPr>
        </xdr:nvSpPr>
        <xdr:spPr bwMode="auto">
          <a:xfrm>
            <a:off x="104775" y="2563919"/>
            <a:ext cx="14859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3FC5FAC-6E8B-419C-922E-BC0E078B8CA3}"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3" name="TextBox 32">
            <a:hlinkClick xmlns:r="http://schemas.openxmlformats.org/officeDocument/2006/relationships" r:id="rId3"/>
          </xdr:cNvPr>
          <xdr:cNvSpPr txBox="1"/>
        </xdr:nvSpPr>
        <xdr:spPr>
          <a:xfrm>
            <a:off x="200025" y="495628"/>
            <a:ext cx="1323975" cy="276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15</xdr:row>
      <xdr:rowOff>180975</xdr:rowOff>
    </xdr:to>
    <xdr:grpSp>
      <xdr:nvGrpSpPr>
        <xdr:cNvPr id="7114096" name="Group 34"/>
        <xdr:cNvGrpSpPr>
          <a:grpSpLocks/>
        </xdr:cNvGrpSpPr>
      </xdr:nvGrpSpPr>
      <xdr:grpSpPr bwMode="auto">
        <a:xfrm>
          <a:off x="0" y="0"/>
          <a:ext cx="1714500" cy="3600450"/>
          <a:chOff x="0" y="0"/>
          <a:chExt cx="1714500" cy="3602831"/>
        </a:xfrm>
      </xdr:grpSpPr>
      <xdr:pic>
        <xdr:nvPicPr>
          <xdr:cNvPr id="7114097"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37" name="Text Box 10">
            <a:hlinkClick xmlns:r="http://schemas.openxmlformats.org/officeDocument/2006/relationships" r:id="rId1"/>
          </xdr:cNvPr>
          <xdr:cNvSpPr txBox="1">
            <a:spLocks noChangeArrowheads="1" noTextEdit="1"/>
          </xdr:cNvSpPr>
        </xdr:nvSpPr>
        <xdr:spPr bwMode="auto">
          <a:xfrm>
            <a:off x="304800" y="9531"/>
            <a:ext cx="1123950" cy="39078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17F10F7-A68A-4A9F-93B2-AFDAACEBCCF0}"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14099"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4100"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40" name="Text Box 14">
            <a:hlinkClick xmlns:r="http://schemas.openxmlformats.org/officeDocument/2006/relationships" r:id="rId4"/>
          </xdr:cNvPr>
          <xdr:cNvSpPr txBox="1">
            <a:spLocks noChangeArrowheads="1" noTextEdit="1"/>
          </xdr:cNvSpPr>
        </xdr:nvSpPr>
        <xdr:spPr bwMode="auto">
          <a:xfrm>
            <a:off x="295275" y="867348"/>
            <a:ext cx="11430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FE8B84F-F934-4280-88C9-FDB08C31578B}"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14102"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42" name="Text Box 16">
            <a:hlinkClick xmlns:r="http://schemas.openxmlformats.org/officeDocument/2006/relationships" r:id="rId5"/>
          </xdr:cNvPr>
          <xdr:cNvSpPr txBox="1">
            <a:spLocks noChangeArrowheads="1" noTextEdit="1"/>
          </xdr:cNvSpPr>
        </xdr:nvSpPr>
        <xdr:spPr bwMode="auto">
          <a:xfrm>
            <a:off x="47625" y="1296257"/>
            <a:ext cx="1552575" cy="39078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FE89A1F-6817-46AA-896D-FC103556E83D}"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14104"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44" name="Text Box 18">
            <a:hlinkClick xmlns:r="http://schemas.openxmlformats.org/officeDocument/2006/relationships" r:id="rId6"/>
          </xdr:cNvPr>
          <xdr:cNvSpPr txBox="1">
            <a:spLocks noChangeArrowheads="1" noTextEdit="1"/>
          </xdr:cNvSpPr>
        </xdr:nvSpPr>
        <xdr:spPr bwMode="auto">
          <a:xfrm>
            <a:off x="133350" y="1734696"/>
            <a:ext cx="14478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7364AF6-BE47-4E66-8FD5-D6169678A5BB}"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14106"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46" name="Text Box 20">
            <a:hlinkClick xmlns:r="http://schemas.openxmlformats.org/officeDocument/2006/relationships" r:id="rId7"/>
          </xdr:cNvPr>
          <xdr:cNvSpPr txBox="1">
            <a:spLocks noChangeArrowheads="1" noTextEdit="1"/>
          </xdr:cNvSpPr>
        </xdr:nvSpPr>
        <xdr:spPr bwMode="auto">
          <a:xfrm>
            <a:off x="142875" y="2154074"/>
            <a:ext cx="1409700" cy="40984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A30A093-9666-497F-A6C9-5B85F182257D}"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14108"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4109"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49" name="Text Box 27">
            <a:hlinkClick xmlns:r="http://schemas.openxmlformats.org/officeDocument/2006/relationships" r:id="rId9"/>
          </xdr:cNvPr>
          <xdr:cNvSpPr txBox="1">
            <a:spLocks noChangeArrowheads="1" noTextEdit="1"/>
          </xdr:cNvSpPr>
        </xdr:nvSpPr>
        <xdr:spPr bwMode="auto">
          <a:xfrm>
            <a:off x="104775" y="2563919"/>
            <a:ext cx="14859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4249D3A-20BE-4AD4-A1A8-2C7B59109234}"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50" name="TextBox 49">
            <a:hlinkClick xmlns:r="http://schemas.openxmlformats.org/officeDocument/2006/relationships" r:id="rId3"/>
          </xdr:cNvPr>
          <xdr:cNvSpPr txBox="1"/>
        </xdr:nvSpPr>
        <xdr:spPr>
          <a:xfrm>
            <a:off x="200025" y="495628"/>
            <a:ext cx="1323975" cy="276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9525</xdr:colOff>
      <xdr:row>0</xdr:row>
      <xdr:rowOff>0</xdr:rowOff>
    </xdr:from>
    <xdr:to>
      <xdr:col>0</xdr:col>
      <xdr:colOff>1714500</xdr:colOff>
      <xdr:row>23</xdr:row>
      <xdr:rowOff>114300</xdr:rowOff>
    </xdr:to>
    <xdr:grpSp>
      <xdr:nvGrpSpPr>
        <xdr:cNvPr id="7147688" name="Group 1"/>
        <xdr:cNvGrpSpPr>
          <a:grpSpLocks/>
        </xdr:cNvGrpSpPr>
      </xdr:nvGrpSpPr>
      <xdr:grpSpPr bwMode="auto">
        <a:xfrm>
          <a:off x="9525" y="0"/>
          <a:ext cx="1704975" cy="4972050"/>
          <a:chOff x="1" y="0"/>
          <a:chExt cx="179" cy="522"/>
        </a:xfrm>
      </xdr:grpSpPr>
      <xdr:pic>
        <xdr:nvPicPr>
          <xdr:cNvPr id="7147689" name="Picture 2"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7827" name="Text Box 3">
            <a:hlinkClick xmlns:r="http://schemas.openxmlformats.org/officeDocument/2006/relationships" r:id="rId1"/>
          </xdr:cNvPr>
          <xdr:cNvSpPr txBox="1">
            <a:spLocks noChangeArrowheads="1"/>
          </xdr:cNvSpPr>
        </xdr:nvSpPr>
        <xdr:spPr bwMode="auto">
          <a:xfrm>
            <a:off x="32" y="1"/>
            <a:ext cx="118"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Main</a:t>
            </a:r>
          </a:p>
        </xdr:txBody>
      </xdr:sp>
      <xdr:pic>
        <xdr:nvPicPr>
          <xdr:cNvPr id="7147691" name="Picture 4"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7829" name="Text Box 5">
            <a:hlinkClick xmlns:r="http://schemas.openxmlformats.org/officeDocument/2006/relationships" r:id="rId3"/>
          </xdr:cNvPr>
          <xdr:cNvSpPr txBox="1">
            <a:spLocks noChangeArrowheads="1"/>
          </xdr:cNvSpPr>
        </xdr:nvSpPr>
        <xdr:spPr bwMode="auto">
          <a:xfrm>
            <a:off x="28" y="45"/>
            <a:ext cx="124"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Home</a:t>
            </a:r>
          </a:p>
        </xdr:txBody>
      </xdr:sp>
      <xdr:pic>
        <xdr:nvPicPr>
          <xdr:cNvPr id="7147693" name="Picture 6"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9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7831" name="Text Box 7">
            <a:hlinkClick xmlns:r="http://schemas.openxmlformats.org/officeDocument/2006/relationships" r:id="rId4"/>
          </xdr:cNvPr>
          <xdr:cNvSpPr txBox="1">
            <a:spLocks noChangeArrowheads="1"/>
          </xdr:cNvSpPr>
        </xdr:nvSpPr>
        <xdr:spPr bwMode="auto">
          <a:xfrm>
            <a:off x="31" y="90"/>
            <a:ext cx="120"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a:t>
            </a:r>
          </a:p>
        </xdr:txBody>
      </xdr:sp>
      <xdr:pic>
        <xdr:nvPicPr>
          <xdr:cNvPr id="7147695" name="Picture 8"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3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7833" name="Text Box 9">
            <a:hlinkClick xmlns:r="http://schemas.openxmlformats.org/officeDocument/2006/relationships" r:id="rId5"/>
          </xdr:cNvPr>
          <xdr:cNvSpPr txBox="1">
            <a:spLocks noChangeArrowheads="1"/>
          </xdr:cNvSpPr>
        </xdr:nvSpPr>
        <xdr:spPr bwMode="auto">
          <a:xfrm>
            <a:off x="5" y="135"/>
            <a:ext cx="163" cy="40"/>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 Requirements</a:t>
            </a:r>
          </a:p>
        </xdr:txBody>
      </xdr:sp>
      <xdr:pic>
        <xdr:nvPicPr>
          <xdr:cNvPr id="7147697" name="Picture 10"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8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7835" name="Text Box 11">
            <a:hlinkClick xmlns:r="http://schemas.openxmlformats.org/officeDocument/2006/relationships" r:id="rId6"/>
          </xdr:cNvPr>
          <xdr:cNvSpPr txBox="1">
            <a:spLocks noChangeArrowheads="1"/>
          </xdr:cNvSpPr>
        </xdr:nvSpPr>
        <xdr:spPr bwMode="auto">
          <a:xfrm>
            <a:off x="14" y="180"/>
            <a:ext cx="152"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Financial Forecast</a:t>
            </a:r>
          </a:p>
        </xdr:txBody>
      </xdr:sp>
      <xdr:pic>
        <xdr:nvPicPr>
          <xdr:cNvPr id="7147699" name="Picture 12"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24"/>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7837" name="Text Box 13">
            <a:hlinkClick xmlns:r="http://schemas.openxmlformats.org/officeDocument/2006/relationships" r:id="rId7"/>
          </xdr:cNvPr>
          <xdr:cNvSpPr txBox="1">
            <a:spLocks noChangeArrowheads="1"/>
          </xdr:cNvSpPr>
        </xdr:nvSpPr>
        <xdr:spPr bwMode="auto">
          <a:xfrm>
            <a:off x="15" y="224"/>
            <a:ext cx="148"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Cost of Service</a:t>
            </a:r>
          </a:p>
        </xdr:txBody>
      </xdr:sp>
      <xdr:pic>
        <xdr:nvPicPr>
          <xdr:cNvPr id="7147701" name="Picture 14" descr="Another Button copy">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68"/>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7839" name="Text Box 15">
            <a:hlinkClick xmlns:r="http://schemas.openxmlformats.org/officeDocument/2006/relationships" r:id="rId8"/>
          </xdr:cNvPr>
          <xdr:cNvSpPr txBox="1">
            <a:spLocks noChangeArrowheads="1"/>
          </xdr:cNvSpPr>
        </xdr:nvSpPr>
        <xdr:spPr bwMode="auto">
          <a:xfrm>
            <a:off x="11" y="268"/>
            <a:ext cx="153"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Rate Design</a:t>
            </a:r>
          </a:p>
        </xdr:txBody>
      </xdr:sp>
      <xdr:pic>
        <xdr:nvPicPr>
          <xdr:cNvPr id="7147703" name="Picture 1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12"/>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7841" name="Text Box 17">
            <a:hlinkClick xmlns:r="http://schemas.openxmlformats.org/officeDocument/2006/relationships" r:id="rId9"/>
          </xdr:cNvPr>
          <xdr:cNvSpPr txBox="1">
            <a:spLocks noChangeArrowheads="1"/>
          </xdr:cNvSpPr>
        </xdr:nvSpPr>
        <xdr:spPr bwMode="auto">
          <a:xfrm>
            <a:off x="11" y="312"/>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Control / Other</a:t>
            </a:r>
          </a:p>
        </xdr:txBody>
      </xdr:sp>
      <xdr:pic>
        <xdr:nvPicPr>
          <xdr:cNvPr id="7147705" name="Picture 18" descr="Logo vert 293 reversed"/>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 y="472"/>
            <a:ext cx="158" cy="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47706" name="Picture 19" descr="Another Button copy">
            <a:hlinkClick xmlns:r="http://schemas.openxmlformats.org/officeDocument/2006/relationships" r:id="rId1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57"/>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7844" name="Text Box 20">
            <a:hlinkClick xmlns:r="http://schemas.openxmlformats.org/officeDocument/2006/relationships" r:id="rId11"/>
          </xdr:cNvPr>
          <xdr:cNvSpPr txBox="1">
            <a:spLocks noChangeArrowheads="1"/>
          </xdr:cNvSpPr>
        </xdr:nvSpPr>
        <xdr:spPr bwMode="auto">
          <a:xfrm>
            <a:off x="12" y="357"/>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Support</a:t>
            </a:r>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19</xdr:row>
      <xdr:rowOff>0</xdr:rowOff>
    </xdr:to>
    <xdr:grpSp>
      <xdr:nvGrpSpPr>
        <xdr:cNvPr id="7115120" name="Group 17"/>
        <xdr:cNvGrpSpPr>
          <a:grpSpLocks/>
        </xdr:cNvGrpSpPr>
      </xdr:nvGrpSpPr>
      <xdr:grpSpPr bwMode="auto">
        <a:xfrm>
          <a:off x="0" y="0"/>
          <a:ext cx="1714500" cy="3602182"/>
          <a:chOff x="0" y="0"/>
          <a:chExt cx="1714500" cy="3602831"/>
        </a:xfrm>
      </xdr:grpSpPr>
      <xdr:pic>
        <xdr:nvPicPr>
          <xdr:cNvPr id="7115121"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790"/>
            <a:ext cx="1123950" cy="39161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0297BE1-D13D-4411-91DE-82F22FCCCFC0}"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15123"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5124"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71337"/>
            <a:ext cx="1143000" cy="4014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2BD3035-02B5-448E-9BD4-93D4B735AC7B}"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15126"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2110"/>
            <a:ext cx="1552575" cy="38182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8200678-6A11-4F0F-913B-E726AA9A4897}"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15128"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2883"/>
            <a:ext cx="1447800" cy="4014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4933A69-66A9-4794-A100-4ABE04575600}"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15130"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3866"/>
            <a:ext cx="1409700" cy="41119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698964F-3B69-4D83-95B2-CEBE25D38B19}"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15132"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5133"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5059"/>
            <a:ext cx="1485900" cy="4014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EB18C2D-A915-4E0E-A1E5-23D8EA98C0D0}"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9305"/>
            <a:ext cx="1323975" cy="2741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1714500</xdr:colOff>
      <xdr:row>17</xdr:row>
      <xdr:rowOff>9525</xdr:rowOff>
    </xdr:to>
    <xdr:grpSp>
      <xdr:nvGrpSpPr>
        <xdr:cNvPr id="7116144" name="Group 17"/>
        <xdr:cNvGrpSpPr>
          <a:grpSpLocks/>
        </xdr:cNvGrpSpPr>
      </xdr:nvGrpSpPr>
      <xdr:grpSpPr bwMode="auto">
        <a:xfrm>
          <a:off x="0" y="0"/>
          <a:ext cx="1714500" cy="3605213"/>
          <a:chOff x="0" y="0"/>
          <a:chExt cx="1714500" cy="3602831"/>
        </a:xfrm>
      </xdr:grpSpPr>
      <xdr:pic>
        <xdr:nvPicPr>
          <xdr:cNvPr id="7116145"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82"/>
            <a:ext cx="1123950" cy="39286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A70EB580-4754-4F0B-B304-6A3F86311CC0}"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16147"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6148"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380"/>
            <a:ext cx="11430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63B35D8-F236-43D7-89F5-476187803A3A}"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16150"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152"/>
            <a:ext cx="1552575" cy="38328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A725604-37DE-4319-AF43-DE782AC4F5D8}"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16152"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4342"/>
            <a:ext cx="14478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F74EC95-EB8C-4B79-8DCC-351E9D3C7C76}"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16154"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5949"/>
            <a:ext cx="14097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2373018-C56D-48FF-B4B7-308EE422C394}"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16156"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6157"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8393"/>
            <a:ext cx="14859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076EF6E-C843-4AF2-A639-FE734EE4EA4E}"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8264"/>
            <a:ext cx="1323975" cy="277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1714500</xdr:colOff>
      <xdr:row>16</xdr:row>
      <xdr:rowOff>66675</xdr:rowOff>
    </xdr:to>
    <xdr:grpSp>
      <xdr:nvGrpSpPr>
        <xdr:cNvPr id="7117168" name="Group 17"/>
        <xdr:cNvGrpSpPr>
          <a:grpSpLocks/>
        </xdr:cNvGrpSpPr>
      </xdr:nvGrpSpPr>
      <xdr:grpSpPr bwMode="auto">
        <a:xfrm>
          <a:off x="0" y="0"/>
          <a:ext cx="1714500" cy="3563711"/>
          <a:chOff x="0" y="0"/>
          <a:chExt cx="1714500" cy="3602831"/>
        </a:xfrm>
      </xdr:grpSpPr>
      <xdr:pic>
        <xdr:nvPicPr>
          <xdr:cNvPr id="7117169"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10264"/>
            <a:ext cx="1123950" cy="39005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FA05F76-F11B-4213-A94A-BF0755D1F7C5}"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17171"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7172"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216"/>
            <a:ext cx="1143000" cy="410579"/>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AC54184-3957-49CE-B776-EAA4EBE9B967}"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17174"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3324"/>
            <a:ext cx="1552575" cy="39005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0FCD2B8-CAEE-421D-8478-7DFC3BB39338}"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17176"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24432"/>
            <a:ext cx="1447800" cy="4208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8F70C0D-8D24-43B1-B695-EF0396B79BFE}"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17178"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65804"/>
            <a:ext cx="14097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9DE3B8E-EFA7-4680-9097-599E7D0E1036}"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17180"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7181"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6119"/>
            <a:ext cx="14859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1CEF871-103C-4842-B8F6-4956F687D9B3}"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2959"/>
            <a:ext cx="1323975" cy="277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1714500</xdr:colOff>
      <xdr:row>15</xdr:row>
      <xdr:rowOff>200025</xdr:rowOff>
    </xdr:to>
    <xdr:grpSp>
      <xdr:nvGrpSpPr>
        <xdr:cNvPr id="7118192" name="Group 17"/>
        <xdr:cNvGrpSpPr>
          <a:grpSpLocks/>
        </xdr:cNvGrpSpPr>
      </xdr:nvGrpSpPr>
      <xdr:grpSpPr bwMode="auto">
        <a:xfrm>
          <a:off x="0" y="0"/>
          <a:ext cx="1714500" cy="3479346"/>
          <a:chOff x="0" y="0"/>
          <a:chExt cx="1714500" cy="3602831"/>
        </a:xfrm>
      </xdr:grpSpPr>
      <xdr:pic>
        <xdr:nvPicPr>
          <xdr:cNvPr id="7118193"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659"/>
            <a:ext cx="1123950" cy="39602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9D35F8D-8C80-4AEC-AF22-30F82078FCF6}"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18195"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8196"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9316"/>
            <a:ext cx="11430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6FE54CD-4670-4E5F-B24B-DD35A8131C30}"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18198"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974"/>
            <a:ext cx="1552575" cy="3863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242028E-0D1A-4EF0-851E-4B695F9A1BA9}"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18200"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8632"/>
            <a:ext cx="1447800" cy="39602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30E75AF-90BC-4CFA-88D2-1437774A10DA}"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18202"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3971"/>
            <a:ext cx="14097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3B56E5C-1F56-499E-B578-5C3782EEF94D}"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18204"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8205"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9652"/>
            <a:ext cx="1485900" cy="40568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A622409-348F-4E8B-8C1D-410A63322687}"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2271"/>
            <a:ext cx="1323975" cy="270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1714500</xdr:colOff>
      <xdr:row>16</xdr:row>
      <xdr:rowOff>66675</xdr:rowOff>
    </xdr:to>
    <xdr:grpSp>
      <xdr:nvGrpSpPr>
        <xdr:cNvPr id="7119216" name="Group 17"/>
        <xdr:cNvGrpSpPr>
          <a:grpSpLocks/>
        </xdr:cNvGrpSpPr>
      </xdr:nvGrpSpPr>
      <xdr:grpSpPr bwMode="auto">
        <a:xfrm>
          <a:off x="0" y="0"/>
          <a:ext cx="1714500" cy="3530311"/>
          <a:chOff x="0" y="0"/>
          <a:chExt cx="1714500" cy="3602831"/>
        </a:xfrm>
      </xdr:grpSpPr>
      <xdr:pic>
        <xdr:nvPicPr>
          <xdr:cNvPr id="7119217"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817"/>
            <a:ext cx="1123950" cy="392679"/>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F8F5A0A-0642-487B-8ABE-5D07341D97A6}"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19219"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9220"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3894"/>
            <a:ext cx="1143000" cy="41231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B474B63-01DA-4AA2-A3F2-FEAAD1E839F0}"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19222"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5841"/>
            <a:ext cx="1552575" cy="392679"/>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C9B4174-BB90-4B7B-9A7E-B6FCA17C5499}"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19224"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7605"/>
            <a:ext cx="1447800" cy="4024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AFB882F-BA85-4BB6-A6CE-5FB928DA0D7E}"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19226"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9735"/>
            <a:ext cx="1409700" cy="4024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78592A6-0B8F-4297-B8FF-3268BBCAEAEC}"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19228"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19229"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2231"/>
            <a:ext cx="1485900" cy="4024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1D38380-5E18-423A-B578-E3FBFEA65DB8}"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0666"/>
            <a:ext cx="1323975" cy="27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2</xdr:col>
      <xdr:colOff>95250</xdr:colOff>
      <xdr:row>0</xdr:row>
      <xdr:rowOff>0</xdr:rowOff>
    </xdr:from>
    <xdr:to>
      <xdr:col>3</xdr:col>
      <xdr:colOff>2457450</xdr:colOff>
      <xdr:row>0</xdr:row>
      <xdr:rowOff>0</xdr:rowOff>
    </xdr:to>
    <xdr:pic>
      <xdr:nvPicPr>
        <xdr:cNvPr id="7067154" name="Picture 1" descr="pub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71675" y="0"/>
          <a:ext cx="28384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1714500</xdr:colOff>
      <xdr:row>16</xdr:row>
      <xdr:rowOff>171450</xdr:rowOff>
    </xdr:to>
    <xdr:grpSp>
      <xdr:nvGrpSpPr>
        <xdr:cNvPr id="7067155" name="Group 18"/>
        <xdr:cNvGrpSpPr>
          <a:grpSpLocks/>
        </xdr:cNvGrpSpPr>
      </xdr:nvGrpSpPr>
      <xdr:grpSpPr bwMode="auto">
        <a:xfrm>
          <a:off x="0" y="0"/>
          <a:ext cx="1714500" cy="3600450"/>
          <a:chOff x="0" y="0"/>
          <a:chExt cx="1714500" cy="3602831"/>
        </a:xfrm>
      </xdr:grpSpPr>
      <xdr:pic>
        <xdr:nvPicPr>
          <xdr:cNvPr id="7067156" name="Picture 9" descr="Another Button copy">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1" name="Text Box 10">
            <a:hlinkClick xmlns:r="http://schemas.openxmlformats.org/officeDocument/2006/relationships" r:id="rId2"/>
          </xdr:cNvPr>
          <xdr:cNvSpPr txBox="1">
            <a:spLocks noChangeArrowheads="1" noTextEdit="1"/>
          </xdr:cNvSpPr>
        </xdr:nvSpPr>
        <xdr:spPr bwMode="auto">
          <a:xfrm>
            <a:off x="304800" y="9737"/>
            <a:ext cx="1123950" cy="39923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60C5608-E743-4B96-8026-9D95241C2FF5}"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67158" name="Picture 11"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67159" name="Picture 13"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4" name="Text Box 14">
            <a:hlinkClick xmlns:r="http://schemas.openxmlformats.org/officeDocument/2006/relationships" r:id="rId5"/>
          </xdr:cNvPr>
          <xdr:cNvSpPr txBox="1">
            <a:spLocks noChangeArrowheads="1" noTextEdit="1"/>
          </xdr:cNvSpPr>
        </xdr:nvSpPr>
        <xdr:spPr bwMode="auto">
          <a:xfrm>
            <a:off x="295275" y="866627"/>
            <a:ext cx="1143000" cy="40897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15DC869-7895-418C-854E-06A7F17E5993}"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67161" name="Picture 15"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7" name="Text Box 16">
            <a:hlinkClick xmlns:r="http://schemas.openxmlformats.org/officeDocument/2006/relationships" r:id="rId6"/>
          </xdr:cNvPr>
          <xdr:cNvSpPr txBox="1">
            <a:spLocks noChangeArrowheads="1" noTextEdit="1"/>
          </xdr:cNvSpPr>
        </xdr:nvSpPr>
        <xdr:spPr bwMode="auto">
          <a:xfrm>
            <a:off x="47625" y="1304809"/>
            <a:ext cx="1552575" cy="37975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332BC7A-E7B5-428A-ADEC-EADD08DC82C8}"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67163" name="Picture 17"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1" name="Text Box 18">
            <a:hlinkClick xmlns:r="http://schemas.openxmlformats.org/officeDocument/2006/relationships" r:id="rId7"/>
          </xdr:cNvPr>
          <xdr:cNvSpPr txBox="1">
            <a:spLocks noChangeArrowheads="1" noTextEdit="1"/>
          </xdr:cNvSpPr>
        </xdr:nvSpPr>
        <xdr:spPr bwMode="auto">
          <a:xfrm>
            <a:off x="133350" y="1733254"/>
            <a:ext cx="1447800" cy="40897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6C7C058-0F9F-48B7-9ACE-1C5667895F72}"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67165" name="Picture 19" descr="Another Button copy">
            <a:hlinkClick xmlns:r="http://schemas.openxmlformats.org/officeDocument/2006/relationships" r:id="rId8"/>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5" name="Text Box 20">
            <a:hlinkClick xmlns:r="http://schemas.openxmlformats.org/officeDocument/2006/relationships" r:id="rId8"/>
          </xdr:cNvPr>
          <xdr:cNvSpPr txBox="1">
            <a:spLocks noChangeArrowheads="1" noTextEdit="1"/>
          </xdr:cNvSpPr>
        </xdr:nvSpPr>
        <xdr:spPr bwMode="auto">
          <a:xfrm>
            <a:off x="142875" y="2161699"/>
            <a:ext cx="1409700" cy="39923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CD95502-7FD7-4CC9-AAEA-F8809C7C0553}"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67167" name="Picture 25" descr="Logo vert 293 reversed"/>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67168" name="Picture 26" descr="Another Button copy">
            <a:hlinkClick xmlns:r="http://schemas.openxmlformats.org/officeDocument/2006/relationships" r:id="rId10"/>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40" name="Text Box 27">
            <a:hlinkClick xmlns:r="http://schemas.openxmlformats.org/officeDocument/2006/relationships" r:id="rId10"/>
          </xdr:cNvPr>
          <xdr:cNvSpPr txBox="1">
            <a:spLocks noChangeArrowheads="1" noTextEdit="1"/>
          </xdr:cNvSpPr>
        </xdr:nvSpPr>
        <xdr:spPr bwMode="auto">
          <a:xfrm>
            <a:off x="104775" y="2560931"/>
            <a:ext cx="1485900" cy="40897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7332B9F-F77C-45A7-ADB3-AF53F7ACE746}"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1" name="TextBox 40">
            <a:hlinkClick xmlns:r="http://schemas.openxmlformats.org/officeDocument/2006/relationships" r:id="rId4"/>
          </xdr:cNvPr>
          <xdr:cNvSpPr txBox="1"/>
        </xdr:nvSpPr>
        <xdr:spPr>
          <a:xfrm>
            <a:off x="200025" y="496606"/>
            <a:ext cx="1323975" cy="272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1714500</xdr:colOff>
      <xdr:row>16</xdr:row>
      <xdr:rowOff>114300</xdr:rowOff>
    </xdr:to>
    <xdr:grpSp>
      <xdr:nvGrpSpPr>
        <xdr:cNvPr id="7120240" name="Group 17"/>
        <xdr:cNvGrpSpPr>
          <a:grpSpLocks/>
        </xdr:cNvGrpSpPr>
      </xdr:nvGrpSpPr>
      <xdr:grpSpPr bwMode="auto">
        <a:xfrm>
          <a:off x="0" y="0"/>
          <a:ext cx="1714500" cy="3543300"/>
          <a:chOff x="0" y="0"/>
          <a:chExt cx="1714500" cy="3602831"/>
        </a:xfrm>
      </xdr:grpSpPr>
      <xdr:pic>
        <xdr:nvPicPr>
          <xdr:cNvPr id="7120241"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608"/>
            <a:ext cx="1123950" cy="39391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0DF8016-8710-44E4-9F15-29664C58E522}"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20243"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0244"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4679"/>
            <a:ext cx="11430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B49500B-8269-4149-99A8-668654A22570}"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20246"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7019"/>
            <a:ext cx="1552575" cy="3843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F0E5FEE-C526-46C9-960C-4FC1332077E6}"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20248"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29359"/>
            <a:ext cx="1447800" cy="41312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C82DE6E-6D20-4B0C-BF16-6E44E1442937}"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20250"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61699"/>
            <a:ext cx="14097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8928F41-E851-4BE1-B678-FE5A9B1CF037}"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20252"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0253"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5216"/>
            <a:ext cx="14859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28C1A53-6023-4FE0-A40A-9715A9E5D142}"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9593"/>
            <a:ext cx="1323975" cy="27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1714500</xdr:colOff>
      <xdr:row>17</xdr:row>
      <xdr:rowOff>152400</xdr:rowOff>
    </xdr:to>
    <xdr:grpSp>
      <xdr:nvGrpSpPr>
        <xdr:cNvPr id="7121264" name="Group 17"/>
        <xdr:cNvGrpSpPr>
          <a:grpSpLocks/>
        </xdr:cNvGrpSpPr>
      </xdr:nvGrpSpPr>
      <xdr:grpSpPr bwMode="auto">
        <a:xfrm>
          <a:off x="0" y="0"/>
          <a:ext cx="1714500" cy="3605213"/>
          <a:chOff x="0" y="0"/>
          <a:chExt cx="1714500" cy="3602831"/>
        </a:xfrm>
      </xdr:grpSpPr>
      <xdr:pic>
        <xdr:nvPicPr>
          <xdr:cNvPr id="7121265"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82"/>
            <a:ext cx="1123950" cy="39286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DDE2DAC-8031-4174-B3C7-F6B250F0EB48}"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21267"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1268"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380"/>
            <a:ext cx="11430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920931A-90F0-42FA-8BAA-0A1FC668E977}"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21270"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152"/>
            <a:ext cx="1552575" cy="38328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0E14B46-8DDC-4CB5-AECD-59D013372E28}"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21272"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4342"/>
            <a:ext cx="14478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1254B77-82A1-477B-AE5D-BA469982559D}"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21274"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5949"/>
            <a:ext cx="14097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D215263-7B7C-4289-8C18-97F51335E5F2}"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21276"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1277"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8393"/>
            <a:ext cx="14859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2489B17-7751-4780-BBDA-EB4DD62803E4}"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8264"/>
            <a:ext cx="1323975" cy="277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1714500</xdr:colOff>
      <xdr:row>17</xdr:row>
      <xdr:rowOff>152400</xdr:rowOff>
    </xdr:to>
    <xdr:grpSp>
      <xdr:nvGrpSpPr>
        <xdr:cNvPr id="7158849" name="Group 17"/>
        <xdr:cNvGrpSpPr>
          <a:grpSpLocks/>
        </xdr:cNvGrpSpPr>
      </xdr:nvGrpSpPr>
      <xdr:grpSpPr bwMode="auto">
        <a:xfrm>
          <a:off x="0" y="0"/>
          <a:ext cx="1714500" cy="3685309"/>
          <a:chOff x="0" y="0"/>
          <a:chExt cx="1714500" cy="3602831"/>
        </a:xfrm>
      </xdr:grpSpPr>
      <xdr:pic>
        <xdr:nvPicPr>
          <xdr:cNvPr id="7158850"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82"/>
            <a:ext cx="1123950" cy="39286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592382F-2838-4287-A05B-48E9F80F7517}"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58852"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58853"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380"/>
            <a:ext cx="11430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051EA14-5F1C-4410-80FF-B85F6284A5E3}"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58855"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5" name="Text Box 16">
            <a:hlinkClick xmlns:r="http://schemas.openxmlformats.org/officeDocument/2006/relationships" r:id="rId5"/>
          </xdr:cNvPr>
          <xdr:cNvSpPr txBox="1">
            <a:spLocks noChangeArrowheads="1" noTextEdit="1"/>
          </xdr:cNvSpPr>
        </xdr:nvSpPr>
        <xdr:spPr bwMode="auto">
          <a:xfrm>
            <a:off x="47625" y="1303152"/>
            <a:ext cx="1552575" cy="38328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F2F977B-C250-401E-89D4-59509C17ECCD}"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58857"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7" name="Text Box 18">
            <a:hlinkClick xmlns:r="http://schemas.openxmlformats.org/officeDocument/2006/relationships" r:id="rId6"/>
          </xdr:cNvPr>
          <xdr:cNvSpPr txBox="1">
            <a:spLocks noChangeArrowheads="1" noTextEdit="1"/>
          </xdr:cNvSpPr>
        </xdr:nvSpPr>
        <xdr:spPr bwMode="auto">
          <a:xfrm>
            <a:off x="133350" y="1734342"/>
            <a:ext cx="14478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C8EF8FF-9D75-47D0-82BE-CFA0E35F5E8C}"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58859"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29" name="Text Box 20">
            <a:hlinkClick xmlns:r="http://schemas.openxmlformats.org/officeDocument/2006/relationships" r:id="rId7"/>
          </xdr:cNvPr>
          <xdr:cNvSpPr txBox="1">
            <a:spLocks noChangeArrowheads="1" noTextEdit="1"/>
          </xdr:cNvSpPr>
        </xdr:nvSpPr>
        <xdr:spPr bwMode="auto">
          <a:xfrm>
            <a:off x="142875" y="2155949"/>
            <a:ext cx="14097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4351E1E8-5EAA-4C66-B464-1D5E9ED579EB}"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58861"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58862"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2" name="Text Box 27">
            <a:hlinkClick xmlns:r="http://schemas.openxmlformats.org/officeDocument/2006/relationships" r:id="rId9"/>
          </xdr:cNvPr>
          <xdr:cNvSpPr txBox="1">
            <a:spLocks noChangeArrowheads="1" noTextEdit="1"/>
          </xdr:cNvSpPr>
        </xdr:nvSpPr>
        <xdr:spPr bwMode="auto">
          <a:xfrm>
            <a:off x="104775" y="2558393"/>
            <a:ext cx="14859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FB8976E-5FD8-40DD-8663-3DFA2BCAEE6A}"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3" name="TextBox 32">
            <a:hlinkClick xmlns:r="http://schemas.openxmlformats.org/officeDocument/2006/relationships" r:id="rId3"/>
          </xdr:cNvPr>
          <xdr:cNvSpPr txBox="1"/>
        </xdr:nvSpPr>
        <xdr:spPr>
          <a:xfrm>
            <a:off x="200025" y="498264"/>
            <a:ext cx="1323975" cy="277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1714500</xdr:colOff>
      <xdr:row>16</xdr:row>
      <xdr:rowOff>142875</xdr:rowOff>
    </xdr:to>
    <xdr:grpSp>
      <xdr:nvGrpSpPr>
        <xdr:cNvPr id="7122288" name="Group 17"/>
        <xdr:cNvGrpSpPr>
          <a:grpSpLocks/>
        </xdr:cNvGrpSpPr>
      </xdr:nvGrpSpPr>
      <xdr:grpSpPr bwMode="auto">
        <a:xfrm>
          <a:off x="0" y="0"/>
          <a:ext cx="1714500" cy="3606511"/>
          <a:chOff x="0" y="0"/>
          <a:chExt cx="1714500" cy="3602831"/>
        </a:xfrm>
      </xdr:grpSpPr>
      <xdr:pic>
        <xdr:nvPicPr>
          <xdr:cNvPr id="7122289"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817"/>
            <a:ext cx="1123950" cy="392679"/>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A1B5254-30CA-4E79-A675-E71B67E42D4C}"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22291"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2292"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3894"/>
            <a:ext cx="1143000" cy="41231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7CB3581-5233-42FA-947C-20D3D4057BF8}"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22294"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5841"/>
            <a:ext cx="1552575" cy="392679"/>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0285762-C733-47F2-90E4-90957C299B0C}"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22296"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7605"/>
            <a:ext cx="1447800" cy="4024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984A5E3-28EB-458D-95E7-370011D9181F}"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22298"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9735"/>
            <a:ext cx="1409700" cy="4024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16DD48F-6E76-43F0-BA69-426EB0607EF2}"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22300"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2301"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2231"/>
            <a:ext cx="1485900" cy="40249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C51A027-13E8-4A4C-99B3-C2BE9CBB15FA}"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0666"/>
            <a:ext cx="1323975" cy="27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9525</xdr:colOff>
      <xdr:row>0</xdr:row>
      <xdr:rowOff>0</xdr:rowOff>
    </xdr:from>
    <xdr:to>
      <xdr:col>0</xdr:col>
      <xdr:colOff>1714500</xdr:colOff>
      <xdr:row>23</xdr:row>
      <xdr:rowOff>114300</xdr:rowOff>
    </xdr:to>
    <xdr:grpSp>
      <xdr:nvGrpSpPr>
        <xdr:cNvPr id="7148712" name="Group 1"/>
        <xdr:cNvGrpSpPr>
          <a:grpSpLocks/>
        </xdr:cNvGrpSpPr>
      </xdr:nvGrpSpPr>
      <xdr:grpSpPr bwMode="auto">
        <a:xfrm>
          <a:off x="9525" y="0"/>
          <a:ext cx="1704975" cy="4972050"/>
          <a:chOff x="1" y="0"/>
          <a:chExt cx="179" cy="522"/>
        </a:xfrm>
      </xdr:grpSpPr>
      <xdr:pic>
        <xdr:nvPicPr>
          <xdr:cNvPr id="7148713" name="Picture 2"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8851" name="Text Box 3">
            <a:hlinkClick xmlns:r="http://schemas.openxmlformats.org/officeDocument/2006/relationships" r:id="rId1"/>
          </xdr:cNvPr>
          <xdr:cNvSpPr txBox="1">
            <a:spLocks noChangeArrowheads="1"/>
          </xdr:cNvSpPr>
        </xdr:nvSpPr>
        <xdr:spPr bwMode="auto">
          <a:xfrm>
            <a:off x="32" y="1"/>
            <a:ext cx="118"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Main</a:t>
            </a:r>
          </a:p>
        </xdr:txBody>
      </xdr:sp>
      <xdr:pic>
        <xdr:nvPicPr>
          <xdr:cNvPr id="7148715" name="Picture 4"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8853" name="Text Box 5">
            <a:hlinkClick xmlns:r="http://schemas.openxmlformats.org/officeDocument/2006/relationships" r:id="rId3"/>
          </xdr:cNvPr>
          <xdr:cNvSpPr txBox="1">
            <a:spLocks noChangeArrowheads="1"/>
          </xdr:cNvSpPr>
        </xdr:nvSpPr>
        <xdr:spPr bwMode="auto">
          <a:xfrm>
            <a:off x="28" y="45"/>
            <a:ext cx="124"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Home</a:t>
            </a:r>
          </a:p>
        </xdr:txBody>
      </xdr:sp>
      <xdr:pic>
        <xdr:nvPicPr>
          <xdr:cNvPr id="7148717" name="Picture 6"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9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8855" name="Text Box 7">
            <a:hlinkClick xmlns:r="http://schemas.openxmlformats.org/officeDocument/2006/relationships" r:id="rId4"/>
          </xdr:cNvPr>
          <xdr:cNvSpPr txBox="1">
            <a:spLocks noChangeArrowheads="1"/>
          </xdr:cNvSpPr>
        </xdr:nvSpPr>
        <xdr:spPr bwMode="auto">
          <a:xfrm>
            <a:off x="31" y="90"/>
            <a:ext cx="120"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a:t>
            </a:r>
          </a:p>
        </xdr:txBody>
      </xdr:sp>
      <xdr:pic>
        <xdr:nvPicPr>
          <xdr:cNvPr id="7148719" name="Picture 8"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3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8857" name="Text Box 9">
            <a:hlinkClick xmlns:r="http://schemas.openxmlformats.org/officeDocument/2006/relationships" r:id="rId5"/>
          </xdr:cNvPr>
          <xdr:cNvSpPr txBox="1">
            <a:spLocks noChangeArrowheads="1"/>
          </xdr:cNvSpPr>
        </xdr:nvSpPr>
        <xdr:spPr bwMode="auto">
          <a:xfrm>
            <a:off x="5" y="135"/>
            <a:ext cx="163" cy="40"/>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 Requirements</a:t>
            </a:r>
          </a:p>
        </xdr:txBody>
      </xdr:sp>
      <xdr:pic>
        <xdr:nvPicPr>
          <xdr:cNvPr id="7148721" name="Picture 10"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8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8859" name="Text Box 11">
            <a:hlinkClick xmlns:r="http://schemas.openxmlformats.org/officeDocument/2006/relationships" r:id="rId6"/>
          </xdr:cNvPr>
          <xdr:cNvSpPr txBox="1">
            <a:spLocks noChangeArrowheads="1"/>
          </xdr:cNvSpPr>
        </xdr:nvSpPr>
        <xdr:spPr bwMode="auto">
          <a:xfrm>
            <a:off x="14" y="180"/>
            <a:ext cx="152"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Financial Forecast</a:t>
            </a:r>
          </a:p>
        </xdr:txBody>
      </xdr:sp>
      <xdr:pic>
        <xdr:nvPicPr>
          <xdr:cNvPr id="7148723" name="Picture 12"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24"/>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8861" name="Text Box 13">
            <a:hlinkClick xmlns:r="http://schemas.openxmlformats.org/officeDocument/2006/relationships" r:id="rId7"/>
          </xdr:cNvPr>
          <xdr:cNvSpPr txBox="1">
            <a:spLocks noChangeArrowheads="1"/>
          </xdr:cNvSpPr>
        </xdr:nvSpPr>
        <xdr:spPr bwMode="auto">
          <a:xfrm>
            <a:off x="15" y="224"/>
            <a:ext cx="148"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Cost of Service</a:t>
            </a:r>
          </a:p>
        </xdr:txBody>
      </xdr:sp>
      <xdr:pic>
        <xdr:nvPicPr>
          <xdr:cNvPr id="7148725" name="Picture 14" descr="Another Button copy">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68"/>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8863" name="Text Box 15">
            <a:hlinkClick xmlns:r="http://schemas.openxmlformats.org/officeDocument/2006/relationships" r:id="rId8"/>
          </xdr:cNvPr>
          <xdr:cNvSpPr txBox="1">
            <a:spLocks noChangeArrowheads="1"/>
          </xdr:cNvSpPr>
        </xdr:nvSpPr>
        <xdr:spPr bwMode="auto">
          <a:xfrm>
            <a:off x="11" y="268"/>
            <a:ext cx="153"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Rate Design</a:t>
            </a:r>
          </a:p>
        </xdr:txBody>
      </xdr:sp>
      <xdr:pic>
        <xdr:nvPicPr>
          <xdr:cNvPr id="7148727" name="Picture 1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12"/>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8865" name="Text Box 17">
            <a:hlinkClick xmlns:r="http://schemas.openxmlformats.org/officeDocument/2006/relationships" r:id="rId9"/>
          </xdr:cNvPr>
          <xdr:cNvSpPr txBox="1">
            <a:spLocks noChangeArrowheads="1"/>
          </xdr:cNvSpPr>
        </xdr:nvSpPr>
        <xdr:spPr bwMode="auto">
          <a:xfrm>
            <a:off x="11" y="312"/>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Control / Other</a:t>
            </a:r>
          </a:p>
        </xdr:txBody>
      </xdr:sp>
      <xdr:pic>
        <xdr:nvPicPr>
          <xdr:cNvPr id="7148729" name="Picture 18" descr="Logo vert 293 reversed"/>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 y="472"/>
            <a:ext cx="158" cy="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48730" name="Picture 19" descr="Another Button copy">
            <a:hlinkClick xmlns:r="http://schemas.openxmlformats.org/officeDocument/2006/relationships" r:id="rId1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57"/>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8868" name="Text Box 20">
            <a:hlinkClick xmlns:r="http://schemas.openxmlformats.org/officeDocument/2006/relationships" r:id="rId11"/>
          </xdr:cNvPr>
          <xdr:cNvSpPr txBox="1">
            <a:spLocks noChangeArrowheads="1"/>
          </xdr:cNvSpPr>
        </xdr:nvSpPr>
        <xdr:spPr bwMode="auto">
          <a:xfrm>
            <a:off x="12" y="357"/>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Support</a:t>
            </a:r>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1714500</xdr:colOff>
      <xdr:row>17</xdr:row>
      <xdr:rowOff>133350</xdr:rowOff>
    </xdr:to>
    <xdr:grpSp>
      <xdr:nvGrpSpPr>
        <xdr:cNvPr id="7123312" name="Group 17"/>
        <xdr:cNvGrpSpPr>
          <a:grpSpLocks/>
        </xdr:cNvGrpSpPr>
      </xdr:nvGrpSpPr>
      <xdr:grpSpPr bwMode="auto">
        <a:xfrm>
          <a:off x="0" y="0"/>
          <a:ext cx="1714500" cy="3598069"/>
          <a:chOff x="0" y="0"/>
          <a:chExt cx="1714500" cy="3602831"/>
        </a:xfrm>
      </xdr:grpSpPr>
      <xdr:pic>
        <xdr:nvPicPr>
          <xdr:cNvPr id="7123313"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82"/>
            <a:ext cx="1123950" cy="39286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E4914BE-F7C2-4208-9681-A8DD1F7EBFA8}"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23315"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3316"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380"/>
            <a:ext cx="11430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EADB8DC-5371-4622-9D31-5885859AD527}"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23318"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152"/>
            <a:ext cx="1552575" cy="38328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2F2973C-7148-4AEE-964A-A2B828EE010F}"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23320"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4342"/>
            <a:ext cx="14478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F2DBADBD-90E8-4929-9689-7ED7CDDEEA1B}"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23322"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5949"/>
            <a:ext cx="14097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D1EA794-8A26-4C13-B8F5-B21F5255A848}"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23324"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3325"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8393"/>
            <a:ext cx="14859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4EA9ED7-2D8D-47D4-926F-0E730227D186}"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8264"/>
            <a:ext cx="1323975" cy="277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1714500</xdr:colOff>
      <xdr:row>17</xdr:row>
      <xdr:rowOff>9525</xdr:rowOff>
    </xdr:to>
    <xdr:grpSp>
      <xdr:nvGrpSpPr>
        <xdr:cNvPr id="7124336" name="Group 17"/>
        <xdr:cNvGrpSpPr>
          <a:grpSpLocks/>
        </xdr:cNvGrpSpPr>
      </xdr:nvGrpSpPr>
      <xdr:grpSpPr bwMode="auto">
        <a:xfrm>
          <a:off x="0" y="0"/>
          <a:ext cx="1714500" cy="3605213"/>
          <a:chOff x="0" y="0"/>
          <a:chExt cx="1714500" cy="3602831"/>
        </a:xfrm>
      </xdr:grpSpPr>
      <xdr:pic>
        <xdr:nvPicPr>
          <xdr:cNvPr id="7124337"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82"/>
            <a:ext cx="1123950" cy="39286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5AA4BA6-673E-435B-989F-99B614A022D2}"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24339"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4340"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2380"/>
            <a:ext cx="11430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8CB1764-8CEF-4AD3-AAF5-1B96A053A8F7}"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24342"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303152"/>
            <a:ext cx="1552575" cy="38328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53C4B05-0A69-4AE0-8860-6649C9310723}"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24344"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4342"/>
            <a:ext cx="14478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21F9249-2849-4D62-AF8F-7635E9438BCE}"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24346"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5949"/>
            <a:ext cx="1409700" cy="40244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7207A06-091D-4133-88BB-DF2C44F7F1BF}"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24348"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4349"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58393"/>
            <a:ext cx="1485900" cy="41202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5FB4C26-2288-4A78-8046-552260372BE7}"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498264"/>
            <a:ext cx="1323975" cy="277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17</xdr:row>
      <xdr:rowOff>9525</xdr:rowOff>
    </xdr:to>
    <xdr:grpSp>
      <xdr:nvGrpSpPr>
        <xdr:cNvPr id="7125360" name="Group 17"/>
        <xdr:cNvGrpSpPr>
          <a:grpSpLocks/>
        </xdr:cNvGrpSpPr>
      </xdr:nvGrpSpPr>
      <xdr:grpSpPr bwMode="auto">
        <a:xfrm>
          <a:off x="0" y="0"/>
          <a:ext cx="1714500" cy="3601811"/>
          <a:chOff x="0" y="0"/>
          <a:chExt cx="1714500" cy="3602831"/>
        </a:xfrm>
      </xdr:grpSpPr>
      <xdr:pic>
        <xdr:nvPicPr>
          <xdr:cNvPr id="7125361"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711"/>
            <a:ext cx="112395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628DDAC-D55F-4743-9CE6-1E62910B6B6D}"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25363"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5364"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4291"/>
            <a:ext cx="11430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AC469D1-12AB-49CB-BAE6-B24345FFF407}"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25366"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5" name="Text Box 16">
            <a:hlinkClick xmlns:r="http://schemas.openxmlformats.org/officeDocument/2006/relationships" r:id="rId5"/>
          </xdr:cNvPr>
          <xdr:cNvSpPr txBox="1">
            <a:spLocks noChangeArrowheads="1" noTextEdit="1"/>
          </xdr:cNvSpPr>
        </xdr:nvSpPr>
        <xdr:spPr bwMode="auto">
          <a:xfrm>
            <a:off x="47625" y="1301292"/>
            <a:ext cx="1552575" cy="38844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4C43672-F79C-4354-890F-299183215AD9}"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25368"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7" name="Text Box 18">
            <a:hlinkClick xmlns:r="http://schemas.openxmlformats.org/officeDocument/2006/relationships" r:id="rId6"/>
          </xdr:cNvPr>
          <xdr:cNvSpPr txBox="1">
            <a:spLocks noChangeArrowheads="1" noTextEdit="1"/>
          </xdr:cNvSpPr>
        </xdr:nvSpPr>
        <xdr:spPr bwMode="auto">
          <a:xfrm>
            <a:off x="133350" y="1738293"/>
            <a:ext cx="1447800" cy="39815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2702867-A056-4A91-9197-B54D62F19202}"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25370"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29" name="Text Box 20">
            <a:hlinkClick xmlns:r="http://schemas.openxmlformats.org/officeDocument/2006/relationships" r:id="rId7"/>
          </xdr:cNvPr>
          <xdr:cNvSpPr txBox="1">
            <a:spLocks noChangeArrowheads="1" noTextEdit="1"/>
          </xdr:cNvSpPr>
        </xdr:nvSpPr>
        <xdr:spPr bwMode="auto">
          <a:xfrm>
            <a:off x="142875" y="2155872"/>
            <a:ext cx="14097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CFF87D3-0284-4BF8-8EE7-BD772D4556AB}"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25372"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5373"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2" name="Text Box 27">
            <a:hlinkClick xmlns:r="http://schemas.openxmlformats.org/officeDocument/2006/relationships" r:id="rId9"/>
          </xdr:cNvPr>
          <xdr:cNvSpPr txBox="1">
            <a:spLocks noChangeArrowheads="1" noTextEdit="1"/>
          </xdr:cNvSpPr>
        </xdr:nvSpPr>
        <xdr:spPr bwMode="auto">
          <a:xfrm>
            <a:off x="104775" y="2563740"/>
            <a:ext cx="1485900" cy="40786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847361F-2200-4727-9E22-D436129CC1EC}"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3" name="TextBox 32">
            <a:hlinkClick xmlns:r="http://schemas.openxmlformats.org/officeDocument/2006/relationships" r:id="rId3"/>
          </xdr:cNvPr>
          <xdr:cNvSpPr txBox="1"/>
        </xdr:nvSpPr>
        <xdr:spPr>
          <a:xfrm>
            <a:off x="200025" y="495268"/>
            <a:ext cx="1323975" cy="2816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123825</xdr:rowOff>
    </xdr:to>
    <xdr:grpSp>
      <xdr:nvGrpSpPr>
        <xdr:cNvPr id="7152769" name="Group 17"/>
        <xdr:cNvGrpSpPr>
          <a:grpSpLocks/>
        </xdr:cNvGrpSpPr>
      </xdr:nvGrpSpPr>
      <xdr:grpSpPr bwMode="auto">
        <a:xfrm>
          <a:off x="0" y="0"/>
          <a:ext cx="1714500" cy="3486150"/>
          <a:chOff x="0" y="0"/>
          <a:chExt cx="1714500" cy="3602831"/>
        </a:xfrm>
      </xdr:grpSpPr>
      <xdr:pic>
        <xdr:nvPicPr>
          <xdr:cNvPr id="7152770"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31"/>
            <a:ext cx="1123950" cy="39078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4ECED0A-4EA2-47DB-872B-6B1D8DAEA8AB}"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52772"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52773"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7348"/>
            <a:ext cx="11430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7DDDBAA-B434-4C05-A982-0461F690A24F}"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52775"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5" name="Text Box 16">
            <a:hlinkClick xmlns:r="http://schemas.openxmlformats.org/officeDocument/2006/relationships" r:id="rId5"/>
          </xdr:cNvPr>
          <xdr:cNvSpPr txBox="1">
            <a:spLocks noChangeArrowheads="1" noTextEdit="1"/>
          </xdr:cNvSpPr>
        </xdr:nvSpPr>
        <xdr:spPr bwMode="auto">
          <a:xfrm>
            <a:off x="47625" y="1296257"/>
            <a:ext cx="1552575" cy="39078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0F703C76-FE68-4B61-929C-732BEB1212F7}"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52777"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7" name="Text Box 18">
            <a:hlinkClick xmlns:r="http://schemas.openxmlformats.org/officeDocument/2006/relationships" r:id="rId6"/>
          </xdr:cNvPr>
          <xdr:cNvSpPr txBox="1">
            <a:spLocks noChangeArrowheads="1" noTextEdit="1"/>
          </xdr:cNvSpPr>
        </xdr:nvSpPr>
        <xdr:spPr bwMode="auto">
          <a:xfrm>
            <a:off x="133350" y="1734696"/>
            <a:ext cx="14478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150F3B0-901C-45D5-88B1-4B15D8DB03F6}"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52779"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29" name="Text Box 20">
            <a:hlinkClick xmlns:r="http://schemas.openxmlformats.org/officeDocument/2006/relationships" r:id="rId7"/>
          </xdr:cNvPr>
          <xdr:cNvSpPr txBox="1">
            <a:spLocks noChangeArrowheads="1" noTextEdit="1"/>
          </xdr:cNvSpPr>
        </xdr:nvSpPr>
        <xdr:spPr bwMode="auto">
          <a:xfrm>
            <a:off x="142875" y="2154074"/>
            <a:ext cx="1409700" cy="40984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CC696B7-1204-4E0D-8A50-98EB802048F9}"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52781"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52782"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2" name="Text Box 27">
            <a:hlinkClick xmlns:r="http://schemas.openxmlformats.org/officeDocument/2006/relationships" r:id="rId9"/>
          </xdr:cNvPr>
          <xdr:cNvSpPr txBox="1">
            <a:spLocks noChangeArrowheads="1" noTextEdit="1"/>
          </xdr:cNvSpPr>
        </xdr:nvSpPr>
        <xdr:spPr bwMode="auto">
          <a:xfrm>
            <a:off x="104775" y="2563919"/>
            <a:ext cx="1485900" cy="40031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B6F2407-F4D2-4AA6-B9DA-580354138FC6}"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3" name="TextBox 32">
            <a:hlinkClick xmlns:r="http://schemas.openxmlformats.org/officeDocument/2006/relationships" r:id="rId3"/>
          </xdr:cNvPr>
          <xdr:cNvSpPr txBox="1"/>
        </xdr:nvSpPr>
        <xdr:spPr>
          <a:xfrm>
            <a:off x="200025" y="495628"/>
            <a:ext cx="1323975" cy="276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95250</xdr:rowOff>
    </xdr:to>
    <xdr:grpSp>
      <xdr:nvGrpSpPr>
        <xdr:cNvPr id="7015414" name="Group 17"/>
        <xdr:cNvGrpSpPr>
          <a:grpSpLocks/>
        </xdr:cNvGrpSpPr>
      </xdr:nvGrpSpPr>
      <xdr:grpSpPr bwMode="auto">
        <a:xfrm>
          <a:off x="0" y="0"/>
          <a:ext cx="1714500" cy="3680114"/>
          <a:chOff x="0" y="0"/>
          <a:chExt cx="1714500" cy="3602831"/>
        </a:xfrm>
      </xdr:grpSpPr>
      <xdr:pic>
        <xdr:nvPicPr>
          <xdr:cNvPr id="7015415"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608"/>
            <a:ext cx="1123950" cy="39391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6940E2F-A85E-45B8-ADDA-2B8F23CCBEDA}"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15417"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15418"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4679"/>
            <a:ext cx="11430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E2A0428-7C2C-48A5-8701-CCE601254A53}"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15420"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5" name="Text Box 16">
            <a:hlinkClick xmlns:r="http://schemas.openxmlformats.org/officeDocument/2006/relationships" r:id="rId5"/>
          </xdr:cNvPr>
          <xdr:cNvSpPr txBox="1">
            <a:spLocks noChangeArrowheads="1" noTextEdit="1"/>
          </xdr:cNvSpPr>
        </xdr:nvSpPr>
        <xdr:spPr bwMode="auto">
          <a:xfrm>
            <a:off x="47625" y="1297019"/>
            <a:ext cx="1552575" cy="384302"/>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82F9BE8-E24C-4095-8460-9EBCCC21E7F2}"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15422"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7" name="Text Box 18">
            <a:hlinkClick xmlns:r="http://schemas.openxmlformats.org/officeDocument/2006/relationships" r:id="rId6"/>
          </xdr:cNvPr>
          <xdr:cNvSpPr txBox="1">
            <a:spLocks noChangeArrowheads="1" noTextEdit="1"/>
          </xdr:cNvSpPr>
        </xdr:nvSpPr>
        <xdr:spPr bwMode="auto">
          <a:xfrm>
            <a:off x="133350" y="1729359"/>
            <a:ext cx="1447800" cy="413125"/>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2EF6967-5E99-49E7-B12A-17F8862DBCDB}"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65952"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29" name="Text Box 20">
            <a:hlinkClick xmlns:r="http://schemas.openxmlformats.org/officeDocument/2006/relationships" r:id="rId7"/>
          </xdr:cNvPr>
          <xdr:cNvSpPr txBox="1">
            <a:spLocks noChangeArrowheads="1" noTextEdit="1"/>
          </xdr:cNvSpPr>
        </xdr:nvSpPr>
        <xdr:spPr bwMode="auto">
          <a:xfrm>
            <a:off x="142875" y="2161699"/>
            <a:ext cx="14097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E9048B6-39A1-4327-9FB5-AE4A99648BD0}"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65954"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65955"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2" name="Text Box 27">
            <a:hlinkClick xmlns:r="http://schemas.openxmlformats.org/officeDocument/2006/relationships" r:id="rId9"/>
          </xdr:cNvPr>
          <xdr:cNvSpPr txBox="1">
            <a:spLocks noChangeArrowheads="1" noTextEdit="1"/>
          </xdr:cNvSpPr>
        </xdr:nvSpPr>
        <xdr:spPr bwMode="auto">
          <a:xfrm>
            <a:off x="104775" y="2565216"/>
            <a:ext cx="1485900" cy="403517"/>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DB6FC82-DBAC-4AE0-B3AC-36699B312F25}"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3" name="TextBox 32">
            <a:hlinkClick xmlns:r="http://schemas.openxmlformats.org/officeDocument/2006/relationships" r:id="rId3"/>
          </xdr:cNvPr>
          <xdr:cNvSpPr txBox="1"/>
        </xdr:nvSpPr>
        <xdr:spPr>
          <a:xfrm>
            <a:off x="200025" y="499593"/>
            <a:ext cx="1323975" cy="27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15</xdr:row>
      <xdr:rowOff>190500</xdr:rowOff>
    </xdr:to>
    <xdr:grpSp>
      <xdr:nvGrpSpPr>
        <xdr:cNvPr id="7126384" name="Group 17"/>
        <xdr:cNvGrpSpPr>
          <a:grpSpLocks/>
        </xdr:cNvGrpSpPr>
      </xdr:nvGrpSpPr>
      <xdr:grpSpPr bwMode="auto">
        <a:xfrm>
          <a:off x="0" y="0"/>
          <a:ext cx="1714500" cy="3605893"/>
          <a:chOff x="0" y="0"/>
          <a:chExt cx="1714500" cy="3602831"/>
        </a:xfrm>
      </xdr:grpSpPr>
      <xdr:pic>
        <xdr:nvPicPr>
          <xdr:cNvPr id="7126385"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685"/>
            <a:ext cx="1123950" cy="39708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E7B9843-9325-49CB-A2D8-C1AFFECFF857}"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26387"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6388"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71653"/>
            <a:ext cx="1143000" cy="39708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7A9F81B-3F7D-40FA-B68B-F2C98FDF08EC}"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26390"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6" name="Text Box 16">
            <a:hlinkClick xmlns:r="http://schemas.openxmlformats.org/officeDocument/2006/relationships" r:id="rId5"/>
          </xdr:cNvPr>
          <xdr:cNvSpPr txBox="1">
            <a:spLocks noChangeArrowheads="1" noTextEdit="1"/>
          </xdr:cNvSpPr>
        </xdr:nvSpPr>
        <xdr:spPr bwMode="auto">
          <a:xfrm>
            <a:off x="47625" y="1297794"/>
            <a:ext cx="1552575" cy="38740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90BCA52-1654-47F0-9B05-9C71858C473C}"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26392"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0" name="Text Box 18">
            <a:hlinkClick xmlns:r="http://schemas.openxmlformats.org/officeDocument/2006/relationships" r:id="rId6"/>
          </xdr:cNvPr>
          <xdr:cNvSpPr txBox="1">
            <a:spLocks noChangeArrowheads="1" noTextEdit="1"/>
          </xdr:cNvSpPr>
        </xdr:nvSpPr>
        <xdr:spPr bwMode="auto">
          <a:xfrm>
            <a:off x="133350" y="1733620"/>
            <a:ext cx="1447800" cy="40677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5AC4F53-3FFB-4D4C-A9C0-F63AFC66EBD2}"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26394"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4" name="Text Box 20">
            <a:hlinkClick xmlns:r="http://schemas.openxmlformats.org/officeDocument/2006/relationships" r:id="rId7"/>
          </xdr:cNvPr>
          <xdr:cNvSpPr txBox="1">
            <a:spLocks noChangeArrowheads="1" noTextEdit="1"/>
          </xdr:cNvSpPr>
        </xdr:nvSpPr>
        <xdr:spPr bwMode="auto">
          <a:xfrm>
            <a:off x="142875" y="2159762"/>
            <a:ext cx="1409700" cy="40677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1EDF8E3-D247-417B-B96E-45FCEF6D38FA}"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26396"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26397"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6533"/>
            <a:ext cx="1485900" cy="39708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543255A8-C603-44D6-A1A3-C8E0E7489550}"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3622"/>
            <a:ext cx="1323975" cy="271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16</xdr:row>
      <xdr:rowOff>19050</xdr:rowOff>
    </xdr:to>
    <xdr:grpSp>
      <xdr:nvGrpSpPr>
        <xdr:cNvPr id="7162897" name="Group 17"/>
        <xdr:cNvGrpSpPr>
          <a:grpSpLocks/>
        </xdr:cNvGrpSpPr>
      </xdr:nvGrpSpPr>
      <xdr:grpSpPr bwMode="auto">
        <a:xfrm>
          <a:off x="0" y="0"/>
          <a:ext cx="1714500" cy="3603914"/>
          <a:chOff x="0" y="0"/>
          <a:chExt cx="1714500" cy="3602831"/>
        </a:xfrm>
      </xdr:grpSpPr>
      <xdr:pic>
        <xdr:nvPicPr>
          <xdr:cNvPr id="7162898"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9557"/>
            <a:ext cx="1123950" cy="39182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2AA3035-D7D7-48DD-9DCB-55DBBFC0CD71}"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62900"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62901"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9649"/>
            <a:ext cx="11430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21911DD-5984-4A67-B98E-909D378A06BF}"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62903"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5" name="Text Box 16">
            <a:hlinkClick xmlns:r="http://schemas.openxmlformats.org/officeDocument/2006/relationships" r:id="rId5"/>
          </xdr:cNvPr>
          <xdr:cNvSpPr txBox="1">
            <a:spLocks noChangeArrowheads="1" noTextEdit="1"/>
          </xdr:cNvSpPr>
        </xdr:nvSpPr>
        <xdr:spPr bwMode="auto">
          <a:xfrm>
            <a:off x="47625" y="1299695"/>
            <a:ext cx="1552575" cy="3822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E32A3348-5F25-4312-A9B7-5DB67E6CA18D}"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62905"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27" name="Text Box 18">
            <a:hlinkClick xmlns:r="http://schemas.openxmlformats.org/officeDocument/2006/relationships" r:id="rId6"/>
          </xdr:cNvPr>
          <xdr:cNvSpPr txBox="1">
            <a:spLocks noChangeArrowheads="1" noTextEdit="1"/>
          </xdr:cNvSpPr>
        </xdr:nvSpPr>
        <xdr:spPr bwMode="auto">
          <a:xfrm>
            <a:off x="133350" y="1729741"/>
            <a:ext cx="1447800" cy="41093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2D87650-71F4-4C73-B0B1-23DD664FDB31}"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62907"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29" name="Text Box 20">
            <a:hlinkClick xmlns:r="http://schemas.openxmlformats.org/officeDocument/2006/relationships" r:id="rId7"/>
          </xdr:cNvPr>
          <xdr:cNvSpPr txBox="1">
            <a:spLocks noChangeArrowheads="1" noTextEdit="1"/>
          </xdr:cNvSpPr>
        </xdr:nvSpPr>
        <xdr:spPr bwMode="auto">
          <a:xfrm>
            <a:off x="142875" y="2159787"/>
            <a:ext cx="14097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BB34E75-790E-471A-8986-E02F1C74D11C}"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62909"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62910"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2" name="Text Box 27">
            <a:hlinkClick xmlns:r="http://schemas.openxmlformats.org/officeDocument/2006/relationships" r:id="rId9"/>
          </xdr:cNvPr>
          <xdr:cNvSpPr txBox="1">
            <a:spLocks noChangeArrowheads="1" noTextEdit="1"/>
          </xdr:cNvSpPr>
        </xdr:nvSpPr>
        <xdr:spPr bwMode="auto">
          <a:xfrm>
            <a:off x="104775" y="2561164"/>
            <a:ext cx="1485900" cy="401376"/>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E2A05B4-E30F-47FD-9169-6A0725AFE3BB}"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33" name="TextBox 32">
            <a:hlinkClick xmlns:r="http://schemas.openxmlformats.org/officeDocument/2006/relationships" r:id="rId3"/>
          </xdr:cNvPr>
          <xdr:cNvSpPr txBox="1"/>
        </xdr:nvSpPr>
        <xdr:spPr>
          <a:xfrm>
            <a:off x="200025" y="496942"/>
            <a:ext cx="1323975" cy="2771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2</xdr:col>
      <xdr:colOff>1533525</xdr:colOff>
      <xdr:row>18</xdr:row>
      <xdr:rowOff>104775</xdr:rowOff>
    </xdr:from>
    <xdr:to>
      <xdr:col>11</xdr:col>
      <xdr:colOff>609600</xdr:colOff>
      <xdr:row>33</xdr:row>
      <xdr:rowOff>66675</xdr:rowOff>
    </xdr:to>
    <xdr:graphicFrame macro="">
      <xdr:nvGraphicFramePr>
        <xdr:cNvPr id="700985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0</xdr:colOff>
      <xdr:row>16</xdr:row>
      <xdr:rowOff>19050</xdr:rowOff>
    </xdr:to>
    <xdr:grpSp>
      <xdr:nvGrpSpPr>
        <xdr:cNvPr id="7009856" name="Group 2"/>
        <xdr:cNvGrpSpPr>
          <a:grpSpLocks/>
        </xdr:cNvGrpSpPr>
      </xdr:nvGrpSpPr>
      <xdr:grpSpPr bwMode="auto">
        <a:xfrm>
          <a:off x="0" y="0"/>
          <a:ext cx="1714500" cy="3714750"/>
          <a:chOff x="0" y="0"/>
          <a:chExt cx="1714500" cy="3602831"/>
        </a:xfrm>
      </xdr:grpSpPr>
      <xdr:pic>
        <xdr:nvPicPr>
          <xdr:cNvPr id="7009857" name="Picture 9" descr="Another Button copy">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5" name="Text Box 10">
            <a:hlinkClick xmlns:r="http://schemas.openxmlformats.org/officeDocument/2006/relationships" r:id="rId2"/>
          </xdr:cNvPr>
          <xdr:cNvSpPr txBox="1">
            <a:spLocks noChangeArrowheads="1" noTextEdit="1"/>
          </xdr:cNvSpPr>
        </xdr:nvSpPr>
        <xdr:spPr bwMode="auto">
          <a:xfrm>
            <a:off x="304800" y="9431"/>
            <a:ext cx="1123950" cy="39612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1F7DD9BE-ABE5-48DA-A90E-0BF45D96B29C}"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009859" name="Picture 11"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09860" name="Picture 13"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8" name="Text Box 14">
            <a:hlinkClick xmlns:r="http://schemas.openxmlformats.org/officeDocument/2006/relationships" r:id="rId5"/>
          </xdr:cNvPr>
          <xdr:cNvSpPr txBox="1">
            <a:spLocks noChangeArrowheads="1" noTextEdit="1"/>
          </xdr:cNvSpPr>
        </xdr:nvSpPr>
        <xdr:spPr bwMode="auto">
          <a:xfrm>
            <a:off x="295275" y="867698"/>
            <a:ext cx="1143000" cy="40555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84C70132-AE6B-4A0F-875C-C8C3340B4C4D}"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009862" name="Picture 15"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10" name="Text Box 16">
            <a:hlinkClick xmlns:r="http://schemas.openxmlformats.org/officeDocument/2006/relationships" r:id="rId6"/>
          </xdr:cNvPr>
          <xdr:cNvSpPr txBox="1">
            <a:spLocks noChangeArrowheads="1" noTextEdit="1"/>
          </xdr:cNvSpPr>
        </xdr:nvSpPr>
        <xdr:spPr bwMode="auto">
          <a:xfrm>
            <a:off x="47625" y="1301546"/>
            <a:ext cx="1552575" cy="386691"/>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B2E4788-37EA-4C8F-A906-D91CD04BA2B5}"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009864" name="Picture 17"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12" name="Text Box 18">
            <a:hlinkClick xmlns:r="http://schemas.openxmlformats.org/officeDocument/2006/relationships" r:id="rId7"/>
          </xdr:cNvPr>
          <xdr:cNvSpPr txBox="1">
            <a:spLocks noChangeArrowheads="1" noTextEdit="1"/>
          </xdr:cNvSpPr>
        </xdr:nvSpPr>
        <xdr:spPr bwMode="auto">
          <a:xfrm>
            <a:off x="133350" y="1735395"/>
            <a:ext cx="1447800" cy="40555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4893DA7-5267-4F62-8A66-015AD7B8E34B}"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009866" name="Picture 19" descr="Another Button copy">
            <a:hlinkClick xmlns:r="http://schemas.openxmlformats.org/officeDocument/2006/relationships" r:id="rId8"/>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14" name="Text Box 20">
            <a:hlinkClick xmlns:r="http://schemas.openxmlformats.org/officeDocument/2006/relationships" r:id="rId8"/>
          </xdr:cNvPr>
          <xdr:cNvSpPr txBox="1">
            <a:spLocks noChangeArrowheads="1" noTextEdit="1"/>
          </xdr:cNvSpPr>
        </xdr:nvSpPr>
        <xdr:spPr bwMode="auto">
          <a:xfrm>
            <a:off x="142875" y="2159812"/>
            <a:ext cx="1409700" cy="40555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2B001B1C-1A88-47B6-A100-6B7F95A5044C}"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009868" name="Picture 25" descr="Logo vert 293 reversed"/>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009869" name="Picture 26" descr="Another Button copy">
            <a:hlinkClick xmlns:r="http://schemas.openxmlformats.org/officeDocument/2006/relationships" r:id="rId10"/>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17" name="Text Box 27">
            <a:hlinkClick xmlns:r="http://schemas.openxmlformats.org/officeDocument/2006/relationships" r:id="rId10"/>
          </xdr:cNvPr>
          <xdr:cNvSpPr txBox="1">
            <a:spLocks noChangeArrowheads="1" noTextEdit="1"/>
          </xdr:cNvSpPr>
        </xdr:nvSpPr>
        <xdr:spPr bwMode="auto">
          <a:xfrm>
            <a:off x="104775" y="2565367"/>
            <a:ext cx="1485900" cy="405554"/>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C20973BA-5897-4D08-9763-0C3CADC5CEFF}"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18" name="TextBox 17">
            <a:hlinkClick xmlns:r="http://schemas.openxmlformats.org/officeDocument/2006/relationships" r:id="rId4"/>
          </xdr:cNvPr>
          <xdr:cNvSpPr txBox="1"/>
        </xdr:nvSpPr>
        <xdr:spPr>
          <a:xfrm>
            <a:off x="200025" y="499869"/>
            <a:ext cx="1323975" cy="2735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twoCellAnchor>
    <xdr:from>
      <xdr:col>3</xdr:col>
      <xdr:colOff>9526</xdr:colOff>
      <xdr:row>5</xdr:row>
      <xdr:rowOff>9525</xdr:rowOff>
    </xdr:from>
    <xdr:to>
      <xdr:col>8</xdr:col>
      <xdr:colOff>0</xdr:colOff>
      <xdr:row>5</xdr:row>
      <xdr:rowOff>361950</xdr:rowOff>
    </xdr:to>
    <xdr:sp macro="" textlink="">
      <xdr:nvSpPr>
        <xdr:cNvPr id="2" name="TextBox 1"/>
        <xdr:cNvSpPr txBox="1"/>
      </xdr:nvSpPr>
      <xdr:spPr>
        <a:xfrm>
          <a:off x="4076701" y="1095375"/>
          <a:ext cx="4048124" cy="352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Functional Area</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15</xdr:row>
      <xdr:rowOff>200025</xdr:rowOff>
    </xdr:to>
    <xdr:grpSp>
      <xdr:nvGrpSpPr>
        <xdr:cNvPr id="7130464" name="Group 17"/>
        <xdr:cNvGrpSpPr>
          <a:grpSpLocks/>
        </xdr:cNvGrpSpPr>
      </xdr:nvGrpSpPr>
      <xdr:grpSpPr bwMode="auto">
        <a:xfrm>
          <a:off x="0" y="0"/>
          <a:ext cx="1714500" cy="3236119"/>
          <a:chOff x="0" y="0"/>
          <a:chExt cx="1714500" cy="3602831"/>
        </a:xfrm>
      </xdr:grpSpPr>
      <xdr:pic>
        <xdr:nvPicPr>
          <xdr:cNvPr id="7130465" name="Picture 9"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7">
        <xdr:nvSpPr>
          <xdr:cNvPr id="20" name="Text Box 10">
            <a:hlinkClick xmlns:r="http://schemas.openxmlformats.org/officeDocument/2006/relationships" r:id="rId1"/>
          </xdr:cNvPr>
          <xdr:cNvSpPr txBox="1">
            <a:spLocks noChangeArrowheads="1" noTextEdit="1"/>
          </xdr:cNvSpPr>
        </xdr:nvSpPr>
        <xdr:spPr bwMode="auto">
          <a:xfrm>
            <a:off x="304800" y="10723"/>
            <a:ext cx="1123950" cy="39674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94C23733-D849-49BB-B260-F3875B3B4E65}" type="TxLink">
              <a:rPr lang="en-US" sz="1200" b="1" i="0" u="none" strike="noStrike" baseline="0">
                <a:solidFill>
                  <a:srgbClr val="FFFFFF"/>
                </a:solidFill>
                <a:latin typeface="Arial"/>
                <a:cs typeface="Arial"/>
              </a:rPr>
              <a:pPr algn="ctr" rtl="0">
                <a:defRPr sz="1000"/>
              </a:pPr>
              <a:t>Main</a:t>
            </a:fld>
            <a:endParaRPr lang="en-US" sz="1200" b="1" i="0" u="none" strike="noStrike" baseline="0">
              <a:solidFill>
                <a:srgbClr val="FFFFFF"/>
              </a:solidFill>
              <a:latin typeface="Arial"/>
              <a:cs typeface="Arial"/>
            </a:endParaRPr>
          </a:p>
        </xdr:txBody>
      </xdr:sp>
      <xdr:pic>
        <xdr:nvPicPr>
          <xdr:cNvPr id="7130467" name="Picture 11"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433839"/>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30468" name="Picture 13"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7676"/>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19">
        <xdr:nvSpPr>
          <xdr:cNvPr id="23" name="Text Box 14">
            <a:hlinkClick xmlns:r="http://schemas.openxmlformats.org/officeDocument/2006/relationships" r:id="rId4"/>
          </xdr:cNvPr>
          <xdr:cNvSpPr txBox="1">
            <a:spLocks noChangeArrowheads="1" noTextEdit="1"/>
          </xdr:cNvSpPr>
        </xdr:nvSpPr>
        <xdr:spPr bwMode="auto">
          <a:xfrm>
            <a:off x="295275" y="868540"/>
            <a:ext cx="1143000" cy="4074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6EA94B6E-745A-408F-9BCA-A5D2B3B67A19}" type="TxLink">
              <a:rPr lang="en-US" sz="1200" b="1" i="0" u="none" strike="noStrike" baseline="0">
                <a:solidFill>
                  <a:srgbClr val="FFFFFF"/>
                </a:solidFill>
                <a:latin typeface="Arial"/>
                <a:cs typeface="Arial"/>
              </a:rPr>
              <a:pPr algn="ctr" rtl="0">
                <a:defRPr sz="1000"/>
              </a:pPr>
              <a:t>Revenue</a:t>
            </a:fld>
            <a:endParaRPr lang="en-US" sz="1200" b="1" i="0" u="none" strike="noStrike" baseline="0">
              <a:solidFill>
                <a:srgbClr val="FFFFFF"/>
              </a:solidFill>
              <a:latin typeface="Arial"/>
              <a:cs typeface="Arial"/>
            </a:endParaRPr>
          </a:p>
        </xdr:txBody>
      </xdr:sp>
      <xdr:pic>
        <xdr:nvPicPr>
          <xdr:cNvPr id="7130470" name="Picture 15"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301515"/>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0">
        <xdr:nvSpPr>
          <xdr:cNvPr id="27" name="Text Box 16">
            <a:hlinkClick xmlns:r="http://schemas.openxmlformats.org/officeDocument/2006/relationships" r:id="rId5"/>
          </xdr:cNvPr>
          <xdr:cNvSpPr txBox="1">
            <a:spLocks noChangeArrowheads="1" noTextEdit="1"/>
          </xdr:cNvSpPr>
        </xdr:nvSpPr>
        <xdr:spPr bwMode="auto">
          <a:xfrm>
            <a:off x="47625" y="1297448"/>
            <a:ext cx="1552575" cy="386018"/>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DEAB7873-2C71-412B-BF17-6D67BAB61E6C}" type="TxLink">
              <a:rPr lang="en-US" sz="1200" b="1" i="0" u="none" strike="noStrike" baseline="0">
                <a:solidFill>
                  <a:srgbClr val="FFFFFF"/>
                </a:solidFill>
                <a:latin typeface="Arial"/>
                <a:cs typeface="Arial"/>
              </a:rPr>
              <a:pPr algn="ctr" rtl="0">
                <a:defRPr sz="1000"/>
              </a:pPr>
              <a:t>Revenue Requirements</a:t>
            </a:fld>
            <a:endParaRPr lang="en-US" sz="1200" b="1" i="0" u="none" strike="noStrike" baseline="0">
              <a:solidFill>
                <a:srgbClr val="FFFFFF"/>
              </a:solidFill>
              <a:latin typeface="Arial"/>
              <a:cs typeface="Arial"/>
            </a:endParaRPr>
          </a:p>
        </xdr:txBody>
      </xdr:sp>
      <xdr:pic>
        <xdr:nvPicPr>
          <xdr:cNvPr id="7130472" name="Picture 17"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735354"/>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1">
        <xdr:nvSpPr>
          <xdr:cNvPr id="31" name="Text Box 18">
            <a:hlinkClick xmlns:r="http://schemas.openxmlformats.org/officeDocument/2006/relationships" r:id="rId6"/>
          </xdr:cNvPr>
          <xdr:cNvSpPr txBox="1">
            <a:spLocks noChangeArrowheads="1" noTextEdit="1"/>
          </xdr:cNvSpPr>
        </xdr:nvSpPr>
        <xdr:spPr bwMode="auto">
          <a:xfrm>
            <a:off x="133350" y="1737079"/>
            <a:ext cx="1447800" cy="396740"/>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3F528175-01C4-4175-B264-739A3C21962A}" type="TxLink">
              <a:rPr lang="en-US" sz="1200" b="1" i="0" u="none" strike="noStrike" baseline="0">
                <a:solidFill>
                  <a:srgbClr val="FFFFFF"/>
                </a:solidFill>
                <a:latin typeface="Arial"/>
                <a:cs typeface="Arial"/>
              </a:rPr>
              <a:pPr algn="ctr" rtl="0">
                <a:defRPr sz="1000"/>
              </a:pPr>
              <a:t>Financial Forecast</a:t>
            </a:fld>
            <a:endParaRPr lang="en-US" sz="1200" b="1" i="0" u="none" strike="noStrike" baseline="0">
              <a:solidFill>
                <a:srgbClr val="FFFFFF"/>
              </a:solidFill>
              <a:latin typeface="Arial"/>
              <a:cs typeface="Arial"/>
            </a:endParaRPr>
          </a:p>
        </xdr:txBody>
      </xdr:sp>
      <xdr:pic>
        <xdr:nvPicPr>
          <xdr:cNvPr id="7130474" name="Picture 19"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159551"/>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2">
        <xdr:nvSpPr>
          <xdr:cNvPr id="35" name="Text Box 20">
            <a:hlinkClick xmlns:r="http://schemas.openxmlformats.org/officeDocument/2006/relationships" r:id="rId7"/>
          </xdr:cNvPr>
          <xdr:cNvSpPr txBox="1">
            <a:spLocks noChangeArrowheads="1" noTextEdit="1"/>
          </xdr:cNvSpPr>
        </xdr:nvSpPr>
        <xdr:spPr bwMode="auto">
          <a:xfrm>
            <a:off x="142875" y="2155265"/>
            <a:ext cx="1409700" cy="4074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BB425E5C-7D3E-4E4D-8DAD-A0388A433484}" type="TxLink">
              <a:rPr lang="en-US" sz="1200" b="1" i="0" u="none" strike="noStrike" baseline="0">
                <a:solidFill>
                  <a:srgbClr val="FFFFFF"/>
                </a:solidFill>
                <a:latin typeface="Arial"/>
                <a:cs typeface="Arial"/>
              </a:rPr>
              <a:pPr algn="ctr" rtl="0">
                <a:defRPr sz="1000"/>
              </a:pPr>
              <a:t>Cost of Service</a:t>
            </a:fld>
            <a:endParaRPr lang="en-US" sz="1200" b="1" i="0" u="none" strike="noStrike" baseline="0">
              <a:solidFill>
                <a:srgbClr val="FFFFFF"/>
              </a:solidFill>
              <a:latin typeface="Arial"/>
              <a:cs typeface="Arial"/>
            </a:endParaRPr>
          </a:p>
        </xdr:txBody>
      </xdr:sp>
      <xdr:pic>
        <xdr:nvPicPr>
          <xdr:cNvPr id="7130476" name="Picture 25" descr="Logo vert 293 reversed"/>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1919" y="3120788"/>
            <a:ext cx="1504950" cy="482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30477" name="Picture 2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560140"/>
            <a:ext cx="1704975" cy="424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Main!$Z$25">
        <xdr:nvSpPr>
          <xdr:cNvPr id="39" name="Text Box 27">
            <a:hlinkClick xmlns:r="http://schemas.openxmlformats.org/officeDocument/2006/relationships" r:id="rId9"/>
          </xdr:cNvPr>
          <xdr:cNvSpPr txBox="1">
            <a:spLocks noChangeArrowheads="1" noTextEdit="1"/>
          </xdr:cNvSpPr>
        </xdr:nvSpPr>
        <xdr:spPr bwMode="auto">
          <a:xfrm>
            <a:off x="104775" y="2562728"/>
            <a:ext cx="1485900" cy="407463"/>
          </a:xfrm>
          <a:prstGeom prst="rect">
            <a:avLst/>
          </a:prstGeom>
          <a:noFill/>
          <a:ln w="9525" algn="ctr">
            <a:noFill/>
            <a:miter lim="800000"/>
            <a:headEnd/>
            <a:tailEnd/>
          </a:ln>
          <a:effectLst/>
        </xdr:spPr>
        <xdr:txBody>
          <a:bodyPr vertOverflow="clip" wrap="square" lIns="0" tIns="0" rIns="0" bIns="0" anchor="ctr" upright="1"/>
          <a:lstStyle/>
          <a:p>
            <a:pPr algn="ctr" rtl="0">
              <a:defRPr sz="1000"/>
            </a:pPr>
            <a:fld id="{7FCD85BE-AF3F-4AF1-A454-0C13BEBA7345}" type="TxLink">
              <a:rPr lang="en-US" sz="1200" b="1" i="0" u="none" strike="noStrike" baseline="0">
                <a:solidFill>
                  <a:srgbClr val="FFFFFF"/>
                </a:solidFill>
                <a:latin typeface="Arial"/>
                <a:cs typeface="Arial"/>
              </a:rPr>
              <a:pPr algn="ctr" rtl="0">
                <a:defRPr sz="1000"/>
              </a:pPr>
              <a:t>Support</a:t>
            </a:fld>
            <a:endParaRPr lang="en-US" sz="1200" b="1" i="0" u="none" strike="noStrike" baseline="0">
              <a:solidFill>
                <a:srgbClr val="FFFFFF"/>
              </a:solidFill>
              <a:latin typeface="Arial"/>
              <a:cs typeface="Arial"/>
            </a:endParaRPr>
          </a:p>
        </xdr:txBody>
      </xdr:sp>
      <xdr:sp macro="" textlink="">
        <xdr:nvSpPr>
          <xdr:cNvPr id="40" name="TextBox 39">
            <a:hlinkClick xmlns:r="http://schemas.openxmlformats.org/officeDocument/2006/relationships" r:id="rId3"/>
          </xdr:cNvPr>
          <xdr:cNvSpPr txBox="1"/>
        </xdr:nvSpPr>
        <xdr:spPr>
          <a:xfrm>
            <a:off x="200025" y="503967"/>
            <a:ext cx="1323975" cy="2680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solidFill>
                  <a:schemeClr val="bg1"/>
                </a:solidFill>
                <a:latin typeface="Arial" panose="020B0604020202020204" pitchFamily="34" charset="0"/>
                <a:cs typeface="Arial" panose="020B0604020202020204" pitchFamily="34" charset="0"/>
              </a:rPr>
              <a:t>Dashboard</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9525</xdr:colOff>
      <xdr:row>0</xdr:row>
      <xdr:rowOff>0</xdr:rowOff>
    </xdr:from>
    <xdr:to>
      <xdr:col>0</xdr:col>
      <xdr:colOff>1714500</xdr:colOff>
      <xdr:row>23</xdr:row>
      <xdr:rowOff>114300</xdr:rowOff>
    </xdr:to>
    <xdr:grpSp>
      <xdr:nvGrpSpPr>
        <xdr:cNvPr id="7149736" name="Group 1"/>
        <xdr:cNvGrpSpPr>
          <a:grpSpLocks/>
        </xdr:cNvGrpSpPr>
      </xdr:nvGrpSpPr>
      <xdr:grpSpPr bwMode="auto">
        <a:xfrm>
          <a:off x="9525" y="0"/>
          <a:ext cx="1704975" cy="4972050"/>
          <a:chOff x="1" y="0"/>
          <a:chExt cx="179" cy="522"/>
        </a:xfrm>
      </xdr:grpSpPr>
      <xdr:pic>
        <xdr:nvPicPr>
          <xdr:cNvPr id="7149737" name="Picture 2"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9875" name="Text Box 3">
            <a:hlinkClick xmlns:r="http://schemas.openxmlformats.org/officeDocument/2006/relationships" r:id="rId1"/>
          </xdr:cNvPr>
          <xdr:cNvSpPr txBox="1">
            <a:spLocks noChangeArrowheads="1"/>
          </xdr:cNvSpPr>
        </xdr:nvSpPr>
        <xdr:spPr bwMode="auto">
          <a:xfrm>
            <a:off x="32" y="1"/>
            <a:ext cx="118"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Main</a:t>
            </a:r>
          </a:p>
        </xdr:txBody>
      </xdr:sp>
      <xdr:pic>
        <xdr:nvPicPr>
          <xdr:cNvPr id="7149739" name="Picture 4"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9877" name="Text Box 5">
            <a:hlinkClick xmlns:r="http://schemas.openxmlformats.org/officeDocument/2006/relationships" r:id="rId3"/>
          </xdr:cNvPr>
          <xdr:cNvSpPr txBox="1">
            <a:spLocks noChangeArrowheads="1"/>
          </xdr:cNvSpPr>
        </xdr:nvSpPr>
        <xdr:spPr bwMode="auto">
          <a:xfrm>
            <a:off x="28" y="45"/>
            <a:ext cx="124"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Home</a:t>
            </a:r>
          </a:p>
        </xdr:txBody>
      </xdr:sp>
      <xdr:pic>
        <xdr:nvPicPr>
          <xdr:cNvPr id="7149741" name="Picture 6"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9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9879" name="Text Box 7">
            <a:hlinkClick xmlns:r="http://schemas.openxmlformats.org/officeDocument/2006/relationships" r:id="rId4"/>
          </xdr:cNvPr>
          <xdr:cNvSpPr txBox="1">
            <a:spLocks noChangeArrowheads="1"/>
          </xdr:cNvSpPr>
        </xdr:nvSpPr>
        <xdr:spPr bwMode="auto">
          <a:xfrm>
            <a:off x="31" y="90"/>
            <a:ext cx="120"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a:t>
            </a:r>
          </a:p>
        </xdr:txBody>
      </xdr:sp>
      <xdr:pic>
        <xdr:nvPicPr>
          <xdr:cNvPr id="7149743" name="Picture 8"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3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9881" name="Text Box 9">
            <a:hlinkClick xmlns:r="http://schemas.openxmlformats.org/officeDocument/2006/relationships" r:id="rId5"/>
          </xdr:cNvPr>
          <xdr:cNvSpPr txBox="1">
            <a:spLocks noChangeArrowheads="1"/>
          </xdr:cNvSpPr>
        </xdr:nvSpPr>
        <xdr:spPr bwMode="auto">
          <a:xfrm>
            <a:off x="5" y="135"/>
            <a:ext cx="163" cy="40"/>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 Requirements</a:t>
            </a:r>
          </a:p>
        </xdr:txBody>
      </xdr:sp>
      <xdr:pic>
        <xdr:nvPicPr>
          <xdr:cNvPr id="7149745" name="Picture 10"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8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9883" name="Text Box 11">
            <a:hlinkClick xmlns:r="http://schemas.openxmlformats.org/officeDocument/2006/relationships" r:id="rId6"/>
          </xdr:cNvPr>
          <xdr:cNvSpPr txBox="1">
            <a:spLocks noChangeArrowheads="1"/>
          </xdr:cNvSpPr>
        </xdr:nvSpPr>
        <xdr:spPr bwMode="auto">
          <a:xfrm>
            <a:off x="14" y="180"/>
            <a:ext cx="152"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Financial Forecast</a:t>
            </a:r>
          </a:p>
        </xdr:txBody>
      </xdr:sp>
      <xdr:pic>
        <xdr:nvPicPr>
          <xdr:cNvPr id="7149747" name="Picture 12"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24"/>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9885" name="Text Box 13">
            <a:hlinkClick xmlns:r="http://schemas.openxmlformats.org/officeDocument/2006/relationships" r:id="rId7"/>
          </xdr:cNvPr>
          <xdr:cNvSpPr txBox="1">
            <a:spLocks noChangeArrowheads="1"/>
          </xdr:cNvSpPr>
        </xdr:nvSpPr>
        <xdr:spPr bwMode="auto">
          <a:xfrm>
            <a:off x="15" y="224"/>
            <a:ext cx="148"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Cost of Service</a:t>
            </a:r>
          </a:p>
        </xdr:txBody>
      </xdr:sp>
      <xdr:pic>
        <xdr:nvPicPr>
          <xdr:cNvPr id="7149749" name="Picture 14" descr="Another Button copy">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68"/>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9887" name="Text Box 15">
            <a:hlinkClick xmlns:r="http://schemas.openxmlformats.org/officeDocument/2006/relationships" r:id="rId8"/>
          </xdr:cNvPr>
          <xdr:cNvSpPr txBox="1">
            <a:spLocks noChangeArrowheads="1"/>
          </xdr:cNvSpPr>
        </xdr:nvSpPr>
        <xdr:spPr bwMode="auto">
          <a:xfrm>
            <a:off x="11" y="268"/>
            <a:ext cx="153"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Rate Design</a:t>
            </a:r>
          </a:p>
        </xdr:txBody>
      </xdr:sp>
      <xdr:pic>
        <xdr:nvPicPr>
          <xdr:cNvPr id="7149751" name="Picture 1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12"/>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9889" name="Text Box 17">
            <a:hlinkClick xmlns:r="http://schemas.openxmlformats.org/officeDocument/2006/relationships" r:id="rId9"/>
          </xdr:cNvPr>
          <xdr:cNvSpPr txBox="1">
            <a:spLocks noChangeArrowheads="1"/>
          </xdr:cNvSpPr>
        </xdr:nvSpPr>
        <xdr:spPr bwMode="auto">
          <a:xfrm>
            <a:off x="11" y="312"/>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Control / Other</a:t>
            </a:r>
          </a:p>
        </xdr:txBody>
      </xdr:sp>
      <xdr:pic>
        <xdr:nvPicPr>
          <xdr:cNvPr id="7149753" name="Picture 18" descr="Logo vert 293 reversed"/>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 y="472"/>
            <a:ext cx="158" cy="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49754" name="Picture 19" descr="Another Button copy">
            <a:hlinkClick xmlns:r="http://schemas.openxmlformats.org/officeDocument/2006/relationships" r:id="rId1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57"/>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79892" name="Text Box 20">
            <a:hlinkClick xmlns:r="http://schemas.openxmlformats.org/officeDocument/2006/relationships" r:id="rId11"/>
          </xdr:cNvPr>
          <xdr:cNvSpPr txBox="1">
            <a:spLocks noChangeArrowheads="1"/>
          </xdr:cNvSpPr>
        </xdr:nvSpPr>
        <xdr:spPr bwMode="auto">
          <a:xfrm>
            <a:off x="12" y="357"/>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Support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9525</xdr:colOff>
      <xdr:row>0</xdr:row>
      <xdr:rowOff>0</xdr:rowOff>
    </xdr:from>
    <xdr:to>
      <xdr:col>0</xdr:col>
      <xdr:colOff>1714500</xdr:colOff>
      <xdr:row>23</xdr:row>
      <xdr:rowOff>114300</xdr:rowOff>
    </xdr:to>
    <xdr:grpSp>
      <xdr:nvGrpSpPr>
        <xdr:cNvPr id="7150760" name="Group 1"/>
        <xdr:cNvGrpSpPr>
          <a:grpSpLocks/>
        </xdr:cNvGrpSpPr>
      </xdr:nvGrpSpPr>
      <xdr:grpSpPr bwMode="auto">
        <a:xfrm>
          <a:off x="9525" y="0"/>
          <a:ext cx="1704975" cy="4972050"/>
          <a:chOff x="1" y="0"/>
          <a:chExt cx="179" cy="522"/>
        </a:xfrm>
      </xdr:grpSpPr>
      <xdr:pic>
        <xdr:nvPicPr>
          <xdr:cNvPr id="7150761" name="Picture 2"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80899" name="Text Box 3">
            <a:hlinkClick xmlns:r="http://schemas.openxmlformats.org/officeDocument/2006/relationships" r:id="rId1"/>
          </xdr:cNvPr>
          <xdr:cNvSpPr txBox="1">
            <a:spLocks noChangeArrowheads="1"/>
          </xdr:cNvSpPr>
        </xdr:nvSpPr>
        <xdr:spPr bwMode="auto">
          <a:xfrm>
            <a:off x="32" y="1"/>
            <a:ext cx="118"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Main</a:t>
            </a:r>
          </a:p>
        </xdr:txBody>
      </xdr:sp>
      <xdr:pic>
        <xdr:nvPicPr>
          <xdr:cNvPr id="7150763" name="Picture 4"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80901" name="Text Box 5">
            <a:hlinkClick xmlns:r="http://schemas.openxmlformats.org/officeDocument/2006/relationships" r:id="rId3"/>
          </xdr:cNvPr>
          <xdr:cNvSpPr txBox="1">
            <a:spLocks noChangeArrowheads="1"/>
          </xdr:cNvSpPr>
        </xdr:nvSpPr>
        <xdr:spPr bwMode="auto">
          <a:xfrm>
            <a:off x="28" y="45"/>
            <a:ext cx="124"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Home</a:t>
            </a:r>
          </a:p>
        </xdr:txBody>
      </xdr:sp>
      <xdr:pic>
        <xdr:nvPicPr>
          <xdr:cNvPr id="7150765" name="Picture 6"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9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80903" name="Text Box 7">
            <a:hlinkClick xmlns:r="http://schemas.openxmlformats.org/officeDocument/2006/relationships" r:id="rId4"/>
          </xdr:cNvPr>
          <xdr:cNvSpPr txBox="1">
            <a:spLocks noChangeArrowheads="1"/>
          </xdr:cNvSpPr>
        </xdr:nvSpPr>
        <xdr:spPr bwMode="auto">
          <a:xfrm>
            <a:off x="31" y="90"/>
            <a:ext cx="120"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a:t>
            </a:r>
          </a:p>
        </xdr:txBody>
      </xdr:sp>
      <xdr:pic>
        <xdr:nvPicPr>
          <xdr:cNvPr id="7150767" name="Picture 8"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3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80905" name="Text Box 9">
            <a:hlinkClick xmlns:r="http://schemas.openxmlformats.org/officeDocument/2006/relationships" r:id="rId5"/>
          </xdr:cNvPr>
          <xdr:cNvSpPr txBox="1">
            <a:spLocks noChangeArrowheads="1"/>
          </xdr:cNvSpPr>
        </xdr:nvSpPr>
        <xdr:spPr bwMode="auto">
          <a:xfrm>
            <a:off x="5" y="135"/>
            <a:ext cx="163" cy="40"/>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 Requirements</a:t>
            </a:r>
          </a:p>
        </xdr:txBody>
      </xdr:sp>
      <xdr:pic>
        <xdr:nvPicPr>
          <xdr:cNvPr id="7150769" name="Picture 10"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8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80907" name="Text Box 11">
            <a:hlinkClick xmlns:r="http://schemas.openxmlformats.org/officeDocument/2006/relationships" r:id="rId6"/>
          </xdr:cNvPr>
          <xdr:cNvSpPr txBox="1">
            <a:spLocks noChangeArrowheads="1"/>
          </xdr:cNvSpPr>
        </xdr:nvSpPr>
        <xdr:spPr bwMode="auto">
          <a:xfrm>
            <a:off x="14" y="180"/>
            <a:ext cx="152"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Financial Forecast</a:t>
            </a:r>
          </a:p>
        </xdr:txBody>
      </xdr:sp>
      <xdr:pic>
        <xdr:nvPicPr>
          <xdr:cNvPr id="7150771" name="Picture 12"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24"/>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80909" name="Text Box 13">
            <a:hlinkClick xmlns:r="http://schemas.openxmlformats.org/officeDocument/2006/relationships" r:id="rId7"/>
          </xdr:cNvPr>
          <xdr:cNvSpPr txBox="1">
            <a:spLocks noChangeArrowheads="1"/>
          </xdr:cNvSpPr>
        </xdr:nvSpPr>
        <xdr:spPr bwMode="auto">
          <a:xfrm>
            <a:off x="15" y="224"/>
            <a:ext cx="148"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Cost of Service</a:t>
            </a:r>
          </a:p>
        </xdr:txBody>
      </xdr:sp>
      <xdr:pic>
        <xdr:nvPicPr>
          <xdr:cNvPr id="7150773" name="Picture 14" descr="Another Button copy">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68"/>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80911" name="Text Box 15">
            <a:hlinkClick xmlns:r="http://schemas.openxmlformats.org/officeDocument/2006/relationships" r:id="rId8"/>
          </xdr:cNvPr>
          <xdr:cNvSpPr txBox="1">
            <a:spLocks noChangeArrowheads="1"/>
          </xdr:cNvSpPr>
        </xdr:nvSpPr>
        <xdr:spPr bwMode="auto">
          <a:xfrm>
            <a:off x="11" y="268"/>
            <a:ext cx="153"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Rate Design</a:t>
            </a:r>
          </a:p>
        </xdr:txBody>
      </xdr:sp>
      <xdr:pic>
        <xdr:nvPicPr>
          <xdr:cNvPr id="7150775" name="Picture 16"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12"/>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80913" name="Text Box 17">
            <a:hlinkClick xmlns:r="http://schemas.openxmlformats.org/officeDocument/2006/relationships" r:id="rId9"/>
          </xdr:cNvPr>
          <xdr:cNvSpPr txBox="1">
            <a:spLocks noChangeArrowheads="1"/>
          </xdr:cNvSpPr>
        </xdr:nvSpPr>
        <xdr:spPr bwMode="auto">
          <a:xfrm>
            <a:off x="11" y="312"/>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Control / Other</a:t>
            </a:r>
          </a:p>
        </xdr:txBody>
      </xdr:sp>
      <xdr:pic>
        <xdr:nvPicPr>
          <xdr:cNvPr id="7150777" name="Picture 18" descr="Logo vert 293 reversed"/>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 y="472"/>
            <a:ext cx="158" cy="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50778" name="Picture 19" descr="Another Button copy">
            <a:hlinkClick xmlns:r="http://schemas.openxmlformats.org/officeDocument/2006/relationships" r:id="rId1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57"/>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80916" name="Text Box 20">
            <a:hlinkClick xmlns:r="http://schemas.openxmlformats.org/officeDocument/2006/relationships" r:id="rId11"/>
          </xdr:cNvPr>
          <xdr:cNvSpPr txBox="1">
            <a:spLocks noChangeArrowheads="1"/>
          </xdr:cNvSpPr>
        </xdr:nvSpPr>
        <xdr:spPr bwMode="auto">
          <a:xfrm>
            <a:off x="12" y="357"/>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Support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9525</xdr:colOff>
      <xdr:row>0</xdr:row>
      <xdr:rowOff>0</xdr:rowOff>
    </xdr:from>
    <xdr:to>
      <xdr:col>1</xdr:col>
      <xdr:colOff>0</xdr:colOff>
      <xdr:row>23</xdr:row>
      <xdr:rowOff>114300</xdr:rowOff>
    </xdr:to>
    <xdr:grpSp>
      <xdr:nvGrpSpPr>
        <xdr:cNvPr id="7151784" name="Group 4"/>
        <xdr:cNvGrpSpPr>
          <a:grpSpLocks/>
        </xdr:cNvGrpSpPr>
      </xdr:nvGrpSpPr>
      <xdr:grpSpPr bwMode="auto">
        <a:xfrm>
          <a:off x="9525" y="0"/>
          <a:ext cx="1704975" cy="4972050"/>
          <a:chOff x="1" y="0"/>
          <a:chExt cx="179" cy="522"/>
        </a:xfrm>
      </xdr:grpSpPr>
      <xdr:pic>
        <xdr:nvPicPr>
          <xdr:cNvPr id="7151785" name="Picture 5" descr="Another Button copy">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2054" name="Text Box 6">
            <a:hlinkClick xmlns:r="http://schemas.openxmlformats.org/officeDocument/2006/relationships" r:id="rId1"/>
          </xdr:cNvPr>
          <xdr:cNvSpPr txBox="1">
            <a:spLocks noChangeArrowheads="1"/>
          </xdr:cNvSpPr>
        </xdr:nvSpPr>
        <xdr:spPr bwMode="auto">
          <a:xfrm>
            <a:off x="32" y="1"/>
            <a:ext cx="118"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Main</a:t>
            </a:r>
          </a:p>
        </xdr:txBody>
      </xdr:sp>
      <xdr:pic>
        <xdr:nvPicPr>
          <xdr:cNvPr id="7151787" name="Picture 7" descr="Another Button copy">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2056" name="Text Box 8">
            <a:hlinkClick xmlns:r="http://schemas.openxmlformats.org/officeDocument/2006/relationships" r:id="rId3"/>
          </xdr:cNvPr>
          <xdr:cNvSpPr txBox="1">
            <a:spLocks noChangeArrowheads="1"/>
          </xdr:cNvSpPr>
        </xdr:nvSpPr>
        <xdr:spPr bwMode="auto">
          <a:xfrm>
            <a:off x="28" y="45"/>
            <a:ext cx="124" cy="41"/>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Home</a:t>
            </a:r>
          </a:p>
        </xdr:txBody>
      </xdr:sp>
      <xdr:pic>
        <xdr:nvPicPr>
          <xdr:cNvPr id="7151789" name="Picture 9" descr="Another Button copy">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9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2058" name="Text Box 10">
            <a:hlinkClick xmlns:r="http://schemas.openxmlformats.org/officeDocument/2006/relationships" r:id="rId4"/>
          </xdr:cNvPr>
          <xdr:cNvSpPr txBox="1">
            <a:spLocks noChangeArrowheads="1"/>
          </xdr:cNvSpPr>
        </xdr:nvSpPr>
        <xdr:spPr bwMode="auto">
          <a:xfrm>
            <a:off x="31" y="90"/>
            <a:ext cx="120"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a:t>
            </a:r>
          </a:p>
        </xdr:txBody>
      </xdr:sp>
      <xdr:pic>
        <xdr:nvPicPr>
          <xdr:cNvPr id="7151791" name="Picture 11" descr="Another Button copy">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35"/>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2060" name="Text Box 12">
            <a:hlinkClick xmlns:r="http://schemas.openxmlformats.org/officeDocument/2006/relationships" r:id="rId5"/>
          </xdr:cNvPr>
          <xdr:cNvSpPr txBox="1">
            <a:spLocks noChangeArrowheads="1"/>
          </xdr:cNvSpPr>
        </xdr:nvSpPr>
        <xdr:spPr bwMode="auto">
          <a:xfrm>
            <a:off x="5" y="135"/>
            <a:ext cx="163" cy="40"/>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Revenue Requirements</a:t>
            </a:r>
          </a:p>
        </xdr:txBody>
      </xdr:sp>
      <xdr:pic>
        <xdr:nvPicPr>
          <xdr:cNvPr id="7151793" name="Picture 13" descr="Another Button copy">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80"/>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2062" name="Text Box 14">
            <a:hlinkClick xmlns:r="http://schemas.openxmlformats.org/officeDocument/2006/relationships" r:id="rId6"/>
          </xdr:cNvPr>
          <xdr:cNvSpPr txBox="1">
            <a:spLocks noChangeArrowheads="1"/>
          </xdr:cNvSpPr>
        </xdr:nvSpPr>
        <xdr:spPr bwMode="auto">
          <a:xfrm>
            <a:off x="14" y="180"/>
            <a:ext cx="152"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Financial Forecast</a:t>
            </a:r>
          </a:p>
        </xdr:txBody>
      </xdr:sp>
      <xdr:pic>
        <xdr:nvPicPr>
          <xdr:cNvPr id="7151795" name="Picture 15" descr="Another Button copy">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24"/>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2064" name="Text Box 16">
            <a:hlinkClick xmlns:r="http://schemas.openxmlformats.org/officeDocument/2006/relationships" r:id="rId7"/>
          </xdr:cNvPr>
          <xdr:cNvSpPr txBox="1">
            <a:spLocks noChangeArrowheads="1"/>
          </xdr:cNvSpPr>
        </xdr:nvSpPr>
        <xdr:spPr bwMode="auto">
          <a:xfrm>
            <a:off x="15" y="224"/>
            <a:ext cx="148"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Cost of Service</a:t>
            </a:r>
          </a:p>
        </xdr:txBody>
      </xdr:sp>
      <xdr:pic>
        <xdr:nvPicPr>
          <xdr:cNvPr id="7151797" name="Picture 17" descr="Another Button copy">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68"/>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2066" name="Text Box 18">
            <a:hlinkClick xmlns:r="http://schemas.openxmlformats.org/officeDocument/2006/relationships" r:id="rId8"/>
          </xdr:cNvPr>
          <xdr:cNvSpPr txBox="1">
            <a:spLocks noChangeArrowheads="1"/>
          </xdr:cNvSpPr>
        </xdr:nvSpPr>
        <xdr:spPr bwMode="auto">
          <a:xfrm>
            <a:off x="11" y="268"/>
            <a:ext cx="153"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Rate Design</a:t>
            </a:r>
          </a:p>
        </xdr:txBody>
      </xdr:sp>
      <xdr:pic>
        <xdr:nvPicPr>
          <xdr:cNvPr id="7151799" name="Picture 19" descr="Another Button copy">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12"/>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2068" name="Text Box 20">
            <a:hlinkClick xmlns:r="http://schemas.openxmlformats.org/officeDocument/2006/relationships" r:id="rId9"/>
          </xdr:cNvPr>
          <xdr:cNvSpPr txBox="1">
            <a:spLocks noChangeArrowheads="1"/>
          </xdr:cNvSpPr>
        </xdr:nvSpPr>
        <xdr:spPr bwMode="auto">
          <a:xfrm>
            <a:off x="11" y="312"/>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Control / Other</a:t>
            </a:r>
          </a:p>
        </xdr:txBody>
      </xdr:sp>
      <xdr:pic>
        <xdr:nvPicPr>
          <xdr:cNvPr id="7151801" name="Picture 21" descr="Logo vert 293 reversed"/>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 y="472"/>
            <a:ext cx="158" cy="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pic>
        <xdr:nvPicPr>
          <xdr:cNvPr id="7151802" name="Picture 22" descr="Another Button copy">
            <a:hlinkClick xmlns:r="http://schemas.openxmlformats.org/officeDocument/2006/relationships" r:id="rId1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57"/>
            <a:ext cx="179" cy="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sp macro="" textlink="">
        <xdr:nvSpPr>
          <xdr:cNvPr id="2071" name="Text Box 23">
            <a:hlinkClick xmlns:r="http://schemas.openxmlformats.org/officeDocument/2006/relationships" r:id="rId11"/>
          </xdr:cNvPr>
          <xdr:cNvSpPr txBox="1">
            <a:spLocks noChangeArrowheads="1"/>
          </xdr:cNvSpPr>
        </xdr:nvSpPr>
        <xdr:spPr bwMode="auto">
          <a:xfrm>
            <a:off x="12" y="357"/>
            <a:ext cx="156" cy="42"/>
          </a:xfrm>
          <a:prstGeom prst="rect">
            <a:avLst/>
          </a:prstGeom>
          <a:noFill/>
          <a:ln w="9525" algn="ctr">
            <a:noFill/>
            <a:miter lim="800000"/>
            <a:headEnd/>
            <a:tailEnd/>
          </a:ln>
          <a:effectLst/>
        </xdr:spPr>
        <xdr:txBody>
          <a:bodyPr vertOverflow="clip" wrap="square" lIns="0" tIns="0" rIns="0" bIns="0" anchor="ctr" upright="1"/>
          <a:lstStyle/>
          <a:p>
            <a:pPr algn="ctr" rtl="0">
              <a:defRPr sz="1000"/>
            </a:pPr>
            <a:r>
              <a:rPr lang="en-US" sz="1200" b="1" i="0" u="none" strike="noStrike" baseline="0">
                <a:solidFill>
                  <a:srgbClr val="FFFFFF"/>
                </a:solidFill>
                <a:latin typeface="Arial"/>
                <a:cs typeface="Arial"/>
              </a:rPr>
              <a:t>Support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pts\Strategic%20Planning\FINANCE\RFlan\LoadForecast\Historical%20Weather%20Info%20for%20Central%20Basin%201980-20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Finance\prodgrou\DERIVATI\BOILER\2008%20BOILERPLATE\Databases\LIBOR%20&amp;%20TREASURI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lient\MWD\MWD%20Meetings\2009-May\Update%20Charts%20(5-20-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aci-fs-06\shared\EnergyServices\Brownsville\Electric\2002%20study\Brvll01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HDD&amp;CDD"/>
      <sheetName val="DEGREE"/>
      <sheetName val="Project Costs Comp"/>
    </sheetNames>
    <sheetDataSet>
      <sheetData sheetId="0"/>
      <sheetData sheetId="1" refreshError="1"/>
      <sheetData sheetId="2" refreshError="1"/>
      <sheetData sheetId="3">
        <row r="3">
          <cell r="V3">
            <v>1980</v>
          </cell>
        </row>
        <row r="11">
          <cell r="B11" t="str">
            <v>JAN</v>
          </cell>
          <cell r="C11" t="str">
            <v>FEB</v>
          </cell>
          <cell r="D11" t="str">
            <v>MAR</v>
          </cell>
          <cell r="E11" t="str">
            <v>APR</v>
          </cell>
          <cell r="F11" t="str">
            <v>MAY</v>
          </cell>
          <cell r="G11" t="str">
            <v>JUN</v>
          </cell>
          <cell r="H11" t="str">
            <v>JUL</v>
          </cell>
          <cell r="I11" t="str">
            <v>AUG</v>
          </cell>
          <cell r="J11" t="str">
            <v>SEP</v>
          </cell>
          <cell r="K11" t="str">
            <v>OCT</v>
          </cell>
          <cell r="L11" t="str">
            <v>NOV</v>
          </cell>
          <cell r="M11" t="str">
            <v>DEC</v>
          </cell>
        </row>
        <row r="18">
          <cell r="A18">
            <v>2002</v>
          </cell>
          <cell r="B18">
            <v>922.5</v>
          </cell>
          <cell r="C18">
            <v>799</v>
          </cell>
          <cell r="D18">
            <v>800.1</v>
          </cell>
          <cell r="E18">
            <v>433.9</v>
          </cell>
          <cell r="F18">
            <v>254.7</v>
          </cell>
          <cell r="G18">
            <v>58.5</v>
          </cell>
          <cell r="H18">
            <v>5.3</v>
          </cell>
          <cell r="I18">
            <v>8.9</v>
          </cell>
          <cell r="J18">
            <v>92.7</v>
          </cell>
          <cell r="K18">
            <v>469.6</v>
          </cell>
          <cell r="L18">
            <v>757.5</v>
          </cell>
          <cell r="M18">
            <v>901.9</v>
          </cell>
        </row>
        <row r="21">
          <cell r="A21">
            <v>1999</v>
          </cell>
          <cell r="B21">
            <v>927.9</v>
          </cell>
          <cell r="C21">
            <v>750.6</v>
          </cell>
          <cell r="D21">
            <v>670.1</v>
          </cell>
          <cell r="E21">
            <v>448.4</v>
          </cell>
          <cell r="F21">
            <v>312</v>
          </cell>
          <cell r="G21">
            <v>95</v>
          </cell>
          <cell r="H21">
            <v>25.1</v>
          </cell>
          <cell r="I21">
            <v>20.100000000000001</v>
          </cell>
          <cell r="J21">
            <v>89</v>
          </cell>
          <cell r="K21">
            <v>424</v>
          </cell>
          <cell r="L21">
            <v>643.5</v>
          </cell>
          <cell r="M21">
            <v>911.9</v>
          </cell>
        </row>
        <row r="22">
          <cell r="B22">
            <v>1040.7</v>
          </cell>
          <cell r="C22">
            <v>700.8</v>
          </cell>
          <cell r="D22">
            <v>615.9</v>
          </cell>
          <cell r="E22">
            <v>394.6</v>
          </cell>
          <cell r="F22">
            <v>203.3</v>
          </cell>
          <cell r="G22">
            <v>19.3</v>
          </cell>
          <cell r="H22">
            <v>0</v>
          </cell>
          <cell r="I22">
            <v>2.2999999999999998</v>
          </cell>
          <cell r="J22">
            <v>29.4</v>
          </cell>
          <cell r="K22">
            <v>428.6</v>
          </cell>
          <cell r="L22">
            <v>683.1</v>
          </cell>
          <cell r="M22">
            <v>1079.9000000000001</v>
          </cell>
        </row>
        <row r="34">
          <cell r="A34" t="str">
            <v>AVG</v>
          </cell>
          <cell r="B34">
            <v>1052.8473684210528</v>
          </cell>
          <cell r="C34">
            <v>850.2</v>
          </cell>
          <cell r="D34">
            <v>654.6368421052631</v>
          </cell>
          <cell r="E34">
            <v>401.2421052631579</v>
          </cell>
          <cell r="F34">
            <v>198.3105263157895</v>
          </cell>
          <cell r="G34">
            <v>62.863157894736844</v>
          </cell>
          <cell r="H34">
            <v>8.5</v>
          </cell>
          <cell r="I34">
            <v>9.3055555555555536</v>
          </cell>
          <cell r="J34">
            <v>81.231578947368419</v>
          </cell>
          <cell r="K34">
            <v>409.92105263157896</v>
          </cell>
          <cell r="L34">
            <v>799.00000000000023</v>
          </cell>
          <cell r="M34">
            <v>1079.6894736842105</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OR"/>
      <sheetName val="TREAS"/>
      <sheetName val="MUNI YIELDS"/>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BAB Comparison (2)"/>
      <sheetName val="BAB Comparison"/>
      <sheetName val="Sheet1"/>
      <sheetName val="MWD Yield Graph"/>
      <sheetName val="MMD"/>
      <sheetName val="DS"/>
      <sheetName val="TREAS"/>
      <sheetName val="11-18-08"/>
      <sheetName val="Yield Curve"/>
      <sheetName val="Yield comparison"/>
    </sheetNames>
    <sheetDataSet>
      <sheetData sheetId="0"/>
      <sheetData sheetId="1"/>
      <sheetData sheetId="2"/>
      <sheetData sheetId="3"/>
      <sheetData sheetId="4"/>
      <sheetData sheetId="5"/>
      <sheetData sheetId="6"/>
      <sheetData sheetId="7">
        <row r="5">
          <cell r="A5" t="e">
            <v>#NAME?</v>
          </cell>
        </row>
      </sheetData>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WRev"/>
      <sheetName val="SRev"/>
      <sheetName val="OandM"/>
      <sheetName val="CFlow"/>
      <sheetName val="WAlloc"/>
      <sheetName val="WCOS"/>
      <sheetName val="SAlloc"/>
      <sheetName val="SCOS"/>
      <sheetName val="WRates"/>
      <sheetName val="SRates"/>
      <sheetName val="Report"/>
      <sheetName val="Brvll01l"/>
    </sheetNames>
    <sheetDataSet>
      <sheetData sheetId="0">
        <row r="12">
          <cell r="C12">
            <v>2002</v>
          </cell>
          <cell r="F12" t="str">
            <v>File: Brvll01l</v>
          </cell>
        </row>
        <row r="18">
          <cell r="E18" t="str">
            <v>DRAFT - For Discussion Only</v>
          </cell>
        </row>
        <row r="270">
          <cell r="E270" t="str">
            <v>December 12, 2001    3:53 p.m.</v>
          </cell>
        </row>
        <row r="281">
          <cell r="D281">
            <v>-2</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tables/table1.xml><?xml version="1.0" encoding="utf-8"?>
<table xmlns="http://schemas.openxmlformats.org/spreadsheetml/2006/main" id="3" name="Table24" displayName="Table24" ref="A1:AM154" totalsRowShown="0" headerRowDxfId="90" dataDxfId="88" headerRowBorderDxfId="89" tableBorderDxfId="87">
  <autoFilter ref="A1:AM154">
    <filterColumn colId="7">
      <filters>
        <filter val="100"/>
      </filters>
    </filterColumn>
  </autoFilter>
  <sortState ref="A2:AT150">
    <sortCondition ref="B1:B150"/>
  </sortState>
  <tableColumns count="39">
    <tableColumn id="1" name="Year" dataDxfId="86"/>
    <tableColumn id="2" name="Div" dataDxfId="85"/>
    <tableColumn id="3" name="#" dataDxfId="84"/>
    <tableColumn id="4" name="Capital ID Number" dataDxfId="83">
      <calculatedColumnFormula>CONCATENATE(B2,"-",C2,"-",A2)</calculatedColumnFormula>
    </tableColumn>
    <tableColumn id="5" name="Pool" dataDxfId="82"/>
    <tableColumn id="6" name="CAF" dataDxfId="81"/>
    <tableColumn id="7" name="Date Approved" dataDxfId="80"/>
    <tableColumn id="9" name="Systym Alloc % Electric" dataDxfId="79"/>
    <tableColumn id="10" name="System Alloc % PRP" dataDxfId="78"/>
    <tableColumn id="48" name="General Catetory" dataDxfId="77"/>
    <tableColumn id="47" name="OS Category" dataDxfId="76"/>
    <tableColumn id="11" name="Useful Life" dataDxfId="75"/>
    <tableColumn id="12" name="Capital Project" dataDxfId="74"/>
    <tableColumn id="13" name="Description" dataDxfId="73"/>
    <tableColumn id="14" name="Project Contract" dataDxfId="72"/>
    <tableColumn id="15" name="Budgetary PID" dataDxfId="71"/>
    <tableColumn id="16" name="PID" dataDxfId="70"/>
    <tableColumn id="17" name="Project Manager" dataDxfId="69"/>
    <tableColumn id="20" name="Start Date" dataDxfId="68"/>
    <tableColumn id="21" name="End Date" dataDxfId="67"/>
    <tableColumn id="18" name="Priority Ranking" dataDxfId="66"/>
    <tableColumn id="19" name="Matrix Ranking" dataDxfId="65"/>
    <tableColumn id="22" name="2016" dataDxfId="64"/>
    <tableColumn id="23" name="2017" dataDxfId="63"/>
    <tableColumn id="24" name="2018" dataDxfId="62"/>
    <tableColumn id="25" name="2019" dataDxfId="61"/>
    <tableColumn id="26" name="2020" dataDxfId="60"/>
    <tableColumn id="27" name="2021" dataDxfId="59"/>
    <tableColumn id="28" name="2022" dataDxfId="58"/>
    <tableColumn id="29" name="2023" dataDxfId="57"/>
    <tableColumn id="30" name="2024" dataDxfId="56"/>
    <tableColumn id="31" name="2025" dataDxfId="55"/>
    <tableColumn id="32" name="2026" dataDxfId="54"/>
    <tableColumn id="33" name="10Year Total" dataDxfId="53">
      <calculatedColumnFormula>SUM(W2:AG2)</calculatedColumnFormula>
    </tableColumn>
    <tableColumn id="34" name="2027" dataDxfId="52"/>
    <tableColumn id="35" name="2028" dataDxfId="51"/>
    <tableColumn id="36" name="2029" dataDxfId="50"/>
    <tableColumn id="37" name="Total" dataDxfId="49" dataCellStyle="Comma">
      <calculatedColumnFormula>SUM(AH2:AK2)</calculatedColumnFormula>
    </tableColumn>
    <tableColumn id="38" name="Notes" dataDxfId="48"/>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Black &amp; Veatch">
      <a:dk1>
        <a:sysClr val="windowText" lastClr="000000"/>
      </a:dk1>
      <a:lt1>
        <a:sysClr val="window" lastClr="FFFFFF"/>
      </a:lt1>
      <a:dk2>
        <a:srgbClr val="1F497D"/>
      </a:dk2>
      <a:lt2>
        <a:srgbClr val="EEECE1"/>
      </a:lt2>
      <a:accent1>
        <a:srgbClr val="00A2E5"/>
      </a:accent1>
      <a:accent2>
        <a:srgbClr val="ADC32B"/>
      </a:accent2>
      <a:accent3>
        <a:srgbClr val="5B5E5B"/>
      </a:accent3>
      <a:accent4>
        <a:srgbClr val="F4C905"/>
      </a:accent4>
      <a:accent5>
        <a:srgbClr val="BDBAB4"/>
      </a:accent5>
      <a:accent6>
        <a:srgbClr val="002B5C"/>
      </a:accent6>
      <a:hlink>
        <a:srgbClr val="899639"/>
      </a:hlink>
      <a:folHlink>
        <a:srgbClr val="00C5B5"/>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omments" Target="../comments1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4.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6.xml"/><Relationship Id="rId1" Type="http://schemas.openxmlformats.org/officeDocument/2006/relationships/printerSettings" Target="../printerSettings/printerSettings30.bin"/><Relationship Id="rId4"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9.xml"/><Relationship Id="rId1" Type="http://schemas.openxmlformats.org/officeDocument/2006/relationships/printerSettings" Target="../printerSettings/printerSettings33.bin"/><Relationship Id="rId4"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0.xml"/><Relationship Id="rId1" Type="http://schemas.openxmlformats.org/officeDocument/2006/relationships/printerSettings" Target="../printerSettings/printerSettings34.bin"/><Relationship Id="rId4"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3.xml"/><Relationship Id="rId1" Type="http://schemas.openxmlformats.org/officeDocument/2006/relationships/printerSettings" Target="../printerSettings/printerSettings37.bin"/><Relationship Id="rId4"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4.xml"/><Relationship Id="rId1" Type="http://schemas.openxmlformats.org/officeDocument/2006/relationships/printerSettings" Target="../printerSettings/printerSettings38.bin"/><Relationship Id="rId4"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5.xml"/><Relationship Id="rId1" Type="http://schemas.openxmlformats.org/officeDocument/2006/relationships/printerSettings" Target="../printerSettings/printerSettings39.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7.xml"/><Relationship Id="rId1" Type="http://schemas.openxmlformats.org/officeDocument/2006/relationships/printerSettings" Target="../printerSettings/printerSettings41.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42.xml"/><Relationship Id="rId1" Type="http://schemas.openxmlformats.org/officeDocument/2006/relationships/printerSettings" Target="../printerSettings/printerSettings46.bin"/><Relationship Id="rId4" Type="http://schemas.openxmlformats.org/officeDocument/2006/relationships/comments" Target="../comments22.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3" Type="http://schemas.openxmlformats.org/officeDocument/2006/relationships/hyperlink" Target="mailto:zieglerdj@bv.com" TargetMode="External"/><Relationship Id="rId2" Type="http://schemas.openxmlformats.org/officeDocument/2006/relationships/hyperlink" Target="mailto:brownc@bv.com" TargetMode="External"/><Relationship Id="rId1" Type="http://schemas.openxmlformats.org/officeDocument/2006/relationships/hyperlink" Target="mailto:Bradyrj@bv.com" TargetMode="External"/><Relationship Id="rId6" Type="http://schemas.openxmlformats.org/officeDocument/2006/relationships/drawing" Target="../drawings/drawing68.xml"/><Relationship Id="rId5" Type="http://schemas.openxmlformats.org/officeDocument/2006/relationships/printerSettings" Target="../printerSettings/printerSettings70.bin"/><Relationship Id="rId4" Type="http://schemas.openxmlformats.org/officeDocument/2006/relationships/hyperlink" Target="mailto:fisherms@bv.com"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fitToPage="1"/>
  </sheetPr>
  <dimension ref="A1:CN179"/>
  <sheetViews>
    <sheetView showGridLines="0" topLeftCell="A4" zoomScale="80" zoomScaleNormal="80" workbookViewId="0"/>
  </sheetViews>
  <sheetFormatPr defaultRowHeight="15.75" zeroHeight="1"/>
  <cols>
    <col min="1" max="1" width="22.625" customWidth="1"/>
    <col min="2" max="2" width="2.125" style="1" customWidth="1"/>
    <col min="24" max="24" width="18.625" customWidth="1"/>
    <col min="26" max="26" width="25.375" customWidth="1"/>
  </cols>
  <sheetData>
    <row r="1" spans="1:92">
      <c r="A1" s="411"/>
      <c r="B1" s="17"/>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row>
    <row r="2" spans="1:92" ht="15.75" customHeight="1">
      <c r="A2" s="411"/>
      <c r="B2" s="17"/>
      <c r="C2" s="4340" t="s">
        <v>981</v>
      </c>
      <c r="D2" s="4340"/>
      <c r="E2" s="4340"/>
      <c r="F2" s="4340"/>
      <c r="G2" s="4340"/>
      <c r="H2" s="4340"/>
      <c r="I2" s="4340"/>
      <c r="J2" s="4340"/>
      <c r="K2" s="4340"/>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row>
    <row r="3" spans="1:92" ht="15.75" customHeight="1">
      <c r="A3" s="411"/>
      <c r="B3" s="17"/>
      <c r="C3" s="4340"/>
      <c r="D3" s="4340"/>
      <c r="E3" s="4340"/>
      <c r="F3" s="4340"/>
      <c r="G3" s="4340"/>
      <c r="H3" s="4340"/>
      <c r="I3" s="4340"/>
      <c r="J3" s="4340"/>
      <c r="K3" s="434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row>
    <row r="4" spans="1:92" ht="15.75" customHeight="1">
      <c r="A4" s="411"/>
      <c r="B4" s="17"/>
      <c r="C4" s="4339" t="s">
        <v>3103</v>
      </c>
      <c r="D4" s="4339"/>
      <c r="E4" s="4339"/>
      <c r="F4" s="4339"/>
      <c r="G4" s="4339"/>
      <c r="H4" s="4339"/>
      <c r="I4" s="4339"/>
      <c r="J4" s="4339"/>
      <c r="K4" s="4339"/>
      <c r="L4" s="4339"/>
      <c r="M4" s="4339"/>
      <c r="N4" s="4339"/>
      <c r="O4" s="4339"/>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row>
    <row r="5" spans="1:92" ht="15.75" customHeight="1">
      <c r="A5" s="411"/>
      <c r="B5" s="17"/>
      <c r="C5" s="4339"/>
      <c r="D5" s="4339"/>
      <c r="E5" s="4339"/>
      <c r="F5" s="4339"/>
      <c r="G5" s="4339"/>
      <c r="H5" s="4339"/>
      <c r="I5" s="4339"/>
      <c r="J5" s="4339"/>
      <c r="K5" s="4339"/>
      <c r="L5" s="4339"/>
      <c r="M5" s="4339"/>
      <c r="N5" s="4339"/>
      <c r="O5" s="4339"/>
      <c r="P5" s="412"/>
      <c r="Q5" s="412"/>
      <c r="R5" s="412"/>
      <c r="S5" s="412"/>
      <c r="T5" s="412"/>
      <c r="U5" s="412"/>
      <c r="V5" s="412"/>
      <c r="W5" s="412"/>
      <c r="X5" s="412"/>
      <c r="Y5" s="412"/>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row>
    <row r="6" spans="1:92" ht="15.75" customHeight="1">
      <c r="A6" s="411"/>
      <c r="B6" s="17"/>
      <c r="C6" s="4339"/>
      <c r="D6" s="4339"/>
      <c r="E6" s="4339"/>
      <c r="F6" s="4339"/>
      <c r="G6" s="4339"/>
      <c r="H6" s="4339"/>
      <c r="I6" s="4339"/>
      <c r="J6" s="4339"/>
      <c r="K6" s="4339"/>
      <c r="L6" s="4339"/>
      <c r="M6" s="4339"/>
      <c r="N6" s="4339"/>
      <c r="O6" s="4339"/>
      <c r="P6" s="412"/>
      <c r="Q6" s="412"/>
      <c r="R6" s="412"/>
      <c r="S6" s="412"/>
      <c r="T6" s="412"/>
      <c r="U6" s="412"/>
      <c r="V6" s="412"/>
      <c r="W6" s="412"/>
      <c r="X6" s="412"/>
      <c r="Y6" s="412"/>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row>
    <row r="7" spans="1:92">
      <c r="A7" s="411"/>
      <c r="B7" s="17"/>
      <c r="C7" s="4339"/>
      <c r="D7" s="4339"/>
      <c r="E7" s="4339"/>
      <c r="F7" s="4339"/>
      <c r="G7" s="4339"/>
      <c r="H7" s="4339"/>
      <c r="I7" s="4339"/>
      <c r="J7" s="4339"/>
      <c r="K7" s="4339"/>
      <c r="L7" s="4339"/>
      <c r="M7" s="4339"/>
      <c r="N7" s="4339"/>
      <c r="O7" s="4339"/>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row>
    <row r="8" spans="1:92" ht="15.75" customHeight="1">
      <c r="A8" s="411"/>
      <c r="B8" s="17"/>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row>
    <row r="9" spans="1:92" ht="15.75" customHeight="1">
      <c r="A9" s="411"/>
      <c r="C9" s="1"/>
      <c r="D9" s="1"/>
      <c r="E9" s="413"/>
      <c r="F9" s="413"/>
      <c r="G9" s="413"/>
      <c r="H9" s="413"/>
      <c r="I9" s="413"/>
      <c r="J9" s="413"/>
      <c r="K9" s="413"/>
      <c r="L9" s="413"/>
      <c r="M9" s="413"/>
      <c r="N9" s="413"/>
      <c r="O9" s="413"/>
      <c r="P9" s="413"/>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row>
    <row r="10" spans="1:92">
      <c r="A10" s="41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row>
    <row r="11" spans="1:92">
      <c r="A11" s="41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row>
    <row r="12" spans="1:92">
      <c r="A12" s="41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row>
    <row r="13" spans="1:92">
      <c r="A13" s="41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row>
    <row r="14" spans="1:92">
      <c r="A14" s="41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row>
    <row r="15" spans="1:92">
      <c r="A15" s="41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row>
    <row r="16" spans="1:92">
      <c r="A16" s="411"/>
      <c r="C16" s="1"/>
      <c r="D16" s="1"/>
      <c r="E16" s="1"/>
      <c r="F16" s="1"/>
      <c r="G16" s="1"/>
      <c r="H16" s="1"/>
      <c r="I16" s="1"/>
      <c r="J16" s="1"/>
      <c r="K16" s="1"/>
      <c r="L16" s="1"/>
      <c r="M16" s="1"/>
      <c r="N16" s="1"/>
      <c r="O16" s="1"/>
      <c r="P16" s="1"/>
      <c r="Q16" s="1"/>
      <c r="R16" s="1"/>
      <c r="S16" s="1"/>
      <c r="T16" s="1"/>
      <c r="U16" s="1"/>
      <c r="V16" s="1"/>
      <c r="W16" s="1"/>
      <c r="X16" s="1"/>
      <c r="Y16" s="1"/>
      <c r="Z16" s="414" t="s">
        <v>367</v>
      </c>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row>
    <row r="17" spans="1:92">
      <c r="A17" s="411"/>
      <c r="C17" s="1"/>
      <c r="D17" s="1"/>
      <c r="E17" s="1"/>
      <c r="F17" s="1"/>
      <c r="G17" s="1"/>
      <c r="H17" s="1"/>
      <c r="I17" s="1"/>
      <c r="J17" s="1"/>
      <c r="K17" s="1"/>
      <c r="L17" s="1"/>
      <c r="M17" s="1"/>
      <c r="N17" s="1"/>
      <c r="O17" s="1"/>
      <c r="P17" s="1"/>
      <c r="Q17" s="1"/>
      <c r="R17" s="1"/>
      <c r="S17" s="1"/>
      <c r="T17" s="1"/>
      <c r="U17" s="1"/>
      <c r="V17" s="1"/>
      <c r="W17" s="1"/>
      <c r="X17" s="1"/>
      <c r="Y17" s="1"/>
      <c r="Z17" s="137" t="s">
        <v>368</v>
      </c>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row>
    <row r="18" spans="1:92">
      <c r="A18" s="411"/>
      <c r="C18" s="1"/>
      <c r="D18" s="1"/>
      <c r="E18" s="1"/>
      <c r="F18" s="1"/>
      <c r="G18" s="1"/>
      <c r="H18" s="1"/>
      <c r="I18" s="1"/>
      <c r="J18" s="1"/>
      <c r="K18" s="1"/>
      <c r="L18" s="1"/>
      <c r="M18" s="1"/>
      <c r="N18" s="1"/>
      <c r="O18" s="1"/>
      <c r="P18" s="1"/>
      <c r="Q18" s="1"/>
      <c r="R18" s="1"/>
      <c r="S18" s="1"/>
      <c r="T18" s="1"/>
      <c r="U18" s="1"/>
      <c r="V18" s="1"/>
      <c r="W18" s="1"/>
      <c r="X18" s="1"/>
      <c r="Y18" s="1"/>
      <c r="Z18" s="137" t="s">
        <v>369</v>
      </c>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row>
    <row r="19" spans="1:92">
      <c r="A19" s="411"/>
      <c r="C19" s="1"/>
      <c r="D19" s="1"/>
      <c r="E19" s="1"/>
      <c r="F19" s="1"/>
      <c r="G19" s="1"/>
      <c r="H19" s="1"/>
      <c r="I19" s="1"/>
      <c r="J19" s="1"/>
      <c r="K19" s="1"/>
      <c r="L19" s="1"/>
      <c r="M19" s="1"/>
      <c r="N19" s="1"/>
      <c r="O19" s="1"/>
      <c r="P19" s="1"/>
      <c r="Q19" s="1"/>
      <c r="R19" s="1"/>
      <c r="S19" s="1"/>
      <c r="T19" s="1"/>
      <c r="U19" s="1"/>
      <c r="V19" s="1"/>
      <c r="W19" s="1"/>
      <c r="X19" s="1"/>
      <c r="Y19" s="1"/>
      <c r="Z19" s="137" t="s">
        <v>861</v>
      </c>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row>
    <row r="20" spans="1:92">
      <c r="A20" s="411"/>
      <c r="C20" s="1"/>
      <c r="D20" s="1"/>
      <c r="E20" s="1"/>
      <c r="F20" s="1"/>
      <c r="G20" s="1"/>
      <c r="H20" s="1"/>
      <c r="I20" s="1"/>
      <c r="J20" s="1"/>
      <c r="K20" s="1"/>
      <c r="L20" s="1"/>
      <c r="M20" s="1"/>
      <c r="N20" s="1"/>
      <c r="O20" s="1"/>
      <c r="P20" s="1"/>
      <c r="Q20" s="1"/>
      <c r="R20" s="1"/>
      <c r="S20" s="1"/>
      <c r="T20" s="1"/>
      <c r="U20" s="1"/>
      <c r="V20" s="1"/>
      <c r="W20" s="1"/>
      <c r="X20" s="1"/>
      <c r="Y20" s="1"/>
      <c r="Z20" s="137" t="s">
        <v>616</v>
      </c>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row>
    <row r="21" spans="1:92">
      <c r="A21" s="411"/>
      <c r="C21" s="1"/>
      <c r="D21" s="1"/>
      <c r="E21" s="1"/>
      <c r="F21" s="1"/>
      <c r="G21" s="1"/>
      <c r="H21" s="1"/>
      <c r="I21" s="1"/>
      <c r="J21" s="1"/>
      <c r="K21" s="1"/>
      <c r="L21" s="1"/>
      <c r="M21" s="1"/>
      <c r="N21" s="1"/>
      <c r="O21" s="1"/>
      <c r="P21" s="1"/>
      <c r="Q21" s="1"/>
      <c r="R21" s="1"/>
      <c r="S21" s="1"/>
      <c r="T21" s="1"/>
      <c r="U21" s="1"/>
      <c r="V21" s="1"/>
      <c r="W21" s="1"/>
      <c r="X21" s="1"/>
      <c r="Y21" s="1"/>
      <c r="Z21" s="137" t="s">
        <v>370</v>
      </c>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row>
    <row r="22" spans="1:92">
      <c r="A22" s="411"/>
      <c r="C22" s="1"/>
      <c r="D22" s="1"/>
      <c r="E22" s="1"/>
      <c r="F22" s="1"/>
      <c r="G22" s="1"/>
      <c r="H22" s="1"/>
      <c r="I22" s="1"/>
      <c r="J22" s="1"/>
      <c r="K22" s="1"/>
      <c r="L22" s="1"/>
      <c r="M22" s="1"/>
      <c r="N22" s="1"/>
      <c r="O22" s="1"/>
      <c r="P22" s="1"/>
      <c r="Q22" s="1"/>
      <c r="R22" s="1"/>
      <c r="S22" s="1"/>
      <c r="T22" s="1"/>
      <c r="U22" s="1"/>
      <c r="V22" s="1"/>
      <c r="W22" s="1"/>
      <c r="X22" s="1"/>
      <c r="Y22" s="1"/>
      <c r="Z22" s="137" t="s">
        <v>167</v>
      </c>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row>
    <row r="23" spans="1:92">
      <c r="A23" s="411"/>
      <c r="C23" s="1"/>
      <c r="D23" s="1"/>
      <c r="E23" s="1"/>
      <c r="F23" s="1"/>
      <c r="G23" s="1"/>
      <c r="H23" s="1"/>
      <c r="I23" s="1"/>
      <c r="J23" s="1"/>
      <c r="K23" s="1"/>
      <c r="L23" s="1"/>
      <c r="M23" s="1"/>
      <c r="N23" s="1"/>
      <c r="O23" s="1"/>
      <c r="P23" s="1"/>
      <c r="Q23" s="1"/>
      <c r="R23" s="1"/>
      <c r="S23" s="1"/>
      <c r="T23" s="1"/>
      <c r="U23" s="1"/>
      <c r="V23" s="1"/>
      <c r="W23" s="1"/>
      <c r="X23" s="1"/>
      <c r="Y23" s="1"/>
      <c r="Z23" s="137" t="s">
        <v>371</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row>
    <row r="24" spans="1:92">
      <c r="A24" s="411"/>
      <c r="C24" s="1"/>
      <c r="D24" s="1"/>
      <c r="E24" s="1"/>
      <c r="F24" s="1"/>
      <c r="G24" s="1"/>
      <c r="H24" s="1"/>
      <c r="I24" s="1"/>
      <c r="J24" s="1"/>
      <c r="K24" s="1"/>
      <c r="L24" s="1"/>
      <c r="M24" s="1"/>
      <c r="N24" s="1"/>
      <c r="O24" s="1"/>
      <c r="P24" s="1"/>
      <c r="Q24" s="1"/>
      <c r="R24" s="1"/>
      <c r="S24" s="1"/>
      <c r="T24" s="1"/>
      <c r="U24" s="1"/>
      <c r="V24" s="1"/>
      <c r="W24" s="1"/>
      <c r="X24" s="1"/>
      <c r="Y24" s="1"/>
      <c r="Z24" s="137" t="s">
        <v>372</v>
      </c>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row>
    <row r="25" spans="1:92">
      <c r="A25" s="411"/>
      <c r="C25" s="1"/>
      <c r="D25" s="1"/>
      <c r="E25" s="1"/>
      <c r="F25" s="1"/>
      <c r="G25" s="1"/>
      <c r="H25" s="1"/>
      <c r="I25" s="1"/>
      <c r="J25" s="1"/>
      <c r="K25" s="1"/>
      <c r="L25" s="1"/>
      <c r="M25" s="1"/>
      <c r="N25" s="1"/>
      <c r="O25" s="1"/>
      <c r="P25" s="1"/>
      <c r="Q25" s="1"/>
      <c r="R25" s="1"/>
      <c r="S25" s="1"/>
      <c r="T25" s="1"/>
      <c r="U25" s="1"/>
      <c r="V25" s="1"/>
      <c r="W25" s="1"/>
      <c r="X25" s="1"/>
      <c r="Y25" s="1"/>
      <c r="Z25" s="137" t="s">
        <v>373</v>
      </c>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row>
    <row r="26" spans="1:92">
      <c r="A26" s="41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row>
    <row r="27" spans="1:92">
      <c r="A27" s="41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row>
    <row r="28" spans="1:92">
      <c r="A28" s="41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row>
    <row r="29" spans="1:92">
      <c r="A29" s="41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row>
    <row r="30" spans="1:92">
      <c r="A30" s="41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row>
    <row r="31" spans="1:92">
      <c r="A31" s="41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row>
    <row r="32" spans="1:92">
      <c r="A32" s="41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row>
    <row r="33" spans="1:92">
      <c r="A33" s="41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row>
    <row r="34" spans="1:92">
      <c r="A34" s="41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row>
    <row r="35" spans="1:92">
      <c r="A35" s="41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row>
    <row r="36" spans="1:92">
      <c r="A36" s="41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row>
    <row r="37" spans="1:92">
      <c r="A37" s="41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row>
    <row r="38" spans="1:92">
      <c r="A38" s="41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row>
    <row r="39" spans="1:92">
      <c r="A39" s="41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row>
    <row r="40" spans="1:92">
      <c r="A40" s="41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row>
    <row r="41" spans="1:92">
      <c r="A41" s="41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row>
    <row r="42" spans="1:92">
      <c r="A42" s="41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row>
    <row r="43" spans="1:92">
      <c r="A43" s="41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row>
    <row r="44" spans="1:92">
      <c r="A44" s="41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row>
    <row r="45" spans="1:92">
      <c r="A45" s="41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row>
    <row r="46" spans="1:92">
      <c r="A46" s="41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row>
    <row r="47" spans="1:92">
      <c r="A47" s="41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row>
    <row r="48" spans="1:92">
      <c r="A48" s="41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row>
    <row r="49" spans="1:92">
      <c r="A49" s="41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row>
    <row r="50" spans="1:92">
      <c r="A50" s="41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row>
    <row r="51" spans="1:92">
      <c r="A51" s="41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row>
    <row r="52" spans="1:92">
      <c r="A52" s="41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row>
    <row r="53" spans="1:92">
      <c r="A53" s="41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row>
    <row r="54" spans="1:92">
      <c r="A54" s="41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row>
    <row r="55" spans="1:92">
      <c r="A55" s="41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row>
    <row r="56" spans="1:92">
      <c r="A56" s="41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row>
    <row r="57" spans="1:92">
      <c r="A57" s="41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row>
    <row r="58" spans="1:92">
      <c r="A58" s="41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row>
    <row r="59" spans="1:92">
      <c r="A59" s="41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row>
    <row r="60" spans="1:92">
      <c r="A60" s="41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row>
    <row r="61" spans="1:92" hidden="1">
      <c r="A61" s="415"/>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row>
    <row r="62" spans="1:92" hidden="1">
      <c r="A62" s="415"/>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row>
    <row r="63" spans="1:92" hidden="1">
      <c r="A63" s="415"/>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row>
    <row r="64" spans="1:92" hidden="1">
      <c r="A64" s="415"/>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row>
    <row r="65" spans="1:92" hidden="1">
      <c r="A65" s="415"/>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row>
    <row r="66" spans="1:92" hidden="1">
      <c r="A66" s="415"/>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row>
    <row r="67" spans="1:92" hidden="1">
      <c r="A67" s="415"/>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row>
    <row r="68" spans="1:92" hidden="1">
      <c r="A68" s="415"/>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row>
    <row r="69" spans="1:92" hidden="1">
      <c r="A69" s="415"/>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row>
    <row r="70" spans="1:92" hidden="1">
      <c r="A70" s="415"/>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row>
    <row r="71" spans="1:92" hidden="1">
      <c r="A71" s="415"/>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row>
    <row r="72" spans="1:92" hidden="1">
      <c r="A72" s="415"/>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row>
    <row r="73" spans="1:92" hidden="1">
      <c r="A73" s="415"/>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row>
    <row r="74" spans="1:92" hidden="1">
      <c r="A74" s="415"/>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row>
    <row r="75" spans="1:92" hidden="1">
      <c r="A75" s="415"/>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row>
    <row r="76" spans="1:92" hidden="1">
      <c r="A76" s="415"/>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row>
    <row r="77" spans="1:92" hidden="1">
      <c r="A77" s="415"/>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row>
    <row r="78" spans="1:92" hidden="1">
      <c r="A78" s="415"/>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row>
    <row r="79" spans="1:92" hidden="1">
      <c r="A79" s="415"/>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row>
    <row r="80" spans="1:92" hidden="1">
      <c r="A80" s="415"/>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row>
    <row r="81" spans="1:92" hidden="1">
      <c r="A81" s="415"/>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row>
    <row r="82" spans="1:92" hidden="1">
      <c r="A82" s="415"/>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row>
    <row r="83" spans="1:92" hidden="1">
      <c r="A83" s="415"/>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row>
    <row r="84" spans="1:92" hidden="1">
      <c r="A84" s="415"/>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row>
    <row r="85" spans="1:92" hidden="1">
      <c r="A85" s="415"/>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row>
    <row r="86" spans="1:92" hidden="1">
      <c r="A86" s="415"/>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row>
    <row r="87" spans="1:92" hidden="1">
      <c r="A87" s="415"/>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row>
    <row r="88" spans="1:92" hidden="1">
      <c r="A88" s="415"/>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row>
    <row r="89" spans="1:92" hidden="1">
      <c r="A89" s="415"/>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row>
    <row r="90" spans="1:92" hidden="1">
      <c r="A90" s="415"/>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row>
    <row r="91" spans="1:92" hidden="1">
      <c r="A91" s="415"/>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row>
    <row r="92" spans="1:92" hidden="1">
      <c r="A92" s="415"/>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row>
    <row r="93" spans="1:92" hidden="1">
      <c r="A93" s="415"/>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row>
    <row r="94" spans="1:92" hidden="1">
      <c r="A94" s="415"/>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row>
    <row r="95" spans="1:92" hidden="1">
      <c r="A95" s="415"/>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row>
    <row r="96" spans="1:92" hidden="1">
      <c r="A96" s="415"/>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row>
    <row r="97" spans="1:92" hidden="1">
      <c r="A97" s="415"/>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row>
    <row r="98" spans="1:92" hidden="1">
      <c r="A98" s="415"/>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row>
    <row r="99" spans="1:92" hidden="1">
      <c r="A99" s="415"/>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row>
    <row r="100" spans="1:92" hidden="1">
      <c r="A100" s="415"/>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row>
    <row r="101" spans="1:92" hidden="1">
      <c r="A101" s="415"/>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row>
    <row r="102" spans="1:92" hidden="1">
      <c r="A102" s="415"/>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row>
    <row r="103" spans="1:92" hidden="1">
      <c r="A103" s="415"/>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row>
    <row r="104" spans="1:92" hidden="1">
      <c r="A104" s="415"/>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row>
    <row r="105" spans="1:92" hidden="1">
      <c r="A105" s="415"/>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row>
    <row r="106" spans="1:92" hidden="1">
      <c r="A106" s="415"/>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row>
    <row r="107" spans="1:92" hidden="1">
      <c r="A107" s="415"/>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row>
    <row r="108" spans="1:92" hidden="1">
      <c r="A108" s="415"/>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row>
    <row r="109" spans="1:92" hidden="1">
      <c r="A109" s="415"/>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row>
    <row r="110" spans="1:92" hidden="1">
      <c r="A110" s="415"/>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row>
    <row r="111" spans="1:92" hidden="1">
      <c r="A111" s="415"/>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row>
    <row r="112" spans="1:92" hidden="1">
      <c r="A112" s="415"/>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row>
    <row r="113" spans="1:92" hidden="1">
      <c r="A113" s="415"/>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row>
    <row r="114" spans="1:92" hidden="1">
      <c r="A114" s="415"/>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row>
    <row r="115" spans="1:92" hidden="1">
      <c r="A115" s="415"/>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row>
    <row r="116" spans="1:92" hidden="1">
      <c r="A116" s="415"/>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row>
    <row r="117" spans="1:92" hidden="1">
      <c r="A117" s="415"/>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row>
    <row r="118" spans="1:92" hidden="1">
      <c r="A118" s="415"/>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row>
    <row r="119" spans="1:92" hidden="1">
      <c r="A119" s="415"/>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row>
    <row r="120" spans="1:92" hidden="1">
      <c r="A120" s="415"/>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row>
    <row r="121" spans="1:92" hidden="1">
      <c r="A121" s="415"/>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row>
    <row r="122" spans="1:92" hidden="1">
      <c r="A122" s="415"/>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row>
    <row r="123" spans="1:92" hidden="1">
      <c r="A123" s="415"/>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row>
    <row r="124" spans="1:92" hidden="1">
      <c r="A124" s="415"/>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row>
    <row r="125" spans="1:92" hidden="1">
      <c r="A125" s="415"/>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row>
    <row r="126" spans="1:92" hidden="1">
      <c r="A126" s="415"/>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row>
    <row r="127" spans="1:92" hidden="1">
      <c r="A127" s="415"/>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row>
    <row r="128" spans="1:92" hidden="1">
      <c r="A128" s="415"/>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row>
    <row r="129" spans="1:92" hidden="1">
      <c r="A129" s="415"/>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row>
    <row r="130" spans="1:92" hidden="1">
      <c r="A130" s="415"/>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row>
    <row r="131" spans="1:92" hidden="1">
      <c r="A131" s="415"/>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row>
    <row r="132" spans="1:92" hidden="1">
      <c r="A132" s="415"/>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row>
    <row r="133" spans="1:92" hidden="1">
      <c r="A133" s="415"/>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row>
    <row r="134" spans="1:92" hidden="1">
      <c r="A134" s="415"/>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row>
    <row r="135" spans="1:92" hidden="1">
      <c r="A135" s="415"/>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row>
    <row r="136" spans="1:92" hidden="1">
      <c r="A136" s="415"/>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row>
    <row r="137" spans="1:92" hidden="1">
      <c r="A137" s="415"/>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row>
    <row r="138" spans="1:92" hidden="1">
      <c r="A138" s="415"/>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row>
    <row r="139" spans="1:92" hidden="1">
      <c r="A139" s="415"/>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row>
    <row r="140" spans="1:92" hidden="1">
      <c r="A140" s="415"/>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row>
    <row r="141" spans="1:92" hidden="1">
      <c r="A141" s="415"/>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row>
    <row r="142" spans="1:92" hidden="1">
      <c r="A142" s="415"/>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row>
    <row r="143" spans="1:92" hidden="1">
      <c r="A143" s="415"/>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row>
    <row r="144" spans="1:92" hidden="1">
      <c r="A144" s="415"/>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row>
    <row r="145" spans="1:92" hidden="1">
      <c r="A145" s="415"/>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row>
    <row r="146" spans="1:92" hidden="1">
      <c r="A146" s="415"/>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row>
    <row r="147" spans="1:92" hidden="1">
      <c r="A147" s="415"/>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row>
    <row r="148" spans="1:92" hidden="1">
      <c r="A148" s="415"/>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row>
    <row r="149" spans="1:92" hidden="1">
      <c r="A149" s="415"/>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row>
    <row r="150" spans="1:92" hidden="1">
      <c r="A150" s="415"/>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row>
    <row r="151" spans="1:92" hidden="1">
      <c r="A151" s="415"/>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row>
    <row r="152" spans="1:92" hidden="1">
      <c r="A152" s="415"/>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row>
    <row r="153" spans="1:92" hidden="1">
      <c r="A153" s="415"/>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row>
    <row r="154" spans="1:92" hidden="1">
      <c r="A154" s="415"/>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row>
    <row r="155" spans="1:92" hidden="1">
      <c r="A155" s="415"/>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row>
    <row r="156" spans="1:92" hidden="1">
      <c r="A156" s="415"/>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row>
    <row r="157" spans="1:92" hidden="1">
      <c r="A157" s="415"/>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row>
    <row r="158" spans="1:92" hidden="1">
      <c r="A158" s="415"/>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row>
    <row r="159" spans="1:92" hidden="1">
      <c r="A159" s="415"/>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row>
    <row r="160" spans="1:92" hidden="1">
      <c r="A160" s="415"/>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row>
    <row r="161" spans="1:92" hidden="1">
      <c r="A161" s="415"/>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row>
    <row r="162" spans="1:92" hidden="1">
      <c r="A162" s="415"/>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row>
    <row r="163" spans="1:92" hidden="1">
      <c r="A163" s="415"/>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row>
    <row r="164" spans="1:92" hidden="1">
      <c r="A164" s="415"/>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row>
    <row r="165" spans="1:92" hidden="1">
      <c r="A165" s="415"/>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row>
    <row r="166" spans="1:92" hidden="1">
      <c r="A166" s="415"/>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row>
    <row r="167" spans="1:92" hidden="1">
      <c r="A167" s="415"/>
    </row>
    <row r="168" spans="1:92" hidden="1">
      <c r="A168" s="415"/>
    </row>
    <row r="169" spans="1:92" hidden="1">
      <c r="A169" s="415"/>
    </row>
    <row r="170" spans="1:92" hidden="1">
      <c r="A170" s="415"/>
    </row>
    <row r="171" spans="1:92" hidden="1">
      <c r="A171" s="415"/>
    </row>
    <row r="172" spans="1:92" hidden="1">
      <c r="A172" s="415"/>
    </row>
    <row r="173" spans="1:92" hidden="1">
      <c r="A173" s="415"/>
    </row>
    <row r="174" spans="1:92" hidden="1">
      <c r="A174" s="415"/>
    </row>
    <row r="175" spans="1:92" hidden="1">
      <c r="A175" s="415"/>
    </row>
    <row r="176" spans="1:92" hidden="1">
      <c r="A176" s="415"/>
    </row>
    <row r="177" spans="1:1" hidden="1">
      <c r="A177" s="415"/>
    </row>
    <row r="178" spans="1:1" hidden="1">
      <c r="A178" s="415"/>
    </row>
    <row r="179" spans="1:1" hidden="1">
      <c r="A179" s="415"/>
    </row>
  </sheetData>
  <mergeCells count="3">
    <mergeCell ref="C4:O5"/>
    <mergeCell ref="C6:O7"/>
    <mergeCell ref="C2:K3"/>
  </mergeCells>
  <phoneticPr fontId="8" type="noConversion"/>
  <pageMargins left="0.75" right="0.75" top="1" bottom="1" header="0.5" footer="0.5"/>
  <pageSetup scale="7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J97"/>
  <sheetViews>
    <sheetView topLeftCell="A67" zoomScale="80" zoomScaleNormal="80" workbookViewId="0">
      <selection activeCell="X22" sqref="X22"/>
    </sheetView>
  </sheetViews>
  <sheetFormatPr defaultRowHeight="15.75"/>
  <cols>
    <col min="2" max="2" width="28.25" bestFit="1" customWidth="1"/>
    <col min="3" max="3" width="7.125" customWidth="1"/>
    <col min="4" max="4" width="13.25" customWidth="1"/>
    <col min="5" max="7" width="13.625" bestFit="1" customWidth="1"/>
    <col min="8" max="8" width="11.375" bestFit="1" customWidth="1"/>
    <col min="9" max="9" width="15.625" bestFit="1" customWidth="1"/>
    <col min="10" max="10" width="5" bestFit="1" customWidth="1"/>
  </cols>
  <sheetData>
    <row r="1" spans="1:7">
      <c r="A1" s="4344" t="s">
        <v>44</v>
      </c>
      <c r="B1" s="4345"/>
      <c r="C1" s="4345"/>
      <c r="D1" s="4345"/>
      <c r="E1" s="4345"/>
      <c r="F1" s="4345"/>
      <c r="G1" s="4346"/>
    </row>
    <row r="2" spans="1:7" ht="16.5" thickBot="1">
      <c r="A2" s="4347" t="s">
        <v>45</v>
      </c>
      <c r="B2" s="4356"/>
      <c r="C2" s="4356"/>
      <c r="D2" s="4356"/>
      <c r="E2" s="4356"/>
      <c r="F2" s="4356"/>
      <c r="G2" s="4357"/>
    </row>
    <row r="3" spans="1:7">
      <c r="A3" s="4358" t="s">
        <v>46</v>
      </c>
      <c r="B3" s="4359" t="s">
        <v>47</v>
      </c>
      <c r="C3" s="4359" t="s">
        <v>48</v>
      </c>
      <c r="D3" s="4350" t="s">
        <v>49</v>
      </c>
      <c r="E3" s="4359" t="s">
        <v>156</v>
      </c>
      <c r="F3" s="4360" t="s">
        <v>50</v>
      </c>
      <c r="G3" s="4361"/>
    </row>
    <row r="4" spans="1:7" ht="24">
      <c r="A4" s="4353"/>
      <c r="B4" s="4351"/>
      <c r="C4" s="4351"/>
      <c r="D4" s="4351"/>
      <c r="E4" s="4351"/>
      <c r="F4" s="636" t="s">
        <v>51</v>
      </c>
      <c r="G4" s="657" t="s">
        <v>52</v>
      </c>
    </row>
    <row r="5" spans="1:7" ht="13.5" customHeight="1">
      <c r="A5" s="637" t="s">
        <v>53</v>
      </c>
      <c r="B5" s="638" t="s">
        <v>13</v>
      </c>
      <c r="C5" s="639">
        <v>17444.333333333332</v>
      </c>
      <c r="D5" s="639">
        <v>17629</v>
      </c>
      <c r="E5" s="639">
        <v>368156439</v>
      </c>
      <c r="F5" s="640">
        <v>15052583.420000002</v>
      </c>
      <c r="G5" s="658">
        <v>15900110.209999999</v>
      </c>
    </row>
    <row r="6" spans="1:7" ht="13.5" customHeight="1">
      <c r="A6" s="641" t="s">
        <v>54</v>
      </c>
      <c r="B6" s="642" t="s">
        <v>14</v>
      </c>
      <c r="C6" s="639">
        <v>17456.666666666668</v>
      </c>
      <c r="D6" s="639">
        <v>17440</v>
      </c>
      <c r="E6" s="639">
        <v>451291830</v>
      </c>
      <c r="F6" s="640">
        <v>17919050.130000003</v>
      </c>
      <c r="G6" s="651">
        <v>17919050.130000003</v>
      </c>
    </row>
    <row r="7" spans="1:7" ht="13.5" customHeight="1">
      <c r="A7" s="643"/>
      <c r="B7" s="644" t="s">
        <v>55</v>
      </c>
      <c r="C7" s="645">
        <f>SUM(C5:C6)</f>
        <v>34901</v>
      </c>
      <c r="D7" s="645">
        <f>SUM(D5:D6)</f>
        <v>35069</v>
      </c>
      <c r="E7" s="645">
        <f>SUM(E5:E6)</f>
        <v>819448269</v>
      </c>
      <c r="F7" s="646">
        <f>SUM(F5:F6)</f>
        <v>32971633.550000004</v>
      </c>
      <c r="G7" s="659">
        <f>SUM(G5:G6)</f>
        <v>33819160.340000004</v>
      </c>
    </row>
    <row r="8" spans="1:7" ht="13.5" customHeight="1">
      <c r="A8" s="643"/>
      <c r="B8" s="647"/>
      <c r="C8" s="648"/>
      <c r="D8" s="648"/>
      <c r="E8" s="648"/>
      <c r="F8" s="649"/>
      <c r="G8" s="660"/>
    </row>
    <row r="9" spans="1:7" ht="13.5" customHeight="1">
      <c r="A9" s="641" t="s">
        <v>56</v>
      </c>
      <c r="B9" s="642" t="s">
        <v>15</v>
      </c>
      <c r="C9" s="639">
        <v>4541.416666666667</v>
      </c>
      <c r="D9" s="639">
        <v>4548</v>
      </c>
      <c r="E9" s="639">
        <v>541929808</v>
      </c>
      <c r="F9" s="640">
        <v>16419763.380000001</v>
      </c>
      <c r="G9" s="651">
        <v>16421431.209999999</v>
      </c>
    </row>
    <row r="10" spans="1:7" ht="13.5" customHeight="1">
      <c r="A10" s="641" t="s">
        <v>57</v>
      </c>
      <c r="B10" s="642" t="s">
        <v>58</v>
      </c>
      <c r="C10" s="639">
        <v>19.5</v>
      </c>
      <c r="D10" s="639">
        <v>20</v>
      </c>
      <c r="E10" s="639">
        <v>1596878560</v>
      </c>
      <c r="F10" s="640">
        <v>41703873.879999995</v>
      </c>
      <c r="G10" s="651">
        <v>41853531.579999998</v>
      </c>
    </row>
    <row r="11" spans="1:7" ht="13.5" customHeight="1">
      <c r="A11" s="641" t="s">
        <v>59</v>
      </c>
      <c r="B11" s="642" t="s">
        <v>60</v>
      </c>
      <c r="C11" s="639">
        <v>5899.166666666667</v>
      </c>
      <c r="D11" s="639">
        <v>5951</v>
      </c>
      <c r="E11" s="639">
        <v>467133671</v>
      </c>
      <c r="F11" s="640">
        <v>15369929.879999997</v>
      </c>
      <c r="G11" s="651">
        <v>15840727.609999998</v>
      </c>
    </row>
    <row r="12" spans="1:7" ht="13.5" customHeight="1">
      <c r="A12" s="641" t="s">
        <v>61</v>
      </c>
      <c r="B12" s="642" t="s">
        <v>62</v>
      </c>
      <c r="C12" s="639">
        <v>96.583333333333329</v>
      </c>
      <c r="D12" s="639">
        <v>91</v>
      </c>
      <c r="E12" s="639">
        <v>284379222</v>
      </c>
      <c r="F12" s="640">
        <v>6625860.5799999991</v>
      </c>
      <c r="G12" s="651">
        <v>6757706.4699999997</v>
      </c>
    </row>
    <row r="13" spans="1:7" ht="13.5" customHeight="1">
      <c r="A13" s="641" t="s">
        <v>63</v>
      </c>
      <c r="B13" s="642" t="s">
        <v>4</v>
      </c>
      <c r="C13" s="639">
        <v>64</v>
      </c>
      <c r="D13" s="639">
        <v>64</v>
      </c>
      <c r="E13" s="639">
        <v>4213797</v>
      </c>
      <c r="F13" s="640">
        <v>871123.59000000008</v>
      </c>
      <c r="G13" s="651">
        <v>897158.06999999983</v>
      </c>
    </row>
    <row r="14" spans="1:7" ht="13.5" customHeight="1">
      <c r="A14" s="641" t="s">
        <v>64</v>
      </c>
      <c r="B14" s="642" t="s">
        <v>5</v>
      </c>
      <c r="C14" s="639">
        <v>41</v>
      </c>
      <c r="D14" s="639">
        <v>41</v>
      </c>
      <c r="E14" s="639">
        <v>407995</v>
      </c>
      <c r="F14" s="640">
        <v>22245.07</v>
      </c>
      <c r="G14" s="651">
        <v>22579.960000000003</v>
      </c>
    </row>
    <row r="15" spans="1:7" ht="13.5" customHeight="1">
      <c r="A15" s="641">
        <v>445</v>
      </c>
      <c r="B15" s="642" t="s">
        <v>65</v>
      </c>
      <c r="C15" s="639">
        <v>13</v>
      </c>
      <c r="D15" s="639">
        <v>13</v>
      </c>
      <c r="E15" s="639">
        <v>1274189</v>
      </c>
      <c r="F15" s="640">
        <v>29816.03</v>
      </c>
      <c r="G15" s="651">
        <v>30032.469999999998</v>
      </c>
    </row>
    <row r="16" spans="1:7" ht="13.5" customHeight="1">
      <c r="A16" s="641">
        <v>449</v>
      </c>
      <c r="B16" s="642" t="s">
        <v>66</v>
      </c>
      <c r="C16" s="652">
        <v>0</v>
      </c>
      <c r="D16" s="652">
        <v>0</v>
      </c>
      <c r="E16" s="652">
        <v>0</v>
      </c>
      <c r="F16" s="653">
        <v>3840</v>
      </c>
      <c r="G16" s="654">
        <v>3955.1999999999994</v>
      </c>
    </row>
    <row r="17" spans="1:10" ht="16.5" thickBot="1">
      <c r="A17" s="661"/>
      <c r="B17" s="662" t="s">
        <v>6</v>
      </c>
      <c r="C17" s="663">
        <f>SUM(C7:C16)</f>
        <v>45575.666666666664</v>
      </c>
      <c r="D17" s="663">
        <f>SUM(D7:D16)</f>
        <v>45797</v>
      </c>
      <c r="E17" s="663">
        <f>SUM(E7:E16)</f>
        <v>3715665511</v>
      </c>
      <c r="F17" s="664">
        <f>SUM(F7:F16)</f>
        <v>114018085.95999999</v>
      </c>
      <c r="G17" s="665">
        <f>SUM(G7:G16)</f>
        <v>115646282.90999998</v>
      </c>
    </row>
    <row r="19" spans="1:10" ht="16.5" thickBot="1"/>
    <row r="20" spans="1:10">
      <c r="A20" s="4344" t="s">
        <v>67</v>
      </c>
      <c r="B20" s="4345"/>
      <c r="C20" s="4345"/>
      <c r="D20" s="4345"/>
      <c r="E20" s="4345"/>
      <c r="F20" s="4345"/>
      <c r="G20" s="4346"/>
    </row>
    <row r="21" spans="1:10" ht="16.5" thickBot="1">
      <c r="A21" s="4347" t="s">
        <v>45</v>
      </c>
      <c r="B21" s="4348"/>
      <c r="C21" s="4348"/>
      <c r="D21" s="4348"/>
      <c r="E21" s="4348"/>
      <c r="F21" s="4348"/>
      <c r="G21" s="4349"/>
    </row>
    <row r="22" spans="1:10" ht="15.75" customHeight="1">
      <c r="A22" s="4352" t="s">
        <v>46</v>
      </c>
      <c r="B22" s="4350" t="s">
        <v>47</v>
      </c>
      <c r="C22" s="4350" t="s">
        <v>49</v>
      </c>
      <c r="D22" s="4350" t="s">
        <v>156</v>
      </c>
      <c r="E22" s="4354"/>
      <c r="F22" s="4355"/>
      <c r="G22" s="670"/>
      <c r="H22" s="681" t="s">
        <v>122</v>
      </c>
      <c r="I22" s="682" t="s">
        <v>79</v>
      </c>
      <c r="J22" s="683"/>
    </row>
    <row r="23" spans="1:10" ht="24">
      <c r="A23" s="4353"/>
      <c r="B23" s="4351"/>
      <c r="C23" s="4351"/>
      <c r="D23" s="4351"/>
      <c r="E23" s="636" t="s">
        <v>51</v>
      </c>
      <c r="F23" s="636" t="s">
        <v>157</v>
      </c>
      <c r="G23" s="675" t="s">
        <v>71</v>
      </c>
      <c r="H23" s="681" t="s">
        <v>80</v>
      </c>
      <c r="I23" s="682" t="s">
        <v>51</v>
      </c>
      <c r="J23" s="683"/>
    </row>
    <row r="24" spans="1:10">
      <c r="A24" s="637" t="s">
        <v>53</v>
      </c>
      <c r="B24" s="638" t="s">
        <v>13</v>
      </c>
      <c r="C24" s="666">
        <v>17629</v>
      </c>
      <c r="D24" s="666">
        <v>368156439</v>
      </c>
      <c r="E24" s="667">
        <v>15052583.420000002</v>
      </c>
      <c r="F24" s="666">
        <v>0</v>
      </c>
      <c r="G24" s="671">
        <v>0</v>
      </c>
      <c r="H24" s="683"/>
      <c r="I24" s="684" t="e">
        <f>E24/$E$26*$E$62</f>
        <v>#REF!</v>
      </c>
      <c r="J24" s="683"/>
    </row>
    <row r="25" spans="1:10">
      <c r="A25" s="641" t="s">
        <v>54</v>
      </c>
      <c r="B25" s="642" t="s">
        <v>14</v>
      </c>
      <c r="C25" s="666">
        <v>17440</v>
      </c>
      <c r="D25" s="666">
        <v>451291830</v>
      </c>
      <c r="E25" s="667">
        <v>17919050.130000003</v>
      </c>
      <c r="F25" s="666">
        <v>0</v>
      </c>
      <c r="G25" s="671">
        <v>0</v>
      </c>
      <c r="H25" s="686"/>
      <c r="I25" s="684" t="e">
        <f>E25/$E$26*$E$62</f>
        <v>#REF!</v>
      </c>
      <c r="J25" s="683"/>
    </row>
    <row r="26" spans="1:10">
      <c r="A26" s="643"/>
      <c r="B26" s="680" t="s">
        <v>55</v>
      </c>
      <c r="C26" s="645">
        <f>SUM(C24:C25)</f>
        <v>35069</v>
      </c>
      <c r="D26" s="645">
        <f>SUM(D24:D25)</f>
        <v>819448269</v>
      </c>
      <c r="E26" s="646">
        <f>SUM(E24:E25)</f>
        <v>32971633.550000004</v>
      </c>
      <c r="F26" s="645">
        <f>SUM(F24:F25)</f>
        <v>0</v>
      </c>
      <c r="G26" s="672">
        <f>SUM(G24:G25)</f>
        <v>0</v>
      </c>
      <c r="H26" s="687" t="e">
        <f>E62/E26-1</f>
        <v>#REF!</v>
      </c>
      <c r="I26" s="646" t="e">
        <f>SUM(I24:I25)</f>
        <v>#REF!</v>
      </c>
      <c r="J26" s="688" t="e">
        <f>I26-E62</f>
        <v>#REF!</v>
      </c>
    </row>
    <row r="27" spans="1:10">
      <c r="A27" s="643"/>
      <c r="B27" s="647"/>
      <c r="C27" s="668"/>
      <c r="D27" s="668"/>
      <c r="E27" s="669"/>
      <c r="F27" s="649"/>
      <c r="G27" s="660"/>
      <c r="H27" s="686"/>
      <c r="I27" s="683"/>
      <c r="J27" s="683"/>
    </row>
    <row r="28" spans="1:10">
      <c r="A28" s="641" t="s">
        <v>56</v>
      </c>
      <c r="B28" s="642" t="s">
        <v>15</v>
      </c>
      <c r="C28" s="666"/>
      <c r="D28" s="666"/>
      <c r="E28" s="667"/>
      <c r="F28" s="640"/>
      <c r="G28" s="651"/>
      <c r="H28" s="686"/>
      <c r="I28" s="683"/>
      <c r="J28" s="683"/>
    </row>
    <row r="29" spans="1:10">
      <c r="A29" s="641"/>
      <c r="B29" s="673" t="s">
        <v>72</v>
      </c>
      <c r="C29" s="666">
        <v>105</v>
      </c>
      <c r="D29" s="666">
        <v>4047714</v>
      </c>
      <c r="E29" s="667">
        <v>143522.17959999997</v>
      </c>
      <c r="F29" s="666">
        <v>0</v>
      </c>
      <c r="G29" s="671">
        <v>4185.1999999999989</v>
      </c>
      <c r="H29" s="687"/>
      <c r="I29" s="684" t="e">
        <f>E29/$E$31*$E$63</f>
        <v>#REF!</v>
      </c>
      <c r="J29" s="685"/>
    </row>
    <row r="30" spans="1:10">
      <c r="A30" s="641"/>
      <c r="B30" s="673" t="s">
        <v>73</v>
      </c>
      <c r="C30" s="666">
        <v>4474</v>
      </c>
      <c r="D30" s="666">
        <v>537882063</v>
      </c>
      <c r="E30" s="667">
        <v>16241974.830899974</v>
      </c>
      <c r="F30" s="666">
        <v>0</v>
      </c>
      <c r="G30" s="671">
        <v>382606.42999999761</v>
      </c>
      <c r="H30" s="687"/>
      <c r="I30" s="684" t="e">
        <f>E30/$E$31*$E$63</f>
        <v>#REF!</v>
      </c>
      <c r="J30" s="685"/>
    </row>
    <row r="31" spans="1:10">
      <c r="A31" s="641"/>
      <c r="B31" s="680" t="s">
        <v>32</v>
      </c>
      <c r="C31" s="645">
        <f>SUM(C29:C30)</f>
        <v>4579</v>
      </c>
      <c r="D31" s="645">
        <f>SUM(D29:D30)</f>
        <v>541929777</v>
      </c>
      <c r="E31" s="646">
        <f>SUM(E29:E30)</f>
        <v>16385497.010499975</v>
      </c>
      <c r="F31" s="645">
        <f>SUM(F29:F30)</f>
        <v>0</v>
      </c>
      <c r="G31" s="672">
        <f>SUM(G29:G30)</f>
        <v>386791.62999999762</v>
      </c>
      <c r="H31" s="687" t="e">
        <f>E63/E31-1</f>
        <v>#REF!</v>
      </c>
      <c r="I31" s="646" t="e">
        <f>SUM(I29:I30)</f>
        <v>#REF!</v>
      </c>
      <c r="J31" s="688" t="e">
        <f>I31-E63</f>
        <v>#REF!</v>
      </c>
    </row>
    <row r="32" spans="1:10">
      <c r="A32" s="641"/>
      <c r="B32" s="642"/>
      <c r="C32" s="666"/>
      <c r="D32" s="666"/>
      <c r="E32" s="667"/>
      <c r="F32" s="640"/>
      <c r="G32" s="651"/>
      <c r="H32" s="687"/>
      <c r="I32" s="683"/>
      <c r="J32" s="685"/>
    </row>
    <row r="33" spans="1:10">
      <c r="A33" s="641" t="s">
        <v>57</v>
      </c>
      <c r="B33" s="642" t="s">
        <v>58</v>
      </c>
      <c r="C33" s="666"/>
      <c r="D33" s="666"/>
      <c r="E33" s="667"/>
      <c r="F33" s="640"/>
      <c r="G33" s="651"/>
      <c r="H33" s="686"/>
      <c r="I33" s="683"/>
      <c r="J33" s="683"/>
    </row>
    <row r="34" spans="1:10">
      <c r="A34" s="641"/>
      <c r="B34" s="673" t="s">
        <v>16</v>
      </c>
      <c r="C34" s="666">
        <v>3</v>
      </c>
      <c r="D34" s="691">
        <f>D81</f>
        <v>123852000</v>
      </c>
      <c r="E34" s="667">
        <v>2451130.2236372693</v>
      </c>
      <c r="F34" s="666">
        <v>246782</v>
      </c>
      <c r="G34" s="671">
        <v>0</v>
      </c>
      <c r="H34" s="686"/>
      <c r="I34" s="684" t="e">
        <f>E34/$E$47*$E$64</f>
        <v>#REF!</v>
      </c>
      <c r="J34" s="683"/>
    </row>
    <row r="35" spans="1:10">
      <c r="A35" s="641"/>
      <c r="B35" s="673" t="s">
        <v>17</v>
      </c>
      <c r="C35" s="666">
        <v>7</v>
      </c>
      <c r="D35" s="691">
        <f>D86</f>
        <v>1223870998</v>
      </c>
      <c r="E35" s="667">
        <v>34029224.037758477</v>
      </c>
      <c r="F35" s="666">
        <v>1929959.047</v>
      </c>
      <c r="G35" s="671">
        <v>0</v>
      </c>
      <c r="H35" s="686"/>
      <c r="I35" s="684" t="e">
        <f>E35/$E$47*$E$64</f>
        <v>#REF!</v>
      </c>
      <c r="J35" s="683"/>
    </row>
    <row r="36" spans="1:10">
      <c r="A36" s="641"/>
      <c r="B36" s="673" t="s">
        <v>18</v>
      </c>
      <c r="C36" s="666">
        <v>10</v>
      </c>
      <c r="D36" s="691">
        <f>D91</f>
        <v>234200560</v>
      </c>
      <c r="E36" s="667">
        <v>4565324.8438450573</v>
      </c>
      <c r="F36" s="666">
        <v>481096.95999999996</v>
      </c>
      <c r="G36" s="671">
        <v>0</v>
      </c>
      <c r="H36" s="686"/>
      <c r="I36" s="684" t="e">
        <f>E36/$E$47*$E$64</f>
        <v>#REF!</v>
      </c>
      <c r="J36" s="683"/>
    </row>
    <row r="37" spans="1:10">
      <c r="A37" s="641"/>
      <c r="B37" s="673" t="s">
        <v>19</v>
      </c>
      <c r="C37" s="666">
        <v>1</v>
      </c>
      <c r="D37" s="691">
        <f>D96</f>
        <v>7785000</v>
      </c>
      <c r="E37" s="667">
        <v>516310.75</v>
      </c>
      <c r="F37" s="666">
        <v>20219</v>
      </c>
      <c r="G37" s="671">
        <v>0</v>
      </c>
      <c r="H37" s="686"/>
      <c r="I37" s="684" t="e">
        <f>E37/$E$47*$E$64</f>
        <v>#REF!</v>
      </c>
      <c r="J37" s="683"/>
    </row>
    <row r="38" spans="1:10">
      <c r="A38" s="641"/>
      <c r="B38" s="673" t="s">
        <v>20</v>
      </c>
      <c r="C38" s="666">
        <v>1</v>
      </c>
      <c r="D38" s="666">
        <v>7170002</v>
      </c>
      <c r="E38" s="667">
        <v>401123.82</v>
      </c>
      <c r="F38" s="666">
        <v>28829.151999999998</v>
      </c>
      <c r="G38" s="671">
        <v>0</v>
      </c>
      <c r="H38" s="686"/>
      <c r="I38" s="684" t="e">
        <f>E38/$E$47*$E$64</f>
        <v>#REF!</v>
      </c>
      <c r="J38" s="683"/>
    </row>
    <row r="39" spans="1:10">
      <c r="A39" s="641"/>
      <c r="B39" s="674" t="s">
        <v>74</v>
      </c>
      <c r="C39" s="645">
        <f>SUM(C34:C38)</f>
        <v>22</v>
      </c>
      <c r="D39" s="645">
        <f>SUM(D34:D38)</f>
        <v>1596878560</v>
      </c>
      <c r="E39" s="646">
        <f>SUM(E34:E38)</f>
        <v>41963113.6752408</v>
      </c>
      <c r="F39" s="645">
        <f>SUM(F34:F38)</f>
        <v>2706886.159</v>
      </c>
      <c r="G39" s="672">
        <f>SUM(G34:G38)</f>
        <v>0</v>
      </c>
      <c r="H39" s="686"/>
      <c r="I39" s="646" t="e">
        <f>SUM(I34:I38)</f>
        <v>#REF!</v>
      </c>
      <c r="J39" s="683"/>
    </row>
    <row r="40" spans="1:10">
      <c r="A40" s="641"/>
      <c r="B40" s="650"/>
      <c r="C40" s="666"/>
      <c r="D40" s="666"/>
      <c r="E40" s="667"/>
      <c r="F40" s="640"/>
      <c r="G40" s="651"/>
      <c r="H40" s="686"/>
      <c r="I40" s="683"/>
      <c r="J40" s="683"/>
    </row>
    <row r="41" spans="1:10">
      <c r="A41" s="641" t="s">
        <v>59</v>
      </c>
      <c r="B41" s="642" t="s">
        <v>60</v>
      </c>
      <c r="C41" s="666"/>
      <c r="D41" s="666"/>
      <c r="E41" s="667"/>
      <c r="F41" s="640"/>
      <c r="G41" s="651"/>
      <c r="H41" s="686"/>
      <c r="I41" s="683"/>
      <c r="J41" s="683"/>
    </row>
    <row r="42" spans="1:10">
      <c r="A42" s="641"/>
      <c r="B42" s="673" t="s">
        <v>72</v>
      </c>
      <c r="C42" s="666">
        <v>3396</v>
      </c>
      <c r="D42" s="666">
        <v>105461482.36</v>
      </c>
      <c r="E42" s="667">
        <v>4237424.7396400031</v>
      </c>
      <c r="F42" s="666">
        <v>101436.21599999999</v>
      </c>
      <c r="G42" s="671">
        <v>0</v>
      </c>
      <c r="H42" s="687"/>
      <c r="I42" s="684" t="e">
        <f>E42/$E$47*$E$64</f>
        <v>#REF!</v>
      </c>
      <c r="J42" s="685"/>
    </row>
    <row r="43" spans="1:10">
      <c r="A43" s="641"/>
      <c r="B43" s="673" t="s">
        <v>73</v>
      </c>
      <c r="C43" s="666">
        <v>2564</v>
      </c>
      <c r="D43" s="666">
        <v>361549253</v>
      </c>
      <c r="E43" s="667">
        <v>11108146.226499977</v>
      </c>
      <c r="F43" s="666">
        <v>1080604.3890000002</v>
      </c>
      <c r="G43" s="671">
        <v>0</v>
      </c>
      <c r="H43" s="687"/>
      <c r="I43" s="684" t="e">
        <f>E43/$E$47*$E$64</f>
        <v>#REF!</v>
      </c>
      <c r="J43" s="685"/>
    </row>
    <row r="44" spans="1:10">
      <c r="A44" s="641"/>
      <c r="B44" s="674" t="s">
        <v>76</v>
      </c>
      <c r="C44" s="645">
        <f>SUM(C42:C43)</f>
        <v>5960</v>
      </c>
      <c r="D44" s="645">
        <f>SUM(D42:D43)</f>
        <v>467010735.36000001</v>
      </c>
      <c r="E44" s="646">
        <f>SUM(E42:E43)</f>
        <v>15345570.96613998</v>
      </c>
      <c r="F44" s="645">
        <f>SUM(F42:F43)</f>
        <v>1182040.6050000002</v>
      </c>
      <c r="G44" s="672">
        <f>SUM(G42:G43)</f>
        <v>0</v>
      </c>
      <c r="H44" s="686"/>
      <c r="I44" s="646" t="e">
        <f>SUM(I42:I43)</f>
        <v>#REF!</v>
      </c>
      <c r="J44" s="683"/>
    </row>
    <row r="45" spans="1:10">
      <c r="A45" s="641"/>
      <c r="B45" s="642"/>
      <c r="C45" s="666"/>
      <c r="D45" s="666"/>
      <c r="E45" s="667"/>
      <c r="F45" s="640"/>
      <c r="G45" s="651"/>
      <c r="H45" s="687"/>
      <c r="I45" s="683"/>
      <c r="J45" s="685"/>
    </row>
    <row r="46" spans="1:10">
      <c r="A46" s="641" t="s">
        <v>61</v>
      </c>
      <c r="B46" s="642" t="s">
        <v>62</v>
      </c>
      <c r="C46" s="666">
        <v>91</v>
      </c>
      <c r="D46" s="666">
        <f>D76</f>
        <v>284379222</v>
      </c>
      <c r="E46" s="667">
        <v>6629542.9732124647</v>
      </c>
      <c r="F46" s="666">
        <v>702831.55799999996</v>
      </c>
      <c r="G46" s="671">
        <v>0</v>
      </c>
      <c r="H46" s="686"/>
      <c r="I46" s="684" t="e">
        <f>E46/$E$47*$E$64</f>
        <v>#REF!</v>
      </c>
      <c r="J46" s="683"/>
    </row>
    <row r="47" spans="1:10">
      <c r="A47" s="641"/>
      <c r="B47" s="680" t="s">
        <v>77</v>
      </c>
      <c r="C47" s="645">
        <f>C39+C44+C46</f>
        <v>6073</v>
      </c>
      <c r="D47" s="645">
        <f t="shared" ref="D47:I47" si="0">D39+D44+D46</f>
        <v>2348268517.3600001</v>
      </c>
      <c r="E47" s="646">
        <f t="shared" si="0"/>
        <v>63938227.614593245</v>
      </c>
      <c r="F47" s="645">
        <f t="shared" si="0"/>
        <v>4591758.3220000006</v>
      </c>
      <c r="G47" s="672">
        <f t="shared" si="0"/>
        <v>0</v>
      </c>
      <c r="H47" s="687" t="e">
        <f>E64/E47-1</f>
        <v>#REF!</v>
      </c>
      <c r="I47" s="646" t="e">
        <f t="shared" si="0"/>
        <v>#REF!</v>
      </c>
      <c r="J47" s="688" t="e">
        <f>I47-E64</f>
        <v>#REF!</v>
      </c>
    </row>
    <row r="48" spans="1:10">
      <c r="A48" s="641"/>
      <c r="B48" s="642"/>
      <c r="C48" s="666"/>
      <c r="D48" s="666"/>
      <c r="E48" s="667"/>
      <c r="F48" s="666"/>
      <c r="G48" s="671"/>
      <c r="H48" s="686"/>
      <c r="I48" s="683"/>
      <c r="J48" s="683"/>
    </row>
    <row r="49" spans="1:10">
      <c r="A49" s="641" t="s">
        <v>63</v>
      </c>
      <c r="B49" s="642" t="s">
        <v>4</v>
      </c>
      <c r="C49" s="639">
        <v>64</v>
      </c>
      <c r="D49" s="639">
        <v>4213797</v>
      </c>
      <c r="E49" s="640">
        <v>871123.59000000008</v>
      </c>
      <c r="F49" s="640"/>
      <c r="G49" s="651"/>
      <c r="H49" s="686"/>
      <c r="I49" s="684" t="e">
        <f>E49/$E$53*$E$65</f>
        <v>#REF!</v>
      </c>
      <c r="J49" s="683"/>
    </row>
    <row r="50" spans="1:10">
      <c r="A50" s="641" t="s">
        <v>64</v>
      </c>
      <c r="B50" s="642" t="s">
        <v>5</v>
      </c>
      <c r="C50" s="639">
        <v>41</v>
      </c>
      <c r="D50" s="639">
        <v>407995</v>
      </c>
      <c r="E50" s="640">
        <v>22245.07</v>
      </c>
      <c r="F50" s="640"/>
      <c r="G50" s="651"/>
      <c r="H50" s="686"/>
      <c r="I50" s="684" t="e">
        <f>E50/$E$53*$E$65</f>
        <v>#REF!</v>
      </c>
      <c r="J50" s="683"/>
    </row>
    <row r="51" spans="1:10">
      <c r="A51" s="641">
        <v>445</v>
      </c>
      <c r="B51" s="642" t="s">
        <v>65</v>
      </c>
      <c r="C51" s="639">
        <v>13</v>
      </c>
      <c r="D51" s="639">
        <v>1274189</v>
      </c>
      <c r="E51" s="640">
        <v>29816.03</v>
      </c>
      <c r="F51" s="640"/>
      <c r="G51" s="651"/>
      <c r="H51" s="686"/>
      <c r="I51" s="684" t="e">
        <f>E51/$E$53*$E$65</f>
        <v>#REF!</v>
      </c>
      <c r="J51" s="683"/>
    </row>
    <row r="52" spans="1:10">
      <c r="A52" s="641">
        <v>449</v>
      </c>
      <c r="B52" s="642" t="s">
        <v>66</v>
      </c>
      <c r="C52" s="652">
        <v>0</v>
      </c>
      <c r="D52" s="652">
        <v>0</v>
      </c>
      <c r="E52" s="653">
        <v>3840</v>
      </c>
      <c r="F52" s="653"/>
      <c r="G52" s="654"/>
      <c r="H52" s="686"/>
      <c r="I52" s="684" t="e">
        <f>E52/$E$53*$E$65</f>
        <v>#REF!</v>
      </c>
      <c r="J52" s="683"/>
    </row>
    <row r="53" spans="1:10">
      <c r="A53" s="641"/>
      <c r="B53" s="680" t="s">
        <v>78</v>
      </c>
      <c r="C53" s="645">
        <f>SUM(C49:C52)</f>
        <v>118</v>
      </c>
      <c r="D53" s="645">
        <f t="shared" ref="D53:I53" si="1">SUM(D49:D52)</f>
        <v>5895981</v>
      </c>
      <c r="E53" s="646">
        <f t="shared" si="1"/>
        <v>927024.69000000006</v>
      </c>
      <c r="F53" s="645">
        <f t="shared" si="1"/>
        <v>0</v>
      </c>
      <c r="G53" s="672">
        <f t="shared" si="1"/>
        <v>0</v>
      </c>
      <c r="H53" s="687" t="e">
        <f>E65/E53-1</f>
        <v>#REF!</v>
      </c>
      <c r="I53" s="646" t="e">
        <f t="shared" si="1"/>
        <v>#REF!</v>
      </c>
      <c r="J53" s="688" t="e">
        <f>I53-E65</f>
        <v>#REF!</v>
      </c>
    </row>
    <row r="54" spans="1:10">
      <c r="A54" s="641"/>
      <c r="B54" s="642"/>
      <c r="C54" s="639"/>
      <c r="D54" s="639"/>
      <c r="E54" s="640"/>
      <c r="F54" s="640"/>
      <c r="G54" s="651"/>
    </row>
    <row r="55" spans="1:10" ht="16.5" thickBot="1">
      <c r="A55" s="661"/>
      <c r="B55" s="662" t="s">
        <v>6</v>
      </c>
      <c r="C55" s="663">
        <f>SUM(C26,C31,C47,C53)</f>
        <v>45839</v>
      </c>
      <c r="D55" s="663">
        <f t="shared" ref="D55:I55" si="2">SUM(D26,D31,D47,D53)</f>
        <v>3715542544.3600001</v>
      </c>
      <c r="E55" s="664">
        <f t="shared" si="2"/>
        <v>114222382.86509323</v>
      </c>
      <c r="F55" s="663">
        <f t="shared" si="2"/>
        <v>4591758.3220000006</v>
      </c>
      <c r="G55" s="679">
        <f t="shared" si="2"/>
        <v>386791.62999999762</v>
      </c>
      <c r="I55" s="664" t="e">
        <f t="shared" si="2"/>
        <v>#REF!</v>
      </c>
    </row>
    <row r="56" spans="1:10">
      <c r="A56" s="647"/>
      <c r="B56" s="644"/>
      <c r="C56" s="655"/>
      <c r="D56" s="655"/>
      <c r="E56" s="655"/>
      <c r="F56" s="656"/>
      <c r="G56" s="656"/>
    </row>
    <row r="57" spans="1:10" ht="16.5" thickBot="1"/>
    <row r="58" spans="1:10">
      <c r="A58" s="4344" t="s">
        <v>68</v>
      </c>
      <c r="B58" s="4345"/>
      <c r="C58" s="4345"/>
      <c r="D58" s="4345"/>
      <c r="E58" s="4346"/>
    </row>
    <row r="59" spans="1:10" ht="16.5" thickBot="1">
      <c r="A59" s="4347"/>
      <c r="B59" s="4348"/>
      <c r="C59" s="4348"/>
      <c r="D59" s="4348"/>
      <c r="E59" s="4349"/>
    </row>
    <row r="60" spans="1:10">
      <c r="A60" s="4352" t="s">
        <v>46</v>
      </c>
      <c r="B60" s="4350" t="s">
        <v>47</v>
      </c>
      <c r="C60" s="676"/>
      <c r="D60" s="676"/>
      <c r="E60" s="677" t="s">
        <v>75</v>
      </c>
    </row>
    <row r="61" spans="1:10" ht="24">
      <c r="A61" s="4353"/>
      <c r="B61" s="4351"/>
      <c r="C61" s="427"/>
      <c r="D61" s="427"/>
      <c r="E61" s="675" t="s">
        <v>51</v>
      </c>
    </row>
    <row r="62" spans="1:10">
      <c r="A62" s="641"/>
      <c r="B62" s="642" t="s">
        <v>521</v>
      </c>
      <c r="C62" s="20"/>
      <c r="D62" s="20"/>
      <c r="E62" s="689" t="e">
        <f>'Fin Forecast - Elec'!#REF!</f>
        <v>#REF!</v>
      </c>
    </row>
    <row r="63" spans="1:10">
      <c r="A63" s="641"/>
      <c r="B63" s="642" t="s">
        <v>727</v>
      </c>
      <c r="C63" s="20"/>
      <c r="D63" s="20"/>
      <c r="E63" s="689" t="e">
        <f>'Fin Forecast - Elec'!#REF!</f>
        <v>#REF!</v>
      </c>
    </row>
    <row r="64" spans="1:10">
      <c r="A64" s="641"/>
      <c r="B64" s="642" t="s">
        <v>69</v>
      </c>
      <c r="C64" s="20"/>
      <c r="D64" s="20"/>
      <c r="E64" s="689" t="e">
        <f>'Fin Forecast - Elec'!#REF!</f>
        <v>#REF!</v>
      </c>
    </row>
    <row r="65" spans="1:7">
      <c r="A65" s="641"/>
      <c r="B65" s="642" t="s">
        <v>70</v>
      </c>
      <c r="C65" s="20"/>
      <c r="D65" s="20"/>
      <c r="E65" s="690" t="e">
        <f>'Fin Forecast - Elec'!#REF!</f>
        <v>#REF!</v>
      </c>
    </row>
    <row r="66" spans="1:7" ht="16.5" thickBot="1">
      <c r="A66" s="661"/>
      <c r="B66" s="662" t="s">
        <v>6</v>
      </c>
      <c r="C66" s="678"/>
      <c r="D66" s="678"/>
      <c r="E66" s="679" t="e">
        <f>SUM(E62:E65)</f>
        <v>#REF!</v>
      </c>
    </row>
    <row r="68" spans="1:7" ht="16.5" thickBot="1"/>
    <row r="69" spans="1:7">
      <c r="A69" s="4344" t="s">
        <v>81</v>
      </c>
      <c r="B69" s="4345"/>
      <c r="C69" s="4345"/>
      <c r="D69" s="4345"/>
      <c r="E69" s="4345"/>
      <c r="F69" s="4345"/>
      <c r="G69" s="4346"/>
    </row>
    <row r="70" spans="1:7" ht="16.5" thickBot="1">
      <c r="A70" s="4347" t="s">
        <v>45</v>
      </c>
      <c r="B70" s="4348"/>
      <c r="C70" s="4348"/>
      <c r="D70" s="4348"/>
      <c r="E70" s="4348"/>
      <c r="F70" s="4348"/>
      <c r="G70" s="4349"/>
    </row>
    <row r="71" spans="1:7">
      <c r="A71" s="692"/>
      <c r="B71" s="4350" t="s">
        <v>47</v>
      </c>
      <c r="C71" s="676"/>
      <c r="D71" s="4350" t="s">
        <v>156</v>
      </c>
      <c r="E71" s="676"/>
      <c r="F71" s="676"/>
      <c r="G71" s="670"/>
    </row>
    <row r="72" spans="1:7">
      <c r="A72" s="421"/>
      <c r="B72" s="4351"/>
      <c r="C72" s="20"/>
      <c r="D72" s="4351"/>
      <c r="E72" s="20"/>
      <c r="F72" s="20"/>
      <c r="G72" s="693"/>
    </row>
    <row r="73" spans="1:7">
      <c r="A73" s="421"/>
      <c r="B73" s="642" t="s">
        <v>22</v>
      </c>
      <c r="C73" s="20"/>
      <c r="D73" s="20"/>
      <c r="E73" s="20"/>
      <c r="F73" s="20"/>
      <c r="G73" s="693"/>
    </row>
    <row r="74" spans="1:7">
      <c r="A74" s="421"/>
      <c r="B74" s="673" t="s">
        <v>9</v>
      </c>
      <c r="C74" s="20"/>
      <c r="D74" s="666">
        <v>46849874</v>
      </c>
      <c r="E74" s="20"/>
      <c r="F74" s="20"/>
      <c r="G74" s="693"/>
    </row>
    <row r="75" spans="1:7">
      <c r="A75" s="421"/>
      <c r="B75" s="673" t="s">
        <v>10</v>
      </c>
      <c r="C75" s="20"/>
      <c r="D75" s="666">
        <v>237529348</v>
      </c>
      <c r="E75" s="20"/>
      <c r="F75" s="20"/>
      <c r="G75" s="693"/>
    </row>
    <row r="76" spans="1:7">
      <c r="A76" s="421"/>
      <c r="B76" s="674" t="s">
        <v>3</v>
      </c>
      <c r="C76" s="20"/>
      <c r="D76" s="645">
        <f>SUM(D74:D75)</f>
        <v>284379222</v>
      </c>
      <c r="E76" s="20"/>
      <c r="F76" s="20"/>
      <c r="G76" s="693"/>
    </row>
    <row r="77" spans="1:7">
      <c r="A77" s="421"/>
      <c r="B77" s="248"/>
      <c r="C77" s="20"/>
      <c r="D77" s="20"/>
      <c r="E77" s="20"/>
      <c r="F77" s="20"/>
      <c r="G77" s="693"/>
    </row>
    <row r="78" spans="1:7">
      <c r="A78" s="421"/>
      <c r="B78" s="642" t="s">
        <v>16</v>
      </c>
      <c r="C78" s="20"/>
      <c r="D78" s="20"/>
      <c r="E78" s="20"/>
      <c r="F78" s="20"/>
      <c r="G78" s="693"/>
    </row>
    <row r="79" spans="1:7">
      <c r="A79" s="421"/>
      <c r="B79" s="673" t="s">
        <v>11</v>
      </c>
      <c r="C79" s="20"/>
      <c r="D79" s="666">
        <v>110543000</v>
      </c>
      <c r="E79" s="20"/>
      <c r="F79" s="20"/>
      <c r="G79" s="693"/>
    </row>
    <row r="80" spans="1:7">
      <c r="A80" s="421"/>
      <c r="B80" s="673" t="s">
        <v>10</v>
      </c>
      <c r="C80" s="20"/>
      <c r="D80" s="666">
        <v>13309000</v>
      </c>
      <c r="E80" s="20"/>
      <c r="F80" s="20"/>
      <c r="G80" s="693"/>
    </row>
    <row r="81" spans="1:7">
      <c r="A81" s="421"/>
      <c r="B81" s="674" t="s">
        <v>3</v>
      </c>
      <c r="C81" s="20"/>
      <c r="D81" s="645">
        <f>SUM(D79:D80)</f>
        <v>123852000</v>
      </c>
      <c r="E81" s="20"/>
      <c r="F81" s="20"/>
      <c r="G81" s="693"/>
    </row>
    <row r="82" spans="1:7">
      <c r="A82" s="421"/>
      <c r="B82" s="248"/>
      <c r="C82" s="20"/>
      <c r="D82" s="20"/>
      <c r="E82" s="20"/>
      <c r="F82" s="20"/>
      <c r="G82" s="693"/>
    </row>
    <row r="83" spans="1:7">
      <c r="A83" s="421"/>
      <c r="B83" s="642" t="s">
        <v>17</v>
      </c>
      <c r="C83" s="20"/>
      <c r="D83" s="20"/>
      <c r="E83" s="20"/>
      <c r="F83" s="20"/>
      <c r="G83" s="693"/>
    </row>
    <row r="84" spans="1:7">
      <c r="A84" s="421"/>
      <c r="B84" s="673" t="s">
        <v>12</v>
      </c>
      <c r="C84" s="20"/>
      <c r="D84" s="666">
        <v>720238000</v>
      </c>
      <c r="E84" s="20"/>
      <c r="F84" s="20"/>
      <c r="G84" s="693"/>
    </row>
    <row r="85" spans="1:7">
      <c r="A85" s="421"/>
      <c r="B85" s="673" t="s">
        <v>10</v>
      </c>
      <c r="C85" s="20"/>
      <c r="D85" s="666">
        <v>503632998</v>
      </c>
      <c r="E85" s="20"/>
      <c r="F85" s="20"/>
      <c r="G85" s="693"/>
    </row>
    <row r="86" spans="1:7">
      <c r="A86" s="421"/>
      <c r="B86" s="674" t="s">
        <v>3</v>
      </c>
      <c r="C86" s="20"/>
      <c r="D86" s="645">
        <f>SUM(D84:D85)</f>
        <v>1223870998</v>
      </c>
      <c r="E86" s="20"/>
      <c r="F86" s="20"/>
      <c r="G86" s="693"/>
    </row>
    <row r="87" spans="1:7">
      <c r="A87" s="421"/>
      <c r="B87" s="248"/>
      <c r="C87" s="20"/>
      <c r="D87" s="20"/>
      <c r="E87" s="20"/>
      <c r="F87" s="20"/>
      <c r="G87" s="693"/>
    </row>
    <row r="88" spans="1:7">
      <c r="A88" s="421"/>
      <c r="B88" s="642" t="s">
        <v>18</v>
      </c>
      <c r="C88" s="20"/>
      <c r="D88" s="20"/>
      <c r="E88" s="20"/>
      <c r="F88" s="20"/>
      <c r="G88" s="693"/>
    </row>
    <row r="89" spans="1:7">
      <c r="A89" s="421"/>
      <c r="B89" s="673" t="s">
        <v>11</v>
      </c>
      <c r="C89" s="20"/>
      <c r="D89" s="666">
        <v>234200560</v>
      </c>
      <c r="E89" s="20"/>
      <c r="F89" s="20"/>
      <c r="G89" s="693"/>
    </row>
    <row r="90" spans="1:7">
      <c r="A90" s="421"/>
      <c r="B90" s="673" t="s">
        <v>10</v>
      </c>
      <c r="C90" s="20"/>
      <c r="D90" s="666">
        <v>0</v>
      </c>
      <c r="E90" s="20"/>
      <c r="F90" s="20"/>
      <c r="G90" s="693"/>
    </row>
    <row r="91" spans="1:7">
      <c r="A91" s="421"/>
      <c r="B91" s="674" t="s">
        <v>3</v>
      </c>
      <c r="C91" s="20"/>
      <c r="D91" s="645">
        <f>SUM(D89:D90)</f>
        <v>234200560</v>
      </c>
      <c r="E91" s="20"/>
      <c r="F91" s="20"/>
      <c r="G91" s="693"/>
    </row>
    <row r="92" spans="1:7">
      <c r="A92" s="421"/>
      <c r="B92" s="248"/>
      <c r="C92" s="20"/>
      <c r="D92" s="20"/>
      <c r="E92" s="20"/>
      <c r="F92" s="20"/>
      <c r="G92" s="693"/>
    </row>
    <row r="93" spans="1:7">
      <c r="A93" s="421"/>
      <c r="B93" s="642" t="s">
        <v>19</v>
      </c>
      <c r="C93" s="20"/>
      <c r="D93" s="20"/>
      <c r="E93" s="20"/>
      <c r="F93" s="20"/>
      <c r="G93" s="693"/>
    </row>
    <row r="94" spans="1:7">
      <c r="A94" s="421"/>
      <c r="B94" s="673" t="s">
        <v>12</v>
      </c>
      <c r="C94" s="20"/>
      <c r="D94" s="666">
        <v>7785000</v>
      </c>
      <c r="E94" s="20"/>
      <c r="F94" s="20"/>
      <c r="G94" s="693"/>
    </row>
    <row r="95" spans="1:7">
      <c r="A95" s="421"/>
      <c r="B95" s="673" t="s">
        <v>10</v>
      </c>
      <c r="C95" s="20"/>
      <c r="D95" s="666">
        <v>0</v>
      </c>
      <c r="E95" s="20"/>
      <c r="F95" s="20"/>
      <c r="G95" s="693"/>
    </row>
    <row r="96" spans="1:7">
      <c r="A96" s="421"/>
      <c r="B96" s="674" t="s">
        <v>3</v>
      </c>
      <c r="C96" s="20"/>
      <c r="D96" s="645">
        <f>SUM(D94:D95)</f>
        <v>7785000</v>
      </c>
      <c r="E96" s="20"/>
      <c r="F96" s="20"/>
      <c r="G96" s="693"/>
    </row>
    <row r="97" spans="1:7" ht="16.5" thickBot="1">
      <c r="A97" s="694"/>
      <c r="B97" s="678"/>
      <c r="C97" s="678"/>
      <c r="D97" s="678"/>
      <c r="E97" s="678"/>
      <c r="F97" s="678"/>
      <c r="G97" s="695"/>
    </row>
  </sheetData>
  <mergeCells count="23">
    <mergeCell ref="A1:G1"/>
    <mergeCell ref="A2:G2"/>
    <mergeCell ref="A3:A4"/>
    <mergeCell ref="B3:B4"/>
    <mergeCell ref="C3:C4"/>
    <mergeCell ref="D3:D4"/>
    <mergeCell ref="E3:E4"/>
    <mergeCell ref="F3:G3"/>
    <mergeCell ref="A20:G20"/>
    <mergeCell ref="A21:G21"/>
    <mergeCell ref="A22:A23"/>
    <mergeCell ref="B22:B23"/>
    <mergeCell ref="C22:C23"/>
    <mergeCell ref="D22:D23"/>
    <mergeCell ref="E22:F22"/>
    <mergeCell ref="A58:E58"/>
    <mergeCell ref="A69:G69"/>
    <mergeCell ref="A70:G70"/>
    <mergeCell ref="B71:B72"/>
    <mergeCell ref="D71:D72"/>
    <mergeCell ref="A60:A61"/>
    <mergeCell ref="B60:B61"/>
    <mergeCell ref="A59:E59"/>
  </mergeCells>
  <phoneticPr fontId="8" type="noConversion"/>
  <pageMargins left="0.7" right="0.7" top="0.75" bottom="0.75" header="0.3" footer="0.3"/>
  <pageSetup orientation="portrait" r:id="rId1"/>
  <ignoredErrors>
    <ignoredError sqref="C47:G47 D34:D37 E62:E65"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B1:Y45"/>
  <sheetViews>
    <sheetView zoomScale="70" zoomScaleNormal="70" workbookViewId="0">
      <pane xSplit="3" ySplit="2" topLeftCell="D3" activePane="bottomRight" state="frozen"/>
      <selection pane="topRight" activeCell="D1" sqref="D1"/>
      <selection pane="bottomLeft" activeCell="A3" sqref="A3"/>
      <selection pane="bottomRight" activeCell="C13" sqref="C13"/>
    </sheetView>
  </sheetViews>
  <sheetFormatPr defaultRowHeight="15.75"/>
  <cols>
    <col min="1" max="1" width="3.625" customWidth="1"/>
    <col min="2" max="2" width="4.75" style="6" customWidth="1"/>
    <col min="3" max="3" width="19.625" customWidth="1"/>
    <col min="4" max="5" width="9" customWidth="1"/>
    <col min="9" max="9" width="9" customWidth="1"/>
  </cols>
  <sheetData>
    <row r="1" spans="2:25">
      <c r="B1" s="266" t="s">
        <v>4</v>
      </c>
    </row>
    <row r="2" spans="2:25">
      <c r="D2" s="151">
        <v>2009</v>
      </c>
      <c r="E2" s="151">
        <v>2010</v>
      </c>
      <c r="F2" s="151">
        <f>+E2+1</f>
        <v>2011</v>
      </c>
      <c r="G2" s="151">
        <f>+F2+1</f>
        <v>2012</v>
      </c>
      <c r="H2" s="151">
        <f>+G2+1</f>
        <v>2013</v>
      </c>
      <c r="I2" s="151">
        <f>+H2+1</f>
        <v>2014</v>
      </c>
      <c r="J2" s="151">
        <f t="shared" ref="J2:Y2" si="0">+I2+1</f>
        <v>2015</v>
      </c>
      <c r="K2" s="151">
        <f t="shared" si="0"/>
        <v>2016</v>
      </c>
      <c r="L2" s="151">
        <f t="shared" si="0"/>
        <v>2017</v>
      </c>
      <c r="M2" s="151">
        <f t="shared" si="0"/>
        <v>2018</v>
      </c>
      <c r="N2" s="151">
        <f t="shared" si="0"/>
        <v>2019</v>
      </c>
      <c r="O2" s="151">
        <f t="shared" si="0"/>
        <v>2020</v>
      </c>
      <c r="P2" s="151">
        <f t="shared" si="0"/>
        <v>2021</v>
      </c>
      <c r="Q2" s="151">
        <f t="shared" si="0"/>
        <v>2022</v>
      </c>
      <c r="R2" s="151">
        <f t="shared" si="0"/>
        <v>2023</v>
      </c>
      <c r="S2" s="151">
        <f t="shared" si="0"/>
        <v>2024</v>
      </c>
      <c r="T2" s="151">
        <f t="shared" si="0"/>
        <v>2025</v>
      </c>
      <c r="U2" s="151">
        <f t="shared" si="0"/>
        <v>2026</v>
      </c>
      <c r="V2" s="151">
        <f t="shared" si="0"/>
        <v>2027</v>
      </c>
      <c r="W2" s="151">
        <f t="shared" si="0"/>
        <v>2028</v>
      </c>
      <c r="X2" s="151">
        <f t="shared" si="0"/>
        <v>2029</v>
      </c>
      <c r="Y2" s="151">
        <f t="shared" si="0"/>
        <v>2030</v>
      </c>
    </row>
    <row r="3" spans="2:25" ht="16.5" thickBot="1">
      <c r="B3" s="6" t="s">
        <v>1015</v>
      </c>
    </row>
    <row r="4" spans="2:25" ht="16.5" thickBot="1">
      <c r="C4" s="2" t="s">
        <v>1028</v>
      </c>
      <c r="D4" s="858"/>
      <c r="E4" s="859"/>
      <c r="F4" s="859"/>
      <c r="G4" s="859"/>
      <c r="H4" s="859"/>
      <c r="I4" s="859"/>
      <c r="J4" s="859"/>
      <c r="K4" s="859"/>
      <c r="L4" s="859"/>
      <c r="M4" s="859"/>
      <c r="N4" s="859"/>
      <c r="O4" s="859"/>
      <c r="P4" s="859"/>
      <c r="Q4" s="859"/>
      <c r="R4" s="859"/>
      <c r="S4" s="859"/>
      <c r="T4" s="859"/>
      <c r="U4" s="859"/>
      <c r="V4" s="859"/>
      <c r="W4" s="859"/>
      <c r="X4" s="859"/>
      <c r="Y4" s="860"/>
    </row>
    <row r="5" spans="2:25" ht="16.5" thickBot="1">
      <c r="C5" s="2" t="s">
        <v>1029</v>
      </c>
      <c r="D5" s="858"/>
      <c r="E5" s="859"/>
      <c r="F5" s="859"/>
      <c r="G5" s="859"/>
      <c r="H5" s="859"/>
      <c r="I5" s="859"/>
      <c r="J5" s="859"/>
      <c r="K5" s="859"/>
      <c r="L5" s="859"/>
      <c r="M5" s="859"/>
      <c r="N5" s="859"/>
      <c r="O5" s="859"/>
      <c r="P5" s="859"/>
      <c r="Q5" s="859"/>
      <c r="R5" s="859"/>
      <c r="S5" s="859"/>
      <c r="T5" s="859"/>
      <c r="U5" s="859"/>
      <c r="V5" s="859"/>
      <c r="W5" s="859"/>
      <c r="X5" s="859"/>
      <c r="Y5" s="860"/>
    </row>
    <row r="6" spans="2:25" ht="16.5" thickBot="1">
      <c r="B6" s="6" t="s">
        <v>1016</v>
      </c>
    </row>
    <row r="7" spans="2:25" ht="16.5" thickBot="1">
      <c r="C7" s="2" t="str">
        <f>$C$4</f>
        <v>Count</v>
      </c>
      <c r="D7" s="858"/>
      <c r="E7" s="859"/>
      <c r="F7" s="859"/>
      <c r="G7" s="859"/>
      <c r="H7" s="859"/>
      <c r="I7" s="859"/>
      <c r="J7" s="859"/>
      <c r="K7" s="859"/>
      <c r="L7" s="859"/>
      <c r="M7" s="859"/>
      <c r="N7" s="859"/>
      <c r="O7" s="859"/>
      <c r="P7" s="859"/>
      <c r="Q7" s="859"/>
      <c r="R7" s="859"/>
      <c r="S7" s="859"/>
      <c r="T7" s="859"/>
      <c r="U7" s="859"/>
      <c r="V7" s="859"/>
      <c r="W7" s="859"/>
      <c r="X7" s="859"/>
      <c r="Y7" s="860"/>
    </row>
    <row r="8" spans="2:25" ht="16.5" thickBot="1">
      <c r="C8" s="2" t="str">
        <f>$C$5</f>
        <v>Energy Use (kWh)</v>
      </c>
      <c r="D8" s="858"/>
      <c r="E8" s="859"/>
      <c r="F8" s="859"/>
      <c r="G8" s="859"/>
      <c r="H8" s="859"/>
      <c r="I8" s="859"/>
      <c r="J8" s="859"/>
      <c r="K8" s="859"/>
      <c r="L8" s="859"/>
      <c r="M8" s="859"/>
      <c r="N8" s="859"/>
      <c r="O8" s="859"/>
      <c r="P8" s="859"/>
      <c r="Q8" s="859"/>
      <c r="R8" s="859"/>
      <c r="S8" s="859"/>
      <c r="T8" s="859"/>
      <c r="U8" s="859"/>
      <c r="V8" s="859"/>
      <c r="W8" s="859"/>
      <c r="X8" s="859"/>
      <c r="Y8" s="860"/>
    </row>
    <row r="9" spans="2:25" ht="16.5" thickBot="1">
      <c r="B9" s="6" t="s">
        <v>1017</v>
      </c>
    </row>
    <row r="10" spans="2:25" ht="16.5" thickBot="1">
      <c r="C10" s="2" t="str">
        <f>$C$4</f>
        <v>Count</v>
      </c>
      <c r="D10" s="858"/>
      <c r="E10" s="859"/>
      <c r="F10" s="859"/>
      <c r="G10" s="859"/>
      <c r="H10" s="859"/>
      <c r="I10" s="859"/>
      <c r="J10" s="859"/>
      <c r="K10" s="859"/>
      <c r="L10" s="859"/>
      <c r="M10" s="859"/>
      <c r="N10" s="859"/>
      <c r="O10" s="859"/>
      <c r="P10" s="859"/>
      <c r="Q10" s="859"/>
      <c r="R10" s="859"/>
      <c r="S10" s="859"/>
      <c r="T10" s="859"/>
      <c r="U10" s="859"/>
      <c r="V10" s="859"/>
      <c r="W10" s="859"/>
      <c r="X10" s="859"/>
      <c r="Y10" s="860"/>
    </row>
    <row r="11" spans="2:25" ht="16.5" thickBot="1">
      <c r="C11" s="2" t="str">
        <f>$C$5</f>
        <v>Energy Use (kWh)</v>
      </c>
      <c r="D11" s="858"/>
      <c r="E11" s="859"/>
      <c r="F11" s="859"/>
      <c r="G11" s="859"/>
      <c r="H11" s="859"/>
      <c r="I11" s="859"/>
      <c r="J11" s="859"/>
      <c r="K11" s="859"/>
      <c r="L11" s="859"/>
      <c r="M11" s="859"/>
      <c r="N11" s="859"/>
      <c r="O11" s="859"/>
      <c r="P11" s="859"/>
      <c r="Q11" s="859"/>
      <c r="R11" s="859"/>
      <c r="S11" s="859"/>
      <c r="T11" s="859"/>
      <c r="U11" s="859"/>
      <c r="V11" s="859"/>
      <c r="W11" s="859"/>
      <c r="X11" s="859"/>
      <c r="Y11" s="860"/>
    </row>
    <row r="12" spans="2:25" ht="16.5" thickBot="1">
      <c r="B12" s="6" t="s">
        <v>1018</v>
      </c>
    </row>
    <row r="13" spans="2:25" ht="16.5" thickBot="1">
      <c r="C13" s="2" t="str">
        <f>$C$4</f>
        <v>Count</v>
      </c>
      <c r="D13" s="858"/>
      <c r="E13" s="859"/>
      <c r="F13" s="859"/>
      <c r="G13" s="859"/>
      <c r="H13" s="859"/>
      <c r="I13" s="859"/>
      <c r="J13" s="859"/>
      <c r="K13" s="859"/>
      <c r="L13" s="859"/>
      <c r="M13" s="859"/>
      <c r="N13" s="859"/>
      <c r="O13" s="859"/>
      <c r="P13" s="859"/>
      <c r="Q13" s="859"/>
      <c r="R13" s="859"/>
      <c r="S13" s="859"/>
      <c r="T13" s="859"/>
      <c r="U13" s="859"/>
      <c r="V13" s="859"/>
      <c r="W13" s="859"/>
      <c r="X13" s="859"/>
      <c r="Y13" s="860"/>
    </row>
    <row r="14" spans="2:25" ht="16.5" thickBot="1">
      <c r="C14" s="2" t="str">
        <f>$C$5</f>
        <v>Energy Use (kWh)</v>
      </c>
      <c r="D14" s="858"/>
      <c r="E14" s="859"/>
      <c r="F14" s="859"/>
      <c r="G14" s="859"/>
      <c r="H14" s="859"/>
      <c r="I14" s="859"/>
      <c r="J14" s="859"/>
      <c r="K14" s="859"/>
      <c r="L14" s="859"/>
      <c r="M14" s="859"/>
      <c r="N14" s="859"/>
      <c r="O14" s="859"/>
      <c r="P14" s="859"/>
      <c r="Q14" s="859"/>
      <c r="R14" s="859"/>
      <c r="S14" s="859"/>
      <c r="T14" s="859"/>
      <c r="U14" s="859"/>
      <c r="V14" s="859"/>
      <c r="W14" s="859"/>
      <c r="X14" s="859"/>
      <c r="Y14" s="860"/>
    </row>
    <row r="15" spans="2:25" ht="16.5" thickBot="1">
      <c r="B15" s="6" t="s">
        <v>1019</v>
      </c>
    </row>
    <row r="16" spans="2:25" ht="16.5" thickBot="1">
      <c r="C16" s="2" t="str">
        <f>$C$4</f>
        <v>Count</v>
      </c>
      <c r="D16" s="858"/>
      <c r="E16" s="859"/>
      <c r="F16" s="859"/>
      <c r="G16" s="859"/>
      <c r="H16" s="859"/>
      <c r="I16" s="859"/>
      <c r="J16" s="859"/>
      <c r="K16" s="859"/>
      <c r="L16" s="859"/>
      <c r="M16" s="859"/>
      <c r="N16" s="859"/>
      <c r="O16" s="859"/>
      <c r="P16" s="859"/>
      <c r="Q16" s="859"/>
      <c r="R16" s="859"/>
      <c r="S16" s="859"/>
      <c r="T16" s="859"/>
      <c r="U16" s="859"/>
      <c r="V16" s="859"/>
      <c r="W16" s="859"/>
      <c r="X16" s="859"/>
      <c r="Y16" s="860"/>
    </row>
    <row r="17" spans="2:25" ht="16.5" thickBot="1">
      <c r="C17" s="2" t="str">
        <f>$C$5</f>
        <v>Energy Use (kWh)</v>
      </c>
      <c r="D17" s="858"/>
      <c r="E17" s="859"/>
      <c r="F17" s="859"/>
      <c r="G17" s="859"/>
      <c r="H17" s="859"/>
      <c r="I17" s="859"/>
      <c r="J17" s="859"/>
      <c r="K17" s="859"/>
      <c r="L17" s="859"/>
      <c r="M17" s="859"/>
      <c r="N17" s="859"/>
      <c r="O17" s="859"/>
      <c r="P17" s="859"/>
      <c r="Q17" s="859"/>
      <c r="R17" s="859"/>
      <c r="S17" s="859"/>
      <c r="T17" s="859"/>
      <c r="U17" s="859"/>
      <c r="V17" s="859"/>
      <c r="W17" s="859"/>
      <c r="X17" s="859"/>
      <c r="Y17" s="860"/>
    </row>
    <row r="18" spans="2:25" ht="16.5" thickBot="1">
      <c r="B18" s="6" t="s">
        <v>1020</v>
      </c>
    </row>
    <row r="19" spans="2:25" ht="16.5" thickBot="1">
      <c r="C19" s="2" t="str">
        <f>$C$4</f>
        <v>Count</v>
      </c>
      <c r="D19" s="858"/>
      <c r="E19" s="859"/>
      <c r="F19" s="859"/>
      <c r="G19" s="859"/>
      <c r="H19" s="859"/>
      <c r="I19" s="859"/>
      <c r="J19" s="859"/>
      <c r="K19" s="859"/>
      <c r="L19" s="859"/>
      <c r="M19" s="859"/>
      <c r="N19" s="859"/>
      <c r="O19" s="859"/>
      <c r="P19" s="859"/>
      <c r="Q19" s="859"/>
      <c r="R19" s="859"/>
      <c r="S19" s="859"/>
      <c r="T19" s="859"/>
      <c r="U19" s="859"/>
      <c r="V19" s="859"/>
      <c r="W19" s="859"/>
      <c r="X19" s="859"/>
      <c r="Y19" s="860"/>
    </row>
    <row r="20" spans="2:25" ht="16.5" thickBot="1">
      <c r="C20" s="2" t="str">
        <f>$C$5</f>
        <v>Energy Use (kWh)</v>
      </c>
      <c r="D20" s="858"/>
      <c r="E20" s="859"/>
      <c r="F20" s="859"/>
      <c r="G20" s="859"/>
      <c r="H20" s="859"/>
      <c r="I20" s="859"/>
      <c r="J20" s="859"/>
      <c r="K20" s="859"/>
      <c r="L20" s="859"/>
      <c r="M20" s="859"/>
      <c r="N20" s="859"/>
      <c r="O20" s="859"/>
      <c r="P20" s="859"/>
      <c r="Q20" s="859"/>
      <c r="R20" s="859"/>
      <c r="S20" s="859"/>
      <c r="T20" s="859"/>
      <c r="U20" s="859"/>
      <c r="V20" s="859"/>
      <c r="W20" s="859"/>
      <c r="X20" s="859"/>
      <c r="Y20" s="860"/>
    </row>
    <row r="21" spans="2:25" ht="16.5" thickBot="1">
      <c r="B21" s="6" t="s">
        <v>1021</v>
      </c>
    </row>
    <row r="22" spans="2:25" ht="16.5" thickBot="1">
      <c r="C22" s="2" t="str">
        <f>$C$4</f>
        <v>Count</v>
      </c>
      <c r="D22" s="858"/>
      <c r="E22" s="859"/>
      <c r="F22" s="859"/>
      <c r="G22" s="859"/>
      <c r="H22" s="859"/>
      <c r="I22" s="859"/>
      <c r="J22" s="859"/>
      <c r="K22" s="859"/>
      <c r="L22" s="859"/>
      <c r="M22" s="859"/>
      <c r="N22" s="859"/>
      <c r="O22" s="859"/>
      <c r="P22" s="859"/>
      <c r="Q22" s="859"/>
      <c r="R22" s="859"/>
      <c r="S22" s="859"/>
      <c r="T22" s="859"/>
      <c r="U22" s="859"/>
      <c r="V22" s="859"/>
      <c r="W22" s="859"/>
      <c r="X22" s="859"/>
      <c r="Y22" s="860"/>
    </row>
    <row r="23" spans="2:25" ht="16.5" thickBot="1">
      <c r="C23" s="2" t="str">
        <f>$C$5</f>
        <v>Energy Use (kWh)</v>
      </c>
      <c r="D23" s="858"/>
      <c r="E23" s="859"/>
      <c r="F23" s="859"/>
      <c r="G23" s="859"/>
      <c r="H23" s="859"/>
      <c r="I23" s="859"/>
      <c r="J23" s="859"/>
      <c r="K23" s="859"/>
      <c r="L23" s="859"/>
      <c r="M23" s="859"/>
      <c r="N23" s="859"/>
      <c r="O23" s="859"/>
      <c r="P23" s="859"/>
      <c r="Q23" s="859"/>
      <c r="R23" s="859"/>
      <c r="S23" s="859"/>
      <c r="T23" s="859"/>
      <c r="U23" s="859"/>
      <c r="V23" s="859"/>
      <c r="W23" s="859"/>
      <c r="X23" s="859"/>
      <c r="Y23" s="860"/>
    </row>
    <row r="24" spans="2:25" ht="16.5" thickBot="1">
      <c r="B24" s="6" t="s">
        <v>1022</v>
      </c>
    </row>
    <row r="25" spans="2:25" ht="16.5" thickBot="1">
      <c r="C25" s="2" t="str">
        <f>$C$4</f>
        <v>Count</v>
      </c>
      <c r="D25" s="858"/>
      <c r="E25" s="859"/>
      <c r="F25" s="859"/>
      <c r="G25" s="859"/>
      <c r="H25" s="859"/>
      <c r="I25" s="859"/>
      <c r="J25" s="859"/>
      <c r="K25" s="859"/>
      <c r="L25" s="859"/>
      <c r="M25" s="859"/>
      <c r="N25" s="859"/>
      <c r="O25" s="859"/>
      <c r="P25" s="859"/>
      <c r="Q25" s="859"/>
      <c r="R25" s="859"/>
      <c r="S25" s="859"/>
      <c r="T25" s="859"/>
      <c r="U25" s="859"/>
      <c r="V25" s="859"/>
      <c r="W25" s="859"/>
      <c r="X25" s="859"/>
      <c r="Y25" s="860"/>
    </row>
    <row r="26" spans="2:25" ht="16.5" thickBot="1">
      <c r="C26" s="2" t="str">
        <f>$C$5</f>
        <v>Energy Use (kWh)</v>
      </c>
      <c r="D26" s="858"/>
      <c r="E26" s="859"/>
      <c r="F26" s="859"/>
      <c r="G26" s="859"/>
      <c r="H26" s="859"/>
      <c r="I26" s="859"/>
      <c r="J26" s="859"/>
      <c r="K26" s="859"/>
      <c r="L26" s="859"/>
      <c r="M26" s="859"/>
      <c r="N26" s="859"/>
      <c r="O26" s="859"/>
      <c r="P26" s="859"/>
      <c r="Q26" s="859"/>
      <c r="R26" s="859"/>
      <c r="S26" s="859"/>
      <c r="T26" s="859"/>
      <c r="U26" s="859"/>
      <c r="V26" s="859"/>
      <c r="W26" s="859"/>
      <c r="X26" s="859"/>
      <c r="Y26" s="860"/>
    </row>
    <row r="27" spans="2:25" ht="16.5" thickBot="1">
      <c r="B27" s="6" t="s">
        <v>1023</v>
      </c>
    </row>
    <row r="28" spans="2:25" ht="16.5" thickBot="1">
      <c r="C28" s="2" t="str">
        <f>$C$4</f>
        <v>Count</v>
      </c>
      <c r="D28" s="858"/>
      <c r="E28" s="859"/>
      <c r="F28" s="859"/>
      <c r="G28" s="859"/>
      <c r="H28" s="859"/>
      <c r="I28" s="859"/>
      <c r="J28" s="859"/>
      <c r="K28" s="859"/>
      <c r="L28" s="859"/>
      <c r="M28" s="859"/>
      <c r="N28" s="859"/>
      <c r="O28" s="859"/>
      <c r="P28" s="859"/>
      <c r="Q28" s="859"/>
      <c r="R28" s="859"/>
      <c r="S28" s="859"/>
      <c r="T28" s="859"/>
      <c r="U28" s="859"/>
      <c r="V28" s="859"/>
      <c r="W28" s="859"/>
      <c r="X28" s="859"/>
      <c r="Y28" s="860"/>
    </row>
    <row r="29" spans="2:25" ht="16.5" thickBot="1">
      <c r="C29" s="2" t="str">
        <f>$C$5</f>
        <v>Energy Use (kWh)</v>
      </c>
      <c r="D29" s="858"/>
      <c r="E29" s="859"/>
      <c r="F29" s="859"/>
      <c r="G29" s="859"/>
      <c r="H29" s="859"/>
      <c r="I29" s="859"/>
      <c r="J29" s="859"/>
      <c r="K29" s="859"/>
      <c r="L29" s="859"/>
      <c r="M29" s="859"/>
      <c r="N29" s="859"/>
      <c r="O29" s="859"/>
      <c r="P29" s="859"/>
      <c r="Q29" s="859"/>
      <c r="R29" s="859"/>
      <c r="S29" s="859"/>
      <c r="T29" s="859"/>
      <c r="U29" s="859"/>
      <c r="V29" s="859"/>
      <c r="W29" s="859"/>
      <c r="X29" s="859"/>
      <c r="Y29" s="860"/>
    </row>
    <row r="30" spans="2:25" ht="16.5" thickBot="1">
      <c r="B30" s="6" t="s">
        <v>1024</v>
      </c>
    </row>
    <row r="31" spans="2:25" ht="16.5" thickBot="1">
      <c r="C31" s="2" t="str">
        <f>$C$4</f>
        <v>Count</v>
      </c>
      <c r="D31" s="858"/>
      <c r="E31" s="859"/>
      <c r="F31" s="859"/>
      <c r="G31" s="859"/>
      <c r="H31" s="859"/>
      <c r="I31" s="859"/>
      <c r="J31" s="859"/>
      <c r="K31" s="859"/>
      <c r="L31" s="859"/>
      <c r="M31" s="859"/>
      <c r="N31" s="859"/>
      <c r="O31" s="859"/>
      <c r="P31" s="859"/>
      <c r="Q31" s="859"/>
      <c r="R31" s="859"/>
      <c r="S31" s="859"/>
      <c r="T31" s="859"/>
      <c r="U31" s="859"/>
      <c r="V31" s="859"/>
      <c r="W31" s="859"/>
      <c r="X31" s="859"/>
      <c r="Y31" s="860"/>
    </row>
    <row r="32" spans="2:25" ht="16.5" thickBot="1">
      <c r="C32" s="2" t="str">
        <f>$C$5</f>
        <v>Energy Use (kWh)</v>
      </c>
      <c r="D32" s="858"/>
      <c r="E32" s="859"/>
      <c r="F32" s="859"/>
      <c r="G32" s="859"/>
      <c r="H32" s="859"/>
      <c r="I32" s="859"/>
      <c r="J32" s="859"/>
      <c r="K32" s="859"/>
      <c r="L32" s="859"/>
      <c r="M32" s="859"/>
      <c r="N32" s="859"/>
      <c r="O32" s="859"/>
      <c r="P32" s="859"/>
      <c r="Q32" s="859"/>
      <c r="R32" s="859"/>
      <c r="S32" s="859"/>
      <c r="T32" s="859"/>
      <c r="U32" s="859"/>
      <c r="V32" s="859"/>
      <c r="W32" s="859"/>
      <c r="X32" s="859"/>
      <c r="Y32" s="860"/>
    </row>
    <row r="33" spans="2:25" ht="16.5" thickBot="1">
      <c r="B33" s="6" t="s">
        <v>1025</v>
      </c>
    </row>
    <row r="34" spans="2:25" ht="16.5" thickBot="1">
      <c r="C34" s="2" t="str">
        <f>$C$4</f>
        <v>Count</v>
      </c>
      <c r="D34" s="858"/>
      <c r="E34" s="859"/>
      <c r="F34" s="859"/>
      <c r="G34" s="859"/>
      <c r="H34" s="859"/>
      <c r="I34" s="859"/>
      <c r="J34" s="859"/>
      <c r="K34" s="859"/>
      <c r="L34" s="859"/>
      <c r="M34" s="859"/>
      <c r="N34" s="859"/>
      <c r="O34" s="859"/>
      <c r="P34" s="859"/>
      <c r="Q34" s="859"/>
      <c r="R34" s="859"/>
      <c r="S34" s="859"/>
      <c r="T34" s="859"/>
      <c r="U34" s="859"/>
      <c r="V34" s="859"/>
      <c r="W34" s="859"/>
      <c r="X34" s="859"/>
      <c r="Y34" s="860"/>
    </row>
    <row r="35" spans="2:25" ht="16.5" thickBot="1">
      <c r="C35" s="2" t="str">
        <f>$C$5</f>
        <v>Energy Use (kWh)</v>
      </c>
      <c r="D35" s="858"/>
      <c r="E35" s="859"/>
      <c r="F35" s="859"/>
      <c r="G35" s="859"/>
      <c r="H35" s="859"/>
      <c r="I35" s="859"/>
      <c r="J35" s="859"/>
      <c r="K35" s="859"/>
      <c r="L35" s="859"/>
      <c r="M35" s="859"/>
      <c r="N35" s="859"/>
      <c r="O35" s="859"/>
      <c r="P35" s="859"/>
      <c r="Q35" s="859"/>
      <c r="R35" s="859"/>
      <c r="S35" s="859"/>
      <c r="T35" s="859"/>
      <c r="U35" s="859"/>
      <c r="V35" s="859"/>
      <c r="W35" s="859"/>
      <c r="X35" s="859"/>
      <c r="Y35" s="860"/>
    </row>
    <row r="36" spans="2:25" ht="16.5" thickBot="1">
      <c r="B36" s="6" t="s">
        <v>1026</v>
      </c>
    </row>
    <row r="37" spans="2:25" ht="16.5" thickBot="1">
      <c r="C37" s="2" t="str">
        <f>$C$4</f>
        <v>Count</v>
      </c>
      <c r="D37" s="858"/>
      <c r="E37" s="859"/>
      <c r="F37" s="859"/>
      <c r="G37" s="859"/>
      <c r="H37" s="859"/>
      <c r="I37" s="859"/>
      <c r="J37" s="859"/>
      <c r="K37" s="859"/>
      <c r="L37" s="859"/>
      <c r="M37" s="859"/>
      <c r="N37" s="859"/>
      <c r="O37" s="859"/>
      <c r="P37" s="859"/>
      <c r="Q37" s="859"/>
      <c r="R37" s="859"/>
      <c r="S37" s="859"/>
      <c r="T37" s="859"/>
      <c r="U37" s="859"/>
      <c r="V37" s="859"/>
      <c r="W37" s="859"/>
      <c r="X37" s="859"/>
      <c r="Y37" s="860"/>
    </row>
    <row r="38" spans="2:25" ht="16.5" thickBot="1">
      <c r="C38" s="2" t="str">
        <f>$C$5</f>
        <v>Energy Use (kWh)</v>
      </c>
      <c r="D38" s="858"/>
      <c r="E38" s="859"/>
      <c r="F38" s="859"/>
      <c r="G38" s="859"/>
      <c r="H38" s="859"/>
      <c r="I38" s="859"/>
      <c r="J38" s="859"/>
      <c r="K38" s="859"/>
      <c r="L38" s="859"/>
      <c r="M38" s="859"/>
      <c r="N38" s="859"/>
      <c r="O38" s="859"/>
      <c r="P38" s="859"/>
      <c r="Q38" s="859"/>
      <c r="R38" s="859"/>
      <c r="S38" s="859"/>
      <c r="T38" s="859"/>
      <c r="U38" s="859"/>
      <c r="V38" s="859"/>
      <c r="W38" s="859"/>
      <c r="X38" s="859"/>
      <c r="Y38" s="860"/>
    </row>
    <row r="39" spans="2:25" ht="16.5" thickBot="1">
      <c r="B39" s="6" t="s">
        <v>1027</v>
      </c>
    </row>
    <row r="40" spans="2:25" ht="16.5" thickBot="1">
      <c r="C40" s="2" t="str">
        <f>$C$4</f>
        <v>Count</v>
      </c>
      <c r="D40" s="858"/>
      <c r="E40" s="859"/>
      <c r="F40" s="859"/>
      <c r="G40" s="859"/>
      <c r="H40" s="859"/>
      <c r="I40" s="859"/>
      <c r="J40" s="859"/>
      <c r="K40" s="859"/>
      <c r="L40" s="859"/>
      <c r="M40" s="859"/>
      <c r="N40" s="859"/>
      <c r="O40" s="859"/>
      <c r="P40" s="859"/>
      <c r="Q40" s="859"/>
      <c r="R40" s="859"/>
      <c r="S40" s="859"/>
      <c r="T40" s="859"/>
      <c r="U40" s="859"/>
      <c r="V40" s="859"/>
      <c r="W40" s="859"/>
      <c r="X40" s="859"/>
      <c r="Y40" s="860"/>
    </row>
    <row r="41" spans="2:25" ht="16.5" thickBot="1">
      <c r="C41" s="2" t="str">
        <f>$C$5</f>
        <v>Energy Use (kWh)</v>
      </c>
      <c r="D41" s="858"/>
      <c r="E41" s="859"/>
      <c r="F41" s="859"/>
      <c r="G41" s="859"/>
      <c r="H41" s="859"/>
      <c r="I41" s="859"/>
      <c r="J41" s="859"/>
      <c r="K41" s="859"/>
      <c r="L41" s="859"/>
      <c r="M41" s="859"/>
      <c r="N41" s="859"/>
      <c r="O41" s="859"/>
      <c r="P41" s="859"/>
      <c r="Q41" s="859"/>
      <c r="R41" s="859"/>
      <c r="S41" s="859"/>
      <c r="T41" s="859"/>
      <c r="U41" s="859"/>
      <c r="V41" s="859"/>
      <c r="W41" s="859"/>
      <c r="X41" s="859"/>
      <c r="Y41" s="860"/>
    </row>
    <row r="44" spans="2:25">
      <c r="C44" s="6" t="str">
        <f>$C$4</f>
        <v>Count</v>
      </c>
      <c r="D44" s="834">
        <f>SUMIF($C$4:$C$41,$C44,D$4:D$41)</f>
        <v>0</v>
      </c>
      <c r="E44" s="834">
        <f t="shared" ref="E44:Y45" si="1">SUMIF($C$4:$C$41,$C44,E$4:E$41)</f>
        <v>0</v>
      </c>
      <c r="F44" s="834">
        <f t="shared" si="1"/>
        <v>0</v>
      </c>
      <c r="G44" s="834">
        <f t="shared" si="1"/>
        <v>0</v>
      </c>
      <c r="H44" s="834">
        <f t="shared" si="1"/>
        <v>0</v>
      </c>
      <c r="I44" s="834">
        <f t="shared" si="1"/>
        <v>0</v>
      </c>
      <c r="J44" s="834">
        <f t="shared" si="1"/>
        <v>0</v>
      </c>
      <c r="K44" s="834">
        <f t="shared" si="1"/>
        <v>0</v>
      </c>
      <c r="L44" s="834">
        <f t="shared" si="1"/>
        <v>0</v>
      </c>
      <c r="M44" s="834">
        <f t="shared" si="1"/>
        <v>0</v>
      </c>
      <c r="N44" s="834">
        <f t="shared" si="1"/>
        <v>0</v>
      </c>
      <c r="O44" s="834">
        <f t="shared" si="1"/>
        <v>0</v>
      </c>
      <c r="P44" s="834">
        <f t="shared" si="1"/>
        <v>0</v>
      </c>
      <c r="Q44" s="834">
        <f t="shared" si="1"/>
        <v>0</v>
      </c>
      <c r="R44" s="834">
        <f t="shared" si="1"/>
        <v>0</v>
      </c>
      <c r="S44" s="834">
        <f t="shared" si="1"/>
        <v>0</v>
      </c>
      <c r="T44" s="834">
        <f t="shared" si="1"/>
        <v>0</v>
      </c>
      <c r="U44" s="834">
        <f t="shared" si="1"/>
        <v>0</v>
      </c>
      <c r="V44" s="834">
        <f t="shared" si="1"/>
        <v>0</v>
      </c>
      <c r="W44" s="834">
        <f t="shared" si="1"/>
        <v>0</v>
      </c>
      <c r="X44" s="834">
        <f t="shared" si="1"/>
        <v>0</v>
      </c>
      <c r="Y44" s="834">
        <f t="shared" si="1"/>
        <v>0</v>
      </c>
    </row>
    <row r="45" spans="2:25">
      <c r="C45" s="6" t="str">
        <f>$C$5</f>
        <v>Energy Use (kWh)</v>
      </c>
      <c r="D45" s="834">
        <f>SUMIF($C$4:$C$41,$C45,D$4:D$41)</f>
        <v>0</v>
      </c>
      <c r="E45" s="834">
        <f t="shared" si="1"/>
        <v>0</v>
      </c>
      <c r="F45" s="834">
        <f t="shared" si="1"/>
        <v>0</v>
      </c>
      <c r="G45" s="834">
        <f t="shared" si="1"/>
        <v>0</v>
      </c>
      <c r="H45" s="834">
        <f t="shared" si="1"/>
        <v>0</v>
      </c>
      <c r="I45" s="834">
        <f t="shared" si="1"/>
        <v>0</v>
      </c>
      <c r="J45" s="834">
        <f t="shared" si="1"/>
        <v>0</v>
      </c>
      <c r="K45" s="834">
        <f t="shared" si="1"/>
        <v>0</v>
      </c>
      <c r="L45" s="834">
        <f t="shared" si="1"/>
        <v>0</v>
      </c>
      <c r="M45" s="834">
        <f t="shared" si="1"/>
        <v>0</v>
      </c>
      <c r="N45" s="834">
        <f t="shared" si="1"/>
        <v>0</v>
      </c>
      <c r="O45" s="834">
        <f t="shared" si="1"/>
        <v>0</v>
      </c>
      <c r="P45" s="834">
        <f t="shared" si="1"/>
        <v>0</v>
      </c>
      <c r="Q45" s="834">
        <f t="shared" si="1"/>
        <v>0</v>
      </c>
      <c r="R45" s="834">
        <f t="shared" si="1"/>
        <v>0</v>
      </c>
      <c r="S45" s="834">
        <f t="shared" si="1"/>
        <v>0</v>
      </c>
      <c r="T45" s="834">
        <f t="shared" si="1"/>
        <v>0</v>
      </c>
      <c r="U45" s="834">
        <f t="shared" si="1"/>
        <v>0</v>
      </c>
      <c r="V45" s="834">
        <f t="shared" si="1"/>
        <v>0</v>
      </c>
      <c r="W45" s="834">
        <f t="shared" si="1"/>
        <v>0</v>
      </c>
      <c r="X45" s="834">
        <f t="shared" si="1"/>
        <v>0</v>
      </c>
      <c r="Y45" s="834">
        <f t="shared" si="1"/>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K173"/>
  <sheetViews>
    <sheetView zoomScale="70" zoomScaleNormal="70" workbookViewId="0">
      <pane xSplit="1" ySplit="4" topLeftCell="B26" activePane="bottomRight" state="frozen"/>
      <selection activeCell="D11" sqref="D11"/>
      <selection pane="topRight" activeCell="D11" sqref="D11"/>
      <selection pane="bottomLeft" activeCell="D11" sqref="D11"/>
      <selection pane="bottomRight" activeCell="G48" sqref="G48"/>
    </sheetView>
  </sheetViews>
  <sheetFormatPr defaultRowHeight="15"/>
  <cols>
    <col min="1" max="1" width="38.875" style="1520" customWidth="1"/>
    <col min="2" max="2" width="17.75" style="2380" customWidth="1"/>
    <col min="3" max="34" width="17.375" style="1520" customWidth="1"/>
    <col min="35" max="36" width="9" style="1520"/>
    <col min="37" max="37" width="12.375" style="2375" customWidth="1"/>
    <col min="38" max="16384" width="9" style="1520"/>
  </cols>
  <sheetData>
    <row r="1" spans="1:37">
      <c r="A1" s="3142" t="s">
        <v>2181</v>
      </c>
      <c r="B1" s="3142" t="s">
        <v>2787</v>
      </c>
    </row>
    <row r="2" spans="1:37">
      <c r="A2" s="3142" t="s">
        <v>3490</v>
      </c>
      <c r="B2" s="3142" t="s">
        <v>3492</v>
      </c>
    </row>
    <row r="3" spans="1:37" ht="15.75">
      <c r="B3"/>
    </row>
    <row r="4" spans="1:37">
      <c r="B4" s="2339">
        <v>2013</v>
      </c>
      <c r="C4" s="2339">
        <v>2014</v>
      </c>
      <c r="D4" s="2339">
        <v>2015</v>
      </c>
      <c r="E4" s="1646">
        <v>2016</v>
      </c>
      <c r="F4" s="1646">
        <v>2017</v>
      </c>
      <c r="G4" s="1646">
        <v>2018</v>
      </c>
      <c r="H4" s="1646">
        <v>2019</v>
      </c>
      <c r="I4" s="1646">
        <v>2020</v>
      </c>
      <c r="J4" s="1646">
        <v>2021</v>
      </c>
      <c r="K4" s="1646">
        <v>2022</v>
      </c>
      <c r="L4" s="1646">
        <v>2023</v>
      </c>
      <c r="M4" s="1646">
        <v>2024</v>
      </c>
      <c r="N4" s="1646">
        <v>2025</v>
      </c>
      <c r="O4" s="1646">
        <v>2026</v>
      </c>
      <c r="P4" s="1646">
        <v>2027</v>
      </c>
      <c r="Q4" s="1646">
        <v>2028</v>
      </c>
      <c r="R4" s="1646">
        <v>2029</v>
      </c>
      <c r="S4" s="1646">
        <v>2030</v>
      </c>
      <c r="T4" s="1646">
        <v>2031</v>
      </c>
      <c r="U4" s="1646">
        <v>2032</v>
      </c>
      <c r="V4" s="1646">
        <v>2033</v>
      </c>
      <c r="W4" s="1646">
        <v>2034</v>
      </c>
      <c r="X4" s="1646">
        <v>2035</v>
      </c>
      <c r="Y4" s="1646">
        <v>2036</v>
      </c>
      <c r="Z4" s="1646">
        <v>2037</v>
      </c>
      <c r="AA4" s="1646">
        <v>2038</v>
      </c>
      <c r="AB4" s="1646">
        <v>2039</v>
      </c>
      <c r="AC4" s="1646">
        <v>2040</v>
      </c>
      <c r="AD4" s="1646">
        <v>2041</v>
      </c>
      <c r="AE4" s="1646">
        <v>2042</v>
      </c>
      <c r="AF4" s="1646">
        <v>2043</v>
      </c>
      <c r="AG4" s="1646">
        <v>2044</v>
      </c>
      <c r="AH4" s="1646">
        <v>2045</v>
      </c>
      <c r="AK4" s="2375" t="s">
        <v>2884</v>
      </c>
    </row>
    <row r="5" spans="1:37">
      <c r="A5" s="1647" t="s">
        <v>2545</v>
      </c>
      <c r="C5" s="2380"/>
      <c r="D5" s="2380"/>
    </row>
    <row r="6" spans="1:37">
      <c r="A6" s="1520" t="s">
        <v>2546</v>
      </c>
      <c r="C6" s="2380"/>
      <c r="D6" s="2380"/>
      <c r="E6" s="1705">
        <f t="shared" ref="E6:AH6" si="0">+D10</f>
        <v>1191280000</v>
      </c>
      <c r="F6" s="1705">
        <f t="shared" si="0"/>
        <v>1224163498.7306068</v>
      </c>
      <c r="G6" s="1705">
        <f t="shared" si="0"/>
        <v>1251652170.3156681</v>
      </c>
      <c r="H6" s="1705">
        <f t="shared" si="0"/>
        <v>1241824163.9693987</v>
      </c>
      <c r="I6" s="1705">
        <f t="shared" si="0"/>
        <v>1236586225.3824174</v>
      </c>
      <c r="J6" s="1705">
        <f t="shared" si="0"/>
        <v>1236963755.8251734</v>
      </c>
      <c r="K6" s="1705">
        <f t="shared" si="0"/>
        <v>1233629048.6482995</v>
      </c>
      <c r="L6" s="1705">
        <f t="shared" si="0"/>
        <v>1241404180.9396217</v>
      </c>
      <c r="M6" s="1705">
        <f t="shared" si="0"/>
        <v>1219920083.3379786</v>
      </c>
      <c r="N6" s="1705">
        <f t="shared" si="0"/>
        <v>1244707518.1771498</v>
      </c>
      <c r="O6" s="1705">
        <f t="shared" si="0"/>
        <v>1254591734.9025755</v>
      </c>
      <c r="P6" s="1705">
        <f t="shared" si="0"/>
        <v>1229712018.0356863</v>
      </c>
      <c r="Q6" s="1705">
        <f t="shared" si="0"/>
        <v>1219794145.4347003</v>
      </c>
      <c r="R6" s="1705">
        <f t="shared" si="0"/>
        <v>1204671660.7371185</v>
      </c>
      <c r="S6" s="1705">
        <f t="shared" si="0"/>
        <v>1192409394.3912108</v>
      </c>
      <c r="T6" s="1705">
        <f t="shared" si="0"/>
        <v>1178623143.6782258</v>
      </c>
      <c r="U6" s="1705">
        <f t="shared" si="0"/>
        <v>1164119338.5753963</v>
      </c>
      <c r="V6" s="1705">
        <f t="shared" si="0"/>
        <v>1137319150.5301521</v>
      </c>
      <c r="W6" s="1705">
        <f t="shared" si="0"/>
        <v>1114507069.0886421</v>
      </c>
      <c r="X6" s="1705">
        <f t="shared" si="0"/>
        <v>1097771338.9597728</v>
      </c>
      <c r="Y6" s="1705">
        <f t="shared" si="0"/>
        <v>1063846843.0642741</v>
      </c>
      <c r="Z6" s="1705">
        <f t="shared" si="0"/>
        <v>1061095937.7731601</v>
      </c>
      <c r="AA6" s="1705">
        <f t="shared" si="0"/>
        <v>1060327113.0567093</v>
      </c>
      <c r="AB6" s="1705">
        <f t="shared" si="0"/>
        <v>1057537533.559031</v>
      </c>
      <c r="AC6" s="1705">
        <f t="shared" si="0"/>
        <v>1094598830.9335325</v>
      </c>
      <c r="AD6" s="1705">
        <f t="shared" si="0"/>
        <v>1129986390.9742417</v>
      </c>
      <c r="AE6" s="1705">
        <f t="shared" si="0"/>
        <v>1180350376.891541</v>
      </c>
      <c r="AF6" s="1705">
        <f t="shared" si="0"/>
        <v>1229377964.6196573</v>
      </c>
      <c r="AG6" s="1705">
        <f t="shared" si="0"/>
        <v>1276887889.7045305</v>
      </c>
      <c r="AH6" s="1705">
        <f t="shared" si="0"/>
        <v>1342679970.8843465</v>
      </c>
    </row>
    <row r="7" spans="1:37">
      <c r="A7" s="1520" t="s">
        <v>2549</v>
      </c>
      <c r="C7" s="2380"/>
      <c r="D7" s="2380"/>
      <c r="E7" s="1705">
        <f t="shared" ref="E7:AH7" si="1">-E62</f>
        <v>-32883385.196734887</v>
      </c>
      <c r="F7" s="1705">
        <f t="shared" si="1"/>
        <v>-35386993.297200166</v>
      </c>
      <c r="G7" s="1705">
        <f t="shared" si="1"/>
        <v>-35647169.829265781</v>
      </c>
      <c r="H7" s="1705">
        <f t="shared" si="1"/>
        <v>-33841502.231743582</v>
      </c>
      <c r="I7" s="1705">
        <f t="shared" si="1"/>
        <v>-36004534.589139424</v>
      </c>
      <c r="J7" s="1705">
        <f t="shared" si="1"/>
        <v>-38278689.003322795</v>
      </c>
      <c r="K7" s="1705">
        <f t="shared" si="1"/>
        <v>-34852963.681785576</v>
      </c>
      <c r="L7" s="1705">
        <f t="shared" si="1"/>
        <v>-36765509.971937954</v>
      </c>
      <c r="M7" s="1705">
        <f t="shared" si="1"/>
        <v>-32937590.513088681</v>
      </c>
      <c r="N7" s="1705">
        <f t="shared" si="1"/>
        <v>-35201674.685285658</v>
      </c>
      <c r="O7" s="1705">
        <f t="shared" si="1"/>
        <v>-37051727.175714359</v>
      </c>
      <c r="P7" s="1705">
        <f t="shared" si="1"/>
        <v>-39244727.719075747</v>
      </c>
      <c r="Q7" s="1705">
        <f t="shared" si="1"/>
        <v>-46860280.219214097</v>
      </c>
      <c r="R7" s="1705">
        <f t="shared" si="1"/>
        <v>-49619516.833188958</v>
      </c>
      <c r="S7" s="1705">
        <f t="shared" si="1"/>
        <v>-52581005.214884795</v>
      </c>
      <c r="T7" s="1705">
        <f t="shared" si="1"/>
        <v>-54779188.739786483</v>
      </c>
      <c r="U7" s="1705">
        <f t="shared" si="1"/>
        <v>-52761294.691309609</v>
      </c>
      <c r="V7" s="1705">
        <f t="shared" si="1"/>
        <v>-55623762.536957487</v>
      </c>
      <c r="W7" s="1705">
        <f t="shared" si="1"/>
        <v>-56445109.65718019</v>
      </c>
      <c r="X7" s="1705">
        <f t="shared" si="1"/>
        <v>-59461011.559658997</v>
      </c>
      <c r="Y7" s="1705">
        <f t="shared" si="1"/>
        <v>-61682525.925199069</v>
      </c>
      <c r="Z7" s="1705">
        <f t="shared" si="1"/>
        <v>-61468393.96955847</v>
      </c>
      <c r="AA7" s="1705">
        <f t="shared" si="1"/>
        <v>-65310135.828379124</v>
      </c>
      <c r="AB7" s="1705">
        <f t="shared" si="1"/>
        <v>-65972579.458493441</v>
      </c>
      <c r="AC7" s="1705">
        <f t="shared" si="1"/>
        <v>-70737333.09727563</v>
      </c>
      <c r="AD7" s="1705">
        <f t="shared" si="1"/>
        <v>-58944654.014825061</v>
      </c>
      <c r="AE7" s="1705">
        <f t="shared" si="1"/>
        <v>-63560311.401971698</v>
      </c>
      <c r="AF7" s="1705">
        <f t="shared" si="1"/>
        <v>-68455611.019117638</v>
      </c>
      <c r="AG7" s="1705">
        <f t="shared" si="1"/>
        <v>-53652421.007294394</v>
      </c>
      <c r="AH7" s="1705">
        <f t="shared" si="1"/>
        <v>-47064808.983056478</v>
      </c>
    </row>
    <row r="8" spans="1:37">
      <c r="A8" s="1520" t="s">
        <v>2877</v>
      </c>
      <c r="C8" s="2380"/>
      <c r="D8" s="2380"/>
      <c r="E8" s="2381">
        <v>65766883.927341603</v>
      </c>
      <c r="F8" s="2381">
        <v>62875664.882261559</v>
      </c>
      <c r="G8" s="2381">
        <v>25819163.4829964</v>
      </c>
      <c r="H8" s="2381">
        <v>28603563.644762233</v>
      </c>
      <c r="I8" s="2381">
        <v>36382065.031895384</v>
      </c>
      <c r="J8" s="2381">
        <v>34943981.82644897</v>
      </c>
      <c r="K8" s="2381">
        <v>42628095.973107792</v>
      </c>
      <c r="L8" s="2381">
        <v>15281412.370294776</v>
      </c>
      <c r="M8" s="2381">
        <v>57725025.352259897</v>
      </c>
      <c r="N8" s="2381">
        <v>45085891.410711266</v>
      </c>
      <c r="O8" s="2381">
        <v>12172010.308824966</v>
      </c>
      <c r="P8" s="2381">
        <v>29326855.118089717</v>
      </c>
      <c r="Q8" s="2381">
        <v>31737795.521632407</v>
      </c>
      <c r="R8" s="2381">
        <v>37357250.487281382</v>
      </c>
      <c r="S8" s="2381">
        <v>38794754.501899824</v>
      </c>
      <c r="T8" s="2381">
        <v>40275383.636956818</v>
      </c>
      <c r="U8" s="2381">
        <v>25961106.646065529</v>
      </c>
      <c r="V8" s="2381">
        <v>32811681.095447496</v>
      </c>
      <c r="W8" s="2381">
        <v>39709379.528310925</v>
      </c>
      <c r="X8" s="2381">
        <v>25536515.664160259</v>
      </c>
      <c r="Y8" s="2381">
        <v>58931620.634085074</v>
      </c>
      <c r="Z8" s="2381">
        <v>60699569.25310763</v>
      </c>
      <c r="AA8" s="2381">
        <v>62520556.330700867</v>
      </c>
      <c r="AB8" s="2381">
        <v>103033876.83299501</v>
      </c>
      <c r="AC8" s="2381">
        <v>106124893.13798487</v>
      </c>
      <c r="AD8" s="2381">
        <v>109308639.93212442</v>
      </c>
      <c r="AE8" s="2381">
        <v>112587899.13008817</v>
      </c>
      <c r="AF8" s="2381">
        <v>115965536.10399081</v>
      </c>
      <c r="AG8" s="2381">
        <v>119444502.1871105</v>
      </c>
      <c r="AH8" s="2381">
        <v>123027837.25272383</v>
      </c>
    </row>
    <row r="9" spans="1:37">
      <c r="A9" s="1520" t="s">
        <v>2878</v>
      </c>
      <c r="C9" s="2380"/>
      <c r="D9" s="2380"/>
      <c r="E9" s="2381"/>
      <c r="F9" s="2381"/>
      <c r="G9" s="2381"/>
      <c r="H9" s="2382"/>
      <c r="I9" s="2382"/>
      <c r="J9" s="2382"/>
      <c r="K9" s="2382"/>
      <c r="L9" s="2382"/>
      <c r="M9" s="2382"/>
      <c r="N9" s="2382"/>
      <c r="O9" s="2382"/>
      <c r="P9" s="2382"/>
      <c r="Q9" s="2382"/>
      <c r="R9" s="2382"/>
      <c r="S9" s="2382"/>
      <c r="T9" s="2382"/>
      <c r="U9" s="2382"/>
      <c r="V9" s="2382"/>
      <c r="W9" s="2382"/>
      <c r="X9" s="2382"/>
      <c r="Y9" s="2382"/>
      <c r="Z9" s="2382"/>
      <c r="AA9" s="2382"/>
      <c r="AB9" s="2382"/>
      <c r="AC9" s="2382"/>
      <c r="AD9" s="2382"/>
      <c r="AE9" s="2382"/>
      <c r="AF9" s="2382"/>
      <c r="AG9" s="2382"/>
      <c r="AH9" s="2382"/>
    </row>
    <row r="10" spans="1:37" s="1461" customFormat="1">
      <c r="A10" s="1461" t="s">
        <v>2547</v>
      </c>
      <c r="B10" s="2359">
        <v>1001400000</v>
      </c>
      <c r="C10" s="3484">
        <v>1101530000</v>
      </c>
      <c r="D10" s="3484">
        <v>1191280000</v>
      </c>
      <c r="E10" s="2340">
        <f t="shared" ref="E10:AH10" si="2">SUM(E6:E8)</f>
        <v>1224163498.7306068</v>
      </c>
      <c r="F10" s="2340">
        <f t="shared" si="2"/>
        <v>1251652170.3156681</v>
      </c>
      <c r="G10" s="2340">
        <f t="shared" si="2"/>
        <v>1241824163.9693987</v>
      </c>
      <c r="H10" s="2340">
        <f t="shared" si="2"/>
        <v>1236586225.3824174</v>
      </c>
      <c r="I10" s="2340">
        <f t="shared" si="2"/>
        <v>1236963755.8251734</v>
      </c>
      <c r="J10" s="2340">
        <f t="shared" si="2"/>
        <v>1233629048.6482995</v>
      </c>
      <c r="K10" s="2340">
        <f t="shared" si="2"/>
        <v>1241404180.9396217</v>
      </c>
      <c r="L10" s="2340">
        <f t="shared" si="2"/>
        <v>1219920083.3379786</v>
      </c>
      <c r="M10" s="2340">
        <f t="shared" si="2"/>
        <v>1244707518.1771498</v>
      </c>
      <c r="N10" s="2340">
        <f t="shared" si="2"/>
        <v>1254591734.9025755</v>
      </c>
      <c r="O10" s="2340">
        <f t="shared" si="2"/>
        <v>1229712018.0356863</v>
      </c>
      <c r="P10" s="2340">
        <f t="shared" si="2"/>
        <v>1219794145.4347003</v>
      </c>
      <c r="Q10" s="2340">
        <f t="shared" si="2"/>
        <v>1204671660.7371185</v>
      </c>
      <c r="R10" s="2340">
        <f t="shared" si="2"/>
        <v>1192409394.3912108</v>
      </c>
      <c r="S10" s="2340">
        <f t="shared" si="2"/>
        <v>1178623143.6782258</v>
      </c>
      <c r="T10" s="2340">
        <f t="shared" si="2"/>
        <v>1164119338.5753963</v>
      </c>
      <c r="U10" s="2340">
        <f t="shared" si="2"/>
        <v>1137319150.5301521</v>
      </c>
      <c r="V10" s="2340">
        <f t="shared" si="2"/>
        <v>1114507069.0886421</v>
      </c>
      <c r="W10" s="2340">
        <f t="shared" si="2"/>
        <v>1097771338.9597728</v>
      </c>
      <c r="X10" s="2340">
        <f t="shared" si="2"/>
        <v>1063846843.0642741</v>
      </c>
      <c r="Y10" s="2340">
        <f t="shared" si="2"/>
        <v>1061095937.7731601</v>
      </c>
      <c r="Z10" s="2340">
        <f t="shared" si="2"/>
        <v>1060327113.0567093</v>
      </c>
      <c r="AA10" s="2340">
        <f t="shared" si="2"/>
        <v>1057537533.559031</v>
      </c>
      <c r="AB10" s="2340">
        <f t="shared" si="2"/>
        <v>1094598830.9335325</v>
      </c>
      <c r="AC10" s="2340">
        <f t="shared" si="2"/>
        <v>1129986390.9742417</v>
      </c>
      <c r="AD10" s="2340">
        <f t="shared" si="2"/>
        <v>1180350376.891541</v>
      </c>
      <c r="AE10" s="2340">
        <f t="shared" si="2"/>
        <v>1229377964.6196573</v>
      </c>
      <c r="AF10" s="2340">
        <f t="shared" si="2"/>
        <v>1276887889.7045305</v>
      </c>
      <c r="AG10" s="2340">
        <f t="shared" si="2"/>
        <v>1342679970.8843465</v>
      </c>
      <c r="AH10" s="2340">
        <f t="shared" si="2"/>
        <v>1418642999.1540139</v>
      </c>
      <c r="AK10" s="2375"/>
    </row>
    <row r="11" spans="1:37">
      <c r="C11" s="2380"/>
      <c r="D11" s="2380"/>
    </row>
    <row r="12" spans="1:37">
      <c r="A12" s="1647" t="s">
        <v>2548</v>
      </c>
      <c r="C12" s="2380"/>
      <c r="D12" s="2380"/>
    </row>
    <row r="13" spans="1:37">
      <c r="A13" s="1520" t="s">
        <v>2546</v>
      </c>
      <c r="C13" s="2380"/>
      <c r="D13" s="2380"/>
      <c r="E13" s="1705">
        <f t="shared" ref="E13:AH13" si="3">+D17</f>
        <v>194795000</v>
      </c>
      <c r="F13" s="1705">
        <f t="shared" si="3"/>
        <v>194795000</v>
      </c>
      <c r="G13" s="1705">
        <f t="shared" si="3"/>
        <v>194795000</v>
      </c>
      <c r="H13" s="1705">
        <f t="shared" si="3"/>
        <v>194795000</v>
      </c>
      <c r="I13" s="1705">
        <f t="shared" si="3"/>
        <v>180380000</v>
      </c>
      <c r="J13" s="1705">
        <f t="shared" si="3"/>
        <v>165250000</v>
      </c>
      <c r="K13" s="1705">
        <f t="shared" si="3"/>
        <v>149380000</v>
      </c>
      <c r="L13" s="1705">
        <f t="shared" si="3"/>
        <v>132735000</v>
      </c>
      <c r="M13" s="1705">
        <f t="shared" si="3"/>
        <v>117625000</v>
      </c>
      <c r="N13" s="1705">
        <f t="shared" si="3"/>
        <v>115220000</v>
      </c>
      <c r="O13" s="1705">
        <f t="shared" si="3"/>
        <v>112695000</v>
      </c>
      <c r="P13" s="1705">
        <f t="shared" si="3"/>
        <v>110045000</v>
      </c>
      <c r="Q13" s="1705">
        <f t="shared" si="3"/>
        <v>107260000</v>
      </c>
      <c r="R13" s="1705">
        <f t="shared" si="3"/>
        <v>104340000</v>
      </c>
      <c r="S13" s="1705">
        <f t="shared" si="3"/>
        <v>101270000</v>
      </c>
      <c r="T13" s="1705">
        <f t="shared" si="3"/>
        <v>98050000</v>
      </c>
      <c r="U13" s="1705">
        <f t="shared" si="3"/>
        <v>94665000</v>
      </c>
      <c r="V13" s="1705">
        <f t="shared" si="3"/>
        <v>91115000</v>
      </c>
      <c r="W13" s="1705">
        <f t="shared" si="3"/>
        <v>87385000</v>
      </c>
      <c r="X13" s="1705">
        <f t="shared" si="3"/>
        <v>83470000</v>
      </c>
      <c r="Y13" s="1705">
        <f t="shared" si="3"/>
        <v>79360000</v>
      </c>
      <c r="Z13" s="1705">
        <f t="shared" si="3"/>
        <v>75045000</v>
      </c>
      <c r="AA13" s="1705">
        <f t="shared" si="3"/>
        <v>70510000</v>
      </c>
      <c r="AB13" s="1705">
        <f t="shared" si="3"/>
        <v>65750000</v>
      </c>
      <c r="AC13" s="1705">
        <f t="shared" si="3"/>
        <v>60755000</v>
      </c>
      <c r="AD13" s="1705">
        <f t="shared" si="3"/>
        <v>55510000</v>
      </c>
      <c r="AE13" s="1705">
        <f t="shared" si="3"/>
        <v>50000000</v>
      </c>
      <c r="AF13" s="1705">
        <f t="shared" si="3"/>
        <v>50000000</v>
      </c>
      <c r="AG13" s="1705">
        <f t="shared" si="3"/>
        <v>50000000</v>
      </c>
      <c r="AH13" s="1705">
        <f t="shared" si="3"/>
        <v>50000000</v>
      </c>
    </row>
    <row r="14" spans="1:37">
      <c r="A14" s="1520" t="s">
        <v>2549</v>
      </c>
      <c r="C14" s="2380"/>
      <c r="D14" s="2380"/>
      <c r="E14" s="1705">
        <f>-E34</f>
        <v>0</v>
      </c>
      <c r="F14" s="1705">
        <f t="shared" ref="F14:AH14" si="4">-F34</f>
        <v>0</v>
      </c>
      <c r="G14" s="1705">
        <f t="shared" si="4"/>
        <v>0</v>
      </c>
      <c r="H14" s="1705">
        <f t="shared" si="4"/>
        <v>-14415000</v>
      </c>
      <c r="I14" s="1705">
        <f t="shared" si="4"/>
        <v>-15130000</v>
      </c>
      <c r="J14" s="1705">
        <f t="shared" si="4"/>
        <v>-15870000</v>
      </c>
      <c r="K14" s="1705">
        <f t="shared" si="4"/>
        <v>-16645000</v>
      </c>
      <c r="L14" s="1705">
        <f t="shared" si="4"/>
        <v>-15110000</v>
      </c>
      <c r="M14" s="1705">
        <f t="shared" si="4"/>
        <v>-2405000</v>
      </c>
      <c r="N14" s="1705">
        <f t="shared" si="4"/>
        <v>-2525000</v>
      </c>
      <c r="O14" s="1705">
        <f t="shared" si="4"/>
        <v>-2650000</v>
      </c>
      <c r="P14" s="1705">
        <f t="shared" si="4"/>
        <v>-2785000</v>
      </c>
      <c r="Q14" s="1705">
        <f t="shared" si="4"/>
        <v>-2920000</v>
      </c>
      <c r="R14" s="1705">
        <f t="shared" si="4"/>
        <v>-3070000</v>
      </c>
      <c r="S14" s="1705">
        <f t="shared" si="4"/>
        <v>-3220000</v>
      </c>
      <c r="T14" s="1705">
        <f t="shared" si="4"/>
        <v>-3385000</v>
      </c>
      <c r="U14" s="1705">
        <f t="shared" si="4"/>
        <v>-3550000</v>
      </c>
      <c r="V14" s="1705">
        <f t="shared" si="4"/>
        <v>-3730000</v>
      </c>
      <c r="W14" s="1705">
        <f t="shared" si="4"/>
        <v>-3915000</v>
      </c>
      <c r="X14" s="1705">
        <f t="shared" si="4"/>
        <v>-4110000</v>
      </c>
      <c r="Y14" s="1705">
        <f t="shared" si="4"/>
        <v>-4315000</v>
      </c>
      <c r="Z14" s="1705">
        <f t="shared" si="4"/>
        <v>-4535000</v>
      </c>
      <c r="AA14" s="1705">
        <f t="shared" si="4"/>
        <v>-4760000</v>
      </c>
      <c r="AB14" s="1705">
        <f t="shared" si="4"/>
        <v>-4995000</v>
      </c>
      <c r="AC14" s="1705">
        <f t="shared" si="4"/>
        <v>-5245000</v>
      </c>
      <c r="AD14" s="1705">
        <f t="shared" si="4"/>
        <v>-5510000</v>
      </c>
      <c r="AE14" s="1705">
        <f t="shared" si="4"/>
        <v>0</v>
      </c>
      <c r="AF14" s="1705">
        <f t="shared" si="4"/>
        <v>0</v>
      </c>
      <c r="AG14" s="1705">
        <f t="shared" si="4"/>
        <v>0</v>
      </c>
      <c r="AH14" s="1705">
        <f t="shared" si="4"/>
        <v>0</v>
      </c>
    </row>
    <row r="15" spans="1:37">
      <c r="A15" s="1520" t="s">
        <v>2877</v>
      </c>
      <c r="C15" s="2380"/>
      <c r="D15" s="2380"/>
      <c r="E15" s="1705"/>
      <c r="F15" s="1705"/>
      <c r="G15" s="1705"/>
      <c r="H15" s="1705"/>
      <c r="I15" s="1705"/>
      <c r="J15" s="1705"/>
      <c r="K15" s="1705"/>
      <c r="L15" s="1705"/>
      <c r="M15" s="1705"/>
      <c r="N15" s="1705"/>
      <c r="O15" s="1705"/>
      <c r="P15" s="1705"/>
      <c r="Q15" s="1705"/>
      <c r="R15" s="1705"/>
      <c r="S15" s="1705"/>
      <c r="T15" s="1705"/>
      <c r="U15" s="1705"/>
      <c r="V15" s="1705"/>
      <c r="W15" s="1705"/>
      <c r="X15" s="1705"/>
      <c r="Y15" s="1705"/>
      <c r="Z15" s="1705"/>
      <c r="AA15" s="1705"/>
      <c r="AB15" s="1705"/>
      <c r="AC15" s="1705"/>
      <c r="AD15" s="1705"/>
      <c r="AE15" s="1705"/>
      <c r="AF15" s="1705"/>
      <c r="AG15" s="1705"/>
      <c r="AH15" s="1705"/>
    </row>
    <row r="16" spans="1:37">
      <c r="A16" s="1520" t="s">
        <v>2878</v>
      </c>
      <c r="C16" s="2380"/>
      <c r="D16" s="2380"/>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05"/>
      <c r="AG16" s="1705"/>
      <c r="AH16" s="1705"/>
    </row>
    <row r="17" spans="1:37" s="1461" customFormat="1">
      <c r="A17" s="1461" t="s">
        <v>2547</v>
      </c>
      <c r="B17" s="2359">
        <v>151340000</v>
      </c>
      <c r="C17" s="3484">
        <v>195745000</v>
      </c>
      <c r="D17" s="3484">
        <v>194795000</v>
      </c>
      <c r="E17" s="2328">
        <f t="shared" ref="E17:AH17" si="5">SUM(E13:E14)</f>
        <v>194795000</v>
      </c>
      <c r="F17" s="2328">
        <f t="shared" si="5"/>
        <v>194795000</v>
      </c>
      <c r="G17" s="2328">
        <f t="shared" si="5"/>
        <v>194795000</v>
      </c>
      <c r="H17" s="2328">
        <f t="shared" si="5"/>
        <v>180380000</v>
      </c>
      <c r="I17" s="2328">
        <f t="shared" si="5"/>
        <v>165250000</v>
      </c>
      <c r="J17" s="2328">
        <f t="shared" si="5"/>
        <v>149380000</v>
      </c>
      <c r="K17" s="2328">
        <f t="shared" si="5"/>
        <v>132735000</v>
      </c>
      <c r="L17" s="2328">
        <f t="shared" si="5"/>
        <v>117625000</v>
      </c>
      <c r="M17" s="2328">
        <f t="shared" si="5"/>
        <v>115220000</v>
      </c>
      <c r="N17" s="2328">
        <f t="shared" si="5"/>
        <v>112695000</v>
      </c>
      <c r="O17" s="2328">
        <f t="shared" si="5"/>
        <v>110045000</v>
      </c>
      <c r="P17" s="2328">
        <f t="shared" si="5"/>
        <v>107260000</v>
      </c>
      <c r="Q17" s="2328">
        <f t="shared" si="5"/>
        <v>104340000</v>
      </c>
      <c r="R17" s="2328">
        <f t="shared" si="5"/>
        <v>101270000</v>
      </c>
      <c r="S17" s="2328">
        <f t="shared" si="5"/>
        <v>98050000</v>
      </c>
      <c r="T17" s="2328">
        <f t="shared" si="5"/>
        <v>94665000</v>
      </c>
      <c r="U17" s="2328">
        <f t="shared" si="5"/>
        <v>91115000</v>
      </c>
      <c r="V17" s="2328">
        <f t="shared" si="5"/>
        <v>87385000</v>
      </c>
      <c r="W17" s="2328">
        <f t="shared" si="5"/>
        <v>83470000</v>
      </c>
      <c r="X17" s="2328">
        <f t="shared" si="5"/>
        <v>79360000</v>
      </c>
      <c r="Y17" s="2328">
        <f t="shared" si="5"/>
        <v>75045000</v>
      </c>
      <c r="Z17" s="2328">
        <f t="shared" si="5"/>
        <v>70510000</v>
      </c>
      <c r="AA17" s="2328">
        <f t="shared" si="5"/>
        <v>65750000</v>
      </c>
      <c r="AB17" s="2328">
        <f t="shared" si="5"/>
        <v>60755000</v>
      </c>
      <c r="AC17" s="2328">
        <f t="shared" si="5"/>
        <v>55510000</v>
      </c>
      <c r="AD17" s="2328">
        <f t="shared" si="5"/>
        <v>50000000</v>
      </c>
      <c r="AE17" s="2328">
        <f t="shared" si="5"/>
        <v>50000000</v>
      </c>
      <c r="AF17" s="2328">
        <f t="shared" si="5"/>
        <v>50000000</v>
      </c>
      <c r="AG17" s="2328">
        <f t="shared" si="5"/>
        <v>50000000</v>
      </c>
      <c r="AH17" s="2328">
        <f t="shared" si="5"/>
        <v>50000000</v>
      </c>
      <c r="AK17" s="2375"/>
    </row>
    <row r="18" spans="1:37">
      <c r="A18" s="2383" t="s">
        <v>2550</v>
      </c>
      <c r="B18" s="2384">
        <f>+B10+B17</f>
        <v>1152740000</v>
      </c>
      <c r="C18" s="2384">
        <f t="shared" ref="C18:AH18" si="6">+C10+C17</f>
        <v>1297275000</v>
      </c>
      <c r="D18" s="2384">
        <f t="shared" si="6"/>
        <v>1386075000</v>
      </c>
      <c r="E18" s="2384">
        <f t="shared" si="6"/>
        <v>1418958498.7306068</v>
      </c>
      <c r="F18" s="2384">
        <f t="shared" si="6"/>
        <v>1446447170.3156681</v>
      </c>
      <c r="G18" s="2384">
        <f t="shared" si="6"/>
        <v>1436619163.9693987</v>
      </c>
      <c r="H18" s="2384">
        <f t="shared" si="6"/>
        <v>1416966225.3824174</v>
      </c>
      <c r="I18" s="2384">
        <f t="shared" si="6"/>
        <v>1402213755.8251734</v>
      </c>
      <c r="J18" s="2384">
        <f t="shared" si="6"/>
        <v>1383009048.6482995</v>
      </c>
      <c r="K18" s="2384">
        <f t="shared" si="6"/>
        <v>1374139180.9396217</v>
      </c>
      <c r="L18" s="2384">
        <f t="shared" si="6"/>
        <v>1337545083.3379786</v>
      </c>
      <c r="M18" s="2384">
        <f t="shared" si="6"/>
        <v>1359927518.1771498</v>
      </c>
      <c r="N18" s="2384">
        <f t="shared" si="6"/>
        <v>1367286734.9025755</v>
      </c>
      <c r="O18" s="2384">
        <f t="shared" si="6"/>
        <v>1339757018.0356863</v>
      </c>
      <c r="P18" s="2384">
        <f t="shared" si="6"/>
        <v>1327054145.4347003</v>
      </c>
      <c r="Q18" s="2384">
        <f t="shared" si="6"/>
        <v>1309011660.7371185</v>
      </c>
      <c r="R18" s="2384">
        <f t="shared" si="6"/>
        <v>1293679394.3912108</v>
      </c>
      <c r="S18" s="2384">
        <f t="shared" si="6"/>
        <v>1276673143.6782258</v>
      </c>
      <c r="T18" s="2384">
        <f t="shared" si="6"/>
        <v>1258784338.5753963</v>
      </c>
      <c r="U18" s="2384">
        <f t="shared" si="6"/>
        <v>1228434150.5301521</v>
      </c>
      <c r="V18" s="2384">
        <f t="shared" si="6"/>
        <v>1201892069.0886421</v>
      </c>
      <c r="W18" s="2384">
        <f t="shared" si="6"/>
        <v>1181241338.9597728</v>
      </c>
      <c r="X18" s="2384">
        <f t="shared" si="6"/>
        <v>1143206843.0642741</v>
      </c>
      <c r="Y18" s="2384">
        <f t="shared" si="6"/>
        <v>1136140937.77316</v>
      </c>
      <c r="Z18" s="2384">
        <f t="shared" si="6"/>
        <v>1130837113.0567093</v>
      </c>
      <c r="AA18" s="2384">
        <f t="shared" si="6"/>
        <v>1123287533.559031</v>
      </c>
      <c r="AB18" s="2384">
        <f t="shared" si="6"/>
        <v>1155353830.9335325</v>
      </c>
      <c r="AC18" s="2384">
        <f t="shared" si="6"/>
        <v>1185496390.9742417</v>
      </c>
      <c r="AD18" s="2384">
        <f t="shared" si="6"/>
        <v>1230350376.891541</v>
      </c>
      <c r="AE18" s="2384">
        <f t="shared" si="6"/>
        <v>1279377964.6196573</v>
      </c>
      <c r="AF18" s="2384">
        <f t="shared" si="6"/>
        <v>1326887889.7045305</v>
      </c>
      <c r="AG18" s="2384">
        <f t="shared" si="6"/>
        <v>1392679970.8843465</v>
      </c>
      <c r="AH18" s="2384">
        <f t="shared" si="6"/>
        <v>1468642999.1540139</v>
      </c>
    </row>
    <row r="19" spans="1:37">
      <c r="A19" s="1671" t="s">
        <v>2551</v>
      </c>
      <c r="B19" s="2341">
        <v>41275</v>
      </c>
      <c r="C19" s="2342">
        <v>41640</v>
      </c>
      <c r="D19" s="2342">
        <v>42005</v>
      </c>
      <c r="E19" s="2342">
        <v>42370</v>
      </c>
      <c r="F19" s="2342">
        <v>42736</v>
      </c>
      <c r="G19" s="2342">
        <v>43101</v>
      </c>
      <c r="H19" s="2342">
        <v>43466</v>
      </c>
      <c r="I19" s="2342">
        <v>43831</v>
      </c>
      <c r="J19" s="2342">
        <v>44197</v>
      </c>
      <c r="K19" s="2342">
        <v>44562</v>
      </c>
      <c r="L19" s="2342">
        <v>44927</v>
      </c>
      <c r="M19" s="2342">
        <v>45292</v>
      </c>
      <c r="N19" s="2342">
        <v>45658</v>
      </c>
      <c r="O19" s="2342">
        <v>46023</v>
      </c>
      <c r="P19" s="2342">
        <v>46388</v>
      </c>
      <c r="Q19" s="2342">
        <v>46753</v>
      </c>
      <c r="R19" s="2342">
        <v>47119</v>
      </c>
      <c r="S19" s="2342">
        <v>47484</v>
      </c>
      <c r="T19" s="2342">
        <v>47849</v>
      </c>
      <c r="U19" s="2342">
        <v>48214</v>
      </c>
      <c r="V19" s="2342">
        <v>48580</v>
      </c>
      <c r="W19" s="2342">
        <v>48945</v>
      </c>
      <c r="X19" s="2342">
        <v>49310</v>
      </c>
      <c r="Y19" s="2342">
        <v>49675</v>
      </c>
      <c r="Z19" s="2342">
        <v>50041</v>
      </c>
      <c r="AA19" s="2342">
        <v>50406</v>
      </c>
      <c r="AB19" s="2342">
        <v>50771</v>
      </c>
      <c r="AC19" s="2342">
        <v>51136</v>
      </c>
      <c r="AD19" s="2342">
        <v>51502</v>
      </c>
      <c r="AE19" s="2342"/>
      <c r="AF19" s="2342"/>
      <c r="AG19" s="2342"/>
      <c r="AH19" s="2342"/>
    </row>
    <row r="20" spans="1:37">
      <c r="A20" s="2385"/>
      <c r="B20" s="2341">
        <v>41456</v>
      </c>
      <c r="C20" s="2342">
        <v>41821</v>
      </c>
      <c r="D20" s="2342">
        <v>42186</v>
      </c>
      <c r="E20" s="2342">
        <v>42552</v>
      </c>
      <c r="F20" s="2342">
        <v>42917</v>
      </c>
      <c r="G20" s="2342">
        <v>43282</v>
      </c>
      <c r="H20" s="2342">
        <v>43647</v>
      </c>
      <c r="I20" s="2342">
        <v>44013</v>
      </c>
      <c r="J20" s="2342">
        <v>44378</v>
      </c>
      <c r="K20" s="2342">
        <v>44743</v>
      </c>
      <c r="L20" s="2342">
        <v>45108</v>
      </c>
      <c r="M20" s="2342">
        <v>45474</v>
      </c>
      <c r="N20" s="2342">
        <v>45839</v>
      </c>
      <c r="O20" s="2342">
        <v>46204</v>
      </c>
      <c r="P20" s="2342">
        <v>46569</v>
      </c>
      <c r="Q20" s="2342">
        <v>46935</v>
      </c>
      <c r="R20" s="2342">
        <v>47300</v>
      </c>
      <c r="S20" s="2342">
        <v>47665</v>
      </c>
      <c r="T20" s="2342">
        <v>48030</v>
      </c>
      <c r="U20" s="2342">
        <v>48396</v>
      </c>
      <c r="V20" s="2342">
        <v>48761</v>
      </c>
      <c r="W20" s="2342">
        <v>49126</v>
      </c>
      <c r="X20" s="2342">
        <v>49491</v>
      </c>
      <c r="Y20" s="2342">
        <v>49857</v>
      </c>
      <c r="Z20" s="2342">
        <v>50222</v>
      </c>
      <c r="AA20" s="2342">
        <v>50587</v>
      </c>
      <c r="AB20" s="2342">
        <v>50952</v>
      </c>
      <c r="AC20" s="2342">
        <v>51318</v>
      </c>
      <c r="AD20" s="2342"/>
      <c r="AE20" s="2342"/>
      <c r="AF20" s="2342"/>
      <c r="AG20" s="2342"/>
      <c r="AH20" s="2342"/>
    </row>
    <row r="21" spans="1:37">
      <c r="A21" s="1647" t="s">
        <v>707</v>
      </c>
      <c r="C21" s="2386"/>
      <c r="D21" s="2386"/>
      <c r="E21" s="2386"/>
      <c r="F21" s="2386"/>
      <c r="G21" s="2386"/>
      <c r="H21" s="2386"/>
      <c r="I21" s="2386"/>
      <c r="J21" s="2386"/>
      <c r="K21" s="2386"/>
      <c r="L21" s="2386"/>
      <c r="M21" s="2386"/>
      <c r="N21" s="2386"/>
      <c r="O21" s="2386"/>
      <c r="P21" s="2386"/>
      <c r="Q21" s="2386"/>
      <c r="R21" s="2386"/>
      <c r="S21" s="2386"/>
      <c r="T21" s="2386"/>
      <c r="U21" s="2386"/>
      <c r="V21" s="2386"/>
      <c r="W21" s="2386"/>
      <c r="X21" s="2386"/>
      <c r="Y21" s="2386"/>
      <c r="Z21" s="2386"/>
      <c r="AA21" s="2386"/>
      <c r="AB21" s="2386"/>
      <c r="AC21" s="2386"/>
      <c r="AD21" s="2386"/>
      <c r="AE21" s="2386"/>
      <c r="AF21" s="2386"/>
      <c r="AG21" s="2386"/>
      <c r="AH21" s="2386"/>
    </row>
    <row r="22" spans="1:37">
      <c r="A22" s="2387" t="s">
        <v>724</v>
      </c>
      <c r="B22" s="2388">
        <v>11255000</v>
      </c>
      <c r="C22" s="2389">
        <v>5595000</v>
      </c>
      <c r="D22" s="2389">
        <v>950000</v>
      </c>
      <c r="E22" s="3479">
        <v>0</v>
      </c>
      <c r="F22" s="3479">
        <v>0</v>
      </c>
      <c r="G22" s="3479">
        <v>0</v>
      </c>
      <c r="H22" s="3479">
        <v>14415000</v>
      </c>
      <c r="I22" s="3479">
        <v>15130000</v>
      </c>
      <c r="J22" s="3479">
        <v>15870000</v>
      </c>
      <c r="K22" s="3479">
        <v>16645000</v>
      </c>
      <c r="L22" s="3479">
        <v>15110000</v>
      </c>
      <c r="M22" s="3479">
        <v>2405000</v>
      </c>
      <c r="N22" s="3479">
        <v>2525000</v>
      </c>
      <c r="O22" s="3479">
        <v>2650000</v>
      </c>
      <c r="P22" s="3479">
        <v>2785000</v>
      </c>
      <c r="Q22" s="3479">
        <v>2920000</v>
      </c>
      <c r="R22" s="3479">
        <v>3070000</v>
      </c>
      <c r="S22" s="2389">
        <v>3220000</v>
      </c>
      <c r="T22" s="2389">
        <v>3385000</v>
      </c>
      <c r="U22" s="2389">
        <v>3550000</v>
      </c>
      <c r="V22" s="2389">
        <v>3730000</v>
      </c>
      <c r="W22" s="2389">
        <v>3915000</v>
      </c>
      <c r="X22" s="2389">
        <v>4110000</v>
      </c>
      <c r="Y22" s="2389">
        <v>4315000</v>
      </c>
      <c r="Z22" s="2389">
        <v>4535000</v>
      </c>
      <c r="AA22" s="2389">
        <v>4760000</v>
      </c>
      <c r="AB22" s="2389">
        <v>4995000</v>
      </c>
      <c r="AC22" s="2389">
        <v>5245000</v>
      </c>
      <c r="AD22" s="2389">
        <v>5510000</v>
      </c>
      <c r="AE22" s="2390"/>
      <c r="AF22" s="2390"/>
      <c r="AG22" s="2390"/>
      <c r="AH22" s="2390"/>
      <c r="AK22" s="2376">
        <f>SUM(C22:AG22)</f>
        <v>151340000</v>
      </c>
    </row>
    <row r="23" spans="1:37">
      <c r="A23" s="2391" t="s">
        <v>2277</v>
      </c>
      <c r="B23" s="2357">
        <v>3460603.13</v>
      </c>
      <c r="C23" s="2389">
        <v>2970878.8199999901</v>
      </c>
      <c r="D23" s="2389">
        <v>3586165.6299999901</v>
      </c>
      <c r="E23" s="3479">
        <v>3571915.6299999901</v>
      </c>
      <c r="F23" s="3479">
        <v>3571915.6299999901</v>
      </c>
      <c r="G23" s="3479">
        <v>3571915.6299999901</v>
      </c>
      <c r="H23" s="3479">
        <v>3571915.6299999901</v>
      </c>
      <c r="I23" s="3479">
        <v>3214040.6299999901</v>
      </c>
      <c r="J23" s="3479">
        <v>2842290.6299999901</v>
      </c>
      <c r="K23" s="3479">
        <v>2455665.6299999901</v>
      </c>
      <c r="L23" s="3479">
        <v>2051265.63</v>
      </c>
      <c r="M23" s="3479">
        <v>1690625</v>
      </c>
      <c r="N23" s="3479">
        <v>1630500</v>
      </c>
      <c r="O23" s="3479">
        <v>1567375</v>
      </c>
      <c r="P23" s="3479">
        <v>1501125</v>
      </c>
      <c r="Q23" s="3479">
        <v>1431500</v>
      </c>
      <c r="R23" s="3479">
        <v>1358500</v>
      </c>
      <c r="S23" s="2389">
        <v>1281750</v>
      </c>
      <c r="T23" s="2389">
        <v>1201250</v>
      </c>
      <c r="U23" s="2389">
        <v>1116625</v>
      </c>
      <c r="V23" s="2389">
        <v>1027875</v>
      </c>
      <c r="W23" s="2389">
        <v>934625</v>
      </c>
      <c r="X23" s="2389">
        <v>836750</v>
      </c>
      <c r="Y23" s="2389">
        <v>734000</v>
      </c>
      <c r="Z23" s="2389">
        <v>626125</v>
      </c>
      <c r="AA23" s="2389">
        <v>512750</v>
      </c>
      <c r="AB23" s="2389">
        <v>393750</v>
      </c>
      <c r="AC23" s="2389">
        <v>268875</v>
      </c>
      <c r="AD23" s="2389">
        <v>137750</v>
      </c>
      <c r="AE23" s="2390"/>
      <c r="AF23" s="2390"/>
      <c r="AG23" s="2390"/>
      <c r="AH23" s="2390"/>
      <c r="AK23" s="2376">
        <f>SUM(C23:AG23)</f>
        <v>49659719.48999992</v>
      </c>
    </row>
    <row r="24" spans="1:37">
      <c r="A24" s="2392" t="s">
        <v>2278</v>
      </c>
      <c r="B24" s="2393">
        <v>3291778.13</v>
      </c>
      <c r="C24" s="2394">
        <v>3586165.6299999901</v>
      </c>
      <c r="D24" s="2394">
        <v>3571915.6299999901</v>
      </c>
      <c r="E24" s="3480">
        <v>3571915.6299999901</v>
      </c>
      <c r="F24" s="3480">
        <v>3571915.6299999901</v>
      </c>
      <c r="G24" s="3480">
        <v>3571915.6299999901</v>
      </c>
      <c r="H24" s="3480">
        <v>3214040.6299999901</v>
      </c>
      <c r="I24" s="3480">
        <v>2842290.6299999901</v>
      </c>
      <c r="J24" s="3480">
        <v>2455665.6299999901</v>
      </c>
      <c r="K24" s="3480">
        <v>2051265.63</v>
      </c>
      <c r="L24" s="3480">
        <v>1690625</v>
      </c>
      <c r="M24" s="3480">
        <v>1630500</v>
      </c>
      <c r="N24" s="3480">
        <v>1567375</v>
      </c>
      <c r="O24" s="3480">
        <v>1501125</v>
      </c>
      <c r="P24" s="3480">
        <v>1431500</v>
      </c>
      <c r="Q24" s="3480">
        <v>1358500</v>
      </c>
      <c r="R24" s="3480">
        <v>1281750</v>
      </c>
      <c r="S24" s="2394">
        <v>1201250</v>
      </c>
      <c r="T24" s="2394">
        <v>1116625</v>
      </c>
      <c r="U24" s="2394">
        <v>1027875</v>
      </c>
      <c r="V24" s="2394">
        <v>934625</v>
      </c>
      <c r="W24" s="2394">
        <v>836750</v>
      </c>
      <c r="X24" s="2394">
        <v>734000</v>
      </c>
      <c r="Y24" s="2394">
        <v>626125</v>
      </c>
      <c r="Z24" s="2394">
        <v>512750</v>
      </c>
      <c r="AA24" s="2394">
        <v>393750</v>
      </c>
      <c r="AB24" s="2394">
        <v>268875</v>
      </c>
      <c r="AC24" s="2394">
        <v>137750</v>
      </c>
      <c r="AD24" s="2394">
        <v>0</v>
      </c>
      <c r="AE24" s="2395"/>
      <c r="AF24" s="2395"/>
      <c r="AG24" s="2395"/>
      <c r="AH24" s="2395"/>
      <c r="AK24" s="2376">
        <f>SUM(C24:AG24)</f>
        <v>46688840.669999927</v>
      </c>
    </row>
    <row r="25" spans="1:37">
      <c r="A25" s="1647" t="s">
        <v>2552</v>
      </c>
      <c r="C25" s="2332"/>
      <c r="D25" s="2332"/>
      <c r="E25" s="2332"/>
      <c r="F25" s="2332"/>
      <c r="G25" s="2332"/>
      <c r="H25" s="2332"/>
      <c r="I25" s="2332"/>
      <c r="J25" s="2332"/>
      <c r="K25" s="2332"/>
      <c r="L25" s="2332"/>
      <c r="M25" s="2332"/>
      <c r="N25" s="2332"/>
      <c r="O25" s="2332"/>
      <c r="P25" s="2332"/>
      <c r="Q25" s="2332"/>
      <c r="R25" s="2332"/>
      <c r="S25" s="2332"/>
      <c r="T25" s="2332"/>
      <c r="U25" s="2332"/>
      <c r="V25" s="2332"/>
      <c r="W25" s="2332"/>
      <c r="X25" s="2332"/>
      <c r="Y25" s="2332"/>
      <c r="Z25" s="2332"/>
      <c r="AA25" s="2332"/>
      <c r="AB25" s="2332"/>
      <c r="AC25" s="2332"/>
      <c r="AD25" s="2332"/>
      <c r="AE25" s="2332"/>
      <c r="AF25" s="2332"/>
      <c r="AG25" s="2332"/>
      <c r="AH25" s="2332"/>
    </row>
    <row r="26" spans="1:37">
      <c r="A26" s="2387" t="s">
        <v>724</v>
      </c>
      <c r="B26" s="2396"/>
      <c r="C26" s="2397"/>
      <c r="D26" s="2397"/>
      <c r="E26" s="3481">
        <v>0</v>
      </c>
      <c r="F26" s="3481">
        <v>0</v>
      </c>
      <c r="G26" s="3481">
        <v>0</v>
      </c>
      <c r="H26" s="3481">
        <v>0</v>
      </c>
      <c r="I26" s="3481">
        <v>0</v>
      </c>
      <c r="J26" s="3481">
        <v>0</v>
      </c>
      <c r="K26" s="3481">
        <v>0</v>
      </c>
      <c r="L26" s="3481">
        <v>0</v>
      </c>
      <c r="M26" s="3481">
        <v>0</v>
      </c>
      <c r="N26" s="3481">
        <v>0</v>
      </c>
      <c r="O26" s="3481">
        <v>0</v>
      </c>
      <c r="P26" s="3481">
        <v>0</v>
      </c>
      <c r="Q26" s="3481">
        <v>0</v>
      </c>
      <c r="R26" s="3481">
        <v>0</v>
      </c>
      <c r="S26" s="2397"/>
      <c r="T26" s="2397"/>
      <c r="U26" s="2397"/>
      <c r="V26" s="2397"/>
      <c r="W26" s="2397"/>
      <c r="X26" s="2397"/>
      <c r="Y26" s="2397"/>
      <c r="Z26" s="2397"/>
      <c r="AA26" s="2397"/>
      <c r="AB26" s="2397"/>
      <c r="AC26" s="2397"/>
      <c r="AD26" s="2397"/>
      <c r="AE26" s="2397"/>
      <c r="AF26" s="2397"/>
      <c r="AG26" s="2397"/>
      <c r="AH26" s="2397"/>
    </row>
    <row r="27" spans="1:37">
      <c r="A27" s="2391" t="s">
        <v>2277</v>
      </c>
      <c r="B27" s="2398"/>
      <c r="C27" s="2390"/>
      <c r="D27" s="2390"/>
      <c r="E27" s="3482">
        <v>1262500</v>
      </c>
      <c r="F27" s="3482">
        <v>2525000</v>
      </c>
      <c r="G27" s="3482">
        <v>3787500</v>
      </c>
      <c r="H27" s="3482">
        <v>3787500</v>
      </c>
      <c r="I27" s="3482">
        <v>3787500</v>
      </c>
      <c r="J27" s="3482">
        <v>3787500</v>
      </c>
      <c r="K27" s="3482">
        <v>3787500</v>
      </c>
      <c r="L27" s="3482">
        <v>3787500</v>
      </c>
      <c r="M27" s="3482">
        <v>3787500</v>
      </c>
      <c r="N27" s="3482">
        <v>3787500</v>
      </c>
      <c r="O27" s="3482">
        <v>3787500</v>
      </c>
      <c r="P27" s="3482">
        <v>3787500</v>
      </c>
      <c r="Q27" s="3482">
        <v>3787500</v>
      </c>
      <c r="R27" s="3482">
        <v>3787500</v>
      </c>
      <c r="S27" s="2390"/>
      <c r="T27" s="2390"/>
      <c r="U27" s="2390"/>
      <c r="V27" s="2390"/>
      <c r="W27" s="2390"/>
      <c r="X27" s="2390"/>
      <c r="Y27" s="2390"/>
      <c r="Z27" s="2390"/>
      <c r="AA27" s="2390"/>
      <c r="AB27" s="2390"/>
      <c r="AC27" s="2390"/>
      <c r="AD27" s="2390"/>
      <c r="AE27" s="2390"/>
      <c r="AF27" s="2390"/>
      <c r="AG27" s="2390"/>
      <c r="AH27" s="2390"/>
    </row>
    <row r="28" spans="1:37">
      <c r="A28" s="2392" t="s">
        <v>2278</v>
      </c>
      <c r="B28" s="2399"/>
      <c r="C28" s="2395"/>
      <c r="D28" s="2395"/>
      <c r="E28" s="3483"/>
      <c r="F28" s="3483"/>
      <c r="G28" s="3483"/>
      <c r="H28" s="3483"/>
      <c r="I28" s="3483"/>
      <c r="J28" s="3483"/>
      <c r="K28" s="3483"/>
      <c r="L28" s="3483"/>
      <c r="M28" s="3483"/>
      <c r="N28" s="3483"/>
      <c r="O28" s="3483"/>
      <c r="P28" s="3483"/>
      <c r="Q28" s="3483"/>
      <c r="R28" s="3483"/>
      <c r="S28" s="2395"/>
      <c r="T28" s="2395"/>
      <c r="U28" s="2395"/>
      <c r="V28" s="2395"/>
      <c r="W28" s="2395"/>
      <c r="X28" s="2395"/>
      <c r="Y28" s="2395"/>
      <c r="Z28" s="2395"/>
      <c r="AA28" s="2395"/>
      <c r="AB28" s="2395"/>
      <c r="AC28" s="2395"/>
      <c r="AD28" s="2395"/>
      <c r="AE28" s="2395"/>
      <c r="AF28" s="2395"/>
      <c r="AG28" s="2395"/>
      <c r="AH28" s="2395"/>
    </row>
    <row r="29" spans="1:37" s="2400" customFormat="1">
      <c r="A29" s="1650" t="s">
        <v>2553</v>
      </c>
      <c r="B29" s="2398"/>
      <c r="C29" s="2390"/>
      <c r="D29" s="2390"/>
      <c r="E29" s="2390"/>
      <c r="F29" s="2390"/>
      <c r="G29" s="2390"/>
      <c r="H29" s="2390"/>
      <c r="I29" s="2390"/>
      <c r="J29" s="2390"/>
      <c r="K29" s="2390"/>
      <c r="L29" s="2390"/>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K29" s="2375"/>
    </row>
    <row r="30" spans="1:37">
      <c r="A30" s="1651" t="s">
        <v>724</v>
      </c>
      <c r="B30" s="2343"/>
      <c r="C30" s="2397"/>
      <c r="D30" s="2397"/>
      <c r="E30" s="3481"/>
      <c r="F30" s="3481"/>
      <c r="G30" s="3481"/>
      <c r="H30" s="3481"/>
      <c r="I30" s="3481"/>
      <c r="J30" s="3481"/>
      <c r="K30" s="3481"/>
      <c r="L30" s="3481"/>
      <c r="M30" s="3481"/>
      <c r="N30" s="3481"/>
      <c r="O30" s="3481"/>
      <c r="P30" s="3481"/>
      <c r="Q30" s="3481"/>
      <c r="R30" s="3481"/>
      <c r="S30" s="2397"/>
      <c r="T30" s="2397"/>
      <c r="U30" s="2397"/>
      <c r="V30" s="2397"/>
      <c r="W30" s="2397"/>
      <c r="X30" s="2397"/>
      <c r="Y30" s="2397"/>
      <c r="Z30" s="2397"/>
      <c r="AA30" s="2397"/>
      <c r="AB30" s="2397"/>
      <c r="AC30" s="2397"/>
      <c r="AD30" s="2397"/>
      <c r="AE30" s="2397"/>
      <c r="AF30" s="2397"/>
      <c r="AG30" s="2397"/>
      <c r="AH30" s="2397"/>
    </row>
    <row r="31" spans="1:37">
      <c r="A31" s="1653" t="s">
        <v>2277</v>
      </c>
      <c r="B31" s="2344"/>
      <c r="C31" s="2390"/>
      <c r="D31" s="2390"/>
      <c r="E31" s="3482"/>
      <c r="F31" s="3482"/>
      <c r="G31" s="3482">
        <v>0</v>
      </c>
      <c r="H31" s="3482">
        <v>0</v>
      </c>
      <c r="I31" s="3482">
        <v>0</v>
      </c>
      <c r="J31" s="3482">
        <v>0</v>
      </c>
      <c r="K31" s="3482">
        <v>0</v>
      </c>
      <c r="L31" s="3482">
        <v>-57704.842474154248</v>
      </c>
      <c r="M31" s="3482">
        <v>-502682.96641740471</v>
      </c>
      <c r="N31" s="3482">
        <v>-897907.45280154631</v>
      </c>
      <c r="O31" s="3482">
        <v>-1328427.1438664957</v>
      </c>
      <c r="P31" s="3482">
        <v>-2229429.6090897447</v>
      </c>
      <c r="Q31" s="3482">
        <v>-2894003.4604771519</v>
      </c>
      <c r="R31" s="3482">
        <v>-2894003.4604771519</v>
      </c>
      <c r="S31" s="2390"/>
      <c r="T31" s="2390"/>
      <c r="U31" s="2390"/>
      <c r="V31" s="2390"/>
      <c r="W31" s="2390"/>
      <c r="X31" s="2390"/>
      <c r="Y31" s="2390"/>
      <c r="Z31" s="2390"/>
      <c r="AA31" s="2390"/>
      <c r="AB31" s="2390"/>
      <c r="AC31" s="2390"/>
      <c r="AD31" s="2390"/>
      <c r="AE31" s="2390"/>
      <c r="AF31" s="2390"/>
      <c r="AG31" s="2390"/>
      <c r="AH31" s="2390"/>
    </row>
    <row r="32" spans="1:37">
      <c r="A32" s="1655" t="s">
        <v>2278</v>
      </c>
      <c r="B32" s="2345"/>
      <c r="C32" s="2395"/>
      <c r="D32" s="2395"/>
      <c r="E32" s="3483"/>
      <c r="F32" s="3483"/>
      <c r="G32" s="3483">
        <v>0</v>
      </c>
      <c r="H32" s="3483">
        <v>0</v>
      </c>
      <c r="I32" s="3483">
        <v>0</v>
      </c>
      <c r="J32" s="3483">
        <v>0</v>
      </c>
      <c r="K32" s="3483">
        <v>0</v>
      </c>
      <c r="L32" s="3483">
        <v>-57704.842474154248</v>
      </c>
      <c r="M32" s="3483">
        <v>-502682.96641740471</v>
      </c>
      <c r="N32" s="3483">
        <v>-897907.45280154631</v>
      </c>
      <c r="O32" s="3483">
        <v>-1328427.1438664957</v>
      </c>
      <c r="P32" s="3483">
        <v>-2229429.6090897447</v>
      </c>
      <c r="Q32" s="3483">
        <v>-2894003.4604771519</v>
      </c>
      <c r="R32" s="3483">
        <v>-2894003.4604771519</v>
      </c>
      <c r="S32" s="2395"/>
      <c r="T32" s="2395"/>
      <c r="U32" s="2395"/>
      <c r="V32" s="2395"/>
      <c r="W32" s="2395"/>
      <c r="X32" s="2395"/>
      <c r="Y32" s="2395"/>
      <c r="Z32" s="2395"/>
      <c r="AA32" s="2395"/>
      <c r="AB32" s="2395"/>
      <c r="AC32" s="2395"/>
      <c r="AD32" s="2395"/>
      <c r="AE32" s="2395"/>
      <c r="AF32" s="2395"/>
      <c r="AG32" s="2395"/>
      <c r="AH32" s="2395"/>
    </row>
    <row r="33" spans="1:37">
      <c r="A33" s="1461" t="s">
        <v>602</v>
      </c>
      <c r="B33" s="2330"/>
      <c r="C33" s="1657"/>
      <c r="D33" s="1657"/>
      <c r="E33" s="1657"/>
      <c r="F33" s="1657"/>
      <c r="G33" s="1657"/>
      <c r="H33" s="1657"/>
      <c r="I33" s="1657"/>
      <c r="J33" s="1657"/>
      <c r="K33" s="1657"/>
      <c r="L33" s="1657"/>
      <c r="M33" s="1657"/>
      <c r="N33" s="1657"/>
      <c r="O33" s="1657"/>
      <c r="P33" s="1657"/>
      <c r="Q33" s="1657"/>
      <c r="R33" s="1657"/>
      <c r="S33" s="1657"/>
      <c r="T33" s="1657"/>
      <c r="U33" s="1657"/>
      <c r="V33" s="1657"/>
      <c r="W33" s="1657"/>
      <c r="X33" s="1657"/>
      <c r="Y33" s="1657"/>
      <c r="Z33" s="1657"/>
      <c r="AA33" s="1657"/>
      <c r="AB33" s="1657"/>
      <c r="AC33" s="1657"/>
      <c r="AD33" s="1657"/>
      <c r="AE33" s="1657"/>
      <c r="AF33" s="1657"/>
      <c r="AG33" s="1657"/>
      <c r="AH33" s="1657"/>
    </row>
    <row r="34" spans="1:37">
      <c r="A34" s="1658" t="s">
        <v>724</v>
      </c>
      <c r="B34" s="2346">
        <f>B22+B26+B30</f>
        <v>11255000</v>
      </c>
      <c r="C34" s="1657">
        <f>+C22+C26+C30</f>
        <v>5595000</v>
      </c>
      <c r="D34" s="1657">
        <f t="shared" ref="D34:AD34" si="7">+D22+D26+D30</f>
        <v>950000</v>
      </c>
      <c r="E34" s="1657">
        <f t="shared" si="7"/>
        <v>0</v>
      </c>
      <c r="F34" s="1657">
        <f t="shared" si="7"/>
        <v>0</v>
      </c>
      <c r="G34" s="1657">
        <f t="shared" si="7"/>
        <v>0</v>
      </c>
      <c r="H34" s="1657">
        <f t="shared" si="7"/>
        <v>14415000</v>
      </c>
      <c r="I34" s="1657">
        <f t="shared" si="7"/>
        <v>15130000</v>
      </c>
      <c r="J34" s="1657">
        <f t="shared" si="7"/>
        <v>15870000</v>
      </c>
      <c r="K34" s="1657">
        <f t="shared" si="7"/>
        <v>16645000</v>
      </c>
      <c r="L34" s="1657">
        <f t="shared" si="7"/>
        <v>15110000</v>
      </c>
      <c r="M34" s="1657">
        <f t="shared" si="7"/>
        <v>2405000</v>
      </c>
      <c r="N34" s="1657">
        <f t="shared" si="7"/>
        <v>2525000</v>
      </c>
      <c r="O34" s="1657">
        <f t="shared" si="7"/>
        <v>2650000</v>
      </c>
      <c r="P34" s="1657">
        <f t="shared" si="7"/>
        <v>2785000</v>
      </c>
      <c r="Q34" s="1657">
        <f t="shared" si="7"/>
        <v>2920000</v>
      </c>
      <c r="R34" s="1657">
        <f t="shared" si="7"/>
        <v>3070000</v>
      </c>
      <c r="S34" s="1657">
        <f t="shared" si="7"/>
        <v>3220000</v>
      </c>
      <c r="T34" s="1657">
        <f t="shared" si="7"/>
        <v>3385000</v>
      </c>
      <c r="U34" s="1657">
        <f t="shared" si="7"/>
        <v>3550000</v>
      </c>
      <c r="V34" s="1657">
        <f t="shared" si="7"/>
        <v>3730000</v>
      </c>
      <c r="W34" s="1657">
        <f t="shared" si="7"/>
        <v>3915000</v>
      </c>
      <c r="X34" s="1657">
        <f t="shared" si="7"/>
        <v>4110000</v>
      </c>
      <c r="Y34" s="1657">
        <f t="shared" si="7"/>
        <v>4315000</v>
      </c>
      <c r="Z34" s="1657">
        <f t="shared" si="7"/>
        <v>4535000</v>
      </c>
      <c r="AA34" s="1657">
        <f t="shared" si="7"/>
        <v>4760000</v>
      </c>
      <c r="AB34" s="1657">
        <f t="shared" si="7"/>
        <v>4995000</v>
      </c>
      <c r="AC34" s="1657">
        <f t="shared" si="7"/>
        <v>5245000</v>
      </c>
      <c r="AD34" s="1657">
        <f t="shared" si="7"/>
        <v>5510000</v>
      </c>
      <c r="AE34" s="1657">
        <f>AE22+AE26+AE30</f>
        <v>0</v>
      </c>
      <c r="AF34" s="1657">
        <f>AF22+AF26+AF30</f>
        <v>0</v>
      </c>
      <c r="AG34" s="1657">
        <f>AG22+AG26+AG30</f>
        <v>0</v>
      </c>
      <c r="AH34" s="1657">
        <f>AH22+AH26+AH30</f>
        <v>0</v>
      </c>
    </row>
    <row r="35" spans="1:37">
      <c r="A35" s="1658" t="s">
        <v>725</v>
      </c>
      <c r="B35" s="2346">
        <f>+B23+B24+B27+B28+B31+B32</f>
        <v>6752381.2599999998</v>
      </c>
      <c r="C35" s="1657">
        <f>+C23+C24+C27+C28+C31+C32</f>
        <v>6557044.4499999806</v>
      </c>
      <c r="D35" s="1657">
        <f t="shared" ref="D35:AH35" si="8">+D23+D24+D27+D28+D31+D32</f>
        <v>7158081.2599999802</v>
      </c>
      <c r="E35" s="1657">
        <f t="shared" si="8"/>
        <v>8406331.2599999793</v>
      </c>
      <c r="F35" s="1657">
        <f t="shared" si="8"/>
        <v>9668831.2599999793</v>
      </c>
      <c r="G35" s="1657">
        <f t="shared" si="8"/>
        <v>10931331.259999979</v>
      </c>
      <c r="H35" s="1657">
        <f t="shared" si="8"/>
        <v>10573456.259999979</v>
      </c>
      <c r="I35" s="1657">
        <f t="shared" si="8"/>
        <v>9843831.2599999793</v>
      </c>
      <c r="J35" s="1657">
        <f t="shared" si="8"/>
        <v>9085456.2599999793</v>
      </c>
      <c r="K35" s="1657">
        <f t="shared" si="8"/>
        <v>8294431.2599999905</v>
      </c>
      <c r="L35" s="1657">
        <f t="shared" si="8"/>
        <v>7413980.9450516915</v>
      </c>
      <c r="M35" s="1657">
        <f t="shared" si="8"/>
        <v>6103259.0671651904</v>
      </c>
      <c r="N35" s="1657">
        <f t="shared" si="8"/>
        <v>5189560.0943969078</v>
      </c>
      <c r="O35" s="1657">
        <f t="shared" si="8"/>
        <v>4199145.7122670077</v>
      </c>
      <c r="P35" s="1657">
        <f t="shared" si="8"/>
        <v>2261265.78182051</v>
      </c>
      <c r="Q35" s="1657">
        <f t="shared" si="8"/>
        <v>789493.07904569618</v>
      </c>
      <c r="R35" s="1657">
        <f t="shared" si="8"/>
        <v>639743.07904569618</v>
      </c>
      <c r="S35" s="1657">
        <f t="shared" si="8"/>
        <v>2483000</v>
      </c>
      <c r="T35" s="1657">
        <f t="shared" si="8"/>
        <v>2317875</v>
      </c>
      <c r="U35" s="1657">
        <f t="shared" si="8"/>
        <v>2144500</v>
      </c>
      <c r="V35" s="1657">
        <f t="shared" si="8"/>
        <v>1962500</v>
      </c>
      <c r="W35" s="1657">
        <f t="shared" si="8"/>
        <v>1771375</v>
      </c>
      <c r="X35" s="1657">
        <f t="shared" si="8"/>
        <v>1570750</v>
      </c>
      <c r="Y35" s="1657">
        <f t="shared" si="8"/>
        <v>1360125</v>
      </c>
      <c r="Z35" s="1657">
        <f t="shared" si="8"/>
        <v>1138875</v>
      </c>
      <c r="AA35" s="1657">
        <f t="shared" si="8"/>
        <v>906500</v>
      </c>
      <c r="AB35" s="1657">
        <f t="shared" si="8"/>
        <v>662625</v>
      </c>
      <c r="AC35" s="1657">
        <f t="shared" si="8"/>
        <v>406625</v>
      </c>
      <c r="AD35" s="1657">
        <f t="shared" si="8"/>
        <v>137750</v>
      </c>
      <c r="AE35" s="1657">
        <f t="shared" si="8"/>
        <v>0</v>
      </c>
      <c r="AF35" s="1657">
        <f t="shared" si="8"/>
        <v>0</v>
      </c>
      <c r="AG35" s="1657">
        <f t="shared" si="8"/>
        <v>0</v>
      </c>
      <c r="AH35" s="1657">
        <f t="shared" si="8"/>
        <v>0</v>
      </c>
    </row>
    <row r="36" spans="1:37">
      <c r="A36" s="2330" t="s">
        <v>2879</v>
      </c>
      <c r="B36" s="2331">
        <f>+B34+B35</f>
        <v>18007381.259999998</v>
      </c>
      <c r="C36" s="2331">
        <f t="shared" ref="C36:AH36" si="9">+C34+C35</f>
        <v>12152044.449999981</v>
      </c>
      <c r="D36" s="2331">
        <f t="shared" si="9"/>
        <v>8108081.2599999802</v>
      </c>
      <c r="E36" s="2331">
        <f t="shared" si="9"/>
        <v>8406331.2599999793</v>
      </c>
      <c r="F36" s="2331">
        <f t="shared" si="9"/>
        <v>9668831.2599999793</v>
      </c>
      <c r="G36" s="2331">
        <f t="shared" si="9"/>
        <v>10931331.259999979</v>
      </c>
      <c r="H36" s="2331">
        <f t="shared" si="9"/>
        <v>24988456.259999979</v>
      </c>
      <c r="I36" s="2331">
        <f t="shared" si="9"/>
        <v>24973831.259999979</v>
      </c>
      <c r="J36" s="2331">
        <f t="shared" si="9"/>
        <v>24955456.259999979</v>
      </c>
      <c r="K36" s="2331">
        <f t="shared" si="9"/>
        <v>24939431.25999999</v>
      </c>
      <c r="L36" s="2331">
        <f t="shared" si="9"/>
        <v>22523980.945051692</v>
      </c>
      <c r="M36" s="2331">
        <f t="shared" si="9"/>
        <v>8508259.0671651904</v>
      </c>
      <c r="N36" s="2331">
        <f t="shared" si="9"/>
        <v>7714560.0943969078</v>
      </c>
      <c r="O36" s="2331">
        <f t="shared" si="9"/>
        <v>6849145.7122670077</v>
      </c>
      <c r="P36" s="2331">
        <f t="shared" si="9"/>
        <v>5046265.7818205096</v>
      </c>
      <c r="Q36" s="2331">
        <f t="shared" si="9"/>
        <v>3709493.0790456962</v>
      </c>
      <c r="R36" s="2331">
        <f t="shared" si="9"/>
        <v>3709743.0790456962</v>
      </c>
      <c r="S36" s="2331">
        <f t="shared" si="9"/>
        <v>5703000</v>
      </c>
      <c r="T36" s="2331">
        <f t="shared" si="9"/>
        <v>5702875</v>
      </c>
      <c r="U36" s="2331">
        <f t="shared" si="9"/>
        <v>5694500</v>
      </c>
      <c r="V36" s="2331">
        <f t="shared" si="9"/>
        <v>5692500</v>
      </c>
      <c r="W36" s="2331">
        <f t="shared" si="9"/>
        <v>5686375</v>
      </c>
      <c r="X36" s="2331">
        <f t="shared" si="9"/>
        <v>5680750</v>
      </c>
      <c r="Y36" s="2331">
        <f t="shared" si="9"/>
        <v>5675125</v>
      </c>
      <c r="Z36" s="2331">
        <f t="shared" si="9"/>
        <v>5673875</v>
      </c>
      <c r="AA36" s="2331">
        <f t="shared" si="9"/>
        <v>5666500</v>
      </c>
      <c r="AB36" s="2331">
        <f t="shared" si="9"/>
        <v>5657625</v>
      </c>
      <c r="AC36" s="2331">
        <f t="shared" si="9"/>
        <v>5651625</v>
      </c>
      <c r="AD36" s="2331">
        <f t="shared" si="9"/>
        <v>5647750</v>
      </c>
      <c r="AE36" s="2331">
        <f t="shared" si="9"/>
        <v>0</v>
      </c>
      <c r="AF36" s="2331">
        <f t="shared" si="9"/>
        <v>0</v>
      </c>
      <c r="AG36" s="2331">
        <f t="shared" si="9"/>
        <v>0</v>
      </c>
      <c r="AH36" s="2331">
        <f t="shared" si="9"/>
        <v>0</v>
      </c>
    </row>
    <row r="37" spans="1:37">
      <c r="A37" s="2333" t="s">
        <v>2554</v>
      </c>
      <c r="B37" s="2334">
        <f>+B24+C23+B28+C27+B32+C31</f>
        <v>6262656.9499999899</v>
      </c>
      <c r="C37" s="2336">
        <f>+C24+D23+C28+D27+C32+D31</f>
        <v>7172331.2599999802</v>
      </c>
      <c r="D37" s="2336">
        <f t="shared" ref="D37:AH37" si="10">+D24+E23+D28+E27+D32+E31</f>
        <v>8406331.2599999793</v>
      </c>
      <c r="E37" s="2336">
        <f t="shared" si="10"/>
        <v>9668831.2599999793</v>
      </c>
      <c r="F37" s="2336">
        <f t="shared" si="10"/>
        <v>10931331.259999979</v>
      </c>
      <c r="G37" s="2336">
        <f t="shared" si="10"/>
        <v>10931331.259999979</v>
      </c>
      <c r="H37" s="2336">
        <f t="shared" si="10"/>
        <v>10215581.259999979</v>
      </c>
      <c r="I37" s="2336">
        <f t="shared" si="10"/>
        <v>9472081.2599999793</v>
      </c>
      <c r="J37" s="2336">
        <f t="shared" si="10"/>
        <v>8698831.2599999793</v>
      </c>
      <c r="K37" s="2336">
        <f t="shared" si="10"/>
        <v>7832326.4175258456</v>
      </c>
      <c r="L37" s="2336">
        <f t="shared" si="10"/>
        <v>6608362.191108441</v>
      </c>
      <c r="M37" s="2336">
        <f t="shared" si="10"/>
        <v>5647909.5807810491</v>
      </c>
      <c r="N37" s="2336">
        <f t="shared" si="10"/>
        <v>4695915.4033319578</v>
      </c>
      <c r="O37" s="2336">
        <f t="shared" si="10"/>
        <v>3231893.2470437591</v>
      </c>
      <c r="P37" s="2336">
        <f t="shared" si="10"/>
        <v>1527066.9304331029</v>
      </c>
      <c r="Q37" s="2336">
        <f t="shared" si="10"/>
        <v>716493.07904569618</v>
      </c>
      <c r="R37" s="2336">
        <f t="shared" si="10"/>
        <v>-330503.46047715191</v>
      </c>
      <c r="S37" s="2336">
        <f t="shared" si="10"/>
        <v>2402500</v>
      </c>
      <c r="T37" s="2336">
        <f t="shared" si="10"/>
        <v>2233250</v>
      </c>
      <c r="U37" s="2336">
        <f t="shared" si="10"/>
        <v>2055750</v>
      </c>
      <c r="V37" s="2336">
        <f t="shared" si="10"/>
        <v>1869250</v>
      </c>
      <c r="W37" s="2336">
        <f t="shared" si="10"/>
        <v>1673500</v>
      </c>
      <c r="X37" s="2336">
        <f t="shared" si="10"/>
        <v>1468000</v>
      </c>
      <c r="Y37" s="2336">
        <f t="shared" si="10"/>
        <v>1252250</v>
      </c>
      <c r="Z37" s="2336">
        <f t="shared" si="10"/>
        <v>1025500</v>
      </c>
      <c r="AA37" s="2336">
        <f t="shared" si="10"/>
        <v>787500</v>
      </c>
      <c r="AB37" s="2336">
        <f t="shared" si="10"/>
        <v>537750</v>
      </c>
      <c r="AC37" s="2336">
        <f t="shared" si="10"/>
        <v>275500</v>
      </c>
      <c r="AD37" s="2336">
        <f t="shared" si="10"/>
        <v>0</v>
      </c>
      <c r="AE37" s="2335">
        <f t="shared" si="10"/>
        <v>0</v>
      </c>
      <c r="AF37" s="2335">
        <f t="shared" si="10"/>
        <v>0</v>
      </c>
      <c r="AG37" s="2335">
        <f t="shared" si="10"/>
        <v>0</v>
      </c>
      <c r="AH37" s="2335">
        <f t="shared" si="10"/>
        <v>0</v>
      </c>
    </row>
    <row r="38" spans="1:37">
      <c r="A38" s="2333" t="s">
        <v>2555</v>
      </c>
      <c r="B38" s="2334">
        <f>+C22+C26+C30</f>
        <v>5595000</v>
      </c>
      <c r="C38" s="2336">
        <f>+D22+D26+D30</f>
        <v>950000</v>
      </c>
      <c r="D38" s="2336">
        <f t="shared" ref="D38:AH38" si="11">+E22+E26+E30</f>
        <v>0</v>
      </c>
      <c r="E38" s="2336">
        <f t="shared" si="11"/>
        <v>0</v>
      </c>
      <c r="F38" s="2336">
        <f t="shared" si="11"/>
        <v>0</v>
      </c>
      <c r="G38" s="2336">
        <f t="shared" si="11"/>
        <v>14415000</v>
      </c>
      <c r="H38" s="2336">
        <f t="shared" si="11"/>
        <v>15130000</v>
      </c>
      <c r="I38" s="2336">
        <f t="shared" si="11"/>
        <v>15870000</v>
      </c>
      <c r="J38" s="2336">
        <f t="shared" si="11"/>
        <v>16645000</v>
      </c>
      <c r="K38" s="2336">
        <f t="shared" si="11"/>
        <v>15110000</v>
      </c>
      <c r="L38" s="2336">
        <f t="shared" si="11"/>
        <v>2405000</v>
      </c>
      <c r="M38" s="2336">
        <f t="shared" si="11"/>
        <v>2525000</v>
      </c>
      <c r="N38" s="2336">
        <f t="shared" si="11"/>
        <v>2650000</v>
      </c>
      <c r="O38" s="2336">
        <f t="shared" si="11"/>
        <v>2785000</v>
      </c>
      <c r="P38" s="2336">
        <f t="shared" si="11"/>
        <v>2920000</v>
      </c>
      <c r="Q38" s="2336">
        <f t="shared" si="11"/>
        <v>3070000</v>
      </c>
      <c r="R38" s="2336">
        <f t="shared" si="11"/>
        <v>3220000</v>
      </c>
      <c r="S38" s="2336">
        <f t="shared" si="11"/>
        <v>3385000</v>
      </c>
      <c r="T38" s="2336">
        <f t="shared" si="11"/>
        <v>3550000</v>
      </c>
      <c r="U38" s="2336">
        <f t="shared" si="11"/>
        <v>3730000</v>
      </c>
      <c r="V38" s="2336">
        <f t="shared" si="11"/>
        <v>3915000</v>
      </c>
      <c r="W38" s="2336">
        <f t="shared" si="11"/>
        <v>4110000</v>
      </c>
      <c r="X38" s="2336">
        <f t="shared" si="11"/>
        <v>4315000</v>
      </c>
      <c r="Y38" s="2336">
        <f t="shared" si="11"/>
        <v>4535000</v>
      </c>
      <c r="Z38" s="2336">
        <f t="shared" si="11"/>
        <v>4760000</v>
      </c>
      <c r="AA38" s="2336">
        <f t="shared" si="11"/>
        <v>4995000</v>
      </c>
      <c r="AB38" s="2336">
        <f t="shared" si="11"/>
        <v>5245000</v>
      </c>
      <c r="AC38" s="2336">
        <f t="shared" si="11"/>
        <v>5510000</v>
      </c>
      <c r="AD38" s="2336">
        <f t="shared" si="11"/>
        <v>0</v>
      </c>
      <c r="AE38" s="2335">
        <f t="shared" si="11"/>
        <v>0</v>
      </c>
      <c r="AF38" s="2335">
        <f t="shared" si="11"/>
        <v>0</v>
      </c>
      <c r="AG38" s="2335">
        <f t="shared" si="11"/>
        <v>0</v>
      </c>
      <c r="AH38" s="2335">
        <f t="shared" si="11"/>
        <v>0</v>
      </c>
    </row>
    <row r="39" spans="1:37">
      <c r="A39" s="1659" t="s">
        <v>2556</v>
      </c>
      <c r="B39" s="2347">
        <f>+B37+B38</f>
        <v>11857656.94999999</v>
      </c>
      <c r="C39" s="1660">
        <f t="shared" ref="C39:AH39" si="12">+C37+C38</f>
        <v>8122331.2599999802</v>
      </c>
      <c r="D39" s="1660">
        <f t="shared" si="12"/>
        <v>8406331.2599999793</v>
      </c>
      <c r="E39" s="1660">
        <f t="shared" si="12"/>
        <v>9668831.2599999793</v>
      </c>
      <c r="F39" s="1660">
        <f t="shared" si="12"/>
        <v>10931331.259999979</v>
      </c>
      <c r="G39" s="1660">
        <f t="shared" si="12"/>
        <v>25346331.259999979</v>
      </c>
      <c r="H39" s="1660">
        <f t="shared" si="12"/>
        <v>25345581.259999979</v>
      </c>
      <c r="I39" s="1660">
        <f t="shared" si="12"/>
        <v>25342081.259999979</v>
      </c>
      <c r="J39" s="1660">
        <f t="shared" si="12"/>
        <v>25343831.259999979</v>
      </c>
      <c r="K39" s="1660">
        <f t="shared" si="12"/>
        <v>22942326.417525847</v>
      </c>
      <c r="L39" s="1660">
        <f t="shared" si="12"/>
        <v>9013362.191108441</v>
      </c>
      <c r="M39" s="1660">
        <f t="shared" si="12"/>
        <v>8172909.5807810491</v>
      </c>
      <c r="N39" s="1660">
        <f t="shared" si="12"/>
        <v>7345915.4033319578</v>
      </c>
      <c r="O39" s="1660">
        <f t="shared" si="12"/>
        <v>6016893.2470437586</v>
      </c>
      <c r="P39" s="1660">
        <f t="shared" si="12"/>
        <v>4447066.9304331029</v>
      </c>
      <c r="Q39" s="1660">
        <f t="shared" si="12"/>
        <v>3786493.0790456962</v>
      </c>
      <c r="R39" s="1660">
        <f t="shared" si="12"/>
        <v>2889496.5395228481</v>
      </c>
      <c r="S39" s="1660">
        <f t="shared" si="12"/>
        <v>5787500</v>
      </c>
      <c r="T39" s="1660">
        <f t="shared" si="12"/>
        <v>5783250</v>
      </c>
      <c r="U39" s="1660">
        <f t="shared" si="12"/>
        <v>5785750</v>
      </c>
      <c r="V39" s="1660">
        <f t="shared" si="12"/>
        <v>5784250</v>
      </c>
      <c r="W39" s="1660">
        <f t="shared" si="12"/>
        <v>5783500</v>
      </c>
      <c r="X39" s="1660">
        <f t="shared" si="12"/>
        <v>5783000</v>
      </c>
      <c r="Y39" s="1660">
        <f t="shared" si="12"/>
        <v>5787250</v>
      </c>
      <c r="Z39" s="1660">
        <f t="shared" si="12"/>
        <v>5785500</v>
      </c>
      <c r="AA39" s="1660">
        <f t="shared" si="12"/>
        <v>5782500</v>
      </c>
      <c r="AB39" s="1660">
        <f t="shared" si="12"/>
        <v>5782750</v>
      </c>
      <c r="AC39" s="1660">
        <f t="shared" si="12"/>
        <v>5785500</v>
      </c>
      <c r="AD39" s="1660">
        <f t="shared" si="12"/>
        <v>0</v>
      </c>
      <c r="AE39" s="1660">
        <f t="shared" si="12"/>
        <v>0</v>
      </c>
      <c r="AF39" s="1660">
        <f t="shared" si="12"/>
        <v>0</v>
      </c>
      <c r="AG39" s="1660">
        <f t="shared" si="12"/>
        <v>0</v>
      </c>
      <c r="AH39" s="1660">
        <f t="shared" si="12"/>
        <v>0</v>
      </c>
    </row>
    <row r="40" spans="1:37">
      <c r="A40" s="1658"/>
      <c r="B40" s="2330"/>
      <c r="C40" s="1657"/>
      <c r="D40" s="1657"/>
      <c r="E40" s="1657"/>
      <c r="F40" s="1657"/>
      <c r="G40" s="1657"/>
      <c r="H40" s="1657"/>
      <c r="I40" s="1657"/>
      <c r="J40" s="1657"/>
      <c r="K40" s="1657"/>
      <c r="L40" s="1657"/>
      <c r="M40" s="1657"/>
      <c r="N40" s="1657"/>
      <c r="O40" s="1657"/>
      <c r="P40" s="1657"/>
      <c r="Q40" s="1657"/>
      <c r="R40" s="1657"/>
      <c r="S40" s="1657"/>
      <c r="T40" s="1657"/>
      <c r="U40" s="1657"/>
      <c r="V40" s="1657"/>
      <c r="W40" s="1657"/>
      <c r="X40" s="1657"/>
      <c r="Y40" s="1657"/>
      <c r="Z40" s="1657"/>
      <c r="AA40" s="1657"/>
      <c r="AB40" s="1657"/>
      <c r="AC40" s="1657"/>
      <c r="AD40" s="1657"/>
      <c r="AE40" s="1657"/>
      <c r="AF40" s="1657"/>
      <c r="AG40" s="1657"/>
      <c r="AH40" s="1657"/>
    </row>
    <row r="41" spans="1:37">
      <c r="C41" s="1525"/>
      <c r="D41" s="1525"/>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row>
    <row r="42" spans="1:37">
      <c r="A42" s="2401" t="s">
        <v>2557</v>
      </c>
      <c r="B42" s="2341">
        <v>41275</v>
      </c>
      <c r="C42" s="2348">
        <v>41640</v>
      </c>
      <c r="D42" s="2348">
        <v>42005</v>
      </c>
      <c r="E42" s="2348">
        <v>42370</v>
      </c>
      <c r="F42" s="2348">
        <v>42736</v>
      </c>
      <c r="G42" s="2348">
        <v>43101</v>
      </c>
      <c r="H42" s="2348">
        <v>43466</v>
      </c>
      <c r="I42" s="2348">
        <v>43831</v>
      </c>
      <c r="J42" s="2348">
        <v>44197</v>
      </c>
      <c r="K42" s="2348">
        <v>44562</v>
      </c>
      <c r="L42" s="2348">
        <v>44927</v>
      </c>
      <c r="M42" s="2348">
        <v>45292</v>
      </c>
      <c r="N42" s="2348">
        <v>45658</v>
      </c>
      <c r="O42" s="2348">
        <v>46023</v>
      </c>
      <c r="P42" s="2348">
        <v>46388</v>
      </c>
      <c r="Q42" s="2348">
        <v>46753</v>
      </c>
      <c r="R42" s="2348">
        <v>47119</v>
      </c>
      <c r="S42" s="2348">
        <v>47484</v>
      </c>
      <c r="T42" s="2348">
        <v>47849</v>
      </c>
      <c r="U42" s="2348">
        <v>48214</v>
      </c>
      <c r="V42" s="2348">
        <v>48580</v>
      </c>
      <c r="W42" s="2348">
        <v>48945</v>
      </c>
      <c r="X42" s="2348">
        <v>49310</v>
      </c>
      <c r="Y42" s="2348">
        <v>49675</v>
      </c>
      <c r="Z42" s="2348">
        <v>50041</v>
      </c>
      <c r="AA42" s="2348">
        <v>50406</v>
      </c>
      <c r="AB42" s="2348">
        <v>50771</v>
      </c>
      <c r="AC42" s="2348">
        <v>51136</v>
      </c>
      <c r="AD42" s="2348">
        <v>51502</v>
      </c>
      <c r="AE42" s="2348">
        <v>51867</v>
      </c>
      <c r="AF42" s="2348">
        <v>52232</v>
      </c>
      <c r="AG42" s="2348">
        <v>52597</v>
      </c>
      <c r="AH42" s="2348">
        <v>52963</v>
      </c>
    </row>
    <row r="43" spans="1:37">
      <c r="B43" s="2341">
        <v>41456</v>
      </c>
      <c r="C43" s="2348">
        <v>41821</v>
      </c>
      <c r="D43" s="2348">
        <v>42186</v>
      </c>
      <c r="E43" s="2348">
        <v>42552</v>
      </c>
      <c r="F43" s="2348">
        <v>42917</v>
      </c>
      <c r="G43" s="2348">
        <v>43282</v>
      </c>
      <c r="H43" s="2348">
        <v>43647</v>
      </c>
      <c r="I43" s="2348">
        <v>44013</v>
      </c>
      <c r="J43" s="2348">
        <v>44378</v>
      </c>
      <c r="K43" s="2348">
        <v>44743</v>
      </c>
      <c r="L43" s="2348">
        <v>45108</v>
      </c>
      <c r="M43" s="2348">
        <v>45474</v>
      </c>
      <c r="N43" s="2348">
        <v>45839</v>
      </c>
      <c r="O43" s="2348">
        <v>46204</v>
      </c>
      <c r="P43" s="2348">
        <v>46569</v>
      </c>
      <c r="Q43" s="2348">
        <v>46935</v>
      </c>
      <c r="R43" s="2348">
        <v>47300</v>
      </c>
      <c r="S43" s="2348">
        <v>47665</v>
      </c>
      <c r="T43" s="2348">
        <v>48030</v>
      </c>
      <c r="U43" s="2348">
        <v>48396</v>
      </c>
      <c r="V43" s="2348">
        <v>48761</v>
      </c>
      <c r="W43" s="2348">
        <v>49126</v>
      </c>
      <c r="X43" s="2348">
        <v>49491</v>
      </c>
      <c r="Y43" s="2348">
        <v>49857</v>
      </c>
      <c r="Z43" s="2348">
        <v>50222</v>
      </c>
      <c r="AA43" s="2348">
        <v>50587</v>
      </c>
      <c r="AB43" s="2348">
        <v>50952</v>
      </c>
      <c r="AC43" s="2348">
        <v>51318</v>
      </c>
      <c r="AD43" s="2348">
        <v>51683</v>
      </c>
      <c r="AE43" s="2348">
        <v>52048</v>
      </c>
      <c r="AF43" s="2348">
        <v>52413</v>
      </c>
      <c r="AG43" s="2348">
        <v>52779</v>
      </c>
      <c r="AH43" s="2348">
        <v>53144</v>
      </c>
    </row>
    <row r="44" spans="1:37" s="2385" customFormat="1">
      <c r="A44" s="1584"/>
      <c r="B44" s="2349"/>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K44" s="2375"/>
    </row>
    <row r="45" spans="1:37">
      <c r="A45" s="1662" t="s">
        <v>707</v>
      </c>
      <c r="D45" s="2402"/>
    </row>
    <row r="46" spans="1:37">
      <c r="A46" s="2403" t="s">
        <v>2885</v>
      </c>
      <c r="B46" s="2388">
        <v>27610000</v>
      </c>
      <c r="C46" s="2329">
        <v>29695000</v>
      </c>
      <c r="D46" s="2329">
        <v>28050000</v>
      </c>
      <c r="E46" s="2329">
        <v>29330000</v>
      </c>
      <c r="F46" s="2329">
        <v>30650000</v>
      </c>
      <c r="G46" s="2329">
        <v>30275000</v>
      </c>
      <c r="H46" s="2329">
        <v>27760000</v>
      </c>
      <c r="I46" s="2329">
        <v>29055000</v>
      </c>
      <c r="J46" s="2329">
        <v>30445000</v>
      </c>
      <c r="K46" s="2329">
        <v>25970000</v>
      </c>
      <c r="L46" s="2329">
        <v>27230000</v>
      </c>
      <c r="M46" s="2329">
        <v>22030000</v>
      </c>
      <c r="N46" s="2329">
        <v>23065000</v>
      </c>
      <c r="O46" s="2329">
        <v>24165000</v>
      </c>
      <c r="P46" s="2329">
        <v>25295000</v>
      </c>
      <c r="Q46" s="2329">
        <v>31760000</v>
      </c>
      <c r="R46" s="2329">
        <v>33225000</v>
      </c>
      <c r="S46" s="2329">
        <v>34810000</v>
      </c>
      <c r="T46" s="2329">
        <v>35545000</v>
      </c>
      <c r="U46" s="2329">
        <v>32230000</v>
      </c>
      <c r="V46" s="2329">
        <v>33625000</v>
      </c>
      <c r="W46" s="2329">
        <v>32800000</v>
      </c>
      <c r="X46" s="2329">
        <v>34325000</v>
      </c>
      <c r="Y46" s="2329">
        <v>34445000</v>
      </c>
      <c r="Z46" s="2329">
        <v>32005000</v>
      </c>
      <c r="AA46" s="2329">
        <v>33490000</v>
      </c>
      <c r="AB46" s="2329">
        <v>31030000</v>
      </c>
      <c r="AC46" s="2329">
        <v>32480000</v>
      </c>
      <c r="AD46" s="2329">
        <v>17170000</v>
      </c>
      <c r="AE46" s="2329">
        <v>18055000</v>
      </c>
      <c r="AF46" s="2329">
        <v>18995000</v>
      </c>
      <c r="AG46" s="2329">
        <v>0</v>
      </c>
      <c r="AH46" s="2329">
        <v>0</v>
      </c>
      <c r="AK46" s="2376">
        <f>SUM(C46:AG46)</f>
        <v>869005000</v>
      </c>
    </row>
    <row r="47" spans="1:37">
      <c r="A47" s="2404" t="s">
        <v>2886</v>
      </c>
      <c r="B47" s="2405">
        <v>23995646.760000002</v>
      </c>
      <c r="C47" s="2389">
        <v>24798759.739999902</v>
      </c>
      <c r="D47" s="2389">
        <v>24932356.079999901</v>
      </c>
      <c r="E47" s="2389">
        <v>24310513.579999901</v>
      </c>
      <c r="F47" s="2389">
        <v>23636471.829999901</v>
      </c>
      <c r="G47" s="2389">
        <v>22920873.329999901</v>
      </c>
      <c r="H47" s="2389">
        <v>22180083.629999898</v>
      </c>
      <c r="I47" s="2389">
        <v>21503094.780000001</v>
      </c>
      <c r="J47" s="2389">
        <v>20792009.649999902</v>
      </c>
      <c r="K47" s="2389">
        <v>20027905.199999899</v>
      </c>
      <c r="L47" s="2389">
        <v>19379679.399999902</v>
      </c>
      <c r="M47" s="2389">
        <v>18696228.949999899</v>
      </c>
      <c r="N47" s="2389">
        <v>18137857.309999902</v>
      </c>
      <c r="O47" s="2389">
        <v>17554931.649999902</v>
      </c>
      <c r="P47" s="2389">
        <v>16951927.649999902</v>
      </c>
      <c r="Q47" s="2389">
        <v>13773513.15</v>
      </c>
      <c r="R47" s="2389">
        <v>12946305.1</v>
      </c>
      <c r="S47" s="2389">
        <v>12075603.300000001</v>
      </c>
      <c r="T47" s="2389">
        <v>11166842.9</v>
      </c>
      <c r="U47" s="2389">
        <v>10229499.15</v>
      </c>
      <c r="V47" s="2389">
        <v>8542875.5500000007</v>
      </c>
      <c r="W47" s="2389">
        <v>7647833.6500000004</v>
      </c>
      <c r="X47" s="2389">
        <v>6773044.5499999896</v>
      </c>
      <c r="Y47" s="2389">
        <v>5855851.25</v>
      </c>
      <c r="Z47" s="2389">
        <v>4928538.5</v>
      </c>
      <c r="AA47" s="2389">
        <v>4063442.25</v>
      </c>
      <c r="AB47" s="2389">
        <v>3156454.25</v>
      </c>
      <c r="AC47" s="2389">
        <v>2301669.5</v>
      </c>
      <c r="AD47" s="2389">
        <v>1407149.5</v>
      </c>
      <c r="AE47" s="2389">
        <v>961587.75</v>
      </c>
      <c r="AF47" s="2389">
        <v>493013.75</v>
      </c>
      <c r="AG47" s="2389">
        <v>0</v>
      </c>
      <c r="AH47" s="2389">
        <v>0</v>
      </c>
      <c r="AK47" s="2376">
        <f>SUM(C47:AG47)</f>
        <v>402145916.87999868</v>
      </c>
    </row>
    <row r="48" spans="1:37">
      <c r="A48" s="2404" t="s">
        <v>2887</v>
      </c>
      <c r="B48" s="2405">
        <v>23119176.09</v>
      </c>
      <c r="C48" s="2389">
        <v>24932356.079999901</v>
      </c>
      <c r="D48" s="2389">
        <v>24310513.579999901</v>
      </c>
      <c r="E48" s="2389">
        <v>23636471.829999901</v>
      </c>
      <c r="F48" s="2389">
        <v>22920873.329999901</v>
      </c>
      <c r="G48" s="2389">
        <v>22180083.629999898</v>
      </c>
      <c r="H48" s="2389">
        <v>21503094.780000001</v>
      </c>
      <c r="I48" s="2389">
        <v>20792009.649999902</v>
      </c>
      <c r="J48" s="2389">
        <v>20027905.199999899</v>
      </c>
      <c r="K48" s="2389">
        <v>19379679.399999902</v>
      </c>
      <c r="L48" s="2389">
        <v>18696228.949999899</v>
      </c>
      <c r="M48" s="2389">
        <v>18137857.309999902</v>
      </c>
      <c r="N48" s="2389">
        <v>17554931.649999902</v>
      </c>
      <c r="O48" s="2389">
        <v>16951927.649999902</v>
      </c>
      <c r="P48" s="2389">
        <v>13773513.15</v>
      </c>
      <c r="Q48" s="2389">
        <v>12946305.1</v>
      </c>
      <c r="R48" s="2389">
        <v>12075603.300000001</v>
      </c>
      <c r="S48" s="2389">
        <v>11166842.9</v>
      </c>
      <c r="T48" s="2389">
        <v>10229499.15</v>
      </c>
      <c r="U48" s="2389">
        <v>8542875.5500000007</v>
      </c>
      <c r="V48" s="2389">
        <v>7647833.6500000004</v>
      </c>
      <c r="W48" s="2389">
        <v>6773044.5499999896</v>
      </c>
      <c r="X48" s="2389">
        <v>5855851.25</v>
      </c>
      <c r="Y48" s="2389">
        <v>4928538.5</v>
      </c>
      <c r="Z48" s="2389">
        <v>4063442.25</v>
      </c>
      <c r="AA48" s="2389">
        <v>3156454.25</v>
      </c>
      <c r="AB48" s="2389">
        <v>2301669.5</v>
      </c>
      <c r="AC48" s="2389">
        <v>1407149.5</v>
      </c>
      <c r="AD48" s="2389">
        <v>961587.75</v>
      </c>
      <c r="AE48" s="2389">
        <v>493013.75</v>
      </c>
      <c r="AF48" s="2389">
        <v>0</v>
      </c>
      <c r="AG48" s="2389">
        <v>0</v>
      </c>
      <c r="AH48" s="2389">
        <v>0</v>
      </c>
      <c r="AK48" s="2376">
        <f>SUM(C48:AG48)</f>
        <v>377347157.13999879</v>
      </c>
    </row>
    <row r="49" spans="1:37">
      <c r="A49" s="2404" t="s">
        <v>2558</v>
      </c>
      <c r="B49" s="2405">
        <v>4775037</v>
      </c>
      <c r="C49" s="2360">
        <v>4382056</v>
      </c>
      <c r="D49" s="2360">
        <v>4382056</v>
      </c>
      <c r="E49" s="2360">
        <v>4382056</v>
      </c>
      <c r="F49" s="2360">
        <v>4382056</v>
      </c>
      <c r="G49" s="2360">
        <v>4382056</v>
      </c>
      <c r="H49" s="2360">
        <v>4382056</v>
      </c>
      <c r="I49" s="2360">
        <v>4382056</v>
      </c>
      <c r="J49" s="2360">
        <v>4382056</v>
      </c>
      <c r="K49" s="2360">
        <v>4382056</v>
      </c>
      <c r="L49" s="2360">
        <v>4382056</v>
      </c>
      <c r="M49" s="2360">
        <v>4382056</v>
      </c>
      <c r="N49" s="2360">
        <v>4382056</v>
      </c>
      <c r="O49" s="2361">
        <v>4382056</v>
      </c>
      <c r="P49" s="2389"/>
      <c r="Q49" s="2389">
        <v>0</v>
      </c>
      <c r="R49" s="2389">
        <v>0</v>
      </c>
      <c r="S49" s="2389">
        <v>0</v>
      </c>
      <c r="T49" s="2389">
        <v>0</v>
      </c>
      <c r="U49" s="2389">
        <v>0</v>
      </c>
      <c r="V49" s="2389">
        <v>0</v>
      </c>
      <c r="W49" s="2389">
        <v>0</v>
      </c>
      <c r="X49" s="2389">
        <v>0</v>
      </c>
      <c r="Y49" s="2389">
        <v>0</v>
      </c>
      <c r="Z49" s="2389">
        <v>0</v>
      </c>
      <c r="AA49" s="2389">
        <v>0</v>
      </c>
      <c r="AB49" s="2389">
        <v>0</v>
      </c>
      <c r="AC49" s="2389">
        <v>0</v>
      </c>
      <c r="AD49" s="2389">
        <v>0</v>
      </c>
      <c r="AE49" s="2389">
        <v>0</v>
      </c>
      <c r="AF49" s="2389">
        <v>0</v>
      </c>
      <c r="AG49" s="2389">
        <v>0</v>
      </c>
      <c r="AH49" s="2389">
        <v>0</v>
      </c>
      <c r="AK49" s="2376">
        <f>SUM(B49:AG49)</f>
        <v>61741765</v>
      </c>
    </row>
    <row r="50" spans="1:37">
      <c r="A50" s="2406" t="s">
        <v>2559</v>
      </c>
      <c r="B50" s="2393">
        <v>1744839.06</v>
      </c>
      <c r="C50" s="2362">
        <v>1752723</v>
      </c>
      <c r="D50" s="2362">
        <v>1752723</v>
      </c>
      <c r="E50" s="2362">
        <v>1752723</v>
      </c>
      <c r="F50" s="2362">
        <v>1752723</v>
      </c>
      <c r="G50" s="2362">
        <v>1752723</v>
      </c>
      <c r="H50" s="2362">
        <v>1752723</v>
      </c>
      <c r="I50" s="2362">
        <v>1752723</v>
      </c>
      <c r="J50" s="2362">
        <v>1752723</v>
      </c>
      <c r="K50" s="2362">
        <v>1752723</v>
      </c>
      <c r="L50" s="2362">
        <v>1752723</v>
      </c>
      <c r="M50" s="2362">
        <v>1752723</v>
      </c>
      <c r="N50" s="2362">
        <v>1752723</v>
      </c>
      <c r="O50" s="2362">
        <v>1752723</v>
      </c>
      <c r="P50" s="2362">
        <v>1752723</v>
      </c>
      <c r="Q50" s="2362">
        <v>1752723</v>
      </c>
      <c r="R50" s="2362">
        <v>1752723</v>
      </c>
      <c r="S50" s="2362">
        <v>1752723</v>
      </c>
      <c r="T50" s="2362">
        <v>1752723</v>
      </c>
      <c r="U50" s="2394"/>
      <c r="V50" s="2394">
        <v>0</v>
      </c>
      <c r="W50" s="2394">
        <v>0</v>
      </c>
      <c r="X50" s="2394">
        <v>0</v>
      </c>
      <c r="Y50" s="2394">
        <v>0</v>
      </c>
      <c r="Z50" s="2394">
        <v>0</v>
      </c>
      <c r="AA50" s="2394">
        <v>0</v>
      </c>
      <c r="AB50" s="2394">
        <v>0</v>
      </c>
      <c r="AC50" s="2394">
        <v>0</v>
      </c>
      <c r="AD50" s="2394">
        <v>0</v>
      </c>
      <c r="AE50" s="2394">
        <v>0</v>
      </c>
      <c r="AF50" s="2394">
        <v>0</v>
      </c>
      <c r="AG50" s="2394">
        <v>0</v>
      </c>
      <c r="AH50" s="2394">
        <v>0</v>
      </c>
      <c r="AK50" s="2376">
        <f>SUM(B50:AG50)</f>
        <v>33293853.060000002</v>
      </c>
    </row>
    <row r="51" spans="1:37">
      <c r="A51" s="1662" t="s">
        <v>2552</v>
      </c>
      <c r="D51" s="2402"/>
    </row>
    <row r="52" spans="1:37">
      <c r="A52" s="2387" t="s">
        <v>2880</v>
      </c>
      <c r="B52" s="2407"/>
      <c r="C52" s="2408"/>
      <c r="D52" s="2409">
        <v>1690132.143578677</v>
      </c>
      <c r="E52" s="2409">
        <v>2835953.7141445233</v>
      </c>
      <c r="F52" s="2409">
        <v>3986918.6821519397</v>
      </c>
      <c r="G52" s="2409">
        <v>4587966.8192328662</v>
      </c>
      <c r="H52" s="2409">
        <v>5261617.9847541675</v>
      </c>
      <c r="I52" s="2409">
        <v>6092345.6089119948</v>
      </c>
      <c r="J52" s="2409">
        <v>6937497.9244950097</v>
      </c>
      <c r="K52" s="2409">
        <v>7945995.9088711282</v>
      </c>
      <c r="L52" s="2409">
        <v>8555910.1653558984</v>
      </c>
      <c r="M52" s="2409">
        <v>9883418.9153071456</v>
      </c>
      <c r="N52" s="2409">
        <v>11065903.279805068</v>
      </c>
      <c r="O52" s="2409">
        <v>11767235.671284392</v>
      </c>
      <c r="P52" s="2409">
        <v>12779299.35119422</v>
      </c>
      <c r="Q52" s="2409">
        <v>13876597.36059396</v>
      </c>
      <c r="R52" s="2409">
        <v>15115156.404501598</v>
      </c>
      <c r="S52" s="2409">
        <v>16433433.886692166</v>
      </c>
      <c r="T52" s="2409">
        <v>17835757.916161086</v>
      </c>
      <c r="U52" s="2409">
        <v>19069235.265209258</v>
      </c>
      <c r="V52" s="2409">
        <v>20470179.406969577</v>
      </c>
      <c r="W52" s="2409">
        <v>22046975.994777825</v>
      </c>
      <c r="X52" s="2409">
        <v>23465162.815617319</v>
      </c>
      <c r="Y52" s="2409">
        <v>25490653.563303497</v>
      </c>
      <c r="Z52" s="2409">
        <v>27637038.915196661</v>
      </c>
      <c r="AA52" s="2409">
        <v>29910681.619043849</v>
      </c>
      <c r="AB52" s="2409">
        <v>32946245.082633402</v>
      </c>
      <c r="AC52" s="2409">
        <v>36170165.507313974</v>
      </c>
      <c r="AD52" s="2409">
        <v>39592520.299520142</v>
      </c>
      <c r="AE52" s="2409">
        <v>43223890.6026204</v>
      </c>
      <c r="AF52" s="2409">
        <v>47075385.573395863</v>
      </c>
      <c r="AG52" s="2409">
        <v>51158667.803792275</v>
      </c>
      <c r="AH52" s="2409">
        <v>47064808.983056478</v>
      </c>
      <c r="AK52" s="2376">
        <f>SUM(C52:AG52)</f>
        <v>574907944.18642986</v>
      </c>
    </row>
    <row r="53" spans="1:37">
      <c r="A53" s="2391" t="s">
        <v>725</v>
      </c>
      <c r="B53" s="2410"/>
      <c r="C53" s="2411"/>
      <c r="D53" s="2412">
        <v>4731446.0622296743</v>
      </c>
      <c r="E53" s="2412">
        <v>7646938.2683908883</v>
      </c>
      <c r="F53" s="2412">
        <v>10378745.126540212</v>
      </c>
      <c r="G53" s="2412">
        <v>11372112.264978636</v>
      </c>
      <c r="H53" s="2412">
        <v>12464821.920540221</v>
      </c>
      <c r="I53" s="2412">
        <v>13880802.261185147</v>
      </c>
      <c r="J53" s="2412">
        <v>15193551.709083077</v>
      </c>
      <c r="K53" s="2412">
        <v>16817473.920294959</v>
      </c>
      <c r="L53" s="2412">
        <v>17151235.369289737</v>
      </c>
      <c r="M53" s="2412">
        <v>19388430.110293869</v>
      </c>
      <c r="N53" s="2412">
        <v>20990142.608834755</v>
      </c>
      <c r="O53" s="2412">
        <v>21040470.478655159</v>
      </c>
      <c r="P53" s="2412">
        <v>21839433.163484808</v>
      </c>
      <c r="Q53" s="2412">
        <v>22702044.739239741</v>
      </c>
      <c r="R53" s="2412">
        <v>23770414.456504017</v>
      </c>
      <c r="S53" s="2412">
        <v>24847836.169935636</v>
      </c>
      <c r="T53" s="2412">
        <v>25932644.883572675</v>
      </c>
      <c r="U53" s="2412">
        <v>26302348.250783335</v>
      </c>
      <c r="V53" s="2412">
        <v>26927629.536059175</v>
      </c>
      <c r="W53" s="2412">
        <v>27803013.141580194</v>
      </c>
      <c r="X53" s="2412">
        <v>27961787.196537104</v>
      </c>
      <c r="Y53" s="2412">
        <v>29575511.027277384</v>
      </c>
      <c r="Z53" s="2412">
        <v>31177516.691163465</v>
      </c>
      <c r="AA53" s="2412">
        <v>32764716.733568907</v>
      </c>
      <c r="AB53" s="2412">
        <v>36091822.115803681</v>
      </c>
      <c r="AC53" s="2412">
        <v>39421450.602322184</v>
      </c>
      <c r="AD53" s="2412">
        <v>42749251.188651055</v>
      </c>
      <c r="AE53" s="2412">
        <v>46070540.925441906</v>
      </c>
      <c r="AF53" s="2412">
        <v>49380285.795754261</v>
      </c>
      <c r="AG53" s="2412">
        <v>52673080.601678282</v>
      </c>
      <c r="AH53" s="2412">
        <v>50345361.216605723</v>
      </c>
      <c r="AK53" s="2376">
        <f>SUM(C53:AG53)</f>
        <v>759047497.31967425</v>
      </c>
    </row>
    <row r="54" spans="1:37">
      <c r="A54" s="2391" t="s">
        <v>2881</v>
      </c>
      <c r="B54" s="2410"/>
      <c r="C54" s="2411"/>
      <c r="D54" s="2412">
        <v>686208.97426146537</v>
      </c>
      <c r="E54" s="2412">
        <v>717431.48259036208</v>
      </c>
      <c r="F54" s="2412">
        <v>750074.61504822352</v>
      </c>
      <c r="G54" s="2412">
        <v>784203.01003291761</v>
      </c>
      <c r="H54" s="2412">
        <v>819884.24698941538</v>
      </c>
      <c r="I54" s="2412">
        <v>857188.98022743384</v>
      </c>
      <c r="J54" s="2412">
        <v>896191.07882778207</v>
      </c>
      <c r="K54" s="2412">
        <v>936967.77291444619</v>
      </c>
      <c r="L54" s="2412">
        <v>979599.80658205354</v>
      </c>
      <c r="M54" s="2412">
        <v>1024171.5977815369</v>
      </c>
      <c r="N54" s="2412">
        <v>1070771.4054805967</v>
      </c>
      <c r="O54" s="2412">
        <v>1119491.5044299639</v>
      </c>
      <c r="P54" s="2412">
        <v>1170428.3678815272</v>
      </c>
      <c r="Q54" s="2412">
        <v>1223682.8586201367</v>
      </c>
      <c r="R54" s="2412">
        <v>1279360.4286873529</v>
      </c>
      <c r="S54" s="2412">
        <v>1337571.3281926275</v>
      </c>
      <c r="T54" s="2412">
        <v>1398430.8236253923</v>
      </c>
      <c r="U54" s="2412">
        <v>1462059.4261003477</v>
      </c>
      <c r="V54" s="2412">
        <v>1528583.1299879132</v>
      </c>
      <c r="W54" s="2412">
        <v>1598133.6624023635</v>
      </c>
      <c r="X54" s="2412">
        <v>1670848.7440416708</v>
      </c>
      <c r="Y54" s="2412">
        <v>1746872.3618955668</v>
      </c>
      <c r="Z54" s="2412">
        <v>1826355.0543618151</v>
      </c>
      <c r="AA54" s="2412">
        <v>1909454.209335278</v>
      </c>
      <c r="AB54" s="2412">
        <v>1996334.3758600329</v>
      </c>
      <c r="AC54" s="2412">
        <v>2087167.5899616643</v>
      </c>
      <c r="AD54" s="2412">
        <v>2182133.71530492</v>
      </c>
      <c r="AE54" s="2412">
        <v>2281420.7993512941</v>
      </c>
      <c r="AF54" s="2412">
        <v>2385225.4457217776</v>
      </c>
      <c r="AG54" s="2412">
        <v>2493753.2035021186</v>
      </c>
      <c r="AH54" s="2412">
        <v>0</v>
      </c>
      <c r="AK54" s="2376">
        <f>SUM(C54:AG54)</f>
        <v>42220000</v>
      </c>
    </row>
    <row r="55" spans="1:37">
      <c r="A55" s="2391" t="s">
        <v>2882</v>
      </c>
      <c r="B55" s="2410"/>
      <c r="C55" s="2411"/>
      <c r="D55" s="2412">
        <v>1921010</v>
      </c>
      <c r="E55" s="2412">
        <v>1889787.4916711031</v>
      </c>
      <c r="F55" s="2412">
        <v>1857144.3592132416</v>
      </c>
      <c r="G55" s="2412">
        <v>1823015.9642285474</v>
      </c>
      <c r="H55" s="2412">
        <v>1787334.7272720498</v>
      </c>
      <c r="I55" s="2412">
        <v>1750029.9940340312</v>
      </c>
      <c r="J55" s="2412">
        <v>1711027.8954336832</v>
      </c>
      <c r="K55" s="2412">
        <v>1670251.2013470188</v>
      </c>
      <c r="L55" s="2412">
        <v>1627619.1676794116</v>
      </c>
      <c r="M55" s="2412">
        <v>1583047.3764799284</v>
      </c>
      <c r="N55" s="2412">
        <v>1536447.5687808683</v>
      </c>
      <c r="O55" s="2412">
        <v>1487727.4698315014</v>
      </c>
      <c r="P55" s="2412">
        <v>1436790.6063799378</v>
      </c>
      <c r="Q55" s="2412">
        <v>1383536.1156413283</v>
      </c>
      <c r="R55" s="2412">
        <v>1327858.5455741123</v>
      </c>
      <c r="S55" s="2412">
        <v>1269647.6460688377</v>
      </c>
      <c r="T55" s="2412">
        <v>1208788.150636073</v>
      </c>
      <c r="U55" s="2412">
        <v>1145159.5481611181</v>
      </c>
      <c r="V55" s="2412">
        <v>1078635.8442735521</v>
      </c>
      <c r="W55" s="2412">
        <v>1009085.3118591018</v>
      </c>
      <c r="X55" s="2412">
        <v>936370.23021979432</v>
      </c>
      <c r="Y55" s="2412">
        <v>860346.61236589833</v>
      </c>
      <c r="Z55" s="2412">
        <v>780863.91989964992</v>
      </c>
      <c r="AA55" s="2412">
        <v>697764.76492618734</v>
      </c>
      <c r="AB55" s="2412">
        <v>610884.59840143227</v>
      </c>
      <c r="AC55" s="2412">
        <v>520051.38429980079</v>
      </c>
      <c r="AD55" s="2412">
        <v>425085.25895654497</v>
      </c>
      <c r="AE55" s="2412">
        <v>325798.17491017119</v>
      </c>
      <c r="AF55" s="2412">
        <v>221993.52853968728</v>
      </c>
      <c r="AG55" s="2412">
        <v>113465.77075934639</v>
      </c>
      <c r="AH55" s="2412">
        <v>0</v>
      </c>
      <c r="AK55" s="2376">
        <f>SUM(C55:AG55)</f>
        <v>35996569.227843955</v>
      </c>
    </row>
    <row r="56" spans="1:37" s="1663" customFormat="1">
      <c r="A56" s="2351" t="s">
        <v>2553</v>
      </c>
      <c r="B56" s="2352"/>
      <c r="C56" s="2353"/>
      <c r="D56" s="2354"/>
      <c r="E56" s="2353"/>
      <c r="F56" s="2353"/>
      <c r="G56" s="2353"/>
      <c r="H56" s="2353"/>
      <c r="I56" s="2353"/>
      <c r="J56" s="2353"/>
      <c r="K56" s="2353"/>
      <c r="L56" s="2353"/>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K56" s="2375"/>
    </row>
    <row r="57" spans="1:37" s="1663" customFormat="1">
      <c r="A57" s="1651" t="s">
        <v>724</v>
      </c>
      <c r="B57" s="2343"/>
      <c r="C57" s="1652"/>
      <c r="D57" s="1652"/>
      <c r="E57" s="1652"/>
      <c r="F57" s="1652"/>
      <c r="G57" s="1652"/>
      <c r="H57" s="1652"/>
      <c r="I57" s="1652"/>
      <c r="J57" s="1652"/>
      <c r="K57" s="1652"/>
      <c r="L57" s="1652"/>
      <c r="M57" s="1652"/>
      <c r="N57" s="1652"/>
      <c r="O57" s="1652"/>
      <c r="P57" s="1652"/>
      <c r="Q57" s="1652"/>
      <c r="R57" s="1652"/>
      <c r="S57" s="1652"/>
      <c r="T57" s="1652"/>
      <c r="U57" s="1652"/>
      <c r="V57" s="1652"/>
      <c r="W57" s="1652"/>
      <c r="X57" s="1652"/>
      <c r="Y57" s="1652"/>
      <c r="Z57" s="1652"/>
      <c r="AA57" s="1652"/>
      <c r="AB57" s="1652"/>
      <c r="AC57" s="1652"/>
      <c r="AD57" s="1652"/>
      <c r="AE57" s="1652"/>
      <c r="AF57" s="1652"/>
      <c r="AG57" s="1652"/>
      <c r="AH57" s="1652"/>
      <c r="AK57" s="2375"/>
    </row>
    <row r="58" spans="1:37" s="1663" customFormat="1">
      <c r="A58" s="1653" t="s">
        <v>2277</v>
      </c>
      <c r="B58" s="2344"/>
      <c r="C58" s="1654"/>
      <c r="D58" s="1664"/>
      <c r="E58" s="1654"/>
      <c r="F58" s="1654"/>
      <c r="G58" s="1654"/>
      <c r="H58" s="1654"/>
      <c r="I58" s="1654"/>
      <c r="J58" s="1654"/>
      <c r="K58" s="1654"/>
      <c r="L58" s="1654"/>
      <c r="M58" s="1654"/>
      <c r="N58" s="1654"/>
      <c r="O58" s="1654"/>
      <c r="P58" s="1654"/>
      <c r="Q58" s="1654"/>
      <c r="R58" s="1654"/>
      <c r="S58" s="1654"/>
      <c r="T58" s="1654"/>
      <c r="U58" s="1654"/>
      <c r="V58" s="1654"/>
      <c r="W58" s="1654"/>
      <c r="X58" s="1654"/>
      <c r="Y58" s="1654"/>
      <c r="Z58" s="1654"/>
      <c r="AA58" s="1654"/>
      <c r="AB58" s="1654"/>
      <c r="AC58" s="1654"/>
      <c r="AD58" s="1654"/>
      <c r="AE58" s="1654"/>
      <c r="AF58" s="1654"/>
      <c r="AG58" s="1654"/>
      <c r="AH58" s="1654"/>
      <c r="AK58" s="2375"/>
    </row>
    <row r="59" spans="1:37" s="1663" customFormat="1">
      <c r="A59" s="1653" t="s">
        <v>2278</v>
      </c>
      <c r="B59" s="2344"/>
      <c r="C59" s="1654"/>
      <c r="D59" s="1664"/>
      <c r="E59" s="1654"/>
      <c r="F59" s="1654"/>
      <c r="G59" s="1654"/>
      <c r="H59" s="1654"/>
      <c r="I59" s="1654"/>
      <c r="J59" s="1654"/>
      <c r="K59" s="1654"/>
      <c r="L59" s="1654"/>
      <c r="M59" s="1654"/>
      <c r="N59" s="1654"/>
      <c r="O59" s="1654"/>
      <c r="P59" s="1654"/>
      <c r="Q59" s="1654"/>
      <c r="R59" s="1654"/>
      <c r="S59" s="1654"/>
      <c r="T59" s="1654"/>
      <c r="U59" s="1654"/>
      <c r="V59" s="1654"/>
      <c r="W59" s="1654"/>
      <c r="X59" s="1654"/>
      <c r="Y59" s="1654"/>
      <c r="Z59" s="1654"/>
      <c r="AA59" s="1654"/>
      <c r="AB59" s="1654"/>
      <c r="AC59" s="1654"/>
      <c r="AD59" s="1654"/>
      <c r="AE59" s="1654"/>
      <c r="AF59" s="1654"/>
      <c r="AG59" s="1654"/>
      <c r="AH59" s="1654"/>
      <c r="AK59" s="2375"/>
    </row>
    <row r="60" spans="1:37" s="1663" customFormat="1">
      <c r="A60" s="1655" t="s">
        <v>2560</v>
      </c>
      <c r="B60" s="2345"/>
      <c r="C60" s="1656"/>
      <c r="D60" s="1665"/>
      <c r="E60" s="1656"/>
      <c r="F60" s="1656"/>
      <c r="G60" s="1656"/>
      <c r="H60" s="1656"/>
      <c r="I60" s="1656"/>
      <c r="J60" s="1656"/>
      <c r="K60" s="1656"/>
      <c r="L60" s="1656"/>
      <c r="M60" s="1656"/>
      <c r="N60" s="1656"/>
      <c r="O60" s="1656"/>
      <c r="P60" s="1656"/>
      <c r="Q60" s="1656"/>
      <c r="R60" s="1656"/>
      <c r="S60" s="1656"/>
      <c r="T60" s="1656"/>
      <c r="U60" s="1656"/>
      <c r="V60" s="1656"/>
      <c r="W60" s="1656"/>
      <c r="X60" s="1656"/>
      <c r="Y60" s="1656"/>
      <c r="Z60" s="1656"/>
      <c r="AA60" s="1656"/>
      <c r="AB60" s="1656"/>
      <c r="AC60" s="1656"/>
      <c r="AD60" s="1656"/>
      <c r="AE60" s="1656"/>
      <c r="AF60" s="1656"/>
      <c r="AG60" s="1656"/>
      <c r="AH60" s="1656"/>
      <c r="AK60" s="2375"/>
    </row>
    <row r="61" spans="1:37">
      <c r="A61" s="1666" t="s">
        <v>602</v>
      </c>
    </row>
    <row r="62" spans="1:37">
      <c r="A62" s="1667" t="s">
        <v>724</v>
      </c>
      <c r="B62" s="2413">
        <f>+B46+B52+B54+B57</f>
        <v>27610000</v>
      </c>
      <c r="C62" s="1705">
        <f t="shared" ref="C62:AH62" si="13">+C46+C52+C54+C57</f>
        <v>29695000</v>
      </c>
      <c r="D62" s="1705">
        <f t="shared" si="13"/>
        <v>30426341.117840145</v>
      </c>
      <c r="E62" s="1705">
        <f>+E46+E52+E54+E57</f>
        <v>32883385.196734887</v>
      </c>
      <c r="F62" s="1705">
        <f t="shared" si="13"/>
        <v>35386993.297200166</v>
      </c>
      <c r="G62" s="1705">
        <f t="shared" si="13"/>
        <v>35647169.829265781</v>
      </c>
      <c r="H62" s="1705">
        <f t="shared" si="13"/>
        <v>33841502.231743582</v>
      </c>
      <c r="I62" s="1705">
        <f t="shared" si="13"/>
        <v>36004534.589139424</v>
      </c>
      <c r="J62" s="1705">
        <f t="shared" si="13"/>
        <v>38278689.003322795</v>
      </c>
      <c r="K62" s="1705">
        <f t="shared" si="13"/>
        <v>34852963.681785576</v>
      </c>
      <c r="L62" s="1705">
        <f t="shared" si="13"/>
        <v>36765509.971937954</v>
      </c>
      <c r="M62" s="1705">
        <f t="shared" si="13"/>
        <v>32937590.513088681</v>
      </c>
      <c r="N62" s="1705">
        <f t="shared" si="13"/>
        <v>35201674.685285658</v>
      </c>
      <c r="O62" s="1705">
        <f t="shared" si="13"/>
        <v>37051727.175714359</v>
      </c>
      <c r="P62" s="1705">
        <f t="shared" si="13"/>
        <v>39244727.719075747</v>
      </c>
      <c r="Q62" s="1705">
        <f t="shared" si="13"/>
        <v>46860280.219214097</v>
      </c>
      <c r="R62" s="1705">
        <f t="shared" si="13"/>
        <v>49619516.833188958</v>
      </c>
      <c r="S62" s="1705">
        <f t="shared" si="13"/>
        <v>52581005.214884795</v>
      </c>
      <c r="T62" s="1705">
        <f t="shared" si="13"/>
        <v>54779188.739786483</v>
      </c>
      <c r="U62" s="1705">
        <f t="shared" si="13"/>
        <v>52761294.691309609</v>
      </c>
      <c r="V62" s="1705">
        <f t="shared" si="13"/>
        <v>55623762.536957487</v>
      </c>
      <c r="W62" s="1705">
        <f t="shared" si="13"/>
        <v>56445109.65718019</v>
      </c>
      <c r="X62" s="1705">
        <f t="shared" si="13"/>
        <v>59461011.559658997</v>
      </c>
      <c r="Y62" s="1705">
        <f t="shared" si="13"/>
        <v>61682525.925199069</v>
      </c>
      <c r="Z62" s="1705">
        <f t="shared" si="13"/>
        <v>61468393.96955847</v>
      </c>
      <c r="AA62" s="1705">
        <f t="shared" si="13"/>
        <v>65310135.828379124</v>
      </c>
      <c r="AB62" s="1705">
        <f t="shared" si="13"/>
        <v>65972579.458493441</v>
      </c>
      <c r="AC62" s="1705">
        <f t="shared" si="13"/>
        <v>70737333.09727563</v>
      </c>
      <c r="AD62" s="1705">
        <f t="shared" si="13"/>
        <v>58944654.014825061</v>
      </c>
      <c r="AE62" s="1705">
        <f t="shared" si="13"/>
        <v>63560311.401971698</v>
      </c>
      <c r="AF62" s="1705">
        <f t="shared" si="13"/>
        <v>68455611.019117638</v>
      </c>
      <c r="AG62" s="1705">
        <f t="shared" si="13"/>
        <v>53652421.007294394</v>
      </c>
      <c r="AH62" s="1705">
        <f t="shared" si="13"/>
        <v>47064808.983056478</v>
      </c>
      <c r="AK62" s="2376">
        <f>SUM(C62:AG62)</f>
        <v>1486132944.18643</v>
      </c>
    </row>
    <row r="63" spans="1:37">
      <c r="A63" s="1667" t="s">
        <v>725</v>
      </c>
      <c r="B63" s="2413">
        <f>+B47+B48+B53+B55+B58+B59</f>
        <v>47114822.850000001</v>
      </c>
      <c r="C63" s="1705">
        <f t="shared" ref="C63:AH63" si="14">+C47+C48+C53+C55+C58+C59</f>
        <v>49731115.819999799</v>
      </c>
      <c r="D63" s="1705">
        <f t="shared" si="14"/>
        <v>55895325.722229481</v>
      </c>
      <c r="E63" s="1705">
        <f t="shared" si="14"/>
        <v>57483711.170061789</v>
      </c>
      <c r="F63" s="1705">
        <f t="shared" si="14"/>
        <v>58793234.645753257</v>
      </c>
      <c r="G63" s="1705">
        <f t="shared" si="14"/>
        <v>58296085.18920698</v>
      </c>
      <c r="H63" s="1705">
        <f t="shared" si="14"/>
        <v>57935335.057812169</v>
      </c>
      <c r="I63" s="1705">
        <f t="shared" si="14"/>
        <v>57925936.685219079</v>
      </c>
      <c r="J63" s="1705">
        <f t="shared" si="14"/>
        <v>57724494.454516567</v>
      </c>
      <c r="K63" s="1705">
        <f t="shared" si="14"/>
        <v>57895309.721641771</v>
      </c>
      <c r="L63" s="1705">
        <f t="shared" si="14"/>
        <v>56854762.886968955</v>
      </c>
      <c r="M63" s="1705">
        <f t="shared" si="14"/>
        <v>57805563.746773593</v>
      </c>
      <c r="N63" s="1705">
        <f t="shared" si="14"/>
        <v>58219379.137615427</v>
      </c>
      <c r="O63" s="1705">
        <f t="shared" si="14"/>
        <v>57035057.248486467</v>
      </c>
      <c r="P63" s="1705">
        <f t="shared" si="14"/>
        <v>54001664.569864646</v>
      </c>
      <c r="Q63" s="1705">
        <f t="shared" si="14"/>
        <v>50805399.104881063</v>
      </c>
      <c r="R63" s="1705">
        <f t="shared" si="14"/>
        <v>50120181.402078129</v>
      </c>
      <c r="S63" s="1705">
        <f t="shared" si="14"/>
        <v>49359930.01600448</v>
      </c>
      <c r="T63" s="1705">
        <f t="shared" si="14"/>
        <v>48537775.084208749</v>
      </c>
      <c r="U63" s="1705">
        <f t="shared" si="14"/>
        <v>46219882.498944461</v>
      </c>
      <c r="V63" s="1705">
        <f t="shared" si="14"/>
        <v>44196974.580332726</v>
      </c>
      <c r="W63" s="1705">
        <f t="shared" si="14"/>
        <v>43232976.653439283</v>
      </c>
      <c r="X63" s="1705">
        <f t="shared" si="14"/>
        <v>41527053.226756886</v>
      </c>
      <c r="Y63" s="1705">
        <f t="shared" si="14"/>
        <v>41220247.389643282</v>
      </c>
      <c r="Z63" s="1705">
        <f t="shared" si="14"/>
        <v>40950361.361063115</v>
      </c>
      <c r="AA63" s="1705">
        <f t="shared" si="14"/>
        <v>40682377.998495094</v>
      </c>
      <c r="AB63" s="1705">
        <f t="shared" si="14"/>
        <v>42160830.464205116</v>
      </c>
      <c r="AC63" s="1705">
        <f t="shared" si="14"/>
        <v>43650320.986621983</v>
      </c>
      <c r="AD63" s="1705">
        <f t="shared" si="14"/>
        <v>45543073.697607599</v>
      </c>
      <c r="AE63" s="1705">
        <f t="shared" si="14"/>
        <v>47850940.600352079</v>
      </c>
      <c r="AF63" s="1705">
        <f t="shared" si="14"/>
        <v>50095293.074293949</v>
      </c>
      <c r="AG63" s="1705">
        <f t="shared" si="14"/>
        <v>52786546.372437626</v>
      </c>
      <c r="AH63" s="1705">
        <f t="shared" si="14"/>
        <v>50345361.216605723</v>
      </c>
      <c r="AK63" s="2376">
        <f>SUM(C63:AG63)</f>
        <v>1574537140.5675151</v>
      </c>
    </row>
    <row r="64" spans="1:37">
      <c r="A64" s="1667" t="s">
        <v>2560</v>
      </c>
      <c r="B64" s="2413">
        <f>+B49+B50</f>
        <v>6519876.0600000005</v>
      </c>
      <c r="C64" s="1705">
        <f t="shared" ref="C64:AH64" si="15">+C49+C50</f>
        <v>6134779</v>
      </c>
      <c r="D64" s="1705">
        <f t="shared" si="15"/>
        <v>6134779</v>
      </c>
      <c r="E64" s="1705">
        <f t="shared" si="15"/>
        <v>6134779</v>
      </c>
      <c r="F64" s="1705">
        <f t="shared" si="15"/>
        <v>6134779</v>
      </c>
      <c r="G64" s="1705">
        <f t="shared" si="15"/>
        <v>6134779</v>
      </c>
      <c r="H64" s="1705">
        <f t="shared" si="15"/>
        <v>6134779</v>
      </c>
      <c r="I64" s="1705">
        <f t="shared" si="15"/>
        <v>6134779</v>
      </c>
      <c r="J64" s="1705">
        <f t="shared" si="15"/>
        <v>6134779</v>
      </c>
      <c r="K64" s="1705">
        <f t="shared" si="15"/>
        <v>6134779</v>
      </c>
      <c r="L64" s="1705">
        <f t="shared" si="15"/>
        <v>6134779</v>
      </c>
      <c r="M64" s="1705">
        <f t="shared" si="15"/>
        <v>6134779</v>
      </c>
      <c r="N64" s="1705">
        <f t="shared" si="15"/>
        <v>6134779</v>
      </c>
      <c r="O64" s="1705">
        <f t="shared" si="15"/>
        <v>6134779</v>
      </c>
      <c r="P64" s="1705">
        <f t="shared" si="15"/>
        <v>1752723</v>
      </c>
      <c r="Q64" s="1705">
        <f t="shared" si="15"/>
        <v>1752723</v>
      </c>
      <c r="R64" s="1705">
        <f t="shared" si="15"/>
        <v>1752723</v>
      </c>
      <c r="S64" s="1705">
        <f t="shared" si="15"/>
        <v>1752723</v>
      </c>
      <c r="T64" s="1705">
        <f t="shared" si="15"/>
        <v>1752723</v>
      </c>
      <c r="U64" s="1705">
        <f t="shared" si="15"/>
        <v>0</v>
      </c>
      <c r="V64" s="1705">
        <f t="shared" si="15"/>
        <v>0</v>
      </c>
      <c r="W64" s="1705">
        <f t="shared" si="15"/>
        <v>0</v>
      </c>
      <c r="X64" s="1705">
        <f t="shared" si="15"/>
        <v>0</v>
      </c>
      <c r="Y64" s="1705">
        <f t="shared" si="15"/>
        <v>0</v>
      </c>
      <c r="Z64" s="1705">
        <f t="shared" si="15"/>
        <v>0</v>
      </c>
      <c r="AA64" s="1705">
        <f t="shared" si="15"/>
        <v>0</v>
      </c>
      <c r="AB64" s="1705">
        <f t="shared" si="15"/>
        <v>0</v>
      </c>
      <c r="AC64" s="1705">
        <f t="shared" si="15"/>
        <v>0</v>
      </c>
      <c r="AD64" s="1705">
        <f t="shared" si="15"/>
        <v>0</v>
      </c>
      <c r="AE64" s="1705">
        <f t="shared" si="15"/>
        <v>0</v>
      </c>
      <c r="AF64" s="1705">
        <f t="shared" si="15"/>
        <v>0</v>
      </c>
      <c r="AG64" s="1705">
        <f t="shared" si="15"/>
        <v>0</v>
      </c>
      <c r="AH64" s="1705">
        <f t="shared" si="15"/>
        <v>0</v>
      </c>
      <c r="AK64" s="2376">
        <f>SUM(C64:AG64)</f>
        <v>88515742</v>
      </c>
    </row>
    <row r="65" spans="1:37">
      <c r="A65" s="2330" t="s">
        <v>2883</v>
      </c>
      <c r="B65" s="2331">
        <f>SUM(B62:B64)</f>
        <v>81244698.909999996</v>
      </c>
      <c r="C65" s="2331">
        <f t="shared" ref="C65:AH65" si="16">SUM(C62:C64)</f>
        <v>85560894.819999799</v>
      </c>
      <c r="D65" s="2331">
        <f t="shared" si="16"/>
        <v>92456445.840069622</v>
      </c>
      <c r="E65" s="2331">
        <f t="shared" si="16"/>
        <v>96501875.366796672</v>
      </c>
      <c r="F65" s="2331">
        <f t="shared" si="16"/>
        <v>100315006.94295342</v>
      </c>
      <c r="G65" s="2331">
        <f t="shared" si="16"/>
        <v>100078034.01847276</v>
      </c>
      <c r="H65" s="2331">
        <f t="shared" si="16"/>
        <v>97911616.289555758</v>
      </c>
      <c r="I65" s="2331">
        <f t="shared" si="16"/>
        <v>100065250.27435851</v>
      </c>
      <c r="J65" s="2331">
        <f t="shared" si="16"/>
        <v>102137962.45783937</v>
      </c>
      <c r="K65" s="2331">
        <f t="shared" si="16"/>
        <v>98883052.403427348</v>
      </c>
      <c r="L65" s="2331">
        <f t="shared" si="16"/>
        <v>99755051.85890691</v>
      </c>
      <c r="M65" s="2331">
        <f t="shared" si="16"/>
        <v>96877933.259862274</v>
      </c>
      <c r="N65" s="2331">
        <f t="shared" si="16"/>
        <v>99555832.822901085</v>
      </c>
      <c r="O65" s="2331">
        <f t="shared" si="16"/>
        <v>100221563.42420083</v>
      </c>
      <c r="P65" s="2331">
        <f t="shared" si="16"/>
        <v>94999115.2889404</v>
      </c>
      <c r="Q65" s="2331">
        <f t="shared" si="16"/>
        <v>99418402.32409516</v>
      </c>
      <c r="R65" s="2331">
        <f t="shared" si="16"/>
        <v>101492421.23526709</v>
      </c>
      <c r="S65" s="2331">
        <f t="shared" si="16"/>
        <v>103693658.23088928</v>
      </c>
      <c r="T65" s="2331">
        <f t="shared" si="16"/>
        <v>105069686.82399523</v>
      </c>
      <c r="U65" s="2331">
        <f t="shared" si="16"/>
        <v>98981177.190254062</v>
      </c>
      <c r="V65" s="2331">
        <f t="shared" si="16"/>
        <v>99820737.117290214</v>
      </c>
      <c r="W65" s="2331">
        <f t="shared" si="16"/>
        <v>99678086.310619473</v>
      </c>
      <c r="X65" s="2331">
        <f t="shared" si="16"/>
        <v>100988064.78641587</v>
      </c>
      <c r="Y65" s="2331">
        <f t="shared" si="16"/>
        <v>102902773.31484234</v>
      </c>
      <c r="Z65" s="2331">
        <f t="shared" si="16"/>
        <v>102418755.33062159</v>
      </c>
      <c r="AA65" s="2331">
        <f t="shared" si="16"/>
        <v>105992513.82687423</v>
      </c>
      <c r="AB65" s="2331">
        <f t="shared" si="16"/>
        <v>108133409.92269856</v>
      </c>
      <c r="AC65" s="2331">
        <f t="shared" si="16"/>
        <v>114387654.08389762</v>
      </c>
      <c r="AD65" s="2331">
        <f t="shared" si="16"/>
        <v>104487727.71243265</v>
      </c>
      <c r="AE65" s="2331">
        <f t="shared" si="16"/>
        <v>111411252.00232378</v>
      </c>
      <c r="AF65" s="2331">
        <f t="shared" si="16"/>
        <v>118550904.09341159</v>
      </c>
      <c r="AG65" s="2331">
        <f t="shared" si="16"/>
        <v>106438967.37973201</v>
      </c>
      <c r="AH65" s="2331">
        <f t="shared" si="16"/>
        <v>97410170.199662209</v>
      </c>
    </row>
    <row r="66" spans="1:37">
      <c r="A66" s="2333" t="s">
        <v>2561</v>
      </c>
      <c r="B66" s="2334">
        <f>C63</f>
        <v>49731115.819999799</v>
      </c>
      <c r="C66" s="2335">
        <f>+(C63*0.5)+((+D47+D48)*0.5)+((D53+D55)*1/12)</f>
        <v>50041364.078518942</v>
      </c>
      <c r="D66" s="2335">
        <f t="shared" ref="D66:AH66" si="17">+(D63*0.5)+(E63*0.5)</f>
        <v>56689518.446145639</v>
      </c>
      <c r="E66" s="2335">
        <f t="shared" si="17"/>
        <v>58138472.907907523</v>
      </c>
      <c r="F66" s="2335">
        <f t="shared" si="17"/>
        <v>58544659.917480119</v>
      </c>
      <c r="G66" s="2335">
        <f t="shared" si="17"/>
        <v>58115710.123509571</v>
      </c>
      <c r="H66" s="2335">
        <f t="shared" si="17"/>
        <v>57930635.871515624</v>
      </c>
      <c r="I66" s="2335">
        <f t="shared" si="17"/>
        <v>57825215.56986782</v>
      </c>
      <c r="J66" s="2335">
        <f t="shared" si="17"/>
        <v>57809902.088079169</v>
      </c>
      <c r="K66" s="2335">
        <f t="shared" si="17"/>
        <v>57375036.30430536</v>
      </c>
      <c r="L66" s="2335">
        <f t="shared" si="17"/>
        <v>57330163.316871271</v>
      </c>
      <c r="M66" s="2335">
        <f t="shared" si="17"/>
        <v>58012471.442194507</v>
      </c>
      <c r="N66" s="2335">
        <f t="shared" si="17"/>
        <v>57627218.193050951</v>
      </c>
      <c r="O66" s="2335">
        <f t="shared" si="17"/>
        <v>55518360.90917556</v>
      </c>
      <c r="P66" s="2335">
        <f t="shared" si="17"/>
        <v>52403531.837372854</v>
      </c>
      <c r="Q66" s="2335">
        <f t="shared" si="17"/>
        <v>50462790.2534796</v>
      </c>
      <c r="R66" s="2335">
        <f t="shared" si="17"/>
        <v>49740055.709041305</v>
      </c>
      <c r="S66" s="2335">
        <f t="shared" si="17"/>
        <v>48948852.550106615</v>
      </c>
      <c r="T66" s="2335">
        <f t="shared" si="17"/>
        <v>47378828.791576609</v>
      </c>
      <c r="U66" s="2335">
        <f t="shared" si="17"/>
        <v>45208428.539638594</v>
      </c>
      <c r="V66" s="2335">
        <f t="shared" si="17"/>
        <v>43714975.616886005</v>
      </c>
      <c r="W66" s="2335">
        <f t="shared" si="17"/>
        <v>42380014.940098085</v>
      </c>
      <c r="X66" s="2335">
        <f t="shared" si="17"/>
        <v>41373650.308200084</v>
      </c>
      <c r="Y66" s="2335">
        <f t="shared" si="17"/>
        <v>41085304.375353202</v>
      </c>
      <c r="Z66" s="2335">
        <f t="shared" si="17"/>
        <v>40816369.679779105</v>
      </c>
      <c r="AA66" s="2335">
        <f t="shared" si="17"/>
        <v>41421604.231350109</v>
      </c>
      <c r="AB66" s="2335">
        <f t="shared" si="17"/>
        <v>42905575.725413546</v>
      </c>
      <c r="AC66" s="2335">
        <f t="shared" si="17"/>
        <v>44596697.342114791</v>
      </c>
      <c r="AD66" s="2335">
        <f t="shared" si="17"/>
        <v>46697007.148979843</v>
      </c>
      <c r="AE66" s="2335">
        <f t="shared" si="17"/>
        <v>48973116.83732301</v>
      </c>
      <c r="AF66" s="2335">
        <f t="shared" si="17"/>
        <v>51440919.723365784</v>
      </c>
      <c r="AG66" s="2335">
        <f t="shared" si="17"/>
        <v>51565953.794521675</v>
      </c>
      <c r="AH66" s="2335">
        <f t="shared" si="17"/>
        <v>25172680.608302861</v>
      </c>
    </row>
    <row r="67" spans="1:37">
      <c r="A67" s="2333" t="s">
        <v>2555</v>
      </c>
      <c r="B67" s="2334">
        <f>C62</f>
        <v>29695000</v>
      </c>
      <c r="C67" s="2336">
        <f>D46+D64+((D52+D54)*1/12)</f>
        <v>34382807.426486678</v>
      </c>
      <c r="D67" s="2336">
        <f t="shared" ref="D67:AH67" si="18">E62+E64</f>
        <v>39018164.19673489</v>
      </c>
      <c r="E67" s="2336">
        <f t="shared" si="18"/>
        <v>41521772.297200166</v>
      </c>
      <c r="F67" s="2336">
        <f t="shared" si="18"/>
        <v>41781948.829265781</v>
      </c>
      <c r="G67" s="2336">
        <f t="shared" si="18"/>
        <v>39976281.231743582</v>
      </c>
      <c r="H67" s="2336">
        <f t="shared" si="18"/>
        <v>42139313.589139424</v>
      </c>
      <c r="I67" s="2336">
        <f t="shared" si="18"/>
        <v>44413468.003322795</v>
      </c>
      <c r="J67" s="2336">
        <f t="shared" si="18"/>
        <v>40987742.681785576</v>
      </c>
      <c r="K67" s="2336">
        <f t="shared" si="18"/>
        <v>42900288.971937954</v>
      </c>
      <c r="L67" s="2336">
        <f t="shared" si="18"/>
        <v>39072369.513088681</v>
      </c>
      <c r="M67" s="2336">
        <f t="shared" si="18"/>
        <v>41336453.685285658</v>
      </c>
      <c r="N67" s="2336">
        <f t="shared" si="18"/>
        <v>43186506.175714359</v>
      </c>
      <c r="O67" s="2336">
        <f t="shared" si="18"/>
        <v>40997450.719075747</v>
      </c>
      <c r="P67" s="2336">
        <f t="shared" si="18"/>
        <v>48613003.219214097</v>
      </c>
      <c r="Q67" s="2336">
        <f t="shared" si="18"/>
        <v>51372239.833188958</v>
      </c>
      <c r="R67" s="2336">
        <f t="shared" si="18"/>
        <v>54333728.214884795</v>
      </c>
      <c r="S67" s="2336">
        <f t="shared" si="18"/>
        <v>56531911.739786483</v>
      </c>
      <c r="T67" s="2336">
        <f t="shared" si="18"/>
        <v>52761294.691309609</v>
      </c>
      <c r="U67" s="2336">
        <f t="shared" si="18"/>
        <v>55623762.536957487</v>
      </c>
      <c r="V67" s="2336">
        <f t="shared" si="18"/>
        <v>56445109.65718019</v>
      </c>
      <c r="W67" s="2336">
        <f t="shared" si="18"/>
        <v>59461011.559658997</v>
      </c>
      <c r="X67" s="2336">
        <f t="shared" si="18"/>
        <v>61682525.925199069</v>
      </c>
      <c r="Y67" s="2336">
        <f t="shared" si="18"/>
        <v>61468393.96955847</v>
      </c>
      <c r="Z67" s="2336">
        <f t="shared" si="18"/>
        <v>65310135.828379124</v>
      </c>
      <c r="AA67" s="2336">
        <f t="shared" si="18"/>
        <v>65972579.458493441</v>
      </c>
      <c r="AB67" s="2336">
        <f t="shared" si="18"/>
        <v>70737333.09727563</v>
      </c>
      <c r="AC67" s="2336">
        <f t="shared" si="18"/>
        <v>58944654.014825061</v>
      </c>
      <c r="AD67" s="2336">
        <f t="shared" si="18"/>
        <v>63560311.401971698</v>
      </c>
      <c r="AE67" s="2336">
        <f t="shared" si="18"/>
        <v>68455611.019117638</v>
      </c>
      <c r="AF67" s="2336">
        <f t="shared" si="18"/>
        <v>53652421.007294394</v>
      </c>
      <c r="AG67" s="2336">
        <f t="shared" si="18"/>
        <v>47064808.983056478</v>
      </c>
      <c r="AH67" s="2336">
        <f t="shared" si="18"/>
        <v>0</v>
      </c>
    </row>
    <row r="68" spans="1:37">
      <c r="A68" s="1659" t="s">
        <v>2562</v>
      </c>
      <c r="B68" s="2337">
        <f t="shared" ref="B68:AG68" si="19">SUM(B66:B67)</f>
        <v>79426115.819999799</v>
      </c>
      <c r="C68" s="2338">
        <f t="shared" si="19"/>
        <v>84424171.505005628</v>
      </c>
      <c r="D68" s="2338">
        <f t="shared" si="19"/>
        <v>95707682.642880529</v>
      </c>
      <c r="E68" s="2338">
        <f t="shared" si="19"/>
        <v>99660245.205107689</v>
      </c>
      <c r="F68" s="2338">
        <f t="shared" si="19"/>
        <v>100326608.7467459</v>
      </c>
      <c r="G68" s="2338">
        <f t="shared" si="19"/>
        <v>98091991.35525316</v>
      </c>
      <c r="H68" s="2338">
        <f t="shared" si="19"/>
        <v>100069949.46065505</v>
      </c>
      <c r="I68" s="2338">
        <f t="shared" si="19"/>
        <v>102238683.57319061</v>
      </c>
      <c r="J68" s="2338">
        <f t="shared" si="19"/>
        <v>98797644.769864738</v>
      </c>
      <c r="K68" s="2338">
        <f t="shared" si="19"/>
        <v>100275325.27624331</v>
      </c>
      <c r="L68" s="2338">
        <f t="shared" si="19"/>
        <v>96402532.829959959</v>
      </c>
      <c r="M68" s="2338">
        <f t="shared" si="19"/>
        <v>99348925.127480164</v>
      </c>
      <c r="N68" s="2338">
        <f t="shared" si="19"/>
        <v>100813724.36876531</v>
      </c>
      <c r="O68" s="2338">
        <f t="shared" si="19"/>
        <v>96515811.628251314</v>
      </c>
      <c r="P68" s="2338">
        <f t="shared" si="19"/>
        <v>101016535.05658695</v>
      </c>
      <c r="Q68" s="2338">
        <f t="shared" si="19"/>
        <v>101835030.08666855</v>
      </c>
      <c r="R68" s="2338">
        <f t="shared" si="19"/>
        <v>104073783.9239261</v>
      </c>
      <c r="S68" s="2338">
        <f t="shared" si="19"/>
        <v>105480764.28989309</v>
      </c>
      <c r="T68" s="2338">
        <f t="shared" si="19"/>
        <v>100140123.48288622</v>
      </c>
      <c r="U68" s="2338">
        <f t="shared" si="19"/>
        <v>100832191.07659608</v>
      </c>
      <c r="V68" s="2338">
        <f t="shared" si="19"/>
        <v>100160085.27406619</v>
      </c>
      <c r="W68" s="2338">
        <f t="shared" si="19"/>
        <v>101841026.49975708</v>
      </c>
      <c r="X68" s="2338">
        <f t="shared" si="19"/>
        <v>103056176.23339915</v>
      </c>
      <c r="Y68" s="2338">
        <f t="shared" si="19"/>
        <v>102553698.34491166</v>
      </c>
      <c r="Z68" s="2338">
        <f t="shared" si="19"/>
        <v>106126505.50815824</v>
      </c>
      <c r="AA68" s="2338">
        <f t="shared" si="19"/>
        <v>107394183.68984355</v>
      </c>
      <c r="AB68" s="2338">
        <f t="shared" si="19"/>
        <v>113642908.82268918</v>
      </c>
      <c r="AC68" s="2338">
        <f t="shared" si="19"/>
        <v>103541351.35693985</v>
      </c>
      <c r="AD68" s="2338">
        <f t="shared" si="19"/>
        <v>110257318.55095154</v>
      </c>
      <c r="AE68" s="2338">
        <f t="shared" si="19"/>
        <v>117428727.85644065</v>
      </c>
      <c r="AF68" s="2338">
        <f t="shared" si="19"/>
        <v>105093340.73066017</v>
      </c>
      <c r="AG68" s="2338">
        <f t="shared" si="19"/>
        <v>98630762.777578145</v>
      </c>
      <c r="AH68" s="2338">
        <f>SUM(AH66:AH67)</f>
        <v>25172680.608302861</v>
      </c>
    </row>
    <row r="69" spans="1:37">
      <c r="A69" s="1525"/>
      <c r="B69" s="2414"/>
      <c r="C69" s="2415"/>
      <c r="D69" s="2415"/>
      <c r="E69" s="2415"/>
      <c r="F69" s="2415"/>
      <c r="G69" s="2415"/>
      <c r="H69" s="2415"/>
      <c r="I69" s="2415"/>
      <c r="J69" s="1525"/>
      <c r="K69" s="1525"/>
      <c r="L69" s="1525"/>
      <c r="M69" s="1525"/>
      <c r="N69" s="1525"/>
      <c r="O69" s="1525"/>
      <c r="P69" s="1525"/>
      <c r="Q69" s="1525"/>
      <c r="R69" s="1525"/>
      <c r="S69" s="1525"/>
      <c r="T69" s="1525"/>
      <c r="U69" s="1525"/>
      <c r="V69" s="1525"/>
      <c r="W69" s="1525"/>
      <c r="X69" s="1525"/>
      <c r="Y69" s="1525"/>
      <c r="Z69" s="1525"/>
      <c r="AA69" s="1525"/>
      <c r="AB69" s="1525"/>
      <c r="AC69" s="1525"/>
      <c r="AD69" s="1525"/>
      <c r="AE69" s="1525"/>
      <c r="AF69" s="1525"/>
      <c r="AG69" s="1525"/>
      <c r="AH69" s="1525"/>
    </row>
    <row r="70" spans="1:37">
      <c r="A70" s="2401" t="s">
        <v>2563</v>
      </c>
      <c r="B70" s="2413"/>
      <c r="C70" s="1525">
        <f>+B74+B72</f>
        <v>-4542221.92</v>
      </c>
      <c r="D70" s="2402"/>
    </row>
    <row r="71" spans="1:37">
      <c r="B71" s="2355">
        <v>41639</v>
      </c>
      <c r="C71" s="2356">
        <v>42004</v>
      </c>
      <c r="D71" s="2356">
        <v>42369</v>
      </c>
      <c r="E71" s="2356">
        <v>42735</v>
      </c>
      <c r="F71" s="2356">
        <v>43100</v>
      </c>
      <c r="G71" s="2356">
        <v>43465</v>
      </c>
      <c r="H71" s="2356">
        <v>43830</v>
      </c>
      <c r="I71" s="2356">
        <v>44196</v>
      </c>
      <c r="J71" s="2356">
        <v>44561</v>
      </c>
      <c r="K71" s="2356">
        <v>44926</v>
      </c>
      <c r="L71" s="2356">
        <v>45291</v>
      </c>
      <c r="M71" s="2356">
        <v>45657</v>
      </c>
      <c r="N71" s="2356">
        <v>46022</v>
      </c>
      <c r="O71" s="2356">
        <v>46387</v>
      </c>
      <c r="P71" s="2356">
        <v>46752</v>
      </c>
      <c r="Q71" s="2356">
        <v>47118</v>
      </c>
      <c r="R71" s="2356">
        <v>47483</v>
      </c>
      <c r="S71" s="2356">
        <v>47848</v>
      </c>
      <c r="T71" s="2356">
        <v>48213</v>
      </c>
      <c r="U71" s="2356">
        <v>48579</v>
      </c>
      <c r="V71" s="2356">
        <v>48944</v>
      </c>
      <c r="W71" s="2356">
        <v>49309</v>
      </c>
      <c r="X71" s="2356">
        <v>49674</v>
      </c>
      <c r="Y71" s="2356">
        <v>50040</v>
      </c>
      <c r="Z71" s="2356">
        <v>50405</v>
      </c>
      <c r="AA71" s="2356">
        <v>50770</v>
      </c>
      <c r="AB71" s="2356">
        <v>51135</v>
      </c>
      <c r="AC71" s="2356">
        <v>51501</v>
      </c>
      <c r="AD71" s="2356">
        <v>51866</v>
      </c>
      <c r="AE71" s="2356">
        <v>52231</v>
      </c>
      <c r="AF71" s="2356">
        <v>52596</v>
      </c>
      <c r="AG71" s="2356">
        <v>52962</v>
      </c>
      <c r="AH71" s="2356">
        <v>53327</v>
      </c>
    </row>
    <row r="72" spans="1:37">
      <c r="A72" s="1520" t="s">
        <v>2564</v>
      </c>
      <c r="B72" s="2357">
        <v>-3386703.6</v>
      </c>
      <c r="C72" s="2358">
        <v>-3414297.6</v>
      </c>
      <c r="D72" s="2358">
        <v>-3414297.6</v>
      </c>
      <c r="E72" s="2358">
        <v>-3414297.6</v>
      </c>
      <c r="F72" s="2358">
        <v>-3414297.6</v>
      </c>
      <c r="G72" s="2358">
        <v>-3414297.6</v>
      </c>
      <c r="H72" s="2358">
        <v>-3414297.6</v>
      </c>
      <c r="I72" s="2358">
        <v>-3414297.6</v>
      </c>
      <c r="J72" s="2358">
        <v>-3414297.6</v>
      </c>
      <c r="K72" s="2358">
        <v>-3414297.6</v>
      </c>
      <c r="L72" s="2358">
        <v>-3414297.6</v>
      </c>
      <c r="M72" s="2358">
        <v>-3414297.6</v>
      </c>
      <c r="N72" s="2358">
        <v>-3414297.6</v>
      </c>
      <c r="O72" s="2358">
        <v>-3414297.6</v>
      </c>
      <c r="P72" s="2358">
        <v>-3414297.6</v>
      </c>
      <c r="Q72" s="2358"/>
      <c r="R72" s="2358"/>
      <c r="S72" s="2358"/>
      <c r="T72" s="2358"/>
      <c r="U72" s="2358"/>
      <c r="V72" s="2358"/>
      <c r="W72" s="2358"/>
      <c r="X72" s="2358"/>
      <c r="Y72" s="2358"/>
      <c r="Z72" s="2358"/>
      <c r="AA72" s="2358"/>
      <c r="AB72" s="2358"/>
      <c r="AC72" s="2358"/>
      <c r="AD72" s="2358"/>
      <c r="AE72" s="2358"/>
      <c r="AF72" s="2358"/>
      <c r="AG72" s="2416"/>
      <c r="AH72" s="2416"/>
    </row>
    <row r="73" spans="1:37">
      <c r="A73" s="1520" t="s">
        <v>2565</v>
      </c>
      <c r="B73" s="2357">
        <v>-3169662.86</v>
      </c>
      <c r="C73" s="2358">
        <v>-3195488.47</v>
      </c>
      <c r="D73" s="2358">
        <v>-3195488.47</v>
      </c>
      <c r="E73" s="2358">
        <v>-3195488.47</v>
      </c>
      <c r="F73" s="2358">
        <v>-3195488.47</v>
      </c>
      <c r="G73" s="2358">
        <v>-3195488.47</v>
      </c>
      <c r="H73" s="2358">
        <v>-3195488.47</v>
      </c>
      <c r="I73" s="2358">
        <v>-3195488.47</v>
      </c>
      <c r="J73" s="2358">
        <v>-3195488.47</v>
      </c>
      <c r="K73" s="2358">
        <v>-3195488.47</v>
      </c>
      <c r="L73" s="2358">
        <v>-3195488.47</v>
      </c>
      <c r="M73" s="2358">
        <v>-3195488.47</v>
      </c>
      <c r="N73" s="2358">
        <v>-3195488.47</v>
      </c>
      <c r="O73" s="2358">
        <v>-3195488.47</v>
      </c>
      <c r="P73" s="2358">
        <v>-3195488.47</v>
      </c>
      <c r="Q73" s="2358">
        <v>-3195488.47</v>
      </c>
      <c r="R73" s="2358">
        <v>-3195488.47</v>
      </c>
      <c r="S73" s="2358">
        <v>-3195488.47</v>
      </c>
      <c r="T73" s="2358">
        <v>-3195488.47</v>
      </c>
      <c r="U73" s="2358">
        <v>-3195488.47</v>
      </c>
      <c r="V73" s="2358">
        <v>-3195488.47</v>
      </c>
      <c r="W73" s="2358">
        <v>-3195488.47</v>
      </c>
      <c r="X73" s="2358">
        <v>-3195488.47</v>
      </c>
      <c r="Y73" s="2358">
        <v>-3195488.47</v>
      </c>
      <c r="Z73" s="2358">
        <v>-3195488.47</v>
      </c>
      <c r="AA73" s="2358">
        <v>-3195488.47</v>
      </c>
      <c r="AB73" s="2358">
        <v>-3195488.47</v>
      </c>
      <c r="AC73" s="2358">
        <v>-3195488.47</v>
      </c>
      <c r="AD73" s="2358"/>
      <c r="AE73" s="2358"/>
      <c r="AF73" s="2358"/>
      <c r="AG73" s="2416"/>
      <c r="AH73" s="2416"/>
    </row>
    <row r="74" spans="1:37">
      <c r="A74" s="1520" t="s">
        <v>2566</v>
      </c>
      <c r="B74" s="2357">
        <v>-1155518.32</v>
      </c>
      <c r="C74" s="2358">
        <v>-1164933.19</v>
      </c>
      <c r="D74" s="2358">
        <v>-1164933.19</v>
      </c>
      <c r="E74" s="2358">
        <v>-1164933.19</v>
      </c>
      <c r="F74" s="2358">
        <v>-1164933.19</v>
      </c>
      <c r="G74" s="2358">
        <v>-1164933.19</v>
      </c>
      <c r="H74" s="2358">
        <v>-1164933.19</v>
      </c>
      <c r="I74" s="2358">
        <v>-1164933.19</v>
      </c>
      <c r="J74" s="2358">
        <v>-1164933.19</v>
      </c>
      <c r="K74" s="2358">
        <v>-1164933.19</v>
      </c>
      <c r="L74" s="2358">
        <v>-1164933.19</v>
      </c>
      <c r="M74" s="2358">
        <v>-1164933.19</v>
      </c>
      <c r="N74" s="2358">
        <v>-1164933.19</v>
      </c>
      <c r="O74" s="2358">
        <v>-1164933.19</v>
      </c>
      <c r="P74" s="2358">
        <v>-1164933.19</v>
      </c>
      <c r="Q74" s="2358">
        <v>-1164933.19</v>
      </c>
      <c r="R74" s="2358">
        <v>-1164933.19</v>
      </c>
      <c r="S74" s="2358">
        <v>-1164933.19</v>
      </c>
      <c r="T74" s="2358">
        <v>-1164933.19</v>
      </c>
      <c r="U74" s="2358">
        <v>-1164933.19</v>
      </c>
      <c r="V74" s="2358"/>
      <c r="W74" s="2358"/>
      <c r="X74" s="2358"/>
      <c r="Y74" s="2358"/>
      <c r="Z74" s="2358"/>
      <c r="AA74" s="2358"/>
      <c r="AB74" s="2358"/>
      <c r="AC74" s="2358"/>
      <c r="AD74" s="2358"/>
      <c r="AE74" s="2358"/>
      <c r="AF74" s="2358"/>
      <c r="AG74" s="2416"/>
      <c r="AH74" s="2416"/>
    </row>
    <row r="75" spans="1:37">
      <c r="A75" s="1668" t="s">
        <v>2567</v>
      </c>
      <c r="B75" s="2337">
        <f>SUM(B72:B74)</f>
        <v>-7711884.7800000003</v>
      </c>
      <c r="C75" s="1669">
        <f t="shared" ref="C75:AC75" si="20">SUM(C72:C74)</f>
        <v>-7774719.2599999998</v>
      </c>
      <c r="D75" s="1669">
        <f t="shared" si="20"/>
        <v>-7774719.2599999998</v>
      </c>
      <c r="E75" s="1669">
        <f t="shared" si="20"/>
        <v>-7774719.2599999998</v>
      </c>
      <c r="F75" s="1669">
        <f t="shared" si="20"/>
        <v>-7774719.2599999998</v>
      </c>
      <c r="G75" s="1669">
        <f t="shared" si="20"/>
        <v>-7774719.2599999998</v>
      </c>
      <c r="H75" s="1669">
        <f t="shared" si="20"/>
        <v>-7774719.2599999998</v>
      </c>
      <c r="I75" s="1669">
        <f t="shared" si="20"/>
        <v>-7774719.2599999998</v>
      </c>
      <c r="J75" s="1669">
        <f t="shared" si="20"/>
        <v>-7774719.2599999998</v>
      </c>
      <c r="K75" s="1669">
        <f t="shared" si="20"/>
        <v>-7774719.2599999998</v>
      </c>
      <c r="L75" s="1669">
        <f t="shared" si="20"/>
        <v>-7774719.2599999998</v>
      </c>
      <c r="M75" s="1669">
        <f t="shared" si="20"/>
        <v>-7774719.2599999998</v>
      </c>
      <c r="N75" s="1669">
        <f t="shared" si="20"/>
        <v>-7774719.2599999998</v>
      </c>
      <c r="O75" s="1669">
        <f t="shared" si="20"/>
        <v>-7774719.2599999998</v>
      </c>
      <c r="P75" s="1669">
        <f t="shared" si="20"/>
        <v>-7774719.2599999998</v>
      </c>
      <c r="Q75" s="1669">
        <f t="shared" si="20"/>
        <v>-4360421.66</v>
      </c>
      <c r="R75" s="1669">
        <f t="shared" si="20"/>
        <v>-4360421.66</v>
      </c>
      <c r="S75" s="1669">
        <f t="shared" si="20"/>
        <v>-4360421.66</v>
      </c>
      <c r="T75" s="1669">
        <f t="shared" si="20"/>
        <v>-4360421.66</v>
      </c>
      <c r="U75" s="1669">
        <f t="shared" si="20"/>
        <v>-4360421.66</v>
      </c>
      <c r="V75" s="1669">
        <f t="shared" si="20"/>
        <v>-3195488.47</v>
      </c>
      <c r="W75" s="1669">
        <f t="shared" si="20"/>
        <v>-3195488.47</v>
      </c>
      <c r="X75" s="1669">
        <f t="shared" si="20"/>
        <v>-3195488.47</v>
      </c>
      <c r="Y75" s="1669">
        <f t="shared" si="20"/>
        <v>-3195488.47</v>
      </c>
      <c r="Z75" s="1669">
        <f t="shared" si="20"/>
        <v>-3195488.47</v>
      </c>
      <c r="AA75" s="1669">
        <f t="shared" si="20"/>
        <v>-3195488.47</v>
      </c>
      <c r="AB75" s="1669">
        <f t="shared" si="20"/>
        <v>-3195488.47</v>
      </c>
      <c r="AC75" s="1669">
        <f t="shared" si="20"/>
        <v>-3195488.47</v>
      </c>
      <c r="AD75" s="1669"/>
      <c r="AE75" s="1669"/>
      <c r="AF75" s="1669"/>
      <c r="AG75" s="1669"/>
      <c r="AH75" s="1669"/>
    </row>
    <row r="76" spans="1:37">
      <c r="D76" s="2402"/>
    </row>
    <row r="77" spans="1:37">
      <c r="A77" s="2364" t="s">
        <v>2888</v>
      </c>
      <c r="C77" s="2417"/>
      <c r="D77" s="2418"/>
      <c r="E77" s="2417"/>
      <c r="F77" s="2417"/>
      <c r="G77" s="2417"/>
      <c r="H77" s="2417"/>
      <c r="I77" s="2417"/>
      <c r="J77" s="2417"/>
      <c r="K77" s="2417"/>
      <c r="L77" s="2417"/>
      <c r="M77" s="2417"/>
      <c r="N77" s="2417"/>
      <c r="O77" s="2417"/>
      <c r="P77" s="2417"/>
      <c r="Q77" s="2417"/>
      <c r="R77" s="2417"/>
      <c r="S77" s="2417"/>
      <c r="T77" s="2417"/>
      <c r="U77" s="2417"/>
      <c r="V77" s="2417"/>
      <c r="W77" s="2417"/>
      <c r="X77" s="2417"/>
      <c r="Y77" s="2417"/>
      <c r="Z77" s="2417"/>
      <c r="AA77" s="2417"/>
      <c r="AB77" s="2417"/>
      <c r="AC77" s="2417"/>
      <c r="AD77" s="2417"/>
      <c r="AE77" s="2417"/>
      <c r="AF77" s="2417"/>
      <c r="AG77" s="2417"/>
      <c r="AH77" s="2417"/>
      <c r="AK77" s="2376">
        <f>SUM(C77:AG77)</f>
        <v>0</v>
      </c>
    </row>
    <row r="78" spans="1:37">
      <c r="A78" s="2417" t="s">
        <v>707</v>
      </c>
      <c r="C78" s="2148">
        <v>78923498.535963491</v>
      </c>
      <c r="D78" s="2148">
        <v>78960855.535963491</v>
      </c>
      <c r="E78" s="2148">
        <v>78931684.535963491</v>
      </c>
      <c r="F78" s="2148">
        <v>77128182.035963506</v>
      </c>
      <c r="G78" s="2148">
        <v>73126656.135963485</v>
      </c>
      <c r="H78" s="2148">
        <v>73070943.93596369</v>
      </c>
      <c r="I78" s="2148">
        <v>73039311.675963491</v>
      </c>
      <c r="J78" s="2148">
        <v>67034827.775963485</v>
      </c>
      <c r="K78" s="2148">
        <v>66999363.675963491</v>
      </c>
      <c r="L78" s="2148">
        <v>58800532.775963694</v>
      </c>
      <c r="M78" s="2148">
        <v>58719599.495963693</v>
      </c>
      <c r="N78" s="2148">
        <v>58650203.1759637</v>
      </c>
      <c r="O78" s="2148">
        <v>58578795.175963692</v>
      </c>
      <c r="P78" s="2148">
        <v>58684711.1759637</v>
      </c>
      <c r="Q78" s="2148">
        <v>58495995.075963691</v>
      </c>
      <c r="R78" s="2148">
        <v>58342641.975963697</v>
      </c>
      <c r="S78" s="2148">
        <v>57255906.675963692</v>
      </c>
      <c r="T78" s="2148">
        <v>52070513.175963685</v>
      </c>
      <c r="U78" s="2148">
        <v>50090068.475963674</v>
      </c>
      <c r="V78" s="2148">
        <v>47477069.175963692</v>
      </c>
      <c r="W78" s="2148">
        <v>47249107.475963674</v>
      </c>
      <c r="X78" s="2148">
        <v>45533658.875963688</v>
      </c>
      <c r="Y78" s="2148">
        <v>41237543.875963688</v>
      </c>
      <c r="Z78" s="2148">
        <v>40997259.375963688</v>
      </c>
      <c r="AA78" s="2148">
        <v>33764851.375963688</v>
      </c>
      <c r="AB78" s="2148">
        <v>33503922.875963695</v>
      </c>
      <c r="AC78" s="2148">
        <v>16404340.875963692</v>
      </c>
      <c r="AD78" s="2148">
        <v>16404523.875963692</v>
      </c>
      <c r="AE78" s="2148">
        <v>16401280.875963692</v>
      </c>
      <c r="AF78" s="2148">
        <v>4296045.9444018379</v>
      </c>
      <c r="AG78" s="2148">
        <v>0</v>
      </c>
      <c r="AH78" s="2148">
        <v>0</v>
      </c>
      <c r="AK78" s="2376">
        <f>SUM(C78:AG78)</f>
        <v>1580173895.6273468</v>
      </c>
    </row>
    <row r="79" spans="1:37">
      <c r="A79" s="2417" t="s">
        <v>2889</v>
      </c>
      <c r="C79" s="2419">
        <f>+C64</f>
        <v>6134779</v>
      </c>
      <c r="D79" s="2419">
        <f t="shared" ref="D79:T79" si="21">+D64</f>
        <v>6134779</v>
      </c>
      <c r="E79" s="2419">
        <f t="shared" si="21"/>
        <v>6134779</v>
      </c>
      <c r="F79" s="2419">
        <f t="shared" si="21"/>
        <v>6134779</v>
      </c>
      <c r="G79" s="2419">
        <f t="shared" si="21"/>
        <v>6134779</v>
      </c>
      <c r="H79" s="2419">
        <f t="shared" si="21"/>
        <v>6134779</v>
      </c>
      <c r="I79" s="2419">
        <f t="shared" si="21"/>
        <v>6134779</v>
      </c>
      <c r="J79" s="2419">
        <f t="shared" si="21"/>
        <v>6134779</v>
      </c>
      <c r="K79" s="2419">
        <f t="shared" si="21"/>
        <v>6134779</v>
      </c>
      <c r="L79" s="2419">
        <f t="shared" si="21"/>
        <v>6134779</v>
      </c>
      <c r="M79" s="2419">
        <f t="shared" si="21"/>
        <v>6134779</v>
      </c>
      <c r="N79" s="2419">
        <f t="shared" si="21"/>
        <v>6134779</v>
      </c>
      <c r="O79" s="2419">
        <f t="shared" si="21"/>
        <v>6134779</v>
      </c>
      <c r="P79" s="2419">
        <f t="shared" si="21"/>
        <v>1752723</v>
      </c>
      <c r="Q79" s="2419">
        <f t="shared" si="21"/>
        <v>1752723</v>
      </c>
      <c r="R79" s="2419">
        <f t="shared" si="21"/>
        <v>1752723</v>
      </c>
      <c r="S79" s="2419">
        <f t="shared" si="21"/>
        <v>1752723</v>
      </c>
      <c r="T79" s="2419">
        <f t="shared" si="21"/>
        <v>1752723</v>
      </c>
      <c r="U79" s="2419"/>
      <c r="V79" s="2419"/>
      <c r="W79" s="2419"/>
      <c r="X79" s="2419"/>
      <c r="Y79" s="2419"/>
      <c r="Z79" s="2419"/>
      <c r="AA79" s="2419"/>
      <c r="AB79" s="2419"/>
      <c r="AC79" s="2419"/>
      <c r="AD79" s="2419"/>
      <c r="AE79" s="2419"/>
      <c r="AF79" s="2419"/>
      <c r="AG79" s="2419"/>
      <c r="AH79" s="2419"/>
      <c r="AK79" s="2376"/>
    </row>
    <row r="80" spans="1:37">
      <c r="A80" s="2417" t="s">
        <v>2890</v>
      </c>
      <c r="C80" s="2420">
        <f>+D52+(D53*0.5)+(C53*0.5)</f>
        <v>4055855.1746935141</v>
      </c>
      <c r="D80" s="2420">
        <f t="shared" ref="D80:AH80" si="22">+E52+(E53*0.5)+(D53*0.5)</f>
        <v>9025145.8794548046</v>
      </c>
      <c r="E80" s="2420">
        <f t="shared" si="22"/>
        <v>12999760.37961749</v>
      </c>
      <c r="F80" s="2420">
        <f t="shared" si="22"/>
        <v>15463395.514992289</v>
      </c>
      <c r="G80" s="2420">
        <f t="shared" si="22"/>
        <v>17180085.077513598</v>
      </c>
      <c r="H80" s="2420">
        <f t="shared" si="22"/>
        <v>19265157.699774679</v>
      </c>
      <c r="I80" s="2420">
        <f t="shared" si="22"/>
        <v>21474674.909629121</v>
      </c>
      <c r="J80" s="2420">
        <f t="shared" si="22"/>
        <v>23951508.723560147</v>
      </c>
      <c r="K80" s="2420">
        <f t="shared" si="22"/>
        <v>25540264.810148247</v>
      </c>
      <c r="L80" s="2420">
        <f t="shared" si="22"/>
        <v>28153251.655098952</v>
      </c>
      <c r="M80" s="2420">
        <f t="shared" si="22"/>
        <v>31255189.639369376</v>
      </c>
      <c r="N80" s="2420">
        <f t="shared" si="22"/>
        <v>32782542.215029351</v>
      </c>
      <c r="O80" s="2420">
        <f t="shared" si="22"/>
        <v>34219251.172264203</v>
      </c>
      <c r="P80" s="2420">
        <f t="shared" si="22"/>
        <v>36147336.311956234</v>
      </c>
      <c r="Q80" s="2420">
        <f t="shared" si="22"/>
        <v>38351386.002373479</v>
      </c>
      <c r="R80" s="2420">
        <f t="shared" si="22"/>
        <v>40742559.199911997</v>
      </c>
      <c r="S80" s="2420">
        <f t="shared" si="22"/>
        <v>43225998.442915246</v>
      </c>
      <c r="T80" s="2420">
        <f t="shared" si="22"/>
        <v>45186731.832387269</v>
      </c>
      <c r="U80" s="2420">
        <f t="shared" si="22"/>
        <v>47085168.300390832</v>
      </c>
      <c r="V80" s="2420">
        <f t="shared" si="22"/>
        <v>49412297.333597511</v>
      </c>
      <c r="W80" s="2420">
        <f t="shared" si="22"/>
        <v>51347562.984675966</v>
      </c>
      <c r="X80" s="2420">
        <f t="shared" si="22"/>
        <v>54259302.675210744</v>
      </c>
      <c r="Y80" s="2420">
        <f t="shared" si="22"/>
        <v>58013552.774417087</v>
      </c>
      <c r="Z80" s="2420">
        <f t="shared" si="22"/>
        <v>61881798.331410035</v>
      </c>
      <c r="AA80" s="2420">
        <f t="shared" si="22"/>
        <v>67374514.507319689</v>
      </c>
      <c r="AB80" s="2420">
        <f t="shared" si="22"/>
        <v>73926801.866376907</v>
      </c>
      <c r="AC80" s="2420">
        <f t="shared" si="22"/>
        <v>80677871.195006758</v>
      </c>
      <c r="AD80" s="2420">
        <f t="shared" si="22"/>
        <v>87633786.659666881</v>
      </c>
      <c r="AE80" s="2420">
        <f t="shared" si="22"/>
        <v>94800798.933993936</v>
      </c>
      <c r="AF80" s="2420">
        <f t="shared" si="22"/>
        <v>102185351.00250855</v>
      </c>
      <c r="AG80" s="2420">
        <f t="shared" si="22"/>
        <v>98574029.892198488</v>
      </c>
      <c r="AH80" s="2420">
        <f t="shared" si="22"/>
        <v>25172680.608302861</v>
      </c>
      <c r="AK80" s="2376">
        <f>SUM(C80:AG80)</f>
        <v>1406192931.0974636</v>
      </c>
    </row>
    <row r="81" spans="1:37">
      <c r="A81" s="2417" t="s">
        <v>2857</v>
      </c>
      <c r="C81" s="2420">
        <f>+D54+(D55*0.5)+(C55*0.5)</f>
        <v>1646713.9742614655</v>
      </c>
      <c r="D81" s="2420">
        <f t="shared" ref="D81:AH81" si="23">+E54+(E55*0.5)+(D55*0.5)</f>
        <v>2622830.2284259135</v>
      </c>
      <c r="E81" s="2420">
        <f t="shared" si="23"/>
        <v>2623540.5404903959</v>
      </c>
      <c r="F81" s="2420">
        <f t="shared" si="23"/>
        <v>2624283.1717538121</v>
      </c>
      <c r="G81" s="2420">
        <f t="shared" si="23"/>
        <v>2625059.5927397138</v>
      </c>
      <c r="H81" s="2420">
        <f t="shared" si="23"/>
        <v>2625871.3408804741</v>
      </c>
      <c r="I81" s="2420">
        <f t="shared" si="23"/>
        <v>2626720.0235616392</v>
      </c>
      <c r="J81" s="2420">
        <f t="shared" si="23"/>
        <v>2627607.3213047972</v>
      </c>
      <c r="K81" s="2420">
        <f t="shared" si="23"/>
        <v>2628534.9910952686</v>
      </c>
      <c r="L81" s="2420">
        <f t="shared" si="23"/>
        <v>2629504.869861207</v>
      </c>
      <c r="M81" s="2420">
        <f t="shared" si="23"/>
        <v>2630518.8781109951</v>
      </c>
      <c r="N81" s="2420">
        <f t="shared" si="23"/>
        <v>2631579.0237361486</v>
      </c>
      <c r="O81" s="2420">
        <f t="shared" si="23"/>
        <v>2632687.4059872469</v>
      </c>
      <c r="P81" s="2420">
        <f t="shared" si="23"/>
        <v>2633846.2196307695</v>
      </c>
      <c r="Q81" s="2420">
        <f t="shared" si="23"/>
        <v>2635057.7592950733</v>
      </c>
      <c r="R81" s="2420">
        <f t="shared" si="23"/>
        <v>2636324.4240141027</v>
      </c>
      <c r="S81" s="2420">
        <f t="shared" si="23"/>
        <v>2637648.7219778476</v>
      </c>
      <c r="T81" s="2420">
        <f t="shared" si="23"/>
        <v>2639033.2754989434</v>
      </c>
      <c r="U81" s="2420">
        <f t="shared" si="23"/>
        <v>2640480.8262052485</v>
      </c>
      <c r="V81" s="2420">
        <f t="shared" si="23"/>
        <v>2641994.2404686906</v>
      </c>
      <c r="W81" s="2420">
        <f t="shared" si="23"/>
        <v>2643576.5150811188</v>
      </c>
      <c r="X81" s="2420">
        <f t="shared" si="23"/>
        <v>2645230.7831884134</v>
      </c>
      <c r="Y81" s="2420">
        <f t="shared" si="23"/>
        <v>2646960.3204945894</v>
      </c>
      <c r="Z81" s="2420">
        <f t="shared" si="23"/>
        <v>2648768.5517481966</v>
      </c>
      <c r="AA81" s="2420">
        <f t="shared" si="23"/>
        <v>2650659.0575238429</v>
      </c>
      <c r="AB81" s="2420">
        <f t="shared" si="23"/>
        <v>2652635.5813122806</v>
      </c>
      <c r="AC81" s="2420">
        <f t="shared" si="23"/>
        <v>2654702.0369330929</v>
      </c>
      <c r="AD81" s="2420">
        <f t="shared" si="23"/>
        <v>2656862.5162846521</v>
      </c>
      <c r="AE81" s="2420">
        <f t="shared" si="23"/>
        <v>2659121.2974467068</v>
      </c>
      <c r="AF81" s="2420">
        <f t="shared" si="23"/>
        <v>2661482.8531516353</v>
      </c>
      <c r="AG81" s="2420">
        <f t="shared" si="23"/>
        <v>56732.885379673193</v>
      </c>
      <c r="AH81" s="2420">
        <f t="shared" si="23"/>
        <v>0</v>
      </c>
      <c r="AK81" s="2376">
        <f>SUM(C81:AG81)</f>
        <v>78216569.22784397</v>
      </c>
    </row>
    <row r="82" spans="1:37">
      <c r="A82" s="2364" t="s">
        <v>2568</v>
      </c>
      <c r="B82" s="2347">
        <f>+C68</f>
        <v>84424171.505005628</v>
      </c>
      <c r="C82" s="1670">
        <f>SUM(C78:C81)</f>
        <v>90760846.684918463</v>
      </c>
      <c r="D82" s="1670">
        <f t="shared" ref="D82:AH82" si="24">SUM(D78:D81)</f>
        <v>96743610.643844217</v>
      </c>
      <c r="E82" s="1670">
        <f t="shared" si="24"/>
        <v>100689764.45607138</v>
      </c>
      <c r="F82" s="1670">
        <f t="shared" si="24"/>
        <v>101350639.72270961</v>
      </c>
      <c r="G82" s="1670">
        <f t="shared" si="24"/>
        <v>99066579.806216791</v>
      </c>
      <c r="H82" s="1670">
        <f t="shared" si="24"/>
        <v>101096751.97661884</v>
      </c>
      <c r="I82" s="1670">
        <f t="shared" si="24"/>
        <v>103275485.60915425</v>
      </c>
      <c r="J82" s="1670">
        <f t="shared" si="24"/>
        <v>99748722.820828438</v>
      </c>
      <c r="K82" s="1670">
        <f t="shared" si="24"/>
        <v>101302942.47720701</v>
      </c>
      <c r="L82" s="1670">
        <f t="shared" si="24"/>
        <v>95718068.300923839</v>
      </c>
      <c r="M82" s="1670">
        <f t="shared" si="24"/>
        <v>98740087.013444051</v>
      </c>
      <c r="N82" s="1670">
        <f t="shared" si="24"/>
        <v>100199103.41472921</v>
      </c>
      <c r="O82" s="1670">
        <f t="shared" si="24"/>
        <v>101565512.75421514</v>
      </c>
      <c r="P82" s="1670">
        <f t="shared" si="24"/>
        <v>99218616.70755069</v>
      </c>
      <c r="Q82" s="1670">
        <f t="shared" si="24"/>
        <v>101235161.83763224</v>
      </c>
      <c r="R82" s="1670">
        <f t="shared" si="24"/>
        <v>103474248.5998898</v>
      </c>
      <c r="S82" s="1670">
        <f t="shared" si="24"/>
        <v>104872276.84085678</v>
      </c>
      <c r="T82" s="1670">
        <f t="shared" si="24"/>
        <v>101649001.2838499</v>
      </c>
      <c r="U82" s="1670">
        <f t="shared" si="24"/>
        <v>99815717.60255976</v>
      </c>
      <c r="V82" s="1670">
        <f t="shared" si="24"/>
        <v>99531360.750029907</v>
      </c>
      <c r="W82" s="1670">
        <f t="shared" si="24"/>
        <v>101240246.97572076</v>
      </c>
      <c r="X82" s="1670">
        <f t="shared" si="24"/>
        <v>102438192.33436285</v>
      </c>
      <c r="Y82" s="1670">
        <f t="shared" si="24"/>
        <v>101898056.97087537</v>
      </c>
      <c r="Z82" s="1670">
        <f t="shared" si="24"/>
        <v>105527826.25912192</v>
      </c>
      <c r="AA82" s="1670">
        <f t="shared" si="24"/>
        <v>103790024.94080722</v>
      </c>
      <c r="AB82" s="1670">
        <f t="shared" si="24"/>
        <v>110083360.32365288</v>
      </c>
      <c r="AC82" s="1670">
        <f t="shared" si="24"/>
        <v>99736914.10790354</v>
      </c>
      <c r="AD82" s="1670">
        <f t="shared" si="24"/>
        <v>106695173.05191523</v>
      </c>
      <c r="AE82" s="1670">
        <f t="shared" si="24"/>
        <v>113861201.10740434</v>
      </c>
      <c r="AF82" s="1670">
        <f t="shared" si="24"/>
        <v>109142879.80006202</v>
      </c>
      <c r="AG82" s="1670">
        <f t="shared" si="24"/>
        <v>98630762.77757816</v>
      </c>
      <c r="AH82" s="1670">
        <f t="shared" si="24"/>
        <v>25172680.608302861</v>
      </c>
    </row>
    <row r="83" spans="1:37">
      <c r="A83" s="2364" t="s">
        <v>2891</v>
      </c>
      <c r="B83" s="2365"/>
      <c r="C83" s="2366">
        <f>+C65</f>
        <v>85560894.819999799</v>
      </c>
      <c r="D83" s="2366">
        <f t="shared" ref="D83:AH83" si="25">+D65</f>
        <v>92456445.840069622</v>
      </c>
      <c r="E83" s="2366">
        <f t="shared" si="25"/>
        <v>96501875.366796672</v>
      </c>
      <c r="F83" s="2366">
        <f t="shared" si="25"/>
        <v>100315006.94295342</v>
      </c>
      <c r="G83" s="2366">
        <f t="shared" si="25"/>
        <v>100078034.01847276</v>
      </c>
      <c r="H83" s="2366">
        <f t="shared" si="25"/>
        <v>97911616.289555758</v>
      </c>
      <c r="I83" s="2366">
        <f t="shared" si="25"/>
        <v>100065250.27435851</v>
      </c>
      <c r="J83" s="2366">
        <f t="shared" si="25"/>
        <v>102137962.45783937</v>
      </c>
      <c r="K83" s="2366">
        <f t="shared" si="25"/>
        <v>98883052.403427348</v>
      </c>
      <c r="L83" s="2366">
        <f t="shared" si="25"/>
        <v>99755051.85890691</v>
      </c>
      <c r="M83" s="2366">
        <f t="shared" si="25"/>
        <v>96877933.259862274</v>
      </c>
      <c r="N83" s="2366">
        <f t="shared" si="25"/>
        <v>99555832.822901085</v>
      </c>
      <c r="O83" s="2366">
        <f t="shared" si="25"/>
        <v>100221563.42420083</v>
      </c>
      <c r="P83" s="2366">
        <f t="shared" si="25"/>
        <v>94999115.2889404</v>
      </c>
      <c r="Q83" s="2366">
        <f t="shared" si="25"/>
        <v>99418402.32409516</v>
      </c>
      <c r="R83" s="2366">
        <f t="shared" si="25"/>
        <v>101492421.23526709</v>
      </c>
      <c r="S83" s="2366">
        <f t="shared" si="25"/>
        <v>103693658.23088928</v>
      </c>
      <c r="T83" s="2366">
        <f t="shared" si="25"/>
        <v>105069686.82399523</v>
      </c>
      <c r="U83" s="2366">
        <f t="shared" si="25"/>
        <v>98981177.190254062</v>
      </c>
      <c r="V83" s="2366">
        <f t="shared" si="25"/>
        <v>99820737.117290214</v>
      </c>
      <c r="W83" s="2366">
        <f t="shared" si="25"/>
        <v>99678086.310619473</v>
      </c>
      <c r="X83" s="2366">
        <f t="shared" si="25"/>
        <v>100988064.78641587</v>
      </c>
      <c r="Y83" s="2366">
        <f t="shared" si="25"/>
        <v>102902773.31484234</v>
      </c>
      <c r="Z83" s="2366">
        <f t="shared" si="25"/>
        <v>102418755.33062159</v>
      </c>
      <c r="AA83" s="2366">
        <f t="shared" si="25"/>
        <v>105992513.82687423</v>
      </c>
      <c r="AB83" s="2366">
        <f t="shared" si="25"/>
        <v>108133409.92269856</v>
      </c>
      <c r="AC83" s="2366">
        <f t="shared" si="25"/>
        <v>114387654.08389762</v>
      </c>
      <c r="AD83" s="2366">
        <f t="shared" si="25"/>
        <v>104487727.71243265</v>
      </c>
      <c r="AE83" s="2366">
        <f t="shared" si="25"/>
        <v>111411252.00232378</v>
      </c>
      <c r="AF83" s="2366">
        <f t="shared" si="25"/>
        <v>118550904.09341159</v>
      </c>
      <c r="AG83" s="2366">
        <f t="shared" si="25"/>
        <v>106438967.37973201</v>
      </c>
      <c r="AH83" s="2366">
        <f t="shared" si="25"/>
        <v>97410170.199662209</v>
      </c>
    </row>
    <row r="84" spans="1:37">
      <c r="A84" s="2364" t="s">
        <v>1476</v>
      </c>
      <c r="B84" s="2365"/>
      <c r="C84" s="2366">
        <f>+C82-C83</f>
        <v>5199951.8649186641</v>
      </c>
      <c r="D84" s="2366">
        <f t="shared" ref="D84:AH84" si="26">+D82-D83</f>
        <v>4287164.8037745953</v>
      </c>
      <c r="E84" s="2366">
        <f t="shared" si="26"/>
        <v>4187889.0892747045</v>
      </c>
      <c r="F84" s="2366">
        <f t="shared" si="26"/>
        <v>1035632.7797561884</v>
      </c>
      <c r="G84" s="2366">
        <f t="shared" si="26"/>
        <v>-1011454.2122559696</v>
      </c>
      <c r="H84" s="2366">
        <f t="shared" si="26"/>
        <v>3185135.6870630831</v>
      </c>
      <c r="I84" s="2366">
        <f t="shared" si="26"/>
        <v>3210235.3347957432</v>
      </c>
      <c r="J84" s="2366">
        <f t="shared" si="26"/>
        <v>-2389239.637010932</v>
      </c>
      <c r="K84" s="2366">
        <f t="shared" si="26"/>
        <v>2419890.0737796575</v>
      </c>
      <c r="L84" s="2366">
        <f t="shared" si="26"/>
        <v>-4036983.5579830706</v>
      </c>
      <c r="M84" s="2366">
        <f t="shared" si="26"/>
        <v>1862153.7535817772</v>
      </c>
      <c r="N84" s="2366">
        <f t="shared" si="26"/>
        <v>643270.59182812274</v>
      </c>
      <c r="O84" s="2366">
        <f t="shared" si="26"/>
        <v>1343949.3300143033</v>
      </c>
      <c r="P84" s="2366">
        <f t="shared" si="26"/>
        <v>4219501.4186102897</v>
      </c>
      <c r="Q84" s="2366">
        <f t="shared" si="26"/>
        <v>1816759.5135370791</v>
      </c>
      <c r="R84" s="2366">
        <f t="shared" si="26"/>
        <v>1981827.3646227121</v>
      </c>
      <c r="S84" s="2366">
        <f t="shared" si="26"/>
        <v>1178618.6099675</v>
      </c>
      <c r="T84" s="2366">
        <f t="shared" si="26"/>
        <v>-3420685.5401453376</v>
      </c>
      <c r="U84" s="2366">
        <f t="shared" si="26"/>
        <v>834540.4123056978</v>
      </c>
      <c r="V84" s="2366">
        <f t="shared" si="26"/>
        <v>-289376.36726030707</v>
      </c>
      <c r="W84" s="2366">
        <f t="shared" si="26"/>
        <v>1562160.6651012897</v>
      </c>
      <c r="X84" s="2366">
        <f t="shared" si="26"/>
        <v>1450127.5479469746</v>
      </c>
      <c r="Y84" s="2366">
        <f t="shared" si="26"/>
        <v>-1004716.3439669758</v>
      </c>
      <c r="Z84" s="2366">
        <f t="shared" si="26"/>
        <v>3109070.9285003394</v>
      </c>
      <c r="AA84" s="2366">
        <f t="shared" si="26"/>
        <v>-2202488.886067003</v>
      </c>
      <c r="AB84" s="2366">
        <f t="shared" si="26"/>
        <v>1949950.400954321</v>
      </c>
      <c r="AC84" s="2366">
        <f t="shared" si="26"/>
        <v>-14650739.97599408</v>
      </c>
      <c r="AD84" s="2366">
        <f t="shared" si="26"/>
        <v>2207445.3394825757</v>
      </c>
      <c r="AE84" s="2366">
        <f t="shared" si="26"/>
        <v>2449949.1050805598</v>
      </c>
      <c r="AF84" s="2366">
        <f t="shared" si="26"/>
        <v>-9408024.293349579</v>
      </c>
      <c r="AG84" s="2366">
        <f t="shared" si="26"/>
        <v>-7808204.6021538526</v>
      </c>
      <c r="AH84" s="2366">
        <f t="shared" si="26"/>
        <v>-72237489.591359347</v>
      </c>
    </row>
    <row r="85" spans="1:37">
      <c r="B85" s="2421"/>
      <c r="C85" s="2402"/>
      <c r="D85" s="2402"/>
    </row>
    <row r="86" spans="1:37">
      <c r="A86" s="1659" t="s">
        <v>2569</v>
      </c>
      <c r="B86" s="2347">
        <f>+B65</f>
        <v>81244698.909999996</v>
      </c>
      <c r="C86" s="1660">
        <f>+C65</f>
        <v>85560894.819999799</v>
      </c>
      <c r="D86" s="1660">
        <f t="shared" ref="D86:AH86" si="27">+D65</f>
        <v>92456445.840069622</v>
      </c>
      <c r="E86" s="1660">
        <f t="shared" si="27"/>
        <v>96501875.366796672</v>
      </c>
      <c r="F86" s="1660">
        <f t="shared" si="27"/>
        <v>100315006.94295342</v>
      </c>
      <c r="G86" s="1660">
        <f t="shared" si="27"/>
        <v>100078034.01847276</v>
      </c>
      <c r="H86" s="1660">
        <f t="shared" si="27"/>
        <v>97911616.289555758</v>
      </c>
      <c r="I86" s="1660">
        <f t="shared" si="27"/>
        <v>100065250.27435851</v>
      </c>
      <c r="J86" s="1660">
        <f t="shared" si="27"/>
        <v>102137962.45783937</v>
      </c>
      <c r="K86" s="1660">
        <f t="shared" si="27"/>
        <v>98883052.403427348</v>
      </c>
      <c r="L86" s="1660">
        <f t="shared" si="27"/>
        <v>99755051.85890691</v>
      </c>
      <c r="M86" s="1660">
        <f t="shared" si="27"/>
        <v>96877933.259862274</v>
      </c>
      <c r="N86" s="1660">
        <f t="shared" si="27"/>
        <v>99555832.822901085</v>
      </c>
      <c r="O86" s="1660">
        <f t="shared" si="27"/>
        <v>100221563.42420083</v>
      </c>
      <c r="P86" s="1660">
        <f t="shared" si="27"/>
        <v>94999115.2889404</v>
      </c>
      <c r="Q86" s="1660">
        <f t="shared" si="27"/>
        <v>99418402.32409516</v>
      </c>
      <c r="R86" s="1660">
        <f t="shared" si="27"/>
        <v>101492421.23526709</v>
      </c>
      <c r="S86" s="1660">
        <f t="shared" si="27"/>
        <v>103693658.23088928</v>
      </c>
      <c r="T86" s="1660">
        <f t="shared" si="27"/>
        <v>105069686.82399523</v>
      </c>
      <c r="U86" s="1660">
        <f t="shared" si="27"/>
        <v>98981177.190254062</v>
      </c>
      <c r="V86" s="1660">
        <f t="shared" si="27"/>
        <v>99820737.117290214</v>
      </c>
      <c r="W86" s="1660">
        <f t="shared" si="27"/>
        <v>99678086.310619473</v>
      </c>
      <c r="X86" s="1660">
        <f t="shared" si="27"/>
        <v>100988064.78641587</v>
      </c>
      <c r="Y86" s="1660">
        <f t="shared" si="27"/>
        <v>102902773.31484234</v>
      </c>
      <c r="Z86" s="1660">
        <f t="shared" si="27"/>
        <v>102418755.33062159</v>
      </c>
      <c r="AA86" s="1660">
        <f t="shared" si="27"/>
        <v>105992513.82687423</v>
      </c>
      <c r="AB86" s="1660">
        <f t="shared" si="27"/>
        <v>108133409.92269856</v>
      </c>
      <c r="AC86" s="1660">
        <f t="shared" si="27"/>
        <v>114387654.08389762</v>
      </c>
      <c r="AD86" s="1660">
        <f t="shared" si="27"/>
        <v>104487727.71243265</v>
      </c>
      <c r="AE86" s="1660">
        <f t="shared" si="27"/>
        <v>111411252.00232378</v>
      </c>
      <c r="AF86" s="1660">
        <f t="shared" si="27"/>
        <v>118550904.09341159</v>
      </c>
      <c r="AG86" s="1660">
        <f t="shared" si="27"/>
        <v>106438967.37973201</v>
      </c>
      <c r="AH86" s="1660">
        <f t="shared" si="27"/>
        <v>97410170.199662209</v>
      </c>
    </row>
    <row r="87" spans="1:37">
      <c r="D87" s="2402"/>
    </row>
    <row r="88" spans="1:37">
      <c r="A88" s="2330" t="s">
        <v>2892</v>
      </c>
      <c r="B88" s="2347">
        <f>+B65+B36</f>
        <v>99252080.169999987</v>
      </c>
      <c r="C88" s="2347">
        <f>+C65+C36</f>
        <v>97712939.269999772</v>
      </c>
      <c r="D88" s="2347">
        <f t="shared" ref="D88:AH88" si="28">+D65+D36</f>
        <v>100564527.1000696</v>
      </c>
      <c r="E88" s="2347">
        <f t="shared" si="28"/>
        <v>104908206.62679665</v>
      </c>
      <c r="F88" s="2347">
        <f t="shared" si="28"/>
        <v>109983838.2029534</v>
      </c>
      <c r="G88" s="2347">
        <f t="shared" si="28"/>
        <v>111009365.27847274</v>
      </c>
      <c r="H88" s="2347">
        <f t="shared" si="28"/>
        <v>122900072.54955573</v>
      </c>
      <c r="I88" s="2347">
        <f t="shared" si="28"/>
        <v>125039081.53435849</v>
      </c>
      <c r="J88" s="2347">
        <f t="shared" si="28"/>
        <v>127093418.71783935</v>
      </c>
      <c r="K88" s="2347">
        <f t="shared" si="28"/>
        <v>123822483.66342734</v>
      </c>
      <c r="L88" s="2347">
        <f t="shared" si="28"/>
        <v>122279032.80395859</v>
      </c>
      <c r="M88" s="2347">
        <f t="shared" si="28"/>
        <v>105386192.32702747</v>
      </c>
      <c r="N88" s="2347">
        <f t="shared" si="28"/>
        <v>107270392.91729799</v>
      </c>
      <c r="O88" s="2347">
        <f t="shared" si="28"/>
        <v>107070709.13646784</v>
      </c>
      <c r="P88" s="2347">
        <f t="shared" si="28"/>
        <v>100045381.07076091</v>
      </c>
      <c r="Q88" s="2347">
        <f t="shared" si="28"/>
        <v>103127895.40314086</v>
      </c>
      <c r="R88" s="2347">
        <f t="shared" si="28"/>
        <v>105202164.31431279</v>
      </c>
      <c r="S88" s="2347">
        <f t="shared" si="28"/>
        <v>109396658.23088928</v>
      </c>
      <c r="T88" s="2347">
        <f t="shared" si="28"/>
        <v>110772561.82399523</v>
      </c>
      <c r="U88" s="2347">
        <f t="shared" si="28"/>
        <v>104675677.19025406</v>
      </c>
      <c r="V88" s="2347">
        <f t="shared" si="28"/>
        <v>105513237.11729021</v>
      </c>
      <c r="W88" s="2347">
        <f t="shared" si="28"/>
        <v>105364461.31061947</v>
      </c>
      <c r="X88" s="2347">
        <f t="shared" si="28"/>
        <v>106668814.78641587</v>
      </c>
      <c r="Y88" s="2347">
        <f t="shared" si="28"/>
        <v>108577898.31484234</v>
      </c>
      <c r="Z88" s="2347">
        <f t="shared" si="28"/>
        <v>108092630.33062159</v>
      </c>
      <c r="AA88" s="2347">
        <f t="shared" si="28"/>
        <v>111659013.82687423</v>
      </c>
      <c r="AB88" s="2347">
        <f t="shared" si="28"/>
        <v>113791034.92269856</v>
      </c>
      <c r="AC88" s="2347">
        <f t="shared" si="28"/>
        <v>120039279.08389762</v>
      </c>
      <c r="AD88" s="2347">
        <f t="shared" si="28"/>
        <v>110135477.71243265</v>
      </c>
      <c r="AE88" s="2347">
        <f t="shared" si="28"/>
        <v>111411252.00232378</v>
      </c>
      <c r="AF88" s="2347">
        <f t="shared" si="28"/>
        <v>118550904.09341159</v>
      </c>
      <c r="AG88" s="2347">
        <f t="shared" si="28"/>
        <v>106438967.37973201</v>
      </c>
      <c r="AH88" s="2347">
        <f t="shared" si="28"/>
        <v>97410170.199662209</v>
      </c>
    </row>
    <row r="90" spans="1:37">
      <c r="A90" s="1659" t="s">
        <v>2893</v>
      </c>
      <c r="B90" s="2347">
        <f>+B68+B39</f>
        <v>91283772.769999787</v>
      </c>
      <c r="C90" s="1660">
        <f>+C68+C39</f>
        <v>92546502.765005603</v>
      </c>
      <c r="D90" s="1660">
        <f t="shared" ref="D90:AH90" si="29">+D68+D39</f>
        <v>104114013.9028805</v>
      </c>
      <c r="E90" s="1660">
        <f t="shared" si="29"/>
        <v>109329076.46510766</v>
      </c>
      <c r="F90" s="1660">
        <f t="shared" si="29"/>
        <v>111257940.00674587</v>
      </c>
      <c r="G90" s="1660">
        <f t="shared" si="29"/>
        <v>123438322.61525314</v>
      </c>
      <c r="H90" s="1660">
        <f t="shared" si="29"/>
        <v>125415530.72065502</v>
      </c>
      <c r="I90" s="1660">
        <f t="shared" si="29"/>
        <v>127580764.83319059</v>
      </c>
      <c r="J90" s="1660">
        <f t="shared" si="29"/>
        <v>124141476.02986471</v>
      </c>
      <c r="K90" s="1660">
        <f t="shared" si="29"/>
        <v>123217651.69376916</v>
      </c>
      <c r="L90" s="1660">
        <f t="shared" si="29"/>
        <v>105415895.02106839</v>
      </c>
      <c r="M90" s="1660">
        <f t="shared" si="29"/>
        <v>107521834.70826121</v>
      </c>
      <c r="N90" s="1660">
        <f t="shared" si="29"/>
        <v>108159639.77209726</v>
      </c>
      <c r="O90" s="1660">
        <f t="shared" si="29"/>
        <v>102532704.87529507</v>
      </c>
      <c r="P90" s="1660">
        <f t="shared" si="29"/>
        <v>105463601.98702006</v>
      </c>
      <c r="Q90" s="1660">
        <f t="shared" si="29"/>
        <v>105621523.16571425</v>
      </c>
      <c r="R90" s="1660">
        <f t="shared" si="29"/>
        <v>106963280.46344894</v>
      </c>
      <c r="S90" s="1660">
        <f t="shared" si="29"/>
        <v>111268264.28989309</v>
      </c>
      <c r="T90" s="1660">
        <f t="shared" si="29"/>
        <v>105923373.48288622</v>
      </c>
      <c r="U90" s="1660">
        <f t="shared" si="29"/>
        <v>106617941.07659608</v>
      </c>
      <c r="V90" s="1660">
        <f t="shared" si="29"/>
        <v>105944335.27406619</v>
      </c>
      <c r="W90" s="1660">
        <f t="shared" si="29"/>
        <v>107624526.49975708</v>
      </c>
      <c r="X90" s="1660">
        <f t="shared" si="29"/>
        <v>108839176.23339915</v>
      </c>
      <c r="Y90" s="1660">
        <f t="shared" si="29"/>
        <v>108340948.34491166</v>
      </c>
      <c r="Z90" s="1660">
        <f t="shared" si="29"/>
        <v>111912005.50815824</v>
      </c>
      <c r="AA90" s="1660">
        <f t="shared" si="29"/>
        <v>113176683.68984355</v>
      </c>
      <c r="AB90" s="1660">
        <f t="shared" si="29"/>
        <v>119425658.82268918</v>
      </c>
      <c r="AC90" s="1660">
        <f t="shared" si="29"/>
        <v>109326851.35693985</v>
      </c>
      <c r="AD90" s="1660">
        <f t="shared" si="29"/>
        <v>110257318.55095154</v>
      </c>
      <c r="AE90" s="1660">
        <f t="shared" si="29"/>
        <v>117428727.85644065</v>
      </c>
      <c r="AF90" s="1660">
        <f t="shared" si="29"/>
        <v>105093340.73066017</v>
      </c>
      <c r="AG90" s="1660">
        <f t="shared" si="29"/>
        <v>98630762.777578145</v>
      </c>
      <c r="AH90" s="1660">
        <f t="shared" si="29"/>
        <v>25172680.608302861</v>
      </c>
    </row>
    <row r="91" spans="1:37">
      <c r="D91" s="2415"/>
    </row>
    <row r="92" spans="1:37">
      <c r="C92" s="1523"/>
      <c r="D92" s="1523"/>
      <c r="E92" s="1523"/>
      <c r="F92" s="1523"/>
      <c r="G92" s="1523"/>
      <c r="H92" s="1523"/>
      <c r="I92" s="1523"/>
      <c r="J92" s="1523"/>
      <c r="K92" s="1523"/>
      <c r="L92" s="1523"/>
      <c r="M92" s="1523"/>
      <c r="N92" s="1523"/>
      <c r="O92" s="1523"/>
      <c r="P92" s="1523"/>
      <c r="Q92" s="1523"/>
      <c r="R92" s="1523"/>
      <c r="S92" s="1523"/>
      <c r="T92" s="1523"/>
      <c r="U92" s="1523"/>
      <c r="V92" s="1523"/>
      <c r="W92" s="1523"/>
      <c r="X92" s="1523"/>
      <c r="Y92" s="1523"/>
      <c r="Z92" s="1523"/>
      <c r="AA92" s="1523"/>
      <c r="AB92" s="1523"/>
      <c r="AC92" s="1523"/>
      <c r="AD92" s="1523"/>
      <c r="AE92" s="1523"/>
      <c r="AF92" s="1523"/>
      <c r="AG92" s="1523"/>
      <c r="AH92" s="1523"/>
    </row>
    <row r="93" spans="1:37">
      <c r="A93" s="1671" t="s">
        <v>2570</v>
      </c>
      <c r="C93" s="2385"/>
      <c r="D93" s="2385"/>
      <c r="E93" s="2385"/>
      <c r="F93" s="2385"/>
      <c r="G93" s="2385"/>
      <c r="H93" s="2385"/>
      <c r="I93" s="2385"/>
    </row>
    <row r="94" spans="1:37">
      <c r="A94" s="2385" t="s">
        <v>2027</v>
      </c>
      <c r="B94" s="2422">
        <v>302393637.09000003</v>
      </c>
      <c r="C94" s="2423">
        <v>338416748.42114091</v>
      </c>
      <c r="D94" s="2423">
        <v>323776120.51820636</v>
      </c>
      <c r="E94" s="2423">
        <v>332755302.76289332</v>
      </c>
      <c r="F94" s="2423">
        <v>328214542.61493158</v>
      </c>
      <c r="G94" s="2423">
        <v>323699708.40275365</v>
      </c>
      <c r="H94" s="2424"/>
      <c r="I94" s="2424"/>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row>
    <row r="95" spans="1:37">
      <c r="A95" s="2385" t="s">
        <v>2028</v>
      </c>
      <c r="B95" s="2422">
        <v>151035568.59999999</v>
      </c>
      <c r="C95" s="2423">
        <v>188898313.40172935</v>
      </c>
      <c r="D95" s="2423">
        <v>146288736.21054757</v>
      </c>
      <c r="E95" s="2423">
        <v>144654370.0229677</v>
      </c>
      <c r="F95" s="2423">
        <v>149776519.80252421</v>
      </c>
      <c r="G95" s="2423">
        <v>154482093.45270771</v>
      </c>
      <c r="H95" s="2425" t="s">
        <v>2571</v>
      </c>
      <c r="I95" s="2425"/>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row>
    <row r="96" spans="1:37">
      <c r="A96" s="2385" t="s">
        <v>2241</v>
      </c>
      <c r="B96" s="2134">
        <f t="shared" ref="B96:G96" si="30">B94-B95</f>
        <v>151358068.49000004</v>
      </c>
      <c r="C96" s="2424">
        <f t="shared" si="30"/>
        <v>149518435.01941156</v>
      </c>
      <c r="D96" s="2424">
        <f t="shared" si="30"/>
        <v>177487384.30765879</v>
      </c>
      <c r="E96" s="2424">
        <f t="shared" si="30"/>
        <v>188100932.73992562</v>
      </c>
      <c r="F96" s="2424">
        <f t="shared" si="30"/>
        <v>178438022.81240737</v>
      </c>
      <c r="G96" s="2424">
        <f t="shared" si="30"/>
        <v>169217614.95004594</v>
      </c>
      <c r="H96" s="2424"/>
      <c r="I96" s="2424"/>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row>
    <row r="97" spans="1:37">
      <c r="A97" s="2385" t="s">
        <v>2572</v>
      </c>
      <c r="B97" s="2134">
        <f t="shared" ref="B97:G97" si="31">+B88</f>
        <v>99252080.169999987</v>
      </c>
      <c r="C97" s="2424">
        <f t="shared" si="31"/>
        <v>97712939.269999772</v>
      </c>
      <c r="D97" s="2424">
        <f t="shared" si="31"/>
        <v>100564527.1000696</v>
      </c>
      <c r="E97" s="2424">
        <f t="shared" si="31"/>
        <v>104908206.62679665</v>
      </c>
      <c r="F97" s="2424">
        <f t="shared" si="31"/>
        <v>109983838.2029534</v>
      </c>
      <c r="G97" s="2424">
        <f t="shared" si="31"/>
        <v>111009365.27847274</v>
      </c>
      <c r="H97" s="2424"/>
      <c r="I97" s="2424"/>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row>
    <row r="98" spans="1:37">
      <c r="A98" s="2385" t="s">
        <v>2573</v>
      </c>
      <c r="B98" s="2426">
        <f t="shared" ref="B98:G98" si="32">B96/B97</f>
        <v>1.5249863602934304</v>
      </c>
      <c r="C98" s="2427">
        <f t="shared" si="32"/>
        <v>1.5301805076834623</v>
      </c>
      <c r="D98" s="2427">
        <f t="shared" si="32"/>
        <v>1.7649104453207931</v>
      </c>
      <c r="E98" s="2427">
        <f t="shared" si="32"/>
        <v>1.7930049401099866</v>
      </c>
      <c r="F98" s="2427">
        <f t="shared" si="32"/>
        <v>1.6224022158886229</v>
      </c>
      <c r="G98" s="2427">
        <f t="shared" si="32"/>
        <v>1.5243544049238982</v>
      </c>
      <c r="H98" s="2427"/>
      <c r="I98" s="2428">
        <f>151358068-38900000</f>
        <v>112458068</v>
      </c>
      <c r="J98" s="2429"/>
      <c r="K98" s="2429"/>
      <c r="L98" s="2429"/>
      <c r="M98" s="2429"/>
      <c r="N98" s="2429"/>
      <c r="O98" s="2429"/>
      <c r="P98" s="2429"/>
      <c r="Q98" s="2429"/>
      <c r="R98" s="2429"/>
      <c r="S98" s="2429"/>
      <c r="T98" s="2429"/>
      <c r="U98" s="2429"/>
      <c r="V98" s="2429"/>
      <c r="W98" s="2429"/>
      <c r="X98" s="2429"/>
      <c r="Y98" s="2429"/>
      <c r="Z98" s="2429"/>
      <c r="AA98" s="2429"/>
      <c r="AB98" s="2429"/>
      <c r="AC98" s="2429"/>
      <c r="AD98" s="2429"/>
      <c r="AE98" s="2429"/>
      <c r="AF98" s="2429"/>
      <c r="AG98" s="2429"/>
      <c r="AH98" s="2429"/>
    </row>
    <row r="99" spans="1:37">
      <c r="A99" s="2385"/>
      <c r="B99" s="2422">
        <v>91809342.947849005</v>
      </c>
      <c r="C99" s="2423">
        <v>90270202.047848791</v>
      </c>
      <c r="D99" s="2423">
        <v>92723834.897110239</v>
      </c>
      <c r="E99" s="2423">
        <v>98595892.592110232</v>
      </c>
      <c r="F99" s="2423">
        <v>103120836.26886024</v>
      </c>
      <c r="G99" s="2423">
        <v>106607892.16238523</v>
      </c>
      <c r="H99" s="2385"/>
      <c r="I99" s="2385">
        <f>+I98/B97</f>
        <v>1.1330550232033492</v>
      </c>
    </row>
    <row r="100" spans="1:37">
      <c r="A100" s="2385"/>
      <c r="B100" s="2430">
        <v>1.6486129148748712</v>
      </c>
      <c r="C100" s="2431">
        <v>1.6300053330769735</v>
      </c>
      <c r="D100" s="2431">
        <v>1.8808477307968698</v>
      </c>
      <c r="E100" s="2431">
        <v>1.9158897459098436</v>
      </c>
      <c r="F100" s="2431">
        <v>1.8602441392551581</v>
      </c>
      <c r="G100" s="2431">
        <v>1.6799946693492316</v>
      </c>
      <c r="H100" s="2385"/>
      <c r="I100" s="2385"/>
    </row>
    <row r="101" spans="1:37">
      <c r="A101" s="1647" t="s">
        <v>2574</v>
      </c>
      <c r="B101" s="2432"/>
      <c r="C101" s="2416"/>
      <c r="D101" s="2416"/>
      <c r="E101" s="2416"/>
      <c r="F101" s="2416"/>
      <c r="G101" s="2416"/>
    </row>
    <row r="102" spans="1:37">
      <c r="A102" s="1520" t="s">
        <v>2027</v>
      </c>
      <c r="B102" s="2422">
        <v>207852760.46000004</v>
      </c>
      <c r="C102" s="2433">
        <v>274404724.80565488</v>
      </c>
      <c r="D102" s="2433">
        <v>273488351.18316424</v>
      </c>
      <c r="E102" s="2433">
        <v>285058592.72157645</v>
      </c>
      <c r="F102" s="2433">
        <v>282416686.45942402</v>
      </c>
      <c r="G102" s="2433">
        <v>280873593.67542052</v>
      </c>
      <c r="H102" s="2433">
        <v>291398041.19018507</v>
      </c>
      <c r="I102" s="2433">
        <v>299593838.11396956</v>
      </c>
      <c r="J102" s="2433">
        <v>305340604.59901869</v>
      </c>
      <c r="K102" s="2433">
        <v>311142819.04161155</v>
      </c>
      <c r="L102" s="2433">
        <v>317150019.63916266</v>
      </c>
      <c r="M102" s="2433">
        <v>323426266.32400864</v>
      </c>
      <c r="N102" s="2433">
        <v>329612259.66449153</v>
      </c>
      <c r="O102" s="2433">
        <v>335878241.77503413</v>
      </c>
      <c r="P102" s="2433">
        <v>342369619.7863211</v>
      </c>
      <c r="Q102" s="2433">
        <v>351288555.31983542</v>
      </c>
      <c r="R102" s="2433">
        <v>360800620.13618487</v>
      </c>
      <c r="S102" s="2433">
        <v>370585639.71383888</v>
      </c>
      <c r="T102" s="2433">
        <v>383167177.22827262</v>
      </c>
      <c r="U102" s="2433">
        <v>393585913.99172556</v>
      </c>
      <c r="V102" s="2433">
        <v>404304323.336034</v>
      </c>
      <c r="W102" s="2433">
        <v>415331315.40411144</v>
      </c>
      <c r="X102" s="2433">
        <v>426676071.22820103</v>
      </c>
      <c r="Y102" s="2433">
        <v>438348051.09789783</v>
      </c>
      <c r="Z102" s="2433">
        <v>450357003.18979204</v>
      </c>
      <c r="AA102" s="2433">
        <v>465737322.79185092</v>
      </c>
      <c r="AB102" s="2433">
        <v>481658940.80774015</v>
      </c>
      <c r="AC102" s="2433">
        <v>494898363.731637</v>
      </c>
      <c r="AD102" s="2433">
        <v>508520987.97823268</v>
      </c>
      <c r="AE102" s="2433">
        <v>522538253.89874721</v>
      </c>
      <c r="AF102" s="2433">
        <v>536961950.63708413</v>
      </c>
      <c r="AG102" s="2433">
        <v>551804226.92620635</v>
      </c>
      <c r="AH102" s="2433">
        <v>562351698.37413275</v>
      </c>
    </row>
    <row r="103" spans="1:37">
      <c r="A103" s="1520" t="s">
        <v>2028</v>
      </c>
      <c r="B103" s="2422">
        <v>171815618.97</v>
      </c>
      <c r="C103" s="2433">
        <v>201535742.03124893</v>
      </c>
      <c r="D103" s="2433">
        <v>183933930.25838602</v>
      </c>
      <c r="E103" s="2433">
        <v>188843185.92675853</v>
      </c>
      <c r="F103" s="2433">
        <v>196530553.13376251</v>
      </c>
      <c r="G103" s="2433">
        <v>201973250.82062772</v>
      </c>
      <c r="H103" s="2433">
        <v>208158081.14077309</v>
      </c>
      <c r="I103" s="2433">
        <v>215692152.64028513</v>
      </c>
      <c r="J103" s="2433">
        <v>218899328.36942515</v>
      </c>
      <c r="K103" s="2433">
        <v>225786236.34166968</v>
      </c>
      <c r="L103" s="2433">
        <v>229031522.91505194</v>
      </c>
      <c r="M103" s="2433">
        <v>237440993.00408113</v>
      </c>
      <c r="N103" s="2433">
        <v>245007252.63211903</v>
      </c>
      <c r="O103" s="2433">
        <v>246957275.38197148</v>
      </c>
      <c r="P103" s="2433">
        <v>258626938.53183964</v>
      </c>
      <c r="Q103" s="2433">
        <v>268940931.99186081</v>
      </c>
      <c r="R103" s="2433">
        <v>278231751.00516582</v>
      </c>
      <c r="S103" s="2433">
        <v>286833550.41035455</v>
      </c>
      <c r="T103" s="2433">
        <v>289768008.05297643</v>
      </c>
      <c r="U103" s="2433">
        <v>298559981.29019821</v>
      </c>
      <c r="V103" s="2433">
        <v>307136886.34253407</v>
      </c>
      <c r="W103" s="2433">
        <v>316962370.37043726</v>
      </c>
      <c r="X103" s="2433">
        <v>326666668.27535504</v>
      </c>
      <c r="Y103" s="2433">
        <v>335120475.5768882</v>
      </c>
      <c r="Z103" s="2433">
        <v>347529698.10519433</v>
      </c>
      <c r="AA103" s="2433">
        <v>358668861.85533446</v>
      </c>
      <c r="AB103" s="2433">
        <v>374440859.25373143</v>
      </c>
      <c r="AC103" s="2433">
        <v>375238465.13520426</v>
      </c>
      <c r="AD103" s="2433">
        <v>395027526.56559163</v>
      </c>
      <c r="AE103" s="2433">
        <v>412583905.12974536</v>
      </c>
      <c r="AF103" s="2433">
        <v>411672331.48488009</v>
      </c>
      <c r="AG103" s="2433">
        <v>417162193.88410705</v>
      </c>
      <c r="AH103" s="2433">
        <v>215699500.23201501</v>
      </c>
    </row>
    <row r="104" spans="1:37">
      <c r="A104" s="1520" t="s">
        <v>2241</v>
      </c>
      <c r="B104" s="2134">
        <f>B102-B103</f>
        <v>36037141.490000039</v>
      </c>
      <c r="C104" s="1523">
        <f>C102-C103</f>
        <v>72868982.774405956</v>
      </c>
      <c r="D104" s="1523">
        <f t="shared" ref="D104:AH104" si="33">D102-D103</f>
        <v>89554420.924778223</v>
      </c>
      <c r="E104" s="1523">
        <f t="shared" si="33"/>
        <v>96215406.794817924</v>
      </c>
      <c r="F104" s="1523">
        <f t="shared" si="33"/>
        <v>85886133.32566151</v>
      </c>
      <c r="G104" s="1523">
        <f t="shared" si="33"/>
        <v>78900342.854792804</v>
      </c>
      <c r="H104" s="1523">
        <f t="shared" si="33"/>
        <v>83239960.049411982</v>
      </c>
      <c r="I104" s="1523">
        <f t="shared" si="33"/>
        <v>83901685.47368443</v>
      </c>
      <c r="J104" s="1523">
        <f t="shared" si="33"/>
        <v>86441276.229593545</v>
      </c>
      <c r="K104" s="1523">
        <f t="shared" si="33"/>
        <v>85356582.699941874</v>
      </c>
      <c r="L104" s="1523">
        <f t="shared" si="33"/>
        <v>88118496.724110723</v>
      </c>
      <c r="M104" s="1523">
        <f t="shared" si="33"/>
        <v>85985273.319927514</v>
      </c>
      <c r="N104" s="1523">
        <f t="shared" si="33"/>
        <v>84605007.032372504</v>
      </c>
      <c r="O104" s="1523">
        <f t="shared" si="33"/>
        <v>88920966.393062651</v>
      </c>
      <c r="P104" s="1523">
        <f t="shared" si="33"/>
        <v>83742681.254481465</v>
      </c>
      <c r="Q104" s="1523">
        <f t="shared" si="33"/>
        <v>82347623.327974617</v>
      </c>
      <c r="R104" s="1523">
        <f t="shared" si="33"/>
        <v>82568869.131019056</v>
      </c>
      <c r="S104" s="1523">
        <f t="shared" si="33"/>
        <v>83752089.303484321</v>
      </c>
      <c r="T104" s="1523">
        <f t="shared" si="33"/>
        <v>93399169.175296187</v>
      </c>
      <c r="U104" s="1523">
        <f t="shared" si="33"/>
        <v>95025932.701527357</v>
      </c>
      <c r="V104" s="1523">
        <f t="shared" si="33"/>
        <v>97167436.993499935</v>
      </c>
      <c r="W104" s="1523">
        <f t="shared" si="33"/>
        <v>98368945.033674181</v>
      </c>
      <c r="X104" s="1523">
        <f t="shared" si="33"/>
        <v>100009402.95284599</v>
      </c>
      <c r="Y104" s="1523">
        <f t="shared" si="33"/>
        <v>103227575.52100962</v>
      </c>
      <c r="Z104" s="1523">
        <f t="shared" si="33"/>
        <v>102827305.08459771</v>
      </c>
      <c r="AA104" s="1523">
        <f t="shared" si="33"/>
        <v>107068460.93651646</v>
      </c>
      <c r="AB104" s="1523">
        <f t="shared" si="33"/>
        <v>107218081.55400872</v>
      </c>
      <c r="AC104" s="1523">
        <f t="shared" si="33"/>
        <v>119659898.59643275</v>
      </c>
      <c r="AD104" s="1523">
        <f t="shared" si="33"/>
        <v>113493461.41264105</v>
      </c>
      <c r="AE104" s="1523">
        <f t="shared" si="33"/>
        <v>109954348.76900184</v>
      </c>
      <c r="AF104" s="1523">
        <f t="shared" si="33"/>
        <v>125289619.15220404</v>
      </c>
      <c r="AG104" s="1523">
        <f t="shared" si="33"/>
        <v>134642033.0420993</v>
      </c>
      <c r="AH104" s="1523">
        <f t="shared" si="33"/>
        <v>346652198.14211774</v>
      </c>
    </row>
    <row r="105" spans="1:37">
      <c r="A105" s="1520" t="s">
        <v>2572</v>
      </c>
      <c r="B105" s="2134">
        <f t="shared" ref="B105:AH105" si="34">B36</f>
        <v>18007381.259999998</v>
      </c>
      <c r="C105" s="2134">
        <f t="shared" si="34"/>
        <v>12152044.449999981</v>
      </c>
      <c r="D105" s="2134">
        <f t="shared" si="34"/>
        <v>8108081.2599999802</v>
      </c>
      <c r="E105" s="2134">
        <f t="shared" si="34"/>
        <v>8406331.2599999793</v>
      </c>
      <c r="F105" s="2134">
        <f t="shared" si="34"/>
        <v>9668831.2599999793</v>
      </c>
      <c r="G105" s="2134">
        <f t="shared" si="34"/>
        <v>10931331.259999979</v>
      </c>
      <c r="H105" s="2134">
        <f t="shared" si="34"/>
        <v>24988456.259999979</v>
      </c>
      <c r="I105" s="2134">
        <f t="shared" si="34"/>
        <v>24973831.259999979</v>
      </c>
      <c r="J105" s="2134">
        <f t="shared" si="34"/>
        <v>24955456.259999979</v>
      </c>
      <c r="K105" s="2134">
        <f t="shared" si="34"/>
        <v>24939431.25999999</v>
      </c>
      <c r="L105" s="2134">
        <f t="shared" si="34"/>
        <v>22523980.945051692</v>
      </c>
      <c r="M105" s="2134">
        <f t="shared" si="34"/>
        <v>8508259.0671651904</v>
      </c>
      <c r="N105" s="2134">
        <f t="shared" si="34"/>
        <v>7714560.0943969078</v>
      </c>
      <c r="O105" s="2134">
        <f t="shared" si="34"/>
        <v>6849145.7122670077</v>
      </c>
      <c r="P105" s="2134">
        <f t="shared" si="34"/>
        <v>5046265.7818205096</v>
      </c>
      <c r="Q105" s="2134">
        <f t="shared" si="34"/>
        <v>3709493.0790456962</v>
      </c>
      <c r="R105" s="2134">
        <f t="shared" si="34"/>
        <v>3709743.0790456962</v>
      </c>
      <c r="S105" s="2134">
        <f t="shared" si="34"/>
        <v>5703000</v>
      </c>
      <c r="T105" s="2134">
        <f t="shared" si="34"/>
        <v>5702875</v>
      </c>
      <c r="U105" s="2134">
        <f t="shared" si="34"/>
        <v>5694500</v>
      </c>
      <c r="V105" s="2134">
        <f t="shared" si="34"/>
        <v>5692500</v>
      </c>
      <c r="W105" s="2134">
        <f t="shared" si="34"/>
        <v>5686375</v>
      </c>
      <c r="X105" s="2134">
        <f t="shared" si="34"/>
        <v>5680750</v>
      </c>
      <c r="Y105" s="2134">
        <f t="shared" si="34"/>
        <v>5675125</v>
      </c>
      <c r="Z105" s="2134">
        <f t="shared" si="34"/>
        <v>5673875</v>
      </c>
      <c r="AA105" s="2134">
        <f t="shared" si="34"/>
        <v>5666500</v>
      </c>
      <c r="AB105" s="2134">
        <f t="shared" si="34"/>
        <v>5657625</v>
      </c>
      <c r="AC105" s="2134">
        <f t="shared" si="34"/>
        <v>5651625</v>
      </c>
      <c r="AD105" s="2134">
        <f t="shared" si="34"/>
        <v>5647750</v>
      </c>
      <c r="AE105" s="2134">
        <f t="shared" si="34"/>
        <v>0</v>
      </c>
      <c r="AF105" s="2134">
        <f t="shared" si="34"/>
        <v>0</v>
      </c>
      <c r="AG105" s="2134">
        <f t="shared" si="34"/>
        <v>0</v>
      </c>
      <c r="AH105" s="2134">
        <f t="shared" si="34"/>
        <v>0</v>
      </c>
    </row>
    <row r="106" spans="1:37">
      <c r="A106" s="1520" t="s">
        <v>2573</v>
      </c>
      <c r="B106" s="2434">
        <f t="shared" ref="B106:G106" si="35">B104/B105</f>
        <v>2.0012427664898591</v>
      </c>
      <c r="C106" s="2435">
        <f t="shared" si="35"/>
        <v>5.996438136334012</v>
      </c>
      <c r="D106" s="2435">
        <f t="shared" si="35"/>
        <v>11.045081820600604</v>
      </c>
      <c r="E106" s="2435">
        <f t="shared" si="35"/>
        <v>11.445588309449771</v>
      </c>
      <c r="F106" s="2435">
        <f t="shared" si="35"/>
        <v>8.8827833495215724</v>
      </c>
      <c r="G106" s="2435">
        <f t="shared" si="35"/>
        <v>7.217816474330589</v>
      </c>
      <c r="H106" s="2435">
        <f t="shared" ref="H106:AH106" si="36">H104/H105</f>
        <v>3.3311365529473509</v>
      </c>
      <c r="I106" s="2435">
        <f t="shared" si="36"/>
        <v>3.3595840622206761</v>
      </c>
      <c r="J106" s="2435">
        <f t="shared" si="36"/>
        <v>3.4638227139187405</v>
      </c>
      <c r="K106" s="2435">
        <f t="shared" si="36"/>
        <v>3.4225553024877562</v>
      </c>
      <c r="L106" s="2435">
        <f t="shared" si="36"/>
        <v>3.9122079235939653</v>
      </c>
      <c r="M106" s="2435">
        <f t="shared" si="36"/>
        <v>10.106094871012944</v>
      </c>
      <c r="N106" s="2435">
        <f t="shared" si="36"/>
        <v>10.966925657085904</v>
      </c>
      <c r="O106" s="2435">
        <f t="shared" si="36"/>
        <v>12.982782105774559</v>
      </c>
      <c r="P106" s="2435">
        <f t="shared" si="36"/>
        <v>16.594980303290754</v>
      </c>
      <c r="Q106" s="2435">
        <f t="shared" si="36"/>
        <v>22.199158098755465</v>
      </c>
      <c r="R106" s="2435">
        <f t="shared" si="36"/>
        <v>22.257301212422313</v>
      </c>
      <c r="S106" s="2435">
        <f t="shared" si="36"/>
        <v>14.685619727070721</v>
      </c>
      <c r="T106" s="2435">
        <f t="shared" si="36"/>
        <v>16.377558542892171</v>
      </c>
      <c r="U106" s="2435">
        <f t="shared" si="36"/>
        <v>16.687318061555423</v>
      </c>
      <c r="V106" s="2435">
        <f t="shared" si="36"/>
        <v>17.069378479314878</v>
      </c>
      <c r="W106" s="2435">
        <f t="shared" si="36"/>
        <v>17.29906047942216</v>
      </c>
      <c r="X106" s="2435">
        <f t="shared" si="36"/>
        <v>17.604964653055667</v>
      </c>
      <c r="Y106" s="2435">
        <f t="shared" si="36"/>
        <v>18.189480499726372</v>
      </c>
      <c r="Z106" s="2435">
        <f t="shared" si="36"/>
        <v>18.122941567200144</v>
      </c>
      <c r="AA106" s="2435">
        <f t="shared" si="36"/>
        <v>18.894990017915198</v>
      </c>
      <c r="AB106" s="2435">
        <f t="shared" si="36"/>
        <v>18.951076035263689</v>
      </c>
      <c r="AC106" s="2435">
        <f t="shared" si="36"/>
        <v>21.172653634385288</v>
      </c>
      <c r="AD106" s="2435">
        <f t="shared" si="36"/>
        <v>20.095340872496312</v>
      </c>
      <c r="AE106" s="2435" t="e">
        <f t="shared" si="36"/>
        <v>#DIV/0!</v>
      </c>
      <c r="AF106" s="2435" t="e">
        <f t="shared" si="36"/>
        <v>#DIV/0!</v>
      </c>
      <c r="AG106" s="2435" t="e">
        <f t="shared" si="36"/>
        <v>#DIV/0!</v>
      </c>
      <c r="AH106" s="2435" t="e">
        <f t="shared" si="36"/>
        <v>#DIV/0!</v>
      </c>
    </row>
    <row r="107" spans="1:37">
      <c r="H107" s="1520" t="s">
        <v>2703</v>
      </c>
    </row>
    <row r="109" spans="1:37" s="1537" customFormat="1">
      <c r="A109" s="2436"/>
      <c r="B109" s="2437"/>
      <c r="C109" s="2438"/>
      <c r="AK109" s="2375"/>
    </row>
    <row r="110" spans="1:37" s="2440" customFormat="1">
      <c r="A110" s="2367" t="s">
        <v>2894</v>
      </c>
      <c r="B110" s="2439">
        <v>2013</v>
      </c>
      <c r="C110" s="2439">
        <v>2014</v>
      </c>
      <c r="D110" s="2439">
        <v>2015</v>
      </c>
      <c r="E110" s="2439">
        <v>2016</v>
      </c>
      <c r="F110" s="2439">
        <f t="shared" ref="F110:AH110" si="37">E110+1</f>
        <v>2017</v>
      </c>
      <c r="G110" s="2439">
        <f t="shared" si="37"/>
        <v>2018</v>
      </c>
      <c r="H110" s="2439">
        <f t="shared" si="37"/>
        <v>2019</v>
      </c>
      <c r="I110" s="2439">
        <f t="shared" si="37"/>
        <v>2020</v>
      </c>
      <c r="J110" s="2439">
        <f t="shared" si="37"/>
        <v>2021</v>
      </c>
      <c r="K110" s="2439">
        <f t="shared" si="37"/>
        <v>2022</v>
      </c>
      <c r="L110" s="2439">
        <f t="shared" si="37"/>
        <v>2023</v>
      </c>
      <c r="M110" s="2439">
        <f t="shared" si="37"/>
        <v>2024</v>
      </c>
      <c r="N110" s="2439">
        <f t="shared" si="37"/>
        <v>2025</v>
      </c>
      <c r="O110" s="2439">
        <f t="shared" si="37"/>
        <v>2026</v>
      </c>
      <c r="P110" s="2439">
        <f t="shared" si="37"/>
        <v>2027</v>
      </c>
      <c r="Q110" s="2439">
        <f t="shared" si="37"/>
        <v>2028</v>
      </c>
      <c r="R110" s="2439">
        <f t="shared" si="37"/>
        <v>2029</v>
      </c>
      <c r="S110" s="2439">
        <f t="shared" si="37"/>
        <v>2030</v>
      </c>
      <c r="T110" s="2439">
        <f t="shared" si="37"/>
        <v>2031</v>
      </c>
      <c r="U110" s="2439">
        <f t="shared" si="37"/>
        <v>2032</v>
      </c>
      <c r="V110" s="2439">
        <f t="shared" si="37"/>
        <v>2033</v>
      </c>
      <c r="W110" s="2439">
        <f t="shared" si="37"/>
        <v>2034</v>
      </c>
      <c r="X110" s="2439">
        <f t="shared" si="37"/>
        <v>2035</v>
      </c>
      <c r="Y110" s="2439">
        <f t="shared" si="37"/>
        <v>2036</v>
      </c>
      <c r="Z110" s="2439">
        <f t="shared" si="37"/>
        <v>2037</v>
      </c>
      <c r="AA110" s="2439">
        <f t="shared" si="37"/>
        <v>2038</v>
      </c>
      <c r="AB110" s="2439">
        <f t="shared" si="37"/>
        <v>2039</v>
      </c>
      <c r="AC110" s="2439">
        <f t="shared" si="37"/>
        <v>2040</v>
      </c>
      <c r="AD110" s="2439">
        <f t="shared" si="37"/>
        <v>2041</v>
      </c>
      <c r="AE110" s="2439">
        <f t="shared" si="37"/>
        <v>2042</v>
      </c>
      <c r="AF110" s="2439">
        <f t="shared" si="37"/>
        <v>2043</v>
      </c>
      <c r="AG110" s="2439">
        <f t="shared" si="37"/>
        <v>2044</v>
      </c>
      <c r="AH110" s="2439">
        <f t="shared" si="37"/>
        <v>2045</v>
      </c>
      <c r="AK110" s="2377"/>
    </row>
    <row r="111" spans="1:37" s="2440" customFormat="1">
      <c r="A111" s="2368" t="s">
        <v>2895</v>
      </c>
      <c r="B111" s="2373">
        <v>-238632.64</v>
      </c>
      <c r="C111" s="2373">
        <v>1500000</v>
      </c>
      <c r="D111" s="2373">
        <v>1500000</v>
      </c>
      <c r="E111" s="2373">
        <v>1500000</v>
      </c>
      <c r="F111" s="2373">
        <v>1500000</v>
      </c>
      <c r="G111" s="2373">
        <v>1500000</v>
      </c>
      <c r="H111" s="2373">
        <v>1500000</v>
      </c>
      <c r="I111" s="2373">
        <v>1500000</v>
      </c>
      <c r="J111" s="2373">
        <v>1500000</v>
      </c>
      <c r="K111" s="2373">
        <v>1500000</v>
      </c>
      <c r="L111" s="2373">
        <v>1500000</v>
      </c>
      <c r="M111" s="2373">
        <v>1500000</v>
      </c>
      <c r="N111" s="2373">
        <v>1500000</v>
      </c>
      <c r="O111" s="2373">
        <v>1500000</v>
      </c>
      <c r="P111" s="2373">
        <v>1500000</v>
      </c>
      <c r="Q111" s="2373">
        <v>1500000</v>
      </c>
      <c r="R111" s="2373">
        <v>1500000</v>
      </c>
      <c r="S111" s="2373">
        <v>1500000</v>
      </c>
      <c r="T111" s="2373">
        <v>1500000</v>
      </c>
      <c r="U111" s="2373">
        <v>1500000</v>
      </c>
      <c r="V111" s="2373">
        <v>1500000</v>
      </c>
      <c r="W111" s="2373">
        <v>1500000</v>
      </c>
      <c r="X111" s="2373">
        <v>1500000</v>
      </c>
      <c r="Y111" s="2373">
        <v>1500000</v>
      </c>
      <c r="Z111" s="2373">
        <v>1500000</v>
      </c>
      <c r="AA111" s="2373">
        <v>1500000</v>
      </c>
      <c r="AB111" s="2373">
        <v>1500000</v>
      </c>
      <c r="AC111" s="2373">
        <v>1500000</v>
      </c>
      <c r="AD111" s="2373">
        <v>1500000</v>
      </c>
      <c r="AE111" s="2373">
        <v>1500000</v>
      </c>
      <c r="AF111" s="2373">
        <v>1500000</v>
      </c>
      <c r="AG111" s="2373">
        <v>1500000</v>
      </c>
      <c r="AH111" s="2373">
        <v>1500000</v>
      </c>
      <c r="AK111" s="2377"/>
    </row>
    <row r="112" spans="1:37" s="2440" customFormat="1">
      <c r="A112" s="2368"/>
      <c r="B112" s="2369"/>
      <c r="C112" s="2369"/>
      <c r="D112" s="2369"/>
      <c r="E112" s="2369"/>
      <c r="F112" s="2369"/>
      <c r="G112" s="2369"/>
      <c r="H112" s="2369"/>
      <c r="I112" s="2369"/>
      <c r="J112" s="2369"/>
      <c r="K112" s="2369"/>
      <c r="L112" s="2369"/>
      <c r="M112" s="2369"/>
      <c r="N112" s="2369"/>
      <c r="O112" s="2369"/>
      <c r="P112" s="2369"/>
      <c r="Q112" s="2369"/>
      <c r="R112" s="2369"/>
      <c r="S112" s="2369"/>
      <c r="T112" s="2369"/>
      <c r="U112" s="2369"/>
      <c r="V112" s="2369"/>
      <c r="W112" s="2369"/>
      <c r="X112" s="2369"/>
      <c r="Y112" s="2369"/>
      <c r="Z112" s="2369"/>
      <c r="AA112" s="2369"/>
      <c r="AB112" s="2369"/>
      <c r="AC112" s="2369"/>
      <c r="AD112" s="2369"/>
      <c r="AE112" s="2369"/>
      <c r="AF112" s="2369"/>
      <c r="AG112" s="2369"/>
      <c r="AH112" s="2369"/>
      <c r="AK112" s="2377"/>
    </row>
    <row r="113" spans="1:37" s="2440" customFormat="1">
      <c r="A113" s="2368" t="s">
        <v>2896</v>
      </c>
      <c r="B113" s="2373">
        <v>-43795920.469999999</v>
      </c>
      <c r="C113" s="2369">
        <f>-C66-C37</f>
        <v>-57213695.338518925</v>
      </c>
      <c r="D113" s="2369">
        <f t="shared" ref="D113:AH113" si="38">-D66-D37</f>
        <v>-65095849.706145614</v>
      </c>
      <c r="E113" s="2369">
        <f t="shared" si="38"/>
        <v>-67807304.167907506</v>
      </c>
      <c r="F113" s="2369">
        <f t="shared" si="38"/>
        <v>-69475991.177480102</v>
      </c>
      <c r="G113" s="2369">
        <f t="shared" si="38"/>
        <v>-69047041.383509547</v>
      </c>
      <c r="H113" s="2369">
        <f t="shared" si="38"/>
        <v>-68146217.131515607</v>
      </c>
      <c r="I113" s="2369">
        <f t="shared" si="38"/>
        <v>-67297296.829867795</v>
      </c>
      <c r="J113" s="2369">
        <f t="shared" si="38"/>
        <v>-66508733.348079145</v>
      </c>
      <c r="K113" s="2369">
        <f t="shared" si="38"/>
        <v>-65207362.721831203</v>
      </c>
      <c r="L113" s="2369">
        <f t="shared" si="38"/>
        <v>-63938525.507979713</v>
      </c>
      <c r="M113" s="2369">
        <f t="shared" si="38"/>
        <v>-63660381.022975557</v>
      </c>
      <c r="N113" s="2369">
        <f t="shared" si="38"/>
        <v>-62323133.596382909</v>
      </c>
      <c r="O113" s="2369">
        <f t="shared" si="38"/>
        <v>-58750254.156219319</v>
      </c>
      <c r="P113" s="2369">
        <f t="shared" si="38"/>
        <v>-53930598.767805956</v>
      </c>
      <c r="Q113" s="2369">
        <f t="shared" si="38"/>
        <v>-51179283.332525298</v>
      </c>
      <c r="R113" s="2369">
        <f t="shared" si="38"/>
        <v>-49409552.248564154</v>
      </c>
      <c r="S113" s="2369">
        <f t="shared" si="38"/>
        <v>-51351352.550106615</v>
      </c>
      <c r="T113" s="2369">
        <f t="shared" si="38"/>
        <v>-49612078.791576609</v>
      </c>
      <c r="U113" s="2369">
        <f t="shared" si="38"/>
        <v>-47264178.539638594</v>
      </c>
      <c r="V113" s="2369">
        <f t="shared" si="38"/>
        <v>-45584225.616886005</v>
      </c>
      <c r="W113" s="2369">
        <f t="shared" si="38"/>
        <v>-44053514.940098085</v>
      </c>
      <c r="X113" s="2369">
        <f t="shared" si="38"/>
        <v>-42841650.308200084</v>
      </c>
      <c r="Y113" s="2369">
        <f t="shared" si="38"/>
        <v>-42337554.375353202</v>
      </c>
      <c r="Z113" s="2369">
        <f t="shared" si="38"/>
        <v>-41841869.679779105</v>
      </c>
      <c r="AA113" s="2369">
        <f t="shared" si="38"/>
        <v>-42209104.231350109</v>
      </c>
      <c r="AB113" s="2369">
        <f t="shared" si="38"/>
        <v>-43443325.725413546</v>
      </c>
      <c r="AC113" s="2369">
        <f t="shared" si="38"/>
        <v>-44872197.342114791</v>
      </c>
      <c r="AD113" s="2369">
        <f t="shared" si="38"/>
        <v>-46697007.148979843</v>
      </c>
      <c r="AE113" s="2369">
        <f t="shared" si="38"/>
        <v>-48973116.83732301</v>
      </c>
      <c r="AF113" s="2369">
        <f t="shared" si="38"/>
        <v>-51440919.723365784</v>
      </c>
      <c r="AG113" s="2369">
        <f t="shared" si="38"/>
        <v>-51565953.794521675</v>
      </c>
      <c r="AH113" s="2369">
        <f t="shared" si="38"/>
        <v>-25172680.608302861</v>
      </c>
      <c r="AK113" s="2377"/>
    </row>
    <row r="114" spans="1:37" s="2440" customFormat="1">
      <c r="A114" s="2368" t="s">
        <v>2897</v>
      </c>
      <c r="B114" s="2374">
        <v>2152023.35</v>
      </c>
      <c r="C114" s="2374">
        <v>250957.56887614517</v>
      </c>
      <c r="D114" s="2374">
        <v>1029382.7333926574</v>
      </c>
      <c r="E114" s="2374">
        <v>1058008.6645320638</v>
      </c>
      <c r="F114" s="2374">
        <v>1424904.7179901346</v>
      </c>
      <c r="G114" s="2374">
        <v>1397336.3995568096</v>
      </c>
      <c r="H114" s="2374">
        <v>1320321.5343376694</v>
      </c>
      <c r="I114" s="2374">
        <v>1334559.9819163468</v>
      </c>
      <c r="J114" s="2374">
        <v>1258479.643830616</v>
      </c>
      <c r="K114" s="2374">
        <v>1529238.887422824</v>
      </c>
      <c r="L114" s="2374">
        <v>1109005.0955221793</v>
      </c>
      <c r="M114" s="2374">
        <v>1234145.0355375123</v>
      </c>
      <c r="N114" s="2374">
        <v>1560025.0464472775</v>
      </c>
      <c r="O114" s="2374">
        <v>1390175.0978406959</v>
      </c>
      <c r="P114" s="2374">
        <v>1366304.4007759169</v>
      </c>
      <c r="Q114" s="2374">
        <v>1310666.2327991943</v>
      </c>
      <c r="R114" s="2374">
        <v>1296433.51978317</v>
      </c>
      <c r="S114" s="2374">
        <v>1281773.8253766652</v>
      </c>
      <c r="T114" s="2374">
        <v>1423499.340137965</v>
      </c>
      <c r="U114" s="2374">
        <v>1355671.870342104</v>
      </c>
      <c r="V114" s="2374">
        <v>1287377.826452367</v>
      </c>
      <c r="W114" s="2374">
        <v>1427703.211245938</v>
      </c>
      <c r="X114" s="2374">
        <v>1097058.607583316</v>
      </c>
      <c r="Y114" s="2374">
        <v>1079554.1658108155</v>
      </c>
      <c r="Z114" s="2374">
        <v>1061524.5907851399</v>
      </c>
      <c r="AA114" s="2374">
        <v>660402.60561391071</v>
      </c>
      <c r="AB114" s="2374">
        <v>629798.48378232797</v>
      </c>
      <c r="AC114" s="2374">
        <v>598276.23829579772</v>
      </c>
      <c r="AD114" s="2374">
        <v>565808.32544467156</v>
      </c>
      <c r="AE114" s="2374">
        <v>532366.37520801183</v>
      </c>
      <c r="AF114" s="2374">
        <v>497921.1664642524</v>
      </c>
      <c r="AG114" s="2374">
        <v>462442.60145818</v>
      </c>
      <c r="AH114" s="2374" t="e">
        <v>#REF!</v>
      </c>
      <c r="AK114" s="2377"/>
    </row>
    <row r="115" spans="1:37" s="2440" customFormat="1">
      <c r="A115" s="2370" t="s">
        <v>2898</v>
      </c>
      <c r="B115" s="2371">
        <f t="shared" ref="B115:AH115" si="39">SUM(B111:B114)</f>
        <v>-41882529.759999998</v>
      </c>
      <c r="C115" s="2371">
        <f t="shared" si="39"/>
        <v>-55462737.769642778</v>
      </c>
      <c r="D115" s="2371">
        <f t="shared" si="39"/>
        <v>-62566466.972752959</v>
      </c>
      <c r="E115" s="2371">
        <f t="shared" si="39"/>
        <v>-65249295.503375441</v>
      </c>
      <c r="F115" s="2371">
        <f t="shared" si="39"/>
        <v>-66551086.459489964</v>
      </c>
      <c r="G115" s="2371">
        <f t="shared" si="39"/>
        <v>-66149704.983952738</v>
      </c>
      <c r="H115" s="2371">
        <f t="shared" si="39"/>
        <v>-65325895.597177938</v>
      </c>
      <c r="I115" s="2371">
        <f t="shared" si="39"/>
        <v>-64462736.847951449</v>
      </c>
      <c r="J115" s="2371">
        <f t="shared" si="39"/>
        <v>-63750253.704248533</v>
      </c>
      <c r="K115" s="2371">
        <f t="shared" si="39"/>
        <v>-62178123.83440838</v>
      </c>
      <c r="L115" s="2371">
        <f t="shared" si="39"/>
        <v>-61329520.412457533</v>
      </c>
      <c r="M115" s="2371">
        <f t="shared" si="39"/>
        <v>-60926235.987438045</v>
      </c>
      <c r="N115" s="2371">
        <f t="shared" si="39"/>
        <v>-59263108.549935631</v>
      </c>
      <c r="O115" s="2371">
        <f t="shared" si="39"/>
        <v>-55860079.058378622</v>
      </c>
      <c r="P115" s="2371">
        <f t="shared" si="39"/>
        <v>-51064294.367030039</v>
      </c>
      <c r="Q115" s="2371">
        <f t="shared" si="39"/>
        <v>-48368617.099726103</v>
      </c>
      <c r="R115" s="2371">
        <f t="shared" si="39"/>
        <v>-46613118.728780985</v>
      </c>
      <c r="S115" s="2371">
        <f t="shared" si="39"/>
        <v>-48569578.724729948</v>
      </c>
      <c r="T115" s="2371">
        <f t="shared" si="39"/>
        <v>-46688579.451438643</v>
      </c>
      <c r="U115" s="2371">
        <f t="shared" si="39"/>
        <v>-44408506.669296488</v>
      </c>
      <c r="V115" s="2371">
        <f t="shared" si="39"/>
        <v>-42796847.790433638</v>
      </c>
      <c r="W115" s="2371">
        <f t="shared" si="39"/>
        <v>-41125811.728852145</v>
      </c>
      <c r="X115" s="2371">
        <f t="shared" si="39"/>
        <v>-40244591.700616769</v>
      </c>
      <c r="Y115" s="2371">
        <f t="shared" si="39"/>
        <v>-39758000.209542386</v>
      </c>
      <c r="Z115" s="2371">
        <f t="shared" si="39"/>
        <v>-39280345.088993967</v>
      </c>
      <c r="AA115" s="2371">
        <f t="shared" si="39"/>
        <v>-40048701.625736199</v>
      </c>
      <c r="AB115" s="2371">
        <f t="shared" si="39"/>
        <v>-41313527.241631217</v>
      </c>
      <c r="AC115" s="2371">
        <f t="shared" si="39"/>
        <v>-42773921.10381899</v>
      </c>
      <c r="AD115" s="2371">
        <f t="shared" si="39"/>
        <v>-44631198.823535174</v>
      </c>
      <c r="AE115" s="2371">
        <f t="shared" si="39"/>
        <v>-46940750.462114997</v>
      </c>
      <c r="AF115" s="2371">
        <f t="shared" si="39"/>
        <v>-49442998.556901529</v>
      </c>
      <c r="AG115" s="2371">
        <f t="shared" si="39"/>
        <v>-49603511.193063498</v>
      </c>
      <c r="AH115" s="2371" t="e">
        <f t="shared" si="39"/>
        <v>#REF!</v>
      </c>
      <c r="AK115" s="2377"/>
    </row>
    <row r="116" spans="1:37" s="2440" customFormat="1">
      <c r="A116" s="2368" t="s">
        <v>2899</v>
      </c>
      <c r="B116" s="2373">
        <v>7711884.7599999998</v>
      </c>
      <c r="C116" s="2369">
        <f t="shared" ref="C116:AH116" si="40">-C75</f>
        <v>7774719.2599999998</v>
      </c>
      <c r="D116" s="2369">
        <f t="shared" si="40"/>
        <v>7774719.2599999998</v>
      </c>
      <c r="E116" s="2369">
        <f t="shared" si="40"/>
        <v>7774719.2599999998</v>
      </c>
      <c r="F116" s="2369">
        <f t="shared" si="40"/>
        <v>7774719.2599999998</v>
      </c>
      <c r="G116" s="2369">
        <f t="shared" si="40"/>
        <v>7774719.2599999998</v>
      </c>
      <c r="H116" s="2369">
        <f t="shared" si="40"/>
        <v>7774719.2599999998</v>
      </c>
      <c r="I116" s="2369">
        <f t="shared" si="40"/>
        <v>7774719.2599999998</v>
      </c>
      <c r="J116" s="2369">
        <f t="shared" si="40"/>
        <v>7774719.2599999998</v>
      </c>
      <c r="K116" s="2369">
        <f t="shared" si="40"/>
        <v>7774719.2599999998</v>
      </c>
      <c r="L116" s="2369">
        <f t="shared" si="40"/>
        <v>7774719.2599999998</v>
      </c>
      <c r="M116" s="2369">
        <f t="shared" si="40"/>
        <v>7774719.2599999998</v>
      </c>
      <c r="N116" s="2369">
        <f t="shared" si="40"/>
        <v>7774719.2599999998</v>
      </c>
      <c r="O116" s="2369">
        <f t="shared" si="40"/>
        <v>7774719.2599999998</v>
      </c>
      <c r="P116" s="2369">
        <f t="shared" si="40"/>
        <v>7774719.2599999998</v>
      </c>
      <c r="Q116" s="2369">
        <f t="shared" si="40"/>
        <v>4360421.66</v>
      </c>
      <c r="R116" s="2369">
        <f t="shared" si="40"/>
        <v>4360421.66</v>
      </c>
      <c r="S116" s="2369">
        <f t="shared" si="40"/>
        <v>4360421.66</v>
      </c>
      <c r="T116" s="2369">
        <f t="shared" si="40"/>
        <v>4360421.66</v>
      </c>
      <c r="U116" s="2369">
        <f t="shared" si="40"/>
        <v>4360421.66</v>
      </c>
      <c r="V116" s="2369">
        <f t="shared" si="40"/>
        <v>3195488.47</v>
      </c>
      <c r="W116" s="2369">
        <f t="shared" si="40"/>
        <v>3195488.47</v>
      </c>
      <c r="X116" s="2369">
        <f t="shared" si="40"/>
        <v>3195488.47</v>
      </c>
      <c r="Y116" s="2369">
        <f t="shared" si="40"/>
        <v>3195488.47</v>
      </c>
      <c r="Z116" s="2369">
        <f t="shared" si="40"/>
        <v>3195488.47</v>
      </c>
      <c r="AA116" s="2369">
        <f t="shared" si="40"/>
        <v>3195488.47</v>
      </c>
      <c r="AB116" s="2369">
        <f t="shared" si="40"/>
        <v>3195488.47</v>
      </c>
      <c r="AC116" s="2369">
        <f t="shared" si="40"/>
        <v>3195488.47</v>
      </c>
      <c r="AD116" s="2369">
        <f t="shared" si="40"/>
        <v>0</v>
      </c>
      <c r="AE116" s="2369">
        <f t="shared" si="40"/>
        <v>0</v>
      </c>
      <c r="AF116" s="2369">
        <f t="shared" si="40"/>
        <v>0</v>
      </c>
      <c r="AG116" s="2369">
        <f t="shared" si="40"/>
        <v>0</v>
      </c>
      <c r="AH116" s="2369">
        <f t="shared" si="40"/>
        <v>0</v>
      </c>
      <c r="AK116" s="2377"/>
    </row>
    <row r="117" spans="1:37" s="2440" customFormat="1">
      <c r="B117" s="2441">
        <f>SUM(B115:B116)</f>
        <v>-34170645</v>
      </c>
      <c r="C117" s="2441">
        <f t="shared" ref="C117:AH117" si="41">SUM(C115:C116)</f>
        <v>-47688018.50964278</v>
      </c>
      <c r="D117" s="2441">
        <f t="shared" si="41"/>
        <v>-54791747.712752961</v>
      </c>
      <c r="E117" s="2441">
        <f t="shared" si="41"/>
        <v>-57474576.243375443</v>
      </c>
      <c r="F117" s="2441">
        <f t="shared" si="41"/>
        <v>-58776367.199489966</v>
      </c>
      <c r="G117" s="2441">
        <f t="shared" si="41"/>
        <v>-58374985.72395274</v>
      </c>
      <c r="H117" s="2441">
        <f t="shared" si="41"/>
        <v>-57551176.33717794</v>
      </c>
      <c r="I117" s="2441">
        <f t="shared" si="41"/>
        <v>-56688017.587951452</v>
      </c>
      <c r="J117" s="2441">
        <f t="shared" si="41"/>
        <v>-55975534.444248535</v>
      </c>
      <c r="K117" s="2441">
        <f t="shared" si="41"/>
        <v>-54403404.574408382</v>
      </c>
      <c r="L117" s="2441">
        <f t="shared" si="41"/>
        <v>-53554801.152457535</v>
      </c>
      <c r="M117" s="2441">
        <f t="shared" si="41"/>
        <v>-53151516.727438048</v>
      </c>
      <c r="N117" s="2441">
        <f t="shared" si="41"/>
        <v>-51488389.289935634</v>
      </c>
      <c r="O117" s="2441">
        <f t="shared" si="41"/>
        <v>-48085359.798378624</v>
      </c>
      <c r="P117" s="2441">
        <f t="shared" si="41"/>
        <v>-43289575.107030042</v>
      </c>
      <c r="Q117" s="2441">
        <f t="shared" si="41"/>
        <v>-44008195.439726099</v>
      </c>
      <c r="R117" s="2441">
        <f t="shared" si="41"/>
        <v>-42252697.068780988</v>
      </c>
      <c r="S117" s="2441">
        <f t="shared" si="41"/>
        <v>-44209157.064729944</v>
      </c>
      <c r="T117" s="2441">
        <f t="shared" si="41"/>
        <v>-42328157.791438639</v>
      </c>
      <c r="U117" s="2441">
        <f t="shared" si="41"/>
        <v>-40048085.009296492</v>
      </c>
      <c r="V117" s="2441">
        <f t="shared" si="41"/>
        <v>-39601359.320433639</v>
      </c>
      <c r="W117" s="2441">
        <f t="shared" si="41"/>
        <v>-37930323.258852147</v>
      </c>
      <c r="X117" s="2441">
        <f t="shared" si="41"/>
        <v>-37049103.230616771</v>
      </c>
      <c r="Y117" s="2441">
        <f t="shared" si="41"/>
        <v>-36562511.739542387</v>
      </c>
      <c r="Z117" s="2441">
        <f t="shared" si="41"/>
        <v>-36084856.618993968</v>
      </c>
      <c r="AA117" s="2441">
        <f t="shared" si="41"/>
        <v>-36853213.155736201</v>
      </c>
      <c r="AB117" s="2441">
        <f t="shared" si="41"/>
        <v>-38118038.771631218</v>
      </c>
      <c r="AC117" s="2441">
        <f t="shared" si="41"/>
        <v>-39578432.633818991</v>
      </c>
      <c r="AD117" s="2441">
        <f t="shared" si="41"/>
        <v>-44631198.823535174</v>
      </c>
      <c r="AE117" s="2441">
        <f t="shared" si="41"/>
        <v>-46940750.462114997</v>
      </c>
      <c r="AF117" s="2441">
        <f t="shared" si="41"/>
        <v>-49442998.556901529</v>
      </c>
      <c r="AG117" s="2441">
        <f t="shared" si="41"/>
        <v>-49603511.193063498</v>
      </c>
      <c r="AH117" s="2441" t="e">
        <f t="shared" si="41"/>
        <v>#REF!</v>
      </c>
      <c r="AK117" s="2377"/>
    </row>
    <row r="118" spans="1:37" s="1537" customFormat="1">
      <c r="A118" s="1673" t="s">
        <v>2059</v>
      </c>
      <c r="B118" s="2372"/>
      <c r="C118" s="2363">
        <v>-43016000</v>
      </c>
      <c r="D118" s="2062">
        <v>-54070000</v>
      </c>
      <c r="E118" s="2062">
        <v>-52143000</v>
      </c>
      <c r="F118" s="2062">
        <v>-60646000</v>
      </c>
      <c r="G118" s="2062">
        <v>-59128000</v>
      </c>
      <c r="H118" s="1535"/>
      <c r="I118" s="1535"/>
      <c r="J118" s="1535"/>
      <c r="K118" s="1535"/>
      <c r="L118" s="1535"/>
      <c r="M118" s="1535"/>
      <c r="N118" s="1535"/>
      <c r="O118" s="1535"/>
      <c r="P118" s="1535"/>
      <c r="Q118" s="1535"/>
      <c r="R118" s="1535"/>
      <c r="S118" s="1535"/>
      <c r="T118" s="1535"/>
      <c r="U118" s="1535"/>
      <c r="V118" s="1535"/>
      <c r="W118" s="1535"/>
      <c r="X118" s="1535"/>
      <c r="Y118" s="1535"/>
      <c r="Z118" s="1535"/>
      <c r="AA118" s="1535"/>
      <c r="AB118" s="1535"/>
      <c r="AC118" s="1535"/>
      <c r="AD118" s="1535"/>
      <c r="AE118" s="1535"/>
      <c r="AF118" s="1535"/>
      <c r="AG118" s="1535"/>
      <c r="AH118" s="1535"/>
      <c r="AK118" s="2375"/>
    </row>
    <row r="119" spans="1:37" s="2212" customFormat="1">
      <c r="B119" s="2378"/>
      <c r="G119" s="2379"/>
      <c r="H119" s="2379"/>
      <c r="AK119" s="2375"/>
    </row>
    <row r="120" spans="1:37" s="2212" customFormat="1">
      <c r="A120" s="2212" t="s">
        <v>2575</v>
      </c>
      <c r="B120" s="2378"/>
      <c r="C120" s="2379">
        <f>+C118-(0.5*C53)-(0.5*C55)-(0.5*D53)-(0.5*D55)</f>
        <v>-46342228.031114839</v>
      </c>
      <c r="D120" s="2379">
        <f>+D118-(0.5*D53)-(0.5*D55)-(0.5*E53)-(0.5*E55)</f>
        <v>-62164590.911145836</v>
      </c>
      <c r="E120" s="2379">
        <f>+E118-(0.5*E53)-(0.5*E55)-(0.5*F53)-(0.5*F55)</f>
        <v>-63029307.622907728</v>
      </c>
      <c r="F120" s="2379">
        <f>+F118-(0.5*F53)-(0.5*F55)-(0.5*G53)-(0.5*G55)</f>
        <v>-73361508.857480317</v>
      </c>
      <c r="G120" s="2379">
        <f>+G118-(0.5*G53)-(0.5*G55)-(0.5*H53)-(0.5*H55)</f>
        <v>-72851642.438509732</v>
      </c>
      <c r="AK120" s="2375"/>
    </row>
    <row r="121" spans="1:37">
      <c r="D121" s="2402"/>
      <c r="F121" s="2429"/>
    </row>
    <row r="123" spans="1:37">
      <c r="D123" s="2402"/>
      <c r="K123" s="2442">
        <v>41653</v>
      </c>
      <c r="L123" s="1520" t="s">
        <v>2900</v>
      </c>
    </row>
    <row r="124" spans="1:37">
      <c r="D124" s="2402"/>
      <c r="H124" s="2443">
        <v>41640</v>
      </c>
      <c r="I124" s="1520" t="s">
        <v>2901</v>
      </c>
      <c r="K124" s="2444">
        <v>-140045</v>
      </c>
      <c r="L124" s="2429">
        <f>+K124*12</f>
        <v>-1680540</v>
      </c>
    </row>
    <row r="126" spans="1:37">
      <c r="D126" s="2402"/>
    </row>
    <row r="127" spans="1:37">
      <c r="D127" s="2402"/>
    </row>
    <row r="129" spans="4:4">
      <c r="D129" s="2402"/>
    </row>
    <row r="130" spans="4:4">
      <c r="D130" s="2402"/>
    </row>
    <row r="132" spans="4:4">
      <c r="D132" s="2402"/>
    </row>
    <row r="133" spans="4:4">
      <c r="D133" s="2402"/>
    </row>
    <row r="135" spans="4:4">
      <c r="D135" s="2402"/>
    </row>
    <row r="136" spans="4:4">
      <c r="D136" s="2402"/>
    </row>
    <row r="138" spans="4:4">
      <c r="D138" s="2402"/>
    </row>
    <row r="139" spans="4:4">
      <c r="D139" s="2402"/>
    </row>
    <row r="140" spans="4:4">
      <c r="D140" s="2402"/>
    </row>
    <row r="141" spans="4:4">
      <c r="D141" s="2402"/>
    </row>
    <row r="142" spans="4:4">
      <c r="D142" s="2402"/>
    </row>
    <row r="143" spans="4:4">
      <c r="D143" s="2402"/>
    </row>
    <row r="144" spans="4:4">
      <c r="D144" s="2402"/>
    </row>
    <row r="145" spans="4:4">
      <c r="D145" s="2402"/>
    </row>
    <row r="146" spans="4:4">
      <c r="D146" s="2402"/>
    </row>
    <row r="147" spans="4:4">
      <c r="D147" s="2402"/>
    </row>
    <row r="148" spans="4:4">
      <c r="D148" s="2402"/>
    </row>
    <row r="149" spans="4:4">
      <c r="D149" s="2402"/>
    </row>
    <row r="150" spans="4:4">
      <c r="D150" s="2402"/>
    </row>
    <row r="151" spans="4:4">
      <c r="D151" s="2402"/>
    </row>
    <row r="152" spans="4:4">
      <c r="D152" s="2402"/>
    </row>
    <row r="153" spans="4:4">
      <c r="D153" s="2402"/>
    </row>
    <row r="154" spans="4:4">
      <c r="D154" s="2402"/>
    </row>
    <row r="155" spans="4:4">
      <c r="D155" s="2402"/>
    </row>
    <row r="156" spans="4:4">
      <c r="D156" s="2402"/>
    </row>
    <row r="157" spans="4:4">
      <c r="D157" s="2402"/>
    </row>
    <row r="158" spans="4:4">
      <c r="D158" s="2402"/>
    </row>
    <row r="159" spans="4:4">
      <c r="D159" s="2402"/>
    </row>
    <row r="160" spans="4:4">
      <c r="D160" s="2402"/>
    </row>
    <row r="161" spans="4:4">
      <c r="D161" s="2402"/>
    </row>
    <row r="162" spans="4:4">
      <c r="D162" s="2402"/>
    </row>
    <row r="163" spans="4:4">
      <c r="D163" s="2402"/>
    </row>
    <row r="164" spans="4:4">
      <c r="D164" s="2402"/>
    </row>
    <row r="165" spans="4:4">
      <c r="D165" s="2402"/>
    </row>
    <row r="166" spans="4:4">
      <c r="D166" s="2402"/>
    </row>
    <row r="167" spans="4:4">
      <c r="D167" s="2402"/>
    </row>
    <row r="168" spans="4:4">
      <c r="D168" s="2402"/>
    </row>
    <row r="169" spans="4:4">
      <c r="D169" s="2402"/>
    </row>
    <row r="170" spans="4:4">
      <c r="D170" s="2402"/>
    </row>
    <row r="171" spans="4:4">
      <c r="D171" s="2402"/>
    </row>
    <row r="172" spans="4:4">
      <c r="D172" s="2402"/>
    </row>
    <row r="173" spans="4:4">
      <c r="D173" s="2402"/>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46"/>
  <sheetViews>
    <sheetView topLeftCell="A100" zoomScale="75" zoomScaleNormal="75" workbookViewId="0">
      <pane xSplit="1" topLeftCell="B1" activePane="topRight" state="frozen"/>
      <selection pane="topRight" activeCell="J125" sqref="J125"/>
    </sheetView>
  </sheetViews>
  <sheetFormatPr defaultRowHeight="15.75"/>
  <cols>
    <col min="1" max="1" width="52.375" style="3604" bestFit="1" customWidth="1"/>
    <col min="2" max="2" width="9" style="3604"/>
    <col min="3" max="6" width="14.25" style="3604" hidden="1" customWidth="1"/>
    <col min="7" max="18" width="14.25" style="3604" customWidth="1"/>
    <col min="19" max="16384" width="9" style="3604"/>
  </cols>
  <sheetData>
    <row r="1" spans="1:18">
      <c r="A1" s="3142" t="s">
        <v>2181</v>
      </c>
      <c r="B1" s="3142" t="s">
        <v>3971</v>
      </c>
    </row>
    <row r="2" spans="1:18">
      <c r="A2" s="3142" t="s">
        <v>3490</v>
      </c>
      <c r="B2" s="3142" t="s">
        <v>614</v>
      </c>
    </row>
    <row r="4" spans="1:18">
      <c r="C4" s="3485" t="s">
        <v>1959</v>
      </c>
      <c r="D4" s="3485" t="s">
        <v>1959</v>
      </c>
      <c r="E4" s="3486" t="s">
        <v>1959</v>
      </c>
      <c r="F4" s="3486" t="s">
        <v>1959</v>
      </c>
      <c r="G4" s="3487"/>
    </row>
    <row r="5" spans="1:18">
      <c r="C5" s="3488">
        <v>2012</v>
      </c>
      <c r="D5" s="3488">
        <v>2013</v>
      </c>
      <c r="E5" s="3489">
        <v>2014</v>
      </c>
      <c r="F5" s="3489">
        <v>2015</v>
      </c>
      <c r="G5" s="3490">
        <v>2016</v>
      </c>
      <c r="H5" s="3491">
        <v>2017</v>
      </c>
      <c r="I5" s="3491">
        <v>2018</v>
      </c>
      <c r="J5" s="3491">
        <v>2019</v>
      </c>
      <c r="K5" s="3491">
        <v>2020</v>
      </c>
      <c r="L5" s="3491">
        <v>2021</v>
      </c>
      <c r="M5" s="3491">
        <v>2022</v>
      </c>
      <c r="N5" s="3491">
        <v>2023</v>
      </c>
      <c r="O5" s="3491">
        <v>2024</v>
      </c>
      <c r="P5" s="3491">
        <v>2025</v>
      </c>
      <c r="Q5" s="3491">
        <v>2026</v>
      </c>
      <c r="R5" s="3491">
        <v>2027</v>
      </c>
    </row>
    <row r="6" spans="1:18">
      <c r="A6" s="3492" t="s">
        <v>1951</v>
      </c>
      <c r="B6" s="3492"/>
      <c r="C6" s="3493"/>
      <c r="D6" s="3605"/>
      <c r="E6" s="3494"/>
      <c r="F6" s="3494"/>
    </row>
    <row r="7" spans="1:18">
      <c r="A7" s="3604" t="s">
        <v>2546</v>
      </c>
      <c r="C7" s="3605"/>
      <c r="D7" s="3605"/>
      <c r="E7" s="3495"/>
      <c r="F7" s="3495">
        <v>1101530000</v>
      </c>
      <c r="G7" s="3606">
        <v>1191280000</v>
      </c>
      <c r="H7" s="3606">
        <v>1194680000</v>
      </c>
      <c r="I7" s="3606">
        <v>1274815631.85798</v>
      </c>
      <c r="J7" s="3606">
        <v>1327209273.9006734</v>
      </c>
      <c r="K7" s="3606">
        <v>1361656484.7196112</v>
      </c>
      <c r="L7" s="3606">
        <v>1387955977.6293612</v>
      </c>
      <c r="M7" s="3606">
        <v>1413266442.5941548</v>
      </c>
      <c r="N7" s="3606">
        <v>1441332152.8646224</v>
      </c>
      <c r="O7" s="3606">
        <v>1465191695.4082181</v>
      </c>
      <c r="P7" s="3606">
        <v>1505281833.3242211</v>
      </c>
      <c r="Q7" s="3606">
        <v>1540655978.6804214</v>
      </c>
      <c r="R7" s="3606">
        <v>1556394780.1230657</v>
      </c>
    </row>
    <row r="8" spans="1:18">
      <c r="A8" s="3604" t="s">
        <v>2549</v>
      </c>
      <c r="C8" s="3605"/>
      <c r="D8" s="3605"/>
      <c r="E8" s="3495"/>
      <c r="F8" s="3495">
        <v>-28630000</v>
      </c>
      <c r="G8" s="3606">
        <v>-31935000</v>
      </c>
      <c r="H8" s="3606">
        <v>-33100000</v>
      </c>
      <c r="I8" s="3606">
        <v>-34947165.494438954</v>
      </c>
      <c r="J8" s="3606">
        <v>-32807253.222379949</v>
      </c>
      <c r="K8" s="3606">
        <v>-34561565.180295348</v>
      </c>
      <c r="L8" s="3606">
        <v>-36777770.973184355</v>
      </c>
      <c r="M8" s="3606">
        <v>-33466209.903927833</v>
      </c>
      <c r="N8" s="3606">
        <v>-36107178.536678955</v>
      </c>
      <c r="O8" s="3606">
        <v>-36487509.960093692</v>
      </c>
      <c r="P8" s="3606">
        <v>-39465597.41155085</v>
      </c>
      <c r="Q8" s="3606">
        <v>-42594621.340699606</v>
      </c>
      <c r="R8" s="3606">
        <v>-45542896.905360386</v>
      </c>
    </row>
    <row r="9" spans="1:18">
      <c r="A9" s="3604" t="s">
        <v>3746</v>
      </c>
      <c r="C9" s="3605"/>
      <c r="D9" s="3605"/>
      <c r="E9" s="3495"/>
      <c r="F9" s="3495">
        <v>83715000</v>
      </c>
      <c r="G9" s="3606">
        <v>0</v>
      </c>
      <c r="H9" s="3606">
        <v>7113647.8883707784</v>
      </c>
      <c r="I9" s="3606">
        <v>83168026.01720354</v>
      </c>
      <c r="J9" s="3606">
        <v>50842786.976226814</v>
      </c>
      <c r="K9" s="3606">
        <v>23870619.577449445</v>
      </c>
      <c r="L9" s="3606">
        <v>10404390.27296122</v>
      </c>
      <c r="M9" s="3606">
        <v>0</v>
      </c>
      <c r="N9" s="3606">
        <v>0</v>
      </c>
      <c r="O9" s="3606">
        <v>0</v>
      </c>
      <c r="P9" s="3606">
        <v>0</v>
      </c>
      <c r="Q9" s="3606">
        <v>0</v>
      </c>
      <c r="R9" s="3606">
        <v>0</v>
      </c>
    </row>
    <row r="10" spans="1:18">
      <c r="A10" s="3604" t="s">
        <v>3747</v>
      </c>
      <c r="C10" s="3605"/>
      <c r="D10" s="3605"/>
      <c r="E10" s="3495"/>
      <c r="F10" s="3495">
        <v>34665000</v>
      </c>
      <c r="G10" s="3606">
        <v>35335000</v>
      </c>
      <c r="H10" s="3606">
        <v>106121983.96960936</v>
      </c>
      <c r="I10" s="3606">
        <v>4172781.5199285746</v>
      </c>
      <c r="J10" s="3606">
        <v>16411677.065090813</v>
      </c>
      <c r="K10" s="3606">
        <v>36990438.512595937</v>
      </c>
      <c r="L10" s="3606">
        <v>51683845.665016912</v>
      </c>
      <c r="M10" s="3606">
        <v>61531920.174395382</v>
      </c>
      <c r="N10" s="3606">
        <v>59966721.080274932</v>
      </c>
      <c r="O10" s="3606">
        <v>76577647.876096815</v>
      </c>
      <c r="P10" s="3606">
        <v>74839742.767751023</v>
      </c>
      <c r="Q10" s="3606">
        <v>58333422.783343986</v>
      </c>
      <c r="R10" s="3606">
        <v>65417602.986550935</v>
      </c>
    </row>
    <row r="11" spans="1:18" ht="16.5" thickBot="1">
      <c r="A11" s="3496" t="s">
        <v>2547</v>
      </c>
      <c r="B11" s="3496"/>
      <c r="C11" s="3497"/>
      <c r="D11" s="3497">
        <v>1001400000</v>
      </c>
      <c r="E11" s="3497">
        <v>1101530000</v>
      </c>
      <c r="F11" s="3497">
        <v>1191280000</v>
      </c>
      <c r="G11" s="3498">
        <v>1194680000</v>
      </c>
      <c r="H11" s="3498">
        <v>1274815631.85798</v>
      </c>
      <c r="I11" s="3498">
        <v>1327209273.9006734</v>
      </c>
      <c r="J11" s="3498">
        <v>1361656484.7196112</v>
      </c>
      <c r="K11" s="3498">
        <v>1387955977.6293612</v>
      </c>
      <c r="L11" s="3498">
        <v>1413266442.5941548</v>
      </c>
      <c r="M11" s="3498">
        <v>1441332152.8646224</v>
      </c>
      <c r="N11" s="3498">
        <v>1465191695.4082181</v>
      </c>
      <c r="O11" s="3498">
        <v>1505281833.3242211</v>
      </c>
      <c r="P11" s="3498">
        <v>1540655978.6804214</v>
      </c>
      <c r="Q11" s="3498">
        <v>1556394780.1230657</v>
      </c>
      <c r="R11" s="3498">
        <v>1576269486.2042563</v>
      </c>
    </row>
    <row r="12" spans="1:18" ht="17.25" thickTop="1" thickBot="1">
      <c r="A12" s="3607" t="s">
        <v>3748</v>
      </c>
      <c r="B12" s="3607"/>
      <c r="C12" s="3499"/>
      <c r="D12" s="3500"/>
      <c r="E12" s="3500">
        <v>-45500000</v>
      </c>
      <c r="F12" s="3500">
        <v>-80055000</v>
      </c>
      <c r="G12" s="3608">
        <v>-114370000</v>
      </c>
      <c r="H12" s="3608">
        <v>-219466983.96960938</v>
      </c>
      <c r="I12" s="3608">
        <v>-220302599.99509901</v>
      </c>
      <c r="J12" s="3608">
        <v>-233082023.83780986</v>
      </c>
      <c r="K12" s="3608">
        <v>-266035897.17011046</v>
      </c>
      <c r="L12" s="3608">
        <v>-312881971.86194301</v>
      </c>
      <c r="M12" s="3608">
        <v>-368477682.13241053</v>
      </c>
      <c r="N12" s="3608">
        <v>-421187224.6760065</v>
      </c>
      <c r="O12" s="3608">
        <v>-489153994.29237533</v>
      </c>
      <c r="P12" s="3608">
        <v>-553676436.61695576</v>
      </c>
      <c r="Q12" s="3608">
        <v>-599936666.90671563</v>
      </c>
      <c r="R12" s="3608">
        <v>-651757658.98890626</v>
      </c>
    </row>
    <row r="13" spans="1:18" ht="17.25" thickTop="1" thickBot="1">
      <c r="A13" s="3607" t="s">
        <v>3749</v>
      </c>
      <c r="B13" s="3607"/>
      <c r="C13" s="3499"/>
      <c r="D13" s="3500"/>
      <c r="E13" s="3500">
        <v>1056030000</v>
      </c>
      <c r="F13" s="3500">
        <v>1111225000</v>
      </c>
      <c r="G13" s="3608">
        <v>1080310000</v>
      </c>
      <c r="H13" s="3608">
        <v>1055348647.8883706</v>
      </c>
      <c r="I13" s="3608">
        <v>1106906673.9055743</v>
      </c>
      <c r="J13" s="3608">
        <v>1128574460.8818014</v>
      </c>
      <c r="K13" s="3608">
        <v>1121920080.4592507</v>
      </c>
      <c r="L13" s="3608">
        <v>1100384470.7322118</v>
      </c>
      <c r="M13" s="3608">
        <v>1072854470.7322118</v>
      </c>
      <c r="N13" s="3608">
        <v>1044004470.7322116</v>
      </c>
      <c r="O13" s="3608">
        <v>1016127839.0318458</v>
      </c>
      <c r="P13" s="3608">
        <v>986979542.0634656</v>
      </c>
      <c r="Q13" s="3608">
        <v>956458113.21635008</v>
      </c>
      <c r="R13" s="3608">
        <v>924511827.21535003</v>
      </c>
    </row>
    <row r="14" spans="1:18" ht="16.5" thickTop="1">
      <c r="A14" s="3496"/>
      <c r="B14" s="3496"/>
      <c r="C14" s="3501"/>
      <c r="D14" s="3502"/>
      <c r="E14" s="3503"/>
      <c r="F14" s="3503"/>
      <c r="G14" s="3504"/>
      <c r="H14" s="3504"/>
      <c r="I14" s="3504"/>
      <c r="J14" s="3504"/>
      <c r="K14" s="3504"/>
      <c r="L14" s="3504"/>
      <c r="M14" s="3504"/>
      <c r="N14" s="3504"/>
      <c r="O14" s="3504"/>
      <c r="P14" s="3504"/>
      <c r="Q14" s="3504"/>
      <c r="R14" s="3504"/>
    </row>
    <row r="15" spans="1:18">
      <c r="A15" s="3496"/>
      <c r="B15" s="3496"/>
      <c r="C15" s="3501"/>
      <c r="D15" s="3502"/>
      <c r="E15" s="3495"/>
      <c r="F15" s="3495"/>
      <c r="G15" s="3504"/>
      <c r="H15" s="3504"/>
      <c r="I15" s="3504"/>
      <c r="J15" s="3504"/>
      <c r="K15" s="3504"/>
      <c r="L15" s="3504"/>
      <c r="M15" s="3504"/>
      <c r="N15" s="3504"/>
      <c r="O15" s="3504"/>
      <c r="P15" s="3504"/>
      <c r="Q15" s="3504"/>
      <c r="R15" s="3504"/>
    </row>
    <row r="16" spans="1:18">
      <c r="A16" s="3492" t="s">
        <v>3750</v>
      </c>
      <c r="B16" s="3492"/>
      <c r="C16" s="3493"/>
      <c r="D16" s="3502"/>
      <c r="E16" s="3495"/>
      <c r="F16" s="3495"/>
      <c r="G16" s="3504"/>
      <c r="H16" s="3504"/>
      <c r="I16" s="3504"/>
      <c r="J16" s="3504"/>
      <c r="K16" s="3504"/>
      <c r="L16" s="3504"/>
      <c r="M16" s="3504"/>
      <c r="N16" s="3504"/>
      <c r="O16" s="3504"/>
      <c r="P16" s="3504"/>
      <c r="Q16" s="3504"/>
      <c r="R16" s="3504"/>
    </row>
    <row r="17" spans="1:18">
      <c r="A17" s="3604" t="s">
        <v>2546</v>
      </c>
      <c r="C17" s="3605"/>
      <c r="D17" s="3502"/>
      <c r="E17" s="3495">
        <v>0</v>
      </c>
      <c r="F17" s="3495">
        <v>45500000</v>
      </c>
      <c r="G17" s="3505">
        <v>80055000</v>
      </c>
      <c r="H17" s="3505">
        <v>114370000</v>
      </c>
      <c r="I17" s="3505">
        <v>219466983.96960938</v>
      </c>
      <c r="J17" s="3505">
        <v>220302599.99509901</v>
      </c>
      <c r="K17" s="3505">
        <v>233082023.83780986</v>
      </c>
      <c r="L17" s="3505">
        <v>266035897.17011046</v>
      </c>
      <c r="M17" s="3505">
        <v>312881971.86194301</v>
      </c>
      <c r="N17" s="3505">
        <v>368477682.13241053</v>
      </c>
      <c r="O17" s="3505">
        <v>421187224.6760065</v>
      </c>
      <c r="P17" s="3505">
        <v>489153994.29237533</v>
      </c>
      <c r="Q17" s="3505">
        <v>553676436.61695576</v>
      </c>
      <c r="R17" s="3505">
        <v>599936666.90671563</v>
      </c>
    </row>
    <row r="18" spans="1:18">
      <c r="A18" s="3604" t="s">
        <v>3751</v>
      </c>
      <c r="C18" s="3605"/>
      <c r="D18" s="3502"/>
      <c r="E18" s="3495">
        <v>0</v>
      </c>
      <c r="F18" s="3495">
        <v>-110000</v>
      </c>
      <c r="G18" s="3505">
        <v>-1020000</v>
      </c>
      <c r="H18" s="3505">
        <v>-1025000</v>
      </c>
      <c r="I18" s="3505">
        <v>-3337165.4944389546</v>
      </c>
      <c r="J18" s="3505">
        <v>-3632253.2223799485</v>
      </c>
      <c r="K18" s="3505">
        <v>-4036565.1802953519</v>
      </c>
      <c r="L18" s="3505">
        <v>-4837770.9731843565</v>
      </c>
      <c r="M18" s="3505">
        <v>-5936209.9039278338</v>
      </c>
      <c r="N18" s="3505">
        <v>-7257178.5366789531</v>
      </c>
      <c r="O18" s="3505">
        <v>-8610878.2597280331</v>
      </c>
      <c r="P18" s="3505">
        <v>-10317300.44317057</v>
      </c>
      <c r="Q18" s="3505">
        <v>-12073192.493584108</v>
      </c>
      <c r="R18" s="3505">
        <v>-13596610.904360276</v>
      </c>
    </row>
    <row r="19" spans="1:18">
      <c r="C19" s="3605"/>
      <c r="D19" s="3502"/>
      <c r="E19" s="3495"/>
      <c r="F19" s="3495"/>
      <c r="G19" s="3505"/>
      <c r="H19" s="3505"/>
      <c r="I19" s="3505"/>
      <c r="J19" s="3505"/>
      <c r="K19" s="3505"/>
      <c r="L19" s="3505"/>
      <c r="M19" s="3505"/>
      <c r="N19" s="3505"/>
      <c r="O19" s="3505"/>
      <c r="P19" s="3505"/>
      <c r="Q19" s="3505"/>
      <c r="R19" s="3505"/>
    </row>
    <row r="20" spans="1:18">
      <c r="A20" s="3604" t="s">
        <v>2877</v>
      </c>
      <c r="C20" s="3495"/>
      <c r="D20" s="3495"/>
      <c r="E20" s="3495"/>
      <c r="F20" s="3495">
        <v>34665000</v>
      </c>
      <c r="G20" s="3505">
        <v>35335000</v>
      </c>
      <c r="H20" s="3505">
        <v>106121983.96960936</v>
      </c>
      <c r="I20" s="3505">
        <v>4172781.5199285746</v>
      </c>
      <c r="J20" s="3505">
        <v>16411677.065090813</v>
      </c>
      <c r="K20" s="3505">
        <v>36990438.512595937</v>
      </c>
      <c r="L20" s="3505">
        <v>51683845.665016912</v>
      </c>
      <c r="M20" s="3505">
        <v>61531920.174395382</v>
      </c>
      <c r="N20" s="3505">
        <v>59966721.080274932</v>
      </c>
      <c r="O20" s="3505">
        <v>76577647.876096815</v>
      </c>
      <c r="P20" s="3505">
        <v>74839742.767751023</v>
      </c>
      <c r="Q20" s="3505">
        <v>58333422.783343986</v>
      </c>
      <c r="R20" s="3505">
        <v>65417602.986550935</v>
      </c>
    </row>
    <row r="21" spans="1:18">
      <c r="A21" s="3496" t="s">
        <v>3752</v>
      </c>
      <c r="B21" s="3496"/>
      <c r="C21" s="3497"/>
      <c r="D21" s="3497"/>
      <c r="E21" s="3497">
        <v>45500000</v>
      </c>
      <c r="F21" s="3497">
        <v>80055000</v>
      </c>
      <c r="G21" s="3609">
        <v>114370000</v>
      </c>
      <c r="H21" s="3609">
        <v>219466983.96960938</v>
      </c>
      <c r="I21" s="3609">
        <v>220302599.99509901</v>
      </c>
      <c r="J21" s="3609">
        <v>233082023.83780986</v>
      </c>
      <c r="K21" s="3609">
        <v>266035897.17011046</v>
      </c>
      <c r="L21" s="3609">
        <v>312881971.86194301</v>
      </c>
      <c r="M21" s="3609">
        <v>368477682.13241053</v>
      </c>
      <c r="N21" s="3609">
        <v>421187224.6760065</v>
      </c>
      <c r="O21" s="3609">
        <v>489153994.29237533</v>
      </c>
      <c r="P21" s="3609">
        <v>553676436.61695576</v>
      </c>
      <c r="Q21" s="3609">
        <v>599936666.90671563</v>
      </c>
      <c r="R21" s="3609">
        <v>651757658.98890626</v>
      </c>
    </row>
    <row r="22" spans="1:18">
      <c r="A22" s="3496"/>
      <c r="B22" s="3496"/>
      <c r="C22" s="3501"/>
      <c r="D22" s="3605"/>
      <c r="E22" s="3503"/>
      <c r="F22" s="3503"/>
      <c r="G22" s="3610"/>
      <c r="H22" s="3610"/>
      <c r="I22" s="3610"/>
      <c r="J22" s="3610"/>
      <c r="K22" s="3610"/>
      <c r="L22" s="3610"/>
      <c r="M22" s="3610"/>
      <c r="N22" s="3610"/>
      <c r="O22" s="3610"/>
      <c r="P22" s="3610"/>
      <c r="Q22" s="3610"/>
      <c r="R22" s="3610"/>
    </row>
    <row r="23" spans="1:18">
      <c r="A23" s="3492" t="s">
        <v>2548</v>
      </c>
      <c r="B23" s="3492"/>
      <c r="C23" s="3493"/>
      <c r="D23" s="3605"/>
      <c r="E23" s="3495"/>
      <c r="F23" s="3495"/>
    </row>
    <row r="24" spans="1:18">
      <c r="A24" s="3604" t="s">
        <v>2546</v>
      </c>
      <c r="C24" s="3605"/>
      <c r="D24" s="3605"/>
      <c r="E24" s="3495"/>
      <c r="F24" s="3495">
        <v>195745000</v>
      </c>
      <c r="G24" s="3606">
        <v>194795000</v>
      </c>
      <c r="H24" s="3606">
        <v>245295000</v>
      </c>
      <c r="I24" s="3606">
        <v>295795000</v>
      </c>
      <c r="J24" s="3606">
        <v>281380000</v>
      </c>
      <c r="K24" s="3606">
        <v>266250000</v>
      </c>
      <c r="L24" s="3606">
        <v>250380000</v>
      </c>
      <c r="M24" s="3606">
        <v>233735000</v>
      </c>
      <c r="N24" s="3606">
        <v>216060340.33448204</v>
      </c>
      <c r="O24" s="3606">
        <v>193878534.82589313</v>
      </c>
      <c r="P24" s="3606">
        <v>173788002.09770906</v>
      </c>
      <c r="Q24" s="3606">
        <v>152003793.60593352</v>
      </c>
      <c r="R24" s="3606">
        <v>109174239.59601134</v>
      </c>
    </row>
    <row r="25" spans="1:18">
      <c r="A25" s="3604" t="s">
        <v>2549</v>
      </c>
      <c r="C25" s="3605"/>
      <c r="D25" s="3605"/>
      <c r="E25" s="3495"/>
      <c r="F25" s="3495">
        <v>-950000</v>
      </c>
      <c r="G25" s="3606">
        <v>0</v>
      </c>
      <c r="H25" s="3606">
        <v>0</v>
      </c>
      <c r="I25" s="3606">
        <v>-14415000</v>
      </c>
      <c r="J25" s="3606">
        <v>-15130000</v>
      </c>
      <c r="K25" s="3606">
        <v>-15870000</v>
      </c>
      <c r="L25" s="3606">
        <v>-16645000</v>
      </c>
      <c r="M25" s="3606">
        <v>-15110000</v>
      </c>
      <c r="N25" s="3606">
        <v>-2405000</v>
      </c>
      <c r="O25" s="3606">
        <v>-2525000</v>
      </c>
      <c r="P25" s="3606">
        <v>-2650000</v>
      </c>
      <c r="Q25" s="3606">
        <v>-2785000</v>
      </c>
      <c r="R25" s="3606">
        <v>-2920000</v>
      </c>
    </row>
    <row r="26" spans="1:18">
      <c r="A26" s="3604" t="s">
        <v>2877</v>
      </c>
      <c r="C26" s="3605"/>
      <c r="D26" s="3605"/>
      <c r="E26" s="3495"/>
      <c r="F26" s="3495">
        <v>0</v>
      </c>
      <c r="G26" s="3606">
        <v>50500000</v>
      </c>
      <c r="H26" s="3606">
        <v>50500000</v>
      </c>
      <c r="I26" s="3606">
        <v>0</v>
      </c>
      <c r="J26" s="3606">
        <v>0</v>
      </c>
      <c r="K26" s="3606">
        <v>0</v>
      </c>
      <c r="L26" s="3606">
        <v>0</v>
      </c>
      <c r="M26" s="3606">
        <v>0</v>
      </c>
      <c r="N26" s="3606">
        <v>0</v>
      </c>
      <c r="O26" s="3606">
        <v>0</v>
      </c>
      <c r="P26" s="3606">
        <v>0</v>
      </c>
      <c r="Q26" s="3606">
        <v>0</v>
      </c>
      <c r="R26" s="3606">
        <v>0</v>
      </c>
    </row>
    <row r="27" spans="1:18">
      <c r="A27" s="3604" t="s">
        <v>2878</v>
      </c>
      <c r="C27" s="3605"/>
      <c r="D27" s="3605"/>
      <c r="E27" s="3495"/>
      <c r="F27" s="3495"/>
      <c r="G27" s="3606"/>
      <c r="H27" s="3606"/>
      <c r="I27" s="3606"/>
      <c r="J27" s="3606"/>
      <c r="K27" s="3606"/>
      <c r="L27" s="3606"/>
      <c r="M27" s="3606"/>
      <c r="N27" s="3606"/>
      <c r="O27" s="3606"/>
      <c r="P27" s="3606"/>
      <c r="Q27" s="3606"/>
      <c r="R27" s="3606"/>
    </row>
    <row r="28" spans="1:18">
      <c r="A28" s="3604" t="s">
        <v>3753</v>
      </c>
      <c r="C28" s="3605"/>
      <c r="D28" s="3605"/>
      <c r="E28" s="3495"/>
      <c r="F28" s="3495"/>
      <c r="G28" s="3606"/>
      <c r="H28" s="3611">
        <v>0</v>
      </c>
      <c r="I28" s="3611">
        <v>0</v>
      </c>
      <c r="J28" s="3611">
        <v>0</v>
      </c>
      <c r="K28" s="3611">
        <v>0</v>
      </c>
      <c r="L28" s="3611">
        <v>0</v>
      </c>
      <c r="M28" s="3611">
        <v>-2564659.6655179667</v>
      </c>
      <c r="N28" s="3611">
        <v>-19776805.50858891</v>
      </c>
      <c r="O28" s="3611">
        <v>-17565532.72818407</v>
      </c>
      <c r="P28" s="3611">
        <v>-19134208.491775531</v>
      </c>
      <c r="Q28" s="3611">
        <v>-40044554.009922177</v>
      </c>
      <c r="R28" s="3611">
        <v>-29536615.6172181</v>
      </c>
    </row>
    <row r="29" spans="1:18">
      <c r="A29" s="3496" t="s">
        <v>2547</v>
      </c>
      <c r="B29" s="3496"/>
      <c r="C29" s="3501"/>
      <c r="D29" s="3506">
        <v>151340000</v>
      </c>
      <c r="E29" s="3497">
        <v>195745000</v>
      </c>
      <c r="F29" s="3497">
        <v>194795000</v>
      </c>
      <c r="G29" s="3507">
        <v>245295000</v>
      </c>
      <c r="H29" s="3508">
        <v>295795000</v>
      </c>
      <c r="I29" s="3508">
        <v>281380000</v>
      </c>
      <c r="J29" s="3508">
        <v>266250000</v>
      </c>
      <c r="K29" s="3508">
        <v>250380000</v>
      </c>
      <c r="L29" s="3508">
        <v>233735000</v>
      </c>
      <c r="M29" s="3508">
        <v>216060340.33448204</v>
      </c>
      <c r="N29" s="3508">
        <v>193878534.82589313</v>
      </c>
      <c r="O29" s="3508">
        <v>173788002.09770906</v>
      </c>
      <c r="P29" s="3508">
        <v>152003793.60593352</v>
      </c>
      <c r="Q29" s="3508">
        <v>109174239.59601134</v>
      </c>
      <c r="R29" s="3507">
        <v>106254239.59601134</v>
      </c>
    </row>
    <row r="30" spans="1:18">
      <c r="A30" s="3509" t="s">
        <v>2550</v>
      </c>
      <c r="B30" s="3509"/>
      <c r="C30" s="3510"/>
      <c r="D30" s="3511">
        <v>1152740000</v>
      </c>
      <c r="E30" s="3511">
        <v>1297275000</v>
      </c>
      <c r="F30" s="3511">
        <v>1306020000</v>
      </c>
      <c r="G30" s="3512">
        <v>1439975000</v>
      </c>
      <c r="H30" s="3512">
        <v>1570610631.85798</v>
      </c>
      <c r="I30" s="3512">
        <v>1608589273.9006734</v>
      </c>
      <c r="J30" s="3512">
        <v>1627906484.7196112</v>
      </c>
      <c r="K30" s="3512">
        <v>1638335977.6293612</v>
      </c>
      <c r="L30" s="3512">
        <v>1647001442.5941548</v>
      </c>
      <c r="M30" s="3512">
        <v>1657392493.1991043</v>
      </c>
      <c r="N30" s="3512">
        <v>1659070230.2341113</v>
      </c>
      <c r="O30" s="3512">
        <v>1679069835.4219303</v>
      </c>
      <c r="P30" s="3512">
        <v>1692659772.2863548</v>
      </c>
      <c r="Q30" s="3512">
        <v>1665569019.7190771</v>
      </c>
      <c r="R30" s="3512">
        <v>1682523725.8002677</v>
      </c>
    </row>
    <row r="31" spans="1:18" ht="18.75">
      <c r="A31" s="3513" t="s">
        <v>2551</v>
      </c>
      <c r="B31" s="3513"/>
      <c r="C31" s="3514"/>
      <c r="D31" s="3515">
        <v>41275</v>
      </c>
      <c r="E31" s="3515">
        <v>41640</v>
      </c>
      <c r="F31" s="3515">
        <v>42005</v>
      </c>
      <c r="G31" s="3516">
        <v>42370</v>
      </c>
      <c r="H31" s="3516">
        <v>42736</v>
      </c>
      <c r="I31" s="3516">
        <v>43101</v>
      </c>
      <c r="J31" s="3516">
        <v>43466</v>
      </c>
      <c r="K31" s="3516">
        <v>43831</v>
      </c>
      <c r="L31" s="3516">
        <v>44197</v>
      </c>
      <c r="M31" s="3516">
        <v>44562</v>
      </c>
      <c r="N31" s="3516">
        <v>44927</v>
      </c>
      <c r="O31" s="3516">
        <v>45292</v>
      </c>
      <c r="P31" s="3516">
        <v>45658</v>
      </c>
      <c r="Q31" s="3516">
        <v>46023</v>
      </c>
      <c r="R31" s="3516">
        <v>46388</v>
      </c>
    </row>
    <row r="32" spans="1:18">
      <c r="A32" s="3612"/>
      <c r="B32" s="3612"/>
      <c r="C32" s="3605"/>
      <c r="D32" s="3515">
        <v>41456</v>
      </c>
      <c r="E32" s="3515">
        <v>41821</v>
      </c>
      <c r="F32" s="3515">
        <v>42186</v>
      </c>
      <c r="G32" s="3516">
        <v>42552</v>
      </c>
      <c r="H32" s="3516">
        <v>42917</v>
      </c>
      <c r="I32" s="3516">
        <v>43282</v>
      </c>
      <c r="J32" s="3516">
        <v>43647</v>
      </c>
      <c r="K32" s="3516">
        <v>44013</v>
      </c>
      <c r="L32" s="3516">
        <v>44378</v>
      </c>
      <c r="M32" s="3516">
        <v>44743</v>
      </c>
      <c r="N32" s="3516">
        <v>45108</v>
      </c>
      <c r="O32" s="3516">
        <v>45474</v>
      </c>
      <c r="P32" s="3516">
        <v>45839</v>
      </c>
      <c r="Q32" s="3516">
        <v>46204</v>
      </c>
      <c r="R32" s="3516">
        <v>46569</v>
      </c>
    </row>
    <row r="33" spans="1:18">
      <c r="A33" s="3492" t="s">
        <v>707</v>
      </c>
      <c r="B33" s="3492"/>
      <c r="C33" s="3493"/>
      <c r="D33" s="3605"/>
      <c r="E33" s="3613"/>
      <c r="F33" s="3613"/>
      <c r="G33" s="3614"/>
      <c r="H33" s="3614"/>
      <c r="I33" s="3614"/>
      <c r="J33" s="3614"/>
      <c r="K33" s="3614"/>
      <c r="L33" s="3614"/>
      <c r="M33" s="3614"/>
      <c r="N33" s="3614"/>
      <c r="O33" s="3614"/>
      <c r="P33" s="3614"/>
      <c r="Q33" s="3614"/>
      <c r="R33" s="3614"/>
    </row>
    <row r="34" spans="1:18">
      <c r="A34" s="3615" t="s">
        <v>724</v>
      </c>
      <c r="B34" s="3615"/>
      <c r="C34" s="3616"/>
      <c r="D34" s="3617">
        <v>11255000</v>
      </c>
      <c r="E34" s="3618">
        <v>5595000</v>
      </c>
      <c r="F34" s="3618">
        <v>950000</v>
      </c>
      <c r="G34" s="3619">
        <v>0</v>
      </c>
      <c r="H34" s="3619">
        <v>0</v>
      </c>
      <c r="I34" s="3619">
        <v>0</v>
      </c>
      <c r="J34" s="3619">
        <v>14415000</v>
      </c>
      <c r="K34" s="3619">
        <v>15130000</v>
      </c>
      <c r="L34" s="3619">
        <v>15870000</v>
      </c>
      <c r="M34" s="3619">
        <v>16645000</v>
      </c>
      <c r="N34" s="3619">
        <v>15110000</v>
      </c>
      <c r="O34" s="3619">
        <v>2405000</v>
      </c>
      <c r="P34" s="3619">
        <v>2525000</v>
      </c>
      <c r="Q34" s="3619">
        <v>2650000</v>
      </c>
      <c r="R34" s="3619">
        <v>2785000</v>
      </c>
    </row>
    <row r="35" spans="1:18">
      <c r="A35" s="3620" t="s">
        <v>2277</v>
      </c>
      <c r="B35" s="3620"/>
      <c r="C35" s="3621"/>
      <c r="D35" s="3622">
        <v>3460603.13</v>
      </c>
      <c r="E35" s="3618">
        <v>2970878.8199999901</v>
      </c>
      <c r="F35" s="3618">
        <v>3606877.91</v>
      </c>
      <c r="G35" s="3619">
        <v>3571915.6299999901</v>
      </c>
      <c r="H35" s="3619">
        <v>3571915.6299999901</v>
      </c>
      <c r="I35" s="3619">
        <v>3571915.6299999901</v>
      </c>
      <c r="J35" s="3619">
        <v>3571915.6299999901</v>
      </c>
      <c r="K35" s="3619">
        <v>3214040.6299999901</v>
      </c>
      <c r="L35" s="3619">
        <v>2842290.6299999901</v>
      </c>
      <c r="M35" s="3619">
        <v>2455665.6299999901</v>
      </c>
      <c r="N35" s="3619">
        <v>2051265.63</v>
      </c>
      <c r="O35" s="3619">
        <v>1690625</v>
      </c>
      <c r="P35" s="3619">
        <v>1630500</v>
      </c>
      <c r="Q35" s="3619">
        <v>1567375</v>
      </c>
      <c r="R35" s="3619">
        <v>1501125</v>
      </c>
    </row>
    <row r="36" spans="1:18">
      <c r="A36" s="3623" t="s">
        <v>2278</v>
      </c>
      <c r="B36" s="3623"/>
      <c r="C36" s="3624"/>
      <c r="D36" s="3625">
        <v>3291778.13</v>
      </c>
      <c r="E36" s="3625">
        <v>3586165.6299999901</v>
      </c>
      <c r="F36" s="3625">
        <v>3734600.52</v>
      </c>
      <c r="G36" s="3626">
        <v>3571915.6299999901</v>
      </c>
      <c r="H36" s="3626">
        <v>3571915.6299999901</v>
      </c>
      <c r="I36" s="3626">
        <v>3571915.6299999901</v>
      </c>
      <c r="J36" s="3626">
        <v>3214040.6299999901</v>
      </c>
      <c r="K36" s="3626">
        <v>2842290.6299999901</v>
      </c>
      <c r="L36" s="3626">
        <v>2455665.6299999901</v>
      </c>
      <c r="M36" s="3626">
        <v>2051265.63</v>
      </c>
      <c r="N36" s="3626">
        <v>1690625</v>
      </c>
      <c r="O36" s="3626">
        <v>1630500</v>
      </c>
      <c r="P36" s="3626">
        <v>1567375</v>
      </c>
      <c r="Q36" s="3626">
        <v>1501125</v>
      </c>
      <c r="R36" s="3626">
        <v>1431500</v>
      </c>
    </row>
    <row r="37" spans="1:18">
      <c r="A37" s="3492" t="s">
        <v>2552</v>
      </c>
      <c r="B37" s="3492"/>
      <c r="C37" s="3493"/>
      <c r="D37" s="3605"/>
      <c r="E37" s="3622"/>
      <c r="F37" s="3622"/>
      <c r="G37" s="3627"/>
      <c r="H37" s="3627"/>
      <c r="I37" s="3627"/>
      <c r="J37" s="3627"/>
      <c r="K37" s="3627"/>
      <c r="L37" s="3627"/>
      <c r="M37" s="3627"/>
      <c r="N37" s="3627"/>
      <c r="O37" s="3627"/>
      <c r="P37" s="3627"/>
      <c r="Q37" s="3627"/>
      <c r="R37" s="3627"/>
    </row>
    <row r="38" spans="1:18">
      <c r="A38" s="3615" t="s">
        <v>724</v>
      </c>
      <c r="B38" s="3615"/>
      <c r="C38" s="3616"/>
      <c r="D38" s="3628"/>
      <c r="E38" s="3617"/>
      <c r="F38" s="3617">
        <v>0</v>
      </c>
      <c r="G38" s="3629">
        <v>0</v>
      </c>
      <c r="H38" s="3629">
        <v>0</v>
      </c>
      <c r="I38" s="3629">
        <v>0</v>
      </c>
      <c r="J38" s="3629">
        <v>0</v>
      </c>
      <c r="K38" s="3629">
        <v>0</v>
      </c>
      <c r="L38" s="3629">
        <v>0</v>
      </c>
      <c r="M38" s="3629">
        <v>0</v>
      </c>
      <c r="N38" s="3629">
        <v>0</v>
      </c>
      <c r="O38" s="3629">
        <v>0</v>
      </c>
      <c r="P38" s="3629">
        <v>0</v>
      </c>
      <c r="Q38" s="3629">
        <v>0</v>
      </c>
      <c r="R38" s="3629">
        <v>0</v>
      </c>
    </row>
    <row r="39" spans="1:18">
      <c r="A39" s="3620" t="s">
        <v>2277</v>
      </c>
      <c r="B39" s="3620"/>
      <c r="C39" s="3621"/>
      <c r="D39" s="3630"/>
      <c r="E39" s="3618"/>
      <c r="F39" s="3618">
        <v>1262500</v>
      </c>
      <c r="G39" s="3619">
        <v>1262500</v>
      </c>
      <c r="H39" s="3619">
        <v>2525000</v>
      </c>
      <c r="I39" s="3619">
        <v>3787500</v>
      </c>
      <c r="J39" s="3619">
        <v>3787500</v>
      </c>
      <c r="K39" s="3619">
        <v>3787500</v>
      </c>
      <c r="L39" s="3619">
        <v>3787500</v>
      </c>
      <c r="M39" s="3619">
        <v>3787500</v>
      </c>
      <c r="N39" s="3619">
        <v>3787500</v>
      </c>
      <c r="O39" s="3619">
        <v>3787500</v>
      </c>
      <c r="P39" s="3619">
        <v>3787500</v>
      </c>
      <c r="Q39" s="3619">
        <v>3787500</v>
      </c>
      <c r="R39" s="3619">
        <v>3787500</v>
      </c>
    </row>
    <row r="40" spans="1:18">
      <c r="A40" s="3623" t="s">
        <v>2278</v>
      </c>
      <c r="B40" s="3623"/>
      <c r="C40" s="3624"/>
      <c r="D40" s="3613"/>
      <c r="E40" s="3625"/>
      <c r="F40" s="3625"/>
      <c r="G40" s="3626"/>
      <c r="H40" s="3626"/>
      <c r="I40" s="3626"/>
      <c r="J40" s="3626"/>
      <c r="K40" s="3626"/>
      <c r="L40" s="3626"/>
      <c r="M40" s="3626"/>
      <c r="N40" s="3626"/>
      <c r="O40" s="3626"/>
      <c r="P40" s="3626"/>
      <c r="Q40" s="3626"/>
      <c r="R40" s="3626"/>
    </row>
    <row r="41" spans="1:18">
      <c r="A41" s="3517" t="s">
        <v>2553</v>
      </c>
      <c r="B41" s="3517"/>
      <c r="C41" s="3518"/>
      <c r="D41" s="3630"/>
      <c r="E41" s="3618"/>
      <c r="F41" s="3618"/>
      <c r="G41" s="3631"/>
      <c r="H41" s="3631"/>
      <c r="I41" s="3631"/>
      <c r="J41" s="3631"/>
      <c r="K41" s="3631" t="s">
        <v>3754</v>
      </c>
      <c r="L41" s="3631"/>
      <c r="M41" s="3632">
        <v>4.4999999999999998E-2</v>
      </c>
      <c r="N41" s="3631"/>
      <c r="O41" s="3631"/>
      <c r="P41" s="3631"/>
      <c r="Q41" s="3631"/>
      <c r="R41" s="3631"/>
    </row>
    <row r="42" spans="1:18">
      <c r="A42" s="3519" t="s">
        <v>724</v>
      </c>
      <c r="B42" s="3519"/>
      <c r="C42" s="3520"/>
      <c r="D42" s="3521"/>
      <c r="E42" s="3617"/>
      <c r="F42" s="3617"/>
      <c r="G42" s="3633"/>
      <c r="H42" s="3633"/>
      <c r="I42" s="3633"/>
      <c r="J42" s="3633"/>
      <c r="K42" s="3633"/>
      <c r="L42" s="3633"/>
      <c r="M42" s="3633"/>
      <c r="N42" s="3633"/>
      <c r="O42" s="3633"/>
      <c r="P42" s="3633"/>
      <c r="Q42" s="3633"/>
      <c r="R42" s="3633"/>
    </row>
    <row r="43" spans="1:18">
      <c r="A43" s="3522" t="s">
        <v>2277</v>
      </c>
      <c r="B43" s="3522"/>
      <c r="C43" s="3523"/>
      <c r="D43" s="3524"/>
      <c r="E43" s="3618"/>
      <c r="F43" s="3618"/>
      <c r="G43" s="3631"/>
      <c r="H43" s="3631"/>
      <c r="I43" s="3634">
        <v>0</v>
      </c>
      <c r="J43" s="3634">
        <v>0</v>
      </c>
      <c r="K43" s="3634">
        <v>0</v>
      </c>
      <c r="L43" s="3634">
        <v>0</v>
      </c>
      <c r="M43" s="3634">
        <v>0</v>
      </c>
      <c r="N43" s="3634">
        <v>-57704.842474154248</v>
      </c>
      <c r="O43" s="3634">
        <v>-502682.96641740471</v>
      </c>
      <c r="P43" s="3634">
        <v>-897907.45280154631</v>
      </c>
      <c r="Q43" s="3634">
        <v>-1328427.1438664957</v>
      </c>
      <c r="R43" s="3634">
        <v>-2229429.6090897447</v>
      </c>
    </row>
    <row r="44" spans="1:18">
      <c r="A44" s="3525" t="s">
        <v>2278</v>
      </c>
      <c r="B44" s="3525"/>
      <c r="C44" s="3526"/>
      <c r="D44" s="3527"/>
      <c r="E44" s="3625"/>
      <c r="F44" s="3625"/>
      <c r="G44" s="3635"/>
      <c r="H44" s="3635"/>
      <c r="I44" s="3636">
        <v>0</v>
      </c>
      <c r="J44" s="3636">
        <v>0</v>
      </c>
      <c r="K44" s="3636">
        <v>0</v>
      </c>
      <c r="L44" s="3636">
        <v>0</v>
      </c>
      <c r="M44" s="3636">
        <v>0</v>
      </c>
      <c r="N44" s="3636">
        <v>-57704.842474154248</v>
      </c>
      <c r="O44" s="3636">
        <v>-502682.96641740471</v>
      </c>
      <c r="P44" s="3636">
        <v>-897907.45280154631</v>
      </c>
      <c r="Q44" s="3636">
        <v>-1328427.1438664957</v>
      </c>
      <c r="R44" s="3636">
        <v>-2229429.6090897447</v>
      </c>
    </row>
    <row r="45" spans="1:18">
      <c r="A45" s="3496" t="s">
        <v>602</v>
      </c>
      <c r="B45" s="3496"/>
      <c r="C45" s="3501"/>
      <c r="D45" s="3501"/>
      <c r="E45" s="3528"/>
      <c r="F45" s="3528"/>
      <c r="G45" s="3529"/>
      <c r="H45" s="3529"/>
      <c r="I45" s="3529"/>
      <c r="J45" s="3529"/>
      <c r="K45" s="3529"/>
      <c r="L45" s="3529"/>
      <c r="M45" s="3529"/>
      <c r="N45" s="3529"/>
      <c r="O45" s="3529"/>
      <c r="P45" s="3529"/>
      <c r="Q45" s="3529"/>
      <c r="R45" s="3529"/>
    </row>
    <row r="46" spans="1:18">
      <c r="A46" s="3530" t="s">
        <v>724</v>
      </c>
      <c r="B46" s="3530"/>
      <c r="C46" s="3531"/>
      <c r="D46" s="3528">
        <v>11255000</v>
      </c>
      <c r="E46" s="3528">
        <v>5595000</v>
      </c>
      <c r="F46" s="3528">
        <v>950000</v>
      </c>
      <c r="G46" s="3529">
        <v>0</v>
      </c>
      <c r="H46" s="3529">
        <v>0</v>
      </c>
      <c r="I46" s="3529">
        <v>0</v>
      </c>
      <c r="J46" s="3529">
        <v>14415000</v>
      </c>
      <c r="K46" s="3529">
        <v>15130000</v>
      </c>
      <c r="L46" s="3529">
        <v>15870000</v>
      </c>
      <c r="M46" s="3529">
        <v>16645000</v>
      </c>
      <c r="N46" s="3529">
        <v>15110000</v>
      </c>
      <c r="O46" s="3529">
        <v>2405000</v>
      </c>
      <c r="P46" s="3529">
        <v>2525000</v>
      </c>
      <c r="Q46" s="3529">
        <v>2650000</v>
      </c>
      <c r="R46" s="3529">
        <v>2785000</v>
      </c>
    </row>
    <row r="47" spans="1:18">
      <c r="A47" s="3530" t="s">
        <v>725</v>
      </c>
      <c r="B47" s="3530"/>
      <c r="C47" s="3531"/>
      <c r="D47" s="3528">
        <v>6752381.2599999998</v>
      </c>
      <c r="E47" s="3528">
        <v>6557044.4499999806</v>
      </c>
      <c r="F47" s="3528">
        <v>8603978.4299999997</v>
      </c>
      <c r="G47" s="3529">
        <v>8406331.2599999793</v>
      </c>
      <c r="H47" s="3529">
        <v>9668831.2599999793</v>
      </c>
      <c r="I47" s="3529">
        <v>10931331.259999979</v>
      </c>
      <c r="J47" s="3529">
        <v>10573456.259999979</v>
      </c>
      <c r="K47" s="3529">
        <v>9843831.2599999793</v>
      </c>
      <c r="L47" s="3529">
        <v>9085456.2599999793</v>
      </c>
      <c r="M47" s="3529">
        <v>8294431.2599999905</v>
      </c>
      <c r="N47" s="3529">
        <v>7413980.9450516915</v>
      </c>
      <c r="O47" s="3529">
        <v>6103259.0671651904</v>
      </c>
      <c r="P47" s="3529">
        <v>5189560.0943969078</v>
      </c>
      <c r="Q47" s="3529">
        <v>4199145.7122670077</v>
      </c>
      <c r="R47" s="3529">
        <v>2261265.78182051</v>
      </c>
    </row>
    <row r="48" spans="1:18">
      <c r="A48" s="3532" t="s">
        <v>2879</v>
      </c>
      <c r="B48" s="3532"/>
      <c r="C48" s="3501"/>
      <c r="D48" s="3533">
        <v>18007381.259999998</v>
      </c>
      <c r="E48" s="3533">
        <v>12152044.449999981</v>
      </c>
      <c r="F48" s="3533">
        <v>9553978.4299999997</v>
      </c>
      <c r="G48" s="3534">
        <v>8406331.2599999793</v>
      </c>
      <c r="H48" s="3534">
        <v>9668831.2599999793</v>
      </c>
      <c r="I48" s="3534">
        <v>10931331.259999979</v>
      </c>
      <c r="J48" s="3534">
        <v>24988456.259999979</v>
      </c>
      <c r="K48" s="3534">
        <v>24973831.259999979</v>
      </c>
      <c r="L48" s="3534">
        <v>24955456.259999979</v>
      </c>
      <c r="M48" s="3534">
        <v>24939431.25999999</v>
      </c>
      <c r="N48" s="3534">
        <v>22523980.945051692</v>
      </c>
      <c r="O48" s="3534">
        <v>8508259.0671651904</v>
      </c>
      <c r="P48" s="3534">
        <v>7714560.0943969078</v>
      </c>
      <c r="Q48" s="3534">
        <v>6849145.7122670077</v>
      </c>
      <c r="R48" s="3534">
        <v>5046265.7818205096</v>
      </c>
    </row>
    <row r="49" spans="1:18">
      <c r="A49" s="3535" t="s">
        <v>2554</v>
      </c>
      <c r="B49" s="3535"/>
      <c r="C49" s="3536"/>
      <c r="D49" s="3537">
        <v>6262656.9499999899</v>
      </c>
      <c r="E49" s="3537">
        <v>7193043.5399999898</v>
      </c>
      <c r="F49" s="3537">
        <v>7320529.7999999998</v>
      </c>
      <c r="G49" s="3538">
        <v>9668831.2599999793</v>
      </c>
      <c r="H49" s="3538">
        <v>10931331.259999979</v>
      </c>
      <c r="I49" s="3538">
        <v>10931331.259999979</v>
      </c>
      <c r="J49" s="3538">
        <v>10215581.259999979</v>
      </c>
      <c r="K49" s="3538">
        <v>9472081.2599999793</v>
      </c>
      <c r="L49" s="3538">
        <v>8698831.2599999793</v>
      </c>
      <c r="M49" s="3538">
        <v>7832326.4175258456</v>
      </c>
      <c r="N49" s="3538">
        <v>6608362.191108441</v>
      </c>
      <c r="O49" s="3538">
        <v>5647909.5807810491</v>
      </c>
      <c r="P49" s="3538">
        <v>4695915.4033319578</v>
      </c>
      <c r="Q49" s="3538">
        <v>3231893.2470437591</v>
      </c>
      <c r="R49" s="3538">
        <v>1527066.9304331029</v>
      </c>
    </row>
    <row r="50" spans="1:18">
      <c r="A50" s="3535" t="s">
        <v>2555</v>
      </c>
      <c r="B50" s="3535"/>
      <c r="C50" s="3536"/>
      <c r="D50" s="3537">
        <v>5595000</v>
      </c>
      <c r="E50" s="3537">
        <v>950000</v>
      </c>
      <c r="F50" s="3537">
        <v>0</v>
      </c>
      <c r="G50" s="3538">
        <v>0</v>
      </c>
      <c r="H50" s="3538">
        <v>0</v>
      </c>
      <c r="I50" s="3538">
        <v>14415000</v>
      </c>
      <c r="J50" s="3538">
        <v>15130000</v>
      </c>
      <c r="K50" s="3538">
        <v>15870000</v>
      </c>
      <c r="L50" s="3538">
        <v>16645000</v>
      </c>
      <c r="M50" s="3538">
        <v>15110000</v>
      </c>
      <c r="N50" s="3538">
        <v>2405000</v>
      </c>
      <c r="O50" s="3538">
        <v>2525000</v>
      </c>
      <c r="P50" s="3538">
        <v>2650000</v>
      </c>
      <c r="Q50" s="3538">
        <v>2785000</v>
      </c>
      <c r="R50" s="3538">
        <v>2920000</v>
      </c>
    </row>
    <row r="51" spans="1:18">
      <c r="A51" s="3539" t="s">
        <v>2556</v>
      </c>
      <c r="B51" s="3539"/>
      <c r="C51" s="3501"/>
      <c r="D51" s="3540">
        <v>11857656.94999999</v>
      </c>
      <c r="E51" s="3540">
        <v>8143043.5399999898</v>
      </c>
      <c r="F51" s="3540">
        <v>7320529.7999999998</v>
      </c>
      <c r="G51" s="3541">
        <v>9668831.2599999793</v>
      </c>
      <c r="H51" s="3541">
        <v>10931331.259999979</v>
      </c>
      <c r="I51" s="3541">
        <v>25346331.259999979</v>
      </c>
      <c r="J51" s="3541">
        <v>25345581.259999979</v>
      </c>
      <c r="K51" s="3541">
        <v>25342081.259999979</v>
      </c>
      <c r="L51" s="3541">
        <v>25343831.259999979</v>
      </c>
      <c r="M51" s="3541">
        <v>22942326.417525847</v>
      </c>
      <c r="N51" s="3541">
        <v>9013362.191108441</v>
      </c>
      <c r="O51" s="3541">
        <v>8172909.5807810491</v>
      </c>
      <c r="P51" s="3541">
        <v>7345915.4033319578</v>
      </c>
      <c r="Q51" s="3541">
        <v>6016893.2470437586</v>
      </c>
      <c r="R51" s="3541">
        <v>4447066.9304331029</v>
      </c>
    </row>
    <row r="52" spans="1:18">
      <c r="A52" s="3530"/>
      <c r="B52" s="3530"/>
      <c r="C52" s="3531"/>
      <c r="D52" s="3501"/>
      <c r="E52" s="3528"/>
      <c r="F52" s="3528"/>
      <c r="G52" s="3529"/>
      <c r="H52" s="3529"/>
      <c r="I52" s="3529"/>
      <c r="J52" s="3529"/>
      <c r="K52" s="3529"/>
      <c r="L52" s="3529"/>
      <c r="M52" s="3529"/>
      <c r="N52" s="3529"/>
      <c r="O52" s="3529"/>
      <c r="P52" s="3529"/>
      <c r="Q52" s="3529"/>
      <c r="R52" s="3529"/>
    </row>
    <row r="53" spans="1:18">
      <c r="C53" s="3605"/>
      <c r="D53" s="3605"/>
      <c r="E53" s="3637"/>
      <c r="F53" s="3637"/>
      <c r="G53" s="3638"/>
      <c r="H53" s="3638"/>
      <c r="I53" s="3638"/>
      <c r="J53" s="3638"/>
      <c r="K53" s="3638"/>
      <c r="L53" s="3638"/>
      <c r="M53" s="3638"/>
      <c r="N53" s="3638"/>
      <c r="O53" s="3638"/>
      <c r="P53" s="3638"/>
      <c r="Q53" s="3638"/>
      <c r="R53" s="3638"/>
    </row>
    <row r="54" spans="1:18" ht="18.75">
      <c r="A54" s="3542" t="s">
        <v>2557</v>
      </c>
      <c r="B54" s="3542"/>
      <c r="C54" s="3543"/>
      <c r="D54" s="3515">
        <v>41275</v>
      </c>
      <c r="E54" s="3515">
        <v>41640</v>
      </c>
      <c r="F54" s="3515">
        <v>42005</v>
      </c>
      <c r="G54" s="3544">
        <v>42370</v>
      </c>
      <c r="H54" s="3544">
        <v>42736</v>
      </c>
      <c r="I54" s="3544">
        <v>43101</v>
      </c>
      <c r="J54" s="3544">
        <v>43466</v>
      </c>
      <c r="K54" s="3544">
        <v>43831</v>
      </c>
      <c r="L54" s="3544">
        <v>44197</v>
      </c>
      <c r="M54" s="3544">
        <v>44562</v>
      </c>
      <c r="N54" s="3544">
        <v>44927</v>
      </c>
      <c r="O54" s="3544">
        <v>45292</v>
      </c>
      <c r="P54" s="3544">
        <v>45658</v>
      </c>
      <c r="Q54" s="3544">
        <v>46023</v>
      </c>
      <c r="R54" s="3544">
        <v>46388</v>
      </c>
    </row>
    <row r="55" spans="1:18">
      <c r="C55" s="3605"/>
      <c r="D55" s="3515">
        <v>41456</v>
      </c>
      <c r="E55" s="3515">
        <v>41821</v>
      </c>
      <c r="F55" s="3515">
        <v>42186</v>
      </c>
      <c r="G55" s="3544">
        <v>42552</v>
      </c>
      <c r="H55" s="3544">
        <v>42917</v>
      </c>
      <c r="I55" s="3544">
        <v>43282</v>
      </c>
      <c r="J55" s="3544">
        <v>43647</v>
      </c>
      <c r="K55" s="3544">
        <v>44013</v>
      </c>
      <c r="L55" s="3544">
        <v>44378</v>
      </c>
      <c r="M55" s="3544">
        <v>44743</v>
      </c>
      <c r="N55" s="3544">
        <v>45108</v>
      </c>
      <c r="O55" s="3544">
        <v>45474</v>
      </c>
      <c r="P55" s="3544">
        <v>45839</v>
      </c>
      <c r="Q55" s="3544">
        <v>46204</v>
      </c>
      <c r="R55" s="3544">
        <v>46569</v>
      </c>
    </row>
    <row r="56" spans="1:18">
      <c r="A56" s="3639"/>
      <c r="B56" s="3639"/>
      <c r="C56" s="3605"/>
      <c r="D56" s="3545"/>
      <c r="E56" s="3545"/>
      <c r="F56" s="3545"/>
      <c r="G56" s="3546"/>
      <c r="H56" s="3546"/>
      <c r="I56" s="3546"/>
      <c r="J56" s="3546"/>
      <c r="K56" s="3546"/>
      <c r="L56" s="3546"/>
      <c r="M56" s="3546"/>
      <c r="N56" s="3546"/>
      <c r="O56" s="3546"/>
      <c r="P56" s="3546"/>
      <c r="Q56" s="3546"/>
      <c r="R56" s="3546"/>
    </row>
    <row r="57" spans="1:18">
      <c r="A57" s="3547" t="s">
        <v>707</v>
      </c>
      <c r="B57" s="3547"/>
      <c r="C57" s="3548"/>
      <c r="D57" s="3605"/>
      <c r="E57" s="3605"/>
      <c r="F57" s="3605"/>
    </row>
    <row r="58" spans="1:18">
      <c r="A58" s="3640" t="s">
        <v>2885</v>
      </c>
      <c r="B58" s="3640"/>
      <c r="C58" s="3641"/>
      <c r="D58" s="3617">
        <v>27610000</v>
      </c>
      <c r="E58" s="3617">
        <v>29695000</v>
      </c>
      <c r="F58" s="3617">
        <v>28630000</v>
      </c>
      <c r="G58" s="3642">
        <v>30915000</v>
      </c>
      <c r="H58" s="3642">
        <v>32075000</v>
      </c>
      <c r="I58" s="3642">
        <v>31610000</v>
      </c>
      <c r="J58" s="3642">
        <v>29175000</v>
      </c>
      <c r="K58" s="3642">
        <v>30525000</v>
      </c>
      <c r="L58" s="3642">
        <v>31940000</v>
      </c>
      <c r="M58" s="3642">
        <v>27530000</v>
      </c>
      <c r="N58" s="3642">
        <v>28850000</v>
      </c>
      <c r="O58" s="3642">
        <v>23835000</v>
      </c>
      <c r="P58" s="3642">
        <v>24945000</v>
      </c>
      <c r="Q58" s="3642">
        <v>26150000</v>
      </c>
      <c r="R58" s="3642">
        <v>27400000</v>
      </c>
    </row>
    <row r="59" spans="1:18">
      <c r="A59" s="3643" t="s">
        <v>2886</v>
      </c>
      <c r="B59" s="3643"/>
      <c r="C59" s="3644"/>
      <c r="D59" s="3618">
        <v>23995646.760000002</v>
      </c>
      <c r="E59" s="3618">
        <v>24798759.739999902</v>
      </c>
      <c r="F59" s="3618">
        <v>23079728.989999902</v>
      </c>
      <c r="G59" s="3619">
        <v>24829367.170000002</v>
      </c>
      <c r="H59" s="3619">
        <v>26956988.09</v>
      </c>
      <c r="I59" s="3619">
        <v>26279804.59</v>
      </c>
      <c r="J59" s="3619">
        <v>25578672.390000001</v>
      </c>
      <c r="K59" s="3619">
        <v>24871989.789999999</v>
      </c>
      <c r="L59" s="3619">
        <v>24153635.91</v>
      </c>
      <c r="M59" s="3619">
        <v>23351975.210000001</v>
      </c>
      <c r="N59" s="3619">
        <v>22677255.66</v>
      </c>
      <c r="O59" s="3619">
        <v>21953223.960000001</v>
      </c>
      <c r="P59" s="3619">
        <v>21357702.32</v>
      </c>
      <c r="Q59" s="3619">
        <v>20722682.91</v>
      </c>
      <c r="R59" s="3619">
        <v>20061678.91</v>
      </c>
    </row>
    <row r="60" spans="1:18">
      <c r="A60" s="3643" t="s">
        <v>2887</v>
      </c>
      <c r="B60" s="3645"/>
      <c r="C60" s="3646"/>
      <c r="D60" s="3625">
        <v>23119176.09</v>
      </c>
      <c r="E60" s="3625">
        <v>24932356.079999901</v>
      </c>
      <c r="F60" s="3625">
        <v>26494077.440000001</v>
      </c>
      <c r="G60" s="3619">
        <v>26956988.09</v>
      </c>
      <c r="H60" s="3619">
        <v>26279804.59</v>
      </c>
      <c r="I60" s="3619">
        <v>25578672.390000001</v>
      </c>
      <c r="J60" s="3619">
        <v>24871989.789999999</v>
      </c>
      <c r="K60" s="3619">
        <v>24153635.91</v>
      </c>
      <c r="L60" s="3619">
        <v>23351975.210000001</v>
      </c>
      <c r="M60" s="3619">
        <v>22677255.66</v>
      </c>
      <c r="N60" s="3619">
        <v>21953223.960000001</v>
      </c>
      <c r="O60" s="3619">
        <v>21357702.32</v>
      </c>
      <c r="P60" s="3619">
        <v>20722682.91</v>
      </c>
      <c r="Q60" s="3619">
        <v>20061678.91</v>
      </c>
      <c r="R60" s="3619">
        <v>16855591.91</v>
      </c>
    </row>
    <row r="61" spans="1:18">
      <c r="A61" s="3640" t="s">
        <v>3755</v>
      </c>
      <c r="B61" s="3643"/>
      <c r="C61" s="3644"/>
      <c r="D61" s="3618"/>
      <c r="E61" s="3618"/>
      <c r="F61" s="3618"/>
      <c r="G61" s="3642">
        <v>1020000</v>
      </c>
      <c r="H61" s="3642">
        <v>1025000</v>
      </c>
      <c r="I61" s="3642">
        <v>1445000</v>
      </c>
      <c r="J61" s="3642">
        <v>1590000</v>
      </c>
      <c r="K61" s="3642">
        <v>1620000</v>
      </c>
      <c r="L61" s="3642">
        <v>1665000</v>
      </c>
      <c r="M61" s="3642">
        <v>1715000</v>
      </c>
      <c r="N61" s="3642">
        <v>1770000</v>
      </c>
      <c r="O61" s="3642">
        <v>1835000</v>
      </c>
      <c r="P61" s="3642">
        <v>1905000</v>
      </c>
      <c r="Q61" s="3642">
        <v>1990000</v>
      </c>
      <c r="R61" s="3642">
        <v>2070000</v>
      </c>
    </row>
    <row r="62" spans="1:18">
      <c r="A62" s="3643" t="s">
        <v>3756</v>
      </c>
      <c r="B62" s="3643"/>
      <c r="C62" s="3644"/>
      <c r="D62" s="3618"/>
      <c r="E62" s="3618"/>
      <c r="F62" s="3618"/>
      <c r="G62" s="3619">
        <v>1089159.9399999899</v>
      </c>
      <c r="H62" s="3619">
        <v>1710301.88</v>
      </c>
      <c r="I62" s="3619">
        <v>2434324.38</v>
      </c>
      <c r="J62" s="3619">
        <v>2422018.88</v>
      </c>
      <c r="K62" s="3619">
        <v>2403765.63</v>
      </c>
      <c r="L62" s="3619">
        <v>2383205.13</v>
      </c>
      <c r="M62" s="3619">
        <v>2357825.13</v>
      </c>
      <c r="N62" s="3619">
        <v>2330442.13</v>
      </c>
      <c r="O62" s="3619">
        <v>2298510.38</v>
      </c>
      <c r="P62" s="3619">
        <v>2264062.38</v>
      </c>
      <c r="Q62" s="3619">
        <v>2224423.38</v>
      </c>
      <c r="R62" s="3619">
        <v>2182954.38</v>
      </c>
    </row>
    <row r="63" spans="1:18">
      <c r="A63" s="3643" t="s">
        <v>3757</v>
      </c>
      <c r="B63" s="3643"/>
      <c r="C63" s="3644"/>
      <c r="D63" s="3618"/>
      <c r="E63" s="3618"/>
      <c r="F63" s="3618"/>
      <c r="G63" s="3619">
        <v>1710301.8799999901</v>
      </c>
      <c r="H63" s="3619">
        <v>2555994.17</v>
      </c>
      <c r="I63" s="3619">
        <v>2422018.88</v>
      </c>
      <c r="J63" s="3619">
        <v>2403765.63</v>
      </c>
      <c r="K63" s="3619">
        <v>2383205.13</v>
      </c>
      <c r="L63" s="3619">
        <v>2357825.13</v>
      </c>
      <c r="M63" s="3619">
        <v>2330442.13</v>
      </c>
      <c r="N63" s="3619">
        <v>2298510.38</v>
      </c>
      <c r="O63" s="3619">
        <v>2264062.38</v>
      </c>
      <c r="P63" s="3619">
        <v>2224423.38</v>
      </c>
      <c r="Q63" s="3619">
        <v>2182954.38</v>
      </c>
      <c r="R63" s="3619">
        <v>2139719.38</v>
      </c>
    </row>
    <row r="64" spans="1:18">
      <c r="A64" s="3643" t="s">
        <v>3758</v>
      </c>
      <c r="B64" s="3643"/>
      <c r="C64" s="3644"/>
      <c r="D64" s="3618">
        <v>4775037</v>
      </c>
      <c r="E64" s="3549">
        <v>4382056</v>
      </c>
      <c r="F64" s="3549">
        <v>4108312</v>
      </c>
      <c r="G64" s="3550">
        <v>4297412</v>
      </c>
      <c r="H64" s="3550">
        <v>4375492</v>
      </c>
      <c r="I64" s="3550">
        <v>4375492</v>
      </c>
      <c r="J64" s="3550">
        <v>4375492</v>
      </c>
      <c r="K64" s="3550">
        <v>4375492</v>
      </c>
      <c r="L64" s="3550">
        <v>4375492</v>
      </c>
      <c r="M64" s="3550">
        <v>4375492</v>
      </c>
      <c r="N64" s="3550">
        <v>4375492</v>
      </c>
      <c r="O64" s="3550">
        <v>4375492</v>
      </c>
      <c r="P64" s="3550">
        <v>4375492</v>
      </c>
      <c r="Q64" s="3550">
        <v>4375492</v>
      </c>
      <c r="R64" s="3550"/>
    </row>
    <row r="65" spans="1:18">
      <c r="A65" s="3643" t="s">
        <v>3759</v>
      </c>
      <c r="B65" s="3643"/>
      <c r="C65" s="3644"/>
      <c r="D65" s="3618">
        <v>1744839.06</v>
      </c>
      <c r="E65" s="3551">
        <v>1752723</v>
      </c>
      <c r="F65" s="3551">
        <v>1602818</v>
      </c>
      <c r="G65" s="3552">
        <v>1721052</v>
      </c>
      <c r="H65" s="3552">
        <v>1763858</v>
      </c>
      <c r="I65" s="3552">
        <v>1763858</v>
      </c>
      <c r="J65" s="3552">
        <v>1763858</v>
      </c>
      <c r="K65" s="3552">
        <v>1763858</v>
      </c>
      <c r="L65" s="3552">
        <v>1763858</v>
      </c>
      <c r="M65" s="3552">
        <v>1763858</v>
      </c>
      <c r="N65" s="3552">
        <v>1763858</v>
      </c>
      <c r="O65" s="3552">
        <v>1763858</v>
      </c>
      <c r="P65" s="3552">
        <v>1763858</v>
      </c>
      <c r="Q65" s="3552">
        <v>1763858</v>
      </c>
      <c r="R65" s="3552">
        <v>1763858</v>
      </c>
    </row>
    <row r="66" spans="1:18">
      <c r="A66" s="3645" t="s">
        <v>3760</v>
      </c>
      <c r="B66" s="3645"/>
      <c r="C66" s="3646"/>
      <c r="D66" s="3625"/>
      <c r="E66" s="3553"/>
      <c r="F66" s="3553"/>
      <c r="G66" s="3554">
        <v>2941856</v>
      </c>
      <c r="H66" s="3554">
        <v>2995580</v>
      </c>
      <c r="I66" s="3554">
        <v>2995580</v>
      </c>
      <c r="J66" s="3554">
        <v>2995580</v>
      </c>
      <c r="K66" s="3554">
        <v>2995580</v>
      </c>
      <c r="L66" s="3554">
        <v>2995580</v>
      </c>
      <c r="M66" s="3554">
        <v>2995580</v>
      </c>
      <c r="N66" s="3554">
        <v>2995580</v>
      </c>
      <c r="O66" s="3554">
        <v>2995580</v>
      </c>
      <c r="P66" s="3554">
        <v>2995580</v>
      </c>
      <c r="Q66" s="3554">
        <v>2995580</v>
      </c>
      <c r="R66" s="3554">
        <v>2995580</v>
      </c>
    </row>
    <row r="67" spans="1:18">
      <c r="A67" s="3547" t="s">
        <v>2552</v>
      </c>
      <c r="B67" s="3547"/>
      <c r="C67" s="3548"/>
      <c r="D67" s="3605"/>
      <c r="E67" s="3605"/>
      <c r="F67" s="3605"/>
    </row>
    <row r="68" spans="1:18">
      <c r="A68" s="3615" t="s">
        <v>2880</v>
      </c>
      <c r="B68" s="3615"/>
      <c r="C68" s="3616"/>
      <c r="D68" s="3617"/>
      <c r="E68" s="3617"/>
      <c r="F68" s="3617">
        <v>0</v>
      </c>
      <c r="G68" s="3633">
        <v>0</v>
      </c>
      <c r="H68" s="3633">
        <v>0</v>
      </c>
      <c r="I68" s="3633">
        <v>0</v>
      </c>
      <c r="J68" s="3633">
        <v>0</v>
      </c>
      <c r="K68" s="3633">
        <v>0</v>
      </c>
      <c r="L68" s="3633">
        <v>0</v>
      </c>
      <c r="M68" s="3633">
        <v>0</v>
      </c>
      <c r="N68" s="3633">
        <v>0</v>
      </c>
      <c r="O68" s="3633">
        <v>4041631.7003656584</v>
      </c>
      <c r="P68" s="3633">
        <v>4203296.9683802845</v>
      </c>
      <c r="Q68" s="3633">
        <v>4371428.8471154971</v>
      </c>
      <c r="R68" s="3633">
        <v>4546286.0010001166</v>
      </c>
    </row>
    <row r="69" spans="1:18">
      <c r="A69" s="3620" t="s">
        <v>725</v>
      </c>
      <c r="B69" s="3620"/>
      <c r="C69" s="3621"/>
      <c r="D69" s="3618"/>
      <c r="E69" s="3618"/>
      <c r="F69" s="3618">
        <v>0</v>
      </c>
      <c r="G69" s="3631">
        <v>0</v>
      </c>
      <c r="H69" s="3631">
        <v>0</v>
      </c>
      <c r="I69" s="3631">
        <v>284545.91553483112</v>
      </c>
      <c r="J69" s="3631">
        <v>3611266.9562229728</v>
      </c>
      <c r="K69" s="3631">
        <v>5644978.4352720454</v>
      </c>
      <c r="L69" s="3631">
        <v>6599803.2183700232</v>
      </c>
      <c r="M69" s="3631">
        <v>7015978.8292884715</v>
      </c>
      <c r="N69" s="3631">
        <v>7015978.8292884715</v>
      </c>
      <c r="O69" s="3631">
        <v>7015978.8292884715</v>
      </c>
      <c r="P69" s="3631">
        <v>6854313.5612738449</v>
      </c>
      <c r="Q69" s="3631">
        <v>6686181.6825386332</v>
      </c>
      <c r="R69" s="3631">
        <v>6511324.5286540138</v>
      </c>
    </row>
    <row r="70" spans="1:18">
      <c r="A70" s="3620" t="s">
        <v>3761</v>
      </c>
      <c r="B70" s="3620"/>
      <c r="C70" s="3621"/>
      <c r="D70" s="3618"/>
      <c r="E70" s="3618"/>
      <c r="F70" s="3618"/>
      <c r="G70" s="3631">
        <v>0</v>
      </c>
      <c r="H70" s="3631">
        <v>0</v>
      </c>
      <c r="I70" s="3631">
        <v>1892165.4944389544</v>
      </c>
      <c r="J70" s="3631">
        <v>2042253.2223799485</v>
      </c>
      <c r="K70" s="3631">
        <v>2416565.1802953519</v>
      </c>
      <c r="L70" s="3631">
        <v>3172770.973184356</v>
      </c>
      <c r="M70" s="3631">
        <v>4221209.9039278338</v>
      </c>
      <c r="N70" s="3631">
        <v>5487178.5366789531</v>
      </c>
      <c r="O70" s="3631">
        <v>6775878.2597280322</v>
      </c>
      <c r="P70" s="3631">
        <v>8412300.4431705698</v>
      </c>
      <c r="Q70" s="3631">
        <v>10083192.493584108</v>
      </c>
      <c r="R70" s="3631">
        <v>11526610.904360276</v>
      </c>
    </row>
    <row r="71" spans="1:18">
      <c r="A71" s="3620" t="s">
        <v>3762</v>
      </c>
      <c r="B71" s="3620"/>
      <c r="C71" s="3621"/>
      <c r="D71" s="3618"/>
      <c r="E71" s="3618"/>
      <c r="F71" s="3618"/>
      <c r="G71" s="3631">
        <v>0</v>
      </c>
      <c r="H71" s="3631">
        <v>0</v>
      </c>
      <c r="I71" s="3631">
        <v>4244879.3587843738</v>
      </c>
      <c r="J71" s="3631">
        <v>4336103.9998039594</v>
      </c>
      <c r="K71" s="3631">
        <v>4910880.9535123939</v>
      </c>
      <c r="L71" s="3631">
        <v>6293835.8868044168</v>
      </c>
      <c r="M71" s="3631">
        <v>8234278.8744777199</v>
      </c>
      <c r="N71" s="3631">
        <v>10526707.285296423</v>
      </c>
      <c r="O71" s="3631">
        <v>12705888.987040261</v>
      </c>
      <c r="P71" s="3631">
        <v>15497959.771695014</v>
      </c>
      <c r="Q71" s="3631">
        <v>18155057.464678228</v>
      </c>
      <c r="R71" s="3631">
        <v>20085066.676268626</v>
      </c>
    </row>
    <row r="72" spans="1:18">
      <c r="A72" s="3555" t="s">
        <v>2553</v>
      </c>
      <c r="B72" s="3555"/>
      <c r="C72" s="3556"/>
      <c r="D72" s="3557"/>
      <c r="E72" s="3557"/>
      <c r="F72" s="3557"/>
      <c r="G72" s="3558"/>
      <c r="H72" s="3558"/>
      <c r="I72" s="3558"/>
      <c r="J72" s="3558"/>
      <c r="K72" s="3558"/>
      <c r="L72" s="3558"/>
      <c r="M72" s="3558"/>
      <c r="N72" s="3558"/>
      <c r="O72" s="3558"/>
      <c r="P72" s="3558"/>
      <c r="Q72" s="3558"/>
      <c r="R72" s="3558"/>
    </row>
    <row r="73" spans="1:18">
      <c r="A73" s="3559" t="s">
        <v>724</v>
      </c>
      <c r="B73" s="3559"/>
      <c r="C73" s="3520"/>
      <c r="D73" s="3521"/>
      <c r="E73" s="3521"/>
      <c r="F73" s="3521"/>
      <c r="G73" s="3634"/>
      <c r="H73" s="3634"/>
      <c r="I73" s="3634"/>
      <c r="J73" s="3634"/>
      <c r="K73" s="3634"/>
      <c r="L73" s="3634"/>
      <c r="M73" s="3634"/>
      <c r="N73" s="3634"/>
      <c r="O73" s="3560"/>
      <c r="P73" s="3560"/>
      <c r="Q73" s="3560"/>
      <c r="R73" s="3560"/>
    </row>
    <row r="74" spans="1:18">
      <c r="A74" s="3561" t="s">
        <v>2277</v>
      </c>
      <c r="B74" s="3561"/>
      <c r="C74" s="3523"/>
      <c r="D74" s="3524"/>
      <c r="E74" s="3562"/>
      <c r="F74" s="3562"/>
      <c r="G74" s="3634"/>
      <c r="H74" s="3634"/>
      <c r="I74" s="3634"/>
      <c r="J74" s="3634"/>
      <c r="K74" s="3634"/>
      <c r="L74" s="3634"/>
      <c r="M74" s="3634"/>
      <c r="N74" s="3634"/>
      <c r="O74" s="3634"/>
      <c r="P74" s="3634"/>
      <c r="Q74" s="3634"/>
      <c r="R74" s="3634"/>
    </row>
    <row r="75" spans="1:18">
      <c r="A75" s="3561" t="s">
        <v>2278</v>
      </c>
      <c r="B75" s="3561"/>
      <c r="C75" s="3523"/>
      <c r="D75" s="3524"/>
      <c r="E75" s="3524"/>
      <c r="F75" s="3524"/>
      <c r="G75" s="3634"/>
      <c r="H75" s="3634"/>
      <c r="I75" s="3634"/>
      <c r="J75" s="3634"/>
      <c r="K75" s="3634"/>
      <c r="L75" s="3634"/>
      <c r="M75" s="3634"/>
      <c r="N75" s="3634"/>
      <c r="O75" s="3634"/>
      <c r="P75" s="3634"/>
      <c r="Q75" s="3634"/>
      <c r="R75" s="3634"/>
    </row>
    <row r="76" spans="1:18">
      <c r="A76" s="3563" t="s">
        <v>2560</v>
      </c>
      <c r="B76" s="3563"/>
      <c r="C76" s="3526"/>
      <c r="D76" s="3527"/>
      <c r="E76" s="3527"/>
      <c r="F76" s="3527"/>
      <c r="G76" s="3636"/>
      <c r="H76" s="3636"/>
      <c r="I76" s="3636"/>
      <c r="J76" s="3636"/>
      <c r="K76" s="3636"/>
      <c r="L76" s="3636"/>
      <c r="M76" s="3636"/>
      <c r="N76" s="3636"/>
      <c r="O76" s="3636"/>
      <c r="P76" s="3636"/>
      <c r="Q76" s="3636"/>
      <c r="R76" s="3636"/>
    </row>
    <row r="77" spans="1:18">
      <c r="A77" s="3564" t="s">
        <v>602</v>
      </c>
      <c r="B77" s="3564"/>
      <c r="C77" s="3565"/>
      <c r="D77" s="3605"/>
      <c r="E77" s="3605"/>
      <c r="F77" s="3605"/>
    </row>
    <row r="78" spans="1:18">
      <c r="A78" s="3566" t="s">
        <v>724</v>
      </c>
      <c r="B78" s="3566"/>
      <c r="C78" s="3567"/>
      <c r="D78" s="3637">
        <v>27610000</v>
      </c>
      <c r="E78" s="3637">
        <v>29695000</v>
      </c>
      <c r="F78" s="3637">
        <v>28630000</v>
      </c>
      <c r="G78" s="3606">
        <v>31935000</v>
      </c>
      <c r="H78" s="3606">
        <v>33100000</v>
      </c>
      <c r="I78" s="3606">
        <v>34947165.494438954</v>
      </c>
      <c r="J78" s="3606">
        <v>32807253.222379949</v>
      </c>
      <c r="K78" s="3606">
        <v>34561565.180295348</v>
      </c>
      <c r="L78" s="3606">
        <v>36777770.973184355</v>
      </c>
      <c r="M78" s="3606">
        <v>33466209.903927833</v>
      </c>
      <c r="N78" s="3606">
        <v>36107178.536678955</v>
      </c>
      <c r="O78" s="3606">
        <v>36487509.960093692</v>
      </c>
      <c r="P78" s="3606">
        <v>39465597.41155085</v>
      </c>
      <c r="Q78" s="3606">
        <v>42594621.340699606</v>
      </c>
      <c r="R78" s="3606">
        <v>45542896.905360386</v>
      </c>
    </row>
    <row r="79" spans="1:18">
      <c r="A79" s="3566" t="s">
        <v>725</v>
      </c>
      <c r="B79" s="3566"/>
      <c r="C79" s="3567"/>
      <c r="D79" s="3637">
        <v>47114822.850000001</v>
      </c>
      <c r="E79" s="3637">
        <v>49731115.819999799</v>
      </c>
      <c r="F79" s="3637">
        <v>49573806.429999903</v>
      </c>
      <c r="G79" s="3606">
        <v>54585817.079999983</v>
      </c>
      <c r="H79" s="3606">
        <v>57503088.730000004</v>
      </c>
      <c r="I79" s="3606">
        <v>61244245.514319211</v>
      </c>
      <c r="J79" s="3606">
        <v>63223817.646026939</v>
      </c>
      <c r="K79" s="3606">
        <v>64368455.848784447</v>
      </c>
      <c r="L79" s="3606">
        <v>65140280.485174447</v>
      </c>
      <c r="M79" s="3606">
        <v>65967755.8337662</v>
      </c>
      <c r="N79" s="3606">
        <v>66802118.244584903</v>
      </c>
      <c r="O79" s="3606">
        <v>67595366.856328741</v>
      </c>
      <c r="P79" s="3606">
        <v>68921144.32296887</v>
      </c>
      <c r="Q79" s="3606">
        <v>70032978.72721687</v>
      </c>
      <c r="R79" s="3606">
        <v>67836335.784922644</v>
      </c>
    </row>
    <row r="80" spans="1:18">
      <c r="A80" s="3566" t="s">
        <v>2560</v>
      </c>
      <c r="B80" s="3566"/>
      <c r="C80" s="3567"/>
      <c r="D80" s="3637">
        <v>6519876.0600000005</v>
      </c>
      <c r="E80" s="3637">
        <v>6134779</v>
      </c>
      <c r="F80" s="3637">
        <v>5711130</v>
      </c>
      <c r="G80" s="3606">
        <v>8960320</v>
      </c>
      <c r="H80" s="3606">
        <v>9134930</v>
      </c>
      <c r="I80" s="3606">
        <v>9134930</v>
      </c>
      <c r="J80" s="3606">
        <v>9134930</v>
      </c>
      <c r="K80" s="3606">
        <v>9134930</v>
      </c>
      <c r="L80" s="3606">
        <v>9134930</v>
      </c>
      <c r="M80" s="3606">
        <v>9134930</v>
      </c>
      <c r="N80" s="3606">
        <v>9134930</v>
      </c>
      <c r="O80" s="3606">
        <v>9134930</v>
      </c>
      <c r="P80" s="3606">
        <v>9134930</v>
      </c>
      <c r="Q80" s="3606">
        <v>9134930</v>
      </c>
      <c r="R80" s="3606">
        <v>4759438</v>
      </c>
    </row>
    <row r="81" spans="1:18">
      <c r="A81" s="3532" t="s">
        <v>2883</v>
      </c>
      <c r="B81" s="3532"/>
      <c r="C81" s="3501"/>
      <c r="D81" s="3533">
        <v>81244698.909999996</v>
      </c>
      <c r="E81" s="3533">
        <v>85560894.819999799</v>
      </c>
      <c r="F81" s="3533">
        <v>83914936.429999903</v>
      </c>
      <c r="G81" s="3534">
        <v>95481137.079999983</v>
      </c>
      <c r="H81" s="3534">
        <v>99738018.730000004</v>
      </c>
      <c r="I81" s="3534">
        <v>105326341.00875816</v>
      </c>
      <c r="J81" s="3534">
        <v>105166000.86840689</v>
      </c>
      <c r="K81" s="3534">
        <v>108064951.02907979</v>
      </c>
      <c r="L81" s="3534">
        <v>111052981.45835879</v>
      </c>
      <c r="M81" s="3534">
        <v>108568895.73769403</v>
      </c>
      <c r="N81" s="3534">
        <v>112044226.78126386</v>
      </c>
      <c r="O81" s="3534">
        <v>113217806.81642243</v>
      </c>
      <c r="P81" s="3534">
        <v>117521671.73451972</v>
      </c>
      <c r="Q81" s="3534">
        <v>121762530.06791648</v>
      </c>
      <c r="R81" s="3534">
        <v>118138670.69028303</v>
      </c>
    </row>
    <row r="82" spans="1:18">
      <c r="A82" s="3535" t="s">
        <v>2561</v>
      </c>
      <c r="B82" s="3535"/>
      <c r="C82" s="3536"/>
      <c r="D82" s="3537">
        <v>49731115.819999799</v>
      </c>
      <c r="E82" s="3537">
        <v>50180093.799999796</v>
      </c>
      <c r="F82" s="3537">
        <v>52412604.649999999</v>
      </c>
      <c r="G82" s="3568">
        <v>57334579.93999999</v>
      </c>
      <c r="H82" s="3568">
        <v>59814640.367159605</v>
      </c>
      <c r="I82" s="3568">
        <v>62239780.655173071</v>
      </c>
      <c r="J82" s="3568">
        <v>63803126.012405694</v>
      </c>
      <c r="K82" s="3568">
        <v>64798431.326979451</v>
      </c>
      <c r="L82" s="3568">
        <v>65491549.084470317</v>
      </c>
      <c r="M82" s="3568">
        <v>66411867.489175543</v>
      </c>
      <c r="N82" s="3568">
        <v>67135745.645456821</v>
      </c>
      <c r="O82" s="3568">
        <v>68280599.974648803</v>
      </c>
      <c r="P82" s="3568">
        <v>69490968.820092857</v>
      </c>
      <c r="Q82" s="3568">
        <v>70208081.75606975</v>
      </c>
      <c r="R82" s="3568">
        <v>65573907.906546444</v>
      </c>
    </row>
    <row r="83" spans="1:18">
      <c r="A83" s="3535" t="s">
        <v>2555</v>
      </c>
      <c r="B83" s="3535"/>
      <c r="C83" s="3536"/>
      <c r="D83" s="3537">
        <v>29695000</v>
      </c>
      <c r="E83" s="3537">
        <v>31935000</v>
      </c>
      <c r="F83" s="3537">
        <v>40895320</v>
      </c>
      <c r="G83" s="3538">
        <v>42234930</v>
      </c>
      <c r="H83" s="3538">
        <v>44082095.494438954</v>
      </c>
      <c r="I83" s="3538">
        <v>41942183.222379953</v>
      </c>
      <c r="J83" s="3538">
        <v>43696495.180295348</v>
      </c>
      <c r="K83" s="3538">
        <v>45912700.973184355</v>
      </c>
      <c r="L83" s="3538">
        <v>42601139.903927833</v>
      </c>
      <c r="M83" s="3538">
        <v>45242108.536678955</v>
      </c>
      <c r="N83" s="3538">
        <v>45622439.960093692</v>
      </c>
      <c r="O83" s="3538">
        <v>48600527.41155085</v>
      </c>
      <c r="P83" s="3538">
        <v>51729551.340699606</v>
      </c>
      <c r="Q83" s="3538">
        <v>50302334.905360386</v>
      </c>
      <c r="R83" s="3538">
        <v>58711653.127911508</v>
      </c>
    </row>
    <row r="84" spans="1:18">
      <c r="A84" s="3539" t="s">
        <v>2562</v>
      </c>
      <c r="B84" s="3539"/>
      <c r="C84" s="3501"/>
      <c r="D84" s="3569">
        <v>79426115.819999799</v>
      </c>
      <c r="E84" s="3569">
        <v>82115093.799999803</v>
      </c>
      <c r="F84" s="3569">
        <v>93307924.650000006</v>
      </c>
      <c r="G84" s="3571">
        <v>99569509.939999998</v>
      </c>
      <c r="H84" s="3571">
        <v>103896735.86159855</v>
      </c>
      <c r="I84" s="3571">
        <v>104181963.87755302</v>
      </c>
      <c r="J84" s="3571">
        <v>107499621.19270104</v>
      </c>
      <c r="K84" s="3571">
        <v>110711132.30016381</v>
      </c>
      <c r="L84" s="3571">
        <v>108092688.98839815</v>
      </c>
      <c r="M84" s="3571">
        <v>111653976.0258545</v>
      </c>
      <c r="N84" s="3571">
        <v>112758185.60555051</v>
      </c>
      <c r="O84" s="3571">
        <v>116881127.38619965</v>
      </c>
      <c r="P84" s="3571">
        <v>121220520.16079247</v>
      </c>
      <c r="Q84" s="3571">
        <v>120510416.66143014</v>
      </c>
      <c r="R84" s="3571">
        <v>124285561.03445795</v>
      </c>
    </row>
    <row r="85" spans="1:18">
      <c r="A85" s="3638"/>
      <c r="B85" s="3638"/>
      <c r="C85" s="3637"/>
      <c r="D85" s="3647"/>
      <c r="E85" s="3647"/>
      <c r="F85" s="3572" t="s">
        <v>3763</v>
      </c>
      <c r="G85" s="3573">
        <v>53913976.18</v>
      </c>
      <c r="H85" s="3573">
        <v>52701882.137767412</v>
      </c>
      <c r="I85" s="3573">
        <v>53105251.215878896</v>
      </c>
      <c r="J85" s="3573">
        <v>54372102.275747508</v>
      </c>
      <c r="K85" s="3573">
        <v>54429662.646821037</v>
      </c>
      <c r="L85" s="3573">
        <v>53511841.443829246</v>
      </c>
      <c r="M85" s="3573">
        <v>52370490.149288468</v>
      </c>
      <c r="N85" s="3573">
        <v>50922426.74928847</v>
      </c>
      <c r="O85" s="3573">
        <v>49650550.835281156</v>
      </c>
      <c r="P85" s="3573">
        <v>48215613.441906236</v>
      </c>
      <c r="Q85" s="3573">
        <v>46722110.925596319</v>
      </c>
      <c r="R85" s="3573">
        <v>40131582.628634006</v>
      </c>
    </row>
    <row r="86" spans="1:18" ht="18.75">
      <c r="A86" s="3542" t="s">
        <v>2563</v>
      </c>
      <c r="B86" s="3542"/>
      <c r="C86" s="3543"/>
      <c r="D86" s="3637"/>
      <c r="E86" s="3637"/>
      <c r="F86" s="3574" t="s">
        <v>3764</v>
      </c>
      <c r="G86" s="3573">
        <v>41209930</v>
      </c>
      <c r="H86" s="3573">
        <v>40744930</v>
      </c>
      <c r="I86" s="3573">
        <v>38309930.000000007</v>
      </c>
      <c r="J86" s="3573">
        <v>39659930</v>
      </c>
      <c r="K86" s="3573">
        <v>41074930</v>
      </c>
      <c r="L86" s="3573">
        <v>36664930</v>
      </c>
      <c r="M86" s="3573">
        <v>37984930</v>
      </c>
      <c r="N86" s="3573">
        <v>37011561.700365663</v>
      </c>
      <c r="O86" s="3573">
        <v>38283226.96838028</v>
      </c>
      <c r="P86" s="3573">
        <v>39656358.847115502</v>
      </c>
      <c r="Q86" s="3573">
        <v>36705724.001000106</v>
      </c>
      <c r="R86" s="3573">
        <v>43402575.441040121</v>
      </c>
    </row>
    <row r="87" spans="1:18">
      <c r="C87" s="3605"/>
      <c r="D87" s="3575">
        <v>41639</v>
      </c>
      <c r="E87" s="3575">
        <v>42004</v>
      </c>
      <c r="F87" s="3575">
        <v>42369</v>
      </c>
      <c r="G87" s="3576">
        <v>42735</v>
      </c>
      <c r="H87" s="3576">
        <v>43100</v>
      </c>
      <c r="I87" s="3576">
        <v>43465</v>
      </c>
      <c r="J87" s="3576">
        <v>43830</v>
      </c>
      <c r="K87" s="3576">
        <v>44196</v>
      </c>
      <c r="L87" s="3576">
        <v>44561</v>
      </c>
      <c r="M87" s="3576">
        <v>44926</v>
      </c>
      <c r="N87" s="3576">
        <v>45291</v>
      </c>
      <c r="O87" s="3576">
        <v>45657</v>
      </c>
      <c r="P87" s="3576">
        <v>46022</v>
      </c>
      <c r="Q87" s="3576">
        <v>46387</v>
      </c>
      <c r="R87" s="3576">
        <v>46752</v>
      </c>
    </row>
    <row r="88" spans="1:18">
      <c r="A88" s="3604" t="s">
        <v>3765</v>
      </c>
      <c r="C88" s="3605"/>
      <c r="D88" s="3622">
        <v>-3386703.6</v>
      </c>
      <c r="E88" s="3622">
        <v>-3412458</v>
      </c>
      <c r="F88" s="3622">
        <v>0</v>
      </c>
      <c r="G88" s="3627">
        <v>0</v>
      </c>
      <c r="H88" s="3627"/>
      <c r="I88" s="3627"/>
      <c r="J88" s="3627"/>
      <c r="K88" s="3627"/>
      <c r="L88" s="3627"/>
      <c r="M88" s="3627"/>
      <c r="N88" s="3627"/>
      <c r="O88" s="3627"/>
      <c r="P88" s="3627"/>
      <c r="Q88" s="3627"/>
      <c r="R88" s="3627"/>
    </row>
    <row r="89" spans="1:18">
      <c r="A89" s="3639" t="s">
        <v>3766</v>
      </c>
      <c r="B89" s="3639"/>
      <c r="C89" s="3605"/>
      <c r="D89" s="3622"/>
      <c r="E89" s="3622"/>
      <c r="F89" s="3622"/>
      <c r="G89" s="3648"/>
      <c r="H89" s="3648"/>
      <c r="I89" s="3648"/>
      <c r="J89" s="3648"/>
      <c r="K89" s="3648"/>
      <c r="L89" s="3648"/>
      <c r="M89" s="3648"/>
      <c r="N89" s="3648"/>
      <c r="O89" s="3648"/>
      <c r="P89" s="3648"/>
      <c r="Q89" s="3648"/>
      <c r="R89" s="3648"/>
    </row>
    <row r="90" spans="1:18">
      <c r="A90" s="3577" t="s">
        <v>2567</v>
      </c>
      <c r="B90" s="3577"/>
      <c r="C90" s="3501"/>
      <c r="D90" s="3569">
        <v>-7711884.7800000003</v>
      </c>
      <c r="E90" s="3569">
        <v>-7770530.3099999996</v>
      </c>
      <c r="F90" s="3569">
        <v>-8213825.2800000003</v>
      </c>
      <c r="G90" s="3570">
        <v>-10544608.17</v>
      </c>
      <c r="H90" s="3570">
        <v>-10538948.15344</v>
      </c>
      <c r="I90" s="3570">
        <v>-10495606.682140868</v>
      </c>
      <c r="J90" s="3570">
        <v>-10449963.11318342</v>
      </c>
      <c r="K90" s="3570">
        <v>-10401432.545819364</v>
      </c>
      <c r="L90" s="3570">
        <v>-10349771.863364385</v>
      </c>
      <c r="M90" s="3570">
        <v>-10294324.478070417</v>
      </c>
      <c r="N90" s="3570">
        <v>-10235368.63325163</v>
      </c>
      <c r="O90" s="3570">
        <v>-10172711.086824587</v>
      </c>
      <c r="P90" s="3570">
        <v>-10105974.934612401</v>
      </c>
      <c r="Q90" s="3570">
        <v>-10035338.475217536</v>
      </c>
      <c r="R90" s="3570">
        <v>-6535612.8609085726</v>
      </c>
    </row>
    <row r="91" spans="1:18">
      <c r="C91" s="3605"/>
      <c r="D91" s="3605"/>
      <c r="E91" s="3605"/>
      <c r="F91" s="3605"/>
    </row>
    <row r="92" spans="1:18">
      <c r="A92" s="3578" t="s">
        <v>2888</v>
      </c>
      <c r="B92" s="3578"/>
      <c r="C92" s="3501"/>
      <c r="D92" s="3605"/>
      <c r="E92" s="3605"/>
      <c r="F92" s="3605"/>
      <c r="G92" s="3649"/>
      <c r="H92" s="3649"/>
      <c r="I92" s="3649"/>
      <c r="J92" s="3649"/>
      <c r="K92" s="3649"/>
      <c r="L92" s="3649"/>
      <c r="M92" s="3649"/>
      <c r="N92" s="3649"/>
      <c r="O92" s="3649"/>
      <c r="P92" s="3649"/>
      <c r="Q92" s="3649"/>
      <c r="R92" s="3649"/>
    </row>
    <row r="93" spans="1:18">
      <c r="A93" s="3649" t="s">
        <v>707</v>
      </c>
      <c r="B93" s="3649"/>
      <c r="C93" s="3605"/>
      <c r="D93" s="3605"/>
      <c r="E93" s="3650">
        <v>77864970.175963491</v>
      </c>
      <c r="F93" s="3650">
        <v>85703082.315963492</v>
      </c>
      <c r="G93" s="3651">
        <v>88080150.66596359</v>
      </c>
      <c r="H93" s="3651">
        <v>97433007.353053659</v>
      </c>
      <c r="I93" s="3651">
        <v>93601992.663053676</v>
      </c>
      <c r="J93" s="3651">
        <v>93161663.463053674</v>
      </c>
      <c r="K93" s="3651">
        <v>92617831.718633682</v>
      </c>
      <c r="L93" s="3651">
        <v>86412035.318633676</v>
      </c>
      <c r="M93" s="3651">
        <v>86385377.718633682</v>
      </c>
      <c r="N93" s="3651">
        <v>78276858.818633676</v>
      </c>
      <c r="O93" s="3651">
        <v>77866245.538633674</v>
      </c>
      <c r="P93" s="3651">
        <v>77520710.718633682</v>
      </c>
      <c r="Q93" s="3651">
        <v>77515339.718633682</v>
      </c>
      <c r="R93" s="3651">
        <v>77875275.718633682</v>
      </c>
    </row>
    <row r="94" spans="1:18">
      <c r="A94" s="3649" t="s">
        <v>2889</v>
      </c>
      <c r="B94" s="3649"/>
      <c r="C94" s="3605"/>
      <c r="D94" s="3605"/>
      <c r="E94" s="3650">
        <v>6134779</v>
      </c>
      <c r="F94" s="3650">
        <v>5711130</v>
      </c>
      <c r="G94" s="3651">
        <v>8960320</v>
      </c>
      <c r="H94" s="3651"/>
      <c r="I94" s="3651"/>
      <c r="J94" s="3651"/>
      <c r="K94" s="3651"/>
      <c r="L94" s="3651"/>
      <c r="M94" s="3651"/>
      <c r="N94" s="3651"/>
      <c r="O94" s="3651"/>
      <c r="P94" s="3651"/>
      <c r="Q94" s="3651"/>
      <c r="R94" s="3651"/>
    </row>
    <row r="95" spans="1:18">
      <c r="A95" s="3649" t="s">
        <v>3767</v>
      </c>
      <c r="B95" s="3649"/>
      <c r="C95" s="3605"/>
      <c r="D95" s="3605"/>
      <c r="E95" s="3637">
        <v>0</v>
      </c>
      <c r="F95" s="3637">
        <v>0</v>
      </c>
      <c r="G95" s="3652">
        <v>0</v>
      </c>
      <c r="H95" s="3652">
        <v>411382.96258644271</v>
      </c>
      <c r="I95" s="3652">
        <v>5220998.1519122487</v>
      </c>
      <c r="J95" s="3652">
        <v>8161241.5629790705</v>
      </c>
      <c r="K95" s="3652">
        <v>9541681.8595248889</v>
      </c>
      <c r="L95" s="3652">
        <v>10143368.780435538</v>
      </c>
      <c r="M95" s="3652">
        <v>10143368.780435538</v>
      </c>
      <c r="N95" s="3652">
        <v>10143368.78043554</v>
      </c>
      <c r="O95" s="3652">
        <v>10143368.78043554</v>
      </c>
      <c r="P95" s="3652">
        <v>10143368.78043554</v>
      </c>
      <c r="Q95" s="3652">
        <v>10143368.78043554</v>
      </c>
      <c r="R95" s="3652">
        <v>10143368.78043554</v>
      </c>
    </row>
    <row r="96" spans="1:18">
      <c r="A96" s="3649" t="s">
        <v>2553</v>
      </c>
      <c r="B96" s="3649"/>
      <c r="C96" s="3605"/>
      <c r="D96" s="3605"/>
      <c r="E96" s="3637">
        <v>0</v>
      </c>
      <c r="F96" s="3637">
        <v>0</v>
      </c>
      <c r="G96" s="3652">
        <v>0</v>
      </c>
      <c r="H96" s="3652">
        <v>0</v>
      </c>
      <c r="I96" s="3652">
        <v>0</v>
      </c>
      <c r="J96" s="3652">
        <v>0</v>
      </c>
      <c r="K96" s="3652">
        <v>0</v>
      </c>
      <c r="L96" s="3652">
        <v>0</v>
      </c>
      <c r="M96" s="3652">
        <v>0</v>
      </c>
      <c r="N96" s="3652">
        <v>0</v>
      </c>
      <c r="O96" s="3652">
        <v>0</v>
      </c>
      <c r="P96" s="3652">
        <v>0</v>
      </c>
      <c r="Q96" s="3652">
        <v>0</v>
      </c>
      <c r="R96" s="3652">
        <v>0</v>
      </c>
    </row>
    <row r="97" spans="1:18">
      <c r="A97" s="3649" t="s">
        <v>3768</v>
      </c>
      <c r="B97" s="3649"/>
      <c r="C97" s="3605"/>
      <c r="D97" s="3605"/>
      <c r="E97" s="3637">
        <v>0</v>
      </c>
      <c r="F97" s="3637">
        <v>0</v>
      </c>
      <c r="G97" s="3652">
        <v>0</v>
      </c>
      <c r="H97" s="3652">
        <v>4014605.1738311416</v>
      </c>
      <c r="I97" s="3652">
        <v>6332744.9016741151</v>
      </c>
      <c r="J97" s="3652">
        <v>7040057.6569535285</v>
      </c>
      <c r="K97" s="3652">
        <v>8775129.3933427613</v>
      </c>
      <c r="L97" s="3652">
        <v>11485267.284568902</v>
      </c>
      <c r="M97" s="3652">
        <v>14867671.616566025</v>
      </c>
      <c r="N97" s="3652">
        <v>18392176.395896375</v>
      </c>
      <c r="O97" s="3652">
        <v>22514224.822538208</v>
      </c>
      <c r="P97" s="3652">
        <v>26909701.111770727</v>
      </c>
      <c r="Q97" s="3652">
        <v>30646672.974833705</v>
      </c>
      <c r="R97" s="3652">
        <v>34316964.204783827</v>
      </c>
    </row>
    <row r="98" spans="1:18">
      <c r="A98" s="3578" t="s">
        <v>2568</v>
      </c>
      <c r="B98" s="3578"/>
      <c r="C98" s="3501"/>
      <c r="D98" s="3540">
        <v>82115093.799999803</v>
      </c>
      <c r="E98" s="3540">
        <v>83999749.175963491</v>
      </c>
      <c r="F98" s="3540">
        <v>91414212.315963492</v>
      </c>
      <c r="G98" s="3579">
        <v>97040470.66596359</v>
      </c>
      <c r="H98" s="3579">
        <v>101858995.48947124</v>
      </c>
      <c r="I98" s="3579">
        <v>105155735.71664004</v>
      </c>
      <c r="J98" s="3579">
        <v>108362962.68298627</v>
      </c>
      <c r="K98" s="3579">
        <v>110934642.97150134</v>
      </c>
      <c r="L98" s="3579">
        <v>108040671.38363811</v>
      </c>
      <c r="M98" s="3579">
        <v>111396418.11563525</v>
      </c>
      <c r="N98" s="3579">
        <v>106812403.99496558</v>
      </c>
      <c r="O98" s="3579">
        <v>110523839.14160742</v>
      </c>
      <c r="P98" s="3579">
        <v>114573780.61083993</v>
      </c>
      <c r="Q98" s="3579">
        <v>118305381.47390291</v>
      </c>
      <c r="R98" s="3579">
        <v>122335608.70385304</v>
      </c>
    </row>
    <row r="99" spans="1:18">
      <c r="A99" s="3578" t="s">
        <v>2891</v>
      </c>
      <c r="B99" s="3578"/>
      <c r="C99" s="3501"/>
      <c r="D99" s="3580"/>
      <c r="E99" s="3580">
        <v>85560894.819999799</v>
      </c>
      <c r="F99" s="3580">
        <v>83914936.429999903</v>
      </c>
      <c r="G99" s="3581">
        <v>95481137.079999983</v>
      </c>
      <c r="H99" s="3581">
        <v>99738018.730000004</v>
      </c>
      <c r="I99" s="3581">
        <v>105326341.00875816</v>
      </c>
      <c r="J99" s="3581">
        <v>105166000.86840689</v>
      </c>
      <c r="K99" s="3581">
        <v>108064951.02907979</v>
      </c>
      <c r="L99" s="3581">
        <v>111052981.45835879</v>
      </c>
      <c r="M99" s="3581">
        <v>108568895.73769403</v>
      </c>
      <c r="N99" s="3581">
        <v>112044226.78126386</v>
      </c>
      <c r="O99" s="3581">
        <v>113217806.81642243</v>
      </c>
      <c r="P99" s="3581">
        <v>117521671.73451972</v>
      </c>
      <c r="Q99" s="3581">
        <v>121762530.06791648</v>
      </c>
      <c r="R99" s="3581">
        <v>118138670.69028303</v>
      </c>
    </row>
    <row r="100" spans="1:18">
      <c r="A100" s="3578" t="s">
        <v>1476</v>
      </c>
      <c r="B100" s="3578"/>
      <c r="C100" s="3501"/>
      <c r="D100" s="3580"/>
      <c r="E100" s="3580">
        <v>-1561145.6440363079</v>
      </c>
      <c r="F100" s="3580">
        <v>7499275.885963589</v>
      </c>
      <c r="G100" s="3581">
        <v>1559333.5859636068</v>
      </c>
      <c r="H100" s="3581">
        <v>2120976.7594712377</v>
      </c>
      <c r="I100" s="3581">
        <v>-170605.29211811721</v>
      </c>
      <c r="J100" s="3581">
        <v>3196961.8145793825</v>
      </c>
      <c r="K100" s="3581">
        <v>2869691.9424215406</v>
      </c>
      <c r="L100" s="3581">
        <v>-3012310.0747206807</v>
      </c>
      <c r="M100" s="3581">
        <v>2827522.377941221</v>
      </c>
      <c r="N100" s="3581">
        <v>-5231822.786298275</v>
      </c>
      <c r="O100" s="3581">
        <v>-2693967.674815014</v>
      </c>
      <c r="P100" s="3581">
        <v>-2947891.1236797869</v>
      </c>
      <c r="Q100" s="3581">
        <v>-3457148.5940135717</v>
      </c>
      <c r="R100" s="3581">
        <v>4196938.0135700107</v>
      </c>
    </row>
    <row r="101" spans="1:18">
      <c r="C101" s="3605"/>
      <c r="D101" s="3653"/>
      <c r="E101" s="3653"/>
      <c r="F101" s="3653"/>
      <c r="G101" s="4238">
        <f>G84-G99</f>
        <v>4088372.8600000143</v>
      </c>
      <c r="H101" s="4238">
        <f t="shared" ref="H101:R101" si="0">H84-H99</f>
        <v>4158717.1315985471</v>
      </c>
      <c r="I101" s="4238">
        <f t="shared" si="0"/>
        <v>-1144377.1312051415</v>
      </c>
      <c r="J101" s="4238">
        <f t="shared" si="0"/>
        <v>2333620.3242941499</v>
      </c>
      <c r="K101" s="4238">
        <f t="shared" si="0"/>
        <v>2646181.2710840106</v>
      </c>
      <c r="L101" s="4238">
        <f t="shared" si="0"/>
        <v>-2960292.4699606448</v>
      </c>
      <c r="M101" s="4238">
        <f t="shared" si="0"/>
        <v>3085080.2881604731</v>
      </c>
      <c r="N101" s="4238">
        <f t="shared" si="0"/>
        <v>713958.82428665459</v>
      </c>
      <c r="O101" s="4238">
        <f t="shared" si="0"/>
        <v>3663320.5697772205</v>
      </c>
      <c r="P101" s="4238">
        <f t="shared" si="0"/>
        <v>3698848.4262727499</v>
      </c>
      <c r="Q101" s="4238">
        <f t="shared" si="0"/>
        <v>-1252113.4064863473</v>
      </c>
      <c r="R101" s="4238">
        <f t="shared" si="0"/>
        <v>6146890.3441749215</v>
      </c>
    </row>
    <row r="102" spans="1:18">
      <c r="A102" s="3582" t="s">
        <v>2569</v>
      </c>
      <c r="B102" s="3582"/>
      <c r="C102" s="3501"/>
      <c r="D102" s="3540">
        <v>81244698.909999996</v>
      </c>
      <c r="E102" s="3540">
        <v>85560894.819999799</v>
      </c>
      <c r="F102" s="3540">
        <v>83914936.429999903</v>
      </c>
      <c r="G102" s="3583">
        <v>95481137.079999983</v>
      </c>
      <c r="H102" s="3583">
        <v>99738018.730000004</v>
      </c>
      <c r="I102" s="3583">
        <v>105326341.00875816</v>
      </c>
      <c r="J102" s="3583">
        <v>105166000.86840689</v>
      </c>
      <c r="K102" s="3583">
        <v>108064951.02907979</v>
      </c>
      <c r="L102" s="3583">
        <v>111052981.45835879</v>
      </c>
      <c r="M102" s="3583">
        <v>108568895.73769403</v>
      </c>
      <c r="N102" s="3583">
        <v>112044226.78126386</v>
      </c>
      <c r="O102" s="3583">
        <v>113217806.81642243</v>
      </c>
      <c r="P102" s="3583">
        <v>117521671.73451972</v>
      </c>
      <c r="Q102" s="3583">
        <v>121762530.06791648</v>
      </c>
      <c r="R102" s="3583">
        <v>118138670.69028303</v>
      </c>
    </row>
    <row r="103" spans="1:18">
      <c r="C103" s="3605"/>
      <c r="D103" s="3605"/>
      <c r="E103" s="3605"/>
      <c r="F103" s="3605"/>
    </row>
    <row r="104" spans="1:18">
      <c r="A104" s="3532" t="s">
        <v>2892</v>
      </c>
      <c r="B104" s="3532"/>
      <c r="C104" s="3501"/>
      <c r="D104" s="3540">
        <v>99252080.169999987</v>
      </c>
      <c r="E104" s="3540">
        <v>97712939.269999772</v>
      </c>
      <c r="F104" s="3540">
        <v>93468914.859999895</v>
      </c>
      <c r="G104" s="3584">
        <v>103887468.33999996</v>
      </c>
      <c r="H104" s="3584">
        <v>109406849.98999998</v>
      </c>
      <c r="I104" s="3584">
        <v>116257672.26875813</v>
      </c>
      <c r="J104" s="3584">
        <v>130154457.12840687</v>
      </c>
      <c r="K104" s="3584">
        <v>133038782.28907977</v>
      </c>
      <c r="L104" s="3584">
        <v>136008437.71835878</v>
      </c>
      <c r="M104" s="3584">
        <v>133508326.99769402</v>
      </c>
      <c r="N104" s="3584">
        <v>134568207.72631556</v>
      </c>
      <c r="O104" s="3584">
        <v>121726065.88358763</v>
      </c>
      <c r="P104" s="3584">
        <v>125236231.82891662</v>
      </c>
      <c r="Q104" s="3584">
        <v>128611675.78018349</v>
      </c>
      <c r="R104" s="3584">
        <v>123184936.47210354</v>
      </c>
    </row>
    <row r="105" spans="1:18">
      <c r="C105" s="3605"/>
      <c r="D105" s="3605"/>
      <c r="E105" s="3605"/>
      <c r="F105" s="3605"/>
    </row>
    <row r="106" spans="1:18">
      <c r="A106" s="3539" t="s">
        <v>2893</v>
      </c>
      <c r="B106" s="3539"/>
      <c r="C106" s="3501"/>
      <c r="D106" s="3540">
        <v>91283772.769999787</v>
      </c>
      <c r="E106" s="3540">
        <v>90258137.339999795</v>
      </c>
      <c r="F106" s="3540">
        <v>100628454.45</v>
      </c>
      <c r="G106" s="3541">
        <v>109238341.19999997</v>
      </c>
      <c r="H106" s="3541">
        <v>114828067.12159853</v>
      </c>
      <c r="I106" s="3541">
        <v>129528295.13755299</v>
      </c>
      <c r="J106" s="3541">
        <v>132845202.45270102</v>
      </c>
      <c r="K106" s="3541">
        <v>136053213.5601638</v>
      </c>
      <c r="L106" s="3541">
        <v>133436520.24839813</v>
      </c>
      <c r="M106" s="3541">
        <v>134596302.44338036</v>
      </c>
      <c r="N106" s="3541">
        <v>121771547.79665895</v>
      </c>
      <c r="O106" s="3541">
        <v>125054036.9669807</v>
      </c>
      <c r="P106" s="3541">
        <v>128566435.56412444</v>
      </c>
      <c r="Q106" s="3541">
        <v>126527309.90847389</v>
      </c>
      <c r="R106" s="3541">
        <v>128732627.96489106</v>
      </c>
    </row>
    <row r="107" spans="1:18">
      <c r="C107" s="3605"/>
      <c r="D107" s="3605"/>
      <c r="E107" s="3605"/>
      <c r="F107" s="3605"/>
    </row>
    <row r="108" spans="1:18">
      <c r="A108" s="3492" t="s">
        <v>2574</v>
      </c>
      <c r="B108" s="3492"/>
      <c r="C108" s="3493"/>
      <c r="D108" s="3605"/>
      <c r="E108" s="3605"/>
      <c r="F108" s="3605"/>
    </row>
    <row r="109" spans="1:18">
      <c r="A109" s="3604" t="s">
        <v>2027</v>
      </c>
      <c r="C109" s="3605"/>
      <c r="D109" s="3650">
        <v>207852760.46000004</v>
      </c>
      <c r="E109" s="3650"/>
      <c r="F109" s="3650"/>
      <c r="G109" s="3654">
        <v>260893663.40099922</v>
      </c>
      <c r="H109" s="3654">
        <v>253214575.64965576</v>
      </c>
      <c r="I109" s="3654">
        <v>262579511.35287905</v>
      </c>
      <c r="J109" s="3654">
        <v>283748138.93669754</v>
      </c>
      <c r="K109" s="3654">
        <v>292649684.66877532</v>
      </c>
      <c r="L109" s="3654">
        <v>367752794.85827583</v>
      </c>
      <c r="M109" s="3654">
        <v>387779849.81634468</v>
      </c>
      <c r="N109" s="3654">
        <v>401982483.85193014</v>
      </c>
      <c r="O109" s="3654">
        <v>420462164.91895115</v>
      </c>
      <c r="P109" s="3654">
        <v>430225325.4592275</v>
      </c>
      <c r="Q109" s="3654">
        <v>446922262.13290936</v>
      </c>
      <c r="R109" s="3654">
        <v>455545664.22286481</v>
      </c>
    </row>
    <row r="110" spans="1:18">
      <c r="A110" s="3639" t="s">
        <v>3769</v>
      </c>
      <c r="B110" s="3639"/>
      <c r="C110" s="3605"/>
      <c r="D110" s="3650"/>
      <c r="E110" s="3650"/>
      <c r="F110" s="3650"/>
      <c r="G110" s="3654">
        <v>2471599.4236267577</v>
      </c>
      <c r="H110" s="3654">
        <v>2475051.2479476728</v>
      </c>
      <c r="I110" s="3654">
        <v>2467989.8308878313</v>
      </c>
      <c r="J110" s="3654">
        <v>2522816.6471081683</v>
      </c>
      <c r="K110" s="3654">
        <v>2589360.5109802154</v>
      </c>
      <c r="L110" s="3654">
        <v>2648720.3452127413</v>
      </c>
      <c r="M110" s="3654">
        <v>2702569.1356008691</v>
      </c>
      <c r="N110" s="3654">
        <v>2746512.0373703856</v>
      </c>
      <c r="O110" s="3654">
        <v>2806961.450687388</v>
      </c>
      <c r="P110" s="3654">
        <v>2848685.3991059996</v>
      </c>
      <c r="Q110" s="3654">
        <v>2890012.4990866217</v>
      </c>
      <c r="R110" s="3654">
        <v>2928772.4640671108</v>
      </c>
    </row>
    <row r="111" spans="1:18">
      <c r="A111" s="3604" t="s">
        <v>2028</v>
      </c>
      <c r="C111" s="3605"/>
      <c r="D111" s="3650">
        <v>171815619.37</v>
      </c>
      <c r="E111" s="3650"/>
      <c r="F111" s="3650"/>
      <c r="G111" s="3654">
        <v>170428639.44539237</v>
      </c>
      <c r="H111" s="3654">
        <v>171014636.86977088</v>
      </c>
      <c r="I111" s="3654">
        <v>177351410.5286206</v>
      </c>
      <c r="J111" s="3654">
        <v>189339975.81049949</v>
      </c>
      <c r="K111" s="3654">
        <v>201067607.87298802</v>
      </c>
      <c r="L111" s="3654">
        <v>262994219.16615254</v>
      </c>
      <c r="M111" s="3654">
        <v>269489097.96187872</v>
      </c>
      <c r="N111" s="3654">
        <v>277125110.25795394</v>
      </c>
      <c r="O111" s="3654">
        <v>286439336.87725228</v>
      </c>
      <c r="P111" s="3654">
        <v>297944257.91939867</v>
      </c>
      <c r="Q111" s="3654">
        <v>308096122.23458982</v>
      </c>
      <c r="R111" s="3654">
        <v>323123932.74453706</v>
      </c>
    </row>
    <row r="112" spans="1:18">
      <c r="A112" s="3604" t="s">
        <v>2241</v>
      </c>
      <c r="C112" s="3605"/>
      <c r="D112" s="3650">
        <v>36037141.090000033</v>
      </c>
      <c r="E112" s="3650">
        <v>61016497</v>
      </c>
      <c r="F112" s="3650">
        <v>87422046</v>
      </c>
      <c r="G112" s="3654">
        <v>92936623.379233599</v>
      </c>
      <c r="H112" s="3654">
        <v>84674990.027832553</v>
      </c>
      <c r="I112" s="3654">
        <v>87696090.655146271</v>
      </c>
      <c r="J112" s="3654">
        <v>96930979.773306221</v>
      </c>
      <c r="K112" s="3654">
        <v>94171437.306767523</v>
      </c>
      <c r="L112" s="3654">
        <v>107407296.03733604</v>
      </c>
      <c r="M112" s="3654">
        <v>120993320.99006683</v>
      </c>
      <c r="N112" s="3654">
        <v>127603885.63134658</v>
      </c>
      <c r="O112" s="3654">
        <v>136829789.49238625</v>
      </c>
      <c r="P112" s="3654">
        <v>135129752.93893483</v>
      </c>
      <c r="Q112" s="3654">
        <v>141716152.39740616</v>
      </c>
      <c r="R112" s="3654">
        <v>135350503.94239485</v>
      </c>
    </row>
    <row r="113" spans="1:18">
      <c r="A113" s="3604" t="s">
        <v>2572</v>
      </c>
      <c r="C113" s="3605"/>
      <c r="D113" s="3650">
        <v>18007381.259999998</v>
      </c>
      <c r="E113" s="3650">
        <v>12152044.449999981</v>
      </c>
      <c r="F113" s="3650">
        <v>9553978.4299999997</v>
      </c>
      <c r="G113" s="3655">
        <v>8406331.2599999793</v>
      </c>
      <c r="H113" s="3655">
        <v>9668831.2599999793</v>
      </c>
      <c r="I113" s="3655">
        <v>10931331.259999979</v>
      </c>
      <c r="J113" s="3655">
        <v>24988456.259999979</v>
      </c>
      <c r="K113" s="3655">
        <v>24973831.259999979</v>
      </c>
      <c r="L113" s="3655">
        <v>24955456.259999979</v>
      </c>
      <c r="M113" s="3655">
        <v>24939431.25999999</v>
      </c>
      <c r="N113" s="3655">
        <v>22523980.945051692</v>
      </c>
      <c r="O113" s="3655">
        <v>8508259.0671651904</v>
      </c>
      <c r="P113" s="3655">
        <v>7714560.0943969078</v>
      </c>
      <c r="Q113" s="3655">
        <v>6849145.7122670077</v>
      </c>
      <c r="R113" s="3655">
        <v>5046265.7818205096</v>
      </c>
    </row>
    <row r="114" spans="1:18">
      <c r="A114" s="3604" t="s">
        <v>2573</v>
      </c>
      <c r="C114" s="3605"/>
      <c r="D114" s="3656">
        <v>2.0112427442767453</v>
      </c>
      <c r="E114" s="3656">
        <v>5.0210890234194379</v>
      </c>
      <c r="F114" s="3656">
        <v>9.150329011157293</v>
      </c>
      <c r="G114" s="3657">
        <v>11.055550929982484</v>
      </c>
      <c r="H114" s="3657">
        <v>8.7575207127808259</v>
      </c>
      <c r="I114" s="3657">
        <v>8.0224529445964698</v>
      </c>
      <c r="J114" s="3657">
        <v>3.8790303316362729</v>
      </c>
      <c r="K114" s="3657">
        <v>3.7708045804569754</v>
      </c>
      <c r="L114" s="3657">
        <v>4.3039604212524276</v>
      </c>
      <c r="M114" s="3657">
        <v>4.851486777251667</v>
      </c>
      <c r="N114" s="3657">
        <v>5.6652456749382907</v>
      </c>
      <c r="O114" s="3657">
        <v>16.08199614189412</v>
      </c>
      <c r="P114" s="3657">
        <v>17.516196812969245</v>
      </c>
      <c r="Q114" s="3657">
        <v>20.691069857601168</v>
      </c>
      <c r="R114" s="3657">
        <v>26.821913429531115</v>
      </c>
    </row>
    <row r="115" spans="1:18">
      <c r="C115" s="3605"/>
      <c r="D115" s="3605"/>
      <c r="E115" s="3605"/>
      <c r="F115" s="3605"/>
      <c r="J115" s="3604" t="s">
        <v>2703</v>
      </c>
    </row>
    <row r="116" spans="1:18">
      <c r="C116" s="3605"/>
      <c r="D116" s="3605"/>
      <c r="E116" s="3605"/>
      <c r="F116" s="3605"/>
    </row>
    <row r="117" spans="1:18">
      <c r="A117" s="3658"/>
      <c r="B117" s="3658"/>
      <c r="C117" s="3659"/>
      <c r="D117" s="3660"/>
      <c r="E117" s="3661"/>
      <c r="F117" s="3661"/>
      <c r="G117" s="3662"/>
      <c r="H117" s="3662"/>
      <c r="I117" s="3662"/>
      <c r="J117" s="3662"/>
      <c r="K117" s="3662"/>
      <c r="L117" s="3662"/>
      <c r="M117" s="3662"/>
      <c r="N117" s="3662"/>
      <c r="O117" s="3662"/>
      <c r="P117" s="3662"/>
      <c r="Q117" s="3662"/>
      <c r="R117" s="3662"/>
    </row>
    <row r="118" spans="1:18">
      <c r="A118" s="3585" t="s">
        <v>2894</v>
      </c>
      <c r="B118" s="3585"/>
      <c r="C118" s="3586"/>
      <c r="D118" s="3587">
        <v>2013</v>
      </c>
      <c r="E118" s="3587">
        <v>2014</v>
      </c>
      <c r="F118" s="3587">
        <v>2015</v>
      </c>
      <c r="G118" s="3588">
        <v>2016</v>
      </c>
      <c r="H118" s="3588">
        <v>2017</v>
      </c>
      <c r="I118" s="3588">
        <v>2018</v>
      </c>
      <c r="J118" s="3588">
        <v>2019</v>
      </c>
      <c r="K118" s="3588">
        <v>2020</v>
      </c>
      <c r="L118" s="3588">
        <v>2021</v>
      </c>
      <c r="M118" s="3588">
        <v>2022</v>
      </c>
      <c r="N118" s="3588">
        <v>2023</v>
      </c>
      <c r="O118" s="3588">
        <v>2024</v>
      </c>
      <c r="P118" s="3588">
        <v>2025</v>
      </c>
      <c r="Q118" s="3588">
        <v>2026</v>
      </c>
      <c r="R118" s="3588">
        <v>2027</v>
      </c>
    </row>
    <row r="119" spans="1:18">
      <c r="A119" s="3589" t="s">
        <v>3770</v>
      </c>
      <c r="B119" s="3589"/>
      <c r="C119" s="3590"/>
      <c r="D119" s="3591">
        <v>-238632.64</v>
      </c>
      <c r="E119" s="3591">
        <v>1000000</v>
      </c>
      <c r="F119" s="3591"/>
      <c r="G119" s="3592">
        <v>2471599.4236267577</v>
      </c>
      <c r="H119" s="3592">
        <v>2475051.2479476728</v>
      </c>
      <c r="I119" s="3592">
        <v>2467989.8308878313</v>
      </c>
      <c r="J119" s="3592">
        <v>2522816.6471081683</v>
      </c>
      <c r="K119" s="3592">
        <v>2589360.5109802154</v>
      </c>
      <c r="L119" s="3592">
        <v>2648720.3452127413</v>
      </c>
      <c r="M119" s="3592">
        <v>2702569.1356008691</v>
      </c>
      <c r="N119" s="3592">
        <v>2746512.0373703856</v>
      </c>
      <c r="O119" s="3592">
        <v>2806961.450687388</v>
      </c>
      <c r="P119" s="3592">
        <v>2848685.3991059996</v>
      </c>
      <c r="Q119" s="3592">
        <v>2890012.4990866217</v>
      </c>
      <c r="R119" s="3592">
        <v>2928772.4640671108</v>
      </c>
    </row>
    <row r="120" spans="1:18">
      <c r="A120" s="3589" t="s">
        <v>3771</v>
      </c>
      <c r="B120" s="3589"/>
      <c r="C120" s="3590"/>
      <c r="D120" s="3591"/>
      <c r="E120" s="3591"/>
      <c r="F120" s="3591"/>
      <c r="G120" s="3592">
        <v>1346163.4404775053</v>
      </c>
      <c r="H120" s="3592">
        <v>1437196.763748236</v>
      </c>
      <c r="I120" s="3592">
        <v>1490237.0676641085</v>
      </c>
      <c r="J120" s="3592">
        <v>1550257.274510982</v>
      </c>
      <c r="K120" s="3592">
        <v>1600473.1982036843</v>
      </c>
      <c r="L120" s="3592">
        <v>1620280.3577431177</v>
      </c>
      <c r="M120" s="3592">
        <v>1651732.0623728638</v>
      </c>
      <c r="N120" s="3592">
        <v>1675689.4012086059</v>
      </c>
      <c r="O120" s="3592">
        <v>1732231.7847668047</v>
      </c>
      <c r="P120" s="3592">
        <v>1741924.5541734821</v>
      </c>
      <c r="Q120" s="3592">
        <v>1767985.7308390478</v>
      </c>
      <c r="R120" s="3592">
        <v>1815730.4117273153</v>
      </c>
    </row>
    <row r="121" spans="1:18">
      <c r="A121" s="3589" t="s">
        <v>3772</v>
      </c>
      <c r="B121" s="3589"/>
      <c r="C121" s="3590"/>
      <c r="D121" s="3591">
        <v>0</v>
      </c>
      <c r="E121" s="3591">
        <v>0</v>
      </c>
      <c r="F121" s="3591"/>
      <c r="G121" s="3592">
        <v>2799461.8199999798</v>
      </c>
      <c r="H121" s="3592">
        <v>4266296.05</v>
      </c>
      <c r="I121" s="3592">
        <v>9101222.6187843736</v>
      </c>
      <c r="J121" s="3592">
        <v>9161888.5098039582</v>
      </c>
      <c r="K121" s="3592">
        <v>9697851.7135123946</v>
      </c>
      <c r="L121" s="3592">
        <v>11034866.146804417</v>
      </c>
      <c r="M121" s="3592">
        <v>12922546.13447772</v>
      </c>
      <c r="N121" s="3592">
        <v>15155659.795296423</v>
      </c>
      <c r="O121" s="3592">
        <v>17268461.747040261</v>
      </c>
      <c r="P121" s="3592">
        <v>19986445.531695016</v>
      </c>
      <c r="Q121" s="3592">
        <v>22562435.224678226</v>
      </c>
      <c r="R121" s="3592">
        <v>24407740.436268628</v>
      </c>
    </row>
    <row r="122" spans="1:18">
      <c r="A122" s="3589" t="s">
        <v>3773</v>
      </c>
      <c r="B122" s="3589"/>
      <c r="C122" s="3590"/>
      <c r="D122" s="3593">
        <v>-43795920.469999999</v>
      </c>
      <c r="E122" s="3593">
        <v>-57373137.339999788</v>
      </c>
      <c r="F122" s="3593"/>
      <c r="G122" s="3594">
        <v>-67003411.199999973</v>
      </c>
      <c r="H122" s="3594">
        <v>-70745971.627159581</v>
      </c>
      <c r="I122" s="3594">
        <v>-73171111.915173054</v>
      </c>
      <c r="J122" s="3594">
        <v>-74018707.272405669</v>
      </c>
      <c r="K122" s="3594">
        <v>-74270512.586979434</v>
      </c>
      <c r="L122" s="3594">
        <v>-74190380.344470292</v>
      </c>
      <c r="M122" s="3594">
        <v>-74244193.906701386</v>
      </c>
      <c r="N122" s="3594">
        <v>-73744107.836565256</v>
      </c>
      <c r="O122" s="3594">
        <v>-73928509.555429846</v>
      </c>
      <c r="P122" s="3594">
        <v>-74186884.223424822</v>
      </c>
      <c r="Q122" s="3594">
        <v>-73439975.003113508</v>
      </c>
      <c r="R122" s="3594">
        <v>-67100974.836979546</v>
      </c>
    </row>
    <row r="123" spans="1:18">
      <c r="A123" s="3589" t="s">
        <v>3774</v>
      </c>
      <c r="B123" s="3589"/>
      <c r="C123" s="3590"/>
      <c r="D123" s="3593">
        <v>2152023.35</v>
      </c>
      <c r="E123" s="3593">
        <v>-346151.08</v>
      </c>
      <c r="F123" s="3593"/>
      <c r="G123" s="3594">
        <v>4870054.68</v>
      </c>
      <c r="H123" s="3594">
        <v>4870054.68</v>
      </c>
      <c r="I123" s="3594">
        <v>2834000</v>
      </c>
      <c r="J123" s="3594">
        <v>2834000</v>
      </c>
      <c r="K123" s="3594">
        <v>2834000</v>
      </c>
      <c r="L123" s="3594">
        <v>2834000</v>
      </c>
      <c r="M123" s="3594">
        <v>2834000</v>
      </c>
      <c r="N123" s="3594">
        <v>2834000</v>
      </c>
      <c r="O123" s="3594">
        <v>2834000</v>
      </c>
      <c r="P123" s="3594">
        <v>2834000</v>
      </c>
      <c r="Q123" s="3594">
        <v>2834000</v>
      </c>
      <c r="R123" s="3594">
        <v>2834000</v>
      </c>
    </row>
    <row r="124" spans="1:18">
      <c r="A124" s="3589" t="s">
        <v>3775</v>
      </c>
      <c r="B124" s="3589"/>
      <c r="C124" s="3590"/>
      <c r="D124" s="3593">
        <v>0</v>
      </c>
      <c r="E124" s="3593"/>
      <c r="F124" s="3593"/>
      <c r="G124" s="3594">
        <v>-500000</v>
      </c>
      <c r="H124" s="3594">
        <v>-570432.15731060179</v>
      </c>
      <c r="I124" s="3594">
        <v>-823445.80215053004</v>
      </c>
      <c r="J124" s="3594">
        <v>-503393.93045769125</v>
      </c>
      <c r="K124" s="3594">
        <v>-236342.76809355884</v>
      </c>
      <c r="L124" s="3594">
        <v>-103013.76507882396</v>
      </c>
      <c r="M124" s="3594">
        <v>0</v>
      </c>
      <c r="N124" s="3594">
        <v>0</v>
      </c>
      <c r="O124" s="3594">
        <v>0</v>
      </c>
      <c r="P124" s="3594">
        <v>0</v>
      </c>
      <c r="Q124" s="3594">
        <v>0</v>
      </c>
      <c r="R124" s="3594">
        <v>0</v>
      </c>
    </row>
    <row r="125" spans="1:18">
      <c r="A125" s="3589" t="s">
        <v>2899</v>
      </c>
      <c r="B125" s="3589"/>
      <c r="C125" s="3590"/>
      <c r="D125" s="3593">
        <v>7711884.7599999998</v>
      </c>
      <c r="E125" s="3593">
        <v>7770530.3099999996</v>
      </c>
      <c r="F125" s="3593"/>
      <c r="G125" s="3594">
        <v>10544608.17</v>
      </c>
      <c r="H125" s="3592">
        <v>10538948.15344</v>
      </c>
      <c r="I125" s="3592">
        <v>10495606.682140868</v>
      </c>
      <c r="J125" s="3592">
        <v>10449963.11318342</v>
      </c>
      <c r="K125" s="3592">
        <v>10401432.545819364</v>
      </c>
      <c r="L125" s="3592">
        <v>10349771.863364385</v>
      </c>
      <c r="M125" s="3592">
        <v>10294324.478070417</v>
      </c>
      <c r="N125" s="3592">
        <v>10235368.63325163</v>
      </c>
      <c r="O125" s="3592">
        <v>10172711.086824587</v>
      </c>
      <c r="P125" s="3592">
        <v>10105974.934612401</v>
      </c>
      <c r="Q125" s="3592">
        <v>10035338.475217536</v>
      </c>
      <c r="R125" s="3592">
        <v>6535612.8609085726</v>
      </c>
    </row>
    <row r="126" spans="1:18">
      <c r="A126" s="3589" t="s">
        <v>3776</v>
      </c>
      <c r="B126" s="3589"/>
      <c r="C126" s="3590"/>
      <c r="D126" s="3593"/>
      <c r="E126" s="3593"/>
      <c r="F126" s="3593"/>
      <c r="G126" s="3594">
        <v>5000000</v>
      </c>
      <c r="H126" s="3594">
        <v>5000000</v>
      </c>
      <c r="I126" s="3594">
        <v>5000000</v>
      </c>
      <c r="J126" s="3594">
        <v>5000000</v>
      </c>
      <c r="K126" s="3594">
        <v>5000000</v>
      </c>
      <c r="L126" s="3594"/>
      <c r="M126" s="3594"/>
      <c r="N126" s="3594"/>
      <c r="O126" s="3594"/>
      <c r="P126" s="3594"/>
      <c r="Q126" s="3594"/>
      <c r="R126" s="3594"/>
    </row>
    <row r="127" spans="1:18">
      <c r="A127" s="3589" t="s">
        <v>3777</v>
      </c>
      <c r="B127" s="3589"/>
      <c r="C127" s="3590"/>
      <c r="D127" s="3593"/>
      <c r="E127" s="3593"/>
      <c r="F127" s="3593"/>
      <c r="G127" s="3595">
        <v>11185265.220000001</v>
      </c>
      <c r="H127" s="3595"/>
      <c r="I127" s="3595"/>
      <c r="J127" s="3595"/>
      <c r="K127" s="3595"/>
      <c r="L127" s="3595"/>
      <c r="M127" s="3595"/>
      <c r="N127" s="3595"/>
      <c r="O127" s="3595"/>
      <c r="P127" s="3595"/>
      <c r="Q127" s="3595"/>
      <c r="R127" s="3595"/>
    </row>
    <row r="128" spans="1:18">
      <c r="A128" s="3589" t="s">
        <v>3778</v>
      </c>
      <c r="B128" s="3589"/>
      <c r="C128" s="3590"/>
      <c r="D128" s="3593"/>
      <c r="E128" s="3593"/>
      <c r="F128" s="3593"/>
      <c r="G128" s="3594"/>
      <c r="H128" s="3594"/>
      <c r="I128" s="3594"/>
      <c r="J128" s="3594"/>
      <c r="K128" s="3594"/>
      <c r="L128" s="3594"/>
      <c r="M128" s="3594"/>
      <c r="N128" s="3594"/>
      <c r="O128" s="3594"/>
      <c r="P128" s="3594"/>
      <c r="Q128" s="3594"/>
      <c r="R128" s="3594"/>
    </row>
    <row r="129" spans="1:18">
      <c r="A129" s="3596" t="s">
        <v>2898</v>
      </c>
      <c r="B129" s="3596"/>
      <c r="C129" s="3597"/>
      <c r="D129" s="3598">
        <v>-41882529.759999998</v>
      </c>
      <c r="E129" s="3598">
        <v>-48948758.109999783</v>
      </c>
      <c r="F129" s="3598">
        <v>-31567438.960000001</v>
      </c>
      <c r="G129" s="3599">
        <v>-29284242.445895731</v>
      </c>
      <c r="H129" s="3599">
        <v>-42728856.889334276</v>
      </c>
      <c r="I129" s="3599">
        <v>-42605501.517846406</v>
      </c>
      <c r="J129" s="3599">
        <v>-43003175.658256829</v>
      </c>
      <c r="K129" s="3599">
        <v>-42383737.386557333</v>
      </c>
      <c r="L129" s="3599">
        <v>-45805755.39642445</v>
      </c>
      <c r="M129" s="3599">
        <v>-43839022.096179523</v>
      </c>
      <c r="N129" s="3599">
        <v>-41096877.96943821</v>
      </c>
      <c r="O129" s="3599">
        <v>-39114143.486110806</v>
      </c>
      <c r="P129" s="3599">
        <v>-36669853.803837925</v>
      </c>
      <c r="Q129" s="3599">
        <v>-33350203.073292077</v>
      </c>
      <c r="R129" s="3599">
        <v>-28579118.664007921</v>
      </c>
    </row>
    <row r="130" spans="1:18">
      <c r="C130" s="3605"/>
      <c r="D130" s="3605"/>
      <c r="E130" s="3605"/>
      <c r="F130" s="3605"/>
    </row>
    <row r="131" spans="1:18">
      <c r="A131" s="3663"/>
      <c r="B131" s="3663"/>
      <c r="C131" s="3664"/>
      <c r="D131" s="3665">
        <v>-41882529.759999998</v>
      </c>
      <c r="E131" s="3665">
        <v>-48948758.109999783</v>
      </c>
      <c r="F131" s="3665">
        <v>-31567438.960000001</v>
      </c>
      <c r="G131" s="3666">
        <v>-29284242.445895731</v>
      </c>
      <c r="H131" s="3666">
        <v>-42728856.889334276</v>
      </c>
      <c r="I131" s="3666">
        <v>-42605501.517846406</v>
      </c>
      <c r="J131" s="3666">
        <v>-43003175.658256829</v>
      </c>
      <c r="K131" s="3666">
        <v>-42383737.386557333</v>
      </c>
      <c r="L131" s="3666">
        <v>-45805755.39642445</v>
      </c>
      <c r="M131" s="3666">
        <v>-43839022.096179523</v>
      </c>
      <c r="N131" s="3666">
        <v>-41096877.96943821</v>
      </c>
      <c r="O131" s="3666">
        <v>-39114143.486110806</v>
      </c>
      <c r="P131" s="3666">
        <v>-36669853.803837925</v>
      </c>
      <c r="Q131" s="3666">
        <v>-33350203.073292077</v>
      </c>
      <c r="R131" s="3666">
        <v>-28579118.664007921</v>
      </c>
    </row>
    <row r="132" spans="1:18">
      <c r="A132" s="3600" t="s">
        <v>2059</v>
      </c>
      <c r="B132" s="3600"/>
      <c r="C132" s="3601"/>
      <c r="D132" s="3597"/>
      <c r="E132" s="3602">
        <v>-43016000</v>
      </c>
      <c r="F132" s="3602">
        <v>-54070000</v>
      </c>
      <c r="G132" s="3667">
        <v>-52143000</v>
      </c>
      <c r="H132" s="3667">
        <v>-60646000</v>
      </c>
      <c r="I132" s="3667">
        <v>-59128000</v>
      </c>
      <c r="J132" s="3667"/>
      <c r="K132" s="3667"/>
      <c r="L132" s="3667"/>
      <c r="M132" s="3667"/>
      <c r="N132" s="3667"/>
      <c r="O132" s="3667"/>
      <c r="P132" s="3667"/>
      <c r="Q132" s="3667"/>
      <c r="R132" s="3667"/>
    </row>
    <row r="133" spans="1:18">
      <c r="A133" s="3668"/>
      <c r="B133" s="3668"/>
      <c r="C133" s="3669"/>
      <c r="D133" s="3669"/>
      <c r="E133" s="3669"/>
      <c r="F133" s="3669"/>
      <c r="G133" s="3668"/>
      <c r="H133" s="3668"/>
      <c r="I133" s="3670"/>
      <c r="J133" s="3670"/>
      <c r="K133" s="3668"/>
      <c r="L133" s="3668"/>
      <c r="M133" s="3668"/>
      <c r="N133" s="3668"/>
      <c r="O133" s="3668"/>
      <c r="P133" s="3668"/>
      <c r="Q133" s="3668"/>
      <c r="R133" s="3668"/>
    </row>
    <row r="134" spans="1:18">
      <c r="A134" s="3668" t="s">
        <v>2575</v>
      </c>
      <c r="B134" s="3668"/>
      <c r="C134" s="3669"/>
      <c r="D134" s="3669"/>
      <c r="E134" s="3671">
        <v>-43016000</v>
      </c>
      <c r="F134" s="3671">
        <v>-54070000</v>
      </c>
      <c r="G134" s="3670">
        <v>-52143000</v>
      </c>
      <c r="H134" s="3670">
        <v>-62910712.637159601</v>
      </c>
      <c r="I134" s="3670">
        <v>-65366398.115173064</v>
      </c>
      <c r="J134" s="3668"/>
      <c r="K134" s="3668"/>
      <c r="L134" s="3668"/>
      <c r="M134" s="3668"/>
      <c r="N134" s="3668"/>
      <c r="O134" s="3668"/>
      <c r="P134" s="3668"/>
      <c r="Q134" s="3668"/>
      <c r="R134" s="3668"/>
    </row>
    <row r="135" spans="1:18">
      <c r="C135" s="3605"/>
      <c r="D135" s="3605"/>
      <c r="E135" s="3605"/>
      <c r="F135" s="3605"/>
      <c r="H135" s="3672"/>
    </row>
    <row r="136" spans="1:18" ht="16.5" thickBot="1">
      <c r="D136" s="3639"/>
      <c r="F136" s="3638">
        <v>0</v>
      </c>
      <c r="G136" s="3638">
        <v>9370054.6799999997</v>
      </c>
      <c r="J136" s="3673" t="s">
        <v>3779</v>
      </c>
      <c r="K136" s="3673"/>
      <c r="L136" s="3673"/>
      <c r="M136" s="3673" t="s">
        <v>3780</v>
      </c>
      <c r="N136" s="3673"/>
      <c r="O136" s="3673"/>
      <c r="P136" s="3673"/>
    </row>
    <row r="137" spans="1:18">
      <c r="D137" s="3639"/>
      <c r="E137" s="3674" t="s">
        <v>3781</v>
      </c>
      <c r="F137" s="3675"/>
      <c r="J137" s="3673" t="s">
        <v>3782</v>
      </c>
      <c r="K137" s="3673"/>
      <c r="L137" s="3673"/>
      <c r="M137" s="3676"/>
      <c r="N137" s="3673"/>
      <c r="O137" s="3673"/>
      <c r="P137" s="3673"/>
    </row>
    <row r="138" spans="1:18">
      <c r="D138" s="3639"/>
      <c r="E138" s="3603" t="s">
        <v>2574</v>
      </c>
      <c r="F138" s="3677"/>
      <c r="G138" s="3638">
        <v>-327862.39637322212</v>
      </c>
      <c r="J138" s="3673">
        <v>2012</v>
      </c>
      <c r="K138" s="3655">
        <v>2152</v>
      </c>
      <c r="L138" s="3673"/>
      <c r="M138" s="3678">
        <v>42005</v>
      </c>
      <c r="N138" s="3679">
        <v>346151.08</v>
      </c>
      <c r="O138" s="3673"/>
      <c r="P138" s="3673"/>
    </row>
    <row r="139" spans="1:18">
      <c r="D139" s="3639"/>
      <c r="E139" s="3680" t="s">
        <v>2027</v>
      </c>
      <c r="F139" s="3681">
        <v>270159957.77417904</v>
      </c>
      <c r="J139" s="3673">
        <v>2013</v>
      </c>
      <c r="K139" s="3655">
        <v>2547</v>
      </c>
      <c r="L139" s="3673"/>
      <c r="M139" s="3682">
        <v>42036</v>
      </c>
      <c r="N139" s="3679">
        <v>465524.7</v>
      </c>
      <c r="O139" s="3673"/>
      <c r="P139" s="3673"/>
    </row>
    <row r="140" spans="1:18">
      <c r="D140" s="3639"/>
      <c r="E140" s="3680" t="s">
        <v>2028</v>
      </c>
      <c r="F140" s="3681">
        <v>187229448.69378799</v>
      </c>
      <c r="J140" s="3683">
        <v>2014</v>
      </c>
      <c r="K140" s="3655">
        <v>3559</v>
      </c>
      <c r="L140" s="3673"/>
      <c r="M140" s="3673" t="s">
        <v>3783</v>
      </c>
      <c r="N140" s="3684">
        <v>405837.89</v>
      </c>
      <c r="O140" s="3673"/>
      <c r="P140" s="3673"/>
    </row>
    <row r="141" spans="1:18">
      <c r="D141" s="3639"/>
      <c r="E141" s="3680" t="s">
        <v>2241</v>
      </c>
      <c r="F141" s="3681">
        <v>82930509.080391049</v>
      </c>
      <c r="J141" s="3683">
        <v>2015</v>
      </c>
      <c r="K141" s="3655">
        <v>3078</v>
      </c>
      <c r="L141" s="3673"/>
      <c r="M141" s="3673" t="s">
        <v>3784</v>
      </c>
      <c r="N141" s="3655">
        <v>4870054.68</v>
      </c>
      <c r="O141" s="3673"/>
      <c r="P141" s="3673"/>
    </row>
    <row r="142" spans="1:18">
      <c r="D142" s="3639"/>
      <c r="E142" s="3680" t="s">
        <v>2572</v>
      </c>
      <c r="F142" s="3681">
        <v>9370581.2599999793</v>
      </c>
      <c r="J142" s="3673" t="s">
        <v>144</v>
      </c>
      <c r="K142" s="3684">
        <v>2834</v>
      </c>
      <c r="L142" s="3673"/>
      <c r="M142" s="3673"/>
      <c r="N142" s="3673"/>
      <c r="O142" s="3673"/>
      <c r="P142" s="3673"/>
    </row>
    <row r="143" spans="1:18" ht="16.5" thickBot="1">
      <c r="D143" s="3639"/>
      <c r="E143" s="3685" t="s">
        <v>2573</v>
      </c>
      <c r="F143" s="3686">
        <v>8.8500923026402774</v>
      </c>
    </row>
    <row r="144" spans="1:18">
      <c r="D144" s="3639"/>
      <c r="F144" s="3687"/>
    </row>
    <row r="145" spans="4:6">
      <c r="D145" s="3639"/>
    </row>
    <row r="146" spans="4:6">
      <c r="D146" s="3639"/>
      <c r="F146" s="368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pageSetUpPr fitToPage="1"/>
  </sheetPr>
  <dimension ref="A1:O224"/>
  <sheetViews>
    <sheetView zoomScale="80" zoomScaleNormal="80" workbookViewId="0">
      <pane xSplit="5" ySplit="2" topLeftCell="F3" activePane="bottomRight" state="frozen"/>
      <selection activeCell="E55" sqref="E55"/>
      <selection pane="topRight" activeCell="E55" sqref="E55"/>
      <selection pane="bottomLeft" activeCell="E55" sqref="E55"/>
      <selection pane="bottomRight" activeCell="M193" sqref="M193"/>
    </sheetView>
  </sheetViews>
  <sheetFormatPr defaultRowHeight="15.75"/>
  <cols>
    <col min="1" max="1" width="15.5" style="1361" bestFit="1" customWidth="1"/>
    <col min="2" max="2" width="10.125" style="1361" bestFit="1" customWidth="1"/>
    <col min="3" max="3" width="10" style="1361" bestFit="1" customWidth="1"/>
    <col min="4" max="4" width="7.625" style="1361" bestFit="1" customWidth="1"/>
    <col min="5" max="5" width="34.375" style="1361" bestFit="1" customWidth="1"/>
    <col min="6" max="6" width="15" style="1361" bestFit="1" customWidth="1"/>
    <col min="7" max="7" width="12.125" style="1361" bestFit="1" customWidth="1"/>
    <col min="8" max="8" width="11.125" style="1361" bestFit="1" customWidth="1"/>
    <col min="9" max="9" width="12" style="1361" bestFit="1" customWidth="1"/>
    <col min="10" max="10" width="11.875" style="1361" bestFit="1" customWidth="1"/>
    <col min="11" max="11" width="12.625" style="1613" bestFit="1" customWidth="1"/>
    <col min="12" max="12" width="11.75" style="1361" customWidth="1"/>
    <col min="13" max="13" width="34" style="1361" bestFit="1" customWidth="1"/>
    <col min="14" max="14" width="7.625" style="1361" customWidth="1"/>
    <col min="15" max="15" width="11.125" style="1361" customWidth="1"/>
    <col min="16" max="16" width="6.875" style="1361" bestFit="1" customWidth="1"/>
    <col min="17" max="17" width="26.625" style="1361" bestFit="1" customWidth="1"/>
    <col min="18" max="18" width="24.75" style="1361" customWidth="1"/>
    <col min="19" max="16384" width="9" style="1361"/>
  </cols>
  <sheetData>
    <row r="1" spans="1:15" ht="47.25">
      <c r="B1" s="1361" t="s">
        <v>3942</v>
      </c>
      <c r="F1" s="1612" t="s">
        <v>2109</v>
      </c>
      <c r="G1" s="1612" t="s">
        <v>2110</v>
      </c>
      <c r="H1" s="1612" t="s">
        <v>2111</v>
      </c>
      <c r="I1" s="1612" t="s">
        <v>2112</v>
      </c>
      <c r="J1" s="1612" t="s">
        <v>2113</v>
      </c>
      <c r="M1" s="1621" t="s">
        <v>2536</v>
      </c>
      <c r="N1" s="3144" t="s">
        <v>3972</v>
      </c>
    </row>
    <row r="2" spans="1:15">
      <c r="A2" s="1606" t="s">
        <v>2533</v>
      </c>
      <c r="B2" s="1606" t="s">
        <v>448</v>
      </c>
      <c r="C2" s="1606" t="s">
        <v>2312</v>
      </c>
      <c r="D2" s="1606" t="s">
        <v>2313</v>
      </c>
      <c r="E2" s="1606" t="s">
        <v>2314</v>
      </c>
      <c r="F2" s="1606" t="s">
        <v>2315</v>
      </c>
      <c r="G2" s="1606" t="s">
        <v>2316</v>
      </c>
      <c r="H2" s="1606" t="s">
        <v>2317</v>
      </c>
      <c r="I2" s="1606" t="s">
        <v>2318</v>
      </c>
      <c r="J2" s="1606" t="s">
        <v>2319</v>
      </c>
      <c r="K2" s="1606" t="s">
        <v>888</v>
      </c>
      <c r="M2" s="3144" t="s">
        <v>3493</v>
      </c>
      <c r="N2" s="3144" t="s">
        <v>3967</v>
      </c>
      <c r="O2" s="2974"/>
    </row>
    <row r="3" spans="1:15">
      <c r="A3" s="1621" t="s">
        <v>2534</v>
      </c>
      <c r="B3" s="1461" t="s">
        <v>488</v>
      </c>
      <c r="C3" s="1461" t="s">
        <v>504</v>
      </c>
      <c r="D3" s="1361" t="s">
        <v>2320</v>
      </c>
      <c r="F3" s="1614"/>
      <c r="G3" s="1614">
        <v>633647.36999999813</v>
      </c>
      <c r="H3" s="1614"/>
      <c r="I3" s="1614"/>
      <c r="J3" s="1614"/>
      <c r="K3" s="1615">
        <v>633647.36999999813</v>
      </c>
    </row>
    <row r="4" spans="1:15">
      <c r="A4" s="1621" t="s">
        <v>2534</v>
      </c>
      <c r="B4" s="1461" t="s">
        <v>488</v>
      </c>
      <c r="C4" s="1461" t="s">
        <v>504</v>
      </c>
      <c r="D4" s="1361" t="s">
        <v>2320</v>
      </c>
      <c r="E4" s="1361" t="s">
        <v>2321</v>
      </c>
      <c r="F4" s="1614"/>
      <c r="G4" s="1614">
        <v>186592.9</v>
      </c>
      <c r="H4" s="1614"/>
      <c r="I4" s="1614"/>
      <c r="J4" s="1614"/>
      <c r="K4" s="1615">
        <v>186592.9</v>
      </c>
    </row>
    <row r="5" spans="1:15">
      <c r="A5" s="1621" t="s">
        <v>2534</v>
      </c>
      <c r="B5" s="1461" t="s">
        <v>488</v>
      </c>
      <c r="C5" s="1461" t="s">
        <v>504</v>
      </c>
      <c r="D5" s="1361" t="s">
        <v>2320</v>
      </c>
      <c r="E5" s="1361" t="s">
        <v>2322</v>
      </c>
      <c r="F5" s="1614"/>
      <c r="G5" s="1614">
        <v>39306.240000000005</v>
      </c>
      <c r="H5" s="1614"/>
      <c r="I5" s="1614"/>
      <c r="J5" s="1614"/>
      <c r="K5" s="1615">
        <v>39306.240000000005</v>
      </c>
    </row>
    <row r="6" spans="1:15">
      <c r="A6" s="1621" t="s">
        <v>2534</v>
      </c>
      <c r="B6" s="1461" t="s">
        <v>488</v>
      </c>
      <c r="C6" s="1461" t="s">
        <v>504</v>
      </c>
      <c r="D6" s="1361" t="s">
        <v>2320</v>
      </c>
      <c r="E6" s="1361" t="s">
        <v>2324</v>
      </c>
      <c r="F6" s="1614"/>
      <c r="G6" s="1614">
        <v>333044.37</v>
      </c>
      <c r="H6" s="1614"/>
      <c r="I6" s="1614"/>
      <c r="J6" s="1614"/>
      <c r="K6" s="1615">
        <v>333044.37</v>
      </c>
    </row>
    <row r="7" spans="1:15">
      <c r="A7" s="1621" t="s">
        <v>2534</v>
      </c>
      <c r="B7" s="1461" t="s">
        <v>488</v>
      </c>
      <c r="C7" s="1461" t="s">
        <v>504</v>
      </c>
      <c r="D7" s="1361" t="s">
        <v>2320</v>
      </c>
      <c r="E7" s="1361" t="s">
        <v>2325</v>
      </c>
      <c r="F7" s="1614"/>
      <c r="G7" s="1614">
        <v>1645524.3100000012</v>
      </c>
      <c r="H7" s="1614"/>
      <c r="I7" s="1614"/>
      <c r="J7" s="1614"/>
      <c r="K7" s="1615">
        <v>1645524.3100000012</v>
      </c>
    </row>
    <row r="8" spans="1:15">
      <c r="A8" s="1621" t="s">
        <v>2534</v>
      </c>
      <c r="B8" s="1461" t="s">
        <v>488</v>
      </c>
      <c r="C8" s="1461" t="s">
        <v>504</v>
      </c>
      <c r="D8" s="1361" t="s">
        <v>2320</v>
      </c>
      <c r="E8" s="1361" t="s">
        <v>3956</v>
      </c>
      <c r="F8" s="1614"/>
      <c r="G8" s="1614">
        <v>56.96</v>
      </c>
      <c r="H8" s="1614"/>
      <c r="I8" s="1614"/>
      <c r="J8" s="1614"/>
      <c r="K8" s="1615">
        <v>56.96</v>
      </c>
    </row>
    <row r="9" spans="1:15">
      <c r="A9" s="1621" t="s">
        <v>2534</v>
      </c>
      <c r="B9" s="1461" t="s">
        <v>488</v>
      </c>
      <c r="C9" s="1461" t="s">
        <v>504</v>
      </c>
      <c r="D9" s="1361" t="s">
        <v>2320</v>
      </c>
      <c r="E9" s="1361" t="s">
        <v>2367</v>
      </c>
      <c r="F9" s="1614"/>
      <c r="G9" s="1614">
        <v>8914.739999999998</v>
      </c>
      <c r="H9" s="1614"/>
      <c r="I9" s="1614"/>
      <c r="J9" s="1614"/>
      <c r="K9" s="1615">
        <v>8914.739999999998</v>
      </c>
    </row>
    <row r="10" spans="1:15">
      <c r="A10" s="1621" t="s">
        <v>2534</v>
      </c>
      <c r="B10" s="1461" t="s">
        <v>488</v>
      </c>
      <c r="C10" s="1461" t="s">
        <v>504</v>
      </c>
      <c r="D10" s="1361" t="s">
        <v>2320</v>
      </c>
      <c r="E10" s="1361" t="s">
        <v>2326</v>
      </c>
      <c r="F10" s="1614"/>
      <c r="G10" s="1614">
        <v>13223.73</v>
      </c>
      <c r="H10" s="1614"/>
      <c r="I10" s="1614"/>
      <c r="J10" s="1614"/>
      <c r="K10" s="1615">
        <v>13223.73</v>
      </c>
    </row>
    <row r="11" spans="1:15">
      <c r="A11" s="1621" t="s">
        <v>2534</v>
      </c>
      <c r="B11" s="1461" t="s">
        <v>488</v>
      </c>
      <c r="C11" s="1461" t="s">
        <v>504</v>
      </c>
      <c r="D11" s="1361" t="s">
        <v>2320</v>
      </c>
      <c r="E11" s="1361" t="s">
        <v>2327</v>
      </c>
      <c r="F11" s="1614"/>
      <c r="G11" s="1614">
        <v>22613.69</v>
      </c>
      <c r="H11" s="1614"/>
      <c r="I11" s="1614"/>
      <c r="J11" s="1614"/>
      <c r="K11" s="1615">
        <v>22613.69</v>
      </c>
    </row>
    <row r="12" spans="1:15">
      <c r="A12" s="1621" t="s">
        <v>2534</v>
      </c>
      <c r="B12" s="1461" t="s">
        <v>488</v>
      </c>
      <c r="C12" s="1461" t="s">
        <v>504</v>
      </c>
      <c r="D12" s="1361" t="s">
        <v>2320</v>
      </c>
      <c r="E12" s="1361" t="s">
        <v>2329</v>
      </c>
      <c r="F12" s="1614"/>
      <c r="G12" s="1614">
        <v>514636.61000000022</v>
      </c>
      <c r="H12" s="1614"/>
      <c r="I12" s="1614"/>
      <c r="J12" s="1614"/>
      <c r="K12" s="1615">
        <v>514636.61000000022</v>
      </c>
    </row>
    <row r="13" spans="1:15">
      <c r="A13" s="1621" t="s">
        <v>2534</v>
      </c>
      <c r="B13" s="1461" t="s">
        <v>488</v>
      </c>
      <c r="C13" s="1461" t="s">
        <v>504</v>
      </c>
      <c r="D13" s="1361" t="s">
        <v>2320</v>
      </c>
      <c r="E13" s="1361" t="s">
        <v>2330</v>
      </c>
      <c r="F13" s="1614"/>
      <c r="G13" s="1614">
        <v>24861.040000000001</v>
      </c>
      <c r="H13" s="1614"/>
      <c r="I13" s="1614"/>
      <c r="J13" s="1614"/>
      <c r="K13" s="1615">
        <v>24861.040000000001</v>
      </c>
    </row>
    <row r="14" spans="1:15">
      <c r="A14" s="1621" t="s">
        <v>2534</v>
      </c>
      <c r="B14" s="1461" t="s">
        <v>488</v>
      </c>
      <c r="C14" s="1461" t="s">
        <v>504</v>
      </c>
      <c r="D14" s="1361" t="s">
        <v>2320</v>
      </c>
      <c r="E14" s="1361" t="s">
        <v>3957</v>
      </c>
      <c r="F14" s="1614"/>
      <c r="G14" s="1614">
        <v>8777.86</v>
      </c>
      <c r="H14" s="1614"/>
      <c r="I14" s="1614"/>
      <c r="J14" s="1614"/>
      <c r="K14" s="1615">
        <v>8777.86</v>
      </c>
    </row>
    <row r="15" spans="1:15">
      <c r="A15" s="1621" t="s">
        <v>2534</v>
      </c>
      <c r="B15" s="1461" t="s">
        <v>488</v>
      </c>
      <c r="C15" s="1461" t="s">
        <v>504</v>
      </c>
      <c r="D15" s="1361" t="s">
        <v>2320</v>
      </c>
      <c r="E15" s="1361" t="s">
        <v>2331</v>
      </c>
      <c r="F15" s="1614"/>
      <c r="G15" s="1614">
        <v>341387.73000000016</v>
      </c>
      <c r="H15" s="1614"/>
      <c r="I15" s="1614"/>
      <c r="J15" s="1614"/>
      <c r="K15" s="1615">
        <v>341387.73000000016</v>
      </c>
    </row>
    <row r="16" spans="1:15">
      <c r="A16" s="1621" t="s">
        <v>2534</v>
      </c>
      <c r="B16" s="1461" t="s">
        <v>488</v>
      </c>
      <c r="C16" s="1461" t="s">
        <v>504</v>
      </c>
      <c r="D16" s="1361" t="s">
        <v>2320</v>
      </c>
      <c r="E16" s="1361" t="s">
        <v>2332</v>
      </c>
      <c r="F16" s="1614"/>
      <c r="G16" s="1614">
        <v>45022.44</v>
      </c>
      <c r="H16" s="1614"/>
      <c r="I16" s="1614"/>
      <c r="J16" s="1614"/>
      <c r="K16" s="1615">
        <v>45022.44</v>
      </c>
    </row>
    <row r="17" spans="1:11">
      <c r="A17" s="1621" t="s">
        <v>2534</v>
      </c>
      <c r="B17" s="1461" t="s">
        <v>488</v>
      </c>
      <c r="C17" s="1461" t="s">
        <v>504</v>
      </c>
      <c r="D17" s="1361" t="s">
        <v>2320</v>
      </c>
      <c r="E17" s="1361" t="s">
        <v>2333</v>
      </c>
      <c r="F17" s="1614"/>
      <c r="G17" s="1614">
        <v>23273.089999999997</v>
      </c>
      <c r="H17" s="1614"/>
      <c r="I17" s="1614"/>
      <c r="J17" s="1614"/>
      <c r="K17" s="1615">
        <v>23273.089999999997</v>
      </c>
    </row>
    <row r="18" spans="1:11">
      <c r="A18" s="1621" t="s">
        <v>2534</v>
      </c>
      <c r="B18" s="1461" t="s">
        <v>488</v>
      </c>
      <c r="C18" s="1461" t="s">
        <v>504</v>
      </c>
      <c r="D18" s="1361" t="s">
        <v>2320</v>
      </c>
      <c r="E18" s="1361" t="s">
        <v>2334</v>
      </c>
      <c r="F18" s="1614"/>
      <c r="G18" s="1614">
        <v>19584.77</v>
      </c>
      <c r="H18" s="1614"/>
      <c r="I18" s="1614"/>
      <c r="J18" s="1614"/>
      <c r="K18" s="1615">
        <v>19584.77</v>
      </c>
    </row>
    <row r="19" spans="1:11">
      <c r="A19" s="1621" t="s">
        <v>2534</v>
      </c>
      <c r="B19" s="1461" t="s">
        <v>488</v>
      </c>
      <c r="C19" s="1461" t="s">
        <v>504</v>
      </c>
      <c r="D19" s="1361" t="s">
        <v>2320</v>
      </c>
      <c r="E19" s="1361" t="s">
        <v>2335</v>
      </c>
      <c r="F19" s="1614"/>
      <c r="G19" s="1614">
        <v>190288</v>
      </c>
      <c r="H19" s="1614"/>
      <c r="I19" s="1614"/>
      <c r="J19" s="1614"/>
      <c r="K19" s="1615">
        <v>190288</v>
      </c>
    </row>
    <row r="20" spans="1:11">
      <c r="A20" s="1621" t="s">
        <v>2534</v>
      </c>
      <c r="B20" s="1461" t="s">
        <v>488</v>
      </c>
      <c r="C20" s="1461" t="s">
        <v>504</v>
      </c>
      <c r="D20" s="1361" t="s">
        <v>2320</v>
      </c>
      <c r="E20" s="1361" t="s">
        <v>2336</v>
      </c>
      <c r="F20" s="1614"/>
      <c r="G20" s="1614">
        <v>5094.7599999999993</v>
      </c>
      <c r="H20" s="1614"/>
      <c r="I20" s="1614"/>
      <c r="J20" s="1614"/>
      <c r="K20" s="1615">
        <v>5094.7599999999993</v>
      </c>
    </row>
    <row r="21" spans="1:11">
      <c r="A21" s="1621" t="s">
        <v>2534</v>
      </c>
      <c r="B21" s="1461" t="s">
        <v>488</v>
      </c>
      <c r="C21" s="1461" t="s">
        <v>504</v>
      </c>
      <c r="D21" s="1361" t="s">
        <v>2320</v>
      </c>
      <c r="E21" s="1361" t="s">
        <v>2356</v>
      </c>
      <c r="F21" s="1614"/>
      <c r="G21" s="1614">
        <v>75.099999999999994</v>
      </c>
      <c r="H21" s="1614"/>
      <c r="I21" s="1614"/>
      <c r="J21" s="1614"/>
      <c r="K21" s="1615">
        <v>75.099999999999994</v>
      </c>
    </row>
    <row r="22" spans="1:11">
      <c r="A22" s="1621" t="s">
        <v>2534</v>
      </c>
      <c r="B22" s="1461" t="s">
        <v>488</v>
      </c>
      <c r="C22" s="1461" t="s">
        <v>2337</v>
      </c>
      <c r="D22" s="1361" t="s">
        <v>2320</v>
      </c>
      <c r="F22" s="1614"/>
      <c r="G22" s="1614"/>
      <c r="H22" s="1614"/>
      <c r="I22" s="1614"/>
      <c r="J22" s="1614">
        <v>101328.60000000003</v>
      </c>
      <c r="K22" s="1615">
        <v>101328.60000000003</v>
      </c>
    </row>
    <row r="23" spans="1:11">
      <c r="A23" s="1621" t="s">
        <v>2534</v>
      </c>
      <c r="B23" s="1461" t="s">
        <v>488</v>
      </c>
      <c r="C23" s="1461" t="s">
        <v>2337</v>
      </c>
      <c r="D23" s="1361" t="s">
        <v>2320</v>
      </c>
      <c r="E23" s="1361" t="s">
        <v>2338</v>
      </c>
      <c r="F23" s="1614"/>
      <c r="G23" s="1614"/>
      <c r="H23" s="1614"/>
      <c r="I23" s="1614"/>
      <c r="J23" s="1614">
        <v>84756.219999999987</v>
      </c>
      <c r="K23" s="1615">
        <v>84756.219999999987</v>
      </c>
    </row>
    <row r="24" spans="1:11">
      <c r="A24" s="1621" t="s">
        <v>2534</v>
      </c>
      <c r="B24" s="1461" t="s">
        <v>488</v>
      </c>
      <c r="C24" s="1461" t="s">
        <v>2337</v>
      </c>
      <c r="D24" s="1361" t="s">
        <v>2320</v>
      </c>
      <c r="E24" s="1361" t="s">
        <v>2358</v>
      </c>
      <c r="F24" s="1614"/>
      <c r="G24" s="1614"/>
      <c r="H24" s="1614"/>
      <c r="I24" s="1614"/>
      <c r="J24" s="1614">
        <v>50769.119999999995</v>
      </c>
      <c r="K24" s="1615">
        <v>50769.119999999995</v>
      </c>
    </row>
    <row r="25" spans="1:11">
      <c r="A25" s="1621" t="s">
        <v>2534</v>
      </c>
      <c r="B25" s="1461" t="s">
        <v>488</v>
      </c>
      <c r="C25" s="1461" t="s">
        <v>2337</v>
      </c>
      <c r="D25" s="1361" t="s">
        <v>2320</v>
      </c>
      <c r="E25" s="1361" t="s">
        <v>2339</v>
      </c>
      <c r="F25" s="1614"/>
      <c r="G25" s="1614"/>
      <c r="H25" s="1614"/>
      <c r="I25" s="1614"/>
      <c r="J25" s="1614">
        <v>99439.120000000039</v>
      </c>
      <c r="K25" s="1615">
        <v>99439.120000000039</v>
      </c>
    </row>
    <row r="26" spans="1:11">
      <c r="A26" s="1621" t="s">
        <v>2534</v>
      </c>
      <c r="B26" s="1461" t="s">
        <v>488</v>
      </c>
      <c r="C26" s="1461" t="s">
        <v>2337</v>
      </c>
      <c r="D26" s="1361" t="s">
        <v>2320</v>
      </c>
      <c r="E26" s="1361" t="s">
        <v>2359</v>
      </c>
      <c r="F26" s="1614"/>
      <c r="G26" s="1614"/>
      <c r="H26" s="1614"/>
      <c r="I26" s="1614"/>
      <c r="J26" s="1614">
        <v>145683.06000000003</v>
      </c>
      <c r="K26" s="1615">
        <v>145683.06000000003</v>
      </c>
    </row>
    <row r="27" spans="1:11">
      <c r="A27" s="1621" t="s">
        <v>2534</v>
      </c>
      <c r="B27" s="1461" t="s">
        <v>488</v>
      </c>
      <c r="C27" s="1461" t="s">
        <v>2337</v>
      </c>
      <c r="D27" s="1361" t="s">
        <v>2320</v>
      </c>
      <c r="E27" s="1361" t="s">
        <v>2340</v>
      </c>
      <c r="F27" s="1614"/>
      <c r="G27" s="1614"/>
      <c r="H27" s="1614"/>
      <c r="I27" s="1614"/>
      <c r="J27" s="1614">
        <v>48884.9</v>
      </c>
      <c r="K27" s="1615">
        <v>48884.9</v>
      </c>
    </row>
    <row r="28" spans="1:11">
      <c r="A28" s="1621" t="s">
        <v>2534</v>
      </c>
      <c r="B28" s="1461" t="s">
        <v>488</v>
      </c>
      <c r="C28" s="1461" t="s">
        <v>2337</v>
      </c>
      <c r="D28" s="1361" t="s">
        <v>2320</v>
      </c>
      <c r="E28" s="1361" t="s">
        <v>2328</v>
      </c>
      <c r="F28" s="1614"/>
      <c r="G28" s="1614"/>
      <c r="H28" s="1614"/>
      <c r="I28" s="1614"/>
      <c r="J28" s="1614">
        <v>21448.880000000001</v>
      </c>
      <c r="K28" s="1615">
        <v>21448.880000000001</v>
      </c>
    </row>
    <row r="29" spans="1:11">
      <c r="A29" s="1621" t="s">
        <v>2534</v>
      </c>
      <c r="B29" s="1461" t="s">
        <v>488</v>
      </c>
      <c r="C29" s="1461" t="s">
        <v>2337</v>
      </c>
      <c r="D29" s="1361" t="s">
        <v>2320</v>
      </c>
      <c r="E29" s="1361" t="s">
        <v>2341</v>
      </c>
      <c r="F29" s="1614"/>
      <c r="G29" s="1614"/>
      <c r="H29" s="1614"/>
      <c r="I29" s="1614"/>
      <c r="J29" s="1614">
        <v>19499.720000000012</v>
      </c>
      <c r="K29" s="1615">
        <v>19499.720000000012</v>
      </c>
    </row>
    <row r="30" spans="1:11">
      <c r="A30" s="1621" t="s">
        <v>2534</v>
      </c>
      <c r="B30" s="1461" t="s">
        <v>488</v>
      </c>
      <c r="C30" s="1461" t="s">
        <v>2337</v>
      </c>
      <c r="D30" s="1361" t="s">
        <v>2320</v>
      </c>
      <c r="E30" s="1361" t="s">
        <v>2342</v>
      </c>
      <c r="F30" s="1614"/>
      <c r="G30" s="1614"/>
      <c r="H30" s="1614"/>
      <c r="I30" s="1614"/>
      <c r="J30" s="1614">
        <v>58427.020000000019</v>
      </c>
      <c r="K30" s="1615">
        <v>58427.020000000019</v>
      </c>
    </row>
    <row r="31" spans="1:11">
      <c r="A31" s="1621" t="s">
        <v>2534</v>
      </c>
      <c r="B31" s="1461" t="s">
        <v>488</v>
      </c>
      <c r="C31" s="1461" t="s">
        <v>2337</v>
      </c>
      <c r="D31" s="1361" t="s">
        <v>2320</v>
      </c>
      <c r="E31" s="1361" t="s">
        <v>2343</v>
      </c>
      <c r="F31" s="1614"/>
      <c r="G31" s="1614"/>
      <c r="H31" s="1614"/>
      <c r="I31" s="1614"/>
      <c r="J31" s="1614">
        <v>471035.65000000049</v>
      </c>
      <c r="K31" s="1615">
        <v>471035.65000000049</v>
      </c>
    </row>
    <row r="32" spans="1:11">
      <c r="A32" s="1621" t="s">
        <v>2534</v>
      </c>
      <c r="B32" s="1461" t="s">
        <v>488</v>
      </c>
      <c r="C32" s="1461" t="s">
        <v>2337</v>
      </c>
      <c r="D32" s="1361" t="s">
        <v>2320</v>
      </c>
      <c r="E32" s="1361" t="s">
        <v>2344</v>
      </c>
      <c r="F32" s="1614"/>
      <c r="G32" s="1614"/>
      <c r="H32" s="1614"/>
      <c r="I32" s="1614"/>
      <c r="J32" s="1614">
        <v>114614.72999999991</v>
      </c>
      <c r="K32" s="1615">
        <v>114614.72999999991</v>
      </c>
    </row>
    <row r="33" spans="1:11">
      <c r="A33" s="1621" t="s">
        <v>2534</v>
      </c>
      <c r="B33" s="1461" t="s">
        <v>488</v>
      </c>
      <c r="C33" s="1461" t="s">
        <v>2337</v>
      </c>
      <c r="D33" s="1361" t="s">
        <v>2320</v>
      </c>
      <c r="E33" s="1361" t="s">
        <v>2345</v>
      </c>
      <c r="F33" s="1614"/>
      <c r="G33" s="1614"/>
      <c r="H33" s="1614"/>
      <c r="I33" s="1614"/>
      <c r="J33" s="1614">
        <v>1471063.7800000005</v>
      </c>
      <c r="K33" s="1615">
        <v>1471063.7800000005</v>
      </c>
    </row>
    <row r="34" spans="1:11">
      <c r="A34" s="1621" t="s">
        <v>2534</v>
      </c>
      <c r="B34" s="1461" t="s">
        <v>488</v>
      </c>
      <c r="C34" s="1461" t="s">
        <v>2337</v>
      </c>
      <c r="D34" s="1361" t="s">
        <v>2320</v>
      </c>
      <c r="E34" s="1361" t="s">
        <v>3958</v>
      </c>
      <c r="F34" s="1614"/>
      <c r="G34" s="1614"/>
      <c r="H34" s="1614"/>
      <c r="I34" s="1614"/>
      <c r="J34" s="1614">
        <v>119562.63</v>
      </c>
      <c r="K34" s="1615">
        <v>119562.63</v>
      </c>
    </row>
    <row r="35" spans="1:11">
      <c r="A35" s="1621" t="s">
        <v>2534</v>
      </c>
      <c r="B35" s="1461" t="s">
        <v>488</v>
      </c>
      <c r="C35" s="1461" t="s">
        <v>2337</v>
      </c>
      <c r="D35" s="1361" t="s">
        <v>2320</v>
      </c>
      <c r="E35" s="1361" t="s">
        <v>2360</v>
      </c>
      <c r="F35" s="1614"/>
      <c r="G35" s="1614"/>
      <c r="H35" s="1614"/>
      <c r="I35" s="1614"/>
      <c r="J35" s="1614">
        <v>130149.51000000001</v>
      </c>
      <c r="K35" s="1615">
        <v>130149.51000000001</v>
      </c>
    </row>
    <row r="36" spans="1:11">
      <c r="A36" s="1621" t="s">
        <v>2534</v>
      </c>
      <c r="B36" s="1461" t="s">
        <v>488</v>
      </c>
      <c r="C36" s="1461" t="s">
        <v>2337</v>
      </c>
      <c r="D36" s="1361" t="s">
        <v>2320</v>
      </c>
      <c r="E36" s="1361" t="s">
        <v>2346</v>
      </c>
      <c r="F36" s="1614"/>
      <c r="G36" s="1614"/>
      <c r="H36" s="1614"/>
      <c r="I36" s="1614"/>
      <c r="J36" s="1614">
        <v>2768.67</v>
      </c>
      <c r="K36" s="1615">
        <v>2768.67</v>
      </c>
    </row>
    <row r="37" spans="1:11">
      <c r="A37" s="1621" t="s">
        <v>2534</v>
      </c>
      <c r="B37" s="1461" t="s">
        <v>488</v>
      </c>
      <c r="C37" s="1461" t="s">
        <v>2337</v>
      </c>
      <c r="D37" s="1361" t="s">
        <v>2320</v>
      </c>
      <c r="E37" s="1361" t="s">
        <v>2347</v>
      </c>
      <c r="F37" s="1614"/>
      <c r="G37" s="1614"/>
      <c r="H37" s="1614"/>
      <c r="I37" s="1614"/>
      <c r="J37" s="1614">
        <v>4225.6100000000006</v>
      </c>
      <c r="K37" s="1615">
        <v>4225.6100000000006</v>
      </c>
    </row>
    <row r="38" spans="1:11">
      <c r="A38" s="1621" t="s">
        <v>2534</v>
      </c>
      <c r="B38" s="1461" t="s">
        <v>488</v>
      </c>
      <c r="C38" s="1461" t="s">
        <v>2337</v>
      </c>
      <c r="D38" s="1361" t="s">
        <v>2320</v>
      </c>
      <c r="E38" s="1361" t="s">
        <v>2348</v>
      </c>
      <c r="F38" s="1614"/>
      <c r="G38" s="1614"/>
      <c r="H38" s="1614"/>
      <c r="I38" s="1614"/>
      <c r="J38" s="1614">
        <v>558.69000000000005</v>
      </c>
      <c r="K38" s="1615">
        <v>558.69000000000005</v>
      </c>
    </row>
    <row r="39" spans="1:11">
      <c r="A39" s="1621" t="s">
        <v>2534</v>
      </c>
      <c r="B39" s="1461" t="s">
        <v>488</v>
      </c>
      <c r="C39" s="1461" t="s">
        <v>2337</v>
      </c>
      <c r="D39" s="1361" t="s">
        <v>2320</v>
      </c>
      <c r="E39" s="1361" t="s">
        <v>2349</v>
      </c>
      <c r="F39" s="1614"/>
      <c r="G39" s="1614"/>
      <c r="H39" s="1614"/>
      <c r="I39" s="1614"/>
      <c r="J39" s="1614">
        <v>599.94000000000005</v>
      </c>
      <c r="K39" s="1615">
        <v>599.94000000000005</v>
      </c>
    </row>
    <row r="40" spans="1:11">
      <c r="A40" s="1621" t="s">
        <v>2534</v>
      </c>
      <c r="B40" s="1461" t="s">
        <v>488</v>
      </c>
      <c r="C40" s="1461" t="s">
        <v>2337</v>
      </c>
      <c r="D40" s="1361" t="s">
        <v>2320</v>
      </c>
      <c r="E40" s="1361" t="s">
        <v>2350</v>
      </c>
      <c r="F40" s="1614"/>
      <c r="G40" s="1614"/>
      <c r="H40" s="1614"/>
      <c r="I40" s="1614"/>
      <c r="J40" s="1614">
        <v>3705207.7500000037</v>
      </c>
      <c r="K40" s="1615">
        <v>3705207.7500000037</v>
      </c>
    </row>
    <row r="41" spans="1:11">
      <c r="A41" s="1621" t="s">
        <v>2534</v>
      </c>
      <c r="B41" s="1461" t="s">
        <v>488</v>
      </c>
      <c r="C41" s="1461" t="s">
        <v>2337</v>
      </c>
      <c r="D41" s="1361" t="s">
        <v>2320</v>
      </c>
      <c r="E41" s="1361" t="s">
        <v>2351</v>
      </c>
      <c r="F41" s="1614"/>
      <c r="G41" s="1614"/>
      <c r="H41" s="1614"/>
      <c r="I41" s="1614"/>
      <c r="J41" s="1614">
        <v>15726.4</v>
      </c>
      <c r="K41" s="1615">
        <v>15726.4</v>
      </c>
    </row>
    <row r="42" spans="1:11">
      <c r="A42" s="1621" t="s">
        <v>2534</v>
      </c>
      <c r="B42" s="1461" t="s">
        <v>488</v>
      </c>
      <c r="C42" s="1461" t="s">
        <v>2337</v>
      </c>
      <c r="D42" s="1361" t="s">
        <v>2320</v>
      </c>
      <c r="E42" s="1361" t="s">
        <v>2352</v>
      </c>
      <c r="F42" s="1614"/>
      <c r="G42" s="1614"/>
      <c r="H42" s="1614"/>
      <c r="I42" s="1614"/>
      <c r="J42" s="1614">
        <v>498067.87000000005</v>
      </c>
      <c r="K42" s="1615">
        <v>498067.87000000005</v>
      </c>
    </row>
    <row r="43" spans="1:11">
      <c r="A43" s="1621" t="s">
        <v>2534</v>
      </c>
      <c r="B43" s="1461" t="s">
        <v>488</v>
      </c>
      <c r="C43" s="1461" t="s">
        <v>2337</v>
      </c>
      <c r="D43" s="1361" t="s">
        <v>2320</v>
      </c>
      <c r="E43" s="1361" t="s">
        <v>3959</v>
      </c>
      <c r="F43" s="1614"/>
      <c r="G43" s="1614"/>
      <c r="H43" s="1614"/>
      <c r="I43" s="1614"/>
      <c r="J43" s="1614">
        <v>4220.3</v>
      </c>
      <c r="K43" s="1615">
        <v>4220.3</v>
      </c>
    </row>
    <row r="44" spans="1:11">
      <c r="A44" s="1621" t="s">
        <v>2534</v>
      </c>
      <c r="B44" s="1461" t="s">
        <v>488</v>
      </c>
      <c r="C44" s="1461" t="s">
        <v>2337</v>
      </c>
      <c r="D44" s="1361" t="s">
        <v>2320</v>
      </c>
      <c r="E44" s="1361" t="s">
        <v>2353</v>
      </c>
      <c r="F44" s="1614"/>
      <c r="G44" s="1614"/>
      <c r="H44" s="1614"/>
      <c r="I44" s="1614"/>
      <c r="J44" s="1614">
        <v>12232.25</v>
      </c>
      <c r="K44" s="1615">
        <v>12232.25</v>
      </c>
    </row>
    <row r="45" spans="1:11">
      <c r="A45" s="1621" t="s">
        <v>2534</v>
      </c>
      <c r="B45" s="1461" t="s">
        <v>488</v>
      </c>
      <c r="C45" s="1461" t="s">
        <v>2337</v>
      </c>
      <c r="D45" s="1361" t="s">
        <v>2320</v>
      </c>
      <c r="E45" s="1361" t="s">
        <v>2354</v>
      </c>
      <c r="F45" s="1614"/>
      <c r="G45" s="1614"/>
      <c r="H45" s="1614"/>
      <c r="I45" s="1614"/>
      <c r="J45" s="1614">
        <v>570725.20000000054</v>
      </c>
      <c r="K45" s="1615">
        <v>570725.20000000054</v>
      </c>
    </row>
    <row r="46" spans="1:11">
      <c r="A46" s="1621" t="s">
        <v>2534</v>
      </c>
      <c r="B46" s="1461" t="s">
        <v>488</v>
      </c>
      <c r="C46" s="1461" t="s">
        <v>2337</v>
      </c>
      <c r="D46" s="1361" t="s">
        <v>2320</v>
      </c>
      <c r="E46" s="1361" t="s">
        <v>2355</v>
      </c>
      <c r="F46" s="1614"/>
      <c r="G46" s="1614"/>
      <c r="H46" s="1614"/>
      <c r="I46" s="1614"/>
      <c r="J46" s="1614">
        <v>359984.35000000003</v>
      </c>
      <c r="K46" s="1615">
        <v>359984.35000000003</v>
      </c>
    </row>
    <row r="47" spans="1:11">
      <c r="A47" s="1621" t="s">
        <v>2534</v>
      </c>
      <c r="B47" s="1461" t="s">
        <v>488</v>
      </c>
      <c r="C47" s="1461" t="s">
        <v>2337</v>
      </c>
      <c r="D47" s="1361" t="s">
        <v>2320</v>
      </c>
      <c r="E47" s="1361" t="s">
        <v>2361</v>
      </c>
      <c r="F47" s="1614"/>
      <c r="G47" s="1614"/>
      <c r="H47" s="1614"/>
      <c r="I47" s="1614"/>
      <c r="J47" s="1614">
        <v>9215.86</v>
      </c>
      <c r="K47" s="1615">
        <v>9215.86</v>
      </c>
    </row>
    <row r="48" spans="1:11">
      <c r="A48" s="1621" t="s">
        <v>2534</v>
      </c>
      <c r="B48" s="1461" t="s">
        <v>488</v>
      </c>
      <c r="C48" s="1461" t="s">
        <v>2337</v>
      </c>
      <c r="D48" s="1361" t="s">
        <v>2320</v>
      </c>
      <c r="E48" s="1361" t="s">
        <v>2336</v>
      </c>
      <c r="F48" s="1614"/>
      <c r="G48" s="1614"/>
      <c r="H48" s="1614"/>
      <c r="I48" s="1614"/>
      <c r="J48" s="1614">
        <v>1.3642420526593924E-12</v>
      </c>
      <c r="K48" s="1615">
        <v>1.3642420526593924E-12</v>
      </c>
    </row>
    <row r="49" spans="1:11">
      <c r="A49" s="1621" t="s">
        <v>2534</v>
      </c>
      <c r="B49" s="1461" t="s">
        <v>488</v>
      </c>
      <c r="C49" s="1461" t="s">
        <v>505</v>
      </c>
      <c r="D49" s="1361" t="s">
        <v>2320</v>
      </c>
      <c r="E49" s="1361" t="s">
        <v>2325</v>
      </c>
      <c r="F49" s="1614"/>
      <c r="G49" s="1614">
        <v>3383391.0599999968</v>
      </c>
      <c r="H49" s="1614"/>
      <c r="I49" s="1614"/>
      <c r="J49" s="1614"/>
      <c r="K49" s="1615">
        <v>3383391.0599999968</v>
      </c>
    </row>
    <row r="50" spans="1:11">
      <c r="A50" s="1621" t="s">
        <v>2534</v>
      </c>
      <c r="B50" s="1461" t="s">
        <v>488</v>
      </c>
      <c r="C50" s="1461" t="s">
        <v>505</v>
      </c>
      <c r="D50" s="1361" t="s">
        <v>2320</v>
      </c>
      <c r="E50" s="1361" t="s">
        <v>2356</v>
      </c>
      <c r="F50" s="1614"/>
      <c r="G50" s="1614">
        <v>154042.72000000006</v>
      </c>
      <c r="H50" s="1614"/>
      <c r="I50" s="1614"/>
      <c r="J50" s="1614"/>
      <c r="K50" s="1615">
        <v>154042.72000000006</v>
      </c>
    </row>
    <row r="51" spans="1:11">
      <c r="A51" s="1621" t="s">
        <v>2534</v>
      </c>
      <c r="B51" s="1461" t="s">
        <v>488</v>
      </c>
      <c r="C51" s="1461" t="s">
        <v>506</v>
      </c>
      <c r="D51" s="1361" t="s">
        <v>2320</v>
      </c>
      <c r="E51" s="1361" t="s">
        <v>2357</v>
      </c>
      <c r="F51" s="1614"/>
      <c r="G51" s="1614"/>
      <c r="H51" s="1614"/>
      <c r="I51" s="1614"/>
      <c r="J51" s="1614">
        <v>1384.08</v>
      </c>
      <c r="K51" s="1615">
        <v>1384.08</v>
      </c>
    </row>
    <row r="52" spans="1:11">
      <c r="A52" s="1621" t="s">
        <v>2534</v>
      </c>
      <c r="B52" s="1461" t="s">
        <v>488</v>
      </c>
      <c r="C52" s="1461" t="s">
        <v>506</v>
      </c>
      <c r="D52" s="1361" t="s">
        <v>2320</v>
      </c>
      <c r="E52" s="1361" t="s">
        <v>3956</v>
      </c>
      <c r="F52" s="1614"/>
      <c r="G52" s="1614">
        <v>7762.4067329999998</v>
      </c>
      <c r="H52" s="1614"/>
      <c r="I52" s="1614"/>
      <c r="J52" s="1614">
        <v>11408.763267</v>
      </c>
      <c r="K52" s="1615">
        <v>19171.169999999998</v>
      </c>
    </row>
    <row r="53" spans="1:11">
      <c r="A53" s="1621" t="s">
        <v>2534</v>
      </c>
      <c r="B53" s="1461" t="s">
        <v>488</v>
      </c>
      <c r="C53" s="1461" t="s">
        <v>506</v>
      </c>
      <c r="D53" s="1361" t="s">
        <v>2320</v>
      </c>
      <c r="E53" s="1361" t="s">
        <v>2359</v>
      </c>
      <c r="F53" s="1614"/>
      <c r="G53" s="1614"/>
      <c r="H53" s="1614"/>
      <c r="I53" s="1614"/>
      <c r="J53" s="1614">
        <v>179602.51999999993</v>
      </c>
      <c r="K53" s="1615">
        <v>179602.51999999993</v>
      </c>
    </row>
    <row r="54" spans="1:11">
      <c r="A54" s="1621" t="s">
        <v>2534</v>
      </c>
      <c r="B54" s="1607" t="s">
        <v>488</v>
      </c>
      <c r="C54" s="1461" t="s">
        <v>506</v>
      </c>
      <c r="D54" s="1361" t="s">
        <v>2320</v>
      </c>
      <c r="E54" s="1361" t="s">
        <v>2346</v>
      </c>
      <c r="F54" s="1614"/>
      <c r="G54" s="1614"/>
      <c r="H54" s="1614"/>
      <c r="I54" s="1614"/>
      <c r="J54" s="1614">
        <v>484036.39</v>
      </c>
      <c r="K54" s="1615">
        <v>484036.39</v>
      </c>
    </row>
    <row r="55" spans="1:11">
      <c r="A55" s="1621" t="s">
        <v>2534</v>
      </c>
      <c r="B55" s="1461" t="s">
        <v>488</v>
      </c>
      <c r="C55" s="1461" t="s">
        <v>506</v>
      </c>
      <c r="D55" s="1361" t="s">
        <v>2320</v>
      </c>
      <c r="E55" s="1361" t="s">
        <v>2333</v>
      </c>
      <c r="F55" s="1614"/>
      <c r="G55" s="1614">
        <v>76597.896867999938</v>
      </c>
      <c r="H55" s="1614"/>
      <c r="I55" s="1614"/>
      <c r="J55" s="1614">
        <v>112579.4231320001</v>
      </c>
      <c r="K55" s="1615">
        <v>189177.32000000004</v>
      </c>
    </row>
    <row r="56" spans="1:11">
      <c r="A56" s="1621" t="s">
        <v>2534</v>
      </c>
      <c r="B56" s="1461" t="s">
        <v>488</v>
      </c>
      <c r="C56" s="1461" t="s">
        <v>506</v>
      </c>
      <c r="D56" s="1361" t="s">
        <v>2320</v>
      </c>
      <c r="E56" s="1361" t="s">
        <v>2361</v>
      </c>
      <c r="F56" s="1614"/>
      <c r="G56" s="1614"/>
      <c r="H56" s="1614"/>
      <c r="I56" s="1614"/>
      <c r="J56" s="1614">
        <v>14834.85</v>
      </c>
      <c r="K56" s="1615">
        <v>14834.85</v>
      </c>
    </row>
    <row r="57" spans="1:11">
      <c r="A57" s="1621" t="s">
        <v>2534</v>
      </c>
      <c r="B57" s="1607" t="s">
        <v>488</v>
      </c>
      <c r="C57" s="1461" t="s">
        <v>3943</v>
      </c>
      <c r="D57" s="1361" t="s">
        <v>2320</v>
      </c>
      <c r="E57" s="1361" t="s">
        <v>3960</v>
      </c>
      <c r="F57" s="1614"/>
      <c r="G57" s="1614">
        <v>43657.94</v>
      </c>
      <c r="H57" s="1614"/>
      <c r="I57" s="1614"/>
      <c r="J57" s="1614"/>
      <c r="K57" s="1615">
        <v>43657.94</v>
      </c>
    </row>
    <row r="58" spans="1:11">
      <c r="A58" s="1621" t="s">
        <v>2534</v>
      </c>
      <c r="B58" s="1607" t="s">
        <v>488</v>
      </c>
      <c r="C58" s="1461" t="s">
        <v>507</v>
      </c>
      <c r="D58" s="1361" t="s">
        <v>2320</v>
      </c>
      <c r="E58" s="1361" t="s">
        <v>2325</v>
      </c>
      <c r="F58" s="1614"/>
      <c r="G58" s="1614">
        <v>282.13</v>
      </c>
      <c r="H58" s="1614"/>
      <c r="I58" s="1614"/>
      <c r="J58" s="1614"/>
      <c r="K58" s="1615">
        <v>282.13</v>
      </c>
    </row>
    <row r="59" spans="1:11">
      <c r="A59" s="1621" t="s">
        <v>2534</v>
      </c>
      <c r="B59" s="1608" t="s">
        <v>488</v>
      </c>
      <c r="C59" s="1461" t="s">
        <v>507</v>
      </c>
      <c r="D59" s="1361" t="s">
        <v>2320</v>
      </c>
      <c r="E59" s="1361" t="s">
        <v>2356</v>
      </c>
      <c r="F59" s="1614"/>
      <c r="G59" s="1614">
        <v>830272.95000000019</v>
      </c>
      <c r="H59" s="1614"/>
      <c r="I59" s="1614"/>
      <c r="J59" s="1614"/>
      <c r="K59" s="1615">
        <v>830272.95000000019</v>
      </c>
    </row>
    <row r="60" spans="1:11">
      <c r="A60" s="1621" t="s">
        <v>2534</v>
      </c>
      <c r="B60" s="1608" t="s">
        <v>2362</v>
      </c>
      <c r="C60" s="1461" t="s">
        <v>491</v>
      </c>
      <c r="D60" s="1361" t="s">
        <v>2320</v>
      </c>
      <c r="E60" s="1361" t="s">
        <v>2363</v>
      </c>
      <c r="F60" s="1614">
        <v>378474.50000000017</v>
      </c>
      <c r="G60" s="1614"/>
      <c r="H60" s="1614"/>
      <c r="I60" s="1614"/>
      <c r="J60" s="1614"/>
      <c r="K60" s="1615">
        <v>378474.50000000017</v>
      </c>
    </row>
    <row r="61" spans="1:11">
      <c r="A61" s="1621" t="s">
        <v>2534</v>
      </c>
      <c r="B61" s="1608" t="s">
        <v>2362</v>
      </c>
      <c r="C61" s="1461" t="s">
        <v>491</v>
      </c>
      <c r="D61" s="1361" t="s">
        <v>2320</v>
      </c>
      <c r="E61" s="1361" t="s">
        <v>2364</v>
      </c>
      <c r="F61" s="1614">
        <v>211845.45000000004</v>
      </c>
      <c r="G61" s="1614"/>
      <c r="H61" s="1614"/>
      <c r="I61" s="1614"/>
      <c r="J61" s="1614"/>
      <c r="K61" s="1615">
        <v>211845.45000000004</v>
      </c>
    </row>
    <row r="62" spans="1:11">
      <c r="A62" s="1621" t="s">
        <v>2534</v>
      </c>
      <c r="B62" s="1608" t="s">
        <v>2362</v>
      </c>
      <c r="C62" s="1461" t="s">
        <v>491</v>
      </c>
      <c r="D62" s="1361" t="s">
        <v>2320</v>
      </c>
      <c r="E62" s="1361" t="s">
        <v>2365</v>
      </c>
      <c r="F62" s="1614">
        <v>870522.84999999939</v>
      </c>
      <c r="G62" s="1614"/>
      <c r="H62" s="1614"/>
      <c r="I62" s="1614"/>
      <c r="J62" s="1614"/>
      <c r="K62" s="1615">
        <v>870522.84999999939</v>
      </c>
    </row>
    <row r="63" spans="1:11">
      <c r="A63" s="1621" t="s">
        <v>2534</v>
      </c>
      <c r="B63" s="1607" t="s">
        <v>2366</v>
      </c>
      <c r="C63" s="1461" t="s">
        <v>3944</v>
      </c>
      <c r="D63" s="1361" t="s">
        <v>2320</v>
      </c>
      <c r="E63" s="1361" t="s">
        <v>3961</v>
      </c>
      <c r="F63" s="1614"/>
      <c r="G63" s="1614">
        <v>0</v>
      </c>
      <c r="H63" s="1614"/>
      <c r="I63" s="1614"/>
      <c r="J63" s="1614"/>
      <c r="K63" s="1615">
        <v>0</v>
      </c>
    </row>
    <row r="64" spans="1:11">
      <c r="A64" s="1621" t="s">
        <v>2534</v>
      </c>
      <c r="B64" s="1608" t="s">
        <v>2366</v>
      </c>
      <c r="C64" s="1461" t="s">
        <v>502</v>
      </c>
      <c r="D64" s="1361" t="s">
        <v>2320</v>
      </c>
      <c r="E64" s="1361" t="s">
        <v>2344</v>
      </c>
      <c r="F64" s="1614"/>
      <c r="G64" s="1614"/>
      <c r="H64" s="1614"/>
      <c r="I64" s="1614"/>
      <c r="J64" s="1614">
        <v>61704.920000000027</v>
      </c>
      <c r="K64" s="1615">
        <v>61704.920000000027</v>
      </c>
    </row>
    <row r="65" spans="1:11">
      <c r="A65" s="1621" t="s">
        <v>2534</v>
      </c>
      <c r="B65" s="1608" t="s">
        <v>2366</v>
      </c>
      <c r="C65" s="1461" t="s">
        <v>502</v>
      </c>
      <c r="D65" s="1361" t="s">
        <v>2320</v>
      </c>
      <c r="E65" s="1361" t="s">
        <v>2351</v>
      </c>
      <c r="F65" s="1614"/>
      <c r="G65" s="1614"/>
      <c r="H65" s="1614"/>
      <c r="I65" s="1614"/>
      <c r="J65" s="1614">
        <v>56019.890000000021</v>
      </c>
      <c r="K65" s="1615">
        <v>56019.890000000021</v>
      </c>
    </row>
    <row r="66" spans="1:11">
      <c r="A66" s="1621" t="s">
        <v>2534</v>
      </c>
      <c r="B66" s="1607" t="s">
        <v>3945</v>
      </c>
      <c r="C66" s="1461" t="s">
        <v>3946</v>
      </c>
      <c r="D66" s="1361" t="s">
        <v>2320</v>
      </c>
      <c r="E66" s="1361" t="s">
        <v>2433</v>
      </c>
      <c r="F66" s="1614"/>
      <c r="G66" s="1614"/>
      <c r="H66" s="1614"/>
      <c r="I66" s="1614">
        <v>17719.140000000007</v>
      </c>
      <c r="J66" s="1614"/>
      <c r="K66" s="1615">
        <v>17719.140000000007</v>
      </c>
    </row>
    <row r="67" spans="1:11">
      <c r="A67" s="1621" t="s">
        <v>2534</v>
      </c>
      <c r="B67" s="1607" t="s">
        <v>2368</v>
      </c>
      <c r="C67" s="1461" t="s">
        <v>2369</v>
      </c>
      <c r="D67" s="1361" t="s">
        <v>2320</v>
      </c>
      <c r="E67" s="1361" t="s">
        <v>2370</v>
      </c>
      <c r="F67" s="1614"/>
      <c r="G67" s="1614"/>
      <c r="H67" s="1614">
        <v>74089.120000000024</v>
      </c>
      <c r="I67" s="1614"/>
      <c r="J67" s="1614"/>
      <c r="K67" s="1615">
        <v>74089.120000000024</v>
      </c>
    </row>
    <row r="68" spans="1:11">
      <c r="A68" s="1621" t="s">
        <v>2534</v>
      </c>
      <c r="B68" s="1608" t="s">
        <v>2368</v>
      </c>
      <c r="C68" s="1461" t="s">
        <v>2371</v>
      </c>
      <c r="D68" s="1361" t="s">
        <v>2320</v>
      </c>
      <c r="E68" s="1361" t="s">
        <v>2370</v>
      </c>
      <c r="F68" s="1614"/>
      <c r="G68" s="1614"/>
      <c r="H68" s="1614">
        <v>420220.06000000064</v>
      </c>
      <c r="I68" s="1614"/>
      <c r="J68" s="1614"/>
      <c r="K68" s="1615">
        <v>420220.06000000064</v>
      </c>
    </row>
    <row r="69" spans="1:11">
      <c r="A69" s="1621" t="s">
        <v>2534</v>
      </c>
      <c r="B69" s="1607" t="s">
        <v>2368</v>
      </c>
      <c r="C69" s="1461" t="s">
        <v>3947</v>
      </c>
      <c r="D69" s="1361" t="s">
        <v>2320</v>
      </c>
      <c r="F69" s="1614"/>
      <c r="G69" s="1614"/>
      <c r="H69" s="1614">
        <v>2575.54</v>
      </c>
      <c r="I69" s="1614"/>
      <c r="J69" s="1614"/>
      <c r="K69" s="1615">
        <v>2575.54</v>
      </c>
    </row>
    <row r="70" spans="1:11">
      <c r="A70" s="1621" t="s">
        <v>2534</v>
      </c>
      <c r="B70" s="1608" t="s">
        <v>2368</v>
      </c>
      <c r="C70" s="1461" t="s">
        <v>2372</v>
      </c>
      <c r="D70" s="1361" t="s">
        <v>2320</v>
      </c>
      <c r="E70" s="1361" t="s">
        <v>2370</v>
      </c>
      <c r="F70" s="1614"/>
      <c r="G70" s="1614"/>
      <c r="H70" s="1614">
        <v>9831.69</v>
      </c>
      <c r="I70" s="1614"/>
      <c r="J70" s="1614"/>
      <c r="K70" s="1615">
        <v>9831.69</v>
      </c>
    </row>
    <row r="71" spans="1:11">
      <c r="A71" s="1621" t="s">
        <v>2534</v>
      </c>
      <c r="B71" s="1608" t="s">
        <v>2368</v>
      </c>
      <c r="C71" s="1461" t="s">
        <v>2373</v>
      </c>
      <c r="D71" s="1361" t="s">
        <v>2320</v>
      </c>
      <c r="E71" s="1361" t="s">
        <v>2370</v>
      </c>
      <c r="F71" s="1614"/>
      <c r="G71" s="1614"/>
      <c r="H71" s="1614">
        <v>385276.91000000003</v>
      </c>
      <c r="I71" s="1614"/>
      <c r="J71" s="1614"/>
      <c r="K71" s="1615">
        <v>385276.91000000003</v>
      </c>
    </row>
    <row r="72" spans="1:11">
      <c r="A72" s="1621" t="s">
        <v>2534</v>
      </c>
      <c r="B72" s="1608" t="s">
        <v>2368</v>
      </c>
      <c r="C72" s="1461" t="s">
        <v>2374</v>
      </c>
      <c r="D72" s="1361" t="s">
        <v>2320</v>
      </c>
      <c r="E72" s="1361" t="s">
        <v>2370</v>
      </c>
      <c r="F72" s="1614"/>
      <c r="G72" s="1614"/>
      <c r="H72" s="1614">
        <v>143586.49999999997</v>
      </c>
      <c r="I72" s="1614"/>
      <c r="J72" s="1614"/>
      <c r="K72" s="1615">
        <v>143586.49999999997</v>
      </c>
    </row>
    <row r="73" spans="1:11">
      <c r="A73" s="1621" t="s">
        <v>2534</v>
      </c>
      <c r="B73" s="1607" t="s">
        <v>2375</v>
      </c>
      <c r="C73" s="1461" t="s">
        <v>2376</v>
      </c>
      <c r="D73" s="1361" t="s">
        <v>2320</v>
      </c>
      <c r="E73" s="1361" t="s">
        <v>2370</v>
      </c>
      <c r="F73" s="1614"/>
      <c r="G73" s="1614"/>
      <c r="H73" s="1614">
        <v>1680840.6000000569</v>
      </c>
      <c r="I73" s="1614"/>
      <c r="J73" s="1614"/>
      <c r="K73" s="1615">
        <v>1680840.6000000569</v>
      </c>
    </row>
    <row r="74" spans="1:11">
      <c r="A74" s="1621" t="s">
        <v>2534</v>
      </c>
      <c r="B74" s="1608" t="s">
        <v>2375</v>
      </c>
      <c r="C74" s="1461" t="s">
        <v>2377</v>
      </c>
      <c r="D74" s="1361" t="s">
        <v>2320</v>
      </c>
      <c r="E74" s="1361" t="s">
        <v>2370</v>
      </c>
      <c r="F74" s="1614"/>
      <c r="G74" s="1614"/>
      <c r="H74" s="1614">
        <v>658332.8699999993</v>
      </c>
      <c r="I74" s="1614"/>
      <c r="J74" s="1614"/>
      <c r="K74" s="1615">
        <v>658332.8699999993</v>
      </c>
    </row>
    <row r="75" spans="1:11">
      <c r="A75" s="1621" t="s">
        <v>2534</v>
      </c>
      <c r="B75" s="1608" t="s">
        <v>2375</v>
      </c>
      <c r="C75" s="1461" t="s">
        <v>2378</v>
      </c>
      <c r="D75" s="1361" t="s">
        <v>2320</v>
      </c>
      <c r="E75" s="1361" t="s">
        <v>2370</v>
      </c>
      <c r="F75" s="1614"/>
      <c r="G75" s="1614"/>
      <c r="H75" s="1614">
        <v>6605987.950000043</v>
      </c>
      <c r="I75" s="1614"/>
      <c r="J75" s="1614"/>
      <c r="K75" s="1615">
        <v>6605987.950000043</v>
      </c>
    </row>
    <row r="76" spans="1:11">
      <c r="A76" s="1621" t="s">
        <v>2534</v>
      </c>
      <c r="B76" s="1608" t="s">
        <v>2379</v>
      </c>
      <c r="C76" s="1461" t="s">
        <v>844</v>
      </c>
      <c r="D76" s="1361" t="s">
        <v>2320</v>
      </c>
      <c r="E76" s="1361" t="s">
        <v>2336</v>
      </c>
      <c r="F76" s="1614">
        <v>11635.09</v>
      </c>
      <c r="G76" s="1614"/>
      <c r="H76" s="1614"/>
      <c r="I76" s="1614"/>
      <c r="J76" s="1614"/>
      <c r="K76" s="1615">
        <v>11635.09</v>
      </c>
    </row>
    <row r="77" spans="1:11">
      <c r="A77" s="1361" t="s">
        <v>2535</v>
      </c>
      <c r="B77" s="1607" t="s">
        <v>2381</v>
      </c>
      <c r="C77" s="1461" t="s">
        <v>2382</v>
      </c>
      <c r="D77" s="1361" t="s">
        <v>2320</v>
      </c>
      <c r="E77" s="1361" t="s">
        <v>2383</v>
      </c>
      <c r="F77" s="1614"/>
      <c r="G77" s="1614"/>
      <c r="H77" s="1614"/>
      <c r="I77" s="1614">
        <v>2411876.3299999954</v>
      </c>
      <c r="J77" s="1614"/>
      <c r="K77" s="1615">
        <v>2411876.3299999954</v>
      </c>
    </row>
    <row r="78" spans="1:11">
      <c r="A78" s="1361" t="s">
        <v>2535</v>
      </c>
      <c r="B78" s="1608" t="s">
        <v>2381</v>
      </c>
      <c r="C78" s="1461" t="s">
        <v>2382</v>
      </c>
      <c r="D78" s="1361" t="s">
        <v>2320</v>
      </c>
      <c r="E78" s="1361" t="s">
        <v>2384</v>
      </c>
      <c r="F78" s="1614"/>
      <c r="G78" s="1614"/>
      <c r="H78" s="1614"/>
      <c r="I78" s="1614">
        <v>2342547.489999997</v>
      </c>
      <c r="J78" s="1614"/>
      <c r="K78" s="1615">
        <v>2342547.489999997</v>
      </c>
    </row>
    <row r="79" spans="1:11">
      <c r="A79" s="1361" t="s">
        <v>2535</v>
      </c>
      <c r="B79" s="1607" t="s">
        <v>2381</v>
      </c>
      <c r="C79" s="1461" t="s">
        <v>2386</v>
      </c>
      <c r="D79" s="1361" t="s">
        <v>2320</v>
      </c>
      <c r="E79" s="1361" t="s">
        <v>2387</v>
      </c>
      <c r="F79" s="1614">
        <v>22202.909999999993</v>
      </c>
      <c r="G79" s="1614"/>
      <c r="H79" s="1614"/>
      <c r="I79" s="1614"/>
      <c r="J79" s="1614"/>
      <c r="K79" s="1615">
        <v>22202.909999999993</v>
      </c>
    </row>
    <row r="80" spans="1:11">
      <c r="A80" s="1361" t="s">
        <v>2535</v>
      </c>
      <c r="B80" s="1608" t="s">
        <v>2388</v>
      </c>
      <c r="C80" s="1461" t="s">
        <v>3948</v>
      </c>
      <c r="D80" s="1361" t="s">
        <v>2320</v>
      </c>
      <c r="E80" s="1361" t="s">
        <v>2413</v>
      </c>
      <c r="F80" s="1614"/>
      <c r="G80" s="1614"/>
      <c r="H80" s="1614"/>
      <c r="I80" s="1614">
        <v>23694.270000000004</v>
      </c>
      <c r="J80" s="1614"/>
      <c r="K80" s="1615">
        <v>23694.270000000004</v>
      </c>
    </row>
    <row r="81" spans="1:11">
      <c r="A81" s="1361" t="s">
        <v>2535</v>
      </c>
      <c r="B81" s="1608" t="s">
        <v>2388</v>
      </c>
      <c r="C81" s="1461" t="s">
        <v>2389</v>
      </c>
      <c r="D81" s="1361" t="s">
        <v>2320</v>
      </c>
      <c r="E81" s="1361" t="s">
        <v>2390</v>
      </c>
      <c r="F81" s="1614"/>
      <c r="G81" s="1614"/>
      <c r="H81" s="1614"/>
      <c r="I81" s="1614">
        <v>357607.38999999966</v>
      </c>
      <c r="J81" s="1614"/>
      <c r="K81" s="1615">
        <v>357607.38999999966</v>
      </c>
    </row>
    <row r="82" spans="1:11">
      <c r="A82" s="1361" t="s">
        <v>2535</v>
      </c>
      <c r="B82" s="1608" t="s">
        <v>2388</v>
      </c>
      <c r="C82" s="1461" t="s">
        <v>2389</v>
      </c>
      <c r="D82" s="1361" t="s">
        <v>2320</v>
      </c>
      <c r="E82" s="1361" t="s">
        <v>2391</v>
      </c>
      <c r="F82" s="1614"/>
      <c r="G82" s="1614"/>
      <c r="H82" s="1614"/>
      <c r="I82" s="1614">
        <v>895679.6399999971</v>
      </c>
      <c r="J82" s="1614"/>
      <c r="K82" s="1615">
        <v>895679.6399999971</v>
      </c>
    </row>
    <row r="83" spans="1:11">
      <c r="A83" s="1361" t="s">
        <v>2535</v>
      </c>
      <c r="B83" s="1608" t="s">
        <v>2388</v>
      </c>
      <c r="C83" s="1461" t="s">
        <v>2392</v>
      </c>
      <c r="D83" s="1361" t="s">
        <v>2320</v>
      </c>
      <c r="E83" s="1361" t="s">
        <v>2385</v>
      </c>
      <c r="F83" s="1614">
        <v>16136.890000000003</v>
      </c>
      <c r="G83" s="1614"/>
      <c r="H83" s="1614"/>
      <c r="I83" s="1614"/>
      <c r="J83" s="1614"/>
      <c r="K83" s="1615">
        <v>16136.890000000003</v>
      </c>
    </row>
    <row r="84" spans="1:11">
      <c r="A84" s="1361" t="s">
        <v>2535</v>
      </c>
      <c r="B84" s="1608" t="s">
        <v>2388</v>
      </c>
      <c r="C84" s="1461" t="s">
        <v>2393</v>
      </c>
      <c r="D84" s="1361" t="s">
        <v>2320</v>
      </c>
      <c r="E84" s="1361" t="s">
        <v>2387</v>
      </c>
      <c r="F84" s="1614">
        <v>10452.779999999999</v>
      </c>
      <c r="G84" s="1614"/>
      <c r="H84" s="1614"/>
      <c r="I84" s="1614"/>
      <c r="J84" s="1614"/>
      <c r="K84" s="1615">
        <v>10452.779999999999</v>
      </c>
    </row>
    <row r="85" spans="1:11">
      <c r="A85" s="1361" t="s">
        <v>2535</v>
      </c>
      <c r="B85" s="1608" t="s">
        <v>2394</v>
      </c>
      <c r="C85" s="1461" t="s">
        <v>2395</v>
      </c>
      <c r="D85" s="1361" t="s">
        <v>2320</v>
      </c>
      <c r="E85" s="1361" t="s">
        <v>2385</v>
      </c>
      <c r="F85" s="1614">
        <v>16136.890000000003</v>
      </c>
      <c r="G85" s="1614"/>
      <c r="H85" s="1614"/>
      <c r="I85" s="1614"/>
      <c r="J85" s="1614"/>
      <c r="K85" s="1615">
        <v>16136.890000000003</v>
      </c>
    </row>
    <row r="86" spans="1:11">
      <c r="A86" s="1361" t="s">
        <v>2535</v>
      </c>
      <c r="B86" s="1608" t="s">
        <v>2394</v>
      </c>
      <c r="C86" s="1461" t="s">
        <v>2396</v>
      </c>
      <c r="D86" s="1361" t="s">
        <v>2320</v>
      </c>
      <c r="E86" s="1361" t="s">
        <v>2387</v>
      </c>
      <c r="F86" s="1614">
        <v>10452.779999999999</v>
      </c>
      <c r="G86" s="1614"/>
      <c r="H86" s="1614"/>
      <c r="I86" s="1614"/>
      <c r="J86" s="1614"/>
      <c r="K86" s="1615">
        <v>10452.779999999999</v>
      </c>
    </row>
    <row r="87" spans="1:11">
      <c r="A87" s="1361" t="s">
        <v>2535</v>
      </c>
      <c r="B87" s="1608" t="s">
        <v>2397</v>
      </c>
      <c r="C87" s="1461" t="s">
        <v>2398</v>
      </c>
      <c r="D87" s="1361" t="s">
        <v>2320</v>
      </c>
      <c r="E87" s="1361" t="s">
        <v>2399</v>
      </c>
      <c r="F87" s="1614"/>
      <c r="G87" s="1614"/>
      <c r="H87" s="1614"/>
      <c r="I87" s="1614">
        <v>38909.756555999949</v>
      </c>
      <c r="J87" s="1614"/>
      <c r="K87" s="1615">
        <v>38909.756555999949</v>
      </c>
    </row>
    <row r="88" spans="1:11">
      <c r="A88" s="1361" t="s">
        <v>2535</v>
      </c>
      <c r="B88" s="1607" t="s">
        <v>2397</v>
      </c>
      <c r="C88" s="1461" t="s">
        <v>2398</v>
      </c>
      <c r="D88" s="1361" t="s">
        <v>2320</v>
      </c>
      <c r="E88" s="1361" t="s">
        <v>2400</v>
      </c>
      <c r="F88" s="1614"/>
      <c r="G88" s="1614"/>
      <c r="H88" s="1614"/>
      <c r="I88" s="1614">
        <v>130002.2000000001</v>
      </c>
      <c r="J88" s="1614"/>
      <c r="K88" s="1615">
        <v>130002.2000000001</v>
      </c>
    </row>
    <row r="89" spans="1:11">
      <c r="A89" s="1361" t="s">
        <v>2535</v>
      </c>
      <c r="B89" s="1608" t="s">
        <v>2397</v>
      </c>
      <c r="C89" s="1461" t="s">
        <v>2398</v>
      </c>
      <c r="D89" s="1361" t="s">
        <v>2320</v>
      </c>
      <c r="E89" s="1361" t="s">
        <v>2401</v>
      </c>
      <c r="F89" s="1614"/>
      <c r="G89" s="1614"/>
      <c r="H89" s="1614"/>
      <c r="I89" s="1614">
        <v>51723.56</v>
      </c>
      <c r="J89" s="1614"/>
      <c r="K89" s="1615">
        <v>51723.56</v>
      </c>
    </row>
    <row r="90" spans="1:11">
      <c r="A90" s="1361" t="s">
        <v>2535</v>
      </c>
      <c r="B90" s="1607" t="s">
        <v>2397</v>
      </c>
      <c r="C90" s="1461" t="s">
        <v>2398</v>
      </c>
      <c r="D90" s="1361" t="s">
        <v>2320</v>
      </c>
      <c r="E90" s="1361" t="s">
        <v>2402</v>
      </c>
      <c r="F90" s="1614"/>
      <c r="G90" s="1614"/>
      <c r="H90" s="1614"/>
      <c r="I90" s="1614">
        <v>426934.83999999752</v>
      </c>
      <c r="J90" s="1614"/>
      <c r="K90" s="1615">
        <v>426934.83999999752</v>
      </c>
    </row>
    <row r="91" spans="1:11">
      <c r="A91" s="1361" t="s">
        <v>2535</v>
      </c>
      <c r="B91" s="1608" t="s">
        <v>2397</v>
      </c>
      <c r="C91" s="1461" t="s">
        <v>2398</v>
      </c>
      <c r="D91" s="1361" t="s">
        <v>2320</v>
      </c>
      <c r="E91" s="1361" t="s">
        <v>2403</v>
      </c>
      <c r="F91" s="1614"/>
      <c r="G91" s="1614"/>
      <c r="H91" s="1614"/>
      <c r="I91" s="1614">
        <v>454364.31999999675</v>
      </c>
      <c r="J91" s="1614"/>
      <c r="K91" s="1615">
        <v>454364.31999999675</v>
      </c>
    </row>
    <row r="92" spans="1:11">
      <c r="A92" s="1361" t="s">
        <v>2535</v>
      </c>
      <c r="B92" s="1607" t="s">
        <v>2397</v>
      </c>
      <c r="C92" s="1461" t="s">
        <v>2398</v>
      </c>
      <c r="D92" s="1361" t="s">
        <v>2320</v>
      </c>
      <c r="E92" s="1361" t="s">
        <v>2404</v>
      </c>
      <c r="F92" s="1614"/>
      <c r="G92" s="1614"/>
      <c r="H92" s="1614"/>
      <c r="I92" s="1614">
        <v>325761.02495199995</v>
      </c>
      <c r="J92" s="1614"/>
      <c r="K92" s="1615">
        <v>325761.02495199995</v>
      </c>
    </row>
    <row r="93" spans="1:11">
      <c r="A93" s="1361" t="s">
        <v>2535</v>
      </c>
      <c r="B93" s="1608" t="s">
        <v>2397</v>
      </c>
      <c r="C93" s="1461" t="s">
        <v>2398</v>
      </c>
      <c r="D93" s="1361" t="s">
        <v>2320</v>
      </c>
      <c r="E93" s="1361" t="s">
        <v>2405</v>
      </c>
      <c r="F93" s="1614"/>
      <c r="G93" s="1614"/>
      <c r="H93" s="1614"/>
      <c r="I93" s="1614">
        <v>297464.49900000007</v>
      </c>
      <c r="J93" s="1614"/>
      <c r="K93" s="1615">
        <v>297464.49900000007</v>
      </c>
    </row>
    <row r="94" spans="1:11">
      <c r="A94" s="1361" t="s">
        <v>2535</v>
      </c>
      <c r="B94" s="1608" t="s">
        <v>2397</v>
      </c>
      <c r="C94" s="1461" t="s">
        <v>2406</v>
      </c>
      <c r="D94" s="1361" t="s">
        <v>2320</v>
      </c>
      <c r="E94" s="1361" t="s">
        <v>2407</v>
      </c>
      <c r="F94" s="1614"/>
      <c r="G94" s="1614"/>
      <c r="H94" s="1614"/>
      <c r="I94" s="1614">
        <v>622726.38999999955</v>
      </c>
      <c r="J94" s="1614"/>
      <c r="K94" s="1615">
        <v>622726.38999999955</v>
      </c>
    </row>
    <row r="95" spans="1:11">
      <c r="A95" s="1361" t="s">
        <v>2535</v>
      </c>
      <c r="B95" s="1608" t="s">
        <v>2397</v>
      </c>
      <c r="C95" s="1461" t="s">
        <v>2408</v>
      </c>
      <c r="D95" s="1361" t="s">
        <v>2320</v>
      </c>
      <c r="E95" s="1361" t="s">
        <v>2409</v>
      </c>
      <c r="F95" s="1614"/>
      <c r="G95" s="1614"/>
      <c r="H95" s="1614"/>
      <c r="I95" s="1614">
        <v>148314.60000000123</v>
      </c>
      <c r="J95" s="1614"/>
      <c r="K95" s="1615">
        <v>148314.60000000123</v>
      </c>
    </row>
    <row r="96" spans="1:11">
      <c r="A96" s="1361" t="s">
        <v>2535</v>
      </c>
      <c r="B96" s="1607" t="s">
        <v>2410</v>
      </c>
      <c r="C96" s="1461" t="s">
        <v>2411</v>
      </c>
      <c r="D96" s="1361" t="s">
        <v>2320</v>
      </c>
      <c r="E96" s="1361" t="s">
        <v>2412</v>
      </c>
      <c r="F96" s="1614"/>
      <c r="G96" s="1614"/>
      <c r="H96" s="1614"/>
      <c r="I96" s="1614">
        <v>371130.74000000011</v>
      </c>
      <c r="J96" s="1614"/>
      <c r="K96" s="1615">
        <v>371130.74000000011</v>
      </c>
    </row>
    <row r="97" spans="1:11">
      <c r="A97" s="1361" t="s">
        <v>2535</v>
      </c>
      <c r="B97" s="1608" t="s">
        <v>2410</v>
      </c>
      <c r="C97" s="1461" t="s">
        <v>2411</v>
      </c>
      <c r="D97" s="1361" t="s">
        <v>2320</v>
      </c>
      <c r="E97" s="1361" t="s">
        <v>2413</v>
      </c>
      <c r="F97" s="1614"/>
      <c r="G97" s="1614"/>
      <c r="H97" s="1614"/>
      <c r="I97" s="1614">
        <v>406346.91000000003</v>
      </c>
      <c r="J97" s="1614"/>
      <c r="K97" s="1615">
        <v>406346.91000000003</v>
      </c>
    </row>
    <row r="98" spans="1:11">
      <c r="A98" s="1361" t="s">
        <v>2535</v>
      </c>
      <c r="B98" s="1608" t="s">
        <v>2414</v>
      </c>
      <c r="C98" s="1461" t="s">
        <v>2415</v>
      </c>
      <c r="D98" s="1361" t="s">
        <v>2320</v>
      </c>
      <c r="E98" s="1361" t="s">
        <v>2391</v>
      </c>
      <c r="F98" s="1614"/>
      <c r="G98" s="1614"/>
      <c r="H98" s="1614"/>
      <c r="I98" s="1614">
        <v>14742.14</v>
      </c>
      <c r="J98" s="1614"/>
      <c r="K98" s="1615">
        <v>14742.14</v>
      </c>
    </row>
    <row r="99" spans="1:11">
      <c r="A99" s="1361" t="s">
        <v>2535</v>
      </c>
      <c r="B99" s="1608" t="s">
        <v>2414</v>
      </c>
      <c r="C99" s="1461" t="s">
        <v>2416</v>
      </c>
      <c r="D99" s="1361" t="s">
        <v>2320</v>
      </c>
      <c r="E99" s="1361" t="s">
        <v>2417</v>
      </c>
      <c r="F99" s="1614"/>
      <c r="G99" s="1614"/>
      <c r="H99" s="1614"/>
      <c r="I99" s="1614">
        <v>41809.62000000001</v>
      </c>
      <c r="J99" s="1614"/>
      <c r="K99" s="1615">
        <v>41809.62000000001</v>
      </c>
    </row>
    <row r="100" spans="1:11">
      <c r="A100" s="1361" t="s">
        <v>2535</v>
      </c>
      <c r="B100" s="1608" t="s">
        <v>2418</v>
      </c>
      <c r="C100" s="1461" t="s">
        <v>2419</v>
      </c>
      <c r="D100" s="1361" t="s">
        <v>2320</v>
      </c>
      <c r="E100" s="1361" t="s">
        <v>2407</v>
      </c>
      <c r="F100" s="1614"/>
      <c r="G100" s="1614"/>
      <c r="H100" s="1614"/>
      <c r="I100" s="1614">
        <v>1036209.7000000005</v>
      </c>
      <c r="J100" s="1614"/>
      <c r="K100" s="1615">
        <v>1036209.7000000005</v>
      </c>
    </row>
    <row r="101" spans="1:11">
      <c r="A101" s="1361" t="s">
        <v>2535</v>
      </c>
      <c r="B101" s="1607" t="s">
        <v>2418</v>
      </c>
      <c r="C101" s="1461" t="s">
        <v>2419</v>
      </c>
      <c r="D101" s="1361" t="s">
        <v>2320</v>
      </c>
      <c r="E101" s="1361" t="s">
        <v>2412</v>
      </c>
      <c r="F101" s="1614"/>
      <c r="G101" s="1614"/>
      <c r="H101" s="1614"/>
      <c r="I101" s="1614">
        <v>10905.060000000001</v>
      </c>
      <c r="J101" s="1614"/>
      <c r="K101" s="1615">
        <v>10905.060000000001</v>
      </c>
    </row>
    <row r="102" spans="1:11">
      <c r="A102" s="1361" t="s">
        <v>2535</v>
      </c>
      <c r="B102" s="1608" t="s">
        <v>2418</v>
      </c>
      <c r="C102" s="1461" t="s">
        <v>2419</v>
      </c>
      <c r="D102" s="1361" t="s">
        <v>2320</v>
      </c>
      <c r="E102" s="1361" t="s">
        <v>2417</v>
      </c>
      <c r="F102" s="1614"/>
      <c r="G102" s="1614"/>
      <c r="H102" s="1614"/>
      <c r="I102" s="1614">
        <v>69437.130000000019</v>
      </c>
      <c r="J102" s="1614"/>
      <c r="K102" s="1615">
        <v>69437.130000000019</v>
      </c>
    </row>
    <row r="103" spans="1:11">
      <c r="A103" s="1361" t="s">
        <v>2535</v>
      </c>
      <c r="B103" s="1608" t="s">
        <v>2418</v>
      </c>
      <c r="C103" s="1461" t="s">
        <v>2419</v>
      </c>
      <c r="D103" s="1361" t="s">
        <v>2320</v>
      </c>
      <c r="E103" s="1361" t="s">
        <v>2420</v>
      </c>
      <c r="F103" s="1614"/>
      <c r="G103" s="1614"/>
      <c r="H103" s="1614"/>
      <c r="I103" s="1614">
        <v>272232.06560000003</v>
      </c>
      <c r="J103" s="1614"/>
      <c r="K103" s="1615">
        <v>272232.06560000003</v>
      </c>
    </row>
    <row r="104" spans="1:11">
      <c r="A104" s="1361" t="s">
        <v>2535</v>
      </c>
      <c r="B104" s="1608" t="s">
        <v>2421</v>
      </c>
      <c r="C104" s="1461" t="s">
        <v>2422</v>
      </c>
      <c r="D104" s="1361" t="s">
        <v>2320</v>
      </c>
      <c r="F104" s="1614"/>
      <c r="G104" s="1614"/>
      <c r="H104" s="1614"/>
      <c r="I104" s="1614">
        <v>17157.259999999998</v>
      </c>
      <c r="J104" s="1614"/>
      <c r="K104" s="1615">
        <v>17157.259999999998</v>
      </c>
    </row>
    <row r="105" spans="1:11">
      <c r="A105" s="1361" t="s">
        <v>2535</v>
      </c>
      <c r="B105" s="1608" t="s">
        <v>2421</v>
      </c>
      <c r="C105" s="1461" t="s">
        <v>2422</v>
      </c>
      <c r="D105" s="1361" t="s">
        <v>2320</v>
      </c>
      <c r="E105" s="1361" t="s">
        <v>2423</v>
      </c>
      <c r="F105" s="1614"/>
      <c r="G105" s="1614"/>
      <c r="H105" s="1614"/>
      <c r="I105" s="1614">
        <v>660765.7999999997</v>
      </c>
      <c r="J105" s="1614"/>
      <c r="K105" s="1615">
        <v>660765.7999999997</v>
      </c>
    </row>
    <row r="106" spans="1:11">
      <c r="A106" s="1361" t="s">
        <v>2535</v>
      </c>
      <c r="B106" s="1608" t="s">
        <v>2421</v>
      </c>
      <c r="C106" s="1461" t="s">
        <v>2422</v>
      </c>
      <c r="D106" s="1361" t="s">
        <v>2320</v>
      </c>
      <c r="E106" s="1361" t="s">
        <v>2413</v>
      </c>
      <c r="F106" s="1614"/>
      <c r="G106" s="1614"/>
      <c r="H106" s="1614"/>
      <c r="I106" s="1614">
        <v>296593.67000000004</v>
      </c>
      <c r="J106" s="1614"/>
      <c r="K106" s="1615">
        <v>296593.67000000004</v>
      </c>
    </row>
    <row r="107" spans="1:11">
      <c r="A107" s="1361" t="s">
        <v>2535</v>
      </c>
      <c r="B107" s="1608" t="s">
        <v>2421</v>
      </c>
      <c r="C107" s="1461" t="s">
        <v>2422</v>
      </c>
      <c r="D107" s="1361" t="s">
        <v>2320</v>
      </c>
      <c r="E107" s="1361" t="s">
        <v>2390</v>
      </c>
      <c r="F107" s="1614"/>
      <c r="G107" s="1614"/>
      <c r="H107" s="1614"/>
      <c r="I107" s="1614">
        <v>2254418.6999999946</v>
      </c>
      <c r="J107" s="1614"/>
      <c r="K107" s="1615">
        <v>2254418.6999999946</v>
      </c>
    </row>
    <row r="108" spans="1:11">
      <c r="A108" s="1361" t="s">
        <v>2535</v>
      </c>
      <c r="B108" s="1608" t="s">
        <v>2421</v>
      </c>
      <c r="C108" s="1461" t="s">
        <v>2422</v>
      </c>
      <c r="D108" s="1361" t="s">
        <v>2320</v>
      </c>
      <c r="E108" s="1361" t="s">
        <v>2391</v>
      </c>
      <c r="F108" s="1614"/>
      <c r="G108" s="1614"/>
      <c r="H108" s="1614"/>
      <c r="I108" s="1614">
        <v>2773053.0900000017</v>
      </c>
      <c r="J108" s="1614"/>
      <c r="K108" s="1615">
        <v>2773053.0900000017</v>
      </c>
    </row>
    <row r="109" spans="1:11">
      <c r="A109" s="1361" t="s">
        <v>2535</v>
      </c>
      <c r="B109" s="1608" t="s">
        <v>2421</v>
      </c>
      <c r="C109" s="1461" t="s">
        <v>2424</v>
      </c>
      <c r="D109" s="1361" t="s">
        <v>2320</v>
      </c>
      <c r="E109" s="1361" t="s">
        <v>2385</v>
      </c>
      <c r="F109" s="1614">
        <v>150553.04000000004</v>
      </c>
      <c r="G109" s="1614"/>
      <c r="H109" s="1614"/>
      <c r="I109" s="1614"/>
      <c r="J109" s="1614"/>
      <c r="K109" s="1615">
        <v>150553.04000000004</v>
      </c>
    </row>
    <row r="110" spans="1:11">
      <c r="A110" s="1361" t="s">
        <v>2535</v>
      </c>
      <c r="B110" s="1608" t="s">
        <v>2421</v>
      </c>
      <c r="C110" s="1461" t="s">
        <v>2425</v>
      </c>
      <c r="D110" s="1361" t="s">
        <v>2320</v>
      </c>
      <c r="E110" s="1361" t="s">
        <v>2387</v>
      </c>
      <c r="F110" s="1614">
        <v>105985.08000000007</v>
      </c>
      <c r="G110" s="1614"/>
      <c r="H110" s="1614"/>
      <c r="I110" s="1614"/>
      <c r="J110" s="1614"/>
      <c r="K110" s="1615">
        <v>105985.08000000007</v>
      </c>
    </row>
    <row r="111" spans="1:11">
      <c r="A111" s="1361" t="s">
        <v>2535</v>
      </c>
      <c r="B111" s="1608" t="s">
        <v>2426</v>
      </c>
      <c r="C111" s="1461" t="s">
        <v>2427</v>
      </c>
      <c r="D111" s="1361" t="s">
        <v>2320</v>
      </c>
      <c r="E111" s="1361" t="s">
        <v>2423</v>
      </c>
      <c r="F111" s="1614"/>
      <c r="G111" s="1614"/>
      <c r="H111" s="1614"/>
      <c r="I111" s="1614">
        <v>433.49</v>
      </c>
      <c r="J111" s="1614"/>
      <c r="K111" s="1615">
        <v>433.49</v>
      </c>
    </row>
    <row r="112" spans="1:11">
      <c r="A112" s="1361" t="s">
        <v>2535</v>
      </c>
      <c r="B112" s="1608" t="s">
        <v>2426</v>
      </c>
      <c r="C112" s="1461" t="s">
        <v>2427</v>
      </c>
      <c r="D112" s="1361" t="s">
        <v>2320</v>
      </c>
      <c r="E112" s="1361" t="s">
        <v>2500</v>
      </c>
      <c r="F112" s="1614"/>
      <c r="G112" s="1614"/>
      <c r="H112" s="1614"/>
      <c r="I112" s="1614">
        <v>34261.049999999996</v>
      </c>
      <c r="J112" s="1614"/>
      <c r="K112" s="1615">
        <v>34261.049999999996</v>
      </c>
    </row>
    <row r="113" spans="1:11">
      <c r="A113" s="1361" t="s">
        <v>2535</v>
      </c>
      <c r="B113" s="1608" t="s">
        <v>2426</v>
      </c>
      <c r="C113" s="1461" t="s">
        <v>2427</v>
      </c>
      <c r="D113" s="1361" t="s">
        <v>2320</v>
      </c>
      <c r="E113" s="1361" t="s">
        <v>2417</v>
      </c>
      <c r="F113" s="1614"/>
      <c r="G113" s="1614"/>
      <c r="H113" s="1614"/>
      <c r="I113" s="1614">
        <v>881120.28000000026</v>
      </c>
      <c r="J113" s="1614"/>
      <c r="K113" s="1615">
        <v>881120.28000000026</v>
      </c>
    </row>
    <row r="114" spans="1:11">
      <c r="A114" s="1361" t="s">
        <v>2535</v>
      </c>
      <c r="B114" s="1608" t="s">
        <v>2426</v>
      </c>
      <c r="C114" s="1461" t="s">
        <v>2427</v>
      </c>
      <c r="D114" s="1361" t="s">
        <v>2320</v>
      </c>
      <c r="E114" s="1361" t="s">
        <v>2428</v>
      </c>
      <c r="F114" s="1614"/>
      <c r="G114" s="1614"/>
      <c r="H114" s="1614"/>
      <c r="I114" s="1614">
        <v>125928.64000000006</v>
      </c>
      <c r="J114" s="1614"/>
      <c r="K114" s="1615">
        <v>125928.64000000006</v>
      </c>
    </row>
    <row r="115" spans="1:11">
      <c r="A115" s="1361" t="s">
        <v>2535</v>
      </c>
      <c r="B115" s="1608" t="s">
        <v>2426</v>
      </c>
      <c r="C115" s="1461" t="s">
        <v>2427</v>
      </c>
      <c r="D115" s="1361" t="s">
        <v>2320</v>
      </c>
      <c r="E115" s="1361" t="s">
        <v>2390</v>
      </c>
      <c r="F115" s="1614"/>
      <c r="G115" s="1614"/>
      <c r="H115" s="1614"/>
      <c r="I115" s="1614">
        <v>344952.03999999922</v>
      </c>
      <c r="J115" s="1614"/>
      <c r="K115" s="1615">
        <v>344952.03999999922</v>
      </c>
    </row>
    <row r="116" spans="1:11">
      <c r="A116" s="1361" t="s">
        <v>2535</v>
      </c>
      <c r="B116" s="1608" t="s">
        <v>2426</v>
      </c>
      <c r="C116" s="1461" t="s">
        <v>2427</v>
      </c>
      <c r="D116" s="1361" t="s">
        <v>2320</v>
      </c>
      <c r="E116" s="1361" t="s">
        <v>2420</v>
      </c>
      <c r="F116" s="1614"/>
      <c r="G116" s="1614"/>
      <c r="H116" s="1614"/>
      <c r="I116" s="1614">
        <v>23924.080000000002</v>
      </c>
      <c r="J116" s="1614"/>
      <c r="K116" s="1615">
        <v>23924.080000000002</v>
      </c>
    </row>
    <row r="117" spans="1:11">
      <c r="A117" s="1361" t="s">
        <v>2535</v>
      </c>
      <c r="B117" s="1608" t="s">
        <v>2426</v>
      </c>
      <c r="C117" s="1461" t="s">
        <v>2427</v>
      </c>
      <c r="D117" s="1361" t="s">
        <v>2320</v>
      </c>
      <c r="E117" s="1361" t="s">
        <v>2404</v>
      </c>
      <c r="F117" s="1614"/>
      <c r="G117" s="1614"/>
      <c r="H117" s="1614"/>
      <c r="I117" s="1614">
        <v>22105.066862999996</v>
      </c>
      <c r="J117" s="1614"/>
      <c r="K117" s="1615">
        <v>22105.066862999996</v>
      </c>
    </row>
    <row r="118" spans="1:11">
      <c r="A118" s="1361" t="s">
        <v>2535</v>
      </c>
      <c r="B118" s="1608" t="s">
        <v>2426</v>
      </c>
      <c r="C118" s="1461" t="s">
        <v>2430</v>
      </c>
      <c r="D118" s="1361" t="s">
        <v>2320</v>
      </c>
      <c r="E118" s="1361" t="s">
        <v>2407</v>
      </c>
      <c r="F118" s="1614"/>
      <c r="G118" s="1614"/>
      <c r="H118" s="1614"/>
      <c r="I118" s="1614">
        <v>276042.25</v>
      </c>
      <c r="J118" s="1614"/>
      <c r="K118" s="1615">
        <v>276042.25</v>
      </c>
    </row>
    <row r="119" spans="1:11">
      <c r="A119" s="1361" t="s">
        <v>2535</v>
      </c>
      <c r="B119" s="1608" t="s">
        <v>2426</v>
      </c>
      <c r="C119" s="1461" t="s">
        <v>2430</v>
      </c>
      <c r="D119" s="1361" t="s">
        <v>2320</v>
      </c>
      <c r="E119" s="1361" t="s">
        <v>2417</v>
      </c>
      <c r="F119" s="1614"/>
      <c r="G119" s="1614"/>
      <c r="H119" s="1614"/>
      <c r="I119" s="1614">
        <v>38462.01</v>
      </c>
      <c r="J119" s="1614"/>
      <c r="K119" s="1615">
        <v>38462.01</v>
      </c>
    </row>
    <row r="120" spans="1:11">
      <c r="A120" s="1361" t="s">
        <v>2535</v>
      </c>
      <c r="B120" s="1607" t="s">
        <v>2426</v>
      </c>
      <c r="C120" s="1461" t="s">
        <v>2431</v>
      </c>
      <c r="D120" s="1361" t="s">
        <v>2320</v>
      </c>
      <c r="E120" s="1361" t="s">
        <v>2417</v>
      </c>
      <c r="F120" s="1614"/>
      <c r="G120" s="1614"/>
      <c r="H120" s="1614"/>
      <c r="I120" s="1614">
        <v>19719.420000000006</v>
      </c>
      <c r="J120" s="1614"/>
      <c r="K120" s="1615">
        <v>19719.420000000006</v>
      </c>
    </row>
    <row r="121" spans="1:11">
      <c r="A121" s="1361" t="s">
        <v>2535</v>
      </c>
      <c r="B121" s="1608" t="s">
        <v>2426</v>
      </c>
      <c r="C121" s="1461" t="s">
        <v>2432</v>
      </c>
      <c r="D121" s="1361" t="s">
        <v>2320</v>
      </c>
      <c r="E121" s="1361" t="s">
        <v>2433</v>
      </c>
      <c r="F121" s="1614"/>
      <c r="G121" s="1614"/>
      <c r="H121" s="1614"/>
      <c r="I121" s="1614">
        <v>31369.159999999993</v>
      </c>
      <c r="J121" s="1614"/>
      <c r="K121" s="1615">
        <v>31369.159999999993</v>
      </c>
    </row>
    <row r="122" spans="1:11">
      <c r="A122" s="1361" t="s">
        <v>2535</v>
      </c>
      <c r="B122" s="1608" t="s">
        <v>2426</v>
      </c>
      <c r="C122" s="1461" t="s">
        <v>2432</v>
      </c>
      <c r="D122" s="1361" t="s">
        <v>2320</v>
      </c>
      <c r="E122" s="1361" t="s">
        <v>2400</v>
      </c>
      <c r="F122" s="1614"/>
      <c r="G122" s="1614"/>
      <c r="H122" s="1614"/>
      <c r="I122" s="1614">
        <v>1883620.4199999962</v>
      </c>
      <c r="J122" s="1614"/>
      <c r="K122" s="1615">
        <v>1883620.4199999962</v>
      </c>
    </row>
    <row r="123" spans="1:11">
      <c r="A123" s="1361" t="s">
        <v>2535</v>
      </c>
      <c r="B123" s="1607" t="s">
        <v>2426</v>
      </c>
      <c r="C123" s="1461" t="s">
        <v>2432</v>
      </c>
      <c r="D123" s="1361" t="s">
        <v>2320</v>
      </c>
      <c r="E123" s="1361" t="s">
        <v>2434</v>
      </c>
      <c r="F123" s="1614"/>
      <c r="G123" s="1614"/>
      <c r="H123" s="1614"/>
      <c r="I123" s="1614">
        <v>790153.21000000066</v>
      </c>
      <c r="J123" s="1614"/>
      <c r="K123" s="1615">
        <v>790153.21000000066</v>
      </c>
    </row>
    <row r="124" spans="1:11">
      <c r="A124" s="1361" t="s">
        <v>2535</v>
      </c>
      <c r="B124" s="1608" t="s">
        <v>2426</v>
      </c>
      <c r="C124" s="1461" t="s">
        <v>2432</v>
      </c>
      <c r="D124" s="1361" t="s">
        <v>2320</v>
      </c>
      <c r="E124" s="1361" t="s">
        <v>2435</v>
      </c>
      <c r="F124" s="1614"/>
      <c r="G124" s="1614"/>
      <c r="H124" s="1614"/>
      <c r="I124" s="1614">
        <v>375759.68000000017</v>
      </c>
      <c r="J124" s="1614"/>
      <c r="K124" s="1615">
        <v>375759.68000000017</v>
      </c>
    </row>
    <row r="125" spans="1:11">
      <c r="A125" s="1361" t="s">
        <v>2535</v>
      </c>
      <c r="B125" s="1608" t="s">
        <v>2426</v>
      </c>
      <c r="C125" s="1461" t="s">
        <v>2432</v>
      </c>
      <c r="D125" s="1361" t="s">
        <v>2320</v>
      </c>
      <c r="E125" s="1361" t="s">
        <v>2436</v>
      </c>
      <c r="F125" s="1614"/>
      <c r="G125" s="1614"/>
      <c r="H125" s="1614"/>
      <c r="I125" s="1614">
        <v>313712.55999999988</v>
      </c>
      <c r="J125" s="1614"/>
      <c r="K125" s="1615">
        <v>313712.55999999988</v>
      </c>
    </row>
    <row r="126" spans="1:11">
      <c r="A126" s="1361" t="s">
        <v>2535</v>
      </c>
      <c r="B126" s="1607" t="s">
        <v>2426</v>
      </c>
      <c r="C126" s="1461" t="s">
        <v>2432</v>
      </c>
      <c r="D126" s="1361" t="s">
        <v>2320</v>
      </c>
      <c r="E126" s="1361" t="s">
        <v>2437</v>
      </c>
      <c r="F126" s="1614"/>
      <c r="G126" s="1614"/>
      <c r="H126" s="1614"/>
      <c r="I126" s="1614">
        <v>1294103.3699999973</v>
      </c>
      <c r="J126" s="1614"/>
      <c r="K126" s="1615">
        <v>1294103.3699999973</v>
      </c>
    </row>
    <row r="127" spans="1:11">
      <c r="A127" s="1361" t="s">
        <v>2535</v>
      </c>
      <c r="B127" s="1607" t="s">
        <v>2426</v>
      </c>
      <c r="C127" s="1461" t="s">
        <v>3949</v>
      </c>
      <c r="D127" s="1361" t="s">
        <v>2320</v>
      </c>
      <c r="E127" s="1361" t="s">
        <v>2412</v>
      </c>
      <c r="F127" s="1614"/>
      <c r="G127" s="1614"/>
      <c r="H127" s="1614"/>
      <c r="I127" s="1614">
        <v>33353.43</v>
      </c>
      <c r="J127" s="1614"/>
      <c r="K127" s="1615">
        <v>33353.43</v>
      </c>
    </row>
    <row r="128" spans="1:11">
      <c r="A128" s="1361" t="s">
        <v>2535</v>
      </c>
      <c r="B128" s="1607" t="s">
        <v>2438</v>
      </c>
      <c r="C128" s="1461" t="s">
        <v>2439</v>
      </c>
      <c r="D128" s="1361" t="s">
        <v>2320</v>
      </c>
      <c r="E128" s="1361" t="s">
        <v>2323</v>
      </c>
      <c r="F128" s="1614">
        <v>23986.208000000017</v>
      </c>
      <c r="G128" s="1614"/>
      <c r="H128" s="1614"/>
      <c r="I128" s="1614"/>
      <c r="J128" s="1614"/>
      <c r="K128" s="1615">
        <v>23986.208000000017</v>
      </c>
    </row>
    <row r="129" spans="1:11">
      <c r="A129" s="1361" t="s">
        <v>2535</v>
      </c>
      <c r="B129" s="1608" t="s">
        <v>2438</v>
      </c>
      <c r="C129" s="1461" t="s">
        <v>2439</v>
      </c>
      <c r="D129" s="1361" t="s">
        <v>2320</v>
      </c>
      <c r="E129" s="1361" t="s">
        <v>2440</v>
      </c>
      <c r="F129" s="1614">
        <v>53535.989999999991</v>
      </c>
      <c r="G129" s="1614"/>
      <c r="H129" s="1614"/>
      <c r="I129" s="1614"/>
      <c r="J129" s="1614"/>
      <c r="K129" s="1615">
        <v>53535.989999999991</v>
      </c>
    </row>
    <row r="130" spans="1:11">
      <c r="A130" s="1361" t="s">
        <v>2535</v>
      </c>
      <c r="B130" s="1607" t="s">
        <v>2438</v>
      </c>
      <c r="C130" s="1461" t="s">
        <v>2439</v>
      </c>
      <c r="D130" s="1361" t="s">
        <v>2320</v>
      </c>
      <c r="E130" s="1361" t="s">
        <v>2441</v>
      </c>
      <c r="F130" s="1614">
        <v>27287.339999999997</v>
      </c>
      <c r="G130" s="1614"/>
      <c r="H130" s="1614"/>
      <c r="I130" s="1614"/>
      <c r="J130" s="1614"/>
      <c r="K130" s="1615">
        <v>27287.339999999997</v>
      </c>
    </row>
    <row r="131" spans="1:11">
      <c r="A131" s="1361" t="s">
        <v>2535</v>
      </c>
      <c r="B131" s="1608" t="s">
        <v>2442</v>
      </c>
      <c r="C131" s="1461" t="s">
        <v>2443</v>
      </c>
      <c r="D131" s="1361" t="s">
        <v>2320</v>
      </c>
      <c r="E131" s="1361" t="s">
        <v>2440</v>
      </c>
      <c r="F131" s="1614">
        <v>126002.27420000004</v>
      </c>
      <c r="G131" s="1614"/>
      <c r="H131" s="1614"/>
      <c r="I131" s="1614"/>
      <c r="J131" s="1614"/>
      <c r="K131" s="1615">
        <v>126002.27420000004</v>
      </c>
    </row>
    <row r="132" spans="1:11">
      <c r="A132" s="1361" t="s">
        <v>2535</v>
      </c>
      <c r="B132" s="1607" t="s">
        <v>2442</v>
      </c>
      <c r="C132" s="1461" t="s">
        <v>2444</v>
      </c>
      <c r="D132" s="1361" t="s">
        <v>2320</v>
      </c>
      <c r="E132" s="1361" t="s">
        <v>2445</v>
      </c>
      <c r="F132" s="1614">
        <v>744248.56256400002</v>
      </c>
      <c r="G132" s="1614"/>
      <c r="H132" s="1614"/>
      <c r="I132" s="1614">
        <v>2656231.1274360013</v>
      </c>
      <c r="J132" s="1614"/>
      <c r="K132" s="1615">
        <v>3400479.6900000013</v>
      </c>
    </row>
    <row r="133" spans="1:11">
      <c r="A133" s="1361" t="s">
        <v>2535</v>
      </c>
      <c r="B133" s="1608" t="s">
        <v>2446</v>
      </c>
      <c r="C133" s="1461" t="s">
        <v>2447</v>
      </c>
      <c r="D133" s="1361" t="s">
        <v>2320</v>
      </c>
      <c r="E133" s="1361" t="s">
        <v>2440</v>
      </c>
      <c r="F133" s="1614">
        <v>6146.4524000000019</v>
      </c>
      <c r="G133" s="1614"/>
      <c r="H133" s="1614"/>
      <c r="I133" s="1614"/>
      <c r="J133" s="1614"/>
      <c r="K133" s="1615">
        <v>6146.4524000000019</v>
      </c>
    </row>
    <row r="134" spans="1:11">
      <c r="A134" s="1361" t="s">
        <v>2535</v>
      </c>
      <c r="B134" s="1607" t="s">
        <v>2448</v>
      </c>
      <c r="C134" s="1461" t="s">
        <v>2449</v>
      </c>
      <c r="D134" s="1361" t="s">
        <v>2320</v>
      </c>
      <c r="E134" s="1361" t="s">
        <v>2440</v>
      </c>
      <c r="F134" s="1614">
        <v>15366.131000000003</v>
      </c>
      <c r="G134" s="1614"/>
      <c r="H134" s="1614"/>
      <c r="I134" s="1614"/>
      <c r="J134" s="1614"/>
      <c r="K134" s="1615">
        <v>15366.131000000003</v>
      </c>
    </row>
    <row r="135" spans="1:11">
      <c r="A135" s="1361" t="s">
        <v>2535</v>
      </c>
      <c r="B135" s="1607" t="s">
        <v>2450</v>
      </c>
      <c r="C135" s="1461" t="s">
        <v>2451</v>
      </c>
      <c r="D135" s="1361" t="s">
        <v>2320</v>
      </c>
      <c r="E135" s="1361" t="s">
        <v>2323</v>
      </c>
      <c r="F135" s="1614">
        <v>49659.020000000004</v>
      </c>
      <c r="G135" s="1614"/>
      <c r="H135" s="1614"/>
      <c r="I135" s="1614"/>
      <c r="J135" s="1614"/>
      <c r="K135" s="1615">
        <v>49659.020000000004</v>
      </c>
    </row>
    <row r="136" spans="1:11">
      <c r="A136" s="1361" t="s">
        <v>2535</v>
      </c>
      <c r="B136" s="1608" t="s">
        <v>2450</v>
      </c>
      <c r="C136" s="1461" t="s">
        <v>2451</v>
      </c>
      <c r="D136" s="1361" t="s">
        <v>2320</v>
      </c>
      <c r="E136" s="1361" t="s">
        <v>2440</v>
      </c>
      <c r="F136" s="1614">
        <v>129075.50040000005</v>
      </c>
      <c r="G136" s="1614"/>
      <c r="H136" s="1614"/>
      <c r="I136" s="1614"/>
      <c r="J136" s="1614"/>
      <c r="K136" s="1615">
        <v>129075.50040000005</v>
      </c>
    </row>
    <row r="137" spans="1:11">
      <c r="A137" s="1361" t="s">
        <v>2535</v>
      </c>
      <c r="B137" s="1607" t="s">
        <v>2452</v>
      </c>
      <c r="C137" s="1461" t="s">
        <v>2453</v>
      </c>
      <c r="D137" s="1361" t="s">
        <v>2320</v>
      </c>
      <c r="E137" s="1361" t="s">
        <v>2323</v>
      </c>
      <c r="F137" s="1614">
        <v>23986.208000000017</v>
      </c>
      <c r="G137" s="1614"/>
      <c r="H137" s="1614"/>
      <c r="I137" s="1614"/>
      <c r="J137" s="1614"/>
      <c r="K137" s="1615">
        <v>23986.208000000017</v>
      </c>
    </row>
    <row r="138" spans="1:11">
      <c r="A138" s="1361" t="s">
        <v>2535</v>
      </c>
      <c r="B138" s="1607" t="s">
        <v>2452</v>
      </c>
      <c r="C138" s="1461" t="s">
        <v>2453</v>
      </c>
      <c r="D138" s="1361" t="s">
        <v>2320</v>
      </c>
      <c r="E138" s="1361" t="s">
        <v>2440</v>
      </c>
      <c r="F138" s="1614">
        <v>30732.262000000006</v>
      </c>
      <c r="G138" s="1614"/>
      <c r="H138" s="1614"/>
      <c r="I138" s="1614"/>
      <c r="J138" s="1614"/>
      <c r="K138" s="1615">
        <v>30732.262000000006</v>
      </c>
    </row>
    <row r="139" spans="1:11">
      <c r="A139" s="1361" t="s">
        <v>2535</v>
      </c>
      <c r="B139" s="1607" t="s">
        <v>2454</v>
      </c>
      <c r="C139" s="1461" t="s">
        <v>2455</v>
      </c>
      <c r="D139" s="1361" t="s">
        <v>2320</v>
      </c>
      <c r="E139" s="1361" t="s">
        <v>2480</v>
      </c>
      <c r="F139" s="1614">
        <v>990.82999999999993</v>
      </c>
      <c r="G139" s="1614"/>
      <c r="H139" s="1614"/>
      <c r="I139" s="1614"/>
      <c r="J139" s="1614"/>
      <c r="K139" s="1615">
        <v>990.82999999999993</v>
      </c>
    </row>
    <row r="140" spans="1:11">
      <c r="A140" s="1361" t="s">
        <v>2535</v>
      </c>
      <c r="B140" s="1607" t="s">
        <v>2454</v>
      </c>
      <c r="C140" s="1461" t="s">
        <v>2455</v>
      </c>
      <c r="D140" s="1361" t="s">
        <v>2320</v>
      </c>
      <c r="E140" s="1361" t="s">
        <v>2441</v>
      </c>
      <c r="F140" s="1614">
        <v>224560.77000000002</v>
      </c>
      <c r="G140" s="1614"/>
      <c r="H140" s="1614"/>
      <c r="I140" s="1614"/>
      <c r="J140" s="1614"/>
      <c r="K140" s="1615">
        <v>224560.77000000002</v>
      </c>
    </row>
    <row r="141" spans="1:11">
      <c r="A141" s="1361" t="s">
        <v>2535</v>
      </c>
      <c r="B141" s="1607" t="s">
        <v>2454</v>
      </c>
      <c r="C141" s="1461" t="s">
        <v>2456</v>
      </c>
      <c r="D141" s="1361" t="s">
        <v>2320</v>
      </c>
      <c r="E141" s="1361" t="s">
        <v>2413</v>
      </c>
      <c r="F141" s="1614"/>
      <c r="G141" s="1614"/>
      <c r="H141" s="1614"/>
      <c r="I141" s="1614">
        <v>8494.9000000000015</v>
      </c>
      <c r="J141" s="1614"/>
      <c r="K141" s="1615">
        <v>8494.9000000000015</v>
      </c>
    </row>
    <row r="142" spans="1:11">
      <c r="A142" s="1361" t="s">
        <v>2535</v>
      </c>
      <c r="B142" s="1607" t="s">
        <v>2454</v>
      </c>
      <c r="C142" s="1461" t="s">
        <v>2456</v>
      </c>
      <c r="D142" s="1361" t="s">
        <v>2320</v>
      </c>
      <c r="E142" s="1361" t="s">
        <v>2457</v>
      </c>
      <c r="F142" s="1614"/>
      <c r="G142" s="1614"/>
      <c r="H142" s="1614"/>
      <c r="I142" s="1614">
        <v>75886.610000000015</v>
      </c>
      <c r="J142" s="1614"/>
      <c r="K142" s="1615">
        <v>75886.610000000015</v>
      </c>
    </row>
    <row r="143" spans="1:11">
      <c r="A143" s="1361" t="s">
        <v>2535</v>
      </c>
      <c r="B143" s="1608" t="s">
        <v>3950</v>
      </c>
      <c r="C143" s="1461" t="s">
        <v>3951</v>
      </c>
      <c r="D143" s="1361" t="s">
        <v>2320</v>
      </c>
      <c r="E143" s="1361" t="s">
        <v>2440</v>
      </c>
      <c r="F143" s="1614">
        <v>876.81</v>
      </c>
      <c r="G143" s="1614"/>
      <c r="H143" s="1614"/>
      <c r="I143" s="1614"/>
      <c r="J143" s="1614"/>
      <c r="K143" s="1615">
        <v>876.81</v>
      </c>
    </row>
    <row r="144" spans="1:11">
      <c r="A144" s="1361" t="s">
        <v>2535</v>
      </c>
      <c r="B144" s="1608" t="s">
        <v>2458</v>
      </c>
      <c r="C144" s="1461" t="s">
        <v>2459</v>
      </c>
      <c r="D144" s="1361" t="s">
        <v>2320</v>
      </c>
      <c r="E144" s="1361" t="s">
        <v>2323</v>
      </c>
      <c r="F144" s="1614">
        <v>131620.96200000015</v>
      </c>
      <c r="G144" s="1614"/>
      <c r="H144" s="1614"/>
      <c r="I144" s="1614"/>
      <c r="J144" s="1614"/>
      <c r="K144" s="1615">
        <v>131620.96200000015</v>
      </c>
    </row>
    <row r="145" spans="1:11">
      <c r="A145" s="1361" t="s">
        <v>2535</v>
      </c>
      <c r="B145" s="1608" t="s">
        <v>2460</v>
      </c>
      <c r="C145" s="1461" t="s">
        <v>2461</v>
      </c>
      <c r="D145" s="1361" t="s">
        <v>2320</v>
      </c>
      <c r="E145" s="1361" t="s">
        <v>2323</v>
      </c>
      <c r="F145" s="1614">
        <v>500783.89359999954</v>
      </c>
      <c r="G145" s="1614"/>
      <c r="H145" s="1614"/>
      <c r="I145" s="1614"/>
      <c r="J145" s="1614"/>
      <c r="K145" s="1615">
        <v>500783.89359999954</v>
      </c>
    </row>
    <row r="146" spans="1:11">
      <c r="A146" s="1361" t="s">
        <v>2535</v>
      </c>
      <c r="B146" s="1608" t="s">
        <v>2460</v>
      </c>
      <c r="C146" s="1461" t="s">
        <v>2461</v>
      </c>
      <c r="D146" s="1361" t="s">
        <v>2320</v>
      </c>
      <c r="E146" s="1361" t="s">
        <v>2445</v>
      </c>
      <c r="F146" s="1614">
        <v>608258.54</v>
      </c>
      <c r="G146" s="1614"/>
      <c r="H146" s="1614"/>
      <c r="I146" s="1614"/>
      <c r="J146" s="1614"/>
      <c r="K146" s="1615">
        <v>608258.54</v>
      </c>
    </row>
    <row r="147" spans="1:11">
      <c r="A147" s="1361" t="s">
        <v>2535</v>
      </c>
      <c r="B147" s="1607" t="s">
        <v>2462</v>
      </c>
      <c r="C147" s="1461" t="s">
        <v>2463</v>
      </c>
      <c r="D147" s="1361" t="s">
        <v>2320</v>
      </c>
      <c r="E147" s="1361" t="s">
        <v>2323</v>
      </c>
      <c r="F147" s="1614">
        <v>625979.86700000032</v>
      </c>
      <c r="G147" s="1614"/>
      <c r="H147" s="1614"/>
      <c r="I147" s="1614"/>
      <c r="J147" s="1614"/>
      <c r="K147" s="1615">
        <v>625979.86700000032</v>
      </c>
    </row>
    <row r="148" spans="1:11">
      <c r="A148" s="1361" t="s">
        <v>2535</v>
      </c>
      <c r="B148" s="1607" t="s">
        <v>2464</v>
      </c>
      <c r="C148" s="1461" t="s">
        <v>2465</v>
      </c>
      <c r="D148" s="1361" t="s">
        <v>2320</v>
      </c>
      <c r="E148" s="1361" t="s">
        <v>2323</v>
      </c>
      <c r="F148" s="1614">
        <v>1064165.7738999994</v>
      </c>
      <c r="G148" s="1614"/>
      <c r="H148" s="1614"/>
      <c r="I148" s="1614"/>
      <c r="J148" s="1614"/>
      <c r="K148" s="1615">
        <v>1064165.7738999994</v>
      </c>
    </row>
    <row r="149" spans="1:11">
      <c r="A149" s="1361" t="s">
        <v>2535</v>
      </c>
      <c r="B149" s="1607" t="s">
        <v>2466</v>
      </c>
      <c r="C149" s="1461" t="s">
        <v>2467</v>
      </c>
      <c r="D149" s="1361" t="s">
        <v>2320</v>
      </c>
      <c r="E149" s="1361" t="s">
        <v>2323</v>
      </c>
      <c r="F149" s="1614">
        <v>125195.97339999989</v>
      </c>
      <c r="G149" s="1614"/>
      <c r="H149" s="1614"/>
      <c r="I149" s="1614"/>
      <c r="J149" s="1614"/>
      <c r="K149" s="1615">
        <v>125195.97339999989</v>
      </c>
    </row>
    <row r="150" spans="1:11">
      <c r="A150" s="1361" t="s">
        <v>2535</v>
      </c>
      <c r="B150" s="1607" t="s">
        <v>2468</v>
      </c>
      <c r="C150" s="1461" t="s">
        <v>2469</v>
      </c>
      <c r="D150" s="1361" t="s">
        <v>2320</v>
      </c>
      <c r="E150" s="1361" t="s">
        <v>2323</v>
      </c>
      <c r="F150" s="1614">
        <v>1627547.6542000032</v>
      </c>
      <c r="G150" s="1614"/>
      <c r="H150" s="1614"/>
      <c r="I150" s="1614"/>
      <c r="J150" s="1614"/>
      <c r="K150" s="1615">
        <v>1627547.6542000032</v>
      </c>
    </row>
    <row r="151" spans="1:11">
      <c r="A151" s="1361" t="s">
        <v>2535</v>
      </c>
      <c r="B151" s="1607" t="s">
        <v>2470</v>
      </c>
      <c r="C151" s="1461" t="s">
        <v>2471</v>
      </c>
      <c r="D151" s="1361" t="s">
        <v>2320</v>
      </c>
      <c r="F151" s="1614">
        <v>4440.82</v>
      </c>
      <c r="G151" s="1614"/>
      <c r="H151" s="1614"/>
      <c r="I151" s="1614"/>
      <c r="J151" s="1614"/>
      <c r="K151" s="1615">
        <v>4440.82</v>
      </c>
    </row>
    <row r="152" spans="1:11">
      <c r="A152" s="1361" t="s">
        <v>2535</v>
      </c>
      <c r="B152" s="1607" t="s">
        <v>2470</v>
      </c>
      <c r="C152" s="1461" t="s">
        <v>2471</v>
      </c>
      <c r="D152" s="1361" t="s">
        <v>2320</v>
      </c>
      <c r="E152" s="1361" t="s">
        <v>2323</v>
      </c>
      <c r="F152" s="1614">
        <v>53792.250000000029</v>
      </c>
      <c r="G152" s="1614"/>
      <c r="H152" s="1614"/>
      <c r="I152" s="1614"/>
      <c r="J152" s="1614"/>
      <c r="K152" s="1615">
        <v>53792.250000000029</v>
      </c>
    </row>
    <row r="153" spans="1:11">
      <c r="A153" s="1361" t="s">
        <v>2535</v>
      </c>
      <c r="B153" s="1607" t="s">
        <v>2472</v>
      </c>
      <c r="C153" s="1461" t="s">
        <v>2473</v>
      </c>
      <c r="D153" s="1361" t="s">
        <v>2320</v>
      </c>
      <c r="E153" s="1361" t="s">
        <v>3962</v>
      </c>
      <c r="F153" s="1614">
        <v>114</v>
      </c>
      <c r="G153" s="1614"/>
      <c r="H153" s="1614"/>
      <c r="I153" s="1614"/>
      <c r="J153" s="1614"/>
      <c r="K153" s="1615">
        <v>114</v>
      </c>
    </row>
    <row r="154" spans="1:11">
      <c r="A154" s="1361" t="s">
        <v>2535</v>
      </c>
      <c r="B154" s="1607" t="s">
        <v>2472</v>
      </c>
      <c r="C154" s="1461" t="s">
        <v>2473</v>
      </c>
      <c r="D154" s="1361" t="s">
        <v>2320</v>
      </c>
      <c r="E154" s="1361" t="s">
        <v>2323</v>
      </c>
      <c r="F154" s="1614">
        <v>2542085.8379000034</v>
      </c>
      <c r="G154" s="1614"/>
      <c r="H154" s="1614"/>
      <c r="I154" s="1614"/>
      <c r="J154" s="1614"/>
      <c r="K154" s="1615">
        <v>2542085.8379000034</v>
      </c>
    </row>
    <row r="155" spans="1:11">
      <c r="A155" s="1361" t="s">
        <v>2535</v>
      </c>
      <c r="B155" s="1607" t="s">
        <v>2472</v>
      </c>
      <c r="C155" s="1461" t="s">
        <v>2473</v>
      </c>
      <c r="D155" s="1361" t="s">
        <v>2320</v>
      </c>
      <c r="E155" s="1361" t="s">
        <v>2474</v>
      </c>
      <c r="F155" s="1614">
        <v>182432.02999999991</v>
      </c>
      <c r="G155" s="1614"/>
      <c r="H155" s="1614"/>
      <c r="I155" s="1614"/>
      <c r="J155" s="1614"/>
      <c r="K155" s="1615">
        <v>182432.02999999991</v>
      </c>
    </row>
    <row r="156" spans="1:11">
      <c r="A156" s="1361" t="s">
        <v>2535</v>
      </c>
      <c r="B156" s="1607" t="s">
        <v>2472</v>
      </c>
      <c r="C156" s="1461" t="s">
        <v>2473</v>
      </c>
      <c r="D156" s="1361" t="s">
        <v>2320</v>
      </c>
      <c r="E156" s="1361" t="s">
        <v>2405</v>
      </c>
      <c r="F156" s="1614">
        <v>1077946.5510000032</v>
      </c>
      <c r="G156" s="1614"/>
      <c r="H156" s="1614"/>
      <c r="I156" s="1614"/>
      <c r="J156" s="1614"/>
      <c r="K156" s="1615">
        <v>1077946.5510000032</v>
      </c>
    </row>
    <row r="157" spans="1:11">
      <c r="A157" s="1361" t="s">
        <v>2535</v>
      </c>
      <c r="B157" s="1608" t="s">
        <v>2472</v>
      </c>
      <c r="C157" s="1461" t="s">
        <v>2475</v>
      </c>
      <c r="D157" s="1361" t="s">
        <v>2320</v>
      </c>
      <c r="E157" s="1361" t="s">
        <v>2404</v>
      </c>
      <c r="F157" s="1614">
        <v>15040.063137000001</v>
      </c>
      <c r="G157" s="1614"/>
      <c r="H157" s="1614"/>
      <c r="I157" s="1614"/>
      <c r="J157" s="1614"/>
      <c r="K157" s="1615">
        <v>15040.063137000001</v>
      </c>
    </row>
    <row r="158" spans="1:11">
      <c r="A158" s="1361" t="s">
        <v>2535</v>
      </c>
      <c r="B158" s="1608" t="s">
        <v>2476</v>
      </c>
      <c r="C158" s="1461" t="s">
        <v>2477</v>
      </c>
      <c r="D158" s="1361" t="s">
        <v>2320</v>
      </c>
      <c r="E158" s="1361" t="s">
        <v>2323</v>
      </c>
      <c r="F158" s="1614">
        <v>335806.91199999995</v>
      </c>
      <c r="G158" s="1614"/>
      <c r="H158" s="1614"/>
      <c r="I158" s="1614"/>
      <c r="J158" s="1614"/>
      <c r="K158" s="1615">
        <v>335806.91199999995</v>
      </c>
    </row>
    <row r="159" spans="1:11">
      <c r="A159" s="1361" t="s">
        <v>2535</v>
      </c>
      <c r="B159" s="1608" t="s">
        <v>2478</v>
      </c>
      <c r="C159" s="1461" t="s">
        <v>2479</v>
      </c>
      <c r="D159" s="1361" t="s">
        <v>2320</v>
      </c>
      <c r="E159" s="1361" t="s">
        <v>2480</v>
      </c>
      <c r="F159" s="1614">
        <v>1295964.7899999984</v>
      </c>
      <c r="G159" s="1614"/>
      <c r="H159" s="1614"/>
      <c r="I159" s="1614"/>
      <c r="J159" s="1614"/>
      <c r="K159" s="1615">
        <v>1295964.7899999984</v>
      </c>
    </row>
    <row r="160" spans="1:11">
      <c r="A160" s="1361" t="s">
        <v>2535</v>
      </c>
      <c r="B160" s="1608" t="s">
        <v>2481</v>
      </c>
      <c r="C160" s="1461" t="s">
        <v>2482</v>
      </c>
      <c r="D160" s="1361" t="s">
        <v>2320</v>
      </c>
      <c r="E160" s="1361" t="s">
        <v>2323</v>
      </c>
      <c r="F160" s="1614">
        <v>12842.08</v>
      </c>
      <c r="G160" s="1614"/>
      <c r="H160" s="1614"/>
      <c r="I160" s="1614"/>
      <c r="J160" s="1614"/>
      <c r="K160" s="1615">
        <v>12842.08</v>
      </c>
    </row>
    <row r="161" spans="1:11">
      <c r="A161" s="1361" t="s">
        <v>2535</v>
      </c>
      <c r="B161" s="1608" t="s">
        <v>2483</v>
      </c>
      <c r="C161" s="1461" t="s">
        <v>2484</v>
      </c>
      <c r="D161" s="1361" t="s">
        <v>2320</v>
      </c>
      <c r="E161" s="1361" t="s">
        <v>2485</v>
      </c>
      <c r="F161" s="1614">
        <v>513247.85000000009</v>
      </c>
      <c r="G161" s="1614"/>
      <c r="H161" s="1614"/>
      <c r="I161" s="1614"/>
      <c r="J161" s="1614"/>
      <c r="K161" s="1615">
        <v>513247.85000000009</v>
      </c>
    </row>
    <row r="162" spans="1:11">
      <c r="A162" s="1361" t="s">
        <v>2535</v>
      </c>
      <c r="B162" s="1608" t="s">
        <v>2486</v>
      </c>
      <c r="C162" s="1461" t="s">
        <v>2487</v>
      </c>
      <c r="D162" s="1361" t="s">
        <v>2320</v>
      </c>
      <c r="E162" s="1361" t="s">
        <v>2485</v>
      </c>
      <c r="F162" s="1614">
        <v>826226.11999999976</v>
      </c>
      <c r="G162" s="1614"/>
      <c r="H162" s="1614"/>
      <c r="I162" s="1614"/>
      <c r="J162" s="1614"/>
      <c r="K162" s="1615">
        <v>826226.11999999976</v>
      </c>
    </row>
    <row r="163" spans="1:11">
      <c r="A163" s="1361" t="s">
        <v>2535</v>
      </c>
      <c r="B163" s="1608" t="s">
        <v>2488</v>
      </c>
      <c r="C163" s="1461" t="s">
        <v>2489</v>
      </c>
      <c r="D163" s="1361" t="s">
        <v>2320</v>
      </c>
      <c r="E163" s="1361" t="s">
        <v>2485</v>
      </c>
      <c r="F163" s="1614">
        <v>1889553.9199999997</v>
      </c>
      <c r="G163" s="1614"/>
      <c r="H163" s="1614"/>
      <c r="I163" s="1614"/>
      <c r="J163" s="1614"/>
      <c r="K163" s="1615">
        <v>1889553.9199999997</v>
      </c>
    </row>
    <row r="164" spans="1:11">
      <c r="A164" s="1361" t="s">
        <v>2535</v>
      </c>
      <c r="B164" s="1608" t="s">
        <v>2490</v>
      </c>
      <c r="C164" s="1461" t="s">
        <v>2491</v>
      </c>
      <c r="D164" s="1361" t="s">
        <v>2320</v>
      </c>
      <c r="E164" s="1361" t="s">
        <v>2492</v>
      </c>
      <c r="F164" s="1614">
        <v>152927.61000000002</v>
      </c>
      <c r="G164" s="1614"/>
      <c r="H164" s="1614"/>
      <c r="I164" s="1614"/>
      <c r="J164" s="1614"/>
      <c r="K164" s="1615">
        <v>152927.61000000002</v>
      </c>
    </row>
    <row r="165" spans="1:11">
      <c r="A165" s="1361" t="s">
        <v>2535</v>
      </c>
      <c r="B165" s="1608" t="s">
        <v>2493</v>
      </c>
      <c r="C165" s="1461" t="s">
        <v>2494</v>
      </c>
      <c r="D165" s="1361" t="s">
        <v>2320</v>
      </c>
      <c r="E165" s="1361" t="s">
        <v>2492</v>
      </c>
      <c r="F165" s="1614">
        <v>101295.48000000001</v>
      </c>
      <c r="G165" s="1614"/>
      <c r="H165" s="1614"/>
      <c r="I165" s="1614"/>
      <c r="J165" s="1614"/>
      <c r="K165" s="1615">
        <v>101295.48000000001</v>
      </c>
    </row>
    <row r="166" spans="1:11">
      <c r="A166" s="1361" t="s">
        <v>2535</v>
      </c>
      <c r="B166" s="1608" t="s">
        <v>2495</v>
      </c>
      <c r="C166" s="1461" t="s">
        <v>3952</v>
      </c>
      <c r="D166" s="1361" t="s">
        <v>2320</v>
      </c>
      <c r="E166" s="1361" t="s">
        <v>2445</v>
      </c>
      <c r="F166" s="1614">
        <v>62685.431642999989</v>
      </c>
      <c r="G166" s="1614"/>
      <c r="H166" s="1614"/>
      <c r="I166" s="1614">
        <v>92131.638357000003</v>
      </c>
      <c r="J166" s="1614"/>
      <c r="K166" s="1615">
        <v>154817.07</v>
      </c>
    </row>
    <row r="167" spans="1:11">
      <c r="A167" s="1361" t="s">
        <v>2535</v>
      </c>
      <c r="B167" s="1608" t="s">
        <v>2495</v>
      </c>
      <c r="C167" s="1461" t="s">
        <v>3952</v>
      </c>
      <c r="D167" s="1361" t="s">
        <v>2320</v>
      </c>
      <c r="E167" s="1361" t="s">
        <v>2380</v>
      </c>
      <c r="F167" s="1614">
        <v>76895.725111999986</v>
      </c>
      <c r="G167" s="1614"/>
      <c r="H167" s="1614"/>
      <c r="I167" s="1614">
        <v>113017.15488799998</v>
      </c>
      <c r="J167" s="1614"/>
      <c r="K167" s="1615">
        <v>189912.87999999995</v>
      </c>
    </row>
    <row r="168" spans="1:11">
      <c r="A168" s="1361" t="s">
        <v>2535</v>
      </c>
      <c r="B168" s="1608" t="s">
        <v>2495</v>
      </c>
      <c r="C168" s="1461" t="s">
        <v>2496</v>
      </c>
      <c r="D168" s="1361" t="s">
        <v>2320</v>
      </c>
      <c r="E168" s="1361" t="s">
        <v>2409</v>
      </c>
      <c r="F168" s="1614">
        <v>67076.948700000736</v>
      </c>
      <c r="G168" s="1614"/>
      <c r="H168" s="1614"/>
      <c r="I168" s="1614">
        <v>98586.05130000053</v>
      </c>
      <c r="J168" s="1614"/>
      <c r="K168" s="1615">
        <v>165663.00000000128</v>
      </c>
    </row>
    <row r="169" spans="1:11">
      <c r="A169" s="1361" t="s">
        <v>2535</v>
      </c>
      <c r="B169" s="1608" t="s">
        <v>2495</v>
      </c>
      <c r="C169" s="1461" t="s">
        <v>3953</v>
      </c>
      <c r="D169" s="1361" t="s">
        <v>2320</v>
      </c>
      <c r="E169" s="1361" t="s">
        <v>2409</v>
      </c>
      <c r="F169" s="1614">
        <v>78982.693084000086</v>
      </c>
      <c r="G169" s="1614"/>
      <c r="H169" s="1614"/>
      <c r="I169" s="1614">
        <v>116084.46691599963</v>
      </c>
      <c r="J169" s="1614"/>
      <c r="K169" s="1615">
        <v>195067.15999999971</v>
      </c>
    </row>
    <row r="170" spans="1:11">
      <c r="A170" s="1361" t="s">
        <v>2535</v>
      </c>
      <c r="B170" s="1608" t="s">
        <v>2497</v>
      </c>
      <c r="C170" s="1461" t="s">
        <v>2498</v>
      </c>
      <c r="D170" s="1361" t="s">
        <v>2320</v>
      </c>
      <c r="E170" s="1361" t="s">
        <v>2399</v>
      </c>
      <c r="F170" s="1614">
        <v>834776.10150000046</v>
      </c>
      <c r="G170" s="1614"/>
      <c r="H170" s="1614"/>
      <c r="I170" s="1614">
        <v>1149347.2419440025</v>
      </c>
      <c r="J170" s="1614"/>
      <c r="K170" s="1615">
        <v>1984123.3434440028</v>
      </c>
    </row>
    <row r="171" spans="1:11">
      <c r="A171" s="1361" t="s">
        <v>2535</v>
      </c>
      <c r="B171" s="1608" t="s">
        <v>2497</v>
      </c>
      <c r="C171" s="1461" t="s">
        <v>2498</v>
      </c>
      <c r="D171" s="1361" t="s">
        <v>2320</v>
      </c>
      <c r="E171" s="1361" t="s">
        <v>2499</v>
      </c>
      <c r="F171" s="1614"/>
      <c r="G171" s="1614"/>
      <c r="H171" s="1614"/>
      <c r="I171" s="1614">
        <v>629675.96</v>
      </c>
      <c r="J171" s="1614"/>
      <c r="K171" s="1615">
        <v>629675.96</v>
      </c>
    </row>
    <row r="172" spans="1:11">
      <c r="A172" s="1361" t="s">
        <v>2535</v>
      </c>
      <c r="B172" s="1608" t="s">
        <v>2497</v>
      </c>
      <c r="C172" s="1461" t="s">
        <v>2498</v>
      </c>
      <c r="D172" s="1361" t="s">
        <v>2320</v>
      </c>
      <c r="E172" s="1361" t="s">
        <v>2485</v>
      </c>
      <c r="F172" s="1614">
        <v>306267.70999999979</v>
      </c>
      <c r="G172" s="1614"/>
      <c r="H172" s="1614"/>
      <c r="I172" s="1614"/>
      <c r="J172" s="1614"/>
      <c r="K172" s="1615">
        <v>306267.70999999979</v>
      </c>
    </row>
    <row r="173" spans="1:11">
      <c r="A173" s="1361" t="s">
        <v>2535</v>
      </c>
      <c r="B173" s="1608" t="s">
        <v>2497</v>
      </c>
      <c r="C173" s="1461" t="s">
        <v>2498</v>
      </c>
      <c r="D173" s="1361" t="s">
        <v>2320</v>
      </c>
      <c r="E173" s="1361" t="s">
        <v>2500</v>
      </c>
      <c r="F173" s="1614"/>
      <c r="G173" s="1614"/>
      <c r="H173" s="1614"/>
      <c r="I173" s="1614">
        <v>3852378.4199999976</v>
      </c>
      <c r="J173" s="1614"/>
      <c r="K173" s="1615">
        <v>3852378.4199999976</v>
      </c>
    </row>
    <row r="174" spans="1:11">
      <c r="A174" s="1361" t="s">
        <v>2535</v>
      </c>
      <c r="B174" s="1608" t="s">
        <v>2497</v>
      </c>
      <c r="C174" s="1461" t="s">
        <v>2498</v>
      </c>
      <c r="D174" s="1361" t="s">
        <v>2320</v>
      </c>
      <c r="E174" s="1361" t="s">
        <v>2525</v>
      </c>
      <c r="F174" s="1614"/>
      <c r="G174" s="1614"/>
      <c r="H174" s="1614"/>
      <c r="I174" s="1614">
        <v>5384.16</v>
      </c>
      <c r="J174" s="1614"/>
      <c r="K174" s="1615">
        <v>5384.16</v>
      </c>
    </row>
    <row r="175" spans="1:11">
      <c r="A175" s="1361" t="s">
        <v>2535</v>
      </c>
      <c r="B175" s="1608" t="s">
        <v>2497</v>
      </c>
      <c r="C175" s="1461" t="s">
        <v>2498</v>
      </c>
      <c r="D175" s="1361" t="s">
        <v>2320</v>
      </c>
      <c r="E175" s="1361" t="s">
        <v>2501</v>
      </c>
      <c r="F175" s="1614">
        <v>487061.95168800029</v>
      </c>
      <c r="G175" s="1614"/>
      <c r="H175" s="1614"/>
      <c r="I175" s="1614">
        <v>715857.16831200034</v>
      </c>
      <c r="J175" s="1614"/>
      <c r="K175" s="1615">
        <v>1202919.1200000006</v>
      </c>
    </row>
    <row r="176" spans="1:11">
      <c r="A176" s="1361" t="s">
        <v>2535</v>
      </c>
      <c r="B176" s="1608" t="s">
        <v>2497</v>
      </c>
      <c r="C176" s="1461" t="s">
        <v>2498</v>
      </c>
      <c r="D176" s="1361" t="s">
        <v>2320</v>
      </c>
      <c r="E176" s="1361" t="s">
        <v>2502</v>
      </c>
      <c r="F176" s="1614">
        <v>376439.27937400015</v>
      </c>
      <c r="G176" s="1614"/>
      <c r="H176" s="1614"/>
      <c r="I176" s="1614">
        <v>553269.98062600009</v>
      </c>
      <c r="J176" s="1614"/>
      <c r="K176" s="1615">
        <v>929709.26000000024</v>
      </c>
    </row>
    <row r="177" spans="1:11">
      <c r="A177" s="1361" t="s">
        <v>2535</v>
      </c>
      <c r="B177" s="1608" t="s">
        <v>2497</v>
      </c>
      <c r="C177" s="1461" t="s">
        <v>2498</v>
      </c>
      <c r="D177" s="1361" t="s">
        <v>2320</v>
      </c>
      <c r="E177" s="1361" t="s">
        <v>2402</v>
      </c>
      <c r="F177" s="1614">
        <v>10146.227140000003</v>
      </c>
      <c r="G177" s="1614"/>
      <c r="H177" s="1614"/>
      <c r="I177" s="1614">
        <v>14912.372859999989</v>
      </c>
      <c r="J177" s="1614"/>
      <c r="K177" s="1615">
        <v>25058.599999999991</v>
      </c>
    </row>
    <row r="178" spans="1:11">
      <c r="A178" s="1361" t="s">
        <v>2535</v>
      </c>
      <c r="B178" s="1608" t="s">
        <v>2497</v>
      </c>
      <c r="C178" s="1461" t="s">
        <v>2498</v>
      </c>
      <c r="D178" s="1361" t="s">
        <v>2320</v>
      </c>
      <c r="E178" s="1361" t="s">
        <v>2503</v>
      </c>
      <c r="F178" s="1614">
        <v>1322220.6767279981</v>
      </c>
      <c r="G178" s="1614"/>
      <c r="H178" s="1614"/>
      <c r="I178" s="1614">
        <v>2043709.3432719971</v>
      </c>
      <c r="J178" s="1614"/>
      <c r="K178" s="1615">
        <v>3365930.0199999949</v>
      </c>
    </row>
    <row r="179" spans="1:11">
      <c r="A179" s="1361" t="s">
        <v>2535</v>
      </c>
      <c r="B179" s="1608" t="s">
        <v>2497</v>
      </c>
      <c r="C179" s="1461" t="s">
        <v>2498</v>
      </c>
      <c r="D179" s="1361" t="s">
        <v>2320</v>
      </c>
      <c r="E179" s="1361" t="s">
        <v>2413</v>
      </c>
      <c r="F179" s="1614"/>
      <c r="G179" s="1614"/>
      <c r="H179" s="1614"/>
      <c r="I179" s="1614">
        <v>301.88</v>
      </c>
      <c r="J179" s="1614"/>
      <c r="K179" s="1615">
        <v>301.88</v>
      </c>
    </row>
    <row r="180" spans="1:11">
      <c r="A180" s="1361" t="s">
        <v>2535</v>
      </c>
      <c r="B180" s="1608" t="s">
        <v>2497</v>
      </c>
      <c r="C180" s="1461" t="s">
        <v>2498</v>
      </c>
      <c r="D180" s="1361" t="s">
        <v>2320</v>
      </c>
      <c r="E180" s="1361" t="s">
        <v>2364</v>
      </c>
      <c r="F180" s="1614">
        <v>459064.28</v>
      </c>
      <c r="G180" s="1614"/>
      <c r="H180" s="1614"/>
      <c r="I180" s="1614">
        <v>492065.04999999981</v>
      </c>
      <c r="J180" s="1614"/>
      <c r="K180" s="1615">
        <v>951129.32999999984</v>
      </c>
    </row>
    <row r="181" spans="1:11">
      <c r="A181" s="1361" t="s">
        <v>2535</v>
      </c>
      <c r="B181" s="1608" t="s">
        <v>2497</v>
      </c>
      <c r="C181" s="1461" t="s">
        <v>2498</v>
      </c>
      <c r="D181" s="1361" t="s">
        <v>2320</v>
      </c>
      <c r="E181" s="1361" t="s">
        <v>2504</v>
      </c>
      <c r="F181" s="1614">
        <v>103541.485537</v>
      </c>
      <c r="G181" s="1614"/>
      <c r="H181" s="1614"/>
      <c r="I181" s="1614">
        <v>152179.64446299989</v>
      </c>
      <c r="J181" s="1614"/>
      <c r="K181" s="1615">
        <v>255721.12999999989</v>
      </c>
    </row>
    <row r="182" spans="1:11">
      <c r="A182" s="1361" t="s">
        <v>2535</v>
      </c>
      <c r="B182" s="1608" t="s">
        <v>2497</v>
      </c>
      <c r="C182" s="1461" t="s">
        <v>2498</v>
      </c>
      <c r="D182" s="1361" t="s">
        <v>2320</v>
      </c>
      <c r="E182" s="1361" t="s">
        <v>2445</v>
      </c>
      <c r="F182" s="1614">
        <v>606270.4455149998</v>
      </c>
      <c r="G182" s="1614"/>
      <c r="H182" s="1614"/>
      <c r="I182" s="1614">
        <v>397193.66448500042</v>
      </c>
      <c r="J182" s="1614"/>
      <c r="K182" s="1615">
        <v>1003464.1100000002</v>
      </c>
    </row>
    <row r="183" spans="1:11">
      <c r="A183" s="1361" t="s">
        <v>2535</v>
      </c>
      <c r="B183" s="1608" t="s">
        <v>2497</v>
      </c>
      <c r="C183" s="1461" t="s">
        <v>2498</v>
      </c>
      <c r="D183" s="1361" t="s">
        <v>2320</v>
      </c>
      <c r="E183" s="1361" t="s">
        <v>3963</v>
      </c>
      <c r="F183" s="1614">
        <v>186970.93213599996</v>
      </c>
      <c r="G183" s="1614"/>
      <c r="H183" s="1614"/>
      <c r="I183" s="1614">
        <v>274799.70786400011</v>
      </c>
      <c r="J183" s="1614"/>
      <c r="K183" s="1615">
        <v>461770.64000000007</v>
      </c>
    </row>
    <row r="184" spans="1:11">
      <c r="A184" s="1361" t="s">
        <v>2535</v>
      </c>
      <c r="B184" s="1608" t="s">
        <v>2497</v>
      </c>
      <c r="C184" s="1461" t="s">
        <v>2498</v>
      </c>
      <c r="D184" s="1361" t="s">
        <v>2320</v>
      </c>
      <c r="E184" s="1361" t="s">
        <v>2474</v>
      </c>
      <c r="F184" s="1614">
        <v>1727.7002020000002</v>
      </c>
      <c r="G184" s="1614"/>
      <c r="H184" s="1614"/>
      <c r="I184" s="1614">
        <v>2539.279798</v>
      </c>
      <c r="J184" s="1614"/>
      <c r="K184" s="1615">
        <v>4266.9800000000005</v>
      </c>
    </row>
    <row r="185" spans="1:11">
      <c r="A185" s="1361" t="s">
        <v>2535</v>
      </c>
      <c r="B185" s="1608" t="s">
        <v>2497</v>
      </c>
      <c r="C185" s="1461" t="s">
        <v>2498</v>
      </c>
      <c r="D185" s="1361" t="s">
        <v>2320</v>
      </c>
      <c r="E185" s="1361" t="s">
        <v>2505</v>
      </c>
      <c r="F185" s="1614">
        <v>289436.09629700007</v>
      </c>
      <c r="G185" s="1614"/>
      <c r="H185" s="1614"/>
      <c r="I185" s="1614">
        <v>425397.43370300025</v>
      </c>
      <c r="J185" s="1614"/>
      <c r="K185" s="1615">
        <v>714833.53000000026</v>
      </c>
    </row>
    <row r="186" spans="1:11">
      <c r="A186" s="1361" t="s">
        <v>2535</v>
      </c>
      <c r="B186" s="1608" t="s">
        <v>2497</v>
      </c>
      <c r="C186" s="1461" t="s">
        <v>2498</v>
      </c>
      <c r="D186" s="1361" t="s">
        <v>2320</v>
      </c>
      <c r="E186" s="1361" t="s">
        <v>2516</v>
      </c>
      <c r="F186" s="1614">
        <v>4158.3230000000003</v>
      </c>
      <c r="G186" s="1614"/>
      <c r="H186" s="1614"/>
      <c r="I186" s="1614">
        <v>6111.6769999999997</v>
      </c>
      <c r="J186" s="1614"/>
      <c r="K186" s="1615">
        <v>10270</v>
      </c>
    </row>
    <row r="187" spans="1:11">
      <c r="A187" s="1361" t="s">
        <v>2535</v>
      </c>
      <c r="B187" s="1608" t="s">
        <v>2497</v>
      </c>
      <c r="C187" s="1461" t="s">
        <v>2498</v>
      </c>
      <c r="D187" s="1361" t="s">
        <v>2320</v>
      </c>
      <c r="E187" s="1361" t="s">
        <v>2506</v>
      </c>
      <c r="F187" s="1614">
        <v>167562.89626300009</v>
      </c>
      <c r="G187" s="1614"/>
      <c r="H187" s="1614"/>
      <c r="I187" s="1614">
        <v>294651.29373700015</v>
      </c>
      <c r="J187" s="1614"/>
      <c r="K187" s="1615">
        <v>462214.19000000024</v>
      </c>
    </row>
    <row r="188" spans="1:11">
      <c r="A188" s="1361" t="s">
        <v>2535</v>
      </c>
      <c r="B188" s="1607" t="s">
        <v>2497</v>
      </c>
      <c r="C188" s="1461" t="s">
        <v>2498</v>
      </c>
      <c r="D188" s="1361" t="s">
        <v>2320</v>
      </c>
      <c r="E188" s="1361" t="s">
        <v>2380</v>
      </c>
      <c r="F188" s="1614">
        <v>14865.312346000001</v>
      </c>
      <c r="G188" s="1614"/>
      <c r="H188" s="1614"/>
      <c r="I188" s="1614">
        <v>21848.227653999991</v>
      </c>
      <c r="J188" s="1614"/>
      <c r="K188" s="1615">
        <v>36713.539999999994</v>
      </c>
    </row>
    <row r="189" spans="1:11">
      <c r="A189" s="1361" t="s">
        <v>2535</v>
      </c>
      <c r="B189" s="1607" t="s">
        <v>2507</v>
      </c>
      <c r="C189" s="1461" t="s">
        <v>2508</v>
      </c>
      <c r="D189" s="1361" t="s">
        <v>2320</v>
      </c>
      <c r="E189" s="1361" t="s">
        <v>2509</v>
      </c>
      <c r="F189" s="1614">
        <v>172899.14280999996</v>
      </c>
      <c r="G189" s="1614"/>
      <c r="H189" s="1614"/>
      <c r="I189" s="1614">
        <v>254117.75719</v>
      </c>
      <c r="J189" s="1614"/>
      <c r="K189" s="1615">
        <v>427016.89999999997</v>
      </c>
    </row>
    <row r="190" spans="1:11">
      <c r="A190" s="1361" t="s">
        <v>2535</v>
      </c>
      <c r="B190" s="1608" t="s">
        <v>2507</v>
      </c>
      <c r="C190" s="1461" t="s">
        <v>3954</v>
      </c>
      <c r="D190" s="1361" t="s">
        <v>2320</v>
      </c>
      <c r="E190" s="1361" t="s">
        <v>2529</v>
      </c>
      <c r="F190" s="1614">
        <v>115619.78999999992</v>
      </c>
      <c r="G190" s="1614"/>
      <c r="H190" s="1614"/>
      <c r="I190" s="1614"/>
      <c r="J190" s="1614"/>
      <c r="K190" s="1615">
        <v>115619.78999999992</v>
      </c>
    </row>
    <row r="191" spans="1:11">
      <c r="A191" s="1361" t="s">
        <v>2535</v>
      </c>
      <c r="B191" s="1608" t="s">
        <v>2510</v>
      </c>
      <c r="C191" s="1461" t="s">
        <v>2511</v>
      </c>
      <c r="D191" s="1361" t="s">
        <v>2320</v>
      </c>
      <c r="E191" s="1361" t="s">
        <v>2412</v>
      </c>
      <c r="F191" s="1614"/>
      <c r="G191" s="1614"/>
      <c r="H191" s="1614"/>
      <c r="I191" s="1614">
        <v>311944.37000000005</v>
      </c>
      <c r="J191" s="1614"/>
      <c r="K191" s="1615">
        <v>311944.37000000005</v>
      </c>
    </row>
    <row r="192" spans="1:11">
      <c r="A192" s="1361" t="s">
        <v>2535</v>
      </c>
      <c r="B192" s="1608" t="s">
        <v>2510</v>
      </c>
      <c r="C192" s="1461" t="s">
        <v>2511</v>
      </c>
      <c r="D192" s="1361" t="s">
        <v>2320</v>
      </c>
      <c r="E192" s="1361" t="s">
        <v>2413</v>
      </c>
      <c r="F192" s="1614"/>
      <c r="G192" s="1614"/>
      <c r="H192" s="1614"/>
      <c r="I192" s="1614">
        <v>281020.59999999998</v>
      </c>
      <c r="J192" s="1614"/>
      <c r="K192" s="1615">
        <v>281020.59999999998</v>
      </c>
    </row>
    <row r="193" spans="1:11">
      <c r="A193" s="1361" t="s">
        <v>2535</v>
      </c>
      <c r="B193" s="1607" t="s">
        <v>2510</v>
      </c>
      <c r="C193" s="1461" t="s">
        <v>2511</v>
      </c>
      <c r="D193" s="1361" t="s">
        <v>2320</v>
      </c>
      <c r="E193" s="1361" t="s">
        <v>2403</v>
      </c>
      <c r="F193" s="1614">
        <v>230700.97623799994</v>
      </c>
      <c r="G193" s="1614"/>
      <c r="H193" s="1614"/>
      <c r="I193" s="1614">
        <v>338105.24376200006</v>
      </c>
      <c r="J193" s="1614"/>
      <c r="K193" s="1615">
        <v>568806.22</v>
      </c>
    </row>
    <row r="194" spans="1:11">
      <c r="A194" s="1361" t="s">
        <v>2535</v>
      </c>
      <c r="B194" s="1608" t="s">
        <v>2510</v>
      </c>
      <c r="C194" s="1461" t="s">
        <v>3955</v>
      </c>
      <c r="D194" s="1361" t="s">
        <v>2320</v>
      </c>
      <c r="E194" s="1361" t="s">
        <v>2412</v>
      </c>
      <c r="F194" s="1614"/>
      <c r="G194" s="1614"/>
      <c r="H194" s="1614"/>
      <c r="I194" s="1614">
        <v>16877.049999999996</v>
      </c>
      <c r="J194" s="1614"/>
      <c r="K194" s="1615">
        <v>16877.049999999996</v>
      </c>
    </row>
    <row r="195" spans="1:11">
      <c r="A195" s="1361" t="s">
        <v>2535</v>
      </c>
      <c r="B195" s="1608" t="s">
        <v>2512</v>
      </c>
      <c r="C195" s="1461" t="s">
        <v>2513</v>
      </c>
      <c r="D195" s="1361" t="s">
        <v>2320</v>
      </c>
      <c r="E195" s="1361" t="s">
        <v>2514</v>
      </c>
      <c r="F195" s="1614"/>
      <c r="G195" s="1614"/>
      <c r="H195" s="1614"/>
      <c r="I195" s="1614">
        <v>963159.3463689998</v>
      </c>
      <c r="J195" s="1614"/>
      <c r="K195" s="1615">
        <v>963159.3463689998</v>
      </c>
    </row>
    <row r="196" spans="1:11">
      <c r="A196" s="1361" t="s">
        <v>2535</v>
      </c>
      <c r="B196" s="1608" t="s">
        <v>2512</v>
      </c>
      <c r="C196" s="1461" t="s">
        <v>2513</v>
      </c>
      <c r="D196" s="1361" t="s">
        <v>2320</v>
      </c>
      <c r="E196" s="1361" t="s">
        <v>2404</v>
      </c>
      <c r="F196" s="1614"/>
      <c r="G196" s="1614"/>
      <c r="H196" s="1614"/>
      <c r="I196" s="1614">
        <v>7737.8115539999999</v>
      </c>
      <c r="J196" s="1614"/>
      <c r="K196" s="1615">
        <v>7737.8115539999999</v>
      </c>
    </row>
    <row r="197" spans="1:11">
      <c r="A197" s="1361" t="s">
        <v>2535</v>
      </c>
      <c r="B197" s="1608" t="s">
        <v>2512</v>
      </c>
      <c r="C197" s="1461" t="s">
        <v>2515</v>
      </c>
      <c r="D197" s="1361" t="s">
        <v>2320</v>
      </c>
      <c r="E197" s="1361" t="s">
        <v>2516</v>
      </c>
      <c r="F197" s="1614"/>
      <c r="G197" s="1614"/>
      <c r="H197" s="1614"/>
      <c r="I197" s="1614">
        <v>386656.19756499946</v>
      </c>
      <c r="J197" s="1614"/>
      <c r="K197" s="1615">
        <v>386656.19756499946</v>
      </c>
    </row>
    <row r="198" spans="1:11">
      <c r="A198" s="1361" t="s">
        <v>2535</v>
      </c>
      <c r="B198" s="1607" t="s">
        <v>2517</v>
      </c>
      <c r="C198" s="1461" t="s">
        <v>2513</v>
      </c>
      <c r="D198" s="1361" t="s">
        <v>2320</v>
      </c>
      <c r="E198" s="1361" t="s">
        <v>2514</v>
      </c>
      <c r="F198" s="1614">
        <v>655323.84363100049</v>
      </c>
      <c r="G198" s="1614"/>
      <c r="H198" s="1614"/>
      <c r="I198" s="1614"/>
      <c r="J198" s="1614"/>
      <c r="K198" s="1615">
        <v>655323.84363100049</v>
      </c>
    </row>
    <row r="199" spans="1:11">
      <c r="A199" s="1361" t="s">
        <v>2535</v>
      </c>
      <c r="B199" s="1608" t="s">
        <v>2517</v>
      </c>
      <c r="C199" s="1461" t="s">
        <v>2513</v>
      </c>
      <c r="D199" s="1361" t="s">
        <v>2320</v>
      </c>
      <c r="E199" s="1361" t="s">
        <v>2518</v>
      </c>
      <c r="F199" s="1614">
        <v>207233.80000000008</v>
      </c>
      <c r="G199" s="1614"/>
      <c r="H199" s="1614"/>
      <c r="I199" s="1614"/>
      <c r="J199" s="1614"/>
      <c r="K199" s="1615">
        <v>207233.80000000008</v>
      </c>
    </row>
    <row r="200" spans="1:11">
      <c r="A200" s="1361" t="s">
        <v>2535</v>
      </c>
      <c r="B200" s="1608" t="s">
        <v>2517</v>
      </c>
      <c r="C200" s="1461" t="s">
        <v>2513</v>
      </c>
      <c r="D200" s="1361" t="s">
        <v>2320</v>
      </c>
      <c r="E200" s="1361" t="s">
        <v>2404</v>
      </c>
      <c r="F200" s="1614">
        <v>5264.7284460000001</v>
      </c>
      <c r="G200" s="1614"/>
      <c r="H200" s="1614"/>
      <c r="I200" s="1614"/>
      <c r="J200" s="1614"/>
      <c r="K200" s="1615">
        <v>5264.7284460000001</v>
      </c>
    </row>
    <row r="201" spans="1:11">
      <c r="A201" s="1361" t="s">
        <v>2535</v>
      </c>
      <c r="B201" s="1608" t="s">
        <v>2519</v>
      </c>
      <c r="C201" s="1461" t="s">
        <v>2515</v>
      </c>
      <c r="D201" s="1361" t="s">
        <v>2320</v>
      </c>
      <c r="E201" s="1361" t="s">
        <v>2516</v>
      </c>
      <c r="F201" s="1614">
        <v>263076.95243500016</v>
      </c>
      <c r="G201" s="1614"/>
      <c r="H201" s="1614"/>
      <c r="I201" s="1614"/>
      <c r="J201" s="1614"/>
      <c r="K201" s="1615">
        <v>263076.95243500016</v>
      </c>
    </row>
    <row r="202" spans="1:11">
      <c r="A202" s="1361" t="s">
        <v>2535</v>
      </c>
      <c r="B202" s="1608" t="s">
        <v>2520</v>
      </c>
      <c r="C202" s="1461" t="s">
        <v>2521</v>
      </c>
      <c r="D202" s="1361" t="s">
        <v>2320</v>
      </c>
      <c r="E202" s="1361" t="s">
        <v>2429</v>
      </c>
      <c r="F202" s="1614">
        <v>225064.1599999998</v>
      </c>
      <c r="G202" s="1614"/>
      <c r="H202" s="1614"/>
      <c r="I202" s="1614"/>
      <c r="J202" s="1614"/>
      <c r="K202" s="1615">
        <v>225064.1599999998</v>
      </c>
    </row>
    <row r="203" spans="1:11">
      <c r="A203" s="1361" t="s">
        <v>2535</v>
      </c>
      <c r="B203" s="1607" t="s">
        <v>2522</v>
      </c>
      <c r="C203" s="1461" t="s">
        <v>2523</v>
      </c>
      <c r="D203" s="1361" t="s">
        <v>2320</v>
      </c>
      <c r="E203" s="1361" t="s">
        <v>2524</v>
      </c>
      <c r="F203" s="1614"/>
      <c r="G203" s="1614"/>
      <c r="H203" s="1614"/>
      <c r="I203" s="1614">
        <v>347631.42603199993</v>
      </c>
      <c r="J203" s="1614"/>
      <c r="K203" s="1615">
        <v>347631.42603199993</v>
      </c>
    </row>
    <row r="204" spans="1:11">
      <c r="A204" s="1361" t="s">
        <v>2535</v>
      </c>
      <c r="B204" s="1607" t="s">
        <v>2522</v>
      </c>
      <c r="C204" s="1461" t="s">
        <v>2523</v>
      </c>
      <c r="D204" s="1361" t="s">
        <v>2320</v>
      </c>
      <c r="E204" s="1361" t="s">
        <v>2412</v>
      </c>
      <c r="F204" s="1614"/>
      <c r="G204" s="1614"/>
      <c r="H204" s="1614"/>
      <c r="I204" s="1614">
        <v>63173.859999999993</v>
      </c>
      <c r="J204" s="1614"/>
      <c r="K204" s="1615">
        <v>63173.859999999993</v>
      </c>
    </row>
    <row r="205" spans="1:11">
      <c r="A205" s="1361" t="s">
        <v>2535</v>
      </c>
      <c r="B205" s="1607" t="s">
        <v>2522</v>
      </c>
      <c r="C205" s="1461" t="s">
        <v>2523</v>
      </c>
      <c r="D205" s="1361" t="s">
        <v>2320</v>
      </c>
      <c r="E205" s="1361" t="s">
        <v>2525</v>
      </c>
      <c r="F205" s="1614"/>
      <c r="G205" s="1614"/>
      <c r="H205" s="1614"/>
      <c r="I205" s="1614">
        <v>101345.35146999998</v>
      </c>
      <c r="J205" s="1614"/>
      <c r="K205" s="1615">
        <v>101345.35146999998</v>
      </c>
    </row>
    <row r="206" spans="1:11">
      <c r="A206" s="1361" t="s">
        <v>2535</v>
      </c>
      <c r="B206" s="1608" t="s">
        <v>2522</v>
      </c>
      <c r="C206" s="1461" t="s">
        <v>2523</v>
      </c>
      <c r="D206" s="1361" t="s">
        <v>2320</v>
      </c>
      <c r="E206" s="1361" t="s">
        <v>2413</v>
      </c>
      <c r="F206" s="1614"/>
      <c r="G206" s="1614"/>
      <c r="H206" s="1614"/>
      <c r="I206" s="1614">
        <v>81081.240000000034</v>
      </c>
      <c r="J206" s="1614"/>
      <c r="K206" s="1615">
        <v>81081.240000000034</v>
      </c>
    </row>
    <row r="207" spans="1:11">
      <c r="A207" s="1361" t="s">
        <v>2535</v>
      </c>
      <c r="B207" s="1608" t="s">
        <v>2522</v>
      </c>
      <c r="C207" s="1461" t="s">
        <v>2523</v>
      </c>
      <c r="D207" s="1361" t="s">
        <v>2320</v>
      </c>
      <c r="E207" s="1361" t="s">
        <v>2390</v>
      </c>
      <c r="F207" s="1614"/>
      <c r="G207" s="1614"/>
      <c r="H207" s="1614"/>
      <c r="I207" s="1614">
        <v>782.41</v>
      </c>
      <c r="J207" s="1614"/>
      <c r="K207" s="1615">
        <v>782.41</v>
      </c>
    </row>
    <row r="208" spans="1:11">
      <c r="A208" s="1361" t="s">
        <v>2535</v>
      </c>
      <c r="B208" s="1608" t="s">
        <v>2522</v>
      </c>
      <c r="C208" s="1461" t="s">
        <v>2526</v>
      </c>
      <c r="D208" s="1361" t="s">
        <v>2320</v>
      </c>
      <c r="E208" s="1361" t="s">
        <v>2527</v>
      </c>
      <c r="F208" s="1614"/>
      <c r="G208" s="1614"/>
      <c r="H208" s="1614"/>
      <c r="I208" s="1614">
        <v>35256.247223999992</v>
      </c>
      <c r="J208" s="1614"/>
      <c r="K208" s="1615">
        <v>35256.247223999992</v>
      </c>
    </row>
    <row r="209" spans="1:12">
      <c r="A209" s="1361" t="s">
        <v>2535</v>
      </c>
      <c r="B209" s="1608" t="s">
        <v>2522</v>
      </c>
      <c r="C209" s="1461" t="s">
        <v>2526</v>
      </c>
      <c r="D209" s="1361" t="s">
        <v>2320</v>
      </c>
      <c r="E209" s="1361" t="s">
        <v>2404</v>
      </c>
      <c r="F209" s="1614"/>
      <c r="G209" s="1614"/>
      <c r="H209" s="1614"/>
      <c r="I209" s="1614">
        <v>392540.128149</v>
      </c>
      <c r="J209" s="1614"/>
      <c r="K209" s="1615">
        <v>392540.128149</v>
      </c>
    </row>
    <row r="210" spans="1:12">
      <c r="A210" s="1361" t="s">
        <v>2535</v>
      </c>
      <c r="B210" s="1607" t="s">
        <v>2528</v>
      </c>
      <c r="C210" s="1461" t="s">
        <v>2523</v>
      </c>
      <c r="D210" s="1361" t="s">
        <v>2320</v>
      </c>
      <c r="F210" s="1614">
        <v>7681.96</v>
      </c>
      <c r="G210" s="1614"/>
      <c r="H210" s="1614"/>
      <c r="I210" s="1614"/>
      <c r="J210" s="1614"/>
      <c r="K210" s="1615">
        <v>7681.96</v>
      </c>
    </row>
    <row r="211" spans="1:12">
      <c r="A211" s="1361" t="s">
        <v>2535</v>
      </c>
      <c r="B211" s="1608" t="s">
        <v>2528</v>
      </c>
      <c r="C211" s="1461" t="s">
        <v>2523</v>
      </c>
      <c r="D211" s="1361" t="s">
        <v>2320</v>
      </c>
      <c r="E211" s="1361" t="s">
        <v>2524</v>
      </c>
      <c r="F211" s="1614">
        <v>236524.89396799996</v>
      </c>
      <c r="G211" s="1614"/>
      <c r="H211" s="1614"/>
      <c r="I211" s="1614"/>
      <c r="J211" s="1614"/>
      <c r="K211" s="1615">
        <v>236524.89396799996</v>
      </c>
    </row>
    <row r="212" spans="1:12">
      <c r="A212" s="1361" t="s">
        <v>2535</v>
      </c>
      <c r="B212" s="1608" t="s">
        <v>2528</v>
      </c>
      <c r="C212" s="1461" t="s">
        <v>2523</v>
      </c>
      <c r="D212" s="1361" t="s">
        <v>2320</v>
      </c>
      <c r="E212" s="1361" t="s">
        <v>2323</v>
      </c>
      <c r="F212" s="1614">
        <v>16941.47</v>
      </c>
      <c r="G212" s="1614"/>
      <c r="H212" s="1614"/>
      <c r="I212" s="1614"/>
      <c r="J212" s="1614"/>
      <c r="K212" s="1615">
        <v>16941.47</v>
      </c>
    </row>
    <row r="213" spans="1:12">
      <c r="A213" s="1361" t="s">
        <v>2535</v>
      </c>
      <c r="B213" s="1608" t="s">
        <v>2528</v>
      </c>
      <c r="C213" s="1461" t="s">
        <v>2523</v>
      </c>
      <c r="D213" s="1361" t="s">
        <v>2320</v>
      </c>
      <c r="E213" s="1361" t="s">
        <v>2529</v>
      </c>
      <c r="F213" s="1614">
        <v>699128.81000000017</v>
      </c>
      <c r="G213" s="1614"/>
      <c r="H213" s="1614"/>
      <c r="I213" s="1614"/>
      <c r="J213" s="1614"/>
      <c r="K213" s="1615">
        <v>699128.81000000017</v>
      </c>
    </row>
    <row r="214" spans="1:12">
      <c r="A214" s="1361" t="s">
        <v>2535</v>
      </c>
      <c r="B214" s="1608" t="s">
        <v>2528</v>
      </c>
      <c r="C214" s="1461" t="s">
        <v>2523</v>
      </c>
      <c r="D214" s="1361" t="s">
        <v>2320</v>
      </c>
      <c r="E214" s="1361" t="s">
        <v>2525</v>
      </c>
      <c r="F214" s="1614">
        <v>68954.348530000003</v>
      </c>
      <c r="G214" s="1614"/>
      <c r="H214" s="1614"/>
      <c r="I214" s="1614"/>
      <c r="J214" s="1614"/>
      <c r="K214" s="1615">
        <v>68954.348530000003</v>
      </c>
    </row>
    <row r="215" spans="1:12">
      <c r="A215" s="1361" t="s">
        <v>2535</v>
      </c>
      <c r="B215" s="1608" t="s">
        <v>2528</v>
      </c>
      <c r="C215" s="1461" t="s">
        <v>2526</v>
      </c>
      <c r="D215" s="1361" t="s">
        <v>2320</v>
      </c>
      <c r="E215" s="1361" t="s">
        <v>2527</v>
      </c>
      <c r="F215" s="1614">
        <v>23987.992776000006</v>
      </c>
      <c r="G215" s="1614"/>
      <c r="H215" s="1614"/>
      <c r="I215" s="1614"/>
      <c r="J215" s="1614"/>
      <c r="K215" s="1615">
        <v>23987.992776000006</v>
      </c>
    </row>
    <row r="216" spans="1:12">
      <c r="A216" s="1361" t="s">
        <v>2535</v>
      </c>
      <c r="B216" s="1607" t="s">
        <v>2528</v>
      </c>
      <c r="C216" s="1461" t="s">
        <v>2526</v>
      </c>
      <c r="D216" s="1361" t="s">
        <v>2320</v>
      </c>
      <c r="E216" s="1361" t="s">
        <v>2420</v>
      </c>
      <c r="F216" s="1614">
        <v>185223.93440000006</v>
      </c>
      <c r="G216" s="1614"/>
      <c r="H216" s="1614"/>
      <c r="I216" s="1614"/>
      <c r="J216" s="1614"/>
      <c r="K216" s="1615">
        <v>185223.93440000006</v>
      </c>
    </row>
    <row r="217" spans="1:12">
      <c r="A217" s="1361" t="s">
        <v>2535</v>
      </c>
      <c r="B217" s="1608" t="s">
        <v>2528</v>
      </c>
      <c r="C217" s="1461" t="s">
        <v>2526</v>
      </c>
      <c r="D217" s="1361" t="s">
        <v>2320</v>
      </c>
      <c r="E217" s="1361" t="s">
        <v>2404</v>
      </c>
      <c r="F217" s="1614">
        <v>1005159.1868989997</v>
      </c>
      <c r="G217" s="1614"/>
      <c r="H217" s="1614"/>
      <c r="I217" s="1614"/>
      <c r="J217" s="1614"/>
      <c r="K217" s="1615">
        <v>1005159.1868989997</v>
      </c>
    </row>
    <row r="218" spans="1:12">
      <c r="A218" s="1361" t="s">
        <v>2535</v>
      </c>
      <c r="B218" s="1608" t="s">
        <v>2530</v>
      </c>
      <c r="C218" s="1461" t="s">
        <v>2531</v>
      </c>
      <c r="D218" s="1361" t="s">
        <v>2320</v>
      </c>
      <c r="E218" s="1361" t="s">
        <v>2429</v>
      </c>
      <c r="F218" s="1614">
        <v>552896.99000000022</v>
      </c>
      <c r="G218" s="1614"/>
      <c r="H218" s="1614"/>
      <c r="I218" s="1614"/>
      <c r="J218" s="1614"/>
      <c r="K218" s="1615">
        <v>552896.99000000022</v>
      </c>
    </row>
    <row r="219" spans="1:12">
      <c r="A219" s="1361" t="s">
        <v>2535</v>
      </c>
      <c r="B219" s="1607" t="s">
        <v>2530</v>
      </c>
      <c r="C219" s="1461" t="s">
        <v>2532</v>
      </c>
      <c r="D219" s="1361" t="s">
        <v>2320</v>
      </c>
      <c r="E219" s="1361" t="s">
        <v>2429</v>
      </c>
      <c r="F219" s="1614">
        <v>113761.76000000001</v>
      </c>
      <c r="G219" s="1614"/>
      <c r="H219" s="1614"/>
      <c r="I219" s="1614"/>
      <c r="J219" s="1614"/>
      <c r="K219" s="1615">
        <v>113761.76000000001</v>
      </c>
    </row>
    <row r="220" spans="1:12">
      <c r="B220" s="1609" t="s">
        <v>888</v>
      </c>
      <c r="C220" s="1609"/>
      <c r="D220" s="1609"/>
      <c r="E220" s="1609"/>
      <c r="F220" s="1610">
        <f t="shared" ref="F220:J220" si="0">SUM(F3:F219)</f>
        <v>27189716.553099003</v>
      </c>
      <c r="G220" s="1610">
        <f t="shared" si="0"/>
        <v>8551932.8136009946</v>
      </c>
      <c r="H220" s="1610">
        <f t="shared" si="0"/>
        <v>9980741.2400000989</v>
      </c>
      <c r="I220" s="1610">
        <f t="shared" si="0"/>
        <v>41032630.986900978</v>
      </c>
      <c r="J220" s="1610">
        <f t="shared" si="0"/>
        <v>9041766.6663990039</v>
      </c>
      <c r="K220" s="1610">
        <f>SUM(K3:K219)</f>
        <v>95796788.260000095</v>
      </c>
    </row>
    <row r="222" spans="1:12">
      <c r="E222" s="1611" t="s">
        <v>2535</v>
      </c>
      <c r="F222" s="1616">
        <f t="shared" ref="F222:K223" si="1">SUMIFS(F$3:F$219,$A$3:$A$219,$E222)</f>
        <v>25717238.663099002</v>
      </c>
      <c r="G222" s="1616">
        <f t="shared" si="1"/>
        <v>0</v>
      </c>
      <c r="H222" s="1616">
        <f t="shared" si="1"/>
        <v>0</v>
      </c>
      <c r="I222" s="1616">
        <f t="shared" si="1"/>
        <v>41014911.846900977</v>
      </c>
      <c r="J222" s="1616">
        <f t="shared" si="1"/>
        <v>0</v>
      </c>
      <c r="K222" s="1617">
        <f t="shared" si="1"/>
        <v>66732150.509999946</v>
      </c>
    </row>
    <row r="223" spans="1:12">
      <c r="E223" s="1611" t="s">
        <v>2534</v>
      </c>
      <c r="F223" s="1618">
        <f t="shared" si="1"/>
        <v>1472477.8899999997</v>
      </c>
      <c r="G223" s="1618">
        <f t="shared" si="1"/>
        <v>8551932.8136009946</v>
      </c>
      <c r="H223" s="1618">
        <f t="shared" si="1"/>
        <v>9980741.2400000989</v>
      </c>
      <c r="I223" s="1618">
        <f t="shared" si="1"/>
        <v>17719.140000000007</v>
      </c>
      <c r="J223" s="1618">
        <f t="shared" si="1"/>
        <v>9041766.6663990039</v>
      </c>
      <c r="K223" s="1619">
        <f t="shared" si="1"/>
        <v>29064637.750000108</v>
      </c>
    </row>
    <row r="224" spans="1:12">
      <c r="E224" s="1611" t="s">
        <v>602</v>
      </c>
      <c r="F224" s="1620">
        <f t="shared" ref="F224:K224" si="2">SUM(F222:F223)</f>
        <v>27189716.553099003</v>
      </c>
      <c r="G224" s="1620">
        <f t="shared" si="2"/>
        <v>8551932.8136009946</v>
      </c>
      <c r="H224" s="1620">
        <f t="shared" si="2"/>
        <v>9980741.2400000989</v>
      </c>
      <c r="I224" s="1620">
        <f t="shared" si="2"/>
        <v>41032630.986900978</v>
      </c>
      <c r="J224" s="1620">
        <f t="shared" si="2"/>
        <v>9041766.6663990039</v>
      </c>
      <c r="K224" s="1620">
        <f t="shared" si="2"/>
        <v>95796788.26000005</v>
      </c>
      <c r="L224" s="1613"/>
    </row>
  </sheetData>
  <phoneticPr fontId="8" type="noConversion"/>
  <printOptions gridLines="1" gridLinesSet="0"/>
  <pageMargins left="0.75" right="0.75" top="1" bottom="1" header="0.5" footer="0.5"/>
  <pageSetup scale="19" orientation="portrait" horizontalDpi="300" verticalDpi="300" r:id="rId1"/>
  <headerFooter alignWithMargins="0">
    <oddHeader>&amp;F</oddHead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56"/>
  <sheetViews>
    <sheetView workbookViewId="0">
      <selection activeCell="K1" sqref="K1"/>
    </sheetView>
  </sheetViews>
  <sheetFormatPr defaultRowHeight="15.75"/>
  <sheetData>
    <row r="1" spans="1:14">
      <c r="A1" s="3455" t="s">
        <v>2954</v>
      </c>
      <c r="B1" s="3455"/>
      <c r="C1" s="3456"/>
      <c r="D1" s="3455" t="s">
        <v>3741</v>
      </c>
      <c r="E1" s="3457">
        <v>42474</v>
      </c>
      <c r="F1" s="3455"/>
      <c r="G1" s="3455"/>
      <c r="H1" s="3455"/>
      <c r="I1" s="3455"/>
      <c r="J1" s="3142" t="s">
        <v>2181</v>
      </c>
      <c r="K1" s="3142" t="s">
        <v>3937</v>
      </c>
      <c r="L1" s="3455"/>
      <c r="M1" s="3455"/>
      <c r="N1" s="3455"/>
    </row>
    <row r="2" spans="1:14">
      <c r="A2" s="3455"/>
      <c r="B2" s="3455"/>
      <c r="C2" s="3456"/>
      <c r="D2" s="3455"/>
      <c r="E2" s="3457"/>
      <c r="F2" s="3455"/>
      <c r="G2" s="3455"/>
      <c r="H2" s="3455"/>
      <c r="I2" s="3455"/>
      <c r="J2" s="3142" t="s">
        <v>3490</v>
      </c>
      <c r="K2" s="3142" t="s">
        <v>152</v>
      </c>
      <c r="L2" s="3455"/>
      <c r="M2" s="3455"/>
      <c r="N2" s="3455"/>
    </row>
    <row r="3" spans="1:14">
      <c r="A3" s="3455" t="s">
        <v>3721</v>
      </c>
      <c r="B3" s="3455"/>
      <c r="C3" s="3456"/>
      <c r="D3" s="3455"/>
      <c r="E3" s="3455" t="s">
        <v>2955</v>
      </c>
      <c r="F3" s="3455"/>
      <c r="G3" s="3455"/>
      <c r="H3" s="3455"/>
      <c r="I3" s="3455"/>
      <c r="J3" s="3455"/>
      <c r="K3" s="3455"/>
      <c r="L3" s="3455"/>
      <c r="M3" s="3455"/>
      <c r="N3" s="3455"/>
    </row>
    <row r="4" spans="1:14">
      <c r="A4" s="3455"/>
      <c r="B4" s="3455"/>
      <c r="C4" s="3456"/>
      <c r="D4" s="3455"/>
      <c r="E4" s="3455"/>
      <c r="F4" s="3455"/>
      <c r="G4" s="3455"/>
      <c r="H4" s="3455"/>
      <c r="I4" s="3455"/>
      <c r="J4" s="3455"/>
      <c r="K4" s="3455"/>
      <c r="L4" s="3455"/>
      <c r="M4" s="3455"/>
      <c r="N4" s="3455"/>
    </row>
    <row r="5" spans="1:14">
      <c r="A5" s="3455"/>
      <c r="B5" s="3455"/>
      <c r="C5" s="3456"/>
      <c r="D5" s="3455"/>
      <c r="E5" s="3455"/>
      <c r="F5" s="3455"/>
      <c r="G5" s="3455"/>
      <c r="H5" s="3455"/>
      <c r="I5" s="3455"/>
      <c r="J5" s="3455"/>
      <c r="K5" s="3455"/>
      <c r="L5" s="3458" t="s">
        <v>3739</v>
      </c>
      <c r="M5" s="3455"/>
      <c r="N5" s="3455"/>
    </row>
    <row r="6" spans="1:14">
      <c r="A6" s="3459" t="s">
        <v>2956</v>
      </c>
      <c r="B6" s="3459" t="s">
        <v>2957</v>
      </c>
      <c r="C6" s="3460" t="s">
        <v>3722</v>
      </c>
      <c r="D6" s="3459" t="s">
        <v>2958</v>
      </c>
      <c r="E6" s="3459" t="s">
        <v>2959</v>
      </c>
      <c r="F6" s="3461">
        <v>2015</v>
      </c>
      <c r="G6" s="3461">
        <v>2016</v>
      </c>
      <c r="H6" s="3461">
        <v>2017</v>
      </c>
      <c r="I6" s="3461">
        <v>2018</v>
      </c>
      <c r="J6" s="3461">
        <v>2019</v>
      </c>
      <c r="K6" s="3461">
        <v>2020</v>
      </c>
      <c r="L6" s="3459" t="s">
        <v>3723</v>
      </c>
      <c r="M6" s="3462"/>
      <c r="N6" s="3462"/>
    </row>
    <row r="7" spans="1:14">
      <c r="A7" s="3455"/>
      <c r="B7" s="3455"/>
      <c r="C7" s="3456"/>
      <c r="D7" s="3455"/>
      <c r="E7" s="3455"/>
      <c r="F7" s="3455"/>
      <c r="G7" s="3455"/>
      <c r="H7" s="3455"/>
      <c r="I7" s="3455"/>
      <c r="J7" s="3455"/>
      <c r="K7" s="3455"/>
      <c r="L7" s="3455"/>
      <c r="M7" s="3455"/>
      <c r="N7" s="3455"/>
    </row>
    <row r="8" spans="1:14">
      <c r="A8" s="3455" t="s">
        <v>2960</v>
      </c>
      <c r="B8" s="3455"/>
      <c r="C8" s="3456"/>
      <c r="D8" s="3455"/>
      <c r="E8" s="3455"/>
      <c r="F8" s="3455"/>
      <c r="G8" s="3455"/>
      <c r="H8" s="3455"/>
      <c r="I8" s="3455"/>
      <c r="J8" s="3455"/>
      <c r="K8" s="3455"/>
      <c r="L8" s="3455"/>
      <c r="M8" s="3455"/>
      <c r="N8" s="3455"/>
    </row>
    <row r="9" spans="1:14">
      <c r="A9" s="3455"/>
      <c r="B9" s="3455" t="s">
        <v>2961</v>
      </c>
      <c r="C9" s="3456">
        <v>15</v>
      </c>
      <c r="D9" s="3455" t="s">
        <v>2962</v>
      </c>
      <c r="E9" s="3455">
        <v>44</v>
      </c>
      <c r="F9" s="3463">
        <v>0</v>
      </c>
      <c r="G9" s="3463">
        <v>0</v>
      </c>
      <c r="H9" s="3463">
        <v>0</v>
      </c>
      <c r="I9" s="3463">
        <v>0</v>
      </c>
      <c r="J9" s="3463">
        <v>0</v>
      </c>
      <c r="K9" s="3463">
        <v>0</v>
      </c>
      <c r="L9" s="3464">
        <f>SUM(F9:K9)</f>
        <v>0</v>
      </c>
      <c r="M9" s="3455"/>
      <c r="N9" s="3455"/>
    </row>
    <row r="10" spans="1:14">
      <c r="A10" s="3455"/>
      <c r="B10" s="3455" t="s">
        <v>2961</v>
      </c>
      <c r="C10" s="3456">
        <v>15</v>
      </c>
      <c r="D10" s="3455" t="s">
        <v>2963</v>
      </c>
      <c r="E10" s="3455">
        <v>44</v>
      </c>
      <c r="F10" s="3463">
        <v>0</v>
      </c>
      <c r="G10" s="3463">
        <v>0</v>
      </c>
      <c r="H10" s="3463">
        <v>0</v>
      </c>
      <c r="I10" s="3463">
        <v>0</v>
      </c>
      <c r="J10" s="3463">
        <v>0</v>
      </c>
      <c r="K10" s="3463">
        <v>0</v>
      </c>
      <c r="L10" s="3464">
        <f t="shared" ref="L10:L31" si="0">SUM(F10:K10)</f>
        <v>0</v>
      </c>
      <c r="M10" s="3455"/>
      <c r="N10" s="3455"/>
    </row>
    <row r="11" spans="1:14">
      <c r="A11" s="3455"/>
      <c r="B11" s="3455" t="s">
        <v>2961</v>
      </c>
      <c r="C11" s="3456">
        <v>15</v>
      </c>
      <c r="D11" s="3455" t="s">
        <v>2965</v>
      </c>
      <c r="E11" s="3455">
        <v>40</v>
      </c>
      <c r="F11" s="3463">
        <v>5.05</v>
      </c>
      <c r="G11" s="3463">
        <v>0</v>
      </c>
      <c r="H11" s="3463">
        <v>0</v>
      </c>
      <c r="I11" s="3463">
        <v>0</v>
      </c>
      <c r="J11" s="3463">
        <v>0</v>
      </c>
      <c r="K11" s="3463">
        <v>0</v>
      </c>
      <c r="L11" s="3464">
        <f t="shared" si="0"/>
        <v>5.05</v>
      </c>
      <c r="M11" s="3455"/>
      <c r="N11" s="3455"/>
    </row>
    <row r="12" spans="1:14">
      <c r="A12" s="3455"/>
      <c r="B12" s="3455" t="s">
        <v>2964</v>
      </c>
      <c r="C12" s="3456">
        <v>15</v>
      </c>
      <c r="D12" s="3455" t="s">
        <v>3724</v>
      </c>
      <c r="E12" s="3455"/>
      <c r="F12" s="3463">
        <v>0</v>
      </c>
      <c r="G12" s="3463">
        <v>3.1</v>
      </c>
      <c r="H12" s="3463">
        <v>0.9</v>
      </c>
      <c r="I12" s="3463">
        <v>4</v>
      </c>
      <c r="J12" s="3463">
        <v>5</v>
      </c>
      <c r="K12" s="3463">
        <v>0</v>
      </c>
      <c r="L12" s="3464">
        <f t="shared" si="0"/>
        <v>13</v>
      </c>
      <c r="M12" s="3455"/>
      <c r="N12" s="3455"/>
    </row>
    <row r="13" spans="1:14">
      <c r="A13" s="3455"/>
      <c r="B13" s="3455" t="s">
        <v>3725</v>
      </c>
      <c r="C13" s="3456">
        <v>15</v>
      </c>
      <c r="D13" s="3455" t="s">
        <v>3726</v>
      </c>
      <c r="E13" s="3455"/>
      <c r="F13" s="3463">
        <v>0</v>
      </c>
      <c r="G13" s="3463">
        <v>0.79999999999999993</v>
      </c>
      <c r="H13" s="3463">
        <v>0.60000000000000009</v>
      </c>
      <c r="I13" s="3463">
        <v>0.2</v>
      </c>
      <c r="J13" s="3463">
        <v>6.2</v>
      </c>
      <c r="K13" s="3463">
        <v>0.05</v>
      </c>
      <c r="L13" s="3464">
        <f t="shared" si="0"/>
        <v>7.85</v>
      </c>
      <c r="M13" s="3455"/>
      <c r="N13" s="3455"/>
    </row>
    <row r="14" spans="1:14">
      <c r="A14" s="3455"/>
      <c r="B14" s="3455" t="s">
        <v>3727</v>
      </c>
      <c r="C14" s="3456">
        <v>15</v>
      </c>
      <c r="D14" s="3455" t="s">
        <v>2966</v>
      </c>
      <c r="E14" s="3455">
        <v>40</v>
      </c>
      <c r="F14" s="3463">
        <v>0</v>
      </c>
      <c r="G14" s="3463">
        <v>5.93</v>
      </c>
      <c r="H14" s="3463">
        <v>0</v>
      </c>
      <c r="I14" s="3463">
        <v>0</v>
      </c>
      <c r="J14" s="3463">
        <v>0</v>
      </c>
      <c r="K14" s="3463">
        <v>0</v>
      </c>
      <c r="L14" s="3464">
        <f t="shared" si="0"/>
        <v>5.93</v>
      </c>
      <c r="M14" s="3455"/>
      <c r="N14" s="3455"/>
    </row>
    <row r="15" spans="1:14">
      <c r="A15" s="3455"/>
      <c r="B15" s="3455" t="s">
        <v>3727</v>
      </c>
      <c r="C15" s="3456">
        <v>15</v>
      </c>
      <c r="D15" s="3455" t="s">
        <v>2967</v>
      </c>
      <c r="E15" s="3455">
        <v>40</v>
      </c>
      <c r="F15" s="3463">
        <v>0</v>
      </c>
      <c r="G15" s="3463">
        <v>5.93</v>
      </c>
      <c r="H15" s="3463">
        <v>0</v>
      </c>
      <c r="I15" s="3463">
        <v>0</v>
      </c>
      <c r="J15" s="3463">
        <v>0</v>
      </c>
      <c r="K15" s="3463">
        <v>0</v>
      </c>
      <c r="L15" s="3464">
        <f t="shared" si="0"/>
        <v>5.93</v>
      </c>
      <c r="M15" s="3455"/>
      <c r="N15" s="3455"/>
    </row>
    <row r="16" spans="1:14">
      <c r="A16" s="3455"/>
      <c r="B16" s="3455"/>
      <c r="C16" s="3456"/>
      <c r="D16" s="3455"/>
      <c r="E16" s="3455"/>
      <c r="F16" s="3463"/>
      <c r="G16" s="3463"/>
      <c r="H16" s="3463"/>
      <c r="I16" s="3463"/>
      <c r="J16" s="3463"/>
      <c r="K16" s="3463"/>
      <c r="L16" s="3464">
        <f t="shared" si="0"/>
        <v>0</v>
      </c>
      <c r="M16" s="3455"/>
      <c r="N16" s="3455"/>
    </row>
    <row r="17" spans="1:14">
      <c r="A17" s="3455" t="s">
        <v>2968</v>
      </c>
      <c r="B17" s="3455"/>
      <c r="C17" s="3456"/>
      <c r="D17" s="3455"/>
      <c r="E17" s="3455"/>
      <c r="F17" s="3463"/>
      <c r="G17" s="3463"/>
      <c r="H17" s="3463"/>
      <c r="I17" s="3463"/>
      <c r="J17" s="3463"/>
      <c r="K17" s="3463"/>
      <c r="L17" s="3464">
        <f t="shared" si="0"/>
        <v>0</v>
      </c>
      <c r="M17" s="3455"/>
      <c r="N17" s="3455"/>
    </row>
    <row r="18" spans="1:14">
      <c r="A18" s="3455"/>
      <c r="B18" s="3455" t="s">
        <v>2969</v>
      </c>
      <c r="C18" s="3456">
        <v>15</v>
      </c>
      <c r="D18" s="3455" t="s">
        <v>3728</v>
      </c>
      <c r="E18" s="3455">
        <v>7</v>
      </c>
      <c r="F18" s="3463">
        <v>0</v>
      </c>
      <c r="G18" s="3463">
        <v>0</v>
      </c>
      <c r="H18" s="3463">
        <v>0</v>
      </c>
      <c r="I18" s="3463">
        <v>0</v>
      </c>
      <c r="J18" s="3463">
        <v>0</v>
      </c>
      <c r="K18" s="3463">
        <v>0</v>
      </c>
      <c r="L18" s="3464">
        <f t="shared" si="0"/>
        <v>0</v>
      </c>
      <c r="M18" s="3455"/>
      <c r="N18" s="3455"/>
    </row>
    <row r="19" spans="1:14">
      <c r="A19" s="3455"/>
      <c r="B19" s="3455" t="s">
        <v>2969</v>
      </c>
      <c r="C19" s="3456">
        <v>15</v>
      </c>
      <c r="D19" s="3455" t="s">
        <v>3729</v>
      </c>
      <c r="E19" s="3455">
        <v>7</v>
      </c>
      <c r="F19" s="3463">
        <v>0</v>
      </c>
      <c r="G19" s="3463">
        <v>0.86199999999999999</v>
      </c>
      <c r="H19" s="3463">
        <v>0</v>
      </c>
      <c r="I19" s="3463">
        <v>0</v>
      </c>
      <c r="J19" s="3463">
        <v>0</v>
      </c>
      <c r="K19" s="3463">
        <v>0</v>
      </c>
      <c r="L19" s="3464">
        <f t="shared" si="0"/>
        <v>0.86199999999999999</v>
      </c>
      <c r="M19" s="3455"/>
      <c r="N19" s="3455"/>
    </row>
    <row r="20" spans="1:14">
      <c r="A20" s="3455"/>
      <c r="B20" s="3455"/>
      <c r="C20" s="3456"/>
      <c r="D20" s="3455"/>
      <c r="E20" s="3455"/>
      <c r="F20" s="3455"/>
      <c r="G20" s="3455"/>
      <c r="H20" s="3455"/>
      <c r="I20" s="3455"/>
      <c r="J20" s="3455"/>
      <c r="K20" s="3455"/>
      <c r="L20" s="3464">
        <f t="shared" si="0"/>
        <v>0</v>
      </c>
      <c r="M20" s="3455"/>
      <c r="N20" s="3455"/>
    </row>
    <row r="21" spans="1:14">
      <c r="A21" s="3455" t="s">
        <v>3730</v>
      </c>
      <c r="B21" s="3455" t="s">
        <v>3614</v>
      </c>
      <c r="C21" s="3456">
        <v>14</v>
      </c>
      <c r="D21" s="3455" t="s">
        <v>2970</v>
      </c>
      <c r="E21" s="3455">
        <v>4</v>
      </c>
      <c r="F21" s="3463">
        <v>0</v>
      </c>
      <c r="G21" s="3463">
        <v>0</v>
      </c>
      <c r="H21" s="3463">
        <v>0</v>
      </c>
      <c r="I21" s="3463">
        <v>0</v>
      </c>
      <c r="J21" s="3463">
        <v>0</v>
      </c>
      <c r="K21" s="3463">
        <v>0</v>
      </c>
      <c r="L21" s="3464">
        <f t="shared" si="0"/>
        <v>0</v>
      </c>
      <c r="M21" s="3455"/>
      <c r="N21" s="3455"/>
    </row>
    <row r="22" spans="1:14">
      <c r="A22" s="3455"/>
      <c r="B22" s="3455"/>
      <c r="C22" s="3456"/>
      <c r="D22" s="3455"/>
      <c r="E22" s="3455"/>
      <c r="F22" s="3455"/>
      <c r="G22" s="3455"/>
      <c r="H22" s="3455"/>
      <c r="I22" s="3455"/>
      <c r="J22" s="3455"/>
      <c r="K22" s="3455"/>
      <c r="L22" s="3464">
        <f t="shared" si="0"/>
        <v>0</v>
      </c>
      <c r="M22" s="3455"/>
      <c r="N22" s="3455"/>
    </row>
    <row r="23" spans="1:14">
      <c r="A23" s="3455" t="s">
        <v>3731</v>
      </c>
      <c r="B23" s="3455"/>
      <c r="C23" s="3456"/>
      <c r="D23" s="3455"/>
      <c r="E23" s="3455"/>
      <c r="F23" s="3455"/>
      <c r="G23" s="3455"/>
      <c r="H23" s="3455"/>
      <c r="I23" s="3455"/>
      <c r="J23" s="3455"/>
      <c r="K23" s="3455"/>
      <c r="L23" s="3464">
        <f t="shared" si="0"/>
        <v>0</v>
      </c>
      <c r="M23" s="3455"/>
      <c r="N23" s="3455"/>
    </row>
    <row r="24" spans="1:14">
      <c r="A24" s="3455"/>
      <c r="B24" s="3455" t="s">
        <v>3732</v>
      </c>
      <c r="C24" s="3456">
        <v>15</v>
      </c>
      <c r="D24" s="3455" t="s">
        <v>3733</v>
      </c>
      <c r="E24" s="3455">
        <v>44</v>
      </c>
      <c r="F24" s="3463">
        <v>6.07</v>
      </c>
      <c r="G24" s="3463">
        <v>0</v>
      </c>
      <c r="H24" s="3463">
        <v>0</v>
      </c>
      <c r="I24" s="3463">
        <v>0</v>
      </c>
      <c r="J24" s="3463">
        <v>0</v>
      </c>
      <c r="K24" s="3463">
        <v>0</v>
      </c>
      <c r="L24" s="3464">
        <f t="shared" si="0"/>
        <v>6.07</v>
      </c>
      <c r="M24" s="3455"/>
      <c r="N24" s="3455"/>
    </row>
    <row r="25" spans="1:14">
      <c r="A25" s="3455"/>
      <c r="B25" s="3455"/>
      <c r="C25" s="3456"/>
      <c r="D25" s="3455"/>
      <c r="E25" s="3455"/>
      <c r="F25" s="3455"/>
      <c r="G25" s="3455"/>
      <c r="H25" s="3455"/>
      <c r="I25" s="3455"/>
      <c r="J25" s="3455"/>
      <c r="K25" s="3455"/>
      <c r="L25" s="3464">
        <f t="shared" si="0"/>
        <v>0</v>
      </c>
      <c r="M25" s="3455"/>
      <c r="N25" s="3455"/>
    </row>
    <row r="26" spans="1:14">
      <c r="A26" s="3455" t="s">
        <v>2971</v>
      </c>
      <c r="B26" s="3455"/>
      <c r="C26" s="3456"/>
      <c r="D26" s="3455"/>
      <c r="E26" s="3455"/>
      <c r="F26" s="3455"/>
      <c r="G26" s="3455"/>
      <c r="H26" s="3455"/>
      <c r="I26" s="3455"/>
      <c r="J26" s="3455"/>
      <c r="K26" s="3455"/>
      <c r="L26" s="3464">
        <f t="shared" si="0"/>
        <v>0</v>
      </c>
      <c r="M26" s="3455"/>
      <c r="N26" s="3455"/>
    </row>
    <row r="27" spans="1:14">
      <c r="A27" s="3455"/>
      <c r="B27" s="3455" t="s">
        <v>3734</v>
      </c>
      <c r="C27" s="3456">
        <v>14</v>
      </c>
      <c r="D27" s="3455" t="s">
        <v>2970</v>
      </c>
      <c r="E27" s="3455">
        <v>10</v>
      </c>
      <c r="F27" s="3463">
        <v>0</v>
      </c>
      <c r="G27" s="3463">
        <v>0</v>
      </c>
      <c r="H27" s="3463">
        <v>0</v>
      </c>
      <c r="I27" s="3463">
        <v>0</v>
      </c>
      <c r="J27" s="3463">
        <v>0</v>
      </c>
      <c r="K27" s="3463">
        <v>0</v>
      </c>
      <c r="L27" s="3464">
        <f t="shared" si="0"/>
        <v>0</v>
      </c>
      <c r="M27" s="3455"/>
      <c r="N27" s="3455"/>
    </row>
    <row r="28" spans="1:14">
      <c r="A28" s="3455"/>
      <c r="B28" s="3455" t="s">
        <v>3734</v>
      </c>
      <c r="C28" s="3456">
        <v>14</v>
      </c>
      <c r="D28" s="3455" t="s">
        <v>3735</v>
      </c>
      <c r="E28" s="3455">
        <v>10</v>
      </c>
      <c r="F28" s="3463">
        <v>1.2</v>
      </c>
      <c r="G28" s="3463">
        <v>0</v>
      </c>
      <c r="H28" s="3463">
        <v>0</v>
      </c>
      <c r="I28" s="3463">
        <v>0</v>
      </c>
      <c r="J28" s="3463">
        <v>0</v>
      </c>
      <c r="K28" s="3463">
        <v>0</v>
      </c>
      <c r="L28" s="3464">
        <f t="shared" si="0"/>
        <v>1.2</v>
      </c>
      <c r="M28" s="3455"/>
      <c r="N28" s="3455"/>
    </row>
    <row r="29" spans="1:14">
      <c r="A29" s="3455"/>
      <c r="B29" s="3455" t="s">
        <v>3736</v>
      </c>
      <c r="C29" s="3456">
        <v>14</v>
      </c>
      <c r="D29" s="3455" t="s">
        <v>3614</v>
      </c>
      <c r="E29" s="3455" t="s">
        <v>3614</v>
      </c>
      <c r="F29" s="3463">
        <v>0</v>
      </c>
      <c r="G29" s="3463">
        <v>0</v>
      </c>
      <c r="H29" s="3463">
        <v>0</v>
      </c>
      <c r="I29" s="3463">
        <v>0</v>
      </c>
      <c r="J29" s="3463">
        <v>0</v>
      </c>
      <c r="K29" s="3463">
        <v>0</v>
      </c>
      <c r="L29" s="3464">
        <f t="shared" si="0"/>
        <v>0</v>
      </c>
      <c r="M29" s="3455"/>
      <c r="N29" s="3455"/>
    </row>
    <row r="30" spans="1:14">
      <c r="A30" s="3455"/>
      <c r="B30" s="3455"/>
      <c r="C30" s="3456"/>
      <c r="D30" s="3455"/>
      <c r="E30" s="3455"/>
      <c r="F30" s="3455"/>
      <c r="G30" s="3455"/>
      <c r="H30" s="3455"/>
      <c r="I30" s="3455"/>
      <c r="J30" s="3455"/>
      <c r="K30" s="3455"/>
      <c r="L30" s="3464">
        <f t="shared" si="0"/>
        <v>0</v>
      </c>
      <c r="M30" s="3455"/>
      <c r="N30" s="3455"/>
    </row>
    <row r="31" spans="1:14">
      <c r="A31" s="3455" t="s">
        <v>503</v>
      </c>
      <c r="B31" s="3455"/>
      <c r="C31" s="3456"/>
      <c r="D31" s="3455"/>
      <c r="E31" s="3455"/>
      <c r="F31" s="3455"/>
      <c r="G31" s="3455"/>
      <c r="H31" s="3455"/>
      <c r="I31" s="3455"/>
      <c r="J31" s="3455"/>
      <c r="K31" s="3455"/>
      <c r="L31" s="3464">
        <f t="shared" si="0"/>
        <v>0</v>
      </c>
      <c r="M31" s="3455"/>
      <c r="N31" s="3455"/>
    </row>
    <row r="32" spans="1:14" s="3094" customFormat="1">
      <c r="A32" s="3465"/>
      <c r="B32" s="3465"/>
      <c r="C32" s="3466">
        <v>14</v>
      </c>
      <c r="D32" s="3465"/>
      <c r="E32" s="3465"/>
      <c r="F32" s="3463">
        <v>0</v>
      </c>
      <c r="G32" s="3463">
        <v>0</v>
      </c>
      <c r="H32" s="3463">
        <v>0</v>
      </c>
      <c r="I32" s="3463">
        <v>0</v>
      </c>
      <c r="J32" s="3463">
        <v>0</v>
      </c>
      <c r="K32" s="3463">
        <v>0</v>
      </c>
      <c r="L32" s="3464"/>
      <c r="M32" s="3455"/>
      <c r="N32" s="3455"/>
    </row>
    <row r="33" spans="1:19">
      <c r="A33" s="3467"/>
      <c r="B33" s="3467"/>
      <c r="C33" s="3468"/>
      <c r="D33" s="3467"/>
      <c r="E33" s="3467"/>
      <c r="F33" s="3469"/>
      <c r="G33" s="3469"/>
      <c r="H33" s="3469"/>
      <c r="I33" s="3469"/>
      <c r="J33" s="3469"/>
      <c r="K33" s="3469"/>
      <c r="L33" s="3467"/>
      <c r="M33" s="3455"/>
      <c r="N33" s="3455"/>
    </row>
    <row r="34" spans="1:19">
      <c r="A34" s="3455" t="s">
        <v>3737</v>
      </c>
      <c r="B34" s="3455"/>
      <c r="C34" s="3456"/>
      <c r="D34" s="3455"/>
      <c r="E34" s="3455">
        <f>SUM(E7:E33)</f>
        <v>290</v>
      </c>
      <c r="F34" s="3463"/>
      <c r="G34" s="3463"/>
      <c r="H34" s="3463"/>
      <c r="I34" s="3463"/>
      <c r="J34" s="3463"/>
      <c r="K34" s="3463"/>
      <c r="L34" s="3455"/>
      <c r="M34" s="3455"/>
      <c r="N34" s="3455"/>
    </row>
    <row r="35" spans="1:19">
      <c r="A35" s="3455" t="s">
        <v>3738</v>
      </c>
      <c r="B35" s="3455"/>
      <c r="C35" s="3456"/>
      <c r="D35" s="3455"/>
      <c r="E35" s="3455"/>
      <c r="F35" s="3463">
        <f t="shared" ref="F35:K35" si="1">SUM(F9:F30)</f>
        <v>12.32</v>
      </c>
      <c r="G35" s="3463">
        <f t="shared" si="1"/>
        <v>16.622</v>
      </c>
      <c r="H35" s="3463">
        <f t="shared" si="1"/>
        <v>1.5</v>
      </c>
      <c r="I35" s="3463">
        <f t="shared" si="1"/>
        <v>4.2</v>
      </c>
      <c r="J35" s="3463">
        <f t="shared" si="1"/>
        <v>11.2</v>
      </c>
      <c r="K35" s="3463">
        <f t="shared" si="1"/>
        <v>0.05</v>
      </c>
      <c r="L35" s="3470">
        <f>SUM(F35:K35)</f>
        <v>45.891999999999996</v>
      </c>
      <c r="M35" s="3455" t="s">
        <v>3739</v>
      </c>
      <c r="N35" s="3455" t="s">
        <v>3740</v>
      </c>
    </row>
    <row r="36" spans="1:19">
      <c r="A36" s="3455"/>
      <c r="B36" s="3455"/>
      <c r="C36" s="3456"/>
      <c r="D36" s="3455"/>
      <c r="E36" s="3455"/>
      <c r="F36" s="3463"/>
      <c r="G36" s="3463"/>
      <c r="H36" s="3463"/>
      <c r="I36" s="3463"/>
      <c r="J36" s="3463"/>
      <c r="K36" s="3463"/>
      <c r="L36" s="3471">
        <f>SUM(L9:L31)</f>
        <v>45.892000000000003</v>
      </c>
      <c r="M36" s="3455" t="s">
        <v>3739</v>
      </c>
      <c r="N36" s="3455" t="s">
        <v>1031</v>
      </c>
    </row>
    <row r="37" spans="1:19">
      <c r="A37" s="3455" t="s">
        <v>3742</v>
      </c>
      <c r="B37" s="3455"/>
      <c r="C37" s="3456"/>
      <c r="D37" s="3455"/>
      <c r="E37" s="3455"/>
      <c r="F37" s="3463">
        <f t="shared" ref="F37:K37" si="2">SUMIF($C$9:$C$31,15,F9:F31)</f>
        <v>11.120000000000001</v>
      </c>
      <c r="G37" s="3463">
        <f t="shared" si="2"/>
        <v>16.622</v>
      </c>
      <c r="H37" s="3463">
        <f t="shared" si="2"/>
        <v>1.5</v>
      </c>
      <c r="I37" s="3463">
        <f t="shared" si="2"/>
        <v>4.2</v>
      </c>
      <c r="J37" s="3463">
        <f t="shared" si="2"/>
        <v>11.2</v>
      </c>
      <c r="K37" s="3463">
        <f t="shared" si="2"/>
        <v>0.05</v>
      </c>
      <c r="L37" s="3472">
        <f>SUM(F37:K37)/SUM(F39:K39)</f>
        <v>0.97385165170400068</v>
      </c>
    </row>
    <row r="38" spans="1:19">
      <c r="A38" s="3455" t="s">
        <v>3743</v>
      </c>
      <c r="B38" s="3455"/>
      <c r="C38" s="3456"/>
      <c r="D38" s="3455"/>
      <c r="E38" s="3455"/>
      <c r="F38" s="3463">
        <f t="shared" ref="F38:K38" si="3">SUMIF(C9:C31,14,F9:F31)</f>
        <v>1.2</v>
      </c>
      <c r="G38" s="3463">
        <f t="shared" si="3"/>
        <v>0</v>
      </c>
      <c r="H38" s="3463">
        <f t="shared" si="3"/>
        <v>0</v>
      </c>
      <c r="I38" s="3463">
        <f t="shared" si="3"/>
        <v>0</v>
      </c>
      <c r="J38" s="3463">
        <f t="shared" si="3"/>
        <v>0</v>
      </c>
      <c r="K38" s="3463">
        <f t="shared" si="3"/>
        <v>0</v>
      </c>
      <c r="L38" s="3472">
        <f>SUM(F38:K38)/SUM(F39:K39)</f>
        <v>2.6148348295999303E-2</v>
      </c>
    </row>
    <row r="39" spans="1:19">
      <c r="A39" s="3455" t="s">
        <v>3744</v>
      </c>
      <c r="B39" s="3455"/>
      <c r="C39" s="3456"/>
      <c r="D39" s="3455"/>
      <c r="E39" s="3455"/>
      <c r="F39" s="3463">
        <f t="shared" ref="F39:K39" si="4">SUM(F37:F38)</f>
        <v>12.32</v>
      </c>
      <c r="G39" s="3463">
        <f t="shared" si="4"/>
        <v>16.622</v>
      </c>
      <c r="H39" s="3463">
        <f t="shared" si="4"/>
        <v>1.5</v>
      </c>
      <c r="I39" s="3463">
        <f t="shared" si="4"/>
        <v>4.2</v>
      </c>
      <c r="J39" s="3463">
        <f t="shared" si="4"/>
        <v>11.2</v>
      </c>
      <c r="K39" s="3463">
        <f t="shared" si="4"/>
        <v>0.05</v>
      </c>
      <c r="L39" s="3471">
        <f>SUM(F39:K39)</f>
        <v>45.891999999999996</v>
      </c>
    </row>
    <row r="40" spans="1:19">
      <c r="A40" s="3455" t="s">
        <v>3745</v>
      </c>
      <c r="B40" s="3455"/>
      <c r="C40" s="3456"/>
      <c r="D40" s="3455"/>
      <c r="E40" s="3455"/>
      <c r="F40" s="3463"/>
      <c r="G40" s="3463"/>
      <c r="H40" s="3463"/>
      <c r="I40" s="3463"/>
      <c r="J40" s="3463"/>
      <c r="K40" s="3463"/>
      <c r="L40" s="3473">
        <f>SUM(G39:K39)</f>
        <v>33.571999999999996</v>
      </c>
    </row>
    <row r="41" spans="1:19">
      <c r="A41" s="2540" t="s">
        <v>2972</v>
      </c>
      <c r="B41" s="2541"/>
      <c r="C41" s="2537"/>
      <c r="D41" s="2537"/>
      <c r="E41" s="2537"/>
      <c r="F41" s="2537"/>
      <c r="G41" s="2537"/>
      <c r="H41" s="2537"/>
      <c r="I41" s="2537"/>
      <c r="J41" s="2537"/>
      <c r="K41" s="2537"/>
      <c r="L41" s="2537"/>
      <c r="M41" s="2537"/>
      <c r="N41" s="2537"/>
      <c r="O41" s="2537"/>
      <c r="P41" s="2537"/>
      <c r="Q41" s="2537"/>
      <c r="R41" s="2537"/>
      <c r="S41" s="2537"/>
    </row>
    <row r="42" spans="1:19">
      <c r="A42" s="2542" t="s">
        <v>486</v>
      </c>
      <c r="B42" s="2537"/>
      <c r="C42" s="2537"/>
      <c r="D42" s="2537"/>
      <c r="E42" s="2537"/>
      <c r="F42" s="2537"/>
      <c r="G42" s="2537"/>
      <c r="H42" s="2537"/>
      <c r="I42" s="2537"/>
      <c r="J42" s="2537"/>
      <c r="K42" s="2537"/>
      <c r="L42" s="2537"/>
      <c r="M42" s="2537"/>
      <c r="N42" s="2537"/>
      <c r="O42" s="2537"/>
      <c r="P42" s="2537"/>
      <c r="Q42" s="2537"/>
      <c r="R42" s="2537"/>
      <c r="S42" s="2537"/>
    </row>
    <row r="43" spans="1:19">
      <c r="A43" s="2538" t="s">
        <v>2974</v>
      </c>
      <c r="B43" s="2537"/>
      <c r="C43" s="2537"/>
      <c r="D43" s="2537"/>
      <c r="E43" s="2537"/>
      <c r="F43" s="2543">
        <f t="shared" ref="F43:K43" si="5">F27+F21+F28+F29+F31</f>
        <v>1.2</v>
      </c>
      <c r="G43" s="2543">
        <f t="shared" si="5"/>
        <v>0</v>
      </c>
      <c r="H43" s="2543">
        <f t="shared" si="5"/>
        <v>0</v>
      </c>
      <c r="I43" s="2543">
        <f t="shared" si="5"/>
        <v>0</v>
      </c>
      <c r="J43" s="2543">
        <f t="shared" si="5"/>
        <v>0</v>
      </c>
      <c r="K43" s="2543">
        <f t="shared" si="5"/>
        <v>0</v>
      </c>
      <c r="L43" s="2543"/>
      <c r="M43" s="2543"/>
      <c r="N43" s="2543"/>
      <c r="O43" s="2543"/>
      <c r="P43" s="2543"/>
      <c r="Q43" s="2543"/>
      <c r="R43" s="2543"/>
      <c r="S43" s="2537"/>
    </row>
    <row r="44" spans="1:19">
      <c r="A44" s="2538" t="s">
        <v>2973</v>
      </c>
      <c r="B44" s="2537"/>
      <c r="C44" s="2537"/>
      <c r="D44" s="2537"/>
      <c r="E44" s="2537"/>
      <c r="F44" s="2543">
        <f t="shared" ref="F44:K44" si="6">F9+F10+F11+F12+F14+F15+F18+F19+F24</f>
        <v>11.120000000000001</v>
      </c>
      <c r="G44" s="2543">
        <f t="shared" si="6"/>
        <v>15.821999999999999</v>
      </c>
      <c r="H44" s="2543">
        <f t="shared" si="6"/>
        <v>0.9</v>
      </c>
      <c r="I44" s="2543">
        <f t="shared" si="6"/>
        <v>4</v>
      </c>
      <c r="J44" s="2543">
        <f t="shared" si="6"/>
        <v>5</v>
      </c>
      <c r="K44" s="2543">
        <f t="shared" si="6"/>
        <v>0</v>
      </c>
      <c r="L44" s="2543"/>
      <c r="M44" s="2543"/>
      <c r="N44" s="2543"/>
      <c r="O44" s="2543"/>
      <c r="P44" s="2543"/>
      <c r="Q44" s="2543"/>
      <c r="R44" s="2543"/>
      <c r="S44" s="2537"/>
    </row>
    <row r="45" spans="1:19">
      <c r="A45" s="2537"/>
      <c r="B45" s="2537"/>
      <c r="C45" s="2537"/>
      <c r="D45" s="2537"/>
      <c r="E45" s="2537"/>
      <c r="F45" s="2537"/>
      <c r="G45" s="2537"/>
      <c r="H45" s="2537"/>
      <c r="I45" s="2537"/>
      <c r="J45" s="2537"/>
      <c r="K45" s="2537"/>
      <c r="L45" s="2537"/>
      <c r="M45" s="2537"/>
      <c r="N45" s="2537"/>
      <c r="O45" s="2537"/>
      <c r="P45" s="2537"/>
      <c r="Q45" s="2537"/>
      <c r="R45" s="2537"/>
      <c r="S45" s="2537"/>
    </row>
    <row r="46" spans="1:19">
      <c r="A46" s="2544" t="s">
        <v>2975</v>
      </c>
      <c r="B46" s="2537"/>
      <c r="C46" s="2537"/>
      <c r="D46" s="2537"/>
      <c r="E46" s="2537"/>
      <c r="F46" s="2537"/>
      <c r="G46" s="2537"/>
      <c r="H46" s="2537"/>
      <c r="I46" s="2537"/>
      <c r="J46" s="2537"/>
      <c r="K46" s="2537"/>
      <c r="L46" s="2537"/>
      <c r="M46" s="2537"/>
      <c r="N46" s="2537"/>
      <c r="O46" s="2537"/>
      <c r="P46" s="2537"/>
      <c r="Q46" s="2537"/>
      <c r="R46" s="2537"/>
      <c r="S46" s="2537"/>
    </row>
    <row r="47" spans="1:19">
      <c r="A47" s="2538" t="s">
        <v>2974</v>
      </c>
      <c r="B47" s="2537"/>
      <c r="C47" s="2537"/>
      <c r="D47" s="2537"/>
      <c r="E47" s="2537"/>
      <c r="F47" s="2537"/>
      <c r="G47" s="2537"/>
      <c r="H47" s="2537"/>
      <c r="I47" s="2537"/>
      <c r="J47" s="2537"/>
      <c r="K47" s="2537"/>
      <c r="L47" s="2537"/>
      <c r="M47" s="2537"/>
      <c r="N47" s="2537"/>
      <c r="O47" s="2537"/>
      <c r="P47" s="2537"/>
      <c r="Q47" s="2537"/>
      <c r="R47" s="2537"/>
      <c r="S47" s="2537"/>
    </row>
    <row r="48" spans="1:19">
      <c r="A48" s="2538" t="s">
        <v>2973</v>
      </c>
      <c r="B48" s="2537"/>
      <c r="C48" s="2537"/>
      <c r="D48" s="2537"/>
      <c r="E48" s="2537"/>
      <c r="F48" s="2543">
        <f t="shared" ref="F48:K48" si="7">F13</f>
        <v>0</v>
      </c>
      <c r="G48" s="2543">
        <f t="shared" si="7"/>
        <v>0.79999999999999993</v>
      </c>
      <c r="H48" s="2543">
        <f t="shared" si="7"/>
        <v>0.60000000000000009</v>
      </c>
      <c r="I48" s="2543">
        <f t="shared" si="7"/>
        <v>0.2</v>
      </c>
      <c r="J48" s="2543">
        <f t="shared" si="7"/>
        <v>6.2</v>
      </c>
      <c r="K48" s="2543">
        <f t="shared" si="7"/>
        <v>0.05</v>
      </c>
      <c r="L48" s="2537"/>
      <c r="M48" s="2537"/>
      <c r="N48" s="2537"/>
      <c r="O48" s="2537"/>
      <c r="P48" s="2537"/>
      <c r="Q48" s="2537"/>
      <c r="R48" s="2537"/>
      <c r="S48" s="2537"/>
    </row>
    <row r="49" spans="1:19">
      <c r="A49" s="2537"/>
      <c r="B49" s="2537"/>
      <c r="C49" s="2537"/>
      <c r="D49" s="2537"/>
      <c r="E49" s="2537"/>
      <c r="F49" s="2537"/>
      <c r="G49" s="2537"/>
      <c r="H49" s="2537"/>
      <c r="I49" s="2537"/>
      <c r="J49" s="2537"/>
      <c r="K49" s="2537"/>
      <c r="L49" s="2537"/>
      <c r="M49" s="2537"/>
      <c r="N49" s="2537"/>
      <c r="O49" s="2537"/>
      <c r="P49" s="2537"/>
      <c r="Q49" s="2537"/>
      <c r="R49" s="2537"/>
      <c r="S49" s="2537"/>
    </row>
    <row r="50" spans="1:19">
      <c r="A50" s="2537" t="s">
        <v>2976</v>
      </c>
      <c r="B50" s="2537"/>
      <c r="C50" s="2537"/>
      <c r="D50" s="2537"/>
      <c r="E50" s="2537"/>
      <c r="F50" s="2543">
        <f t="shared" ref="F50:K50" si="8">SUM(F43:F49)</f>
        <v>12.32</v>
      </c>
      <c r="G50" s="2543">
        <f t="shared" si="8"/>
        <v>16.622</v>
      </c>
      <c r="H50" s="2543">
        <f t="shared" si="8"/>
        <v>1.5</v>
      </c>
      <c r="I50" s="2543">
        <f t="shared" si="8"/>
        <v>4.2</v>
      </c>
      <c r="J50" s="2543">
        <f t="shared" si="8"/>
        <v>11.2</v>
      </c>
      <c r="K50" s="2543">
        <f t="shared" si="8"/>
        <v>0.05</v>
      </c>
      <c r="L50" s="2543">
        <f>SUM(F50:K50)</f>
        <v>45.891999999999996</v>
      </c>
      <c r="N50" s="2543"/>
      <c r="O50" s="2543"/>
      <c r="P50" s="2543"/>
      <c r="Q50" s="2543"/>
      <c r="R50" s="2543"/>
      <c r="S50" s="2539"/>
    </row>
    <row r="51" spans="1:19">
      <c r="A51" s="2537"/>
      <c r="B51" s="2537"/>
      <c r="C51" s="2537"/>
      <c r="D51" s="2537"/>
      <c r="E51" s="2537"/>
      <c r="F51" s="2537"/>
      <c r="G51" s="2537"/>
      <c r="H51" s="2537"/>
      <c r="I51" s="2537"/>
      <c r="J51" s="2537"/>
      <c r="K51" s="2537"/>
      <c r="L51" s="2537"/>
      <c r="M51" s="2537"/>
      <c r="N51" s="2537"/>
      <c r="O51" s="2537"/>
      <c r="P51" s="2537"/>
      <c r="Q51" s="2537"/>
      <c r="R51" s="2537"/>
      <c r="S51" s="2537"/>
    </row>
    <row r="52" spans="1:19">
      <c r="A52" s="2540" t="s">
        <v>2977</v>
      </c>
      <c r="B52" s="2541"/>
      <c r="C52" s="2541"/>
      <c r="D52" s="2541"/>
      <c r="E52" s="2541"/>
      <c r="F52" s="2541"/>
      <c r="G52" s="2541"/>
      <c r="H52" s="2537"/>
      <c r="I52" s="2537"/>
      <c r="J52" s="2537"/>
      <c r="K52" s="2537"/>
      <c r="L52" s="2537"/>
      <c r="M52" s="2537"/>
      <c r="N52" s="2537"/>
      <c r="O52" s="2537"/>
      <c r="P52" s="2537"/>
      <c r="Q52" s="2537"/>
      <c r="R52" s="2537"/>
      <c r="S52" s="2537"/>
    </row>
    <row r="53" spans="1:19">
      <c r="A53" s="2540" t="s">
        <v>2978</v>
      </c>
      <c r="B53" s="2540"/>
      <c r="C53" s="2540"/>
      <c r="D53" s="2540"/>
      <c r="E53" s="2540"/>
      <c r="F53" s="2540"/>
      <c r="G53" s="2540"/>
      <c r="H53" s="2537"/>
      <c r="I53" s="2537"/>
      <c r="J53" s="2537"/>
      <c r="K53" s="2537"/>
      <c r="L53" s="2537"/>
      <c r="M53" s="2537"/>
      <c r="N53" s="2537"/>
      <c r="O53" s="2537"/>
      <c r="P53" s="2537"/>
      <c r="Q53" s="2537"/>
      <c r="R53" s="2537"/>
      <c r="S53" s="2537"/>
    </row>
    <row r="54" spans="1:19">
      <c r="A54" s="2540" t="s">
        <v>2979</v>
      </c>
      <c r="B54" s="2540"/>
      <c r="C54" s="2540"/>
      <c r="D54" s="2540"/>
      <c r="E54" s="2540"/>
      <c r="F54" s="2540"/>
      <c r="G54" s="2540"/>
      <c r="H54" s="2537"/>
      <c r="I54" s="2537"/>
      <c r="J54" s="2537"/>
      <c r="K54" s="2537"/>
      <c r="L54" s="2537"/>
      <c r="M54" s="2537"/>
      <c r="N54" s="2537"/>
      <c r="O54" s="2537"/>
      <c r="P54" s="2537"/>
      <c r="Q54" s="2537"/>
      <c r="R54" s="2537"/>
      <c r="S54" s="2537"/>
    </row>
    <row r="55" spans="1:19">
      <c r="A55" s="2540" t="s">
        <v>2980</v>
      </c>
      <c r="B55" s="2540"/>
      <c r="C55" s="2540"/>
      <c r="D55" s="2540"/>
      <c r="E55" s="2540"/>
      <c r="F55" s="2540"/>
      <c r="G55" s="2540"/>
      <c r="H55" s="2537"/>
      <c r="I55" s="2537"/>
      <c r="J55" s="2537"/>
      <c r="K55" s="2537"/>
      <c r="L55" s="2537"/>
      <c r="M55" s="2537"/>
      <c r="N55" s="2537"/>
      <c r="O55" s="2537"/>
      <c r="P55" s="2537"/>
      <c r="Q55" s="2537"/>
      <c r="R55" s="2537"/>
      <c r="S55" s="2537"/>
    </row>
    <row r="56" spans="1:19">
      <c r="A56" s="2540" t="s">
        <v>2981</v>
      </c>
      <c r="B56" s="2540"/>
      <c r="C56" s="2540"/>
      <c r="D56" s="2540"/>
      <c r="E56" s="2540"/>
      <c r="F56" s="2540"/>
      <c r="G56" s="2540"/>
      <c r="H56" s="2537"/>
      <c r="I56" s="2537"/>
      <c r="J56" s="2537"/>
      <c r="K56" s="2537"/>
      <c r="L56" s="2537"/>
      <c r="M56" s="2537"/>
      <c r="N56" s="2537"/>
      <c r="O56" s="2537"/>
      <c r="P56" s="2537"/>
      <c r="Q56" s="2537"/>
      <c r="R56" s="2537"/>
      <c r="S56" s="253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207"/>
  <sheetViews>
    <sheetView zoomScale="70" zoomScaleNormal="70" workbookViewId="0">
      <pane xSplit="2" ySplit="6" topLeftCell="C170" activePane="bottomRight" state="frozen"/>
      <selection activeCell="D11" sqref="D11"/>
      <selection pane="topRight" activeCell="D11" sqref="D11"/>
      <selection pane="bottomLeft" activeCell="D11" sqref="D11"/>
      <selection pane="bottomRight" activeCell="S17" sqref="S17"/>
    </sheetView>
  </sheetViews>
  <sheetFormatPr defaultRowHeight="15.75"/>
  <cols>
    <col min="1" max="1" width="9.875" style="1278" customWidth="1"/>
    <col min="2" max="2" width="43.625" customWidth="1"/>
    <col min="3" max="3" width="24.625" bestFit="1" customWidth="1"/>
    <col min="4" max="4" width="21" bestFit="1" customWidth="1"/>
    <col min="5" max="5" width="21.75" style="1007" bestFit="1" customWidth="1"/>
    <col min="6" max="6" width="3.125" customWidth="1"/>
    <col min="7" max="7" width="23.75" style="1007" customWidth="1"/>
    <col min="8" max="8" width="15.5" style="1007" customWidth="1"/>
    <col min="9" max="9" width="14.625" style="1007" customWidth="1"/>
    <col min="10" max="10" width="17.625" style="1007" customWidth="1"/>
    <col min="11" max="11" width="14.625" style="1007" customWidth="1"/>
    <col min="12" max="12" width="14.5" style="1007" customWidth="1"/>
    <col min="13" max="13" width="3.875" customWidth="1"/>
    <col min="14" max="15" width="15.625" style="1007" bestFit="1" customWidth="1"/>
    <col min="19" max="19" width="23.25" bestFit="1" customWidth="1"/>
    <col min="20" max="20" width="21.5" bestFit="1" customWidth="1"/>
  </cols>
  <sheetData>
    <row r="1" spans="1:20">
      <c r="A1"/>
      <c r="E1"/>
      <c r="G1"/>
      <c r="H1"/>
      <c r="I1"/>
      <c r="J1"/>
      <c r="K1"/>
      <c r="L1"/>
      <c r="N1"/>
      <c r="O1"/>
    </row>
    <row r="2" spans="1:20">
      <c r="A2"/>
      <c r="E2"/>
      <c r="G2"/>
      <c r="H2"/>
      <c r="I2"/>
      <c r="J2"/>
      <c r="K2"/>
      <c r="L2"/>
      <c r="N2"/>
      <c r="O2"/>
      <c r="S2" s="1624" t="s">
        <v>2538</v>
      </c>
      <c r="T2" s="1624" t="s">
        <v>3493</v>
      </c>
    </row>
    <row r="3" spans="1:20">
      <c r="A3"/>
      <c r="E3"/>
      <c r="G3"/>
      <c r="H3"/>
      <c r="I3"/>
      <c r="J3"/>
      <c r="K3"/>
      <c r="L3"/>
      <c r="N3"/>
      <c r="O3"/>
      <c r="S3" s="1624" t="s">
        <v>3973</v>
      </c>
      <c r="T3" s="562" t="s">
        <v>3974</v>
      </c>
    </row>
    <row r="4" spans="1:20">
      <c r="A4"/>
      <c r="E4"/>
      <c r="G4">
        <v>1001</v>
      </c>
      <c r="H4">
        <v>1250</v>
      </c>
      <c r="I4">
        <v>4030</v>
      </c>
      <c r="J4">
        <v>7001</v>
      </c>
      <c r="K4">
        <v>7203</v>
      </c>
      <c r="L4"/>
      <c r="N4"/>
      <c r="O4"/>
      <c r="S4" s="1624" t="s">
        <v>3972</v>
      </c>
      <c r="T4" s="1624" t="s">
        <v>3495</v>
      </c>
    </row>
    <row r="5" spans="1:20">
      <c r="A5"/>
      <c r="E5"/>
      <c r="G5" t="s">
        <v>2108</v>
      </c>
      <c r="H5"/>
      <c r="I5"/>
      <c r="J5"/>
      <c r="K5"/>
      <c r="L5"/>
      <c r="N5"/>
      <c r="O5"/>
    </row>
    <row r="6" spans="1:20" ht="88.5" customHeight="1">
      <c r="A6" s="1006" t="s">
        <v>875</v>
      </c>
      <c r="B6" s="116" t="s">
        <v>876</v>
      </c>
      <c r="C6" s="116" t="s">
        <v>1947</v>
      </c>
      <c r="D6" s="116" t="s">
        <v>1948</v>
      </c>
      <c r="E6" s="116" t="s">
        <v>1949</v>
      </c>
      <c r="G6" s="1270" t="s">
        <v>2109</v>
      </c>
      <c r="H6" s="1270" t="s">
        <v>2110</v>
      </c>
      <c r="I6" s="1270" t="s">
        <v>2111</v>
      </c>
      <c r="J6" s="1270" t="s">
        <v>2112</v>
      </c>
      <c r="K6" s="1270" t="s">
        <v>2113</v>
      </c>
      <c r="L6" s="1270" t="s">
        <v>1950</v>
      </c>
      <c r="N6" s="1509" t="s">
        <v>204</v>
      </c>
      <c r="O6" s="1509" t="s">
        <v>1951</v>
      </c>
      <c r="P6" s="1509" t="s">
        <v>2193</v>
      </c>
    </row>
    <row r="7" spans="1:20">
      <c r="A7" s="121"/>
      <c r="B7" s="120"/>
    </row>
    <row r="8" spans="1:20">
      <c r="A8" s="241" t="s">
        <v>877</v>
      </c>
      <c r="B8" s="120"/>
    </row>
    <row r="9" spans="1:20">
      <c r="A9" s="237">
        <v>555010</v>
      </c>
      <c r="B9" s="112" t="s">
        <v>728</v>
      </c>
      <c r="C9" s="339">
        <v>0</v>
      </c>
      <c r="D9" s="339">
        <v>0</v>
      </c>
      <c r="E9" s="1008">
        <f>SUM(C9:D9)</f>
        <v>0</v>
      </c>
      <c r="G9" s="1070">
        <v>0</v>
      </c>
      <c r="H9" s="1070">
        <v>0</v>
      </c>
      <c r="I9" s="1070">
        <v>0</v>
      </c>
      <c r="J9" s="1070">
        <v>0</v>
      </c>
      <c r="K9" s="1070">
        <v>0</v>
      </c>
      <c r="L9" s="4223">
        <f>SUM(G9:K9)</f>
        <v>0</v>
      </c>
      <c r="N9" s="1009">
        <f t="shared" ref="N9:N37" si="0">C9+G9</f>
        <v>0</v>
      </c>
      <c r="O9" s="1009">
        <f t="shared" ref="O9:O37" si="1">D9+J9</f>
        <v>0</v>
      </c>
      <c r="Q9" s="1272"/>
    </row>
    <row r="10" spans="1:20">
      <c r="A10" s="237">
        <v>555000</v>
      </c>
      <c r="B10" s="112" t="s">
        <v>2160</v>
      </c>
      <c r="C10" s="339">
        <v>0</v>
      </c>
      <c r="D10" s="339">
        <v>0</v>
      </c>
      <c r="E10" s="1008">
        <f t="shared" ref="E10:E73" si="2">SUM(C10:D10)</f>
        <v>0</v>
      </c>
      <c r="G10" s="1070">
        <v>0</v>
      </c>
      <c r="H10" s="1070">
        <v>0</v>
      </c>
      <c r="I10" s="1070">
        <v>0</v>
      </c>
      <c r="J10" s="1070">
        <v>0</v>
      </c>
      <c r="K10" s="1070">
        <v>0</v>
      </c>
      <c r="L10" s="4223">
        <f t="shared" ref="L10:L73" si="3">SUM(G10:K10)</f>
        <v>0</v>
      </c>
      <c r="N10" s="1009">
        <f t="shared" si="0"/>
        <v>0</v>
      </c>
      <c r="O10" s="1009">
        <f t="shared" si="1"/>
        <v>0</v>
      </c>
      <c r="Q10" s="1272"/>
    </row>
    <row r="11" spans="1:20">
      <c r="A11" s="237">
        <v>555020</v>
      </c>
      <c r="B11" s="112" t="s">
        <v>729</v>
      </c>
      <c r="C11" s="339">
        <v>0</v>
      </c>
      <c r="D11" s="339">
        <v>0</v>
      </c>
      <c r="E11" s="1008">
        <f t="shared" si="2"/>
        <v>0</v>
      </c>
      <c r="G11" s="1070">
        <v>0</v>
      </c>
      <c r="H11" s="1070">
        <v>0</v>
      </c>
      <c r="I11" s="1070">
        <v>0</v>
      </c>
      <c r="J11" s="1070">
        <v>0</v>
      </c>
      <c r="K11" s="1070">
        <v>0</v>
      </c>
      <c r="L11" s="4223">
        <f t="shared" si="3"/>
        <v>0</v>
      </c>
      <c r="N11" s="1009">
        <f t="shared" si="0"/>
        <v>0</v>
      </c>
      <c r="O11" s="1009">
        <f t="shared" si="1"/>
        <v>0</v>
      </c>
      <c r="Q11" s="1272"/>
    </row>
    <row r="12" spans="1:20">
      <c r="A12" s="237">
        <v>555025</v>
      </c>
      <c r="B12" s="112" t="s">
        <v>730</v>
      </c>
      <c r="C12" s="339">
        <v>0</v>
      </c>
      <c r="D12" s="339">
        <v>0</v>
      </c>
      <c r="E12" s="1008">
        <f t="shared" si="2"/>
        <v>0</v>
      </c>
      <c r="G12" s="1070">
        <v>0</v>
      </c>
      <c r="H12" s="1070">
        <v>0</v>
      </c>
      <c r="I12" s="1070">
        <v>0</v>
      </c>
      <c r="J12" s="1070">
        <v>0</v>
      </c>
      <c r="K12" s="1070">
        <v>0</v>
      </c>
      <c r="L12" s="4223">
        <f t="shared" si="3"/>
        <v>0</v>
      </c>
      <c r="N12" s="1009">
        <f t="shared" si="0"/>
        <v>0</v>
      </c>
      <c r="O12" s="1009">
        <f t="shared" si="1"/>
        <v>0</v>
      </c>
      <c r="Q12" s="1272"/>
    </row>
    <row r="13" spans="1:20">
      <c r="A13" s="237">
        <v>555030</v>
      </c>
      <c r="B13" s="112" t="s">
        <v>731</v>
      </c>
      <c r="C13" s="339">
        <v>0</v>
      </c>
      <c r="D13" s="339">
        <v>0</v>
      </c>
      <c r="E13" s="1008">
        <f t="shared" si="2"/>
        <v>0</v>
      </c>
      <c r="G13" s="1070">
        <v>0</v>
      </c>
      <c r="H13" s="1070">
        <v>0</v>
      </c>
      <c r="I13" s="1070">
        <v>0</v>
      </c>
      <c r="J13" s="1070">
        <v>0</v>
      </c>
      <c r="K13" s="1070">
        <v>0</v>
      </c>
      <c r="L13" s="4223">
        <f t="shared" si="3"/>
        <v>0</v>
      </c>
      <c r="N13" s="1009">
        <f t="shared" si="0"/>
        <v>0</v>
      </c>
      <c r="O13" s="1009">
        <f t="shared" si="1"/>
        <v>0</v>
      </c>
      <c r="Q13" s="1272"/>
    </row>
    <row r="14" spans="1:20">
      <c r="A14" s="237">
        <v>555035</v>
      </c>
      <c r="B14" s="112" t="s">
        <v>1846</v>
      </c>
      <c r="C14" s="339">
        <v>0</v>
      </c>
      <c r="D14" s="339">
        <v>0</v>
      </c>
      <c r="E14" s="1008">
        <f t="shared" si="2"/>
        <v>0</v>
      </c>
      <c r="G14" s="1070">
        <v>0</v>
      </c>
      <c r="H14" s="1070">
        <v>0</v>
      </c>
      <c r="I14" s="1070">
        <v>0</v>
      </c>
      <c r="J14" s="1070">
        <v>0</v>
      </c>
      <c r="K14" s="1070">
        <v>0</v>
      </c>
      <c r="L14" s="4223">
        <f t="shared" si="3"/>
        <v>0</v>
      </c>
      <c r="N14" s="1009">
        <f t="shared" si="0"/>
        <v>0</v>
      </c>
      <c r="O14" s="1009">
        <f t="shared" si="1"/>
        <v>0</v>
      </c>
    </row>
    <row r="15" spans="1:20">
      <c r="A15" s="237">
        <v>555070</v>
      </c>
      <c r="B15" s="112" t="s">
        <v>732</v>
      </c>
      <c r="C15" s="339">
        <v>0</v>
      </c>
      <c r="D15" s="339">
        <v>0</v>
      </c>
      <c r="E15" s="1008">
        <f t="shared" si="2"/>
        <v>0</v>
      </c>
      <c r="G15" s="1070">
        <v>0</v>
      </c>
      <c r="H15" s="1070">
        <v>0</v>
      </c>
      <c r="I15" s="1070">
        <v>0</v>
      </c>
      <c r="J15" s="1070">
        <v>0</v>
      </c>
      <c r="K15" s="1070">
        <v>0</v>
      </c>
      <c r="L15" s="4223">
        <f t="shared" si="3"/>
        <v>0</v>
      </c>
      <c r="N15" s="1009">
        <f t="shared" si="0"/>
        <v>0</v>
      </c>
      <c r="O15" s="1009">
        <f t="shared" si="1"/>
        <v>0</v>
      </c>
    </row>
    <row r="16" spans="1:20">
      <c r="A16" s="237">
        <v>555500</v>
      </c>
      <c r="B16" s="112" t="s">
        <v>733</v>
      </c>
      <c r="C16" s="339">
        <v>0</v>
      </c>
      <c r="D16" s="339">
        <v>0</v>
      </c>
      <c r="E16" s="1008">
        <f t="shared" si="2"/>
        <v>0</v>
      </c>
      <c r="G16" s="1070">
        <v>0</v>
      </c>
      <c r="H16" s="1070">
        <v>0</v>
      </c>
      <c r="I16" s="1070">
        <v>0</v>
      </c>
      <c r="J16" s="1070">
        <v>0</v>
      </c>
      <c r="K16" s="1070">
        <v>0</v>
      </c>
      <c r="L16" s="4223">
        <f t="shared" si="3"/>
        <v>0</v>
      </c>
      <c r="N16" s="1009">
        <f t="shared" si="0"/>
        <v>0</v>
      </c>
      <c r="O16" s="1009">
        <f t="shared" si="1"/>
        <v>0</v>
      </c>
    </row>
    <row r="17" spans="1:17">
      <c r="A17" s="237">
        <v>555666</v>
      </c>
      <c r="B17" s="112" t="s">
        <v>734</v>
      </c>
      <c r="C17" s="339">
        <v>0</v>
      </c>
      <c r="D17" s="339">
        <v>0</v>
      </c>
      <c r="E17" s="1008">
        <f t="shared" si="2"/>
        <v>0</v>
      </c>
      <c r="G17" s="1070">
        <v>0</v>
      </c>
      <c r="H17" s="1070">
        <v>0</v>
      </c>
      <c r="I17" s="1070">
        <v>0</v>
      </c>
      <c r="J17" s="1070">
        <v>0</v>
      </c>
      <c r="K17" s="1070">
        <v>0</v>
      </c>
      <c r="L17" s="4223">
        <f t="shared" si="3"/>
        <v>0</v>
      </c>
      <c r="N17" s="1009">
        <f t="shared" si="0"/>
        <v>0</v>
      </c>
      <c r="O17" s="1009">
        <f t="shared" si="1"/>
        <v>0</v>
      </c>
    </row>
    <row r="18" spans="1:17">
      <c r="A18" s="237">
        <v>555900</v>
      </c>
      <c r="B18" s="112" t="s">
        <v>1845</v>
      </c>
      <c r="C18" s="339">
        <v>0</v>
      </c>
      <c r="D18" s="339">
        <v>0</v>
      </c>
      <c r="E18" s="1008">
        <f t="shared" si="2"/>
        <v>0</v>
      </c>
      <c r="G18" s="1070">
        <v>0</v>
      </c>
      <c r="H18" s="1070">
        <v>0</v>
      </c>
      <c r="I18" s="1070">
        <v>0</v>
      </c>
      <c r="J18" s="1070">
        <v>0</v>
      </c>
      <c r="K18" s="1070">
        <v>0</v>
      </c>
      <c r="L18" s="4223">
        <f t="shared" si="3"/>
        <v>0</v>
      </c>
      <c r="N18" s="1009">
        <f t="shared" si="0"/>
        <v>0</v>
      </c>
      <c r="O18" s="1009">
        <f t="shared" si="1"/>
        <v>0</v>
      </c>
    </row>
    <row r="19" spans="1:17">
      <c r="A19" s="237">
        <v>555999</v>
      </c>
      <c r="B19" s="112" t="s">
        <v>1844</v>
      </c>
      <c r="C19" s="339">
        <v>0</v>
      </c>
      <c r="D19" s="339">
        <v>0</v>
      </c>
      <c r="E19" s="1008">
        <f t="shared" si="2"/>
        <v>0</v>
      </c>
      <c r="G19" s="1070">
        <v>0</v>
      </c>
      <c r="H19" s="1070">
        <v>0</v>
      </c>
      <c r="I19" s="1070">
        <v>0</v>
      </c>
      <c r="J19" s="1070">
        <v>0</v>
      </c>
      <c r="K19" s="1070">
        <v>0</v>
      </c>
      <c r="L19" s="4223">
        <f t="shared" si="3"/>
        <v>0</v>
      </c>
      <c r="N19" s="1009">
        <f t="shared" si="0"/>
        <v>0</v>
      </c>
      <c r="O19" s="1009">
        <f t="shared" si="1"/>
        <v>0</v>
      </c>
    </row>
    <row r="20" spans="1:17">
      <c r="A20" s="237">
        <v>557050</v>
      </c>
      <c r="B20" s="112" t="s">
        <v>735</v>
      </c>
      <c r="C20" s="339">
        <v>0</v>
      </c>
      <c r="D20" s="339">
        <v>0</v>
      </c>
      <c r="E20" s="1008">
        <f t="shared" si="2"/>
        <v>0</v>
      </c>
      <c r="G20" s="1070">
        <v>0</v>
      </c>
      <c r="H20" s="1070">
        <v>0</v>
      </c>
      <c r="I20" s="1070">
        <v>0</v>
      </c>
      <c r="J20" s="1070">
        <v>0</v>
      </c>
      <c r="K20" s="1070">
        <v>0</v>
      </c>
      <c r="L20" s="4223">
        <f t="shared" si="3"/>
        <v>0</v>
      </c>
      <c r="N20" s="1009">
        <f t="shared" si="0"/>
        <v>0</v>
      </c>
      <c r="O20" s="1009">
        <f t="shared" si="1"/>
        <v>0</v>
      </c>
    </row>
    <row r="21" spans="1:17">
      <c r="A21" s="112"/>
      <c r="B21" s="112"/>
      <c r="C21" s="339">
        <v>0</v>
      </c>
      <c r="D21" s="339">
        <v>0</v>
      </c>
      <c r="E21" s="1008">
        <f t="shared" si="2"/>
        <v>0</v>
      </c>
      <c r="G21" s="1070">
        <v>0</v>
      </c>
      <c r="H21" s="1070">
        <v>0</v>
      </c>
      <c r="I21" s="1070">
        <v>0</v>
      </c>
      <c r="J21" s="1070">
        <v>0</v>
      </c>
      <c r="K21" s="1070">
        <v>0</v>
      </c>
      <c r="L21" s="4223">
        <f t="shared" si="3"/>
        <v>0</v>
      </c>
      <c r="N21" s="1009">
        <f t="shared" si="0"/>
        <v>0</v>
      </c>
      <c r="O21" s="1009">
        <f t="shared" si="1"/>
        <v>0</v>
      </c>
      <c r="Q21" s="1273"/>
    </row>
    <row r="22" spans="1:17">
      <c r="A22" s="241" t="s">
        <v>313</v>
      </c>
      <c r="B22" s="112"/>
      <c r="C22" s="339">
        <v>0</v>
      </c>
      <c r="D22" s="339">
        <v>0</v>
      </c>
      <c r="E22" s="1008">
        <f t="shared" si="2"/>
        <v>0</v>
      </c>
      <c r="G22" s="1070">
        <v>0</v>
      </c>
      <c r="H22" s="1070">
        <v>0</v>
      </c>
      <c r="I22" s="1070">
        <v>0</v>
      </c>
      <c r="J22" s="1070">
        <v>0</v>
      </c>
      <c r="K22" s="1070">
        <v>0</v>
      </c>
      <c r="L22" s="4223">
        <f t="shared" si="3"/>
        <v>0</v>
      </c>
      <c r="N22" s="1009">
        <f t="shared" si="0"/>
        <v>0</v>
      </c>
      <c r="O22" s="1009">
        <f t="shared" si="1"/>
        <v>0</v>
      </c>
      <c r="Q22" s="1273"/>
    </row>
    <row r="23" spans="1:17">
      <c r="A23" s="237">
        <v>535000</v>
      </c>
      <c r="B23" s="112" t="s">
        <v>2161</v>
      </c>
      <c r="C23" s="339">
        <v>0</v>
      </c>
      <c r="D23" s="339">
        <v>0</v>
      </c>
      <c r="E23" s="1008">
        <f t="shared" si="2"/>
        <v>0</v>
      </c>
      <c r="G23" s="1070">
        <v>0</v>
      </c>
      <c r="H23" s="1070">
        <v>0</v>
      </c>
      <c r="I23" s="1070">
        <v>0</v>
      </c>
      <c r="J23" s="1070">
        <v>4362146.8335213438</v>
      </c>
      <c r="K23" s="1070">
        <v>0</v>
      </c>
      <c r="L23" s="4223">
        <f t="shared" si="3"/>
        <v>4362146.8335213438</v>
      </c>
      <c r="N23" s="1009">
        <f t="shared" si="0"/>
        <v>0</v>
      </c>
      <c r="O23" s="1009">
        <f t="shared" si="1"/>
        <v>4362146.8335213438</v>
      </c>
      <c r="Q23" s="1273"/>
    </row>
    <row r="24" spans="1:17">
      <c r="A24" s="237">
        <v>535500</v>
      </c>
      <c r="B24" s="112" t="s">
        <v>736</v>
      </c>
      <c r="C24" s="339">
        <v>0</v>
      </c>
      <c r="D24" s="339">
        <v>0</v>
      </c>
      <c r="E24" s="1008">
        <f t="shared" si="2"/>
        <v>0</v>
      </c>
      <c r="G24" s="1070">
        <v>2754.976286602332</v>
      </c>
      <c r="H24" s="1070">
        <v>0</v>
      </c>
      <c r="I24" s="1070">
        <v>0</v>
      </c>
      <c r="J24" s="1070">
        <v>0</v>
      </c>
      <c r="K24" s="1070">
        <v>0</v>
      </c>
      <c r="L24" s="4223">
        <f t="shared" si="3"/>
        <v>2754.976286602332</v>
      </c>
      <c r="N24" s="1009">
        <f t="shared" si="0"/>
        <v>2754.976286602332</v>
      </c>
      <c r="O24" s="1009">
        <f t="shared" si="1"/>
        <v>0</v>
      </c>
      <c r="Q24" s="1273"/>
    </row>
    <row r="25" spans="1:17">
      <c r="A25" s="237">
        <v>535600</v>
      </c>
      <c r="B25" s="112" t="s">
        <v>737</v>
      </c>
      <c r="C25" s="339">
        <v>0</v>
      </c>
      <c r="D25" s="339">
        <v>0</v>
      </c>
      <c r="E25" s="1008">
        <f t="shared" si="2"/>
        <v>0</v>
      </c>
      <c r="G25" s="1070">
        <v>14070.37936643781</v>
      </c>
      <c r="H25" s="1070">
        <v>0</v>
      </c>
      <c r="I25" s="1070">
        <v>0</v>
      </c>
      <c r="J25" s="1070">
        <v>0</v>
      </c>
      <c r="K25" s="1070">
        <v>0</v>
      </c>
      <c r="L25" s="4223">
        <f t="shared" si="3"/>
        <v>14070.37936643781</v>
      </c>
      <c r="N25" s="1009">
        <f t="shared" si="0"/>
        <v>14070.37936643781</v>
      </c>
      <c r="O25" s="1009">
        <f t="shared" si="1"/>
        <v>0</v>
      </c>
    </row>
    <row r="26" spans="1:17">
      <c r="A26" s="237">
        <v>536000</v>
      </c>
      <c r="B26" s="112" t="s">
        <v>2115</v>
      </c>
      <c r="C26" s="339">
        <v>0</v>
      </c>
      <c r="D26" s="339">
        <v>0</v>
      </c>
      <c r="E26" s="1008">
        <f t="shared" si="2"/>
        <v>0</v>
      </c>
      <c r="G26" s="1070">
        <v>0</v>
      </c>
      <c r="H26" s="1070">
        <v>0</v>
      </c>
      <c r="I26" s="1070">
        <v>0</v>
      </c>
      <c r="J26" s="1070">
        <v>0</v>
      </c>
      <c r="K26" s="1070">
        <v>0</v>
      </c>
      <c r="L26" s="4223">
        <f t="shared" si="3"/>
        <v>0</v>
      </c>
      <c r="N26" s="1009">
        <f t="shared" si="0"/>
        <v>0</v>
      </c>
      <c r="O26" s="1009">
        <f t="shared" si="1"/>
        <v>0</v>
      </c>
    </row>
    <row r="27" spans="1:17">
      <c r="A27" s="237">
        <v>537010</v>
      </c>
      <c r="B27" s="112" t="s">
        <v>2116</v>
      </c>
      <c r="C27" s="339">
        <v>0</v>
      </c>
      <c r="D27" s="339">
        <v>0</v>
      </c>
      <c r="E27" s="1008">
        <f t="shared" si="2"/>
        <v>0</v>
      </c>
      <c r="G27" s="1070">
        <v>0</v>
      </c>
      <c r="H27" s="1070">
        <v>0</v>
      </c>
      <c r="I27" s="1070">
        <v>0</v>
      </c>
      <c r="J27" s="1070">
        <v>16348.023267238817</v>
      </c>
      <c r="K27" s="1070">
        <v>0</v>
      </c>
      <c r="L27" s="4223">
        <f t="shared" si="3"/>
        <v>16348.023267238817</v>
      </c>
      <c r="N27" s="1009">
        <f t="shared" si="0"/>
        <v>0</v>
      </c>
      <c r="O27" s="1009">
        <f t="shared" si="1"/>
        <v>16348.023267238817</v>
      </c>
    </row>
    <row r="28" spans="1:17">
      <c r="A28" s="237">
        <v>537020</v>
      </c>
      <c r="B28" s="112" t="s">
        <v>2117</v>
      </c>
      <c r="C28" s="339">
        <v>0</v>
      </c>
      <c r="D28" s="339">
        <v>0</v>
      </c>
      <c r="E28" s="1008">
        <f t="shared" si="2"/>
        <v>0</v>
      </c>
      <c r="G28" s="1070">
        <v>0</v>
      </c>
      <c r="H28" s="1070">
        <v>0</v>
      </c>
      <c r="I28" s="1070">
        <v>0</v>
      </c>
      <c r="J28" s="1070">
        <v>1045050.1983575895</v>
      </c>
      <c r="K28" s="1070">
        <v>0</v>
      </c>
      <c r="L28" s="4223">
        <f t="shared" si="3"/>
        <v>1045050.1983575895</v>
      </c>
      <c r="N28" s="1009">
        <f t="shared" si="0"/>
        <v>0</v>
      </c>
      <c r="O28" s="1009">
        <f t="shared" si="1"/>
        <v>1045050.1983575895</v>
      </c>
    </row>
    <row r="29" spans="1:17">
      <c r="A29" s="237">
        <v>537500</v>
      </c>
      <c r="B29" s="112" t="s">
        <v>738</v>
      </c>
      <c r="C29" s="339">
        <v>0</v>
      </c>
      <c r="D29" s="339">
        <v>0</v>
      </c>
      <c r="E29" s="1008">
        <f t="shared" si="2"/>
        <v>0</v>
      </c>
      <c r="G29" s="1070">
        <v>11603.671345681933</v>
      </c>
      <c r="H29" s="1070">
        <v>0</v>
      </c>
      <c r="I29" s="1070">
        <v>0</v>
      </c>
      <c r="J29" s="1070">
        <v>0</v>
      </c>
      <c r="K29" s="1070">
        <v>0</v>
      </c>
      <c r="L29" s="4223">
        <f t="shared" si="3"/>
        <v>11603.671345681933</v>
      </c>
      <c r="N29" s="1009">
        <f t="shared" si="0"/>
        <v>11603.671345681933</v>
      </c>
      <c r="O29" s="1009">
        <f t="shared" si="1"/>
        <v>0</v>
      </c>
    </row>
    <row r="30" spans="1:17">
      <c r="A30" s="237">
        <v>537600</v>
      </c>
      <c r="B30" s="112" t="s">
        <v>739</v>
      </c>
      <c r="C30" s="339">
        <v>0</v>
      </c>
      <c r="D30" s="339">
        <v>0</v>
      </c>
      <c r="E30" s="1008">
        <f t="shared" si="2"/>
        <v>0</v>
      </c>
      <c r="G30" s="1070">
        <v>8667.9404565840468</v>
      </c>
      <c r="H30" s="1070">
        <v>0</v>
      </c>
      <c r="I30" s="1070">
        <v>0</v>
      </c>
      <c r="J30" s="1070">
        <v>0</v>
      </c>
      <c r="K30" s="1070">
        <v>0</v>
      </c>
      <c r="L30" s="4223">
        <f t="shared" si="3"/>
        <v>8667.9404565840468</v>
      </c>
      <c r="N30" s="1009">
        <f t="shared" si="0"/>
        <v>8667.9404565840468</v>
      </c>
      <c r="O30" s="1009">
        <f t="shared" si="1"/>
        <v>0</v>
      </c>
    </row>
    <row r="31" spans="1:17">
      <c r="A31" s="237">
        <v>538500</v>
      </c>
      <c r="B31" s="112" t="s">
        <v>740</v>
      </c>
      <c r="C31" s="339">
        <v>0</v>
      </c>
      <c r="D31" s="339">
        <v>0</v>
      </c>
      <c r="E31" s="1008">
        <f t="shared" si="2"/>
        <v>0</v>
      </c>
      <c r="G31" s="1070">
        <v>11603.671345681933</v>
      </c>
      <c r="H31" s="1070">
        <v>0</v>
      </c>
      <c r="I31" s="1070">
        <v>0</v>
      </c>
      <c r="J31" s="1070">
        <v>0</v>
      </c>
      <c r="K31" s="1070">
        <v>0</v>
      </c>
      <c r="L31" s="4223">
        <f t="shared" si="3"/>
        <v>11603.671345681933</v>
      </c>
      <c r="N31" s="1009">
        <f t="shared" si="0"/>
        <v>11603.671345681933</v>
      </c>
      <c r="O31" s="1009">
        <f t="shared" si="1"/>
        <v>0</v>
      </c>
    </row>
    <row r="32" spans="1:17">
      <c r="A32" s="237">
        <v>538600</v>
      </c>
      <c r="B32" s="112" t="s">
        <v>741</v>
      </c>
      <c r="C32" s="339">
        <v>0</v>
      </c>
      <c r="D32" s="339">
        <v>0</v>
      </c>
      <c r="E32" s="1008">
        <f t="shared" si="2"/>
        <v>0</v>
      </c>
      <c r="G32" s="1070">
        <v>8667.9404565840468</v>
      </c>
      <c r="H32" s="1070">
        <v>0</v>
      </c>
      <c r="I32" s="1070">
        <v>0</v>
      </c>
      <c r="J32" s="1070">
        <v>0</v>
      </c>
      <c r="K32" s="1070">
        <v>0</v>
      </c>
      <c r="L32" s="4223">
        <f t="shared" si="3"/>
        <v>8667.9404565840468</v>
      </c>
      <c r="N32" s="1009">
        <f t="shared" si="0"/>
        <v>8667.9404565840468</v>
      </c>
      <c r="O32" s="1009">
        <f t="shared" si="1"/>
        <v>0</v>
      </c>
    </row>
    <row r="33" spans="1:17">
      <c r="A33" s="237">
        <v>539010</v>
      </c>
      <c r="B33" s="112" t="s">
        <v>742</v>
      </c>
      <c r="C33" s="339">
        <v>0</v>
      </c>
      <c r="D33" s="339">
        <v>340050</v>
      </c>
      <c r="E33" s="1008">
        <f t="shared" si="2"/>
        <v>340050</v>
      </c>
      <c r="G33" s="1070">
        <v>0</v>
      </c>
      <c r="H33" s="1070">
        <v>0</v>
      </c>
      <c r="I33" s="1070">
        <v>0</v>
      </c>
      <c r="J33" s="1070">
        <v>1447843.3465952808</v>
      </c>
      <c r="K33" s="1070">
        <v>0</v>
      </c>
      <c r="L33" s="4223">
        <f t="shared" si="3"/>
        <v>1447843.3465952808</v>
      </c>
      <c r="N33" s="1009">
        <f t="shared" si="0"/>
        <v>0</v>
      </c>
      <c r="O33" s="1009">
        <f t="shared" si="1"/>
        <v>1787893.3465952808</v>
      </c>
    </row>
    <row r="34" spans="1:17">
      <c r="A34" s="237">
        <v>539030</v>
      </c>
      <c r="B34" s="112" t="s">
        <v>2121</v>
      </c>
      <c r="C34" s="339">
        <v>0</v>
      </c>
      <c r="D34" s="339">
        <v>0</v>
      </c>
      <c r="E34" s="1008">
        <f t="shared" si="2"/>
        <v>0</v>
      </c>
      <c r="G34" s="1070">
        <v>0</v>
      </c>
      <c r="H34" s="1070">
        <v>0</v>
      </c>
      <c r="I34" s="1070">
        <v>0</v>
      </c>
      <c r="J34" s="1070">
        <v>510467.34530929453</v>
      </c>
      <c r="K34" s="1070">
        <v>0</v>
      </c>
      <c r="L34" s="4223">
        <f t="shared" si="3"/>
        <v>510467.34530929453</v>
      </c>
      <c r="N34" s="1009">
        <f t="shared" si="0"/>
        <v>0</v>
      </c>
      <c r="O34" s="1009">
        <f t="shared" si="1"/>
        <v>510467.34530929453</v>
      </c>
    </row>
    <row r="35" spans="1:17">
      <c r="A35" s="237">
        <v>539090</v>
      </c>
      <c r="B35" s="112" t="s">
        <v>2123</v>
      </c>
      <c r="C35" s="339">
        <v>0</v>
      </c>
      <c r="D35" s="339">
        <v>0</v>
      </c>
      <c r="E35" s="1008">
        <f t="shared" si="2"/>
        <v>0</v>
      </c>
      <c r="G35" s="1070">
        <v>0</v>
      </c>
      <c r="H35" s="1070">
        <v>0</v>
      </c>
      <c r="I35" s="1070">
        <v>0</v>
      </c>
      <c r="J35" s="1070">
        <v>143102.53893598638</v>
      </c>
      <c r="K35" s="1070">
        <v>0</v>
      </c>
      <c r="L35" s="4223">
        <f t="shared" si="3"/>
        <v>143102.53893598638</v>
      </c>
      <c r="N35" s="1009">
        <f t="shared" si="0"/>
        <v>0</v>
      </c>
      <c r="O35" s="1009">
        <f t="shared" si="1"/>
        <v>143102.53893598638</v>
      </c>
    </row>
    <row r="36" spans="1:17">
      <c r="A36" s="237">
        <v>539600</v>
      </c>
      <c r="B36" s="112" t="s">
        <v>310</v>
      </c>
      <c r="C36" s="339">
        <v>0</v>
      </c>
      <c r="D36" s="339">
        <v>0</v>
      </c>
      <c r="E36" s="1008">
        <f t="shared" si="2"/>
        <v>0</v>
      </c>
      <c r="G36" s="1070">
        <v>0</v>
      </c>
      <c r="H36" s="1070">
        <v>0</v>
      </c>
      <c r="I36" s="1070">
        <v>0</v>
      </c>
      <c r="J36" s="1070">
        <v>0</v>
      </c>
      <c r="K36" s="1070">
        <v>0</v>
      </c>
      <c r="L36" s="4223">
        <f t="shared" si="3"/>
        <v>0</v>
      </c>
      <c r="N36" s="1009">
        <f t="shared" si="0"/>
        <v>0</v>
      </c>
      <c r="O36" s="1009">
        <f t="shared" si="1"/>
        <v>0</v>
      </c>
    </row>
    <row r="37" spans="1:17">
      <c r="A37" s="237">
        <v>540000</v>
      </c>
      <c r="B37" s="112" t="s">
        <v>2125</v>
      </c>
      <c r="C37" s="339">
        <v>0</v>
      </c>
      <c r="D37" s="339">
        <v>0</v>
      </c>
      <c r="E37" s="1008">
        <f t="shared" si="2"/>
        <v>0</v>
      </c>
      <c r="G37" s="1070">
        <v>0</v>
      </c>
      <c r="H37" s="1070">
        <v>0</v>
      </c>
      <c r="I37" s="1070">
        <v>0</v>
      </c>
      <c r="J37" s="1070">
        <v>0</v>
      </c>
      <c r="K37" s="1070">
        <v>0</v>
      </c>
      <c r="L37" s="4223">
        <f t="shared" si="3"/>
        <v>0</v>
      </c>
      <c r="N37" s="1009">
        <f t="shared" si="0"/>
        <v>0</v>
      </c>
      <c r="O37" s="1009">
        <f t="shared" si="1"/>
        <v>0</v>
      </c>
    </row>
    <row r="38" spans="1:17">
      <c r="A38" s="237">
        <v>541000</v>
      </c>
      <c r="B38" s="112" t="s">
        <v>2126</v>
      </c>
      <c r="C38" s="339">
        <v>0</v>
      </c>
      <c r="D38" s="339">
        <v>0</v>
      </c>
      <c r="E38" s="1008">
        <f t="shared" si="2"/>
        <v>0</v>
      </c>
      <c r="G38" s="1070">
        <v>0</v>
      </c>
      <c r="H38" s="1070">
        <v>0</v>
      </c>
      <c r="I38" s="1070">
        <v>0</v>
      </c>
      <c r="J38" s="1070">
        <v>738778.97877368086</v>
      </c>
      <c r="K38" s="1070">
        <v>0</v>
      </c>
      <c r="L38" s="4223">
        <f t="shared" si="3"/>
        <v>738778.97877368086</v>
      </c>
      <c r="N38" s="1009">
        <f t="shared" ref="N38:N67" si="4">C38+G38</f>
        <v>0</v>
      </c>
      <c r="O38" s="1009">
        <f t="shared" ref="O38:O67" si="5">D38+J38</f>
        <v>738778.97877368086</v>
      </c>
    </row>
    <row r="39" spans="1:17">
      <c r="A39" s="237">
        <v>541500</v>
      </c>
      <c r="B39" s="112" t="s">
        <v>743</v>
      </c>
      <c r="C39" s="339">
        <v>0</v>
      </c>
      <c r="D39" s="339">
        <v>0</v>
      </c>
      <c r="E39" s="1008">
        <f t="shared" si="2"/>
        <v>0</v>
      </c>
      <c r="G39" s="1070">
        <v>0</v>
      </c>
      <c r="H39" s="1070">
        <v>0</v>
      </c>
      <c r="I39" s="1070">
        <v>0</v>
      </c>
      <c r="J39" s="1070">
        <v>0</v>
      </c>
      <c r="K39" s="1070">
        <v>0</v>
      </c>
      <c r="L39" s="4223">
        <f t="shared" si="3"/>
        <v>0</v>
      </c>
      <c r="N39" s="1009">
        <f t="shared" si="4"/>
        <v>0</v>
      </c>
      <c r="O39" s="1009">
        <f t="shared" si="5"/>
        <v>0</v>
      </c>
    </row>
    <row r="40" spans="1:17">
      <c r="A40" s="237">
        <v>541600</v>
      </c>
      <c r="B40" s="112" t="s">
        <v>744</v>
      </c>
      <c r="C40" s="339">
        <v>0</v>
      </c>
      <c r="D40" s="339">
        <v>0</v>
      </c>
      <c r="E40" s="1008">
        <f t="shared" si="2"/>
        <v>0</v>
      </c>
      <c r="G40" s="1070">
        <v>0</v>
      </c>
      <c r="H40" s="1070">
        <v>0</v>
      </c>
      <c r="I40" s="1070">
        <v>0</v>
      </c>
      <c r="J40" s="1070">
        <v>0</v>
      </c>
      <c r="K40" s="1070">
        <v>0</v>
      </c>
      <c r="L40" s="4223">
        <f t="shared" si="3"/>
        <v>0</v>
      </c>
      <c r="N40" s="1009">
        <f t="shared" si="4"/>
        <v>0</v>
      </c>
      <c r="O40" s="1009">
        <f t="shared" si="5"/>
        <v>0</v>
      </c>
      <c r="Q40" s="1273"/>
    </row>
    <row r="41" spans="1:17">
      <c r="A41" s="237">
        <v>542010</v>
      </c>
      <c r="B41" s="112" t="s">
        <v>2127</v>
      </c>
      <c r="C41" s="339">
        <v>0</v>
      </c>
      <c r="D41" s="339">
        <v>0</v>
      </c>
      <c r="E41" s="1008">
        <f t="shared" si="2"/>
        <v>0</v>
      </c>
      <c r="G41" s="1070">
        <v>0</v>
      </c>
      <c r="H41" s="1070">
        <v>0</v>
      </c>
      <c r="I41" s="1070">
        <v>0</v>
      </c>
      <c r="J41" s="1070">
        <v>25648.733155525057</v>
      </c>
      <c r="K41" s="1070">
        <v>0</v>
      </c>
      <c r="L41" s="4223">
        <f t="shared" si="3"/>
        <v>25648.733155525057</v>
      </c>
      <c r="N41" s="1009">
        <f t="shared" si="4"/>
        <v>0</v>
      </c>
      <c r="O41" s="1009">
        <f t="shared" si="5"/>
        <v>25648.733155525057</v>
      </c>
    </row>
    <row r="42" spans="1:17">
      <c r="A42" s="237">
        <v>542050</v>
      </c>
      <c r="B42" s="112" t="s">
        <v>2129</v>
      </c>
      <c r="C42" s="339">
        <v>0</v>
      </c>
      <c r="D42" s="339">
        <v>0</v>
      </c>
      <c r="E42" s="1008">
        <f t="shared" si="2"/>
        <v>0</v>
      </c>
      <c r="G42" s="1070">
        <v>0</v>
      </c>
      <c r="H42" s="1070">
        <v>0</v>
      </c>
      <c r="I42" s="1070">
        <v>0</v>
      </c>
      <c r="J42" s="1070">
        <v>59779.653218834916</v>
      </c>
      <c r="K42" s="1070">
        <v>0</v>
      </c>
      <c r="L42" s="4223">
        <f t="shared" si="3"/>
        <v>59779.653218834916</v>
      </c>
      <c r="N42" s="1009">
        <f t="shared" si="4"/>
        <v>0</v>
      </c>
      <c r="O42" s="1009">
        <f t="shared" si="5"/>
        <v>59779.653218834916</v>
      </c>
    </row>
    <row r="43" spans="1:17">
      <c r="A43" s="237">
        <v>543010</v>
      </c>
      <c r="B43" s="112" t="s">
        <v>745</v>
      </c>
      <c r="C43" s="339">
        <v>0</v>
      </c>
      <c r="D43" s="339">
        <v>0</v>
      </c>
      <c r="E43" s="1008">
        <f t="shared" si="2"/>
        <v>0</v>
      </c>
      <c r="G43" s="1070">
        <v>0</v>
      </c>
      <c r="H43" s="1070">
        <v>0</v>
      </c>
      <c r="I43" s="1070">
        <v>0</v>
      </c>
      <c r="J43" s="1070">
        <v>1135083.0464565132</v>
      </c>
      <c r="K43" s="1070">
        <v>0</v>
      </c>
      <c r="L43" s="4223">
        <f t="shared" si="3"/>
        <v>1135083.0464565132</v>
      </c>
      <c r="N43" s="1009">
        <f t="shared" si="4"/>
        <v>0</v>
      </c>
      <c r="O43" s="1009">
        <f t="shared" si="5"/>
        <v>1135083.0464565132</v>
      </c>
    </row>
    <row r="44" spans="1:17" s="3094" customFormat="1">
      <c r="A44" s="237">
        <v>543060</v>
      </c>
      <c r="B44" s="4222" t="s">
        <v>2130</v>
      </c>
      <c r="C44" s="339">
        <v>0</v>
      </c>
      <c r="D44" s="339">
        <v>0</v>
      </c>
      <c r="E44" s="1008">
        <f t="shared" si="2"/>
        <v>0</v>
      </c>
      <c r="G44" s="1070">
        <v>0</v>
      </c>
      <c r="H44" s="1070">
        <v>0</v>
      </c>
      <c r="I44" s="1070">
        <v>0</v>
      </c>
      <c r="J44" s="1070">
        <v>82015.925168227724</v>
      </c>
      <c r="K44" s="1070">
        <v>0</v>
      </c>
      <c r="L44" s="4223">
        <f t="shared" si="3"/>
        <v>82015.925168227724</v>
      </c>
      <c r="N44" s="1009">
        <f t="shared" ref="N44" si="6">C44+G44</f>
        <v>0</v>
      </c>
      <c r="O44" s="1009">
        <f t="shared" ref="O44" si="7">D44+J44</f>
        <v>82015.925168227724</v>
      </c>
    </row>
    <row r="45" spans="1:17">
      <c r="A45" s="237">
        <v>544010</v>
      </c>
      <c r="B45" s="112" t="s">
        <v>2130</v>
      </c>
      <c r="C45" s="339">
        <v>0</v>
      </c>
      <c r="D45" s="339">
        <v>0</v>
      </c>
      <c r="E45" s="1008">
        <f t="shared" si="2"/>
        <v>0</v>
      </c>
      <c r="G45" s="1070">
        <v>0</v>
      </c>
      <c r="H45" s="1070">
        <v>0</v>
      </c>
      <c r="I45" s="1070">
        <v>0</v>
      </c>
      <c r="J45" s="1070">
        <v>5804351.590702231</v>
      </c>
      <c r="K45" s="1070">
        <v>0</v>
      </c>
      <c r="L45" s="4223">
        <f t="shared" si="3"/>
        <v>5804351.590702231</v>
      </c>
      <c r="N45" s="1009">
        <f t="shared" si="4"/>
        <v>0</v>
      </c>
      <c r="O45" s="1009">
        <f t="shared" si="5"/>
        <v>5804351.590702231</v>
      </c>
    </row>
    <row r="46" spans="1:17">
      <c r="A46" s="237">
        <v>544500</v>
      </c>
      <c r="B46" s="112" t="s">
        <v>746</v>
      </c>
      <c r="C46" s="339">
        <v>0</v>
      </c>
      <c r="D46" s="339">
        <v>0</v>
      </c>
      <c r="E46" s="1008">
        <f t="shared" si="2"/>
        <v>0</v>
      </c>
      <c r="G46" s="1070">
        <v>166532.32101779725</v>
      </c>
      <c r="H46" s="1070">
        <v>0</v>
      </c>
      <c r="I46" s="1070">
        <v>0</v>
      </c>
      <c r="J46" s="1070">
        <v>0</v>
      </c>
      <c r="K46" s="1070">
        <v>0</v>
      </c>
      <c r="L46" s="4223">
        <f t="shared" si="3"/>
        <v>166532.32101779725</v>
      </c>
      <c r="N46" s="1009">
        <f t="shared" si="4"/>
        <v>166532.32101779725</v>
      </c>
      <c r="O46" s="1009">
        <f t="shared" si="5"/>
        <v>0</v>
      </c>
    </row>
    <row r="47" spans="1:17">
      <c r="A47" s="237">
        <v>544600</v>
      </c>
      <c r="B47" s="112" t="s">
        <v>747</v>
      </c>
      <c r="C47" s="339">
        <v>0</v>
      </c>
      <c r="D47" s="339">
        <v>0</v>
      </c>
      <c r="E47" s="1008">
        <f t="shared" si="2"/>
        <v>0</v>
      </c>
      <c r="G47" s="1070">
        <v>96327.493605536132</v>
      </c>
      <c r="H47" s="1070">
        <v>0</v>
      </c>
      <c r="I47" s="1070">
        <v>0</v>
      </c>
      <c r="J47" s="1070">
        <v>0</v>
      </c>
      <c r="K47" s="1070">
        <v>0</v>
      </c>
      <c r="L47" s="4223">
        <f t="shared" si="3"/>
        <v>96327.493605536132</v>
      </c>
      <c r="N47" s="1009">
        <f t="shared" si="4"/>
        <v>96327.493605536132</v>
      </c>
      <c r="O47" s="1009">
        <f t="shared" si="5"/>
        <v>0</v>
      </c>
    </row>
    <row r="48" spans="1:17">
      <c r="A48" s="237">
        <v>545040</v>
      </c>
      <c r="B48" s="112" t="s">
        <v>2124</v>
      </c>
      <c r="C48" s="339">
        <v>0</v>
      </c>
      <c r="D48" s="339">
        <v>0</v>
      </c>
      <c r="E48" s="1008">
        <f t="shared" si="2"/>
        <v>0</v>
      </c>
      <c r="G48" s="1070">
        <v>0</v>
      </c>
      <c r="H48" s="1070">
        <v>0</v>
      </c>
      <c r="I48" s="1070">
        <v>0</v>
      </c>
      <c r="J48" s="1070">
        <v>0</v>
      </c>
      <c r="K48" s="1070">
        <v>0</v>
      </c>
      <c r="L48" s="4223">
        <f t="shared" si="3"/>
        <v>0</v>
      </c>
      <c r="N48" s="1009">
        <f t="shared" si="4"/>
        <v>0</v>
      </c>
      <c r="O48" s="1009">
        <f t="shared" si="5"/>
        <v>0</v>
      </c>
    </row>
    <row r="49" spans="1:15">
      <c r="A49" s="237">
        <v>545010</v>
      </c>
      <c r="B49" s="112" t="s">
        <v>748</v>
      </c>
      <c r="C49" s="339">
        <v>78550.599999999991</v>
      </c>
      <c r="D49" s="339">
        <v>255449.4</v>
      </c>
      <c r="E49" s="1008">
        <f t="shared" si="2"/>
        <v>334000</v>
      </c>
      <c r="G49" s="1070">
        <v>0</v>
      </c>
      <c r="H49" s="1070">
        <v>0</v>
      </c>
      <c r="I49" s="1070">
        <v>0</v>
      </c>
      <c r="J49" s="1070">
        <v>1263630.9177218862</v>
      </c>
      <c r="K49" s="1070">
        <v>0</v>
      </c>
      <c r="L49" s="4223">
        <f t="shared" si="3"/>
        <v>1263630.9177218862</v>
      </c>
      <c r="N49" s="1009">
        <f t="shared" si="4"/>
        <v>78550.599999999991</v>
      </c>
      <c r="O49" s="1009">
        <f t="shared" si="5"/>
        <v>1519080.3177218861</v>
      </c>
    </row>
    <row r="50" spans="1:15">
      <c r="A50" s="237">
        <v>545030</v>
      </c>
      <c r="B50" s="112" t="s">
        <v>2131</v>
      </c>
      <c r="C50" s="339">
        <v>0</v>
      </c>
      <c r="D50" s="339">
        <v>0</v>
      </c>
      <c r="E50" s="1008">
        <f t="shared" si="2"/>
        <v>0</v>
      </c>
      <c r="G50" s="1070">
        <v>0</v>
      </c>
      <c r="H50" s="1070">
        <v>0</v>
      </c>
      <c r="I50" s="1070">
        <v>0</v>
      </c>
      <c r="J50" s="1070">
        <v>341.7006583204012</v>
      </c>
      <c r="K50" s="1070">
        <v>0</v>
      </c>
      <c r="L50" s="4223">
        <f t="shared" si="3"/>
        <v>341.7006583204012</v>
      </c>
      <c r="N50" s="1009">
        <f t="shared" si="4"/>
        <v>0</v>
      </c>
      <c r="O50" s="1009">
        <f t="shared" si="5"/>
        <v>341.7006583204012</v>
      </c>
    </row>
    <row r="51" spans="1:15">
      <c r="A51" s="237">
        <v>545060</v>
      </c>
      <c r="B51" s="112" t="s">
        <v>2134</v>
      </c>
      <c r="C51" s="339">
        <v>390000</v>
      </c>
      <c r="D51" s="339">
        <v>0</v>
      </c>
      <c r="E51" s="1008">
        <f t="shared" si="2"/>
        <v>390000</v>
      </c>
      <c r="G51" s="1070">
        <v>0</v>
      </c>
      <c r="H51" s="1070">
        <v>0</v>
      </c>
      <c r="I51" s="1070">
        <v>0</v>
      </c>
      <c r="J51" s="1070">
        <v>248027.90058708139</v>
      </c>
      <c r="K51" s="1070">
        <v>0</v>
      </c>
      <c r="L51" s="4223">
        <f t="shared" si="3"/>
        <v>248027.90058708139</v>
      </c>
      <c r="N51" s="1009">
        <f t="shared" si="4"/>
        <v>390000</v>
      </c>
      <c r="O51" s="1009">
        <f t="shared" si="5"/>
        <v>248027.90058708139</v>
      </c>
    </row>
    <row r="52" spans="1:15">
      <c r="A52" s="237">
        <v>545070</v>
      </c>
      <c r="B52" s="112" t="s">
        <v>2133</v>
      </c>
      <c r="C52" s="339">
        <v>0</v>
      </c>
      <c r="D52" s="339">
        <v>0</v>
      </c>
      <c r="E52" s="1008">
        <f t="shared" si="2"/>
        <v>0</v>
      </c>
      <c r="G52" s="1070">
        <v>0</v>
      </c>
      <c r="H52" s="1070">
        <v>0</v>
      </c>
      <c r="I52" s="1070">
        <v>0</v>
      </c>
      <c r="J52" s="1070">
        <v>28802.747062217415</v>
      </c>
      <c r="K52" s="1070">
        <v>0</v>
      </c>
      <c r="L52" s="4223">
        <f t="shared" si="3"/>
        <v>28802.747062217415</v>
      </c>
      <c r="N52" s="1009">
        <f t="shared" si="4"/>
        <v>0</v>
      </c>
      <c r="O52" s="1009">
        <f t="shared" si="5"/>
        <v>28802.747062217415</v>
      </c>
    </row>
    <row r="53" spans="1:15">
      <c r="A53" s="237">
        <v>545500</v>
      </c>
      <c r="B53" s="112" t="s">
        <v>749</v>
      </c>
      <c r="C53" s="339">
        <v>0</v>
      </c>
      <c r="D53" s="339">
        <v>0</v>
      </c>
      <c r="E53" s="1008">
        <f t="shared" si="2"/>
        <v>0</v>
      </c>
      <c r="G53" s="1070">
        <v>0</v>
      </c>
      <c r="H53" s="1070">
        <v>0</v>
      </c>
      <c r="I53" s="1070">
        <v>0</v>
      </c>
      <c r="J53" s="1070">
        <v>0</v>
      </c>
      <c r="K53" s="1070">
        <v>0</v>
      </c>
      <c r="L53" s="4223">
        <f t="shared" si="3"/>
        <v>0</v>
      </c>
      <c r="N53" s="1009">
        <f t="shared" si="4"/>
        <v>0</v>
      </c>
      <c r="O53" s="1009">
        <f t="shared" si="5"/>
        <v>0</v>
      </c>
    </row>
    <row r="54" spans="1:15" s="3094" customFormat="1">
      <c r="A54" s="237">
        <v>545900</v>
      </c>
      <c r="B54" s="112" t="s">
        <v>2135</v>
      </c>
      <c r="C54" s="339">
        <v>0</v>
      </c>
      <c r="D54" s="339">
        <v>13127875</v>
      </c>
      <c r="E54" s="1008">
        <f t="shared" si="2"/>
        <v>13127875</v>
      </c>
      <c r="G54" s="1070">
        <v>0</v>
      </c>
      <c r="H54" s="1070">
        <v>0</v>
      </c>
      <c r="I54" s="1070">
        <v>0</v>
      </c>
      <c r="J54" s="1070">
        <v>4305235.1033985028</v>
      </c>
      <c r="K54" s="1070">
        <v>0</v>
      </c>
      <c r="L54" s="4223">
        <f t="shared" si="3"/>
        <v>4305235.1033985028</v>
      </c>
      <c r="N54" s="1009">
        <f t="shared" ref="N54" si="8">C54+G54</f>
        <v>0</v>
      </c>
      <c r="O54" s="1009">
        <f t="shared" ref="O54" si="9">D54+J54</f>
        <v>17433110.103398502</v>
      </c>
    </row>
    <row r="55" spans="1:15">
      <c r="A55" s="237">
        <v>545960</v>
      </c>
      <c r="B55" s="4222" t="s">
        <v>2135</v>
      </c>
      <c r="C55" s="339">
        <v>0</v>
      </c>
      <c r="D55" s="339">
        <v>0</v>
      </c>
      <c r="E55" s="1008">
        <f t="shared" si="2"/>
        <v>0</v>
      </c>
      <c r="G55" s="1070">
        <v>0</v>
      </c>
      <c r="H55" s="1070">
        <v>0</v>
      </c>
      <c r="I55" s="1070">
        <v>0</v>
      </c>
      <c r="J55" s="1070">
        <v>1263619.5004578121</v>
      </c>
      <c r="K55" s="1070">
        <v>0</v>
      </c>
      <c r="L55" s="4223">
        <f t="shared" si="3"/>
        <v>1263619.5004578121</v>
      </c>
      <c r="N55" s="1009">
        <f t="shared" si="4"/>
        <v>0</v>
      </c>
      <c r="O55" s="1009">
        <f t="shared" si="5"/>
        <v>1263619.5004578121</v>
      </c>
    </row>
    <row r="56" spans="1:15">
      <c r="A56" s="237">
        <v>547010</v>
      </c>
      <c r="B56" s="112" t="s">
        <v>750</v>
      </c>
      <c r="C56" s="339">
        <v>0</v>
      </c>
      <c r="D56" s="339">
        <v>0</v>
      </c>
      <c r="E56" s="1008">
        <f t="shared" si="2"/>
        <v>0</v>
      </c>
      <c r="G56" s="1070">
        <v>0</v>
      </c>
      <c r="H56" s="1070">
        <v>0</v>
      </c>
      <c r="I56" s="1070">
        <v>0</v>
      </c>
      <c r="J56" s="1070">
        <v>0</v>
      </c>
      <c r="K56" s="1070">
        <v>0</v>
      </c>
      <c r="L56" s="4223">
        <f t="shared" si="3"/>
        <v>0</v>
      </c>
      <c r="N56" s="1009">
        <f t="shared" si="4"/>
        <v>0</v>
      </c>
      <c r="O56" s="1009">
        <f t="shared" si="5"/>
        <v>0</v>
      </c>
    </row>
    <row r="57" spans="1:15">
      <c r="A57" s="237">
        <v>548010</v>
      </c>
      <c r="B57" s="112" t="s">
        <v>751</v>
      </c>
      <c r="C57" s="339">
        <v>0</v>
      </c>
      <c r="D57" s="339">
        <v>0</v>
      </c>
      <c r="E57" s="1008">
        <f t="shared" si="2"/>
        <v>0</v>
      </c>
      <c r="G57" s="1070">
        <v>0</v>
      </c>
      <c r="H57" s="1070">
        <v>0</v>
      </c>
      <c r="I57" s="1070">
        <v>0</v>
      </c>
      <c r="J57" s="1070">
        <v>0</v>
      </c>
      <c r="K57" s="1070">
        <v>0</v>
      </c>
      <c r="L57" s="4223">
        <f t="shared" si="3"/>
        <v>0</v>
      </c>
      <c r="N57" s="1009">
        <f t="shared" si="4"/>
        <v>0</v>
      </c>
      <c r="O57" s="1009">
        <f t="shared" si="5"/>
        <v>0</v>
      </c>
    </row>
    <row r="58" spans="1:15">
      <c r="A58" s="237">
        <v>549000</v>
      </c>
      <c r="B58" s="112" t="s">
        <v>752</v>
      </c>
      <c r="C58" s="339">
        <v>0</v>
      </c>
      <c r="D58" s="339">
        <v>0</v>
      </c>
      <c r="E58" s="1008">
        <f t="shared" si="2"/>
        <v>0</v>
      </c>
      <c r="G58" s="1070">
        <v>0</v>
      </c>
      <c r="H58" s="1070">
        <v>0</v>
      </c>
      <c r="I58" s="1070">
        <v>0</v>
      </c>
      <c r="J58" s="1070">
        <v>0</v>
      </c>
      <c r="K58" s="1070">
        <v>0</v>
      </c>
      <c r="L58" s="4223">
        <f t="shared" si="3"/>
        <v>0</v>
      </c>
      <c r="N58" s="1009">
        <f t="shared" si="4"/>
        <v>0</v>
      </c>
      <c r="O58" s="1009">
        <f t="shared" si="5"/>
        <v>0</v>
      </c>
    </row>
    <row r="59" spans="1:15">
      <c r="A59" s="237">
        <v>550000</v>
      </c>
      <c r="B59" s="112" t="s">
        <v>311</v>
      </c>
      <c r="C59" s="339">
        <v>0</v>
      </c>
      <c r="D59" s="339">
        <v>0</v>
      </c>
      <c r="E59" s="1008">
        <f t="shared" si="2"/>
        <v>0</v>
      </c>
      <c r="G59" s="1070">
        <v>0</v>
      </c>
      <c r="H59" s="1070">
        <v>0</v>
      </c>
      <c r="I59" s="1070">
        <v>0</v>
      </c>
      <c r="J59" s="1070">
        <v>0</v>
      </c>
      <c r="K59" s="1070">
        <v>0</v>
      </c>
      <c r="L59" s="4223">
        <f t="shared" si="3"/>
        <v>0</v>
      </c>
      <c r="N59" s="1009">
        <f t="shared" si="4"/>
        <v>0</v>
      </c>
      <c r="O59" s="1009">
        <f t="shared" si="5"/>
        <v>0</v>
      </c>
    </row>
    <row r="60" spans="1:15">
      <c r="A60" s="112"/>
      <c r="B60" s="4"/>
      <c r="C60" s="339">
        <v>0</v>
      </c>
      <c r="D60" s="339">
        <v>0</v>
      </c>
      <c r="E60" s="1008">
        <f t="shared" si="2"/>
        <v>0</v>
      </c>
      <c r="G60" s="1070">
        <v>0</v>
      </c>
      <c r="H60" s="1070">
        <v>0</v>
      </c>
      <c r="I60" s="1070">
        <v>0</v>
      </c>
      <c r="J60" s="1070">
        <v>0</v>
      </c>
      <c r="K60" s="1070">
        <v>0</v>
      </c>
      <c r="L60" s="4223">
        <f t="shared" si="3"/>
        <v>0</v>
      </c>
      <c r="N60" s="1009">
        <f t="shared" si="4"/>
        <v>0</v>
      </c>
      <c r="O60" s="1009">
        <f t="shared" si="5"/>
        <v>0</v>
      </c>
    </row>
    <row r="61" spans="1:15">
      <c r="A61" s="121" t="s">
        <v>889</v>
      </c>
      <c r="B61" s="120"/>
      <c r="C61" s="339">
        <v>0</v>
      </c>
      <c r="D61" s="339">
        <v>0</v>
      </c>
      <c r="E61" s="1008">
        <f t="shared" si="2"/>
        <v>0</v>
      </c>
      <c r="G61" s="1070">
        <v>0</v>
      </c>
      <c r="H61" s="1070">
        <v>0</v>
      </c>
      <c r="I61" s="1070">
        <v>0</v>
      </c>
      <c r="J61" s="1070">
        <v>0</v>
      </c>
      <c r="K61" s="1070">
        <v>0</v>
      </c>
      <c r="L61" s="4223">
        <f t="shared" si="3"/>
        <v>0</v>
      </c>
      <c r="N61" s="1009">
        <f t="shared" si="4"/>
        <v>0</v>
      </c>
      <c r="O61" s="1009">
        <f t="shared" si="5"/>
        <v>0</v>
      </c>
    </row>
    <row r="62" spans="1:15">
      <c r="A62" s="237">
        <v>560000</v>
      </c>
      <c r="B62" s="112" t="s">
        <v>754</v>
      </c>
      <c r="C62" s="339">
        <v>0</v>
      </c>
      <c r="D62" s="339">
        <v>0</v>
      </c>
      <c r="E62" s="1008">
        <f t="shared" si="2"/>
        <v>0</v>
      </c>
      <c r="G62" s="1070">
        <v>104734.21450233899</v>
      </c>
      <c r="H62" s="1070">
        <v>0</v>
      </c>
      <c r="I62" s="1070">
        <v>0</v>
      </c>
      <c r="J62" s="1070">
        <v>0</v>
      </c>
      <c r="K62" s="1070">
        <v>0</v>
      </c>
      <c r="L62" s="4223">
        <f t="shared" si="3"/>
        <v>104734.21450233899</v>
      </c>
      <c r="N62" s="1009">
        <f t="shared" si="4"/>
        <v>104734.21450233899</v>
      </c>
      <c r="O62" s="1009">
        <f t="shared" si="5"/>
        <v>0</v>
      </c>
    </row>
    <row r="63" spans="1:15">
      <c r="A63" s="237">
        <v>561000</v>
      </c>
      <c r="B63" s="112" t="s">
        <v>755</v>
      </c>
      <c r="C63" s="339">
        <v>55750</v>
      </c>
      <c r="D63" s="339">
        <v>0</v>
      </c>
      <c r="E63" s="1008">
        <f t="shared" si="2"/>
        <v>55750</v>
      </c>
      <c r="G63" s="1070">
        <v>143310.51602128326</v>
      </c>
      <c r="H63" s="1070">
        <v>0</v>
      </c>
      <c r="I63" s="1070">
        <v>0</v>
      </c>
      <c r="J63" s="1070">
        <v>0</v>
      </c>
      <c r="K63" s="1070">
        <v>0</v>
      </c>
      <c r="L63" s="4223">
        <f t="shared" si="3"/>
        <v>143310.51602128326</v>
      </c>
      <c r="N63" s="1009">
        <f t="shared" si="4"/>
        <v>199060.51602128326</v>
      </c>
      <c r="O63" s="1009">
        <f t="shared" si="5"/>
        <v>0</v>
      </c>
    </row>
    <row r="64" spans="1:15">
      <c r="A64" s="237">
        <v>561010</v>
      </c>
      <c r="B64" s="112" t="s">
        <v>756</v>
      </c>
      <c r="C64" s="339">
        <v>0</v>
      </c>
      <c r="D64" s="339">
        <v>-700004</v>
      </c>
      <c r="E64" s="1008">
        <f t="shared" si="2"/>
        <v>-700004</v>
      </c>
      <c r="G64" s="1070">
        <v>741332.19872736104</v>
      </c>
      <c r="H64" s="1070">
        <v>0</v>
      </c>
      <c r="I64" s="1070">
        <v>0</v>
      </c>
      <c r="J64" s="1070">
        <v>2602692.9773236937</v>
      </c>
      <c r="K64" s="1070">
        <v>0</v>
      </c>
      <c r="L64" s="4223">
        <f t="shared" si="3"/>
        <v>3344025.1760510546</v>
      </c>
      <c r="N64" s="1009">
        <f t="shared" si="4"/>
        <v>741332.19872736104</v>
      </c>
      <c r="O64" s="1009">
        <f t="shared" si="5"/>
        <v>1902688.9773236937</v>
      </c>
    </row>
    <row r="65" spans="1:15">
      <c r="A65" s="237">
        <v>561500</v>
      </c>
      <c r="B65" s="112" t="s">
        <v>757</v>
      </c>
      <c r="C65" s="339">
        <v>0</v>
      </c>
      <c r="D65" s="339">
        <v>0</v>
      </c>
      <c r="E65" s="1008">
        <f t="shared" si="2"/>
        <v>0</v>
      </c>
      <c r="G65" s="1070">
        <v>0</v>
      </c>
      <c r="H65" s="1070">
        <v>0</v>
      </c>
      <c r="I65" s="1070">
        <v>0</v>
      </c>
      <c r="J65" s="1070">
        <v>0</v>
      </c>
      <c r="K65" s="1070">
        <v>0</v>
      </c>
      <c r="L65" s="4223">
        <f t="shared" si="3"/>
        <v>0</v>
      </c>
      <c r="N65" s="1009">
        <f t="shared" si="4"/>
        <v>0</v>
      </c>
      <c r="O65" s="1009">
        <f t="shared" si="5"/>
        <v>0</v>
      </c>
    </row>
    <row r="66" spans="1:15">
      <c r="A66" s="237">
        <v>561600</v>
      </c>
      <c r="B66" s="112" t="s">
        <v>758</v>
      </c>
      <c r="C66" s="339">
        <v>0</v>
      </c>
      <c r="D66" s="339">
        <v>0</v>
      </c>
      <c r="E66" s="1008">
        <f t="shared" si="2"/>
        <v>0</v>
      </c>
      <c r="G66" s="1070">
        <v>0</v>
      </c>
      <c r="H66" s="1070">
        <v>0</v>
      </c>
      <c r="I66" s="1070">
        <v>0</v>
      </c>
      <c r="J66" s="1070">
        <v>0</v>
      </c>
      <c r="K66" s="1070">
        <v>0</v>
      </c>
      <c r="L66" s="4223">
        <f t="shared" si="3"/>
        <v>0</v>
      </c>
      <c r="N66" s="1009">
        <f t="shared" si="4"/>
        <v>0</v>
      </c>
      <c r="O66" s="1009">
        <f t="shared" si="5"/>
        <v>0</v>
      </c>
    </row>
    <row r="67" spans="1:15">
      <c r="A67" s="237">
        <v>562000</v>
      </c>
      <c r="B67" s="112" t="s">
        <v>759</v>
      </c>
      <c r="C67" s="339">
        <v>0</v>
      </c>
      <c r="D67" s="339">
        <v>0</v>
      </c>
      <c r="E67" s="1008">
        <f t="shared" si="2"/>
        <v>0</v>
      </c>
      <c r="G67" s="1070">
        <v>6990.7568790869918</v>
      </c>
      <c r="H67" s="1070">
        <v>0</v>
      </c>
      <c r="I67" s="1070">
        <v>0</v>
      </c>
      <c r="J67" s="1070">
        <v>0</v>
      </c>
      <c r="K67" s="1070">
        <v>0</v>
      </c>
      <c r="L67" s="4223">
        <f t="shared" si="3"/>
        <v>6990.7568790869918</v>
      </c>
      <c r="N67" s="1009">
        <f t="shared" si="4"/>
        <v>6990.7568790869918</v>
      </c>
      <c r="O67" s="1009">
        <f t="shared" si="5"/>
        <v>0</v>
      </c>
    </row>
    <row r="68" spans="1:15">
      <c r="A68" s="237">
        <v>563000</v>
      </c>
      <c r="B68" s="112" t="s">
        <v>760</v>
      </c>
      <c r="C68" s="339">
        <v>0</v>
      </c>
      <c r="D68" s="339">
        <v>0</v>
      </c>
      <c r="E68" s="1008">
        <f t="shared" si="2"/>
        <v>0</v>
      </c>
      <c r="G68" s="1070">
        <v>17476.89219771748</v>
      </c>
      <c r="H68" s="1070">
        <v>0</v>
      </c>
      <c r="I68" s="1070">
        <v>0</v>
      </c>
      <c r="J68" s="1070">
        <v>0</v>
      </c>
      <c r="K68" s="1070">
        <v>0</v>
      </c>
      <c r="L68" s="4223">
        <f t="shared" si="3"/>
        <v>17476.89219771748</v>
      </c>
      <c r="N68" s="1009">
        <f t="shared" ref="N68:N97" si="10">C68+G68</f>
        <v>17476.89219771748</v>
      </c>
      <c r="O68" s="1009">
        <f t="shared" ref="O68:O97" si="11">D68+J68</f>
        <v>0</v>
      </c>
    </row>
    <row r="69" spans="1:15">
      <c r="A69" s="237">
        <v>565010</v>
      </c>
      <c r="B69" s="112" t="s">
        <v>761</v>
      </c>
      <c r="C69" s="339">
        <v>0</v>
      </c>
      <c r="D69" s="339">
        <v>0</v>
      </c>
      <c r="E69" s="1008">
        <f t="shared" si="2"/>
        <v>0</v>
      </c>
      <c r="G69" s="1070">
        <v>0</v>
      </c>
      <c r="H69" s="1070">
        <v>0</v>
      </c>
      <c r="I69" s="1070">
        <v>0</v>
      </c>
      <c r="J69" s="1070">
        <v>0</v>
      </c>
      <c r="K69" s="1070">
        <v>0</v>
      </c>
      <c r="L69" s="4223">
        <f t="shared" si="3"/>
        <v>0</v>
      </c>
      <c r="N69" s="1009">
        <f t="shared" si="10"/>
        <v>0</v>
      </c>
      <c r="O69" s="1009">
        <f t="shared" si="11"/>
        <v>0</v>
      </c>
    </row>
    <row r="70" spans="1:15">
      <c r="A70" s="237">
        <v>566000</v>
      </c>
      <c r="B70" s="112" t="s">
        <v>762</v>
      </c>
      <c r="C70" s="339">
        <v>260000</v>
      </c>
      <c r="D70" s="339">
        <v>0</v>
      </c>
      <c r="E70" s="1008">
        <f t="shared" si="2"/>
        <v>260000</v>
      </c>
      <c r="G70" s="1070">
        <v>193536.47547941536</v>
      </c>
      <c r="H70" s="1070">
        <v>0</v>
      </c>
      <c r="I70" s="1070">
        <v>0</v>
      </c>
      <c r="J70" s="1070">
        <v>0</v>
      </c>
      <c r="K70" s="1070">
        <v>0</v>
      </c>
      <c r="L70" s="4223">
        <f t="shared" si="3"/>
        <v>193536.47547941536</v>
      </c>
      <c r="N70" s="1009">
        <f t="shared" si="10"/>
        <v>453536.47547941539</v>
      </c>
      <c r="O70" s="1009">
        <f t="shared" si="11"/>
        <v>0</v>
      </c>
    </row>
    <row r="71" spans="1:15">
      <c r="A71" s="237">
        <v>567000</v>
      </c>
      <c r="B71" s="112" t="s">
        <v>2190</v>
      </c>
      <c r="C71" s="339">
        <v>0</v>
      </c>
      <c r="D71" s="339">
        <v>0</v>
      </c>
      <c r="E71" s="1008">
        <f t="shared" si="2"/>
        <v>0</v>
      </c>
      <c r="G71" s="1070">
        <v>0</v>
      </c>
      <c r="H71" s="1070">
        <v>0</v>
      </c>
      <c r="I71" s="1070">
        <v>0</v>
      </c>
      <c r="J71" s="1070">
        <v>0</v>
      </c>
      <c r="K71" s="1070">
        <v>0</v>
      </c>
      <c r="L71" s="4223">
        <f t="shared" si="3"/>
        <v>0</v>
      </c>
      <c r="N71" s="1009">
        <f t="shared" si="10"/>
        <v>0</v>
      </c>
      <c r="O71" s="1009">
        <f t="shared" si="11"/>
        <v>0</v>
      </c>
    </row>
    <row r="72" spans="1:15">
      <c r="A72" s="237">
        <v>568000</v>
      </c>
      <c r="B72" s="112" t="s">
        <v>763</v>
      </c>
      <c r="C72" s="339">
        <v>0</v>
      </c>
      <c r="D72" s="339">
        <v>0</v>
      </c>
      <c r="E72" s="1008">
        <f t="shared" si="2"/>
        <v>0</v>
      </c>
      <c r="G72" s="1070">
        <v>58285.486569684312</v>
      </c>
      <c r="H72" s="1070">
        <v>0</v>
      </c>
      <c r="I72" s="1070">
        <v>0</v>
      </c>
      <c r="J72" s="1070">
        <v>0</v>
      </c>
      <c r="K72" s="1070">
        <v>0</v>
      </c>
      <c r="L72" s="4223">
        <f t="shared" si="3"/>
        <v>58285.486569684312</v>
      </c>
      <c r="N72" s="1009">
        <f t="shared" si="10"/>
        <v>58285.486569684312</v>
      </c>
      <c r="O72" s="1009">
        <f t="shared" si="11"/>
        <v>0</v>
      </c>
    </row>
    <row r="73" spans="1:15">
      <c r="A73" s="237">
        <v>570000</v>
      </c>
      <c r="B73" s="112" t="s">
        <v>764</v>
      </c>
      <c r="C73" s="339">
        <v>70000</v>
      </c>
      <c r="D73" s="339">
        <v>0</v>
      </c>
      <c r="E73" s="1008">
        <f t="shared" si="2"/>
        <v>70000</v>
      </c>
      <c r="G73" s="1070">
        <v>252971.9408018484</v>
      </c>
      <c r="H73" s="1070">
        <v>0</v>
      </c>
      <c r="I73" s="1070">
        <v>0</v>
      </c>
      <c r="J73" s="1070">
        <v>0</v>
      </c>
      <c r="K73" s="1070">
        <v>0</v>
      </c>
      <c r="L73" s="4223">
        <f t="shared" si="3"/>
        <v>252971.9408018484</v>
      </c>
      <c r="N73" s="1009">
        <f t="shared" si="10"/>
        <v>322971.94080184842</v>
      </c>
      <c r="O73" s="1009">
        <f t="shared" si="11"/>
        <v>0</v>
      </c>
    </row>
    <row r="74" spans="1:15">
      <c r="A74" s="237">
        <v>570010</v>
      </c>
      <c r="B74" s="112" t="s">
        <v>2137</v>
      </c>
      <c r="C74" s="339">
        <v>0</v>
      </c>
      <c r="D74" s="339">
        <v>0</v>
      </c>
      <c r="E74" s="1008">
        <f t="shared" ref="E74:E137" si="12">SUM(C74:D74)</f>
        <v>0</v>
      </c>
      <c r="G74" s="1070">
        <v>0</v>
      </c>
      <c r="H74" s="1070">
        <v>0</v>
      </c>
      <c r="I74" s="1070">
        <v>0</v>
      </c>
      <c r="J74" s="1070">
        <v>64691.782174827342</v>
      </c>
      <c r="K74" s="1070">
        <v>0</v>
      </c>
      <c r="L74" s="4223">
        <f t="shared" ref="L74:L137" si="13">SUM(G74:K74)</f>
        <v>64691.782174827342</v>
      </c>
      <c r="N74" s="1009">
        <f t="shared" si="10"/>
        <v>0</v>
      </c>
      <c r="O74" s="1009">
        <f t="shared" si="11"/>
        <v>64691.782174827342</v>
      </c>
    </row>
    <row r="75" spans="1:15">
      <c r="A75" s="237">
        <v>571050</v>
      </c>
      <c r="B75" s="112" t="s">
        <v>765</v>
      </c>
      <c r="C75" s="339">
        <v>0</v>
      </c>
      <c r="D75" s="339">
        <v>0</v>
      </c>
      <c r="E75" s="1008">
        <f t="shared" si="12"/>
        <v>0</v>
      </c>
      <c r="G75" s="1070">
        <v>44564.716914519326</v>
      </c>
      <c r="H75" s="1070">
        <v>0</v>
      </c>
      <c r="I75" s="1070">
        <v>0</v>
      </c>
      <c r="J75" s="1070">
        <v>0</v>
      </c>
      <c r="K75" s="1070">
        <v>0</v>
      </c>
      <c r="L75" s="4223">
        <f t="shared" si="13"/>
        <v>44564.716914519326</v>
      </c>
      <c r="N75" s="1009">
        <f t="shared" si="10"/>
        <v>44564.716914519326</v>
      </c>
      <c r="O75" s="1009">
        <f t="shared" si="11"/>
        <v>0</v>
      </c>
    </row>
    <row r="76" spans="1:15">
      <c r="A76" s="112"/>
      <c r="B76" s="112"/>
      <c r="C76" s="339">
        <v>0</v>
      </c>
      <c r="D76" s="339">
        <v>0</v>
      </c>
      <c r="E76" s="1008">
        <f t="shared" si="12"/>
        <v>0</v>
      </c>
      <c r="G76" s="1070">
        <v>0</v>
      </c>
      <c r="H76" s="1070">
        <v>0</v>
      </c>
      <c r="I76" s="1070">
        <v>0</v>
      </c>
      <c r="J76" s="1070">
        <v>0</v>
      </c>
      <c r="K76" s="1070">
        <v>0</v>
      </c>
      <c r="L76" s="4223">
        <f t="shared" si="13"/>
        <v>0</v>
      </c>
      <c r="N76" s="1009">
        <f t="shared" si="10"/>
        <v>0</v>
      </c>
      <c r="O76" s="1009">
        <f t="shared" si="11"/>
        <v>0</v>
      </c>
    </row>
    <row r="77" spans="1:15">
      <c r="A77" s="241" t="s">
        <v>314</v>
      </c>
      <c r="B77" s="112"/>
      <c r="C77" s="339">
        <v>0</v>
      </c>
      <c r="D77" s="339">
        <v>0</v>
      </c>
      <c r="E77" s="1008">
        <f t="shared" si="12"/>
        <v>0</v>
      </c>
      <c r="G77" s="1070">
        <v>0</v>
      </c>
      <c r="H77" s="1070">
        <v>0</v>
      </c>
      <c r="I77" s="1070">
        <v>0</v>
      </c>
      <c r="J77" s="1070">
        <v>0</v>
      </c>
      <c r="K77" s="1070">
        <v>0</v>
      </c>
      <c r="L77" s="4223">
        <f t="shared" si="13"/>
        <v>0</v>
      </c>
      <c r="N77" s="1009">
        <f t="shared" si="10"/>
        <v>0</v>
      </c>
      <c r="O77" s="1009">
        <f t="shared" si="11"/>
        <v>0</v>
      </c>
    </row>
    <row r="78" spans="1:15">
      <c r="A78" s="237">
        <v>580000</v>
      </c>
      <c r="B78" s="112" t="s">
        <v>766</v>
      </c>
      <c r="C78" s="339">
        <v>210000</v>
      </c>
      <c r="D78" s="339">
        <v>0</v>
      </c>
      <c r="E78" s="1008">
        <f t="shared" si="12"/>
        <v>210000</v>
      </c>
      <c r="G78" s="1070">
        <v>129589.42667244549</v>
      </c>
      <c r="H78" s="1070">
        <v>0</v>
      </c>
      <c r="I78" s="1070">
        <v>0</v>
      </c>
      <c r="J78" s="1070">
        <v>0</v>
      </c>
      <c r="K78" s="1070">
        <v>0</v>
      </c>
      <c r="L78" s="4223">
        <f t="shared" si="13"/>
        <v>129589.42667244549</v>
      </c>
      <c r="N78" s="1009">
        <f t="shared" si="10"/>
        <v>339589.42667244549</v>
      </c>
      <c r="O78" s="1009">
        <f t="shared" si="11"/>
        <v>0</v>
      </c>
    </row>
    <row r="79" spans="1:15">
      <c r="A79" s="237">
        <v>581010</v>
      </c>
      <c r="B79" s="112" t="s">
        <v>767</v>
      </c>
      <c r="C79" s="339">
        <v>0</v>
      </c>
      <c r="D79" s="339">
        <v>0</v>
      </c>
      <c r="E79" s="1008">
        <f t="shared" si="12"/>
        <v>0</v>
      </c>
      <c r="G79" s="1070">
        <v>1209619.6353472651</v>
      </c>
      <c r="H79" s="1070">
        <v>0</v>
      </c>
      <c r="I79" s="1070">
        <v>0</v>
      </c>
      <c r="J79" s="1070">
        <v>0</v>
      </c>
      <c r="K79" s="1070">
        <v>0</v>
      </c>
      <c r="L79" s="4223">
        <f t="shared" si="13"/>
        <v>1209619.6353472651</v>
      </c>
      <c r="N79" s="1009">
        <f t="shared" si="10"/>
        <v>1209619.6353472651</v>
      </c>
      <c r="O79" s="1009">
        <f t="shared" si="11"/>
        <v>0</v>
      </c>
    </row>
    <row r="80" spans="1:15">
      <c r="A80" s="237">
        <v>582000</v>
      </c>
      <c r="B80" s="112" t="s">
        <v>768</v>
      </c>
      <c r="C80" s="339">
        <v>0</v>
      </c>
      <c r="D80" s="339">
        <v>0</v>
      </c>
      <c r="E80" s="1008">
        <f t="shared" si="12"/>
        <v>0</v>
      </c>
      <c r="G80" s="1070">
        <v>623909.35092550167</v>
      </c>
      <c r="H80" s="1070">
        <v>0</v>
      </c>
      <c r="I80" s="1070">
        <v>0</v>
      </c>
      <c r="J80" s="1070">
        <v>0</v>
      </c>
      <c r="K80" s="1070">
        <v>0</v>
      </c>
      <c r="L80" s="4223">
        <f t="shared" si="13"/>
        <v>623909.35092550167</v>
      </c>
      <c r="N80" s="1009">
        <f t="shared" si="10"/>
        <v>623909.35092550167</v>
      </c>
      <c r="O80" s="1009">
        <f t="shared" si="11"/>
        <v>0</v>
      </c>
    </row>
    <row r="81" spans="1:16">
      <c r="A81" s="237">
        <v>583000</v>
      </c>
      <c r="B81" s="112" t="s">
        <v>769</v>
      </c>
      <c r="C81" s="339">
        <v>0</v>
      </c>
      <c r="D81" s="339">
        <v>0</v>
      </c>
      <c r="E81" s="1008">
        <f t="shared" si="12"/>
        <v>0</v>
      </c>
      <c r="G81" s="1070">
        <v>1060645.8965733526</v>
      </c>
      <c r="H81" s="1070">
        <v>0</v>
      </c>
      <c r="I81" s="1070">
        <v>0</v>
      </c>
      <c r="J81" s="1070">
        <v>0</v>
      </c>
      <c r="K81" s="1070">
        <v>0</v>
      </c>
      <c r="L81" s="4223">
        <f t="shared" si="13"/>
        <v>1060645.8965733526</v>
      </c>
      <c r="N81" s="1009">
        <f t="shared" si="10"/>
        <v>1060645.8965733526</v>
      </c>
      <c r="O81" s="1009">
        <f t="shared" si="11"/>
        <v>0</v>
      </c>
    </row>
    <row r="82" spans="1:16">
      <c r="A82" s="237">
        <v>584000</v>
      </c>
      <c r="B82" s="112" t="s">
        <v>2164</v>
      </c>
      <c r="C82" s="339">
        <v>0</v>
      </c>
      <c r="D82" s="339">
        <v>0</v>
      </c>
      <c r="E82" s="1008">
        <f t="shared" si="12"/>
        <v>0</v>
      </c>
      <c r="G82" s="1070">
        <v>0</v>
      </c>
      <c r="H82" s="1070">
        <v>0</v>
      </c>
      <c r="I82" s="1070">
        <v>0</v>
      </c>
      <c r="J82" s="1070">
        <v>0</v>
      </c>
      <c r="K82" s="1070">
        <v>0</v>
      </c>
      <c r="L82" s="4223">
        <f t="shared" si="13"/>
        <v>0</v>
      </c>
      <c r="N82" s="1009">
        <f t="shared" si="10"/>
        <v>0</v>
      </c>
      <c r="O82" s="1009">
        <f t="shared" si="11"/>
        <v>0</v>
      </c>
    </row>
    <row r="83" spans="1:16">
      <c r="A83" s="237">
        <v>586000</v>
      </c>
      <c r="B83" s="112" t="s">
        <v>2165</v>
      </c>
      <c r="C83" s="339">
        <v>0</v>
      </c>
      <c r="D83" s="339">
        <v>0</v>
      </c>
      <c r="E83" s="1008">
        <f t="shared" si="12"/>
        <v>0</v>
      </c>
      <c r="G83" s="1070">
        <v>0</v>
      </c>
      <c r="H83" s="1070">
        <v>0</v>
      </c>
      <c r="I83" s="1070">
        <v>0</v>
      </c>
      <c r="J83" s="1070">
        <v>0</v>
      </c>
      <c r="K83" s="1070">
        <v>0</v>
      </c>
      <c r="L83" s="4223">
        <f t="shared" si="13"/>
        <v>0</v>
      </c>
      <c r="N83" s="1009">
        <f t="shared" si="10"/>
        <v>0</v>
      </c>
      <c r="O83" s="1009">
        <f t="shared" si="11"/>
        <v>0</v>
      </c>
    </row>
    <row r="84" spans="1:16">
      <c r="A84" s="237">
        <v>584010</v>
      </c>
      <c r="B84" s="112" t="s">
        <v>770</v>
      </c>
      <c r="C84" s="339">
        <v>0</v>
      </c>
      <c r="D84" s="339">
        <v>0</v>
      </c>
      <c r="E84" s="1008">
        <f t="shared" si="12"/>
        <v>0</v>
      </c>
      <c r="G84" s="1070">
        <v>124781.87018510036</v>
      </c>
      <c r="H84" s="1070">
        <v>0</v>
      </c>
      <c r="I84" s="1070">
        <v>0</v>
      </c>
      <c r="J84" s="1070">
        <v>0</v>
      </c>
      <c r="K84" s="1070">
        <v>0</v>
      </c>
      <c r="L84" s="4223">
        <f t="shared" si="13"/>
        <v>124781.87018510036</v>
      </c>
      <c r="N84" s="1009">
        <f t="shared" si="10"/>
        <v>124781.87018510036</v>
      </c>
      <c r="O84" s="1009">
        <f t="shared" si="11"/>
        <v>0</v>
      </c>
    </row>
    <row r="85" spans="1:16">
      <c r="A85" s="237">
        <v>586010</v>
      </c>
      <c r="B85" s="112" t="s">
        <v>771</v>
      </c>
      <c r="C85" s="339">
        <v>0</v>
      </c>
      <c r="D85" s="339">
        <v>0</v>
      </c>
      <c r="E85" s="1008">
        <f t="shared" si="12"/>
        <v>0</v>
      </c>
      <c r="G85" s="1070">
        <v>1622203.7422611027</v>
      </c>
      <c r="H85" s="1070">
        <v>0</v>
      </c>
      <c r="I85" s="1070">
        <v>0</v>
      </c>
      <c r="J85" s="1070">
        <v>0</v>
      </c>
      <c r="K85" s="1070">
        <v>0</v>
      </c>
      <c r="L85" s="4223">
        <f t="shared" si="13"/>
        <v>1622203.7422611027</v>
      </c>
      <c r="N85" s="1009">
        <f t="shared" si="10"/>
        <v>1622203.7422611027</v>
      </c>
      <c r="O85" s="1009">
        <f t="shared" si="11"/>
        <v>0</v>
      </c>
    </row>
    <row r="86" spans="1:16">
      <c r="A86" s="237">
        <v>587000</v>
      </c>
      <c r="B86" s="112" t="s">
        <v>772</v>
      </c>
      <c r="C86" s="339">
        <v>0</v>
      </c>
      <c r="D86" s="339">
        <v>0</v>
      </c>
      <c r="E86" s="1008">
        <f t="shared" si="12"/>
        <v>0</v>
      </c>
      <c r="G86" s="1070">
        <v>41578.533308400074</v>
      </c>
      <c r="H86" s="1070">
        <v>0</v>
      </c>
      <c r="I86" s="1070">
        <v>0</v>
      </c>
      <c r="J86" s="1070">
        <v>0</v>
      </c>
      <c r="K86" s="1070">
        <v>0</v>
      </c>
      <c r="L86" s="4223">
        <f t="shared" si="13"/>
        <v>41578.533308400074</v>
      </c>
      <c r="N86" s="1009">
        <f t="shared" si="10"/>
        <v>41578.533308400074</v>
      </c>
      <c r="O86" s="1009">
        <f t="shared" si="11"/>
        <v>0</v>
      </c>
    </row>
    <row r="87" spans="1:16">
      <c r="A87" s="237">
        <v>588000</v>
      </c>
      <c r="B87" s="112" t="s">
        <v>773</v>
      </c>
      <c r="C87" s="339">
        <v>1905766.9649999999</v>
      </c>
      <c r="D87" s="4219">
        <v>816983.03499999992</v>
      </c>
      <c r="E87" s="1008">
        <f t="shared" si="12"/>
        <v>2722750</v>
      </c>
      <c r="G87" s="1070">
        <v>3707403.2077245796</v>
      </c>
      <c r="H87" s="1070">
        <v>0</v>
      </c>
      <c r="I87" s="1070">
        <v>0</v>
      </c>
      <c r="J87" s="1070">
        <v>0</v>
      </c>
      <c r="K87" s="1070">
        <v>0</v>
      </c>
      <c r="L87" s="4223">
        <f t="shared" si="13"/>
        <v>3707403.2077245796</v>
      </c>
      <c r="N87" s="1528">
        <f>C87+G87+D87</f>
        <v>6430153.2077245796</v>
      </c>
      <c r="O87" s="1528">
        <v>0</v>
      </c>
      <c r="P87" s="2" t="s">
        <v>2191</v>
      </c>
    </row>
    <row r="88" spans="1:16">
      <c r="A88" s="237">
        <v>588030</v>
      </c>
      <c r="B88" s="112" t="s">
        <v>774</v>
      </c>
      <c r="C88" s="339">
        <v>310558.3</v>
      </c>
      <c r="D88" s="4219">
        <v>456441.69999999995</v>
      </c>
      <c r="E88" s="1008">
        <f t="shared" si="12"/>
        <v>767000</v>
      </c>
      <c r="G88" s="1070">
        <v>11374.900800230587</v>
      </c>
      <c r="H88" s="1070">
        <v>0</v>
      </c>
      <c r="I88" s="1070">
        <v>0</v>
      </c>
      <c r="J88" s="1070">
        <v>0</v>
      </c>
      <c r="K88" s="1070">
        <v>0</v>
      </c>
      <c r="L88" s="4223">
        <f t="shared" si="13"/>
        <v>11374.900800230587</v>
      </c>
      <c r="N88" s="1528">
        <f>C88+G88+D88</f>
        <v>778374.90080023045</v>
      </c>
      <c r="O88" s="1528">
        <v>0</v>
      </c>
      <c r="P88" s="2" t="s">
        <v>2191</v>
      </c>
    </row>
    <row r="89" spans="1:16">
      <c r="A89" s="237">
        <v>590000</v>
      </c>
      <c r="B89" s="112" t="s">
        <v>775</v>
      </c>
      <c r="C89" s="339">
        <v>0</v>
      </c>
      <c r="D89" s="339">
        <v>0</v>
      </c>
      <c r="E89" s="1008">
        <f t="shared" si="12"/>
        <v>0</v>
      </c>
      <c r="G89" s="1070">
        <v>326643.83043949131</v>
      </c>
      <c r="H89" s="1070">
        <v>0</v>
      </c>
      <c r="I89" s="1070">
        <v>0</v>
      </c>
      <c r="J89" s="1070">
        <v>0</v>
      </c>
      <c r="K89" s="1070">
        <v>0</v>
      </c>
      <c r="L89" s="4223">
        <f t="shared" si="13"/>
        <v>326643.83043949131</v>
      </c>
      <c r="N89" s="1009">
        <f t="shared" si="10"/>
        <v>326643.83043949131</v>
      </c>
      <c r="O89" s="1009">
        <f t="shared" si="11"/>
        <v>0</v>
      </c>
    </row>
    <row r="90" spans="1:16">
      <c r="A90" s="237">
        <v>592000</v>
      </c>
      <c r="B90" s="112" t="s">
        <v>776</v>
      </c>
      <c r="C90" s="339">
        <v>400000</v>
      </c>
      <c r="D90" s="339">
        <v>0</v>
      </c>
      <c r="E90" s="1008">
        <f t="shared" si="12"/>
        <v>400000</v>
      </c>
      <c r="G90" s="1070">
        <v>1268173.5001873581</v>
      </c>
      <c r="H90" s="1070">
        <v>0</v>
      </c>
      <c r="I90" s="1070">
        <v>0</v>
      </c>
      <c r="J90" s="1070">
        <v>0</v>
      </c>
      <c r="K90" s="1070">
        <v>0</v>
      </c>
      <c r="L90" s="4223">
        <f t="shared" si="13"/>
        <v>1268173.5001873581</v>
      </c>
      <c r="N90" s="1009">
        <f t="shared" si="10"/>
        <v>1668173.5001873581</v>
      </c>
      <c r="O90" s="1009">
        <f t="shared" si="11"/>
        <v>0</v>
      </c>
    </row>
    <row r="91" spans="1:16">
      <c r="A91" s="237">
        <v>593000</v>
      </c>
      <c r="B91" s="112" t="s">
        <v>777</v>
      </c>
      <c r="C91" s="339">
        <v>0</v>
      </c>
      <c r="D91" s="339">
        <v>0</v>
      </c>
      <c r="E91" s="1008">
        <f t="shared" si="12"/>
        <v>0</v>
      </c>
      <c r="G91" s="1070">
        <v>0</v>
      </c>
      <c r="H91" s="1070">
        <v>0</v>
      </c>
      <c r="I91" s="1070">
        <v>0</v>
      </c>
      <c r="J91" s="1070">
        <v>0</v>
      </c>
      <c r="K91" s="1070">
        <v>0</v>
      </c>
      <c r="L91" s="4223">
        <f t="shared" si="13"/>
        <v>0</v>
      </c>
      <c r="N91" s="1009">
        <f t="shared" si="10"/>
        <v>0</v>
      </c>
      <c r="O91" s="1009">
        <f t="shared" si="11"/>
        <v>0</v>
      </c>
    </row>
    <row r="92" spans="1:16">
      <c r="A92" s="237">
        <v>593010</v>
      </c>
      <c r="B92" s="112" t="s">
        <v>778</v>
      </c>
      <c r="C92" s="339">
        <v>0</v>
      </c>
      <c r="D92" s="339">
        <v>0</v>
      </c>
      <c r="E92" s="1008">
        <f t="shared" si="12"/>
        <v>0</v>
      </c>
      <c r="G92" s="1070">
        <v>4145.7454535350616</v>
      </c>
      <c r="H92" s="1070">
        <v>0</v>
      </c>
      <c r="I92" s="1070">
        <v>0</v>
      </c>
      <c r="J92" s="1070">
        <v>0</v>
      </c>
      <c r="K92" s="1070">
        <v>0</v>
      </c>
      <c r="L92" s="4223">
        <f t="shared" si="13"/>
        <v>4145.7454535350616</v>
      </c>
      <c r="N92" s="1009">
        <f t="shared" si="10"/>
        <v>4145.7454535350616</v>
      </c>
      <c r="O92" s="1009">
        <f t="shared" si="11"/>
        <v>0</v>
      </c>
    </row>
    <row r="93" spans="1:16">
      <c r="A93" s="237">
        <v>594010</v>
      </c>
      <c r="B93" s="112" t="s">
        <v>779</v>
      </c>
      <c r="C93" s="339">
        <v>0</v>
      </c>
      <c r="D93" s="339">
        <v>0</v>
      </c>
      <c r="E93" s="1008">
        <f t="shared" si="12"/>
        <v>0</v>
      </c>
      <c r="G93" s="1070">
        <v>0</v>
      </c>
      <c r="H93" s="1070">
        <v>0</v>
      </c>
      <c r="I93" s="1070">
        <v>0</v>
      </c>
      <c r="J93" s="1070">
        <v>0</v>
      </c>
      <c r="K93" s="1070">
        <v>0</v>
      </c>
      <c r="L93" s="4223">
        <f t="shared" si="13"/>
        <v>0</v>
      </c>
      <c r="N93" s="1009">
        <f t="shared" si="10"/>
        <v>0</v>
      </c>
      <c r="O93" s="1009">
        <f t="shared" si="11"/>
        <v>0</v>
      </c>
    </row>
    <row r="94" spans="1:16">
      <c r="A94" s="237">
        <v>595000</v>
      </c>
      <c r="B94" s="112" t="s">
        <v>780</v>
      </c>
      <c r="C94" s="339">
        <v>0</v>
      </c>
      <c r="D94" s="339">
        <v>0</v>
      </c>
      <c r="E94" s="1008">
        <f t="shared" si="12"/>
        <v>0</v>
      </c>
      <c r="G94" s="1070">
        <v>0</v>
      </c>
      <c r="H94" s="1070">
        <v>0</v>
      </c>
      <c r="I94" s="1070">
        <v>0</v>
      </c>
      <c r="J94" s="1070">
        <v>0</v>
      </c>
      <c r="K94" s="1070">
        <v>0</v>
      </c>
      <c r="L94" s="4223">
        <f t="shared" si="13"/>
        <v>0</v>
      </c>
      <c r="N94" s="1009">
        <f t="shared" si="10"/>
        <v>0</v>
      </c>
      <c r="O94" s="1009">
        <f t="shared" si="11"/>
        <v>0</v>
      </c>
    </row>
    <row r="95" spans="1:16">
      <c r="A95" s="237">
        <v>596010</v>
      </c>
      <c r="B95" s="112" t="s">
        <v>781</v>
      </c>
      <c r="C95" s="339">
        <v>0</v>
      </c>
      <c r="D95" s="339">
        <v>0</v>
      </c>
      <c r="E95" s="1008">
        <f t="shared" si="12"/>
        <v>0</v>
      </c>
      <c r="G95" s="1070">
        <v>4112.1490478632859</v>
      </c>
      <c r="H95" s="1070">
        <v>0</v>
      </c>
      <c r="I95" s="1070">
        <v>0</v>
      </c>
      <c r="J95" s="1070">
        <v>0</v>
      </c>
      <c r="K95" s="1070">
        <v>0</v>
      </c>
      <c r="L95" s="4223">
        <f t="shared" si="13"/>
        <v>4112.1490478632859</v>
      </c>
      <c r="N95" s="1009">
        <f t="shared" si="10"/>
        <v>4112.1490478632859</v>
      </c>
      <c r="O95" s="1009">
        <f t="shared" si="11"/>
        <v>0</v>
      </c>
    </row>
    <row r="96" spans="1:16">
      <c r="A96" s="237">
        <v>597000</v>
      </c>
      <c r="B96" s="112" t="s">
        <v>782</v>
      </c>
      <c r="C96" s="339">
        <v>0</v>
      </c>
      <c r="D96" s="339">
        <v>0</v>
      </c>
      <c r="E96" s="1008">
        <f t="shared" si="12"/>
        <v>0</v>
      </c>
      <c r="G96" s="1070">
        <v>0</v>
      </c>
      <c r="H96" s="1070">
        <v>0</v>
      </c>
      <c r="I96" s="1070">
        <v>0</v>
      </c>
      <c r="J96" s="1070">
        <v>0</v>
      </c>
      <c r="K96" s="1070">
        <v>0</v>
      </c>
      <c r="L96" s="4223">
        <f t="shared" si="13"/>
        <v>0</v>
      </c>
      <c r="N96" s="1009">
        <f t="shared" si="10"/>
        <v>0</v>
      </c>
      <c r="O96" s="1009">
        <f t="shared" si="11"/>
        <v>0</v>
      </c>
    </row>
    <row r="97" spans="1:15">
      <c r="A97" s="112"/>
      <c r="B97" s="112"/>
      <c r="C97" s="339">
        <v>0</v>
      </c>
      <c r="D97" s="339">
        <v>0</v>
      </c>
      <c r="E97" s="1008">
        <f t="shared" si="12"/>
        <v>0</v>
      </c>
      <c r="G97" s="1070">
        <v>0</v>
      </c>
      <c r="H97" s="1070">
        <v>0</v>
      </c>
      <c r="I97" s="1070">
        <v>0</v>
      </c>
      <c r="J97" s="1070">
        <v>0</v>
      </c>
      <c r="K97" s="1070">
        <v>0</v>
      </c>
      <c r="L97" s="4223">
        <f t="shared" si="13"/>
        <v>0</v>
      </c>
      <c r="N97" s="1009">
        <f t="shared" si="10"/>
        <v>0</v>
      </c>
      <c r="O97" s="1009">
        <f t="shared" si="11"/>
        <v>0</v>
      </c>
    </row>
    <row r="98" spans="1:15">
      <c r="A98" s="241" t="s">
        <v>315</v>
      </c>
      <c r="B98" s="112"/>
      <c r="C98" s="339">
        <v>0</v>
      </c>
      <c r="D98" s="339">
        <v>0</v>
      </c>
      <c r="E98" s="1008">
        <f t="shared" si="12"/>
        <v>0</v>
      </c>
      <c r="G98" s="1070">
        <v>0</v>
      </c>
      <c r="H98" s="1070">
        <v>0</v>
      </c>
      <c r="I98" s="1070">
        <v>0</v>
      </c>
      <c r="J98" s="1070">
        <v>0</v>
      </c>
      <c r="K98" s="1070">
        <v>0</v>
      </c>
      <c r="L98" s="4223">
        <f t="shared" si="13"/>
        <v>0</v>
      </c>
      <c r="N98" s="1009">
        <f t="shared" ref="N98:N127" si="14">C98+G98</f>
        <v>0</v>
      </c>
      <c r="O98" s="1009">
        <f t="shared" ref="O98:O127" si="15">D98+J98</f>
        <v>0</v>
      </c>
    </row>
    <row r="99" spans="1:15">
      <c r="A99" s="237">
        <v>326421</v>
      </c>
      <c r="B99" s="112" t="s">
        <v>784</v>
      </c>
      <c r="C99" s="339">
        <v>0</v>
      </c>
      <c r="D99" s="339">
        <v>0</v>
      </c>
      <c r="E99" s="1008">
        <f t="shared" si="12"/>
        <v>0</v>
      </c>
      <c r="G99" s="1070">
        <v>0</v>
      </c>
      <c r="H99" s="1070">
        <v>0</v>
      </c>
      <c r="I99" s="1070">
        <v>0</v>
      </c>
      <c r="J99" s="1070">
        <v>0</v>
      </c>
      <c r="K99" s="1070">
        <v>0</v>
      </c>
      <c r="L99" s="4223">
        <f t="shared" si="13"/>
        <v>0</v>
      </c>
      <c r="N99" s="1009">
        <f t="shared" si="14"/>
        <v>0</v>
      </c>
      <c r="O99" s="1009">
        <f t="shared" si="15"/>
        <v>0</v>
      </c>
    </row>
    <row r="100" spans="1:15">
      <c r="A100" s="237">
        <v>326422</v>
      </c>
      <c r="B100" s="112" t="s">
        <v>785</v>
      </c>
      <c r="C100" s="339">
        <v>0</v>
      </c>
      <c r="D100" s="339">
        <v>0</v>
      </c>
      <c r="E100" s="1008">
        <f t="shared" si="12"/>
        <v>0</v>
      </c>
      <c r="G100" s="1070">
        <v>0</v>
      </c>
      <c r="H100" s="1070">
        <v>0</v>
      </c>
      <c r="I100" s="1070">
        <v>0</v>
      </c>
      <c r="J100" s="1070">
        <v>0</v>
      </c>
      <c r="K100" s="1070">
        <v>0</v>
      </c>
      <c r="L100" s="4223">
        <f t="shared" si="13"/>
        <v>0</v>
      </c>
      <c r="N100" s="1009">
        <f t="shared" si="14"/>
        <v>0</v>
      </c>
      <c r="O100" s="1009">
        <f t="shared" si="15"/>
        <v>0</v>
      </c>
    </row>
    <row r="101" spans="1:15">
      <c r="A101" s="237">
        <v>935803</v>
      </c>
      <c r="B101" s="112" t="s">
        <v>786</v>
      </c>
      <c r="C101" s="339">
        <v>0</v>
      </c>
      <c r="D101" s="339">
        <v>0</v>
      </c>
      <c r="E101" s="1008">
        <f t="shared" si="12"/>
        <v>0</v>
      </c>
      <c r="G101" s="1070">
        <v>0</v>
      </c>
      <c r="H101" s="1070">
        <v>0</v>
      </c>
      <c r="I101" s="1070">
        <v>0</v>
      </c>
      <c r="J101" s="1070">
        <v>0</v>
      </c>
      <c r="K101" s="1070">
        <v>0</v>
      </c>
      <c r="L101" s="4223">
        <f t="shared" si="13"/>
        <v>0</v>
      </c>
      <c r="N101" s="1009">
        <f t="shared" si="14"/>
        <v>0</v>
      </c>
      <c r="O101" s="1009">
        <f t="shared" si="15"/>
        <v>0</v>
      </c>
    </row>
    <row r="102" spans="1:15">
      <c r="A102" s="237">
        <v>935804</v>
      </c>
      <c r="B102" s="112" t="s">
        <v>787</v>
      </c>
      <c r="C102" s="339">
        <v>0</v>
      </c>
      <c r="D102" s="339">
        <v>0</v>
      </c>
      <c r="E102" s="1008">
        <f t="shared" si="12"/>
        <v>0</v>
      </c>
      <c r="G102" s="1070">
        <v>0</v>
      </c>
      <c r="H102" s="1070">
        <v>0</v>
      </c>
      <c r="I102" s="1070">
        <v>0</v>
      </c>
      <c r="J102" s="1070">
        <v>0</v>
      </c>
      <c r="K102" s="1070">
        <v>0</v>
      </c>
      <c r="L102" s="4223">
        <f t="shared" si="13"/>
        <v>0</v>
      </c>
      <c r="N102" s="1009">
        <f t="shared" si="14"/>
        <v>0</v>
      </c>
      <c r="O102" s="1009">
        <f t="shared" si="15"/>
        <v>0</v>
      </c>
    </row>
    <row r="103" spans="1:15">
      <c r="A103" s="112"/>
      <c r="B103" s="112"/>
      <c r="C103" s="339">
        <v>0</v>
      </c>
      <c r="D103" s="339">
        <v>0</v>
      </c>
      <c r="E103" s="1008">
        <f t="shared" si="12"/>
        <v>0</v>
      </c>
      <c r="G103" s="1070">
        <v>0</v>
      </c>
      <c r="H103" s="1070">
        <v>0</v>
      </c>
      <c r="I103" s="1070">
        <v>0</v>
      </c>
      <c r="J103" s="1070">
        <v>0</v>
      </c>
      <c r="K103" s="1070">
        <v>0</v>
      </c>
      <c r="L103" s="4223">
        <f t="shared" si="13"/>
        <v>0</v>
      </c>
      <c r="N103" s="1009">
        <f t="shared" si="14"/>
        <v>0</v>
      </c>
      <c r="O103" s="1009">
        <f t="shared" si="15"/>
        <v>0</v>
      </c>
    </row>
    <row r="104" spans="1:15">
      <c r="A104" s="241" t="s">
        <v>316</v>
      </c>
      <c r="B104" s="4"/>
      <c r="C104" s="339">
        <v>0</v>
      </c>
      <c r="D104" s="339">
        <v>0</v>
      </c>
      <c r="E104" s="1008">
        <f t="shared" si="12"/>
        <v>0</v>
      </c>
      <c r="G104" s="1070">
        <v>0</v>
      </c>
      <c r="H104" s="1070">
        <v>0</v>
      </c>
      <c r="I104" s="1070">
        <v>0</v>
      </c>
      <c r="J104" s="1070">
        <v>0</v>
      </c>
      <c r="K104" s="1070">
        <v>0</v>
      </c>
      <c r="L104" s="4223">
        <f t="shared" si="13"/>
        <v>0</v>
      </c>
      <c r="N104" s="1009">
        <f t="shared" si="14"/>
        <v>0</v>
      </c>
      <c r="O104" s="1009">
        <f t="shared" si="15"/>
        <v>0</v>
      </c>
    </row>
    <row r="105" spans="1:15">
      <c r="A105" s="237">
        <v>901000</v>
      </c>
      <c r="B105" s="112" t="s">
        <v>788</v>
      </c>
      <c r="C105" s="339">
        <v>8574</v>
      </c>
      <c r="D105" s="339">
        <v>0</v>
      </c>
      <c r="E105" s="1008">
        <f t="shared" si="12"/>
        <v>8574</v>
      </c>
      <c r="G105" s="1070">
        <v>483142.50758680719</v>
      </c>
      <c r="H105" s="1070">
        <v>0</v>
      </c>
      <c r="I105" s="1070">
        <v>0</v>
      </c>
      <c r="J105" s="1070">
        <v>0</v>
      </c>
      <c r="K105" s="1070">
        <v>0</v>
      </c>
      <c r="L105" s="4223">
        <f t="shared" si="13"/>
        <v>483142.50758680719</v>
      </c>
      <c r="N105" s="1009">
        <f t="shared" si="14"/>
        <v>491716.50758680719</v>
      </c>
      <c r="O105" s="1009">
        <f t="shared" si="15"/>
        <v>0</v>
      </c>
    </row>
    <row r="106" spans="1:15">
      <c r="A106" s="237">
        <v>902000</v>
      </c>
      <c r="B106" s="112" t="s">
        <v>789</v>
      </c>
      <c r="C106" s="339">
        <v>3000</v>
      </c>
      <c r="D106" s="339">
        <v>0</v>
      </c>
      <c r="E106" s="1008">
        <f t="shared" si="12"/>
        <v>3000</v>
      </c>
      <c r="G106" s="1070">
        <v>828586.91989120597</v>
      </c>
      <c r="H106" s="1070">
        <v>0</v>
      </c>
      <c r="I106" s="1070">
        <v>0</v>
      </c>
      <c r="J106" s="1070">
        <v>0</v>
      </c>
      <c r="K106" s="1070">
        <v>0</v>
      </c>
      <c r="L106" s="4223">
        <f t="shared" si="13"/>
        <v>828586.91989120597</v>
      </c>
      <c r="N106" s="1009">
        <f t="shared" si="14"/>
        <v>831586.91989120597</v>
      </c>
      <c r="O106" s="1009">
        <f t="shared" si="15"/>
        <v>0</v>
      </c>
    </row>
    <row r="107" spans="1:15">
      <c r="A107" s="237">
        <v>903000</v>
      </c>
      <c r="B107" s="112" t="s">
        <v>790</v>
      </c>
      <c r="C107" s="339">
        <v>452960</v>
      </c>
      <c r="D107" s="339">
        <v>0</v>
      </c>
      <c r="E107" s="1008">
        <f t="shared" si="12"/>
        <v>452960</v>
      </c>
      <c r="G107" s="1070">
        <v>1834937.1128401316</v>
      </c>
      <c r="H107" s="1070">
        <v>0</v>
      </c>
      <c r="I107" s="1070">
        <v>0</v>
      </c>
      <c r="J107" s="1070">
        <v>0</v>
      </c>
      <c r="K107" s="1070">
        <v>0</v>
      </c>
      <c r="L107" s="4223">
        <f t="shared" si="13"/>
        <v>1834937.1128401316</v>
      </c>
      <c r="N107" s="1009">
        <f t="shared" si="14"/>
        <v>2287897.1128401319</v>
      </c>
      <c r="O107" s="1009">
        <f t="shared" si="15"/>
        <v>0</v>
      </c>
    </row>
    <row r="108" spans="1:15">
      <c r="A108" s="237">
        <v>903010</v>
      </c>
      <c r="B108" s="112" t="s">
        <v>791</v>
      </c>
      <c r="C108" s="339">
        <v>0</v>
      </c>
      <c r="D108" s="339">
        <v>0</v>
      </c>
      <c r="E108" s="1008">
        <f t="shared" si="12"/>
        <v>0</v>
      </c>
      <c r="G108" s="1070">
        <v>0</v>
      </c>
      <c r="H108" s="1070">
        <v>0</v>
      </c>
      <c r="I108" s="1070">
        <v>0</v>
      </c>
      <c r="J108" s="1070">
        <v>0</v>
      </c>
      <c r="K108" s="1070">
        <v>0</v>
      </c>
      <c r="L108" s="4223">
        <f t="shared" si="13"/>
        <v>0</v>
      </c>
      <c r="N108" s="1009">
        <f t="shared" si="14"/>
        <v>0</v>
      </c>
      <c r="O108" s="1009">
        <f t="shared" si="15"/>
        <v>0</v>
      </c>
    </row>
    <row r="109" spans="1:15">
      <c r="A109" s="237">
        <v>903030</v>
      </c>
      <c r="B109" s="112" t="s">
        <v>792</v>
      </c>
      <c r="C109" s="339">
        <v>0</v>
      </c>
      <c r="D109" s="339">
        <v>0</v>
      </c>
      <c r="E109" s="1008">
        <f t="shared" si="12"/>
        <v>0</v>
      </c>
      <c r="G109" s="1070">
        <v>0</v>
      </c>
      <c r="H109" s="1070">
        <v>0</v>
      </c>
      <c r="I109" s="1070">
        <v>0</v>
      </c>
      <c r="J109" s="1070">
        <v>0</v>
      </c>
      <c r="K109" s="1070">
        <v>0</v>
      </c>
      <c r="L109" s="4223">
        <f t="shared" si="13"/>
        <v>0</v>
      </c>
      <c r="N109" s="1009">
        <f t="shared" si="14"/>
        <v>0</v>
      </c>
      <c r="O109" s="1009">
        <f t="shared" si="15"/>
        <v>0</v>
      </c>
    </row>
    <row r="110" spans="1:15">
      <c r="A110" s="237">
        <v>904000</v>
      </c>
      <c r="B110" s="112" t="s">
        <v>793</v>
      </c>
      <c r="C110" s="339">
        <v>0</v>
      </c>
      <c r="D110" s="339">
        <v>0</v>
      </c>
      <c r="E110" s="1008">
        <f t="shared" si="12"/>
        <v>0</v>
      </c>
      <c r="G110" s="1070">
        <v>0</v>
      </c>
      <c r="H110" s="1070">
        <v>0</v>
      </c>
      <c r="I110" s="1070">
        <v>0</v>
      </c>
      <c r="J110" s="1070">
        <v>0</v>
      </c>
      <c r="K110" s="1070">
        <v>0</v>
      </c>
      <c r="L110" s="4223">
        <f t="shared" si="13"/>
        <v>0</v>
      </c>
      <c r="N110" s="1009">
        <f t="shared" si="14"/>
        <v>0</v>
      </c>
      <c r="O110" s="1009">
        <f t="shared" si="15"/>
        <v>0</v>
      </c>
    </row>
    <row r="111" spans="1:15">
      <c r="A111" s="237">
        <v>906100</v>
      </c>
      <c r="B111" s="112" t="s">
        <v>794</v>
      </c>
      <c r="C111" s="339">
        <v>2187931</v>
      </c>
      <c r="D111" s="339">
        <v>0</v>
      </c>
      <c r="E111" s="1008">
        <f t="shared" si="12"/>
        <v>2187931</v>
      </c>
      <c r="G111" s="1070">
        <v>196245</v>
      </c>
      <c r="H111" s="1070">
        <v>0</v>
      </c>
      <c r="I111" s="1070">
        <v>0</v>
      </c>
      <c r="J111" s="1070">
        <v>0</v>
      </c>
      <c r="K111" s="1070">
        <v>0</v>
      </c>
      <c r="L111" s="4223">
        <f t="shared" si="13"/>
        <v>196245</v>
      </c>
      <c r="N111" s="1009">
        <f t="shared" si="14"/>
        <v>2384176</v>
      </c>
      <c r="O111" s="1009">
        <f t="shared" si="15"/>
        <v>0</v>
      </c>
    </row>
    <row r="112" spans="1:15">
      <c r="A112" s="237">
        <v>908000</v>
      </c>
      <c r="B112" s="112" t="s">
        <v>795</v>
      </c>
      <c r="C112" s="339">
        <v>336000</v>
      </c>
      <c r="D112" s="339">
        <v>0</v>
      </c>
      <c r="E112" s="1008">
        <f t="shared" si="12"/>
        <v>336000</v>
      </c>
      <c r="G112" s="1070">
        <v>95418</v>
      </c>
      <c r="H112" s="1070">
        <v>0</v>
      </c>
      <c r="I112" s="1070">
        <v>0</v>
      </c>
      <c r="J112" s="1070">
        <v>0</v>
      </c>
      <c r="K112" s="1070">
        <v>0</v>
      </c>
      <c r="L112" s="4223">
        <f t="shared" si="13"/>
        <v>95418</v>
      </c>
      <c r="N112" s="1009">
        <f t="shared" si="14"/>
        <v>431418</v>
      </c>
      <c r="O112" s="1009">
        <f t="shared" si="15"/>
        <v>0</v>
      </c>
    </row>
    <row r="113" spans="1:15">
      <c r="A113" s="237">
        <v>909010</v>
      </c>
      <c r="B113" s="112" t="s">
        <v>796</v>
      </c>
      <c r="C113" s="339">
        <v>0</v>
      </c>
      <c r="D113" s="339">
        <v>0</v>
      </c>
      <c r="E113" s="1008">
        <f t="shared" si="12"/>
        <v>0</v>
      </c>
      <c r="G113" s="1070">
        <v>0</v>
      </c>
      <c r="H113" s="1070">
        <v>0</v>
      </c>
      <c r="I113" s="1070">
        <v>0</v>
      </c>
      <c r="J113" s="1070">
        <v>0</v>
      </c>
      <c r="K113" s="1070">
        <v>0</v>
      </c>
      <c r="L113" s="4223">
        <f t="shared" si="13"/>
        <v>0</v>
      </c>
      <c r="N113" s="1009">
        <f t="shared" si="14"/>
        <v>0</v>
      </c>
      <c r="O113" s="1009">
        <f t="shared" si="15"/>
        <v>0</v>
      </c>
    </row>
    <row r="114" spans="1:15">
      <c r="A114" s="237">
        <v>910020</v>
      </c>
      <c r="B114" s="112" t="s">
        <v>797</v>
      </c>
      <c r="C114" s="339">
        <v>0</v>
      </c>
      <c r="D114" s="339">
        <v>0</v>
      </c>
      <c r="E114" s="1008">
        <f t="shared" si="12"/>
        <v>0</v>
      </c>
      <c r="G114" s="1070">
        <v>0</v>
      </c>
      <c r="H114" s="1070">
        <v>0</v>
      </c>
      <c r="I114" s="1070">
        <v>0</v>
      </c>
      <c r="J114" s="1070">
        <v>0</v>
      </c>
      <c r="K114" s="1070">
        <v>0</v>
      </c>
      <c r="L114" s="4223">
        <f t="shared" si="13"/>
        <v>0</v>
      </c>
      <c r="N114" s="1009">
        <f t="shared" si="14"/>
        <v>0</v>
      </c>
      <c r="O114" s="1009">
        <f t="shared" si="15"/>
        <v>0</v>
      </c>
    </row>
    <row r="115" spans="1:15">
      <c r="A115" s="241"/>
      <c r="B115" s="241"/>
      <c r="C115" s="339">
        <v>0</v>
      </c>
      <c r="D115" s="339">
        <v>0</v>
      </c>
      <c r="E115" s="1008">
        <f t="shared" si="12"/>
        <v>0</v>
      </c>
      <c r="G115" s="1070">
        <v>0</v>
      </c>
      <c r="H115" s="1070">
        <v>0</v>
      </c>
      <c r="I115" s="1070">
        <v>0</v>
      </c>
      <c r="J115" s="1070">
        <v>0</v>
      </c>
      <c r="K115" s="1070">
        <v>0</v>
      </c>
      <c r="L115" s="4223">
        <f t="shared" si="13"/>
        <v>0</v>
      </c>
      <c r="N115" s="1009">
        <f t="shared" si="14"/>
        <v>0</v>
      </c>
      <c r="O115" s="1009">
        <f t="shared" si="15"/>
        <v>0</v>
      </c>
    </row>
    <row r="116" spans="1:15">
      <c r="A116" s="241" t="s">
        <v>317</v>
      </c>
      <c r="B116" s="241"/>
      <c r="C116" s="339">
        <v>0</v>
      </c>
      <c r="D116" s="339">
        <v>0</v>
      </c>
      <c r="E116" s="1008">
        <f t="shared" si="12"/>
        <v>0</v>
      </c>
      <c r="G116" s="1070">
        <v>0</v>
      </c>
      <c r="H116" s="1070">
        <v>0</v>
      </c>
      <c r="I116" s="1070">
        <v>0</v>
      </c>
      <c r="J116" s="1070">
        <v>0</v>
      </c>
      <c r="K116" s="1070">
        <v>0</v>
      </c>
      <c r="L116" s="4223">
        <f t="shared" si="13"/>
        <v>0</v>
      </c>
      <c r="N116" s="1009">
        <f t="shared" si="14"/>
        <v>0</v>
      </c>
      <c r="O116" s="1009">
        <f t="shared" si="15"/>
        <v>0</v>
      </c>
    </row>
    <row r="117" spans="1:15">
      <c r="A117" s="237">
        <v>326235</v>
      </c>
      <c r="B117" s="112" t="s">
        <v>798</v>
      </c>
      <c r="C117" s="339">
        <v>0</v>
      </c>
      <c r="D117" s="339">
        <v>0</v>
      </c>
      <c r="E117" s="1008">
        <f t="shared" si="12"/>
        <v>0</v>
      </c>
      <c r="G117" s="1070">
        <v>0</v>
      </c>
      <c r="H117" s="1070">
        <v>0</v>
      </c>
      <c r="I117" s="1070">
        <v>0</v>
      </c>
      <c r="J117" s="1070">
        <v>0</v>
      </c>
      <c r="K117" s="1070">
        <v>0</v>
      </c>
      <c r="L117" s="4223">
        <f t="shared" si="13"/>
        <v>0</v>
      </c>
      <c r="N117" s="1009">
        <f t="shared" si="14"/>
        <v>0</v>
      </c>
      <c r="O117" s="1009">
        <f t="shared" si="15"/>
        <v>0</v>
      </c>
    </row>
    <row r="118" spans="1:15">
      <c r="A118" s="237">
        <v>326410</v>
      </c>
      <c r="B118" s="112" t="s">
        <v>799</v>
      </c>
      <c r="C118" s="339">
        <v>0</v>
      </c>
      <c r="D118" s="339">
        <v>0</v>
      </c>
      <c r="E118" s="1008">
        <f t="shared" si="12"/>
        <v>0</v>
      </c>
      <c r="G118" s="1070">
        <v>0</v>
      </c>
      <c r="H118" s="1070">
        <v>0</v>
      </c>
      <c r="I118" s="1070">
        <v>0</v>
      </c>
      <c r="J118" s="1070">
        <v>0</v>
      </c>
      <c r="K118" s="1070">
        <v>0</v>
      </c>
      <c r="L118" s="4223">
        <f t="shared" si="13"/>
        <v>0</v>
      </c>
      <c r="N118" s="1009">
        <f t="shared" si="14"/>
        <v>0</v>
      </c>
      <c r="O118" s="1009">
        <f t="shared" si="15"/>
        <v>0</v>
      </c>
    </row>
    <row r="119" spans="1:15">
      <c r="A119" s="237">
        <v>326510</v>
      </c>
      <c r="B119" s="112" t="s">
        <v>800</v>
      </c>
      <c r="C119" s="339">
        <v>0</v>
      </c>
      <c r="D119" s="339">
        <v>0</v>
      </c>
      <c r="E119" s="1008">
        <f t="shared" si="12"/>
        <v>0</v>
      </c>
      <c r="G119" s="1070">
        <v>0</v>
      </c>
      <c r="H119" s="1070">
        <v>0</v>
      </c>
      <c r="I119" s="1070">
        <v>0</v>
      </c>
      <c r="J119" s="1070">
        <v>0</v>
      </c>
      <c r="K119" s="1070">
        <v>0</v>
      </c>
      <c r="L119" s="4223">
        <f t="shared" si="13"/>
        <v>0</v>
      </c>
      <c r="N119" s="1009">
        <f t="shared" si="14"/>
        <v>0</v>
      </c>
      <c r="O119" s="1009">
        <f t="shared" si="15"/>
        <v>0</v>
      </c>
    </row>
    <row r="120" spans="1:15">
      <c r="A120" s="237">
        <v>326532</v>
      </c>
      <c r="B120" s="112" t="s">
        <v>801</v>
      </c>
      <c r="C120" s="339">
        <v>0</v>
      </c>
      <c r="D120" s="339">
        <v>0</v>
      </c>
      <c r="E120" s="1008">
        <f t="shared" si="12"/>
        <v>0</v>
      </c>
      <c r="G120" s="1070">
        <v>0</v>
      </c>
      <c r="H120" s="1070">
        <v>0</v>
      </c>
      <c r="I120" s="1070">
        <v>0</v>
      </c>
      <c r="J120" s="1070">
        <v>0</v>
      </c>
      <c r="K120" s="1070">
        <v>0</v>
      </c>
      <c r="L120" s="4223">
        <f t="shared" si="13"/>
        <v>0</v>
      </c>
      <c r="N120" s="1009">
        <f t="shared" si="14"/>
        <v>0</v>
      </c>
      <c r="O120" s="1009">
        <f t="shared" si="15"/>
        <v>0</v>
      </c>
    </row>
    <row r="121" spans="1:15">
      <c r="A121" s="237">
        <v>326720</v>
      </c>
      <c r="B121" s="112" t="s">
        <v>802</v>
      </c>
      <c r="C121" s="339">
        <v>0</v>
      </c>
      <c r="D121" s="339">
        <v>0</v>
      </c>
      <c r="E121" s="1008">
        <f t="shared" si="12"/>
        <v>0</v>
      </c>
      <c r="G121" s="1070">
        <v>0</v>
      </c>
      <c r="H121" s="1070">
        <v>0</v>
      </c>
      <c r="I121" s="1070">
        <v>0</v>
      </c>
      <c r="J121" s="1070">
        <v>0</v>
      </c>
      <c r="K121" s="1070">
        <v>0</v>
      </c>
      <c r="L121" s="4223">
        <f t="shared" si="13"/>
        <v>0</v>
      </c>
      <c r="N121" s="1009">
        <f t="shared" si="14"/>
        <v>0</v>
      </c>
      <c r="O121" s="1009">
        <f t="shared" si="15"/>
        <v>0</v>
      </c>
    </row>
    <row r="122" spans="1:15">
      <c r="A122" s="237">
        <v>326724</v>
      </c>
      <c r="B122" s="112" t="s">
        <v>803</v>
      </c>
      <c r="C122" s="339">
        <v>0</v>
      </c>
      <c r="D122" s="339">
        <v>0</v>
      </c>
      <c r="E122" s="1008">
        <f t="shared" si="12"/>
        <v>0</v>
      </c>
      <c r="G122" s="1070">
        <v>0</v>
      </c>
      <c r="H122" s="1070">
        <v>0</v>
      </c>
      <c r="I122" s="1070">
        <v>0</v>
      </c>
      <c r="J122" s="1070">
        <v>0</v>
      </c>
      <c r="K122" s="1070">
        <v>0</v>
      </c>
      <c r="L122" s="4223">
        <f t="shared" si="13"/>
        <v>0</v>
      </c>
      <c r="N122" s="1009">
        <f t="shared" si="14"/>
        <v>0</v>
      </c>
      <c r="O122" s="1009">
        <f t="shared" si="15"/>
        <v>0</v>
      </c>
    </row>
    <row r="123" spans="1:15">
      <c r="A123" s="237">
        <v>326725</v>
      </c>
      <c r="B123" s="112" t="s">
        <v>804</v>
      </c>
      <c r="C123" s="339">
        <v>0</v>
      </c>
      <c r="D123" s="339">
        <v>0</v>
      </c>
      <c r="E123" s="1008">
        <f t="shared" si="12"/>
        <v>0</v>
      </c>
      <c r="G123" s="1070">
        <v>0</v>
      </c>
      <c r="H123" s="1070">
        <v>0</v>
      </c>
      <c r="I123" s="1070">
        <v>0</v>
      </c>
      <c r="J123" s="1070">
        <v>0</v>
      </c>
      <c r="K123" s="1070">
        <v>0</v>
      </c>
      <c r="L123" s="4223">
        <f t="shared" si="13"/>
        <v>0</v>
      </c>
      <c r="N123" s="1009">
        <f t="shared" si="14"/>
        <v>0</v>
      </c>
      <c r="O123" s="1009">
        <f t="shared" si="15"/>
        <v>0</v>
      </c>
    </row>
    <row r="124" spans="1:15">
      <c r="A124" s="237">
        <v>326728</v>
      </c>
      <c r="B124" s="112" t="s">
        <v>312</v>
      </c>
      <c r="C124" s="339">
        <v>0</v>
      </c>
      <c r="D124" s="339">
        <v>0</v>
      </c>
      <c r="E124" s="1008">
        <f t="shared" si="12"/>
        <v>0</v>
      </c>
      <c r="G124" s="1070">
        <v>0</v>
      </c>
      <c r="H124" s="1070">
        <v>0</v>
      </c>
      <c r="I124" s="1070">
        <v>0</v>
      </c>
      <c r="J124" s="1070">
        <v>0</v>
      </c>
      <c r="K124" s="1070">
        <v>0</v>
      </c>
      <c r="L124" s="4223">
        <f t="shared" si="13"/>
        <v>0</v>
      </c>
      <c r="N124" s="1009">
        <f t="shared" si="14"/>
        <v>0</v>
      </c>
      <c r="O124" s="1009">
        <f t="shared" si="15"/>
        <v>0</v>
      </c>
    </row>
    <row r="125" spans="1:15">
      <c r="A125" s="237">
        <v>923801</v>
      </c>
      <c r="B125" s="112" t="s">
        <v>805</v>
      </c>
      <c r="C125" s="339">
        <v>0</v>
      </c>
      <c r="D125" s="339">
        <v>0</v>
      </c>
      <c r="E125" s="1008">
        <f t="shared" si="12"/>
        <v>0</v>
      </c>
      <c r="G125" s="1070">
        <v>0</v>
      </c>
      <c r="H125" s="1070">
        <v>0</v>
      </c>
      <c r="I125" s="1070">
        <v>0</v>
      </c>
      <c r="J125" s="1070">
        <v>0</v>
      </c>
      <c r="K125" s="1070">
        <v>0</v>
      </c>
      <c r="L125" s="4223">
        <f t="shared" si="13"/>
        <v>0</v>
      </c>
      <c r="N125" s="1009">
        <f t="shared" si="14"/>
        <v>0</v>
      </c>
      <c r="O125" s="1009">
        <f t="shared" si="15"/>
        <v>0</v>
      </c>
    </row>
    <row r="126" spans="1:15">
      <c r="A126" s="237">
        <v>930801</v>
      </c>
      <c r="B126" s="112" t="s">
        <v>806</v>
      </c>
      <c r="C126" s="339">
        <v>0</v>
      </c>
      <c r="D126" s="339">
        <v>0</v>
      </c>
      <c r="E126" s="1008">
        <f t="shared" si="12"/>
        <v>0</v>
      </c>
      <c r="G126" s="1070">
        <v>243437.76059026155</v>
      </c>
      <c r="H126" s="1070">
        <v>0</v>
      </c>
      <c r="I126" s="1070">
        <v>0</v>
      </c>
      <c r="J126" s="1070">
        <v>0</v>
      </c>
      <c r="K126" s="1070">
        <v>0</v>
      </c>
      <c r="L126" s="4223">
        <f t="shared" si="13"/>
        <v>243437.76059026155</v>
      </c>
      <c r="N126" s="1009">
        <f t="shared" si="14"/>
        <v>243437.76059026155</v>
      </c>
      <c r="O126" s="1009">
        <f t="shared" si="15"/>
        <v>0</v>
      </c>
    </row>
    <row r="127" spans="1:15">
      <c r="A127" s="237">
        <v>935801</v>
      </c>
      <c r="B127" s="112" t="s">
        <v>807</v>
      </c>
      <c r="C127" s="339">
        <v>425000</v>
      </c>
      <c r="D127" s="339">
        <v>0</v>
      </c>
      <c r="E127" s="1008">
        <f t="shared" si="12"/>
        <v>425000</v>
      </c>
      <c r="G127" s="1070">
        <v>525218.18828418071</v>
      </c>
      <c r="H127" s="1070">
        <v>0</v>
      </c>
      <c r="I127" s="1070">
        <v>0</v>
      </c>
      <c r="J127" s="1070">
        <v>0</v>
      </c>
      <c r="K127" s="1070">
        <v>0</v>
      </c>
      <c r="L127" s="4223">
        <f t="shared" si="13"/>
        <v>525218.18828418071</v>
      </c>
      <c r="N127" s="1009">
        <f t="shared" si="14"/>
        <v>950218.18828418071</v>
      </c>
      <c r="O127" s="1009">
        <f t="shared" si="15"/>
        <v>0</v>
      </c>
    </row>
    <row r="128" spans="1:15">
      <c r="A128" s="237">
        <v>935802</v>
      </c>
      <c r="B128" s="112" t="s">
        <v>808</v>
      </c>
      <c r="C128" s="339">
        <v>0</v>
      </c>
      <c r="D128" s="339">
        <v>0</v>
      </c>
      <c r="E128" s="1008">
        <f t="shared" si="12"/>
        <v>0</v>
      </c>
      <c r="G128" s="1070">
        <v>0</v>
      </c>
      <c r="H128" s="1070">
        <v>0</v>
      </c>
      <c r="I128" s="1070">
        <v>0</v>
      </c>
      <c r="J128" s="1070">
        <v>0</v>
      </c>
      <c r="K128" s="1070">
        <v>0</v>
      </c>
      <c r="L128" s="4223">
        <f t="shared" si="13"/>
        <v>0</v>
      </c>
      <c r="N128" s="1009">
        <f t="shared" ref="N128:N157" si="16">C128+G128</f>
        <v>0</v>
      </c>
      <c r="O128" s="1009">
        <f t="shared" ref="O128:O157" si="17">D128+J128</f>
        <v>0</v>
      </c>
    </row>
    <row r="129" spans="1:15">
      <c r="A129" s="237">
        <v>935805</v>
      </c>
      <c r="B129" s="112" t="s">
        <v>809</v>
      </c>
      <c r="C129" s="339">
        <v>0</v>
      </c>
      <c r="D129" s="339">
        <v>0</v>
      </c>
      <c r="E129" s="1008">
        <f t="shared" si="12"/>
        <v>0</v>
      </c>
      <c r="G129" s="1070">
        <v>46288.354245689807</v>
      </c>
      <c r="H129" s="1070">
        <v>0</v>
      </c>
      <c r="I129" s="1070">
        <v>0</v>
      </c>
      <c r="J129" s="1070">
        <v>0</v>
      </c>
      <c r="K129" s="1070">
        <v>0</v>
      </c>
      <c r="L129" s="4223">
        <f t="shared" si="13"/>
        <v>46288.354245689807</v>
      </c>
      <c r="N129" s="1009">
        <f t="shared" si="16"/>
        <v>46288.354245689807</v>
      </c>
      <c r="O129" s="1009">
        <f t="shared" si="17"/>
        <v>0</v>
      </c>
    </row>
    <row r="130" spans="1:15">
      <c r="A130" s="237">
        <v>935806</v>
      </c>
      <c r="B130" s="112" t="s">
        <v>810</v>
      </c>
      <c r="C130" s="339">
        <v>150000</v>
      </c>
      <c r="D130" s="339">
        <v>0</v>
      </c>
      <c r="E130" s="1008">
        <f t="shared" si="12"/>
        <v>150000</v>
      </c>
      <c r="G130" s="1070">
        <v>0</v>
      </c>
      <c r="H130" s="1070">
        <v>0</v>
      </c>
      <c r="I130" s="1070">
        <v>0</v>
      </c>
      <c r="J130" s="1070">
        <v>0</v>
      </c>
      <c r="K130" s="1070">
        <v>0</v>
      </c>
      <c r="L130" s="4223">
        <f t="shared" si="13"/>
        <v>0</v>
      </c>
      <c r="N130" s="1009">
        <f t="shared" si="16"/>
        <v>150000</v>
      </c>
      <c r="O130" s="1009">
        <f t="shared" si="17"/>
        <v>0</v>
      </c>
    </row>
    <row r="131" spans="1:15">
      <c r="A131" s="237">
        <v>935807</v>
      </c>
      <c r="B131" s="112" t="s">
        <v>811</v>
      </c>
      <c r="C131" s="339">
        <v>90000</v>
      </c>
      <c r="D131" s="339">
        <v>0</v>
      </c>
      <c r="E131" s="1008">
        <f t="shared" si="12"/>
        <v>90000</v>
      </c>
      <c r="G131" s="1070">
        <v>0</v>
      </c>
      <c r="H131" s="1070">
        <v>0</v>
      </c>
      <c r="I131" s="1070">
        <v>0</v>
      </c>
      <c r="J131" s="1070">
        <v>0</v>
      </c>
      <c r="K131" s="1070">
        <v>0</v>
      </c>
      <c r="L131" s="4223">
        <f t="shared" si="13"/>
        <v>0</v>
      </c>
      <c r="N131" s="1009">
        <f t="shared" si="16"/>
        <v>90000</v>
      </c>
      <c r="O131" s="1009">
        <f t="shared" si="17"/>
        <v>0</v>
      </c>
    </row>
    <row r="132" spans="1:15">
      <c r="A132" s="241"/>
      <c r="B132" s="241"/>
      <c r="C132" s="339">
        <v>0</v>
      </c>
      <c r="D132" s="339">
        <v>0</v>
      </c>
      <c r="E132" s="1008">
        <f t="shared" si="12"/>
        <v>0</v>
      </c>
      <c r="G132" s="1070">
        <v>0</v>
      </c>
      <c r="H132" s="1070">
        <v>0</v>
      </c>
      <c r="I132" s="1070">
        <v>0</v>
      </c>
      <c r="J132" s="1070">
        <v>0</v>
      </c>
      <c r="K132" s="1070">
        <v>0</v>
      </c>
      <c r="L132" s="4223">
        <f t="shared" si="13"/>
        <v>0</v>
      </c>
      <c r="N132" s="1009">
        <f t="shared" si="16"/>
        <v>0</v>
      </c>
      <c r="O132" s="1009">
        <f t="shared" si="17"/>
        <v>0</v>
      </c>
    </row>
    <row r="133" spans="1:15">
      <c r="A133" s="241" t="s">
        <v>520</v>
      </c>
      <c r="B133" s="241"/>
      <c r="C133" s="339">
        <v>0</v>
      </c>
      <c r="D133" s="339">
        <v>0</v>
      </c>
      <c r="E133" s="1008">
        <f t="shared" si="12"/>
        <v>0</v>
      </c>
      <c r="G133" s="1070">
        <v>0</v>
      </c>
      <c r="H133" s="1070">
        <v>0</v>
      </c>
      <c r="I133" s="1070">
        <v>0</v>
      </c>
      <c r="J133" s="1070">
        <v>0</v>
      </c>
      <c r="K133" s="1070">
        <v>0</v>
      </c>
      <c r="L133" s="4223">
        <f t="shared" si="13"/>
        <v>0</v>
      </c>
      <c r="N133" s="1009">
        <f t="shared" si="16"/>
        <v>0</v>
      </c>
      <c r="O133" s="1009">
        <f t="shared" si="17"/>
        <v>0</v>
      </c>
    </row>
    <row r="134" spans="1:15">
      <c r="A134" s="237">
        <v>426500</v>
      </c>
      <c r="B134" s="112" t="s">
        <v>812</v>
      </c>
      <c r="C134" s="339">
        <v>0</v>
      </c>
      <c r="D134" s="339">
        <v>0</v>
      </c>
      <c r="E134" s="1008">
        <f t="shared" si="12"/>
        <v>0</v>
      </c>
      <c r="G134" s="1070">
        <v>0</v>
      </c>
      <c r="H134" s="1070">
        <v>0</v>
      </c>
      <c r="I134" s="1070">
        <v>0</v>
      </c>
      <c r="J134" s="1070">
        <v>0</v>
      </c>
      <c r="K134" s="1070">
        <v>0</v>
      </c>
      <c r="L134" s="4223">
        <f t="shared" si="13"/>
        <v>0</v>
      </c>
      <c r="N134" s="1009">
        <f t="shared" si="16"/>
        <v>0</v>
      </c>
      <c r="O134" s="1009">
        <f t="shared" si="17"/>
        <v>0</v>
      </c>
    </row>
    <row r="135" spans="1:15">
      <c r="A135" s="237">
        <v>920010</v>
      </c>
      <c r="B135" s="112" t="s">
        <v>813</v>
      </c>
      <c r="C135" s="339">
        <v>101225</v>
      </c>
      <c r="D135" s="339">
        <v>148775</v>
      </c>
      <c r="E135" s="1008">
        <f t="shared" si="12"/>
        <v>250000</v>
      </c>
      <c r="G135" s="1070">
        <v>111558.94024343346</v>
      </c>
      <c r="H135" s="1070">
        <v>0</v>
      </c>
      <c r="I135" s="1070">
        <v>0</v>
      </c>
      <c r="J135" s="1070">
        <v>172018.17686813133</v>
      </c>
      <c r="K135" s="1070">
        <v>0</v>
      </c>
      <c r="L135" s="4223">
        <f t="shared" si="13"/>
        <v>283577.11711156479</v>
      </c>
      <c r="N135" s="1009">
        <f t="shared" si="16"/>
        <v>212783.94024343346</v>
      </c>
      <c r="O135" s="1009">
        <f t="shared" si="17"/>
        <v>320793.17686813133</v>
      </c>
    </row>
    <row r="136" spans="1:15">
      <c r="A136" s="237">
        <v>920030</v>
      </c>
      <c r="B136" s="112" t="s">
        <v>814</v>
      </c>
      <c r="C136" s="339">
        <v>0</v>
      </c>
      <c r="D136" s="339">
        <v>0</v>
      </c>
      <c r="E136" s="1008">
        <f t="shared" si="12"/>
        <v>0</v>
      </c>
      <c r="G136" s="1070">
        <v>0</v>
      </c>
      <c r="H136" s="1070">
        <v>0</v>
      </c>
      <c r="I136" s="1070">
        <v>0</v>
      </c>
      <c r="J136" s="1070">
        <v>0</v>
      </c>
      <c r="K136" s="1070">
        <v>0</v>
      </c>
      <c r="L136" s="4223">
        <f t="shared" si="13"/>
        <v>0</v>
      </c>
      <c r="N136" s="1009">
        <f t="shared" si="16"/>
        <v>0</v>
      </c>
      <c r="O136" s="1009">
        <f t="shared" si="17"/>
        <v>0</v>
      </c>
    </row>
    <row r="137" spans="1:15">
      <c r="A137" s="237">
        <v>920050</v>
      </c>
      <c r="B137" s="112" t="s">
        <v>1843</v>
      </c>
      <c r="C137" s="339">
        <v>0</v>
      </c>
      <c r="D137" s="339">
        <v>0</v>
      </c>
      <c r="E137" s="1008">
        <f t="shared" si="12"/>
        <v>0</v>
      </c>
      <c r="G137" s="1070">
        <v>64127.53800270347</v>
      </c>
      <c r="H137" s="1070">
        <v>0</v>
      </c>
      <c r="I137" s="1070">
        <v>0</v>
      </c>
      <c r="J137" s="1070">
        <v>93749.284236944368</v>
      </c>
      <c r="K137" s="1070">
        <v>0</v>
      </c>
      <c r="L137" s="4223">
        <f t="shared" si="13"/>
        <v>157876.82223964785</v>
      </c>
      <c r="N137" s="1009">
        <f t="shared" si="16"/>
        <v>64127.53800270347</v>
      </c>
      <c r="O137" s="1009">
        <f t="shared" si="17"/>
        <v>93749.284236944368</v>
      </c>
    </row>
    <row r="138" spans="1:15" s="3094" customFormat="1">
      <c r="A138" s="237">
        <v>920060</v>
      </c>
      <c r="B138" s="4222" t="s">
        <v>1843</v>
      </c>
      <c r="C138" s="339">
        <v>0</v>
      </c>
      <c r="D138" s="339">
        <v>0</v>
      </c>
      <c r="E138" s="1008">
        <f t="shared" ref="E138:E170" si="18">SUM(C138:D138)</f>
        <v>0</v>
      </c>
      <c r="G138" s="1070">
        <v>45365.647025977414</v>
      </c>
      <c r="H138" s="1070">
        <v>0</v>
      </c>
      <c r="I138" s="1070">
        <v>0</v>
      </c>
      <c r="J138" s="1070">
        <v>66675.96084257646</v>
      </c>
      <c r="K138" s="1070">
        <v>0</v>
      </c>
      <c r="L138" s="4223">
        <f t="shared" ref="L138:L170" si="19">SUM(G138:K138)</f>
        <v>112041.60786855387</v>
      </c>
      <c r="N138" s="1009">
        <f t="shared" ref="N138" si="20">C138+G138</f>
        <v>45365.647025977414</v>
      </c>
      <c r="O138" s="1009">
        <f t="shared" ref="O138" si="21">D138+J138</f>
        <v>66675.96084257646</v>
      </c>
    </row>
    <row r="139" spans="1:15">
      <c r="A139" s="237">
        <v>921010</v>
      </c>
      <c r="B139" s="112" t="s">
        <v>815</v>
      </c>
      <c r="C139" s="339">
        <v>1546033.652</v>
      </c>
      <c r="D139" s="339">
        <v>1528332.348</v>
      </c>
      <c r="E139" s="1008">
        <f t="shared" si="18"/>
        <v>3074366</v>
      </c>
      <c r="G139" s="1070">
        <v>5029402.6225640746</v>
      </c>
      <c r="H139" s="1070">
        <v>0</v>
      </c>
      <c r="I139" s="1070">
        <v>0</v>
      </c>
      <c r="J139" s="1070">
        <v>10221769.255810913</v>
      </c>
      <c r="K139" s="1070">
        <v>0</v>
      </c>
      <c r="L139" s="4223">
        <f t="shared" si="19"/>
        <v>15251171.878374986</v>
      </c>
      <c r="N139" s="1009">
        <f t="shared" si="16"/>
        <v>6575436.2745640744</v>
      </c>
      <c r="O139" s="1009">
        <f t="shared" si="17"/>
        <v>11750101.603810912</v>
      </c>
    </row>
    <row r="140" spans="1:15">
      <c r="A140" s="237">
        <v>921030</v>
      </c>
      <c r="B140" s="112" t="s">
        <v>816</v>
      </c>
      <c r="C140" s="339">
        <v>0</v>
      </c>
      <c r="D140" s="339">
        <v>0</v>
      </c>
      <c r="E140" s="1008">
        <f t="shared" si="18"/>
        <v>0</v>
      </c>
      <c r="G140" s="1070">
        <v>0</v>
      </c>
      <c r="H140" s="1070">
        <v>0</v>
      </c>
      <c r="I140" s="1070">
        <v>0</v>
      </c>
      <c r="J140" s="1070">
        <v>0</v>
      </c>
      <c r="K140" s="1070">
        <v>0</v>
      </c>
      <c r="L140" s="4223">
        <f t="shared" si="19"/>
        <v>0</v>
      </c>
      <c r="N140" s="1009">
        <f t="shared" si="16"/>
        <v>0</v>
      </c>
      <c r="O140" s="1009">
        <f t="shared" si="17"/>
        <v>0</v>
      </c>
    </row>
    <row r="141" spans="1:15">
      <c r="A141" s="237">
        <v>921500</v>
      </c>
      <c r="B141" s="112" t="s">
        <v>817</v>
      </c>
      <c r="C141" s="339">
        <v>0</v>
      </c>
      <c r="D141" s="339">
        <v>0</v>
      </c>
      <c r="E141" s="1008">
        <f t="shared" si="18"/>
        <v>0</v>
      </c>
      <c r="G141" s="1070">
        <v>0</v>
      </c>
      <c r="H141" s="1070">
        <v>0</v>
      </c>
      <c r="I141" s="1070">
        <v>0</v>
      </c>
      <c r="J141" s="1070">
        <v>0</v>
      </c>
      <c r="K141" s="1070">
        <v>0</v>
      </c>
      <c r="L141" s="4223">
        <f t="shared" si="19"/>
        <v>0</v>
      </c>
      <c r="N141" s="1009">
        <f t="shared" si="16"/>
        <v>0</v>
      </c>
      <c r="O141" s="1009">
        <f t="shared" si="17"/>
        <v>0</v>
      </c>
    </row>
    <row r="142" spans="1:15">
      <c r="A142" s="237">
        <v>921600</v>
      </c>
      <c r="B142" s="112" t="s">
        <v>818</v>
      </c>
      <c r="C142" s="339">
        <v>0</v>
      </c>
      <c r="D142" s="339">
        <v>0</v>
      </c>
      <c r="E142" s="1008">
        <f t="shared" si="18"/>
        <v>0</v>
      </c>
      <c r="G142" s="1070">
        <v>0</v>
      </c>
      <c r="H142" s="1070">
        <v>0</v>
      </c>
      <c r="I142" s="1070">
        <v>0</v>
      </c>
      <c r="J142" s="1070">
        <v>0</v>
      </c>
      <c r="K142" s="1070">
        <v>0</v>
      </c>
      <c r="L142" s="4223">
        <f t="shared" si="19"/>
        <v>0</v>
      </c>
      <c r="N142" s="1009">
        <f t="shared" si="16"/>
        <v>0</v>
      </c>
      <c r="O142" s="1009">
        <f t="shared" si="17"/>
        <v>0</v>
      </c>
    </row>
    <row r="143" spans="1:15">
      <c r="A143" s="237">
        <v>923010</v>
      </c>
      <c r="B143" s="112" t="s">
        <v>819</v>
      </c>
      <c r="C143" s="339">
        <v>0</v>
      </c>
      <c r="D143" s="339">
        <v>0</v>
      </c>
      <c r="E143" s="1008">
        <f t="shared" si="18"/>
        <v>0</v>
      </c>
      <c r="G143" s="1070">
        <v>158154.16194467066</v>
      </c>
      <c r="H143" s="1070">
        <v>0</v>
      </c>
      <c r="I143" s="1070">
        <v>0</v>
      </c>
      <c r="J143" s="1070">
        <v>231209.47853454694</v>
      </c>
      <c r="K143" s="1070">
        <v>0</v>
      </c>
      <c r="L143" s="4223">
        <f t="shared" si="19"/>
        <v>389363.64047921763</v>
      </c>
      <c r="N143" s="1009">
        <f t="shared" si="16"/>
        <v>158154.16194467066</v>
      </c>
      <c r="O143" s="1009">
        <f t="shared" si="17"/>
        <v>231209.47853454694</v>
      </c>
    </row>
    <row r="144" spans="1:15">
      <c r="A144" s="237">
        <v>923020</v>
      </c>
      <c r="B144" s="112" t="s">
        <v>820</v>
      </c>
      <c r="C144" s="339">
        <v>101225</v>
      </c>
      <c r="D144" s="339">
        <v>148775</v>
      </c>
      <c r="E144" s="1008">
        <f t="shared" si="18"/>
        <v>250000</v>
      </c>
      <c r="G144" s="1070">
        <v>0</v>
      </c>
      <c r="H144" s="1070">
        <v>0</v>
      </c>
      <c r="I144" s="1070">
        <v>0</v>
      </c>
      <c r="J144" s="1070">
        <v>0</v>
      </c>
      <c r="K144" s="1070">
        <v>0</v>
      </c>
      <c r="L144" s="4223">
        <f t="shared" si="19"/>
        <v>0</v>
      </c>
      <c r="N144" s="1009">
        <f t="shared" si="16"/>
        <v>101225</v>
      </c>
      <c r="O144" s="1009">
        <f t="shared" si="17"/>
        <v>148775</v>
      </c>
    </row>
    <row r="145" spans="1:15">
      <c r="A145" s="237">
        <v>923030</v>
      </c>
      <c r="B145" s="112" t="s">
        <v>821</v>
      </c>
      <c r="C145" s="339">
        <v>0</v>
      </c>
      <c r="D145" s="339">
        <v>0</v>
      </c>
      <c r="E145" s="1008">
        <f t="shared" si="18"/>
        <v>0</v>
      </c>
      <c r="G145" s="1070">
        <v>49659.322744788369</v>
      </c>
      <c r="H145" s="1070">
        <v>0</v>
      </c>
      <c r="I145" s="1070">
        <v>0</v>
      </c>
      <c r="J145" s="1070">
        <v>0</v>
      </c>
      <c r="K145" s="1070">
        <v>0</v>
      </c>
      <c r="L145" s="4223">
        <f t="shared" si="19"/>
        <v>49659.322744788369</v>
      </c>
      <c r="N145" s="1009">
        <f t="shared" si="16"/>
        <v>49659.322744788369</v>
      </c>
      <c r="O145" s="1009">
        <f t="shared" si="17"/>
        <v>0</v>
      </c>
    </row>
    <row r="146" spans="1:15">
      <c r="A146" s="237">
        <v>923040</v>
      </c>
      <c r="B146" s="112" t="s">
        <v>822</v>
      </c>
      <c r="C146" s="339">
        <v>0</v>
      </c>
      <c r="D146" s="339">
        <v>0</v>
      </c>
      <c r="E146" s="1008">
        <f t="shared" si="18"/>
        <v>0</v>
      </c>
      <c r="G146" s="1070">
        <v>0</v>
      </c>
      <c r="H146" s="1070">
        <v>0</v>
      </c>
      <c r="I146" s="1070">
        <v>0</v>
      </c>
      <c r="J146" s="1070">
        <v>0</v>
      </c>
      <c r="K146" s="1070">
        <v>0</v>
      </c>
      <c r="L146" s="4223">
        <f t="shared" si="19"/>
        <v>0</v>
      </c>
      <c r="N146" s="1009">
        <f t="shared" si="16"/>
        <v>0</v>
      </c>
      <c r="O146" s="1009">
        <f t="shared" si="17"/>
        <v>0</v>
      </c>
    </row>
    <row r="147" spans="1:15">
      <c r="A147" s="237">
        <v>924020</v>
      </c>
      <c r="B147" s="112" t="s">
        <v>823</v>
      </c>
      <c r="C147" s="339">
        <v>18581.535</v>
      </c>
      <c r="D147" s="339">
        <v>3061.4650000000001</v>
      </c>
      <c r="E147" s="1008">
        <f t="shared" si="18"/>
        <v>21643</v>
      </c>
      <c r="G147" s="1070">
        <v>0</v>
      </c>
      <c r="H147" s="1070">
        <v>0</v>
      </c>
      <c r="I147" s="1070">
        <v>0</v>
      </c>
      <c r="J147" s="1070">
        <v>0</v>
      </c>
      <c r="K147" s="1070">
        <v>0</v>
      </c>
      <c r="L147" s="4223">
        <f t="shared" si="19"/>
        <v>0</v>
      </c>
      <c r="N147" s="1009">
        <f t="shared" si="16"/>
        <v>18581.535</v>
      </c>
      <c r="O147" s="1009">
        <f t="shared" si="17"/>
        <v>3061.4650000000001</v>
      </c>
    </row>
    <row r="148" spans="1:15">
      <c r="A148" s="237">
        <v>924040</v>
      </c>
      <c r="B148" s="112" t="s">
        <v>2166</v>
      </c>
      <c r="C148" s="339">
        <v>0</v>
      </c>
      <c r="D148" s="339">
        <v>0</v>
      </c>
      <c r="E148" s="1008">
        <f t="shared" si="18"/>
        <v>0</v>
      </c>
      <c r="G148" s="1070">
        <v>0</v>
      </c>
      <c r="H148" s="1070">
        <v>0</v>
      </c>
      <c r="I148" s="1070">
        <v>0</v>
      </c>
      <c r="J148" s="1070">
        <v>0</v>
      </c>
      <c r="K148" s="1070">
        <v>0</v>
      </c>
      <c r="L148" s="4223">
        <f t="shared" si="19"/>
        <v>0</v>
      </c>
      <c r="N148" s="1009">
        <f t="shared" si="16"/>
        <v>0</v>
      </c>
      <c r="O148" s="1009">
        <f t="shared" si="17"/>
        <v>0</v>
      </c>
    </row>
    <row r="149" spans="1:15">
      <c r="A149" s="237">
        <v>924500</v>
      </c>
      <c r="B149" s="112" t="s">
        <v>824</v>
      </c>
      <c r="C149" s="339">
        <v>0</v>
      </c>
      <c r="D149" s="339">
        <v>0</v>
      </c>
      <c r="E149" s="1008">
        <f t="shared" si="18"/>
        <v>0</v>
      </c>
      <c r="G149" s="1070">
        <v>0</v>
      </c>
      <c r="H149" s="1070">
        <v>0</v>
      </c>
      <c r="I149" s="1070">
        <v>0</v>
      </c>
      <c r="J149" s="1070">
        <v>0</v>
      </c>
      <c r="K149" s="1070">
        <v>0</v>
      </c>
      <c r="L149" s="4223">
        <f t="shared" si="19"/>
        <v>0</v>
      </c>
      <c r="N149" s="1009">
        <f t="shared" si="16"/>
        <v>0</v>
      </c>
      <c r="O149" s="1009">
        <f t="shared" si="17"/>
        <v>0</v>
      </c>
    </row>
    <row r="150" spans="1:15">
      <c r="A150" s="237">
        <v>924600</v>
      </c>
      <c r="B150" s="112" t="s">
        <v>825</v>
      </c>
      <c r="C150" s="339">
        <v>0</v>
      </c>
      <c r="D150" s="339">
        <v>0</v>
      </c>
      <c r="E150" s="1008">
        <f t="shared" si="18"/>
        <v>0</v>
      </c>
      <c r="G150" s="1070">
        <v>0</v>
      </c>
      <c r="H150" s="1070">
        <v>0</v>
      </c>
      <c r="I150" s="1070">
        <v>0</v>
      </c>
      <c r="J150" s="1070">
        <v>0</v>
      </c>
      <c r="K150" s="1070">
        <v>0</v>
      </c>
      <c r="L150" s="4223">
        <f t="shared" si="19"/>
        <v>0</v>
      </c>
      <c r="N150" s="1009">
        <f t="shared" si="16"/>
        <v>0</v>
      </c>
      <c r="O150" s="1009">
        <f t="shared" si="17"/>
        <v>0</v>
      </c>
    </row>
    <row r="151" spans="1:15">
      <c r="A151" s="237">
        <v>925030</v>
      </c>
      <c r="B151" s="112" t="s">
        <v>826</v>
      </c>
      <c r="C151" s="339">
        <v>521661.01299999998</v>
      </c>
      <c r="D151" s="339">
        <v>1565708.9870000002</v>
      </c>
      <c r="E151" s="1008">
        <f t="shared" si="18"/>
        <v>2087370.0000000002</v>
      </c>
      <c r="G151" s="1070">
        <v>241395.25964340748</v>
      </c>
      <c r="H151" s="1070">
        <v>0</v>
      </c>
      <c r="I151" s="1070">
        <v>0</v>
      </c>
      <c r="J151" s="1070">
        <v>772167.6848512307</v>
      </c>
      <c r="K151" s="1070">
        <v>0</v>
      </c>
      <c r="L151" s="4223">
        <f t="shared" si="19"/>
        <v>1013562.9444946381</v>
      </c>
      <c r="N151" s="1009">
        <f t="shared" si="16"/>
        <v>763056.27264340746</v>
      </c>
      <c r="O151" s="1009">
        <f t="shared" si="17"/>
        <v>2337876.6718512308</v>
      </c>
    </row>
    <row r="152" spans="1:15">
      <c r="A152" s="237">
        <v>925040</v>
      </c>
      <c r="B152" s="112" t="s">
        <v>827</v>
      </c>
      <c r="C152" s="339">
        <v>294140</v>
      </c>
      <c r="D152" s="339">
        <v>527960</v>
      </c>
      <c r="E152" s="1008">
        <f t="shared" si="18"/>
        <v>822100</v>
      </c>
      <c r="G152" s="1070">
        <v>0</v>
      </c>
      <c r="H152" s="1070">
        <v>0</v>
      </c>
      <c r="I152" s="1070">
        <v>0</v>
      </c>
      <c r="J152" s="1070">
        <v>0</v>
      </c>
      <c r="K152" s="1070">
        <v>0</v>
      </c>
      <c r="L152" s="4223">
        <f t="shared" si="19"/>
        <v>0</v>
      </c>
      <c r="N152" s="1009">
        <f t="shared" si="16"/>
        <v>294140</v>
      </c>
      <c r="O152" s="1009">
        <f t="shared" si="17"/>
        <v>527960</v>
      </c>
    </row>
    <row r="153" spans="1:15">
      <c r="A153" s="237">
        <v>925050</v>
      </c>
      <c r="B153" s="112" t="s">
        <v>828</v>
      </c>
      <c r="C153" s="339">
        <v>0</v>
      </c>
      <c r="D153" s="339">
        <v>0</v>
      </c>
      <c r="E153" s="1008">
        <f t="shared" si="18"/>
        <v>0</v>
      </c>
      <c r="G153" s="1070">
        <v>0</v>
      </c>
      <c r="H153" s="1070">
        <v>0</v>
      </c>
      <c r="I153" s="1070">
        <v>0</v>
      </c>
      <c r="J153" s="1070">
        <v>0</v>
      </c>
      <c r="K153" s="1070">
        <v>0</v>
      </c>
      <c r="L153" s="4223">
        <f t="shared" si="19"/>
        <v>0</v>
      </c>
      <c r="N153" s="1009">
        <f t="shared" si="16"/>
        <v>0</v>
      </c>
      <c r="O153" s="1009">
        <f t="shared" si="17"/>
        <v>0</v>
      </c>
    </row>
    <row r="154" spans="1:15" s="3094" customFormat="1">
      <c r="A154" s="237">
        <v>925060</v>
      </c>
      <c r="B154" s="4222" t="s">
        <v>828</v>
      </c>
      <c r="C154" s="339">
        <v>0</v>
      </c>
      <c r="D154" s="339">
        <v>0</v>
      </c>
      <c r="E154" s="1008">
        <f t="shared" si="18"/>
        <v>0</v>
      </c>
      <c r="G154" s="1070">
        <v>0</v>
      </c>
      <c r="H154" s="1070">
        <v>0</v>
      </c>
      <c r="I154" s="1070">
        <v>0</v>
      </c>
      <c r="J154" s="1070">
        <v>224151.66110974667</v>
      </c>
      <c r="K154" s="1070">
        <v>0</v>
      </c>
      <c r="L154" s="4223">
        <f t="shared" si="19"/>
        <v>224151.66110974667</v>
      </c>
      <c r="N154" s="1009">
        <f t="shared" ref="N154" si="22">C154+G154</f>
        <v>0</v>
      </c>
      <c r="O154" s="1009">
        <f t="shared" ref="O154" si="23">D154+J154</f>
        <v>224151.66110974667</v>
      </c>
    </row>
    <row r="155" spans="1:15">
      <c r="A155" s="237">
        <v>926999</v>
      </c>
      <c r="B155" s="112" t="s">
        <v>829</v>
      </c>
      <c r="C155" s="339">
        <v>0</v>
      </c>
      <c r="D155" s="339">
        <v>0</v>
      </c>
      <c r="E155" s="1008">
        <f t="shared" si="18"/>
        <v>0</v>
      </c>
      <c r="G155" s="1070">
        <v>0</v>
      </c>
      <c r="H155" s="1070">
        <v>0</v>
      </c>
      <c r="I155" s="1070">
        <v>0</v>
      </c>
      <c r="J155" s="1070">
        <v>0</v>
      </c>
      <c r="K155" s="1070">
        <v>0</v>
      </c>
      <c r="L155" s="4223">
        <f t="shared" si="19"/>
        <v>0</v>
      </c>
      <c r="N155" s="1009">
        <f t="shared" si="16"/>
        <v>0</v>
      </c>
      <c r="O155" s="1009">
        <f t="shared" si="17"/>
        <v>0</v>
      </c>
    </row>
    <row r="156" spans="1:15">
      <c r="A156" s="237">
        <v>928010</v>
      </c>
      <c r="B156" s="112" t="s">
        <v>2139</v>
      </c>
      <c r="C156" s="339">
        <v>0</v>
      </c>
      <c r="D156" s="339">
        <v>0</v>
      </c>
      <c r="E156" s="1008">
        <f t="shared" si="18"/>
        <v>0</v>
      </c>
      <c r="G156" s="1070">
        <v>0</v>
      </c>
      <c r="H156" s="1070">
        <v>0</v>
      </c>
      <c r="I156" s="1070">
        <v>0</v>
      </c>
      <c r="J156" s="1070">
        <v>0</v>
      </c>
      <c r="K156" s="1070">
        <v>0</v>
      </c>
      <c r="L156" s="4223">
        <f t="shared" si="19"/>
        <v>0</v>
      </c>
      <c r="N156" s="1009">
        <f t="shared" si="16"/>
        <v>0</v>
      </c>
      <c r="O156" s="1009">
        <f t="shared" si="17"/>
        <v>0</v>
      </c>
    </row>
    <row r="157" spans="1:15">
      <c r="A157" s="237">
        <v>928030</v>
      </c>
      <c r="B157" s="112" t="s">
        <v>830</v>
      </c>
      <c r="C157" s="339">
        <v>0</v>
      </c>
      <c r="D157" s="339">
        <v>0</v>
      </c>
      <c r="E157" s="1008">
        <f t="shared" si="18"/>
        <v>0</v>
      </c>
      <c r="G157" s="1070">
        <v>0</v>
      </c>
      <c r="H157" s="1070">
        <v>0</v>
      </c>
      <c r="I157" s="1070">
        <v>0</v>
      </c>
      <c r="J157" s="1070">
        <v>0</v>
      </c>
      <c r="K157" s="1070">
        <v>0</v>
      </c>
      <c r="L157" s="4223">
        <f t="shared" si="19"/>
        <v>0</v>
      </c>
      <c r="N157" s="1009">
        <f t="shared" si="16"/>
        <v>0</v>
      </c>
      <c r="O157" s="1009">
        <f t="shared" si="17"/>
        <v>0</v>
      </c>
    </row>
    <row r="158" spans="1:15">
      <c r="A158" s="237">
        <v>928500</v>
      </c>
      <c r="B158" s="112" t="s">
        <v>831</v>
      </c>
      <c r="C158" s="339">
        <v>0</v>
      </c>
      <c r="D158" s="339">
        <v>0</v>
      </c>
      <c r="E158" s="1008">
        <f t="shared" si="18"/>
        <v>0</v>
      </c>
      <c r="G158" s="1070">
        <v>0</v>
      </c>
      <c r="H158" s="1070">
        <v>0</v>
      </c>
      <c r="I158" s="1070">
        <v>0</v>
      </c>
      <c r="J158" s="1070">
        <v>0</v>
      </c>
      <c r="K158" s="1070">
        <v>0</v>
      </c>
      <c r="L158" s="4223">
        <f t="shared" si="19"/>
        <v>0</v>
      </c>
      <c r="N158" s="1009">
        <f t="shared" ref="N158:N170" si="24">C158+G158</f>
        <v>0</v>
      </c>
      <c r="O158" s="1009">
        <f t="shared" ref="O158:O170" si="25">D158+J158</f>
        <v>0</v>
      </c>
    </row>
    <row r="159" spans="1:15">
      <c r="A159" s="237">
        <v>928600</v>
      </c>
      <c r="B159" s="112" t="s">
        <v>832</v>
      </c>
      <c r="C159" s="339">
        <v>0</v>
      </c>
      <c r="D159" s="339">
        <v>0</v>
      </c>
      <c r="E159" s="1008">
        <f t="shared" si="18"/>
        <v>0</v>
      </c>
      <c r="G159" s="1070">
        <v>0</v>
      </c>
      <c r="H159" s="1070">
        <v>0</v>
      </c>
      <c r="I159" s="1070">
        <v>0</v>
      </c>
      <c r="J159" s="1070">
        <v>0</v>
      </c>
      <c r="K159" s="1070">
        <v>0</v>
      </c>
      <c r="L159" s="4223">
        <f t="shared" si="19"/>
        <v>0</v>
      </c>
      <c r="N159" s="1009">
        <f t="shared" si="24"/>
        <v>0</v>
      </c>
      <c r="O159" s="1009">
        <f t="shared" si="25"/>
        <v>0</v>
      </c>
    </row>
    <row r="160" spans="1:15">
      <c r="A160" s="237">
        <v>929010</v>
      </c>
      <c r="B160" s="112" t="s">
        <v>833</v>
      </c>
      <c r="C160" s="339">
        <v>0</v>
      </c>
      <c r="D160" s="339">
        <v>0</v>
      </c>
      <c r="E160" s="1008">
        <f t="shared" si="18"/>
        <v>0</v>
      </c>
      <c r="G160" s="1070">
        <v>0</v>
      </c>
      <c r="H160" s="1070">
        <v>0</v>
      </c>
      <c r="I160" s="1070">
        <v>0</v>
      </c>
      <c r="J160" s="1070">
        <v>0</v>
      </c>
      <c r="K160" s="1070">
        <v>0</v>
      </c>
      <c r="L160" s="4223">
        <f t="shared" si="19"/>
        <v>0</v>
      </c>
      <c r="N160" s="1009">
        <f t="shared" si="24"/>
        <v>0</v>
      </c>
      <c r="O160" s="1009">
        <f t="shared" si="25"/>
        <v>0</v>
      </c>
    </row>
    <row r="161" spans="1:15">
      <c r="A161" s="237">
        <v>929020</v>
      </c>
      <c r="B161" s="112" t="s">
        <v>834</v>
      </c>
      <c r="C161" s="339">
        <v>0</v>
      </c>
      <c r="D161" s="339">
        <v>0</v>
      </c>
      <c r="E161" s="1008">
        <f t="shared" si="18"/>
        <v>0</v>
      </c>
      <c r="G161" s="1070">
        <v>0</v>
      </c>
      <c r="H161" s="1070">
        <v>0</v>
      </c>
      <c r="I161" s="1070">
        <v>0</v>
      </c>
      <c r="J161" s="1070">
        <v>0</v>
      </c>
      <c r="K161" s="1070">
        <v>0</v>
      </c>
      <c r="L161" s="4223">
        <f t="shared" si="19"/>
        <v>0</v>
      </c>
      <c r="N161" s="1009">
        <f t="shared" si="24"/>
        <v>0</v>
      </c>
      <c r="O161" s="1009">
        <f t="shared" si="25"/>
        <v>0</v>
      </c>
    </row>
    <row r="162" spans="1:15">
      <c r="A162" s="237">
        <v>929880</v>
      </c>
      <c r="B162" s="112" t="s">
        <v>835</v>
      </c>
      <c r="C162" s="339">
        <v>0</v>
      </c>
      <c r="D162" s="339">
        <v>0</v>
      </c>
      <c r="E162" s="1008">
        <f t="shared" si="18"/>
        <v>0</v>
      </c>
      <c r="G162" s="1070">
        <v>0</v>
      </c>
      <c r="H162" s="1070">
        <v>0</v>
      </c>
      <c r="I162" s="1070">
        <v>0</v>
      </c>
      <c r="J162" s="1070">
        <v>0</v>
      </c>
      <c r="K162" s="1070">
        <v>0</v>
      </c>
      <c r="L162" s="4223">
        <f t="shared" si="19"/>
        <v>0</v>
      </c>
      <c r="N162" s="1009">
        <f t="shared" si="24"/>
        <v>0</v>
      </c>
      <c r="O162" s="1009">
        <f t="shared" si="25"/>
        <v>0</v>
      </c>
    </row>
    <row r="163" spans="1:15">
      <c r="A163" s="237">
        <v>929980</v>
      </c>
      <c r="B163" s="112" t="s">
        <v>836</v>
      </c>
      <c r="C163" s="339">
        <v>0</v>
      </c>
      <c r="D163" s="339">
        <v>0</v>
      </c>
      <c r="E163" s="1008">
        <f t="shared" si="18"/>
        <v>0</v>
      </c>
      <c r="G163" s="1070">
        <v>0</v>
      </c>
      <c r="H163" s="1070">
        <v>0</v>
      </c>
      <c r="I163" s="1070">
        <v>0</v>
      </c>
      <c r="J163" s="1070">
        <v>0</v>
      </c>
      <c r="K163" s="1070">
        <v>0</v>
      </c>
      <c r="L163" s="4223">
        <f t="shared" si="19"/>
        <v>0</v>
      </c>
      <c r="N163" s="1009">
        <f t="shared" si="24"/>
        <v>0</v>
      </c>
      <c r="O163" s="1009">
        <f t="shared" si="25"/>
        <v>0</v>
      </c>
    </row>
    <row r="164" spans="1:15">
      <c r="A164" s="237">
        <v>930010</v>
      </c>
      <c r="B164" s="112" t="s">
        <v>837</v>
      </c>
      <c r="C164" s="339">
        <v>957437.93280000007</v>
      </c>
      <c r="D164" s="339">
        <v>909387.06719999982</v>
      </c>
      <c r="E164" s="1008">
        <f t="shared" si="18"/>
        <v>1866825</v>
      </c>
      <c r="G164" s="1070">
        <v>819593.92597480468</v>
      </c>
      <c r="H164" s="1070">
        <v>0</v>
      </c>
      <c r="I164" s="1070">
        <v>0</v>
      </c>
      <c r="J164" s="1070">
        <v>904598.93549968279</v>
      </c>
      <c r="K164" s="1070">
        <v>0</v>
      </c>
      <c r="L164" s="4223">
        <f t="shared" si="19"/>
        <v>1724192.8614744875</v>
      </c>
      <c r="N164" s="1009">
        <f t="shared" si="24"/>
        <v>1777031.8587748047</v>
      </c>
      <c r="O164" s="1009">
        <f t="shared" si="25"/>
        <v>1813986.0026996825</v>
      </c>
    </row>
    <row r="165" spans="1:15">
      <c r="A165" s="237">
        <v>930110</v>
      </c>
      <c r="B165" s="112" t="s">
        <v>838</v>
      </c>
      <c r="C165" s="339">
        <v>189493.19999999998</v>
      </c>
      <c r="D165" s="339">
        <v>278506.8</v>
      </c>
      <c r="E165" s="1008">
        <f t="shared" si="18"/>
        <v>468000</v>
      </c>
      <c r="G165" s="1070">
        <v>210183.73091944083</v>
      </c>
      <c r="H165" s="1070">
        <v>0</v>
      </c>
      <c r="I165" s="1070">
        <v>0</v>
      </c>
      <c r="J165" s="1070">
        <v>307489.75770625734</v>
      </c>
      <c r="K165" s="1070">
        <v>0</v>
      </c>
      <c r="L165" s="4223">
        <f t="shared" si="19"/>
        <v>517673.48862569814</v>
      </c>
      <c r="N165" s="1009">
        <f t="shared" si="24"/>
        <v>399676.93091944081</v>
      </c>
      <c r="O165" s="1009">
        <f t="shared" si="25"/>
        <v>585996.55770625733</v>
      </c>
    </row>
    <row r="166" spans="1:15">
      <c r="A166" s="237">
        <v>931000</v>
      </c>
      <c r="B166" s="112" t="s">
        <v>839</v>
      </c>
      <c r="C166" s="339">
        <v>0</v>
      </c>
      <c r="D166" s="339">
        <v>0</v>
      </c>
      <c r="E166" s="1008">
        <f t="shared" si="18"/>
        <v>0</v>
      </c>
      <c r="G166" s="1070">
        <v>0</v>
      </c>
      <c r="H166" s="1070">
        <v>0</v>
      </c>
      <c r="I166" s="1070">
        <v>0</v>
      </c>
      <c r="J166" s="1070">
        <v>0</v>
      </c>
      <c r="K166" s="1070">
        <v>0</v>
      </c>
      <c r="L166" s="4223">
        <f t="shared" si="19"/>
        <v>0</v>
      </c>
      <c r="N166" s="1009">
        <f t="shared" si="24"/>
        <v>0</v>
      </c>
      <c r="O166" s="1009">
        <f t="shared" si="25"/>
        <v>0</v>
      </c>
    </row>
    <row r="167" spans="1:15">
      <c r="A167" s="237">
        <v>931010</v>
      </c>
      <c r="B167" s="112" t="s">
        <v>840</v>
      </c>
      <c r="C167" s="339">
        <v>0</v>
      </c>
      <c r="D167" s="339">
        <v>12000</v>
      </c>
      <c r="E167" s="1008">
        <f t="shared" si="18"/>
        <v>12000</v>
      </c>
      <c r="G167" s="1070">
        <v>0</v>
      </c>
      <c r="H167" s="1070">
        <v>0</v>
      </c>
      <c r="I167" s="1070">
        <v>0</v>
      </c>
      <c r="J167" s="1070">
        <v>0</v>
      </c>
      <c r="K167" s="1070">
        <v>0</v>
      </c>
      <c r="L167" s="4223">
        <f t="shared" si="19"/>
        <v>0</v>
      </c>
      <c r="N167" s="1009">
        <f t="shared" si="24"/>
        <v>0</v>
      </c>
      <c r="O167" s="1009">
        <f t="shared" si="25"/>
        <v>12000</v>
      </c>
    </row>
    <row r="168" spans="1:15">
      <c r="A168" s="237">
        <v>935010</v>
      </c>
      <c r="B168" s="112" t="s">
        <v>841</v>
      </c>
      <c r="C168" s="339">
        <v>1121437.075</v>
      </c>
      <c r="D168" s="339">
        <v>575312.92499999993</v>
      </c>
      <c r="E168" s="1008">
        <f t="shared" si="18"/>
        <v>1696750</v>
      </c>
      <c r="G168" s="1070">
        <v>1027112.8558542891</v>
      </c>
      <c r="H168" s="1070">
        <v>0</v>
      </c>
      <c r="I168" s="1070">
        <v>0</v>
      </c>
      <c r="J168" s="1070">
        <v>440262.5531421068</v>
      </c>
      <c r="K168" s="1070">
        <v>0</v>
      </c>
      <c r="L168" s="4223">
        <f t="shared" si="19"/>
        <v>1467375.408996396</v>
      </c>
      <c r="N168" s="1009">
        <f t="shared" si="24"/>
        <v>2148549.9308542889</v>
      </c>
      <c r="O168" s="1009">
        <f t="shared" si="25"/>
        <v>1015575.4781421067</v>
      </c>
    </row>
    <row r="169" spans="1:15" s="3094" customFormat="1">
      <c r="A169" s="237">
        <v>935020</v>
      </c>
      <c r="B169" s="112" t="s">
        <v>842</v>
      </c>
      <c r="C169" s="339">
        <v>2139125.9752999991</v>
      </c>
      <c r="D169" s="339">
        <v>3168971.0247</v>
      </c>
      <c r="E169" s="1008">
        <f t="shared" si="18"/>
        <v>5308096.9999999991</v>
      </c>
      <c r="G169" s="1070">
        <v>1188098.4223267215</v>
      </c>
      <c r="H169" s="1070">
        <v>0</v>
      </c>
      <c r="I169" s="1070">
        <v>0</v>
      </c>
      <c r="J169" s="1070">
        <v>432229.47253323492</v>
      </c>
      <c r="K169" s="1070">
        <v>0</v>
      </c>
      <c r="L169" s="4223">
        <f t="shared" si="19"/>
        <v>1620327.8948599563</v>
      </c>
      <c r="N169" s="1009">
        <f t="shared" ref="N169" si="26">C169+G169</f>
        <v>3327224.3976267204</v>
      </c>
      <c r="O169" s="1009">
        <f t="shared" ref="O169" si="27">D169+J169</f>
        <v>3601200.4972332348</v>
      </c>
    </row>
    <row r="170" spans="1:15">
      <c r="A170" s="237">
        <v>935543</v>
      </c>
      <c r="B170" s="4220" t="s">
        <v>3969</v>
      </c>
      <c r="C170" s="339">
        <v>15791.099999999999</v>
      </c>
      <c r="D170" s="339">
        <v>23208.899999999998</v>
      </c>
      <c r="E170" s="1008">
        <f t="shared" si="18"/>
        <v>39000</v>
      </c>
      <c r="G170" s="1070">
        <v>0</v>
      </c>
      <c r="H170" s="1070">
        <v>0</v>
      </c>
      <c r="I170" s="1070">
        <v>0</v>
      </c>
      <c r="J170" s="1070">
        <v>0</v>
      </c>
      <c r="K170" s="1070">
        <v>0</v>
      </c>
      <c r="L170" s="4223">
        <f t="shared" si="19"/>
        <v>0</v>
      </c>
      <c r="N170" s="1009">
        <f t="shared" si="24"/>
        <v>15791.099999999999</v>
      </c>
      <c r="O170" s="1009">
        <f t="shared" si="25"/>
        <v>23208.899999999998</v>
      </c>
    </row>
    <row r="171" spans="1:15">
      <c r="A171" s="1274"/>
      <c r="B171" s="1275" t="s">
        <v>602</v>
      </c>
      <c r="C171" s="1276">
        <f>SUM(C9:C170)</f>
        <v>14340242.348099999</v>
      </c>
      <c r="D171" s="1276">
        <f>SUM(D9:D170)</f>
        <v>23186794.651900001</v>
      </c>
      <c r="E171" s="1276">
        <f>D171+C171</f>
        <v>37527037</v>
      </c>
      <c r="F171" s="1276"/>
      <c r="G171" s="1276">
        <f>SUM(G9:G170)</f>
        <v>25215539.651582967</v>
      </c>
      <c r="H171" s="1276">
        <f t="shared" ref="H171:K171" si="28">SUM(H9:H170)</f>
        <v>0</v>
      </c>
      <c r="I171" s="1276">
        <f t="shared" si="28"/>
        <v>0</v>
      </c>
      <c r="J171" s="1276">
        <f t="shared" si="28"/>
        <v>39013981.063981444</v>
      </c>
      <c r="K171" s="1276">
        <f t="shared" si="28"/>
        <v>0</v>
      </c>
      <c r="L171" s="1276">
        <f>SUM(G171:K171)</f>
        <v>64229520.715564415</v>
      </c>
      <c r="M171" s="1276"/>
      <c r="N171" s="1276">
        <f>SUM(N9:N170)</f>
        <v>40829206.73468297</v>
      </c>
      <c r="O171" s="1276">
        <f>SUM(O9:O170)</f>
        <v>60927350.980881467</v>
      </c>
    </row>
    <row r="172" spans="1:15">
      <c r="A172" s="112"/>
      <c r="B172" s="112"/>
      <c r="C172" s="987"/>
      <c r="D172" s="987"/>
      <c r="E172" s="1008"/>
      <c r="G172" s="1271"/>
      <c r="H172" s="1271"/>
      <c r="I172" s="1271"/>
      <c r="J172" s="1271"/>
      <c r="K172" s="1271"/>
      <c r="L172" s="1008"/>
      <c r="N172" s="1009"/>
      <c r="O172" s="1009"/>
    </row>
    <row r="173" spans="1:15">
      <c r="A173"/>
      <c r="E173"/>
      <c r="G173" s="1277"/>
      <c r="H173" s="1277"/>
      <c r="I173" s="1277"/>
      <c r="J173" s="1277"/>
      <c r="K173" s="1277"/>
      <c r="L173" s="1008"/>
    </row>
    <row r="174" spans="1:15">
      <c r="A174" s="1010">
        <v>101401</v>
      </c>
      <c r="B174" s="1011" t="s">
        <v>1952</v>
      </c>
      <c r="C174" s="339">
        <v>0</v>
      </c>
      <c r="D174" s="339">
        <v>0</v>
      </c>
      <c r="E174" s="1008">
        <f t="shared" ref="E174:E205" si="29">SUM(C174:D174)</f>
        <v>0</v>
      </c>
      <c r="G174" s="1070">
        <v>0</v>
      </c>
      <c r="H174" s="1070">
        <v>0</v>
      </c>
      <c r="I174" s="1070">
        <v>0</v>
      </c>
      <c r="J174" s="1070">
        <v>0</v>
      </c>
      <c r="K174" s="1070">
        <v>0</v>
      </c>
      <c r="L174" s="4223">
        <f t="shared" ref="L174:L205" si="30">SUM(G174:K174)</f>
        <v>0</v>
      </c>
      <c r="N174" s="1009">
        <f t="shared" ref="N174:N205" si="31">C174+G174</f>
        <v>0</v>
      </c>
      <c r="O174" s="1009">
        <f t="shared" ref="O174:O205" si="32">D174+J174</f>
        <v>0</v>
      </c>
    </row>
    <row r="175" spans="1:15">
      <c r="A175" s="1010">
        <v>125010</v>
      </c>
      <c r="B175" s="1011" t="s">
        <v>1953</v>
      </c>
      <c r="C175" s="339">
        <v>0</v>
      </c>
      <c r="D175" s="339">
        <v>0</v>
      </c>
      <c r="E175" s="1008">
        <f t="shared" si="29"/>
        <v>0</v>
      </c>
      <c r="G175" s="1070">
        <v>0</v>
      </c>
      <c r="H175" s="1070">
        <v>0</v>
      </c>
      <c r="I175" s="1070">
        <v>0</v>
      </c>
      <c r="J175" s="1070">
        <v>0</v>
      </c>
      <c r="K175" s="1070">
        <v>0</v>
      </c>
      <c r="L175" s="4223">
        <f t="shared" si="30"/>
        <v>0</v>
      </c>
      <c r="N175" s="1009">
        <f t="shared" si="31"/>
        <v>0</v>
      </c>
      <c r="O175" s="1009">
        <f t="shared" si="32"/>
        <v>0</v>
      </c>
    </row>
    <row r="176" spans="1:15">
      <c r="A176" s="1010">
        <v>163010</v>
      </c>
      <c r="B176" s="1011" t="s">
        <v>1954</v>
      </c>
      <c r="C176" s="987">
        <v>13000</v>
      </c>
      <c r="D176" s="987">
        <v>0</v>
      </c>
      <c r="E176" s="1008">
        <f t="shared" si="29"/>
        <v>13000</v>
      </c>
      <c r="G176" s="1070">
        <v>0</v>
      </c>
      <c r="H176" s="1070">
        <v>0</v>
      </c>
      <c r="I176" s="1070">
        <v>0</v>
      </c>
      <c r="J176" s="1070">
        <v>0</v>
      </c>
      <c r="K176" s="1070">
        <v>0</v>
      </c>
      <c r="L176" s="4223">
        <f t="shared" si="30"/>
        <v>0</v>
      </c>
      <c r="N176" s="1009">
        <f t="shared" si="31"/>
        <v>13000</v>
      </c>
      <c r="O176" s="1009">
        <f t="shared" si="32"/>
        <v>0</v>
      </c>
    </row>
    <row r="177" spans="1:15" s="3094" customFormat="1">
      <c r="A177" s="1010">
        <v>228420</v>
      </c>
      <c r="B177" s="4221" t="s">
        <v>3970</v>
      </c>
      <c r="C177" s="339">
        <v>0</v>
      </c>
      <c r="D177" s="339">
        <v>2201277</v>
      </c>
      <c r="E177" s="1008">
        <f t="shared" si="29"/>
        <v>2201277</v>
      </c>
      <c r="G177" s="1070">
        <v>0</v>
      </c>
      <c r="H177" s="1070">
        <v>0</v>
      </c>
      <c r="I177" s="1070">
        <v>0</v>
      </c>
      <c r="J177" s="1070">
        <v>11270.297960200038</v>
      </c>
      <c r="K177" s="1070">
        <v>0</v>
      </c>
      <c r="L177" s="4223">
        <f t="shared" si="30"/>
        <v>11270.297960200038</v>
      </c>
      <c r="N177" s="1009">
        <f t="shared" ref="N177" si="33">C177+G177</f>
        <v>0</v>
      </c>
      <c r="O177" s="1009">
        <f t="shared" ref="O177" si="34">D177+J177</f>
        <v>2212547.2979601999</v>
      </c>
    </row>
    <row r="178" spans="1:15">
      <c r="A178" s="1010">
        <v>722840</v>
      </c>
      <c r="B178" s="1011" t="s">
        <v>1955</v>
      </c>
      <c r="C178" s="339">
        <v>0</v>
      </c>
      <c r="D178" s="339">
        <v>0</v>
      </c>
      <c r="E178" s="1008">
        <f t="shared" si="29"/>
        <v>0</v>
      </c>
      <c r="G178" s="1070">
        <v>0</v>
      </c>
      <c r="H178" s="1070">
        <v>0</v>
      </c>
      <c r="I178" s="1070">
        <v>0</v>
      </c>
      <c r="J178" s="1070">
        <v>0</v>
      </c>
      <c r="K178" s="1070">
        <v>0</v>
      </c>
      <c r="L178" s="4223">
        <f t="shared" si="30"/>
        <v>0</v>
      </c>
      <c r="N178" s="1009">
        <f t="shared" si="31"/>
        <v>0</v>
      </c>
      <c r="O178" s="1009">
        <f t="shared" si="32"/>
        <v>0</v>
      </c>
    </row>
    <row r="179" spans="1:15">
      <c r="A179" s="1510">
        <v>163000</v>
      </c>
      <c r="B179" s="1011"/>
      <c r="C179" s="339">
        <v>0</v>
      </c>
      <c r="D179" s="339">
        <v>0</v>
      </c>
      <c r="E179" s="1008">
        <f t="shared" si="29"/>
        <v>0</v>
      </c>
      <c r="G179" s="1070">
        <v>0</v>
      </c>
      <c r="H179" s="1070">
        <v>0</v>
      </c>
      <c r="I179" s="1070">
        <v>0</v>
      </c>
      <c r="J179" s="1070">
        <v>0</v>
      </c>
      <c r="K179" s="1070">
        <v>0</v>
      </c>
      <c r="L179" s="4223">
        <f t="shared" si="30"/>
        <v>0</v>
      </c>
      <c r="N179" s="1009">
        <f t="shared" si="31"/>
        <v>0</v>
      </c>
      <c r="O179" s="1009">
        <f t="shared" si="32"/>
        <v>0</v>
      </c>
    </row>
    <row r="180" spans="1:15">
      <c r="A180" s="1510">
        <v>183000</v>
      </c>
      <c r="B180" s="1011"/>
      <c r="C180" s="339">
        <v>0</v>
      </c>
      <c r="D180" s="339">
        <v>0</v>
      </c>
      <c r="E180" s="1008">
        <f t="shared" si="29"/>
        <v>0</v>
      </c>
      <c r="G180" s="1070">
        <v>0</v>
      </c>
      <c r="H180" s="1070">
        <v>0</v>
      </c>
      <c r="I180" s="1070">
        <v>0</v>
      </c>
      <c r="J180" s="1070">
        <v>0</v>
      </c>
      <c r="K180" s="1070">
        <v>0</v>
      </c>
      <c r="L180" s="4223">
        <f t="shared" si="30"/>
        <v>0</v>
      </c>
      <c r="N180" s="1009">
        <f t="shared" si="31"/>
        <v>0</v>
      </c>
      <c r="O180" s="1009">
        <f t="shared" si="32"/>
        <v>0</v>
      </c>
    </row>
    <row r="181" spans="1:15">
      <c r="A181" s="1510">
        <v>107000</v>
      </c>
      <c r="B181" s="1011"/>
      <c r="C181" s="339">
        <v>0</v>
      </c>
      <c r="D181" s="339">
        <v>0</v>
      </c>
      <c r="E181" s="1008">
        <f t="shared" si="29"/>
        <v>0</v>
      </c>
      <c r="G181" s="1070">
        <v>0</v>
      </c>
      <c r="H181" s="1070">
        <v>0</v>
      </c>
      <c r="I181" s="1070">
        <v>0</v>
      </c>
      <c r="J181" s="1070">
        <v>0</v>
      </c>
      <c r="K181" s="1070">
        <v>0</v>
      </c>
      <c r="L181" s="4223">
        <f t="shared" si="30"/>
        <v>0</v>
      </c>
      <c r="N181" s="1009">
        <f t="shared" si="31"/>
        <v>0</v>
      </c>
      <c r="O181" s="1009">
        <f t="shared" si="32"/>
        <v>0</v>
      </c>
    </row>
    <row r="182" spans="1:15">
      <c r="A182" s="1510">
        <v>107010</v>
      </c>
      <c r="B182" s="1011"/>
      <c r="C182" s="339">
        <v>0</v>
      </c>
      <c r="D182" s="339">
        <v>0</v>
      </c>
      <c r="E182" s="1008">
        <f t="shared" si="29"/>
        <v>0</v>
      </c>
      <c r="G182" s="1070">
        <v>0</v>
      </c>
      <c r="H182" s="1070">
        <v>3802671.5134821162</v>
      </c>
      <c r="I182" s="1070">
        <v>0</v>
      </c>
      <c r="J182" s="1070">
        <v>0</v>
      </c>
      <c r="K182" s="1070">
        <v>0</v>
      </c>
      <c r="L182" s="4223">
        <f t="shared" si="30"/>
        <v>3802671.5134821162</v>
      </c>
      <c r="N182" s="1009">
        <f t="shared" si="31"/>
        <v>0</v>
      </c>
      <c r="O182" s="1009">
        <f t="shared" si="32"/>
        <v>0</v>
      </c>
    </row>
    <row r="183" spans="1:15">
      <c r="A183" s="1510">
        <v>107020</v>
      </c>
      <c r="B183" s="1011"/>
      <c r="C183" s="339">
        <v>0</v>
      </c>
      <c r="D183" s="339">
        <v>0</v>
      </c>
      <c r="E183" s="1008">
        <f t="shared" si="29"/>
        <v>0</v>
      </c>
      <c r="G183" s="1070">
        <v>0</v>
      </c>
      <c r="H183" s="1070">
        <v>0</v>
      </c>
      <c r="I183" s="1070">
        <v>0</v>
      </c>
      <c r="J183" s="1070">
        <v>0</v>
      </c>
      <c r="K183" s="1070">
        <v>8183029.974870123</v>
      </c>
      <c r="L183" s="4223">
        <f t="shared" si="30"/>
        <v>8183029.974870123</v>
      </c>
      <c r="N183" s="1009">
        <f t="shared" si="31"/>
        <v>0</v>
      </c>
      <c r="O183" s="1009">
        <f t="shared" si="32"/>
        <v>0</v>
      </c>
    </row>
    <row r="184" spans="1:15">
      <c r="A184" s="1510">
        <v>107030</v>
      </c>
      <c r="B184" s="1011"/>
      <c r="C184" s="339">
        <v>0</v>
      </c>
      <c r="D184" s="339">
        <v>0</v>
      </c>
      <c r="E184" s="1008">
        <f t="shared" si="29"/>
        <v>0</v>
      </c>
      <c r="G184" s="1070">
        <v>0</v>
      </c>
      <c r="H184" s="1070">
        <v>3603300.3571704021</v>
      </c>
      <c r="I184" s="1070">
        <v>0</v>
      </c>
      <c r="J184" s="1070">
        <v>0</v>
      </c>
      <c r="K184" s="1070">
        <v>0</v>
      </c>
      <c r="L184" s="4223">
        <f t="shared" si="30"/>
        <v>3603300.3571704021</v>
      </c>
      <c r="N184" s="1009">
        <f t="shared" si="31"/>
        <v>0</v>
      </c>
      <c r="O184" s="1009">
        <f t="shared" si="32"/>
        <v>0</v>
      </c>
    </row>
    <row r="185" spans="1:15">
      <c r="A185" s="1510">
        <v>107040</v>
      </c>
      <c r="B185" s="1011"/>
      <c r="C185" s="339">
        <v>30000</v>
      </c>
      <c r="D185" s="339">
        <v>0</v>
      </c>
      <c r="E185" s="1008">
        <f t="shared" si="29"/>
        <v>30000</v>
      </c>
      <c r="G185" s="1070">
        <v>0</v>
      </c>
      <c r="H185" s="1070">
        <v>113058.16627497027</v>
      </c>
      <c r="I185" s="1070">
        <v>0</v>
      </c>
      <c r="J185" s="1070">
        <v>0</v>
      </c>
      <c r="K185" s="1070">
        <v>1203557.9547712882</v>
      </c>
      <c r="L185" s="4223">
        <f t="shared" si="30"/>
        <v>1316616.1210462584</v>
      </c>
      <c r="N185" s="1009">
        <f t="shared" si="31"/>
        <v>30000</v>
      </c>
      <c r="O185" s="1009">
        <f t="shared" si="32"/>
        <v>0</v>
      </c>
    </row>
    <row r="186" spans="1:15" s="3094" customFormat="1">
      <c r="A186" s="1510">
        <v>107051</v>
      </c>
      <c r="B186" s="1011"/>
      <c r="C186" s="339">
        <v>0</v>
      </c>
      <c r="D186" s="339">
        <v>0</v>
      </c>
      <c r="E186" s="1008">
        <f t="shared" si="29"/>
        <v>0</v>
      </c>
      <c r="G186" s="1070">
        <v>0</v>
      </c>
      <c r="H186" s="1070">
        <v>14093.877803728563</v>
      </c>
      <c r="I186" s="1070">
        <v>0</v>
      </c>
      <c r="J186" s="1070">
        <v>0</v>
      </c>
      <c r="K186" s="1070">
        <v>0</v>
      </c>
      <c r="L186" s="4223">
        <f t="shared" si="30"/>
        <v>14093.877803728563</v>
      </c>
      <c r="N186" s="1009">
        <f t="shared" ref="N186" si="35">C186+G186</f>
        <v>0</v>
      </c>
      <c r="O186" s="1009">
        <f t="shared" ref="O186" si="36">D186+J186</f>
        <v>0</v>
      </c>
    </row>
    <row r="187" spans="1:15">
      <c r="A187" s="1510">
        <v>107801</v>
      </c>
      <c r="B187" s="1011"/>
      <c r="C187" s="339">
        <v>0</v>
      </c>
      <c r="D187" s="339">
        <v>0</v>
      </c>
      <c r="E187" s="1008">
        <f t="shared" si="29"/>
        <v>0</v>
      </c>
      <c r="G187" s="1070">
        <v>0</v>
      </c>
      <c r="H187" s="1070">
        <v>810373.91033321805</v>
      </c>
      <c r="I187" s="1070">
        <v>0</v>
      </c>
      <c r="J187" s="1070">
        <v>0</v>
      </c>
      <c r="K187" s="1070">
        <v>0</v>
      </c>
      <c r="L187" s="4223">
        <f t="shared" si="30"/>
        <v>810373.91033321805</v>
      </c>
      <c r="N187" s="1009">
        <f t="shared" si="31"/>
        <v>0</v>
      </c>
      <c r="O187" s="1009">
        <f t="shared" si="32"/>
        <v>0</v>
      </c>
    </row>
    <row r="188" spans="1:15" s="3094" customFormat="1">
      <c r="A188" s="1510">
        <v>163010</v>
      </c>
      <c r="B188" s="1011"/>
      <c r="C188" s="339">
        <v>0</v>
      </c>
      <c r="D188" s="339">
        <v>0</v>
      </c>
      <c r="E188" s="1008">
        <f t="shared" si="29"/>
        <v>0</v>
      </c>
      <c r="G188" s="1070">
        <v>1430212.3318078772</v>
      </c>
      <c r="H188" s="1070">
        <v>0</v>
      </c>
      <c r="I188" s="1070">
        <v>0</v>
      </c>
      <c r="J188" s="1070">
        <v>0</v>
      </c>
      <c r="K188" s="1070">
        <v>0</v>
      </c>
      <c r="L188" s="4223">
        <f t="shared" si="30"/>
        <v>1430212.3318078772</v>
      </c>
      <c r="N188" s="1009">
        <f t="shared" ref="N188:N189" si="37">C188+G188</f>
        <v>1430212.3318078772</v>
      </c>
      <c r="O188" s="1009">
        <f t="shared" ref="O188:O189" si="38">D188+J188</f>
        <v>0</v>
      </c>
    </row>
    <row r="189" spans="1:15" s="3094" customFormat="1">
      <c r="A189" s="1510">
        <v>183010</v>
      </c>
      <c r="B189" s="1011"/>
      <c r="C189" s="339">
        <v>0</v>
      </c>
      <c r="D189" s="339">
        <v>0</v>
      </c>
      <c r="E189" s="1008">
        <f t="shared" si="29"/>
        <v>0</v>
      </c>
      <c r="G189" s="1070">
        <v>0</v>
      </c>
      <c r="H189" s="1070">
        <v>0</v>
      </c>
      <c r="I189" s="1070">
        <v>0</v>
      </c>
      <c r="J189" s="1070">
        <v>0</v>
      </c>
      <c r="K189" s="1070">
        <v>0</v>
      </c>
      <c r="L189" s="4223">
        <f t="shared" si="30"/>
        <v>0</v>
      </c>
      <c r="N189" s="1009">
        <f t="shared" si="37"/>
        <v>0</v>
      </c>
      <c r="O189" s="1009">
        <f t="shared" si="38"/>
        <v>0</v>
      </c>
    </row>
    <row r="190" spans="1:15">
      <c r="A190" s="1510">
        <v>183011</v>
      </c>
      <c r="B190" s="1011"/>
      <c r="C190" s="339">
        <v>275000</v>
      </c>
      <c r="D190" s="339">
        <v>0</v>
      </c>
      <c r="E190" s="1008">
        <f t="shared" si="29"/>
        <v>275000</v>
      </c>
      <c r="G190" s="1070">
        <v>0</v>
      </c>
      <c r="H190" s="1070">
        <v>154.74297198720899</v>
      </c>
      <c r="I190" s="1070">
        <v>0</v>
      </c>
      <c r="J190" s="1070">
        <v>0</v>
      </c>
      <c r="K190" s="1070">
        <v>57949.574003566209</v>
      </c>
      <c r="L190" s="4223">
        <f t="shared" si="30"/>
        <v>58104.316975553418</v>
      </c>
      <c r="N190" s="1009">
        <f t="shared" si="31"/>
        <v>275000</v>
      </c>
      <c r="O190" s="1009">
        <f t="shared" si="32"/>
        <v>0</v>
      </c>
    </row>
    <row r="191" spans="1:15">
      <c r="A191" s="1510">
        <v>232000</v>
      </c>
      <c r="B191" s="1011"/>
      <c r="C191" s="339">
        <v>0</v>
      </c>
      <c r="D191" s="339">
        <v>0</v>
      </c>
      <c r="E191" s="1008">
        <f t="shared" si="29"/>
        <v>0</v>
      </c>
      <c r="G191" s="1070">
        <v>0</v>
      </c>
      <c r="H191" s="1070">
        <v>0</v>
      </c>
      <c r="I191" s="1070">
        <v>0</v>
      </c>
      <c r="J191" s="1070">
        <v>0</v>
      </c>
      <c r="K191" s="1070">
        <v>0</v>
      </c>
      <c r="L191" s="4223">
        <f t="shared" si="30"/>
        <v>0</v>
      </c>
      <c r="N191" s="1009">
        <f t="shared" si="31"/>
        <v>0</v>
      </c>
      <c r="O191" s="1009">
        <f t="shared" si="32"/>
        <v>0</v>
      </c>
    </row>
    <row r="192" spans="1:15">
      <c r="A192" s="1510">
        <v>232520</v>
      </c>
      <c r="B192" s="1011"/>
      <c r="C192" s="339">
        <v>0</v>
      </c>
      <c r="D192" s="339">
        <v>0</v>
      </c>
      <c r="E192" s="1008">
        <f t="shared" si="29"/>
        <v>0</v>
      </c>
      <c r="G192" s="1070">
        <v>0</v>
      </c>
      <c r="H192" s="1070">
        <v>0</v>
      </c>
      <c r="I192" s="1070">
        <v>52378.739849256155</v>
      </c>
      <c r="J192" s="1070">
        <v>0</v>
      </c>
      <c r="K192" s="1070">
        <v>0</v>
      </c>
      <c r="L192" s="4223">
        <f t="shared" si="30"/>
        <v>52378.739849256155</v>
      </c>
      <c r="N192" s="1009">
        <f t="shared" si="31"/>
        <v>0</v>
      </c>
      <c r="O192" s="1009">
        <f t="shared" si="32"/>
        <v>0</v>
      </c>
    </row>
    <row r="193" spans="1:15">
      <c r="A193" s="1510">
        <v>232560</v>
      </c>
      <c r="B193" s="1011"/>
      <c r="C193" s="339">
        <v>0</v>
      </c>
      <c r="D193" s="339">
        <v>0</v>
      </c>
      <c r="E193" s="1008">
        <f t="shared" si="29"/>
        <v>0</v>
      </c>
      <c r="G193" s="1070">
        <v>0</v>
      </c>
      <c r="H193" s="1070">
        <v>0</v>
      </c>
      <c r="I193" s="1070">
        <v>347839.56776115909</v>
      </c>
      <c r="J193" s="1070">
        <v>0</v>
      </c>
      <c r="K193" s="1070">
        <v>0</v>
      </c>
      <c r="L193" s="4223">
        <f t="shared" si="30"/>
        <v>347839.56776115909</v>
      </c>
      <c r="N193" s="1009">
        <f t="shared" si="31"/>
        <v>0</v>
      </c>
      <c r="O193" s="1009">
        <f t="shared" si="32"/>
        <v>0</v>
      </c>
    </row>
    <row r="194" spans="1:15" s="3094" customFormat="1">
      <c r="A194" s="1510">
        <v>232570</v>
      </c>
      <c r="B194" s="1011"/>
      <c r="C194" s="339">
        <v>0</v>
      </c>
      <c r="D194" s="339">
        <v>0</v>
      </c>
      <c r="E194" s="1008">
        <f t="shared" si="29"/>
        <v>0</v>
      </c>
      <c r="G194" s="1070">
        <v>0</v>
      </c>
      <c r="H194" s="1070">
        <v>0</v>
      </c>
      <c r="I194" s="1070">
        <v>831.44889654928897</v>
      </c>
      <c r="J194" s="1070">
        <v>0</v>
      </c>
      <c r="K194" s="1070">
        <v>0</v>
      </c>
      <c r="L194" s="4223">
        <f t="shared" si="30"/>
        <v>831.44889654928897</v>
      </c>
      <c r="N194" s="1009">
        <f t="shared" ref="N194" si="39">C194+G194</f>
        <v>0</v>
      </c>
      <c r="O194" s="1009">
        <f t="shared" ref="O194" si="40">D194+J194</f>
        <v>0</v>
      </c>
    </row>
    <row r="195" spans="1:15">
      <c r="A195" s="1510">
        <v>232590</v>
      </c>
      <c r="B195" s="1011"/>
      <c r="C195" s="339">
        <v>0</v>
      </c>
      <c r="D195" s="339">
        <v>0</v>
      </c>
      <c r="E195" s="1008">
        <f t="shared" si="29"/>
        <v>0</v>
      </c>
      <c r="G195" s="1070">
        <v>0</v>
      </c>
      <c r="H195" s="1070">
        <v>0</v>
      </c>
      <c r="I195" s="1070">
        <v>14401.09751566862</v>
      </c>
      <c r="J195" s="1070">
        <v>0</v>
      </c>
      <c r="K195" s="1070">
        <v>0</v>
      </c>
      <c r="L195" s="4223">
        <f t="shared" si="30"/>
        <v>14401.09751566862</v>
      </c>
      <c r="N195" s="1009">
        <f t="shared" si="31"/>
        <v>0</v>
      </c>
      <c r="O195" s="1009">
        <f t="shared" si="32"/>
        <v>0</v>
      </c>
    </row>
    <row r="196" spans="1:15">
      <c r="A196" s="1510">
        <v>232610</v>
      </c>
      <c r="B196" s="1011"/>
      <c r="C196" s="339">
        <v>0</v>
      </c>
      <c r="D196" s="339">
        <v>0</v>
      </c>
      <c r="E196" s="1008">
        <f t="shared" si="29"/>
        <v>0</v>
      </c>
      <c r="G196" s="1070">
        <v>0</v>
      </c>
      <c r="H196" s="1070">
        <v>0</v>
      </c>
      <c r="I196" s="1070">
        <v>428490.25276947377</v>
      </c>
      <c r="J196" s="1070">
        <v>0</v>
      </c>
      <c r="K196" s="1070">
        <v>0</v>
      </c>
      <c r="L196" s="4223">
        <f t="shared" si="30"/>
        <v>428490.25276947377</v>
      </c>
      <c r="N196" s="1009">
        <f t="shared" si="31"/>
        <v>0</v>
      </c>
      <c r="O196" s="1009">
        <f t="shared" si="32"/>
        <v>0</v>
      </c>
    </row>
    <row r="197" spans="1:15">
      <c r="A197" s="1510">
        <v>232680</v>
      </c>
      <c r="B197" s="1011"/>
      <c r="C197" s="339">
        <v>0</v>
      </c>
      <c r="D197" s="339">
        <v>0</v>
      </c>
      <c r="E197" s="1008">
        <f t="shared" si="29"/>
        <v>0</v>
      </c>
      <c r="G197" s="1070">
        <v>0</v>
      </c>
      <c r="H197" s="1070">
        <v>0</v>
      </c>
      <c r="I197" s="1070">
        <v>146331.46117333908</v>
      </c>
      <c r="J197" s="1070">
        <v>0</v>
      </c>
      <c r="K197" s="1070">
        <v>0</v>
      </c>
      <c r="L197" s="4223">
        <f t="shared" si="30"/>
        <v>146331.46117333908</v>
      </c>
      <c r="N197" s="1009">
        <f t="shared" si="31"/>
        <v>0</v>
      </c>
      <c r="O197" s="1009">
        <f t="shared" si="32"/>
        <v>0</v>
      </c>
    </row>
    <row r="198" spans="1:15">
      <c r="A198" s="1510">
        <v>242000</v>
      </c>
      <c r="B198" s="1011"/>
      <c r="C198" s="339">
        <v>0</v>
      </c>
      <c r="D198" s="339">
        <v>0</v>
      </c>
      <c r="E198" s="1008">
        <f t="shared" si="29"/>
        <v>0</v>
      </c>
      <c r="G198" s="1070">
        <v>0</v>
      </c>
      <c r="H198" s="1070">
        <v>0</v>
      </c>
      <c r="I198" s="1070">
        <v>0</v>
      </c>
      <c r="J198" s="1070">
        <v>0</v>
      </c>
      <c r="K198" s="1070">
        <v>0</v>
      </c>
      <c r="L198" s="4223">
        <f t="shared" si="30"/>
        <v>0</v>
      </c>
      <c r="N198" s="1009">
        <f t="shared" si="31"/>
        <v>0</v>
      </c>
      <c r="O198" s="1009">
        <f t="shared" si="32"/>
        <v>0</v>
      </c>
    </row>
    <row r="199" spans="1:15">
      <c r="A199" s="1510">
        <v>242010</v>
      </c>
      <c r="B199" s="1011"/>
      <c r="C199" s="339">
        <v>0</v>
      </c>
      <c r="D199" s="339">
        <v>0</v>
      </c>
      <c r="E199" s="1008">
        <f t="shared" si="29"/>
        <v>0</v>
      </c>
      <c r="G199" s="1070">
        <v>0</v>
      </c>
      <c r="H199" s="1070">
        <v>0</v>
      </c>
      <c r="I199" s="1070">
        <v>1661022.3505036274</v>
      </c>
      <c r="J199" s="1070">
        <v>0</v>
      </c>
      <c r="K199" s="1070">
        <v>0</v>
      </c>
      <c r="L199" s="4223">
        <f t="shared" si="30"/>
        <v>1661022.3505036274</v>
      </c>
      <c r="N199" s="1009">
        <f t="shared" si="31"/>
        <v>0</v>
      </c>
      <c r="O199" s="1009">
        <f t="shared" si="32"/>
        <v>0</v>
      </c>
    </row>
    <row r="200" spans="1:15">
      <c r="A200" s="1510">
        <v>242020</v>
      </c>
      <c r="B200" s="1011"/>
      <c r="C200" s="339">
        <v>0</v>
      </c>
      <c r="D200" s="339">
        <v>0</v>
      </c>
      <c r="E200" s="1008">
        <f t="shared" si="29"/>
        <v>0</v>
      </c>
      <c r="G200" s="1070">
        <v>0</v>
      </c>
      <c r="H200" s="1070">
        <v>0</v>
      </c>
      <c r="I200" s="1070">
        <v>637540.31823088054</v>
      </c>
      <c r="J200" s="1070">
        <v>0</v>
      </c>
      <c r="K200" s="1070">
        <v>0</v>
      </c>
      <c r="L200" s="4223">
        <f t="shared" si="30"/>
        <v>637540.31823088054</v>
      </c>
      <c r="N200" s="1009">
        <f t="shared" si="31"/>
        <v>0</v>
      </c>
      <c r="O200" s="1009">
        <f t="shared" si="32"/>
        <v>0</v>
      </c>
    </row>
    <row r="201" spans="1:15">
      <c r="A201" s="1510">
        <v>242110</v>
      </c>
      <c r="B201" s="1011"/>
      <c r="C201" s="339">
        <v>0</v>
      </c>
      <c r="D201" s="339">
        <v>0</v>
      </c>
      <c r="E201" s="1008">
        <f t="shared" si="29"/>
        <v>0</v>
      </c>
      <c r="G201" s="1070">
        <v>0</v>
      </c>
      <c r="H201" s="1070">
        <v>0</v>
      </c>
      <c r="I201" s="1070">
        <v>6579028.8761247257</v>
      </c>
      <c r="J201" s="1070">
        <v>0</v>
      </c>
      <c r="K201" s="1070">
        <v>0</v>
      </c>
      <c r="L201" s="4223">
        <f t="shared" si="30"/>
        <v>6579028.8761247257</v>
      </c>
      <c r="N201" s="1009">
        <f t="shared" si="31"/>
        <v>0</v>
      </c>
      <c r="O201" s="1009">
        <f t="shared" si="32"/>
        <v>0</v>
      </c>
    </row>
    <row r="202" spans="1:15">
      <c r="A202" s="1510">
        <v>303000</v>
      </c>
      <c r="B202" s="1011"/>
      <c r="C202" s="339">
        <v>0</v>
      </c>
      <c r="D202" s="339">
        <v>0</v>
      </c>
      <c r="E202" s="1008">
        <f t="shared" si="29"/>
        <v>0</v>
      </c>
      <c r="G202" s="1070">
        <v>0</v>
      </c>
      <c r="H202" s="1070">
        <v>0</v>
      </c>
      <c r="I202" s="1070">
        <v>0</v>
      </c>
      <c r="J202" s="1070">
        <v>0</v>
      </c>
      <c r="K202" s="1070">
        <v>0</v>
      </c>
      <c r="L202" s="4223">
        <f t="shared" si="30"/>
        <v>0</v>
      </c>
      <c r="N202" s="1009">
        <f t="shared" si="31"/>
        <v>0</v>
      </c>
      <c r="O202" s="1009">
        <f t="shared" si="32"/>
        <v>0</v>
      </c>
    </row>
    <row r="203" spans="1:15">
      <c r="A203" s="1510">
        <v>303300</v>
      </c>
      <c r="B203" s="1011"/>
      <c r="C203" s="339">
        <v>0</v>
      </c>
      <c r="D203" s="339">
        <v>0</v>
      </c>
      <c r="E203" s="1008">
        <f t="shared" si="29"/>
        <v>0</v>
      </c>
      <c r="G203" s="1070">
        <v>0</v>
      </c>
      <c r="H203" s="1070">
        <v>0</v>
      </c>
      <c r="I203" s="1070">
        <v>0</v>
      </c>
      <c r="J203" s="1070">
        <v>0</v>
      </c>
      <c r="K203" s="1070">
        <v>0</v>
      </c>
      <c r="L203" s="4223">
        <f t="shared" si="30"/>
        <v>0</v>
      </c>
      <c r="N203" s="1009">
        <f t="shared" si="31"/>
        <v>0</v>
      </c>
      <c r="O203" s="1009">
        <f t="shared" si="32"/>
        <v>0</v>
      </c>
    </row>
    <row r="204" spans="1:15">
      <c r="A204" s="1510">
        <v>416000</v>
      </c>
      <c r="B204" s="1011"/>
      <c r="C204" s="339">
        <v>0</v>
      </c>
      <c r="D204" s="339">
        <v>0</v>
      </c>
      <c r="E204" s="1008">
        <f t="shared" si="29"/>
        <v>0</v>
      </c>
      <c r="G204" s="1070">
        <v>0</v>
      </c>
      <c r="H204" s="1070">
        <v>0</v>
      </c>
      <c r="I204" s="1070">
        <v>0</v>
      </c>
      <c r="J204" s="1070">
        <v>0</v>
      </c>
      <c r="K204" s="1070">
        <v>0</v>
      </c>
      <c r="L204" s="4223">
        <f t="shared" si="30"/>
        <v>0</v>
      </c>
      <c r="N204" s="1009">
        <f t="shared" si="31"/>
        <v>0</v>
      </c>
      <c r="O204" s="1009">
        <f t="shared" si="32"/>
        <v>0</v>
      </c>
    </row>
    <row r="205" spans="1:15">
      <c r="A205" s="1510">
        <v>416010</v>
      </c>
      <c r="B205" s="1011"/>
      <c r="C205" s="339">
        <v>0</v>
      </c>
      <c r="D205" s="339">
        <v>0</v>
      </c>
      <c r="E205" s="1008">
        <f t="shared" si="29"/>
        <v>0</v>
      </c>
      <c r="G205" s="1070">
        <v>165552.4339229975</v>
      </c>
      <c r="H205" s="1070">
        <v>0</v>
      </c>
      <c r="I205" s="1070">
        <v>0</v>
      </c>
      <c r="J205" s="1070">
        <v>0</v>
      </c>
      <c r="K205" s="1070">
        <v>0</v>
      </c>
      <c r="L205" s="4223">
        <f t="shared" si="30"/>
        <v>165552.4339229975</v>
      </c>
      <c r="N205" s="1009">
        <f t="shared" si="31"/>
        <v>165552.4339229975</v>
      </c>
      <c r="O205" s="1009">
        <f t="shared" si="32"/>
        <v>0</v>
      </c>
    </row>
    <row r="206" spans="1:15">
      <c r="A206" s="1274"/>
      <c r="B206" s="1275" t="s">
        <v>602</v>
      </c>
      <c r="C206" s="1276">
        <f>SUM(C174:C205)+C171</f>
        <v>14658242.348099999</v>
      </c>
      <c r="D206" s="1276">
        <f>SUM(D174:D205)+D171</f>
        <v>25388071.651900001</v>
      </c>
      <c r="E206" s="1276">
        <f>D206+C206</f>
        <v>40046314</v>
      </c>
      <c r="F206" s="1276"/>
      <c r="G206" s="1276">
        <f t="shared" ref="G206:K206" si="41">SUM(G174:G205)+G171</f>
        <v>26811304.417313844</v>
      </c>
      <c r="H206" s="1276">
        <f t="shared" si="41"/>
        <v>8343652.5680364231</v>
      </c>
      <c r="I206" s="1276">
        <f t="shared" si="41"/>
        <v>9867864.1128246784</v>
      </c>
      <c r="J206" s="1276">
        <f t="shared" si="41"/>
        <v>39025251.361941643</v>
      </c>
      <c r="K206" s="1276">
        <f t="shared" si="41"/>
        <v>9444537.5036449768</v>
      </c>
      <c r="L206" s="1276">
        <f>SUM(G206:K206)</f>
        <v>93492609.963761568</v>
      </c>
      <c r="M206" s="1276"/>
      <c r="N206" s="1276">
        <f>N171+SUM(N174:N205)</f>
        <v>42742971.500413842</v>
      </c>
      <c r="O206" s="1276">
        <f>O171+SUM(O174:O205)</f>
        <v>63139898.278841667</v>
      </c>
    </row>
    <row r="207" spans="1:15">
      <c r="A207" s="112"/>
      <c r="B207" s="112"/>
    </row>
  </sheetData>
  <autoFilter ref="A6:O206"/>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1054"/>
  <sheetViews>
    <sheetView zoomScale="70" zoomScaleNormal="70" workbookViewId="0">
      <pane ySplit="8" topLeftCell="A9" activePane="bottomLeft" state="frozen"/>
      <selection activeCell="D11" sqref="D11"/>
      <selection pane="bottomLeft" activeCell="L2" sqref="L2"/>
    </sheetView>
  </sheetViews>
  <sheetFormatPr defaultRowHeight="15.75" outlineLevelRow="1"/>
  <cols>
    <col min="1" max="1" width="9" style="1"/>
    <col min="2" max="2" width="58.375" customWidth="1"/>
    <col min="3" max="3" width="15.5" style="1" bestFit="1" customWidth="1"/>
    <col min="4" max="4" width="15.5" style="1" customWidth="1"/>
    <col min="5" max="5" width="15.5" style="3094" customWidth="1"/>
    <col min="6" max="8" width="15.5" customWidth="1"/>
    <col min="9" max="9" width="14.75" customWidth="1"/>
    <col min="10" max="10" width="14.375" bestFit="1" customWidth="1"/>
    <col min="11" max="11" width="40.25" bestFit="1" customWidth="1"/>
  </cols>
  <sheetData>
    <row r="1" spans="2:13" ht="20.25">
      <c r="B1" s="921" t="s">
        <v>1070</v>
      </c>
      <c r="C1" s="954"/>
      <c r="D1" s="954"/>
      <c r="E1" s="922"/>
      <c r="F1" s="922"/>
      <c r="G1" s="604"/>
      <c r="H1" s="604"/>
      <c r="I1" s="604"/>
      <c r="M1" s="923"/>
    </row>
    <row r="2" spans="2:13" ht="20.25">
      <c r="B2" s="921" t="s">
        <v>1071</v>
      </c>
      <c r="C2" s="954"/>
      <c r="D2" s="954"/>
      <c r="E2" s="922"/>
      <c r="F2" s="922"/>
      <c r="G2" s="604"/>
      <c r="H2" s="604"/>
      <c r="I2" s="604"/>
      <c r="K2" s="1624" t="s">
        <v>2536</v>
      </c>
      <c r="L2" s="562" t="s">
        <v>3975</v>
      </c>
      <c r="M2" s="923"/>
    </row>
    <row r="3" spans="2:13">
      <c r="B3" s="924" t="s">
        <v>1072</v>
      </c>
      <c r="C3" s="954"/>
      <c r="D3" s="954"/>
      <c r="E3" s="922"/>
      <c r="F3" s="922"/>
      <c r="G3" s="604"/>
      <c r="H3" s="604"/>
      <c r="I3" s="604"/>
      <c r="K3" s="562" t="s">
        <v>3940</v>
      </c>
      <c r="L3" s="562" t="s">
        <v>3939</v>
      </c>
      <c r="M3" s="925"/>
    </row>
    <row r="4" spans="2:13">
      <c r="B4" s="926" t="s">
        <v>1073</v>
      </c>
      <c r="C4" s="954"/>
      <c r="D4" s="954"/>
      <c r="E4" s="922"/>
      <c r="F4" s="922"/>
      <c r="G4" s="604"/>
      <c r="H4" s="604"/>
      <c r="I4" s="604"/>
      <c r="L4" s="1624" t="s">
        <v>3938</v>
      </c>
      <c r="M4" s="927"/>
    </row>
    <row r="5" spans="2:13">
      <c r="B5" s="926" t="s">
        <v>1074</v>
      </c>
      <c r="C5" s="954"/>
      <c r="D5" s="954"/>
      <c r="E5" s="922"/>
      <c r="F5" s="922"/>
      <c r="G5" s="604"/>
      <c r="H5" s="604"/>
      <c r="I5" s="604"/>
      <c r="M5" s="927"/>
    </row>
    <row r="6" spans="2:13">
      <c r="B6" s="926" t="s">
        <v>1076</v>
      </c>
      <c r="C6" s="954"/>
      <c r="D6" s="954"/>
      <c r="E6" s="922"/>
      <c r="F6" s="922"/>
      <c r="G6" s="604"/>
      <c r="H6" s="604"/>
      <c r="I6" s="604"/>
      <c r="M6" s="927"/>
    </row>
    <row r="7" spans="2:13">
      <c r="C7" s="954"/>
      <c r="D7" s="954"/>
      <c r="E7" s="922"/>
      <c r="F7" s="922"/>
    </row>
    <row r="8" spans="2:13" outlineLevel="1">
      <c r="B8" s="926" t="s">
        <v>1842</v>
      </c>
      <c r="C8" s="4294">
        <v>2015</v>
      </c>
      <c r="D8" s="4294">
        <v>2014</v>
      </c>
      <c r="E8" s="958">
        <v>2013</v>
      </c>
      <c r="F8" s="958">
        <v>2012</v>
      </c>
      <c r="G8" s="958">
        <v>2011</v>
      </c>
      <c r="H8" s="958">
        <v>2010</v>
      </c>
      <c r="I8" s="958">
        <v>2009</v>
      </c>
      <c r="J8" s="928" t="s">
        <v>1082</v>
      </c>
      <c r="K8" s="928" t="s">
        <v>1083</v>
      </c>
      <c r="M8" s="604"/>
    </row>
    <row r="9" spans="2:13" outlineLevel="1">
      <c r="C9" s="954"/>
      <c r="D9" s="954"/>
      <c r="E9" s="922"/>
      <c r="F9" s="922"/>
    </row>
    <row r="10" spans="2:13" outlineLevel="1">
      <c r="B10" s="929" t="s">
        <v>1084</v>
      </c>
      <c r="C10" s="949"/>
      <c r="D10" s="949"/>
      <c r="E10" s="930"/>
      <c r="F10" s="930"/>
      <c r="G10" s="930"/>
      <c r="H10" s="930"/>
      <c r="I10" s="932"/>
      <c r="M10" s="931" t="s">
        <v>1084</v>
      </c>
    </row>
    <row r="11" spans="2:13" outlineLevel="1">
      <c r="B11" s="933"/>
      <c r="C11" s="949"/>
      <c r="D11" s="949"/>
      <c r="E11" s="930"/>
      <c r="F11" s="930"/>
      <c r="G11" s="930"/>
      <c r="H11" s="930"/>
      <c r="I11" s="932"/>
      <c r="M11" s="934"/>
    </row>
    <row r="12" spans="2:13" outlineLevel="1">
      <c r="B12" s="929" t="s">
        <v>1085</v>
      </c>
      <c r="C12" s="949"/>
      <c r="D12" s="949"/>
      <c r="E12" s="930"/>
      <c r="F12" s="930"/>
      <c r="G12" s="930"/>
      <c r="H12" s="930"/>
      <c r="I12" s="932"/>
      <c r="M12" s="931" t="s">
        <v>1085</v>
      </c>
    </row>
    <row r="13" spans="2:13" outlineLevel="1">
      <c r="B13" s="929" t="s">
        <v>1086</v>
      </c>
      <c r="C13" s="949">
        <v>6806426.79</v>
      </c>
      <c r="D13" s="949">
        <v>6806426.79</v>
      </c>
      <c r="E13" s="930">
        <v>6806426.79</v>
      </c>
      <c r="F13" s="930">
        <v>4099243.65</v>
      </c>
      <c r="G13" s="930">
        <v>657706.37</v>
      </c>
      <c r="H13" s="930">
        <v>1782999.08</v>
      </c>
      <c r="I13" s="932">
        <v>-1125292.71</v>
      </c>
      <c r="M13" s="931" t="s">
        <v>1086</v>
      </c>
    </row>
    <row r="14" spans="2:13" outlineLevel="1">
      <c r="B14" s="929" t="s">
        <v>1087</v>
      </c>
      <c r="C14" s="949">
        <v>0.01</v>
      </c>
      <c r="D14" s="949">
        <v>0.01</v>
      </c>
      <c r="E14" s="930">
        <v>0.01</v>
      </c>
      <c r="F14" s="930">
        <v>0.01</v>
      </c>
      <c r="G14" s="930">
        <v>3857622.35</v>
      </c>
      <c r="H14" s="930">
        <v>3622978.92</v>
      </c>
      <c r="I14" s="932">
        <v>234643.43</v>
      </c>
      <c r="M14" s="931" t="s">
        <v>1087</v>
      </c>
    </row>
    <row r="15" spans="2:13" outlineLevel="1">
      <c r="B15" s="929" t="s">
        <v>1088</v>
      </c>
      <c r="C15" s="949">
        <v>500</v>
      </c>
      <c r="D15" s="949">
        <v>500</v>
      </c>
      <c r="E15" s="930">
        <v>500</v>
      </c>
      <c r="F15" s="930">
        <v>500</v>
      </c>
      <c r="G15" s="930">
        <v>500</v>
      </c>
      <c r="H15" s="930">
        <v>500</v>
      </c>
      <c r="I15" s="932">
        <v>0</v>
      </c>
      <c r="M15" s="931" t="s">
        <v>1088</v>
      </c>
    </row>
    <row r="16" spans="2:13" outlineLevel="1">
      <c r="B16" s="929" t="s">
        <v>1089</v>
      </c>
      <c r="C16" s="949">
        <v>2500</v>
      </c>
      <c r="D16" s="949">
        <v>2500</v>
      </c>
      <c r="E16" s="930">
        <v>2500</v>
      </c>
      <c r="F16" s="930">
        <v>2000</v>
      </c>
      <c r="G16" s="930">
        <v>2000</v>
      </c>
      <c r="H16" s="930">
        <v>2000</v>
      </c>
      <c r="I16" s="932">
        <v>0</v>
      </c>
      <c r="M16" s="931" t="s">
        <v>1089</v>
      </c>
    </row>
    <row r="17" spans="2:13" outlineLevel="1">
      <c r="B17" s="929" t="s">
        <v>1090</v>
      </c>
      <c r="C17" s="949">
        <v>200</v>
      </c>
      <c r="D17" s="949">
        <v>200</v>
      </c>
      <c r="E17" s="930">
        <v>200</v>
      </c>
      <c r="F17" s="930">
        <v>200</v>
      </c>
      <c r="G17" s="930">
        <v>200</v>
      </c>
      <c r="H17" s="930">
        <v>200</v>
      </c>
      <c r="I17" s="932">
        <v>0</v>
      </c>
      <c r="M17" s="931" t="s">
        <v>1090</v>
      </c>
    </row>
    <row r="18" spans="2:13" outlineLevel="1">
      <c r="B18" s="929" t="s">
        <v>1091</v>
      </c>
      <c r="C18" s="949">
        <v>200</v>
      </c>
      <c r="D18" s="949">
        <v>200</v>
      </c>
      <c r="E18" s="930">
        <v>200</v>
      </c>
      <c r="F18" s="930">
        <v>200</v>
      </c>
      <c r="G18" s="930">
        <v>200</v>
      </c>
      <c r="H18" s="930">
        <v>200</v>
      </c>
      <c r="I18" s="932">
        <v>0</v>
      </c>
      <c r="M18" s="931" t="s">
        <v>1091</v>
      </c>
    </row>
    <row r="19" spans="2:13" outlineLevel="1">
      <c r="B19" s="929" t="s">
        <v>1092</v>
      </c>
      <c r="C19" s="949">
        <v>10000</v>
      </c>
      <c r="D19" s="949">
        <v>10000</v>
      </c>
      <c r="E19" s="930">
        <v>10000</v>
      </c>
      <c r="F19" s="930">
        <v>10000</v>
      </c>
      <c r="G19" s="930">
        <v>10000</v>
      </c>
      <c r="H19" s="930">
        <v>10000</v>
      </c>
      <c r="I19" s="932">
        <v>0</v>
      </c>
      <c r="M19" s="931" t="s">
        <v>1092</v>
      </c>
    </row>
    <row r="20" spans="2:13" outlineLevel="1">
      <c r="B20" s="929" t="s">
        <v>1093</v>
      </c>
      <c r="C20" s="949">
        <v>200</v>
      </c>
      <c r="D20" s="949">
        <v>200</v>
      </c>
      <c r="E20" s="930">
        <v>200</v>
      </c>
      <c r="F20" s="930">
        <v>200</v>
      </c>
      <c r="G20" s="930">
        <v>200</v>
      </c>
      <c r="H20" s="930">
        <v>200</v>
      </c>
      <c r="I20" s="932">
        <v>0</v>
      </c>
      <c r="M20" s="931" t="s">
        <v>1093</v>
      </c>
    </row>
    <row r="21" spans="2:13" outlineLevel="1">
      <c r="B21" s="929" t="s">
        <v>1094</v>
      </c>
      <c r="C21" s="949">
        <v>500</v>
      </c>
      <c r="D21" s="949">
        <v>500</v>
      </c>
      <c r="E21" s="930">
        <v>500</v>
      </c>
      <c r="F21" s="930">
        <v>500</v>
      </c>
      <c r="G21" s="930">
        <v>500</v>
      </c>
      <c r="H21" s="930">
        <v>500</v>
      </c>
      <c r="I21" s="932">
        <v>0</v>
      </c>
      <c r="M21" s="931" t="s">
        <v>1094</v>
      </c>
    </row>
    <row r="22" spans="2:13" outlineLevel="1">
      <c r="B22" s="929" t="s">
        <v>1095</v>
      </c>
      <c r="C22" s="949">
        <v>800</v>
      </c>
      <c r="D22" s="949">
        <v>800</v>
      </c>
      <c r="E22" s="930">
        <v>800</v>
      </c>
      <c r="F22" s="930">
        <v>800</v>
      </c>
      <c r="G22" s="930">
        <v>800</v>
      </c>
      <c r="H22" s="930">
        <v>800</v>
      </c>
      <c r="I22" s="932">
        <v>0</v>
      </c>
      <c r="M22" s="931" t="s">
        <v>1095</v>
      </c>
    </row>
    <row r="23" spans="2:13" outlineLevel="1">
      <c r="B23" s="929" t="s">
        <v>1096</v>
      </c>
      <c r="C23" s="949">
        <v>1200</v>
      </c>
      <c r="D23" s="949">
        <v>1200</v>
      </c>
      <c r="E23" s="930">
        <v>1200</v>
      </c>
      <c r="F23" s="930">
        <v>1200</v>
      </c>
      <c r="G23" s="930">
        <v>1200</v>
      </c>
      <c r="H23" s="930">
        <v>1200</v>
      </c>
      <c r="I23" s="932">
        <v>0</v>
      </c>
      <c r="M23" s="931" t="s">
        <v>1096</v>
      </c>
    </row>
    <row r="24" spans="2:13" outlineLevel="1">
      <c r="B24" s="929" t="s">
        <v>1097</v>
      </c>
      <c r="C24" s="949">
        <v>800</v>
      </c>
      <c r="D24" s="949">
        <v>800</v>
      </c>
      <c r="E24" s="930">
        <v>800</v>
      </c>
      <c r="F24" s="930">
        <v>700</v>
      </c>
      <c r="G24" s="930">
        <v>700</v>
      </c>
      <c r="H24" s="930">
        <v>700</v>
      </c>
      <c r="I24" s="932">
        <v>0</v>
      </c>
      <c r="M24" s="931" t="s">
        <v>1097</v>
      </c>
    </row>
    <row r="25" spans="2:13" outlineLevel="1">
      <c r="B25" s="929" t="s">
        <v>1098</v>
      </c>
      <c r="C25" s="949">
        <v>800</v>
      </c>
      <c r="D25" s="949">
        <v>800</v>
      </c>
      <c r="E25" s="930">
        <v>800</v>
      </c>
      <c r="F25" s="930">
        <v>700</v>
      </c>
      <c r="G25" s="930">
        <v>700</v>
      </c>
      <c r="H25" s="930">
        <v>700</v>
      </c>
      <c r="I25" s="932">
        <v>0</v>
      </c>
      <c r="M25" s="931" t="s">
        <v>1098</v>
      </c>
    </row>
    <row r="26" spans="2:13" outlineLevel="1">
      <c r="B26" s="929" t="s">
        <v>1099</v>
      </c>
      <c r="C26" s="949">
        <v>800</v>
      </c>
      <c r="D26" s="949">
        <v>800</v>
      </c>
      <c r="E26" s="930">
        <v>800</v>
      </c>
      <c r="F26" s="930">
        <v>700</v>
      </c>
      <c r="G26" s="930">
        <v>700</v>
      </c>
      <c r="H26" s="930">
        <v>700</v>
      </c>
      <c r="I26" s="932">
        <v>0</v>
      </c>
      <c r="M26" s="931" t="s">
        <v>1099</v>
      </c>
    </row>
    <row r="27" spans="2:13" outlineLevel="1">
      <c r="B27" s="929" t="s">
        <v>1100</v>
      </c>
      <c r="C27" s="949">
        <v>400</v>
      </c>
      <c r="D27" s="949">
        <v>400</v>
      </c>
      <c r="E27" s="930">
        <v>400</v>
      </c>
      <c r="F27" s="930">
        <v>300</v>
      </c>
      <c r="G27" s="930">
        <v>300</v>
      </c>
      <c r="H27" s="930">
        <v>300</v>
      </c>
      <c r="I27" s="932">
        <v>0</v>
      </c>
      <c r="M27" s="931" t="s">
        <v>1100</v>
      </c>
    </row>
    <row r="28" spans="2:13" outlineLevel="1">
      <c r="B28" s="929" t="s">
        <v>1101</v>
      </c>
      <c r="C28" s="949">
        <v>10000</v>
      </c>
      <c r="D28" s="949">
        <v>10000</v>
      </c>
      <c r="E28" s="930">
        <v>10000</v>
      </c>
      <c r="F28" s="930">
        <v>10000</v>
      </c>
      <c r="G28" s="930">
        <v>10000</v>
      </c>
      <c r="H28" s="930">
        <v>10000</v>
      </c>
      <c r="I28" s="932">
        <v>0</v>
      </c>
      <c r="M28" s="931" t="s">
        <v>1101</v>
      </c>
    </row>
    <row r="29" spans="2:13" outlineLevel="1">
      <c r="B29" s="929" t="s">
        <v>1102</v>
      </c>
      <c r="C29" s="949">
        <v>5000</v>
      </c>
      <c r="D29" s="949">
        <v>5000</v>
      </c>
      <c r="E29" s="930">
        <v>5000</v>
      </c>
      <c r="F29" s="930">
        <v>5000</v>
      </c>
      <c r="G29" s="930">
        <v>5000</v>
      </c>
      <c r="H29" s="930">
        <v>5000</v>
      </c>
      <c r="I29" s="932">
        <v>0</v>
      </c>
      <c r="M29" s="931" t="s">
        <v>1102</v>
      </c>
    </row>
    <row r="30" spans="2:13" outlineLevel="1">
      <c r="B30" s="929" t="s">
        <v>1103</v>
      </c>
      <c r="C30" s="949">
        <v>15000</v>
      </c>
      <c r="D30" s="949">
        <v>15000</v>
      </c>
      <c r="E30" s="930">
        <v>15000</v>
      </c>
      <c r="F30" s="930">
        <v>10000</v>
      </c>
      <c r="G30" s="930">
        <v>10000</v>
      </c>
      <c r="H30" s="930">
        <v>10000</v>
      </c>
      <c r="I30" s="932">
        <v>0</v>
      </c>
      <c r="M30" s="931" t="s">
        <v>1103</v>
      </c>
    </row>
    <row r="31" spans="2:13" outlineLevel="1">
      <c r="B31" s="929" t="s">
        <v>1104</v>
      </c>
      <c r="C31" s="949">
        <v>373.66</v>
      </c>
      <c r="D31" s="949">
        <v>373.66</v>
      </c>
      <c r="E31" s="930">
        <v>373.66</v>
      </c>
      <c r="F31" s="930">
        <v>0</v>
      </c>
      <c r="G31" s="930"/>
      <c r="H31" s="930"/>
      <c r="I31" s="932"/>
      <c r="M31" s="931"/>
    </row>
    <row r="32" spans="2:13" outlineLevel="1">
      <c r="B32" s="929" t="s">
        <v>1105</v>
      </c>
      <c r="C32" s="949">
        <v>435804.47</v>
      </c>
      <c r="D32" s="949">
        <v>435804.47</v>
      </c>
      <c r="E32" s="930">
        <v>435804.47</v>
      </c>
      <c r="F32" s="930">
        <v>1439568.37</v>
      </c>
      <c r="G32" s="930">
        <v>345749.33</v>
      </c>
      <c r="H32" s="930">
        <v>2821278.38</v>
      </c>
      <c r="I32" s="932">
        <v>-2475529.0499999998</v>
      </c>
      <c r="M32" s="931" t="s">
        <v>1105</v>
      </c>
    </row>
    <row r="33" spans="2:13" outlineLevel="1">
      <c r="B33" s="929" t="s">
        <v>1106</v>
      </c>
      <c r="C33" s="949">
        <v>70197.11</v>
      </c>
      <c r="D33" s="949">
        <v>70197.11</v>
      </c>
      <c r="E33" s="930">
        <v>70197.11</v>
      </c>
      <c r="F33" s="930">
        <v>27267.31</v>
      </c>
      <c r="G33" s="930">
        <v>23472.03</v>
      </c>
      <c r="H33" s="930">
        <v>28725.57</v>
      </c>
      <c r="I33" s="932">
        <v>-5253.54</v>
      </c>
      <c r="M33" s="931" t="s">
        <v>1106</v>
      </c>
    </row>
    <row r="34" spans="2:13" outlineLevel="1">
      <c r="B34" s="929" t="s">
        <v>1107</v>
      </c>
      <c r="C34" s="949">
        <v>395507.82</v>
      </c>
      <c r="D34" s="949">
        <v>395507.82</v>
      </c>
      <c r="E34" s="930">
        <v>395507.82</v>
      </c>
      <c r="F34" s="930">
        <v>108336.3</v>
      </c>
      <c r="G34" s="930">
        <v>301021.07</v>
      </c>
      <c r="H34" s="930">
        <v>239120.71</v>
      </c>
      <c r="I34" s="932">
        <v>61900.36</v>
      </c>
      <c r="M34" s="931" t="s">
        <v>1107</v>
      </c>
    </row>
    <row r="35" spans="2:13" outlineLevel="1">
      <c r="B35" s="933"/>
      <c r="C35" s="952" t="s">
        <v>1108</v>
      </c>
      <c r="D35" s="952" t="s">
        <v>1108</v>
      </c>
      <c r="E35" s="935" t="s">
        <v>1108</v>
      </c>
      <c r="F35" s="935" t="s">
        <v>1108</v>
      </c>
      <c r="G35" s="935" t="s">
        <v>1108</v>
      </c>
      <c r="H35" s="935" t="s">
        <v>1108</v>
      </c>
      <c r="I35" s="936" t="s">
        <v>1108</v>
      </c>
      <c r="M35" s="934"/>
    </row>
    <row r="36" spans="2:13" outlineLevel="1">
      <c r="B36" s="929" t="s">
        <v>1109</v>
      </c>
      <c r="C36" s="949">
        <v>7757209.8600000003</v>
      </c>
      <c r="D36" s="949">
        <v>7757209.8600000003</v>
      </c>
      <c r="E36" s="930">
        <v>7757209.8600000003</v>
      </c>
      <c r="F36" s="930">
        <v>5717415.6399999997</v>
      </c>
      <c r="G36" s="930">
        <v>5228571.1500000004</v>
      </c>
      <c r="H36" s="930">
        <v>8538102.6600000001</v>
      </c>
      <c r="I36" s="932">
        <v>-3309531.51</v>
      </c>
      <c r="M36" s="931" t="s">
        <v>1109</v>
      </c>
    </row>
    <row r="37" spans="2:13" outlineLevel="1">
      <c r="B37" s="933"/>
      <c r="C37" s="952" t="s">
        <v>1108</v>
      </c>
      <c r="D37" s="952" t="s">
        <v>1108</v>
      </c>
      <c r="E37" s="935" t="s">
        <v>1108</v>
      </c>
      <c r="F37" s="935" t="s">
        <v>1108</v>
      </c>
      <c r="G37" s="935" t="s">
        <v>1108</v>
      </c>
      <c r="H37" s="935" t="s">
        <v>1108</v>
      </c>
      <c r="I37" s="936" t="s">
        <v>1108</v>
      </c>
      <c r="M37" s="934"/>
    </row>
    <row r="38" spans="2:13" outlineLevel="1">
      <c r="B38" s="933"/>
      <c r="C38" s="949"/>
      <c r="D38" s="949"/>
      <c r="E38" s="930"/>
      <c r="F38" s="930"/>
      <c r="G38" s="930"/>
      <c r="H38" s="930"/>
      <c r="I38" s="932"/>
      <c r="M38" s="934"/>
    </row>
    <row r="39" spans="2:13" outlineLevel="1">
      <c r="B39" s="929" t="s">
        <v>1110</v>
      </c>
      <c r="C39" s="949"/>
      <c r="D39" s="949"/>
      <c r="E39" s="930"/>
      <c r="F39" s="930"/>
      <c r="G39" s="930"/>
      <c r="H39" s="930"/>
      <c r="I39" s="932"/>
      <c r="M39" s="931" t="s">
        <v>1110</v>
      </c>
    </row>
    <row r="40" spans="2:13" outlineLevel="1">
      <c r="B40" s="929" t="s">
        <v>1111</v>
      </c>
      <c r="C40" s="949">
        <v>80569957.430000007</v>
      </c>
      <c r="D40" s="949">
        <v>80569957.430000007</v>
      </c>
      <c r="E40" s="930">
        <v>80569957.430000007</v>
      </c>
      <c r="F40" s="930">
        <v>39744790.890000001</v>
      </c>
      <c r="G40" s="930">
        <v>23020862.43</v>
      </c>
      <c r="H40" s="930">
        <v>6349090.9900000002</v>
      </c>
      <c r="I40" s="932">
        <v>16671771.439999999</v>
      </c>
      <c r="M40" s="931" t="s">
        <v>1111</v>
      </c>
    </row>
    <row r="41" spans="2:13" outlineLevel="1">
      <c r="B41" s="929" t="s">
        <v>1112</v>
      </c>
      <c r="C41" s="949">
        <v>581774.52</v>
      </c>
      <c r="D41" s="949">
        <v>581774.52</v>
      </c>
      <c r="E41" s="930">
        <v>581774.52</v>
      </c>
      <c r="F41" s="930">
        <v>113428.01</v>
      </c>
      <c r="G41" s="930">
        <v>9569090.8100000005</v>
      </c>
      <c r="H41" s="930">
        <v>6650138.9400000004</v>
      </c>
      <c r="I41" s="932">
        <v>2918951.87</v>
      </c>
      <c r="M41" s="931" t="s">
        <v>1113</v>
      </c>
    </row>
    <row r="42" spans="2:13" outlineLevel="1">
      <c r="B42" s="929"/>
      <c r="C42" s="949"/>
      <c r="D42" s="949"/>
      <c r="E42" s="930"/>
      <c r="F42" s="930"/>
      <c r="G42" s="930">
        <v>0</v>
      </c>
      <c r="H42" s="930">
        <v>27562.240000000002</v>
      </c>
      <c r="I42" s="932">
        <v>-27562.240000000002</v>
      </c>
      <c r="M42" s="931" t="s">
        <v>1114</v>
      </c>
    </row>
    <row r="43" spans="2:13" outlineLevel="1">
      <c r="B43" s="929" t="s">
        <v>1115</v>
      </c>
      <c r="C43" s="949">
        <v>265418.64</v>
      </c>
      <c r="D43" s="949">
        <v>265418.64</v>
      </c>
      <c r="E43" s="930">
        <v>265418.64</v>
      </c>
      <c r="F43" s="930">
        <v>126992.61</v>
      </c>
      <c r="G43" s="930">
        <v>64499.71</v>
      </c>
      <c r="H43" s="930">
        <v>1978.02</v>
      </c>
      <c r="I43" s="932">
        <v>62521.69</v>
      </c>
      <c r="M43" s="931" t="s">
        <v>1115</v>
      </c>
    </row>
    <row r="44" spans="2:13" outlineLevel="1">
      <c r="B44" s="929" t="s">
        <v>1116</v>
      </c>
      <c r="C44" s="949">
        <v>39378564.770000003</v>
      </c>
      <c r="D44" s="949">
        <v>39378564.770000003</v>
      </c>
      <c r="E44" s="930">
        <v>39378564.770000003</v>
      </c>
      <c r="F44" s="930">
        <v>36702880.539999999</v>
      </c>
      <c r="G44" s="930">
        <v>36307693.950000003</v>
      </c>
      <c r="H44" s="930">
        <v>57036158.560000002</v>
      </c>
      <c r="I44" s="932">
        <v>-20728464.609999999</v>
      </c>
      <c r="M44" s="931" t="s">
        <v>1116</v>
      </c>
    </row>
    <row r="45" spans="2:13" outlineLevel="1">
      <c r="B45" s="929" t="s">
        <v>1117</v>
      </c>
      <c r="C45" s="949">
        <v>468737.7</v>
      </c>
      <c r="D45" s="949">
        <v>468737.7</v>
      </c>
      <c r="E45" s="930">
        <v>468737.7</v>
      </c>
      <c r="F45" s="930">
        <v>858230.2</v>
      </c>
      <c r="G45" s="930">
        <v>356379.3</v>
      </c>
      <c r="H45" s="930">
        <v>605043.11</v>
      </c>
      <c r="I45" s="932">
        <v>-248663.81</v>
      </c>
      <c r="M45" s="931" t="s">
        <v>1117</v>
      </c>
    </row>
    <row r="46" spans="2:13" outlineLevel="1">
      <c r="B46" s="929" t="s">
        <v>1118</v>
      </c>
      <c r="C46" s="949">
        <v>301809.76</v>
      </c>
      <c r="D46" s="949">
        <v>301809.76</v>
      </c>
      <c r="E46" s="930">
        <v>301809.76</v>
      </c>
      <c r="F46" s="930">
        <v>224578.38</v>
      </c>
      <c r="G46" s="930">
        <v>221669.95</v>
      </c>
      <c r="H46" s="930">
        <v>231266.17</v>
      </c>
      <c r="I46" s="932">
        <v>-9596.2199999999993</v>
      </c>
      <c r="M46" s="931" t="s">
        <v>1118</v>
      </c>
    </row>
    <row r="47" spans="2:13" outlineLevel="1">
      <c r="B47" s="929" t="s">
        <v>1119</v>
      </c>
      <c r="C47" s="949">
        <v>11436.8</v>
      </c>
      <c r="D47" s="949">
        <v>11436.8</v>
      </c>
      <c r="E47" s="930">
        <v>11436.8</v>
      </c>
      <c r="F47" s="930">
        <v>54353.99</v>
      </c>
      <c r="G47" s="930">
        <v>58089.120000000003</v>
      </c>
      <c r="H47" s="930">
        <v>52820.52</v>
      </c>
      <c r="I47" s="932">
        <v>5268.6000000000104</v>
      </c>
      <c r="M47" s="931" t="s">
        <v>1119</v>
      </c>
    </row>
    <row r="48" spans="2:13" outlineLevel="1">
      <c r="B48" s="929"/>
      <c r="C48" s="949"/>
      <c r="D48" s="949"/>
      <c r="E48" s="930"/>
      <c r="F48" s="930"/>
      <c r="G48" s="930">
        <v>13419.9</v>
      </c>
      <c r="H48" s="930">
        <v>30450.5</v>
      </c>
      <c r="I48" s="932">
        <v>-17030.599999999999</v>
      </c>
      <c r="M48" s="931" t="s">
        <v>1112</v>
      </c>
    </row>
    <row r="49" spans="2:13" outlineLevel="1">
      <c r="B49" s="929" t="s">
        <v>1120</v>
      </c>
      <c r="C49" s="949">
        <v>3059825.95</v>
      </c>
      <c r="D49" s="949">
        <v>3059825.95</v>
      </c>
      <c r="E49" s="930">
        <v>3059825.95</v>
      </c>
      <c r="F49" s="930">
        <v>3714389.4</v>
      </c>
      <c r="G49" s="930">
        <v>3740457.42</v>
      </c>
      <c r="H49" s="930">
        <v>3434676.82</v>
      </c>
      <c r="I49" s="932">
        <v>305780.59999999998</v>
      </c>
      <c r="M49" s="931" t="s">
        <v>1120</v>
      </c>
    </row>
    <row r="50" spans="2:13" outlineLevel="1">
      <c r="B50" s="929" t="s">
        <v>1121</v>
      </c>
      <c r="C50" s="949">
        <v>16370.61</v>
      </c>
      <c r="D50" s="949">
        <v>16370.61</v>
      </c>
      <c r="E50" s="930">
        <v>16370.61</v>
      </c>
      <c r="F50" s="930">
        <v>21407.37</v>
      </c>
      <c r="G50" s="930">
        <v>10171.74</v>
      </c>
      <c r="H50" s="930">
        <v>20106.900000000001</v>
      </c>
      <c r="I50" s="932">
        <v>-9935.16</v>
      </c>
      <c r="M50" s="931" t="s">
        <v>1121</v>
      </c>
    </row>
    <row r="51" spans="2:13" outlineLevel="1">
      <c r="B51" s="929" t="s">
        <v>1122</v>
      </c>
      <c r="C51" s="949">
        <v>6572.25</v>
      </c>
      <c r="D51" s="949">
        <v>6572.25</v>
      </c>
      <c r="E51" s="930">
        <v>6572.25</v>
      </c>
      <c r="F51" s="930">
        <v>19688.830000000002</v>
      </c>
      <c r="G51" s="930">
        <v>19212.29</v>
      </c>
      <c r="H51" s="930">
        <v>8897.4</v>
      </c>
      <c r="I51" s="932">
        <v>10314.89</v>
      </c>
      <c r="M51" s="931" t="s">
        <v>1122</v>
      </c>
    </row>
    <row r="52" spans="2:13" outlineLevel="1">
      <c r="B52" s="933"/>
      <c r="C52" s="952" t="s">
        <v>1108</v>
      </c>
      <c r="D52" s="952" t="s">
        <v>1108</v>
      </c>
      <c r="E52" s="935" t="s">
        <v>1108</v>
      </c>
      <c r="F52" s="935" t="s">
        <v>1108</v>
      </c>
      <c r="G52" s="935" t="s">
        <v>1108</v>
      </c>
      <c r="H52" s="935" t="s">
        <v>1108</v>
      </c>
      <c r="I52" s="936" t="s">
        <v>1108</v>
      </c>
      <c r="M52" s="934"/>
    </row>
    <row r="53" spans="2:13" outlineLevel="1">
      <c r="B53" s="929" t="s">
        <v>1123</v>
      </c>
      <c r="C53" s="949">
        <v>124660468.43000001</v>
      </c>
      <c r="D53" s="949">
        <v>124660468.43000001</v>
      </c>
      <c r="E53" s="930">
        <v>124660468.43000001</v>
      </c>
      <c r="F53" s="930">
        <v>81580740.219999999</v>
      </c>
      <c r="G53" s="930">
        <v>73381546.620000005</v>
      </c>
      <c r="H53" s="930">
        <v>74448190.170000002</v>
      </c>
      <c r="I53" s="932">
        <v>-1066643.55</v>
      </c>
      <c r="M53" s="931" t="s">
        <v>1123</v>
      </c>
    </row>
    <row r="54" spans="2:13" outlineLevel="1">
      <c r="B54" s="933"/>
      <c r="C54" s="952" t="s">
        <v>1108</v>
      </c>
      <c r="D54" s="952" t="s">
        <v>1108</v>
      </c>
      <c r="E54" s="935" t="s">
        <v>1108</v>
      </c>
      <c r="F54" s="935" t="s">
        <v>1108</v>
      </c>
      <c r="G54" s="935" t="s">
        <v>1108</v>
      </c>
      <c r="H54" s="935" t="s">
        <v>1108</v>
      </c>
      <c r="I54" s="936" t="s">
        <v>1108</v>
      </c>
      <c r="M54" s="934"/>
    </row>
    <row r="55" spans="2:13" outlineLevel="1">
      <c r="B55" s="929" t="s">
        <v>1124</v>
      </c>
      <c r="C55" s="949"/>
      <c r="D55" s="949"/>
      <c r="E55" s="930"/>
      <c r="F55" s="930"/>
      <c r="G55" s="930"/>
      <c r="H55" s="930"/>
      <c r="I55" s="932"/>
      <c r="M55" s="931" t="s">
        <v>1124</v>
      </c>
    </row>
    <row r="56" spans="2:13" outlineLevel="1">
      <c r="B56" s="933"/>
      <c r="C56" s="949"/>
      <c r="D56" s="949"/>
      <c r="E56" s="930"/>
      <c r="F56" s="930"/>
      <c r="G56" s="930"/>
      <c r="H56" s="930"/>
      <c r="I56" s="932"/>
      <c r="M56" s="934"/>
    </row>
    <row r="57" spans="2:13" outlineLevel="1">
      <c r="B57" s="929" t="s">
        <v>1125</v>
      </c>
      <c r="C57" s="949"/>
      <c r="D57" s="949"/>
      <c r="E57" s="930"/>
      <c r="F57" s="930"/>
      <c r="G57" s="930"/>
      <c r="H57" s="930"/>
      <c r="I57" s="932"/>
      <c r="M57" s="931" t="s">
        <v>1125</v>
      </c>
    </row>
    <row r="58" spans="2:13" outlineLevel="1">
      <c r="B58" s="929" t="s">
        <v>1126</v>
      </c>
      <c r="C58" s="949">
        <v>1462.25</v>
      </c>
      <c r="D58" s="949">
        <v>1462.25</v>
      </c>
      <c r="E58" s="930">
        <v>1462.25</v>
      </c>
      <c r="F58" s="930">
        <v>1462.25</v>
      </c>
      <c r="G58" s="930">
        <v>1462.25</v>
      </c>
      <c r="H58" s="930">
        <v>0</v>
      </c>
      <c r="I58" s="932">
        <v>1462.25</v>
      </c>
      <c r="M58" s="931" t="s">
        <v>1126</v>
      </c>
    </row>
    <row r="59" spans="2:13" outlineLevel="1">
      <c r="B59" s="929" t="s">
        <v>1127</v>
      </c>
      <c r="C59" s="949">
        <v>9775</v>
      </c>
      <c r="D59" s="949">
        <v>9775</v>
      </c>
      <c r="E59" s="930">
        <v>9775</v>
      </c>
      <c r="F59" s="930">
        <v>9775</v>
      </c>
      <c r="G59" s="930">
        <v>9775</v>
      </c>
      <c r="H59" s="930">
        <v>0</v>
      </c>
      <c r="I59" s="932">
        <v>9775</v>
      </c>
      <c r="M59" s="931" t="s">
        <v>1127</v>
      </c>
    </row>
    <row r="60" spans="2:13" outlineLevel="1">
      <c r="B60" s="929" t="s">
        <v>1128</v>
      </c>
      <c r="C60" s="949">
        <v>6762.36</v>
      </c>
      <c r="D60" s="949">
        <v>6762.36</v>
      </c>
      <c r="E60" s="930">
        <v>6762.36</v>
      </c>
      <c r="F60" s="930">
        <v>0</v>
      </c>
      <c r="G60" s="930">
        <v>0</v>
      </c>
      <c r="H60" s="930">
        <v>4032997.27</v>
      </c>
      <c r="I60" s="932">
        <v>-4032997.27</v>
      </c>
      <c r="M60" s="931" t="s">
        <v>1129</v>
      </c>
    </row>
    <row r="61" spans="2:13" outlineLevel="1">
      <c r="B61" s="929" t="s">
        <v>1130</v>
      </c>
      <c r="C61" s="949">
        <v>4810373</v>
      </c>
      <c r="D61" s="949">
        <v>4810373</v>
      </c>
      <c r="E61" s="930">
        <v>4810373</v>
      </c>
      <c r="F61" s="930">
        <v>3762541.77</v>
      </c>
      <c r="G61" s="930">
        <v>0</v>
      </c>
      <c r="H61" s="930">
        <v>1189458.73</v>
      </c>
      <c r="I61" s="932">
        <v>-1189458.73</v>
      </c>
      <c r="M61" s="931" t="s">
        <v>1131</v>
      </c>
    </row>
    <row r="62" spans="2:13" outlineLevel="1">
      <c r="B62" s="929" t="s">
        <v>1132</v>
      </c>
      <c r="C62" s="949">
        <v>1722577.22</v>
      </c>
      <c r="D62" s="949">
        <v>1722577.22</v>
      </c>
      <c r="E62" s="930">
        <v>1722577.22</v>
      </c>
      <c r="F62" s="930">
        <v>1156529.25</v>
      </c>
      <c r="G62" s="930">
        <v>1247556.07</v>
      </c>
      <c r="H62" s="930">
        <v>0</v>
      </c>
      <c r="I62" s="932">
        <v>1247556.07</v>
      </c>
      <c r="M62" s="931" t="s">
        <v>1130</v>
      </c>
    </row>
    <row r="63" spans="2:13" outlineLevel="1">
      <c r="B63" s="929" t="s">
        <v>1133</v>
      </c>
      <c r="C63" s="949">
        <v>831879.88</v>
      </c>
      <c r="D63" s="949">
        <v>831879.88</v>
      </c>
      <c r="E63" s="930">
        <v>831879.88</v>
      </c>
      <c r="F63" s="930">
        <v>0</v>
      </c>
      <c r="G63" s="930">
        <v>480296.99</v>
      </c>
      <c r="H63" s="930">
        <v>0</v>
      </c>
      <c r="I63" s="932">
        <v>480296.99</v>
      </c>
      <c r="M63" s="931" t="s">
        <v>1132</v>
      </c>
    </row>
    <row r="64" spans="2:13" outlineLevel="1">
      <c r="B64" s="933"/>
      <c r="C64" s="952" t="s">
        <v>1108</v>
      </c>
      <c r="D64" s="952" t="s">
        <v>1108</v>
      </c>
      <c r="E64" s="935" t="s">
        <v>1108</v>
      </c>
      <c r="F64" s="935" t="s">
        <v>1108</v>
      </c>
      <c r="G64" s="935" t="s">
        <v>1108</v>
      </c>
      <c r="H64" s="935" t="s">
        <v>1108</v>
      </c>
      <c r="I64" s="936" t="s">
        <v>1108</v>
      </c>
      <c r="M64" s="934"/>
    </row>
    <row r="65" spans="2:13" outlineLevel="1">
      <c r="B65" s="929" t="s">
        <v>1134</v>
      </c>
      <c r="C65" s="949">
        <v>7382829.71</v>
      </c>
      <c r="D65" s="949">
        <v>7382829.71</v>
      </c>
      <c r="E65" s="930">
        <v>7382829.71</v>
      </c>
      <c r="F65" s="930">
        <v>4930308.2699999996</v>
      </c>
      <c r="G65" s="930">
        <v>1739090.31</v>
      </c>
      <c r="H65" s="930">
        <v>5222456</v>
      </c>
      <c r="I65" s="932">
        <v>-3483365.69</v>
      </c>
      <c r="M65" s="931" t="s">
        <v>1134</v>
      </c>
    </row>
    <row r="66" spans="2:13" outlineLevel="1">
      <c r="B66" s="933"/>
      <c r="C66" s="952" t="s">
        <v>1108</v>
      </c>
      <c r="D66" s="952" t="s">
        <v>1108</v>
      </c>
      <c r="E66" s="935" t="s">
        <v>1108</v>
      </c>
      <c r="F66" s="935" t="s">
        <v>1108</v>
      </c>
      <c r="G66" s="935" t="s">
        <v>1108</v>
      </c>
      <c r="H66" s="935" t="s">
        <v>1108</v>
      </c>
      <c r="I66" s="936" t="s">
        <v>1108</v>
      </c>
      <c r="M66" s="934"/>
    </row>
    <row r="67" spans="2:13" outlineLevel="1">
      <c r="B67" s="933"/>
      <c r="C67" s="949"/>
      <c r="D67" s="949"/>
      <c r="E67" s="930"/>
      <c r="F67" s="930"/>
      <c r="G67" s="930"/>
      <c r="H67" s="930"/>
      <c r="I67" s="932"/>
      <c r="M67" s="934"/>
    </row>
    <row r="68" spans="2:13" outlineLevel="1">
      <c r="B68" s="929" t="s">
        <v>1135</v>
      </c>
      <c r="C68" s="949"/>
      <c r="D68" s="949"/>
      <c r="E68" s="930"/>
      <c r="F68" s="930"/>
      <c r="G68" s="930"/>
      <c r="H68" s="930"/>
      <c r="I68" s="932"/>
      <c r="M68" s="931" t="s">
        <v>1135</v>
      </c>
    </row>
    <row r="69" spans="2:13" outlineLevel="1">
      <c r="B69" s="929"/>
      <c r="C69" s="949"/>
      <c r="D69" s="949"/>
      <c r="E69" s="930"/>
      <c r="F69" s="930"/>
      <c r="G69" s="930">
        <v>0</v>
      </c>
      <c r="H69" s="930">
        <v>7415875.1299999999</v>
      </c>
      <c r="I69" s="932">
        <v>-7415875.1299999999</v>
      </c>
      <c r="M69" s="931" t="s">
        <v>1136</v>
      </c>
    </row>
    <row r="70" spans="2:13" outlineLevel="1">
      <c r="B70" s="929" t="s">
        <v>1137</v>
      </c>
      <c r="C70" s="949">
        <v>784627</v>
      </c>
      <c r="D70" s="949">
        <v>784627</v>
      </c>
      <c r="E70" s="930">
        <v>784627</v>
      </c>
      <c r="F70" s="930">
        <v>7500259.2599999998</v>
      </c>
      <c r="G70" s="930">
        <v>0</v>
      </c>
      <c r="H70" s="930">
        <v>0.03</v>
      </c>
      <c r="I70" s="932">
        <v>-0.03</v>
      </c>
      <c r="M70" s="931" t="s">
        <v>1138</v>
      </c>
    </row>
    <row r="71" spans="2:13" outlineLevel="1">
      <c r="B71" s="929" t="s">
        <v>1139</v>
      </c>
      <c r="C71" s="949">
        <v>0</v>
      </c>
      <c r="D71" s="949">
        <v>0</v>
      </c>
      <c r="E71" s="930">
        <v>0</v>
      </c>
      <c r="F71" s="930">
        <v>-91.14</v>
      </c>
      <c r="G71" s="930">
        <v>0</v>
      </c>
      <c r="H71" s="930">
        <v>2187176.61</v>
      </c>
      <c r="I71" s="932">
        <v>-2187176.61</v>
      </c>
      <c r="M71" s="931" t="s">
        <v>1140</v>
      </c>
    </row>
    <row r="72" spans="2:13" outlineLevel="1">
      <c r="B72" s="929" t="s">
        <v>1141</v>
      </c>
      <c r="C72" s="949">
        <v>280888.40999999997</v>
      </c>
      <c r="D72" s="949">
        <v>280888.40999999997</v>
      </c>
      <c r="E72" s="930">
        <v>280888.40999999997</v>
      </c>
      <c r="F72" s="930">
        <v>2305400.02</v>
      </c>
      <c r="G72" s="930">
        <v>3087483.38</v>
      </c>
      <c r="H72" s="930">
        <v>0</v>
      </c>
      <c r="I72" s="932">
        <v>3087483.38</v>
      </c>
      <c r="M72" s="931" t="s">
        <v>1137</v>
      </c>
    </row>
    <row r="73" spans="2:13" outlineLevel="1">
      <c r="B73" s="929" t="s">
        <v>1142</v>
      </c>
      <c r="C73" s="949">
        <v>135533.31</v>
      </c>
      <c r="D73" s="949">
        <v>135533.31</v>
      </c>
      <c r="E73" s="930">
        <v>135533.31</v>
      </c>
      <c r="F73" s="930">
        <v>0</v>
      </c>
      <c r="G73" s="930">
        <v>1188651.18</v>
      </c>
      <c r="H73" s="930">
        <v>0</v>
      </c>
      <c r="I73" s="932">
        <v>1188651.18</v>
      </c>
      <c r="M73" s="931" t="s">
        <v>1141</v>
      </c>
    </row>
    <row r="74" spans="2:13" outlineLevel="1">
      <c r="B74" s="933"/>
      <c r="C74" s="952" t="s">
        <v>1108</v>
      </c>
      <c r="D74" s="952" t="s">
        <v>1108</v>
      </c>
      <c r="E74" s="935" t="s">
        <v>1108</v>
      </c>
      <c r="F74" s="935" t="s">
        <v>1108</v>
      </c>
      <c r="G74" s="935" t="s">
        <v>1108</v>
      </c>
      <c r="H74" s="935" t="s">
        <v>1108</v>
      </c>
      <c r="I74" s="936" t="s">
        <v>1108</v>
      </c>
      <c r="M74" s="934"/>
    </row>
    <row r="75" spans="2:13" outlineLevel="1">
      <c r="B75" s="929" t="s">
        <v>1143</v>
      </c>
      <c r="C75" s="949">
        <v>1201048.7199999799</v>
      </c>
      <c r="D75" s="949">
        <v>1201048.7199999799</v>
      </c>
      <c r="E75" s="930">
        <v>1201048.7199999799</v>
      </c>
      <c r="F75" s="930">
        <v>9805568.1400000304</v>
      </c>
      <c r="G75" s="930">
        <v>4276134.5599999996</v>
      </c>
      <c r="H75" s="930">
        <v>9603051.7700000107</v>
      </c>
      <c r="I75" s="932">
        <v>-5326917.2100000102</v>
      </c>
      <c r="M75" s="931" t="s">
        <v>1143</v>
      </c>
    </row>
    <row r="76" spans="2:13" outlineLevel="1">
      <c r="B76" s="933"/>
      <c r="C76" s="952" t="s">
        <v>1108</v>
      </c>
      <c r="D76" s="952" t="s">
        <v>1108</v>
      </c>
      <c r="E76" s="935" t="s">
        <v>1108</v>
      </c>
      <c r="F76" s="935" t="s">
        <v>1108</v>
      </c>
      <c r="G76" s="935" t="s">
        <v>1108</v>
      </c>
      <c r="H76" s="935" t="s">
        <v>1108</v>
      </c>
      <c r="I76" s="936" t="s">
        <v>1108</v>
      </c>
      <c r="M76" s="934"/>
    </row>
    <row r="77" spans="2:13" outlineLevel="1">
      <c r="B77" s="933"/>
      <c r="C77" s="949"/>
      <c r="D77" s="949"/>
      <c r="E77" s="930"/>
      <c r="F77" s="930"/>
      <c r="G77" s="930"/>
      <c r="H77" s="930"/>
      <c r="I77" s="932"/>
      <c r="M77" s="934"/>
    </row>
    <row r="78" spans="2:13" outlineLevel="1">
      <c r="B78" s="929" t="s">
        <v>1144</v>
      </c>
      <c r="C78" s="949"/>
      <c r="D78" s="949"/>
      <c r="E78" s="930"/>
      <c r="F78" s="930"/>
      <c r="G78" s="930"/>
      <c r="H78" s="930"/>
      <c r="I78" s="932"/>
      <c r="M78" s="931" t="s">
        <v>1144</v>
      </c>
    </row>
    <row r="79" spans="2:13" outlineLevel="1">
      <c r="B79" s="929" t="s">
        <v>1145</v>
      </c>
      <c r="C79" s="949">
        <v>549479.05000000005</v>
      </c>
      <c r="D79" s="949">
        <v>549479.05000000005</v>
      </c>
      <c r="E79" s="930">
        <v>549479.05000000005</v>
      </c>
      <c r="F79" s="930">
        <v>556644.82999999996</v>
      </c>
      <c r="G79" s="930">
        <v>559574.6</v>
      </c>
      <c r="H79" s="930">
        <v>582339.66</v>
      </c>
      <c r="I79" s="932">
        <v>-22765.0600000001</v>
      </c>
      <c r="M79" s="931" t="s">
        <v>1145</v>
      </c>
    </row>
    <row r="80" spans="2:13" outlineLevel="1">
      <c r="B80" s="929" t="s">
        <v>1146</v>
      </c>
      <c r="C80" s="949">
        <v>400000</v>
      </c>
      <c r="D80" s="949">
        <v>400000</v>
      </c>
      <c r="E80" s="930">
        <v>400000</v>
      </c>
      <c r="F80" s="930">
        <v>400000</v>
      </c>
      <c r="G80" s="930">
        <v>400000</v>
      </c>
      <c r="H80" s="930">
        <v>400000</v>
      </c>
      <c r="I80" s="932">
        <v>0</v>
      </c>
      <c r="M80" s="931" t="s">
        <v>1146</v>
      </c>
    </row>
    <row r="81" spans="2:13" outlineLevel="1">
      <c r="B81" s="933"/>
      <c r="C81" s="952" t="s">
        <v>1108</v>
      </c>
      <c r="D81" s="952" t="s">
        <v>1108</v>
      </c>
      <c r="E81" s="935" t="s">
        <v>1108</v>
      </c>
      <c r="F81" s="935" t="s">
        <v>1108</v>
      </c>
      <c r="G81" s="935" t="s">
        <v>1108</v>
      </c>
      <c r="H81" s="935" t="s">
        <v>1108</v>
      </c>
      <c r="I81" s="936" t="s">
        <v>1108</v>
      </c>
      <c r="M81" s="934"/>
    </row>
    <row r="82" spans="2:13" outlineLevel="1">
      <c r="B82" s="929" t="s">
        <v>1147</v>
      </c>
      <c r="C82" s="949">
        <v>949479.05</v>
      </c>
      <c r="D82" s="949">
        <v>949479.05</v>
      </c>
      <c r="E82" s="930">
        <v>949479.05</v>
      </c>
      <c r="F82" s="930">
        <v>956644.83</v>
      </c>
      <c r="G82" s="930">
        <v>959574.6</v>
      </c>
      <c r="H82" s="930">
        <v>982339.66</v>
      </c>
      <c r="I82" s="932">
        <v>-22765.0600000001</v>
      </c>
      <c r="M82" s="931" t="s">
        <v>1147</v>
      </c>
    </row>
    <row r="83" spans="2:13" outlineLevel="1">
      <c r="B83" s="933"/>
      <c r="C83" s="952" t="s">
        <v>1108</v>
      </c>
      <c r="D83" s="952" t="s">
        <v>1108</v>
      </c>
      <c r="E83" s="935" t="s">
        <v>1108</v>
      </c>
      <c r="F83" s="935" t="s">
        <v>1108</v>
      </c>
      <c r="G83" s="935" t="s">
        <v>1108</v>
      </c>
      <c r="H83" s="935" t="s">
        <v>1108</v>
      </c>
      <c r="I83" s="936" t="s">
        <v>1108</v>
      </c>
      <c r="M83" s="934"/>
    </row>
    <row r="84" spans="2:13" outlineLevel="1">
      <c r="B84" s="929" t="s">
        <v>1148</v>
      </c>
      <c r="C84" s="949"/>
      <c r="D84" s="949"/>
      <c r="E84" s="930"/>
      <c r="F84" s="930"/>
      <c r="G84" s="930"/>
      <c r="H84" s="930"/>
      <c r="I84" s="932"/>
      <c r="M84" s="931" t="s">
        <v>1148</v>
      </c>
    </row>
    <row r="85" spans="2:13" outlineLevel="1">
      <c r="B85" s="933"/>
      <c r="C85" s="949"/>
      <c r="D85" s="949"/>
      <c r="E85" s="930"/>
      <c r="F85" s="930"/>
      <c r="G85" s="930"/>
      <c r="H85" s="930"/>
      <c r="I85" s="932"/>
      <c r="M85" s="934"/>
    </row>
    <row r="86" spans="2:13" outlineLevel="1">
      <c r="B86" s="929" t="s">
        <v>1149</v>
      </c>
      <c r="C86" s="949"/>
      <c r="D86" s="949"/>
      <c r="E86" s="930"/>
      <c r="F86" s="930"/>
      <c r="G86" s="930"/>
      <c r="H86" s="930"/>
      <c r="I86" s="932"/>
      <c r="M86" s="931" t="s">
        <v>1149</v>
      </c>
    </row>
    <row r="87" spans="2:13" outlineLevel="1">
      <c r="B87" s="929" t="s">
        <v>1150</v>
      </c>
      <c r="C87" s="949">
        <v>17399535.649999999</v>
      </c>
      <c r="D87" s="949">
        <v>17399535.649999999</v>
      </c>
      <c r="E87" s="930">
        <v>17399535.649999999</v>
      </c>
      <c r="F87" s="930">
        <v>16283843.25</v>
      </c>
      <c r="G87" s="930">
        <v>13996380.32</v>
      </c>
      <c r="H87" s="930">
        <v>13694392.43</v>
      </c>
      <c r="I87" s="932">
        <v>301987.890000001</v>
      </c>
      <c r="M87" s="931" t="s">
        <v>1150</v>
      </c>
    </row>
    <row r="88" spans="2:13" outlineLevel="1">
      <c r="B88" s="929" t="s">
        <v>1151</v>
      </c>
      <c r="C88" s="949">
        <v>342322.04</v>
      </c>
      <c r="D88" s="949">
        <v>342322.04</v>
      </c>
      <c r="E88" s="930">
        <v>342322.04</v>
      </c>
      <c r="F88" s="930">
        <v>284465.02</v>
      </c>
      <c r="G88" s="930">
        <v>4375518.47</v>
      </c>
      <c r="H88" s="930">
        <v>3278705.59</v>
      </c>
      <c r="I88" s="932">
        <v>1096812.8799999999</v>
      </c>
      <c r="M88" s="931" t="s">
        <v>1152</v>
      </c>
    </row>
    <row r="89" spans="2:13" outlineLevel="1">
      <c r="B89" s="929" t="s">
        <v>1152</v>
      </c>
      <c r="C89" s="949">
        <v>-369949.69</v>
      </c>
      <c r="D89" s="949">
        <v>-369949.69</v>
      </c>
      <c r="E89" s="930">
        <v>-369949.69</v>
      </c>
      <c r="F89" s="930">
        <v>3845838.55</v>
      </c>
      <c r="G89" s="930">
        <v>35746.29</v>
      </c>
      <c r="H89" s="930">
        <v>77136.210000000006</v>
      </c>
      <c r="I89" s="932">
        <v>-41389.919999999998</v>
      </c>
      <c r="M89" s="931" t="s">
        <v>1153</v>
      </c>
    </row>
    <row r="90" spans="2:13" outlineLevel="1">
      <c r="B90" s="929" t="s">
        <v>1153</v>
      </c>
      <c r="C90" s="949">
        <v>60602.239999999998</v>
      </c>
      <c r="D90" s="949">
        <v>60602.239999999998</v>
      </c>
      <c r="E90" s="930">
        <v>60602.239999999998</v>
      </c>
      <c r="F90" s="930">
        <v>47796.61</v>
      </c>
      <c r="G90" s="930">
        <v>10761279.93</v>
      </c>
      <c r="H90" s="930">
        <v>5366715.82</v>
      </c>
      <c r="I90" s="932">
        <v>5394564.1100000003</v>
      </c>
      <c r="M90" s="931" t="s">
        <v>1154</v>
      </c>
    </row>
    <row r="91" spans="2:13" outlineLevel="1">
      <c r="B91" s="929" t="s">
        <v>1154</v>
      </c>
      <c r="C91" s="949">
        <v>9609369.8399999999</v>
      </c>
      <c r="D91" s="949">
        <v>9609369.8399999999</v>
      </c>
      <c r="E91" s="930">
        <v>9609369.8399999999</v>
      </c>
      <c r="F91" s="930">
        <v>11627326.529999999</v>
      </c>
      <c r="G91" s="930">
        <v>267003.28000000003</v>
      </c>
      <c r="H91" s="930">
        <v>172492.49</v>
      </c>
      <c r="I91" s="932">
        <v>94510.79</v>
      </c>
      <c r="M91" s="931" t="s">
        <v>1155</v>
      </c>
    </row>
    <row r="92" spans="2:13" outlineLevel="1">
      <c r="B92" s="929" t="s">
        <v>1155</v>
      </c>
      <c r="C92" s="949">
        <v>781584.91</v>
      </c>
      <c r="D92" s="949">
        <v>781584.91</v>
      </c>
      <c r="E92" s="930">
        <v>781584.91</v>
      </c>
      <c r="F92" s="930">
        <v>542068.09</v>
      </c>
      <c r="G92" s="930">
        <v>-280000</v>
      </c>
      <c r="H92" s="930">
        <v>-273000</v>
      </c>
      <c r="I92" s="932">
        <v>-7000</v>
      </c>
      <c r="M92" s="931" t="s">
        <v>1156</v>
      </c>
    </row>
    <row r="93" spans="2:13" outlineLevel="1">
      <c r="B93" s="929" t="s">
        <v>1156</v>
      </c>
      <c r="C93" s="949">
        <v>-187566.11</v>
      </c>
      <c r="D93" s="949">
        <v>-187566.11</v>
      </c>
      <c r="E93" s="930">
        <v>-187566.11</v>
      </c>
      <c r="F93" s="930">
        <v>-240000</v>
      </c>
      <c r="G93" s="930">
        <v>-11000</v>
      </c>
      <c r="H93" s="930">
        <v>-18706.240000000002</v>
      </c>
      <c r="I93" s="932">
        <v>7706.24</v>
      </c>
      <c r="M93" s="931" t="s">
        <v>1157</v>
      </c>
    </row>
    <row r="94" spans="2:13" outlineLevel="1">
      <c r="B94" s="929" t="s">
        <v>1157</v>
      </c>
      <c r="C94" s="949">
        <v>-2800</v>
      </c>
      <c r="D94" s="949">
        <v>-2800</v>
      </c>
      <c r="E94" s="930">
        <v>-2800</v>
      </c>
      <c r="F94" s="930">
        <v>-14500</v>
      </c>
      <c r="G94" s="930">
        <v>-36675.480000000003</v>
      </c>
      <c r="H94" s="930">
        <v>-24585.15</v>
      </c>
      <c r="I94" s="932">
        <v>-12090.33</v>
      </c>
      <c r="M94" s="931" t="s">
        <v>1158</v>
      </c>
    </row>
    <row r="95" spans="2:13" outlineLevel="1">
      <c r="B95" s="929" t="s">
        <v>1158</v>
      </c>
      <c r="C95" s="949">
        <v>-54791.09</v>
      </c>
      <c r="D95" s="949">
        <v>-54791.09</v>
      </c>
      <c r="E95" s="930">
        <v>-54791.09</v>
      </c>
      <c r="F95" s="930">
        <v>-69248.929999999993</v>
      </c>
      <c r="G95" s="930">
        <v>550659.11</v>
      </c>
      <c r="H95" s="930">
        <v>944292.72</v>
      </c>
      <c r="I95" s="932">
        <v>-393633.61</v>
      </c>
      <c r="M95" s="931" t="s">
        <v>1151</v>
      </c>
    </row>
    <row r="96" spans="2:13" outlineLevel="1">
      <c r="B96" s="933"/>
      <c r="C96" s="952" t="s">
        <v>1108</v>
      </c>
      <c r="D96" s="952" t="s">
        <v>1108</v>
      </c>
      <c r="E96" s="935" t="s">
        <v>1108</v>
      </c>
      <c r="F96" s="935" t="s">
        <v>1108</v>
      </c>
      <c r="G96" s="935" t="s">
        <v>1108</v>
      </c>
      <c r="H96" s="935" t="s">
        <v>1108</v>
      </c>
      <c r="I96" s="936" t="s">
        <v>1108</v>
      </c>
      <c r="M96" s="934"/>
    </row>
    <row r="97" spans="2:13" outlineLevel="1">
      <c r="B97" s="929" t="s">
        <v>1159</v>
      </c>
      <c r="C97" s="949">
        <v>27578307.789999999</v>
      </c>
      <c r="D97" s="949">
        <v>27578307.789999999</v>
      </c>
      <c r="E97" s="930">
        <v>27578307.789999999</v>
      </c>
      <c r="F97" s="930">
        <v>32307589.120000001</v>
      </c>
      <c r="G97" s="930">
        <v>29658911.920000002</v>
      </c>
      <c r="H97" s="930">
        <v>23217443.870000001</v>
      </c>
      <c r="I97" s="932">
        <v>6441468.0499999998</v>
      </c>
      <c r="M97" s="931" t="s">
        <v>1159</v>
      </c>
    </row>
    <row r="98" spans="2:13" outlineLevel="1">
      <c r="B98" s="933"/>
      <c r="C98" s="952" t="s">
        <v>1108</v>
      </c>
      <c r="D98" s="952" t="s">
        <v>1108</v>
      </c>
      <c r="E98" s="935" t="s">
        <v>1108</v>
      </c>
      <c r="F98" s="935" t="s">
        <v>1108</v>
      </c>
      <c r="G98" s="935" t="s">
        <v>1108</v>
      </c>
      <c r="H98" s="935" t="s">
        <v>1108</v>
      </c>
      <c r="I98" s="936" t="s">
        <v>1108</v>
      </c>
      <c r="M98" s="934"/>
    </row>
    <row r="99" spans="2:13" outlineLevel="1">
      <c r="B99" s="933"/>
      <c r="C99" s="949"/>
      <c r="D99" s="949"/>
      <c r="E99" s="930"/>
      <c r="F99" s="930"/>
      <c r="G99" s="930"/>
      <c r="H99" s="930"/>
      <c r="I99" s="932"/>
      <c r="M99" s="934"/>
    </row>
    <row r="100" spans="2:13" outlineLevel="1">
      <c r="B100" s="929" t="s">
        <v>1160</v>
      </c>
      <c r="C100" s="949"/>
      <c r="D100" s="949"/>
      <c r="E100" s="930"/>
      <c r="F100" s="930"/>
      <c r="G100" s="930"/>
      <c r="H100" s="930"/>
      <c r="I100" s="932"/>
      <c r="M100" s="931" t="s">
        <v>1160</v>
      </c>
    </row>
    <row r="101" spans="2:13" outlineLevel="1">
      <c r="B101" s="929" t="s">
        <v>1161</v>
      </c>
      <c r="C101" s="949">
        <v>19558103.199999999</v>
      </c>
      <c r="D101" s="949">
        <v>19558103.199999999</v>
      </c>
      <c r="E101" s="930">
        <v>19558103.199999999</v>
      </c>
      <c r="F101" s="930">
        <v>19089835.52</v>
      </c>
      <c r="G101" s="930">
        <v>18837545.100000001</v>
      </c>
      <c r="H101" s="930">
        <v>19795895.420000002</v>
      </c>
      <c r="I101" s="932">
        <v>-958350.32</v>
      </c>
      <c r="M101" s="931" t="s">
        <v>1161</v>
      </c>
    </row>
    <row r="102" spans="2:13" outlineLevel="1">
      <c r="B102" s="929"/>
      <c r="C102" s="949"/>
      <c r="D102" s="949"/>
      <c r="E102" s="930"/>
      <c r="F102" s="930"/>
      <c r="G102" s="930">
        <v>6140.24</v>
      </c>
      <c r="H102" s="930">
        <v>6097.16</v>
      </c>
      <c r="I102" s="932">
        <v>43.079999999999899</v>
      </c>
      <c r="M102" s="931" t="s">
        <v>1162</v>
      </c>
    </row>
    <row r="103" spans="2:13" outlineLevel="1">
      <c r="B103" s="929" t="s">
        <v>1163</v>
      </c>
      <c r="C103" s="949">
        <v>-445151.51</v>
      </c>
      <c r="D103" s="949">
        <v>-445151.51</v>
      </c>
      <c r="E103" s="930">
        <v>-445151.51</v>
      </c>
      <c r="F103" s="930">
        <v>182051.21</v>
      </c>
      <c r="G103" s="930">
        <v>897907.31</v>
      </c>
      <c r="H103" s="930">
        <v>691638.14</v>
      </c>
      <c r="I103" s="932">
        <v>206269.17</v>
      </c>
      <c r="M103" s="931" t="s">
        <v>1163</v>
      </c>
    </row>
    <row r="104" spans="2:13" outlineLevel="1">
      <c r="B104" s="929" t="s">
        <v>1164</v>
      </c>
      <c r="C104" s="949">
        <v>-233191.16</v>
      </c>
      <c r="D104" s="949">
        <v>-233191.16</v>
      </c>
      <c r="E104" s="930">
        <v>-233191.16</v>
      </c>
      <c r="F104" s="930">
        <v>-55677.81</v>
      </c>
      <c r="G104" s="930">
        <v>77202.990000000005</v>
      </c>
      <c r="H104" s="930">
        <v>-3174.31</v>
      </c>
      <c r="I104" s="932">
        <v>80377.3</v>
      </c>
      <c r="M104" s="931" t="s">
        <v>1164</v>
      </c>
    </row>
    <row r="105" spans="2:13" outlineLevel="1">
      <c r="B105" s="929"/>
      <c r="C105" s="949"/>
      <c r="D105" s="949"/>
      <c r="E105" s="930"/>
      <c r="F105" s="930"/>
      <c r="G105" s="930">
        <v>2.58</v>
      </c>
      <c r="H105" s="930">
        <v>0</v>
      </c>
      <c r="I105" s="932">
        <v>2.58</v>
      </c>
      <c r="M105" s="931" t="s">
        <v>1165</v>
      </c>
    </row>
    <row r="106" spans="2:13" outlineLevel="1">
      <c r="B106" s="933"/>
      <c r="C106" s="952" t="s">
        <v>1108</v>
      </c>
      <c r="D106" s="952" t="s">
        <v>1108</v>
      </c>
      <c r="E106" s="935" t="s">
        <v>1108</v>
      </c>
      <c r="F106" s="935" t="s">
        <v>1108</v>
      </c>
      <c r="G106" s="935" t="s">
        <v>1108</v>
      </c>
      <c r="H106" s="935" t="s">
        <v>1108</v>
      </c>
      <c r="I106" s="936" t="s">
        <v>1108</v>
      </c>
      <c r="M106" s="934"/>
    </row>
    <row r="107" spans="2:13" outlineLevel="1">
      <c r="B107" s="929" t="s">
        <v>1166</v>
      </c>
      <c r="C107" s="949">
        <v>18879760.530000001</v>
      </c>
      <c r="D107" s="949">
        <v>18879760.530000001</v>
      </c>
      <c r="E107" s="930">
        <v>18879760.530000001</v>
      </c>
      <c r="F107" s="930">
        <v>19216208.920000002</v>
      </c>
      <c r="G107" s="930">
        <v>19818798.219999999</v>
      </c>
      <c r="H107" s="930">
        <v>20490456.41</v>
      </c>
      <c r="I107" s="932">
        <v>-671658.19000000099</v>
      </c>
      <c r="M107" s="931" t="s">
        <v>1166</v>
      </c>
    </row>
    <row r="108" spans="2:13" outlineLevel="1">
      <c r="B108" s="933"/>
      <c r="C108" s="952" t="s">
        <v>1108</v>
      </c>
      <c r="D108" s="952" t="s">
        <v>1108</v>
      </c>
      <c r="E108" s="935" t="s">
        <v>1108</v>
      </c>
      <c r="F108" s="935" t="s">
        <v>1108</v>
      </c>
      <c r="G108" s="935" t="s">
        <v>1108</v>
      </c>
      <c r="H108" s="935" t="s">
        <v>1108</v>
      </c>
      <c r="I108" s="936" t="s">
        <v>1108</v>
      </c>
      <c r="M108" s="934"/>
    </row>
    <row r="109" spans="2:13" outlineLevel="1">
      <c r="B109" s="933"/>
      <c r="C109" s="949"/>
      <c r="D109" s="949"/>
      <c r="E109" s="930"/>
      <c r="F109" s="930"/>
      <c r="G109" s="930"/>
      <c r="H109" s="930"/>
      <c r="I109" s="932"/>
      <c r="M109" s="934"/>
    </row>
    <row r="110" spans="2:13" outlineLevel="1">
      <c r="B110" s="929" t="s">
        <v>1167</v>
      </c>
      <c r="C110" s="949"/>
      <c r="D110" s="949"/>
      <c r="E110" s="930"/>
      <c r="F110" s="930"/>
      <c r="G110" s="930"/>
      <c r="H110" s="930"/>
      <c r="I110" s="932"/>
      <c r="M110" s="931" t="s">
        <v>1167</v>
      </c>
    </row>
    <row r="111" spans="2:13" outlineLevel="1">
      <c r="B111" s="929" t="s">
        <v>1168</v>
      </c>
      <c r="C111" s="949">
        <v>124812.86</v>
      </c>
      <c r="D111" s="949">
        <v>124812.86</v>
      </c>
      <c r="E111" s="930">
        <v>124812.86</v>
      </c>
      <c r="F111" s="930">
        <v>93661.18</v>
      </c>
      <c r="G111" s="930">
        <v>38355.5</v>
      </c>
      <c r="H111" s="930">
        <v>7614.38</v>
      </c>
      <c r="I111" s="932">
        <v>30741.119999999999</v>
      </c>
      <c r="M111" s="931" t="s">
        <v>1168</v>
      </c>
    </row>
    <row r="112" spans="2:13" outlineLevel="1">
      <c r="B112" s="929" t="s">
        <v>1169</v>
      </c>
      <c r="C112" s="949">
        <v>0</v>
      </c>
      <c r="D112" s="949">
        <v>0</v>
      </c>
      <c r="E112" s="930">
        <v>0</v>
      </c>
      <c r="F112" s="930">
        <v>7709.87</v>
      </c>
      <c r="G112" s="930">
        <v>0</v>
      </c>
      <c r="H112" s="930">
        <v>-1131.6199999999999</v>
      </c>
      <c r="I112" s="932">
        <v>1131.6199999999999</v>
      </c>
      <c r="M112" s="931" t="s">
        <v>1170</v>
      </c>
    </row>
    <row r="113" spans="2:13" outlineLevel="1">
      <c r="B113" s="929" t="s">
        <v>1171</v>
      </c>
      <c r="C113" s="949">
        <v>0</v>
      </c>
      <c r="D113" s="949">
        <v>0</v>
      </c>
      <c r="E113" s="930">
        <v>0</v>
      </c>
      <c r="F113" s="930">
        <v>1326.18</v>
      </c>
      <c r="G113" s="930">
        <v>-249.26</v>
      </c>
      <c r="H113" s="930">
        <v>130064.58</v>
      </c>
      <c r="I113" s="932">
        <v>-130313.84</v>
      </c>
      <c r="M113" s="931" t="s">
        <v>1172</v>
      </c>
    </row>
    <row r="114" spans="2:13" outlineLevel="1">
      <c r="B114" s="929" t="s">
        <v>1172</v>
      </c>
      <c r="C114" s="949">
        <v>-3242</v>
      </c>
      <c r="D114" s="949">
        <v>-3242</v>
      </c>
      <c r="E114" s="930">
        <v>-3242</v>
      </c>
      <c r="F114" s="930">
        <v>-2338.84</v>
      </c>
      <c r="G114" s="930">
        <v>81561.149999999994</v>
      </c>
      <c r="H114" s="930">
        <v>81546.09</v>
      </c>
      <c r="I114" s="932">
        <v>15.0599999999977</v>
      </c>
      <c r="M114" s="931" t="s">
        <v>1173</v>
      </c>
    </row>
    <row r="115" spans="2:13" outlineLevel="1">
      <c r="B115" s="929" t="s">
        <v>1173</v>
      </c>
      <c r="C115" s="949">
        <v>81633.91</v>
      </c>
      <c r="D115" s="949">
        <v>81633.91</v>
      </c>
      <c r="E115" s="930">
        <v>81633.91</v>
      </c>
      <c r="F115" s="930">
        <v>81621.3</v>
      </c>
      <c r="G115" s="930">
        <v>0</v>
      </c>
      <c r="H115" s="930">
        <v>18872.43</v>
      </c>
      <c r="I115" s="932">
        <v>-18872.43</v>
      </c>
      <c r="M115" s="931" t="s">
        <v>1174</v>
      </c>
    </row>
    <row r="116" spans="2:13" outlineLevel="1">
      <c r="B116" s="929"/>
      <c r="C116" s="949"/>
      <c r="D116" s="949"/>
      <c r="E116" s="930"/>
      <c r="F116" s="930"/>
      <c r="G116" s="930">
        <v>0</v>
      </c>
      <c r="H116" s="930">
        <v>1916.61</v>
      </c>
      <c r="I116" s="932">
        <v>-1916.61</v>
      </c>
      <c r="M116" s="931" t="s">
        <v>1175</v>
      </c>
    </row>
    <row r="117" spans="2:13" outlineLevel="1">
      <c r="B117" s="929" t="s">
        <v>1176</v>
      </c>
      <c r="C117" s="949">
        <v>48000000</v>
      </c>
      <c r="D117" s="949">
        <v>48000000</v>
      </c>
      <c r="E117" s="930">
        <v>48000000</v>
      </c>
      <c r="F117" s="930">
        <v>0</v>
      </c>
      <c r="G117" s="930">
        <v>20000000</v>
      </c>
      <c r="H117" s="930">
        <v>0</v>
      </c>
      <c r="I117" s="932">
        <v>20000000</v>
      </c>
      <c r="M117" s="931" t="s">
        <v>1176</v>
      </c>
    </row>
    <row r="118" spans="2:13" outlineLevel="1">
      <c r="B118" s="929"/>
      <c r="C118" s="949"/>
      <c r="D118" s="949"/>
      <c r="E118" s="930"/>
      <c r="F118" s="930"/>
      <c r="G118" s="930">
        <v>5373.05</v>
      </c>
      <c r="H118" s="930">
        <v>0</v>
      </c>
      <c r="I118" s="932">
        <v>5373.05</v>
      </c>
      <c r="M118" s="931" t="s">
        <v>1177</v>
      </c>
    </row>
    <row r="119" spans="2:13" outlineLevel="1">
      <c r="B119" s="929"/>
      <c r="C119" s="949"/>
      <c r="D119" s="949"/>
      <c r="E119" s="930"/>
      <c r="F119" s="930"/>
      <c r="G119" s="930">
        <v>0</v>
      </c>
      <c r="H119" s="930">
        <v>81.19</v>
      </c>
      <c r="I119" s="932">
        <v>-81.19</v>
      </c>
      <c r="M119" s="931" t="s">
        <v>1178</v>
      </c>
    </row>
    <row r="120" spans="2:13" outlineLevel="1">
      <c r="B120" s="933"/>
      <c r="C120" s="952" t="s">
        <v>1108</v>
      </c>
      <c r="D120" s="952" t="s">
        <v>1108</v>
      </c>
      <c r="E120" s="935" t="s">
        <v>1108</v>
      </c>
      <c r="F120" s="935" t="s">
        <v>1108</v>
      </c>
      <c r="G120" s="935" t="s">
        <v>1108</v>
      </c>
      <c r="H120" s="935" t="s">
        <v>1108</v>
      </c>
      <c r="I120" s="936" t="s">
        <v>1108</v>
      </c>
      <c r="M120" s="934"/>
    </row>
    <row r="121" spans="2:13" outlineLevel="1">
      <c r="B121" s="929" t="s">
        <v>1179</v>
      </c>
      <c r="C121" s="949">
        <v>48203204.770000003</v>
      </c>
      <c r="D121" s="949">
        <v>48203204.770000003</v>
      </c>
      <c r="E121" s="930">
        <v>48203204.770000003</v>
      </c>
      <c r="F121" s="930">
        <v>181979.69</v>
      </c>
      <c r="G121" s="930">
        <v>20125040.440000001</v>
      </c>
      <c r="H121" s="930">
        <v>238963.66</v>
      </c>
      <c r="I121" s="932">
        <v>19886076.780000001</v>
      </c>
      <c r="M121" s="931" t="s">
        <v>1179</v>
      </c>
    </row>
    <row r="122" spans="2:13" outlineLevel="1">
      <c r="B122" s="933"/>
      <c r="C122" s="952" t="s">
        <v>1108</v>
      </c>
      <c r="D122" s="952" t="s">
        <v>1108</v>
      </c>
      <c r="E122" s="935" t="s">
        <v>1108</v>
      </c>
      <c r="F122" s="935" t="s">
        <v>1108</v>
      </c>
      <c r="G122" s="935" t="s">
        <v>1108</v>
      </c>
      <c r="H122" s="935" t="s">
        <v>1108</v>
      </c>
      <c r="I122" s="936" t="s">
        <v>1108</v>
      </c>
      <c r="M122" s="934"/>
    </row>
    <row r="123" spans="2:13" outlineLevel="1">
      <c r="B123" s="933"/>
      <c r="C123" s="949"/>
      <c r="D123" s="949"/>
      <c r="E123" s="930"/>
      <c r="F123" s="930"/>
      <c r="G123" s="930"/>
      <c r="H123" s="930"/>
      <c r="I123" s="932"/>
      <c r="M123" s="934"/>
    </row>
    <row r="124" spans="2:13" outlineLevel="1">
      <c r="B124" s="929" t="s">
        <v>1180</v>
      </c>
      <c r="C124" s="949"/>
      <c r="D124" s="949"/>
      <c r="E124" s="930"/>
      <c r="F124" s="930"/>
      <c r="G124" s="930"/>
      <c r="H124" s="930"/>
      <c r="I124" s="932"/>
      <c r="M124" s="931" t="s">
        <v>1180</v>
      </c>
    </row>
    <row r="125" spans="2:13" outlineLevel="1">
      <c r="B125" s="929" t="s">
        <v>1181</v>
      </c>
      <c r="C125" s="949">
        <v>416285.77</v>
      </c>
      <c r="D125" s="949">
        <v>416285.77</v>
      </c>
      <c r="E125" s="930">
        <v>416285.77</v>
      </c>
      <c r="F125" s="930">
        <v>366896.06</v>
      </c>
      <c r="G125" s="930">
        <v>345919.14</v>
      </c>
      <c r="H125" s="930">
        <v>342252.09</v>
      </c>
      <c r="I125" s="932">
        <v>3667.0499999999902</v>
      </c>
      <c r="M125" s="931" t="s">
        <v>1181</v>
      </c>
    </row>
    <row r="126" spans="2:13" outlineLevel="1">
      <c r="B126" s="929"/>
      <c r="C126" s="949"/>
      <c r="D126" s="949"/>
      <c r="E126" s="930"/>
      <c r="F126" s="930"/>
      <c r="G126" s="930">
        <v>121762.75</v>
      </c>
      <c r="H126" s="930">
        <v>164493.01999999999</v>
      </c>
      <c r="I126" s="932">
        <v>-42730.27</v>
      </c>
      <c r="M126" s="931" t="s">
        <v>1182</v>
      </c>
    </row>
    <row r="127" spans="2:13" outlineLevel="1">
      <c r="B127" s="929"/>
      <c r="C127" s="949"/>
      <c r="D127" s="949"/>
      <c r="E127" s="930"/>
      <c r="F127" s="930"/>
      <c r="G127" s="930">
        <v>0</v>
      </c>
      <c r="H127" s="930">
        <v>2660900</v>
      </c>
      <c r="I127" s="932">
        <v>-2660900</v>
      </c>
      <c r="M127" s="931" t="s">
        <v>1183</v>
      </c>
    </row>
    <row r="128" spans="2:13" outlineLevel="1">
      <c r="B128" s="933"/>
      <c r="C128" s="952" t="s">
        <v>1108</v>
      </c>
      <c r="D128" s="952" t="s">
        <v>1108</v>
      </c>
      <c r="E128" s="935" t="s">
        <v>1108</v>
      </c>
      <c r="F128" s="935" t="s">
        <v>1108</v>
      </c>
      <c r="G128" s="935" t="s">
        <v>1108</v>
      </c>
      <c r="H128" s="935" t="s">
        <v>1108</v>
      </c>
      <c r="I128" s="936" t="s">
        <v>1108</v>
      </c>
      <c r="M128" s="934"/>
    </row>
    <row r="129" spans="2:13" outlineLevel="1">
      <c r="B129" s="929" t="s">
        <v>1184</v>
      </c>
      <c r="C129" s="949">
        <v>416285.77</v>
      </c>
      <c r="D129" s="949">
        <v>416285.77</v>
      </c>
      <c r="E129" s="930">
        <v>416285.77</v>
      </c>
      <c r="F129" s="930">
        <v>366896.06</v>
      </c>
      <c r="G129" s="930">
        <v>467681.89</v>
      </c>
      <c r="H129" s="930">
        <v>3167645.11</v>
      </c>
      <c r="I129" s="932">
        <v>-2699963.22</v>
      </c>
      <c r="M129" s="931" t="s">
        <v>1184</v>
      </c>
    </row>
    <row r="130" spans="2:13" outlineLevel="1">
      <c r="B130" s="933"/>
      <c r="C130" s="952" t="s">
        <v>1108</v>
      </c>
      <c r="D130" s="952" t="s">
        <v>1108</v>
      </c>
      <c r="E130" s="935" t="s">
        <v>1108</v>
      </c>
      <c r="F130" s="935" t="s">
        <v>1108</v>
      </c>
      <c r="G130" s="935" t="s">
        <v>1108</v>
      </c>
      <c r="H130" s="935" t="s">
        <v>1108</v>
      </c>
      <c r="I130" s="936" t="s">
        <v>1108</v>
      </c>
      <c r="M130" s="934"/>
    </row>
    <row r="131" spans="2:13" outlineLevel="1">
      <c r="B131" s="933"/>
      <c r="C131" s="952" t="s">
        <v>1108</v>
      </c>
      <c r="D131" s="952" t="s">
        <v>1108</v>
      </c>
      <c r="E131" s="935" t="s">
        <v>1108</v>
      </c>
      <c r="F131" s="935" t="s">
        <v>1108</v>
      </c>
      <c r="G131" s="935" t="s">
        <v>1108</v>
      </c>
      <c r="H131" s="935" t="s">
        <v>1108</v>
      </c>
      <c r="I131" s="936" t="s">
        <v>1108</v>
      </c>
      <c r="M131" s="934"/>
    </row>
    <row r="132" spans="2:13" outlineLevel="1">
      <c r="B132" s="929" t="s">
        <v>1185</v>
      </c>
      <c r="C132" s="949">
        <v>237028594.63</v>
      </c>
      <c r="D132" s="949">
        <v>237028594.63</v>
      </c>
      <c r="E132" s="930">
        <v>237028594.63</v>
      </c>
      <c r="F132" s="930">
        <v>155063350.88999999</v>
      </c>
      <c r="G132" s="930">
        <v>155655349.71000001</v>
      </c>
      <c r="H132" s="930">
        <v>145908649.31</v>
      </c>
      <c r="I132" s="932">
        <v>9746700.4000000097</v>
      </c>
      <c r="M132" s="931" t="s">
        <v>1185</v>
      </c>
    </row>
    <row r="133" spans="2:13" outlineLevel="1">
      <c r="B133" s="933"/>
      <c r="C133" s="952" t="s">
        <v>1108</v>
      </c>
      <c r="D133" s="952" t="s">
        <v>1108</v>
      </c>
      <c r="E133" s="935" t="s">
        <v>1108</v>
      </c>
      <c r="F133" s="935" t="s">
        <v>1108</v>
      </c>
      <c r="G133" s="935" t="s">
        <v>1108</v>
      </c>
      <c r="H133" s="935" t="s">
        <v>1108</v>
      </c>
      <c r="I133" s="936" t="s">
        <v>1108</v>
      </c>
      <c r="M133" s="934"/>
    </row>
    <row r="134" spans="2:13" outlineLevel="1">
      <c r="B134" s="929" t="s">
        <v>1186</v>
      </c>
      <c r="C134" s="949"/>
      <c r="D134" s="949"/>
      <c r="E134" s="930"/>
      <c r="F134" s="930"/>
      <c r="G134" s="930"/>
      <c r="H134" s="930"/>
      <c r="I134" s="932"/>
      <c r="M134" s="931" t="s">
        <v>1186</v>
      </c>
    </row>
    <row r="135" spans="2:13" outlineLevel="1">
      <c r="B135" s="933"/>
      <c r="C135" s="949"/>
      <c r="D135" s="949"/>
      <c r="E135" s="930"/>
      <c r="F135" s="930"/>
      <c r="G135" s="930"/>
      <c r="H135" s="930"/>
      <c r="I135" s="932"/>
      <c r="M135" s="934"/>
    </row>
    <row r="136" spans="2:13" outlineLevel="1">
      <c r="B136" s="933"/>
      <c r="C136" s="949"/>
      <c r="D136" s="949"/>
      <c r="E136" s="930"/>
      <c r="F136" s="930"/>
      <c r="G136" s="930"/>
      <c r="H136" s="930"/>
      <c r="I136" s="932"/>
      <c r="M136" s="931" t="s">
        <v>1085</v>
      </c>
    </row>
    <row r="137" spans="2:13" outlineLevel="1">
      <c r="B137" s="933"/>
      <c r="C137" s="949"/>
      <c r="D137" s="949"/>
      <c r="E137" s="930"/>
      <c r="F137" s="930"/>
      <c r="G137" s="930">
        <v>0</v>
      </c>
      <c r="H137" s="930">
        <v>0.01</v>
      </c>
      <c r="I137" s="932">
        <v>-0.01</v>
      </c>
      <c r="M137" s="931" t="s">
        <v>1187</v>
      </c>
    </row>
    <row r="138" spans="2:13" outlineLevel="1">
      <c r="B138" s="933"/>
      <c r="C138" s="949"/>
      <c r="D138" s="949"/>
      <c r="E138" s="930"/>
      <c r="F138" s="930"/>
      <c r="G138" s="935" t="s">
        <v>1108</v>
      </c>
      <c r="H138" s="935" t="s">
        <v>1108</v>
      </c>
      <c r="I138" s="936" t="s">
        <v>1108</v>
      </c>
      <c r="M138" s="934"/>
    </row>
    <row r="139" spans="2:13" outlineLevel="1">
      <c r="B139" s="933"/>
      <c r="C139" s="949"/>
      <c r="D139" s="949"/>
      <c r="E139" s="930"/>
      <c r="F139" s="930"/>
      <c r="G139" s="930">
        <v>0</v>
      </c>
      <c r="H139" s="930">
        <v>0.01</v>
      </c>
      <c r="I139" s="932">
        <v>-0.01</v>
      </c>
      <c r="M139" s="931" t="s">
        <v>1109</v>
      </c>
    </row>
    <row r="140" spans="2:13" outlineLevel="1">
      <c r="B140" s="933"/>
      <c r="C140" s="949"/>
      <c r="D140" s="949"/>
      <c r="E140" s="930"/>
      <c r="F140" s="930"/>
      <c r="G140" s="935" t="s">
        <v>1108</v>
      </c>
      <c r="H140" s="935" t="s">
        <v>1108</v>
      </c>
      <c r="I140" s="936" t="s">
        <v>1108</v>
      </c>
      <c r="M140" s="934"/>
    </row>
    <row r="141" spans="2:13" outlineLevel="1">
      <c r="B141" s="933"/>
      <c r="C141" s="949"/>
      <c r="D141" s="949"/>
      <c r="E141" s="930"/>
      <c r="F141" s="930"/>
      <c r="G141" s="930"/>
      <c r="H141" s="930"/>
      <c r="I141" s="932"/>
      <c r="M141" s="934"/>
    </row>
    <row r="142" spans="2:13" outlineLevel="1">
      <c r="B142" s="929" t="s">
        <v>1188</v>
      </c>
      <c r="C142" s="949"/>
      <c r="D142" s="949"/>
      <c r="E142" s="930"/>
      <c r="F142" s="930"/>
      <c r="G142" s="930"/>
      <c r="H142" s="930"/>
      <c r="I142" s="932"/>
      <c r="M142" s="931" t="s">
        <v>1110</v>
      </c>
    </row>
    <row r="143" spans="2:13" outlineLevel="1">
      <c r="B143" s="929" t="s">
        <v>1189</v>
      </c>
      <c r="C143" s="949">
        <v>23699166.16</v>
      </c>
      <c r="D143" s="949">
        <v>23699166.16</v>
      </c>
      <c r="E143" s="930">
        <v>23699166.16</v>
      </c>
      <c r="F143" s="930">
        <v>3040312.5</v>
      </c>
      <c r="G143" s="930">
        <v>14574697.5</v>
      </c>
      <c r="H143" s="930">
        <v>35423921.100000001</v>
      </c>
      <c r="I143" s="932">
        <v>-20849223.600000001</v>
      </c>
      <c r="M143" s="931" t="s">
        <v>1190</v>
      </c>
    </row>
    <row r="144" spans="2:13" outlineLevel="1">
      <c r="B144" s="929" t="s">
        <v>1190</v>
      </c>
      <c r="C144" s="949">
        <v>31526258.550000001</v>
      </c>
      <c r="D144" s="949">
        <v>31526258.550000001</v>
      </c>
      <c r="E144" s="930">
        <v>31526258.550000001</v>
      </c>
      <c r="F144" s="930">
        <v>32845007.649999999</v>
      </c>
      <c r="G144" s="930">
        <v>0</v>
      </c>
      <c r="H144" s="930">
        <v>0.02</v>
      </c>
      <c r="I144" s="932">
        <v>-0.02</v>
      </c>
      <c r="M144" s="931" t="s">
        <v>1191</v>
      </c>
    </row>
    <row r="145" spans="2:13" outlineLevel="1">
      <c r="B145" s="929" t="s">
        <v>1192</v>
      </c>
      <c r="C145" s="949">
        <v>501093.75</v>
      </c>
      <c r="D145" s="949">
        <v>501093.75</v>
      </c>
      <c r="E145" s="930">
        <v>501093.75</v>
      </c>
      <c r="F145" s="930">
        <v>0</v>
      </c>
      <c r="G145" s="930"/>
      <c r="H145" s="930"/>
      <c r="I145" s="932"/>
      <c r="M145" s="931"/>
    </row>
    <row r="146" spans="2:13" outlineLevel="1">
      <c r="B146" s="933"/>
      <c r="C146" s="952" t="s">
        <v>1108</v>
      </c>
      <c r="D146" s="952" t="s">
        <v>1108</v>
      </c>
      <c r="E146" s="935" t="s">
        <v>1108</v>
      </c>
      <c r="F146" s="935" t="s">
        <v>1108</v>
      </c>
      <c r="G146" s="935" t="s">
        <v>1108</v>
      </c>
      <c r="H146" s="935" t="s">
        <v>1108</v>
      </c>
      <c r="I146" s="936" t="s">
        <v>1108</v>
      </c>
      <c r="M146" s="934"/>
    </row>
    <row r="147" spans="2:13" outlineLevel="1">
      <c r="B147" s="929" t="s">
        <v>1193</v>
      </c>
      <c r="C147" s="949">
        <v>55726518.460000001</v>
      </c>
      <c r="D147" s="949">
        <v>55726518.460000001</v>
      </c>
      <c r="E147" s="930">
        <v>55726518.460000001</v>
      </c>
      <c r="F147" s="930">
        <v>35885320.149999999</v>
      </c>
      <c r="G147" s="930">
        <v>14574697.5</v>
      </c>
      <c r="H147" s="930">
        <v>35423921.119999997</v>
      </c>
      <c r="I147" s="932">
        <v>-20849223.620000001</v>
      </c>
      <c r="M147" s="931" t="s">
        <v>1123</v>
      </c>
    </row>
    <row r="148" spans="2:13" outlineLevel="1">
      <c r="B148" s="933"/>
      <c r="C148" s="952" t="s">
        <v>1108</v>
      </c>
      <c r="D148" s="952" t="s">
        <v>1108</v>
      </c>
      <c r="E148" s="935" t="s">
        <v>1108</v>
      </c>
      <c r="F148" s="935" t="s">
        <v>1108</v>
      </c>
      <c r="G148" s="935" t="s">
        <v>1108</v>
      </c>
      <c r="H148" s="935" t="s">
        <v>1108</v>
      </c>
      <c r="I148" s="936" t="s">
        <v>1108</v>
      </c>
      <c r="M148" s="934"/>
    </row>
    <row r="149" spans="2:13" outlineLevel="1">
      <c r="B149" s="929" t="s">
        <v>1124</v>
      </c>
      <c r="C149" s="949"/>
      <c r="D149" s="949"/>
      <c r="E149" s="930"/>
      <c r="F149" s="930"/>
      <c r="G149" s="930"/>
      <c r="H149" s="930"/>
      <c r="I149" s="932"/>
      <c r="M149" s="931" t="s">
        <v>1124</v>
      </c>
    </row>
    <row r="150" spans="2:13" outlineLevel="1">
      <c r="B150" s="933"/>
      <c r="C150" s="949"/>
      <c r="D150" s="949"/>
      <c r="E150" s="930"/>
      <c r="F150" s="930"/>
      <c r="G150" s="930"/>
      <c r="H150" s="930"/>
      <c r="I150" s="932"/>
      <c r="M150" s="934"/>
    </row>
    <row r="151" spans="2:13" outlineLevel="1">
      <c r="B151" s="929" t="s">
        <v>1194</v>
      </c>
      <c r="C151" s="949"/>
      <c r="D151" s="949"/>
      <c r="E151" s="930"/>
      <c r="F151" s="930"/>
      <c r="G151" s="930"/>
      <c r="H151" s="930"/>
      <c r="I151" s="932"/>
      <c r="M151" s="931" t="s">
        <v>1125</v>
      </c>
    </row>
    <row r="152" spans="2:13" outlineLevel="1">
      <c r="B152" s="929" t="s">
        <v>1195</v>
      </c>
      <c r="C152" s="949">
        <v>170233.94</v>
      </c>
      <c r="D152" s="949">
        <v>170233.94</v>
      </c>
      <c r="E152" s="930">
        <v>170233.94</v>
      </c>
      <c r="F152" s="930">
        <v>234312.19</v>
      </c>
      <c r="G152" s="930">
        <v>55984.21</v>
      </c>
      <c r="H152" s="930">
        <v>248778.49</v>
      </c>
      <c r="I152" s="932">
        <v>-192794.28</v>
      </c>
      <c r="M152" s="931" t="s">
        <v>1195</v>
      </c>
    </row>
    <row r="153" spans="2:13" outlineLevel="1">
      <c r="B153" s="929" t="s">
        <v>1196</v>
      </c>
      <c r="C153" s="949">
        <v>148043.74</v>
      </c>
      <c r="D153" s="949">
        <v>148043.74</v>
      </c>
      <c r="E153" s="930">
        <v>148043.74</v>
      </c>
      <c r="F153" s="930">
        <v>311987.63</v>
      </c>
      <c r="G153" s="930">
        <v>495370.84</v>
      </c>
      <c r="H153" s="930">
        <v>0</v>
      </c>
      <c r="I153" s="932">
        <v>495370.84</v>
      </c>
      <c r="M153" s="931" t="s">
        <v>1197</v>
      </c>
    </row>
    <row r="154" spans="2:13" outlineLevel="1">
      <c r="B154" s="929" t="s">
        <v>1198</v>
      </c>
      <c r="C154" s="949">
        <v>0.01</v>
      </c>
      <c r="D154" s="949">
        <v>0.01</v>
      </c>
      <c r="E154" s="930">
        <v>0.01</v>
      </c>
      <c r="F154" s="930">
        <v>0</v>
      </c>
      <c r="G154" s="930">
        <v>202393.52</v>
      </c>
      <c r="H154" s="930">
        <v>0</v>
      </c>
      <c r="I154" s="932">
        <v>202393.52</v>
      </c>
      <c r="M154" s="931" t="s">
        <v>1196</v>
      </c>
    </row>
    <row r="155" spans="2:13" outlineLevel="1">
      <c r="B155" s="929" t="s">
        <v>1199</v>
      </c>
      <c r="C155" s="949">
        <v>112996.79</v>
      </c>
      <c r="D155" s="949">
        <v>112996.79</v>
      </c>
      <c r="E155" s="930">
        <v>112996.79</v>
      </c>
      <c r="F155" s="930">
        <v>0</v>
      </c>
      <c r="G155" s="930"/>
      <c r="H155" s="930"/>
      <c r="I155" s="932"/>
      <c r="M155" s="931"/>
    </row>
    <row r="156" spans="2:13" outlineLevel="1">
      <c r="B156" s="929" t="s">
        <v>1197</v>
      </c>
      <c r="C156" s="949">
        <v>2243608.71</v>
      </c>
      <c r="D156" s="949">
        <v>2243608.71</v>
      </c>
      <c r="E156" s="930">
        <v>2243608.71</v>
      </c>
      <c r="F156" s="930">
        <v>2538194.27</v>
      </c>
      <c r="G156" s="930"/>
      <c r="H156" s="930"/>
      <c r="I156" s="932"/>
      <c r="M156" s="931"/>
    </row>
    <row r="157" spans="2:13" outlineLevel="1">
      <c r="B157" s="933"/>
      <c r="C157" s="952" t="s">
        <v>1108</v>
      </c>
      <c r="D157" s="952" t="s">
        <v>1108</v>
      </c>
      <c r="E157" s="935" t="s">
        <v>1108</v>
      </c>
      <c r="F157" s="935" t="s">
        <v>1108</v>
      </c>
      <c r="G157" s="935" t="s">
        <v>1108</v>
      </c>
      <c r="H157" s="935" t="s">
        <v>1108</v>
      </c>
      <c r="I157" s="936" t="s">
        <v>1108</v>
      </c>
      <c r="M157" s="934"/>
    </row>
    <row r="158" spans="2:13" outlineLevel="1">
      <c r="B158" s="929" t="s">
        <v>1200</v>
      </c>
      <c r="C158" s="949">
        <v>2674883.19</v>
      </c>
      <c r="D158" s="949">
        <v>2674883.19</v>
      </c>
      <c r="E158" s="930">
        <v>2674883.19</v>
      </c>
      <c r="F158" s="930">
        <v>3084494.09</v>
      </c>
      <c r="G158" s="930">
        <v>753748.57</v>
      </c>
      <c r="H158" s="930">
        <v>248778.49</v>
      </c>
      <c r="I158" s="932">
        <v>504970.08</v>
      </c>
      <c r="M158" s="931" t="s">
        <v>1134</v>
      </c>
    </row>
    <row r="159" spans="2:13" outlineLevel="1">
      <c r="B159" s="933"/>
      <c r="C159" s="952" t="s">
        <v>1108</v>
      </c>
      <c r="D159" s="952" t="s">
        <v>1108</v>
      </c>
      <c r="E159" s="935" t="s">
        <v>1108</v>
      </c>
      <c r="F159" s="935" t="s">
        <v>1108</v>
      </c>
      <c r="G159" s="935" t="s">
        <v>1108</v>
      </c>
      <c r="H159" s="935" t="s">
        <v>1108</v>
      </c>
      <c r="I159" s="936" t="s">
        <v>1108</v>
      </c>
      <c r="M159" s="934"/>
    </row>
    <row r="160" spans="2:13" outlineLevel="1">
      <c r="B160" s="933"/>
      <c r="C160" s="949"/>
      <c r="D160" s="949"/>
      <c r="E160" s="930"/>
      <c r="F160" s="930"/>
      <c r="G160" s="930"/>
      <c r="H160" s="930"/>
      <c r="I160" s="932"/>
      <c r="M160" s="934"/>
    </row>
    <row r="161" spans="2:13" outlineLevel="1">
      <c r="B161" s="929" t="s">
        <v>1201</v>
      </c>
      <c r="C161" s="949"/>
      <c r="D161" s="949"/>
      <c r="E161" s="930"/>
      <c r="F161" s="930"/>
      <c r="G161" s="930"/>
      <c r="H161" s="930"/>
      <c r="I161" s="932"/>
      <c r="M161" s="931" t="s">
        <v>1135</v>
      </c>
    </row>
    <row r="162" spans="2:13" outlineLevel="1">
      <c r="B162" s="929" t="s">
        <v>1202</v>
      </c>
      <c r="C162" s="949">
        <v>1505415</v>
      </c>
      <c r="D162" s="949">
        <v>1505415</v>
      </c>
      <c r="E162" s="930">
        <v>1505415</v>
      </c>
      <c r="F162" s="930">
        <v>0</v>
      </c>
      <c r="G162" s="930">
        <v>1638551.08</v>
      </c>
      <c r="H162" s="930">
        <v>1456942.73</v>
      </c>
      <c r="I162" s="932">
        <v>181608.35</v>
      </c>
      <c r="M162" s="931" t="s">
        <v>1203</v>
      </c>
    </row>
    <row r="163" spans="2:13" outlineLevel="1">
      <c r="B163" s="929" t="s">
        <v>1203</v>
      </c>
      <c r="C163" s="949">
        <v>16535.68</v>
      </c>
      <c r="D163" s="949">
        <v>16535.68</v>
      </c>
      <c r="E163" s="930">
        <v>16535.68</v>
      </c>
      <c r="F163" s="930">
        <v>1467072.74</v>
      </c>
      <c r="G163" s="930">
        <v>10491.32</v>
      </c>
      <c r="H163" s="930">
        <v>1832.24</v>
      </c>
      <c r="I163" s="932">
        <v>8659.08</v>
      </c>
      <c r="M163" s="931" t="s">
        <v>1204</v>
      </c>
    </row>
    <row r="164" spans="2:13" outlineLevel="1">
      <c r="B164" s="929" t="s">
        <v>1205</v>
      </c>
      <c r="C164" s="949">
        <v>11199.53</v>
      </c>
      <c r="D164" s="949">
        <v>11199.53</v>
      </c>
      <c r="E164" s="930">
        <v>11199.53</v>
      </c>
      <c r="F164" s="930">
        <v>4724.34</v>
      </c>
      <c r="G164" s="930">
        <v>10582050</v>
      </c>
      <c r="H164" s="930">
        <v>0</v>
      </c>
      <c r="I164" s="932">
        <v>10582050</v>
      </c>
      <c r="M164" s="931" t="s">
        <v>1206</v>
      </c>
    </row>
    <row r="165" spans="2:13" outlineLevel="1">
      <c r="B165" s="929" t="s">
        <v>1204</v>
      </c>
      <c r="C165" s="949">
        <v>6899.53</v>
      </c>
      <c r="D165" s="949">
        <v>6899.53</v>
      </c>
      <c r="E165" s="930">
        <v>6899.53</v>
      </c>
      <c r="F165" s="930">
        <v>7743.04</v>
      </c>
      <c r="G165" s="930">
        <v>36556.36</v>
      </c>
      <c r="H165" s="930">
        <v>0</v>
      </c>
      <c r="I165" s="932">
        <v>36556.36</v>
      </c>
      <c r="M165" s="931" t="s">
        <v>1207</v>
      </c>
    </row>
    <row r="166" spans="2:13" outlineLevel="1">
      <c r="B166" s="929" t="s">
        <v>1206</v>
      </c>
      <c r="C166" s="949">
        <v>9135772.4000000004</v>
      </c>
      <c r="D166" s="949">
        <v>9135772.4000000004</v>
      </c>
      <c r="E166" s="930">
        <v>9135772.4000000004</v>
      </c>
      <c r="F166" s="930">
        <v>10653601.1</v>
      </c>
      <c r="G166" s="930">
        <v>464332.24</v>
      </c>
      <c r="H166" s="930">
        <v>0</v>
      </c>
      <c r="I166" s="932">
        <v>464332.24</v>
      </c>
      <c r="M166" s="931" t="s">
        <v>1208</v>
      </c>
    </row>
    <row r="167" spans="2:13" outlineLevel="1">
      <c r="B167" s="929" t="s">
        <v>1207</v>
      </c>
      <c r="C167" s="949">
        <v>1798560.96</v>
      </c>
      <c r="D167" s="949">
        <v>1798560.96</v>
      </c>
      <c r="E167" s="930">
        <v>1798560.96</v>
      </c>
      <c r="F167" s="930">
        <v>253455.12</v>
      </c>
      <c r="G167" s="930">
        <v>58334.16</v>
      </c>
      <c r="H167" s="930">
        <v>0</v>
      </c>
      <c r="I167" s="932">
        <v>58334.16</v>
      </c>
      <c r="M167" s="931" t="s">
        <v>1209</v>
      </c>
    </row>
    <row r="168" spans="2:13" outlineLevel="1">
      <c r="B168" s="929" t="s">
        <v>1208</v>
      </c>
      <c r="C168" s="949">
        <v>262198.94</v>
      </c>
      <c r="D168" s="949">
        <v>262198.94</v>
      </c>
      <c r="E168" s="930">
        <v>262198.94</v>
      </c>
      <c r="F168" s="930">
        <v>368454.16</v>
      </c>
      <c r="G168" s="930">
        <v>36601890</v>
      </c>
      <c r="H168" s="930">
        <v>0</v>
      </c>
      <c r="I168" s="932">
        <v>36601890</v>
      </c>
      <c r="M168" s="931" t="s">
        <v>1210</v>
      </c>
    </row>
    <row r="169" spans="2:13" outlineLevel="1">
      <c r="B169" s="929" t="s">
        <v>1209</v>
      </c>
      <c r="C169" s="949">
        <v>64299.07</v>
      </c>
      <c r="D169" s="949">
        <v>64299.07</v>
      </c>
      <c r="E169" s="930">
        <v>64299.07</v>
      </c>
      <c r="F169" s="930">
        <v>58492.98</v>
      </c>
      <c r="G169" s="930">
        <v>52141869.909999996</v>
      </c>
      <c r="H169" s="930">
        <v>0</v>
      </c>
      <c r="I169" s="932">
        <v>52141869.909999996</v>
      </c>
      <c r="M169" s="931" t="s">
        <v>1211</v>
      </c>
    </row>
    <row r="170" spans="2:13" outlineLevel="1">
      <c r="B170" s="929" t="s">
        <v>1212</v>
      </c>
      <c r="C170" s="949">
        <v>5549389.0499999998</v>
      </c>
      <c r="D170" s="949">
        <v>5549389.0499999998</v>
      </c>
      <c r="E170" s="930">
        <v>5549389.0499999998</v>
      </c>
      <c r="F170" s="930">
        <v>0</v>
      </c>
      <c r="G170" s="930">
        <v>1091562.68</v>
      </c>
      <c r="H170" s="930">
        <v>0</v>
      </c>
      <c r="I170" s="932">
        <v>1091562.68</v>
      </c>
      <c r="M170" s="931" t="s">
        <v>1213</v>
      </c>
    </row>
    <row r="171" spans="2:13" outlineLevel="1">
      <c r="B171" s="929" t="s">
        <v>1214</v>
      </c>
      <c r="C171" s="949">
        <v>125635.77</v>
      </c>
      <c r="D171" s="949">
        <v>125635.77</v>
      </c>
      <c r="E171" s="930">
        <v>125635.77</v>
      </c>
      <c r="F171" s="930">
        <v>0</v>
      </c>
      <c r="G171" s="930">
        <v>356182.66</v>
      </c>
      <c r="H171" s="930">
        <v>0</v>
      </c>
      <c r="I171" s="932">
        <v>356182.66</v>
      </c>
      <c r="M171" s="931" t="s">
        <v>1215</v>
      </c>
    </row>
    <row r="172" spans="2:13" outlineLevel="1">
      <c r="B172" s="929" t="s">
        <v>1216</v>
      </c>
      <c r="C172" s="949">
        <v>-107225.87</v>
      </c>
      <c r="D172" s="949">
        <v>-107225.87</v>
      </c>
      <c r="E172" s="930">
        <v>-107225.87</v>
      </c>
      <c r="F172" s="930">
        <v>0</v>
      </c>
      <c r="G172" s="930">
        <v>6041.49</v>
      </c>
      <c r="H172" s="930">
        <v>570.98</v>
      </c>
      <c r="I172" s="932">
        <v>5470.51</v>
      </c>
      <c r="M172" s="931" t="s">
        <v>1205</v>
      </c>
    </row>
    <row r="173" spans="2:13" outlineLevel="1">
      <c r="B173" s="929" t="s">
        <v>1217</v>
      </c>
      <c r="C173" s="949">
        <v>52111.3</v>
      </c>
      <c r="D173" s="949">
        <v>52111.3</v>
      </c>
      <c r="E173" s="930">
        <v>52111.3</v>
      </c>
      <c r="F173" s="930">
        <v>0</v>
      </c>
      <c r="G173" s="930"/>
      <c r="H173" s="930"/>
      <c r="I173" s="932"/>
      <c r="M173" s="931"/>
    </row>
    <row r="174" spans="2:13" outlineLevel="1">
      <c r="B174" s="929" t="s">
        <v>1211</v>
      </c>
      <c r="C174" s="949">
        <v>780788.7</v>
      </c>
      <c r="D174" s="949">
        <v>780788.7</v>
      </c>
      <c r="E174" s="930">
        <v>780788.7</v>
      </c>
      <c r="F174" s="930">
        <v>55111603.229999997</v>
      </c>
      <c r="G174" s="930"/>
      <c r="H174" s="930"/>
      <c r="I174" s="932"/>
      <c r="M174" s="931"/>
    </row>
    <row r="175" spans="2:13" outlineLevel="1">
      <c r="B175" s="929" t="s">
        <v>1213</v>
      </c>
      <c r="C175" s="949">
        <v>0</v>
      </c>
      <c r="D175" s="949">
        <v>0</v>
      </c>
      <c r="E175" s="930">
        <v>0</v>
      </c>
      <c r="F175" s="930">
        <v>207511.61</v>
      </c>
      <c r="G175" s="930"/>
      <c r="H175" s="930"/>
      <c r="I175" s="932"/>
      <c r="M175" s="931"/>
    </row>
    <row r="176" spans="2:13" outlineLevel="1">
      <c r="B176" s="929" t="s">
        <v>1215</v>
      </c>
      <c r="C176" s="949">
        <v>0</v>
      </c>
      <c r="D176" s="949">
        <v>0</v>
      </c>
      <c r="E176" s="930">
        <v>0</v>
      </c>
      <c r="F176" s="930">
        <v>155140.20000000001</v>
      </c>
      <c r="G176" s="930"/>
      <c r="H176" s="930"/>
      <c r="I176" s="932"/>
      <c r="M176" s="931"/>
    </row>
    <row r="177" spans="2:13" outlineLevel="1">
      <c r="B177" s="933"/>
      <c r="C177" s="952" t="s">
        <v>1108</v>
      </c>
      <c r="D177" s="952" t="s">
        <v>1108</v>
      </c>
      <c r="E177" s="935" t="s">
        <v>1108</v>
      </c>
      <c r="F177" s="935" t="s">
        <v>1108</v>
      </c>
      <c r="G177" s="935" t="s">
        <v>1108</v>
      </c>
      <c r="H177" s="935" t="s">
        <v>1108</v>
      </c>
      <c r="I177" s="936" t="s">
        <v>1108</v>
      </c>
      <c r="M177" s="934"/>
    </row>
    <row r="178" spans="2:13" outlineLevel="1">
      <c r="B178" s="929" t="s">
        <v>1218</v>
      </c>
      <c r="C178" s="949">
        <v>19201580.059999999</v>
      </c>
      <c r="D178" s="949">
        <v>19201580.059999999</v>
      </c>
      <c r="E178" s="930">
        <v>19201580.059999999</v>
      </c>
      <c r="F178" s="930">
        <v>68287798.519999996</v>
      </c>
      <c r="G178" s="930">
        <v>102987861.90000001</v>
      </c>
      <c r="H178" s="930">
        <v>1459345.95</v>
      </c>
      <c r="I178" s="932">
        <v>101528515.95</v>
      </c>
      <c r="M178" s="931" t="s">
        <v>1143</v>
      </c>
    </row>
    <row r="179" spans="2:13" outlineLevel="1">
      <c r="B179" s="933"/>
      <c r="C179" s="952" t="s">
        <v>1108</v>
      </c>
      <c r="D179" s="952" t="s">
        <v>1108</v>
      </c>
      <c r="E179" s="935" t="s">
        <v>1108</v>
      </c>
      <c r="F179" s="935" t="s">
        <v>1108</v>
      </c>
      <c r="G179" s="935" t="s">
        <v>1108</v>
      </c>
      <c r="H179" s="935" t="s">
        <v>1108</v>
      </c>
      <c r="I179" s="936" t="s">
        <v>1108</v>
      </c>
      <c r="M179" s="934"/>
    </row>
    <row r="180" spans="2:13" outlineLevel="1">
      <c r="B180" s="933"/>
      <c r="C180" s="949"/>
      <c r="D180" s="949"/>
      <c r="E180" s="930"/>
      <c r="F180" s="930"/>
      <c r="G180" s="930"/>
      <c r="H180" s="930"/>
      <c r="I180" s="932"/>
      <c r="M180" s="934"/>
    </row>
    <row r="181" spans="2:13" outlineLevel="1">
      <c r="B181" s="929" t="s">
        <v>1219</v>
      </c>
      <c r="C181" s="949"/>
      <c r="D181" s="949"/>
      <c r="E181" s="930"/>
      <c r="F181" s="930"/>
      <c r="G181" s="930"/>
      <c r="H181" s="930"/>
      <c r="I181" s="932"/>
      <c r="M181" s="931" t="s">
        <v>1219</v>
      </c>
    </row>
    <row r="182" spans="2:13" outlineLevel="1">
      <c r="B182" s="929" t="s">
        <v>1220</v>
      </c>
      <c r="C182" s="949">
        <v>0</v>
      </c>
      <c r="D182" s="949">
        <v>0</v>
      </c>
      <c r="E182" s="930">
        <v>0</v>
      </c>
      <c r="F182" s="930">
        <v>839153.98</v>
      </c>
      <c r="G182" s="930">
        <v>0</v>
      </c>
      <c r="H182" s="930">
        <v>530284.57999999996</v>
      </c>
      <c r="I182" s="932">
        <v>-530284.57999999996</v>
      </c>
      <c r="M182" s="931" t="s">
        <v>1221</v>
      </c>
    </row>
    <row r="183" spans="2:13" outlineLevel="1">
      <c r="B183" s="929"/>
      <c r="C183" s="949"/>
      <c r="D183" s="949"/>
      <c r="E183" s="930"/>
      <c r="F183" s="930"/>
      <c r="G183" s="930">
        <v>1102227.94</v>
      </c>
      <c r="H183" s="930">
        <v>0</v>
      </c>
      <c r="I183" s="932">
        <v>1102227.94</v>
      </c>
      <c r="M183" s="931" t="s">
        <v>1220</v>
      </c>
    </row>
    <row r="184" spans="2:13" outlineLevel="1">
      <c r="B184" s="933"/>
      <c r="C184" s="952" t="s">
        <v>1108</v>
      </c>
      <c r="D184" s="952" t="s">
        <v>1108</v>
      </c>
      <c r="E184" s="935" t="s">
        <v>1108</v>
      </c>
      <c r="F184" s="935" t="s">
        <v>1108</v>
      </c>
      <c r="G184" s="935" t="s">
        <v>1108</v>
      </c>
      <c r="H184" s="935" t="s">
        <v>1108</v>
      </c>
      <c r="I184" s="936" t="s">
        <v>1108</v>
      </c>
      <c r="M184" s="934"/>
    </row>
    <row r="185" spans="2:13" outlineLevel="1">
      <c r="B185" s="929" t="s">
        <v>1222</v>
      </c>
      <c r="C185" s="949">
        <v>0</v>
      </c>
      <c r="D185" s="949">
        <v>0</v>
      </c>
      <c r="E185" s="930">
        <v>0</v>
      </c>
      <c r="F185" s="930">
        <v>839153.98</v>
      </c>
      <c r="G185" s="930">
        <v>1102227.94</v>
      </c>
      <c r="H185" s="930">
        <v>530284.57999999996</v>
      </c>
      <c r="I185" s="932">
        <v>571943.36</v>
      </c>
      <c r="M185" s="931" t="s">
        <v>1222</v>
      </c>
    </row>
    <row r="186" spans="2:13" outlineLevel="1">
      <c r="B186" s="933"/>
      <c r="C186" s="952" t="s">
        <v>1108</v>
      </c>
      <c r="D186" s="952" t="s">
        <v>1108</v>
      </c>
      <c r="E186" s="935" t="s">
        <v>1108</v>
      </c>
      <c r="F186" s="935" t="s">
        <v>1108</v>
      </c>
      <c r="G186" s="935" t="s">
        <v>1108</v>
      </c>
      <c r="H186" s="935" t="s">
        <v>1108</v>
      </c>
      <c r="I186" s="936" t="s">
        <v>1108</v>
      </c>
      <c r="M186" s="934"/>
    </row>
    <row r="187" spans="2:13" outlineLevel="1">
      <c r="B187" s="933"/>
      <c r="C187" s="949"/>
      <c r="D187" s="949"/>
      <c r="E187" s="930"/>
      <c r="F187" s="930"/>
      <c r="G187" s="930"/>
      <c r="H187" s="930"/>
      <c r="I187" s="932"/>
      <c r="M187" s="934"/>
    </row>
    <row r="188" spans="2:13" outlineLevel="1">
      <c r="B188" s="929" t="s">
        <v>1223</v>
      </c>
      <c r="C188" s="949"/>
      <c r="D188" s="949"/>
      <c r="E188" s="930"/>
      <c r="F188" s="930"/>
      <c r="G188" s="930"/>
      <c r="H188" s="930"/>
      <c r="I188" s="932"/>
      <c r="M188" s="931" t="s">
        <v>1223</v>
      </c>
    </row>
    <row r="189" spans="2:13" outlineLevel="1">
      <c r="B189" s="929" t="s">
        <v>1224</v>
      </c>
      <c r="C189" s="949">
        <v>-1000</v>
      </c>
      <c r="D189" s="949">
        <v>-1000</v>
      </c>
      <c r="E189" s="930">
        <v>-1000</v>
      </c>
      <c r="F189" s="930">
        <v>-16500</v>
      </c>
      <c r="G189" s="930">
        <v>-16000</v>
      </c>
      <c r="H189" s="930">
        <v>-15500</v>
      </c>
      <c r="I189" s="932">
        <v>-500</v>
      </c>
      <c r="M189" s="931" t="s">
        <v>1224</v>
      </c>
    </row>
    <row r="190" spans="2:13" outlineLevel="1">
      <c r="B190" s="929" t="s">
        <v>1225</v>
      </c>
      <c r="C190" s="949">
        <v>9077.11</v>
      </c>
      <c r="D190" s="949">
        <v>9077.11</v>
      </c>
      <c r="E190" s="930">
        <v>9077.11</v>
      </c>
      <c r="F190" s="930">
        <v>9062.2800000000007</v>
      </c>
      <c r="G190" s="930">
        <v>720699.1</v>
      </c>
      <c r="H190" s="930">
        <v>557237.23</v>
      </c>
      <c r="I190" s="932">
        <v>163461.87</v>
      </c>
      <c r="M190" s="931" t="s">
        <v>1226</v>
      </c>
    </row>
    <row r="191" spans="2:13" outlineLevel="1">
      <c r="B191" s="929" t="s">
        <v>1226</v>
      </c>
      <c r="C191" s="949">
        <v>714069.04</v>
      </c>
      <c r="D191" s="949">
        <v>714069.04</v>
      </c>
      <c r="E191" s="930">
        <v>714069.04</v>
      </c>
      <c r="F191" s="930">
        <v>798557.68</v>
      </c>
      <c r="G191" s="930">
        <v>8738</v>
      </c>
      <c r="H191" s="930">
        <v>8648.76</v>
      </c>
      <c r="I191" s="932">
        <v>89.239999999999796</v>
      </c>
      <c r="M191" s="931" t="s">
        <v>1225</v>
      </c>
    </row>
    <row r="192" spans="2:13" outlineLevel="1">
      <c r="B192" s="933"/>
      <c r="C192" s="952" t="s">
        <v>1108</v>
      </c>
      <c r="D192" s="952" t="s">
        <v>1108</v>
      </c>
      <c r="E192" s="935" t="s">
        <v>1108</v>
      </c>
      <c r="F192" s="935" t="s">
        <v>1108</v>
      </c>
      <c r="G192" s="935" t="s">
        <v>1108</v>
      </c>
      <c r="H192" s="935" t="s">
        <v>1108</v>
      </c>
      <c r="I192" s="936" t="s">
        <v>1108</v>
      </c>
      <c r="M192" s="934"/>
    </row>
    <row r="193" spans="2:13" outlineLevel="1">
      <c r="B193" s="929" t="s">
        <v>1227</v>
      </c>
      <c r="C193" s="949">
        <v>722146.15</v>
      </c>
      <c r="D193" s="949">
        <v>722146.15</v>
      </c>
      <c r="E193" s="930">
        <v>722146.15</v>
      </c>
      <c r="F193" s="930">
        <v>791119.96</v>
      </c>
      <c r="G193" s="930">
        <v>713437.1</v>
      </c>
      <c r="H193" s="930">
        <v>550385.99</v>
      </c>
      <c r="I193" s="932">
        <v>163051.10999999999</v>
      </c>
      <c r="M193" s="931" t="s">
        <v>1227</v>
      </c>
    </row>
    <row r="194" spans="2:13" outlineLevel="1">
      <c r="B194" s="933"/>
      <c r="C194" s="952" t="s">
        <v>1108</v>
      </c>
      <c r="D194" s="952" t="s">
        <v>1108</v>
      </c>
      <c r="E194" s="935" t="s">
        <v>1108</v>
      </c>
      <c r="F194" s="935" t="s">
        <v>1108</v>
      </c>
      <c r="G194" s="935" t="s">
        <v>1108</v>
      </c>
      <c r="H194" s="935" t="s">
        <v>1108</v>
      </c>
      <c r="I194" s="936" t="s">
        <v>1108</v>
      </c>
      <c r="M194" s="934"/>
    </row>
    <row r="195" spans="2:13" outlineLevel="1">
      <c r="B195" s="933"/>
      <c r="C195" s="949"/>
      <c r="D195" s="949"/>
      <c r="E195" s="930"/>
      <c r="F195" s="930"/>
      <c r="G195" s="930"/>
      <c r="H195" s="930"/>
      <c r="I195" s="932"/>
      <c r="M195" s="934"/>
    </row>
    <row r="196" spans="2:13" outlineLevel="1">
      <c r="B196" s="929" t="s">
        <v>1228</v>
      </c>
      <c r="C196" s="949"/>
      <c r="D196" s="949"/>
      <c r="E196" s="930"/>
      <c r="F196" s="930"/>
      <c r="G196" s="930"/>
      <c r="H196" s="930"/>
      <c r="I196" s="932"/>
      <c r="M196" s="931" t="s">
        <v>1228</v>
      </c>
    </row>
    <row r="197" spans="2:13" outlineLevel="1">
      <c r="B197" s="929" t="s">
        <v>1229</v>
      </c>
      <c r="C197" s="949">
        <v>0</v>
      </c>
      <c r="D197" s="949">
        <v>0</v>
      </c>
      <c r="E197" s="930">
        <v>0</v>
      </c>
      <c r="F197" s="930">
        <v>20000</v>
      </c>
      <c r="G197" s="930">
        <v>41494.74</v>
      </c>
      <c r="H197" s="930">
        <v>62989.56</v>
      </c>
      <c r="I197" s="932">
        <v>-21494.82</v>
      </c>
      <c r="M197" s="931" t="s">
        <v>1229</v>
      </c>
    </row>
    <row r="198" spans="2:13" outlineLevel="1">
      <c r="B198" s="929" t="s">
        <v>1230</v>
      </c>
      <c r="C198" s="949">
        <v>2563016.7000000002</v>
      </c>
      <c r="D198" s="949">
        <v>2563016.7000000002</v>
      </c>
      <c r="E198" s="930">
        <v>2563016.7000000002</v>
      </c>
      <c r="F198" s="930">
        <v>3584190.68</v>
      </c>
      <c r="G198" s="930">
        <v>4439787.6100000003</v>
      </c>
      <c r="H198" s="930">
        <v>5316630.91</v>
      </c>
      <c r="I198" s="932">
        <v>-876843.3</v>
      </c>
      <c r="M198" s="931" t="s">
        <v>1230</v>
      </c>
    </row>
    <row r="199" spans="2:13" outlineLevel="1">
      <c r="B199" s="933"/>
      <c r="C199" s="952" t="s">
        <v>1108</v>
      </c>
      <c r="D199" s="952" t="s">
        <v>1108</v>
      </c>
      <c r="E199" s="935" t="s">
        <v>1108</v>
      </c>
      <c r="F199" s="935" t="s">
        <v>1108</v>
      </c>
      <c r="G199" s="935" t="s">
        <v>1108</v>
      </c>
      <c r="H199" s="935" t="s">
        <v>1108</v>
      </c>
      <c r="I199" s="936" t="s">
        <v>1108</v>
      </c>
      <c r="M199" s="934"/>
    </row>
    <row r="200" spans="2:13" outlineLevel="1">
      <c r="B200" s="929" t="s">
        <v>1231</v>
      </c>
      <c r="C200" s="949">
        <v>2563016.7000000002</v>
      </c>
      <c r="D200" s="949">
        <v>2563016.7000000002</v>
      </c>
      <c r="E200" s="930">
        <v>2563016.7000000002</v>
      </c>
      <c r="F200" s="930">
        <v>3604190.68</v>
      </c>
      <c r="G200" s="930">
        <v>4481282.3499999996</v>
      </c>
      <c r="H200" s="930">
        <v>5379620.4699999997</v>
      </c>
      <c r="I200" s="932">
        <v>-898338.12</v>
      </c>
      <c r="M200" s="931" t="s">
        <v>1231</v>
      </c>
    </row>
    <row r="201" spans="2:13" outlineLevel="1">
      <c r="B201" s="933"/>
      <c r="C201" s="952" t="s">
        <v>1108</v>
      </c>
      <c r="D201" s="952" t="s">
        <v>1108</v>
      </c>
      <c r="E201" s="935" t="s">
        <v>1108</v>
      </c>
      <c r="F201" s="935" t="s">
        <v>1108</v>
      </c>
      <c r="G201" s="935" t="s">
        <v>1108</v>
      </c>
      <c r="H201" s="935" t="s">
        <v>1108</v>
      </c>
      <c r="I201" s="936" t="s">
        <v>1108</v>
      </c>
      <c r="M201" s="934"/>
    </row>
    <row r="202" spans="2:13" outlineLevel="1">
      <c r="B202" s="933"/>
      <c r="C202" s="949"/>
      <c r="D202" s="949"/>
      <c r="E202" s="930"/>
      <c r="F202" s="930"/>
      <c r="G202" s="930"/>
      <c r="H202" s="930"/>
      <c r="I202" s="932"/>
      <c r="M202" s="934"/>
    </row>
    <row r="203" spans="2:13" outlineLevel="1">
      <c r="B203" s="929" t="s">
        <v>1232</v>
      </c>
      <c r="C203" s="949"/>
      <c r="D203" s="949"/>
      <c r="E203" s="930"/>
      <c r="F203" s="930"/>
      <c r="G203" s="930"/>
      <c r="H203" s="930"/>
      <c r="I203" s="932"/>
      <c r="M203" s="931" t="s">
        <v>1233</v>
      </c>
    </row>
    <row r="204" spans="2:13" outlineLevel="1">
      <c r="B204" s="929" t="s">
        <v>1234</v>
      </c>
      <c r="C204" s="949">
        <v>0</v>
      </c>
      <c r="D204" s="949">
        <v>0</v>
      </c>
      <c r="E204" s="930">
        <v>0</v>
      </c>
      <c r="F204" s="930">
        <v>876974.33</v>
      </c>
      <c r="G204" s="930">
        <v>0</v>
      </c>
      <c r="H204" s="930">
        <v>691094.27</v>
      </c>
      <c r="I204" s="932">
        <v>-691094.27</v>
      </c>
      <c r="M204" s="931" t="s">
        <v>1235</v>
      </c>
    </row>
    <row r="205" spans="2:13" outlineLevel="1">
      <c r="B205" s="929" t="s">
        <v>1236</v>
      </c>
      <c r="C205" s="949">
        <v>725917.67</v>
      </c>
      <c r="D205" s="949">
        <v>725917.67</v>
      </c>
      <c r="E205" s="930">
        <v>725917.67</v>
      </c>
      <c r="F205" s="930">
        <v>0</v>
      </c>
      <c r="G205" s="930">
        <v>973686.64</v>
      </c>
      <c r="H205" s="930">
        <v>0</v>
      </c>
      <c r="I205" s="932">
        <v>973686.64</v>
      </c>
      <c r="M205" s="931" t="s">
        <v>1234</v>
      </c>
    </row>
    <row r="206" spans="2:13" outlineLevel="1">
      <c r="B206" s="933"/>
      <c r="C206" s="952" t="s">
        <v>1108</v>
      </c>
      <c r="D206" s="952" t="s">
        <v>1108</v>
      </c>
      <c r="E206" s="935" t="s">
        <v>1108</v>
      </c>
      <c r="F206" s="935" t="s">
        <v>1108</v>
      </c>
      <c r="G206" s="935" t="s">
        <v>1108</v>
      </c>
      <c r="H206" s="935" t="s">
        <v>1108</v>
      </c>
      <c r="I206" s="936" t="s">
        <v>1108</v>
      </c>
      <c r="M206" s="934"/>
    </row>
    <row r="207" spans="2:13" outlineLevel="1">
      <c r="B207" s="929" t="s">
        <v>1237</v>
      </c>
      <c r="C207" s="949">
        <v>725917.67</v>
      </c>
      <c r="D207" s="949">
        <v>725917.67</v>
      </c>
      <c r="E207" s="930">
        <v>725917.67</v>
      </c>
      <c r="F207" s="930">
        <v>876974.33</v>
      </c>
      <c r="G207" s="930">
        <v>973686.64</v>
      </c>
      <c r="H207" s="930">
        <v>691094.27</v>
      </c>
      <c r="I207" s="932">
        <v>282592.37</v>
      </c>
      <c r="M207" s="931" t="s">
        <v>1238</v>
      </c>
    </row>
    <row r="208" spans="2:13" outlineLevel="1">
      <c r="B208" s="933"/>
      <c r="C208" s="952" t="s">
        <v>1108</v>
      </c>
      <c r="D208" s="952" t="s">
        <v>1108</v>
      </c>
      <c r="E208" s="935" t="s">
        <v>1108</v>
      </c>
      <c r="F208" s="935" t="s">
        <v>1108</v>
      </c>
      <c r="G208" s="935" t="s">
        <v>1108</v>
      </c>
      <c r="H208" s="935" t="s">
        <v>1108</v>
      </c>
      <c r="I208" s="936" t="s">
        <v>1108</v>
      </c>
      <c r="M208" s="934"/>
    </row>
    <row r="209" spans="2:13" outlineLevel="1">
      <c r="B209" s="933"/>
      <c r="C209" s="952" t="s">
        <v>1108</v>
      </c>
      <c r="D209" s="952" t="s">
        <v>1108</v>
      </c>
      <c r="E209" s="935" t="s">
        <v>1108</v>
      </c>
      <c r="F209" s="935" t="s">
        <v>1108</v>
      </c>
      <c r="G209" s="935" t="s">
        <v>1108</v>
      </c>
      <c r="H209" s="935" t="s">
        <v>1108</v>
      </c>
      <c r="I209" s="936" t="s">
        <v>1108</v>
      </c>
      <c r="M209" s="934"/>
    </row>
    <row r="210" spans="2:13" outlineLevel="1">
      <c r="B210" s="929" t="s">
        <v>1239</v>
      </c>
      <c r="C210" s="949">
        <v>81614062.230000004</v>
      </c>
      <c r="D210" s="949">
        <v>81614062.230000004</v>
      </c>
      <c r="E210" s="930">
        <v>81614062.230000004</v>
      </c>
      <c r="F210" s="930">
        <v>113369051.70999999</v>
      </c>
      <c r="G210" s="930">
        <v>125586942</v>
      </c>
      <c r="H210" s="930">
        <v>44283430.880000003</v>
      </c>
      <c r="I210" s="932">
        <v>81303511.120000005</v>
      </c>
      <c r="M210" s="931" t="s">
        <v>1240</v>
      </c>
    </row>
    <row r="211" spans="2:13" outlineLevel="1">
      <c r="B211" s="933"/>
      <c r="C211" s="952" t="s">
        <v>1108</v>
      </c>
      <c r="D211" s="952" t="s">
        <v>1108</v>
      </c>
      <c r="E211" s="935" t="s">
        <v>1108</v>
      </c>
      <c r="F211" s="935" t="s">
        <v>1108</v>
      </c>
      <c r="G211" s="935" t="s">
        <v>1108</v>
      </c>
      <c r="H211" s="935" t="s">
        <v>1108</v>
      </c>
      <c r="I211" s="936" t="s">
        <v>1108</v>
      </c>
      <c r="M211" s="934"/>
    </row>
    <row r="212" spans="2:13" outlineLevel="1">
      <c r="B212" s="933"/>
      <c r="C212" s="949"/>
      <c r="D212" s="949"/>
      <c r="E212" s="930"/>
      <c r="F212" s="930"/>
      <c r="G212" s="930"/>
      <c r="H212" s="930"/>
      <c r="I212" s="932"/>
      <c r="M212" s="934"/>
    </row>
    <row r="213" spans="2:13" outlineLevel="1">
      <c r="B213" s="929" t="s">
        <v>1241</v>
      </c>
      <c r="C213" s="949"/>
      <c r="D213" s="949"/>
      <c r="E213" s="930"/>
      <c r="F213" s="930"/>
      <c r="G213" s="930"/>
      <c r="H213" s="930"/>
      <c r="I213" s="932"/>
      <c r="M213" s="931" t="s">
        <v>1241</v>
      </c>
    </row>
    <row r="214" spans="2:13" outlineLevel="1">
      <c r="B214" s="929" t="s">
        <v>1242</v>
      </c>
      <c r="C214" s="949">
        <v>6967818.6399999997</v>
      </c>
      <c r="D214" s="949">
        <v>6967818.6399999997</v>
      </c>
      <c r="E214" s="930">
        <v>6967818.6399999997</v>
      </c>
      <c r="F214" s="930">
        <v>2329163.75</v>
      </c>
      <c r="G214" s="930">
        <v>0</v>
      </c>
      <c r="H214" s="930">
        <v>33061126.390000001</v>
      </c>
      <c r="I214" s="932">
        <v>-33061126.390000001</v>
      </c>
      <c r="M214" s="931" t="s">
        <v>1243</v>
      </c>
    </row>
    <row r="215" spans="2:13" outlineLevel="1">
      <c r="B215" s="929" t="s">
        <v>1244</v>
      </c>
      <c r="C215" s="949">
        <v>-26833.99</v>
      </c>
      <c r="D215" s="949">
        <v>-26833.99</v>
      </c>
      <c r="E215" s="930">
        <v>-26833.99</v>
      </c>
      <c r="F215" s="930">
        <v>0</v>
      </c>
      <c r="G215" s="930">
        <v>0</v>
      </c>
      <c r="H215" s="930">
        <v>3070822.87</v>
      </c>
      <c r="I215" s="932">
        <v>-3070822.87</v>
      </c>
      <c r="M215" s="931" t="s">
        <v>1245</v>
      </c>
    </row>
    <row r="216" spans="2:13" outlineLevel="1">
      <c r="B216" s="929" t="s">
        <v>1246</v>
      </c>
      <c r="C216" s="949">
        <v>-80.87</v>
      </c>
      <c r="D216" s="949">
        <v>-80.87</v>
      </c>
      <c r="E216" s="930">
        <v>-80.87</v>
      </c>
      <c r="F216" s="930">
        <v>-219.04</v>
      </c>
      <c r="G216" s="930">
        <v>0</v>
      </c>
      <c r="H216" s="930">
        <v>72302.22</v>
      </c>
      <c r="I216" s="932">
        <v>-72302.22</v>
      </c>
      <c r="M216" s="931" t="s">
        <v>1247</v>
      </c>
    </row>
    <row r="217" spans="2:13" outlineLevel="1">
      <c r="B217" s="929" t="s">
        <v>1248</v>
      </c>
      <c r="C217" s="949">
        <v>-200470.66</v>
      </c>
      <c r="D217" s="949">
        <v>-200470.66</v>
      </c>
      <c r="E217" s="930">
        <v>-200470.66</v>
      </c>
      <c r="F217" s="930">
        <v>29833388.640000001</v>
      </c>
      <c r="G217" s="930">
        <v>0</v>
      </c>
      <c r="H217" s="930">
        <v>60728.58</v>
      </c>
      <c r="I217" s="932">
        <v>-60728.58</v>
      </c>
      <c r="M217" s="931" t="s">
        <v>1249</v>
      </c>
    </row>
    <row r="218" spans="2:13" outlineLevel="1">
      <c r="B218" s="929" t="s">
        <v>1250</v>
      </c>
      <c r="C218" s="949">
        <v>153076.1</v>
      </c>
      <c r="D218" s="949">
        <v>153076.1</v>
      </c>
      <c r="E218" s="930">
        <v>153076.1</v>
      </c>
      <c r="F218" s="930">
        <v>10802972.189999999</v>
      </c>
      <c r="G218" s="930">
        <v>4176962.11</v>
      </c>
      <c r="H218" s="930">
        <v>2908187.71</v>
      </c>
      <c r="I218" s="932">
        <v>1268774.3999999999</v>
      </c>
      <c r="M218" s="931" t="s">
        <v>1242</v>
      </c>
    </row>
    <row r="219" spans="2:13" outlineLevel="1">
      <c r="B219" s="929" t="s">
        <v>1251</v>
      </c>
      <c r="C219" s="949">
        <v>0</v>
      </c>
      <c r="D219" s="949">
        <v>0</v>
      </c>
      <c r="E219" s="930">
        <v>0</v>
      </c>
      <c r="F219" s="930">
        <v>1597483.55</v>
      </c>
      <c r="G219" s="930">
        <v>0</v>
      </c>
      <c r="H219" s="930">
        <v>2630521.75</v>
      </c>
      <c r="I219" s="932">
        <v>-2630521.75</v>
      </c>
      <c r="M219" s="931" t="s">
        <v>1252</v>
      </c>
    </row>
    <row r="220" spans="2:13" outlineLevel="1">
      <c r="B220" s="929" t="s">
        <v>1253</v>
      </c>
      <c r="C220" s="949">
        <v>0</v>
      </c>
      <c r="D220" s="949">
        <v>0</v>
      </c>
      <c r="E220" s="930">
        <v>0</v>
      </c>
      <c r="F220" s="930">
        <v>3996200.05</v>
      </c>
      <c r="G220" s="930">
        <v>0</v>
      </c>
      <c r="H220" s="930">
        <v>23088.27</v>
      </c>
      <c r="I220" s="932">
        <v>-23088.27</v>
      </c>
      <c r="M220" s="931" t="s">
        <v>1254</v>
      </c>
    </row>
    <row r="221" spans="2:13" outlineLevel="1">
      <c r="B221" s="929" t="s">
        <v>1255</v>
      </c>
      <c r="C221" s="949">
        <v>0</v>
      </c>
      <c r="D221" s="949">
        <v>0</v>
      </c>
      <c r="E221" s="930">
        <v>0</v>
      </c>
      <c r="F221" s="930">
        <v>-175472.11</v>
      </c>
      <c r="G221" s="930">
        <v>0</v>
      </c>
      <c r="H221" s="930">
        <v>7195573.79</v>
      </c>
      <c r="I221" s="932">
        <v>-7195573.79</v>
      </c>
      <c r="M221" s="931" t="s">
        <v>1256</v>
      </c>
    </row>
    <row r="222" spans="2:13" outlineLevel="1">
      <c r="B222" s="929" t="s">
        <v>1257</v>
      </c>
      <c r="C222" s="949">
        <v>60416250.979999997</v>
      </c>
      <c r="D222" s="949">
        <v>60416250.979999997</v>
      </c>
      <c r="E222" s="930">
        <v>60416250.979999997</v>
      </c>
      <c r="F222" s="930">
        <v>0</v>
      </c>
      <c r="G222" s="930">
        <v>0</v>
      </c>
      <c r="H222" s="930">
        <v>932470.49</v>
      </c>
      <c r="I222" s="932">
        <v>-932470.49</v>
      </c>
      <c r="M222" s="931" t="s">
        <v>1258</v>
      </c>
    </row>
    <row r="223" spans="2:13" outlineLevel="1">
      <c r="B223" s="929" t="s">
        <v>1259</v>
      </c>
      <c r="C223" s="949">
        <v>11141624.6</v>
      </c>
      <c r="D223" s="949">
        <v>11141624.6</v>
      </c>
      <c r="E223" s="930">
        <v>11141624.6</v>
      </c>
      <c r="F223" s="930">
        <v>0</v>
      </c>
      <c r="G223" s="930">
        <v>0</v>
      </c>
      <c r="H223" s="930">
        <v>-27933.55</v>
      </c>
      <c r="I223" s="932">
        <v>27933.55</v>
      </c>
      <c r="M223" s="931" t="s">
        <v>1260</v>
      </c>
    </row>
    <row r="224" spans="2:13" outlineLevel="1">
      <c r="B224" s="929" t="s">
        <v>1261</v>
      </c>
      <c r="C224" s="949">
        <v>1230199.05</v>
      </c>
      <c r="D224" s="949">
        <v>1230199.05</v>
      </c>
      <c r="E224" s="930">
        <v>1230199.05</v>
      </c>
      <c r="F224" s="930">
        <v>0</v>
      </c>
      <c r="G224" s="930">
        <v>0</v>
      </c>
      <c r="H224" s="930">
        <v>-5054152.5599999996</v>
      </c>
      <c r="I224" s="932">
        <v>5054152.5599999996</v>
      </c>
      <c r="M224" s="931" t="s">
        <v>1262</v>
      </c>
    </row>
    <row r="225" spans="2:13" outlineLevel="1">
      <c r="B225" s="929" t="s">
        <v>1263</v>
      </c>
      <c r="C225" s="949">
        <v>4093100.36</v>
      </c>
      <c r="D225" s="949">
        <v>4093100.36</v>
      </c>
      <c r="E225" s="930">
        <v>4093100.36</v>
      </c>
      <c r="F225" s="930">
        <v>0</v>
      </c>
      <c r="G225" s="930">
        <v>0</v>
      </c>
      <c r="H225" s="930">
        <v>-2772104.14</v>
      </c>
      <c r="I225" s="932">
        <v>2772104.14</v>
      </c>
      <c r="M225" s="931" t="s">
        <v>1264</v>
      </c>
    </row>
    <row r="226" spans="2:13" outlineLevel="1">
      <c r="B226" s="929" t="s">
        <v>1265</v>
      </c>
      <c r="C226" s="949">
        <v>8151132.5499999998</v>
      </c>
      <c r="D226" s="949">
        <v>8151132.5499999998</v>
      </c>
      <c r="E226" s="930">
        <v>8151132.5499999998</v>
      </c>
      <c r="F226" s="930">
        <v>8151132.5499999998</v>
      </c>
      <c r="G226" s="930">
        <v>0</v>
      </c>
      <c r="H226" s="930">
        <v>627818.96</v>
      </c>
      <c r="I226" s="932">
        <v>-627818.96</v>
      </c>
      <c r="M226" s="931" t="s">
        <v>1266</v>
      </c>
    </row>
    <row r="227" spans="2:13" outlineLevel="1">
      <c r="B227" s="929" t="s">
        <v>1267</v>
      </c>
      <c r="C227" s="949">
        <v>-8600408.4800000004</v>
      </c>
      <c r="D227" s="949">
        <v>-8600408.4800000004</v>
      </c>
      <c r="E227" s="930">
        <v>-8600408.4800000004</v>
      </c>
      <c r="F227" s="930">
        <v>-8039389.79</v>
      </c>
      <c r="G227" s="930">
        <v>0</v>
      </c>
      <c r="H227" s="930">
        <v>23497688.34</v>
      </c>
      <c r="I227" s="932">
        <v>-23497688.34</v>
      </c>
      <c r="M227" s="931" t="s">
        <v>1268</v>
      </c>
    </row>
    <row r="228" spans="2:13" outlineLevel="1">
      <c r="B228" s="929" t="s">
        <v>1269</v>
      </c>
      <c r="C228" s="949">
        <v>44887052.939999998</v>
      </c>
      <c r="D228" s="949">
        <v>44887052.939999998</v>
      </c>
      <c r="E228" s="930">
        <v>44887052.939999998</v>
      </c>
      <c r="F228" s="930">
        <v>44606235.380000003</v>
      </c>
      <c r="G228" s="930">
        <v>0</v>
      </c>
      <c r="H228" s="930">
        <v>18683717.620000001</v>
      </c>
      <c r="I228" s="932">
        <v>-18683717.620000001</v>
      </c>
      <c r="M228" s="931" t="s">
        <v>1270</v>
      </c>
    </row>
    <row r="229" spans="2:13" outlineLevel="1">
      <c r="B229" s="929" t="s">
        <v>1271</v>
      </c>
      <c r="C229" s="949">
        <v>-1120040.8999999999</v>
      </c>
      <c r="D229" s="949">
        <v>-1120040.8999999999</v>
      </c>
      <c r="E229" s="930">
        <v>-1120040.8999999999</v>
      </c>
      <c r="F229" s="930">
        <v>-1120040.8999999999</v>
      </c>
      <c r="G229" s="930">
        <v>0</v>
      </c>
      <c r="H229" s="930">
        <v>-1117824.8999999999</v>
      </c>
      <c r="I229" s="932">
        <v>1117824.8999999999</v>
      </c>
      <c r="M229" s="931" t="s">
        <v>1272</v>
      </c>
    </row>
    <row r="230" spans="2:13" outlineLevel="1">
      <c r="B230" s="929" t="s">
        <v>1273</v>
      </c>
      <c r="C230" s="949">
        <v>-382398981.25999999</v>
      </c>
      <c r="D230" s="949">
        <v>-382398981.25999999</v>
      </c>
      <c r="E230" s="930">
        <v>-382398981.25999999</v>
      </c>
      <c r="F230" s="930">
        <v>-359847148.81999999</v>
      </c>
      <c r="G230" s="930">
        <v>0</v>
      </c>
      <c r="H230" s="930">
        <v>-2216</v>
      </c>
      <c r="I230" s="932">
        <v>2216</v>
      </c>
      <c r="M230" s="931" t="s">
        <v>1274</v>
      </c>
    </row>
    <row r="231" spans="2:13" outlineLevel="1">
      <c r="B231" s="929" t="s">
        <v>1275</v>
      </c>
      <c r="C231" s="949">
        <v>-63705772.979999997</v>
      </c>
      <c r="D231" s="949">
        <v>-63705772.979999997</v>
      </c>
      <c r="E231" s="930">
        <v>-63705772.979999997</v>
      </c>
      <c r="F231" s="930">
        <v>-58206978.380000003</v>
      </c>
      <c r="G231" s="930">
        <v>0</v>
      </c>
      <c r="H231" s="930">
        <v>-2391243.46</v>
      </c>
      <c r="I231" s="932">
        <v>2391243.46</v>
      </c>
      <c r="M231" s="931" t="s">
        <v>1276</v>
      </c>
    </row>
    <row r="232" spans="2:13" outlineLevel="1">
      <c r="B232" s="929" t="s">
        <v>1277</v>
      </c>
      <c r="C232" s="949">
        <v>1889713.19</v>
      </c>
      <c r="D232" s="949">
        <v>1889713.19</v>
      </c>
      <c r="E232" s="930">
        <v>1889713.19</v>
      </c>
      <c r="F232" s="930">
        <v>1889713.19</v>
      </c>
      <c r="G232" s="930">
        <v>0</v>
      </c>
      <c r="H232" s="930">
        <v>-44380182.869999997</v>
      </c>
      <c r="I232" s="932">
        <v>44380182.869999997</v>
      </c>
      <c r="M232" s="931" t="s">
        <v>1278</v>
      </c>
    </row>
    <row r="233" spans="2:13" outlineLevel="1">
      <c r="B233" s="929" t="s">
        <v>1279</v>
      </c>
      <c r="C233" s="949">
        <v>-147374.13</v>
      </c>
      <c r="D233" s="949">
        <v>-147374.13</v>
      </c>
      <c r="E233" s="930">
        <v>-147374.13</v>
      </c>
      <c r="F233" s="930">
        <v>-147374.13</v>
      </c>
      <c r="G233" s="930">
        <v>0</v>
      </c>
      <c r="H233" s="930">
        <v>-188732944.86000001</v>
      </c>
      <c r="I233" s="932">
        <v>188732944.86000001</v>
      </c>
      <c r="M233" s="931" t="s">
        <v>1280</v>
      </c>
    </row>
    <row r="234" spans="2:13" outlineLevel="1">
      <c r="B234" s="929" t="s">
        <v>1281</v>
      </c>
      <c r="C234" s="949">
        <v>-668555.47</v>
      </c>
      <c r="D234" s="949">
        <v>-668555.47</v>
      </c>
      <c r="E234" s="930">
        <v>-668555.47</v>
      </c>
      <c r="F234" s="930">
        <v>-467153.91999999998</v>
      </c>
      <c r="G234" s="930">
        <v>0</v>
      </c>
      <c r="H234" s="930">
        <v>-81999665.290000007</v>
      </c>
      <c r="I234" s="932">
        <v>81999665.290000007</v>
      </c>
      <c r="M234" s="931" t="s">
        <v>1282</v>
      </c>
    </row>
    <row r="235" spans="2:13" outlineLevel="1">
      <c r="B235" s="929" t="s">
        <v>1283</v>
      </c>
      <c r="C235" s="949">
        <v>-12010783.34</v>
      </c>
      <c r="D235" s="949">
        <v>-12010783.34</v>
      </c>
      <c r="E235" s="930">
        <v>-12010783.34</v>
      </c>
      <c r="F235" s="930">
        <v>-11588802.380000001</v>
      </c>
      <c r="G235" s="930">
        <v>0</v>
      </c>
      <c r="H235" s="930">
        <v>-45169521.280000001</v>
      </c>
      <c r="I235" s="932">
        <v>45169521.280000001</v>
      </c>
      <c r="M235" s="931" t="s">
        <v>1284</v>
      </c>
    </row>
    <row r="236" spans="2:13" outlineLevel="1">
      <c r="B236" s="929" t="s">
        <v>1285</v>
      </c>
      <c r="C236" s="949">
        <v>-9393487.6899999995</v>
      </c>
      <c r="D236" s="949">
        <v>-9393487.6899999995</v>
      </c>
      <c r="E236" s="930">
        <v>-9393487.6899999995</v>
      </c>
      <c r="F236" s="930">
        <v>-8970034.4499999993</v>
      </c>
      <c r="G236" s="930">
        <v>0</v>
      </c>
      <c r="H236" s="930">
        <v>1889713.19</v>
      </c>
      <c r="I236" s="932">
        <v>-1889713.19</v>
      </c>
      <c r="M236" s="931" t="s">
        <v>1286</v>
      </c>
    </row>
    <row r="237" spans="2:13" outlineLevel="1">
      <c r="B237" s="929" t="s">
        <v>1287</v>
      </c>
      <c r="C237" s="949">
        <v>30373</v>
      </c>
      <c r="D237" s="949">
        <v>30373</v>
      </c>
      <c r="E237" s="930">
        <v>30373</v>
      </c>
      <c r="F237" s="930">
        <v>30373</v>
      </c>
      <c r="G237" s="930">
        <v>0</v>
      </c>
      <c r="H237" s="930">
        <v>-147374.13</v>
      </c>
      <c r="I237" s="932">
        <v>147374.13</v>
      </c>
      <c r="M237" s="931" t="s">
        <v>1288</v>
      </c>
    </row>
    <row r="238" spans="2:13" outlineLevel="1">
      <c r="B238" s="929" t="s">
        <v>1289</v>
      </c>
      <c r="C238" s="949">
        <v>3364</v>
      </c>
      <c r="D238" s="949">
        <v>3364</v>
      </c>
      <c r="E238" s="930">
        <v>3364</v>
      </c>
      <c r="F238" s="930">
        <v>3364</v>
      </c>
      <c r="G238" s="930">
        <v>0</v>
      </c>
      <c r="H238" s="930">
        <v>-139116.91</v>
      </c>
      <c r="I238" s="932">
        <v>139116.91</v>
      </c>
      <c r="M238" s="931" t="s">
        <v>1290</v>
      </c>
    </row>
    <row r="239" spans="2:13" outlineLevel="1">
      <c r="B239" s="962" t="s">
        <v>1291</v>
      </c>
      <c r="C239" s="949">
        <v>801342.39</v>
      </c>
      <c r="D239" s="949">
        <v>801342.39</v>
      </c>
      <c r="E239" s="1931">
        <v>801342.39</v>
      </c>
      <c r="F239" s="949">
        <v>801342.39</v>
      </c>
      <c r="G239" s="949">
        <v>0</v>
      </c>
      <c r="H239" s="949">
        <v>-10750278.24</v>
      </c>
      <c r="I239" s="1933">
        <v>10750278.24</v>
      </c>
      <c r="M239" s="931" t="s">
        <v>1292</v>
      </c>
    </row>
    <row r="240" spans="2:13" outlineLevel="1">
      <c r="B240" s="962" t="s">
        <v>1293</v>
      </c>
      <c r="C240" s="949">
        <v>16450622.41</v>
      </c>
      <c r="D240" s="949">
        <v>16450622.41</v>
      </c>
      <c r="E240" s="1931">
        <v>16450622.41</v>
      </c>
      <c r="F240" s="949">
        <v>16450622.41</v>
      </c>
      <c r="G240" s="949">
        <v>0</v>
      </c>
      <c r="H240" s="949">
        <v>-8125997.5499999998</v>
      </c>
      <c r="I240" s="1933">
        <v>8125997.5499999998</v>
      </c>
      <c r="M240" s="931" t="s">
        <v>1294</v>
      </c>
    </row>
    <row r="241" spans="2:13" outlineLevel="1">
      <c r="B241" s="962" t="s">
        <v>1295</v>
      </c>
      <c r="C241" s="949">
        <v>16969479.350000001</v>
      </c>
      <c r="D241" s="949">
        <v>16969479.350000001</v>
      </c>
      <c r="E241" s="1931">
        <v>16969479.350000001</v>
      </c>
      <c r="F241" s="949">
        <v>16969479.350000001</v>
      </c>
      <c r="G241" s="949">
        <v>0</v>
      </c>
      <c r="H241" s="949">
        <v>30373</v>
      </c>
      <c r="I241" s="1933">
        <v>-30373</v>
      </c>
      <c r="M241" s="931" t="s">
        <v>1296</v>
      </c>
    </row>
    <row r="242" spans="2:13" outlineLevel="1">
      <c r="B242" s="962" t="s">
        <v>1297</v>
      </c>
      <c r="C242" s="949">
        <v>1167905.52</v>
      </c>
      <c r="D242" s="949">
        <v>1167905.52</v>
      </c>
      <c r="E242" s="1931">
        <v>1167905.52</v>
      </c>
      <c r="F242" s="949">
        <v>1046692.78</v>
      </c>
      <c r="G242" s="949">
        <v>0</v>
      </c>
      <c r="H242" s="949">
        <v>3364</v>
      </c>
      <c r="I242" s="1933">
        <v>-3364</v>
      </c>
      <c r="M242" s="931" t="s">
        <v>1298</v>
      </c>
    </row>
    <row r="243" spans="2:13" outlineLevel="1">
      <c r="B243" s="929" t="s">
        <v>1299</v>
      </c>
      <c r="C243" s="949">
        <v>29655.78</v>
      </c>
      <c r="D243" s="949">
        <v>29655.78</v>
      </c>
      <c r="E243" s="930">
        <v>29655.78</v>
      </c>
      <c r="F243" s="949">
        <v>29655.78</v>
      </c>
      <c r="G243" s="949">
        <v>0</v>
      </c>
      <c r="H243" s="949">
        <v>782624.97</v>
      </c>
      <c r="I243" s="1932">
        <v>-782624.97</v>
      </c>
      <c r="M243" s="931" t="s">
        <v>1300</v>
      </c>
    </row>
    <row r="244" spans="2:13" outlineLevel="1">
      <c r="B244" s="929" t="s">
        <v>1301</v>
      </c>
      <c r="C244" s="949">
        <v>1667921.41</v>
      </c>
      <c r="D244" s="949">
        <v>1667921.41</v>
      </c>
      <c r="E244" s="930">
        <v>1667921.41</v>
      </c>
      <c r="F244" s="949">
        <v>1667921.41</v>
      </c>
      <c r="G244" s="949">
        <v>0</v>
      </c>
      <c r="H244" s="949">
        <v>16389250.75</v>
      </c>
      <c r="I244" s="1932">
        <v>-16389250.75</v>
      </c>
      <c r="M244" s="931" t="s">
        <v>1302</v>
      </c>
    </row>
    <row r="245" spans="2:13" outlineLevel="1">
      <c r="B245" s="929" t="s">
        <v>1303</v>
      </c>
      <c r="C245" s="949">
        <v>539438.75</v>
      </c>
      <c r="D245" s="949">
        <v>539438.75</v>
      </c>
      <c r="E245" s="930">
        <v>539438.75</v>
      </c>
      <c r="F245" s="949">
        <v>539438.75</v>
      </c>
      <c r="G245" s="949">
        <v>0</v>
      </c>
      <c r="H245" s="949">
        <v>16900459.239999998</v>
      </c>
      <c r="I245" s="1932">
        <v>-16900459.239999998</v>
      </c>
      <c r="M245" s="931" t="s">
        <v>1304</v>
      </c>
    </row>
    <row r="246" spans="2:13" outlineLevel="1">
      <c r="B246" s="929" t="s">
        <v>1305</v>
      </c>
      <c r="C246" s="949">
        <v>43502768.600000001</v>
      </c>
      <c r="D246" s="949">
        <v>43502768.600000001</v>
      </c>
      <c r="E246" s="930">
        <v>43502768.600000001</v>
      </c>
      <c r="F246" s="949">
        <v>43384759.280000001</v>
      </c>
      <c r="G246" s="949">
        <v>0</v>
      </c>
      <c r="H246" s="949">
        <v>695584.54</v>
      </c>
      <c r="I246" s="1932">
        <v>-695584.54</v>
      </c>
      <c r="M246" s="931" t="s">
        <v>1306</v>
      </c>
    </row>
    <row r="247" spans="2:13" outlineLevel="1">
      <c r="B247" s="929" t="s">
        <v>1307</v>
      </c>
      <c r="C247" s="949">
        <v>4208752.21</v>
      </c>
      <c r="D247" s="949">
        <v>4208752.21</v>
      </c>
      <c r="E247" s="930">
        <v>4208752.21</v>
      </c>
      <c r="F247" s="949">
        <v>4208752.21</v>
      </c>
      <c r="G247" s="949">
        <v>0</v>
      </c>
      <c r="H247" s="949">
        <v>29655.78</v>
      </c>
      <c r="I247" s="1932">
        <v>-29655.78</v>
      </c>
      <c r="M247" s="931" t="s">
        <v>1308</v>
      </c>
    </row>
    <row r="248" spans="2:13" outlineLevel="1">
      <c r="B248" s="929" t="s">
        <v>1309</v>
      </c>
      <c r="C248" s="949">
        <v>52199190.469999999</v>
      </c>
      <c r="D248" s="949">
        <v>52199190.469999999</v>
      </c>
      <c r="E248" s="930">
        <v>52199190.469999999</v>
      </c>
      <c r="F248" s="949">
        <v>49756086.840000004</v>
      </c>
      <c r="G248" s="949">
        <v>0</v>
      </c>
      <c r="H248" s="949">
        <v>1667921.41</v>
      </c>
      <c r="I248" s="1932">
        <v>-1667921.41</v>
      </c>
      <c r="M248" s="931" t="s">
        <v>1310</v>
      </c>
    </row>
    <row r="249" spans="2:13" outlineLevel="1">
      <c r="B249" s="929" t="s">
        <v>1311</v>
      </c>
      <c r="C249" s="949">
        <v>36040422.060000002</v>
      </c>
      <c r="D249" s="949">
        <v>36040422.060000002</v>
      </c>
      <c r="E249" s="930">
        <v>36040422.060000002</v>
      </c>
      <c r="F249" s="949">
        <v>34411686.310000002</v>
      </c>
      <c r="G249" s="949">
        <v>0</v>
      </c>
      <c r="H249" s="949">
        <v>467396.57</v>
      </c>
      <c r="I249" s="1932">
        <v>-467396.57</v>
      </c>
      <c r="M249" s="931" t="s">
        <v>1312</v>
      </c>
    </row>
    <row r="250" spans="2:13" outlineLevel="1">
      <c r="B250" s="929" t="s">
        <v>1313</v>
      </c>
      <c r="C250" s="949">
        <v>19039.04</v>
      </c>
      <c r="D250" s="949">
        <v>19039.04</v>
      </c>
      <c r="E250" s="930">
        <v>19039.04</v>
      </c>
      <c r="F250" s="949">
        <v>19039.04</v>
      </c>
      <c r="G250" s="949">
        <v>0</v>
      </c>
      <c r="H250" s="949">
        <v>29948803.370000001</v>
      </c>
      <c r="I250" s="1932">
        <v>-29948803.370000001</v>
      </c>
      <c r="M250" s="931" t="s">
        <v>1314</v>
      </c>
    </row>
    <row r="251" spans="2:13" outlineLevel="1">
      <c r="B251" s="929" t="s">
        <v>1315</v>
      </c>
      <c r="C251" s="949">
        <v>853208.64</v>
      </c>
      <c r="D251" s="949">
        <v>853208.64</v>
      </c>
      <c r="E251" s="930">
        <v>853208.64</v>
      </c>
      <c r="F251" s="949">
        <v>812147.54</v>
      </c>
      <c r="G251" s="949">
        <v>0</v>
      </c>
      <c r="H251" s="949">
        <v>12556696.550000001</v>
      </c>
      <c r="I251" s="1932">
        <v>-12556696.550000001</v>
      </c>
      <c r="M251" s="931" t="s">
        <v>1316</v>
      </c>
    </row>
    <row r="252" spans="2:13" outlineLevel="1">
      <c r="B252" s="929" t="s">
        <v>1317</v>
      </c>
      <c r="C252" s="949">
        <v>991258.94</v>
      </c>
      <c r="D252" s="949">
        <v>991258.94</v>
      </c>
      <c r="E252" s="930">
        <v>991258.94</v>
      </c>
      <c r="F252" s="949">
        <v>991258.94</v>
      </c>
      <c r="G252" s="949">
        <v>0</v>
      </c>
      <c r="H252" s="949">
        <v>465482.96</v>
      </c>
      <c r="I252" s="1932">
        <v>-465482.96</v>
      </c>
      <c r="M252" s="931" t="s">
        <v>1318</v>
      </c>
    </row>
    <row r="253" spans="2:13" outlineLevel="1">
      <c r="B253" s="929" t="s">
        <v>1319</v>
      </c>
      <c r="C253" s="949">
        <v>117936255.63</v>
      </c>
      <c r="D253" s="949">
        <v>117936255.63</v>
      </c>
      <c r="E253" s="930">
        <v>117936255.63</v>
      </c>
      <c r="F253" s="949">
        <v>111154350.66</v>
      </c>
      <c r="G253" s="949">
        <v>0</v>
      </c>
      <c r="H253" s="949">
        <v>167991.35</v>
      </c>
      <c r="I253" s="1932">
        <v>-167991.35</v>
      </c>
      <c r="M253" s="931" t="s">
        <v>1320</v>
      </c>
    </row>
    <row r="254" spans="2:13" outlineLevel="1">
      <c r="B254" s="929" t="s">
        <v>1321</v>
      </c>
      <c r="C254" s="949">
        <v>71562590.810000002</v>
      </c>
      <c r="D254" s="949">
        <v>71562590.810000002</v>
      </c>
      <c r="E254" s="930">
        <v>71562590.810000002</v>
      </c>
      <c r="F254" s="949">
        <v>69299062</v>
      </c>
      <c r="G254" s="949">
        <v>0</v>
      </c>
      <c r="H254" s="949">
        <v>4208752.21</v>
      </c>
      <c r="I254" s="1932">
        <v>-4208752.21</v>
      </c>
      <c r="M254" s="931" t="s">
        <v>1322</v>
      </c>
    </row>
    <row r="255" spans="2:13" outlineLevel="1">
      <c r="B255" s="929" t="s">
        <v>1323</v>
      </c>
      <c r="C255" s="949">
        <v>74684395.560000002</v>
      </c>
      <c r="D255" s="949">
        <v>74684395.560000002</v>
      </c>
      <c r="E255" s="930">
        <v>74684395.560000002</v>
      </c>
      <c r="F255" s="949">
        <v>71395158.299999997</v>
      </c>
      <c r="G255" s="949">
        <v>0</v>
      </c>
      <c r="H255" s="949">
        <v>49302139.210000001</v>
      </c>
      <c r="I255" s="1932">
        <v>-49302139.210000001</v>
      </c>
      <c r="M255" s="931" t="s">
        <v>1324</v>
      </c>
    </row>
    <row r="256" spans="2:13" outlineLevel="1">
      <c r="B256" s="929" t="s">
        <v>1325</v>
      </c>
      <c r="C256" s="949">
        <v>17439900.699999999</v>
      </c>
      <c r="D256" s="949">
        <v>17439900.699999999</v>
      </c>
      <c r="E256" s="930">
        <v>17439900.699999999</v>
      </c>
      <c r="F256" s="949">
        <v>16811463.809999999</v>
      </c>
      <c r="G256" s="949">
        <v>0</v>
      </c>
      <c r="H256" s="949">
        <v>32509305.789999999</v>
      </c>
      <c r="I256" s="1932">
        <v>-32509305.789999999</v>
      </c>
      <c r="M256" s="931" t="s">
        <v>1326</v>
      </c>
    </row>
    <row r="257" spans="2:13" outlineLevel="1">
      <c r="B257" s="929" t="s">
        <v>1327</v>
      </c>
      <c r="C257" s="949">
        <v>74435661.840000004</v>
      </c>
      <c r="D257" s="949">
        <v>74435661.840000004</v>
      </c>
      <c r="E257" s="930">
        <v>74435661.840000004</v>
      </c>
      <c r="F257" s="949">
        <v>71449999.900000006</v>
      </c>
      <c r="G257" s="949">
        <v>0</v>
      </c>
      <c r="H257" s="949">
        <v>19039.04</v>
      </c>
      <c r="I257" s="1932">
        <v>-19039.04</v>
      </c>
      <c r="M257" s="931" t="s">
        <v>1328</v>
      </c>
    </row>
    <row r="258" spans="2:13" outlineLevel="1">
      <c r="B258" s="929" t="s">
        <v>1329</v>
      </c>
      <c r="C258" s="949">
        <v>67176957.370000005</v>
      </c>
      <c r="D258" s="949">
        <v>67176957.370000005</v>
      </c>
      <c r="E258" s="930">
        <v>67176957.370000005</v>
      </c>
      <c r="F258" s="949">
        <v>62759352</v>
      </c>
      <c r="G258" s="949">
        <v>0</v>
      </c>
      <c r="H258" s="949">
        <v>801335.4</v>
      </c>
      <c r="I258" s="1932">
        <v>-801335.4</v>
      </c>
      <c r="M258" s="931" t="s">
        <v>1330</v>
      </c>
    </row>
    <row r="259" spans="2:13" outlineLevel="1">
      <c r="B259" s="929" t="s">
        <v>1331</v>
      </c>
      <c r="C259" s="949">
        <v>19009270.109999999</v>
      </c>
      <c r="D259" s="949">
        <v>19009270.109999999</v>
      </c>
      <c r="E259" s="930">
        <v>19009270.109999999</v>
      </c>
      <c r="F259" s="949">
        <v>18650986</v>
      </c>
      <c r="G259" s="949">
        <v>0</v>
      </c>
      <c r="H259" s="949">
        <v>961741.93</v>
      </c>
      <c r="I259" s="1932">
        <v>-961741.93</v>
      </c>
      <c r="M259" s="931" t="s">
        <v>1332</v>
      </c>
    </row>
    <row r="260" spans="2:13" outlineLevel="1">
      <c r="B260" s="929" t="s">
        <v>1333</v>
      </c>
      <c r="C260" s="949">
        <v>7126503.1799999997</v>
      </c>
      <c r="D260" s="949">
        <v>7126503.1799999997</v>
      </c>
      <c r="E260" s="930">
        <v>7126503.1799999997</v>
      </c>
      <c r="F260" s="949">
        <v>6928869.0599999996</v>
      </c>
      <c r="G260" s="949">
        <v>0</v>
      </c>
      <c r="H260" s="949">
        <v>93746591.909999996</v>
      </c>
      <c r="I260" s="1932">
        <v>-93746591.909999996</v>
      </c>
      <c r="M260" s="931" t="s">
        <v>1334</v>
      </c>
    </row>
    <row r="261" spans="2:13" outlineLevel="1">
      <c r="B261" s="962" t="s">
        <v>1335</v>
      </c>
      <c r="C261" s="949">
        <v>5412282.4400000004</v>
      </c>
      <c r="D261" s="949">
        <v>5412282.4400000004</v>
      </c>
      <c r="E261" s="1931">
        <v>5412282.4400000004</v>
      </c>
      <c r="F261" s="949">
        <v>5412282.4400000004</v>
      </c>
      <c r="G261" s="949">
        <v>0</v>
      </c>
      <c r="H261" s="949">
        <v>63604397.390000001</v>
      </c>
      <c r="I261" s="1932">
        <v>-63604397.390000001</v>
      </c>
      <c r="M261" s="931" t="s">
        <v>1336</v>
      </c>
    </row>
    <row r="262" spans="2:13" outlineLevel="1">
      <c r="B262" s="929" t="s">
        <v>1337</v>
      </c>
      <c r="C262" s="949">
        <v>6297011.6399999997</v>
      </c>
      <c r="D262" s="949">
        <v>6297011.6399999997</v>
      </c>
      <c r="E262" s="930">
        <v>6297011.6399999997</v>
      </c>
      <c r="F262" s="949">
        <v>6215454.3700000001</v>
      </c>
      <c r="G262" s="949">
        <v>0</v>
      </c>
      <c r="H262" s="949">
        <v>62391689.57</v>
      </c>
      <c r="I262" s="1932">
        <v>-62391689.57</v>
      </c>
      <c r="M262" s="931" t="s">
        <v>1338</v>
      </c>
    </row>
    <row r="263" spans="2:13" outlineLevel="1">
      <c r="B263" s="929" t="s">
        <v>1339</v>
      </c>
      <c r="C263" s="949">
        <v>1068236.8500000001</v>
      </c>
      <c r="D263" s="949">
        <v>1068236.8500000001</v>
      </c>
      <c r="E263" s="930">
        <v>1068236.8500000001</v>
      </c>
      <c r="F263" s="949">
        <v>1068236.8500000001</v>
      </c>
      <c r="G263" s="949">
        <v>0</v>
      </c>
      <c r="H263" s="949">
        <v>14314894.5</v>
      </c>
      <c r="I263" s="1932">
        <v>-14314894.5</v>
      </c>
      <c r="M263" s="931" t="s">
        <v>1340</v>
      </c>
    </row>
    <row r="264" spans="2:13" outlineLevel="1">
      <c r="B264" s="929" t="s">
        <v>1341</v>
      </c>
      <c r="C264" s="949">
        <v>24727092.5</v>
      </c>
      <c r="D264" s="949">
        <v>24727092.5</v>
      </c>
      <c r="E264" s="930">
        <v>24727092.5</v>
      </c>
      <c r="F264" s="930">
        <v>24727092.5</v>
      </c>
      <c r="G264" s="930">
        <v>0</v>
      </c>
      <c r="H264" s="930">
        <v>60374268.810000002</v>
      </c>
      <c r="I264" s="932">
        <v>-60374268.810000002</v>
      </c>
      <c r="M264" s="931" t="s">
        <v>1342</v>
      </c>
    </row>
    <row r="265" spans="2:13" outlineLevel="1">
      <c r="B265" s="929" t="s">
        <v>1343</v>
      </c>
      <c r="C265" s="949">
        <v>24339316.07</v>
      </c>
      <c r="D265" s="949">
        <v>24339316.07</v>
      </c>
      <c r="E265" s="930">
        <v>24339316.07</v>
      </c>
      <c r="F265" s="930">
        <v>24339316.07</v>
      </c>
      <c r="G265" s="930">
        <v>0</v>
      </c>
      <c r="H265" s="930">
        <v>59158619.090000004</v>
      </c>
      <c r="I265" s="932">
        <v>-59158619.090000004</v>
      </c>
      <c r="M265" s="931" t="s">
        <v>1344</v>
      </c>
    </row>
    <row r="266" spans="2:13" outlineLevel="1">
      <c r="B266" s="929" t="s">
        <v>1345</v>
      </c>
      <c r="C266" s="949">
        <v>54646.68</v>
      </c>
      <c r="D266" s="949">
        <v>54646.68</v>
      </c>
      <c r="E266" s="930">
        <v>54646.68</v>
      </c>
      <c r="F266" s="930">
        <v>54646.68</v>
      </c>
      <c r="G266" s="930">
        <v>104690.8</v>
      </c>
      <c r="H266" s="930">
        <v>0</v>
      </c>
      <c r="I266" s="932">
        <v>104690.8</v>
      </c>
      <c r="M266" s="931" t="s">
        <v>1244</v>
      </c>
    </row>
    <row r="267" spans="2:13" outlineLevel="1">
      <c r="B267" s="929" t="s">
        <v>1346</v>
      </c>
      <c r="C267" s="949">
        <v>18239460.59</v>
      </c>
      <c r="D267" s="949">
        <v>18239460.59</v>
      </c>
      <c r="E267" s="930">
        <v>18239460.59</v>
      </c>
      <c r="F267" s="930">
        <v>18152910.390000001</v>
      </c>
      <c r="G267" s="930">
        <v>0</v>
      </c>
      <c r="H267" s="930">
        <v>1475043.9</v>
      </c>
      <c r="I267" s="932">
        <v>-1475043.9</v>
      </c>
      <c r="M267" s="931" t="s">
        <v>1347</v>
      </c>
    </row>
    <row r="268" spans="2:13" outlineLevel="1">
      <c r="B268" s="929" t="s">
        <v>1348</v>
      </c>
      <c r="C268" s="949">
        <v>210943.86</v>
      </c>
      <c r="D268" s="949">
        <v>210943.86</v>
      </c>
      <c r="E268" s="930">
        <v>210943.86</v>
      </c>
      <c r="F268" s="930">
        <v>210943.86</v>
      </c>
      <c r="G268" s="930">
        <v>0</v>
      </c>
      <c r="H268" s="930">
        <v>16440183.25</v>
      </c>
      <c r="I268" s="932">
        <v>-16440183.25</v>
      </c>
      <c r="M268" s="931" t="s">
        <v>1349</v>
      </c>
    </row>
    <row r="269" spans="2:13" outlineLevel="1">
      <c r="B269" s="929" t="s">
        <v>1350</v>
      </c>
      <c r="C269" s="949">
        <v>2956270.23</v>
      </c>
      <c r="D269" s="949">
        <v>2956270.23</v>
      </c>
      <c r="E269" s="930">
        <v>2956270.23</v>
      </c>
      <c r="F269" s="930">
        <v>2777717.57</v>
      </c>
      <c r="G269" s="930">
        <v>0</v>
      </c>
      <c r="H269" s="930">
        <v>1515655.77</v>
      </c>
      <c r="I269" s="932">
        <v>-1515655.77</v>
      </c>
      <c r="M269" s="931" t="s">
        <v>1351</v>
      </c>
    </row>
    <row r="270" spans="2:13" outlineLevel="1">
      <c r="B270" s="929" t="s">
        <v>1352</v>
      </c>
      <c r="C270" s="949">
        <v>493371.12</v>
      </c>
      <c r="D270" s="949">
        <v>493371.12</v>
      </c>
      <c r="E270" s="930">
        <v>493371.12</v>
      </c>
      <c r="F270" s="930">
        <v>493371.12</v>
      </c>
      <c r="G270" s="930">
        <v>0</v>
      </c>
      <c r="H270" s="930">
        <v>4906602.24</v>
      </c>
      <c r="I270" s="932">
        <v>-4906602.24</v>
      </c>
      <c r="M270" s="931" t="s">
        <v>1353</v>
      </c>
    </row>
    <row r="271" spans="2:13" outlineLevel="1">
      <c r="B271" s="929" t="s">
        <v>1354</v>
      </c>
      <c r="C271" s="949">
        <v>368133.91</v>
      </c>
      <c r="D271" s="949">
        <v>368133.91</v>
      </c>
      <c r="E271" s="930">
        <v>368133.91</v>
      </c>
      <c r="F271" s="930">
        <v>368133.91</v>
      </c>
      <c r="G271" s="930">
        <v>0</v>
      </c>
      <c r="H271" s="930">
        <v>5412282.4400000004</v>
      </c>
      <c r="I271" s="932">
        <v>-5412282.4400000004</v>
      </c>
      <c r="M271" s="931" t="s">
        <v>1355</v>
      </c>
    </row>
    <row r="272" spans="2:13" outlineLevel="1">
      <c r="B272" s="929" t="s">
        <v>1356</v>
      </c>
      <c r="C272" s="949">
        <v>25169770.52</v>
      </c>
      <c r="D272" s="949">
        <v>25169770.52</v>
      </c>
      <c r="E272" s="930">
        <v>25169770.52</v>
      </c>
      <c r="F272" s="930">
        <v>23765386.859999999</v>
      </c>
      <c r="G272" s="930">
        <v>0</v>
      </c>
      <c r="H272" s="930">
        <v>-233.46</v>
      </c>
      <c r="I272" s="932">
        <v>233.46</v>
      </c>
      <c r="M272" s="931" t="s">
        <v>1246</v>
      </c>
    </row>
    <row r="273" spans="2:13" outlineLevel="1">
      <c r="B273" s="929" t="s">
        <v>1357</v>
      </c>
      <c r="C273" s="949">
        <v>129581.5</v>
      </c>
      <c r="D273" s="949">
        <v>129581.5</v>
      </c>
      <c r="E273" s="930">
        <v>129581.5</v>
      </c>
      <c r="F273" s="930">
        <v>129581.5</v>
      </c>
      <c r="G273" s="930">
        <v>0</v>
      </c>
      <c r="H273" s="930">
        <v>6023621.7400000002</v>
      </c>
      <c r="I273" s="932">
        <v>-6023621.7400000002</v>
      </c>
      <c r="M273" s="931" t="s">
        <v>1358</v>
      </c>
    </row>
    <row r="274" spans="2:13" outlineLevel="1">
      <c r="B274" s="929" t="s">
        <v>1359</v>
      </c>
      <c r="C274" s="949">
        <v>16346716.41</v>
      </c>
      <c r="D274" s="949">
        <v>16346716.41</v>
      </c>
      <c r="E274" s="930">
        <v>16346716.41</v>
      </c>
      <c r="F274" s="930">
        <v>15714204.17</v>
      </c>
      <c r="G274" s="930">
        <v>0</v>
      </c>
      <c r="H274" s="930">
        <v>203798</v>
      </c>
      <c r="I274" s="932">
        <v>-203798</v>
      </c>
      <c r="M274" s="931" t="s">
        <v>1360</v>
      </c>
    </row>
    <row r="275" spans="2:13" outlineLevel="1">
      <c r="B275" s="929" t="s">
        <v>1361</v>
      </c>
      <c r="C275" s="949">
        <v>7200873.5999999996</v>
      </c>
      <c r="D275" s="949">
        <v>7200873.5999999996</v>
      </c>
      <c r="E275" s="930">
        <v>7200873.5999999996</v>
      </c>
      <c r="F275" s="930">
        <v>6966323.71</v>
      </c>
      <c r="G275" s="930">
        <v>0</v>
      </c>
      <c r="H275" s="930">
        <v>550571.81999999995</v>
      </c>
      <c r="I275" s="932">
        <v>-550571.81999999995</v>
      </c>
      <c r="M275" s="931" t="s">
        <v>1362</v>
      </c>
    </row>
    <row r="276" spans="2:13" outlineLevel="1">
      <c r="B276" s="929" t="s">
        <v>1363</v>
      </c>
      <c r="C276" s="949">
        <v>12433951.26</v>
      </c>
      <c r="D276" s="949">
        <v>12433951.26</v>
      </c>
      <c r="E276" s="930">
        <v>12433951.26</v>
      </c>
      <c r="F276" s="930">
        <v>9485455.8399999999</v>
      </c>
      <c r="G276" s="930">
        <v>0</v>
      </c>
      <c r="H276" s="930">
        <v>151724.76999999999</v>
      </c>
      <c r="I276" s="932">
        <v>-151724.76999999999</v>
      </c>
      <c r="M276" s="931" t="s">
        <v>1364</v>
      </c>
    </row>
    <row r="277" spans="2:13" outlineLevel="1">
      <c r="B277" s="929" t="s">
        <v>1365</v>
      </c>
      <c r="C277" s="949">
        <v>21644639.59</v>
      </c>
      <c r="D277" s="949">
        <v>21644639.59</v>
      </c>
      <c r="E277" s="930">
        <v>21644639.59</v>
      </c>
      <c r="F277" s="930">
        <v>21545165.489999998</v>
      </c>
      <c r="G277" s="930">
        <v>0</v>
      </c>
      <c r="H277" s="930">
        <v>79935.25</v>
      </c>
      <c r="I277" s="932">
        <v>-79935.25</v>
      </c>
      <c r="M277" s="931" t="s">
        <v>1366</v>
      </c>
    </row>
    <row r="278" spans="2:13" outlineLevel="1">
      <c r="B278" s="929" t="s">
        <v>1367</v>
      </c>
      <c r="C278" s="949">
        <v>28034848.289999999</v>
      </c>
      <c r="D278" s="949">
        <v>28034848.289999999</v>
      </c>
      <c r="E278" s="930">
        <v>28034848.289999999</v>
      </c>
      <c r="F278" s="930">
        <v>27830903.420000002</v>
      </c>
      <c r="G278" s="930">
        <v>0</v>
      </c>
      <c r="H278" s="930">
        <v>45134.44</v>
      </c>
      <c r="I278" s="932">
        <v>-45134.44</v>
      </c>
      <c r="M278" s="931" t="s">
        <v>1368</v>
      </c>
    </row>
    <row r="279" spans="2:13" outlineLevel="1">
      <c r="B279" s="929" t="s">
        <v>1369</v>
      </c>
      <c r="C279" s="949">
        <v>52760238.289999999</v>
      </c>
      <c r="D279" s="949">
        <v>52760238.289999999</v>
      </c>
      <c r="E279" s="930">
        <v>52760238.289999999</v>
      </c>
      <c r="F279" s="930">
        <v>50161662.299999997</v>
      </c>
      <c r="G279" s="930">
        <v>0</v>
      </c>
      <c r="H279" s="930">
        <v>14875.71</v>
      </c>
      <c r="I279" s="932">
        <v>-14875.71</v>
      </c>
      <c r="M279" s="931" t="s">
        <v>1370</v>
      </c>
    </row>
    <row r="280" spans="2:13" outlineLevel="1">
      <c r="B280" s="929" t="s">
        <v>1371</v>
      </c>
      <c r="C280" s="949">
        <v>1399218.61</v>
      </c>
      <c r="D280" s="949">
        <v>1399218.61</v>
      </c>
      <c r="E280" s="930">
        <v>1399218.61</v>
      </c>
      <c r="F280" s="930">
        <v>1399218.61</v>
      </c>
      <c r="G280" s="930">
        <v>0</v>
      </c>
      <c r="H280" s="930">
        <v>62</v>
      </c>
      <c r="I280" s="932">
        <v>-62</v>
      </c>
      <c r="M280" s="931" t="s">
        <v>1372</v>
      </c>
    </row>
    <row r="281" spans="2:13" outlineLevel="1">
      <c r="B281" s="929"/>
      <c r="C281" s="949"/>
      <c r="D281" s="949"/>
      <c r="E281" s="930"/>
      <c r="F281" s="930"/>
      <c r="G281" s="930">
        <v>0</v>
      </c>
      <c r="H281" s="930">
        <v>5000</v>
      </c>
      <c r="I281" s="932">
        <v>-5000</v>
      </c>
      <c r="M281" s="931" t="s">
        <v>1373</v>
      </c>
    </row>
    <row r="282" spans="2:13" outlineLevel="1">
      <c r="B282" s="929"/>
      <c r="C282" s="949"/>
      <c r="D282" s="949"/>
      <c r="E282" s="930"/>
      <c r="F282" s="930"/>
      <c r="G282" s="930">
        <v>0</v>
      </c>
      <c r="H282" s="930">
        <v>14278.86</v>
      </c>
      <c r="I282" s="932">
        <v>-14278.86</v>
      </c>
      <c r="M282" s="931" t="s">
        <v>1374</v>
      </c>
    </row>
    <row r="283" spans="2:13" outlineLevel="1">
      <c r="B283" s="929"/>
      <c r="C283" s="949"/>
      <c r="D283" s="949"/>
      <c r="E283" s="930"/>
      <c r="F283" s="930"/>
      <c r="G283" s="930">
        <v>0</v>
      </c>
      <c r="H283" s="930">
        <v>529</v>
      </c>
      <c r="I283" s="932">
        <v>-529</v>
      </c>
      <c r="M283" s="931" t="s">
        <v>1375</v>
      </c>
    </row>
    <row r="284" spans="2:13" outlineLevel="1">
      <c r="B284" s="929"/>
      <c r="C284" s="949"/>
      <c r="D284" s="949"/>
      <c r="E284" s="930"/>
      <c r="F284" s="930"/>
      <c r="G284" s="930">
        <v>0</v>
      </c>
      <c r="H284" s="930">
        <v>2327</v>
      </c>
      <c r="I284" s="932">
        <v>-2327</v>
      </c>
      <c r="M284" s="931" t="s">
        <v>1376</v>
      </c>
    </row>
    <row r="285" spans="2:13" outlineLevel="1">
      <c r="B285" s="929"/>
      <c r="C285" s="949"/>
      <c r="D285" s="949"/>
      <c r="E285" s="930"/>
      <c r="F285" s="930"/>
      <c r="G285" s="930">
        <v>0</v>
      </c>
      <c r="H285" s="930">
        <v>12391784.859999999</v>
      </c>
      <c r="I285" s="932">
        <v>-12391784.859999999</v>
      </c>
      <c r="M285" s="931" t="s">
        <v>1377</v>
      </c>
    </row>
    <row r="286" spans="2:13" outlineLevel="1">
      <c r="B286" s="929"/>
      <c r="C286" s="949"/>
      <c r="D286" s="949"/>
      <c r="E286" s="930"/>
      <c r="F286" s="930"/>
      <c r="G286" s="930">
        <v>0</v>
      </c>
      <c r="H286" s="930">
        <v>993792.71</v>
      </c>
      <c r="I286" s="932">
        <v>-993792.71</v>
      </c>
      <c r="M286" s="931" t="s">
        <v>1378</v>
      </c>
    </row>
    <row r="287" spans="2:13" outlineLevel="1">
      <c r="B287" s="929"/>
      <c r="C287" s="949"/>
      <c r="D287" s="949"/>
      <c r="E287" s="930"/>
      <c r="F287" s="930"/>
      <c r="G287" s="930">
        <v>0</v>
      </c>
      <c r="H287" s="930">
        <v>1508800.36</v>
      </c>
      <c r="I287" s="932">
        <v>-1508800.36</v>
      </c>
      <c r="M287" s="931" t="s">
        <v>1379</v>
      </c>
    </row>
    <row r="288" spans="2:13" outlineLevel="1">
      <c r="B288" s="929"/>
      <c r="C288" s="949"/>
      <c r="D288" s="949"/>
      <c r="E288" s="930"/>
      <c r="F288" s="930"/>
      <c r="G288" s="930">
        <v>0</v>
      </c>
      <c r="H288" s="930">
        <v>62034.12</v>
      </c>
      <c r="I288" s="932">
        <v>-62034.12</v>
      </c>
      <c r="M288" s="931" t="s">
        <v>1380</v>
      </c>
    </row>
    <row r="289" spans="2:13" outlineLevel="1">
      <c r="B289" s="929"/>
      <c r="C289" s="949"/>
      <c r="D289" s="949"/>
      <c r="E289" s="930"/>
      <c r="F289" s="930"/>
      <c r="G289" s="930">
        <v>0</v>
      </c>
      <c r="H289" s="930">
        <v>290369.43</v>
      </c>
      <c r="I289" s="932">
        <v>-290369.43</v>
      </c>
      <c r="M289" s="931" t="s">
        <v>1381</v>
      </c>
    </row>
    <row r="290" spans="2:13" outlineLevel="1">
      <c r="B290" s="929"/>
      <c r="C290" s="949"/>
      <c r="D290" s="949"/>
      <c r="E290" s="930"/>
      <c r="F290" s="930"/>
      <c r="G290" s="930">
        <v>0</v>
      </c>
      <c r="H290" s="930">
        <v>2095277.88</v>
      </c>
      <c r="I290" s="932">
        <v>-2095277.88</v>
      </c>
      <c r="M290" s="931" t="s">
        <v>1382</v>
      </c>
    </row>
    <row r="291" spans="2:13" outlineLevel="1">
      <c r="B291" s="929"/>
      <c r="C291" s="949"/>
      <c r="D291" s="949"/>
      <c r="E291" s="930"/>
      <c r="F291" s="930"/>
      <c r="G291" s="930">
        <v>0</v>
      </c>
      <c r="H291" s="930">
        <v>973762.5</v>
      </c>
      <c r="I291" s="932">
        <v>-973762.5</v>
      </c>
      <c r="M291" s="931" t="s">
        <v>1383</v>
      </c>
    </row>
    <row r="292" spans="2:13" outlineLevel="1">
      <c r="B292" s="929"/>
      <c r="C292" s="949"/>
      <c r="D292" s="949"/>
      <c r="E292" s="930"/>
      <c r="F292" s="930"/>
      <c r="G292" s="930">
        <v>0</v>
      </c>
      <c r="H292" s="930">
        <v>1849621.5</v>
      </c>
      <c r="I292" s="932">
        <v>-1849621.5</v>
      </c>
      <c r="M292" s="931" t="s">
        <v>1384</v>
      </c>
    </row>
    <row r="293" spans="2:13" outlineLevel="1">
      <c r="B293" s="929"/>
      <c r="C293" s="949"/>
      <c r="D293" s="949"/>
      <c r="E293" s="930"/>
      <c r="F293" s="930"/>
      <c r="G293" s="930">
        <v>0</v>
      </c>
      <c r="H293" s="930">
        <v>892951.29</v>
      </c>
      <c r="I293" s="932">
        <v>-892951.29</v>
      </c>
      <c r="M293" s="931" t="s">
        <v>1385</v>
      </c>
    </row>
    <row r="294" spans="2:13" outlineLevel="1">
      <c r="B294" s="929"/>
      <c r="C294" s="949"/>
      <c r="D294" s="949"/>
      <c r="E294" s="930"/>
      <c r="F294" s="930"/>
      <c r="G294" s="930">
        <v>0</v>
      </c>
      <c r="H294" s="930">
        <v>119142.23</v>
      </c>
      <c r="I294" s="932">
        <v>-119142.23</v>
      </c>
      <c r="M294" s="931" t="s">
        <v>1386</v>
      </c>
    </row>
    <row r="295" spans="2:13" outlineLevel="1">
      <c r="B295" s="929"/>
      <c r="C295" s="949"/>
      <c r="D295" s="949"/>
      <c r="E295" s="930"/>
      <c r="F295" s="930"/>
      <c r="G295" s="930">
        <v>0</v>
      </c>
      <c r="H295" s="930">
        <v>324427.89</v>
      </c>
      <c r="I295" s="932">
        <v>-324427.89</v>
      </c>
      <c r="M295" s="931" t="s">
        <v>1387</v>
      </c>
    </row>
    <row r="296" spans="2:13" outlineLevel="1">
      <c r="B296" s="929"/>
      <c r="C296" s="949"/>
      <c r="D296" s="949"/>
      <c r="E296" s="930"/>
      <c r="F296" s="930"/>
      <c r="G296" s="930">
        <v>0</v>
      </c>
      <c r="H296" s="930">
        <v>16329.73</v>
      </c>
      <c r="I296" s="932">
        <v>-16329.73</v>
      </c>
      <c r="M296" s="931" t="s">
        <v>1388</v>
      </c>
    </row>
    <row r="297" spans="2:13" outlineLevel="1">
      <c r="B297" s="929"/>
      <c r="C297" s="949"/>
      <c r="D297" s="949"/>
      <c r="E297" s="930"/>
      <c r="F297" s="930"/>
      <c r="G297" s="930">
        <v>0</v>
      </c>
      <c r="H297" s="930">
        <v>6944.66</v>
      </c>
      <c r="I297" s="932">
        <v>-6944.66</v>
      </c>
      <c r="M297" s="931" t="s">
        <v>1389</v>
      </c>
    </row>
    <row r="298" spans="2:13" outlineLevel="1">
      <c r="B298" s="929"/>
      <c r="C298" s="949"/>
      <c r="D298" s="949"/>
      <c r="E298" s="930"/>
      <c r="F298" s="930"/>
      <c r="G298" s="930">
        <v>0</v>
      </c>
      <c r="H298" s="930">
        <v>389760.77</v>
      </c>
      <c r="I298" s="932">
        <v>-389760.77</v>
      </c>
      <c r="M298" s="931" t="s">
        <v>1390</v>
      </c>
    </row>
    <row r="299" spans="2:13" outlineLevel="1">
      <c r="B299" s="929"/>
      <c r="C299" s="949"/>
      <c r="D299" s="949"/>
      <c r="E299" s="930"/>
      <c r="F299" s="930"/>
      <c r="G299" s="930">
        <v>0</v>
      </c>
      <c r="H299" s="930">
        <v>835154.96</v>
      </c>
      <c r="I299" s="932">
        <v>-835154.96</v>
      </c>
      <c r="M299" s="931" t="s">
        <v>1391</v>
      </c>
    </row>
    <row r="300" spans="2:13" outlineLevel="1">
      <c r="B300" s="929"/>
      <c r="C300" s="949"/>
      <c r="D300" s="949"/>
      <c r="E300" s="930"/>
      <c r="F300" s="930"/>
      <c r="G300" s="930">
        <v>0</v>
      </c>
      <c r="H300" s="930">
        <v>834364.14</v>
      </c>
      <c r="I300" s="932">
        <v>-834364.14</v>
      </c>
      <c r="M300" s="931" t="s">
        <v>1392</v>
      </c>
    </row>
    <row r="301" spans="2:13" outlineLevel="1">
      <c r="B301" s="929"/>
      <c r="C301" s="949"/>
      <c r="D301" s="949"/>
      <c r="E301" s="930"/>
      <c r="F301" s="930"/>
      <c r="G301" s="930">
        <v>0</v>
      </c>
      <c r="H301" s="930">
        <v>430973.95</v>
      </c>
      <c r="I301" s="932">
        <v>-430973.95</v>
      </c>
      <c r="M301" s="931" t="s">
        <v>1393</v>
      </c>
    </row>
    <row r="302" spans="2:13" outlineLevel="1">
      <c r="B302" s="929"/>
      <c r="C302" s="949"/>
      <c r="D302" s="949"/>
      <c r="E302" s="930"/>
      <c r="F302" s="930"/>
      <c r="G302" s="930">
        <v>0</v>
      </c>
      <c r="H302" s="930">
        <v>518199.59</v>
      </c>
      <c r="I302" s="932">
        <v>-518199.59</v>
      </c>
      <c r="M302" s="931" t="s">
        <v>1394</v>
      </c>
    </row>
    <row r="303" spans="2:13" outlineLevel="1">
      <c r="B303" s="929"/>
      <c r="C303" s="949"/>
      <c r="D303" s="949"/>
      <c r="E303" s="930"/>
      <c r="F303" s="930"/>
      <c r="G303" s="930">
        <v>0</v>
      </c>
      <c r="H303" s="930">
        <v>2537.17</v>
      </c>
      <c r="I303" s="932">
        <v>-2537.17</v>
      </c>
      <c r="M303" s="931" t="s">
        <v>1395</v>
      </c>
    </row>
    <row r="304" spans="2:13" outlineLevel="1">
      <c r="B304" s="929"/>
      <c r="C304" s="949"/>
      <c r="D304" s="949"/>
      <c r="E304" s="930"/>
      <c r="F304" s="930"/>
      <c r="G304" s="930">
        <v>0</v>
      </c>
      <c r="H304" s="930">
        <v>658.29</v>
      </c>
      <c r="I304" s="932">
        <v>-658.29</v>
      </c>
      <c r="M304" s="931" t="s">
        <v>1396</v>
      </c>
    </row>
    <row r="305" spans="2:13" outlineLevel="1">
      <c r="B305" s="929"/>
      <c r="C305" s="949"/>
      <c r="D305" s="949"/>
      <c r="E305" s="930"/>
      <c r="F305" s="930"/>
      <c r="G305" s="930">
        <v>0</v>
      </c>
      <c r="H305" s="930">
        <v>16410.82</v>
      </c>
      <c r="I305" s="932">
        <v>-16410.82</v>
      </c>
      <c r="M305" s="931" t="s">
        <v>1397</v>
      </c>
    </row>
    <row r="306" spans="2:13" outlineLevel="1">
      <c r="B306" s="929"/>
      <c r="C306" s="949"/>
      <c r="D306" s="949"/>
      <c r="E306" s="930"/>
      <c r="F306" s="930"/>
      <c r="G306" s="930">
        <v>0</v>
      </c>
      <c r="H306" s="930">
        <v>1219.6300000000001</v>
      </c>
      <c r="I306" s="932">
        <v>-1219.6300000000001</v>
      </c>
      <c r="M306" s="931" t="s">
        <v>1398</v>
      </c>
    </row>
    <row r="307" spans="2:13" outlineLevel="1">
      <c r="B307" s="929"/>
      <c r="C307" s="949"/>
      <c r="D307" s="949"/>
      <c r="E307" s="930"/>
      <c r="F307" s="930"/>
      <c r="G307" s="930">
        <v>0</v>
      </c>
      <c r="H307" s="930">
        <v>174082.29</v>
      </c>
      <c r="I307" s="932">
        <v>-174082.29</v>
      </c>
      <c r="M307" s="931" t="s">
        <v>1399</v>
      </c>
    </row>
    <row r="308" spans="2:13" outlineLevel="1">
      <c r="B308" s="929"/>
      <c r="C308" s="949"/>
      <c r="D308" s="949"/>
      <c r="E308" s="930"/>
      <c r="F308" s="930"/>
      <c r="G308" s="930">
        <v>0</v>
      </c>
      <c r="H308" s="930">
        <v>1876657.68</v>
      </c>
      <c r="I308" s="932">
        <v>-1876657.68</v>
      </c>
      <c r="M308" s="931" t="s">
        <v>1400</v>
      </c>
    </row>
    <row r="309" spans="2:13" outlineLevel="1">
      <c r="B309" s="929"/>
      <c r="C309" s="949"/>
      <c r="D309" s="949"/>
      <c r="E309" s="930"/>
      <c r="F309" s="930"/>
      <c r="G309" s="930">
        <v>0</v>
      </c>
      <c r="H309" s="930">
        <v>4573.7700000000004</v>
      </c>
      <c r="I309" s="932">
        <v>-4573.7700000000004</v>
      </c>
      <c r="M309" s="931" t="s">
        <v>1401</v>
      </c>
    </row>
    <row r="310" spans="2:13" outlineLevel="1">
      <c r="B310" s="929"/>
      <c r="C310" s="949"/>
      <c r="D310" s="949"/>
      <c r="E310" s="930"/>
      <c r="F310" s="930"/>
      <c r="G310" s="930">
        <v>0</v>
      </c>
      <c r="H310" s="930">
        <v>5823.65</v>
      </c>
      <c r="I310" s="932">
        <v>-5823.65</v>
      </c>
      <c r="M310" s="931" t="s">
        <v>1402</v>
      </c>
    </row>
    <row r="311" spans="2:13" outlineLevel="1">
      <c r="B311" s="929"/>
      <c r="C311" s="949"/>
      <c r="D311" s="949"/>
      <c r="E311" s="930"/>
      <c r="F311" s="930"/>
      <c r="G311" s="930">
        <v>0</v>
      </c>
      <c r="H311" s="930">
        <v>21711010.420000002</v>
      </c>
      <c r="I311" s="932">
        <v>-21711010.420000002</v>
      </c>
      <c r="M311" s="931" t="s">
        <v>1403</v>
      </c>
    </row>
    <row r="312" spans="2:13" outlineLevel="1">
      <c r="B312" s="929"/>
      <c r="C312" s="949"/>
      <c r="D312" s="949"/>
      <c r="E312" s="930"/>
      <c r="F312" s="930"/>
      <c r="G312" s="930">
        <v>0</v>
      </c>
      <c r="H312" s="930">
        <v>54646.68</v>
      </c>
      <c r="I312" s="932">
        <v>-54646.68</v>
      </c>
      <c r="M312" s="931" t="s">
        <v>1404</v>
      </c>
    </row>
    <row r="313" spans="2:13" outlineLevel="1">
      <c r="B313" s="929"/>
      <c r="C313" s="949"/>
      <c r="D313" s="949"/>
      <c r="E313" s="930"/>
      <c r="F313" s="930"/>
      <c r="G313" s="930">
        <v>0</v>
      </c>
      <c r="H313" s="930">
        <v>9957.35</v>
      </c>
      <c r="I313" s="932">
        <v>-9957.35</v>
      </c>
      <c r="M313" s="931" t="s">
        <v>1405</v>
      </c>
    </row>
    <row r="314" spans="2:13" outlineLevel="1">
      <c r="B314" s="929"/>
      <c r="C314" s="949"/>
      <c r="D314" s="949"/>
      <c r="E314" s="930"/>
      <c r="F314" s="930"/>
      <c r="G314" s="930">
        <v>0</v>
      </c>
      <c r="H314" s="930">
        <v>17700261.449999999</v>
      </c>
      <c r="I314" s="932">
        <v>-17700261.449999999</v>
      </c>
      <c r="M314" s="931" t="s">
        <v>1406</v>
      </c>
    </row>
    <row r="315" spans="2:13" outlineLevel="1">
      <c r="B315" s="929"/>
      <c r="C315" s="949"/>
      <c r="D315" s="949"/>
      <c r="E315" s="930"/>
      <c r="F315" s="930"/>
      <c r="G315" s="930">
        <v>0</v>
      </c>
      <c r="H315" s="930">
        <v>79111.179999999993</v>
      </c>
      <c r="I315" s="932">
        <v>-79111.179999999993</v>
      </c>
      <c r="M315" s="931" t="s">
        <v>1407</v>
      </c>
    </row>
    <row r="316" spans="2:13" outlineLevel="1">
      <c r="B316" s="929"/>
      <c r="C316" s="949"/>
      <c r="D316" s="949"/>
      <c r="E316" s="930"/>
      <c r="F316" s="930"/>
      <c r="G316" s="930">
        <v>0</v>
      </c>
      <c r="H316" s="930">
        <v>68037.66</v>
      </c>
      <c r="I316" s="932">
        <v>-68037.66</v>
      </c>
      <c r="M316" s="931" t="s">
        <v>1408</v>
      </c>
    </row>
    <row r="317" spans="2:13" outlineLevel="1">
      <c r="B317" s="929"/>
      <c r="C317" s="949"/>
      <c r="D317" s="949"/>
      <c r="E317" s="930"/>
      <c r="F317" s="930"/>
      <c r="G317" s="930">
        <v>0</v>
      </c>
      <c r="H317" s="930">
        <v>517</v>
      </c>
      <c r="I317" s="932">
        <v>-517</v>
      </c>
      <c r="M317" s="931" t="s">
        <v>1409</v>
      </c>
    </row>
    <row r="318" spans="2:13" outlineLevel="1">
      <c r="B318" s="929"/>
      <c r="C318" s="949"/>
      <c r="D318" s="949"/>
      <c r="E318" s="930"/>
      <c r="F318" s="930"/>
      <c r="G318" s="930">
        <v>0</v>
      </c>
      <c r="H318" s="930">
        <v>1866</v>
      </c>
      <c r="I318" s="932">
        <v>-1866</v>
      </c>
      <c r="M318" s="931" t="s">
        <v>1410</v>
      </c>
    </row>
    <row r="319" spans="2:13" outlineLevel="1">
      <c r="B319" s="929"/>
      <c r="C319" s="949"/>
      <c r="D319" s="949"/>
      <c r="E319" s="930"/>
      <c r="F319" s="930"/>
      <c r="G319" s="930">
        <v>0</v>
      </c>
      <c r="H319" s="930">
        <v>573</v>
      </c>
      <c r="I319" s="932">
        <v>-573</v>
      </c>
      <c r="M319" s="931" t="s">
        <v>1411</v>
      </c>
    </row>
    <row r="320" spans="2:13" outlineLevel="1">
      <c r="B320" s="929"/>
      <c r="C320" s="949"/>
      <c r="D320" s="949"/>
      <c r="E320" s="930"/>
      <c r="F320" s="930"/>
      <c r="G320" s="930">
        <v>0</v>
      </c>
      <c r="H320" s="930">
        <v>60839.02</v>
      </c>
      <c r="I320" s="932">
        <v>-60839.02</v>
      </c>
      <c r="M320" s="931" t="s">
        <v>1412</v>
      </c>
    </row>
    <row r="321" spans="2:13" outlineLevel="1">
      <c r="B321" s="929"/>
      <c r="C321" s="949"/>
      <c r="D321" s="949"/>
      <c r="E321" s="930"/>
      <c r="F321" s="930"/>
      <c r="G321" s="930">
        <v>0</v>
      </c>
      <c r="H321" s="930">
        <v>84769.66</v>
      </c>
      <c r="I321" s="932">
        <v>-84769.66</v>
      </c>
      <c r="M321" s="931" t="s">
        <v>1413</v>
      </c>
    </row>
    <row r="322" spans="2:13" outlineLevel="1">
      <c r="B322" s="929"/>
      <c r="C322" s="949"/>
      <c r="D322" s="949"/>
      <c r="E322" s="930"/>
      <c r="F322" s="930"/>
      <c r="G322" s="930">
        <v>0</v>
      </c>
      <c r="H322" s="930">
        <v>209819.22</v>
      </c>
      <c r="I322" s="932">
        <v>-209819.22</v>
      </c>
      <c r="M322" s="931" t="s">
        <v>1414</v>
      </c>
    </row>
    <row r="323" spans="2:13" outlineLevel="1">
      <c r="B323" s="929"/>
      <c r="C323" s="949"/>
      <c r="D323" s="949"/>
      <c r="E323" s="930"/>
      <c r="F323" s="930"/>
      <c r="G323" s="930">
        <v>0</v>
      </c>
      <c r="H323" s="930">
        <v>417794.29</v>
      </c>
      <c r="I323" s="932">
        <v>-417794.29</v>
      </c>
      <c r="M323" s="931" t="s">
        <v>1415</v>
      </c>
    </row>
    <row r="324" spans="2:13" outlineLevel="1">
      <c r="B324" s="929"/>
      <c r="C324" s="949"/>
      <c r="D324" s="949"/>
      <c r="E324" s="930"/>
      <c r="F324" s="930"/>
      <c r="G324" s="930">
        <v>0</v>
      </c>
      <c r="H324" s="930">
        <v>603533.24</v>
      </c>
      <c r="I324" s="932">
        <v>-603533.24</v>
      </c>
      <c r="M324" s="931" t="s">
        <v>1416</v>
      </c>
    </row>
    <row r="325" spans="2:13" outlineLevel="1">
      <c r="B325" s="929"/>
      <c r="C325" s="949"/>
      <c r="D325" s="949"/>
      <c r="E325" s="930"/>
      <c r="F325" s="930"/>
      <c r="G325" s="930">
        <v>0</v>
      </c>
      <c r="H325" s="930">
        <v>236813.6</v>
      </c>
      <c r="I325" s="932">
        <v>-236813.6</v>
      </c>
      <c r="M325" s="931" t="s">
        <v>1417</v>
      </c>
    </row>
    <row r="326" spans="2:13" outlineLevel="1">
      <c r="B326" s="929"/>
      <c r="C326" s="949"/>
      <c r="D326" s="949"/>
      <c r="E326" s="930"/>
      <c r="F326" s="930"/>
      <c r="G326" s="930">
        <v>0</v>
      </c>
      <c r="H326" s="930">
        <v>19189.02</v>
      </c>
      <c r="I326" s="932">
        <v>-19189.02</v>
      </c>
      <c r="M326" s="931" t="s">
        <v>1418</v>
      </c>
    </row>
    <row r="327" spans="2:13" outlineLevel="1">
      <c r="B327" s="929"/>
      <c r="C327" s="949"/>
      <c r="D327" s="949"/>
      <c r="E327" s="930"/>
      <c r="F327" s="930"/>
      <c r="G327" s="930">
        <v>0</v>
      </c>
      <c r="H327" s="930">
        <v>1451.03</v>
      </c>
      <c r="I327" s="932">
        <v>-1451.03</v>
      </c>
      <c r="M327" s="931" t="s">
        <v>1419</v>
      </c>
    </row>
    <row r="328" spans="2:13" outlineLevel="1">
      <c r="B328" s="929"/>
      <c r="C328" s="949"/>
      <c r="D328" s="949"/>
      <c r="E328" s="930"/>
      <c r="F328" s="930"/>
      <c r="G328" s="930">
        <v>0</v>
      </c>
      <c r="H328" s="930">
        <v>615230.05000000005</v>
      </c>
      <c r="I328" s="932">
        <v>-615230.05000000005</v>
      </c>
      <c r="M328" s="931" t="s">
        <v>1420</v>
      </c>
    </row>
    <row r="329" spans="2:13" outlineLevel="1">
      <c r="B329" s="929"/>
      <c r="C329" s="949"/>
      <c r="D329" s="949"/>
      <c r="E329" s="930"/>
      <c r="F329" s="930"/>
      <c r="G329" s="930">
        <v>0</v>
      </c>
      <c r="H329" s="930">
        <v>22164.5</v>
      </c>
      <c r="I329" s="932">
        <v>-22164.5</v>
      </c>
      <c r="M329" s="931" t="s">
        <v>1421</v>
      </c>
    </row>
    <row r="330" spans="2:13" outlineLevel="1">
      <c r="B330" s="929"/>
      <c r="C330" s="949"/>
      <c r="D330" s="949"/>
      <c r="E330" s="930"/>
      <c r="F330" s="930"/>
      <c r="G330" s="930">
        <v>0</v>
      </c>
      <c r="H330" s="930">
        <v>493371.12</v>
      </c>
      <c r="I330" s="932">
        <v>-493371.12</v>
      </c>
      <c r="M330" s="931" t="s">
        <v>1422</v>
      </c>
    </row>
    <row r="331" spans="2:13" outlineLevel="1">
      <c r="B331" s="929"/>
      <c r="C331" s="949"/>
      <c r="D331" s="949"/>
      <c r="E331" s="930"/>
      <c r="F331" s="930"/>
      <c r="G331" s="930">
        <v>0</v>
      </c>
      <c r="H331" s="930">
        <v>368133.91</v>
      </c>
      <c r="I331" s="932">
        <v>-368133.91</v>
      </c>
      <c r="M331" s="931" t="s">
        <v>1423</v>
      </c>
    </row>
    <row r="332" spans="2:13" outlineLevel="1">
      <c r="B332" s="929"/>
      <c r="C332" s="949"/>
      <c r="D332" s="949"/>
      <c r="E332" s="930"/>
      <c r="F332" s="930"/>
      <c r="G332" s="930">
        <v>0</v>
      </c>
      <c r="H332" s="930">
        <v>15848.09</v>
      </c>
      <c r="I332" s="932">
        <v>-15848.09</v>
      </c>
      <c r="M332" s="931" t="s">
        <v>1424</v>
      </c>
    </row>
    <row r="333" spans="2:13" outlineLevel="1">
      <c r="B333" s="929"/>
      <c r="C333" s="949"/>
      <c r="D333" s="949"/>
      <c r="E333" s="930"/>
      <c r="F333" s="930"/>
      <c r="G333" s="930">
        <v>0</v>
      </c>
      <c r="H333" s="930">
        <v>3528538.36</v>
      </c>
      <c r="I333" s="932">
        <v>-3528538.36</v>
      </c>
      <c r="M333" s="931" t="s">
        <v>1425</v>
      </c>
    </row>
    <row r="334" spans="2:13" outlineLevel="1">
      <c r="B334" s="929"/>
      <c r="C334" s="949"/>
      <c r="D334" s="949"/>
      <c r="E334" s="930"/>
      <c r="F334" s="930"/>
      <c r="G334" s="930">
        <v>0</v>
      </c>
      <c r="H334" s="930">
        <v>315713.83</v>
      </c>
      <c r="I334" s="932">
        <v>-315713.83</v>
      </c>
      <c r="M334" s="931" t="s">
        <v>1426</v>
      </c>
    </row>
    <row r="335" spans="2:13" outlineLevel="1">
      <c r="B335" s="929"/>
      <c r="C335" s="949"/>
      <c r="D335" s="949"/>
      <c r="E335" s="930"/>
      <c r="F335" s="930"/>
      <c r="G335" s="930">
        <v>0</v>
      </c>
      <c r="H335" s="930">
        <v>2010690.27</v>
      </c>
      <c r="I335" s="932">
        <v>-2010690.27</v>
      </c>
      <c r="M335" s="931" t="s">
        <v>1427</v>
      </c>
    </row>
    <row r="336" spans="2:13" outlineLevel="1">
      <c r="B336" s="929"/>
      <c r="C336" s="949"/>
      <c r="D336" s="949"/>
      <c r="E336" s="930"/>
      <c r="F336" s="930"/>
      <c r="G336" s="930">
        <v>0</v>
      </c>
      <c r="H336" s="930">
        <v>107249.75</v>
      </c>
      <c r="I336" s="932">
        <v>-107249.75</v>
      </c>
      <c r="M336" s="931" t="s">
        <v>1428</v>
      </c>
    </row>
    <row r="337" spans="2:13" outlineLevel="1">
      <c r="B337" s="929"/>
      <c r="C337" s="949"/>
      <c r="D337" s="949"/>
      <c r="E337" s="930"/>
      <c r="F337" s="930"/>
      <c r="G337" s="930">
        <v>0</v>
      </c>
      <c r="H337" s="930">
        <v>149896.12</v>
      </c>
      <c r="I337" s="932">
        <v>-149896.12</v>
      </c>
      <c r="M337" s="931" t="s">
        <v>1429</v>
      </c>
    </row>
    <row r="338" spans="2:13" outlineLevel="1">
      <c r="B338" s="929"/>
      <c r="C338" s="949"/>
      <c r="D338" s="949"/>
      <c r="E338" s="930"/>
      <c r="F338" s="930"/>
      <c r="G338" s="930">
        <v>0</v>
      </c>
      <c r="H338" s="930">
        <v>3941</v>
      </c>
      <c r="I338" s="932">
        <v>-3941</v>
      </c>
      <c r="M338" s="931" t="s">
        <v>1430</v>
      </c>
    </row>
    <row r="339" spans="2:13" outlineLevel="1">
      <c r="B339" s="929"/>
      <c r="C339" s="949"/>
      <c r="D339" s="949"/>
      <c r="E339" s="930"/>
      <c r="F339" s="930"/>
      <c r="G339" s="930">
        <v>0</v>
      </c>
      <c r="H339" s="930">
        <v>27752.79</v>
      </c>
      <c r="I339" s="932">
        <v>-27752.79</v>
      </c>
      <c r="M339" s="931" t="s">
        <v>1431</v>
      </c>
    </row>
    <row r="340" spans="2:13" outlineLevel="1">
      <c r="B340" s="929"/>
      <c r="C340" s="949"/>
      <c r="D340" s="949"/>
      <c r="E340" s="930"/>
      <c r="F340" s="930"/>
      <c r="G340" s="930">
        <v>0</v>
      </c>
      <c r="H340" s="930">
        <v>4604.63</v>
      </c>
      <c r="I340" s="932">
        <v>-4604.63</v>
      </c>
      <c r="M340" s="931" t="s">
        <v>1432</v>
      </c>
    </row>
    <row r="341" spans="2:13" outlineLevel="1">
      <c r="B341" s="929"/>
      <c r="C341" s="949"/>
      <c r="D341" s="949"/>
      <c r="E341" s="930"/>
      <c r="F341" s="930"/>
      <c r="G341" s="930">
        <v>0</v>
      </c>
      <c r="H341" s="930">
        <v>228497.39</v>
      </c>
      <c r="I341" s="932">
        <v>-228497.39</v>
      </c>
      <c r="M341" s="931" t="s">
        <v>1433</v>
      </c>
    </row>
    <row r="342" spans="2:13" outlineLevel="1">
      <c r="B342" s="929"/>
      <c r="C342" s="949"/>
      <c r="D342" s="949"/>
      <c r="E342" s="930"/>
      <c r="F342" s="930"/>
      <c r="G342" s="930">
        <v>0</v>
      </c>
      <c r="H342" s="930">
        <v>7005294.6799999997</v>
      </c>
      <c r="I342" s="932">
        <v>-7005294.6799999997</v>
      </c>
      <c r="M342" s="931" t="s">
        <v>1434</v>
      </c>
    </row>
    <row r="343" spans="2:13" outlineLevel="1">
      <c r="B343" s="929"/>
      <c r="C343" s="949"/>
      <c r="D343" s="949"/>
      <c r="E343" s="930"/>
      <c r="F343" s="930"/>
      <c r="G343" s="930">
        <v>0</v>
      </c>
      <c r="H343" s="930">
        <v>12410.4</v>
      </c>
      <c r="I343" s="932">
        <v>-12410.4</v>
      </c>
      <c r="M343" s="931" t="s">
        <v>1435</v>
      </c>
    </row>
    <row r="344" spans="2:13" outlineLevel="1">
      <c r="B344" s="929"/>
      <c r="C344" s="949"/>
      <c r="D344" s="949"/>
      <c r="E344" s="930"/>
      <c r="F344" s="930"/>
      <c r="G344" s="930">
        <v>0</v>
      </c>
      <c r="H344" s="930">
        <v>120599.34</v>
      </c>
      <c r="I344" s="932">
        <v>-120599.34</v>
      </c>
      <c r="M344" s="931" t="s">
        <v>1436</v>
      </c>
    </row>
    <row r="345" spans="2:13" outlineLevel="1">
      <c r="B345" s="929"/>
      <c r="C345" s="949"/>
      <c r="D345" s="949"/>
      <c r="E345" s="930"/>
      <c r="F345" s="930"/>
      <c r="G345" s="930">
        <v>0</v>
      </c>
      <c r="H345" s="930">
        <v>4800.7299999999996</v>
      </c>
      <c r="I345" s="932">
        <v>-4800.7299999999996</v>
      </c>
      <c r="M345" s="931" t="s">
        <v>1437</v>
      </c>
    </row>
    <row r="346" spans="2:13" outlineLevel="1">
      <c r="B346" s="929"/>
      <c r="C346" s="949"/>
      <c r="D346" s="949"/>
      <c r="E346" s="930"/>
      <c r="F346" s="930"/>
      <c r="G346" s="930">
        <v>0</v>
      </c>
      <c r="H346" s="930">
        <v>28316.91</v>
      </c>
      <c r="I346" s="932">
        <v>-28316.91</v>
      </c>
      <c r="M346" s="931" t="s">
        <v>1438</v>
      </c>
    </row>
    <row r="347" spans="2:13" outlineLevel="1">
      <c r="B347" s="929"/>
      <c r="C347" s="949"/>
      <c r="D347" s="949"/>
      <c r="E347" s="930"/>
      <c r="F347" s="930"/>
      <c r="G347" s="930">
        <v>0</v>
      </c>
      <c r="H347" s="930">
        <v>45747.45</v>
      </c>
      <c r="I347" s="932">
        <v>-45747.45</v>
      </c>
      <c r="M347" s="931" t="s">
        <v>1439</v>
      </c>
    </row>
    <row r="348" spans="2:13" outlineLevel="1">
      <c r="B348" s="929"/>
      <c r="C348" s="949"/>
      <c r="D348" s="949"/>
      <c r="E348" s="930"/>
      <c r="F348" s="930"/>
      <c r="G348" s="930">
        <v>0</v>
      </c>
      <c r="H348" s="930">
        <v>4747.05</v>
      </c>
      <c r="I348" s="932">
        <v>-4747.05</v>
      </c>
      <c r="M348" s="931" t="s">
        <v>1440</v>
      </c>
    </row>
    <row r="349" spans="2:13" outlineLevel="1">
      <c r="B349" s="929"/>
      <c r="C349" s="949"/>
      <c r="D349" s="949"/>
      <c r="E349" s="930"/>
      <c r="F349" s="930"/>
      <c r="G349" s="930">
        <v>0</v>
      </c>
      <c r="H349" s="930">
        <v>261472.45</v>
      </c>
      <c r="I349" s="932">
        <v>-261472.45</v>
      </c>
      <c r="M349" s="931" t="s">
        <v>1441</v>
      </c>
    </row>
    <row r="350" spans="2:13" outlineLevel="1">
      <c r="B350" s="929"/>
      <c r="C350" s="949"/>
      <c r="D350" s="949"/>
      <c r="E350" s="930"/>
      <c r="F350" s="930"/>
      <c r="G350" s="930">
        <v>0</v>
      </c>
      <c r="H350" s="930">
        <v>15408.75</v>
      </c>
      <c r="I350" s="932">
        <v>-15408.75</v>
      </c>
      <c r="M350" s="931" t="s">
        <v>1442</v>
      </c>
    </row>
    <row r="351" spans="2:13" outlineLevel="1">
      <c r="B351" s="929"/>
      <c r="C351" s="949"/>
      <c r="D351" s="949"/>
      <c r="E351" s="930"/>
      <c r="F351" s="930"/>
      <c r="G351" s="930">
        <v>0</v>
      </c>
      <c r="H351" s="930">
        <v>11698.88</v>
      </c>
      <c r="I351" s="932">
        <v>-11698.88</v>
      </c>
      <c r="M351" s="931" t="s">
        <v>1443</v>
      </c>
    </row>
    <row r="352" spans="2:13" outlineLevel="1">
      <c r="B352" s="929"/>
      <c r="C352" s="949"/>
      <c r="D352" s="949"/>
      <c r="E352" s="930"/>
      <c r="F352" s="930"/>
      <c r="G352" s="930">
        <v>0</v>
      </c>
      <c r="H352" s="930">
        <v>1319.9</v>
      </c>
      <c r="I352" s="932">
        <v>-1319.9</v>
      </c>
      <c r="M352" s="931" t="s">
        <v>1444</v>
      </c>
    </row>
    <row r="353" spans="2:13" outlineLevel="1">
      <c r="B353" s="929"/>
      <c r="C353" s="949"/>
      <c r="D353" s="949"/>
      <c r="E353" s="930"/>
      <c r="F353" s="930"/>
      <c r="G353" s="930">
        <v>0</v>
      </c>
      <c r="H353" s="930">
        <v>98181.33</v>
      </c>
      <c r="I353" s="932">
        <v>-98181.33</v>
      </c>
      <c r="M353" s="931" t="s">
        <v>1445</v>
      </c>
    </row>
    <row r="354" spans="2:13" outlineLevel="1">
      <c r="B354" s="929"/>
      <c r="C354" s="949"/>
      <c r="D354" s="949"/>
      <c r="E354" s="930"/>
      <c r="F354" s="930"/>
      <c r="G354" s="930">
        <v>0</v>
      </c>
      <c r="H354" s="930">
        <v>4809.8900000000003</v>
      </c>
      <c r="I354" s="932">
        <v>-4809.8900000000003</v>
      </c>
      <c r="M354" s="931" t="s">
        <v>1446</v>
      </c>
    </row>
    <row r="355" spans="2:13" outlineLevel="1">
      <c r="B355" s="929"/>
      <c r="C355" s="949"/>
      <c r="D355" s="949"/>
      <c r="E355" s="930"/>
      <c r="F355" s="930"/>
      <c r="G355" s="930">
        <v>0</v>
      </c>
      <c r="H355" s="930">
        <v>702072.4</v>
      </c>
      <c r="I355" s="932">
        <v>-702072.4</v>
      </c>
      <c r="M355" s="931" t="s">
        <v>1447</v>
      </c>
    </row>
    <row r="356" spans="2:13" outlineLevel="1">
      <c r="B356" s="929"/>
      <c r="C356" s="949"/>
      <c r="D356" s="949"/>
      <c r="E356" s="930"/>
      <c r="F356" s="930"/>
      <c r="G356" s="930">
        <v>0</v>
      </c>
      <c r="H356" s="930">
        <v>1168844.18</v>
      </c>
      <c r="I356" s="932">
        <v>-1168844.18</v>
      </c>
      <c r="M356" s="931" t="s">
        <v>1448</v>
      </c>
    </row>
    <row r="357" spans="2:13" outlineLevel="1">
      <c r="B357" s="929"/>
      <c r="C357" s="949"/>
      <c r="D357" s="949"/>
      <c r="E357" s="930"/>
      <c r="F357" s="930"/>
      <c r="G357" s="930">
        <v>0</v>
      </c>
      <c r="H357" s="930">
        <v>129581.5</v>
      </c>
      <c r="I357" s="932">
        <v>-129581.5</v>
      </c>
      <c r="M357" s="931" t="s">
        <v>1449</v>
      </c>
    </row>
    <row r="358" spans="2:13" outlineLevel="1">
      <c r="B358" s="929"/>
      <c r="C358" s="949"/>
      <c r="D358" s="949"/>
      <c r="E358" s="930"/>
      <c r="F358" s="930"/>
      <c r="G358" s="930">
        <v>0</v>
      </c>
      <c r="H358" s="930">
        <v>14260236.02</v>
      </c>
      <c r="I358" s="932">
        <v>-14260236.02</v>
      </c>
      <c r="M358" s="931" t="s">
        <v>1450</v>
      </c>
    </row>
    <row r="359" spans="2:13" outlineLevel="1">
      <c r="B359" s="929"/>
      <c r="C359" s="949"/>
      <c r="D359" s="949"/>
      <c r="E359" s="930"/>
      <c r="F359" s="930"/>
      <c r="G359" s="930">
        <v>0</v>
      </c>
      <c r="H359" s="930">
        <v>6966323.71</v>
      </c>
      <c r="I359" s="932">
        <v>-6966323.71</v>
      </c>
      <c r="M359" s="931" t="s">
        <v>1451</v>
      </c>
    </row>
    <row r="360" spans="2:13" outlineLevel="1">
      <c r="B360" s="929"/>
      <c r="C360" s="949"/>
      <c r="D360" s="949"/>
      <c r="E360" s="930"/>
      <c r="F360" s="930"/>
      <c r="G360" s="930">
        <v>0</v>
      </c>
      <c r="H360" s="930">
        <v>8152154.8099999996</v>
      </c>
      <c r="I360" s="932">
        <v>-8152154.8099999996</v>
      </c>
      <c r="M360" s="931" t="s">
        <v>1452</v>
      </c>
    </row>
    <row r="361" spans="2:13" outlineLevel="1">
      <c r="B361" s="929"/>
      <c r="C361" s="949"/>
      <c r="D361" s="949"/>
      <c r="E361" s="930"/>
      <c r="F361" s="930"/>
      <c r="G361" s="930">
        <v>0</v>
      </c>
      <c r="H361" s="930">
        <v>15349917.1</v>
      </c>
      <c r="I361" s="932">
        <v>-15349917.1</v>
      </c>
      <c r="M361" s="931" t="s">
        <v>1453</v>
      </c>
    </row>
    <row r="362" spans="2:13" outlineLevel="1">
      <c r="B362" s="929"/>
      <c r="C362" s="949"/>
      <c r="D362" s="949"/>
      <c r="E362" s="930"/>
      <c r="F362" s="930"/>
      <c r="G362" s="930">
        <v>0</v>
      </c>
      <c r="H362" s="930">
        <v>27639479.870000001</v>
      </c>
      <c r="I362" s="932">
        <v>-27639479.870000001</v>
      </c>
      <c r="M362" s="931" t="s">
        <v>1454</v>
      </c>
    </row>
    <row r="363" spans="2:13" outlineLevel="1">
      <c r="B363" s="929"/>
      <c r="C363" s="949"/>
      <c r="D363" s="949"/>
      <c r="E363" s="930"/>
      <c r="F363" s="930"/>
      <c r="G363" s="930">
        <v>0</v>
      </c>
      <c r="H363" s="930">
        <v>42409786.399999999</v>
      </c>
      <c r="I363" s="932">
        <v>-42409786.399999999</v>
      </c>
      <c r="M363" s="931" t="s">
        <v>1455</v>
      </c>
    </row>
    <row r="364" spans="2:13" outlineLevel="1">
      <c r="B364" s="929"/>
      <c r="C364" s="949"/>
      <c r="D364" s="949"/>
      <c r="E364" s="930"/>
      <c r="F364" s="930"/>
      <c r="G364" s="930">
        <v>0</v>
      </c>
      <c r="H364" s="930">
        <v>42372.12</v>
      </c>
      <c r="I364" s="932">
        <v>-42372.12</v>
      </c>
      <c r="M364" s="931" t="s">
        <v>1456</v>
      </c>
    </row>
    <row r="365" spans="2:13" outlineLevel="1">
      <c r="B365" s="929"/>
      <c r="C365" s="949"/>
      <c r="D365" s="949"/>
      <c r="E365" s="930"/>
      <c r="F365" s="930"/>
      <c r="G365" s="930">
        <v>0</v>
      </c>
      <c r="H365" s="930">
        <v>4445453.58</v>
      </c>
      <c r="I365" s="932">
        <v>-4445453.58</v>
      </c>
      <c r="M365" s="931" t="s">
        <v>1457</v>
      </c>
    </row>
    <row r="366" spans="2:13" outlineLevel="1">
      <c r="B366" s="929"/>
      <c r="C366" s="949"/>
      <c r="D366" s="949"/>
      <c r="E366" s="930"/>
      <c r="F366" s="930"/>
      <c r="G366" s="930">
        <v>0</v>
      </c>
      <c r="H366" s="930">
        <v>6352.63</v>
      </c>
      <c r="I366" s="932">
        <v>-6352.63</v>
      </c>
      <c r="M366" s="931" t="s">
        <v>1458</v>
      </c>
    </row>
    <row r="367" spans="2:13" outlineLevel="1">
      <c r="B367" s="929"/>
      <c r="C367" s="949"/>
      <c r="D367" s="949"/>
      <c r="E367" s="930"/>
      <c r="F367" s="930"/>
      <c r="G367" s="930">
        <v>0</v>
      </c>
      <c r="H367" s="930">
        <v>740760.01</v>
      </c>
      <c r="I367" s="932">
        <v>-740760.01</v>
      </c>
      <c r="M367" s="931" t="s">
        <v>1459</v>
      </c>
    </row>
    <row r="368" spans="2:13" outlineLevel="1">
      <c r="B368" s="929"/>
      <c r="C368" s="949"/>
      <c r="D368" s="949"/>
      <c r="E368" s="930"/>
      <c r="F368" s="930"/>
      <c r="G368" s="930">
        <v>0</v>
      </c>
      <c r="H368" s="930">
        <v>232729.26</v>
      </c>
      <c r="I368" s="932">
        <v>-232729.26</v>
      </c>
      <c r="M368" s="931" t="s">
        <v>1460</v>
      </c>
    </row>
    <row r="369" spans="2:13" outlineLevel="1">
      <c r="B369" s="929"/>
      <c r="C369" s="949"/>
      <c r="D369" s="949"/>
      <c r="E369" s="930"/>
      <c r="F369" s="930"/>
      <c r="G369" s="930">
        <v>0</v>
      </c>
      <c r="H369" s="930">
        <v>106877.42</v>
      </c>
      <c r="I369" s="932">
        <v>-106877.42</v>
      </c>
      <c r="M369" s="931" t="s">
        <v>1461</v>
      </c>
    </row>
    <row r="370" spans="2:13" outlineLevel="1">
      <c r="B370" s="929"/>
      <c r="C370" s="949"/>
      <c r="D370" s="949"/>
      <c r="E370" s="930"/>
      <c r="F370" s="930"/>
      <c r="G370" s="930">
        <v>0</v>
      </c>
      <c r="H370" s="930">
        <v>987608.77</v>
      </c>
      <c r="I370" s="932">
        <v>-987608.77</v>
      </c>
      <c r="M370" s="931" t="s">
        <v>1462</v>
      </c>
    </row>
    <row r="371" spans="2:13" outlineLevel="1">
      <c r="B371" s="929"/>
      <c r="C371" s="949"/>
      <c r="D371" s="949"/>
      <c r="E371" s="930"/>
      <c r="F371" s="930"/>
      <c r="G371" s="930">
        <v>30094224.82</v>
      </c>
      <c r="H371" s="930">
        <v>0</v>
      </c>
      <c r="I371" s="932">
        <v>30094224.82</v>
      </c>
      <c r="M371" s="931" t="s">
        <v>1248</v>
      </c>
    </row>
    <row r="372" spans="2:13" outlineLevel="1">
      <c r="B372" s="929"/>
      <c r="C372" s="949"/>
      <c r="D372" s="949"/>
      <c r="E372" s="930"/>
      <c r="F372" s="930"/>
      <c r="G372" s="930">
        <v>8886166.4000000004</v>
      </c>
      <c r="H372" s="930">
        <v>0</v>
      </c>
      <c r="I372" s="932">
        <v>8886166.4000000004</v>
      </c>
      <c r="M372" s="931" t="s">
        <v>1250</v>
      </c>
    </row>
    <row r="373" spans="2:13" outlineLevel="1">
      <c r="B373" s="929"/>
      <c r="C373" s="949"/>
      <c r="D373" s="949"/>
      <c r="E373" s="930"/>
      <c r="F373" s="930"/>
      <c r="G373" s="930">
        <v>3291428.82</v>
      </c>
      <c r="H373" s="930">
        <v>0</v>
      </c>
      <c r="I373" s="932">
        <v>3291428.82</v>
      </c>
      <c r="M373" s="931" t="s">
        <v>1251</v>
      </c>
    </row>
    <row r="374" spans="2:13" outlineLevel="1">
      <c r="B374" s="929"/>
      <c r="C374" s="949"/>
      <c r="D374" s="949"/>
      <c r="E374" s="930"/>
      <c r="F374" s="930"/>
      <c r="G374" s="930">
        <v>9644.26</v>
      </c>
      <c r="H374" s="930">
        <v>0</v>
      </c>
      <c r="I374" s="932">
        <v>9644.26</v>
      </c>
      <c r="M374" s="931" t="s">
        <v>1463</v>
      </c>
    </row>
    <row r="375" spans="2:13" outlineLevel="1">
      <c r="B375" s="929"/>
      <c r="C375" s="949"/>
      <c r="D375" s="949"/>
      <c r="E375" s="930"/>
      <c r="F375" s="930"/>
      <c r="G375" s="930">
        <v>3909588.48</v>
      </c>
      <c r="H375" s="930">
        <v>0</v>
      </c>
      <c r="I375" s="932">
        <v>3909588.48</v>
      </c>
      <c r="M375" s="931" t="s">
        <v>1253</v>
      </c>
    </row>
    <row r="376" spans="2:13" outlineLevel="1">
      <c r="B376" s="929"/>
      <c r="C376" s="949"/>
      <c r="D376" s="949"/>
      <c r="E376" s="930"/>
      <c r="F376" s="930"/>
      <c r="G376" s="930">
        <v>-19870.72</v>
      </c>
      <c r="H376" s="930">
        <v>0</v>
      </c>
      <c r="I376" s="932">
        <v>-19870.72</v>
      </c>
      <c r="M376" s="931" t="s">
        <v>1255</v>
      </c>
    </row>
    <row r="377" spans="2:13" outlineLevel="1">
      <c r="B377" s="929"/>
      <c r="C377" s="949"/>
      <c r="D377" s="949"/>
      <c r="E377" s="930"/>
      <c r="F377" s="930"/>
      <c r="G377" s="930">
        <v>8151132.5499999998</v>
      </c>
      <c r="H377" s="930">
        <v>0</v>
      </c>
      <c r="I377" s="932">
        <v>8151132.5499999998</v>
      </c>
      <c r="M377" s="931" t="s">
        <v>1265</v>
      </c>
    </row>
    <row r="378" spans="2:13" outlineLevel="1">
      <c r="B378" s="929"/>
      <c r="C378" s="949"/>
      <c r="D378" s="949"/>
      <c r="E378" s="930"/>
      <c r="F378" s="930"/>
      <c r="G378" s="930">
        <v>-8039389.79</v>
      </c>
      <c r="H378" s="930">
        <v>0</v>
      </c>
      <c r="I378" s="932">
        <v>-8039389.79</v>
      </c>
      <c r="M378" s="931" t="s">
        <v>1267</v>
      </c>
    </row>
    <row r="379" spans="2:13" outlineLevel="1">
      <c r="B379" s="929"/>
      <c r="C379" s="949"/>
      <c r="D379" s="949"/>
      <c r="E379" s="930"/>
      <c r="F379" s="930"/>
      <c r="G379" s="930">
        <v>43962920.609999999</v>
      </c>
      <c r="H379" s="930">
        <v>0</v>
      </c>
      <c r="I379" s="932">
        <v>43962920.609999999</v>
      </c>
      <c r="M379" s="931" t="s">
        <v>1269</v>
      </c>
    </row>
    <row r="380" spans="2:13" outlineLevel="1">
      <c r="B380" s="929"/>
      <c r="C380" s="949"/>
      <c r="D380" s="949"/>
      <c r="E380" s="930"/>
      <c r="F380" s="930"/>
      <c r="G380" s="930">
        <v>-1120040.8999999999</v>
      </c>
      <c r="H380" s="930">
        <v>0</v>
      </c>
      <c r="I380" s="932">
        <v>-1120040.8999999999</v>
      </c>
      <c r="M380" s="931" t="s">
        <v>1271</v>
      </c>
    </row>
    <row r="381" spans="2:13" outlineLevel="1">
      <c r="B381" s="929"/>
      <c r="C381" s="949"/>
      <c r="D381" s="949"/>
      <c r="E381" s="930"/>
      <c r="F381" s="930"/>
      <c r="G381" s="930">
        <v>-338071788.35000002</v>
      </c>
      <c r="H381" s="930">
        <v>0</v>
      </c>
      <c r="I381" s="932">
        <v>-338071788.35000002</v>
      </c>
      <c r="M381" s="931" t="s">
        <v>1273</v>
      </c>
    </row>
    <row r="382" spans="2:13" outlineLevel="1">
      <c r="B382" s="929"/>
      <c r="C382" s="949"/>
      <c r="D382" s="949"/>
      <c r="E382" s="930"/>
      <c r="F382" s="930"/>
      <c r="G382" s="930">
        <v>-52141651.43</v>
      </c>
      <c r="H382" s="930">
        <v>0</v>
      </c>
      <c r="I382" s="932">
        <v>-52141651.43</v>
      </c>
      <c r="M382" s="931" t="s">
        <v>1275</v>
      </c>
    </row>
    <row r="383" spans="2:13" outlineLevel="1">
      <c r="B383" s="929"/>
      <c r="C383" s="949"/>
      <c r="D383" s="949"/>
      <c r="E383" s="930"/>
      <c r="F383" s="930"/>
      <c r="G383" s="930">
        <v>1889713.19</v>
      </c>
      <c r="H383" s="930">
        <v>0</v>
      </c>
      <c r="I383" s="932">
        <v>1889713.19</v>
      </c>
      <c r="M383" s="931" t="s">
        <v>1277</v>
      </c>
    </row>
    <row r="384" spans="2:13" outlineLevel="1">
      <c r="B384" s="929"/>
      <c r="C384" s="949"/>
      <c r="D384" s="949"/>
      <c r="E384" s="930"/>
      <c r="F384" s="930"/>
      <c r="G384" s="930">
        <v>-147374.13</v>
      </c>
      <c r="H384" s="930">
        <v>0</v>
      </c>
      <c r="I384" s="932">
        <v>-147374.13</v>
      </c>
      <c r="M384" s="931" t="s">
        <v>1279</v>
      </c>
    </row>
    <row r="385" spans="2:13" outlineLevel="1">
      <c r="B385" s="929"/>
      <c r="C385" s="949"/>
      <c r="D385" s="949"/>
      <c r="E385" s="930"/>
      <c r="F385" s="930"/>
      <c r="G385" s="930">
        <v>-287651.99</v>
      </c>
      <c r="H385" s="930">
        <v>0</v>
      </c>
      <c r="I385" s="932">
        <v>-287651.99</v>
      </c>
      <c r="M385" s="931" t="s">
        <v>1281</v>
      </c>
    </row>
    <row r="386" spans="2:13" outlineLevel="1">
      <c r="B386" s="929"/>
      <c r="C386" s="949"/>
      <c r="D386" s="949"/>
      <c r="E386" s="930"/>
      <c r="F386" s="930"/>
      <c r="G386" s="930">
        <v>-11167239.720000001</v>
      </c>
      <c r="H386" s="930">
        <v>0</v>
      </c>
      <c r="I386" s="932">
        <v>-11167239.720000001</v>
      </c>
      <c r="M386" s="931" t="s">
        <v>1283</v>
      </c>
    </row>
    <row r="387" spans="2:13" outlineLevel="1">
      <c r="B387" s="929"/>
      <c r="C387" s="949"/>
      <c r="D387" s="949"/>
      <c r="E387" s="930"/>
      <c r="F387" s="930"/>
      <c r="G387" s="930">
        <v>-8546162.9100000001</v>
      </c>
      <c r="H387" s="930">
        <v>0</v>
      </c>
      <c r="I387" s="932">
        <v>-8546162.9100000001</v>
      </c>
      <c r="M387" s="931" t="s">
        <v>1285</v>
      </c>
    </row>
    <row r="388" spans="2:13" outlineLevel="1">
      <c r="B388" s="929"/>
      <c r="C388" s="949"/>
      <c r="D388" s="949"/>
      <c r="E388" s="930"/>
      <c r="F388" s="930"/>
      <c r="G388" s="930">
        <v>30373</v>
      </c>
      <c r="H388" s="930">
        <v>0</v>
      </c>
      <c r="I388" s="932">
        <v>30373</v>
      </c>
      <c r="M388" s="931" t="s">
        <v>1287</v>
      </c>
    </row>
    <row r="389" spans="2:13" outlineLevel="1">
      <c r="B389" s="929"/>
      <c r="C389" s="949"/>
      <c r="D389" s="949"/>
      <c r="E389" s="930"/>
      <c r="F389" s="930"/>
      <c r="G389" s="930">
        <v>3364</v>
      </c>
      <c r="H389" s="930">
        <v>0</v>
      </c>
      <c r="I389" s="932">
        <v>3364</v>
      </c>
      <c r="M389" s="931" t="s">
        <v>1289</v>
      </c>
    </row>
    <row r="390" spans="2:13" outlineLevel="1">
      <c r="B390" s="929"/>
      <c r="C390" s="949"/>
      <c r="D390" s="949"/>
      <c r="E390" s="930"/>
      <c r="F390" s="930"/>
      <c r="G390" s="930">
        <v>801342.39</v>
      </c>
      <c r="H390" s="930">
        <v>0</v>
      </c>
      <c r="I390" s="932">
        <v>801342.39</v>
      </c>
      <c r="M390" s="931" t="s">
        <v>1291</v>
      </c>
    </row>
    <row r="391" spans="2:13" outlineLevel="1">
      <c r="B391" s="929"/>
      <c r="C391" s="949"/>
      <c r="D391" s="949"/>
      <c r="E391" s="930"/>
      <c r="F391" s="930"/>
      <c r="G391" s="930">
        <v>16450622.41</v>
      </c>
      <c r="H391" s="930">
        <v>0</v>
      </c>
      <c r="I391" s="932">
        <v>16450622.41</v>
      </c>
      <c r="M391" s="931" t="s">
        <v>1293</v>
      </c>
    </row>
    <row r="392" spans="2:13" outlineLevel="1">
      <c r="B392" s="929"/>
      <c r="C392" s="949"/>
      <c r="D392" s="949"/>
      <c r="E392" s="930"/>
      <c r="F392" s="930"/>
      <c r="G392" s="930">
        <v>16969479.350000001</v>
      </c>
      <c r="H392" s="930">
        <v>0</v>
      </c>
      <c r="I392" s="932">
        <v>16969479.350000001</v>
      </c>
      <c r="M392" s="931" t="s">
        <v>1295</v>
      </c>
    </row>
    <row r="393" spans="2:13" outlineLevel="1">
      <c r="B393" s="929"/>
      <c r="C393" s="949"/>
      <c r="D393" s="949"/>
      <c r="E393" s="930"/>
      <c r="F393" s="930"/>
      <c r="G393" s="930">
        <v>883947.87</v>
      </c>
      <c r="H393" s="930">
        <v>0</v>
      </c>
      <c r="I393" s="932">
        <v>883947.87</v>
      </c>
      <c r="M393" s="931" t="s">
        <v>1297</v>
      </c>
    </row>
    <row r="394" spans="2:13" outlineLevel="1">
      <c r="B394" s="929"/>
      <c r="C394" s="949"/>
      <c r="D394" s="949"/>
      <c r="E394" s="930"/>
      <c r="F394" s="930"/>
      <c r="G394" s="930">
        <v>29655.78</v>
      </c>
      <c r="H394" s="930">
        <v>0</v>
      </c>
      <c r="I394" s="932">
        <v>29655.78</v>
      </c>
      <c r="M394" s="931" t="s">
        <v>1299</v>
      </c>
    </row>
    <row r="395" spans="2:13" outlineLevel="1">
      <c r="B395" s="929"/>
      <c r="C395" s="949"/>
      <c r="D395" s="949"/>
      <c r="E395" s="930"/>
      <c r="F395" s="930"/>
      <c r="G395" s="930">
        <v>1667921.41</v>
      </c>
      <c r="H395" s="930">
        <v>0</v>
      </c>
      <c r="I395" s="932">
        <v>1667921.41</v>
      </c>
      <c r="M395" s="931" t="s">
        <v>1301</v>
      </c>
    </row>
    <row r="396" spans="2:13" outlineLevel="1">
      <c r="B396" s="929"/>
      <c r="C396" s="949"/>
      <c r="D396" s="949"/>
      <c r="E396" s="930"/>
      <c r="F396" s="930"/>
      <c r="G396" s="930">
        <v>467396.57</v>
      </c>
      <c r="H396" s="930">
        <v>0</v>
      </c>
      <c r="I396" s="932">
        <v>467396.57</v>
      </c>
      <c r="M396" s="931" t="s">
        <v>1303</v>
      </c>
    </row>
    <row r="397" spans="2:13" outlineLevel="1">
      <c r="B397" s="929"/>
      <c r="C397" s="949"/>
      <c r="D397" s="949"/>
      <c r="E397" s="930"/>
      <c r="F397" s="930"/>
      <c r="G397" s="930">
        <v>43138974.229999997</v>
      </c>
      <c r="H397" s="930">
        <v>0</v>
      </c>
      <c r="I397" s="932">
        <v>43138974.229999997</v>
      </c>
      <c r="M397" s="931" t="s">
        <v>1305</v>
      </c>
    </row>
    <row r="398" spans="2:13" outlineLevel="1">
      <c r="B398" s="929"/>
      <c r="C398" s="949"/>
      <c r="D398" s="949"/>
      <c r="E398" s="930"/>
      <c r="F398" s="930"/>
      <c r="G398" s="930">
        <v>4208752.21</v>
      </c>
      <c r="H398" s="930">
        <v>0</v>
      </c>
      <c r="I398" s="932">
        <v>4208752.21</v>
      </c>
      <c r="M398" s="931" t="s">
        <v>1307</v>
      </c>
    </row>
    <row r="399" spans="2:13" outlineLevel="1">
      <c r="B399" s="929"/>
      <c r="C399" s="949"/>
      <c r="D399" s="949"/>
      <c r="E399" s="930"/>
      <c r="F399" s="930"/>
      <c r="G399" s="930">
        <v>49302139.210000001</v>
      </c>
      <c r="H399" s="930">
        <v>0</v>
      </c>
      <c r="I399" s="932">
        <v>49302139.210000001</v>
      </c>
      <c r="M399" s="931" t="s">
        <v>1309</v>
      </c>
    </row>
    <row r="400" spans="2:13" outlineLevel="1">
      <c r="B400" s="929"/>
      <c r="C400" s="949"/>
      <c r="D400" s="949"/>
      <c r="E400" s="930"/>
      <c r="F400" s="930"/>
      <c r="G400" s="930">
        <v>32509305.789999999</v>
      </c>
      <c r="H400" s="930">
        <v>0</v>
      </c>
      <c r="I400" s="932">
        <v>32509305.789999999</v>
      </c>
      <c r="M400" s="931" t="s">
        <v>1311</v>
      </c>
    </row>
    <row r="401" spans="2:13" outlineLevel="1">
      <c r="B401" s="929"/>
      <c r="C401" s="949"/>
      <c r="D401" s="949"/>
      <c r="E401" s="930"/>
      <c r="F401" s="930"/>
      <c r="G401" s="930">
        <v>19039.04</v>
      </c>
      <c r="H401" s="930">
        <v>0</v>
      </c>
      <c r="I401" s="932">
        <v>19039.04</v>
      </c>
      <c r="M401" s="931" t="s">
        <v>1313</v>
      </c>
    </row>
    <row r="402" spans="2:13" outlineLevel="1">
      <c r="B402" s="929"/>
      <c r="C402" s="949"/>
      <c r="D402" s="949"/>
      <c r="E402" s="930"/>
      <c r="F402" s="930"/>
      <c r="G402" s="930">
        <v>812147.54</v>
      </c>
      <c r="H402" s="930">
        <v>0</v>
      </c>
      <c r="I402" s="932">
        <v>812147.54</v>
      </c>
      <c r="M402" s="931" t="s">
        <v>1315</v>
      </c>
    </row>
    <row r="403" spans="2:13" outlineLevel="1">
      <c r="B403" s="929"/>
      <c r="C403" s="949"/>
      <c r="D403" s="949"/>
      <c r="E403" s="930"/>
      <c r="F403" s="930"/>
      <c r="G403" s="930">
        <v>991258.94</v>
      </c>
      <c r="H403" s="930">
        <v>0</v>
      </c>
      <c r="I403" s="932">
        <v>991258.94</v>
      </c>
      <c r="M403" s="931" t="s">
        <v>1317</v>
      </c>
    </row>
    <row r="404" spans="2:13" outlineLevel="1">
      <c r="B404" s="929"/>
      <c r="C404" s="949"/>
      <c r="D404" s="949"/>
      <c r="E404" s="930"/>
      <c r="F404" s="930"/>
      <c r="G404" s="930">
        <v>99547763.209999993</v>
      </c>
      <c r="H404" s="930">
        <v>0</v>
      </c>
      <c r="I404" s="932">
        <v>99547763.209999993</v>
      </c>
      <c r="M404" s="931" t="s">
        <v>1319</v>
      </c>
    </row>
    <row r="405" spans="2:13" outlineLevel="1">
      <c r="B405" s="929"/>
      <c r="C405" s="949"/>
      <c r="D405" s="949"/>
      <c r="E405" s="930"/>
      <c r="F405" s="930"/>
      <c r="G405" s="930">
        <v>66037119.920000002</v>
      </c>
      <c r="H405" s="930">
        <v>0</v>
      </c>
      <c r="I405" s="932">
        <v>66037119.920000002</v>
      </c>
      <c r="M405" s="931" t="s">
        <v>1321</v>
      </c>
    </row>
    <row r="406" spans="2:13" outlineLevel="1">
      <c r="B406" s="929"/>
      <c r="C406" s="949"/>
      <c r="D406" s="949"/>
      <c r="E406" s="930"/>
      <c r="F406" s="930"/>
      <c r="G406" s="930">
        <v>65850976.579999998</v>
      </c>
      <c r="H406" s="930">
        <v>0</v>
      </c>
      <c r="I406" s="932">
        <v>65850976.579999998</v>
      </c>
      <c r="M406" s="931" t="s">
        <v>1323</v>
      </c>
    </row>
    <row r="407" spans="2:13" outlineLevel="1">
      <c r="B407" s="929"/>
      <c r="C407" s="949"/>
      <c r="D407" s="949"/>
      <c r="E407" s="930"/>
      <c r="F407" s="930"/>
      <c r="G407" s="930">
        <v>15683190.449999999</v>
      </c>
      <c r="H407" s="930">
        <v>0</v>
      </c>
      <c r="I407" s="932">
        <v>15683190.449999999</v>
      </c>
      <c r="M407" s="931" t="s">
        <v>1325</v>
      </c>
    </row>
    <row r="408" spans="2:13" outlineLevel="1">
      <c r="B408" s="929"/>
      <c r="C408" s="949"/>
      <c r="D408" s="949"/>
      <c r="E408" s="930"/>
      <c r="F408" s="930"/>
      <c r="G408" s="930">
        <v>64945299.32</v>
      </c>
      <c r="H408" s="930">
        <v>0</v>
      </c>
      <c r="I408" s="932">
        <v>64945299.32</v>
      </c>
      <c r="M408" s="931" t="s">
        <v>1327</v>
      </c>
    </row>
    <row r="409" spans="2:13" outlineLevel="1">
      <c r="B409" s="929"/>
      <c r="C409" s="949"/>
      <c r="D409" s="949"/>
      <c r="E409" s="930"/>
      <c r="F409" s="930"/>
      <c r="G409" s="930">
        <v>59815602.68</v>
      </c>
      <c r="H409" s="930">
        <v>0</v>
      </c>
      <c r="I409" s="932">
        <v>59815602.68</v>
      </c>
      <c r="M409" s="931" t="s">
        <v>1329</v>
      </c>
    </row>
    <row r="410" spans="2:13" outlineLevel="1">
      <c r="B410" s="929"/>
      <c r="C410" s="949"/>
      <c r="D410" s="949"/>
      <c r="E410" s="930"/>
      <c r="F410" s="930"/>
      <c r="G410" s="930">
        <v>18503233.25</v>
      </c>
      <c r="H410" s="930">
        <v>0</v>
      </c>
      <c r="I410" s="932">
        <v>18503233.25</v>
      </c>
      <c r="M410" s="931" t="s">
        <v>1331</v>
      </c>
    </row>
    <row r="411" spans="2:13" outlineLevel="1">
      <c r="B411" s="929"/>
      <c r="C411" s="949"/>
      <c r="D411" s="949"/>
      <c r="E411" s="930"/>
      <c r="F411" s="930"/>
      <c r="G411" s="930">
        <v>11931081.560000001</v>
      </c>
      <c r="H411" s="930">
        <v>0</v>
      </c>
      <c r="I411" s="932">
        <v>11931081.560000001</v>
      </c>
      <c r="M411" s="931" t="s">
        <v>1333</v>
      </c>
    </row>
    <row r="412" spans="2:13" outlineLevel="1">
      <c r="B412" s="929"/>
      <c r="C412" s="949"/>
      <c r="D412" s="949"/>
      <c r="E412" s="930"/>
      <c r="F412" s="930"/>
      <c r="G412" s="930">
        <v>6179395.1699999999</v>
      </c>
      <c r="H412" s="930">
        <v>0</v>
      </c>
      <c r="I412" s="932">
        <v>6179395.1699999999</v>
      </c>
      <c r="M412" s="931" t="s">
        <v>1337</v>
      </c>
    </row>
    <row r="413" spans="2:13" outlineLevel="1">
      <c r="B413" s="929"/>
      <c r="C413" s="949"/>
      <c r="D413" s="949"/>
      <c r="E413" s="930"/>
      <c r="F413" s="930"/>
      <c r="G413" s="930">
        <v>1068236.8500000001</v>
      </c>
      <c r="H413" s="930">
        <v>0</v>
      </c>
      <c r="I413" s="932">
        <v>1068236.8500000001</v>
      </c>
      <c r="M413" s="931" t="s">
        <v>1339</v>
      </c>
    </row>
    <row r="414" spans="2:13" outlineLevel="1">
      <c r="B414" s="929"/>
      <c r="C414" s="949"/>
      <c r="D414" s="949"/>
      <c r="E414" s="930"/>
      <c r="F414" s="930"/>
      <c r="G414" s="930">
        <v>24727092.5</v>
      </c>
      <c r="H414" s="930">
        <v>0</v>
      </c>
      <c r="I414" s="932">
        <v>24727092.5</v>
      </c>
      <c r="M414" s="931" t="s">
        <v>1341</v>
      </c>
    </row>
    <row r="415" spans="2:13" outlineLevel="1">
      <c r="B415" s="929"/>
      <c r="C415" s="949"/>
      <c r="D415" s="949"/>
      <c r="E415" s="930"/>
      <c r="F415" s="930"/>
      <c r="G415" s="930">
        <v>24339316.07</v>
      </c>
      <c r="H415" s="930">
        <v>0</v>
      </c>
      <c r="I415" s="932">
        <v>24339316.07</v>
      </c>
      <c r="M415" s="931" t="s">
        <v>1343</v>
      </c>
    </row>
    <row r="416" spans="2:13" outlineLevel="1">
      <c r="B416" s="929"/>
      <c r="C416" s="949"/>
      <c r="D416" s="949"/>
      <c r="E416" s="930"/>
      <c r="F416" s="930"/>
      <c r="G416" s="930">
        <v>54646.68</v>
      </c>
      <c r="H416" s="930">
        <v>0</v>
      </c>
      <c r="I416" s="932">
        <v>54646.68</v>
      </c>
      <c r="M416" s="931" t="s">
        <v>1345</v>
      </c>
    </row>
    <row r="417" spans="2:13" outlineLevel="1">
      <c r="B417" s="929"/>
      <c r="C417" s="949"/>
      <c r="D417" s="949"/>
      <c r="E417" s="930"/>
      <c r="F417" s="930"/>
      <c r="G417" s="930">
        <v>18035964.57</v>
      </c>
      <c r="H417" s="930">
        <v>0</v>
      </c>
      <c r="I417" s="932">
        <v>18035964.57</v>
      </c>
      <c r="M417" s="931" t="s">
        <v>1346</v>
      </c>
    </row>
    <row r="418" spans="2:13" outlineLevel="1">
      <c r="B418" s="929"/>
      <c r="C418" s="949"/>
      <c r="D418" s="949"/>
      <c r="E418" s="930"/>
      <c r="F418" s="930"/>
      <c r="G418" s="930">
        <v>210943.86</v>
      </c>
      <c r="H418" s="930">
        <v>0</v>
      </c>
      <c r="I418" s="932">
        <v>210943.86</v>
      </c>
      <c r="M418" s="931" t="s">
        <v>1348</v>
      </c>
    </row>
    <row r="419" spans="2:13" outlineLevel="1">
      <c r="B419" s="929"/>
      <c r="C419" s="949"/>
      <c r="D419" s="949"/>
      <c r="E419" s="930"/>
      <c r="F419" s="930"/>
      <c r="G419" s="930">
        <v>2302614.5499999998</v>
      </c>
      <c r="H419" s="930">
        <v>0</v>
      </c>
      <c r="I419" s="932">
        <v>2302614.5499999998</v>
      </c>
      <c r="M419" s="931" t="s">
        <v>1350</v>
      </c>
    </row>
    <row r="420" spans="2:13" outlineLevel="1">
      <c r="B420" s="929"/>
      <c r="C420" s="949"/>
      <c r="D420" s="949"/>
      <c r="E420" s="930"/>
      <c r="F420" s="930"/>
      <c r="G420" s="930">
        <v>493371.12</v>
      </c>
      <c r="H420" s="930">
        <v>0</v>
      </c>
      <c r="I420" s="932">
        <v>493371.12</v>
      </c>
      <c r="M420" s="931" t="s">
        <v>1352</v>
      </c>
    </row>
    <row r="421" spans="2:13" outlineLevel="1">
      <c r="B421" s="929"/>
      <c r="C421" s="949"/>
      <c r="D421" s="949"/>
      <c r="E421" s="930"/>
      <c r="F421" s="930"/>
      <c r="G421" s="930">
        <v>368133.91</v>
      </c>
      <c r="H421" s="930">
        <v>0</v>
      </c>
      <c r="I421" s="932">
        <v>368133.91</v>
      </c>
      <c r="M421" s="931" t="s">
        <v>1354</v>
      </c>
    </row>
    <row r="422" spans="2:13" outlineLevel="1">
      <c r="B422" s="929"/>
      <c r="C422" s="949"/>
      <c r="D422" s="949"/>
      <c r="E422" s="930"/>
      <c r="F422" s="930"/>
      <c r="G422" s="930">
        <v>21487315.75</v>
      </c>
      <c r="H422" s="930">
        <v>0</v>
      </c>
      <c r="I422" s="932">
        <v>21487315.75</v>
      </c>
      <c r="M422" s="931" t="s">
        <v>1356</v>
      </c>
    </row>
    <row r="423" spans="2:13" outlineLevel="1">
      <c r="B423" s="929"/>
      <c r="C423" s="949"/>
      <c r="D423" s="949"/>
      <c r="E423" s="930"/>
      <c r="F423" s="930"/>
      <c r="G423" s="930">
        <v>129581.5</v>
      </c>
      <c r="H423" s="930">
        <v>0</v>
      </c>
      <c r="I423" s="932">
        <v>129581.5</v>
      </c>
      <c r="M423" s="931" t="s">
        <v>1357</v>
      </c>
    </row>
    <row r="424" spans="2:13" outlineLevel="1">
      <c r="B424" s="929"/>
      <c r="C424" s="949"/>
      <c r="D424" s="949"/>
      <c r="E424" s="930"/>
      <c r="F424" s="930"/>
      <c r="G424" s="930">
        <v>14775539</v>
      </c>
      <c r="H424" s="930">
        <v>0</v>
      </c>
      <c r="I424" s="932">
        <v>14775539</v>
      </c>
      <c r="M424" s="931" t="s">
        <v>1359</v>
      </c>
    </row>
    <row r="425" spans="2:13" outlineLevel="1">
      <c r="B425" s="929"/>
      <c r="C425" s="949"/>
      <c r="D425" s="949"/>
      <c r="E425" s="930"/>
      <c r="F425" s="930"/>
      <c r="G425" s="930">
        <v>6966323.71</v>
      </c>
      <c r="H425" s="930">
        <v>0</v>
      </c>
      <c r="I425" s="932">
        <v>6966323.71</v>
      </c>
      <c r="M425" s="931" t="s">
        <v>1361</v>
      </c>
    </row>
    <row r="426" spans="2:13" outlineLevel="1">
      <c r="B426" s="929"/>
      <c r="C426" s="949"/>
      <c r="D426" s="949"/>
      <c r="E426" s="930"/>
      <c r="F426" s="930"/>
      <c r="G426" s="930">
        <v>9123938.8499999996</v>
      </c>
      <c r="H426" s="930">
        <v>0</v>
      </c>
      <c r="I426" s="932">
        <v>9123938.8499999996</v>
      </c>
      <c r="M426" s="931" t="s">
        <v>1363</v>
      </c>
    </row>
    <row r="427" spans="2:13" outlineLevel="1">
      <c r="B427" s="929"/>
      <c r="C427" s="949"/>
      <c r="D427" s="949"/>
      <c r="E427" s="930"/>
      <c r="F427" s="930"/>
      <c r="G427" s="930">
        <v>17464243.859999999</v>
      </c>
      <c r="H427" s="930">
        <v>0</v>
      </c>
      <c r="I427" s="932">
        <v>17464243.859999999</v>
      </c>
      <c r="M427" s="931" t="s">
        <v>1365</v>
      </c>
    </row>
    <row r="428" spans="2:13" outlineLevel="1">
      <c r="B428" s="929"/>
      <c r="C428" s="949"/>
      <c r="D428" s="949"/>
      <c r="E428" s="930"/>
      <c r="F428" s="930"/>
      <c r="G428" s="930">
        <v>27639479.859999999</v>
      </c>
      <c r="H428" s="930">
        <v>0</v>
      </c>
      <c r="I428" s="932">
        <v>27639479.859999999</v>
      </c>
      <c r="M428" s="931" t="s">
        <v>1367</v>
      </c>
    </row>
    <row r="429" spans="2:13" outlineLevel="1">
      <c r="B429" s="929"/>
      <c r="C429" s="949"/>
      <c r="D429" s="949"/>
      <c r="E429" s="930"/>
      <c r="F429" s="930"/>
      <c r="G429" s="930">
        <v>42651101.07</v>
      </c>
      <c r="H429" s="930">
        <v>0</v>
      </c>
      <c r="I429" s="932">
        <v>42651101.07</v>
      </c>
      <c r="M429" s="931" t="s">
        <v>1369</v>
      </c>
    </row>
    <row r="430" spans="2:13" outlineLevel="1">
      <c r="B430" s="929"/>
      <c r="C430" s="949"/>
      <c r="D430" s="949"/>
      <c r="E430" s="930"/>
      <c r="F430" s="930"/>
      <c r="G430" s="930">
        <v>1327215.45</v>
      </c>
      <c r="H430" s="930">
        <v>0</v>
      </c>
      <c r="I430" s="932">
        <v>1327215.45</v>
      </c>
      <c r="M430" s="931" t="s">
        <v>1371</v>
      </c>
    </row>
    <row r="431" spans="2:13" outlineLevel="1">
      <c r="B431" s="929"/>
      <c r="C431" s="949"/>
      <c r="D431" s="949"/>
      <c r="E431" s="930"/>
      <c r="F431" s="930"/>
      <c r="G431" s="930">
        <v>0</v>
      </c>
      <c r="H431" s="930">
        <v>5657255.7300000004</v>
      </c>
      <c r="I431" s="932">
        <v>-5657255.7300000004</v>
      </c>
      <c r="M431" s="931" t="s">
        <v>1464</v>
      </c>
    </row>
    <row r="432" spans="2:13" outlineLevel="1">
      <c r="B432" s="933"/>
      <c r="C432" s="952" t="s">
        <v>1108</v>
      </c>
      <c r="D432" s="952" t="s">
        <v>1108</v>
      </c>
      <c r="E432" s="935" t="s">
        <v>1108</v>
      </c>
      <c r="F432" s="935" t="s">
        <v>1108</v>
      </c>
      <c r="G432" s="935" t="s">
        <v>1108</v>
      </c>
      <c r="H432" s="935" t="s">
        <v>1108</v>
      </c>
      <c r="I432" s="936" t="s">
        <v>1108</v>
      </c>
      <c r="M432" s="934"/>
    </row>
    <row r="433" spans="2:13" outlineLevel="1">
      <c r="B433" s="929" t="s">
        <v>1465</v>
      </c>
      <c r="C433" s="949">
        <v>534790060.37</v>
      </c>
      <c r="D433" s="949">
        <v>534790060.37</v>
      </c>
      <c r="E433" s="930">
        <v>534790060.37</v>
      </c>
      <c r="F433" s="930">
        <v>495033544.80000001</v>
      </c>
      <c r="G433" s="930">
        <v>474879743.13999999</v>
      </c>
      <c r="H433" s="930">
        <v>474563067.27999997</v>
      </c>
      <c r="I433" s="932">
        <v>316675.86000001401</v>
      </c>
      <c r="M433" s="931" t="s">
        <v>1465</v>
      </c>
    </row>
    <row r="434" spans="2:13" outlineLevel="1">
      <c r="B434" s="933"/>
      <c r="C434" s="952" t="s">
        <v>1108</v>
      </c>
      <c r="D434" s="952" t="s">
        <v>1108</v>
      </c>
      <c r="E434" s="935" t="s">
        <v>1108</v>
      </c>
      <c r="F434" s="935" t="s">
        <v>1108</v>
      </c>
      <c r="G434" s="935" t="s">
        <v>1108</v>
      </c>
      <c r="H434" s="935" t="s">
        <v>1108</v>
      </c>
      <c r="I434" s="936" t="s">
        <v>1108</v>
      </c>
      <c r="M434" s="934"/>
    </row>
    <row r="435" spans="2:13" outlineLevel="1">
      <c r="B435" s="933"/>
      <c r="C435" s="952" t="s">
        <v>1108</v>
      </c>
      <c r="D435" s="952" t="s">
        <v>1108</v>
      </c>
      <c r="E435" s="935" t="s">
        <v>1108</v>
      </c>
      <c r="F435" s="935" t="s">
        <v>1108</v>
      </c>
      <c r="G435" s="935" t="s">
        <v>1108</v>
      </c>
      <c r="H435" s="935" t="s">
        <v>1108</v>
      </c>
      <c r="I435" s="936" t="s">
        <v>1108</v>
      </c>
      <c r="M435" s="934"/>
    </row>
    <row r="436" spans="2:13" outlineLevel="1">
      <c r="B436" s="929" t="s">
        <v>1466</v>
      </c>
      <c r="C436" s="949">
        <v>616404122.60000002</v>
      </c>
      <c r="D436" s="949">
        <v>616404122.60000002</v>
      </c>
      <c r="E436" s="930">
        <v>616404122.60000002</v>
      </c>
      <c r="F436" s="930">
        <v>608402596.50999999</v>
      </c>
      <c r="G436" s="930">
        <v>600466685.13999999</v>
      </c>
      <c r="H436" s="930">
        <v>518846498.16000003</v>
      </c>
      <c r="I436" s="932">
        <v>81620186.980000004</v>
      </c>
      <c r="M436" s="931" t="s">
        <v>1466</v>
      </c>
    </row>
    <row r="437" spans="2:13" outlineLevel="1">
      <c r="B437" s="933"/>
      <c r="C437" s="952" t="s">
        <v>1108</v>
      </c>
      <c r="D437" s="952" t="s">
        <v>1108</v>
      </c>
      <c r="E437" s="935" t="s">
        <v>1108</v>
      </c>
      <c r="F437" s="935" t="s">
        <v>1108</v>
      </c>
      <c r="G437" s="935" t="s">
        <v>1108</v>
      </c>
      <c r="H437" s="935" t="s">
        <v>1108</v>
      </c>
      <c r="I437" s="936" t="s">
        <v>1108</v>
      </c>
      <c r="M437" s="934"/>
    </row>
    <row r="438" spans="2:13" outlineLevel="1">
      <c r="B438" s="929" t="s">
        <v>1467</v>
      </c>
      <c r="C438" s="949"/>
      <c r="D438" s="949"/>
      <c r="E438" s="930"/>
      <c r="F438" s="930"/>
      <c r="G438" s="935"/>
      <c r="H438" s="935"/>
      <c r="I438" s="936"/>
      <c r="M438" s="934"/>
    </row>
    <row r="439" spans="2:13" outlineLevel="1">
      <c r="B439" s="933"/>
      <c r="C439" s="949"/>
      <c r="D439" s="949"/>
      <c r="E439" s="930"/>
      <c r="F439" s="930"/>
      <c r="G439" s="935"/>
      <c r="H439" s="935"/>
      <c r="I439" s="936"/>
      <c r="M439" s="934"/>
    </row>
    <row r="440" spans="2:13" outlineLevel="1">
      <c r="B440" s="929" t="s">
        <v>1468</v>
      </c>
      <c r="C440" s="949"/>
      <c r="D440" s="949"/>
      <c r="E440" s="930"/>
      <c r="F440" s="930"/>
      <c r="G440" s="935"/>
      <c r="H440" s="935"/>
      <c r="I440" s="936"/>
      <c r="M440" s="934"/>
    </row>
    <row r="441" spans="2:13" outlineLevel="1">
      <c r="B441" s="929" t="s">
        <v>1469</v>
      </c>
      <c r="C441" s="949">
        <v>5741.11</v>
      </c>
      <c r="D441" s="949">
        <v>5741.11</v>
      </c>
      <c r="E441" s="930">
        <v>5741.11</v>
      </c>
      <c r="F441" s="930">
        <v>148570.45000000001</v>
      </c>
      <c r="G441" s="935"/>
      <c r="H441" s="935"/>
      <c r="I441" s="936"/>
      <c r="M441" s="934"/>
    </row>
    <row r="442" spans="2:13" outlineLevel="1">
      <c r="B442" s="929" t="s">
        <v>1470</v>
      </c>
      <c r="C442" s="949">
        <v>1027522.39</v>
      </c>
      <c r="D442" s="949">
        <v>1027522.39</v>
      </c>
      <c r="E442" s="930">
        <v>1027522.39</v>
      </c>
      <c r="F442" s="930">
        <v>0</v>
      </c>
      <c r="G442" s="935"/>
      <c r="H442" s="935"/>
      <c r="I442" s="936"/>
      <c r="M442" s="934"/>
    </row>
    <row r="443" spans="2:13" outlineLevel="1">
      <c r="B443" s="933"/>
      <c r="C443" s="952" t="s">
        <v>1108</v>
      </c>
      <c r="D443" s="952" t="s">
        <v>1108</v>
      </c>
      <c r="E443" s="935" t="s">
        <v>1108</v>
      </c>
      <c r="F443" s="935" t="s">
        <v>1108</v>
      </c>
      <c r="G443" s="935"/>
      <c r="H443" s="935"/>
      <c r="I443" s="936"/>
      <c r="M443" s="934"/>
    </row>
    <row r="444" spans="2:13" outlineLevel="1">
      <c r="B444" s="929" t="s">
        <v>1471</v>
      </c>
      <c r="C444" s="949">
        <v>1033263.5</v>
      </c>
      <c r="D444" s="949">
        <v>1033263.5</v>
      </c>
      <c r="E444" s="930">
        <v>1033263.5</v>
      </c>
      <c r="F444" s="930">
        <v>148570.45000000001</v>
      </c>
      <c r="G444" s="935"/>
      <c r="H444" s="935"/>
      <c r="I444" s="936"/>
      <c r="M444" s="934"/>
    </row>
    <row r="445" spans="2:13" outlineLevel="1">
      <c r="B445" s="933"/>
      <c r="C445" s="952" t="s">
        <v>1108</v>
      </c>
      <c r="D445" s="952" t="s">
        <v>1108</v>
      </c>
      <c r="E445" s="935" t="s">
        <v>1108</v>
      </c>
      <c r="F445" s="935" t="s">
        <v>1108</v>
      </c>
      <c r="G445" s="935"/>
      <c r="H445" s="935"/>
      <c r="I445" s="936"/>
      <c r="M445" s="934"/>
    </row>
    <row r="446" spans="2:13" outlineLevel="1">
      <c r="B446" s="933"/>
      <c r="C446" s="952" t="s">
        <v>1108</v>
      </c>
      <c r="D446" s="952" t="s">
        <v>1108</v>
      </c>
      <c r="E446" s="935" t="s">
        <v>1108</v>
      </c>
      <c r="F446" s="935" t="s">
        <v>1108</v>
      </c>
      <c r="G446" s="935"/>
      <c r="H446" s="935"/>
      <c r="I446" s="936"/>
      <c r="M446" s="934"/>
    </row>
    <row r="447" spans="2:13" outlineLevel="1">
      <c r="B447" s="929" t="s">
        <v>1472</v>
      </c>
      <c r="C447" s="949">
        <v>1033263.5</v>
      </c>
      <c r="D447" s="949">
        <v>1033263.5</v>
      </c>
      <c r="E447" s="930">
        <v>1033263.5</v>
      </c>
      <c r="F447" s="930">
        <v>148570.45000000001</v>
      </c>
      <c r="G447" s="935"/>
      <c r="H447" s="935"/>
      <c r="I447" s="936"/>
      <c r="M447" s="934"/>
    </row>
    <row r="448" spans="2:13" outlineLevel="1">
      <c r="B448" s="933"/>
      <c r="C448" s="952" t="s">
        <v>1108</v>
      </c>
      <c r="D448" s="952" t="s">
        <v>1108</v>
      </c>
      <c r="E448" s="935" t="s">
        <v>1108</v>
      </c>
      <c r="F448" s="935" t="s">
        <v>1108</v>
      </c>
      <c r="M448" s="934"/>
    </row>
    <row r="449" spans="2:13" outlineLevel="1">
      <c r="B449" s="929" t="s">
        <v>1473</v>
      </c>
      <c r="C449" s="949">
        <v>854465980.73000002</v>
      </c>
      <c r="D449" s="949">
        <v>854465980.73000002</v>
      </c>
      <c r="E449" s="930">
        <v>854465980.73000002</v>
      </c>
      <c r="F449" s="930">
        <v>763614517.85000002</v>
      </c>
      <c r="G449" s="930">
        <v>756122034.85000002</v>
      </c>
      <c r="H449" s="930">
        <v>664755147.47000003</v>
      </c>
      <c r="I449" s="932">
        <v>91366887.379999995</v>
      </c>
      <c r="M449" s="931" t="s">
        <v>1473</v>
      </c>
    </row>
    <row r="450" spans="2:13" outlineLevel="1">
      <c r="B450" s="933"/>
      <c r="C450" s="952" t="s">
        <v>1474</v>
      </c>
      <c r="D450" s="952" t="s">
        <v>1474</v>
      </c>
      <c r="E450" s="935" t="s">
        <v>1474</v>
      </c>
      <c r="F450" s="935" t="s">
        <v>1474</v>
      </c>
      <c r="G450" s="935" t="s">
        <v>1474</v>
      </c>
      <c r="H450" s="935" t="s">
        <v>1474</v>
      </c>
      <c r="I450" s="936" t="s">
        <v>1474</v>
      </c>
      <c r="M450" s="934"/>
    </row>
    <row r="451" spans="2:13" outlineLevel="1">
      <c r="B451" s="933"/>
      <c r="C451" s="4295" t="s">
        <v>1475</v>
      </c>
      <c r="D451" s="4295" t="s">
        <v>1475</v>
      </c>
      <c r="E451" s="937" t="s">
        <v>1475</v>
      </c>
      <c r="F451" s="938"/>
      <c r="G451" s="937" t="s">
        <v>1475</v>
      </c>
      <c r="H451" s="938"/>
      <c r="I451" s="932"/>
      <c r="M451" s="934"/>
    </row>
    <row r="452" spans="2:13" outlineLevel="1">
      <c r="B452" s="929" t="s">
        <v>1070</v>
      </c>
      <c r="C452" s="949"/>
      <c r="D452" s="949"/>
      <c r="E452" s="930"/>
      <c r="F452" s="930"/>
      <c r="G452" s="930"/>
      <c r="H452" s="930"/>
      <c r="I452" s="932"/>
      <c r="M452" s="931" t="s">
        <v>1070</v>
      </c>
    </row>
    <row r="453" spans="2:13" outlineLevel="1">
      <c r="B453" s="929" t="s">
        <v>1071</v>
      </c>
      <c r="C453" s="949"/>
      <c r="D453" s="949"/>
      <c r="E453" s="930"/>
      <c r="F453" s="930"/>
      <c r="G453" s="930"/>
      <c r="H453" s="930"/>
      <c r="I453" s="932"/>
      <c r="M453" s="931" t="s">
        <v>1071</v>
      </c>
    </row>
    <row r="454" spans="2:13" outlineLevel="1">
      <c r="B454" s="929" t="s">
        <v>1072</v>
      </c>
      <c r="C454" s="949"/>
      <c r="D454" s="949"/>
      <c r="E454" s="930"/>
      <c r="F454" s="930"/>
      <c r="G454" s="930"/>
      <c r="H454" s="930"/>
      <c r="I454" s="932"/>
      <c r="M454" s="931" t="s">
        <v>1072</v>
      </c>
    </row>
    <row r="455" spans="2:13" outlineLevel="1">
      <c r="B455" s="929" t="s">
        <v>1073</v>
      </c>
      <c r="C455" s="949"/>
      <c r="D455" s="949"/>
      <c r="E455" s="930"/>
      <c r="F455" s="930"/>
      <c r="G455" s="930"/>
      <c r="H455" s="930"/>
      <c r="I455" s="932"/>
      <c r="M455" s="931" t="s">
        <v>1073</v>
      </c>
    </row>
    <row r="456" spans="2:13" outlineLevel="1">
      <c r="B456" s="929" t="s">
        <v>1074</v>
      </c>
      <c r="C456" s="949"/>
      <c r="D456" s="949"/>
      <c r="E456" s="930"/>
      <c r="F456" s="930"/>
      <c r="G456" s="930"/>
      <c r="H456" s="930"/>
      <c r="I456" s="932"/>
      <c r="M456" s="931" t="s">
        <v>1075</v>
      </c>
    </row>
    <row r="457" spans="2:13" outlineLevel="1">
      <c r="B457" s="929" t="s">
        <v>1076</v>
      </c>
      <c r="C457" s="949"/>
      <c r="D457" s="949"/>
      <c r="E457" s="930"/>
      <c r="F457" s="930"/>
      <c r="G457" s="930"/>
      <c r="H457" s="930"/>
      <c r="I457" s="932"/>
      <c r="M457" s="931" t="s">
        <v>1077</v>
      </c>
    </row>
    <row r="458" spans="2:13" outlineLevel="1">
      <c r="B458" s="933"/>
      <c r="C458" s="949"/>
      <c r="D458" s="949"/>
      <c r="E458" s="930"/>
      <c r="F458" s="930"/>
      <c r="G458" s="930"/>
      <c r="H458" s="930"/>
      <c r="I458" s="932"/>
      <c r="M458" s="934"/>
    </row>
    <row r="459" spans="2:13" outlineLevel="1">
      <c r="B459" s="933"/>
      <c r="C459" s="4296" t="s">
        <v>1078</v>
      </c>
      <c r="D459" s="4296" t="s">
        <v>1078</v>
      </c>
      <c r="E459" s="939" t="s">
        <v>1078</v>
      </c>
      <c r="F459" s="939" t="s">
        <v>1079</v>
      </c>
      <c r="G459" s="939" t="s">
        <v>1080</v>
      </c>
      <c r="H459" s="939" t="s">
        <v>1081</v>
      </c>
      <c r="I459" s="940" t="s">
        <v>1476</v>
      </c>
      <c r="M459" s="934"/>
    </row>
    <row r="460" spans="2:13" outlineLevel="1">
      <c r="B460" s="933"/>
      <c r="C460" s="949"/>
      <c r="D460" s="949"/>
      <c r="E460" s="930"/>
      <c r="F460" s="930"/>
      <c r="G460" s="930"/>
      <c r="H460" s="930"/>
      <c r="I460" s="932"/>
      <c r="M460" s="934"/>
    </row>
    <row r="461" spans="2:13" outlineLevel="1">
      <c r="B461" s="929" t="s">
        <v>1477</v>
      </c>
      <c r="C461" s="949"/>
      <c r="D461" s="949"/>
      <c r="E461" s="930"/>
      <c r="F461" s="930"/>
      <c r="G461" s="930"/>
      <c r="H461" s="930"/>
      <c r="I461" s="932"/>
      <c r="M461" s="931" t="s">
        <v>1477</v>
      </c>
    </row>
    <row r="462" spans="2:13" outlineLevel="1">
      <c r="B462" s="929" t="s">
        <v>1478</v>
      </c>
      <c r="C462" s="949"/>
      <c r="D462" s="949"/>
      <c r="E462" s="930"/>
      <c r="F462" s="930"/>
      <c r="G462" s="930"/>
      <c r="H462" s="930"/>
      <c r="I462" s="932"/>
      <c r="M462" s="931" t="s">
        <v>1478</v>
      </c>
    </row>
    <row r="463" spans="2:13" outlineLevel="1">
      <c r="B463" s="933"/>
      <c r="C463" s="949"/>
      <c r="D463" s="949"/>
      <c r="E463" s="930"/>
      <c r="F463" s="930"/>
      <c r="G463" s="930"/>
      <c r="H463" s="930"/>
      <c r="I463" s="932"/>
      <c r="M463" s="934"/>
    </row>
    <row r="464" spans="2:13" outlineLevel="1">
      <c r="B464" s="929" t="s">
        <v>1479</v>
      </c>
      <c r="C464" s="949"/>
      <c r="D464" s="949"/>
      <c r="E464" s="930"/>
      <c r="F464" s="930"/>
      <c r="G464" s="930"/>
      <c r="H464" s="930"/>
      <c r="I464" s="932"/>
      <c r="M464" s="931" t="s">
        <v>1479</v>
      </c>
    </row>
    <row r="465" spans="2:13" outlineLevel="1">
      <c r="B465" s="929" t="s">
        <v>1480</v>
      </c>
      <c r="C465" s="949">
        <v>7547322.4400000004</v>
      </c>
      <c r="D465" s="949">
        <v>7547322.4400000004</v>
      </c>
      <c r="E465" s="930">
        <v>7547322.4400000004</v>
      </c>
      <c r="F465" s="930">
        <v>1567017.67</v>
      </c>
      <c r="G465" s="930">
        <v>792354.77</v>
      </c>
      <c r="H465" s="930">
        <v>1221404.4099999999</v>
      </c>
      <c r="I465" s="932">
        <v>-429049.64</v>
      </c>
      <c r="M465" s="931" t="s">
        <v>1480</v>
      </c>
    </row>
    <row r="466" spans="2:13" outlineLevel="1">
      <c r="B466" s="929" t="s">
        <v>1481</v>
      </c>
      <c r="C466" s="949">
        <v>420285.71</v>
      </c>
      <c r="D466" s="949">
        <v>420285.71</v>
      </c>
      <c r="E466" s="930">
        <v>420285.71</v>
      </c>
      <c r="F466" s="930">
        <v>797662.34</v>
      </c>
      <c r="G466" s="930">
        <v>3240822.39</v>
      </c>
      <c r="H466" s="930">
        <v>5703320.4299999997</v>
      </c>
      <c r="I466" s="932">
        <v>-2462498.04</v>
      </c>
      <c r="M466" s="931" t="s">
        <v>1482</v>
      </c>
    </row>
    <row r="467" spans="2:13" outlineLevel="1">
      <c r="B467" s="929" t="s">
        <v>1482</v>
      </c>
      <c r="C467" s="949">
        <v>-111826.21</v>
      </c>
      <c r="D467" s="949">
        <v>-111826.21</v>
      </c>
      <c r="E467" s="930">
        <v>-111826.21</v>
      </c>
      <c r="F467" s="930">
        <v>1604793.82</v>
      </c>
      <c r="G467" s="930">
        <v>1150995.32</v>
      </c>
      <c r="H467" s="930">
        <v>29853.94</v>
      </c>
      <c r="I467" s="932">
        <v>1121141.3799999999</v>
      </c>
      <c r="M467" s="931" t="s">
        <v>1483</v>
      </c>
    </row>
    <row r="468" spans="2:13" outlineLevel="1">
      <c r="B468" s="929" t="s">
        <v>1483</v>
      </c>
      <c r="C468" s="949">
        <v>143650.26</v>
      </c>
      <c r="D468" s="949">
        <v>143650.26</v>
      </c>
      <c r="E468" s="930">
        <v>143650.26</v>
      </c>
      <c r="F468" s="930">
        <v>857521.31</v>
      </c>
      <c r="G468" s="930">
        <v>40564.47</v>
      </c>
      <c r="H468" s="930">
        <v>14086.84</v>
      </c>
      <c r="I468" s="932">
        <v>26477.63</v>
      </c>
      <c r="M468" s="931" t="s">
        <v>1484</v>
      </c>
    </row>
    <row r="469" spans="2:13" outlineLevel="1">
      <c r="B469" s="929" t="s">
        <v>1485</v>
      </c>
      <c r="C469" s="949">
        <v>10086.370000000001</v>
      </c>
      <c r="D469" s="949">
        <v>10086.370000000001</v>
      </c>
      <c r="E469" s="930">
        <v>10086.370000000001</v>
      </c>
      <c r="F469" s="930">
        <v>13420.6</v>
      </c>
      <c r="G469" s="930">
        <v>8577.35</v>
      </c>
      <c r="H469" s="930">
        <v>7145.1</v>
      </c>
      <c r="I469" s="932">
        <v>1432.25</v>
      </c>
      <c r="M469" s="931" t="s">
        <v>1485</v>
      </c>
    </row>
    <row r="470" spans="2:13" outlineLevel="1">
      <c r="B470" s="929" t="s">
        <v>1486</v>
      </c>
      <c r="C470" s="949">
        <v>3006.38</v>
      </c>
      <c r="D470" s="949">
        <v>3006.38</v>
      </c>
      <c r="E470" s="930">
        <v>3006.38</v>
      </c>
      <c r="F470" s="930">
        <v>0</v>
      </c>
      <c r="G470" s="930">
        <v>2026.69</v>
      </c>
      <c r="H470" s="930">
        <v>3266.87</v>
      </c>
      <c r="I470" s="932">
        <v>-1240.18</v>
      </c>
      <c r="M470" s="931" t="s">
        <v>1487</v>
      </c>
    </row>
    <row r="471" spans="2:13" outlineLevel="1">
      <c r="B471" s="929" t="s">
        <v>1487</v>
      </c>
      <c r="C471" s="949">
        <v>0</v>
      </c>
      <c r="D471" s="949">
        <v>0</v>
      </c>
      <c r="E471" s="930">
        <v>0</v>
      </c>
      <c r="F471" s="930">
        <v>1653.27</v>
      </c>
      <c r="G471" s="930">
        <v>375666.16</v>
      </c>
      <c r="H471" s="930">
        <v>0</v>
      </c>
      <c r="I471" s="932">
        <v>375666.16</v>
      </c>
      <c r="M471" s="931" t="s">
        <v>1488</v>
      </c>
    </row>
    <row r="472" spans="2:13" outlineLevel="1">
      <c r="B472" s="929" t="s">
        <v>1488</v>
      </c>
      <c r="C472" s="949">
        <v>0</v>
      </c>
      <c r="D472" s="949">
        <v>0</v>
      </c>
      <c r="E472" s="930">
        <v>0</v>
      </c>
      <c r="F472" s="930">
        <v>357469.64</v>
      </c>
      <c r="G472" s="930">
        <v>671639.66</v>
      </c>
      <c r="H472" s="930">
        <v>0</v>
      </c>
      <c r="I472" s="932">
        <v>671639.66</v>
      </c>
      <c r="M472" s="931" t="s">
        <v>1489</v>
      </c>
    </row>
    <row r="473" spans="2:13" outlineLevel="1">
      <c r="B473" s="929" t="s">
        <v>1489</v>
      </c>
      <c r="C473" s="949">
        <v>0</v>
      </c>
      <c r="D473" s="949">
        <v>0</v>
      </c>
      <c r="E473" s="930">
        <v>0</v>
      </c>
      <c r="F473" s="930">
        <v>3064527.51</v>
      </c>
      <c r="G473" s="930">
        <v>2767209.3</v>
      </c>
      <c r="H473" s="930">
        <v>3273562.45</v>
      </c>
      <c r="I473" s="932">
        <v>-506353.15</v>
      </c>
      <c r="M473" s="931" t="s">
        <v>1481</v>
      </c>
    </row>
    <row r="474" spans="2:13" outlineLevel="1">
      <c r="B474" s="929" t="s">
        <v>1490</v>
      </c>
      <c r="C474" s="949">
        <v>1041537.47</v>
      </c>
      <c r="D474" s="949">
        <v>1041537.47</v>
      </c>
      <c r="E474" s="930">
        <v>1041537.47</v>
      </c>
      <c r="F474" s="930">
        <v>0</v>
      </c>
      <c r="G474" s="930"/>
      <c r="H474" s="930"/>
      <c r="I474" s="932"/>
      <c r="M474" s="931"/>
    </row>
    <row r="475" spans="2:13" outlineLevel="1">
      <c r="B475" s="929" t="s">
        <v>1491</v>
      </c>
      <c r="C475" s="949">
        <v>4257865.6500000004</v>
      </c>
      <c r="D475" s="949">
        <v>4257865.6500000004</v>
      </c>
      <c r="E475" s="930">
        <v>4257865.6500000004</v>
      </c>
      <c r="F475" s="930">
        <v>0</v>
      </c>
      <c r="G475" s="930"/>
      <c r="H475" s="930"/>
      <c r="I475" s="932"/>
      <c r="M475" s="931"/>
    </row>
    <row r="476" spans="2:13" outlineLevel="1">
      <c r="B476" s="933"/>
      <c r="C476" s="952" t="s">
        <v>1108</v>
      </c>
      <c r="D476" s="952" t="s">
        <v>1108</v>
      </c>
      <c r="E476" s="935" t="s">
        <v>1108</v>
      </c>
      <c r="F476" s="935" t="s">
        <v>1108</v>
      </c>
      <c r="G476" s="935" t="s">
        <v>1108</v>
      </c>
      <c r="H476" s="935" t="s">
        <v>1108</v>
      </c>
      <c r="I476" s="936" t="s">
        <v>1108</v>
      </c>
      <c r="M476" s="934"/>
    </row>
    <row r="477" spans="2:13" outlineLevel="1">
      <c r="B477" s="929" t="s">
        <v>1492</v>
      </c>
      <c r="C477" s="949">
        <v>13311928.07</v>
      </c>
      <c r="D477" s="949">
        <v>13311928.07</v>
      </c>
      <c r="E477" s="930">
        <v>13311928.07</v>
      </c>
      <c r="F477" s="930">
        <v>8264066.1600000001</v>
      </c>
      <c r="G477" s="930">
        <v>9049856.1099999994</v>
      </c>
      <c r="H477" s="930">
        <v>10252640.039999999</v>
      </c>
      <c r="I477" s="932">
        <v>-1202783.93</v>
      </c>
      <c r="M477" s="931" t="s">
        <v>1492</v>
      </c>
    </row>
    <row r="478" spans="2:13" outlineLevel="1">
      <c r="B478" s="933"/>
      <c r="C478" s="952" t="s">
        <v>1108</v>
      </c>
      <c r="D478" s="952" t="s">
        <v>1108</v>
      </c>
      <c r="E478" s="935" t="s">
        <v>1108</v>
      </c>
      <c r="F478" s="935" t="s">
        <v>1108</v>
      </c>
      <c r="G478" s="935" t="s">
        <v>1108</v>
      </c>
      <c r="H478" s="935" t="s">
        <v>1108</v>
      </c>
      <c r="I478" s="936" t="s">
        <v>1108</v>
      </c>
      <c r="M478" s="934"/>
    </row>
    <row r="479" spans="2:13" outlineLevel="1">
      <c r="B479" s="933"/>
      <c r="C479" s="949"/>
      <c r="D479" s="949"/>
      <c r="E479" s="930"/>
      <c r="F479" s="930"/>
      <c r="G479" s="930"/>
      <c r="H479" s="930"/>
      <c r="I479" s="932"/>
      <c r="M479" s="934"/>
    </row>
    <row r="480" spans="2:13" outlineLevel="1">
      <c r="B480" s="929" t="s">
        <v>1493</v>
      </c>
      <c r="C480" s="949"/>
      <c r="D480" s="949"/>
      <c r="E480" s="930"/>
      <c r="F480" s="930"/>
      <c r="G480" s="930"/>
      <c r="H480" s="930"/>
      <c r="I480" s="932"/>
      <c r="M480" s="931" t="s">
        <v>1493</v>
      </c>
    </row>
    <row r="481" spans="2:13" outlineLevel="1">
      <c r="B481" s="929" t="s">
        <v>1494</v>
      </c>
      <c r="C481" s="949">
        <v>48000000</v>
      </c>
      <c r="D481" s="949">
        <v>48000000</v>
      </c>
      <c r="E481" s="930">
        <v>48000000</v>
      </c>
      <c r="F481" s="930">
        <v>0</v>
      </c>
      <c r="G481" s="930">
        <v>20000000</v>
      </c>
      <c r="H481" s="930">
        <v>0</v>
      </c>
      <c r="I481" s="932">
        <v>20000000</v>
      </c>
      <c r="M481" s="931" t="s">
        <v>1494</v>
      </c>
    </row>
    <row r="482" spans="2:13" outlineLevel="1">
      <c r="B482" s="929" t="s">
        <v>1495</v>
      </c>
      <c r="C482" s="949">
        <v>-8126498.8300000001</v>
      </c>
      <c r="D482" s="949">
        <v>-8126498.8300000001</v>
      </c>
      <c r="E482" s="930">
        <v>-8126498.8300000001</v>
      </c>
      <c r="F482" s="930">
        <v>4490892.26</v>
      </c>
      <c r="G482" s="930">
        <v>81561.149999999994</v>
      </c>
      <c r="H482" s="930">
        <v>81546.09</v>
      </c>
      <c r="I482" s="932">
        <v>15.0599999999977</v>
      </c>
      <c r="M482" s="931" t="s">
        <v>1496</v>
      </c>
    </row>
    <row r="483" spans="2:13" outlineLevel="1">
      <c r="B483" s="929" t="s">
        <v>1496</v>
      </c>
      <c r="C483" s="949">
        <v>81633.91</v>
      </c>
      <c r="D483" s="949">
        <v>81633.91</v>
      </c>
      <c r="E483" s="930">
        <v>81633.91</v>
      </c>
      <c r="F483" s="930">
        <v>81621.3</v>
      </c>
      <c r="G483" s="930">
        <v>38355.5</v>
      </c>
      <c r="H483" s="930">
        <v>7614.38</v>
      </c>
      <c r="I483" s="932">
        <v>30741.119999999999</v>
      </c>
      <c r="M483" s="931" t="s">
        <v>1497</v>
      </c>
    </row>
    <row r="484" spans="2:13" outlineLevel="1">
      <c r="B484" s="929" t="s">
        <v>1497</v>
      </c>
      <c r="C484" s="949">
        <v>124812.86</v>
      </c>
      <c r="D484" s="949">
        <v>124812.86</v>
      </c>
      <c r="E484" s="930">
        <v>124812.86</v>
      </c>
      <c r="F484" s="930">
        <v>93661.18</v>
      </c>
      <c r="G484" s="930">
        <v>0</v>
      </c>
      <c r="H484" s="930">
        <v>-235.55</v>
      </c>
      <c r="I484" s="932">
        <v>235.55</v>
      </c>
      <c r="M484" s="931" t="s">
        <v>1498</v>
      </c>
    </row>
    <row r="485" spans="2:13" outlineLevel="1">
      <c r="B485" s="929" t="s">
        <v>1498</v>
      </c>
      <c r="C485" s="949">
        <v>-13961.59</v>
      </c>
      <c r="D485" s="949">
        <v>-13961.59</v>
      </c>
      <c r="E485" s="930">
        <v>-13961.59</v>
      </c>
      <c r="F485" s="930">
        <v>21048.28</v>
      </c>
      <c r="G485" s="930">
        <v>0</v>
      </c>
      <c r="H485" s="930">
        <v>18872.43</v>
      </c>
      <c r="I485" s="932">
        <v>-18872.43</v>
      </c>
      <c r="M485" s="931" t="s">
        <v>1499</v>
      </c>
    </row>
    <row r="486" spans="2:13" outlineLevel="1">
      <c r="B486" s="929" t="s">
        <v>1500</v>
      </c>
      <c r="C486" s="949">
        <v>1506279.36</v>
      </c>
      <c r="D486" s="949">
        <v>1506279.36</v>
      </c>
      <c r="E486" s="930">
        <v>1506279.36</v>
      </c>
      <c r="F486" s="930">
        <v>1024100.28</v>
      </c>
      <c r="G486" s="930">
        <v>0</v>
      </c>
      <c r="H486" s="930">
        <v>1916.61</v>
      </c>
      <c r="I486" s="932">
        <v>-1916.61</v>
      </c>
      <c r="M486" s="931" t="s">
        <v>1501</v>
      </c>
    </row>
    <row r="487" spans="2:13" outlineLevel="1">
      <c r="B487" s="929" t="s">
        <v>1502</v>
      </c>
      <c r="C487" s="949">
        <v>-2923239.66</v>
      </c>
      <c r="D487" s="949">
        <v>-2923239.66</v>
      </c>
      <c r="E487" s="930">
        <v>-2923239.66</v>
      </c>
      <c r="F487" s="930">
        <v>0</v>
      </c>
      <c r="G487" s="930">
        <v>1729783.21</v>
      </c>
      <c r="H487" s="930">
        <v>0</v>
      </c>
      <c r="I487" s="932">
        <v>1729783.21</v>
      </c>
      <c r="M487" s="931" t="s">
        <v>1500</v>
      </c>
    </row>
    <row r="488" spans="2:13" outlineLevel="1">
      <c r="B488" s="929" t="s">
        <v>1503</v>
      </c>
      <c r="C488" s="949">
        <v>0</v>
      </c>
      <c r="D488" s="949">
        <v>0</v>
      </c>
      <c r="E488" s="930">
        <v>0</v>
      </c>
      <c r="F488" s="930">
        <v>7709.87</v>
      </c>
      <c r="G488" s="930">
        <v>3211441.43</v>
      </c>
      <c r="H488" s="930">
        <v>10183263.92</v>
      </c>
      <c r="I488" s="932">
        <v>-6971822.4900000002</v>
      </c>
      <c r="M488" s="931" t="s">
        <v>1495</v>
      </c>
    </row>
    <row r="489" spans="2:13" outlineLevel="1">
      <c r="B489" s="929" t="s">
        <v>1504</v>
      </c>
      <c r="C489" s="949">
        <v>0</v>
      </c>
      <c r="D489" s="949">
        <v>0</v>
      </c>
      <c r="E489" s="930">
        <v>0</v>
      </c>
      <c r="F489" s="930">
        <v>1326.18</v>
      </c>
      <c r="G489" s="930"/>
      <c r="H489" s="930"/>
      <c r="I489" s="932"/>
      <c r="M489" s="931"/>
    </row>
    <row r="490" spans="2:13" outlineLevel="1">
      <c r="B490" s="933"/>
      <c r="C490" s="952" t="s">
        <v>1108</v>
      </c>
      <c r="D490" s="952" t="s">
        <v>1108</v>
      </c>
      <c r="E490" s="935" t="s">
        <v>1108</v>
      </c>
      <c r="F490" s="935" t="s">
        <v>1108</v>
      </c>
      <c r="G490" s="935" t="s">
        <v>1108</v>
      </c>
      <c r="H490" s="935" t="s">
        <v>1108</v>
      </c>
      <c r="I490" s="936" t="s">
        <v>1108</v>
      </c>
      <c r="M490" s="934"/>
    </row>
    <row r="491" spans="2:13" outlineLevel="1">
      <c r="B491" s="929" t="s">
        <v>1505</v>
      </c>
      <c r="C491" s="949">
        <v>38649026.049999997</v>
      </c>
      <c r="D491" s="949">
        <v>38649026.049999997</v>
      </c>
      <c r="E491" s="930">
        <v>38649026.049999997</v>
      </c>
      <c r="F491" s="930">
        <v>5720359.3499999996</v>
      </c>
      <c r="G491" s="930">
        <v>25061141.289999999</v>
      </c>
      <c r="H491" s="930">
        <v>10292977.880000001</v>
      </c>
      <c r="I491" s="932">
        <v>14768163.41</v>
      </c>
      <c r="M491" s="931" t="s">
        <v>1505</v>
      </c>
    </row>
    <row r="492" spans="2:13" outlineLevel="1">
      <c r="B492" s="933"/>
      <c r="C492" s="952" t="s">
        <v>1108</v>
      </c>
      <c r="D492" s="952" t="s">
        <v>1108</v>
      </c>
      <c r="E492" s="935" t="s">
        <v>1108</v>
      </c>
      <c r="F492" s="935" t="s">
        <v>1108</v>
      </c>
      <c r="G492" s="935" t="s">
        <v>1108</v>
      </c>
      <c r="H492" s="935" t="s">
        <v>1108</v>
      </c>
      <c r="I492" s="936" t="s">
        <v>1108</v>
      </c>
      <c r="M492" s="934"/>
    </row>
    <row r="493" spans="2:13" outlineLevel="1">
      <c r="B493" s="933"/>
      <c r="C493" s="949"/>
      <c r="D493" s="949"/>
      <c r="E493" s="930"/>
      <c r="F493" s="930"/>
      <c r="G493" s="930"/>
      <c r="H493" s="930"/>
      <c r="I493" s="932"/>
      <c r="M493" s="934"/>
    </row>
    <row r="494" spans="2:13" outlineLevel="1">
      <c r="B494" s="929" t="s">
        <v>1506</v>
      </c>
      <c r="C494" s="949"/>
      <c r="D494" s="949"/>
      <c r="E494" s="930"/>
      <c r="F494" s="930"/>
      <c r="G494" s="930"/>
      <c r="H494" s="930"/>
      <c r="I494" s="932"/>
      <c r="M494" s="931" t="s">
        <v>1506</v>
      </c>
    </row>
    <row r="495" spans="2:13" outlineLevel="1">
      <c r="B495" s="929" t="s">
        <v>1507</v>
      </c>
      <c r="C495" s="949">
        <v>489887.39</v>
      </c>
      <c r="D495" s="949">
        <v>489887.39</v>
      </c>
      <c r="E495" s="930">
        <v>489887.39</v>
      </c>
      <c r="F495" s="930">
        <v>419991.57</v>
      </c>
      <c r="G495" s="930">
        <v>-18.82</v>
      </c>
      <c r="H495" s="930">
        <v>454822.54</v>
      </c>
      <c r="I495" s="932">
        <v>-454841.36</v>
      </c>
      <c r="M495" s="931" t="s">
        <v>1507</v>
      </c>
    </row>
    <row r="496" spans="2:13" outlineLevel="1">
      <c r="B496" s="929" t="s">
        <v>1508</v>
      </c>
      <c r="C496" s="949">
        <v>3159169.52</v>
      </c>
      <c r="D496" s="949">
        <v>3159169.52</v>
      </c>
      <c r="E496" s="930">
        <v>3159169.52</v>
      </c>
      <c r="F496" s="930">
        <v>3068197.78</v>
      </c>
      <c r="G496" s="930">
        <v>-13193.86</v>
      </c>
      <c r="H496" s="930">
        <v>-11625.24</v>
      </c>
      <c r="I496" s="932">
        <v>-1568.62</v>
      </c>
      <c r="M496" s="931" t="s">
        <v>1509</v>
      </c>
    </row>
    <row r="497" spans="2:13" outlineLevel="1">
      <c r="B497" s="929" t="s">
        <v>1509</v>
      </c>
      <c r="C497" s="949">
        <v>-8530.68</v>
      </c>
      <c r="D497" s="949">
        <v>-8530.68</v>
      </c>
      <c r="E497" s="930">
        <v>-8530.68</v>
      </c>
      <c r="F497" s="930">
        <v>-9809.5</v>
      </c>
      <c r="G497" s="930">
        <v>0</v>
      </c>
      <c r="H497" s="930">
        <v>76351.100000000006</v>
      </c>
      <c r="I497" s="932">
        <v>-76351.100000000006</v>
      </c>
      <c r="M497" s="931" t="s">
        <v>1510</v>
      </c>
    </row>
    <row r="498" spans="2:13" outlineLevel="1">
      <c r="B498" s="929" t="s">
        <v>1511</v>
      </c>
      <c r="C498" s="949">
        <v>-1632.13</v>
      </c>
      <c r="D498" s="949">
        <v>-1632.13</v>
      </c>
      <c r="E498" s="930">
        <v>-1632.13</v>
      </c>
      <c r="F498" s="930">
        <v>0</v>
      </c>
      <c r="G498" s="930">
        <v>0</v>
      </c>
      <c r="H498" s="930">
        <v>25218.79</v>
      </c>
      <c r="I498" s="932">
        <v>-25218.79</v>
      </c>
      <c r="M498" s="931" t="s">
        <v>1512</v>
      </c>
    </row>
    <row r="499" spans="2:13" outlineLevel="1">
      <c r="B499" s="929" t="s">
        <v>1513</v>
      </c>
      <c r="C499" s="949">
        <v>6873.09</v>
      </c>
      <c r="D499" s="949">
        <v>6873.09</v>
      </c>
      <c r="E499" s="930">
        <v>6873.09</v>
      </c>
      <c r="F499" s="930">
        <v>7070.7</v>
      </c>
      <c r="G499" s="930">
        <v>3335.08</v>
      </c>
      <c r="H499" s="930">
        <v>7443</v>
      </c>
      <c r="I499" s="932">
        <v>-4107.92</v>
      </c>
      <c r="M499" s="931" t="s">
        <v>1514</v>
      </c>
    </row>
    <row r="500" spans="2:13" outlineLevel="1">
      <c r="B500" s="929" t="s">
        <v>1515</v>
      </c>
      <c r="C500" s="949">
        <v>6068.49</v>
      </c>
      <c r="D500" s="949">
        <v>6068.49</v>
      </c>
      <c r="E500" s="930">
        <v>6068.49</v>
      </c>
      <c r="F500" s="930">
        <v>4931.91</v>
      </c>
      <c r="G500" s="930">
        <v>0</v>
      </c>
      <c r="H500" s="930">
        <v>15230.1</v>
      </c>
      <c r="I500" s="932">
        <v>-15230.1</v>
      </c>
      <c r="M500" s="931" t="s">
        <v>1516</v>
      </c>
    </row>
    <row r="501" spans="2:13" outlineLevel="1">
      <c r="B501" s="929" t="s">
        <v>1517</v>
      </c>
      <c r="C501" s="949">
        <v>-701.1</v>
      </c>
      <c r="D501" s="949">
        <v>-701.1</v>
      </c>
      <c r="E501" s="930">
        <v>-701.1</v>
      </c>
      <c r="F501" s="930">
        <v>-701.1</v>
      </c>
      <c r="G501" s="930">
        <v>0</v>
      </c>
      <c r="H501" s="930">
        <v>466.3</v>
      </c>
      <c r="I501" s="932">
        <v>-466.3</v>
      </c>
      <c r="M501" s="931" t="s">
        <v>1518</v>
      </c>
    </row>
    <row r="502" spans="2:13" outlineLevel="1">
      <c r="B502" s="929" t="s">
        <v>1519</v>
      </c>
      <c r="C502" s="949">
        <v>8051.78</v>
      </c>
      <c r="D502" s="949">
        <v>8051.78</v>
      </c>
      <c r="E502" s="930">
        <v>8051.78</v>
      </c>
      <c r="F502" s="930">
        <v>8742.76</v>
      </c>
      <c r="G502" s="930">
        <v>0</v>
      </c>
      <c r="H502" s="930">
        <v>5366.08</v>
      </c>
      <c r="I502" s="932">
        <v>-5366.08</v>
      </c>
      <c r="M502" s="931" t="s">
        <v>1520</v>
      </c>
    </row>
    <row r="503" spans="2:13" outlineLevel="1">
      <c r="B503" s="929" t="s">
        <v>1521</v>
      </c>
      <c r="C503" s="949">
        <v>408.52</v>
      </c>
      <c r="D503" s="949">
        <v>408.52</v>
      </c>
      <c r="E503" s="930">
        <v>408.52</v>
      </c>
      <c r="F503" s="930">
        <v>-1307.6099999999999</v>
      </c>
      <c r="G503" s="930">
        <v>0</v>
      </c>
      <c r="H503" s="930">
        <v>1692.82</v>
      </c>
      <c r="I503" s="932">
        <v>-1692.82</v>
      </c>
      <c r="M503" s="931" t="s">
        <v>1511</v>
      </c>
    </row>
    <row r="504" spans="2:13" outlineLevel="1">
      <c r="B504" s="929"/>
      <c r="C504" s="949"/>
      <c r="D504" s="949"/>
      <c r="E504" s="930"/>
      <c r="F504" s="930"/>
      <c r="G504" s="930">
        <v>0</v>
      </c>
      <c r="H504" s="930">
        <v>6607.99</v>
      </c>
      <c r="I504" s="932">
        <v>-6607.99</v>
      </c>
      <c r="M504" s="931" t="s">
        <v>1522</v>
      </c>
    </row>
    <row r="505" spans="2:13" outlineLevel="1">
      <c r="B505" s="929"/>
      <c r="C505" s="949"/>
      <c r="D505" s="949"/>
      <c r="E505" s="930"/>
      <c r="F505" s="930"/>
      <c r="G505" s="930">
        <v>0</v>
      </c>
      <c r="H505" s="930">
        <v>3535.74</v>
      </c>
      <c r="I505" s="932">
        <v>-3535.74</v>
      </c>
      <c r="M505" s="931" t="s">
        <v>1523</v>
      </c>
    </row>
    <row r="506" spans="2:13" outlineLevel="1">
      <c r="B506" s="929"/>
      <c r="C506" s="949"/>
      <c r="D506" s="949"/>
      <c r="E506" s="930"/>
      <c r="F506" s="930"/>
      <c r="G506" s="930">
        <v>0</v>
      </c>
      <c r="H506" s="930">
        <v>6869.18</v>
      </c>
      <c r="I506" s="932">
        <v>-6869.18</v>
      </c>
      <c r="M506" s="931" t="s">
        <v>1524</v>
      </c>
    </row>
    <row r="507" spans="2:13" outlineLevel="1">
      <c r="B507" s="929"/>
      <c r="C507" s="949"/>
      <c r="D507" s="949"/>
      <c r="E507" s="930"/>
      <c r="F507" s="930"/>
      <c r="G507" s="930">
        <v>0</v>
      </c>
      <c r="H507" s="930">
        <v>593.80999999999995</v>
      </c>
      <c r="I507" s="932">
        <v>-593.80999999999995</v>
      </c>
      <c r="M507" s="931" t="s">
        <v>1525</v>
      </c>
    </row>
    <row r="508" spans="2:13" outlineLevel="1">
      <c r="B508" s="929"/>
      <c r="C508" s="949"/>
      <c r="D508" s="949"/>
      <c r="E508" s="930"/>
      <c r="F508" s="930"/>
      <c r="G508" s="930">
        <v>-3335.08</v>
      </c>
      <c r="H508" s="930">
        <v>0</v>
      </c>
      <c r="I508" s="932">
        <v>-3335.08</v>
      </c>
      <c r="M508" s="931" t="s">
        <v>1526</v>
      </c>
    </row>
    <row r="509" spans="2:13" outlineLevel="1">
      <c r="B509" s="929"/>
      <c r="C509" s="949"/>
      <c r="D509" s="949"/>
      <c r="E509" s="930"/>
      <c r="F509" s="930"/>
      <c r="G509" s="930">
        <v>6875.78</v>
      </c>
      <c r="H509" s="930">
        <v>5914.95</v>
      </c>
      <c r="I509" s="932">
        <v>960.83</v>
      </c>
      <c r="M509" s="931" t="s">
        <v>1513</v>
      </c>
    </row>
    <row r="510" spans="2:13" outlineLevel="1">
      <c r="B510" s="929"/>
      <c r="C510" s="949"/>
      <c r="D510" s="949"/>
      <c r="E510" s="930"/>
      <c r="F510" s="930"/>
      <c r="G510" s="930">
        <v>2847.28</v>
      </c>
      <c r="H510" s="930">
        <v>4064.44</v>
      </c>
      <c r="I510" s="932">
        <v>-1217.1600000000001</v>
      </c>
      <c r="M510" s="931" t="s">
        <v>1515</v>
      </c>
    </row>
    <row r="511" spans="2:13" outlineLevel="1">
      <c r="B511" s="929"/>
      <c r="C511" s="949"/>
      <c r="D511" s="949"/>
      <c r="E511" s="930"/>
      <c r="F511" s="930"/>
      <c r="G511" s="930">
        <v>-701.1</v>
      </c>
      <c r="H511" s="930">
        <v>-701.1</v>
      </c>
      <c r="I511" s="932">
        <v>0</v>
      </c>
      <c r="M511" s="931" t="s">
        <v>1517</v>
      </c>
    </row>
    <row r="512" spans="2:13" outlineLevel="1">
      <c r="B512" s="929"/>
      <c r="C512" s="949"/>
      <c r="D512" s="949"/>
      <c r="E512" s="930"/>
      <c r="F512" s="930"/>
      <c r="G512" s="930">
        <v>4165.37</v>
      </c>
      <c r="H512" s="930">
        <v>-562.22</v>
      </c>
      <c r="I512" s="932">
        <v>4727.59</v>
      </c>
      <c r="M512" s="931" t="s">
        <v>1519</v>
      </c>
    </row>
    <row r="513" spans="2:13" outlineLevel="1">
      <c r="B513" s="929"/>
      <c r="C513" s="949"/>
      <c r="D513" s="949"/>
      <c r="E513" s="930"/>
      <c r="F513" s="930"/>
      <c r="G513" s="930">
        <v>-1309.6300000000001</v>
      </c>
      <c r="H513" s="930">
        <v>-1303.77</v>
      </c>
      <c r="I513" s="932">
        <v>-5.86000000000013</v>
      </c>
      <c r="M513" s="931" t="s">
        <v>1521</v>
      </c>
    </row>
    <row r="514" spans="2:13" outlineLevel="1">
      <c r="B514" s="929"/>
      <c r="C514" s="949"/>
      <c r="D514" s="949"/>
      <c r="E514" s="930"/>
      <c r="F514" s="930"/>
      <c r="G514" s="930">
        <v>2855083.43</v>
      </c>
      <c r="H514" s="930">
        <v>2189214.0299999998</v>
      </c>
      <c r="I514" s="932">
        <v>665869.4</v>
      </c>
      <c r="M514" s="931" t="s">
        <v>1508</v>
      </c>
    </row>
    <row r="515" spans="2:13" outlineLevel="1">
      <c r="B515" s="933"/>
      <c r="C515" s="952" t="s">
        <v>1108</v>
      </c>
      <c r="D515" s="952" t="s">
        <v>1108</v>
      </c>
      <c r="E515" s="935" t="s">
        <v>1108</v>
      </c>
      <c r="F515" s="935" t="s">
        <v>1108</v>
      </c>
      <c r="G515" s="935" t="s">
        <v>1108</v>
      </c>
      <c r="H515" s="935" t="s">
        <v>1108</v>
      </c>
      <c r="I515" s="936" t="s">
        <v>1108</v>
      </c>
      <c r="M515" s="934"/>
    </row>
    <row r="516" spans="2:13" outlineLevel="1">
      <c r="B516" s="929" t="s">
        <v>1527</v>
      </c>
      <c r="C516" s="949">
        <v>3659594.88</v>
      </c>
      <c r="D516" s="949">
        <v>3659594.88</v>
      </c>
      <c r="E516" s="930">
        <v>3659594.88</v>
      </c>
      <c r="F516" s="930">
        <v>3497116.51</v>
      </c>
      <c r="G516" s="930">
        <v>2853748.45</v>
      </c>
      <c r="H516" s="930">
        <v>2789198.54</v>
      </c>
      <c r="I516" s="932">
        <v>64549.910000000098</v>
      </c>
      <c r="M516" s="931" t="s">
        <v>1527</v>
      </c>
    </row>
    <row r="517" spans="2:13" outlineLevel="1">
      <c r="B517" s="933"/>
      <c r="C517" s="952" t="s">
        <v>1108</v>
      </c>
      <c r="D517" s="952" t="s">
        <v>1108</v>
      </c>
      <c r="E517" s="935" t="s">
        <v>1108</v>
      </c>
      <c r="F517" s="935" t="s">
        <v>1108</v>
      </c>
      <c r="G517" s="935" t="s">
        <v>1108</v>
      </c>
      <c r="H517" s="935" t="s">
        <v>1108</v>
      </c>
      <c r="I517" s="936" t="s">
        <v>1108</v>
      </c>
      <c r="M517" s="934"/>
    </row>
    <row r="518" spans="2:13" outlineLevel="1">
      <c r="B518" s="933"/>
      <c r="C518" s="949"/>
      <c r="D518" s="949"/>
      <c r="E518" s="930"/>
      <c r="F518" s="930"/>
      <c r="G518" s="930"/>
      <c r="H518" s="930"/>
      <c r="I518" s="932"/>
      <c r="M518" s="934"/>
    </row>
    <row r="519" spans="2:13" outlineLevel="1">
      <c r="B519" s="929" t="s">
        <v>1528</v>
      </c>
      <c r="C519" s="949"/>
      <c r="D519" s="949"/>
      <c r="E519" s="930"/>
      <c r="F519" s="930"/>
      <c r="G519" s="930"/>
      <c r="H519" s="930"/>
      <c r="I519" s="932"/>
      <c r="M519" s="931" t="s">
        <v>1528</v>
      </c>
    </row>
    <row r="520" spans="2:13" outlineLevel="1">
      <c r="B520" s="929" t="s">
        <v>1529</v>
      </c>
      <c r="C520" s="949">
        <v>24805.919999999998</v>
      </c>
      <c r="D520" s="949">
        <v>24805.919999999998</v>
      </c>
      <c r="E520" s="930">
        <v>24805.919999999998</v>
      </c>
      <c r="F520" s="930">
        <v>36019.86</v>
      </c>
      <c r="G520" s="930">
        <v>-1155577.3500000001</v>
      </c>
      <c r="H520" s="930">
        <v>-649388.27</v>
      </c>
      <c r="I520" s="932">
        <v>-506189.08</v>
      </c>
      <c r="M520" s="931" t="s">
        <v>1530</v>
      </c>
    </row>
    <row r="521" spans="2:13" outlineLevel="1">
      <c r="B521" s="929" t="s">
        <v>1531</v>
      </c>
      <c r="C521" s="949">
        <v>-580.54999999999995</v>
      </c>
      <c r="D521" s="949">
        <v>-580.54999999999995</v>
      </c>
      <c r="E521" s="930">
        <v>-580.54999999999995</v>
      </c>
      <c r="F521" s="930">
        <v>-594.4</v>
      </c>
      <c r="G521" s="930">
        <v>-625</v>
      </c>
      <c r="H521" s="930">
        <v>0</v>
      </c>
      <c r="I521" s="932">
        <v>-625</v>
      </c>
      <c r="M521" s="931" t="s">
        <v>1531</v>
      </c>
    </row>
    <row r="522" spans="2:13" outlineLevel="1">
      <c r="B522" s="929" t="s">
        <v>1532</v>
      </c>
      <c r="C522" s="949">
        <v>7579459.0499999998</v>
      </c>
      <c r="D522" s="949">
        <v>7579459.0499999998</v>
      </c>
      <c r="E522" s="930">
        <v>7579459.0499999998</v>
      </c>
      <c r="F522" s="930">
        <v>0</v>
      </c>
      <c r="G522" s="930">
        <v>4035853.38</v>
      </c>
      <c r="H522" s="930">
        <v>3692156.13</v>
      </c>
      <c r="I522" s="932">
        <v>343697.25</v>
      </c>
      <c r="M522" s="931" t="s">
        <v>1533</v>
      </c>
    </row>
    <row r="523" spans="2:13" outlineLevel="1">
      <c r="B523" s="929" t="s">
        <v>1484</v>
      </c>
      <c r="C523" s="949">
        <v>41849.269999999997</v>
      </c>
      <c r="D523" s="949">
        <v>41849.269999999997</v>
      </c>
      <c r="E523" s="930">
        <v>41849.269999999997</v>
      </c>
      <c r="F523" s="930">
        <v>36089.47</v>
      </c>
      <c r="G523" s="930">
        <v>74852.11</v>
      </c>
      <c r="H523" s="930">
        <v>65574.039999999994</v>
      </c>
      <c r="I523" s="932">
        <v>9278.0700000000106</v>
      </c>
      <c r="M523" s="931" t="s">
        <v>1529</v>
      </c>
    </row>
    <row r="524" spans="2:13" outlineLevel="1">
      <c r="B524" s="929" t="s">
        <v>1533</v>
      </c>
      <c r="C524" s="949">
        <v>3866548.72</v>
      </c>
      <c r="D524" s="949">
        <v>3866548.72</v>
      </c>
      <c r="E524" s="930">
        <v>3866548.72</v>
      </c>
      <c r="F524" s="930">
        <v>3747459.17</v>
      </c>
      <c r="G524" s="930"/>
      <c r="H524" s="930"/>
      <c r="I524" s="932"/>
      <c r="M524" s="931"/>
    </row>
    <row r="525" spans="2:13" outlineLevel="1">
      <c r="B525" s="933"/>
      <c r="C525" s="952" t="s">
        <v>1108</v>
      </c>
      <c r="D525" s="952" t="s">
        <v>1108</v>
      </c>
      <c r="E525" s="935" t="s">
        <v>1108</v>
      </c>
      <c r="F525" s="935" t="s">
        <v>1108</v>
      </c>
      <c r="G525" s="935" t="s">
        <v>1108</v>
      </c>
      <c r="H525" s="935" t="s">
        <v>1108</v>
      </c>
      <c r="I525" s="936" t="s">
        <v>1108</v>
      </c>
      <c r="M525" s="934"/>
    </row>
    <row r="526" spans="2:13" outlineLevel="1">
      <c r="B526" s="929" t="s">
        <v>1534</v>
      </c>
      <c r="C526" s="949">
        <v>11512082.41</v>
      </c>
      <c r="D526" s="949">
        <v>11512082.41</v>
      </c>
      <c r="E526" s="930">
        <v>11512082.41</v>
      </c>
      <c r="F526" s="930">
        <v>3818974.1</v>
      </c>
      <c r="G526" s="930">
        <v>2954503.14</v>
      </c>
      <c r="H526" s="930">
        <v>3108341.9</v>
      </c>
      <c r="I526" s="932">
        <v>-153838.76</v>
      </c>
      <c r="M526" s="931" t="s">
        <v>1534</v>
      </c>
    </row>
    <row r="527" spans="2:13" outlineLevel="1">
      <c r="B527" s="933"/>
      <c r="C527" s="952" t="s">
        <v>1108</v>
      </c>
      <c r="D527" s="952" t="s">
        <v>1108</v>
      </c>
      <c r="E527" s="935" t="s">
        <v>1108</v>
      </c>
      <c r="F527" s="935" t="s">
        <v>1108</v>
      </c>
      <c r="G527" s="935" t="s">
        <v>1108</v>
      </c>
      <c r="H527" s="935" t="s">
        <v>1108</v>
      </c>
      <c r="I527" s="936" t="s">
        <v>1108</v>
      </c>
      <c r="M527" s="934"/>
    </row>
    <row r="528" spans="2:13" outlineLevel="1">
      <c r="B528" s="933"/>
      <c r="C528" s="949"/>
      <c r="D528" s="949"/>
      <c r="E528" s="930"/>
      <c r="F528" s="930"/>
      <c r="G528" s="930"/>
      <c r="H528" s="930"/>
      <c r="I528" s="932"/>
      <c r="M528" s="934"/>
    </row>
    <row r="529" spans="2:13" outlineLevel="1">
      <c r="B529" s="929" t="s">
        <v>1535</v>
      </c>
      <c r="C529" s="949"/>
      <c r="D529" s="949"/>
      <c r="E529" s="930"/>
      <c r="F529" s="930"/>
      <c r="G529" s="930"/>
      <c r="H529" s="930"/>
      <c r="I529" s="932"/>
      <c r="M529" s="931" t="s">
        <v>1535</v>
      </c>
    </row>
    <row r="530" spans="2:13" outlineLevel="1">
      <c r="B530" s="929" t="s">
        <v>1536</v>
      </c>
      <c r="C530" s="949">
        <v>2003465.6</v>
      </c>
      <c r="D530" s="949">
        <v>2003465.6</v>
      </c>
      <c r="E530" s="930">
        <v>2003465.6</v>
      </c>
      <c r="F530" s="930">
        <v>3460603.13</v>
      </c>
      <c r="G530" s="930">
        <v>0</v>
      </c>
      <c r="H530" s="930">
        <v>3374718.69</v>
      </c>
      <c r="I530" s="932">
        <v>-3374718.69</v>
      </c>
      <c r="M530" s="931" t="s">
        <v>1537</v>
      </c>
    </row>
    <row r="531" spans="2:13" outlineLevel="1">
      <c r="B531" s="929" t="s">
        <v>1538</v>
      </c>
      <c r="C531" s="949">
        <v>967413.19</v>
      </c>
      <c r="D531" s="949">
        <v>967413.19</v>
      </c>
      <c r="E531" s="930">
        <v>967413.19</v>
      </c>
      <c r="F531" s="930">
        <v>0</v>
      </c>
      <c r="G531" s="930">
        <v>1668933.01</v>
      </c>
      <c r="H531" s="930">
        <v>0</v>
      </c>
      <c r="I531" s="932">
        <v>1668933.01</v>
      </c>
      <c r="M531" s="931" t="s">
        <v>1536</v>
      </c>
    </row>
    <row r="532" spans="2:13" outlineLevel="1">
      <c r="B532" s="933"/>
      <c r="C532" s="952" t="s">
        <v>1108</v>
      </c>
      <c r="D532" s="952" t="s">
        <v>1108</v>
      </c>
      <c r="E532" s="935" t="s">
        <v>1108</v>
      </c>
      <c r="F532" s="935" t="s">
        <v>1108</v>
      </c>
      <c r="G532" s="935" t="s">
        <v>1108</v>
      </c>
      <c r="H532" s="935" t="s">
        <v>1108</v>
      </c>
      <c r="I532" s="936" t="s">
        <v>1108</v>
      </c>
      <c r="M532" s="934"/>
    </row>
    <row r="533" spans="2:13" outlineLevel="1">
      <c r="B533" s="929" t="s">
        <v>1539</v>
      </c>
      <c r="C533" s="949">
        <v>2970878.79</v>
      </c>
      <c r="D533" s="949">
        <v>2970878.79</v>
      </c>
      <c r="E533" s="930">
        <v>2970878.79</v>
      </c>
      <c r="F533" s="930">
        <v>3460603.13</v>
      </c>
      <c r="G533" s="930">
        <v>1668933.01</v>
      </c>
      <c r="H533" s="930">
        <v>3374718.69</v>
      </c>
      <c r="I533" s="932">
        <v>-1705785.68</v>
      </c>
      <c r="M533" s="931" t="s">
        <v>1539</v>
      </c>
    </row>
    <row r="534" spans="2:13" outlineLevel="1">
      <c r="B534" s="933"/>
      <c r="C534" s="952" t="s">
        <v>1108</v>
      </c>
      <c r="D534" s="952" t="s">
        <v>1108</v>
      </c>
      <c r="E534" s="935" t="s">
        <v>1108</v>
      </c>
      <c r="F534" s="935" t="s">
        <v>1108</v>
      </c>
      <c r="G534" s="935" t="s">
        <v>1108</v>
      </c>
      <c r="H534" s="935" t="s">
        <v>1108</v>
      </c>
      <c r="I534" s="936" t="s">
        <v>1108</v>
      </c>
      <c r="M534" s="934"/>
    </row>
    <row r="535" spans="2:13" outlineLevel="1">
      <c r="B535" s="933"/>
      <c r="C535" s="949"/>
      <c r="D535" s="949"/>
      <c r="E535" s="930"/>
      <c r="F535" s="930"/>
      <c r="G535" s="930"/>
      <c r="H535" s="930"/>
      <c r="I535" s="932"/>
      <c r="M535" s="934"/>
    </row>
    <row r="536" spans="2:13" outlineLevel="1">
      <c r="B536" s="929" t="s">
        <v>1540</v>
      </c>
      <c r="C536" s="949"/>
      <c r="D536" s="949"/>
      <c r="E536" s="930"/>
      <c r="F536" s="930"/>
      <c r="G536" s="930"/>
      <c r="H536" s="930"/>
      <c r="I536" s="932"/>
      <c r="M536" s="931" t="s">
        <v>1540</v>
      </c>
    </row>
    <row r="537" spans="2:13" outlineLevel="1">
      <c r="B537" s="929" t="s">
        <v>1541</v>
      </c>
      <c r="C537" s="949">
        <v>10187631.210000001</v>
      </c>
      <c r="D537" s="949">
        <v>10187631.210000001</v>
      </c>
      <c r="E537" s="930">
        <v>10187631.210000001</v>
      </c>
      <c r="F537" s="930">
        <v>0</v>
      </c>
      <c r="G537" s="930">
        <v>1068561</v>
      </c>
      <c r="H537" s="930">
        <v>1193250</v>
      </c>
      <c r="I537" s="932">
        <v>-124689</v>
      </c>
      <c r="M537" s="931" t="s">
        <v>1541</v>
      </c>
    </row>
    <row r="538" spans="2:13" outlineLevel="1">
      <c r="B538" s="929" t="s">
        <v>1542</v>
      </c>
      <c r="C538" s="949">
        <v>107136</v>
      </c>
      <c r="D538" s="949">
        <v>107136</v>
      </c>
      <c r="E538" s="930">
        <v>107136</v>
      </c>
      <c r="F538" s="930">
        <v>107136</v>
      </c>
      <c r="G538" s="930">
        <v>107136</v>
      </c>
      <c r="H538" s="930">
        <v>107136</v>
      </c>
      <c r="I538" s="932">
        <v>0</v>
      </c>
      <c r="M538" s="931" t="s">
        <v>1542</v>
      </c>
    </row>
    <row r="539" spans="2:13" outlineLevel="1">
      <c r="B539" s="933"/>
      <c r="C539" s="952" t="s">
        <v>1108</v>
      </c>
      <c r="D539" s="952" t="s">
        <v>1108</v>
      </c>
      <c r="E539" s="935" t="s">
        <v>1108</v>
      </c>
      <c r="F539" s="935" t="s">
        <v>1108</v>
      </c>
      <c r="G539" s="935" t="s">
        <v>1108</v>
      </c>
      <c r="H539" s="935" t="s">
        <v>1108</v>
      </c>
      <c r="I539" s="936" t="s">
        <v>1108</v>
      </c>
      <c r="M539" s="934"/>
    </row>
    <row r="540" spans="2:13" outlineLevel="1">
      <c r="B540" s="929" t="s">
        <v>1543</v>
      </c>
      <c r="C540" s="949">
        <v>10294767.210000001</v>
      </c>
      <c r="D540" s="949">
        <v>10294767.210000001</v>
      </c>
      <c r="E540" s="930">
        <v>10294767.210000001</v>
      </c>
      <c r="F540" s="930">
        <v>107136</v>
      </c>
      <c r="G540" s="930">
        <v>1175697</v>
      </c>
      <c r="H540" s="930">
        <v>1300386</v>
      </c>
      <c r="I540" s="932">
        <v>-124689</v>
      </c>
      <c r="M540" s="931" t="s">
        <v>1543</v>
      </c>
    </row>
    <row r="541" spans="2:13" outlineLevel="1">
      <c r="B541" s="933"/>
      <c r="C541" s="952" t="s">
        <v>1108</v>
      </c>
      <c r="D541" s="952" t="s">
        <v>1108</v>
      </c>
      <c r="E541" s="935" t="s">
        <v>1108</v>
      </c>
      <c r="F541" s="935" t="s">
        <v>1108</v>
      </c>
      <c r="G541" s="935" t="s">
        <v>1108</v>
      </c>
      <c r="H541" s="935" t="s">
        <v>1108</v>
      </c>
      <c r="I541" s="936" t="s">
        <v>1108</v>
      </c>
      <c r="M541" s="934"/>
    </row>
    <row r="542" spans="2:13" outlineLevel="1">
      <c r="B542" s="933"/>
      <c r="C542" s="949"/>
      <c r="D542" s="949"/>
      <c r="E542" s="930"/>
      <c r="F542" s="930"/>
      <c r="G542" s="930"/>
      <c r="H542" s="930"/>
      <c r="I542" s="932"/>
      <c r="M542" s="934"/>
    </row>
    <row r="543" spans="2:13" outlineLevel="1">
      <c r="B543" s="929" t="s">
        <v>1544</v>
      </c>
      <c r="C543" s="949"/>
      <c r="D543" s="949"/>
      <c r="E543" s="930"/>
      <c r="F543" s="930"/>
      <c r="G543" s="930"/>
      <c r="H543" s="930"/>
      <c r="I543" s="932"/>
      <c r="M543" s="931" t="s">
        <v>1544</v>
      </c>
    </row>
    <row r="544" spans="2:13" outlineLevel="1">
      <c r="B544" s="929" t="s">
        <v>1545</v>
      </c>
      <c r="C544" s="949">
        <v>9775</v>
      </c>
      <c r="D544" s="949">
        <v>9775</v>
      </c>
      <c r="E544" s="930">
        <v>9775</v>
      </c>
      <c r="F544" s="930">
        <v>9775</v>
      </c>
      <c r="G544" s="930">
        <v>9775</v>
      </c>
      <c r="H544" s="930">
        <v>0</v>
      </c>
      <c r="I544" s="932">
        <v>9775</v>
      </c>
      <c r="M544" s="931" t="s">
        <v>1545</v>
      </c>
    </row>
    <row r="545" spans="2:13" outlineLevel="1">
      <c r="B545" s="929" t="s">
        <v>1546</v>
      </c>
      <c r="C545" s="949">
        <v>1462.25</v>
      </c>
      <c r="D545" s="949">
        <v>1462.25</v>
      </c>
      <c r="E545" s="930">
        <v>1462.25</v>
      </c>
      <c r="F545" s="930">
        <v>1462.25</v>
      </c>
      <c r="G545" s="930">
        <v>1462.25</v>
      </c>
      <c r="H545" s="930">
        <v>0</v>
      </c>
      <c r="I545" s="932">
        <v>1462.25</v>
      </c>
      <c r="M545" s="931" t="s">
        <v>1546</v>
      </c>
    </row>
    <row r="546" spans="2:13" outlineLevel="1">
      <c r="B546" s="933"/>
      <c r="C546" s="952" t="s">
        <v>1108</v>
      </c>
      <c r="D546" s="952" t="s">
        <v>1108</v>
      </c>
      <c r="E546" s="935" t="s">
        <v>1108</v>
      </c>
      <c r="F546" s="935" t="s">
        <v>1108</v>
      </c>
      <c r="G546" s="935" t="s">
        <v>1108</v>
      </c>
      <c r="H546" s="935" t="s">
        <v>1108</v>
      </c>
      <c r="I546" s="936" t="s">
        <v>1108</v>
      </c>
      <c r="M546" s="934"/>
    </row>
    <row r="547" spans="2:13" outlineLevel="1">
      <c r="B547" s="929" t="s">
        <v>1547</v>
      </c>
      <c r="C547" s="949">
        <v>11237.25</v>
      </c>
      <c r="D547" s="949">
        <v>11237.25</v>
      </c>
      <c r="E547" s="930">
        <v>11237.25</v>
      </c>
      <c r="F547" s="930">
        <v>11237.25</v>
      </c>
      <c r="G547" s="930">
        <v>11237.25</v>
      </c>
      <c r="H547" s="930">
        <v>0</v>
      </c>
      <c r="I547" s="932">
        <v>11237.25</v>
      </c>
      <c r="M547" s="931" t="s">
        <v>1547</v>
      </c>
    </row>
    <row r="548" spans="2:13" outlineLevel="1">
      <c r="B548" s="933"/>
      <c r="C548" s="952" t="s">
        <v>1108</v>
      </c>
      <c r="D548" s="952" t="s">
        <v>1108</v>
      </c>
      <c r="E548" s="935" t="s">
        <v>1108</v>
      </c>
      <c r="F548" s="935" t="s">
        <v>1108</v>
      </c>
      <c r="G548" s="935" t="s">
        <v>1108</v>
      </c>
      <c r="H548" s="935" t="s">
        <v>1108</v>
      </c>
      <c r="I548" s="936" t="s">
        <v>1108</v>
      </c>
      <c r="M548" s="934"/>
    </row>
    <row r="549" spans="2:13" outlineLevel="1">
      <c r="B549" s="933"/>
      <c r="C549" s="949"/>
      <c r="D549" s="949"/>
      <c r="E549" s="930"/>
      <c r="F549" s="930"/>
      <c r="G549" s="930"/>
      <c r="H549" s="930"/>
      <c r="I549" s="932"/>
      <c r="M549" s="934"/>
    </row>
    <row r="550" spans="2:13" outlineLevel="1">
      <c r="B550" s="929" t="s">
        <v>1548</v>
      </c>
      <c r="C550" s="949"/>
      <c r="D550" s="949"/>
      <c r="E550" s="930"/>
      <c r="F550" s="930"/>
      <c r="G550" s="930"/>
      <c r="H550" s="930"/>
      <c r="I550" s="932"/>
      <c r="M550" s="931" t="s">
        <v>1548</v>
      </c>
    </row>
    <row r="551" spans="2:13" outlineLevel="1">
      <c r="B551" s="929" t="s">
        <v>1549</v>
      </c>
      <c r="C551" s="949">
        <v>5595000</v>
      </c>
      <c r="D551" s="949">
        <v>5595000</v>
      </c>
      <c r="E551" s="930">
        <v>5595000</v>
      </c>
      <c r="F551" s="930">
        <v>11255000</v>
      </c>
      <c r="G551" s="930">
        <v>0</v>
      </c>
      <c r="H551" s="930">
        <v>11430000</v>
      </c>
      <c r="I551" s="932">
        <v>-11430000</v>
      </c>
      <c r="M551" s="931" t="s">
        <v>1550</v>
      </c>
    </row>
    <row r="552" spans="2:13" outlineLevel="1">
      <c r="B552" s="929"/>
      <c r="C552" s="949"/>
      <c r="D552" s="949"/>
      <c r="E552" s="930"/>
      <c r="F552" s="930"/>
      <c r="G552" s="930">
        <v>4335000</v>
      </c>
      <c r="H552" s="930">
        <v>0</v>
      </c>
      <c r="I552" s="932">
        <v>4335000</v>
      </c>
      <c r="M552" s="931" t="s">
        <v>1549</v>
      </c>
    </row>
    <row r="553" spans="2:13" outlineLevel="1">
      <c r="B553" s="933"/>
      <c r="C553" s="952" t="s">
        <v>1108</v>
      </c>
      <c r="D553" s="952" t="s">
        <v>1108</v>
      </c>
      <c r="E553" s="935" t="s">
        <v>1108</v>
      </c>
      <c r="F553" s="935" t="s">
        <v>1108</v>
      </c>
      <c r="G553" s="935" t="s">
        <v>1108</v>
      </c>
      <c r="H553" s="935" t="s">
        <v>1108</v>
      </c>
      <c r="I553" s="936" t="s">
        <v>1108</v>
      </c>
      <c r="M553" s="934"/>
    </row>
    <row r="554" spans="2:13" outlineLevel="1">
      <c r="B554" s="929" t="s">
        <v>1551</v>
      </c>
      <c r="C554" s="949">
        <v>5595000</v>
      </c>
      <c r="D554" s="949">
        <v>5595000</v>
      </c>
      <c r="E554" s="930">
        <v>5595000</v>
      </c>
      <c r="F554" s="930">
        <v>11255000</v>
      </c>
      <c r="G554" s="930">
        <v>4335000</v>
      </c>
      <c r="H554" s="930">
        <v>11430000</v>
      </c>
      <c r="I554" s="932">
        <v>-7095000</v>
      </c>
      <c r="M554" s="931" t="s">
        <v>1551</v>
      </c>
    </row>
    <row r="555" spans="2:13" outlineLevel="1">
      <c r="B555" s="933"/>
      <c r="C555" s="952" t="s">
        <v>1108</v>
      </c>
      <c r="D555" s="952" t="s">
        <v>1108</v>
      </c>
      <c r="E555" s="935" t="s">
        <v>1108</v>
      </c>
      <c r="F555" s="935" t="s">
        <v>1108</v>
      </c>
      <c r="G555" s="935" t="s">
        <v>1108</v>
      </c>
      <c r="H555" s="935" t="s">
        <v>1108</v>
      </c>
      <c r="I555" s="936" t="s">
        <v>1108</v>
      </c>
      <c r="M555" s="934"/>
    </row>
    <row r="556" spans="2:13" outlineLevel="1">
      <c r="B556" s="933"/>
      <c r="C556" s="952" t="s">
        <v>1108</v>
      </c>
      <c r="D556" s="952" t="s">
        <v>1108</v>
      </c>
      <c r="E556" s="935" t="s">
        <v>1108</v>
      </c>
      <c r="F556" s="935" t="s">
        <v>1108</v>
      </c>
      <c r="G556" s="935" t="s">
        <v>1108</v>
      </c>
      <c r="H556" s="935" t="s">
        <v>1108</v>
      </c>
      <c r="I556" s="936" t="s">
        <v>1108</v>
      </c>
      <c r="M556" s="934"/>
    </row>
    <row r="557" spans="2:13" outlineLevel="1">
      <c r="B557" s="929" t="s">
        <v>1552</v>
      </c>
      <c r="C557" s="949">
        <v>86004514.659999996</v>
      </c>
      <c r="D557" s="949">
        <v>86004514.659999996</v>
      </c>
      <c r="E557" s="930">
        <v>86004514.659999996</v>
      </c>
      <c r="F557" s="930">
        <v>36134492.5</v>
      </c>
      <c r="G557" s="930">
        <v>47110116.25</v>
      </c>
      <c r="H557" s="930">
        <v>42548263.049999997</v>
      </c>
      <c r="I557" s="932">
        <v>4561853.2</v>
      </c>
      <c r="M557" s="931" t="s">
        <v>1552</v>
      </c>
    </row>
    <row r="558" spans="2:13" outlineLevel="1">
      <c r="B558" s="933"/>
      <c r="C558" s="952" t="s">
        <v>1108</v>
      </c>
      <c r="D558" s="952" t="s">
        <v>1108</v>
      </c>
      <c r="E558" s="935" t="s">
        <v>1108</v>
      </c>
      <c r="F558" s="935" t="s">
        <v>1108</v>
      </c>
      <c r="G558" s="935" t="s">
        <v>1108</v>
      </c>
      <c r="H558" s="935" t="s">
        <v>1108</v>
      </c>
      <c r="I558" s="936" t="s">
        <v>1108</v>
      </c>
      <c r="M558" s="934"/>
    </row>
    <row r="559" spans="2:13" outlineLevel="1">
      <c r="B559" s="929" t="s">
        <v>1553</v>
      </c>
      <c r="C559" s="949"/>
      <c r="D559" s="949"/>
      <c r="E559" s="930"/>
      <c r="F559" s="930"/>
      <c r="G559" s="930"/>
      <c r="H559" s="930"/>
      <c r="I559" s="932"/>
      <c r="M559" s="931" t="s">
        <v>1553</v>
      </c>
    </row>
    <row r="560" spans="2:13" outlineLevel="1">
      <c r="B560" s="933"/>
      <c r="C560" s="949"/>
      <c r="D560" s="949"/>
      <c r="E560" s="930"/>
      <c r="F560" s="930"/>
      <c r="G560" s="930"/>
      <c r="H560" s="930"/>
      <c r="I560" s="932"/>
      <c r="M560" s="934"/>
    </row>
    <row r="561" spans="2:13" outlineLevel="1">
      <c r="B561" s="929" t="s">
        <v>1554</v>
      </c>
      <c r="C561" s="949"/>
      <c r="D561" s="949"/>
      <c r="E561" s="930"/>
      <c r="F561" s="930"/>
      <c r="G561" s="930"/>
      <c r="H561" s="930"/>
      <c r="I561" s="932"/>
      <c r="M561" s="931" t="s">
        <v>1554</v>
      </c>
    </row>
    <row r="562" spans="2:13" outlineLevel="1">
      <c r="B562" s="929" t="s">
        <v>1555</v>
      </c>
      <c r="C562" s="949">
        <v>597655.55000000005</v>
      </c>
      <c r="D562" s="949">
        <v>597655.55000000005</v>
      </c>
      <c r="E562" s="930">
        <v>597655.55000000005</v>
      </c>
      <c r="F562" s="930">
        <v>519547</v>
      </c>
      <c r="G562" s="930">
        <v>446923</v>
      </c>
      <c r="H562" s="930">
        <v>384045</v>
      </c>
      <c r="I562" s="932">
        <v>62878</v>
      </c>
      <c r="M562" s="931" t="s">
        <v>1555</v>
      </c>
    </row>
    <row r="563" spans="2:13" outlineLevel="1">
      <c r="B563" s="933"/>
      <c r="C563" s="952" t="s">
        <v>1108</v>
      </c>
      <c r="D563" s="952" t="s">
        <v>1108</v>
      </c>
      <c r="E563" s="935" t="s">
        <v>1108</v>
      </c>
      <c r="F563" s="935" t="s">
        <v>1108</v>
      </c>
      <c r="G563" s="935" t="s">
        <v>1108</v>
      </c>
      <c r="H563" s="935" t="s">
        <v>1108</v>
      </c>
      <c r="I563" s="936" t="s">
        <v>1108</v>
      </c>
      <c r="M563" s="934"/>
    </row>
    <row r="564" spans="2:13" outlineLevel="1">
      <c r="B564" s="929" t="s">
        <v>1556</v>
      </c>
      <c r="C564" s="949">
        <v>597655.55000000005</v>
      </c>
      <c r="D564" s="949">
        <v>597655.55000000005</v>
      </c>
      <c r="E564" s="930">
        <v>597655.55000000005</v>
      </c>
      <c r="F564" s="930">
        <v>519547</v>
      </c>
      <c r="G564" s="930">
        <v>446923</v>
      </c>
      <c r="H564" s="930">
        <v>384045</v>
      </c>
      <c r="I564" s="932">
        <v>62878</v>
      </c>
      <c r="M564" s="931" t="s">
        <v>1556</v>
      </c>
    </row>
    <row r="565" spans="2:13" outlineLevel="1">
      <c r="B565" s="933"/>
      <c r="C565" s="952" t="s">
        <v>1108</v>
      </c>
      <c r="D565" s="952" t="s">
        <v>1108</v>
      </c>
      <c r="E565" s="935" t="s">
        <v>1108</v>
      </c>
      <c r="F565" s="935" t="s">
        <v>1108</v>
      </c>
      <c r="G565" s="935" t="s">
        <v>1108</v>
      </c>
      <c r="H565" s="935" t="s">
        <v>1108</v>
      </c>
      <c r="I565" s="936" t="s">
        <v>1108</v>
      </c>
      <c r="M565" s="934"/>
    </row>
    <row r="566" spans="2:13" outlineLevel="1">
      <c r="B566" s="933"/>
      <c r="C566" s="949"/>
      <c r="D566" s="949"/>
      <c r="E566" s="930"/>
      <c r="F566" s="930"/>
      <c r="G566" s="930"/>
      <c r="H566" s="930"/>
      <c r="I566" s="932"/>
      <c r="M566" s="934"/>
    </row>
    <row r="567" spans="2:13" outlineLevel="1">
      <c r="B567" s="929" t="s">
        <v>1557</v>
      </c>
      <c r="C567" s="949"/>
      <c r="D567" s="949"/>
      <c r="E567" s="930"/>
      <c r="F567" s="930"/>
      <c r="G567" s="930"/>
      <c r="H567" s="930"/>
      <c r="I567" s="932"/>
      <c r="M567" s="931" t="s">
        <v>1557</v>
      </c>
    </row>
    <row r="568" spans="2:13" outlineLevel="1">
      <c r="B568" s="929" t="s">
        <v>1558</v>
      </c>
      <c r="C568" s="949">
        <v>1285760</v>
      </c>
      <c r="D568" s="949">
        <v>1285760</v>
      </c>
      <c r="E568" s="930">
        <v>1285760</v>
      </c>
      <c r="F568" s="930">
        <v>1392896</v>
      </c>
      <c r="G568" s="930">
        <v>1500032</v>
      </c>
      <c r="H568" s="930">
        <v>1607168</v>
      </c>
      <c r="I568" s="932">
        <v>-107136</v>
      </c>
      <c r="M568" s="931" t="s">
        <v>1558</v>
      </c>
    </row>
    <row r="569" spans="2:13" outlineLevel="1">
      <c r="B569" s="933"/>
      <c r="C569" s="952" t="s">
        <v>1108</v>
      </c>
      <c r="D569" s="952" t="s">
        <v>1108</v>
      </c>
      <c r="E569" s="935" t="s">
        <v>1108</v>
      </c>
      <c r="F569" s="935" t="s">
        <v>1108</v>
      </c>
      <c r="G569" s="935" t="s">
        <v>1108</v>
      </c>
      <c r="H569" s="935" t="s">
        <v>1108</v>
      </c>
      <c r="I569" s="936" t="s">
        <v>1108</v>
      </c>
      <c r="M569" s="934"/>
    </row>
    <row r="570" spans="2:13" outlineLevel="1">
      <c r="B570" s="929" t="s">
        <v>1559</v>
      </c>
      <c r="C570" s="949">
        <v>1285760</v>
      </c>
      <c r="D570" s="949">
        <v>1285760</v>
      </c>
      <c r="E570" s="930">
        <v>1285760</v>
      </c>
      <c r="F570" s="930">
        <v>1392896</v>
      </c>
      <c r="G570" s="930">
        <v>1500032</v>
      </c>
      <c r="H570" s="930">
        <v>1607168</v>
      </c>
      <c r="I570" s="932">
        <v>-107136</v>
      </c>
      <c r="M570" s="931" t="s">
        <v>1559</v>
      </c>
    </row>
    <row r="571" spans="2:13" outlineLevel="1">
      <c r="B571" s="933"/>
      <c r="C571" s="952" t="s">
        <v>1108</v>
      </c>
      <c r="D571" s="952" t="s">
        <v>1108</v>
      </c>
      <c r="E571" s="935" t="s">
        <v>1108</v>
      </c>
      <c r="F571" s="935" t="s">
        <v>1108</v>
      </c>
      <c r="G571" s="935" t="s">
        <v>1108</v>
      </c>
      <c r="H571" s="935" t="s">
        <v>1108</v>
      </c>
      <c r="I571" s="936" t="s">
        <v>1108</v>
      </c>
      <c r="M571" s="934"/>
    </row>
    <row r="572" spans="2:13" outlineLevel="1">
      <c r="B572" s="933"/>
      <c r="C572" s="949"/>
      <c r="D572" s="949"/>
      <c r="E572" s="930"/>
      <c r="F572" s="930"/>
      <c r="G572" s="930"/>
      <c r="H572" s="930"/>
      <c r="I572" s="932"/>
      <c r="M572" s="934"/>
    </row>
    <row r="573" spans="2:13" outlineLevel="1">
      <c r="B573" s="929" t="s">
        <v>1560</v>
      </c>
      <c r="C573" s="949"/>
      <c r="D573" s="949"/>
      <c r="E573" s="930"/>
      <c r="F573" s="930"/>
      <c r="G573" s="930"/>
      <c r="H573" s="930"/>
      <c r="I573" s="932"/>
      <c r="M573" s="931" t="s">
        <v>1560</v>
      </c>
    </row>
    <row r="574" spans="2:13" outlineLevel="1">
      <c r="B574" s="929" t="s">
        <v>1561</v>
      </c>
      <c r="C574" s="949">
        <v>83715000</v>
      </c>
      <c r="D574" s="949">
        <v>83715000</v>
      </c>
      <c r="E574" s="930">
        <v>83715000</v>
      </c>
      <c r="F574" s="930">
        <v>151735000</v>
      </c>
      <c r="G574" s="930">
        <v>0</v>
      </c>
      <c r="H574" s="930">
        <v>127225000</v>
      </c>
      <c r="I574" s="932">
        <v>-127225000</v>
      </c>
      <c r="M574" s="931" t="s">
        <v>1562</v>
      </c>
    </row>
    <row r="575" spans="2:13" outlineLevel="1">
      <c r="B575" s="929" t="s">
        <v>1563</v>
      </c>
      <c r="C575" s="949">
        <v>-5595000</v>
      </c>
      <c r="D575" s="949">
        <v>-5595000</v>
      </c>
      <c r="E575" s="930">
        <v>-5595000</v>
      </c>
      <c r="F575" s="930">
        <v>-11255000</v>
      </c>
      <c r="G575" s="930">
        <v>156070000</v>
      </c>
      <c r="H575" s="930">
        <v>0</v>
      </c>
      <c r="I575" s="932">
        <v>156070000</v>
      </c>
      <c r="M575" s="931" t="s">
        <v>1561</v>
      </c>
    </row>
    <row r="576" spans="2:13" outlineLevel="1">
      <c r="B576" s="929" t="s">
        <v>1564</v>
      </c>
      <c r="C576" s="949">
        <v>67625000</v>
      </c>
      <c r="D576" s="949">
        <v>67625000</v>
      </c>
      <c r="E576" s="930">
        <v>67625000</v>
      </c>
      <c r="F576" s="930">
        <v>0</v>
      </c>
      <c r="G576" s="930">
        <v>-4335000</v>
      </c>
      <c r="H576" s="930">
        <v>0</v>
      </c>
      <c r="I576" s="932">
        <v>-4335000</v>
      </c>
      <c r="M576" s="931" t="s">
        <v>1563</v>
      </c>
    </row>
    <row r="577" spans="2:13" outlineLevel="1">
      <c r="B577" s="929"/>
      <c r="C577" s="949"/>
      <c r="D577" s="949"/>
      <c r="E577" s="930"/>
      <c r="F577" s="930"/>
      <c r="G577" s="930">
        <v>0</v>
      </c>
      <c r="H577" s="930">
        <v>-11430000</v>
      </c>
      <c r="I577" s="932">
        <v>11430000</v>
      </c>
      <c r="M577" s="931" t="s">
        <v>1565</v>
      </c>
    </row>
    <row r="578" spans="2:13" outlineLevel="1">
      <c r="B578" s="933"/>
      <c r="C578" s="952" t="s">
        <v>1108</v>
      </c>
      <c r="D578" s="952" t="s">
        <v>1108</v>
      </c>
      <c r="E578" s="935" t="s">
        <v>1108</v>
      </c>
      <c r="F578" s="935" t="s">
        <v>1108</v>
      </c>
      <c r="G578" s="935" t="s">
        <v>1108</v>
      </c>
      <c r="H578" s="935" t="s">
        <v>1108</v>
      </c>
      <c r="I578" s="936" t="s">
        <v>1108</v>
      </c>
      <c r="M578" s="934"/>
    </row>
    <row r="579" spans="2:13" outlineLevel="1">
      <c r="B579" s="929" t="s">
        <v>1566</v>
      </c>
      <c r="C579" s="949">
        <v>145745000</v>
      </c>
      <c r="D579" s="949">
        <v>145745000</v>
      </c>
      <c r="E579" s="930">
        <v>145745000</v>
      </c>
      <c r="F579" s="930">
        <v>140480000</v>
      </c>
      <c r="G579" s="930">
        <v>151735000</v>
      </c>
      <c r="H579" s="930">
        <v>115795000</v>
      </c>
      <c r="I579" s="932">
        <v>35940000</v>
      </c>
      <c r="M579" s="931" t="s">
        <v>1566</v>
      </c>
    </row>
    <row r="580" spans="2:13" outlineLevel="1">
      <c r="B580" s="933"/>
      <c r="C580" s="952" t="s">
        <v>1108</v>
      </c>
      <c r="D580" s="952" t="s">
        <v>1108</v>
      </c>
      <c r="E580" s="935" t="s">
        <v>1108</v>
      </c>
      <c r="F580" s="935" t="s">
        <v>1108</v>
      </c>
      <c r="G580" s="935" t="s">
        <v>1108</v>
      </c>
      <c r="H580" s="935" t="s">
        <v>1108</v>
      </c>
      <c r="I580" s="936" t="s">
        <v>1108</v>
      </c>
      <c r="M580" s="934"/>
    </row>
    <row r="581" spans="2:13" outlineLevel="1">
      <c r="B581" s="933"/>
      <c r="C581" s="949"/>
      <c r="D581" s="949"/>
      <c r="E581" s="930"/>
      <c r="F581" s="930"/>
      <c r="G581" s="930"/>
      <c r="H581" s="930"/>
      <c r="I581" s="932"/>
      <c r="M581" s="934"/>
    </row>
    <row r="582" spans="2:13" outlineLevel="1">
      <c r="B582" s="929" t="s">
        <v>1567</v>
      </c>
      <c r="C582" s="949"/>
      <c r="D582" s="949"/>
      <c r="E582" s="930"/>
      <c r="F582" s="930"/>
      <c r="G582" s="930"/>
      <c r="H582" s="930"/>
      <c r="I582" s="932"/>
      <c r="M582" s="931" t="s">
        <v>1567</v>
      </c>
    </row>
    <row r="583" spans="2:13" outlineLevel="1">
      <c r="B583" s="929" t="s">
        <v>1568</v>
      </c>
      <c r="C583" s="949">
        <v>9825450.4700000007</v>
      </c>
      <c r="D583" s="949">
        <v>9825450.4700000007</v>
      </c>
      <c r="E583" s="930">
        <v>9825450.4700000007</v>
      </c>
      <c r="F583" s="930">
        <v>16604763.609999999</v>
      </c>
      <c r="G583" s="930">
        <v>0</v>
      </c>
      <c r="H583" s="930">
        <v>2688120.23</v>
      </c>
      <c r="I583" s="932">
        <v>-2688120.23</v>
      </c>
      <c r="M583" s="931" t="s">
        <v>1569</v>
      </c>
    </row>
    <row r="584" spans="2:13" outlineLevel="1">
      <c r="B584" s="929" t="s">
        <v>1570</v>
      </c>
      <c r="C584" s="949">
        <v>1254885</v>
      </c>
      <c r="D584" s="949">
        <v>1254885</v>
      </c>
      <c r="E584" s="930">
        <v>1254885</v>
      </c>
      <c r="F584" s="930">
        <v>0</v>
      </c>
      <c r="G584" s="930">
        <v>19957713.07</v>
      </c>
      <c r="H584" s="930">
        <v>0</v>
      </c>
      <c r="I584" s="932">
        <v>19957713.07</v>
      </c>
      <c r="M584" s="931" t="s">
        <v>1568</v>
      </c>
    </row>
    <row r="585" spans="2:13" outlineLevel="1">
      <c r="B585" s="929" t="s">
        <v>1571</v>
      </c>
      <c r="C585" s="949">
        <v>-455967.02</v>
      </c>
      <c r="D585" s="949">
        <v>-455967.02</v>
      </c>
      <c r="E585" s="930">
        <v>-455967.02</v>
      </c>
      <c r="F585" s="930">
        <v>0</v>
      </c>
      <c r="G585" s="930"/>
      <c r="H585" s="930"/>
      <c r="I585" s="932"/>
      <c r="M585" s="931"/>
    </row>
    <row r="586" spans="2:13" outlineLevel="1">
      <c r="B586" s="933"/>
      <c r="C586" s="952" t="s">
        <v>1108</v>
      </c>
      <c r="D586" s="952" t="s">
        <v>1108</v>
      </c>
      <c r="E586" s="935" t="s">
        <v>1108</v>
      </c>
      <c r="F586" s="935" t="s">
        <v>1108</v>
      </c>
      <c r="G586" s="935" t="s">
        <v>1108</v>
      </c>
      <c r="H586" s="935" t="s">
        <v>1108</v>
      </c>
      <c r="I586" s="936" t="s">
        <v>1108</v>
      </c>
      <c r="M586" s="934"/>
    </row>
    <row r="587" spans="2:13" outlineLevel="1">
      <c r="B587" s="929" t="s">
        <v>1572</v>
      </c>
      <c r="C587" s="949">
        <v>10624368.449999999</v>
      </c>
      <c r="D587" s="949">
        <v>10624368.449999999</v>
      </c>
      <c r="E587" s="930">
        <v>10624368.449999999</v>
      </c>
      <c r="F587" s="930">
        <v>16604763.609999999</v>
      </c>
      <c r="G587" s="930">
        <v>19957713.07</v>
      </c>
      <c r="H587" s="930">
        <v>2688120.23</v>
      </c>
      <c r="I587" s="932">
        <v>17269592.84</v>
      </c>
      <c r="M587" s="931" t="s">
        <v>1572</v>
      </c>
    </row>
    <row r="588" spans="2:13" outlineLevel="1">
      <c r="B588" s="933"/>
      <c r="C588" s="952" t="s">
        <v>1108</v>
      </c>
      <c r="D588" s="952" t="s">
        <v>1108</v>
      </c>
      <c r="E588" s="935" t="s">
        <v>1108</v>
      </c>
      <c r="F588" s="935" t="s">
        <v>1108</v>
      </c>
      <c r="G588" s="935" t="s">
        <v>1108</v>
      </c>
      <c r="H588" s="935" t="s">
        <v>1108</v>
      </c>
      <c r="I588" s="936" t="s">
        <v>1108</v>
      </c>
      <c r="M588" s="934"/>
    </row>
    <row r="589" spans="2:13" outlineLevel="1">
      <c r="B589" s="933"/>
      <c r="C589" s="952"/>
      <c r="D589" s="952"/>
      <c r="E589" s="935"/>
      <c r="F589" s="935"/>
      <c r="G589" s="930"/>
      <c r="H589" s="930"/>
      <c r="I589" s="932"/>
      <c r="M589" s="934"/>
    </row>
    <row r="590" spans="2:13" outlineLevel="1">
      <c r="B590" s="933"/>
      <c r="C590" s="952"/>
      <c r="D590" s="952"/>
      <c r="E590" s="935"/>
      <c r="F590" s="935"/>
      <c r="G590" s="930"/>
      <c r="H590" s="930"/>
      <c r="I590" s="932"/>
      <c r="M590" s="931" t="s">
        <v>1573</v>
      </c>
    </row>
    <row r="591" spans="2:13" outlineLevel="1">
      <c r="B591" s="933"/>
      <c r="C591" s="952"/>
      <c r="D591" s="952"/>
      <c r="E591" s="935"/>
      <c r="F591" s="935"/>
      <c r="G591" s="930">
        <v>0</v>
      </c>
      <c r="H591" s="930">
        <v>-488606.79</v>
      </c>
      <c r="I591" s="932">
        <v>488606.79</v>
      </c>
      <c r="M591" s="931" t="s">
        <v>1574</v>
      </c>
    </row>
    <row r="592" spans="2:13" outlineLevel="1">
      <c r="B592" s="933"/>
      <c r="C592" s="952"/>
      <c r="D592" s="952"/>
      <c r="E592" s="935"/>
      <c r="F592" s="935"/>
      <c r="G592" s="930">
        <v>-179141.4</v>
      </c>
      <c r="H592" s="930">
        <v>0</v>
      </c>
      <c r="I592" s="932">
        <v>-179141.4</v>
      </c>
      <c r="M592" s="931" t="s">
        <v>1575</v>
      </c>
    </row>
    <row r="593" spans="2:13" outlineLevel="1">
      <c r="B593" s="933"/>
      <c r="C593" s="952"/>
      <c r="D593" s="952"/>
      <c r="E593" s="935"/>
      <c r="F593" s="935"/>
      <c r="G593" s="935" t="s">
        <v>1108</v>
      </c>
      <c r="H593" s="935" t="s">
        <v>1108</v>
      </c>
      <c r="I593" s="936" t="s">
        <v>1108</v>
      </c>
      <c r="M593" s="934"/>
    </row>
    <row r="594" spans="2:13" outlineLevel="1">
      <c r="B594" s="933"/>
      <c r="C594" s="952"/>
      <c r="D594" s="952"/>
      <c r="E594" s="935"/>
      <c r="F594" s="935"/>
      <c r="G594" s="930">
        <v>-179141.4</v>
      </c>
      <c r="H594" s="930">
        <v>-488606.79</v>
      </c>
      <c r="I594" s="932">
        <v>309465.39</v>
      </c>
      <c r="M594" s="931" t="s">
        <v>1576</v>
      </c>
    </row>
    <row r="595" spans="2:13" outlineLevel="1">
      <c r="B595" s="933"/>
      <c r="C595" s="952"/>
      <c r="D595" s="952"/>
      <c r="E595" s="935"/>
      <c r="F595" s="935"/>
      <c r="G595" s="935" t="s">
        <v>1108</v>
      </c>
      <c r="H595" s="935" t="s">
        <v>1108</v>
      </c>
      <c r="I595" s="936" t="s">
        <v>1108</v>
      </c>
      <c r="M595" s="934"/>
    </row>
    <row r="596" spans="2:13" outlineLevel="1">
      <c r="B596" s="933"/>
      <c r="C596" s="952" t="s">
        <v>1108</v>
      </c>
      <c r="D596" s="952" t="s">
        <v>1108</v>
      </c>
      <c r="E596" s="935" t="s">
        <v>1108</v>
      </c>
      <c r="F596" s="935" t="s">
        <v>1108</v>
      </c>
      <c r="G596" s="935" t="s">
        <v>1108</v>
      </c>
      <c r="H596" s="935" t="s">
        <v>1108</v>
      </c>
      <c r="I596" s="936" t="s">
        <v>1108</v>
      </c>
      <c r="M596" s="934"/>
    </row>
    <row r="597" spans="2:13" outlineLevel="1">
      <c r="B597" s="929" t="s">
        <v>1577</v>
      </c>
      <c r="C597" s="949">
        <v>158252784</v>
      </c>
      <c r="D597" s="949">
        <v>158252784</v>
      </c>
      <c r="E597" s="930">
        <v>158252784</v>
      </c>
      <c r="F597" s="930">
        <v>158997206.61000001</v>
      </c>
      <c r="G597" s="930">
        <v>173460526.66999999</v>
      </c>
      <c r="H597" s="930">
        <v>119985726.44</v>
      </c>
      <c r="I597" s="932">
        <v>53474800.229999997</v>
      </c>
      <c r="M597" s="931" t="s">
        <v>1577</v>
      </c>
    </row>
    <row r="598" spans="2:13" outlineLevel="1">
      <c r="B598" s="933"/>
      <c r="C598" s="952" t="s">
        <v>1108</v>
      </c>
      <c r="D598" s="952" t="s">
        <v>1108</v>
      </c>
      <c r="E598" s="935" t="s">
        <v>1108</v>
      </c>
      <c r="F598" s="935" t="s">
        <v>1108</v>
      </c>
      <c r="G598" s="935" t="s">
        <v>1108</v>
      </c>
      <c r="H598" s="935" t="s">
        <v>1108</v>
      </c>
      <c r="I598" s="936" t="s">
        <v>1108</v>
      </c>
      <c r="M598" s="934"/>
    </row>
    <row r="599" spans="2:13" outlineLevel="1">
      <c r="B599" s="929" t="s">
        <v>1578</v>
      </c>
      <c r="C599" s="949">
        <v>244257298.66</v>
      </c>
      <c r="D599" s="949">
        <v>244257298.66</v>
      </c>
      <c r="E599" s="930">
        <v>244257298.66</v>
      </c>
      <c r="F599" s="930">
        <v>195131699.11000001</v>
      </c>
      <c r="G599" s="930">
        <v>220570642.91999999</v>
      </c>
      <c r="H599" s="930">
        <v>162533989.49000001</v>
      </c>
      <c r="I599" s="932">
        <v>58036653.43</v>
      </c>
      <c r="M599" s="931" t="s">
        <v>1578</v>
      </c>
    </row>
    <row r="600" spans="2:13" outlineLevel="1">
      <c r="B600" s="933"/>
      <c r="C600" s="952" t="s">
        <v>1108</v>
      </c>
      <c r="D600" s="952" t="s">
        <v>1108</v>
      </c>
      <c r="E600" s="935" t="s">
        <v>1108</v>
      </c>
      <c r="F600" s="935" t="s">
        <v>1108</v>
      </c>
      <c r="G600" s="935" t="s">
        <v>1108</v>
      </c>
      <c r="H600" s="935" t="s">
        <v>1108</v>
      </c>
      <c r="I600" s="936" t="s">
        <v>1108</v>
      </c>
      <c r="M600" s="934"/>
    </row>
    <row r="601" spans="2:13" outlineLevel="1">
      <c r="B601" s="929" t="s">
        <v>1579</v>
      </c>
      <c r="C601" s="949"/>
      <c r="D601" s="949"/>
      <c r="E601" s="930"/>
      <c r="F601" s="930"/>
      <c r="G601" s="930"/>
      <c r="H601" s="930"/>
      <c r="I601" s="932"/>
      <c r="M601" s="931" t="s">
        <v>1580</v>
      </c>
    </row>
    <row r="602" spans="2:13" outlineLevel="1">
      <c r="B602" s="929" t="s">
        <v>1581</v>
      </c>
      <c r="C602" s="949">
        <v>373715590.43000001</v>
      </c>
      <c r="D602" s="949">
        <v>373715590.43000001</v>
      </c>
      <c r="E602" s="930">
        <v>373715590.43000001</v>
      </c>
      <c r="F602" s="930">
        <v>382113594.57999998</v>
      </c>
      <c r="G602" s="930">
        <v>389005635.86000001</v>
      </c>
      <c r="H602" s="930">
        <v>345668838.42000002</v>
      </c>
      <c r="I602" s="932">
        <v>43336797.439999998</v>
      </c>
      <c r="M602" s="931" t="s">
        <v>1581</v>
      </c>
    </row>
    <row r="603" spans="2:13" outlineLevel="1">
      <c r="B603" s="929" t="s">
        <v>1582</v>
      </c>
      <c r="C603" s="949">
        <v>24465065.48</v>
      </c>
      <c r="D603" s="949">
        <v>24465065.48</v>
      </c>
      <c r="E603" s="930">
        <v>24465065.48</v>
      </c>
      <c r="F603" s="930">
        <v>24626080.530000001</v>
      </c>
      <c r="G603" s="930">
        <v>17401026.239999998</v>
      </c>
      <c r="H603" s="930">
        <v>13138124.48</v>
      </c>
      <c r="I603" s="932">
        <v>4262901.7599999998</v>
      </c>
      <c r="M603" s="931" t="s">
        <v>1582</v>
      </c>
    </row>
    <row r="604" spans="2:13" outlineLevel="1">
      <c r="B604" s="929" t="s">
        <v>1583</v>
      </c>
      <c r="C604" s="949">
        <v>212028026.16</v>
      </c>
      <c r="D604" s="949">
        <v>212028026.16</v>
      </c>
      <c r="E604" s="930">
        <v>212028026.16</v>
      </c>
      <c r="F604" s="930">
        <v>161743143.63</v>
      </c>
      <c r="G604" s="930">
        <v>129144729.83</v>
      </c>
      <c r="H604" s="930">
        <v>143414195.08000001</v>
      </c>
      <c r="I604" s="932">
        <v>-14269465.25</v>
      </c>
      <c r="M604" s="931" t="s">
        <v>1583</v>
      </c>
    </row>
    <row r="605" spans="2:13" outlineLevel="1">
      <c r="B605" s="933"/>
      <c r="C605" s="952" t="s">
        <v>1108</v>
      </c>
      <c r="D605" s="952" t="s">
        <v>1108</v>
      </c>
      <c r="E605" s="935" t="s">
        <v>1108</v>
      </c>
      <c r="F605" s="935" t="s">
        <v>1108</v>
      </c>
      <c r="G605" s="935" t="s">
        <v>1108</v>
      </c>
      <c r="H605" s="935" t="s">
        <v>1108</v>
      </c>
      <c r="I605" s="936" t="s">
        <v>1108</v>
      </c>
      <c r="M605" s="934"/>
    </row>
    <row r="606" spans="2:13" outlineLevel="1">
      <c r="B606" s="929" t="s">
        <v>1584</v>
      </c>
      <c r="C606" s="949">
        <v>610208682.07000005</v>
      </c>
      <c r="D606" s="949">
        <v>610208682.07000005</v>
      </c>
      <c r="E606" s="930">
        <v>610208682.07000005</v>
      </c>
      <c r="F606" s="930">
        <v>568482818.74000001</v>
      </c>
      <c r="G606" s="930">
        <v>535551391.93000001</v>
      </c>
      <c r="H606" s="930">
        <v>502221157.98000002</v>
      </c>
      <c r="I606" s="932">
        <v>33330233.949999999</v>
      </c>
      <c r="M606" s="931" t="s">
        <v>1585</v>
      </c>
    </row>
    <row r="607" spans="2:13" outlineLevel="1">
      <c r="B607" s="933"/>
      <c r="C607" s="952" t="s">
        <v>1108</v>
      </c>
      <c r="D607" s="952" t="s">
        <v>1108</v>
      </c>
      <c r="E607" s="935" t="s">
        <v>1108</v>
      </c>
      <c r="F607" s="935" t="s">
        <v>1108</v>
      </c>
      <c r="G607" s="935" t="s">
        <v>1108</v>
      </c>
      <c r="H607" s="935" t="s">
        <v>1108</v>
      </c>
      <c r="I607" s="936" t="s">
        <v>1108</v>
      </c>
      <c r="M607" s="934"/>
    </row>
    <row r="608" spans="2:13" outlineLevel="1">
      <c r="B608" s="929" t="s">
        <v>1586</v>
      </c>
      <c r="C608" s="949">
        <v>854465980.73000002</v>
      </c>
      <c r="D608" s="949">
        <v>854465980.73000002</v>
      </c>
      <c r="E608" s="930">
        <v>854465980.73000002</v>
      </c>
      <c r="F608" s="930">
        <v>763614517.85000002</v>
      </c>
      <c r="G608" s="930">
        <v>756122034.85000002</v>
      </c>
      <c r="H608" s="930">
        <v>664755147.47000003</v>
      </c>
      <c r="I608" s="932">
        <v>91366887.379999995</v>
      </c>
      <c r="M608" s="931" t="s">
        <v>1587</v>
      </c>
    </row>
    <row r="609" spans="1:13" outlineLevel="1">
      <c r="B609" s="933"/>
      <c r="C609" s="952" t="s">
        <v>1474</v>
      </c>
      <c r="D609" s="952" t="s">
        <v>1474</v>
      </c>
      <c r="E609" s="935" t="s">
        <v>1474</v>
      </c>
      <c r="F609" s="935" t="s">
        <v>1474</v>
      </c>
      <c r="G609" s="935" t="s">
        <v>1474</v>
      </c>
      <c r="H609" s="935" t="s">
        <v>1474</v>
      </c>
      <c r="I609" s="936" t="s">
        <v>1474</v>
      </c>
      <c r="M609" s="934"/>
    </row>
    <row r="610" spans="1:13" ht="16.5" outlineLevel="1" thickBot="1">
      <c r="B610" s="941"/>
      <c r="C610" s="4297" t="s">
        <v>1588</v>
      </c>
      <c r="D610" s="4297" t="s">
        <v>1588</v>
      </c>
      <c r="E610" s="942" t="s">
        <v>1588</v>
      </c>
      <c r="F610" s="943"/>
      <c r="G610" s="942" t="s">
        <v>1588</v>
      </c>
      <c r="H610" s="943"/>
      <c r="I610" s="945"/>
      <c r="M610" s="944"/>
    </row>
    <row r="611" spans="1:13" ht="16.5" outlineLevel="1" collapsed="1" thickTop="1">
      <c r="B611" s="929" t="s">
        <v>1070</v>
      </c>
      <c r="C611" s="949"/>
      <c r="D611" s="949"/>
      <c r="E611" s="930"/>
      <c r="F611" s="930"/>
      <c r="G611" s="930"/>
      <c r="H611" s="930"/>
      <c r="I611" s="932"/>
      <c r="M611" s="931" t="s">
        <v>1070</v>
      </c>
    </row>
    <row r="612" spans="1:13" outlineLevel="1">
      <c r="B612" s="929" t="s">
        <v>1071</v>
      </c>
      <c r="C612" s="949"/>
      <c r="D612" s="949"/>
      <c r="E612" s="930"/>
      <c r="F612" s="930"/>
      <c r="G612" s="930"/>
      <c r="H612" s="930"/>
      <c r="I612" s="932"/>
      <c r="M612" s="931" t="s">
        <v>1071</v>
      </c>
    </row>
    <row r="613" spans="1:13" outlineLevel="1">
      <c r="B613" s="929" t="s">
        <v>1072</v>
      </c>
      <c r="C613" s="949"/>
      <c r="D613" s="949"/>
      <c r="E613" s="930"/>
      <c r="F613" s="930"/>
      <c r="G613" s="930"/>
      <c r="H613" s="930"/>
      <c r="I613" s="932"/>
      <c r="M613" s="931" t="s">
        <v>1072</v>
      </c>
    </row>
    <row r="614" spans="1:13" outlineLevel="1">
      <c r="B614" s="929" t="s">
        <v>1073</v>
      </c>
      <c r="C614" s="949"/>
      <c r="D614" s="949"/>
      <c r="E614" s="930"/>
      <c r="F614" s="930"/>
      <c r="G614" s="930"/>
      <c r="H614" s="930"/>
      <c r="I614" s="932"/>
      <c r="M614" s="931" t="s">
        <v>1073</v>
      </c>
    </row>
    <row r="615" spans="1:13" outlineLevel="1">
      <c r="B615" s="929" t="s">
        <v>1074</v>
      </c>
      <c r="C615" s="949"/>
      <c r="D615" s="949"/>
      <c r="E615" s="930"/>
      <c r="F615" s="930"/>
      <c r="G615" s="930"/>
      <c r="H615" s="930"/>
      <c r="I615" s="932"/>
      <c r="M615" s="931" t="s">
        <v>1075</v>
      </c>
    </row>
    <row r="616" spans="1:13" outlineLevel="1">
      <c r="B616" s="929" t="s">
        <v>1076</v>
      </c>
      <c r="C616" s="949"/>
      <c r="D616" s="949"/>
      <c r="E616" s="930"/>
      <c r="F616" s="930"/>
      <c r="G616" s="930"/>
      <c r="H616" s="930"/>
      <c r="I616" s="932"/>
      <c r="M616" s="931" t="s">
        <v>1077</v>
      </c>
    </row>
    <row r="617" spans="1:13" outlineLevel="1">
      <c r="B617" s="933"/>
      <c r="C617" s="949"/>
      <c r="D617" s="949"/>
      <c r="E617" s="930"/>
      <c r="F617" s="930"/>
      <c r="G617" s="930"/>
      <c r="H617" s="930"/>
      <c r="I617" s="932"/>
      <c r="M617" s="934"/>
    </row>
    <row r="618" spans="1:13">
      <c r="B618" s="926" t="s">
        <v>1842</v>
      </c>
      <c r="C618" s="4298">
        <v>2015</v>
      </c>
      <c r="D618" s="4298">
        <v>2014</v>
      </c>
      <c r="E618" s="982">
        <v>2013</v>
      </c>
      <c r="F618" s="982">
        <v>2012</v>
      </c>
      <c r="G618" s="982">
        <v>2011</v>
      </c>
      <c r="H618" s="982">
        <v>2010</v>
      </c>
      <c r="I618" s="982">
        <v>2009</v>
      </c>
      <c r="J618" s="968" t="s">
        <v>1082</v>
      </c>
      <c r="K618" s="968" t="s">
        <v>1083</v>
      </c>
      <c r="M618" s="934"/>
    </row>
    <row r="619" spans="1:13">
      <c r="B619" s="933"/>
      <c r="C619" s="949"/>
      <c r="D619" s="949"/>
      <c r="E619" s="930"/>
      <c r="F619" s="930"/>
      <c r="G619" s="930"/>
      <c r="H619" s="930"/>
      <c r="I619" s="932"/>
      <c r="M619" s="934"/>
    </row>
    <row r="620" spans="1:13">
      <c r="B620" s="929" t="s">
        <v>1589</v>
      </c>
      <c r="C620" s="949"/>
      <c r="D620" s="949"/>
      <c r="E620" s="930"/>
      <c r="F620" s="930"/>
      <c r="G620" s="930"/>
      <c r="H620" s="930"/>
      <c r="I620" s="932"/>
      <c r="M620" s="931" t="s">
        <v>1589</v>
      </c>
    </row>
    <row r="621" spans="1:13">
      <c r="A621" s="4293" t="s">
        <v>1590</v>
      </c>
      <c r="B621" s="929" t="s">
        <v>1591</v>
      </c>
      <c r="C621" s="949"/>
      <c r="D621" s="949"/>
      <c r="E621" s="930"/>
      <c r="F621" s="930"/>
      <c r="G621" s="930"/>
      <c r="H621" s="930"/>
      <c r="I621" s="932"/>
      <c r="M621" s="931" t="s">
        <v>1591</v>
      </c>
    </row>
    <row r="622" spans="1:13">
      <c r="A622" s="4293" t="s">
        <v>1590</v>
      </c>
      <c r="B622" s="933"/>
      <c r="C622" s="949"/>
      <c r="D622" s="949"/>
      <c r="E622" s="930"/>
      <c r="F622" s="930"/>
      <c r="G622" s="930"/>
      <c r="H622" s="930"/>
      <c r="I622" s="932"/>
      <c r="M622" s="934"/>
    </row>
    <row r="623" spans="1:13">
      <c r="A623" s="4293" t="s">
        <v>1590</v>
      </c>
      <c r="B623" s="929" t="s">
        <v>1592</v>
      </c>
      <c r="C623" s="949"/>
      <c r="D623" s="949"/>
      <c r="E623" s="930"/>
      <c r="F623" s="930"/>
      <c r="G623" s="930"/>
      <c r="H623" s="930"/>
      <c r="I623" s="932"/>
      <c r="M623" s="931" t="s">
        <v>1592</v>
      </c>
    </row>
    <row r="624" spans="1:13">
      <c r="A624" s="4293" t="s">
        <v>1590</v>
      </c>
      <c r="B624" s="929" t="s">
        <v>1593</v>
      </c>
      <c r="C624" s="949">
        <v>18715911.43</v>
      </c>
      <c r="D624" s="949">
        <v>18906885.530000001</v>
      </c>
      <c r="E624" s="930">
        <v>18922585.34</v>
      </c>
      <c r="F624" s="930">
        <v>17281792.66</v>
      </c>
      <c r="G624" s="930">
        <v>16258177</v>
      </c>
      <c r="H624" s="930">
        <v>14820892.470000001</v>
      </c>
      <c r="I624" s="930">
        <v>15292328.609999999</v>
      </c>
      <c r="J624" s="946" t="str">
        <f>RIGHT(IFERROR(LEFT(B624,FIND("-",B624)+6),""),6)</f>
        <v>440010</v>
      </c>
      <c r="K624" s="947" t="str">
        <f>IFERROR(RIGHT($B624,LEN($B624)-14),"")</f>
        <v>Elect Revenue-Residential Sales Urban</v>
      </c>
      <c r="M624" s="931" t="s">
        <v>1593</v>
      </c>
    </row>
    <row r="625" spans="1:13">
      <c r="A625" s="4293" t="s">
        <v>1590</v>
      </c>
      <c r="B625" s="929" t="s">
        <v>1594</v>
      </c>
      <c r="C625" s="949">
        <v>20411266.859999999</v>
      </c>
      <c r="D625" s="949">
        <v>20937827.789999999</v>
      </c>
      <c r="E625" s="930">
        <v>20568729.920000002</v>
      </c>
      <c r="F625" s="930">
        <v>18616600.010000002</v>
      </c>
      <c r="G625" s="930">
        <v>18083671.550000001</v>
      </c>
      <c r="H625" s="930">
        <v>16431470.560000001</v>
      </c>
      <c r="I625" s="930">
        <v>17919050.129999999</v>
      </c>
      <c r="J625" s="946" t="str">
        <f>RIGHT(IFERROR(LEFT(B625,FIND("-",B625)+6),""),6)</f>
        <v>440020</v>
      </c>
      <c r="K625" s="947" t="str">
        <f>IFERROR(RIGHT($B625,LEN($B625)-14),"")</f>
        <v>Elect Revenue-Residential Sales Rural</v>
      </c>
      <c r="M625" s="931" t="s">
        <v>1594</v>
      </c>
    </row>
    <row r="626" spans="1:13">
      <c r="A626" s="4293" t="s">
        <v>1590</v>
      </c>
      <c r="B626" s="933"/>
      <c r="C626" s="952" t="s">
        <v>1108</v>
      </c>
      <c r="D626" s="952" t="s">
        <v>1108</v>
      </c>
      <c r="E626" s="935" t="s">
        <v>1108</v>
      </c>
      <c r="F626" s="935" t="s">
        <v>1108</v>
      </c>
      <c r="G626" s="935" t="s">
        <v>1108</v>
      </c>
      <c r="H626" s="935" t="s">
        <v>1108</v>
      </c>
      <c r="I626" s="935" t="s">
        <v>1108</v>
      </c>
      <c r="M626" s="934"/>
    </row>
    <row r="627" spans="1:13">
      <c r="A627" s="4293" t="s">
        <v>1590</v>
      </c>
      <c r="B627" s="929" t="s">
        <v>1595</v>
      </c>
      <c r="C627" s="949">
        <v>39127178.289999999</v>
      </c>
      <c r="D627" s="949">
        <v>39844713.32</v>
      </c>
      <c r="E627" s="930">
        <v>39491315.259999998</v>
      </c>
      <c r="F627" s="930">
        <v>35898392.670000002</v>
      </c>
      <c r="G627" s="930">
        <v>34341848.549999997</v>
      </c>
      <c r="H627" s="930">
        <v>31252363.030000001</v>
      </c>
      <c r="I627" s="930">
        <v>33211378.739999998</v>
      </c>
      <c r="M627" s="931" t="s">
        <v>1595</v>
      </c>
    </row>
    <row r="628" spans="1:13">
      <c r="A628" s="4293" t="s">
        <v>1590</v>
      </c>
      <c r="B628" s="933"/>
      <c r="C628" s="952" t="s">
        <v>1108</v>
      </c>
      <c r="D628" s="952" t="s">
        <v>1108</v>
      </c>
      <c r="E628" s="935" t="s">
        <v>1108</v>
      </c>
      <c r="F628" s="935" t="s">
        <v>1108</v>
      </c>
      <c r="G628" s="935" t="s">
        <v>1108</v>
      </c>
      <c r="H628" s="935" t="s">
        <v>1108</v>
      </c>
      <c r="I628" s="935" t="s">
        <v>1108</v>
      </c>
      <c r="M628" s="934"/>
    </row>
    <row r="629" spans="1:13">
      <c r="A629" s="4293" t="s">
        <v>1590</v>
      </c>
      <c r="B629" s="933"/>
      <c r="C629" s="949"/>
      <c r="D629" s="949"/>
      <c r="E629" s="930"/>
      <c r="F629" s="930"/>
      <c r="G629" s="930"/>
      <c r="H629" s="930"/>
      <c r="I629" s="930"/>
      <c r="M629" s="934"/>
    </row>
    <row r="630" spans="1:13">
      <c r="A630" s="4293" t="s">
        <v>1590</v>
      </c>
      <c r="B630" s="929" t="s">
        <v>1596</v>
      </c>
      <c r="C630" s="949"/>
      <c r="D630" s="949"/>
      <c r="E630" s="930"/>
      <c r="F630" s="930"/>
      <c r="G630" s="930"/>
      <c r="H630" s="930"/>
      <c r="I630" s="930"/>
      <c r="M630" s="931" t="s">
        <v>1596</v>
      </c>
    </row>
    <row r="631" spans="1:13">
      <c r="A631" s="4293" t="s">
        <v>1590</v>
      </c>
      <c r="B631" s="929" t="s">
        <v>1597</v>
      </c>
      <c r="C631" s="949">
        <v>24480559.899999999</v>
      </c>
      <c r="D631" s="949">
        <v>23026316.329999998</v>
      </c>
      <c r="E631" s="930">
        <v>20872915.789999999</v>
      </c>
      <c r="F631" s="930">
        <v>19500592.379999999</v>
      </c>
      <c r="G631" s="930">
        <v>17270611.02</v>
      </c>
      <c r="H631" s="930">
        <v>16295409.539999999</v>
      </c>
      <c r="I631" s="930">
        <f>16421900.2+206.36</f>
        <v>16422106.559999999</v>
      </c>
      <c r="J631" s="946" t="str">
        <f>RIGHT(IFERROR(LEFT(B631,FIND("-",B631)+6),""),6)</f>
        <v>442010</v>
      </c>
      <c r="K631" s="947" t="str">
        <f>IFERROR(RIGHT($B631,LEN($B631)-14),"")</f>
        <v>Elect Revenue-Comm &amp; Ind Sales Irrig</v>
      </c>
      <c r="M631" s="931" t="s">
        <v>1597</v>
      </c>
    </row>
    <row r="632" spans="1:13">
      <c r="A632" s="4293" t="s">
        <v>1590</v>
      </c>
      <c r="B632" s="933"/>
      <c r="C632" s="952" t="s">
        <v>1108</v>
      </c>
      <c r="D632" s="952" t="s">
        <v>1108</v>
      </c>
      <c r="E632" s="935" t="s">
        <v>1108</v>
      </c>
      <c r="F632" s="935" t="s">
        <v>1108</v>
      </c>
      <c r="G632" s="935" t="s">
        <v>1108</v>
      </c>
      <c r="H632" s="935" t="s">
        <v>1108</v>
      </c>
      <c r="I632" s="935" t="s">
        <v>1108</v>
      </c>
      <c r="M632" s="934"/>
    </row>
    <row r="633" spans="1:13">
      <c r="A633" s="4293" t="s">
        <v>1590</v>
      </c>
      <c r="B633" s="929" t="s">
        <v>1598</v>
      </c>
      <c r="C633" s="949">
        <v>24480559.899999999</v>
      </c>
      <c r="D633" s="949">
        <v>23026316.329999998</v>
      </c>
      <c r="E633" s="930">
        <v>20872915.789999999</v>
      </c>
      <c r="F633" s="930">
        <v>19500592.379999999</v>
      </c>
      <c r="G633" s="930">
        <v>17270611.02</v>
      </c>
      <c r="H633" s="930">
        <v>16295409.539999999</v>
      </c>
      <c r="I633" s="930">
        <v>16422106.560000001</v>
      </c>
      <c r="M633" s="931" t="s">
        <v>1598</v>
      </c>
    </row>
    <row r="634" spans="1:13">
      <c r="A634" s="4293" t="s">
        <v>1590</v>
      </c>
      <c r="B634" s="933"/>
      <c r="C634" s="952" t="s">
        <v>1108</v>
      </c>
      <c r="D634" s="952" t="s">
        <v>1108</v>
      </c>
      <c r="E634" s="935" t="s">
        <v>1108</v>
      </c>
      <c r="F634" s="935" t="s">
        <v>1108</v>
      </c>
      <c r="G634" s="935" t="s">
        <v>1108</v>
      </c>
      <c r="H634" s="935" t="s">
        <v>1108</v>
      </c>
      <c r="I634" s="935" t="s">
        <v>1108</v>
      </c>
      <c r="M634" s="934"/>
    </row>
    <row r="635" spans="1:13">
      <c r="A635" s="4293" t="s">
        <v>1590</v>
      </c>
      <c r="B635" s="933"/>
      <c r="C635" s="949"/>
      <c r="D635" s="949"/>
      <c r="E635" s="930"/>
      <c r="F635" s="930"/>
      <c r="G635" s="930"/>
      <c r="H635" s="930"/>
      <c r="I635" s="930"/>
      <c r="M635" s="934"/>
    </row>
    <row r="636" spans="1:13">
      <c r="A636" s="4293" t="s">
        <v>1590</v>
      </c>
      <c r="B636" s="929" t="s">
        <v>1599</v>
      </c>
      <c r="C636" s="949"/>
      <c r="D636" s="949"/>
      <c r="E636" s="930"/>
      <c r="F636" s="930"/>
      <c r="G636" s="930"/>
      <c r="H636" s="930"/>
      <c r="I636" s="930"/>
      <c r="M636" s="931" t="s">
        <v>1599</v>
      </c>
    </row>
    <row r="637" spans="1:13">
      <c r="A637" s="4293" t="s">
        <v>1590</v>
      </c>
      <c r="B637" s="929" t="s">
        <v>1600</v>
      </c>
      <c r="C637" s="949">
        <v>77995829.090000004</v>
      </c>
      <c r="D637" s="949">
        <v>68085329.170000002</v>
      </c>
      <c r="E637" s="930">
        <v>59896547.420000002</v>
      </c>
      <c r="F637" s="930">
        <v>61586169.770000003</v>
      </c>
      <c r="G637" s="930">
        <v>58391259.159999996</v>
      </c>
      <c r="H637" s="930">
        <v>52472069.399999999</v>
      </c>
      <c r="I637" s="930">
        <v>41853531.579999998</v>
      </c>
      <c r="J637" s="946" t="str">
        <f>RIGHT(IFERROR(LEFT(B637,FIND("-",B637)+6),""),6)</f>
        <v>442030</v>
      </c>
      <c r="K637" s="947" t="str">
        <f>IFERROR(RIGHT($B637,LEN($B637)-14),"")</f>
        <v>Elect Revenue-Comm &amp; Ind Sales, Sch 14</v>
      </c>
      <c r="M637" s="931" t="s">
        <v>1600</v>
      </c>
    </row>
    <row r="638" spans="1:13">
      <c r="A638" s="4293" t="s">
        <v>1590</v>
      </c>
      <c r="B638" s="948" t="s">
        <v>1601</v>
      </c>
      <c r="C638" s="949">
        <v>21451429.109999999</v>
      </c>
      <c r="D638" s="949">
        <v>20719628.399999999</v>
      </c>
      <c r="E638" s="949">
        <v>20022780.57</v>
      </c>
      <c r="F638" s="949">
        <v>18379799</v>
      </c>
      <c r="G638" s="949">
        <v>17114065.640000001</v>
      </c>
      <c r="H638" s="949">
        <v>15506802.300000001</v>
      </c>
      <c r="I638" s="949">
        <v>15658047.029999999</v>
      </c>
      <c r="J638" s="946" t="str">
        <f>RIGHT(IFERROR(LEFT(B638,FIND("-",B638)+6),""),6)</f>
        <v>442040</v>
      </c>
      <c r="K638" s="947" t="str">
        <f>IFERROR(RIGHT($B638,LEN($B638)-14),"")</f>
        <v>Elect Revenue-Comm &amp; Ind Sales Comm</v>
      </c>
      <c r="M638" s="950" t="s">
        <v>1601</v>
      </c>
    </row>
    <row r="639" spans="1:13">
      <c r="A639" s="4293" t="s">
        <v>1590</v>
      </c>
      <c r="B639" s="948" t="s">
        <v>1602</v>
      </c>
      <c r="C639" s="949">
        <v>8826132.8100000005</v>
      </c>
      <c r="D639" s="949">
        <v>6963917.21</v>
      </c>
      <c r="E639" s="949">
        <v>8188068.6799999997</v>
      </c>
      <c r="F639" s="949">
        <v>7526451.3399999999</v>
      </c>
      <c r="G639" s="949">
        <v>6679826.5899999999</v>
      </c>
      <c r="H639" s="949">
        <v>6392740.7599999998</v>
      </c>
      <c r="I639" s="949">
        <v>6748639.4500000002</v>
      </c>
      <c r="J639" s="946" t="str">
        <f>RIGHT(IFERROR(LEFT(B639,FIND("-",B639)+6),""),6)</f>
        <v>442050</v>
      </c>
      <c r="K639" s="947" t="str">
        <f>IFERROR(RIGHT($B639,LEN($B639)-14),"")</f>
        <v>Elect Revenue-Comm &amp; Ind Sales Lg Comm</v>
      </c>
      <c r="M639" s="950" t="s">
        <v>1602</v>
      </c>
    </row>
    <row r="640" spans="1:13">
      <c r="A640" s="4293" t="s">
        <v>1590</v>
      </c>
      <c r="B640" s="951"/>
      <c r="C640" s="952" t="s">
        <v>1108</v>
      </c>
      <c r="D640" s="952" t="s">
        <v>1108</v>
      </c>
      <c r="E640" s="952" t="s">
        <v>1108</v>
      </c>
      <c r="F640" s="952" t="s">
        <v>1108</v>
      </c>
      <c r="G640" s="952" t="s">
        <v>1108</v>
      </c>
      <c r="H640" s="952" t="s">
        <v>1108</v>
      </c>
      <c r="I640" s="952" t="s">
        <v>1108</v>
      </c>
      <c r="M640" s="953"/>
    </row>
    <row r="641" spans="1:13">
      <c r="A641" s="4293" t="s">
        <v>1590</v>
      </c>
      <c r="B641" s="948" t="s">
        <v>1603</v>
      </c>
      <c r="C641" s="949">
        <v>108273391.01000001</v>
      </c>
      <c r="D641" s="949">
        <v>95768874.779999986</v>
      </c>
      <c r="E641" s="949">
        <v>88107396.670000002</v>
      </c>
      <c r="F641" s="949">
        <v>87492420.109999999</v>
      </c>
      <c r="G641" s="949">
        <v>82185151.390000001</v>
      </c>
      <c r="H641" s="949">
        <v>74371612.459999993</v>
      </c>
      <c r="I641" s="949">
        <v>64260218.060000002</v>
      </c>
      <c r="M641" s="950" t="s">
        <v>1603</v>
      </c>
    </row>
    <row r="642" spans="1:13">
      <c r="A642" s="4293" t="s">
        <v>1590</v>
      </c>
      <c r="B642" s="951"/>
      <c r="C642" s="952" t="s">
        <v>1108</v>
      </c>
      <c r="D642" s="952" t="s">
        <v>1108</v>
      </c>
      <c r="E642" s="952" t="s">
        <v>1108</v>
      </c>
      <c r="F642" s="952" t="s">
        <v>1108</v>
      </c>
      <c r="G642" s="952" t="s">
        <v>1108</v>
      </c>
      <c r="H642" s="952" t="s">
        <v>1108</v>
      </c>
      <c r="I642" s="952" t="s">
        <v>1108</v>
      </c>
      <c r="M642" s="953"/>
    </row>
    <row r="643" spans="1:13">
      <c r="A643" s="4293" t="s">
        <v>1590</v>
      </c>
      <c r="B643" s="951"/>
      <c r="C643" s="949"/>
      <c r="D643" s="949"/>
      <c r="E643" s="949"/>
      <c r="F643" s="949"/>
      <c r="G643" s="949"/>
      <c r="H643" s="949"/>
      <c r="I643" s="949"/>
      <c r="M643" s="953"/>
    </row>
    <row r="644" spans="1:13">
      <c r="A644" s="4293" t="s">
        <v>1590</v>
      </c>
      <c r="B644" s="948" t="s">
        <v>1604</v>
      </c>
      <c r="C644" s="949"/>
      <c r="D644" s="949"/>
      <c r="E644" s="949"/>
      <c r="F644" s="949"/>
      <c r="G644" s="949"/>
      <c r="H644" s="949"/>
      <c r="I644" s="949"/>
      <c r="M644" s="950" t="s">
        <v>1604</v>
      </c>
    </row>
    <row r="645" spans="1:13">
      <c r="A645" s="4293" t="s">
        <v>1590</v>
      </c>
      <c r="B645" s="948" t="s">
        <v>1605</v>
      </c>
      <c r="C645" s="949">
        <v>961304.25</v>
      </c>
      <c r="D645" s="949">
        <v>962975.53</v>
      </c>
      <c r="E645" s="949">
        <v>956629.29</v>
      </c>
      <c r="F645" s="949">
        <v>951240.89</v>
      </c>
      <c r="G645" s="949">
        <v>939772.72</v>
      </c>
      <c r="H645" s="949">
        <v>927658.6</v>
      </c>
      <c r="I645" s="949">
        <v>918668.7</v>
      </c>
      <c r="J645" s="946" t="str">
        <f>RIGHT(IFERROR(LEFT(B645,FIND("-",B645)+6),""),6)</f>
        <v>444010</v>
      </c>
      <c r="K645" s="947" t="str">
        <f>IFERROR(RIGHT($B645,LEN($B645)-14),"")</f>
        <v>Elect Revenue-Public St &amp; Hwy Lt Sch 6</v>
      </c>
      <c r="M645" s="950" t="s">
        <v>1605</v>
      </c>
    </row>
    <row r="646" spans="1:13">
      <c r="A646" s="4293" t="s">
        <v>1590</v>
      </c>
      <c r="B646" s="948" t="s">
        <v>1606</v>
      </c>
      <c r="C646" s="949">
        <v>27621.81</v>
      </c>
      <c r="D646" s="949">
        <v>22827.14</v>
      </c>
      <c r="E646" s="949">
        <v>25051.54</v>
      </c>
      <c r="F646" s="949">
        <v>23658.11</v>
      </c>
      <c r="G646" s="949">
        <v>22610.06</v>
      </c>
      <c r="H646" s="949">
        <v>21898.43</v>
      </c>
      <c r="I646" s="949">
        <v>22579.96</v>
      </c>
      <c r="J646" s="946" t="str">
        <f>RIGHT(IFERROR(LEFT(B646,FIND("-",B646)+6),""),6)</f>
        <v>444020</v>
      </c>
      <c r="K646" s="947" t="str">
        <f>IFERROR(RIGHT($B646,LEN($B646)-14),"")</f>
        <v>Elect Revenue-Public St &amp; Hwy Lt Sch 2</v>
      </c>
      <c r="M646" s="950" t="s">
        <v>1606</v>
      </c>
    </row>
    <row r="647" spans="1:13">
      <c r="A647" s="4293" t="s">
        <v>1590</v>
      </c>
      <c r="B647" s="948" t="s">
        <v>1607</v>
      </c>
      <c r="C647" s="949">
        <v>45158.07</v>
      </c>
      <c r="D647" s="949">
        <v>48352.08</v>
      </c>
      <c r="E647" s="949">
        <v>51682.21</v>
      </c>
      <c r="F647" s="949">
        <v>44444.15</v>
      </c>
      <c r="G647" s="949">
        <v>43314.93</v>
      </c>
      <c r="H647" s="949">
        <v>31668.05</v>
      </c>
      <c r="I647" s="949">
        <v>29760.34</v>
      </c>
      <c r="J647" s="946" t="str">
        <f>RIGHT(IFERROR(LEFT(B647,FIND("-",B647)+6),""),6)</f>
        <v>445000</v>
      </c>
      <c r="K647" s="947" t="str">
        <f>IFERROR(RIGHT($B647,LEN($B647)-14),"")</f>
        <v>Elect Revenue-Other Sales Public Authority</v>
      </c>
      <c r="M647" s="950" t="s">
        <v>1607</v>
      </c>
    </row>
    <row r="648" spans="1:13">
      <c r="A648" s="4293" t="s">
        <v>1590</v>
      </c>
      <c r="B648" s="933"/>
      <c r="C648" s="952" t="s">
        <v>1108</v>
      </c>
      <c r="D648" s="952" t="s">
        <v>1108</v>
      </c>
      <c r="E648" s="935" t="s">
        <v>1108</v>
      </c>
      <c r="F648" s="935" t="s">
        <v>1108</v>
      </c>
      <c r="G648" s="935" t="s">
        <v>1108</v>
      </c>
      <c r="H648" s="935" t="s">
        <v>1108</v>
      </c>
      <c r="I648" s="935" t="s">
        <v>1108</v>
      </c>
      <c r="M648" s="934"/>
    </row>
    <row r="649" spans="1:13">
      <c r="A649" s="4293" t="s">
        <v>1590</v>
      </c>
      <c r="B649" s="929" t="s">
        <v>1608</v>
      </c>
      <c r="C649" s="949">
        <v>1034084.13</v>
      </c>
      <c r="D649" s="949">
        <v>1034154.75</v>
      </c>
      <c r="E649" s="930">
        <v>1033363.04</v>
      </c>
      <c r="F649" s="930">
        <v>1019343.15</v>
      </c>
      <c r="G649" s="930">
        <v>1005697.71</v>
      </c>
      <c r="H649" s="930">
        <v>981225.08</v>
      </c>
      <c r="I649" s="930">
        <v>971009</v>
      </c>
      <c r="M649" s="931" t="s">
        <v>1608</v>
      </c>
    </row>
    <row r="650" spans="1:13">
      <c r="A650" s="4293" t="s">
        <v>1590</v>
      </c>
      <c r="B650" s="933"/>
      <c r="C650" s="952" t="s">
        <v>1108</v>
      </c>
      <c r="D650" s="952" t="s">
        <v>1108</v>
      </c>
      <c r="E650" s="935" t="s">
        <v>1108</v>
      </c>
      <c r="F650" s="935" t="s">
        <v>1108</v>
      </c>
      <c r="G650" s="935" t="s">
        <v>1108</v>
      </c>
      <c r="H650" s="935" t="s">
        <v>1108</v>
      </c>
      <c r="I650" s="935" t="s">
        <v>1108</v>
      </c>
      <c r="M650" s="934"/>
    </row>
    <row r="651" spans="1:13">
      <c r="A651" s="4293" t="s">
        <v>1590</v>
      </c>
      <c r="B651" s="933"/>
      <c r="C651" s="949"/>
      <c r="D651" s="949"/>
      <c r="E651" s="930"/>
      <c r="F651" s="930"/>
      <c r="G651" s="930"/>
      <c r="H651" s="930"/>
      <c r="I651" s="930"/>
      <c r="M651" s="934"/>
    </row>
    <row r="652" spans="1:13">
      <c r="A652" s="4293" t="s">
        <v>1590</v>
      </c>
      <c r="B652" s="929" t="s">
        <v>1609</v>
      </c>
      <c r="C652" s="949"/>
      <c r="D652" s="949"/>
      <c r="E652" s="930"/>
      <c r="F652" s="930"/>
      <c r="G652" s="930"/>
      <c r="H652" s="930"/>
      <c r="I652" s="930"/>
      <c r="M652" s="931" t="s">
        <v>1609</v>
      </c>
    </row>
    <row r="653" spans="1:13">
      <c r="A653" s="4293" t="s">
        <v>1590</v>
      </c>
      <c r="B653" s="929" t="s">
        <v>1610</v>
      </c>
      <c r="C653" s="949">
        <v>6000</v>
      </c>
      <c r="D653" s="949">
        <v>6000</v>
      </c>
      <c r="E653" s="930">
        <v>6000</v>
      </c>
      <c r="F653" s="930">
        <v>6000</v>
      </c>
      <c r="G653" s="930">
        <v>6000</v>
      </c>
      <c r="H653" s="930">
        <v>6000</v>
      </c>
      <c r="I653" s="930">
        <v>6000</v>
      </c>
      <c r="J653" s="946" t="str">
        <f t="shared" ref="J653:J661" si="0">RIGHT(IFERROR(LEFT(B653,FIND("-",B653)+6),""),6)</f>
        <v>447006</v>
      </c>
      <c r="K653" s="947" t="str">
        <f t="shared" ref="K653:K661" si="1">IFERROR(RIGHT($B653,LEN($B653)-14),"")</f>
        <v>Elect Revenue-Monthly Fees</v>
      </c>
      <c r="M653" s="931" t="s">
        <v>1610</v>
      </c>
    </row>
    <row r="654" spans="1:13">
      <c r="A654" s="4293" t="s">
        <v>1590</v>
      </c>
      <c r="B654" s="948" t="s">
        <v>1611</v>
      </c>
      <c r="C654" s="949">
        <v>77360336.299999997</v>
      </c>
      <c r="D654" s="949">
        <v>78613890.010000005</v>
      </c>
      <c r="E654" s="949">
        <v>76827169.049999997</v>
      </c>
      <c r="F654" s="949">
        <v>55713562.100000001</v>
      </c>
      <c r="G654" s="949">
        <v>58185791.450000003</v>
      </c>
      <c r="H654" s="949">
        <v>32355246.82</v>
      </c>
      <c r="I654" s="949">
        <v>81036076.060000002</v>
      </c>
      <c r="J654" s="946" t="str">
        <f t="shared" si="0"/>
        <v>447070</v>
      </c>
      <c r="K654" s="947" t="str">
        <f t="shared" si="1"/>
        <v>Elect Revenue-Sale For Resale Northwest</v>
      </c>
      <c r="M654" s="950" t="s">
        <v>1611</v>
      </c>
    </row>
    <row r="655" spans="1:13">
      <c r="A655" s="4293" t="s">
        <v>1590</v>
      </c>
      <c r="B655" s="948" t="s">
        <v>1612</v>
      </c>
      <c r="C655" s="949">
        <v>2018878.72</v>
      </c>
      <c r="D655" s="949">
        <v>0</v>
      </c>
      <c r="E655" s="949">
        <v>0</v>
      </c>
      <c r="F655" s="949">
        <v>4339207</v>
      </c>
      <c r="G655" s="949">
        <v>6367535</v>
      </c>
      <c r="H655" s="949">
        <v>6203942</v>
      </c>
      <c r="I655" s="949">
        <v>0</v>
      </c>
      <c r="J655" s="946" t="str">
        <f t="shared" si="0"/>
        <v>447075</v>
      </c>
      <c r="K655" s="947" t="str">
        <f t="shared" si="1"/>
        <v>Elect Revenue-LT Contract</v>
      </c>
      <c r="M655" s="950" t="s">
        <v>1612</v>
      </c>
    </row>
    <row r="656" spans="1:13">
      <c r="A656" s="4293" t="s">
        <v>1590</v>
      </c>
      <c r="B656" s="948" t="s">
        <v>1613</v>
      </c>
      <c r="C656" s="949">
        <v>60551.27</v>
      </c>
      <c r="D656" s="949">
        <v>49338.75</v>
      </c>
      <c r="E656" s="949">
        <v>52400.77</v>
      </c>
      <c r="F656" s="949">
        <v>209408.52</v>
      </c>
      <c r="G656" s="949">
        <v>1004829.96</v>
      </c>
      <c r="H656" s="949">
        <v>179002.58</v>
      </c>
      <c r="I656" s="949">
        <v>191676.98</v>
      </c>
      <c r="J656" s="946" t="str">
        <f t="shared" si="0"/>
        <v>447666</v>
      </c>
      <c r="K656" s="947" t="str">
        <f t="shared" si="1"/>
        <v>Elect Revenue-Net Bookout Sale</v>
      </c>
      <c r="M656" s="950" t="s">
        <v>1613</v>
      </c>
    </row>
    <row r="657" spans="1:13">
      <c r="A657" s="4293" t="s">
        <v>1590</v>
      </c>
      <c r="B657" s="950" t="s">
        <v>1614</v>
      </c>
      <c r="C657" s="954"/>
      <c r="D657" s="954"/>
      <c r="E657" s="954"/>
      <c r="F657" s="954"/>
      <c r="G657" s="949">
        <v>31473299.25</v>
      </c>
      <c r="H657" s="949">
        <v>43609007.030000001</v>
      </c>
      <c r="I657" s="949">
        <v>0</v>
      </c>
      <c r="J657" s="946" t="str">
        <f t="shared" si="0"/>
        <v>447777</v>
      </c>
      <c r="K657" s="947" t="str">
        <f t="shared" si="1"/>
        <v>Elect Revenue-Displacement Revenue</v>
      </c>
      <c r="M657" s="950" t="s">
        <v>1614</v>
      </c>
    </row>
    <row r="658" spans="1:13">
      <c r="A658" s="4293" t="s">
        <v>1590</v>
      </c>
      <c r="B658" s="948" t="s">
        <v>1615</v>
      </c>
      <c r="C658" s="949">
        <v>21962.86</v>
      </c>
      <c r="D658" s="949">
        <v>8312.32</v>
      </c>
      <c r="E658" s="949">
        <v>65276.5</v>
      </c>
      <c r="F658" s="949">
        <v>923.62</v>
      </c>
      <c r="G658" s="949">
        <v>93599.35</v>
      </c>
      <c r="H658" s="949">
        <v>83526.009999999995</v>
      </c>
      <c r="I658" s="949">
        <v>187621.8</v>
      </c>
      <c r="J658" s="946" t="str">
        <f t="shared" si="0"/>
        <v>449000</v>
      </c>
      <c r="K658" s="947" t="str">
        <f t="shared" si="1"/>
        <v>Elect Revenue-Green Power Sales</v>
      </c>
      <c r="M658" s="950" t="s">
        <v>1615</v>
      </c>
    </row>
    <row r="659" spans="1:13">
      <c r="A659" s="4293" t="s">
        <v>1590</v>
      </c>
      <c r="B659" s="948" t="s">
        <v>1616</v>
      </c>
      <c r="C659" s="949">
        <v>219795.08</v>
      </c>
      <c r="D659" s="949">
        <v>137743.59</v>
      </c>
      <c r="E659" s="949">
        <v>248672.5</v>
      </c>
      <c r="F659" s="949">
        <v>202099.95</v>
      </c>
      <c r="G659" s="949">
        <v>2358214.2000000002</v>
      </c>
      <c r="H659" s="949">
        <v>2695316.77</v>
      </c>
      <c r="I659" s="949">
        <v>6139558.1799999997</v>
      </c>
      <c r="J659" s="946" t="str">
        <f t="shared" si="0"/>
        <v>451010</v>
      </c>
      <c r="K659" s="947" t="str">
        <f t="shared" si="1"/>
        <v>Elect Revenue-Other Ser Rev Pwr Mgmt</v>
      </c>
      <c r="M659" s="950" t="s">
        <v>1616</v>
      </c>
    </row>
    <row r="660" spans="1:13">
      <c r="A660" s="4293" t="s">
        <v>1590</v>
      </c>
      <c r="B660" s="948" t="s">
        <v>1617</v>
      </c>
      <c r="C660" s="949">
        <v>592239.5</v>
      </c>
      <c r="D660" s="949">
        <v>1082693.75</v>
      </c>
      <c r="E660" s="949">
        <v>879835.75</v>
      </c>
      <c r="F660" s="949">
        <v>956545</v>
      </c>
      <c r="G660" s="949">
        <v>488962.25</v>
      </c>
      <c r="H660" s="949">
        <v>571623.41</v>
      </c>
      <c r="I660" s="949">
        <v>0</v>
      </c>
      <c r="J660" s="946" t="str">
        <f t="shared" si="0"/>
        <v>451012</v>
      </c>
      <c r="K660" s="947" t="str">
        <f t="shared" si="1"/>
        <v>Elect Revenue-Net Exchange Revenue</v>
      </c>
      <c r="M660" s="950" t="s">
        <v>1617</v>
      </c>
    </row>
    <row r="661" spans="1:13">
      <c r="A661" s="4293" t="s">
        <v>1590</v>
      </c>
      <c r="B661" s="948" t="s">
        <v>1618</v>
      </c>
      <c r="C661" s="949">
        <v>1793366</v>
      </c>
      <c r="D661" s="949">
        <v>1180116</v>
      </c>
      <c r="E661" s="949">
        <v>1283451</v>
      </c>
      <c r="F661" s="949">
        <v>354276</v>
      </c>
      <c r="G661" s="949">
        <v>568668</v>
      </c>
      <c r="H661" s="949">
        <v>680971.58</v>
      </c>
      <c r="I661" s="949">
        <v>534726.07999999996</v>
      </c>
      <c r="J661" s="946" t="str">
        <f t="shared" si="0"/>
        <v>456010</v>
      </c>
      <c r="K661" s="947" t="str">
        <f t="shared" si="1"/>
        <v>Elect Revenue-Other Electric Rev Wheeling</v>
      </c>
      <c r="M661" s="950" t="s">
        <v>1618</v>
      </c>
    </row>
    <row r="662" spans="1:13">
      <c r="A662" s="4293" t="s">
        <v>1590</v>
      </c>
      <c r="B662" s="933"/>
      <c r="C662" s="952" t="s">
        <v>1108</v>
      </c>
      <c r="D662" s="952" t="s">
        <v>1108</v>
      </c>
      <c r="E662" s="935" t="s">
        <v>1108</v>
      </c>
      <c r="F662" s="935" t="s">
        <v>1108</v>
      </c>
      <c r="G662" s="935" t="s">
        <v>1108</v>
      </c>
      <c r="H662" s="935" t="s">
        <v>1108</v>
      </c>
      <c r="I662" s="935" t="s">
        <v>1108</v>
      </c>
      <c r="M662" s="934"/>
    </row>
    <row r="663" spans="1:13">
      <c r="A663" s="4293" t="s">
        <v>1590</v>
      </c>
      <c r="B663" s="929" t="s">
        <v>1619</v>
      </c>
      <c r="C663" s="949">
        <v>82073129.729999989</v>
      </c>
      <c r="D663" s="949">
        <v>81078094.420000002</v>
      </c>
      <c r="E663" s="930">
        <v>79362805.569999993</v>
      </c>
      <c r="F663" s="930">
        <v>61782022.189999998</v>
      </c>
      <c r="G663" s="930">
        <v>100546899.45999999</v>
      </c>
      <c r="H663" s="930">
        <v>86384636.200000003</v>
      </c>
      <c r="I663" s="930">
        <v>88095659.099999994</v>
      </c>
      <c r="M663" s="931" t="s">
        <v>1619</v>
      </c>
    </row>
    <row r="664" spans="1:13">
      <c r="A664" s="4293" t="s">
        <v>1590</v>
      </c>
      <c r="B664" s="933"/>
      <c r="C664" s="952" t="s">
        <v>1108</v>
      </c>
      <c r="D664" s="952" t="s">
        <v>1108</v>
      </c>
      <c r="E664" s="935" t="s">
        <v>1108</v>
      </c>
      <c r="F664" s="935" t="s">
        <v>1108</v>
      </c>
      <c r="G664" s="935" t="s">
        <v>1108</v>
      </c>
      <c r="H664" s="935" t="s">
        <v>1108</v>
      </c>
      <c r="I664" s="935" t="s">
        <v>1108</v>
      </c>
      <c r="M664" s="934"/>
    </row>
    <row r="665" spans="1:13">
      <c r="A665" s="4293" t="s">
        <v>1590</v>
      </c>
      <c r="B665" s="933"/>
      <c r="C665" s="949"/>
      <c r="D665" s="949"/>
      <c r="E665" s="930"/>
      <c r="F665" s="930"/>
      <c r="G665" s="930"/>
      <c r="H665" s="930"/>
      <c r="I665" s="930"/>
      <c r="M665" s="934"/>
    </row>
    <row r="666" spans="1:13">
      <c r="A666" s="4293" t="s">
        <v>1590</v>
      </c>
      <c r="B666" s="929" t="s">
        <v>1620</v>
      </c>
      <c r="C666" s="949"/>
      <c r="D666" s="949"/>
      <c r="E666" s="930"/>
      <c r="F666" s="930"/>
      <c r="G666" s="930"/>
      <c r="H666" s="930"/>
      <c r="I666" s="930"/>
      <c r="M666" s="931" t="s">
        <v>1620</v>
      </c>
    </row>
    <row r="667" spans="1:13">
      <c r="A667" s="4293" t="s">
        <v>1590</v>
      </c>
      <c r="B667" s="929" t="s">
        <v>1621</v>
      </c>
      <c r="C667" s="949">
        <v>10903.34</v>
      </c>
      <c r="D667" s="949">
        <v>10903.34</v>
      </c>
      <c r="E667" s="930">
        <v>10903.34</v>
      </c>
      <c r="F667" s="930">
        <v>4505.84</v>
      </c>
      <c r="G667" s="930">
        <v>5086.1099999999997</v>
      </c>
      <c r="H667" s="930">
        <v>4645.58</v>
      </c>
      <c r="I667" s="930">
        <v>7005.98</v>
      </c>
      <c r="J667" s="946" t="str">
        <f>RIGHT(IFERROR(LEFT(B667,FIND("-",B667)+6),""),6)</f>
        <v>450801</v>
      </c>
      <c r="K667" s="947" t="str">
        <f>IFERROR(RIGHT($B667,LEN($B667)-14),"")</f>
        <v>Elect Revenue-Wfon Misc Revenue</v>
      </c>
      <c r="M667" s="931" t="s">
        <v>1621</v>
      </c>
    </row>
    <row r="668" spans="1:13">
      <c r="A668" s="4293" t="s">
        <v>1590</v>
      </c>
      <c r="B668" s="929" t="s">
        <v>1622</v>
      </c>
      <c r="C668" s="949">
        <v>4015704.7</v>
      </c>
      <c r="D668" s="949">
        <v>4015704.7</v>
      </c>
      <c r="E668" s="930">
        <v>4015704.7</v>
      </c>
      <c r="F668" s="930">
        <v>3434517.95</v>
      </c>
      <c r="G668" s="930">
        <v>3210396.87</v>
      </c>
      <c r="H668" s="930">
        <v>2885257.11</v>
      </c>
      <c r="I668" s="930">
        <v>2573253.62</v>
      </c>
      <c r="J668" s="946" t="str">
        <f>RIGHT(IFERROR(LEFT(B668,FIND("-",B668)+6),""),6)</f>
        <v>456801</v>
      </c>
      <c r="K668" s="947" t="str">
        <f>IFERROR(RIGHT($B668,LEN($B668)-14),"")</f>
        <v>Elect Revenue-Wfon Wholesale Serv Prov</v>
      </c>
      <c r="M668" s="931" t="s">
        <v>1622</v>
      </c>
    </row>
    <row r="669" spans="1:13">
      <c r="A669" s="4293" t="s">
        <v>1590</v>
      </c>
      <c r="B669" s="929" t="s">
        <v>1623</v>
      </c>
      <c r="C669" s="949">
        <v>377158.51</v>
      </c>
      <c r="D669" s="949">
        <v>377158.51</v>
      </c>
      <c r="E669" s="930">
        <v>377158.51</v>
      </c>
      <c r="F669" s="930">
        <v>393558.3</v>
      </c>
      <c r="G669" s="930">
        <v>199621.62</v>
      </c>
      <c r="H669" s="930">
        <v>136800.97</v>
      </c>
      <c r="I669" s="930">
        <v>79572.36</v>
      </c>
      <c r="J669" s="946" t="str">
        <f>RIGHT(IFERROR(LEFT(B669,FIND("-",B669)+6),""),6)</f>
        <v>456802</v>
      </c>
      <c r="K669" s="947" t="str">
        <f>IFERROR(RIGHT($B669,LEN($B669)-14),"")</f>
        <v>Elect Revenue-Wfon Dark Fiber Revenue</v>
      </c>
      <c r="M669" s="931" t="s">
        <v>1623</v>
      </c>
    </row>
    <row r="670" spans="1:13" s="3094" customFormat="1">
      <c r="A670" s="4293"/>
      <c r="B670" s="929" t="s">
        <v>3789</v>
      </c>
      <c r="C670" s="949">
        <v>17439.310000000001</v>
      </c>
      <c r="D670" s="949">
        <v>0</v>
      </c>
      <c r="E670" s="930"/>
      <c r="F670" s="930"/>
      <c r="G670" s="930"/>
      <c r="H670" s="930"/>
      <c r="I670" s="930"/>
      <c r="J670" s="946" t="str">
        <f>RIGHT(IFERROR(LEFT(B670,FIND("-",B670)+6),""),6)</f>
        <v>456803</v>
      </c>
      <c r="K670" s="947" t="str">
        <f>IFERROR(RIGHT($B670,LEN($B670)-14),"")</f>
        <v>Elect Revenue-Wfon Wireless Fiber Revenue</v>
      </c>
      <c r="M670" s="931"/>
    </row>
    <row r="671" spans="1:13">
      <c r="A671" s="4293" t="s">
        <v>1590</v>
      </c>
      <c r="B671" s="933"/>
      <c r="C671" s="952" t="s">
        <v>1108</v>
      </c>
      <c r="D671" s="952" t="s">
        <v>1108</v>
      </c>
      <c r="E671" s="935" t="s">
        <v>1108</v>
      </c>
      <c r="F671" s="935" t="s">
        <v>1108</v>
      </c>
      <c r="G671" s="935" t="s">
        <v>1108</v>
      </c>
      <c r="H671" s="935" t="s">
        <v>1108</v>
      </c>
      <c r="I671" s="935" t="s">
        <v>1108</v>
      </c>
      <c r="M671" s="934"/>
    </row>
    <row r="672" spans="1:13">
      <c r="A672" s="4293" t="s">
        <v>1590</v>
      </c>
      <c r="B672" s="929" t="s">
        <v>1624</v>
      </c>
      <c r="C672" s="949">
        <v>5338187.4400000004</v>
      </c>
      <c r="D672" s="949">
        <v>5100712.3199999994</v>
      </c>
      <c r="E672" s="930">
        <v>4403766.55</v>
      </c>
      <c r="F672" s="930">
        <v>3832582.09</v>
      </c>
      <c r="G672" s="930">
        <v>3415104.6</v>
      </c>
      <c r="H672" s="930">
        <v>3026703.66</v>
      </c>
      <c r="I672" s="930">
        <v>2659831.96</v>
      </c>
      <c r="M672" s="931" t="s">
        <v>1624</v>
      </c>
    </row>
    <row r="673" spans="1:13">
      <c r="B673" s="933"/>
      <c r="C673" s="952" t="s">
        <v>1108</v>
      </c>
      <c r="D673" s="952" t="s">
        <v>1108</v>
      </c>
      <c r="E673" s="935" t="s">
        <v>1108</v>
      </c>
      <c r="F673" s="935" t="s">
        <v>1108</v>
      </c>
      <c r="G673" s="935" t="s">
        <v>1108</v>
      </c>
      <c r="H673" s="935" t="s">
        <v>1108</v>
      </c>
      <c r="I673" s="935" t="s">
        <v>1108</v>
      </c>
      <c r="M673" s="934"/>
    </row>
    <row r="674" spans="1:13">
      <c r="B674" s="933"/>
      <c r="C674" s="949"/>
      <c r="D674" s="949"/>
      <c r="E674" s="930"/>
      <c r="F674" s="930"/>
      <c r="G674" s="930"/>
      <c r="H674" s="930"/>
      <c r="I674" s="930"/>
      <c r="M674" s="934"/>
    </row>
    <row r="675" spans="1:13">
      <c r="A675" s="4293" t="s">
        <v>1625</v>
      </c>
      <c r="B675" s="929" t="s">
        <v>1626</v>
      </c>
      <c r="C675" s="949"/>
      <c r="D675" s="949"/>
      <c r="E675" s="930"/>
      <c r="F675" s="930"/>
      <c r="G675" s="930"/>
      <c r="H675" s="930"/>
      <c r="I675" s="930"/>
      <c r="M675" s="931" t="s">
        <v>1626</v>
      </c>
    </row>
    <row r="676" spans="1:13">
      <c r="A676" s="4293" t="s">
        <v>1625</v>
      </c>
      <c r="B676" s="929" t="s">
        <v>1627</v>
      </c>
      <c r="C676" s="949">
        <v>1130591.47</v>
      </c>
      <c r="D676" s="949">
        <v>1070843.33</v>
      </c>
      <c r="E676" s="930">
        <v>839048.02</v>
      </c>
      <c r="F676" s="930">
        <v>723427.15</v>
      </c>
      <c r="G676" s="930">
        <v>669724.17000000004</v>
      </c>
      <c r="H676" s="930">
        <v>680928.69</v>
      </c>
      <c r="I676" s="930">
        <v>650388.11</v>
      </c>
      <c r="J676" s="946" t="str">
        <f>RIGHT(IFERROR(LEFT(B676,FIND("-",B676)+6),""),6)</f>
        <v>450000</v>
      </c>
      <c r="K676" s="947" t="str">
        <f>IFERROR(RIGHT($B676,LEN($B676)-14),"")</f>
        <v>Elect Revenue-Penalty For Late Payment</v>
      </c>
      <c r="M676" s="931" t="s">
        <v>1627</v>
      </c>
    </row>
    <row r="677" spans="1:13">
      <c r="A677" s="4293" t="s">
        <v>1625</v>
      </c>
      <c r="B677" s="929" t="s">
        <v>1628</v>
      </c>
      <c r="C677" s="949">
        <v>278170.17</v>
      </c>
      <c r="D677" s="949">
        <v>299368.84999999998</v>
      </c>
      <c r="E677" s="930">
        <v>321509.90000000002</v>
      </c>
      <c r="F677" s="930">
        <v>292947.25</v>
      </c>
      <c r="G677" s="930">
        <v>260308.88</v>
      </c>
      <c r="H677" s="930">
        <v>308203.90999999997</v>
      </c>
      <c r="I677" s="930">
        <v>386561.94</v>
      </c>
      <c r="J677" s="946" t="str">
        <f>RIGHT(IFERROR(LEFT(B677,FIND("-",B677)+6),""),6)</f>
        <v>451000</v>
      </c>
      <c r="K677" s="947" t="str">
        <f>IFERROR(RIGHT($B677,LEN($B677)-14),"")</f>
        <v>Elect Revenue-Misc Service Revenue</v>
      </c>
      <c r="M677" s="931" t="s">
        <v>1628</v>
      </c>
    </row>
    <row r="678" spans="1:13">
      <c r="A678" s="4293" t="s">
        <v>1625</v>
      </c>
      <c r="B678" s="929" t="s">
        <v>1629</v>
      </c>
      <c r="C678" s="949">
        <v>337837.58</v>
      </c>
      <c r="D678" s="949">
        <v>329971.7</v>
      </c>
      <c r="E678" s="930">
        <v>336004.73</v>
      </c>
      <c r="F678" s="930">
        <v>343283.04</v>
      </c>
      <c r="G678" s="930">
        <v>345173.43</v>
      </c>
      <c r="H678" s="930">
        <v>336064</v>
      </c>
      <c r="I678" s="930">
        <v>301026.44</v>
      </c>
      <c r="J678" s="946" t="str">
        <f>RIGHT(IFERROR(LEFT(B678,FIND("-",B678)+6),""),6)</f>
        <v>454000</v>
      </c>
      <c r="K678" s="947" t="str">
        <f>IFERROR(RIGHT($B678,LEN($B678)-14),"")</f>
        <v>Elect Revenue-Rents Elec Property</v>
      </c>
      <c r="M678" s="931" t="s">
        <v>1629</v>
      </c>
    </row>
    <row r="679" spans="1:13">
      <c r="A679" s="4293" t="s">
        <v>1625</v>
      </c>
      <c r="B679" s="929" t="s">
        <v>1630</v>
      </c>
      <c r="C679" s="949">
        <v>12909.89</v>
      </c>
      <c r="D679" s="949">
        <v>12924.88</v>
      </c>
      <c r="E679" s="930">
        <v>18379.3</v>
      </c>
      <c r="F679" s="930">
        <v>13751.03</v>
      </c>
      <c r="G679" s="930">
        <v>19942.89</v>
      </c>
      <c r="H679" s="930">
        <v>19466.439999999999</v>
      </c>
      <c r="I679" s="930">
        <v>-9587.9</v>
      </c>
      <c r="J679" s="946" t="str">
        <f>RIGHT(IFERROR(LEFT(B679,FIND("-",B679)+6),""),6)</f>
        <v>456000</v>
      </c>
      <c r="K679" s="947" t="str">
        <f>IFERROR(RIGHT($B679,LEN($B679)-14),"")</f>
        <v>Elect Revenue-Other Electric Revenues</v>
      </c>
      <c r="M679" s="931" t="s">
        <v>1630</v>
      </c>
    </row>
    <row r="680" spans="1:13">
      <c r="A680" s="4293" t="s">
        <v>1625</v>
      </c>
      <c r="B680" s="933"/>
      <c r="C680" s="952" t="s">
        <v>1108</v>
      </c>
      <c r="D680" s="952" t="s">
        <v>1108</v>
      </c>
      <c r="E680" s="935" t="s">
        <v>1108</v>
      </c>
      <c r="F680" s="935" t="s">
        <v>1108</v>
      </c>
      <c r="G680" s="935" t="s">
        <v>1108</v>
      </c>
      <c r="H680" s="935" t="s">
        <v>1108</v>
      </c>
      <c r="I680" s="935" t="s">
        <v>1108</v>
      </c>
      <c r="M680" s="934"/>
    </row>
    <row r="681" spans="1:13">
      <c r="A681" s="4293" t="s">
        <v>1625</v>
      </c>
      <c r="B681" s="929" t="s">
        <v>1631</v>
      </c>
      <c r="C681" s="949">
        <v>1759509.1099999999</v>
      </c>
      <c r="D681" s="949">
        <v>1713108.76</v>
      </c>
      <c r="E681" s="930">
        <v>1514941.95</v>
      </c>
      <c r="F681" s="930">
        <v>1373408.47</v>
      </c>
      <c r="G681" s="930">
        <v>1295149.3700000001</v>
      </c>
      <c r="H681" s="930">
        <v>1344663.04</v>
      </c>
      <c r="I681" s="930">
        <v>1328388.5900000001</v>
      </c>
      <c r="M681" s="931" t="s">
        <v>1631</v>
      </c>
    </row>
    <row r="682" spans="1:13">
      <c r="B682" s="933"/>
      <c r="C682" s="952" t="s">
        <v>1108</v>
      </c>
      <c r="D682" s="952" t="s">
        <v>1108</v>
      </c>
      <c r="E682" s="935" t="s">
        <v>1108</v>
      </c>
      <c r="F682" s="935" t="s">
        <v>1108</v>
      </c>
      <c r="G682" s="935" t="s">
        <v>1108</v>
      </c>
      <c r="H682" s="935" t="s">
        <v>1108</v>
      </c>
      <c r="I682" s="935" t="s">
        <v>1108</v>
      </c>
      <c r="M682" s="934"/>
    </row>
    <row r="683" spans="1:13">
      <c r="B683" s="933"/>
      <c r="C683" s="952" t="s">
        <v>1108</v>
      </c>
      <c r="D683" s="952" t="s">
        <v>1108</v>
      </c>
      <c r="E683" s="935" t="s">
        <v>1108</v>
      </c>
      <c r="F683" s="935" t="s">
        <v>1108</v>
      </c>
      <c r="G683" s="935" t="s">
        <v>1108</v>
      </c>
      <c r="H683" s="935" t="s">
        <v>1108</v>
      </c>
      <c r="I683" s="935" t="s">
        <v>1108</v>
      </c>
      <c r="M683" s="934"/>
    </row>
    <row r="684" spans="1:13">
      <c r="B684" s="929" t="s">
        <v>1632</v>
      </c>
      <c r="C684" s="949">
        <v>262086039.60999998</v>
      </c>
      <c r="D684" s="949">
        <v>247565974.67999995</v>
      </c>
      <c r="E684" s="930">
        <v>234786504.83000001</v>
      </c>
      <c r="F684" s="930">
        <v>210898761.06</v>
      </c>
      <c r="G684" s="930">
        <v>240060462.09999999</v>
      </c>
      <c r="H684" s="930">
        <v>213656613.00999999</v>
      </c>
      <c r="I684" s="930">
        <v>206948592.00999999</v>
      </c>
      <c r="M684" s="931" t="s">
        <v>1632</v>
      </c>
    </row>
    <row r="685" spans="1:13">
      <c r="B685" s="933"/>
      <c r="C685" s="952" t="s">
        <v>1108</v>
      </c>
      <c r="D685" s="952" t="s">
        <v>1108</v>
      </c>
      <c r="E685" s="935" t="s">
        <v>1108</v>
      </c>
      <c r="F685" s="935" t="s">
        <v>1108</v>
      </c>
      <c r="G685" s="935" t="s">
        <v>1108</v>
      </c>
      <c r="H685" s="935" t="s">
        <v>1108</v>
      </c>
      <c r="I685" s="935" t="s">
        <v>1108</v>
      </c>
      <c r="M685" s="934"/>
    </row>
    <row r="686" spans="1:13">
      <c r="B686" s="962" t="s">
        <v>1633</v>
      </c>
      <c r="C686" s="949"/>
      <c r="D686" s="949"/>
      <c r="E686" s="930"/>
      <c r="F686" s="930"/>
      <c r="G686" s="930"/>
      <c r="H686" s="930"/>
      <c r="I686" s="930"/>
      <c r="M686" s="931" t="s">
        <v>1633</v>
      </c>
    </row>
    <row r="687" spans="1:13">
      <c r="B687" s="933"/>
      <c r="C687" s="949"/>
      <c r="D687" s="949"/>
      <c r="E687" s="930"/>
      <c r="F687" s="930"/>
      <c r="G687" s="930"/>
      <c r="H687" s="930"/>
      <c r="I687" s="930"/>
      <c r="M687" s="934"/>
    </row>
    <row r="688" spans="1:13">
      <c r="A688" s="4293" t="s">
        <v>1590</v>
      </c>
      <c r="B688" s="929" t="s">
        <v>1634</v>
      </c>
      <c r="C688" s="949"/>
      <c r="D688" s="949"/>
      <c r="E688" s="949"/>
      <c r="F688" s="930"/>
      <c r="G688" s="930"/>
      <c r="H688" s="930"/>
      <c r="I688" s="930"/>
      <c r="M688" s="931" t="s">
        <v>1634</v>
      </c>
    </row>
    <row r="689" spans="1:13">
      <c r="A689" s="4293" t="s">
        <v>1590</v>
      </c>
      <c r="B689" s="929" t="s">
        <v>1635</v>
      </c>
      <c r="C689" s="960">
        <v>234998</v>
      </c>
      <c r="D689" s="960">
        <v>265099</v>
      </c>
      <c r="E689" s="960">
        <v>193335</v>
      </c>
      <c r="F689" s="959">
        <v>115446</v>
      </c>
      <c r="G689" s="959">
        <v>30360109</v>
      </c>
      <c r="H689" s="959">
        <v>40438561.270000003</v>
      </c>
      <c r="I689" s="959">
        <v>37204238</v>
      </c>
      <c r="J689" s="946" t="str">
        <f>RIGHT(IFERROR(LEFT(B689,FIND("-",B689)+6),""),6)</f>
        <v>555010</v>
      </c>
      <c r="K689" s="947" t="str">
        <f t="shared" ref="K689:K699" si="2">IFERROR(RIGHT($B689,LEN($B689)-14),"")</f>
        <v>Elect Revenue-Purc Power BPA</v>
      </c>
      <c r="M689" s="931" t="s">
        <v>1635</v>
      </c>
    </row>
    <row r="690" spans="1:13">
      <c r="A690" s="4293" t="s">
        <v>1590</v>
      </c>
      <c r="B690" s="929" t="s">
        <v>1636</v>
      </c>
      <c r="C690" s="960">
        <v>115383956.84999999</v>
      </c>
      <c r="D690" s="960">
        <v>107261620.67</v>
      </c>
      <c r="E690" s="960">
        <v>90265419.799999997</v>
      </c>
      <c r="F690" s="959">
        <v>82984562.430000007</v>
      </c>
      <c r="G690" s="959">
        <v>87177732.120000005</v>
      </c>
      <c r="H690" s="959">
        <v>67342847.040000007</v>
      </c>
      <c r="I690" s="959">
        <v>38968285.659999996</v>
      </c>
      <c r="J690" s="946" t="str">
        <f t="shared" ref="J690:J699" si="3">RIGHT(IFERROR(LEFT(B690,FIND("-",B690)+6),""),6)</f>
        <v>555020</v>
      </c>
      <c r="K690" s="947" t="str">
        <f t="shared" si="2"/>
        <v>Elect Revenue-Purc Power PRP</v>
      </c>
      <c r="M690" s="931" t="s">
        <v>1636</v>
      </c>
    </row>
    <row r="691" spans="1:13">
      <c r="A691" s="4293" t="s">
        <v>1590</v>
      </c>
      <c r="B691" s="929" t="s">
        <v>1637</v>
      </c>
      <c r="C691" s="960">
        <v>-19734509.690000001</v>
      </c>
      <c r="D691" s="960">
        <v>-5832284.7599999998</v>
      </c>
      <c r="E691" s="960">
        <v>-4718395.32</v>
      </c>
      <c r="F691" s="959">
        <v>-4110400.8</v>
      </c>
      <c r="G691" s="959">
        <v>-6673655.25</v>
      </c>
      <c r="H691" s="959">
        <v>-9555732</v>
      </c>
      <c r="I691" s="959">
        <v>-35555239.740000002</v>
      </c>
      <c r="J691" s="946" t="str">
        <f t="shared" si="3"/>
        <v>555025</v>
      </c>
      <c r="K691" s="947" t="str">
        <f t="shared" si="2"/>
        <v>Elect Revenue-Meaningful Priority</v>
      </c>
      <c r="M691" s="931" t="s">
        <v>1637</v>
      </c>
    </row>
    <row r="692" spans="1:13">
      <c r="A692" s="4293" t="s">
        <v>1590</v>
      </c>
      <c r="B692" s="929" t="s">
        <v>1638</v>
      </c>
      <c r="C692" s="960">
        <v>-9879760.8200000003</v>
      </c>
      <c r="D692" s="960">
        <v>-771965.4</v>
      </c>
      <c r="E692" s="960">
        <v>-3738711.54</v>
      </c>
      <c r="F692" s="959">
        <v>0</v>
      </c>
      <c r="G692" s="961"/>
      <c r="H692" s="961"/>
      <c r="I692" s="961"/>
      <c r="J692" s="946" t="str">
        <f t="shared" si="3"/>
        <v>555035</v>
      </c>
      <c r="K692" s="947" t="str">
        <f t="shared" si="2"/>
        <v>Elect Revenue-DSC PRP Adj to Power Cost</v>
      </c>
      <c r="M692" s="929" t="s">
        <v>1638</v>
      </c>
    </row>
    <row r="693" spans="1:13">
      <c r="A693" s="4293" t="s">
        <v>1590</v>
      </c>
      <c r="B693" s="929" t="s">
        <v>1639</v>
      </c>
      <c r="C693" s="960">
        <v>43555640.840000004</v>
      </c>
      <c r="D693" s="960">
        <v>54469470.229999997</v>
      </c>
      <c r="E693" s="960">
        <v>32100472.760000002</v>
      </c>
      <c r="F693" s="959">
        <v>17833129.68</v>
      </c>
      <c r="G693" s="959">
        <v>20155666.239999998</v>
      </c>
      <c r="H693" s="959">
        <v>25364141.510000002</v>
      </c>
      <c r="I693" s="959">
        <v>48422029.659999996</v>
      </c>
      <c r="J693" s="946" t="str">
        <f t="shared" si="3"/>
        <v>555070</v>
      </c>
      <c r="K693" s="947" t="str">
        <f t="shared" si="2"/>
        <v>Elect Revenue-Purchased Power Market</v>
      </c>
      <c r="M693" s="931" t="s">
        <v>1639</v>
      </c>
    </row>
    <row r="694" spans="1:13">
      <c r="A694" s="4293" t="s">
        <v>1590</v>
      </c>
      <c r="B694" s="929" t="s">
        <v>1640</v>
      </c>
      <c r="C694" s="960">
        <v>367483</v>
      </c>
      <c r="D694" s="960">
        <v>346805</v>
      </c>
      <c r="E694" s="960">
        <v>353867</v>
      </c>
      <c r="F694" s="959">
        <v>320602.83</v>
      </c>
      <c r="G694" s="959">
        <v>261351.11</v>
      </c>
      <c r="H694" s="959">
        <v>225750.58</v>
      </c>
      <c r="I694" s="959">
        <v>152384.59</v>
      </c>
      <c r="J694" s="946" t="str">
        <f t="shared" si="3"/>
        <v>555500</v>
      </c>
      <c r="K694" s="947" t="str">
        <f t="shared" si="2"/>
        <v>Elect Revenue-Purc Power QC</v>
      </c>
      <c r="M694" s="931" t="s">
        <v>1640</v>
      </c>
    </row>
    <row r="695" spans="1:13">
      <c r="A695" s="4293" t="s">
        <v>1590</v>
      </c>
      <c r="B695" s="929" t="s">
        <v>1641</v>
      </c>
      <c r="C695" s="960">
        <v>1030239.12</v>
      </c>
      <c r="D695" s="960">
        <v>1171626.93</v>
      </c>
      <c r="E695" s="960">
        <v>466004.59</v>
      </c>
      <c r="F695" s="959">
        <v>1068455.8</v>
      </c>
      <c r="G695" s="959">
        <v>584491.59</v>
      </c>
      <c r="H695" s="959">
        <v>285672.27</v>
      </c>
      <c r="I695" s="959">
        <v>7007756.7300000004</v>
      </c>
      <c r="J695" s="946" t="str">
        <f t="shared" si="3"/>
        <v>555666</v>
      </c>
      <c r="K695" s="947" t="str">
        <f t="shared" si="2"/>
        <v>Elect Revenue-Net Bookout Purchase</v>
      </c>
      <c r="M695" s="931" t="s">
        <v>1641</v>
      </c>
    </row>
    <row r="696" spans="1:13">
      <c r="A696" s="4293" t="s">
        <v>1590</v>
      </c>
      <c r="B696" s="929" t="s">
        <v>1642</v>
      </c>
      <c r="C696" s="960">
        <v>2055900</v>
      </c>
      <c r="D696" s="960">
        <v>2055900</v>
      </c>
      <c r="E696" s="960">
        <v>2055900</v>
      </c>
      <c r="F696" s="959">
        <v>2087688</v>
      </c>
      <c r="G696" s="959">
        <v>2119476</v>
      </c>
      <c r="H696" s="959">
        <v>2063616</v>
      </c>
      <c r="I696" s="959">
        <v>0</v>
      </c>
      <c r="J696" s="946" t="str">
        <f t="shared" si="3"/>
        <v>555900</v>
      </c>
      <c r="K696" s="947" t="str">
        <f t="shared" si="2"/>
        <v>Elect Revenue-Power Purchases, 9 Canyon</v>
      </c>
      <c r="M696" s="931" t="s">
        <v>1642</v>
      </c>
    </row>
    <row r="697" spans="1:13">
      <c r="A697" s="4293" t="s">
        <v>1590</v>
      </c>
      <c r="B697" s="929" t="s">
        <v>1643</v>
      </c>
      <c r="C697" s="960">
        <v>2447.09</v>
      </c>
      <c r="D697" s="960">
        <v>80620.03</v>
      </c>
      <c r="E697" s="960">
        <v>81740.479999999996</v>
      </c>
      <c r="F697" s="959">
        <v>18242.28</v>
      </c>
      <c r="G697" s="959">
        <v>50312.09</v>
      </c>
      <c r="H697" s="959">
        <v>64560.92</v>
      </c>
      <c r="I697" s="959">
        <v>0</v>
      </c>
      <c r="J697" s="946" t="str">
        <f t="shared" si="3"/>
        <v>555999</v>
      </c>
      <c r="K697" s="947" t="str">
        <f t="shared" si="2"/>
        <v>Elect Revenue-Power Purchases, Other</v>
      </c>
      <c r="M697" s="931" t="s">
        <v>1643</v>
      </c>
    </row>
    <row r="698" spans="1:13">
      <c r="A698" s="4293" t="s">
        <v>1590</v>
      </c>
      <c r="B698" s="929" t="s">
        <v>1644</v>
      </c>
      <c r="C698" s="960">
        <v>121876.26</v>
      </c>
      <c r="D698" s="960">
        <v>104336.04</v>
      </c>
      <c r="E698" s="959">
        <v>101486.62</v>
      </c>
      <c r="F698" s="959">
        <v>61544.3</v>
      </c>
      <c r="G698" s="959">
        <v>69059.149999999994</v>
      </c>
      <c r="H698" s="959">
        <v>113288.67</v>
      </c>
      <c r="I698" s="959">
        <v>109472.5</v>
      </c>
      <c r="J698" s="946" t="str">
        <f t="shared" si="3"/>
        <v>557050</v>
      </c>
      <c r="K698" s="947" t="str">
        <f t="shared" si="2"/>
        <v>Elect Revenue-Oth Pwr Exp Misc</v>
      </c>
      <c r="M698" s="931" t="s">
        <v>1644</v>
      </c>
    </row>
    <row r="699" spans="1:13">
      <c r="A699" s="4293"/>
      <c r="B699" s="931" t="s">
        <v>1645</v>
      </c>
      <c r="C699" s="960"/>
      <c r="D699" s="960"/>
      <c r="E699" s="959"/>
      <c r="F699" s="959"/>
      <c r="G699" s="959">
        <v>0</v>
      </c>
      <c r="H699" s="959">
        <v>12355086.039999999</v>
      </c>
      <c r="I699" s="959">
        <v>22230401.550000001</v>
      </c>
      <c r="J699" s="946" t="str">
        <f t="shared" si="3"/>
        <v>555030</v>
      </c>
      <c r="K699" s="947" t="str">
        <f t="shared" si="2"/>
        <v>Elect Revenue-Purc Power Wan</v>
      </c>
      <c r="M699" s="931" t="s">
        <v>1645</v>
      </c>
    </row>
    <row r="700" spans="1:13">
      <c r="A700" s="4293" t="s">
        <v>1590</v>
      </c>
      <c r="B700" s="933"/>
      <c r="C700" s="952" t="s">
        <v>1108</v>
      </c>
      <c r="D700" s="952" t="s">
        <v>1108</v>
      </c>
      <c r="E700" s="935" t="s">
        <v>1108</v>
      </c>
      <c r="F700" s="935" t="s">
        <v>1108</v>
      </c>
      <c r="G700" s="935" t="s">
        <v>1108</v>
      </c>
      <c r="H700" s="935" t="s">
        <v>1108</v>
      </c>
      <c r="I700" s="935" t="s">
        <v>1108</v>
      </c>
      <c r="M700" s="934"/>
    </row>
    <row r="701" spans="1:13">
      <c r="A701" s="4293" t="s">
        <v>1590</v>
      </c>
      <c r="B701" s="929" t="s">
        <v>1646</v>
      </c>
      <c r="C701" s="949">
        <f>SUM(C689:C699)</f>
        <v>133138270.65000002</v>
      </c>
      <c r="D701" s="949">
        <f>SUM(D689:D699)</f>
        <v>159151227.73999998</v>
      </c>
      <c r="E701" s="930">
        <v>117161119.39</v>
      </c>
      <c r="F701" s="930">
        <v>100379270.52</v>
      </c>
      <c r="G701" s="930">
        <v>134104542.05</v>
      </c>
      <c r="H701" s="930">
        <v>138697792.30000001</v>
      </c>
      <c r="I701" s="930">
        <v>118539328.95</v>
      </c>
      <c r="M701" s="931" t="s">
        <v>1646</v>
      </c>
    </row>
    <row r="702" spans="1:13">
      <c r="B702" s="933"/>
      <c r="C702" s="952" t="s">
        <v>1108</v>
      </c>
      <c r="D702" s="952" t="s">
        <v>1108</v>
      </c>
      <c r="E702" s="935" t="s">
        <v>1108</v>
      </c>
      <c r="F702" s="935" t="s">
        <v>1108</v>
      </c>
      <c r="G702" s="935" t="s">
        <v>1108</v>
      </c>
      <c r="H702" s="935" t="s">
        <v>1108</v>
      </c>
      <c r="I702" s="935" t="s">
        <v>1108</v>
      </c>
      <c r="M702" s="934"/>
    </row>
    <row r="703" spans="1:13">
      <c r="B703" s="933"/>
      <c r="C703" s="949"/>
      <c r="D703" s="949"/>
      <c r="E703" s="930"/>
      <c r="F703" s="930"/>
      <c r="G703" s="930"/>
      <c r="H703" s="930"/>
      <c r="M703" s="934"/>
    </row>
    <row r="704" spans="1:13">
      <c r="A704" s="4293" t="s">
        <v>1647</v>
      </c>
      <c r="B704" s="929" t="s">
        <v>1648</v>
      </c>
      <c r="C704" s="949"/>
      <c r="D704" s="949"/>
      <c r="E704" s="930"/>
      <c r="F704" s="930"/>
      <c r="G704" s="930"/>
      <c r="H704" s="930"/>
      <c r="I704" s="930"/>
      <c r="M704" s="931" t="s">
        <v>1648</v>
      </c>
    </row>
    <row r="705" spans="1:13">
      <c r="A705" s="4293" t="s">
        <v>1647</v>
      </c>
      <c r="B705" s="929" t="s">
        <v>1649</v>
      </c>
      <c r="C705" s="949">
        <v>6904.05</v>
      </c>
      <c r="D705" s="949">
        <v>1629.91</v>
      </c>
      <c r="E705" s="930">
        <v>1806.1</v>
      </c>
      <c r="F705" s="930">
        <v>3383.85</v>
      </c>
      <c r="G705" s="930">
        <v>2813.25</v>
      </c>
      <c r="H705" s="930">
        <v>14191.26</v>
      </c>
      <c r="I705" s="930">
        <v>3679.77</v>
      </c>
      <c r="J705" s="946" t="str">
        <f t="shared" ref="J705:J719" si="4">RIGHT(IFERROR(LEFT(B705,FIND("-",B705)+6),""),6)</f>
        <v>535500</v>
      </c>
      <c r="K705" s="947" t="str">
        <f t="shared" ref="K705:K719" si="5">IFERROR(RIGHT($B705,LEN($B705)-14),"")</f>
        <v>Elect Revenue-Supv &amp; Eng QC Operations</v>
      </c>
      <c r="M705" s="931" t="s">
        <v>1649</v>
      </c>
    </row>
    <row r="706" spans="1:13">
      <c r="A706" s="4293" t="s">
        <v>1647</v>
      </c>
      <c r="B706" s="929" t="s">
        <v>1650</v>
      </c>
      <c r="C706" s="949">
        <v>35183.08</v>
      </c>
      <c r="D706" s="949">
        <v>9785.2099999999991</v>
      </c>
      <c r="E706" s="930">
        <v>31476.03</v>
      </c>
      <c r="F706" s="930">
        <v>22477.91</v>
      </c>
      <c r="G706" s="930">
        <v>21138.17</v>
      </c>
      <c r="H706" s="930">
        <v>53952.68</v>
      </c>
      <c r="I706" s="930">
        <v>3550.76</v>
      </c>
      <c r="J706" s="946" t="str">
        <f t="shared" si="4"/>
        <v>535600</v>
      </c>
      <c r="K706" s="947" t="str">
        <f t="shared" si="5"/>
        <v>Elect Revenue-Supv &amp; Eng PEC Operations</v>
      </c>
      <c r="M706" s="931" t="s">
        <v>1650</v>
      </c>
    </row>
    <row r="707" spans="1:13">
      <c r="A707" s="4293" t="s">
        <v>1647</v>
      </c>
      <c r="B707" s="929" t="s">
        <v>1651</v>
      </c>
      <c r="C707" s="949">
        <v>11054.5</v>
      </c>
      <c r="D707" s="949">
        <v>8753.02</v>
      </c>
      <c r="E707" s="930">
        <v>9193.8799999999992</v>
      </c>
      <c r="F707" s="930">
        <v>9321.48</v>
      </c>
      <c r="G707" s="930">
        <v>10976.42</v>
      </c>
      <c r="H707" s="930">
        <v>13799.25</v>
      </c>
      <c r="I707" s="930">
        <v>9025.4599999999991</v>
      </c>
      <c r="J707" s="946" t="str">
        <f t="shared" si="4"/>
        <v>537500</v>
      </c>
      <c r="K707" s="947" t="str">
        <f t="shared" si="5"/>
        <v>Elect Revenue-Hydrl Exp QC</v>
      </c>
      <c r="M707" s="931" t="s">
        <v>1651</v>
      </c>
    </row>
    <row r="708" spans="1:13">
      <c r="A708" s="4293" t="s">
        <v>1647</v>
      </c>
      <c r="B708" s="929" t="s">
        <v>1652</v>
      </c>
      <c r="C708" s="949">
        <v>8092.56</v>
      </c>
      <c r="D708" s="949">
        <v>8305.15</v>
      </c>
      <c r="E708" s="930">
        <v>10834.9</v>
      </c>
      <c r="F708" s="930">
        <v>12687.68</v>
      </c>
      <c r="G708" s="930">
        <v>17874.439999999999</v>
      </c>
      <c r="H708" s="930">
        <v>20479.599999999999</v>
      </c>
      <c r="I708" s="930">
        <v>12998.93</v>
      </c>
      <c r="J708" s="946" t="str">
        <f t="shared" si="4"/>
        <v>537600</v>
      </c>
      <c r="K708" s="947" t="str">
        <f t="shared" si="5"/>
        <v>Elect Revenue-Hydrl Exp PEC</v>
      </c>
      <c r="M708" s="931" t="s">
        <v>1652</v>
      </c>
    </row>
    <row r="709" spans="1:13">
      <c r="A709" s="4293" t="s">
        <v>1647</v>
      </c>
      <c r="B709" s="929" t="s">
        <v>1653</v>
      </c>
      <c r="C709" s="949">
        <v>11054.21</v>
      </c>
      <c r="D709" s="949">
        <v>8752.7800000000007</v>
      </c>
      <c r="E709" s="930">
        <v>9193.35</v>
      </c>
      <c r="F709" s="930">
        <v>9321.17</v>
      </c>
      <c r="G709" s="930">
        <v>10975.98</v>
      </c>
      <c r="H709" s="930">
        <v>13798.7</v>
      </c>
      <c r="I709" s="930">
        <v>9025.61</v>
      </c>
      <c r="J709" s="946" t="str">
        <f t="shared" si="4"/>
        <v>538500</v>
      </c>
      <c r="K709" s="947" t="str">
        <f t="shared" si="5"/>
        <v>Elect Revenue-Electric Exp QC</v>
      </c>
      <c r="M709" s="931" t="s">
        <v>1653</v>
      </c>
    </row>
    <row r="710" spans="1:13">
      <c r="A710" s="4293" t="s">
        <v>1647</v>
      </c>
      <c r="B710" s="929" t="s">
        <v>1654</v>
      </c>
      <c r="C710" s="949">
        <v>8092.37</v>
      </c>
      <c r="D710" s="949">
        <v>8304.9</v>
      </c>
      <c r="E710" s="930">
        <v>10834.39</v>
      </c>
      <c r="F710" s="930">
        <v>12687.34</v>
      </c>
      <c r="G710" s="930">
        <v>17873.96</v>
      </c>
      <c r="H710" s="930">
        <v>20479.03</v>
      </c>
      <c r="I710" s="930">
        <v>12999.17</v>
      </c>
      <c r="J710" s="946" t="str">
        <f t="shared" si="4"/>
        <v>538600</v>
      </c>
      <c r="K710" s="947" t="str">
        <f t="shared" si="5"/>
        <v>Elect Revenue-Electric Exp PEC</v>
      </c>
      <c r="M710" s="931" t="s">
        <v>1654</v>
      </c>
    </row>
    <row r="711" spans="1:13">
      <c r="A711" s="4293" t="s">
        <v>1647</v>
      </c>
      <c r="B711" s="929" t="s">
        <v>1655</v>
      </c>
      <c r="C711" s="949">
        <v>216716.9</v>
      </c>
      <c r="D711" s="949">
        <v>259161.53</v>
      </c>
      <c r="E711" s="930">
        <v>272196.27</v>
      </c>
      <c r="F711" s="930">
        <v>132077.76000000001</v>
      </c>
      <c r="G711" s="930">
        <v>118054.09</v>
      </c>
      <c r="H711" s="930">
        <v>140317.23000000001</v>
      </c>
      <c r="I711" s="930">
        <v>115251.9</v>
      </c>
      <c r="J711" s="946" t="str">
        <f t="shared" si="4"/>
        <v>544500</v>
      </c>
      <c r="K711" s="947" t="str">
        <f t="shared" si="5"/>
        <v>Elect Revenue-Hyd Maint Elec Plt QC</v>
      </c>
      <c r="M711" s="931" t="s">
        <v>1655</v>
      </c>
    </row>
    <row r="712" spans="1:13">
      <c r="A712" s="4293" t="s">
        <v>1647</v>
      </c>
      <c r="B712" s="929" t="s">
        <v>1656</v>
      </c>
      <c r="C712" s="949">
        <v>121627.45</v>
      </c>
      <c r="D712" s="949">
        <v>100724.7</v>
      </c>
      <c r="E712" s="930">
        <v>119117.9</v>
      </c>
      <c r="F712" s="930">
        <v>111576.87</v>
      </c>
      <c r="G712" s="930">
        <v>332413.99</v>
      </c>
      <c r="H712" s="930">
        <v>174562.48</v>
      </c>
      <c r="I712" s="930">
        <v>107672.05</v>
      </c>
      <c r="J712" s="946" t="str">
        <f t="shared" si="4"/>
        <v>544600</v>
      </c>
      <c r="K712" s="947" t="str">
        <f t="shared" si="5"/>
        <v>Elect Revenue-Hyd Maint Elec Plt PEC</v>
      </c>
      <c r="M712" s="931" t="s">
        <v>1656</v>
      </c>
    </row>
    <row r="713" spans="1:13">
      <c r="A713" s="4293" t="s">
        <v>1647</v>
      </c>
      <c r="B713" s="929" t="s">
        <v>1657</v>
      </c>
      <c r="C713" s="949"/>
      <c r="D713" s="949"/>
      <c r="E713" s="930">
        <v>0</v>
      </c>
      <c r="F713" s="930">
        <v>147537.82</v>
      </c>
      <c r="J713" s="946" t="str">
        <f t="shared" si="4"/>
        <v>549000</v>
      </c>
      <c r="K713" s="947" t="str">
        <f t="shared" si="5"/>
        <v>Elect Revenue-Misc Other Power Expense</v>
      </c>
      <c r="M713" s="929" t="s">
        <v>1657</v>
      </c>
    </row>
    <row r="714" spans="1:13">
      <c r="A714" s="4293" t="s">
        <v>1647</v>
      </c>
      <c r="B714" s="931" t="s">
        <v>1658</v>
      </c>
      <c r="C714" s="949"/>
      <c r="D714" s="949"/>
      <c r="E714" s="930"/>
      <c r="F714" s="930"/>
      <c r="G714" s="930">
        <v>1075.28</v>
      </c>
      <c r="H714" s="930">
        <v>0</v>
      </c>
      <c r="I714" s="930">
        <v>-128.47999999999999</v>
      </c>
      <c r="J714" s="946" t="str">
        <f t="shared" si="4"/>
        <v>539010</v>
      </c>
      <c r="K714" s="947" t="str">
        <f t="shared" si="5"/>
        <v>Elect Revenue-Misc Hyd General Expense</v>
      </c>
      <c r="M714" s="931" t="s">
        <v>1658</v>
      </c>
    </row>
    <row r="715" spans="1:13">
      <c r="A715" s="4293" t="s">
        <v>1647</v>
      </c>
      <c r="B715" s="955" t="s">
        <v>1659</v>
      </c>
      <c r="C715" s="949"/>
      <c r="D715" s="949"/>
      <c r="E715" s="930"/>
      <c r="F715" s="930"/>
      <c r="G715" s="930">
        <v>0</v>
      </c>
      <c r="I715" s="930">
        <v>3228.77</v>
      </c>
      <c r="J715" s="946" t="str">
        <f t="shared" si="4"/>
        <v>541500</v>
      </c>
      <c r="K715" s="947" t="str">
        <f t="shared" si="5"/>
        <v>Elect Revenue-Hyd Maint Supv &amp; Eng QC</v>
      </c>
      <c r="M715" s="955" t="s">
        <v>1659</v>
      </c>
    </row>
    <row r="716" spans="1:13">
      <c r="A716" s="4293" t="s">
        <v>1647</v>
      </c>
      <c r="B716" s="955" t="s">
        <v>1660</v>
      </c>
      <c r="C716" s="949"/>
      <c r="D716" s="949"/>
      <c r="E716" s="930"/>
      <c r="F716" s="930"/>
      <c r="G716" s="930">
        <v>0</v>
      </c>
      <c r="I716" s="930">
        <v>3228.62</v>
      </c>
      <c r="J716" s="946" t="str">
        <f t="shared" si="4"/>
        <v>541600</v>
      </c>
      <c r="K716" s="947" t="str">
        <f t="shared" si="5"/>
        <v>Elect Revenue-Hyd Maint Supv &amp; Eng PEC</v>
      </c>
      <c r="M716" s="955" t="s">
        <v>1660</v>
      </c>
    </row>
    <row r="717" spans="1:13">
      <c r="A717" s="4293" t="s">
        <v>1647</v>
      </c>
      <c r="B717" s="955" t="s">
        <v>1661</v>
      </c>
      <c r="C717" s="949"/>
      <c r="D717" s="949"/>
      <c r="E717" s="930"/>
      <c r="F717" s="930"/>
      <c r="G717" s="930">
        <v>0</v>
      </c>
      <c r="I717" s="930">
        <v>230.07</v>
      </c>
      <c r="J717" s="946" t="str">
        <f t="shared" si="4"/>
        <v>543010</v>
      </c>
      <c r="K717" s="947" t="str">
        <f t="shared" si="5"/>
        <v>Elect Revenue-Hyd Maint Dams General</v>
      </c>
      <c r="M717" s="955" t="s">
        <v>1661</v>
      </c>
    </row>
    <row r="718" spans="1:13">
      <c r="A718" s="4293" t="s">
        <v>1647</v>
      </c>
      <c r="B718" s="955" t="s">
        <v>1662</v>
      </c>
      <c r="C718" s="949"/>
      <c r="D718" s="949"/>
      <c r="E718" s="930"/>
      <c r="F718" s="930"/>
      <c r="G718" s="930">
        <v>0</v>
      </c>
      <c r="I718" s="930">
        <v>1.6</v>
      </c>
      <c r="J718" s="946" t="str">
        <f t="shared" si="4"/>
        <v>545010</v>
      </c>
      <c r="K718" s="947" t="str">
        <f t="shared" si="5"/>
        <v>Elect Revenue-Hyd Maint Misc General</v>
      </c>
      <c r="M718" s="955" t="s">
        <v>1662</v>
      </c>
    </row>
    <row r="719" spans="1:13">
      <c r="A719" s="4293" t="s">
        <v>1647</v>
      </c>
      <c r="B719" s="955" t="s">
        <v>1663</v>
      </c>
      <c r="C719" s="949"/>
      <c r="D719" s="949"/>
      <c r="E719" s="930"/>
      <c r="F719" s="930"/>
      <c r="G719" s="930">
        <v>0</v>
      </c>
      <c r="I719" s="930">
        <v>5372.95</v>
      </c>
      <c r="J719" s="946" t="str">
        <f t="shared" si="4"/>
        <v>545500</v>
      </c>
      <c r="K719" s="947" t="str">
        <f t="shared" si="5"/>
        <v>Elect Revenue-Hyd Maint Misc QC</v>
      </c>
      <c r="M719" s="955" t="s">
        <v>1663</v>
      </c>
    </row>
    <row r="720" spans="1:13">
      <c r="A720" s="4293" t="s">
        <v>1647</v>
      </c>
      <c r="B720" s="933"/>
      <c r="C720" s="952" t="s">
        <v>1108</v>
      </c>
      <c r="D720" s="952" t="s">
        <v>1108</v>
      </c>
      <c r="E720" s="935" t="s">
        <v>1108</v>
      </c>
      <c r="F720" s="935" t="s">
        <v>1108</v>
      </c>
      <c r="G720" s="935" t="s">
        <v>1108</v>
      </c>
      <c r="H720" s="935" t="s">
        <v>1108</v>
      </c>
      <c r="I720" s="935" t="s">
        <v>1108</v>
      </c>
      <c r="M720" s="934"/>
    </row>
    <row r="721" spans="1:13">
      <c r="A721" s="4293" t="s">
        <v>1647</v>
      </c>
      <c r="B721" s="929" t="s">
        <v>1664</v>
      </c>
      <c r="C721" s="949">
        <f>SUM(C705:C719)</f>
        <v>418725.12</v>
      </c>
      <c r="D721" s="949">
        <f>SUM(D705:D719)</f>
        <v>405417.2</v>
      </c>
      <c r="E721" s="930">
        <v>464652.82</v>
      </c>
      <c r="F721" s="930">
        <v>461071.88</v>
      </c>
      <c r="G721" s="930">
        <v>533195.57999999996</v>
      </c>
      <c r="H721" s="930">
        <v>451580.23</v>
      </c>
      <c r="I721" s="930">
        <v>286137.18</v>
      </c>
      <c r="M721" s="931" t="s">
        <v>1664</v>
      </c>
    </row>
    <row r="722" spans="1:13">
      <c r="A722" s="4293" t="s">
        <v>1647</v>
      </c>
      <c r="B722" s="933"/>
      <c r="C722" s="952" t="s">
        <v>1108</v>
      </c>
      <c r="D722" s="952" t="s">
        <v>1108</v>
      </c>
      <c r="E722" s="935" t="s">
        <v>1108</v>
      </c>
      <c r="F722" s="935" t="s">
        <v>1108</v>
      </c>
      <c r="G722" s="935" t="s">
        <v>1108</v>
      </c>
      <c r="H722" s="935" t="s">
        <v>1108</v>
      </c>
      <c r="I722" s="935" t="s">
        <v>1108</v>
      </c>
      <c r="M722" s="934"/>
    </row>
    <row r="723" spans="1:13">
      <c r="A723" s="4293" t="s">
        <v>1647</v>
      </c>
      <c r="B723" s="933"/>
      <c r="C723" s="949"/>
      <c r="D723" s="949"/>
      <c r="E723" s="930"/>
      <c r="F723" s="930"/>
      <c r="G723" s="930"/>
      <c r="H723" s="930"/>
      <c r="I723" s="930"/>
      <c r="M723" s="934"/>
    </row>
    <row r="724" spans="1:13">
      <c r="A724" s="4293" t="s">
        <v>1647</v>
      </c>
      <c r="B724" s="929" t="s">
        <v>1665</v>
      </c>
      <c r="C724" s="949"/>
      <c r="D724" s="949"/>
      <c r="E724" s="930"/>
      <c r="F724" s="930"/>
      <c r="G724" s="930"/>
      <c r="H724" s="930"/>
      <c r="I724" s="930"/>
      <c r="M724" s="931" t="s">
        <v>1665</v>
      </c>
    </row>
    <row r="725" spans="1:13">
      <c r="A725" s="4293" t="s">
        <v>1647</v>
      </c>
      <c r="B725" s="929" t="s">
        <v>1666</v>
      </c>
      <c r="C725" s="949">
        <v>109222.59</v>
      </c>
      <c r="D725" s="949">
        <v>110398.35</v>
      </c>
      <c r="E725" s="930">
        <v>106557.15</v>
      </c>
      <c r="F725" s="930">
        <v>222610.73</v>
      </c>
      <c r="G725" s="930">
        <v>138316.99</v>
      </c>
      <c r="H725" s="930">
        <v>135343.44</v>
      </c>
      <c r="I725" s="930">
        <v>37803.360000000001</v>
      </c>
      <c r="J725" s="946" t="str">
        <f t="shared" ref="J725:J736" si="6">RIGHT(IFERROR(LEFT(B725,FIND("-",B725)+6),""),6)</f>
        <v>560000</v>
      </c>
      <c r="K725" s="947" t="str">
        <f t="shared" ref="K725:K736" si="7">IFERROR(RIGHT($B725,LEN($B725)-14),"")</f>
        <v>Elect Revenue-T/Opers Supv &amp; Eng</v>
      </c>
      <c r="M725" s="931" t="s">
        <v>1666</v>
      </c>
    </row>
    <row r="726" spans="1:13">
      <c r="A726" s="4293" t="s">
        <v>1647</v>
      </c>
      <c r="B726" s="929" t="s">
        <v>1667</v>
      </c>
      <c r="C726" s="949">
        <v>347295.07</v>
      </c>
      <c r="D726" s="949">
        <v>206066.18</v>
      </c>
      <c r="E726" s="930">
        <v>137793.48000000001</v>
      </c>
      <c r="F726" s="930">
        <v>109460.95</v>
      </c>
      <c r="G726" s="930">
        <v>250897.7</v>
      </c>
      <c r="H726" s="930">
        <v>166265.85</v>
      </c>
      <c r="I726" s="930">
        <v>43569.64</v>
      </c>
      <c r="J726" s="946" t="str">
        <f t="shared" si="6"/>
        <v>561000</v>
      </c>
      <c r="K726" s="947" t="str">
        <f t="shared" si="7"/>
        <v>Elect Revenue-T/Opers Load Dispatching</v>
      </c>
      <c r="M726" s="931" t="s">
        <v>1667</v>
      </c>
    </row>
    <row r="727" spans="1:13">
      <c r="A727" s="4293" t="s">
        <v>1647</v>
      </c>
      <c r="B727" s="929" t="s">
        <v>1668</v>
      </c>
      <c r="C727" s="949">
        <v>835320.65</v>
      </c>
      <c r="D727" s="949">
        <v>787799.51</v>
      </c>
      <c r="E727" s="930">
        <v>727917.95</v>
      </c>
      <c r="F727" s="930">
        <v>681673.91</v>
      </c>
      <c r="G727" s="930">
        <v>645772.05000000005</v>
      </c>
      <c r="H727" s="930">
        <v>594760.62</v>
      </c>
      <c r="I727" s="930">
        <v>561558.15</v>
      </c>
      <c r="J727" s="946" t="str">
        <f t="shared" si="6"/>
        <v>561010</v>
      </c>
      <c r="K727" s="947" t="str">
        <f t="shared" si="7"/>
        <v>Elect Revenue-T/Opers Load Dispatch Gen</v>
      </c>
      <c r="M727" s="931" t="s">
        <v>1668</v>
      </c>
    </row>
    <row r="728" spans="1:13">
      <c r="A728" s="4293" t="s">
        <v>1647</v>
      </c>
      <c r="B728" s="929" t="s">
        <v>1669</v>
      </c>
      <c r="C728" s="949">
        <v>1157.52</v>
      </c>
      <c r="D728" s="949">
        <v>1040.56</v>
      </c>
      <c r="E728" s="930">
        <v>1190.0999999999999</v>
      </c>
      <c r="F728" s="930">
        <v>1053.99</v>
      </c>
      <c r="G728" s="930">
        <v>1024.94</v>
      </c>
      <c r="H728" s="930">
        <v>881.72</v>
      </c>
      <c r="I728" s="930">
        <v>1111.51</v>
      </c>
      <c r="J728" s="946" t="str">
        <f t="shared" si="6"/>
        <v>561500</v>
      </c>
      <c r="K728" s="947" t="str">
        <f t="shared" si="7"/>
        <v>Elect Revenue-T/Opers Load Dispatch QC</v>
      </c>
      <c r="M728" s="931" t="s">
        <v>1669</v>
      </c>
    </row>
    <row r="729" spans="1:13">
      <c r="A729" s="4293" t="s">
        <v>1647</v>
      </c>
      <c r="B729" s="929" t="s">
        <v>1670</v>
      </c>
      <c r="C729" s="949">
        <v>945.96</v>
      </c>
      <c r="D729" s="949">
        <v>985.69</v>
      </c>
      <c r="E729" s="930">
        <v>870.68</v>
      </c>
      <c r="F729" s="930">
        <v>967.95</v>
      </c>
      <c r="G729" s="930">
        <v>558.79999999999995</v>
      </c>
      <c r="H729" s="930">
        <v>797.68</v>
      </c>
      <c r="I729" s="930">
        <v>889.46</v>
      </c>
      <c r="J729" s="946" t="str">
        <f t="shared" si="6"/>
        <v>561600</v>
      </c>
      <c r="K729" s="947" t="str">
        <f t="shared" si="7"/>
        <v>Elect Revenue-T/Opers Load Dispatch PEC</v>
      </c>
      <c r="M729" s="931" t="s">
        <v>1670</v>
      </c>
    </row>
    <row r="730" spans="1:13">
      <c r="A730" s="4293" t="s">
        <v>1647</v>
      </c>
      <c r="B730" s="929" t="s">
        <v>1671</v>
      </c>
      <c r="C730" s="949">
        <v>16941.32</v>
      </c>
      <c r="D730" s="949">
        <v>10052.040000000001</v>
      </c>
      <c r="E730" s="930">
        <v>6721.67</v>
      </c>
      <c r="F730" s="930">
        <v>5339.58</v>
      </c>
      <c r="G730" s="930">
        <v>12238.91</v>
      </c>
      <c r="H730" s="930">
        <v>8110.56</v>
      </c>
      <c r="I730" s="930">
        <v>2125.31</v>
      </c>
      <c r="J730" s="946" t="str">
        <f t="shared" si="6"/>
        <v>562000</v>
      </c>
      <c r="K730" s="947" t="str">
        <f t="shared" si="7"/>
        <v>Elect Revenue-T/Opers Station Exp</v>
      </c>
      <c r="M730" s="931" t="s">
        <v>1671</v>
      </c>
    </row>
    <row r="731" spans="1:13">
      <c r="A731" s="4293" t="s">
        <v>1647</v>
      </c>
      <c r="B731" s="929" t="s">
        <v>1672</v>
      </c>
      <c r="C731" s="949">
        <v>42353.16</v>
      </c>
      <c r="D731" s="949">
        <v>25130.09</v>
      </c>
      <c r="E731" s="930">
        <v>16804.14</v>
      </c>
      <c r="F731" s="930">
        <v>13348.91</v>
      </c>
      <c r="G731" s="930">
        <v>30597.26</v>
      </c>
      <c r="H731" s="930">
        <v>20276.560000000001</v>
      </c>
      <c r="I731" s="930">
        <v>5313.37</v>
      </c>
      <c r="J731" s="946" t="str">
        <f t="shared" si="6"/>
        <v>563000</v>
      </c>
      <c r="K731" s="947" t="str">
        <f t="shared" si="7"/>
        <v>Elect Revenue-T/Opers OH Line Exp</v>
      </c>
      <c r="M731" s="931" t="s">
        <v>1672</v>
      </c>
    </row>
    <row r="732" spans="1:13">
      <c r="A732" s="4293" t="s">
        <v>1647</v>
      </c>
      <c r="B732" s="929" t="s">
        <v>1673</v>
      </c>
      <c r="C732" s="949">
        <v>5478671.9100000001</v>
      </c>
      <c r="D732" s="949">
        <v>2622470.92</v>
      </c>
      <c r="E732" s="930">
        <v>4600961.9400000004</v>
      </c>
      <c r="F732" s="930">
        <v>5191750.8600000003</v>
      </c>
      <c r="G732" s="930">
        <v>7119005.1799999997</v>
      </c>
      <c r="H732" s="930">
        <v>7472973.6500000004</v>
      </c>
      <c r="I732" s="930">
        <v>7058844.1600000001</v>
      </c>
      <c r="J732" s="946" t="str">
        <f t="shared" si="6"/>
        <v>565010</v>
      </c>
      <c r="K732" s="947" t="str">
        <f t="shared" si="7"/>
        <v>Elect Revenue-T/Transmission By Others</v>
      </c>
      <c r="M732" s="931" t="s">
        <v>1673</v>
      </c>
    </row>
    <row r="733" spans="1:13">
      <c r="A733" s="4293" t="s">
        <v>1647</v>
      </c>
      <c r="B733" s="929" t="s">
        <v>1674</v>
      </c>
      <c r="C733" s="949">
        <v>534094.73</v>
      </c>
      <c r="D733" s="949">
        <v>389898.36</v>
      </c>
      <c r="E733" s="930">
        <v>355671.23</v>
      </c>
      <c r="F733" s="930">
        <v>457582.3</v>
      </c>
      <c r="G733" s="930">
        <v>555855.26</v>
      </c>
      <c r="H733" s="930">
        <v>455233.66</v>
      </c>
      <c r="I733" s="930">
        <v>52560.31</v>
      </c>
      <c r="J733" s="946" t="str">
        <f t="shared" si="6"/>
        <v>566000</v>
      </c>
      <c r="K733" s="947" t="str">
        <f t="shared" si="7"/>
        <v>Elect Revenue-T/Opers Misc Exp</v>
      </c>
      <c r="M733" s="931" t="s">
        <v>1674</v>
      </c>
    </row>
    <row r="734" spans="1:13">
      <c r="A734" s="4293" t="s">
        <v>1647</v>
      </c>
      <c r="B734" s="929" t="s">
        <v>1675</v>
      </c>
      <c r="C734" s="949">
        <v>109960.02</v>
      </c>
      <c r="D734" s="949">
        <v>73293.210000000006</v>
      </c>
      <c r="E734" s="930">
        <v>56351.33</v>
      </c>
      <c r="F734" s="930">
        <v>46960.160000000003</v>
      </c>
      <c r="G734" s="930">
        <v>79189.23</v>
      </c>
      <c r="H734" s="930">
        <v>61557.68</v>
      </c>
      <c r="I734" s="930">
        <v>31874.03</v>
      </c>
      <c r="J734" s="946" t="str">
        <f t="shared" si="6"/>
        <v>568000</v>
      </c>
      <c r="K734" s="947" t="str">
        <f t="shared" si="7"/>
        <v>Elect Revenue-T/Maint Supr &amp; Eng</v>
      </c>
      <c r="M734" s="931" t="s">
        <v>1675</v>
      </c>
    </row>
    <row r="735" spans="1:13">
      <c r="A735" s="4293" t="s">
        <v>1647</v>
      </c>
      <c r="B735" s="929" t="s">
        <v>1676</v>
      </c>
      <c r="C735" s="949">
        <v>414187.96</v>
      </c>
      <c r="D735" s="949">
        <v>401294.11</v>
      </c>
      <c r="E735" s="930">
        <v>260356.93</v>
      </c>
      <c r="F735" s="930">
        <v>202689.38</v>
      </c>
      <c r="G735" s="930">
        <v>297976.71000000002</v>
      </c>
      <c r="H735" s="930">
        <v>283282.58</v>
      </c>
      <c r="I735" s="930">
        <v>242214.04</v>
      </c>
      <c r="J735" s="946" t="str">
        <f t="shared" si="6"/>
        <v>570000</v>
      </c>
      <c r="K735" s="947" t="str">
        <f t="shared" si="7"/>
        <v>Elect Revenue-T/Maint Sta Equip</v>
      </c>
      <c r="M735" s="931" t="s">
        <v>1676</v>
      </c>
    </row>
    <row r="736" spans="1:13">
      <c r="A736" s="4293" t="s">
        <v>1647</v>
      </c>
      <c r="B736" s="955" t="s">
        <v>1677</v>
      </c>
      <c r="C736" s="949">
        <v>185359.57</v>
      </c>
      <c r="D736" s="949">
        <v>92905.14</v>
      </c>
      <c r="E736" s="930"/>
      <c r="F736" s="930"/>
      <c r="G736" s="930">
        <v>0</v>
      </c>
      <c r="H736" s="949">
        <v>0</v>
      </c>
      <c r="I736" s="930">
        <v>151509.18</v>
      </c>
      <c r="J736" s="946" t="str">
        <f t="shared" si="6"/>
        <v>571050</v>
      </c>
      <c r="K736" s="947" t="str">
        <f t="shared" si="7"/>
        <v>Elect Revenue-T/Maint OH Lines</v>
      </c>
      <c r="M736" s="955" t="s">
        <v>1677</v>
      </c>
    </row>
    <row r="737" spans="1:13">
      <c r="A737" s="4293" t="s">
        <v>1647</v>
      </c>
      <c r="B737" s="933"/>
      <c r="C737" s="952" t="s">
        <v>1108</v>
      </c>
      <c r="D737" s="952" t="s">
        <v>1108</v>
      </c>
      <c r="E737" s="935" t="s">
        <v>1108</v>
      </c>
      <c r="F737" s="935" t="s">
        <v>1108</v>
      </c>
      <c r="G737" s="935" t="s">
        <v>1108</v>
      </c>
      <c r="H737" s="935" t="s">
        <v>1108</v>
      </c>
      <c r="I737" s="935" t="s">
        <v>1108</v>
      </c>
      <c r="M737" s="934"/>
    </row>
    <row r="738" spans="1:13">
      <c r="A738" s="4293" t="s">
        <v>1647</v>
      </c>
      <c r="B738" s="929" t="s">
        <v>1678</v>
      </c>
      <c r="C738" s="949">
        <f>SUM(C725:C736)</f>
        <v>8075510.46</v>
      </c>
      <c r="D738" s="949">
        <f>SUM(D725:D736)</f>
        <v>4721334.16</v>
      </c>
      <c r="E738" s="930">
        <v>6271196.5999999996</v>
      </c>
      <c r="F738" s="930">
        <v>6933438.7199999997</v>
      </c>
      <c r="G738" s="930">
        <v>9131433.0299999993</v>
      </c>
      <c r="H738" s="930">
        <v>9199484</v>
      </c>
      <c r="I738" s="930">
        <v>8189372.5199999996</v>
      </c>
      <c r="M738" s="931" t="s">
        <v>1678</v>
      </c>
    </row>
    <row r="739" spans="1:13">
      <c r="A739" s="4293" t="s">
        <v>1647</v>
      </c>
      <c r="B739" s="933"/>
      <c r="C739" s="952" t="s">
        <v>1108</v>
      </c>
      <c r="D739" s="952" t="s">
        <v>1108</v>
      </c>
      <c r="E739" s="935" t="s">
        <v>1108</v>
      </c>
      <c r="F739" s="935" t="s">
        <v>1108</v>
      </c>
      <c r="G739" s="935" t="s">
        <v>1108</v>
      </c>
      <c r="H739" s="935" t="s">
        <v>1108</v>
      </c>
      <c r="I739" s="935" t="s">
        <v>1108</v>
      </c>
      <c r="M739" s="934"/>
    </row>
    <row r="740" spans="1:13">
      <c r="A740" s="4293" t="s">
        <v>1647</v>
      </c>
      <c r="B740" s="933"/>
      <c r="C740" s="949"/>
      <c r="D740" s="949"/>
      <c r="E740" s="930"/>
      <c r="F740" s="930"/>
      <c r="G740" s="930"/>
      <c r="H740" s="930"/>
      <c r="M740" s="934"/>
    </row>
    <row r="741" spans="1:13">
      <c r="A741" s="4293" t="s">
        <v>1647</v>
      </c>
      <c r="B741" s="929" t="s">
        <v>1679</v>
      </c>
      <c r="C741" s="949"/>
      <c r="D741" s="949"/>
      <c r="E741" s="930"/>
      <c r="F741" s="930"/>
      <c r="G741" s="930"/>
      <c r="H741" s="930"/>
      <c r="M741" s="931" t="s">
        <v>1679</v>
      </c>
    </row>
    <row r="742" spans="1:13">
      <c r="A742" s="4293" t="s">
        <v>1647</v>
      </c>
      <c r="B742" s="929" t="s">
        <v>1680</v>
      </c>
      <c r="C742" s="949">
        <v>138206.04</v>
      </c>
      <c r="D742" s="949">
        <v>131596.04</v>
      </c>
      <c r="E742" s="930">
        <v>128777.13</v>
      </c>
      <c r="F742" s="930">
        <v>149106.48000000001</v>
      </c>
      <c r="G742" s="930">
        <v>110885.77</v>
      </c>
      <c r="H742" s="930">
        <v>120014.56</v>
      </c>
      <c r="I742" s="930">
        <v>235116.28</v>
      </c>
      <c r="J742" s="946" t="str">
        <f t="shared" ref="J742:J758" si="8">RIGHT(IFERROR(LEFT(B742,FIND("-",B742)+6),""),6)</f>
        <v>580000</v>
      </c>
      <c r="K742" s="947" t="str">
        <f t="shared" ref="K742:K758" si="9">IFERROR(RIGHT($B742,LEN($B742)-14),"")</f>
        <v>Elect Revenue-D/Opers Supv &amp; Eng</v>
      </c>
      <c r="M742" s="931" t="s">
        <v>1680</v>
      </c>
    </row>
    <row r="743" spans="1:13">
      <c r="A743" s="4293" t="s">
        <v>1647</v>
      </c>
      <c r="B743" s="929" t="s">
        <v>1681</v>
      </c>
      <c r="C743" s="949">
        <v>1344942.57</v>
      </c>
      <c r="D743" s="949">
        <v>1507282.65</v>
      </c>
      <c r="E743" s="930">
        <v>1430501.21</v>
      </c>
      <c r="F743" s="930">
        <v>1151005.53</v>
      </c>
      <c r="G743" s="930">
        <v>1135331.1000000001</v>
      </c>
      <c r="H743" s="930">
        <v>1030629.1</v>
      </c>
      <c r="I743" s="930">
        <v>686721.89</v>
      </c>
      <c r="J743" s="946" t="str">
        <f t="shared" si="8"/>
        <v>581010</v>
      </c>
      <c r="K743" s="947" t="str">
        <f t="shared" si="9"/>
        <v>Elect Revenue-D/Opers Load Dispatching</v>
      </c>
      <c r="M743" s="931" t="s">
        <v>1681</v>
      </c>
    </row>
    <row r="744" spans="1:13">
      <c r="A744" s="4293" t="s">
        <v>1647</v>
      </c>
      <c r="B744" s="929" t="s">
        <v>1682</v>
      </c>
      <c r="C744" s="949">
        <v>794879.41</v>
      </c>
      <c r="D744" s="949">
        <v>779655.37</v>
      </c>
      <c r="E744" s="930">
        <v>920397.94</v>
      </c>
      <c r="F744" s="930">
        <v>726342.84</v>
      </c>
      <c r="G744" s="930">
        <v>721608.99</v>
      </c>
      <c r="H744" s="930">
        <v>622958.35</v>
      </c>
      <c r="I744" s="930">
        <v>190077.35</v>
      </c>
      <c r="J744" s="946" t="str">
        <f t="shared" si="8"/>
        <v>582000</v>
      </c>
      <c r="K744" s="947" t="str">
        <f t="shared" si="9"/>
        <v>Elect Revenue-D/Opers Station Expense</v>
      </c>
      <c r="M744" s="931" t="s">
        <v>1682</v>
      </c>
    </row>
    <row r="745" spans="1:13">
      <c r="A745" s="4293" t="s">
        <v>1647</v>
      </c>
      <c r="B745" s="929" t="s">
        <v>1683</v>
      </c>
      <c r="C745" s="949">
        <v>1216954.8999999999</v>
      </c>
      <c r="D745" s="949">
        <v>1224353.26</v>
      </c>
      <c r="E745" s="930">
        <v>1530062.33</v>
      </c>
      <c r="F745" s="930">
        <v>1069127.22</v>
      </c>
      <c r="G745" s="930">
        <v>1199717.71</v>
      </c>
      <c r="H745" s="930">
        <v>1059027.07</v>
      </c>
      <c r="I745" s="930">
        <v>252979.23</v>
      </c>
      <c r="J745" s="946" t="str">
        <f t="shared" si="8"/>
        <v>583000</v>
      </c>
      <c r="K745" s="947" t="str">
        <f t="shared" si="9"/>
        <v>Elect Revenue-D/Opers OH Lines</v>
      </c>
      <c r="M745" s="931" t="s">
        <v>1683</v>
      </c>
    </row>
    <row r="746" spans="1:13">
      <c r="A746" s="4293" t="s">
        <v>1647</v>
      </c>
      <c r="B746" s="929" t="s">
        <v>1684</v>
      </c>
      <c r="C746" s="949">
        <v>158976.38</v>
      </c>
      <c r="D746" s="949">
        <v>155931.07999999999</v>
      </c>
      <c r="E746" s="930">
        <v>184079.61</v>
      </c>
      <c r="F746" s="930">
        <v>145268.28</v>
      </c>
      <c r="G746" s="930">
        <v>144321.93</v>
      </c>
      <c r="H746" s="930">
        <v>124592.73</v>
      </c>
      <c r="I746" s="930">
        <v>-57410.54</v>
      </c>
      <c r="J746" s="946" t="str">
        <f t="shared" si="8"/>
        <v>584010</v>
      </c>
      <c r="K746" s="947" t="str">
        <f t="shared" si="9"/>
        <v>Elect Revenue-D/Opers Undergrd Prim &amp; S</v>
      </c>
      <c r="M746" s="931" t="s">
        <v>1684</v>
      </c>
    </row>
    <row r="747" spans="1:13">
      <c r="A747" s="4293" t="s">
        <v>1647</v>
      </c>
      <c r="B747" s="929" t="s">
        <v>1685</v>
      </c>
      <c r="C747" s="949">
        <v>2033701.22</v>
      </c>
      <c r="D747" s="949">
        <v>1972672.34</v>
      </c>
      <c r="E747" s="930">
        <v>2411701.46</v>
      </c>
      <c r="F747" s="930">
        <v>1846297.11</v>
      </c>
      <c r="G747" s="930">
        <v>1824075.3</v>
      </c>
      <c r="H747" s="930">
        <v>1586516.39</v>
      </c>
      <c r="I747" s="930">
        <v>424585.99</v>
      </c>
      <c r="J747" s="946" t="str">
        <f t="shared" si="8"/>
        <v>586010</v>
      </c>
      <c r="K747" s="947" t="str">
        <f t="shared" si="9"/>
        <v>Elect Revenue-D/Opers Meter Install Exp</v>
      </c>
      <c r="M747" s="931" t="s">
        <v>1685</v>
      </c>
    </row>
    <row r="748" spans="1:13">
      <c r="A748" s="4293" t="s">
        <v>1647</v>
      </c>
      <c r="B748" s="929" t="s">
        <v>1686</v>
      </c>
      <c r="C748" s="949">
        <v>48441.99</v>
      </c>
      <c r="D748" s="949">
        <v>171265.09</v>
      </c>
      <c r="E748" s="930">
        <v>255360.23</v>
      </c>
      <c r="F748" s="930">
        <v>1410914.51</v>
      </c>
      <c r="G748" s="930">
        <v>1513068.3</v>
      </c>
      <c r="H748" s="930">
        <v>0</v>
      </c>
      <c r="I748" s="930">
        <v>36094.61</v>
      </c>
      <c r="J748" s="946" t="str">
        <f t="shared" si="8"/>
        <v>587000</v>
      </c>
      <c r="K748" s="947" t="str">
        <f t="shared" si="9"/>
        <v>Elect Revenue-D/Opers Cust Install Exp</v>
      </c>
      <c r="M748" s="931" t="s">
        <v>1686</v>
      </c>
    </row>
    <row r="749" spans="1:13">
      <c r="A749" s="4293" t="s">
        <v>1647</v>
      </c>
      <c r="B749" s="929" t="s">
        <v>1687</v>
      </c>
      <c r="C749" s="949">
        <v>5844537.0700000003</v>
      </c>
      <c r="D749" s="949">
        <v>6135749.3600000003</v>
      </c>
      <c r="E749" s="930">
        <v>5887131.3899999997</v>
      </c>
      <c r="F749" s="930">
        <v>4364569.45</v>
      </c>
      <c r="G749" s="930">
        <v>4178926.77</v>
      </c>
      <c r="H749" s="930">
        <v>4131242.7</v>
      </c>
      <c r="I749" s="930">
        <v>2301508.36</v>
      </c>
      <c r="J749" s="946" t="str">
        <f t="shared" si="8"/>
        <v>588000</v>
      </c>
      <c r="K749" s="947" t="str">
        <f t="shared" si="9"/>
        <v>Elect Revenue-D/Opers Misc Gen Exp</v>
      </c>
      <c r="M749" s="931" t="s">
        <v>1687</v>
      </c>
    </row>
    <row r="750" spans="1:13">
      <c r="A750" s="4293" t="s">
        <v>1647</v>
      </c>
      <c r="B750" s="929" t="s">
        <v>1688</v>
      </c>
      <c r="C750" s="949">
        <v>54227.57</v>
      </c>
      <c r="D750" s="949">
        <v>150784.01999999999</v>
      </c>
      <c r="E750" s="930">
        <v>121371.7</v>
      </c>
      <c r="F750" s="930">
        <v>82103.850000000006</v>
      </c>
      <c r="G750" s="930">
        <v>76284.87</v>
      </c>
      <c r="H750" s="930">
        <v>72632.2</v>
      </c>
      <c r="I750" s="930">
        <v>62740.99</v>
      </c>
      <c r="J750" s="946" t="str">
        <f t="shared" si="8"/>
        <v>588030</v>
      </c>
      <c r="K750" s="947" t="str">
        <f t="shared" si="9"/>
        <v>Elect Revenue-D/Opers Misc EDP</v>
      </c>
      <c r="M750" s="931" t="s">
        <v>1688</v>
      </c>
    </row>
    <row r="751" spans="1:13">
      <c r="A751" s="4293" t="s">
        <v>1647</v>
      </c>
      <c r="B751" s="929" t="s">
        <v>1689</v>
      </c>
      <c r="C751" s="949">
        <v>353557.15</v>
      </c>
      <c r="D751" s="949">
        <v>322464.63</v>
      </c>
      <c r="E751" s="930">
        <v>318399.46999999997</v>
      </c>
      <c r="F751" s="930">
        <v>283672.09000000003</v>
      </c>
      <c r="G751" s="930">
        <v>251923.36</v>
      </c>
      <c r="H751" s="930">
        <v>294070.5</v>
      </c>
      <c r="I751" s="930">
        <v>182192.93</v>
      </c>
      <c r="J751" s="946" t="str">
        <f t="shared" si="8"/>
        <v>590000</v>
      </c>
      <c r="K751" s="947" t="str">
        <f t="shared" si="9"/>
        <v>Elect Revenue-D/Maint Supv &amp; Eng</v>
      </c>
      <c r="M751" s="931" t="s">
        <v>1689</v>
      </c>
    </row>
    <row r="752" spans="1:13">
      <c r="A752" s="4293" t="s">
        <v>1647</v>
      </c>
      <c r="B752" s="929" t="s">
        <v>1690</v>
      </c>
      <c r="C752" s="949">
        <v>1773988.59</v>
      </c>
      <c r="D752" s="949">
        <v>1645209.55</v>
      </c>
      <c r="E752" s="930">
        <v>1524442.28</v>
      </c>
      <c r="F752" s="930">
        <v>1765551.6</v>
      </c>
      <c r="G752" s="930">
        <v>1484220.34</v>
      </c>
      <c r="H752" s="930">
        <v>2572048.4900000002</v>
      </c>
      <c r="I752" s="930">
        <v>915999.79</v>
      </c>
      <c r="J752" s="946" t="str">
        <f t="shared" si="8"/>
        <v>592000</v>
      </c>
      <c r="K752" s="947" t="str">
        <f t="shared" si="9"/>
        <v>Elect Revenue-D/Maint Station Equipmt</v>
      </c>
      <c r="M752" s="931" t="s">
        <v>1690</v>
      </c>
    </row>
    <row r="753" spans="1:13">
      <c r="A753" s="4293" t="s">
        <v>1647</v>
      </c>
      <c r="B753" s="929" t="s">
        <v>1691</v>
      </c>
      <c r="C753" s="949">
        <v>132393.87</v>
      </c>
      <c r="D753" s="949">
        <v>419914.2</v>
      </c>
      <c r="E753" s="930">
        <v>559523.97</v>
      </c>
      <c r="F753" s="930">
        <v>426434.38</v>
      </c>
      <c r="G753" s="930">
        <v>-259144.22</v>
      </c>
      <c r="H753" s="930">
        <v>-617946.03</v>
      </c>
      <c r="I753" s="930">
        <v>4116147.9</v>
      </c>
      <c r="J753" s="946" t="str">
        <f t="shared" si="8"/>
        <v>593010</v>
      </c>
      <c r="K753" s="947" t="str">
        <f t="shared" si="9"/>
        <v>Elect Revenue-D/Maint OH Line Gen</v>
      </c>
      <c r="M753" s="931" t="s">
        <v>1691</v>
      </c>
    </row>
    <row r="754" spans="1:13">
      <c r="A754" s="4293" t="s">
        <v>1647</v>
      </c>
      <c r="B754" s="955" t="s">
        <v>1692</v>
      </c>
      <c r="C754" s="949"/>
      <c r="D754" s="949"/>
      <c r="E754" s="930"/>
      <c r="F754" s="930"/>
      <c r="G754" s="930">
        <v>0</v>
      </c>
      <c r="H754" s="949">
        <v>0</v>
      </c>
      <c r="I754" s="930">
        <v>-1826.45</v>
      </c>
      <c r="J754" s="946" t="str">
        <f t="shared" si="8"/>
        <v>593000</v>
      </c>
      <c r="K754" s="947" t="str">
        <f t="shared" si="9"/>
        <v>Elect Revenue-D/Maint OH Line Fiber O&amp;M</v>
      </c>
      <c r="M754" s="955" t="s">
        <v>1692</v>
      </c>
    </row>
    <row r="755" spans="1:13">
      <c r="A755" s="4293" t="s">
        <v>1647</v>
      </c>
      <c r="B755" s="955" t="s">
        <v>1693</v>
      </c>
      <c r="C755" s="949"/>
      <c r="D755" s="949"/>
      <c r="E755" s="930"/>
      <c r="F755" s="930"/>
      <c r="G755" s="930">
        <v>0</v>
      </c>
      <c r="H755" s="949">
        <v>0</v>
      </c>
      <c r="I755" s="930">
        <v>1242802.02</v>
      </c>
      <c r="J755" s="946" t="str">
        <f t="shared" si="8"/>
        <v>594010</v>
      </c>
      <c r="K755" s="947" t="str">
        <f t="shared" si="9"/>
        <v>Elect Revenue-D/Maint UG Prim &amp; Sec</v>
      </c>
      <c r="M755" s="955" t="s">
        <v>1693</v>
      </c>
    </row>
    <row r="756" spans="1:13">
      <c r="A756" s="4293" t="s">
        <v>1647</v>
      </c>
      <c r="B756" s="931" t="s">
        <v>1694</v>
      </c>
      <c r="C756" s="949"/>
      <c r="D756" s="949"/>
      <c r="E756" s="930"/>
      <c r="F756" s="930"/>
      <c r="G756" s="930">
        <v>0</v>
      </c>
      <c r="H756" s="930">
        <v>1297.1099999999999</v>
      </c>
      <c r="I756" s="930">
        <v>593576.61</v>
      </c>
      <c r="J756" s="946" t="str">
        <f t="shared" si="8"/>
        <v>595000</v>
      </c>
      <c r="K756" s="947" t="str">
        <f t="shared" si="9"/>
        <v>Elect Revenue-D/Maint Line Transformers</v>
      </c>
      <c r="M756" s="931" t="s">
        <v>1694</v>
      </c>
    </row>
    <row r="757" spans="1:13">
      <c r="A757" s="4293" t="s">
        <v>1647</v>
      </c>
      <c r="B757" s="931" t="s">
        <v>1695</v>
      </c>
      <c r="C757" s="949">
        <v>8860.77</v>
      </c>
      <c r="D757" s="949">
        <v>8393.42</v>
      </c>
      <c r="E757" s="930"/>
      <c r="F757" s="930"/>
      <c r="G757" s="930">
        <v>0</v>
      </c>
      <c r="H757" s="930">
        <v>859.58</v>
      </c>
      <c r="I757" s="930">
        <v>35774.089999999997</v>
      </c>
      <c r="J757" s="946" t="str">
        <f t="shared" si="8"/>
        <v>596010</v>
      </c>
      <c r="K757" s="947" t="str">
        <f t="shared" si="9"/>
        <v>Elect Revenue-D/Maint OH Street Lighting</v>
      </c>
      <c r="M757" s="931" t="s">
        <v>1695</v>
      </c>
    </row>
    <row r="758" spans="1:13">
      <c r="A758" s="4293" t="s">
        <v>1647</v>
      </c>
      <c r="B758" s="955" t="s">
        <v>1696</v>
      </c>
      <c r="C758" s="949"/>
      <c r="D758" s="949"/>
      <c r="E758" s="930"/>
      <c r="F758" s="930"/>
      <c r="G758" s="930">
        <v>0</v>
      </c>
      <c r="H758" s="949">
        <v>0</v>
      </c>
      <c r="I758" s="930">
        <v>106219.14</v>
      </c>
      <c r="J758" s="946" t="str">
        <f t="shared" si="8"/>
        <v>597000</v>
      </c>
      <c r="K758" s="947" t="str">
        <f t="shared" si="9"/>
        <v>Elect Revenue-D/Maint Meters</v>
      </c>
      <c r="M758" s="955" t="s">
        <v>1696</v>
      </c>
    </row>
    <row r="759" spans="1:13">
      <c r="A759" s="4293"/>
      <c r="B759" s="929"/>
      <c r="C759" s="949"/>
      <c r="D759" s="949"/>
      <c r="E759" s="930"/>
      <c r="F759" s="930"/>
    </row>
    <row r="760" spans="1:13">
      <c r="A760" s="4293" t="s">
        <v>1647</v>
      </c>
      <c r="B760" s="933"/>
      <c r="C760" s="952" t="s">
        <v>1108</v>
      </c>
      <c r="D760" s="952" t="s">
        <v>1108</v>
      </c>
      <c r="E760" s="935" t="s">
        <v>1108</v>
      </c>
      <c r="F760" s="935" t="s">
        <v>1108</v>
      </c>
      <c r="G760" s="935" t="s">
        <v>1108</v>
      </c>
      <c r="H760" s="935" t="s">
        <v>1108</v>
      </c>
      <c r="I760" s="935" t="s">
        <v>1108</v>
      </c>
      <c r="M760" s="934"/>
    </row>
    <row r="761" spans="1:13">
      <c r="A761" s="4293" t="s">
        <v>1647</v>
      </c>
      <c r="B761" s="929" t="s">
        <v>1697</v>
      </c>
      <c r="C761" s="949">
        <f>SUM(C742:C758)</f>
        <v>13903667.529999999</v>
      </c>
      <c r="D761" s="949">
        <f>SUM(D742:D758)</f>
        <v>14625271.010000002</v>
      </c>
      <c r="E761" s="930">
        <v>15271748.720000001</v>
      </c>
      <c r="F761" s="930">
        <v>13420393.34</v>
      </c>
      <c r="G761" s="930">
        <v>12381220.220000001</v>
      </c>
      <c r="H761" s="930">
        <v>10997942.75</v>
      </c>
      <c r="I761" s="930">
        <v>11323300.189999999</v>
      </c>
      <c r="M761" s="931" t="s">
        <v>1697</v>
      </c>
    </row>
    <row r="762" spans="1:13">
      <c r="A762" s="4293" t="s">
        <v>1647</v>
      </c>
      <c r="B762" s="933"/>
      <c r="C762" s="952" t="s">
        <v>1108</v>
      </c>
      <c r="D762" s="952" t="s">
        <v>1108</v>
      </c>
      <c r="E762" s="935" t="s">
        <v>1108</v>
      </c>
      <c r="F762" s="935" t="s">
        <v>1108</v>
      </c>
      <c r="G762" s="935" t="s">
        <v>1108</v>
      </c>
      <c r="H762" s="935" t="s">
        <v>1108</v>
      </c>
      <c r="I762" s="935" t="s">
        <v>1108</v>
      </c>
      <c r="M762" s="934"/>
    </row>
    <row r="763" spans="1:13">
      <c r="A763" s="4293" t="s">
        <v>1647</v>
      </c>
      <c r="B763" s="933"/>
      <c r="C763" s="949"/>
      <c r="D763" s="949"/>
      <c r="E763" s="930"/>
      <c r="F763" s="930"/>
      <c r="G763" s="930"/>
      <c r="H763" s="930"/>
      <c r="M763" s="934"/>
    </row>
    <row r="764" spans="1:13">
      <c r="A764" s="4293" t="s">
        <v>1647</v>
      </c>
      <c r="B764" s="929" t="s">
        <v>1698</v>
      </c>
      <c r="C764" s="949"/>
      <c r="D764" s="949"/>
      <c r="E764" s="930"/>
      <c r="F764" s="930"/>
      <c r="G764" s="930"/>
      <c r="H764" s="930"/>
      <c r="M764" s="931" t="s">
        <v>1698</v>
      </c>
    </row>
    <row r="765" spans="1:13">
      <c r="A765" s="4293" t="s">
        <v>1647</v>
      </c>
      <c r="B765" s="929" t="s">
        <v>1699</v>
      </c>
      <c r="C765" s="960">
        <v>535648.55000000005</v>
      </c>
      <c r="D765" s="960">
        <v>465654.77</v>
      </c>
      <c r="E765" s="959">
        <v>330158.83</v>
      </c>
      <c r="F765" s="959">
        <v>315630.3</v>
      </c>
      <c r="G765" s="959">
        <v>403218.91</v>
      </c>
      <c r="H765" s="959">
        <v>457039.21</v>
      </c>
      <c r="I765" s="959">
        <v>476166.52</v>
      </c>
      <c r="J765" s="946" t="str">
        <f t="shared" ref="J765:J775" si="10">RIGHT(IFERROR(LEFT(B765,FIND("-",B765)+6),""),6)</f>
        <v>901000</v>
      </c>
      <c r="K765" s="947" t="str">
        <f t="shared" ref="K765:K775" si="11">IFERROR(RIGHT($B765,LEN($B765)-14),"")</f>
        <v>Elect Revenue-Cust Accts Supv</v>
      </c>
      <c r="M765" s="931" t="s">
        <v>1699</v>
      </c>
    </row>
    <row r="766" spans="1:13">
      <c r="A766" s="4293" t="s">
        <v>1647</v>
      </c>
      <c r="B766" s="963" t="s">
        <v>1700</v>
      </c>
      <c r="C766" s="960">
        <v>885538.91</v>
      </c>
      <c r="D766" s="960">
        <v>870503.54</v>
      </c>
      <c r="E766" s="964">
        <v>885075.6</v>
      </c>
      <c r="F766" s="964">
        <v>756243.03</v>
      </c>
      <c r="G766" s="966"/>
      <c r="H766" s="966"/>
      <c r="I766" s="964">
        <v>759532.09</v>
      </c>
      <c r="J766" s="946" t="str">
        <f t="shared" si="10"/>
        <v>902000</v>
      </c>
      <c r="K766" s="947" t="str">
        <f t="shared" si="11"/>
        <v>Elect Revenue-Cust Accts Meter Reading Exp</v>
      </c>
      <c r="M766" s="931" t="s">
        <v>1701</v>
      </c>
    </row>
    <row r="767" spans="1:13">
      <c r="A767" s="4293" t="s">
        <v>1647</v>
      </c>
      <c r="B767" s="963" t="s">
        <v>1701</v>
      </c>
      <c r="C767" s="960">
        <v>2274637.56</v>
      </c>
      <c r="D767" s="960">
        <v>2299433.9700000002</v>
      </c>
      <c r="E767" s="960">
        <v>2142731.14</v>
      </c>
      <c r="F767" s="960">
        <v>2148190.2999999998</v>
      </c>
      <c r="G767" s="964">
        <v>2103917.2599999998</v>
      </c>
      <c r="H767" s="964">
        <v>2137558.19</v>
      </c>
      <c r="I767" s="960">
        <v>2312930.87</v>
      </c>
      <c r="J767" s="946" t="str">
        <f t="shared" si="10"/>
        <v>903000</v>
      </c>
      <c r="K767" s="947" t="str">
        <f t="shared" si="11"/>
        <v>Elect Revenue-Cust Accts Rec &amp; Coll Exp</v>
      </c>
      <c r="M767" s="955" t="s">
        <v>1701</v>
      </c>
    </row>
    <row r="768" spans="1:13">
      <c r="A768" s="4293" t="s">
        <v>1647</v>
      </c>
      <c r="B768" s="929" t="s">
        <v>1702</v>
      </c>
      <c r="C768" s="960">
        <v>1950.19</v>
      </c>
      <c r="D768" s="960">
        <v>2673.35</v>
      </c>
      <c r="E768" s="959">
        <v>-493.54</v>
      </c>
      <c r="F768" s="959">
        <v>115.38</v>
      </c>
      <c r="G768" s="959">
        <v>-698.39</v>
      </c>
      <c r="H768" s="959">
        <v>-2189.0500000000002</v>
      </c>
      <c r="I768" s="959">
        <v>16897.189999999999</v>
      </c>
      <c r="J768" s="946" t="str">
        <f t="shared" si="10"/>
        <v>903010</v>
      </c>
      <c r="K768" s="947" t="str">
        <f t="shared" si="11"/>
        <v>Elect Revenue-Cust Accts Cash Over/Short</v>
      </c>
      <c r="M768" s="931" t="s">
        <v>1702</v>
      </c>
    </row>
    <row r="769" spans="1:13">
      <c r="A769" s="4293" t="s">
        <v>1647</v>
      </c>
      <c r="B769" s="929" t="s">
        <v>1703</v>
      </c>
      <c r="C769" s="960">
        <v>322688.88</v>
      </c>
      <c r="D769" s="960">
        <v>58302.67</v>
      </c>
      <c r="E769" s="959">
        <v>24961.63</v>
      </c>
      <c r="F769" s="959">
        <v>169066.25</v>
      </c>
      <c r="G769" s="959">
        <v>196772.86</v>
      </c>
      <c r="H769" s="959">
        <v>84844.25</v>
      </c>
      <c r="I769" s="959">
        <v>118370.34</v>
      </c>
      <c r="J769" s="946" t="str">
        <f t="shared" si="10"/>
        <v>904000</v>
      </c>
      <c r="K769" s="947" t="str">
        <f t="shared" si="11"/>
        <v>Elect Revenue-Cust Accts Uncollectible</v>
      </c>
      <c r="M769" s="931" t="s">
        <v>1703</v>
      </c>
    </row>
    <row r="770" spans="1:13">
      <c r="A770" s="4293" t="s">
        <v>1647</v>
      </c>
      <c r="B770" s="929" t="s">
        <v>1704</v>
      </c>
      <c r="C770" s="960">
        <v>1967122.87</v>
      </c>
      <c r="D770" s="960">
        <v>2762273.3</v>
      </c>
      <c r="E770" s="959">
        <v>3369375.3</v>
      </c>
      <c r="F770" s="959">
        <v>3030342.87</v>
      </c>
      <c r="G770" s="959">
        <v>378599.17</v>
      </c>
      <c r="H770" s="959">
        <v>2340070.6</v>
      </c>
      <c r="I770" s="959">
        <v>932153.79</v>
      </c>
      <c r="J770" s="946" t="str">
        <f t="shared" si="10"/>
        <v>906100</v>
      </c>
      <c r="K770" s="947" t="str">
        <f t="shared" si="11"/>
        <v>Elect Revenue-Customer Incentives</v>
      </c>
      <c r="M770" s="931" t="s">
        <v>1704</v>
      </c>
    </row>
    <row r="771" spans="1:13">
      <c r="A771" s="4293" t="s">
        <v>1647</v>
      </c>
      <c r="B771" s="929" t="s">
        <v>1705</v>
      </c>
      <c r="C771" s="960">
        <v>855451.35</v>
      </c>
      <c r="D771" s="960">
        <v>436793.75</v>
      </c>
      <c r="E771" s="959">
        <v>566238.31999999995</v>
      </c>
      <c r="F771" s="959">
        <v>384042.23</v>
      </c>
      <c r="G771" s="959">
        <v>732146.33</v>
      </c>
      <c r="H771" s="959">
        <v>519017.9</v>
      </c>
      <c r="I771" s="959">
        <v>271629.53000000003</v>
      </c>
      <c r="J771" s="946" t="str">
        <f t="shared" si="10"/>
        <v>908000</v>
      </c>
      <c r="K771" s="947" t="str">
        <f t="shared" si="11"/>
        <v>Elect Revenue-Cust Opers Cust Assistance</v>
      </c>
      <c r="M771" s="931" t="s">
        <v>1705</v>
      </c>
    </row>
    <row r="772" spans="1:13">
      <c r="A772" s="4293" t="s">
        <v>1647</v>
      </c>
      <c r="B772" s="965" t="s">
        <v>1700</v>
      </c>
      <c r="C772" s="960"/>
      <c r="D772" s="960"/>
      <c r="E772" s="966"/>
      <c r="F772" s="966"/>
      <c r="G772" s="960">
        <v>764185.38</v>
      </c>
      <c r="H772" s="960">
        <v>715628.15</v>
      </c>
      <c r="I772" s="966"/>
      <c r="J772" s="946" t="str">
        <f t="shared" si="10"/>
        <v>902000</v>
      </c>
      <c r="K772" s="947" t="str">
        <f t="shared" si="11"/>
        <v>Elect Revenue-Cust Accts Meter Reading Exp</v>
      </c>
      <c r="M772" s="931" t="s">
        <v>1700</v>
      </c>
    </row>
    <row r="773" spans="1:13">
      <c r="A773" s="4293" t="s">
        <v>1647</v>
      </c>
      <c r="B773" s="955" t="s">
        <v>1706</v>
      </c>
      <c r="C773" s="960"/>
      <c r="D773" s="960"/>
      <c r="E773" s="959"/>
      <c r="F773" s="959"/>
      <c r="G773" s="961"/>
      <c r="H773" s="959">
        <v>0</v>
      </c>
      <c r="I773" s="959">
        <v>179008.37</v>
      </c>
      <c r="J773" s="946" t="str">
        <f t="shared" si="10"/>
        <v>903030</v>
      </c>
      <c r="K773" s="947" t="str">
        <f t="shared" si="11"/>
        <v>Elect Revenue-Cust Accts EDP</v>
      </c>
      <c r="M773" s="955" t="s">
        <v>1706</v>
      </c>
    </row>
    <row r="774" spans="1:13">
      <c r="A774" s="4293"/>
      <c r="B774" s="931" t="s">
        <v>1707</v>
      </c>
      <c r="C774" s="960"/>
      <c r="D774" s="960"/>
      <c r="E774" s="959"/>
      <c r="F774" s="959"/>
      <c r="G774" s="959">
        <v>0</v>
      </c>
      <c r="H774" s="959">
        <v>1266.05</v>
      </c>
      <c r="I774" s="959">
        <v>72.930000000000007</v>
      </c>
      <c r="J774" s="946" t="str">
        <f t="shared" si="10"/>
        <v>909010</v>
      </c>
      <c r="K774" s="947" t="str">
        <f t="shared" si="11"/>
        <v>Elect Revenue-Cust Opers Pub Rel &amp; Ad Exp</v>
      </c>
      <c r="M774" s="931" t="s">
        <v>1707</v>
      </c>
    </row>
    <row r="775" spans="1:13">
      <c r="A775" s="4293"/>
      <c r="B775" s="931" t="s">
        <v>1708</v>
      </c>
      <c r="C775" s="960">
        <v>7374.75</v>
      </c>
      <c r="D775" s="960">
        <v>214117.53</v>
      </c>
      <c r="E775" s="959"/>
      <c r="F775" s="959"/>
      <c r="G775" s="959">
        <v>81244.240000000005</v>
      </c>
      <c r="H775" s="959">
        <v>113664.67</v>
      </c>
      <c r="I775" s="959">
        <v>60802.86</v>
      </c>
      <c r="J775" s="946" t="str">
        <f t="shared" si="10"/>
        <v>910020</v>
      </c>
      <c r="K775" s="947" t="str">
        <f t="shared" si="11"/>
        <v>Elect Revenue-Cust Opers Misc Rate Study</v>
      </c>
      <c r="M775" s="931" t="s">
        <v>1708</v>
      </c>
    </row>
    <row r="776" spans="1:13">
      <c r="A776" s="4293" t="s">
        <v>1647</v>
      </c>
      <c r="B776" s="933"/>
      <c r="C776" s="952" t="s">
        <v>1108</v>
      </c>
      <c r="D776" s="952" t="s">
        <v>1108</v>
      </c>
      <c r="E776" s="935" t="s">
        <v>1108</v>
      </c>
      <c r="F776" s="935" t="s">
        <v>1108</v>
      </c>
      <c r="G776" s="935" t="s">
        <v>1108</v>
      </c>
      <c r="H776" s="935" t="s">
        <v>1108</v>
      </c>
      <c r="I776" s="935" t="s">
        <v>1108</v>
      </c>
      <c r="M776" s="934"/>
    </row>
    <row r="777" spans="1:13">
      <c r="A777" s="4293" t="s">
        <v>1647</v>
      </c>
      <c r="B777" s="929" t="s">
        <v>1709</v>
      </c>
      <c r="C777" s="960">
        <f>SUM(C765:C775)</f>
        <v>6850413.0599999996</v>
      </c>
      <c r="D777" s="960">
        <f>SUM(D765:D775)</f>
        <v>7109752.8799999999</v>
      </c>
      <c r="E777" s="959">
        <v>7318047.2800000003</v>
      </c>
      <c r="F777" s="959">
        <v>6803630.3600000003</v>
      </c>
      <c r="G777" s="959">
        <v>4659385.76</v>
      </c>
      <c r="H777" s="959">
        <v>6366899.9699999997</v>
      </c>
      <c r="I777" s="959">
        <v>5127564.49</v>
      </c>
      <c r="M777" s="931" t="s">
        <v>1709</v>
      </c>
    </row>
    <row r="778" spans="1:13">
      <c r="A778" s="4293" t="s">
        <v>1647</v>
      </c>
      <c r="B778" s="933"/>
      <c r="C778" s="952" t="s">
        <v>1108</v>
      </c>
      <c r="D778" s="952" t="s">
        <v>1108</v>
      </c>
      <c r="E778" s="935" t="s">
        <v>1108</v>
      </c>
      <c r="F778" s="935" t="s">
        <v>1108</v>
      </c>
      <c r="G778" s="935" t="s">
        <v>1108</v>
      </c>
      <c r="H778" s="935" t="s">
        <v>1108</v>
      </c>
      <c r="I778" s="935" t="s">
        <v>1108</v>
      </c>
      <c r="M778" s="934"/>
    </row>
    <row r="779" spans="1:13">
      <c r="A779" s="4293" t="s">
        <v>1647</v>
      </c>
      <c r="B779" s="933"/>
      <c r="C779" s="960"/>
      <c r="D779" s="960"/>
      <c r="E779" s="959"/>
      <c r="F779" s="959"/>
      <c r="G779" s="959"/>
      <c r="H779" s="959"/>
      <c r="I779" s="959"/>
      <c r="M779" s="934"/>
    </row>
    <row r="780" spans="1:13">
      <c r="A780" s="4293" t="s">
        <v>1647</v>
      </c>
      <c r="B780" s="929" t="s">
        <v>1710</v>
      </c>
      <c r="C780" s="949"/>
      <c r="D780" s="949"/>
      <c r="E780" s="930"/>
      <c r="F780" s="930"/>
      <c r="G780" s="930"/>
      <c r="H780" s="930"/>
      <c r="M780" s="931" t="s">
        <v>1710</v>
      </c>
    </row>
    <row r="781" spans="1:13">
      <c r="A781" s="4293" t="s">
        <v>1647</v>
      </c>
      <c r="B781" s="929" t="s">
        <v>1711</v>
      </c>
      <c r="C781" s="949">
        <v>302471.88</v>
      </c>
      <c r="D781" s="949">
        <v>362486.65</v>
      </c>
      <c r="E781" s="930">
        <v>353968.52</v>
      </c>
      <c r="F781" s="930">
        <v>334357.36</v>
      </c>
      <c r="G781" s="930">
        <v>515416.87</v>
      </c>
      <c r="H781" s="930">
        <v>515768.99</v>
      </c>
      <c r="I781" s="930">
        <v>497638.76</v>
      </c>
      <c r="J781" s="946" t="str">
        <f t="shared" ref="J781:J789" si="12">RIGHT(IFERROR(LEFT(B781,FIND("-",B781)+6),""),6)</f>
        <v>930801</v>
      </c>
      <c r="K781" s="947" t="str">
        <f t="shared" ref="K781:K789" si="13">IFERROR(RIGHT($B781,LEN($B781)-14),"")</f>
        <v>Elect Revenue-Wfon G&amp;A Expense</v>
      </c>
      <c r="M781" s="931" t="s">
        <v>1711</v>
      </c>
    </row>
    <row r="782" spans="1:13">
      <c r="A782" s="4293" t="s">
        <v>1647</v>
      </c>
      <c r="B782" s="929" t="s">
        <v>1712</v>
      </c>
      <c r="C782" s="949">
        <v>659763.71</v>
      </c>
      <c r="D782" s="949">
        <v>696213.85</v>
      </c>
      <c r="E782" s="930">
        <v>889963.7</v>
      </c>
      <c r="F782" s="930">
        <v>672438.39</v>
      </c>
      <c r="G782" s="930">
        <v>510278.49</v>
      </c>
      <c r="H782" s="930">
        <v>726964.97</v>
      </c>
      <c r="I782" s="930">
        <v>224334.34</v>
      </c>
      <c r="J782" s="946" t="str">
        <f t="shared" si="12"/>
        <v>935801</v>
      </c>
      <c r="K782" s="947" t="str">
        <f t="shared" si="13"/>
        <v>Elect Revenue-Wfon Gateway Maint</v>
      </c>
      <c r="M782" s="931" t="s">
        <v>1712</v>
      </c>
    </row>
    <row r="783" spans="1:13">
      <c r="A783" s="4293" t="s">
        <v>1647</v>
      </c>
      <c r="B783" s="929" t="s">
        <v>1713</v>
      </c>
      <c r="C783" s="949"/>
      <c r="D783" s="949"/>
      <c r="E783" s="930">
        <v>30.4</v>
      </c>
      <c r="F783" s="930">
        <v>9770.23</v>
      </c>
      <c r="G783" s="930">
        <v>3454.56</v>
      </c>
      <c r="H783" s="930">
        <v>0</v>
      </c>
      <c r="I783" s="930">
        <v>187606.84</v>
      </c>
      <c r="J783" s="946" t="str">
        <f t="shared" si="12"/>
        <v>935804</v>
      </c>
      <c r="K783" s="947" t="str">
        <f t="shared" si="13"/>
        <v>Elect Revenue-Wfon Underground Cable Exp</v>
      </c>
      <c r="M783" s="931" t="s">
        <v>1713</v>
      </c>
    </row>
    <row r="784" spans="1:13">
      <c r="A784" s="4293" t="s">
        <v>1647</v>
      </c>
      <c r="B784" s="929" t="s">
        <v>1714</v>
      </c>
      <c r="C784" s="949">
        <v>59579.23</v>
      </c>
      <c r="D784" s="949">
        <v>1272</v>
      </c>
      <c r="E784" s="930">
        <v>7626.35</v>
      </c>
      <c r="F784" s="930">
        <v>5125.16</v>
      </c>
      <c r="G784" s="930">
        <v>147.82</v>
      </c>
      <c r="H784" s="930">
        <v>17543.25</v>
      </c>
      <c r="I784" s="930">
        <v>126255.87</v>
      </c>
      <c r="J784" s="946" t="str">
        <f t="shared" si="12"/>
        <v>935805</v>
      </c>
      <c r="K784" s="947" t="str">
        <f t="shared" si="13"/>
        <v>Elect Revenue-Wfon Maint Gen Plant Exp</v>
      </c>
      <c r="M784" s="931" t="s">
        <v>1714</v>
      </c>
    </row>
    <row r="785" spans="1:21">
      <c r="A785" s="4293" t="s">
        <v>1647</v>
      </c>
      <c r="B785" s="929" t="s">
        <v>1715</v>
      </c>
      <c r="C785" s="949">
        <v>117492</v>
      </c>
      <c r="D785" s="949">
        <v>124425.54</v>
      </c>
      <c r="E785" s="930">
        <v>140840.17000000001</v>
      </c>
      <c r="F785" s="930">
        <v>144192</v>
      </c>
      <c r="G785" s="930">
        <v>143364</v>
      </c>
      <c r="H785" s="930">
        <v>163159</v>
      </c>
      <c r="I785" s="930">
        <v>131328</v>
      </c>
      <c r="J785" s="946" t="str">
        <f t="shared" si="12"/>
        <v>935806</v>
      </c>
      <c r="K785" s="947" t="str">
        <f t="shared" si="13"/>
        <v>Elect Revenue-Wfon NOC Monitoring Exp</v>
      </c>
      <c r="M785" s="931" t="s">
        <v>1715</v>
      </c>
    </row>
    <row r="786" spans="1:21">
      <c r="A786" s="4293" t="s">
        <v>1647</v>
      </c>
      <c r="B786" s="929" t="s">
        <v>1716</v>
      </c>
      <c r="C786" s="949">
        <v>140814.85</v>
      </c>
      <c r="D786" s="949">
        <v>113264.66</v>
      </c>
      <c r="E786" s="930">
        <v>77286.86</v>
      </c>
      <c r="F786" s="930">
        <v>123700.03</v>
      </c>
      <c r="G786" s="930">
        <v>41440.17</v>
      </c>
      <c r="H786" s="930">
        <v>27294.46</v>
      </c>
      <c r="I786" s="930">
        <v>118059.93</v>
      </c>
      <c r="J786" s="946" t="str">
        <f t="shared" si="12"/>
        <v>935807</v>
      </c>
      <c r="K786" s="947" t="str">
        <f t="shared" si="13"/>
        <v>Elect Revenue-Wfon-Information Mngmt Exp</v>
      </c>
      <c r="M786" s="931" t="s">
        <v>1716</v>
      </c>
    </row>
    <row r="787" spans="1:21">
      <c r="A787" s="4293"/>
      <c r="B787" s="955" t="s">
        <v>1717</v>
      </c>
      <c r="C787" s="949"/>
      <c r="D787" s="949"/>
      <c r="E787" s="930"/>
      <c r="F787" s="930"/>
      <c r="H787" s="930">
        <v>0</v>
      </c>
      <c r="I787" s="930">
        <v>1219.8800000000001</v>
      </c>
      <c r="J787" s="946" t="str">
        <f>RIGHT(IFERROR(LEFT(B787,FIND("-",B787)+6),""),6)</f>
        <v>923801</v>
      </c>
      <c r="K787" s="947" t="str">
        <f t="shared" si="13"/>
        <v>Elect Revenue-Wfon Legal</v>
      </c>
      <c r="M787" s="955" t="s">
        <v>1717</v>
      </c>
    </row>
    <row r="788" spans="1:21">
      <c r="A788" s="4293"/>
      <c r="B788" s="955" t="s">
        <v>1718</v>
      </c>
      <c r="C788" s="949"/>
      <c r="D788" s="949"/>
      <c r="E788" s="930"/>
      <c r="F788" s="930"/>
      <c r="H788" s="930">
        <v>0</v>
      </c>
      <c r="I788" s="930">
        <v>39863.89</v>
      </c>
      <c r="J788" s="946" t="str">
        <f t="shared" si="12"/>
        <v>935802</v>
      </c>
      <c r="K788" s="947" t="str">
        <f t="shared" si="13"/>
        <v>Elect Revenue-Wfon Hub Cabinet Exp</v>
      </c>
      <c r="M788" s="955" t="s">
        <v>1718</v>
      </c>
    </row>
    <row r="789" spans="1:21">
      <c r="A789" s="4293"/>
      <c r="B789" s="955" t="s">
        <v>1719</v>
      </c>
      <c r="C789" s="949"/>
      <c r="D789" s="949"/>
      <c r="E789" s="930"/>
      <c r="F789" s="930"/>
      <c r="H789" s="930">
        <v>0</v>
      </c>
      <c r="I789" s="930">
        <v>230547.5</v>
      </c>
      <c r="J789" s="946" t="str">
        <f t="shared" si="12"/>
        <v>935803</v>
      </c>
      <c r="K789" s="947" t="str">
        <f t="shared" si="13"/>
        <v>Elect Revenue-Wfon Aerial Cable Exp</v>
      </c>
      <c r="M789" s="955" t="s">
        <v>1719</v>
      </c>
    </row>
    <row r="790" spans="1:21">
      <c r="A790" s="4293" t="s">
        <v>1647</v>
      </c>
      <c r="B790" s="933"/>
      <c r="C790" s="952" t="s">
        <v>1108</v>
      </c>
      <c r="D790" s="952" t="s">
        <v>1108</v>
      </c>
      <c r="E790" s="935" t="s">
        <v>1108</v>
      </c>
      <c r="F790" s="935" t="s">
        <v>1108</v>
      </c>
      <c r="G790" s="935" t="s">
        <v>1108</v>
      </c>
      <c r="H790" s="935" t="s">
        <v>1108</v>
      </c>
      <c r="I790" s="935" t="s">
        <v>1108</v>
      </c>
      <c r="M790" s="934"/>
    </row>
    <row r="791" spans="1:21">
      <c r="A791" s="4293" t="s">
        <v>1647</v>
      </c>
      <c r="B791" s="929" t="s">
        <v>1720</v>
      </c>
      <c r="C791" s="949">
        <f>SUM(C781:C789)</f>
        <v>1280121.67</v>
      </c>
      <c r="D791" s="949">
        <f>SUM(D781:D789)</f>
        <v>1297662.7</v>
      </c>
      <c r="E791" s="930">
        <v>1469716</v>
      </c>
      <c r="F791" s="930">
        <v>1289583.17</v>
      </c>
      <c r="G791" s="930">
        <v>1214101.9099999999</v>
      </c>
      <c r="H791" s="930">
        <v>1450730.67</v>
      </c>
      <c r="I791" s="930">
        <v>1556855.01</v>
      </c>
      <c r="M791" s="931" t="s">
        <v>1720</v>
      </c>
    </row>
    <row r="792" spans="1:21">
      <c r="B792" s="933"/>
      <c r="C792" s="952" t="s">
        <v>1108</v>
      </c>
      <c r="D792" s="952" t="s">
        <v>1108</v>
      </c>
      <c r="E792" s="935" t="s">
        <v>1108</v>
      </c>
      <c r="F792" s="935" t="s">
        <v>1108</v>
      </c>
      <c r="G792" s="935" t="s">
        <v>1108</v>
      </c>
      <c r="H792" s="935" t="s">
        <v>1108</v>
      </c>
      <c r="I792" s="935" t="s">
        <v>1108</v>
      </c>
      <c r="M792" s="934"/>
    </row>
    <row r="793" spans="1:21">
      <c r="B793" s="933"/>
      <c r="C793" s="949"/>
      <c r="D793" s="949"/>
      <c r="E793" s="930"/>
      <c r="F793" s="930"/>
      <c r="G793" s="930"/>
      <c r="H793" s="930"/>
      <c r="M793" s="934"/>
    </row>
    <row r="794" spans="1:21">
      <c r="B794" s="929" t="s">
        <v>1721</v>
      </c>
      <c r="C794" s="949"/>
      <c r="D794" s="949"/>
      <c r="E794" s="930"/>
      <c r="F794" s="930"/>
      <c r="G794" s="930"/>
      <c r="H794" s="930"/>
      <c r="M794" s="931" t="s">
        <v>1721</v>
      </c>
    </row>
    <row r="795" spans="1:21" s="3094" customFormat="1">
      <c r="A795" s="1"/>
      <c r="B795" s="929" t="s">
        <v>3790</v>
      </c>
      <c r="C795" s="949">
        <v>-45000</v>
      </c>
      <c r="D795" s="949">
        <v>45000</v>
      </c>
      <c r="E795" s="930"/>
      <c r="F795" s="930"/>
      <c r="G795" s="930"/>
      <c r="H795" s="930"/>
      <c r="J795" s="946" t="str">
        <f t="shared" ref="J795:J814" si="14">RIGHT(IFERROR(LEFT(B795,FIND("-",B795)+6),""),6)</f>
        <v>426300</v>
      </c>
      <c r="K795" s="947" t="str">
        <f t="shared" ref="K795:K814" si="15">IFERROR(RIGHT($B795,LEN($B795)-14),"")</f>
        <v>Elect Revenue-Penalties</v>
      </c>
      <c r="M795" s="931"/>
      <c r="U795" s="3094" t="str">
        <f>UPPER(K795)</f>
        <v>ELECT REVENUE-PENALTIES</v>
      </c>
    </row>
    <row r="796" spans="1:21">
      <c r="B796" s="955" t="s">
        <v>1748</v>
      </c>
      <c r="C796" s="985"/>
      <c r="D796" s="985"/>
      <c r="E796" s="984"/>
      <c r="F796" s="984"/>
      <c r="G796" s="987"/>
      <c r="H796" s="984">
        <v>0</v>
      </c>
      <c r="I796" s="984">
        <v>58219.81</v>
      </c>
      <c r="J796" s="946" t="str">
        <f t="shared" si="14"/>
        <v>426500</v>
      </c>
      <c r="K796" s="947" t="str">
        <f t="shared" si="15"/>
        <v>Elect Revenue-Other Deductions</v>
      </c>
      <c r="M796" s="931" t="s">
        <v>1722</v>
      </c>
    </row>
    <row r="797" spans="1:21">
      <c r="B797" s="955" t="s">
        <v>1749</v>
      </c>
      <c r="C797" s="985">
        <v>31552.77</v>
      </c>
      <c r="D797" s="985">
        <v>0</v>
      </c>
      <c r="E797" s="984"/>
      <c r="F797" s="984"/>
      <c r="G797" s="987"/>
      <c r="H797" s="984">
        <v>0</v>
      </c>
      <c r="I797" s="984">
        <v>5527775.9800000004</v>
      </c>
      <c r="J797" s="946" t="str">
        <f t="shared" si="14"/>
        <v>920010</v>
      </c>
      <c r="K797" s="947" t="str">
        <f t="shared" si="15"/>
        <v>Elect Revenue-A&amp;G Salaries General</v>
      </c>
      <c r="M797" s="929" t="s">
        <v>1723</v>
      </c>
    </row>
    <row r="798" spans="1:21">
      <c r="B798" s="955" t="s">
        <v>1750</v>
      </c>
      <c r="C798" s="985"/>
      <c r="D798" s="985"/>
      <c r="E798" s="984"/>
      <c r="F798" s="984"/>
      <c r="G798" s="987"/>
      <c r="H798" s="984">
        <v>0</v>
      </c>
      <c r="I798" s="984">
        <v>162866.39000000001</v>
      </c>
      <c r="J798" s="946" t="str">
        <f t="shared" si="14"/>
        <v>920030</v>
      </c>
      <c r="K798" s="947" t="str">
        <f t="shared" si="15"/>
        <v>Elect Revenue-A&amp;G Salaries EDP</v>
      </c>
      <c r="M798" s="931" t="s">
        <v>1724</v>
      </c>
    </row>
    <row r="799" spans="1:21">
      <c r="B799" s="929" t="s">
        <v>1722</v>
      </c>
      <c r="C799" s="985">
        <v>67639.55</v>
      </c>
      <c r="D799" s="985">
        <v>63889.86</v>
      </c>
      <c r="E799" s="984">
        <v>58765.72</v>
      </c>
      <c r="F799" s="984">
        <v>53983.06</v>
      </c>
      <c r="G799" s="984">
        <v>50762.46</v>
      </c>
      <c r="H799" s="984">
        <v>992.61</v>
      </c>
      <c r="I799" s="985">
        <v>0</v>
      </c>
      <c r="J799" s="946" t="str">
        <f t="shared" si="14"/>
        <v>920050</v>
      </c>
      <c r="K799" s="947" t="str">
        <f t="shared" si="15"/>
        <v>Elect Revenue-A&amp;G Certificate Pay</v>
      </c>
      <c r="M799" s="931" t="s">
        <v>1725</v>
      </c>
    </row>
    <row r="800" spans="1:21" s="3094" customFormat="1">
      <c r="A800" s="1"/>
      <c r="B800" s="929" t="s">
        <v>3791</v>
      </c>
      <c r="C800" s="985">
        <v>61712.28</v>
      </c>
      <c r="D800" s="985">
        <v>0</v>
      </c>
      <c r="E800" s="984"/>
      <c r="F800" s="984"/>
      <c r="G800" s="984"/>
      <c r="H800" s="984"/>
      <c r="I800" s="985"/>
      <c r="J800" s="946" t="str">
        <f t="shared" si="14"/>
        <v>920060</v>
      </c>
      <c r="K800" s="947" t="str">
        <f t="shared" si="15"/>
        <v>Elect Revenue-A&amp;G Performance Recognition Pr</v>
      </c>
      <c r="M800" s="931"/>
      <c r="U800" s="3094" t="str">
        <f>UPPER(K800)</f>
        <v>ELECT REVENUE-A&amp;G PERFORMANCE RECOGNITION PR</v>
      </c>
    </row>
    <row r="801" spans="1:13">
      <c r="B801" s="929" t="s">
        <v>1723</v>
      </c>
      <c r="C801" s="985">
        <v>7086539.9900000002</v>
      </c>
      <c r="D801" s="985">
        <v>6704236.5800000001</v>
      </c>
      <c r="E801" s="984">
        <v>6305510.0999999996</v>
      </c>
      <c r="F801" s="984">
        <v>6626580.7699999996</v>
      </c>
      <c r="G801" s="984">
        <v>6874597.0599999996</v>
      </c>
      <c r="H801" s="984">
        <v>7096350.6399999997</v>
      </c>
      <c r="I801" s="985">
        <v>1433230.87</v>
      </c>
      <c r="J801" s="946" t="str">
        <f t="shared" si="14"/>
        <v>921010</v>
      </c>
      <c r="K801" s="947" t="str">
        <f t="shared" si="15"/>
        <v>Elect Revenue-Ofc Sup&amp;Exp General</v>
      </c>
      <c r="M801" s="931" t="s">
        <v>1726</v>
      </c>
    </row>
    <row r="802" spans="1:13">
      <c r="B802" s="929" t="s">
        <v>1724</v>
      </c>
      <c r="C802" s="985">
        <v>90857.24</v>
      </c>
      <c r="D802" s="985">
        <v>28537.360000000001</v>
      </c>
      <c r="E802" s="984">
        <v>46708.76</v>
      </c>
      <c r="F802" s="984">
        <v>25853.08</v>
      </c>
      <c r="G802" s="984">
        <v>31001.34</v>
      </c>
      <c r="H802" s="984">
        <v>60405.45</v>
      </c>
      <c r="I802" s="984">
        <v>191394.11</v>
      </c>
      <c r="J802" s="946" t="str">
        <f t="shared" si="14"/>
        <v>921030</v>
      </c>
      <c r="K802" s="947" t="str">
        <f t="shared" si="15"/>
        <v>Elect Revenue-Ofc Sup&amp;Exp EDP</v>
      </c>
      <c r="M802" s="931" t="s">
        <v>1727</v>
      </c>
    </row>
    <row r="803" spans="1:13">
      <c r="B803" s="929" t="s">
        <v>1725</v>
      </c>
      <c r="C803" s="985">
        <v>37033.08</v>
      </c>
      <c r="D803" s="985">
        <v>41900.67</v>
      </c>
      <c r="E803" s="984">
        <v>43161.33</v>
      </c>
      <c r="F803" s="984">
        <v>23273.74</v>
      </c>
      <c r="G803" s="984">
        <v>21576.7</v>
      </c>
      <c r="H803" s="984">
        <v>27448.22</v>
      </c>
      <c r="I803" s="984">
        <v>22072.1</v>
      </c>
      <c r="J803" s="946" t="str">
        <f t="shared" si="14"/>
        <v>921500</v>
      </c>
      <c r="K803" s="947" t="str">
        <f t="shared" si="15"/>
        <v>Elect Revenue-Ofc Sup&amp;Exp QC Admin Costs</v>
      </c>
      <c r="M803" s="931" t="s">
        <v>1728</v>
      </c>
    </row>
    <row r="804" spans="1:13">
      <c r="B804" s="929" t="s">
        <v>1726</v>
      </c>
      <c r="C804" s="985">
        <v>26066.720000000001</v>
      </c>
      <c r="D804" s="985">
        <v>19215.849999999999</v>
      </c>
      <c r="E804" s="984">
        <v>25970.09</v>
      </c>
      <c r="F804" s="984">
        <v>24096.080000000002</v>
      </c>
      <c r="G804" s="984">
        <v>58478.9</v>
      </c>
      <c r="H804" s="984">
        <v>40540.720000000001</v>
      </c>
      <c r="I804" s="984">
        <v>21200.84</v>
      </c>
      <c r="J804" s="946" t="str">
        <f t="shared" si="14"/>
        <v>921600</v>
      </c>
      <c r="K804" s="947" t="str">
        <f t="shared" si="15"/>
        <v>Elect Revenue-Ofc Sup&amp;Exp PEC Admin Costs</v>
      </c>
      <c r="M804" s="931" t="s">
        <v>1729</v>
      </c>
    </row>
    <row r="805" spans="1:13">
      <c r="B805" s="929" t="s">
        <v>1727</v>
      </c>
      <c r="C805" s="985">
        <v>271364.78999999998</v>
      </c>
      <c r="D805" s="985">
        <v>246035.14</v>
      </c>
      <c r="E805" s="984">
        <v>227148.42</v>
      </c>
      <c r="F805" s="984">
        <v>245153.04</v>
      </c>
      <c r="G805" s="984">
        <v>154826.75</v>
      </c>
      <c r="H805" s="984">
        <v>210135.2</v>
      </c>
      <c r="I805" s="984">
        <v>247729.24</v>
      </c>
      <c r="J805" s="946" t="str">
        <f t="shared" si="14"/>
        <v>923010</v>
      </c>
      <c r="K805" s="947" t="str">
        <f t="shared" si="15"/>
        <v>Elect Revenue-O/S Services Attorney</v>
      </c>
      <c r="M805" s="931" t="s">
        <v>1730</v>
      </c>
    </row>
    <row r="806" spans="1:13">
      <c r="B806" s="929" t="s">
        <v>1728</v>
      </c>
      <c r="C806" s="985">
        <v>91383.64</v>
      </c>
      <c r="D806" s="985">
        <v>75414.5</v>
      </c>
      <c r="E806" s="984">
        <v>99043.7</v>
      </c>
      <c r="F806" s="984">
        <v>96620.05</v>
      </c>
      <c r="G806" s="984">
        <v>81741.399999999994</v>
      </c>
      <c r="H806" s="984">
        <v>127087.9</v>
      </c>
      <c r="I806" s="984">
        <v>49250</v>
      </c>
      <c r="J806" s="946" t="str">
        <f t="shared" si="14"/>
        <v>923020</v>
      </c>
      <c r="K806" s="947" t="str">
        <f t="shared" si="15"/>
        <v>Elect Revenue-O/S Services Auditors</v>
      </c>
      <c r="M806" s="931" t="s">
        <v>1731</v>
      </c>
    </row>
    <row r="807" spans="1:13">
      <c r="B807" s="929" t="s">
        <v>1729</v>
      </c>
      <c r="C807" s="985">
        <v>47699.57</v>
      </c>
      <c r="D807" s="985">
        <v>57630.03</v>
      </c>
      <c r="E807" s="984">
        <v>5154.5</v>
      </c>
      <c r="F807" s="984">
        <v>0</v>
      </c>
      <c r="G807" s="984">
        <v>345.03</v>
      </c>
      <c r="H807" s="984">
        <v>6683.31</v>
      </c>
      <c r="I807" s="984">
        <v>236068.85</v>
      </c>
      <c r="J807" s="946" t="str">
        <f t="shared" si="14"/>
        <v>923030</v>
      </c>
      <c r="K807" s="947" t="str">
        <f t="shared" si="15"/>
        <v>Elect Revenue-O/S Services Consultants</v>
      </c>
      <c r="M807" s="931" t="s">
        <v>1732</v>
      </c>
    </row>
    <row r="808" spans="1:13">
      <c r="B808" s="931" t="s">
        <v>1751</v>
      </c>
      <c r="C808" s="985"/>
      <c r="D808" s="985"/>
      <c r="E808" s="984"/>
      <c r="F808" s="984"/>
      <c r="G808" s="984">
        <v>0</v>
      </c>
      <c r="H808" s="984">
        <v>232.52</v>
      </c>
      <c r="I808" s="984">
        <v>3881.54</v>
      </c>
      <c r="J808" s="946" t="str">
        <f t="shared" si="14"/>
        <v>923040</v>
      </c>
      <c r="K808" s="947" t="str">
        <f t="shared" si="15"/>
        <v>Elect Revenue-O/S Services Other</v>
      </c>
      <c r="M808" s="931" t="s">
        <v>1733</v>
      </c>
    </row>
    <row r="809" spans="1:13">
      <c r="B809" s="929" t="s">
        <v>1730</v>
      </c>
      <c r="C809" s="985">
        <v>138761.67000000001</v>
      </c>
      <c r="D809" s="985">
        <v>136245.53</v>
      </c>
      <c r="E809" s="984">
        <v>128149.26</v>
      </c>
      <c r="F809" s="984">
        <v>110887.34</v>
      </c>
      <c r="G809" s="984">
        <v>104262.66</v>
      </c>
      <c r="H809" s="984">
        <v>134448.63</v>
      </c>
      <c r="I809" s="984">
        <v>175398.76</v>
      </c>
      <c r="J809" s="946" t="str">
        <f t="shared" si="14"/>
        <v>924020</v>
      </c>
      <c r="K809" s="947" t="str">
        <f t="shared" si="15"/>
        <v>Elect Revenue-Property Insurance</v>
      </c>
      <c r="M809" s="931" t="s">
        <v>1734</v>
      </c>
    </row>
    <row r="810" spans="1:13">
      <c r="B810" s="929" t="s">
        <v>1731</v>
      </c>
      <c r="C810" s="985">
        <v>11085.42</v>
      </c>
      <c r="D810" s="985">
        <v>9800.39</v>
      </c>
      <c r="E810" s="984">
        <v>9222.11</v>
      </c>
      <c r="F810" s="984">
        <v>9202.18</v>
      </c>
      <c r="G810" s="984">
        <v>8799.18</v>
      </c>
      <c r="H810" s="984">
        <v>10261.19</v>
      </c>
      <c r="I810" s="984">
        <v>10758.39</v>
      </c>
      <c r="J810" s="946" t="str">
        <f t="shared" si="14"/>
        <v>924500</v>
      </c>
      <c r="K810" s="947" t="str">
        <f t="shared" si="15"/>
        <v>Elect Revenue-Property Insurance QC</v>
      </c>
      <c r="M810" s="931" t="s">
        <v>1735</v>
      </c>
    </row>
    <row r="811" spans="1:13">
      <c r="B811" s="929" t="s">
        <v>1732</v>
      </c>
      <c r="C811" s="985">
        <v>9288.32</v>
      </c>
      <c r="D811" s="985">
        <v>8215.69</v>
      </c>
      <c r="E811" s="984">
        <v>7732.17</v>
      </c>
      <c r="F811" s="984">
        <v>7711.04</v>
      </c>
      <c r="G811" s="984">
        <v>7369.41</v>
      </c>
      <c r="H811" s="984">
        <v>8587.01</v>
      </c>
      <c r="I811" s="984">
        <v>8999.2800000000007</v>
      </c>
      <c r="J811" s="946" t="str">
        <f t="shared" si="14"/>
        <v>924600</v>
      </c>
      <c r="K811" s="947" t="str">
        <f t="shared" si="15"/>
        <v>Elect Revenue-Property Insurance PEC</v>
      </c>
      <c r="M811" s="931" t="s">
        <v>1736</v>
      </c>
    </row>
    <row r="812" spans="1:13">
      <c r="B812" s="929" t="s">
        <v>1733</v>
      </c>
      <c r="C812" s="985">
        <v>596097.67000000004</v>
      </c>
      <c r="D812" s="985">
        <v>666279.80000000005</v>
      </c>
      <c r="E812" s="984">
        <v>709145.06</v>
      </c>
      <c r="F812" s="984">
        <v>676145.99</v>
      </c>
      <c r="G812" s="984">
        <v>648173.18000000005</v>
      </c>
      <c r="H812" s="984">
        <v>646988.56999999995</v>
      </c>
      <c r="I812" s="984">
        <v>630543.5</v>
      </c>
      <c r="J812" s="946" t="str">
        <f t="shared" si="14"/>
        <v>925030</v>
      </c>
      <c r="K812" s="947" t="str">
        <f t="shared" si="15"/>
        <v>Elect Revenue-Inj &amp; Damages General</v>
      </c>
      <c r="M812" s="931" t="s">
        <v>1737</v>
      </c>
    </row>
    <row r="813" spans="1:13">
      <c r="B813" s="929" t="s">
        <v>1734</v>
      </c>
      <c r="C813" s="985">
        <v>368327.96</v>
      </c>
      <c r="D813" s="985">
        <v>374787.12</v>
      </c>
      <c r="E813" s="984">
        <v>335708.45</v>
      </c>
      <c r="F813" s="984">
        <v>316699.09000000003</v>
      </c>
      <c r="G813" s="984">
        <v>315619.84000000003</v>
      </c>
      <c r="H813" s="984">
        <v>325400.05</v>
      </c>
      <c r="I813" s="984">
        <v>302529.99</v>
      </c>
      <c r="J813" s="946" t="str">
        <f t="shared" si="14"/>
        <v>925040</v>
      </c>
      <c r="K813" s="947" t="str">
        <f t="shared" si="15"/>
        <v>Elect Revenue-Inj &amp; Damages Liab Insur</v>
      </c>
      <c r="M813" s="931" t="s">
        <v>1738</v>
      </c>
    </row>
    <row r="814" spans="1:13">
      <c r="B814" s="929" t="s">
        <v>1735</v>
      </c>
      <c r="C814" s="985">
        <v>1184.6500000000001</v>
      </c>
      <c r="D814" s="985">
        <v>5350.21</v>
      </c>
      <c r="E814" s="984">
        <v>1832.39</v>
      </c>
      <c r="F814" s="984">
        <v>6230.67</v>
      </c>
      <c r="G814" s="984">
        <v>2250.87</v>
      </c>
      <c r="H814" s="984">
        <v>4570.7299999999996</v>
      </c>
      <c r="I814" s="984">
        <v>6444.69</v>
      </c>
      <c r="J814" s="946" t="str">
        <f t="shared" si="14"/>
        <v>925050</v>
      </c>
      <c r="K814" s="947" t="str">
        <f t="shared" si="15"/>
        <v>Elect Revenue-Inj &amp; Damages Minor Claims</v>
      </c>
      <c r="M814" s="931" t="s">
        <v>1739</v>
      </c>
    </row>
    <row r="815" spans="1:13" s="3094" customFormat="1">
      <c r="A815" s="1"/>
      <c r="B815" s="929" t="s">
        <v>3792</v>
      </c>
      <c r="C815" s="949">
        <v>-1045544.63</v>
      </c>
      <c r="D815" s="949">
        <v>-479355.41</v>
      </c>
      <c r="E815" s="984"/>
      <c r="F815" s="984"/>
      <c r="G815" s="984"/>
      <c r="H815" s="984"/>
      <c r="I815" s="984"/>
      <c r="J815" s="946" t="str">
        <f>RIGHT(IFERROR(LEFT(B815,FIND("-",B815)+6),""),6)</f>
        <v>926010</v>
      </c>
      <c r="K815" s="947" t="str">
        <f>IFERROR(RIGHT($B815,LEN($B815)-14),"")</f>
        <v>Elect Revenue-PERS 1 Expense</v>
      </c>
      <c r="M815" s="931"/>
    </row>
    <row r="816" spans="1:13" s="3094" customFormat="1">
      <c r="A816" s="1"/>
      <c r="B816" s="929" t="s">
        <v>3793</v>
      </c>
      <c r="C816" s="949">
        <v>-476036.01</v>
      </c>
      <c r="D816" s="949">
        <v>-334969.02</v>
      </c>
      <c r="E816" s="984"/>
      <c r="F816" s="984"/>
      <c r="G816" s="984"/>
      <c r="H816" s="984"/>
      <c r="I816" s="984"/>
      <c r="J816" s="946" t="str">
        <f>RIGHT(IFERROR(LEFT(B816,FIND("-",B816)+6),""),6)</f>
        <v>926020</v>
      </c>
      <c r="K816" s="947" t="str">
        <f>IFERROR(RIGHT($B816,LEN($B816)-14),"")</f>
        <v>Elect Revenue-PERS 2/3 Expense</v>
      </c>
      <c r="M816" s="931"/>
    </row>
    <row r="817" spans="1:13" s="3094" customFormat="1">
      <c r="A817" s="1"/>
      <c r="B817" s="929" t="s">
        <v>3794</v>
      </c>
      <c r="C817" s="949">
        <v>359309.7</v>
      </c>
      <c r="D817" s="949">
        <v>146985</v>
      </c>
      <c r="E817" s="984"/>
      <c r="F817" s="984"/>
      <c r="G817" s="984"/>
      <c r="H817" s="984"/>
      <c r="I817" s="984"/>
      <c r="J817" s="946" t="str">
        <f>RIGHT(IFERROR(LEFT(B817,FIND("-",B817)+6),""),6)</f>
        <v>926900</v>
      </c>
      <c r="K817" s="947" t="str">
        <f>IFERROR(RIGHT($B817,LEN($B817)-14),"")</f>
        <v>Elect Revenue-PERS Expense Reclass GASB 68</v>
      </c>
      <c r="M817" s="931"/>
    </row>
    <row r="818" spans="1:13">
      <c r="B818" s="963" t="s">
        <v>1736</v>
      </c>
      <c r="C818" s="985">
        <v>150875.32999999999</v>
      </c>
      <c r="D818" s="985">
        <v>95719.96</v>
      </c>
      <c r="E818" s="984">
        <v>78108.55</v>
      </c>
      <c r="F818" s="984">
        <v>72624</v>
      </c>
      <c r="G818" s="984">
        <v>62878</v>
      </c>
      <c r="H818" s="986">
        <v>201716</v>
      </c>
      <c r="I818" s="986">
        <v>42312.81</v>
      </c>
      <c r="J818" s="946" t="str">
        <f t="shared" ref="J818:J838" si="16">RIGHT(IFERROR(LEFT(B818,FIND("-",B818)+6),""),6)</f>
        <v>926999</v>
      </c>
      <c r="K818" s="947" t="str">
        <f t="shared" ref="K818:K838" si="17">IFERROR(RIGHT($B818,LEN($B818)-14),"")</f>
        <v>Elect Revenue-OPEB Expense</v>
      </c>
      <c r="M818" s="931" t="s">
        <v>1740</v>
      </c>
    </row>
    <row r="819" spans="1:13">
      <c r="B819" s="967" t="s">
        <v>1736</v>
      </c>
      <c r="C819" s="985"/>
      <c r="D819" s="985"/>
      <c r="E819" s="984"/>
      <c r="F819" s="984"/>
      <c r="G819" s="987"/>
      <c r="H819" s="988"/>
      <c r="I819" s="988"/>
      <c r="J819" s="946" t="str">
        <f t="shared" si="16"/>
        <v>926999</v>
      </c>
      <c r="K819" s="947" t="str">
        <f t="shared" si="17"/>
        <v>Elect Revenue-OPEB Expense</v>
      </c>
      <c r="M819" s="931" t="s">
        <v>1741</v>
      </c>
    </row>
    <row r="820" spans="1:13">
      <c r="B820" s="963" t="s">
        <v>1737</v>
      </c>
      <c r="C820" s="985">
        <v>0</v>
      </c>
      <c r="D820" s="985">
        <v>717.22</v>
      </c>
      <c r="E820" s="984">
        <v>508.84</v>
      </c>
      <c r="F820" s="984">
        <v>2577.5300000000002</v>
      </c>
      <c r="G820" s="984">
        <v>2645.75</v>
      </c>
      <c r="H820" s="986">
        <v>2563.87</v>
      </c>
      <c r="I820" s="986">
        <v>4001.18</v>
      </c>
      <c r="J820" s="946" t="str">
        <f t="shared" si="16"/>
        <v>928030</v>
      </c>
      <c r="K820" s="947" t="str">
        <f t="shared" si="17"/>
        <v>Elect Revenue-Reg Comm Exp Litigation</v>
      </c>
      <c r="M820" s="931" t="s">
        <v>1742</v>
      </c>
    </row>
    <row r="821" spans="1:13">
      <c r="B821" s="967" t="s">
        <v>1737</v>
      </c>
      <c r="C821" s="985"/>
      <c r="D821" s="985"/>
      <c r="E821" s="984"/>
      <c r="F821" s="984"/>
      <c r="G821" s="987"/>
      <c r="H821" s="988"/>
      <c r="I821" s="988"/>
      <c r="J821" s="946" t="str">
        <f t="shared" si="16"/>
        <v>928030</v>
      </c>
      <c r="K821" s="947" t="str">
        <f t="shared" si="17"/>
        <v>Elect Revenue-Reg Comm Exp Litigation</v>
      </c>
      <c r="M821" s="931" t="s">
        <v>1743</v>
      </c>
    </row>
    <row r="822" spans="1:13">
      <c r="B822" s="963" t="s">
        <v>1738</v>
      </c>
      <c r="C822" s="985">
        <v>12954.27</v>
      </c>
      <c r="D822" s="985">
        <v>13356.01</v>
      </c>
      <c r="E822" s="984">
        <v>17662.14</v>
      </c>
      <c r="F822" s="984">
        <v>20444.03</v>
      </c>
      <c r="G822" s="984">
        <v>20461.82</v>
      </c>
      <c r="H822" s="986">
        <v>14925.21</v>
      </c>
      <c r="I822" s="986">
        <v>17184.650000000001</v>
      </c>
      <c r="J822" s="946" t="str">
        <f t="shared" si="16"/>
        <v>928500</v>
      </c>
      <c r="K822" s="947" t="str">
        <f t="shared" si="17"/>
        <v>Elect Revenue-Reg Comm Exp Ferc QC</v>
      </c>
      <c r="M822" s="931" t="s">
        <v>1744</v>
      </c>
    </row>
    <row r="823" spans="1:13">
      <c r="B823" s="967" t="s">
        <v>1738</v>
      </c>
      <c r="C823" s="985"/>
      <c r="D823" s="985"/>
      <c r="E823" s="984"/>
      <c r="F823" s="984"/>
      <c r="G823" s="987"/>
      <c r="H823" s="988"/>
      <c r="I823" s="988"/>
      <c r="J823" s="946" t="str">
        <f t="shared" si="16"/>
        <v>928500</v>
      </c>
      <c r="K823" s="947" t="str">
        <f t="shared" si="17"/>
        <v>Elect Revenue-Reg Comm Exp Ferc QC</v>
      </c>
      <c r="M823" s="931" t="s">
        <v>1745</v>
      </c>
    </row>
    <row r="824" spans="1:13">
      <c r="B824" s="963" t="s">
        <v>1739</v>
      </c>
      <c r="C824" s="985">
        <v>4696.84</v>
      </c>
      <c r="D824" s="985">
        <v>3657.95</v>
      </c>
      <c r="E824" s="984">
        <v>3657.95</v>
      </c>
      <c r="F824" s="984">
        <v>3657.95</v>
      </c>
      <c r="G824" s="984">
        <v>3657.95</v>
      </c>
      <c r="H824" s="986">
        <v>-1650.13</v>
      </c>
      <c r="I824" s="986">
        <v>13270.88</v>
      </c>
      <c r="J824" s="946" t="str">
        <f t="shared" si="16"/>
        <v>928600</v>
      </c>
      <c r="K824" s="947" t="str">
        <f t="shared" si="17"/>
        <v>Elect Revenue-Reg Comm Exp Ferc PEC</v>
      </c>
      <c r="M824" s="931" t="s">
        <v>1746</v>
      </c>
    </row>
    <row r="825" spans="1:13">
      <c r="B825" s="967" t="s">
        <v>1739</v>
      </c>
      <c r="C825" s="985"/>
      <c r="D825" s="985"/>
      <c r="E825" s="984"/>
      <c r="F825" s="984"/>
      <c r="G825" s="987"/>
      <c r="H825" s="988"/>
      <c r="I825" s="988"/>
      <c r="J825" s="946" t="str">
        <f t="shared" si="16"/>
        <v>928600</v>
      </c>
      <c r="K825" s="947" t="str">
        <f t="shared" si="17"/>
        <v>Elect Revenue-Reg Comm Exp Ferc PEC</v>
      </c>
      <c r="M825" s="931" t="s">
        <v>1747</v>
      </c>
    </row>
    <row r="826" spans="1:13">
      <c r="B826" s="963" t="s">
        <v>1740</v>
      </c>
      <c r="C826" s="985">
        <v>-684575.93</v>
      </c>
      <c r="D826" s="985">
        <v>-654281.81000000006</v>
      </c>
      <c r="E826" s="984">
        <v>-579453.56999999995</v>
      </c>
      <c r="F826" s="984">
        <v>-504015.34</v>
      </c>
      <c r="G826" s="984">
        <v>-421298.73</v>
      </c>
      <c r="H826" s="986">
        <v>-378302.91</v>
      </c>
      <c r="I826" s="986">
        <v>-376602.84</v>
      </c>
      <c r="J826" s="946" t="str">
        <f t="shared" si="16"/>
        <v>929010</v>
      </c>
      <c r="K826" s="947" t="str">
        <f t="shared" si="17"/>
        <v>Elect Revenue-Dup Charges Kwh Use</v>
      </c>
      <c r="M826" s="955" t="s">
        <v>1748</v>
      </c>
    </row>
    <row r="827" spans="1:13">
      <c r="B827" s="967" t="s">
        <v>1740</v>
      </c>
      <c r="C827" s="985"/>
      <c r="D827" s="985"/>
      <c r="E827" s="984"/>
      <c r="F827" s="984"/>
      <c r="G827" s="987"/>
      <c r="H827" s="988"/>
      <c r="I827" s="988"/>
      <c r="J827" s="946" t="str">
        <f t="shared" si="16"/>
        <v>929010</v>
      </c>
      <c r="K827" s="947" t="str">
        <f t="shared" si="17"/>
        <v>Elect Revenue-Dup Charges Kwh Use</v>
      </c>
      <c r="M827" s="955" t="s">
        <v>1749</v>
      </c>
    </row>
    <row r="828" spans="1:13">
      <c r="B828" s="929" t="s">
        <v>1741</v>
      </c>
      <c r="C828" s="985">
        <v>-186536.64</v>
      </c>
      <c r="D828" s="985">
        <v>-186536.64</v>
      </c>
      <c r="E828" s="984">
        <v>-186536.64</v>
      </c>
      <c r="F828" s="984">
        <v>-186536.64</v>
      </c>
      <c r="G828" s="984">
        <v>-186536.64</v>
      </c>
      <c r="H828" s="984">
        <v>-186536.64</v>
      </c>
      <c r="I828" s="984">
        <v>-188311.65</v>
      </c>
      <c r="J828" s="946" t="str">
        <f t="shared" si="16"/>
        <v>929020</v>
      </c>
      <c r="K828" s="947" t="str">
        <f t="shared" si="17"/>
        <v>Elect Revenue-Dup Charges Admin Off Rent</v>
      </c>
      <c r="M828" s="955" t="s">
        <v>1750</v>
      </c>
    </row>
    <row r="829" spans="1:13">
      <c r="B829" s="929" t="s">
        <v>1742</v>
      </c>
      <c r="C829" s="985">
        <v>-51746.32</v>
      </c>
      <c r="D829" s="985">
        <v>-3651502.45</v>
      </c>
      <c r="E829" s="984">
        <v>-2226731.89</v>
      </c>
      <c r="F829" s="984">
        <v>-2709836.69</v>
      </c>
      <c r="G829" s="984">
        <v>-1454910.04</v>
      </c>
      <c r="H829" s="984">
        <v>-2939773.7</v>
      </c>
      <c r="I829" s="984">
        <v>-746377.44</v>
      </c>
      <c r="J829" s="946" t="str">
        <f t="shared" si="16"/>
        <v>929880</v>
      </c>
      <c r="K829" s="947" t="str">
        <f t="shared" si="17"/>
        <v>Elect Revenue-G&amp;A Capitalized On Closing</v>
      </c>
      <c r="M829" s="931" t="s">
        <v>1751</v>
      </c>
    </row>
    <row r="830" spans="1:13">
      <c r="B830" s="929" t="s">
        <v>1743</v>
      </c>
      <c r="C830" s="985">
        <v>-1206031.1000000001</v>
      </c>
      <c r="D830" s="985">
        <v>1478521.73</v>
      </c>
      <c r="E830" s="984">
        <v>-96900.31</v>
      </c>
      <c r="F830" s="984">
        <v>88573.440000000002</v>
      </c>
      <c r="G830" s="984">
        <v>-1279066.73</v>
      </c>
      <c r="H830" s="984">
        <v>240584.23</v>
      </c>
      <c r="I830" s="984">
        <v>-2570636.7999999998</v>
      </c>
      <c r="J830" s="946" t="str">
        <f t="shared" si="16"/>
        <v>929980</v>
      </c>
      <c r="K830" s="947" t="str">
        <f t="shared" si="17"/>
        <v>Elect Revenue-G&amp;A Capitalized On CWIP</v>
      </c>
      <c r="M830" s="955" t="s">
        <v>1736</v>
      </c>
    </row>
    <row r="831" spans="1:13">
      <c r="B831" s="929" t="s">
        <v>1744</v>
      </c>
      <c r="C831" s="985">
        <v>1828506.74</v>
      </c>
      <c r="D831" s="985">
        <v>1665263.55</v>
      </c>
      <c r="E831" s="984">
        <v>1649937.14</v>
      </c>
      <c r="F831" s="984">
        <v>1415670.83</v>
      </c>
      <c r="G831" s="984">
        <v>1054018.5600000001</v>
      </c>
      <c r="H831" s="984">
        <v>1549676.28</v>
      </c>
      <c r="I831" s="984">
        <v>2252851.9</v>
      </c>
      <c r="J831" s="946" t="str">
        <f t="shared" si="16"/>
        <v>930010</v>
      </c>
      <c r="K831" s="947" t="str">
        <f t="shared" si="17"/>
        <v>Elect Revenue-Misc General Expense</v>
      </c>
      <c r="M831" s="955" t="s">
        <v>1737</v>
      </c>
    </row>
    <row r="832" spans="1:13">
      <c r="B832" s="929" t="s">
        <v>1745</v>
      </c>
      <c r="C832" s="985">
        <v>384548.12</v>
      </c>
      <c r="D832" s="985">
        <v>342832.14</v>
      </c>
      <c r="E832" s="984">
        <v>419403</v>
      </c>
      <c r="F832" s="984">
        <v>437253.86</v>
      </c>
      <c r="G832" s="984">
        <v>424500.72</v>
      </c>
      <c r="H832" s="984">
        <v>516436.59</v>
      </c>
      <c r="I832" s="984">
        <v>484799.52</v>
      </c>
      <c r="J832" s="946" t="str">
        <f t="shared" si="16"/>
        <v>930110</v>
      </c>
      <c r="K832" s="947" t="str">
        <f t="shared" si="17"/>
        <v>Elect Revenue-Gen Ad Exp Public Relations</v>
      </c>
      <c r="M832" s="955" t="s">
        <v>1738</v>
      </c>
    </row>
    <row r="833" spans="1:13">
      <c r="B833" s="955" t="s">
        <v>1752</v>
      </c>
      <c r="C833" s="985"/>
      <c r="D833" s="985"/>
      <c r="E833" s="984"/>
      <c r="F833" s="984"/>
      <c r="G833" s="987"/>
      <c r="H833" s="984">
        <v>0</v>
      </c>
      <c r="I833" s="984">
        <v>7044.19</v>
      </c>
      <c r="J833" s="946" t="str">
        <f t="shared" si="16"/>
        <v>931000</v>
      </c>
      <c r="K833" s="947" t="str">
        <f t="shared" si="17"/>
        <v>Elect Revenue-Rents Ephrata Office</v>
      </c>
      <c r="M833" s="955" t="s">
        <v>1739</v>
      </c>
    </row>
    <row r="834" spans="1:13">
      <c r="B834" s="931" t="s">
        <v>1753</v>
      </c>
      <c r="C834" s="985"/>
      <c r="D834" s="985"/>
      <c r="E834" s="984"/>
      <c r="F834" s="984"/>
      <c r="G834" s="984">
        <v>0</v>
      </c>
      <c r="H834" s="984">
        <v>3042.62</v>
      </c>
      <c r="I834" s="984">
        <v>38861.94</v>
      </c>
      <c r="J834" s="946" t="str">
        <f t="shared" si="16"/>
        <v>931010</v>
      </c>
      <c r="K834" s="947" t="str">
        <f t="shared" si="17"/>
        <v>Elect Revenue-Lease Expense</v>
      </c>
      <c r="M834" s="955" t="s">
        <v>1740</v>
      </c>
    </row>
    <row r="835" spans="1:13">
      <c r="B835" s="929" t="s">
        <v>1746</v>
      </c>
      <c r="C835" s="985">
        <v>2653140.66</v>
      </c>
      <c r="D835" s="985">
        <v>2397140.2999999998</v>
      </c>
      <c r="E835" s="984">
        <v>2140431.21</v>
      </c>
      <c r="F835" s="984">
        <v>2152550.19</v>
      </c>
      <c r="G835" s="984">
        <v>1962688.6</v>
      </c>
      <c r="H835" s="984">
        <v>1972780.01</v>
      </c>
      <c r="I835" s="984">
        <v>2057989.92</v>
      </c>
      <c r="J835" s="946" t="str">
        <f t="shared" si="16"/>
        <v>935010</v>
      </c>
      <c r="K835" s="947" t="str">
        <f t="shared" si="17"/>
        <v>Elect Revenue-Maint Gen Plt Misc</v>
      </c>
      <c r="M835" s="955" t="s">
        <v>1752</v>
      </c>
    </row>
    <row r="836" spans="1:13">
      <c r="B836" s="929" t="s">
        <v>1747</v>
      </c>
      <c r="C836" s="985">
        <v>3125151.77</v>
      </c>
      <c r="D836" s="985">
        <v>2915868.37</v>
      </c>
      <c r="E836" s="984">
        <v>2596556.87</v>
      </c>
      <c r="F836" s="984">
        <v>2073242.7</v>
      </c>
      <c r="G836" s="984">
        <v>2196622.27</v>
      </c>
      <c r="H836" s="984">
        <v>2607853.81</v>
      </c>
      <c r="I836" s="984">
        <v>1326926.29</v>
      </c>
      <c r="J836" s="946" t="str">
        <f t="shared" si="16"/>
        <v>935020</v>
      </c>
      <c r="K836" s="947" t="str">
        <f t="shared" si="17"/>
        <v>Elect Revenue-Maint Gen Plt Communication</v>
      </c>
      <c r="M836" s="931" t="s">
        <v>1753</v>
      </c>
    </row>
    <row r="837" spans="1:13">
      <c r="B837" s="931" t="s">
        <v>1754</v>
      </c>
      <c r="C837" s="985"/>
      <c r="D837" s="985"/>
      <c r="E837" s="984"/>
      <c r="F837" s="984"/>
      <c r="G837" s="984">
        <v>0</v>
      </c>
      <c r="H837" s="984">
        <v>2273.54</v>
      </c>
      <c r="I837" s="984">
        <v>-2273.64</v>
      </c>
      <c r="J837" s="946" t="str">
        <f t="shared" si="16"/>
        <v>426500</v>
      </c>
      <c r="K837" s="947" t="str">
        <f t="shared" si="17"/>
        <v>Elect Rest Diesel Proc-Other Deductions</v>
      </c>
      <c r="M837" s="931" t="s">
        <v>1754</v>
      </c>
    </row>
    <row r="838" spans="1:13" s="3094" customFormat="1">
      <c r="A838" s="1"/>
      <c r="B838" s="929" t="s">
        <v>3795</v>
      </c>
      <c r="C838" s="985">
        <v>0</v>
      </c>
      <c r="D838" s="985">
        <v>0.03</v>
      </c>
      <c r="E838" s="984"/>
      <c r="F838" s="984"/>
      <c r="G838" s="984"/>
      <c r="H838" s="984"/>
      <c r="I838" s="984"/>
      <c r="J838" s="946" t="str">
        <f t="shared" si="16"/>
        <v>426500</v>
      </c>
      <c r="K838" s="947" t="str">
        <f t="shared" si="17"/>
        <v>Elect Excess Earnings-Other Deductions</v>
      </c>
      <c r="M838" s="931"/>
    </row>
    <row r="839" spans="1:13">
      <c r="B839" s="933"/>
      <c r="C839" s="952" t="s">
        <v>1108</v>
      </c>
      <c r="D839" s="952" t="s">
        <v>1108</v>
      </c>
      <c r="E839" s="935" t="s">
        <v>1108</v>
      </c>
      <c r="F839" s="935" t="s">
        <v>1108</v>
      </c>
      <c r="G839" s="935" t="s">
        <v>1108</v>
      </c>
      <c r="H839" s="935" t="s">
        <v>1108</v>
      </c>
      <c r="I839" s="935" t="s">
        <v>1108</v>
      </c>
      <c r="M839" s="934"/>
    </row>
    <row r="840" spans="1:13">
      <c r="B840" s="929" t="s">
        <v>1755</v>
      </c>
      <c r="C840" s="960">
        <f>SUM(C795:C838)</f>
        <v>13760308.120000001</v>
      </c>
      <c r="D840" s="960">
        <f>SUM(D795:D838)</f>
        <v>12235955.660000002</v>
      </c>
      <c r="E840" s="960">
        <f>SUM(E796:E837)</f>
        <v>11819895.349999998</v>
      </c>
      <c r="F840" s="960">
        <f>SUM(F796:F837)</f>
        <v>11088641.99</v>
      </c>
      <c r="G840" s="960">
        <f>SUM(G796:G837)</f>
        <v>10745466.310000001</v>
      </c>
      <c r="H840" s="959">
        <v>12305721.529999999</v>
      </c>
      <c r="I840" s="959">
        <v>11449405.25</v>
      </c>
      <c r="J840">
        <v>13743596</v>
      </c>
      <c r="K840" s="961">
        <f>C840-J840</f>
        <v>16712.120000001043</v>
      </c>
      <c r="M840" s="931" t="s">
        <v>1755</v>
      </c>
    </row>
    <row r="841" spans="1:13">
      <c r="B841" s="933"/>
      <c r="C841" s="4299" t="s">
        <v>1108</v>
      </c>
      <c r="D841" s="4299" t="s">
        <v>1108</v>
      </c>
      <c r="E841" s="969" t="s">
        <v>1108</v>
      </c>
      <c r="F841" s="969" t="s">
        <v>1108</v>
      </c>
      <c r="G841" s="969" t="s">
        <v>1108</v>
      </c>
      <c r="H841" s="969" t="s">
        <v>1108</v>
      </c>
      <c r="I841" s="969" t="s">
        <v>1108</v>
      </c>
      <c r="M841" s="934"/>
    </row>
    <row r="842" spans="1:13">
      <c r="B842" s="933"/>
      <c r="C842" s="960"/>
      <c r="D842" s="960"/>
      <c r="E842" s="970"/>
      <c r="F842" s="970"/>
      <c r="G842" s="970"/>
      <c r="H842" s="970"/>
      <c r="I842" s="970"/>
      <c r="M842" s="956"/>
    </row>
    <row r="843" spans="1:13">
      <c r="B843" s="929" t="s">
        <v>1756</v>
      </c>
      <c r="C843" s="949"/>
      <c r="D843" s="949"/>
      <c r="E843" s="930"/>
      <c r="F843" s="930"/>
      <c r="G843" s="930"/>
      <c r="H843" s="930"/>
      <c r="I843" s="930"/>
      <c r="M843" s="931" t="s">
        <v>1756</v>
      </c>
    </row>
    <row r="844" spans="1:13">
      <c r="B844" s="931" t="s">
        <v>1765</v>
      </c>
      <c r="C844" s="949"/>
      <c r="D844" s="949"/>
      <c r="E844" s="930"/>
      <c r="F844" s="930"/>
      <c r="G844" s="930">
        <v>0</v>
      </c>
      <c r="H844" s="930">
        <v>3188075.84</v>
      </c>
      <c r="I844" s="930">
        <v>2919461.25</v>
      </c>
      <c r="J844" s="946" t="str">
        <f t="shared" ref="J844:J850" si="18">RIGHT(IFERROR(LEFT(B844,FIND("-",B844)+6),""),6)</f>
        <v>403040</v>
      </c>
      <c r="K844" s="947" t="str">
        <f t="shared" ref="K844:K850" si="19">IFERROR(RIGHT($B844,LEN($B844)-14),"")</f>
        <v>Elect Revenue-Depreciation Expense Trans</v>
      </c>
      <c r="M844" s="931" t="s">
        <v>1757</v>
      </c>
    </row>
    <row r="845" spans="1:13">
      <c r="B845" s="931" t="s">
        <v>1766</v>
      </c>
      <c r="C845" s="949"/>
      <c r="D845" s="949"/>
      <c r="E845" s="930"/>
      <c r="F845" s="930"/>
      <c r="G845" s="930">
        <v>0</v>
      </c>
      <c r="H845" s="930">
        <v>12850885.949999999</v>
      </c>
      <c r="I845" s="930">
        <v>11671563.310000001</v>
      </c>
      <c r="J845" s="946" t="str">
        <f t="shared" si="18"/>
        <v>403050</v>
      </c>
      <c r="K845" s="947" t="str">
        <f t="shared" si="19"/>
        <v>Elect Revenue-Depreciation Expense Dist</v>
      </c>
      <c r="M845" s="931" t="s">
        <v>1758</v>
      </c>
    </row>
    <row r="846" spans="1:13">
      <c r="B846" s="931" t="s">
        <v>1767</v>
      </c>
      <c r="C846" s="949"/>
      <c r="D846" s="949"/>
      <c r="E846" s="930"/>
      <c r="F846" s="930"/>
      <c r="G846" s="930">
        <v>0</v>
      </c>
      <c r="H846" s="930">
        <v>2430727.9700000002</v>
      </c>
      <c r="I846" s="930">
        <v>2279432.88</v>
      </c>
      <c r="J846" s="946" t="str">
        <f t="shared" si="18"/>
        <v>403060</v>
      </c>
      <c r="K846" s="947" t="str">
        <f t="shared" si="19"/>
        <v>Elect Revenue-Depreciation Expense Gen</v>
      </c>
      <c r="M846" s="931" t="s">
        <v>1759</v>
      </c>
    </row>
    <row r="847" spans="1:13">
      <c r="B847" s="931" t="s">
        <v>1768</v>
      </c>
      <c r="C847" s="949"/>
      <c r="D847" s="949"/>
      <c r="E847" s="930"/>
      <c r="F847" s="930"/>
      <c r="G847" s="930">
        <v>0</v>
      </c>
      <c r="H847" s="930">
        <v>6439182.4100000001</v>
      </c>
      <c r="I847" s="930">
        <v>5283987.1100000003</v>
      </c>
      <c r="J847" s="946" t="str">
        <f t="shared" si="18"/>
        <v>403801</v>
      </c>
      <c r="K847" s="947" t="str">
        <f t="shared" si="19"/>
        <v>Elect Revenue-Wfon Depreciation Expense</v>
      </c>
      <c r="M847" s="929" t="s">
        <v>1760</v>
      </c>
    </row>
    <row r="848" spans="1:13">
      <c r="B848" s="931" t="s">
        <v>1769</v>
      </c>
      <c r="C848" s="949"/>
      <c r="D848" s="949"/>
      <c r="E848" s="930"/>
      <c r="F848" s="930"/>
      <c r="G848" s="930">
        <v>0</v>
      </c>
      <c r="H848" s="930">
        <v>139116.91</v>
      </c>
      <c r="I848" s="930">
        <v>0</v>
      </c>
      <c r="J848" s="946" t="str">
        <f t="shared" si="18"/>
        <v>404300</v>
      </c>
      <c r="K848" s="947" t="str">
        <f t="shared" si="19"/>
        <v>Elect Revenue-Amort Expense Software Intang</v>
      </c>
      <c r="M848" s="931" t="s">
        <v>1761</v>
      </c>
    </row>
    <row r="849" spans="1:13">
      <c r="B849" s="931" t="s">
        <v>1770</v>
      </c>
      <c r="C849" s="949"/>
      <c r="D849" s="949"/>
      <c r="E849" s="930"/>
      <c r="F849" s="930"/>
      <c r="G849" s="930">
        <v>0</v>
      </c>
      <c r="H849" s="930">
        <v>416961.48</v>
      </c>
      <c r="I849" s="930">
        <v>414439.92</v>
      </c>
      <c r="J849" s="946" t="str">
        <f t="shared" si="18"/>
        <v>404500</v>
      </c>
      <c r="K849" s="947" t="str">
        <f t="shared" si="19"/>
        <v>Elect Revenue-Amort QC Power Rights</v>
      </c>
      <c r="M849" s="931" t="s">
        <v>1762</v>
      </c>
    </row>
    <row r="850" spans="1:13">
      <c r="B850" s="931" t="s">
        <v>1771</v>
      </c>
      <c r="C850" s="949"/>
      <c r="D850" s="949"/>
      <c r="E850" s="930"/>
      <c r="F850" s="930"/>
      <c r="G850" s="930">
        <v>0</v>
      </c>
      <c r="H850" s="930">
        <v>420165.36</v>
      </c>
      <c r="I850" s="930">
        <v>419718.09</v>
      </c>
      <c r="J850" s="946" t="str">
        <f t="shared" si="18"/>
        <v>404600</v>
      </c>
      <c r="K850" s="947" t="str">
        <f t="shared" si="19"/>
        <v>Elect Revenue-Amort PEC Power Rights</v>
      </c>
      <c r="M850" s="931" t="s">
        <v>1763</v>
      </c>
    </row>
    <row r="851" spans="1:13" s="3094" customFormat="1">
      <c r="A851" s="1"/>
      <c r="B851" s="3692" t="s">
        <v>3796</v>
      </c>
      <c r="C851" s="949">
        <v>2277.4699999999998</v>
      </c>
      <c r="D851" s="949">
        <v>0</v>
      </c>
      <c r="E851" s="930"/>
      <c r="F851" s="930"/>
      <c r="G851" s="930"/>
      <c r="H851" s="930"/>
      <c r="I851" s="930"/>
      <c r="J851" s="946" t="str">
        <f t="shared" ref="J851:J856" si="20">RIGHT(IFERROR(LEFT(B851,FIND("-",B851)+6),""),6)</f>
        <v>404926</v>
      </c>
      <c r="K851" s="947" t="str">
        <f t="shared" ref="K851:K856" si="21">IFERROR(RIGHT($B851,LEN($B851)-14),"")</f>
        <v>Elect Revenue-Amort PERS Capitalized</v>
      </c>
      <c r="M851" s="931"/>
    </row>
    <row r="852" spans="1:13">
      <c r="B852" s="929" t="s">
        <v>1757</v>
      </c>
      <c r="E852" s="930">
        <v>20000</v>
      </c>
      <c r="F852" s="930">
        <v>21494.74</v>
      </c>
      <c r="G852" s="930">
        <v>21494.82</v>
      </c>
      <c r="H852" s="930">
        <v>21494.82</v>
      </c>
      <c r="I852" s="930">
        <v>21494.82</v>
      </c>
      <c r="J852" s="946" t="str">
        <f t="shared" si="20"/>
        <v>425100</v>
      </c>
      <c r="K852" s="947" t="str">
        <f t="shared" si="21"/>
        <v>Elect Revenue-Amort Conservation 10 Year</v>
      </c>
      <c r="M852" s="931" t="s">
        <v>1764</v>
      </c>
    </row>
    <row r="853" spans="1:13">
      <c r="B853" s="929" t="s">
        <v>1758</v>
      </c>
      <c r="C853" s="949">
        <v>412893.03</v>
      </c>
      <c r="D853" s="949">
        <v>758766.15</v>
      </c>
      <c r="E853" s="930">
        <v>1021173.98</v>
      </c>
      <c r="F853" s="930">
        <v>855596.93</v>
      </c>
      <c r="G853" s="930">
        <v>910524.25</v>
      </c>
      <c r="H853" s="930">
        <v>1020194.06</v>
      </c>
      <c r="I853" s="930">
        <v>886834.39</v>
      </c>
      <c r="J853" s="946" t="str">
        <f t="shared" si="20"/>
        <v>425110</v>
      </c>
      <c r="K853" s="947" t="str">
        <f t="shared" si="21"/>
        <v>Elect Revenue-Amort Conservation 12 Year</v>
      </c>
      <c r="M853" s="931" t="s">
        <v>1765</v>
      </c>
    </row>
    <row r="854" spans="1:13" s="3094" customFormat="1">
      <c r="A854" s="1"/>
      <c r="B854" s="929" t="s">
        <v>3797</v>
      </c>
      <c r="C854" s="949">
        <v>-78901.13</v>
      </c>
      <c r="D854" s="949">
        <v>-14345.66</v>
      </c>
      <c r="E854" s="930"/>
      <c r="F854" s="930"/>
      <c r="G854" s="930"/>
      <c r="H854" s="930"/>
      <c r="I854" s="930"/>
      <c r="J854" s="946" t="str">
        <f t="shared" si="20"/>
        <v>403100</v>
      </c>
      <c r="K854" s="947" t="str">
        <f t="shared" si="21"/>
        <v>ES 2014K General Construc-Depreciation Exp Contra</v>
      </c>
      <c r="M854" s="931"/>
    </row>
    <row r="855" spans="1:13" s="3094" customFormat="1">
      <c r="A855" s="1"/>
      <c r="B855" s="929" t="s">
        <v>3798</v>
      </c>
      <c r="C855" s="949">
        <v>0</v>
      </c>
      <c r="D855" s="949">
        <v>70330.16</v>
      </c>
      <c r="E855" s="930"/>
      <c r="F855" s="930"/>
      <c r="G855" s="930"/>
      <c r="H855" s="930"/>
      <c r="I855" s="930"/>
      <c r="J855" s="946" t="str">
        <f t="shared" si="20"/>
        <v>404500</v>
      </c>
      <c r="K855" s="947" t="str">
        <f t="shared" si="21"/>
        <v>ES 2014K General Constructio-Amort QC Power Rights</v>
      </c>
      <c r="M855" s="931"/>
    </row>
    <row r="856" spans="1:13" s="3094" customFormat="1">
      <c r="A856" s="1"/>
      <c r="B856" s="929" t="s">
        <v>3799</v>
      </c>
      <c r="C856" s="949">
        <v>0.05</v>
      </c>
      <c r="D856" s="949">
        <v>70575.539999999994</v>
      </c>
      <c r="E856" s="930"/>
      <c r="F856" s="930"/>
      <c r="G856" s="930"/>
      <c r="H856" s="930"/>
      <c r="I856" s="930"/>
      <c r="J856" s="946" t="str">
        <f t="shared" si="20"/>
        <v>404600</v>
      </c>
      <c r="K856" s="947" t="str">
        <f t="shared" si="21"/>
        <v>ES 2014K General Constructi-Amort PEC Power Rights</v>
      </c>
      <c r="M856" s="931"/>
    </row>
    <row r="857" spans="1:13">
      <c r="B857" s="929" t="s">
        <v>1759</v>
      </c>
      <c r="C857" s="949">
        <v>23716109.140000001</v>
      </c>
      <c r="D857" s="949">
        <v>23004162.02</v>
      </c>
      <c r="E857" s="930">
        <v>22551832.440000001</v>
      </c>
      <c r="F857" s="930">
        <v>21775360.469999999</v>
      </c>
      <c r="G857" s="930">
        <v>19288673.670000002</v>
      </c>
      <c r="H857" s="930">
        <v>0</v>
      </c>
      <c r="I857" s="3094"/>
      <c r="J857" s="946" t="str">
        <f t="shared" ref="J857:J862" si="22">RIGHT(IFERROR(LEFT(B857,FIND("-",B857)+6),""),6)</f>
        <v>403000</v>
      </c>
      <c r="K857" s="947" t="str">
        <f t="shared" ref="K857:K862" si="23">IFERROR(RIGHT($B857,LEN($B857)-14),"")</f>
        <v>Elect Utility Plant-Depreciation Expense</v>
      </c>
      <c r="M857" s="931" t="s">
        <v>1766</v>
      </c>
    </row>
    <row r="858" spans="1:13">
      <c r="B858" s="929" t="s">
        <v>1760</v>
      </c>
      <c r="C858" s="949">
        <v>0</v>
      </c>
      <c r="D858" s="949">
        <v>-71728.3</v>
      </c>
      <c r="E858" s="930">
        <v>-526777.68999999994</v>
      </c>
      <c r="F858" s="930">
        <v>-1206146.53</v>
      </c>
      <c r="G858" s="3094"/>
      <c r="H858" s="3094"/>
      <c r="I858" s="3094"/>
      <c r="J858" s="946" t="str">
        <f t="shared" si="22"/>
        <v>403100</v>
      </c>
      <c r="K858" s="947" t="str">
        <f t="shared" si="23"/>
        <v>Elect Utility Plant-Depreciation Exp Contra Alloc</v>
      </c>
      <c r="M858" s="931" t="s">
        <v>1767</v>
      </c>
    </row>
    <row r="859" spans="1:13">
      <c r="B859" s="929" t="s">
        <v>1761</v>
      </c>
      <c r="C859" s="949">
        <v>6482678.25</v>
      </c>
      <c r="D859" s="949">
        <v>5965151.25</v>
      </c>
      <c r="E859" s="930">
        <v>5498794.5999999996</v>
      </c>
      <c r="F859" s="930">
        <v>6065326.9500000002</v>
      </c>
      <c r="G859" s="930">
        <v>6972130.1500000004</v>
      </c>
      <c r="H859" s="930">
        <v>0</v>
      </c>
      <c r="I859" s="3094"/>
      <c r="J859" s="946" t="str">
        <f t="shared" si="22"/>
        <v>403801</v>
      </c>
      <c r="K859" s="947" t="str">
        <f t="shared" si="23"/>
        <v>Elect Utility Plant-Wfon Depreciation Expense</v>
      </c>
      <c r="M859" s="931" t="s">
        <v>1768</v>
      </c>
    </row>
    <row r="860" spans="1:13">
      <c r="B860" s="929" t="s">
        <v>1762</v>
      </c>
      <c r="C860" s="949">
        <v>861847.63</v>
      </c>
      <c r="D860" s="949">
        <v>225644.04</v>
      </c>
      <c r="E860" s="930">
        <v>201401.55</v>
      </c>
      <c r="F860" s="930">
        <v>179501.93</v>
      </c>
      <c r="G860" s="930">
        <v>148535.07999999999</v>
      </c>
      <c r="H860" s="930">
        <v>0</v>
      </c>
      <c r="I860" s="3094"/>
      <c r="J860" s="946" t="str">
        <f t="shared" si="22"/>
        <v>404300</v>
      </c>
      <c r="K860" s="947" t="str">
        <f t="shared" si="23"/>
        <v>Elect Utility Plant-Amort Expense Software Intang</v>
      </c>
      <c r="M860" s="931" t="s">
        <v>1769</v>
      </c>
    </row>
    <row r="861" spans="1:13">
      <c r="B861" s="929" t="s">
        <v>1763</v>
      </c>
      <c r="C861" s="949">
        <v>421980.96</v>
      </c>
      <c r="D861" s="949">
        <v>351650.8</v>
      </c>
      <c r="E861" s="930">
        <v>421980.96</v>
      </c>
      <c r="F861" s="930">
        <v>421980.96</v>
      </c>
      <c r="G861" s="930">
        <v>416961.48</v>
      </c>
      <c r="H861" s="930">
        <v>0</v>
      </c>
      <c r="I861" s="3094"/>
      <c r="J861" s="946" t="str">
        <f t="shared" si="22"/>
        <v>404500</v>
      </c>
      <c r="K861" s="947" t="str">
        <f t="shared" si="23"/>
        <v>Elect Utility Plant-Amort QC Power Rights</v>
      </c>
      <c r="M861" s="931" t="s">
        <v>1770</v>
      </c>
    </row>
    <row r="862" spans="1:13">
      <c r="B862" s="929" t="s">
        <v>1764</v>
      </c>
      <c r="C862" s="949">
        <v>423453.19</v>
      </c>
      <c r="D862" s="949">
        <v>352877.7</v>
      </c>
      <c r="E862" s="930">
        <v>423453.24</v>
      </c>
      <c r="F862" s="930">
        <v>423453.24</v>
      </c>
      <c r="G862" s="930">
        <v>420165.36</v>
      </c>
      <c r="H862" s="930">
        <v>0</v>
      </c>
      <c r="I862" s="3094"/>
      <c r="J862" s="946" t="str">
        <f t="shared" si="22"/>
        <v>404600</v>
      </c>
      <c r="K862" s="947" t="str">
        <f t="shared" si="23"/>
        <v>Elect Utility Plant-Amort PEC Power Rights</v>
      </c>
      <c r="M862" s="931" t="s">
        <v>1771</v>
      </c>
    </row>
    <row r="863" spans="1:13">
      <c r="B863" s="933"/>
      <c r="C863" s="952" t="s">
        <v>1108</v>
      </c>
      <c r="D863" s="952" t="s">
        <v>1108</v>
      </c>
      <c r="E863" s="935" t="s">
        <v>1108</v>
      </c>
      <c r="F863" s="935" t="s">
        <v>1108</v>
      </c>
      <c r="G863" s="935" t="s">
        <v>1108</v>
      </c>
      <c r="H863" s="935" t="s">
        <v>1108</v>
      </c>
      <c r="I863" s="935" t="s">
        <v>1108</v>
      </c>
      <c r="M863" s="934"/>
    </row>
    <row r="864" spans="1:13">
      <c r="B864" s="929" t="s">
        <v>1772</v>
      </c>
      <c r="C864" s="949">
        <f>SUM(C844:C862)</f>
        <v>32242338.590000004</v>
      </c>
      <c r="D864" s="949">
        <f>SUM(D844:D862)</f>
        <v>30713083.699999999</v>
      </c>
      <c r="E864" s="930">
        <v>29611859.079999998</v>
      </c>
      <c r="F864" s="930">
        <v>28536568.690000001</v>
      </c>
      <c r="G864" s="930">
        <v>28178484.809999999</v>
      </c>
      <c r="H864" s="930">
        <v>26926804.800000001</v>
      </c>
      <c r="I864" s="930">
        <v>23896931.77</v>
      </c>
      <c r="M864" s="931" t="s">
        <v>1772</v>
      </c>
    </row>
    <row r="865" spans="1:13">
      <c r="B865" s="933"/>
      <c r="C865" s="952" t="s">
        <v>1108</v>
      </c>
      <c r="D865" s="952" t="s">
        <v>1108</v>
      </c>
      <c r="E865" s="935" t="s">
        <v>1108</v>
      </c>
      <c r="F865" s="935" t="s">
        <v>1108</v>
      </c>
      <c r="G865" s="935" t="s">
        <v>1108</v>
      </c>
      <c r="H865" s="935" t="s">
        <v>1108</v>
      </c>
      <c r="I865" s="935" t="s">
        <v>1108</v>
      </c>
      <c r="M865" s="934"/>
    </row>
    <row r="866" spans="1:13">
      <c r="B866" s="933"/>
      <c r="C866" s="949"/>
      <c r="D866" s="949"/>
      <c r="E866" s="930"/>
      <c r="F866" s="930"/>
      <c r="G866" s="930"/>
      <c r="H866" s="930"/>
      <c r="I866" s="930"/>
      <c r="M866" s="934"/>
    </row>
    <row r="867" spans="1:13">
      <c r="A867" s="4293" t="s">
        <v>1773</v>
      </c>
      <c r="B867" s="929" t="s">
        <v>1774</v>
      </c>
      <c r="C867" s="960"/>
      <c r="D867" s="960"/>
      <c r="E867" s="959"/>
      <c r="F867" s="930"/>
      <c r="G867" s="930"/>
      <c r="H867" s="930"/>
      <c r="M867" s="931" t="s">
        <v>1774</v>
      </c>
    </row>
    <row r="868" spans="1:13">
      <c r="A868" s="4293" t="s">
        <v>1773</v>
      </c>
      <c r="B868" s="929" t="s">
        <v>1775</v>
      </c>
      <c r="C868" s="949">
        <v>2325.1799999999998</v>
      </c>
      <c r="D868" s="949">
        <v>3053.22</v>
      </c>
      <c r="E868" s="984">
        <v>2881.81</v>
      </c>
      <c r="F868" s="984">
        <v>2406.9699999999998</v>
      </c>
      <c r="G868" s="984">
        <v>1220.19</v>
      </c>
      <c r="H868" s="984">
        <v>837.51</v>
      </c>
      <c r="I868" s="984">
        <v>725.57</v>
      </c>
      <c r="J868" s="946" t="str">
        <f t="shared" ref="J868:J874" si="24">RIGHT(IFERROR(LEFT(B868,FIND("-",B868)+6),""),6)</f>
        <v>408050</v>
      </c>
      <c r="K868" s="947" t="str">
        <f t="shared" ref="K868:K874" si="25">IFERROR(RIGHT($B868,LEN($B868)-14),"")</f>
        <v>Elect Revenue-Taxes Fiber</v>
      </c>
      <c r="M868" s="931" t="s">
        <v>1775</v>
      </c>
    </row>
    <row r="869" spans="1:13">
      <c r="A869" s="4293" t="s">
        <v>1773</v>
      </c>
      <c r="B869" s="929" t="s">
        <v>1776</v>
      </c>
      <c r="C869" s="949">
        <v>7371137.3499999996</v>
      </c>
      <c r="D869" s="949">
        <v>6494921.71</v>
      </c>
      <c r="E869" s="984">
        <v>6405781.3300000001</v>
      </c>
      <c r="F869" s="984">
        <v>5531313.7400000002</v>
      </c>
      <c r="G869" s="984">
        <v>5479203.9800000004</v>
      </c>
      <c r="H869" s="984">
        <v>4690595.17</v>
      </c>
      <c r="I869" s="985">
        <v>4709964.04</v>
      </c>
      <c r="J869" s="946" t="str">
        <f t="shared" si="24"/>
        <v>408100</v>
      </c>
      <c r="K869" s="947" t="str">
        <f t="shared" si="25"/>
        <v>Elect Revenue-Taxes Utility</v>
      </c>
      <c r="M869" s="931" t="s">
        <v>1776</v>
      </c>
    </row>
    <row r="870" spans="1:13">
      <c r="A870" s="4293" t="s">
        <v>1773</v>
      </c>
      <c r="B870" s="929" t="s">
        <v>1777</v>
      </c>
      <c r="C870" s="949">
        <v>3713579.68</v>
      </c>
      <c r="D870" s="949">
        <v>3393473.14</v>
      </c>
      <c r="E870" s="984">
        <v>3159169.52</v>
      </c>
      <c r="F870" s="984">
        <v>3097369.82</v>
      </c>
      <c r="G870" s="984">
        <v>2815128.83</v>
      </c>
      <c r="H870" s="984">
        <v>2593577.9300000002</v>
      </c>
      <c r="I870" s="984">
        <v>2296442.83</v>
      </c>
      <c r="J870" s="946" t="str">
        <f t="shared" si="24"/>
        <v>408200</v>
      </c>
      <c r="K870" s="947" t="str">
        <f t="shared" si="25"/>
        <v>Elect Revenue-Taxes Privilege</v>
      </c>
      <c r="M870" s="931" t="s">
        <v>1777</v>
      </c>
    </row>
    <row r="871" spans="1:13">
      <c r="A871" s="4293" t="s">
        <v>1773</v>
      </c>
      <c r="B871" s="929" t="s">
        <v>1778</v>
      </c>
      <c r="C871" s="949">
        <v>2186653.87</v>
      </c>
      <c r="D871" s="949">
        <v>2116665</v>
      </c>
      <c r="E871" s="984">
        <v>2025370.27</v>
      </c>
      <c r="F871" s="984">
        <v>1798382.3</v>
      </c>
      <c r="G871" s="984">
        <v>1722507.52</v>
      </c>
      <c r="H871" s="984">
        <v>1543276.93</v>
      </c>
      <c r="I871" s="984">
        <v>1630346.22</v>
      </c>
      <c r="J871" s="946" t="str">
        <f t="shared" si="24"/>
        <v>408400</v>
      </c>
      <c r="K871" s="947" t="str">
        <f t="shared" si="25"/>
        <v>Elect Revenue-Taxes City</v>
      </c>
      <c r="M871" s="931" t="s">
        <v>1778</v>
      </c>
    </row>
    <row r="872" spans="1:13">
      <c r="A872" s="4293" t="s">
        <v>1773</v>
      </c>
      <c r="B872" s="929" t="s">
        <v>1779</v>
      </c>
      <c r="C872" s="949">
        <v>359782.37</v>
      </c>
      <c r="D872" s="949">
        <v>172624.15</v>
      </c>
      <c r="E872" s="984">
        <v>171945.21</v>
      </c>
      <c r="F872" s="984">
        <v>1199.6600000000001</v>
      </c>
      <c r="G872" s="984">
        <v>125554.81</v>
      </c>
      <c r="H872" s="984">
        <v>144572.45000000001</v>
      </c>
      <c r="I872" s="984">
        <v>150252.26</v>
      </c>
      <c r="J872" s="946" t="str">
        <f t="shared" si="24"/>
        <v>408501</v>
      </c>
      <c r="K872" s="947" t="str">
        <f t="shared" si="25"/>
        <v>Elect Revenue-Taxes Fire District</v>
      </c>
      <c r="M872" s="931" t="s">
        <v>1779</v>
      </c>
    </row>
    <row r="873" spans="1:13">
      <c r="A873" s="4293" t="s">
        <v>1773</v>
      </c>
      <c r="B873" s="929" t="s">
        <v>1780</v>
      </c>
      <c r="C873" s="949">
        <v>7765.19</v>
      </c>
      <c r="D873" s="949">
        <v>6980.59</v>
      </c>
      <c r="E873" s="984">
        <v>6873.09</v>
      </c>
      <c r="F873" s="984">
        <v>7070.7</v>
      </c>
      <c r="G873" s="984">
        <v>6875.78</v>
      </c>
      <c r="H873" s="984">
        <v>5914.94</v>
      </c>
      <c r="I873" s="984">
        <v>7456.43</v>
      </c>
      <c r="J873" s="946" t="str">
        <f t="shared" si="24"/>
        <v>408510</v>
      </c>
      <c r="K873" s="947" t="str">
        <f t="shared" si="25"/>
        <v>Elect Revenue-Taxes Privilege QC</v>
      </c>
      <c r="M873" s="931" t="s">
        <v>1780</v>
      </c>
    </row>
    <row r="874" spans="1:13">
      <c r="A874" s="4293" t="s">
        <v>1773</v>
      </c>
      <c r="B874" s="929" t="s">
        <v>1781</v>
      </c>
      <c r="C874" s="949">
        <v>4819.9399999999996</v>
      </c>
      <c r="D874" s="949">
        <v>5022.33</v>
      </c>
      <c r="E874" s="984">
        <v>4436.3599999999997</v>
      </c>
      <c r="F874" s="984">
        <v>4931.9399999999996</v>
      </c>
      <c r="G874" s="984">
        <v>2847.28</v>
      </c>
      <c r="H874" s="984">
        <v>4064.44</v>
      </c>
      <c r="I874" s="984">
        <v>4531.9799999999996</v>
      </c>
      <c r="J874" s="946" t="str">
        <f t="shared" si="24"/>
        <v>408600</v>
      </c>
      <c r="K874" s="947" t="str">
        <f t="shared" si="25"/>
        <v>Elect Revenue-Taxes Privilege PEC</v>
      </c>
      <c r="M874" s="931" t="s">
        <v>1781</v>
      </c>
    </row>
    <row r="875" spans="1:13">
      <c r="A875" s="4293" t="s">
        <v>1773</v>
      </c>
      <c r="B875" s="933"/>
      <c r="C875" s="952" t="s">
        <v>1108</v>
      </c>
      <c r="D875" s="952" t="s">
        <v>1108</v>
      </c>
      <c r="E875" s="935" t="s">
        <v>1108</v>
      </c>
      <c r="F875" s="935" t="s">
        <v>1108</v>
      </c>
      <c r="G875" s="935" t="s">
        <v>1108</v>
      </c>
      <c r="H875" s="935" t="s">
        <v>1108</v>
      </c>
      <c r="I875" s="935" t="s">
        <v>1108</v>
      </c>
      <c r="M875" s="934"/>
    </row>
    <row r="876" spans="1:13">
      <c r="A876" s="4293" t="s">
        <v>1773</v>
      </c>
      <c r="B876" s="929" t="s">
        <v>1782</v>
      </c>
      <c r="C876" s="949">
        <f>SUM(C868:C874)</f>
        <v>13646063.579999996</v>
      </c>
      <c r="D876" s="949">
        <f>SUM(D868:D874)</f>
        <v>12192740.140000001</v>
      </c>
      <c r="E876" s="930">
        <v>11776457.59</v>
      </c>
      <c r="F876" s="930">
        <v>10442675.130000001</v>
      </c>
      <c r="G876" s="930">
        <v>10153338.390000001</v>
      </c>
      <c r="H876" s="930">
        <v>8982839.3699999992</v>
      </c>
      <c r="I876" s="930">
        <v>8799719.3300000001</v>
      </c>
      <c r="M876" s="931" t="s">
        <v>1782</v>
      </c>
    </row>
    <row r="877" spans="1:13">
      <c r="B877" s="933"/>
      <c r="C877" s="952" t="s">
        <v>1108</v>
      </c>
      <c r="D877" s="952" t="s">
        <v>1108</v>
      </c>
      <c r="E877" s="935" t="s">
        <v>1108</v>
      </c>
      <c r="F877" s="935" t="s">
        <v>1108</v>
      </c>
      <c r="G877" s="935" t="s">
        <v>1108</v>
      </c>
      <c r="H877" s="935" t="s">
        <v>1108</v>
      </c>
      <c r="I877" s="935" t="s">
        <v>1108</v>
      </c>
      <c r="M877" s="934"/>
    </row>
    <row r="878" spans="1:13">
      <c r="B878" s="933"/>
      <c r="C878" s="952" t="s">
        <v>1108</v>
      </c>
      <c r="D878" s="952" t="s">
        <v>1108</v>
      </c>
      <c r="E878" s="935" t="s">
        <v>1108</v>
      </c>
      <c r="F878" s="935" t="s">
        <v>1108</v>
      </c>
      <c r="G878" s="935" t="s">
        <v>1108</v>
      </c>
      <c r="H878" s="935" t="s">
        <v>1108</v>
      </c>
      <c r="I878" s="935" t="s">
        <v>1108</v>
      </c>
      <c r="M878" s="934"/>
    </row>
    <row r="879" spans="1:13">
      <c r="B879" s="929" t="s">
        <v>1783</v>
      </c>
      <c r="C879" s="949">
        <f>C876+C864+C840+C791+C777+C761+C738+C721+C701</f>
        <v>223315418.78000003</v>
      </c>
      <c r="D879" s="949">
        <f>D876+D864+D840+D791+D777+D761+D738+D721+D701</f>
        <v>242452445.19</v>
      </c>
      <c r="E879" s="930">
        <v>201164692.83000001</v>
      </c>
      <c r="F879" s="930">
        <v>179355273.80000001</v>
      </c>
      <c r="G879" s="930">
        <v>211101168.06</v>
      </c>
      <c r="H879" s="930">
        <v>215379795.62</v>
      </c>
      <c r="I879" s="930">
        <v>189168614.69</v>
      </c>
      <c r="M879" s="931" t="s">
        <v>1783</v>
      </c>
    </row>
    <row r="880" spans="1:13">
      <c r="B880" s="933"/>
      <c r="C880" s="952" t="s">
        <v>1108</v>
      </c>
      <c r="D880" s="952" t="s">
        <v>1108</v>
      </c>
      <c r="E880" s="935" t="s">
        <v>1108</v>
      </c>
      <c r="F880" s="935" t="s">
        <v>1108</v>
      </c>
      <c r="G880" s="935" t="s">
        <v>1108</v>
      </c>
      <c r="H880" s="935" t="s">
        <v>1108</v>
      </c>
      <c r="I880" s="935" t="s">
        <v>1108</v>
      </c>
      <c r="M880" s="934"/>
    </row>
    <row r="881" spans="1:13">
      <c r="B881" s="929" t="s">
        <v>1784</v>
      </c>
      <c r="C881" s="949">
        <f>C684-C879</f>
        <v>38770620.829999954</v>
      </c>
      <c r="D881" s="949">
        <f>D684-D879</f>
        <v>5113529.4899999499</v>
      </c>
      <c r="E881" s="930">
        <v>33621812</v>
      </c>
      <c r="F881" s="930">
        <v>31543487.260000002</v>
      </c>
      <c r="G881" s="930">
        <v>28959294.039999999</v>
      </c>
      <c r="H881" s="930">
        <v>-1723182.6100000101</v>
      </c>
      <c r="I881" s="930">
        <v>17779977.32</v>
      </c>
      <c r="M881" s="931" t="s">
        <v>1784</v>
      </c>
    </row>
    <row r="882" spans="1:13">
      <c r="B882" s="933"/>
      <c r="C882" s="952" t="s">
        <v>1108</v>
      </c>
      <c r="D882" s="952" t="s">
        <v>1108</v>
      </c>
      <c r="E882" s="935" t="s">
        <v>1108</v>
      </c>
      <c r="F882" s="935" t="s">
        <v>1108</v>
      </c>
      <c r="G882" s="935" t="s">
        <v>1108</v>
      </c>
      <c r="H882" s="935" t="s">
        <v>1108</v>
      </c>
      <c r="I882" s="935" t="s">
        <v>1108</v>
      </c>
      <c r="M882" s="934"/>
    </row>
    <row r="883" spans="1:13">
      <c r="B883" s="929" t="s">
        <v>1785</v>
      </c>
      <c r="C883" s="949"/>
      <c r="D883" s="949"/>
      <c r="E883" s="930"/>
      <c r="F883" s="930"/>
      <c r="G883" s="930"/>
      <c r="H883" s="930"/>
      <c r="M883" s="931" t="s">
        <v>1785</v>
      </c>
    </row>
    <row r="884" spans="1:13">
      <c r="B884" s="933"/>
      <c r="C884" s="949"/>
      <c r="D884" s="949"/>
      <c r="E884" s="930"/>
      <c r="F884" s="930"/>
      <c r="G884" s="930"/>
      <c r="H884" s="930"/>
      <c r="M884" s="934"/>
    </row>
    <row r="885" spans="1:13">
      <c r="A885" s="4293" t="s">
        <v>1625</v>
      </c>
      <c r="B885" s="929" t="s">
        <v>1786</v>
      </c>
      <c r="C885" s="949"/>
      <c r="D885" s="949"/>
      <c r="E885" s="930"/>
      <c r="F885" s="930"/>
      <c r="G885" s="930"/>
      <c r="H885" s="930"/>
      <c r="M885" s="931" t="s">
        <v>1786</v>
      </c>
    </row>
    <row r="886" spans="1:13">
      <c r="A886" s="4293"/>
      <c r="B886" s="931" t="s">
        <v>1787</v>
      </c>
      <c r="C886" s="949"/>
      <c r="D886" s="949"/>
      <c r="E886" s="930"/>
      <c r="F886" s="930"/>
      <c r="G886" s="930">
        <v>0</v>
      </c>
      <c r="H886" s="930">
        <v>6572.93</v>
      </c>
      <c r="I886" s="930">
        <v>403.37</v>
      </c>
      <c r="J886" s="946" t="str">
        <f t="shared" ref="J886:J901" si="26">RIGHT(IFERROR(LEFT(B886,FIND("-",B886)+6),""),6)</f>
        <v>415010</v>
      </c>
      <c r="K886" s="947" t="str">
        <f t="shared" ref="K886:K901" si="27">IFERROR(RIGHT($B886,LEN($B886)-14),"")</f>
        <v>Elect Revenue-Oth Inc Jobbing Revenue</v>
      </c>
      <c r="M886" s="931" t="s">
        <v>1787</v>
      </c>
    </row>
    <row r="887" spans="1:13">
      <c r="A887" s="4293" t="s">
        <v>1625</v>
      </c>
      <c r="B887" s="929" t="s">
        <v>1788</v>
      </c>
      <c r="C887" s="949">
        <v>206960.96</v>
      </c>
      <c r="D887" s="949">
        <v>-90629.46</v>
      </c>
      <c r="E887" s="930">
        <v>71867.289999999994</v>
      </c>
      <c r="F887" s="930">
        <v>285560.51</v>
      </c>
      <c r="G887" s="930">
        <v>72410.94</v>
      </c>
      <c r="H887" s="930">
        <v>133626.22</v>
      </c>
      <c r="I887" s="949">
        <v>110893.9</v>
      </c>
      <c r="J887" s="946" t="str">
        <f t="shared" si="26"/>
        <v>416010</v>
      </c>
      <c r="K887" s="947" t="str">
        <f t="shared" si="27"/>
        <v>Elect Revenue-Oth Inc Jobbing Costs</v>
      </c>
      <c r="M887" s="931" t="s">
        <v>1788</v>
      </c>
    </row>
    <row r="888" spans="1:13">
      <c r="A888" s="4293" t="s">
        <v>1625</v>
      </c>
      <c r="B888" s="929" t="s">
        <v>1789</v>
      </c>
      <c r="C888" s="949"/>
      <c r="D888" s="949"/>
      <c r="E888" s="930">
        <v>194300.43</v>
      </c>
      <c r="F888" s="930">
        <v>71023.12</v>
      </c>
      <c r="G888" s="930">
        <v>35135.870000000003</v>
      </c>
      <c r="H888" s="930">
        <v>50508.54</v>
      </c>
      <c r="I888" s="930">
        <v>733346.73</v>
      </c>
      <c r="J888" s="946" t="str">
        <f t="shared" si="26"/>
        <v>419000</v>
      </c>
      <c r="K888" s="947" t="str">
        <f t="shared" si="27"/>
        <v>Elect Revenue-Int Inc Funds</v>
      </c>
      <c r="M888" s="931" t="s">
        <v>1789</v>
      </c>
    </row>
    <row r="889" spans="1:13">
      <c r="A889" s="4293"/>
      <c r="B889" s="931" t="s">
        <v>1790</v>
      </c>
      <c r="C889" s="949">
        <v>333876.65000000002</v>
      </c>
      <c r="D889" s="949">
        <v>325786.5</v>
      </c>
      <c r="E889" s="930"/>
      <c r="F889" s="930"/>
      <c r="G889" s="930">
        <v>0</v>
      </c>
      <c r="H889" s="930">
        <v>-43.69</v>
      </c>
      <c r="I889" s="930">
        <v>-9</v>
      </c>
      <c r="J889" s="946" t="str">
        <f t="shared" si="26"/>
        <v>419010</v>
      </c>
      <c r="K889" s="947" t="str">
        <f t="shared" si="27"/>
        <v>Elect Revenue-Int Inc Other</v>
      </c>
      <c r="M889" s="931" t="s">
        <v>1790</v>
      </c>
    </row>
    <row r="890" spans="1:13">
      <c r="A890" s="4293" t="s">
        <v>1625</v>
      </c>
      <c r="B890" s="929" t="s">
        <v>1791</v>
      </c>
      <c r="C890" s="949">
        <v>-155066.44</v>
      </c>
      <c r="D890" s="949">
        <v>60666.1</v>
      </c>
      <c r="E890" s="930">
        <v>-134040.26999999999</v>
      </c>
      <c r="F890" s="930">
        <v>4587.92</v>
      </c>
      <c r="G890" s="949">
        <v>0</v>
      </c>
      <c r="H890" s="930">
        <v>0</v>
      </c>
      <c r="I890" s="930">
        <v>-56964.42</v>
      </c>
      <c r="J890" s="946" t="str">
        <f t="shared" si="26"/>
        <v>419030</v>
      </c>
      <c r="K890" s="947" t="str">
        <f t="shared" si="27"/>
        <v>Elect Revenue-Unrealized Gain/Loss Invest</v>
      </c>
      <c r="M890" s="955" t="s">
        <v>1791</v>
      </c>
    </row>
    <row r="891" spans="1:13">
      <c r="A891" s="4293" t="s">
        <v>1625</v>
      </c>
      <c r="B891" s="929" t="s">
        <v>1792</v>
      </c>
      <c r="C891" s="949">
        <v>25904</v>
      </c>
      <c r="D891" s="949">
        <v>26968.85</v>
      </c>
      <c r="E891" s="930">
        <v>29136.49</v>
      </c>
      <c r="F891" s="930">
        <v>27920.61</v>
      </c>
      <c r="G891" s="930">
        <v>25300.98</v>
      </c>
      <c r="H891" s="930">
        <v>18469.419999999998</v>
      </c>
      <c r="I891" s="930">
        <v>16077.77</v>
      </c>
      <c r="J891" s="946" t="str">
        <f t="shared" si="26"/>
        <v>419090</v>
      </c>
      <c r="K891" s="947" t="str">
        <f t="shared" si="27"/>
        <v>Elect Revenue-Int Inc Conserv Loans</v>
      </c>
      <c r="M891" s="931" t="s">
        <v>1792</v>
      </c>
    </row>
    <row r="892" spans="1:13">
      <c r="A892" s="4293" t="s">
        <v>1625</v>
      </c>
      <c r="B892" s="931" t="s">
        <v>1811</v>
      </c>
      <c r="C892" s="949"/>
      <c r="D892" s="949"/>
      <c r="E892" s="930"/>
      <c r="F892" s="930"/>
      <c r="G892" s="930">
        <v>0</v>
      </c>
      <c r="H892" s="930">
        <v>10274.219999999999</v>
      </c>
      <c r="I892" s="930">
        <v>13864.83</v>
      </c>
      <c r="J892" s="946" t="str">
        <f t="shared" si="26"/>
        <v>419150</v>
      </c>
      <c r="K892" s="947" t="str">
        <f t="shared" si="27"/>
        <v>Elect Revenue-Int Inc Ephr SD Pky School</v>
      </c>
      <c r="M892" s="931" t="s">
        <v>1793</v>
      </c>
    </row>
    <row r="893" spans="1:13">
      <c r="A893" s="4293" t="s">
        <v>1625</v>
      </c>
      <c r="B893" s="929" t="s">
        <v>1793</v>
      </c>
      <c r="C893" s="949"/>
      <c r="D893" s="949"/>
      <c r="E893" s="930">
        <v>0</v>
      </c>
      <c r="F893" s="930">
        <v>8802.1</v>
      </c>
      <c r="G893" s="930">
        <v>2063.4499999999998</v>
      </c>
      <c r="H893" s="930">
        <v>7970.76</v>
      </c>
      <c r="I893" s="930">
        <v>50842.89</v>
      </c>
      <c r="J893" s="946" t="str">
        <f t="shared" si="26"/>
        <v>419801</v>
      </c>
      <c r="K893" s="947" t="str">
        <f t="shared" si="27"/>
        <v>Elect Revenue-Wfon Interest Income</v>
      </c>
      <c r="M893" s="929" t="s">
        <v>1794</v>
      </c>
    </row>
    <row r="894" spans="1:13">
      <c r="A894" s="4293" t="s">
        <v>1625</v>
      </c>
      <c r="B894" s="955" t="s">
        <v>1809</v>
      </c>
      <c r="C894" s="949"/>
      <c r="D894" s="949"/>
      <c r="E894" s="930"/>
      <c r="F894" s="930"/>
      <c r="G894" s="3094"/>
      <c r="H894" s="930">
        <v>0</v>
      </c>
      <c r="I894" s="930">
        <v>-50234.49</v>
      </c>
      <c r="J894" s="946" t="str">
        <f t="shared" si="26"/>
        <v>419802</v>
      </c>
      <c r="K894" s="947" t="str">
        <f t="shared" si="27"/>
        <v>Elect Revenue-Wfon Unrealized Gain/Loss In</v>
      </c>
      <c r="M894" s="931" t="s">
        <v>1795</v>
      </c>
    </row>
    <row r="895" spans="1:13">
      <c r="A895" s="4293" t="s">
        <v>1625</v>
      </c>
      <c r="B895" s="929" t="s">
        <v>1794</v>
      </c>
      <c r="C895" s="949">
        <v>54271.62</v>
      </c>
      <c r="D895" s="949">
        <v>38026.720000000001</v>
      </c>
      <c r="E895" s="930">
        <v>134.65</v>
      </c>
      <c r="F895" s="930">
        <v>20319.14</v>
      </c>
      <c r="G895" s="930">
        <v>38039.550000000003</v>
      </c>
      <c r="H895" s="930">
        <v>123098.95</v>
      </c>
      <c r="I895" s="930">
        <v>43061.86</v>
      </c>
      <c r="J895" s="946" t="str">
        <f t="shared" si="26"/>
        <v>421000</v>
      </c>
      <c r="K895" s="947" t="str">
        <f t="shared" si="27"/>
        <v>Elect Revenue-Misc Nonoper Income</v>
      </c>
      <c r="M895" s="931" t="s">
        <v>1796</v>
      </c>
    </row>
    <row r="896" spans="1:13">
      <c r="A896" s="4293" t="s">
        <v>1625</v>
      </c>
      <c r="B896" s="929" t="s">
        <v>1795</v>
      </c>
      <c r="C896" s="949">
        <v>100770.1</v>
      </c>
      <c r="D896" s="949">
        <v>63574.21</v>
      </c>
      <c r="E896" s="930">
        <v>-56070.83</v>
      </c>
      <c r="F896" s="930">
        <v>46306.36</v>
      </c>
      <c r="G896" s="930">
        <v>-513067.19</v>
      </c>
      <c r="H896" s="930">
        <v>-6750.81</v>
      </c>
      <c r="I896" s="930">
        <v>3034.76</v>
      </c>
      <c r="J896" s="946" t="str">
        <f t="shared" si="26"/>
        <v>456999</v>
      </c>
      <c r="K896" s="947" t="str">
        <f t="shared" si="27"/>
        <v>Elect Revenue-Surplus Sales</v>
      </c>
      <c r="M896" s="931" t="s">
        <v>1798</v>
      </c>
    </row>
    <row r="897" spans="1:13">
      <c r="A897" s="4293" t="s">
        <v>1625</v>
      </c>
      <c r="B897" s="929" t="s">
        <v>1796</v>
      </c>
      <c r="C897" s="949">
        <v>2946779.86</v>
      </c>
      <c r="D897" s="949">
        <v>1312391.3400000001</v>
      </c>
      <c r="E897" s="930">
        <v>377230.62</v>
      </c>
      <c r="F897" s="930">
        <v>304111.78000000003</v>
      </c>
      <c r="G897" s="930">
        <v>515637.33</v>
      </c>
      <c r="H897" s="930">
        <v>521949.74</v>
      </c>
      <c r="I897" s="930">
        <v>984140.7</v>
      </c>
      <c r="J897" s="946" t="str">
        <f t="shared" si="26"/>
        <v>419000</v>
      </c>
      <c r="K897" s="947" t="str">
        <f t="shared" si="27"/>
        <v>Elect Rsrv &amp; Cont-Int Inc Funds</v>
      </c>
      <c r="M897" s="929" t="s">
        <v>1799</v>
      </c>
    </row>
    <row r="898" spans="1:13">
      <c r="A898" s="4293" t="s">
        <v>1625</v>
      </c>
      <c r="B898" s="929" t="s">
        <v>1797</v>
      </c>
      <c r="C898" s="949">
        <v>-1487403.92</v>
      </c>
      <c r="D898" s="949">
        <v>359881.27</v>
      </c>
      <c r="E898" s="930">
        <v>-336320.51</v>
      </c>
      <c r="F898" s="930">
        <v>-40036.67</v>
      </c>
      <c r="G898" s="930">
        <v>554643.68999999994</v>
      </c>
      <c r="H898" s="930">
        <v>-311039.46000000002</v>
      </c>
      <c r="I898" s="930">
        <v>-230822.69</v>
      </c>
      <c r="J898" s="946" t="str">
        <f t="shared" si="26"/>
        <v>419030</v>
      </c>
      <c r="K898" s="947" t="str">
        <f t="shared" si="27"/>
        <v>Elect Rsrv &amp; Cont-Unrealized Gain/Loss Invest</v>
      </c>
      <c r="M898" s="929" t="s">
        <v>1800</v>
      </c>
    </row>
    <row r="899" spans="1:13">
      <c r="A899" s="4293" t="s">
        <v>1625</v>
      </c>
      <c r="B899" s="931" t="s">
        <v>1810</v>
      </c>
      <c r="C899" s="949"/>
      <c r="D899" s="949"/>
      <c r="E899" s="930"/>
      <c r="F899" s="930"/>
      <c r="G899" s="930">
        <v>0</v>
      </c>
      <c r="H899" s="930">
        <v>12400.6</v>
      </c>
      <c r="I899" s="930">
        <v>26026.76</v>
      </c>
      <c r="J899" s="946" t="str">
        <f t="shared" si="26"/>
        <v>419000</v>
      </c>
      <c r="K899" s="947" t="str">
        <f t="shared" si="27"/>
        <v>Elect Rest Diesel Proc-Int Inc Funds</v>
      </c>
      <c r="M899" s="931" t="s">
        <v>1801</v>
      </c>
    </row>
    <row r="900" spans="1:13">
      <c r="A900" s="4293" t="s">
        <v>1625</v>
      </c>
      <c r="B900" s="929" t="s">
        <v>1798</v>
      </c>
      <c r="C900" s="949">
        <v>36880.370000000003</v>
      </c>
      <c r="D900" s="949">
        <v>8903.7099999999991</v>
      </c>
      <c r="E900" s="930">
        <v>2215.9</v>
      </c>
      <c r="F900" s="930">
        <v>2784.21</v>
      </c>
      <c r="G900" s="930">
        <v>2943.66</v>
      </c>
      <c r="H900" s="930">
        <v>2607.9499999999998</v>
      </c>
      <c r="I900" s="930">
        <v>3866.43</v>
      </c>
      <c r="J900" s="946" t="str">
        <f t="shared" si="26"/>
        <v>419000</v>
      </c>
      <c r="K900" s="947" t="str">
        <f t="shared" si="27"/>
        <v>Elect Renew &amp; Rplc QC-Int Inc Funds</v>
      </c>
      <c r="M900" s="931" t="s">
        <v>1802</v>
      </c>
    </row>
    <row r="901" spans="1:13">
      <c r="A901" s="4293" t="s">
        <v>1625</v>
      </c>
      <c r="B901" s="929" t="s">
        <v>1799</v>
      </c>
      <c r="C901" s="949">
        <v>-25712.14</v>
      </c>
      <c r="D901" s="949">
        <v>11251.02</v>
      </c>
      <c r="E901" s="930">
        <v>-5784.53</v>
      </c>
      <c r="F901" s="930">
        <v>0</v>
      </c>
      <c r="J901" s="946" t="str">
        <f t="shared" si="26"/>
        <v>419030</v>
      </c>
      <c r="K901" s="947" t="str">
        <f t="shared" si="27"/>
        <v>Elect Renew &amp; Rplc QC-Unrealized Gain/Loss Invest</v>
      </c>
      <c r="M901" s="929" t="s">
        <v>1803</v>
      </c>
    </row>
    <row r="902" spans="1:13" s="3094" customFormat="1">
      <c r="A902" s="4293"/>
      <c r="B902" s="929" t="s">
        <v>3800</v>
      </c>
      <c r="C902" s="949">
        <v>18622.63</v>
      </c>
      <c r="D902" s="949">
        <v>0</v>
      </c>
      <c r="E902" s="930"/>
      <c r="F902" s="930"/>
      <c r="J902" s="946" t="str">
        <f t="shared" ref="J902:J918" si="28">RIGHT(IFERROR(LEFT(B902,FIND("-",B902)+6),""),6)</f>
        <v>419000</v>
      </c>
      <c r="K902" s="947" t="str">
        <f t="shared" ref="K902:K918" si="29">IFERROR(RIGHT($B902,LEN($B902)-14),"")</f>
        <v>Elect Cust Deposits-Int Inc Funds</v>
      </c>
      <c r="M902" s="929"/>
    </row>
    <row r="903" spans="1:13">
      <c r="A903" s="4293" t="s">
        <v>1625</v>
      </c>
      <c r="B903" s="929" t="s">
        <v>1800</v>
      </c>
      <c r="C903" s="949">
        <v>-17715.97</v>
      </c>
      <c r="D903" s="949">
        <v>2546.1799999999998</v>
      </c>
      <c r="E903" s="930">
        <v>-1035.99</v>
      </c>
      <c r="F903" s="930">
        <v>0</v>
      </c>
      <c r="J903" s="946" t="str">
        <f t="shared" si="28"/>
        <v>419030</v>
      </c>
      <c r="K903" s="947" t="str">
        <f t="shared" si="29"/>
        <v>Elect Cust Deposits-Unrealized Gain/Loss Invest</v>
      </c>
      <c r="M903" s="929" t="s">
        <v>1804</v>
      </c>
    </row>
    <row r="904" spans="1:13" s="3094" customFormat="1">
      <c r="A904" s="4293"/>
      <c r="B904" s="929" t="s">
        <v>3801</v>
      </c>
      <c r="C904" s="949">
        <v>1691236.5</v>
      </c>
      <c r="D904" s="949">
        <v>202058.75</v>
      </c>
      <c r="E904" s="930"/>
      <c r="F904" s="930"/>
      <c r="J904" s="946" t="str">
        <f t="shared" si="28"/>
        <v>419000</v>
      </c>
      <c r="K904" s="947" t="str">
        <f t="shared" si="29"/>
        <v>ES 2014JLB Investment in PRP-Int Inc Funds</v>
      </c>
      <c r="M904" s="929"/>
    </row>
    <row r="905" spans="1:13" s="3094" customFormat="1">
      <c r="A905" s="4293"/>
      <c r="B905" s="929" t="s">
        <v>3802</v>
      </c>
      <c r="C905" s="949">
        <v>234062.9</v>
      </c>
      <c r="D905" s="949">
        <v>0</v>
      </c>
      <c r="E905" s="930"/>
      <c r="F905" s="930"/>
      <c r="J905" s="946" t="str">
        <f t="shared" si="28"/>
        <v>419000</v>
      </c>
      <c r="K905" s="947" t="str">
        <f t="shared" si="29"/>
        <v>ES 2015JLB Investment in PRP-Int Inc Funds</v>
      </c>
      <c r="M905" s="929"/>
    </row>
    <row r="906" spans="1:13">
      <c r="A906" s="4293" t="s">
        <v>1625</v>
      </c>
      <c r="B906" s="929" t="s">
        <v>1801</v>
      </c>
      <c r="C906" s="949">
        <v>202629.93</v>
      </c>
      <c r="D906" s="949">
        <v>128501.16</v>
      </c>
      <c r="E906" s="930">
        <v>137817.60999999999</v>
      </c>
      <c r="F906" s="930">
        <v>134895.53</v>
      </c>
      <c r="G906" s="930">
        <v>30504.59</v>
      </c>
      <c r="H906" s="930">
        <v>0</v>
      </c>
      <c r="J906" s="946" t="str">
        <f t="shared" si="28"/>
        <v>419000</v>
      </c>
      <c r="K906" s="947" t="str">
        <f t="shared" si="29"/>
        <v>Elect 2011I Debt Service Rsrv-Int Inc Funds</v>
      </c>
      <c r="M906" s="931" t="s">
        <v>1805</v>
      </c>
    </row>
    <row r="907" spans="1:13">
      <c r="A907" s="4293" t="s">
        <v>1625</v>
      </c>
      <c r="B907" s="929" t="s">
        <v>1802</v>
      </c>
      <c r="C907" s="949">
        <v>38882.85</v>
      </c>
      <c r="D907" s="949">
        <v>132330.60999999999</v>
      </c>
      <c r="E907" s="930">
        <v>-374933.48</v>
      </c>
      <c r="F907" s="930">
        <v>167429.18</v>
      </c>
      <c r="G907" s="930">
        <v>117717.75999999999</v>
      </c>
      <c r="H907" s="930">
        <v>0</v>
      </c>
      <c r="I907" s="930"/>
      <c r="J907" s="946" t="str">
        <f t="shared" si="28"/>
        <v>419030</v>
      </c>
      <c r="K907" s="947" t="str">
        <f t="shared" si="29"/>
        <v>Elect 2011I Debt Service -Unrealized Gain/Loss Inv</v>
      </c>
      <c r="M907" s="931" t="s">
        <v>1806</v>
      </c>
    </row>
    <row r="908" spans="1:13">
      <c r="A908" s="4293" t="s">
        <v>1625</v>
      </c>
      <c r="B908" s="929" t="s">
        <v>1803</v>
      </c>
      <c r="C908" s="949">
        <v>203771.25</v>
      </c>
      <c r="D908" s="949">
        <v>225565.69</v>
      </c>
      <c r="E908" s="930">
        <v>53792.12</v>
      </c>
      <c r="F908" s="930">
        <v>0</v>
      </c>
      <c r="G908" s="3094"/>
      <c r="H908" s="3094"/>
      <c r="J908" s="946" t="str">
        <f t="shared" si="28"/>
        <v>419000</v>
      </c>
      <c r="K908" s="947" t="str">
        <f t="shared" si="29"/>
        <v>Elect 2013J Debt Service Rsrv-Int Inc Funds</v>
      </c>
      <c r="M908" s="931" t="s">
        <v>1807</v>
      </c>
    </row>
    <row r="909" spans="1:13">
      <c r="A909" s="4293" t="s">
        <v>1625</v>
      </c>
      <c r="B909" s="929" t="s">
        <v>1804</v>
      </c>
      <c r="C909" s="949">
        <v>-102788.21</v>
      </c>
      <c r="D909" s="949">
        <v>277341.58</v>
      </c>
      <c r="E909" s="930">
        <v>-108385.08</v>
      </c>
      <c r="F909" s="930">
        <v>0</v>
      </c>
      <c r="G909" s="3094"/>
      <c r="H909" s="3094"/>
      <c r="J909" s="946" t="str">
        <f t="shared" si="28"/>
        <v>419030</v>
      </c>
      <c r="K909" s="947" t="str">
        <f t="shared" si="29"/>
        <v>Elect 2013J Debt Service -Unrealized Gain/Loss Inv</v>
      </c>
      <c r="M909" s="931" t="s">
        <v>1808</v>
      </c>
    </row>
    <row r="910" spans="1:13">
      <c r="A910" s="4293" t="s">
        <v>1625</v>
      </c>
      <c r="B910" s="929" t="s">
        <v>1805</v>
      </c>
      <c r="C910" s="949"/>
      <c r="D910" s="949"/>
      <c r="E910" s="930">
        <v>96234.71</v>
      </c>
      <c r="F910" s="930">
        <v>199739.97</v>
      </c>
      <c r="G910" s="930">
        <v>49321.5</v>
      </c>
      <c r="H910" s="930">
        <v>0</v>
      </c>
      <c r="I910" s="3094"/>
      <c r="J910" s="946" t="str">
        <f t="shared" si="28"/>
        <v>419000</v>
      </c>
      <c r="K910" s="947" t="str">
        <f t="shared" si="29"/>
        <v>Elect 2011 Construction-Int Inc Funds</v>
      </c>
      <c r="M910" s="955" t="s">
        <v>1809</v>
      </c>
    </row>
    <row r="911" spans="1:13">
      <c r="A911" s="4293" t="s">
        <v>1625</v>
      </c>
      <c r="B911" s="929" t="s">
        <v>1806</v>
      </c>
      <c r="C911" s="949"/>
      <c r="D911" s="949"/>
      <c r="E911" s="930">
        <v>-49233.62</v>
      </c>
      <c r="F911" s="930">
        <v>31005.040000000001</v>
      </c>
      <c r="G911" s="930">
        <v>18228.580000000002</v>
      </c>
      <c r="H911" s="930">
        <v>0</v>
      </c>
      <c r="I911" s="3094"/>
      <c r="J911" s="946" t="str">
        <f t="shared" si="28"/>
        <v>419030</v>
      </c>
      <c r="K911" s="947" t="str">
        <f t="shared" si="29"/>
        <v>Elect 2011 Construction-Unrealized Gain/Loss Inves</v>
      </c>
      <c r="M911" s="931" t="s">
        <v>1794</v>
      </c>
    </row>
    <row r="912" spans="1:13" s="3094" customFormat="1">
      <c r="A912" s="4293"/>
      <c r="B912" s="929" t="s">
        <v>3803</v>
      </c>
      <c r="C912" s="949">
        <v>41912.910000000003</v>
      </c>
      <c r="D912" s="949">
        <v>4533.26</v>
      </c>
      <c r="E912" s="930"/>
      <c r="F912" s="930"/>
      <c r="G912" s="930"/>
      <c r="H912" s="930"/>
      <c r="J912" s="946" t="str">
        <f t="shared" si="28"/>
        <v>419000</v>
      </c>
      <c r="K912" s="947" t="str">
        <f t="shared" si="29"/>
        <v>ES 2014K General Construction-Int Inc Funds</v>
      </c>
      <c r="M912" s="931"/>
    </row>
    <row r="913" spans="1:13" s="3094" customFormat="1">
      <c r="A913" s="4293"/>
      <c r="B913" s="929" t="s">
        <v>3804</v>
      </c>
      <c r="C913" s="949">
        <v>-2341.14</v>
      </c>
      <c r="D913" s="949">
        <v>0</v>
      </c>
      <c r="E913" s="930"/>
      <c r="F913" s="930"/>
      <c r="G913" s="930"/>
      <c r="H913" s="930"/>
      <c r="J913" s="946" t="str">
        <f t="shared" si="28"/>
        <v>419030</v>
      </c>
      <c r="K913" s="947" t="str">
        <f t="shared" si="29"/>
        <v>ES 2014K General Construc-Unrealized Gain/Loss Inv</v>
      </c>
      <c r="M913" s="931"/>
    </row>
    <row r="914" spans="1:13">
      <c r="A914" s="4293" t="s">
        <v>1625</v>
      </c>
      <c r="B914" s="929" t="s">
        <v>1807</v>
      </c>
      <c r="C914" s="949">
        <v>0</v>
      </c>
      <c r="D914" s="949">
        <v>182.83</v>
      </c>
      <c r="E914" s="930">
        <v>5531.23</v>
      </c>
      <c r="F914" s="930">
        <v>7670.42</v>
      </c>
      <c r="G914" s="930">
        <v>39.450000000000003</v>
      </c>
      <c r="H914" s="930">
        <v>0</v>
      </c>
      <c r="I914" s="3094"/>
      <c r="J914" s="946" t="str">
        <f t="shared" si="28"/>
        <v>419000</v>
      </c>
      <c r="K914" s="947" t="str">
        <f t="shared" si="29"/>
        <v>Elect 2011I Principal/Retire-Int Inc Funds</v>
      </c>
      <c r="M914" s="931" t="s">
        <v>1810</v>
      </c>
    </row>
    <row r="915" spans="1:13" s="3094" customFormat="1">
      <c r="A915" s="4293"/>
      <c r="B915" s="929" t="s">
        <v>3805</v>
      </c>
      <c r="C915" s="949">
        <v>-0.03</v>
      </c>
      <c r="D915" s="949">
        <v>0</v>
      </c>
      <c r="E915" s="930"/>
      <c r="F915" s="930"/>
      <c r="G915" s="930"/>
      <c r="H915" s="930"/>
      <c r="J915" s="946" t="str">
        <f t="shared" si="28"/>
        <v>419900</v>
      </c>
      <c r="K915" s="947" t="str">
        <f t="shared" si="29"/>
        <v>ES Set-Aside Principal Desposi-Int Inc Funds NPC</v>
      </c>
      <c r="M915" s="931"/>
    </row>
    <row r="916" spans="1:13">
      <c r="A916" s="4293" t="s">
        <v>1625</v>
      </c>
      <c r="B916" s="929" t="s">
        <v>1808</v>
      </c>
      <c r="C916" s="949">
        <v>0</v>
      </c>
      <c r="D916" s="949">
        <v>443.05</v>
      </c>
      <c r="E916" s="930">
        <v>1467.12</v>
      </c>
      <c r="F916" s="930">
        <v>1311.01</v>
      </c>
      <c r="G916" s="930">
        <v>15.17</v>
      </c>
      <c r="H916" s="930">
        <v>0</v>
      </c>
      <c r="I916" s="3094"/>
      <c r="J916" s="946" t="str">
        <f t="shared" si="28"/>
        <v>419000</v>
      </c>
      <c r="K916" s="947" t="str">
        <f t="shared" si="29"/>
        <v>Electric 2011I Interest-Int Inc Funds</v>
      </c>
      <c r="M916" s="931" t="s">
        <v>1811</v>
      </c>
    </row>
    <row r="917" spans="1:13" s="3094" customFormat="1">
      <c r="A917" s="4293"/>
      <c r="B917" s="929" t="s">
        <v>3806</v>
      </c>
      <c r="C917" s="949">
        <v>0</v>
      </c>
      <c r="D917" s="949">
        <v>243.95</v>
      </c>
      <c r="E917" s="930"/>
      <c r="F917" s="930"/>
      <c r="G917" s="930"/>
      <c r="H917" s="930"/>
      <c r="J917" s="946" t="str">
        <f t="shared" si="28"/>
        <v>419000</v>
      </c>
      <c r="K917" s="947" t="str">
        <f t="shared" si="29"/>
        <v>Elect 2013J Interest-Int Inc Funds</v>
      </c>
      <c r="M917" s="931"/>
    </row>
    <row r="918" spans="1:13" s="3094" customFormat="1">
      <c r="A918" s="4293"/>
      <c r="B918" s="929" t="s">
        <v>3807</v>
      </c>
      <c r="C918" s="949">
        <v>3521.13</v>
      </c>
      <c r="D918" s="949"/>
      <c r="E918" s="930"/>
      <c r="F918" s="930"/>
      <c r="G918" s="930"/>
      <c r="H918" s="930"/>
      <c r="J918" s="946" t="str">
        <f t="shared" si="28"/>
        <v>419900</v>
      </c>
      <c r="K918" s="947" t="str">
        <f t="shared" si="29"/>
        <v>ES Set-Aside Interest Deposit-Int Inc Funds NPC</v>
      </c>
      <c r="M918" s="931"/>
    </row>
    <row r="919" spans="1:13">
      <c r="A919" s="4293" t="s">
        <v>1625</v>
      </c>
      <c r="B919" s="933"/>
      <c r="C919" s="952" t="s">
        <v>1108</v>
      </c>
      <c r="D919" s="952" t="s">
        <v>1108</v>
      </c>
      <c r="E919" s="935" t="s">
        <v>1108</v>
      </c>
      <c r="F919" s="935" t="s">
        <v>1108</v>
      </c>
      <c r="G919" s="935" t="s">
        <v>1108</v>
      </c>
      <c r="H919" s="935" t="s">
        <v>1108</v>
      </c>
      <c r="I919" s="935" t="s">
        <v>1108</v>
      </c>
      <c r="M919" s="934"/>
    </row>
    <row r="920" spans="1:13">
      <c r="A920" s="4293" t="s">
        <v>1625</v>
      </c>
      <c r="B920" s="929" t="s">
        <v>1812</v>
      </c>
      <c r="C920" s="949">
        <f>SUM(C886:C918)</f>
        <v>4349055.8100000005</v>
      </c>
      <c r="D920" s="949">
        <f>SUM(D886:D918)</f>
        <v>3090567.3200000003</v>
      </c>
      <c r="E920" s="930">
        <v>-96076.140000000101</v>
      </c>
      <c r="F920" s="930">
        <v>1273430.23</v>
      </c>
      <c r="G920" s="930">
        <v>948935.33</v>
      </c>
      <c r="H920" s="930">
        <v>569645.37</v>
      </c>
      <c r="I920" s="930">
        <v>1647529.4</v>
      </c>
      <c r="M920" s="931" t="s">
        <v>1812</v>
      </c>
    </row>
    <row r="921" spans="1:13">
      <c r="B921" s="933"/>
      <c r="C921" s="952" t="s">
        <v>1108</v>
      </c>
      <c r="D921" s="952" t="s">
        <v>1108</v>
      </c>
      <c r="E921" s="935" t="s">
        <v>1108</v>
      </c>
      <c r="F921" s="935" t="s">
        <v>1108</v>
      </c>
      <c r="G921" s="935" t="s">
        <v>1108</v>
      </c>
      <c r="H921" s="935" t="s">
        <v>1108</v>
      </c>
      <c r="I921" s="935" t="s">
        <v>1108</v>
      </c>
      <c r="M921" s="934"/>
    </row>
    <row r="922" spans="1:13">
      <c r="B922" s="933"/>
      <c r="C922" s="949"/>
      <c r="D922" s="949"/>
      <c r="E922" s="930"/>
      <c r="F922" s="930"/>
      <c r="G922" s="930"/>
      <c r="H922" s="930"/>
      <c r="M922" s="934"/>
    </row>
    <row r="923" spans="1:13">
      <c r="B923" s="929" t="s">
        <v>1813</v>
      </c>
      <c r="C923" s="949"/>
      <c r="D923" s="949"/>
      <c r="E923" s="930"/>
      <c r="F923" s="930"/>
      <c r="G923" s="930"/>
      <c r="H923" s="930"/>
      <c r="M923" s="931" t="s">
        <v>1813</v>
      </c>
    </row>
    <row r="924" spans="1:13">
      <c r="B924" s="929" t="s">
        <v>1814</v>
      </c>
      <c r="C924" s="949">
        <v>-5.97</v>
      </c>
      <c r="D924" s="949">
        <v>-58.51</v>
      </c>
      <c r="E924" s="930">
        <v>-59.8</v>
      </c>
      <c r="F924" s="930">
        <v>-84.21</v>
      </c>
      <c r="G924" s="930">
        <v>-79.41</v>
      </c>
      <c r="H924" s="930">
        <v>-73.3</v>
      </c>
      <c r="I924" s="930">
        <v>-120.94</v>
      </c>
      <c r="J924" s="946" t="str">
        <f>RIGHT(IFERROR(LEFT(B924,FIND("-",B924)+6),""),6)</f>
        <v>427801</v>
      </c>
      <c r="K924" s="947" t="str">
        <f>IFERROR(RIGHT($B924,LEN($B924)-14),"")</f>
        <v>Elect Revenue-Wfon Interest Expense</v>
      </c>
      <c r="M924" s="931" t="s">
        <v>1814</v>
      </c>
    </row>
    <row r="925" spans="1:13">
      <c r="B925" s="929" t="s">
        <v>1815</v>
      </c>
      <c r="C925" s="949">
        <v>-6964.08</v>
      </c>
      <c r="D925" s="949">
        <v>3692.96</v>
      </c>
      <c r="E925" s="930">
        <v>-791.84</v>
      </c>
      <c r="F925" s="930">
        <v>-7863.42</v>
      </c>
      <c r="G925" s="930">
        <v>-7934.02</v>
      </c>
      <c r="H925" s="930">
        <v>-15587.34</v>
      </c>
      <c r="I925" s="930">
        <v>-29702.6</v>
      </c>
      <c r="J925" s="946" t="str">
        <f>RIGHT(IFERROR(LEFT(B925,FIND("-",B925)+6),""),6)</f>
        <v>431000</v>
      </c>
      <c r="K925" s="947" t="str">
        <f>IFERROR(RIGHT($B925,LEN($B925)-14),"")</f>
        <v>Elect Revenue-Other Int Exp Cust Deposit</v>
      </c>
      <c r="M925" s="931" t="s">
        <v>1815</v>
      </c>
    </row>
    <row r="926" spans="1:13">
      <c r="B926" s="931" t="s">
        <v>1820</v>
      </c>
      <c r="E926" s="930"/>
      <c r="F926" s="930"/>
      <c r="G926" s="930">
        <v>-4512200.6900000004</v>
      </c>
      <c r="H926" s="930">
        <v>-6749437.5</v>
      </c>
      <c r="I926" s="930">
        <v>-7292487.5199999996</v>
      </c>
      <c r="J926" s="946" t="str">
        <f>RIGHT(IFERROR(LEFT(B926,FIND("-",B926)+6),""),6)</f>
        <v>427000</v>
      </c>
      <c r="K926" s="947" t="str">
        <f>IFERROR(RIGHT($B926,LEN($B926)-14),"")</f>
        <v>Elect Int 2001H-Int Exp Funds</v>
      </c>
      <c r="M926" s="931" t="s">
        <v>1816</v>
      </c>
    </row>
    <row r="927" spans="1:13">
      <c r="B927" s="929" t="s">
        <v>1816</v>
      </c>
      <c r="E927" s="930">
        <v>0</v>
      </c>
      <c r="F927" s="930">
        <v>136934.81</v>
      </c>
      <c r="G927" s="930">
        <v>19220.150000000001</v>
      </c>
      <c r="H927" s="930">
        <v>0</v>
      </c>
      <c r="J927" s="946" t="str">
        <f>RIGHT(IFERROR(LEFT(B927,FIND("-",B927)+6),""),6)</f>
        <v>427900</v>
      </c>
      <c r="K927" s="947" t="str">
        <f>IFERROR(RIGHT($B927,LEN($B927)-14),"")</f>
        <v>Elect Plant/Construction-Capitalized Interest Expe</v>
      </c>
      <c r="M927" s="929" t="s">
        <v>1817</v>
      </c>
    </row>
    <row r="928" spans="1:13" s="3094" customFormat="1">
      <c r="A928" s="1"/>
      <c r="B928" s="929" t="s">
        <v>3808</v>
      </c>
      <c r="C928" s="949">
        <v>1121454.94</v>
      </c>
      <c r="D928" s="949">
        <v>1993432.54</v>
      </c>
      <c r="E928" s="930"/>
      <c r="F928" s="930"/>
      <c r="G928" s="930"/>
      <c r="H928" s="930"/>
      <c r="J928" s="946" t="str">
        <f t="shared" ref="J928:J933" si="30">RIGHT(IFERROR(LEFT(B928,FIND("-",B928)+6),""),6)</f>
        <v>427900</v>
      </c>
      <c r="K928" s="947" t="str">
        <f t="shared" ref="K928:K933" si="31">IFERROR(RIGHT($B928,LEN($B928)-14),"")</f>
        <v>ES 2014K General Construc-Capitalized Interest Exp</v>
      </c>
      <c r="M928" s="929"/>
    </row>
    <row r="929" spans="1:13">
      <c r="B929" s="929" t="s">
        <v>1817</v>
      </c>
      <c r="E929" s="930">
        <v>1538939.47</v>
      </c>
      <c r="F929" s="930">
        <v>0</v>
      </c>
      <c r="G929" s="3094"/>
      <c r="H929" s="3094"/>
      <c r="J929" s="946" t="str">
        <f t="shared" si="30"/>
        <v>427900</v>
      </c>
      <c r="K929" s="947" t="str">
        <f t="shared" si="31"/>
        <v>Elect Utility Plant-Capitalized Interest Expense</v>
      </c>
      <c r="M929" s="931" t="s">
        <v>1818</v>
      </c>
    </row>
    <row r="930" spans="1:13" s="3094" customFormat="1">
      <c r="A930" s="1"/>
      <c r="B930" s="929" t="s">
        <v>3809</v>
      </c>
      <c r="C930" s="949">
        <v>-3762581.26</v>
      </c>
      <c r="D930" s="949">
        <v>0</v>
      </c>
      <c r="E930" s="930"/>
      <c r="F930" s="930"/>
      <c r="J930" s="946" t="str">
        <f t="shared" si="30"/>
        <v>427000</v>
      </c>
      <c r="K930" s="947" t="str">
        <f t="shared" si="31"/>
        <v>Elect 2011I Principal/Retire-Int Exp Funds</v>
      </c>
      <c r="M930" s="931"/>
    </row>
    <row r="931" spans="1:13" s="3094" customFormat="1">
      <c r="A931" s="1"/>
      <c r="B931" s="929" t="s">
        <v>3810</v>
      </c>
      <c r="C931" s="949">
        <v>-3381250</v>
      </c>
      <c r="D931" s="949">
        <v>0</v>
      </c>
      <c r="E931" s="930"/>
      <c r="F931" s="930"/>
      <c r="J931" s="946" t="str">
        <f t="shared" si="30"/>
        <v>427000</v>
      </c>
      <c r="K931" s="947" t="str">
        <f t="shared" si="31"/>
        <v>Elect 2013J Principal/Retire-Int Exp Funds</v>
      </c>
      <c r="M931" s="931"/>
    </row>
    <row r="932" spans="1:13" s="3094" customFormat="1">
      <c r="A932" s="1"/>
      <c r="B932" s="929" t="s">
        <v>3811</v>
      </c>
      <c r="C932" s="949">
        <v>-176698.54</v>
      </c>
      <c r="D932" s="949">
        <v>0</v>
      </c>
      <c r="E932" s="930"/>
      <c r="F932" s="930"/>
      <c r="J932" s="946" t="str">
        <f t="shared" si="30"/>
        <v>427000</v>
      </c>
      <c r="K932" s="947" t="str">
        <f t="shared" si="31"/>
        <v>ES 2014K Principal/Retirement-Int Exp Funds</v>
      </c>
      <c r="M932" s="931"/>
    </row>
    <row r="933" spans="1:13">
      <c r="B933" s="929" t="s">
        <v>1818</v>
      </c>
      <c r="C933" s="949">
        <v>0</v>
      </c>
      <c r="D933" s="949">
        <v>-3791081.26</v>
      </c>
      <c r="E933" s="930">
        <v>-5295243.76</v>
      </c>
      <c r="F933" s="930">
        <v>-6921205.4500000002</v>
      </c>
      <c r="G933" s="930">
        <v>-1668933.01</v>
      </c>
      <c r="H933" s="930">
        <v>0</v>
      </c>
      <c r="J933" s="946" t="str">
        <f t="shared" si="30"/>
        <v>427000</v>
      </c>
      <c r="K933" s="947" t="str">
        <f t="shared" si="31"/>
        <v>Electric 2011I Interest-Int Exp Funds</v>
      </c>
      <c r="M933" s="929" t="s">
        <v>1819</v>
      </c>
    </row>
    <row r="934" spans="1:13">
      <c r="B934" s="929" t="s">
        <v>1819</v>
      </c>
      <c r="C934" s="949">
        <v>0</v>
      </c>
      <c r="D934" s="949">
        <v>-3381250</v>
      </c>
      <c r="E934" s="930">
        <v>-967413.19</v>
      </c>
      <c r="F934" s="930">
        <v>0</v>
      </c>
      <c r="G934" s="3094"/>
      <c r="H934" s="3094"/>
      <c r="I934" s="3094"/>
      <c r="J934" s="946" t="str">
        <f>RIGHT(IFERROR(LEFT(B934,FIND("-",B934)+6),""),6)</f>
        <v>427000</v>
      </c>
      <c r="K934" s="947" t="str">
        <f>IFERROR(RIGHT($B934,LEN($B934)-14),"")</f>
        <v>Elect 2013J Interest-Int Exp Funds</v>
      </c>
      <c r="M934" s="931" t="s">
        <v>1820</v>
      </c>
    </row>
    <row r="935" spans="1:13" s="3094" customFormat="1">
      <c r="A935" s="1"/>
      <c r="B935" s="929" t="s">
        <v>3812</v>
      </c>
      <c r="C935" s="949">
        <v>0</v>
      </c>
      <c r="D935" s="949">
        <v>-20712.310000000001</v>
      </c>
      <c r="E935" s="930"/>
      <c r="F935" s="930"/>
      <c r="J935" s="946" t="str">
        <f>RIGHT(IFERROR(LEFT(B935,FIND("-",B935)+6),""),6)</f>
        <v>427000</v>
      </c>
      <c r="K935" s="947" t="str">
        <f>IFERROR(RIGHT($B935,LEN($B935)-14),"")</f>
        <v>ES 2014K Interest-Int Exp Funds</v>
      </c>
      <c r="M935" s="931"/>
    </row>
    <row r="936" spans="1:13">
      <c r="B936" s="933"/>
      <c r="C936" s="952" t="s">
        <v>1108</v>
      </c>
      <c r="D936" s="952" t="s">
        <v>1108</v>
      </c>
      <c r="E936" s="935" t="s">
        <v>1108</v>
      </c>
      <c r="F936" s="935" t="s">
        <v>1108</v>
      </c>
      <c r="G936" s="935" t="s">
        <v>1108</v>
      </c>
      <c r="H936" s="935" t="s">
        <v>1108</v>
      </c>
      <c r="I936" s="935" t="s">
        <v>1108</v>
      </c>
      <c r="M936" s="934"/>
    </row>
    <row r="937" spans="1:13">
      <c r="B937" s="929" t="s">
        <v>1821</v>
      </c>
      <c r="C937" s="949">
        <f>SUM(C924:C935)</f>
        <v>-6206044.9100000001</v>
      </c>
      <c r="D937" s="949">
        <f>SUM(D924:D935)</f>
        <v>-5195976.5799999991</v>
      </c>
      <c r="E937" s="930">
        <v>-4724569.12</v>
      </c>
      <c r="F937" s="930">
        <v>-6792218.2699999996</v>
      </c>
      <c r="G937" s="930">
        <v>-6169926.9800000004</v>
      </c>
      <c r="H937" s="930">
        <v>-6765098.1399999997</v>
      </c>
      <c r="I937" s="930">
        <v>-7322311.0599999996</v>
      </c>
      <c r="M937" s="931" t="s">
        <v>1821</v>
      </c>
    </row>
    <row r="938" spans="1:13">
      <c r="B938" s="933"/>
      <c r="C938" s="952" t="s">
        <v>1108</v>
      </c>
      <c r="D938" s="952" t="s">
        <v>1108</v>
      </c>
      <c r="E938" s="935" t="s">
        <v>1108</v>
      </c>
      <c r="F938" s="935" t="s">
        <v>1108</v>
      </c>
      <c r="G938" s="935" t="s">
        <v>1108</v>
      </c>
      <c r="H938" s="935" t="s">
        <v>1108</v>
      </c>
      <c r="I938" s="935" t="s">
        <v>1108</v>
      </c>
      <c r="M938" s="934"/>
    </row>
    <row r="939" spans="1:13">
      <c r="B939" s="933"/>
      <c r="C939" s="949"/>
      <c r="D939" s="949"/>
      <c r="E939" s="930"/>
      <c r="F939" s="930"/>
      <c r="G939" s="930"/>
      <c r="H939" s="930"/>
      <c r="M939" s="934"/>
    </row>
    <row r="940" spans="1:13">
      <c r="B940" s="929" t="s">
        <v>1822</v>
      </c>
      <c r="C940" s="949"/>
      <c r="D940" s="949"/>
      <c r="E940" s="930"/>
      <c r="F940" s="930"/>
      <c r="G940" s="930"/>
      <c r="H940" s="930"/>
      <c r="M940" s="931" t="s">
        <v>1823</v>
      </c>
    </row>
    <row r="941" spans="1:13">
      <c r="B941" s="929" t="s">
        <v>1824</v>
      </c>
      <c r="C941" s="949"/>
      <c r="D941" s="949"/>
      <c r="E941" s="930">
        <v>5006.8100000000004</v>
      </c>
      <c r="F941" s="930">
        <v>0</v>
      </c>
      <c r="G941" s="930">
        <v>6348.89</v>
      </c>
      <c r="H941" s="930">
        <v>0</v>
      </c>
      <c r="J941" s="946" t="str">
        <f t="shared" ref="J941:J953" si="32">RIGHT(IFERROR(LEFT(B941,FIND("-",B941)+6),""),6)</f>
        <v>428000</v>
      </c>
      <c r="K941" s="947" t="str">
        <f t="shared" ref="K941:K953" si="33">IFERROR(RIGHT($B941,LEN($B941)-14),"")</f>
        <v>Elect Revenue-Amort Issue Exp</v>
      </c>
      <c r="M941" s="931" t="s">
        <v>1824</v>
      </c>
    </row>
    <row r="942" spans="1:13" s="3094" customFormat="1">
      <c r="A942" s="1"/>
      <c r="B942" s="929" t="s">
        <v>3813</v>
      </c>
      <c r="C942" s="949">
        <v>1385831.11</v>
      </c>
      <c r="D942" s="949">
        <v>0</v>
      </c>
      <c r="E942" s="930"/>
      <c r="F942" s="930"/>
      <c r="G942" s="930"/>
      <c r="H942" s="930"/>
      <c r="J942" s="946" t="str">
        <f>RIGHT(IFERROR(LEFT(B942,FIND("-",B942)+6),""),6)</f>
        <v>428010</v>
      </c>
      <c r="K942" s="947" t="str">
        <f t="shared" si="33"/>
        <v>Elect 2011I Principal/Retire-Amort Discount</v>
      </c>
      <c r="M942" s="931"/>
    </row>
    <row r="943" spans="1:13" s="3094" customFormat="1">
      <c r="A943" s="1"/>
      <c r="B943" s="929" t="s">
        <v>3814</v>
      </c>
      <c r="C943" s="949">
        <v>-1118.67</v>
      </c>
      <c r="D943" s="949">
        <v>0</v>
      </c>
      <c r="E943" s="930"/>
      <c r="F943" s="930"/>
      <c r="G943" s="930"/>
      <c r="H943" s="930"/>
      <c r="J943" s="946" t="str">
        <f>RIGHT(IFERROR(LEFT(B943,FIND("-",B943)+6),""),6)</f>
        <v>428020</v>
      </c>
      <c r="K943" s="947" t="str">
        <f t="shared" si="33"/>
        <v>Elect 2011I Principal/Retire-Amort Issue Loss</v>
      </c>
      <c r="M943" s="931"/>
    </row>
    <row r="944" spans="1:13" s="3094" customFormat="1">
      <c r="A944" s="1"/>
      <c r="B944" s="929" t="s">
        <v>3815</v>
      </c>
      <c r="C944" s="949">
        <v>71737.25</v>
      </c>
      <c r="D944" s="949">
        <v>0</v>
      </c>
      <c r="E944" s="930"/>
      <c r="F944" s="930"/>
      <c r="G944" s="930"/>
      <c r="H944" s="930"/>
      <c r="J944" s="946" t="str">
        <f>RIGHT(IFERROR(LEFT(B944,FIND("-",B944)+6),""),6)</f>
        <v>428010</v>
      </c>
      <c r="K944" s="947" t="str">
        <f t="shared" si="33"/>
        <v>Elect 2013J Principal/Retire-Amort Discount</v>
      </c>
      <c r="M944" s="931"/>
    </row>
    <row r="945" spans="1:13" s="3094" customFormat="1">
      <c r="A945" s="1"/>
      <c r="B945" s="929" t="s">
        <v>3816</v>
      </c>
      <c r="C945" s="949">
        <v>-293151.15999999997</v>
      </c>
      <c r="D945" s="949">
        <v>0</v>
      </c>
      <c r="E945" s="930"/>
      <c r="F945" s="930"/>
      <c r="G945" s="930"/>
      <c r="H945" s="930"/>
      <c r="J945" s="946" t="str">
        <f>RIGHT(IFERROR(LEFT(B945,FIND("-",B945)+6),""),6)</f>
        <v>428020</v>
      </c>
      <c r="K945" s="947" t="str">
        <f t="shared" si="33"/>
        <v>Elect 2013J Principal/Retire-Amort Issue Loss</v>
      </c>
      <c r="M945" s="931"/>
    </row>
    <row r="946" spans="1:13">
      <c r="B946" s="929" t="s">
        <v>1825</v>
      </c>
      <c r="C946" s="949"/>
      <c r="D946" s="949"/>
      <c r="E946" s="930">
        <v>0</v>
      </c>
      <c r="F946" s="930">
        <v>-263073.96000000002</v>
      </c>
      <c r="G946" s="930">
        <v>-96550.03</v>
      </c>
      <c r="H946" s="930">
        <v>0</v>
      </c>
      <c r="J946" s="946" t="str">
        <f t="shared" si="32"/>
        <v>428000</v>
      </c>
      <c r="K946" s="947" t="str">
        <f t="shared" si="33"/>
        <v>Electric 2011I Interest-Amort Issue Exp</v>
      </c>
      <c r="M946" s="931" t="s">
        <v>1825</v>
      </c>
    </row>
    <row r="947" spans="1:13">
      <c r="B947" s="929" t="s">
        <v>1826</v>
      </c>
      <c r="C947" s="949">
        <v>0</v>
      </c>
      <c r="D947" s="949">
        <v>1367929.06</v>
      </c>
      <c r="E947" s="930">
        <v>2709288.08</v>
      </c>
      <c r="F947" s="930">
        <v>3389614.03</v>
      </c>
      <c r="G947" s="930">
        <v>843990.08</v>
      </c>
      <c r="H947" s="930">
        <v>0</v>
      </c>
      <c r="I947" s="930"/>
      <c r="J947" s="946" t="str">
        <f t="shared" si="32"/>
        <v>428010</v>
      </c>
      <c r="K947" s="947" t="str">
        <f t="shared" si="33"/>
        <v>Electric 2011I Interest-Amort Disc/Premium</v>
      </c>
      <c r="M947" s="931" t="s">
        <v>1826</v>
      </c>
    </row>
    <row r="948" spans="1:13">
      <c r="B948" s="929" t="s">
        <v>1827</v>
      </c>
      <c r="C948" s="949">
        <v>0</v>
      </c>
      <c r="D948" s="949">
        <v>-1266.24</v>
      </c>
      <c r="E948" s="930">
        <v>-7772.64</v>
      </c>
      <c r="F948" s="930">
        <v>-67235.520000000004</v>
      </c>
      <c r="G948" s="930">
        <v>-140226.38</v>
      </c>
      <c r="H948" s="930">
        <v>0</v>
      </c>
      <c r="I948" s="930"/>
      <c r="J948" s="946" t="str">
        <f t="shared" si="32"/>
        <v>428020</v>
      </c>
      <c r="K948" s="947" t="str">
        <f t="shared" si="33"/>
        <v>Electric 2011I Interest-Amort Issue Loss</v>
      </c>
      <c r="M948" s="931" t="s">
        <v>1827</v>
      </c>
    </row>
    <row r="949" spans="1:13">
      <c r="B949" s="929" t="s">
        <v>1828</v>
      </c>
      <c r="C949" s="949"/>
      <c r="D949" s="949"/>
      <c r="E949" s="930">
        <v>-545080.78</v>
      </c>
      <c r="F949" s="930">
        <v>0</v>
      </c>
      <c r="J949" s="946" t="str">
        <f t="shared" si="32"/>
        <v>428000</v>
      </c>
      <c r="K949" s="947" t="str">
        <f t="shared" si="33"/>
        <v>Elect 2013J Interest-Amort Issue Exp</v>
      </c>
      <c r="M949" s="929" t="s">
        <v>1828</v>
      </c>
    </row>
    <row r="950" spans="1:13">
      <c r="B950" s="929" t="s">
        <v>1829</v>
      </c>
      <c r="C950" s="949">
        <v>0</v>
      </c>
      <c r="D950" s="949">
        <v>68845.64</v>
      </c>
      <c r="E950" s="930">
        <v>15580.77</v>
      </c>
      <c r="F950" s="930">
        <v>0</v>
      </c>
      <c r="J950" s="946" t="str">
        <f t="shared" si="32"/>
        <v>428010</v>
      </c>
      <c r="K950" s="947" t="str">
        <f t="shared" si="33"/>
        <v>Elect 2013J Interest-Amort Discount</v>
      </c>
      <c r="M950" s="929" t="s">
        <v>1829</v>
      </c>
    </row>
    <row r="951" spans="1:13">
      <c r="B951" s="929" t="s">
        <v>1830</v>
      </c>
      <c r="C951" s="949">
        <v>0</v>
      </c>
      <c r="D951" s="949">
        <v>-495653.16</v>
      </c>
      <c r="E951" s="930">
        <v>-260003.41</v>
      </c>
      <c r="F951" s="930">
        <v>0</v>
      </c>
      <c r="J951" s="946" t="str">
        <f t="shared" si="32"/>
        <v>428020</v>
      </c>
      <c r="K951" s="947" t="str">
        <f t="shared" si="33"/>
        <v>Elect 2013J Interest-Amort Issue Loss</v>
      </c>
      <c r="M951" s="929" t="s">
        <v>1830</v>
      </c>
    </row>
    <row r="952" spans="1:13">
      <c r="B952" s="931" t="s">
        <v>1831</v>
      </c>
      <c r="C952" s="949"/>
      <c r="D952" s="949"/>
      <c r="E952" s="930"/>
      <c r="F952" s="930"/>
      <c r="G952" s="930">
        <v>398680.75</v>
      </c>
      <c r="H952" s="930">
        <v>577394.6</v>
      </c>
      <c r="I952" s="930">
        <v>636767.05000000005</v>
      </c>
      <c r="J952" s="946" t="str">
        <f t="shared" si="32"/>
        <v>428000</v>
      </c>
      <c r="K952" s="947" t="str">
        <f t="shared" si="33"/>
        <v>Elect Int 2001H-Amort Issue Exp</v>
      </c>
      <c r="M952" s="931" t="s">
        <v>1831</v>
      </c>
    </row>
    <row r="953" spans="1:13">
      <c r="B953" s="931" t="s">
        <v>1832</v>
      </c>
      <c r="C953" s="949"/>
      <c r="D953" s="949"/>
      <c r="E953" s="930"/>
      <c r="F953" s="930"/>
      <c r="G953" s="930">
        <v>-80552.25</v>
      </c>
      <c r="H953" s="930">
        <v>-127043.04</v>
      </c>
      <c r="I953" s="930">
        <v>-152003.01</v>
      </c>
      <c r="J953" s="946" t="str">
        <f t="shared" si="32"/>
        <v>428020</v>
      </c>
      <c r="K953" s="947" t="str">
        <f t="shared" si="33"/>
        <v>Elect Int 2001H-Amort Issue Loss</v>
      </c>
      <c r="M953" s="931" t="s">
        <v>1832</v>
      </c>
    </row>
    <row r="954" spans="1:13">
      <c r="B954" s="933"/>
      <c r="C954" s="952" t="s">
        <v>1108</v>
      </c>
      <c r="D954" s="952" t="s">
        <v>1108</v>
      </c>
      <c r="E954" s="935" t="s">
        <v>1108</v>
      </c>
      <c r="F954" s="935" t="s">
        <v>1108</v>
      </c>
      <c r="G954" s="935" t="s">
        <v>1108</v>
      </c>
      <c r="H954" s="935" t="s">
        <v>1108</v>
      </c>
      <c r="I954" s="935" t="s">
        <v>1108</v>
      </c>
      <c r="M954" s="934"/>
    </row>
    <row r="955" spans="1:13">
      <c r="B955" s="929" t="s">
        <v>1833</v>
      </c>
      <c r="C955" s="949">
        <f>SUM(C941:C953)</f>
        <v>1163298.5300000003</v>
      </c>
      <c r="D955" s="949">
        <f>SUM(D941:D953)</f>
        <v>939855.3</v>
      </c>
      <c r="E955" s="930">
        <v>1917018.83</v>
      </c>
      <c r="F955" s="930">
        <v>3059304.55</v>
      </c>
      <c r="G955" s="930">
        <v>931691.06</v>
      </c>
      <c r="H955" s="930">
        <v>450351.56</v>
      </c>
      <c r="I955" s="930">
        <v>484764.04</v>
      </c>
      <c r="M955" s="931" t="s">
        <v>1834</v>
      </c>
    </row>
    <row r="956" spans="1:13">
      <c r="B956" s="933"/>
      <c r="C956" s="952" t="s">
        <v>1108</v>
      </c>
      <c r="D956" s="952" t="s">
        <v>1108</v>
      </c>
      <c r="E956" s="935" t="s">
        <v>1108</v>
      </c>
      <c r="F956" s="935" t="s">
        <v>1108</v>
      </c>
      <c r="G956" s="935" t="s">
        <v>1108</v>
      </c>
      <c r="H956" s="935" t="s">
        <v>1108</v>
      </c>
      <c r="I956" s="935" t="s">
        <v>1108</v>
      </c>
      <c r="M956" s="934"/>
    </row>
    <row r="957" spans="1:13" s="3094" customFormat="1">
      <c r="A957" s="1"/>
      <c r="B957" s="929" t="s">
        <v>3817</v>
      </c>
      <c r="C957" s="949"/>
      <c r="D957" s="952"/>
      <c r="E957" s="935"/>
      <c r="F957" s="935"/>
      <c r="G957" s="935"/>
      <c r="H957" s="935"/>
      <c r="I957" s="935"/>
      <c r="M957" s="934"/>
    </row>
    <row r="958" spans="1:13" s="3094" customFormat="1">
      <c r="A958" s="1"/>
      <c r="B958" s="929" t="s">
        <v>3818</v>
      </c>
      <c r="C958" s="949">
        <v>-6804.25</v>
      </c>
      <c r="D958" s="949">
        <v>-39310.480000000003</v>
      </c>
      <c r="E958" s="949">
        <v>0</v>
      </c>
      <c r="F958" s="935"/>
      <c r="G958" s="935"/>
      <c r="H958" s="935"/>
      <c r="I958" s="935"/>
      <c r="J958" s="946" t="str">
        <f>RIGHT(IFERROR(LEFT(B958,FIND("-",B958)+6),""),6)</f>
        <v>426510</v>
      </c>
      <c r="K958" s="947" t="str">
        <f>IFERROR(RIGHT($B958,LEN($B958)-14),"")</f>
        <v>Elect Revenue-Debt Issuance Exp</v>
      </c>
      <c r="M958" s="934"/>
    </row>
    <row r="959" spans="1:13" s="3094" customFormat="1">
      <c r="A959" s="1"/>
      <c r="B959" s="929" t="s">
        <v>1824</v>
      </c>
      <c r="C959" s="1"/>
      <c r="D959" s="1"/>
      <c r="E959" s="949">
        <v>5006.8100000000004</v>
      </c>
      <c r="F959" s="935"/>
      <c r="G959" s="935"/>
      <c r="H959" s="935"/>
      <c r="I959" s="935"/>
      <c r="J959" s="946" t="str">
        <f>RIGHT(IFERROR(LEFT(B959,FIND("-",B959)+6),""),6)</f>
        <v>428000</v>
      </c>
      <c r="K959" s="947" t="str">
        <f>IFERROR(RIGHT($B959,LEN($B959)-14),"")</f>
        <v>Elect Revenue-Amort Issue Exp</v>
      </c>
      <c r="M959" s="934"/>
    </row>
    <row r="960" spans="1:13" s="3094" customFormat="1">
      <c r="A960" s="1"/>
      <c r="B960" s="929" t="s">
        <v>1828</v>
      </c>
      <c r="C960" s="949"/>
      <c r="D960" s="949"/>
      <c r="E960" s="949">
        <v>-545080.78</v>
      </c>
      <c r="F960" s="935"/>
      <c r="G960" s="935"/>
      <c r="H960" s="935"/>
      <c r="I960" s="935"/>
      <c r="J960" s="946" t="str">
        <f>RIGHT(IFERROR(LEFT(B960,FIND("-",B960)+6),""),6)</f>
        <v>428000</v>
      </c>
      <c r="K960" s="947" t="str">
        <f>IFERROR(RIGHT($B960,LEN($B960)-14),"")</f>
        <v>Elect 2013J Interest-Amort Issue Exp</v>
      </c>
      <c r="M960" s="934"/>
    </row>
    <row r="961" spans="1:13" s="3094" customFormat="1">
      <c r="A961" s="1"/>
      <c r="B961" s="929" t="s">
        <v>3819</v>
      </c>
      <c r="C961" s="949">
        <v>0</v>
      </c>
      <c r="D961" s="949">
        <v>-317401.52</v>
      </c>
      <c r="E961" s="949">
        <v>0</v>
      </c>
      <c r="F961" s="935"/>
      <c r="G961" s="935"/>
      <c r="H961" s="935"/>
      <c r="I961" s="935"/>
      <c r="J961" s="946" t="str">
        <f>RIGHT(IFERROR(LEFT(B961,FIND("-",B961)+6),""),6)</f>
        <v>428000</v>
      </c>
      <c r="K961" s="947" t="str">
        <f>IFERROR(RIGHT($B961,LEN($B961)-14),"")</f>
        <v>ES 2014K Interest-Amort Issue Exp</v>
      </c>
      <c r="M961" s="934"/>
    </row>
    <row r="962" spans="1:13" s="3094" customFormat="1">
      <c r="A962" s="1"/>
      <c r="B962" s="933"/>
      <c r="C962" s="952" t="s">
        <v>1108</v>
      </c>
      <c r="D962" s="952" t="s">
        <v>1108</v>
      </c>
      <c r="E962" s="952" t="s">
        <v>1108</v>
      </c>
      <c r="F962" s="935" t="s">
        <v>1108</v>
      </c>
      <c r="G962" s="935" t="s">
        <v>1108</v>
      </c>
      <c r="H962" s="935" t="s">
        <v>1108</v>
      </c>
      <c r="I962" s="935" t="s">
        <v>1108</v>
      </c>
      <c r="M962" s="934"/>
    </row>
    <row r="963" spans="1:13" s="3094" customFormat="1">
      <c r="A963" s="1"/>
      <c r="B963" s="929" t="s">
        <v>3820</v>
      </c>
      <c r="C963" s="949">
        <f>SUM(C958:C961)</f>
        <v>-6804.25</v>
      </c>
      <c r="D963" s="949">
        <f>SUM(D958:D961)</f>
        <v>-356712</v>
      </c>
      <c r="E963" s="949">
        <f>SUM(E958:E961)</f>
        <v>-540073.97</v>
      </c>
      <c r="F963" s="935"/>
      <c r="G963" s="935"/>
      <c r="H963" s="935"/>
      <c r="I963" s="935"/>
      <c r="M963" s="934"/>
    </row>
    <row r="964" spans="1:13">
      <c r="B964" s="933"/>
      <c r="C964" s="952" t="s">
        <v>1108</v>
      </c>
      <c r="D964" s="952" t="s">
        <v>1108</v>
      </c>
      <c r="E964" s="952" t="s">
        <v>1108</v>
      </c>
      <c r="F964" s="935" t="s">
        <v>1108</v>
      </c>
      <c r="G964" s="935" t="s">
        <v>1108</v>
      </c>
      <c r="H964" s="935" t="s">
        <v>1108</v>
      </c>
      <c r="I964" s="935" t="s">
        <v>1108</v>
      </c>
      <c r="M964" s="934"/>
    </row>
    <row r="965" spans="1:13">
      <c r="B965" s="929" t="s">
        <v>1835</v>
      </c>
      <c r="C965" s="949">
        <f>C920+C937+C955+C963</f>
        <v>-700494.81999999937</v>
      </c>
      <c r="D965" s="949">
        <f>D920+D937+D955+D963</f>
        <v>-1522265.9599999988</v>
      </c>
      <c r="E965" s="949">
        <v>-2903626.43</v>
      </c>
      <c r="F965" s="930">
        <v>-2459483.4900000002</v>
      </c>
      <c r="G965" s="930">
        <v>-4289300.59</v>
      </c>
      <c r="H965" s="930">
        <v>-5745101.21</v>
      </c>
      <c r="I965" s="930">
        <v>-5190017.62</v>
      </c>
      <c r="M965" s="931" t="s">
        <v>1835</v>
      </c>
    </row>
    <row r="966" spans="1:13">
      <c r="B966" s="933"/>
      <c r="C966" s="952" t="s">
        <v>1108</v>
      </c>
      <c r="D966" s="952" t="s">
        <v>1108</v>
      </c>
      <c r="E966" s="935" t="s">
        <v>1108</v>
      </c>
      <c r="F966" s="935" t="s">
        <v>1108</v>
      </c>
      <c r="G966" s="935" t="s">
        <v>1108</v>
      </c>
      <c r="H966" s="935" t="s">
        <v>1108</v>
      </c>
      <c r="I966" s="935" t="s">
        <v>1108</v>
      </c>
      <c r="M966" s="934"/>
    </row>
    <row r="967" spans="1:13">
      <c r="B967" s="933"/>
      <c r="C967" s="949"/>
      <c r="D967" s="949"/>
      <c r="E967" s="930"/>
      <c r="F967" s="930"/>
      <c r="G967" s="930"/>
      <c r="H967" s="930"/>
      <c r="I967" s="930"/>
      <c r="M967" s="934"/>
    </row>
    <row r="968" spans="1:13">
      <c r="B968" s="929" t="s">
        <v>1836</v>
      </c>
      <c r="C968" s="949"/>
      <c r="D968" s="949"/>
      <c r="E968" s="930"/>
      <c r="F968" s="930"/>
      <c r="G968" s="930"/>
      <c r="H968" s="930"/>
      <c r="I968" s="930"/>
      <c r="M968" s="931" t="s">
        <v>1836</v>
      </c>
    </row>
    <row r="969" spans="1:13">
      <c r="B969" s="929" t="s">
        <v>1837</v>
      </c>
      <c r="C969" s="949">
        <v>12810681.92</v>
      </c>
      <c r="D969" s="949">
        <v>22370657.059999999</v>
      </c>
      <c r="E969" s="930">
        <v>11692281.630000001</v>
      </c>
      <c r="F969" s="930">
        <v>3747043.78</v>
      </c>
      <c r="G969" s="930">
        <v>8533088.5</v>
      </c>
      <c r="H969" s="930">
        <v>8706589.5099999998</v>
      </c>
      <c r="I969" s="930">
        <v>984900.07</v>
      </c>
      <c r="J969" s="946" t="str">
        <f>RIGHT(IFERROR(LEFT(B969,FIND("-",B969)+6),""),6)</f>
        <v>460000</v>
      </c>
      <c r="K969" s="947" t="str">
        <f>IFERROR(RIGHT($B969,LEN($B969)-14),"")</f>
        <v>Elect Revenue-Contr In Aid Of Const</v>
      </c>
      <c r="M969" s="931" t="s">
        <v>1837</v>
      </c>
    </row>
    <row r="970" spans="1:13" s="3094" customFormat="1">
      <c r="A970" s="1"/>
      <c r="B970" s="929" t="s">
        <v>3821</v>
      </c>
      <c r="C970" s="949">
        <v>98870</v>
      </c>
      <c r="D970" s="949">
        <v>0</v>
      </c>
      <c r="E970" s="930"/>
      <c r="F970" s="930"/>
      <c r="G970" s="930"/>
      <c r="H970" s="930"/>
      <c r="I970" s="930"/>
      <c r="J970" s="946" t="str">
        <f>RIGHT(IFERROR(LEFT(B970,FIND("-",B970)+6),""),6)</f>
        <v>460010</v>
      </c>
      <c r="K970" s="947" t="str">
        <f>IFERROR(RIGHT($B970,LEN($B970)-14),"")</f>
        <v>Elect Revenue-Simple Contr In Aid of Constr</v>
      </c>
      <c r="M970" s="931"/>
    </row>
    <row r="971" spans="1:13">
      <c r="B971" s="929" t="s">
        <v>1838</v>
      </c>
      <c r="C971" s="949">
        <v>312750</v>
      </c>
      <c r="D971" s="949">
        <v>396000</v>
      </c>
      <c r="E971" s="930">
        <v>273974</v>
      </c>
      <c r="F971" s="930">
        <v>100380</v>
      </c>
      <c r="G971" s="930">
        <v>127152</v>
      </c>
      <c r="H971" s="930">
        <v>164987</v>
      </c>
      <c r="I971" s="930">
        <v>8676</v>
      </c>
      <c r="J971" s="946" t="str">
        <f>RIGHT(IFERROR(LEFT(B971,FIND("-",B971)+6),""),6)</f>
        <v>460801</v>
      </c>
      <c r="K971" s="947" t="str">
        <f>IFERROR(RIGHT($B971,LEN($B971)-14),"")</f>
        <v>Elect Revenue-Wfon-Contrib In Aid of Const</v>
      </c>
      <c r="M971" s="931" t="s">
        <v>1838</v>
      </c>
    </row>
    <row r="972" spans="1:13">
      <c r="B972" s="933"/>
      <c r="C972" s="952" t="s">
        <v>1108</v>
      </c>
      <c r="D972" s="952" t="s">
        <v>1108</v>
      </c>
      <c r="E972" s="935" t="s">
        <v>1108</v>
      </c>
      <c r="F972" s="935" t="s">
        <v>1108</v>
      </c>
      <c r="G972" s="935" t="s">
        <v>1108</v>
      </c>
      <c r="H972" s="935" t="s">
        <v>1108</v>
      </c>
      <c r="I972" s="935" t="s">
        <v>1108</v>
      </c>
      <c r="M972" s="934"/>
    </row>
    <row r="973" spans="1:13">
      <c r="B973" s="929" t="s">
        <v>1839</v>
      </c>
      <c r="C973" s="949">
        <f>SUM(C969:C971)</f>
        <v>13222301.92</v>
      </c>
      <c r="D973" s="949">
        <f>SUM(D969:D971)</f>
        <v>22766657.059999999</v>
      </c>
      <c r="E973" s="930">
        <v>11966255.630000001</v>
      </c>
      <c r="F973" s="930">
        <v>3847423.78</v>
      </c>
      <c r="G973" s="930">
        <v>8660240.5</v>
      </c>
      <c r="H973" s="930">
        <v>8871576.5099999998</v>
      </c>
      <c r="I973" s="930">
        <v>993576.07</v>
      </c>
      <c r="M973" s="931" t="s">
        <v>1839</v>
      </c>
    </row>
    <row r="974" spans="1:13">
      <c r="B974" s="933"/>
      <c r="C974" s="952" t="s">
        <v>1108</v>
      </c>
      <c r="D974" s="952" t="s">
        <v>1108</v>
      </c>
      <c r="E974" s="935" t="s">
        <v>1108</v>
      </c>
      <c r="F974" s="935" t="s">
        <v>1108</v>
      </c>
      <c r="G974" s="935" t="s">
        <v>1108</v>
      </c>
      <c r="H974" s="935" t="s">
        <v>1108</v>
      </c>
      <c r="I974" s="935" t="s">
        <v>1108</v>
      </c>
      <c r="M974" s="934"/>
    </row>
    <row r="975" spans="1:13">
      <c r="B975" s="933"/>
      <c r="C975" s="952" t="s">
        <v>1108</v>
      </c>
      <c r="D975" s="952" t="s">
        <v>1108</v>
      </c>
      <c r="E975" s="935" t="s">
        <v>1108</v>
      </c>
      <c r="F975" s="935" t="s">
        <v>1108</v>
      </c>
      <c r="G975" s="935" t="s">
        <v>1108</v>
      </c>
      <c r="H975" s="935" t="s">
        <v>1108</v>
      </c>
      <c r="I975" s="935" t="s">
        <v>1108</v>
      </c>
      <c r="M975" s="934"/>
    </row>
    <row r="976" spans="1:13">
      <c r="B976" s="929" t="s">
        <v>1840</v>
      </c>
      <c r="C976" s="949">
        <f>C973+C965+C881</f>
        <v>51292427.929999955</v>
      </c>
      <c r="D976" s="949">
        <f>D973+D965+D881</f>
        <v>26357920.589999951</v>
      </c>
      <c r="E976" s="930">
        <v>42684441.200000003</v>
      </c>
      <c r="F976" s="930">
        <v>32931427.550000001</v>
      </c>
      <c r="G976" s="930">
        <v>33330233.949999999</v>
      </c>
      <c r="H976" s="930">
        <v>1403292.6899999899</v>
      </c>
      <c r="I976" s="930">
        <v>13583535.77</v>
      </c>
      <c r="M976" s="931" t="s">
        <v>1841</v>
      </c>
    </row>
    <row r="977" spans="2:13">
      <c r="B977" s="933"/>
      <c r="C977" s="952" t="s">
        <v>1108</v>
      </c>
      <c r="D977" s="952" t="s">
        <v>1108</v>
      </c>
      <c r="E977" s="935" t="s">
        <v>1108</v>
      </c>
      <c r="F977" s="935" t="s">
        <v>1108</v>
      </c>
      <c r="G977" s="935" t="s">
        <v>1108</v>
      </c>
      <c r="H977" s="935" t="s">
        <v>1108</v>
      </c>
      <c r="I977" s="936" t="s">
        <v>1108</v>
      </c>
      <c r="M977" s="934"/>
    </row>
    <row r="978" spans="2:13">
      <c r="B978" s="929" t="s">
        <v>1579</v>
      </c>
      <c r="C978" s="949"/>
      <c r="D978" s="949"/>
      <c r="E978" s="930"/>
      <c r="F978" s="930"/>
      <c r="G978" s="930"/>
      <c r="H978" s="930"/>
      <c r="I978" s="932"/>
      <c r="M978" s="931" t="s">
        <v>1580</v>
      </c>
    </row>
    <row r="979" spans="2:13">
      <c r="B979" s="933"/>
      <c r="C979" s="949"/>
      <c r="D979" s="949"/>
      <c r="E979" s="930"/>
      <c r="F979" s="930"/>
      <c r="G979" s="930"/>
      <c r="H979" s="930"/>
      <c r="I979" s="932"/>
      <c r="M979" s="934"/>
    </row>
    <row r="980" spans="2:13">
      <c r="B980" s="929"/>
      <c r="C980" s="949"/>
      <c r="D980" s="949"/>
      <c r="E980" s="930"/>
      <c r="F980" s="930"/>
      <c r="G980" s="930"/>
      <c r="H980" s="930"/>
      <c r="I980" s="932"/>
      <c r="M980" s="931"/>
    </row>
    <row r="981" spans="2:13">
      <c r="B981" s="929"/>
      <c r="C981" s="949"/>
      <c r="D981" s="949"/>
      <c r="E981" s="930"/>
      <c r="F981" s="930"/>
      <c r="G981" s="930"/>
      <c r="H981" s="930"/>
      <c r="I981" s="932"/>
      <c r="M981" s="931"/>
    </row>
    <row r="982" spans="2:13">
      <c r="B982" s="929"/>
      <c r="C982" s="949"/>
      <c r="D982" s="949"/>
      <c r="E982" s="930"/>
      <c r="F982" s="930"/>
      <c r="G982" s="930"/>
      <c r="H982" s="930"/>
      <c r="I982" s="932"/>
      <c r="M982" s="931"/>
    </row>
    <row r="983" spans="2:13">
      <c r="B983" s="929"/>
      <c r="C983" s="949"/>
      <c r="D983" s="949"/>
      <c r="E983" s="930"/>
      <c r="F983" s="930"/>
      <c r="G983" s="930"/>
      <c r="H983" s="930"/>
      <c r="I983" s="932"/>
      <c r="M983" s="931"/>
    </row>
    <row r="984" spans="2:13">
      <c r="B984" s="929"/>
      <c r="C984" s="949"/>
      <c r="D984" s="949"/>
      <c r="E984" s="930"/>
      <c r="F984" s="930"/>
      <c r="G984" s="930"/>
      <c r="H984" s="930"/>
      <c r="I984" s="932"/>
      <c r="M984" s="931"/>
    </row>
    <row r="985" spans="2:13">
      <c r="B985" s="929"/>
      <c r="C985" s="949"/>
      <c r="D985" s="949"/>
      <c r="E985" s="930"/>
      <c r="F985" s="930"/>
      <c r="G985" s="930"/>
      <c r="H985" s="930"/>
      <c r="I985" s="932"/>
      <c r="M985" s="931"/>
    </row>
    <row r="986" spans="2:13">
      <c r="B986" s="929"/>
      <c r="C986" s="949"/>
      <c r="D986" s="949"/>
      <c r="E986" s="930"/>
      <c r="F986" s="930"/>
      <c r="G986" s="930"/>
      <c r="H986" s="930"/>
      <c r="I986" s="932"/>
      <c r="M986" s="931"/>
    </row>
    <row r="987" spans="2:13">
      <c r="B987" s="929"/>
      <c r="C987" s="949"/>
      <c r="D987" s="949"/>
      <c r="E987" s="930"/>
      <c r="F987" s="930"/>
      <c r="G987" s="930"/>
      <c r="H987" s="930"/>
      <c r="I987" s="932"/>
      <c r="M987" s="931"/>
    </row>
    <row r="988" spans="2:13">
      <c r="B988" s="929"/>
      <c r="C988" s="949"/>
      <c r="D988" s="949"/>
      <c r="E988" s="930"/>
      <c r="F988" s="930"/>
      <c r="G988" s="930"/>
      <c r="H988" s="930"/>
      <c r="I988" s="932"/>
      <c r="M988" s="931"/>
    </row>
    <row r="989" spans="2:13">
      <c r="B989" s="929"/>
      <c r="C989" s="949"/>
      <c r="D989" s="949"/>
      <c r="E989" s="930"/>
      <c r="F989" s="930"/>
      <c r="G989" s="930"/>
      <c r="H989" s="930"/>
      <c r="I989" s="932"/>
      <c r="M989" s="931"/>
    </row>
    <row r="990" spans="2:13">
      <c r="B990" s="929"/>
      <c r="C990" s="949"/>
      <c r="D990" s="949"/>
      <c r="E990" s="930"/>
      <c r="F990" s="930"/>
      <c r="G990" s="930"/>
      <c r="H990" s="930"/>
      <c r="I990" s="932"/>
      <c r="M990" s="931"/>
    </row>
    <row r="991" spans="2:13">
      <c r="B991" s="929"/>
      <c r="C991" s="949"/>
      <c r="D991" s="949"/>
      <c r="E991" s="930"/>
      <c r="F991" s="930"/>
      <c r="G991" s="930"/>
      <c r="H991" s="930"/>
      <c r="I991" s="932"/>
      <c r="M991" s="931"/>
    </row>
    <row r="992" spans="2:13">
      <c r="B992" s="929"/>
      <c r="C992" s="949"/>
      <c r="D992" s="949"/>
      <c r="E992" s="930"/>
      <c r="F992" s="930"/>
      <c r="G992" s="930"/>
      <c r="H992" s="930"/>
      <c r="I992" s="932"/>
      <c r="M992" s="931"/>
    </row>
    <row r="993" spans="2:13">
      <c r="B993" s="929"/>
      <c r="C993" s="949"/>
      <c r="D993" s="949"/>
      <c r="E993" s="930"/>
      <c r="F993" s="930"/>
      <c r="G993" s="930"/>
      <c r="H993" s="930"/>
      <c r="I993" s="932"/>
      <c r="M993" s="931"/>
    </row>
    <row r="994" spans="2:13">
      <c r="B994" s="929"/>
      <c r="C994" s="949"/>
      <c r="D994" s="949"/>
      <c r="E994" s="930"/>
      <c r="F994" s="930"/>
      <c r="G994" s="930"/>
      <c r="H994" s="930"/>
      <c r="I994" s="932"/>
      <c r="M994" s="931"/>
    </row>
    <row r="995" spans="2:13">
      <c r="B995" s="929"/>
      <c r="C995" s="949"/>
      <c r="D995" s="949"/>
      <c r="E995" s="930"/>
      <c r="F995" s="930"/>
      <c r="G995" s="930"/>
      <c r="H995" s="930"/>
      <c r="I995" s="932"/>
      <c r="M995" s="931"/>
    </row>
    <row r="996" spans="2:13">
      <c r="B996" s="929"/>
      <c r="C996" s="949"/>
      <c r="D996" s="949"/>
      <c r="E996" s="930"/>
      <c r="F996" s="930"/>
      <c r="G996" s="930"/>
      <c r="H996" s="930"/>
      <c r="I996" s="932"/>
      <c r="M996" s="931"/>
    </row>
    <row r="997" spans="2:13">
      <c r="B997" s="929"/>
      <c r="C997" s="949"/>
      <c r="D997" s="949"/>
      <c r="E997" s="930"/>
      <c r="F997" s="930"/>
      <c r="G997" s="930"/>
      <c r="H997" s="930"/>
      <c r="I997" s="932"/>
      <c r="M997" s="931"/>
    </row>
    <row r="998" spans="2:13">
      <c r="M998" s="931"/>
    </row>
    <row r="999" spans="2:13">
      <c r="M999" s="931"/>
    </row>
    <row r="1000" spans="2:13">
      <c r="M1000" s="931"/>
    </row>
    <row r="1001" spans="2:13">
      <c r="M1001" s="931"/>
    </row>
    <row r="1002" spans="2:13">
      <c r="M1002" s="931"/>
    </row>
    <row r="1003" spans="2:13">
      <c r="M1003" s="931"/>
    </row>
    <row r="1004" spans="2:13">
      <c r="M1004" s="931"/>
    </row>
    <row r="1005" spans="2:13">
      <c r="M1005" s="931"/>
    </row>
    <row r="1006" spans="2:13">
      <c r="M1006" s="931"/>
    </row>
    <row r="1007" spans="2:13">
      <c r="M1007" s="931"/>
    </row>
    <row r="1008" spans="2:13">
      <c r="M1008" s="931"/>
    </row>
    <row r="1009" spans="13:13">
      <c r="M1009" s="934"/>
    </row>
    <row r="1010" spans="13:13">
      <c r="M1010" s="931"/>
    </row>
    <row r="1011" spans="13:13">
      <c r="M1011" s="934"/>
    </row>
    <row r="1012" spans="13:13">
      <c r="M1012" s="934"/>
    </row>
    <row r="1013" spans="13:13">
      <c r="M1013" s="931"/>
    </row>
    <row r="1014" spans="13:13">
      <c r="M1014" s="934"/>
    </row>
    <row r="1015" spans="13:13">
      <c r="M1015" s="934"/>
    </row>
    <row r="1016" spans="13:13">
      <c r="M1016" s="934"/>
    </row>
    <row r="1017" spans="13:13">
      <c r="M1017" s="934"/>
    </row>
    <row r="1018" spans="13:13">
      <c r="M1018" s="931"/>
    </row>
    <row r="1019" spans="13:13">
      <c r="M1019" s="934"/>
    </row>
    <row r="1020" spans="13:13">
      <c r="M1020" s="931"/>
    </row>
    <row r="1021" spans="13:13">
      <c r="M1021" s="934"/>
    </row>
    <row r="1022" spans="13:13">
      <c r="M1022" s="931"/>
    </row>
    <row r="1023" spans="13:13">
      <c r="M1023" s="931"/>
    </row>
    <row r="1024" spans="13:13">
      <c r="M1024" s="934"/>
    </row>
    <row r="1025" spans="13:13">
      <c r="M1025" s="931"/>
    </row>
    <row r="1026" spans="13:13">
      <c r="M1026" s="934"/>
    </row>
    <row r="1027" spans="13:13">
      <c r="M1027" s="934"/>
    </row>
    <row r="1028" spans="13:13">
      <c r="M1028" s="931"/>
    </row>
    <row r="1029" spans="13:13">
      <c r="M1029" s="931"/>
    </row>
    <row r="1030" spans="13:13">
      <c r="M1030" s="931"/>
    </row>
    <row r="1031" spans="13:13">
      <c r="M1031" s="931"/>
    </row>
    <row r="1032" spans="13:13">
      <c r="M1032" s="931"/>
    </row>
    <row r="1033" spans="13:13">
      <c r="M1033" s="934"/>
    </row>
    <row r="1034" spans="13:13">
      <c r="M1034" s="931"/>
    </row>
    <row r="1035" spans="13:13">
      <c r="M1035" s="934"/>
    </row>
    <row r="1036" spans="13:13">
      <c r="M1036" s="934"/>
    </row>
    <row r="1037" spans="13:13">
      <c r="M1037" s="931"/>
    </row>
    <row r="1038" spans="13:13">
      <c r="M1038" s="931"/>
    </row>
    <row r="1039" spans="13:13">
      <c r="M1039" s="931"/>
    </row>
    <row r="1040" spans="13:13">
      <c r="M1040" s="934"/>
    </row>
    <row r="1041" spans="13:13">
      <c r="M1041" s="931"/>
    </row>
    <row r="1042" spans="13:13">
      <c r="M1042" s="934"/>
    </row>
    <row r="1043" spans="13:13">
      <c r="M1043" s="934"/>
    </row>
    <row r="1044" spans="13:13">
      <c r="M1044" s="931"/>
    </row>
    <row r="1045" spans="13:13">
      <c r="M1045" s="931"/>
    </row>
    <row r="1046" spans="13:13">
      <c r="M1046" s="931"/>
    </row>
    <row r="1047" spans="13:13">
      <c r="M1047" s="931"/>
    </row>
    <row r="1048" spans="13:13">
      <c r="M1048" s="931"/>
    </row>
    <row r="1049" spans="13:13">
      <c r="M1049" s="934"/>
    </row>
    <row r="1050" spans="13:13">
      <c r="M1050" s="931"/>
    </row>
    <row r="1051" spans="13:13">
      <c r="M1051" s="934"/>
    </row>
    <row r="1052" spans="13:13">
      <c r="M1052" s="931"/>
    </row>
    <row r="1053" spans="13:13">
      <c r="M1053" s="931"/>
    </row>
    <row r="1054" spans="13:13">
      <c r="M1054" s="931"/>
    </row>
  </sheetData>
  <autoFilter ref="B618:K618"/>
  <sortState ref="B924:K930">
    <sortCondition ref="B924:B930"/>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M168"/>
  <sheetViews>
    <sheetView view="pageBreakPreview" zoomScale="80" zoomScaleNormal="80" zoomScaleSheetLayoutView="80" workbookViewId="0">
      <pane xSplit="4" ySplit="1" topLeftCell="L104" activePane="bottomRight" state="frozen"/>
      <selection pane="topRight" activeCell="E1" sqref="E1"/>
      <selection pane="bottomLeft" activeCell="A2" sqref="A2"/>
      <selection pane="bottomRight" activeCell="B159" sqref="B159"/>
    </sheetView>
  </sheetViews>
  <sheetFormatPr defaultColWidth="10" defaultRowHeight="28.5" customHeight="1" outlineLevelCol="1"/>
  <cols>
    <col min="1" max="1" width="7.75" style="3435" customWidth="1" outlineLevel="1"/>
    <col min="2" max="2" width="7.25" style="3435" customWidth="1" outlineLevel="1"/>
    <col min="3" max="3" width="3.875" style="3435" customWidth="1" outlineLevel="1"/>
    <col min="4" max="4" width="11.375" style="3436" customWidth="1"/>
    <col min="5" max="6" width="6.125" style="3436" customWidth="1"/>
    <col min="7" max="7" width="8.875" style="3437" customWidth="1" outlineLevel="1"/>
    <col min="8" max="8" width="8.125" style="3438" customWidth="1" outlineLevel="1"/>
    <col min="9" max="9" width="7.75" style="3438" customWidth="1" outlineLevel="1"/>
    <col min="10" max="10" width="11.375" style="3438" customWidth="1" outlineLevel="1"/>
    <col min="11" max="11" width="20.625" style="3438" customWidth="1" outlineLevel="1"/>
    <col min="12" max="12" width="7.25" style="3438" customWidth="1" outlineLevel="1"/>
    <col min="13" max="13" width="30.625" style="3439" customWidth="1"/>
    <col min="14" max="14" width="30.625" style="3439" hidden="1" customWidth="1" outlineLevel="1"/>
    <col min="15" max="15" width="9.25" style="3440" hidden="1" customWidth="1" outlineLevel="1"/>
    <col min="16" max="16" width="9.25" style="3394" hidden="1" customWidth="1" outlineLevel="1"/>
    <col min="17" max="17" width="9.25" style="3440" hidden="1" customWidth="1" outlineLevel="1"/>
    <col min="18" max="18" width="15.25" style="3394" hidden="1" customWidth="1" outlineLevel="1"/>
    <col min="19" max="19" width="8.625" style="3441" hidden="1" customWidth="1" outlineLevel="1"/>
    <col min="20" max="20" width="7.25" style="3441" hidden="1" customWidth="1" outlineLevel="1"/>
    <col min="21" max="21" width="8.75" style="3442" customWidth="1" collapsed="1"/>
    <col min="22" max="22" width="8.75" style="3443" customWidth="1"/>
    <col min="23" max="24" width="9.625" style="3444" customWidth="1"/>
    <col min="25" max="25" width="9.625" style="3448" customWidth="1"/>
    <col min="26" max="26" width="9.625" style="3449" customWidth="1"/>
    <col min="27" max="27" width="9.625" style="3448" customWidth="1"/>
    <col min="28" max="33" width="9.625" style="3448" customWidth="1" outlineLevel="1"/>
    <col min="34" max="34" width="9.625" style="3448" customWidth="1"/>
    <col min="35" max="35" width="9.625" style="3448" customWidth="1" outlineLevel="1"/>
    <col min="36" max="36" width="9.625" style="3450" customWidth="1" outlineLevel="1"/>
    <col min="37" max="38" width="9.625" style="3451" customWidth="1" outlineLevel="1"/>
    <col min="39" max="39" width="49.625" style="3451" customWidth="1"/>
    <col min="40" max="40" width="6.5" style="3394" customWidth="1"/>
    <col min="41" max="16384" width="10" style="3394"/>
  </cols>
  <sheetData>
    <row r="1" spans="1:39" s="3377" customFormat="1" ht="35.25" customHeight="1">
      <c r="A1" s="3369" t="s">
        <v>882</v>
      </c>
      <c r="B1" s="3369" t="s">
        <v>3190</v>
      </c>
      <c r="C1" s="3369" t="s">
        <v>3087</v>
      </c>
      <c r="D1" s="3370" t="s">
        <v>3191</v>
      </c>
      <c r="E1" s="3370" t="s">
        <v>3192</v>
      </c>
      <c r="F1" s="3370" t="s">
        <v>3193</v>
      </c>
      <c r="G1" s="3371" t="s">
        <v>3194</v>
      </c>
      <c r="H1" s="3372" t="s">
        <v>3195</v>
      </c>
      <c r="I1" s="3372" t="s">
        <v>3196</v>
      </c>
      <c r="J1" s="3372" t="s">
        <v>3541</v>
      </c>
      <c r="K1" s="3372" t="s">
        <v>3542</v>
      </c>
      <c r="L1" s="3372" t="s">
        <v>3197</v>
      </c>
      <c r="M1" s="3372" t="s">
        <v>3198</v>
      </c>
      <c r="N1" s="3372" t="s">
        <v>399</v>
      </c>
      <c r="O1" s="3372" t="s">
        <v>3199</v>
      </c>
      <c r="P1" s="3372" t="s">
        <v>3200</v>
      </c>
      <c r="Q1" s="3372" t="s">
        <v>2670</v>
      </c>
      <c r="R1" s="3372" t="s">
        <v>3201</v>
      </c>
      <c r="S1" s="3373" t="s">
        <v>3204</v>
      </c>
      <c r="T1" s="3373" t="s">
        <v>3205</v>
      </c>
      <c r="U1" s="3369" t="s">
        <v>3202</v>
      </c>
      <c r="V1" s="3374" t="s">
        <v>3203</v>
      </c>
      <c r="W1" s="3369" t="s">
        <v>3208</v>
      </c>
      <c r="X1" s="3369" t="s">
        <v>3209</v>
      </c>
      <c r="Y1" s="3369" t="s">
        <v>3210</v>
      </c>
      <c r="Z1" s="3369" t="s">
        <v>3211</v>
      </c>
      <c r="AA1" s="3369" t="s">
        <v>3212</v>
      </c>
      <c r="AB1" s="3369" t="s">
        <v>3213</v>
      </c>
      <c r="AC1" s="3369" t="s">
        <v>3214</v>
      </c>
      <c r="AD1" s="3369" t="s">
        <v>3215</v>
      </c>
      <c r="AE1" s="3369" t="s">
        <v>3216</v>
      </c>
      <c r="AF1" s="3369" t="s">
        <v>3218</v>
      </c>
      <c r="AG1" s="3369" t="s">
        <v>3219</v>
      </c>
      <c r="AH1" s="3369" t="s">
        <v>3217</v>
      </c>
      <c r="AI1" s="3375" t="s">
        <v>3220</v>
      </c>
      <c r="AJ1" s="3375" t="s">
        <v>3544</v>
      </c>
      <c r="AK1" s="3375" t="s">
        <v>3545</v>
      </c>
      <c r="AL1" s="3367" t="s">
        <v>602</v>
      </c>
      <c r="AM1" s="3376" t="s">
        <v>862</v>
      </c>
    </row>
    <row r="2" spans="1:39" ht="28.5" customHeight="1">
      <c r="A2" s="3378">
        <v>2011</v>
      </c>
      <c r="B2" s="3378" t="s">
        <v>185</v>
      </c>
      <c r="C2" s="3378">
        <v>1</v>
      </c>
      <c r="D2" s="3379" t="str">
        <f t="shared" ref="D2:D65" si="0">CONCATENATE(B2,"-",C2,"-",A2)</f>
        <v>CS-1-2011</v>
      </c>
      <c r="E2" s="3380"/>
      <c r="F2" s="3380"/>
      <c r="G2" s="3381">
        <v>40638</v>
      </c>
      <c r="H2" s="3382">
        <v>100</v>
      </c>
      <c r="I2" s="3382"/>
      <c r="J2" s="3382" t="s">
        <v>3543</v>
      </c>
      <c r="K2" s="3382" t="s">
        <v>601</v>
      </c>
      <c r="L2" s="3382">
        <v>50</v>
      </c>
      <c r="M2" s="3383" t="s">
        <v>1847</v>
      </c>
      <c r="N2" s="3384" t="s">
        <v>3221</v>
      </c>
      <c r="O2" s="3385" t="s">
        <v>3222</v>
      </c>
      <c r="P2" s="3382" t="s">
        <v>3223</v>
      </c>
      <c r="Q2" s="3386">
        <v>101874</v>
      </c>
      <c r="R2" s="3382" t="s">
        <v>3224</v>
      </c>
      <c r="S2" s="3387">
        <v>42005</v>
      </c>
      <c r="T2" s="3387">
        <v>43465</v>
      </c>
      <c r="U2" s="3388" t="s">
        <v>3225</v>
      </c>
      <c r="V2" s="3389">
        <v>7</v>
      </c>
      <c r="W2" s="3390">
        <f>1850000-1850000</f>
        <v>0</v>
      </c>
      <c r="X2" s="3390"/>
      <c r="Y2" s="3390">
        <v>925000</v>
      </c>
      <c r="Z2" s="3390"/>
      <c r="AA2" s="3390"/>
      <c r="AB2" s="3390"/>
      <c r="AC2" s="3390"/>
      <c r="AD2" s="3390"/>
      <c r="AE2" s="3390"/>
      <c r="AF2" s="3390"/>
      <c r="AG2" s="3390"/>
      <c r="AH2" s="3391">
        <f t="shared" ref="AH2:AH28" si="1">SUM(W2:AG2)</f>
        <v>925000</v>
      </c>
      <c r="AI2" s="3390"/>
      <c r="AJ2" s="3390"/>
      <c r="AK2" s="3390"/>
      <c r="AL2" s="3392">
        <f t="shared" ref="AL2:AL28" si="2">SUM(AH2:AK2)</f>
        <v>925000</v>
      </c>
      <c r="AM2" s="3393" t="s">
        <v>3228</v>
      </c>
    </row>
    <row r="3" spans="1:39" ht="28.5" customHeight="1">
      <c r="A3" s="3378">
        <v>2011</v>
      </c>
      <c r="B3" s="3378" t="s">
        <v>185</v>
      </c>
      <c r="C3" s="3378">
        <v>3</v>
      </c>
      <c r="D3" s="3379" t="str">
        <f t="shared" si="0"/>
        <v>CS-3-2011</v>
      </c>
      <c r="E3" s="3380"/>
      <c r="F3" s="3380" t="s">
        <v>402</v>
      </c>
      <c r="G3" s="3381">
        <v>40638</v>
      </c>
      <c r="H3" s="3382">
        <v>100</v>
      </c>
      <c r="I3" s="3382"/>
      <c r="J3" s="3382" t="s">
        <v>3543</v>
      </c>
      <c r="K3" s="3382" t="s">
        <v>600</v>
      </c>
      <c r="L3" s="3382">
        <v>50</v>
      </c>
      <c r="M3" s="3383" t="s">
        <v>1848</v>
      </c>
      <c r="N3" s="3384" t="s">
        <v>3229</v>
      </c>
      <c r="O3" s="3385" t="s">
        <v>3230</v>
      </c>
      <c r="P3" s="3382" t="s">
        <v>3231</v>
      </c>
      <c r="Q3" s="3386">
        <v>102056</v>
      </c>
      <c r="R3" s="3382" t="s">
        <v>3232</v>
      </c>
      <c r="S3" s="3387">
        <v>39814</v>
      </c>
      <c r="T3" s="3387">
        <v>43070</v>
      </c>
      <c r="U3" s="3388" t="s">
        <v>3233</v>
      </c>
      <c r="V3" s="3389">
        <v>6</v>
      </c>
      <c r="W3" s="3390">
        <f>1000000+50000+10000-750000</f>
        <v>310000</v>
      </c>
      <c r="X3" s="3390">
        <f>50000+4008000</f>
        <v>4058000</v>
      </c>
      <c r="Y3" s="3390"/>
      <c r="Z3" s="3390"/>
      <c r="AA3" s="3390"/>
      <c r="AB3" s="3390"/>
      <c r="AC3" s="3390"/>
      <c r="AD3" s="3390"/>
      <c r="AE3" s="3390"/>
      <c r="AF3" s="3390"/>
      <c r="AG3" s="3390"/>
      <c r="AH3" s="3391">
        <f t="shared" si="1"/>
        <v>4368000</v>
      </c>
      <c r="AI3" s="3390"/>
      <c r="AJ3" s="3390"/>
      <c r="AK3" s="3390"/>
      <c r="AL3" s="3392">
        <f t="shared" si="2"/>
        <v>4368000</v>
      </c>
      <c r="AM3" s="3395" t="s">
        <v>3228</v>
      </c>
    </row>
    <row r="4" spans="1:39" ht="28.5" customHeight="1">
      <c r="A4" s="3378">
        <v>2011</v>
      </c>
      <c r="B4" s="3378" t="s">
        <v>185</v>
      </c>
      <c r="C4" s="3378">
        <v>4</v>
      </c>
      <c r="D4" s="3379" t="str">
        <f t="shared" si="0"/>
        <v>CS-4-2011</v>
      </c>
      <c r="E4" s="3380"/>
      <c r="F4" s="3380" t="s">
        <v>402</v>
      </c>
      <c r="G4" s="3381">
        <v>40638</v>
      </c>
      <c r="H4" s="3382">
        <v>100</v>
      </c>
      <c r="I4" s="3382"/>
      <c r="J4" s="3382" t="s">
        <v>3543</v>
      </c>
      <c r="K4" s="3382" t="s">
        <v>601</v>
      </c>
      <c r="L4" s="3382">
        <v>50</v>
      </c>
      <c r="M4" s="3383" t="s">
        <v>1849</v>
      </c>
      <c r="N4" s="3384" t="s">
        <v>3236</v>
      </c>
      <c r="O4" s="3385" t="s">
        <v>3222</v>
      </c>
      <c r="P4" s="3382" t="s">
        <v>3223</v>
      </c>
      <c r="Q4" s="3386">
        <v>101992</v>
      </c>
      <c r="R4" s="3382" t="s">
        <v>3237</v>
      </c>
      <c r="S4" s="3387">
        <v>40575</v>
      </c>
      <c r="T4" s="3387">
        <v>45657</v>
      </c>
      <c r="U4" s="3388" t="s">
        <v>3225</v>
      </c>
      <c r="V4" s="3389">
        <v>7</v>
      </c>
      <c r="W4" s="3390">
        <f>2972050-1822000-1150050</f>
        <v>0</v>
      </c>
      <c r="X4" s="3390"/>
      <c r="Y4" s="3390">
        <f>1000000-1000000</f>
        <v>0</v>
      </c>
      <c r="Z4" s="3390">
        <f>1150000-1150000</f>
        <v>0</v>
      </c>
      <c r="AA4" s="3390"/>
      <c r="AB4" s="3390"/>
      <c r="AC4" s="3390"/>
      <c r="AD4" s="3390">
        <v>1000000</v>
      </c>
      <c r="AE4" s="3390">
        <v>1150000</v>
      </c>
      <c r="AF4" s="3390"/>
      <c r="AG4" s="3390"/>
      <c r="AH4" s="3391">
        <f t="shared" si="1"/>
        <v>2150000</v>
      </c>
      <c r="AI4" s="3390"/>
      <c r="AJ4" s="3390"/>
      <c r="AK4" s="3390"/>
      <c r="AL4" s="3392">
        <f t="shared" si="2"/>
        <v>2150000</v>
      </c>
      <c r="AM4" s="3395" t="s">
        <v>3228</v>
      </c>
    </row>
    <row r="5" spans="1:39" ht="28.5" customHeight="1">
      <c r="A5" s="3378">
        <v>2011</v>
      </c>
      <c r="B5" s="3378" t="s">
        <v>185</v>
      </c>
      <c r="C5" s="3378">
        <v>5</v>
      </c>
      <c r="D5" s="3379" t="str">
        <f t="shared" si="0"/>
        <v>CS-5-2011</v>
      </c>
      <c r="E5" s="3380" t="s">
        <v>402</v>
      </c>
      <c r="F5" s="3380" t="s">
        <v>402</v>
      </c>
      <c r="G5" s="3381">
        <v>40662</v>
      </c>
      <c r="H5" s="3382">
        <v>100</v>
      </c>
      <c r="I5" s="3382"/>
      <c r="J5" s="3382" t="s">
        <v>3543</v>
      </c>
      <c r="K5" s="3382" t="s">
        <v>601</v>
      </c>
      <c r="L5" s="3382">
        <v>30</v>
      </c>
      <c r="M5" s="3383" t="s">
        <v>1850</v>
      </c>
      <c r="N5" s="3384" t="s">
        <v>3238</v>
      </c>
      <c r="O5" s="3385" t="s">
        <v>3239</v>
      </c>
      <c r="P5" s="3382" t="s">
        <v>3240</v>
      </c>
      <c r="Q5" s="3386" t="s">
        <v>3241</v>
      </c>
      <c r="R5" s="3382" t="s">
        <v>3242</v>
      </c>
      <c r="S5" s="3387" t="s">
        <v>3192</v>
      </c>
      <c r="T5" s="3387" t="s">
        <v>3192</v>
      </c>
      <c r="U5" s="3388" t="s">
        <v>3225</v>
      </c>
      <c r="V5" s="3389">
        <v>7</v>
      </c>
      <c r="W5" s="3390">
        <f>8610000-500000-977500</f>
        <v>7132500</v>
      </c>
      <c r="X5" s="3390">
        <f>8510000-100000-500000-1555810</f>
        <v>6354190</v>
      </c>
      <c r="Y5" s="3390">
        <f>8510000-500000-1555810</f>
        <v>6454190</v>
      </c>
      <c r="Z5" s="3390">
        <f>8510000-100000-500000-1605810</f>
        <v>6304190</v>
      </c>
      <c r="AA5" s="3390">
        <f>8510000-500000-105810</f>
        <v>7904190</v>
      </c>
      <c r="AB5" s="3390">
        <f>8510000-100000-500000-1505810</f>
        <v>6404190</v>
      </c>
      <c r="AC5" s="3390">
        <f>8510000-500000-1605810</f>
        <v>6404190</v>
      </c>
      <c r="AD5" s="3390">
        <f>8510000-600000-1605810</f>
        <v>6304190</v>
      </c>
      <c r="AE5" s="3390">
        <f>8510000-500000-1705810</f>
        <v>6304190</v>
      </c>
      <c r="AF5" s="3390">
        <f>8510000-600000-1605810</f>
        <v>6304190</v>
      </c>
      <c r="AG5" s="3390">
        <f>8510000-500000-205810</f>
        <v>7804190</v>
      </c>
      <c r="AH5" s="3391">
        <f>SUM(W5:AG5)</f>
        <v>73674400</v>
      </c>
      <c r="AI5" s="3390">
        <f>8510000-600000-1605810</f>
        <v>6304190</v>
      </c>
      <c r="AJ5" s="3390">
        <f>8510000-600000-1605810</f>
        <v>6304190</v>
      </c>
      <c r="AK5" s="3390">
        <f>8510000-600000-1605810</f>
        <v>6304190</v>
      </c>
      <c r="AL5" s="3392">
        <f>SUM(AH5:AK5)</f>
        <v>92586970</v>
      </c>
      <c r="AM5" s="3395" t="s">
        <v>3228</v>
      </c>
    </row>
    <row r="6" spans="1:39" ht="27.75" customHeight="1">
      <c r="A6" s="3378">
        <v>2011</v>
      </c>
      <c r="B6" s="3378" t="s">
        <v>185</v>
      </c>
      <c r="C6" s="3378">
        <v>7</v>
      </c>
      <c r="D6" s="3379" t="str">
        <f t="shared" si="0"/>
        <v>CS-7-2011</v>
      </c>
      <c r="E6" s="3380"/>
      <c r="F6" s="3380" t="s">
        <v>402</v>
      </c>
      <c r="G6" s="3381">
        <v>40624</v>
      </c>
      <c r="H6" s="3382">
        <v>100</v>
      </c>
      <c r="I6" s="3382"/>
      <c r="J6" s="3382" t="s">
        <v>3543</v>
      </c>
      <c r="K6" s="3382" t="s">
        <v>601</v>
      </c>
      <c r="L6" s="3382">
        <v>50</v>
      </c>
      <c r="M6" s="3383" t="s">
        <v>1851</v>
      </c>
      <c r="N6" s="3384" t="s">
        <v>3243</v>
      </c>
      <c r="O6" s="3385" t="s">
        <v>3222</v>
      </c>
      <c r="P6" s="3382" t="s">
        <v>3223</v>
      </c>
      <c r="Q6" s="3386">
        <v>102726</v>
      </c>
      <c r="R6" s="3382" t="s">
        <v>3244</v>
      </c>
      <c r="S6" s="3387">
        <v>40575</v>
      </c>
      <c r="T6" s="3387">
        <v>42735</v>
      </c>
      <c r="U6" s="3388" t="s">
        <v>3225</v>
      </c>
      <c r="V6" s="3389">
        <v>7</v>
      </c>
      <c r="W6" s="3390">
        <f>93000+2500000+93000+391000</f>
        <v>3077000</v>
      </c>
      <c r="X6" s="3390">
        <v>130000</v>
      </c>
      <c r="Y6" s="3390"/>
      <c r="Z6" s="3390"/>
      <c r="AA6" s="3390"/>
      <c r="AB6" s="3390"/>
      <c r="AC6" s="3390"/>
      <c r="AD6" s="3390"/>
      <c r="AE6" s="3390"/>
      <c r="AF6" s="3390"/>
      <c r="AG6" s="3390"/>
      <c r="AH6" s="3391">
        <f t="shared" si="1"/>
        <v>3207000</v>
      </c>
      <c r="AI6" s="3390"/>
      <c r="AJ6" s="3390"/>
      <c r="AK6" s="3390"/>
      <c r="AL6" s="3392">
        <f t="shared" si="2"/>
        <v>3207000</v>
      </c>
      <c r="AM6" s="3395" t="s">
        <v>3228</v>
      </c>
    </row>
    <row r="7" spans="1:39" ht="29.25" customHeight="1">
      <c r="A7" s="3378">
        <v>2011</v>
      </c>
      <c r="B7" s="3378" t="s">
        <v>185</v>
      </c>
      <c r="C7" s="3378">
        <v>8</v>
      </c>
      <c r="D7" s="3379" t="str">
        <f t="shared" si="0"/>
        <v>CS-8-2011</v>
      </c>
      <c r="E7" s="3380"/>
      <c r="F7" s="3380" t="s">
        <v>402</v>
      </c>
      <c r="G7" s="3381">
        <v>40638</v>
      </c>
      <c r="H7" s="3382">
        <v>100</v>
      </c>
      <c r="I7" s="3382"/>
      <c r="J7" s="3382" t="s">
        <v>3543</v>
      </c>
      <c r="K7" s="3382" t="s">
        <v>601</v>
      </c>
      <c r="L7" s="3382">
        <v>50</v>
      </c>
      <c r="M7" s="3383" t="s">
        <v>1852</v>
      </c>
      <c r="N7" s="3384" t="s">
        <v>3243</v>
      </c>
      <c r="O7" s="3385" t="s">
        <v>3222</v>
      </c>
      <c r="P7" s="3382" t="s">
        <v>3223</v>
      </c>
      <c r="Q7" s="3386">
        <v>102954</v>
      </c>
      <c r="R7" s="3382" t="s">
        <v>3244</v>
      </c>
      <c r="S7" s="3387">
        <v>40575</v>
      </c>
      <c r="T7" s="3387">
        <v>42735</v>
      </c>
      <c r="U7" s="3388" t="s">
        <v>3225</v>
      </c>
      <c r="V7" s="3389">
        <v>7</v>
      </c>
      <c r="W7" s="3390">
        <f>1589220+601000-443000</f>
        <v>1747220</v>
      </c>
      <c r="X7" s="3390">
        <v>664000</v>
      </c>
      <c r="Y7" s="3390">
        <f>1324350-1324350</f>
        <v>0</v>
      </c>
      <c r="Z7" s="3390"/>
      <c r="AA7" s="3390"/>
      <c r="AB7" s="3390"/>
      <c r="AC7" s="3390"/>
      <c r="AD7" s="3390"/>
      <c r="AE7" s="3390"/>
      <c r="AF7" s="3390"/>
      <c r="AG7" s="3390"/>
      <c r="AH7" s="3391">
        <f t="shared" si="1"/>
        <v>2411220</v>
      </c>
      <c r="AI7" s="3390"/>
      <c r="AJ7" s="3390"/>
      <c r="AK7" s="3390"/>
      <c r="AL7" s="3392">
        <f t="shared" si="2"/>
        <v>2411220</v>
      </c>
      <c r="AM7" s="3395" t="s">
        <v>3228</v>
      </c>
    </row>
    <row r="8" spans="1:39" ht="28.5" customHeight="1">
      <c r="A8" s="3378">
        <v>2011</v>
      </c>
      <c r="B8" s="3378" t="s">
        <v>185</v>
      </c>
      <c r="C8" s="3378">
        <v>11</v>
      </c>
      <c r="D8" s="3379" t="str">
        <f t="shared" si="0"/>
        <v>CS-11-2011</v>
      </c>
      <c r="E8" s="3380" t="s">
        <v>402</v>
      </c>
      <c r="F8" s="3380"/>
      <c r="G8" s="3381">
        <v>40662</v>
      </c>
      <c r="H8" s="3382">
        <v>40.89</v>
      </c>
      <c r="I8" s="3382">
        <v>59.11</v>
      </c>
      <c r="J8" s="3382" t="s">
        <v>3550</v>
      </c>
      <c r="K8" s="3382" t="s">
        <v>3577</v>
      </c>
      <c r="L8" s="3382">
        <v>10</v>
      </c>
      <c r="M8" s="3383" t="s">
        <v>1853</v>
      </c>
      <c r="N8" s="3384" t="s">
        <v>3247</v>
      </c>
      <c r="O8" s="3385" t="s">
        <v>3248</v>
      </c>
      <c r="P8" s="3382" t="s">
        <v>3249</v>
      </c>
      <c r="Q8" s="3386" t="s">
        <v>3241</v>
      </c>
      <c r="R8" s="3382" t="s">
        <v>3251</v>
      </c>
      <c r="S8" s="3387" t="s">
        <v>3192</v>
      </c>
      <c r="T8" s="3387" t="s">
        <v>3192</v>
      </c>
      <c r="U8" s="3388" t="s">
        <v>3233</v>
      </c>
      <c r="V8" s="3389">
        <v>6</v>
      </c>
      <c r="W8" s="3390">
        <f>166666+33334</f>
        <v>200000</v>
      </c>
      <c r="X8" s="3390">
        <v>166666</v>
      </c>
      <c r="Y8" s="3390">
        <v>166666</v>
      </c>
      <c r="Z8" s="3390">
        <v>166666</v>
      </c>
      <c r="AA8" s="3390">
        <v>166666</v>
      </c>
      <c r="AB8" s="3390">
        <v>166666</v>
      </c>
      <c r="AC8" s="3390">
        <v>167000</v>
      </c>
      <c r="AD8" s="3390">
        <v>167000</v>
      </c>
      <c r="AE8" s="3390">
        <v>167000</v>
      </c>
      <c r="AF8" s="3390">
        <v>167000</v>
      </c>
      <c r="AG8" s="3390">
        <f>167000+33334</f>
        <v>200334</v>
      </c>
      <c r="AH8" s="3391">
        <f t="shared" si="1"/>
        <v>1901664</v>
      </c>
      <c r="AI8" s="3390">
        <v>167000</v>
      </c>
      <c r="AJ8" s="3390">
        <v>167000</v>
      </c>
      <c r="AK8" s="3390">
        <v>167000</v>
      </c>
      <c r="AL8" s="3392">
        <f t="shared" si="2"/>
        <v>2402664</v>
      </c>
      <c r="AM8" s="3395" t="s">
        <v>3228</v>
      </c>
    </row>
    <row r="9" spans="1:39" ht="28.5" customHeight="1">
      <c r="A9" s="3378">
        <v>2011</v>
      </c>
      <c r="B9" s="3378" t="s">
        <v>185</v>
      </c>
      <c r="C9" s="3378">
        <v>13</v>
      </c>
      <c r="D9" s="3379" t="str">
        <f t="shared" si="0"/>
        <v>CS-13-2011</v>
      </c>
      <c r="E9" s="3380"/>
      <c r="F9" s="3380"/>
      <c r="G9" s="3381">
        <v>40646</v>
      </c>
      <c r="H9" s="3382">
        <v>40.89</v>
      </c>
      <c r="I9" s="3382">
        <v>59.11</v>
      </c>
      <c r="J9" s="3382" t="s">
        <v>3550</v>
      </c>
      <c r="K9" s="3382" t="s">
        <v>3577</v>
      </c>
      <c r="L9" s="3382">
        <v>10</v>
      </c>
      <c r="M9" s="3383" t="s">
        <v>1854</v>
      </c>
      <c r="N9" s="3384" t="s">
        <v>3252</v>
      </c>
      <c r="O9" s="3385" t="s">
        <v>3248</v>
      </c>
      <c r="P9" s="3382" t="s">
        <v>3249</v>
      </c>
      <c r="Q9" s="3386" t="s">
        <v>3241</v>
      </c>
      <c r="R9" s="3382" t="s">
        <v>3253</v>
      </c>
      <c r="S9" s="3387">
        <v>40544</v>
      </c>
      <c r="T9" s="3387" t="s">
        <v>3192</v>
      </c>
      <c r="U9" s="3388" t="s">
        <v>3233</v>
      </c>
      <c r="V9" s="3389">
        <v>6</v>
      </c>
      <c r="W9" s="3390">
        <v>25000</v>
      </c>
      <c r="X9" s="3390">
        <f>183758-165383</f>
        <v>18375</v>
      </c>
      <c r="Y9" s="3390">
        <f>183758-165383</f>
        <v>18375</v>
      </c>
      <c r="Z9" s="3390">
        <f>183758-165383</f>
        <v>18375</v>
      </c>
      <c r="AA9" s="3390">
        <f>183758-165383</f>
        <v>18375</v>
      </c>
      <c r="AB9" s="3390">
        <f>183758-183758</f>
        <v>0</v>
      </c>
      <c r="AC9" s="3390"/>
      <c r="AD9" s="3390"/>
      <c r="AE9" s="3390">
        <v>18375</v>
      </c>
      <c r="AF9" s="3390">
        <v>18375</v>
      </c>
      <c r="AG9" s="3390">
        <v>18375</v>
      </c>
      <c r="AH9" s="3391">
        <f t="shared" si="1"/>
        <v>153625</v>
      </c>
      <c r="AI9" s="3390">
        <v>18375</v>
      </c>
      <c r="AJ9" s="3390">
        <v>18375</v>
      </c>
      <c r="AK9" s="3390">
        <v>18375</v>
      </c>
      <c r="AL9" s="3392">
        <f t="shared" si="2"/>
        <v>208750</v>
      </c>
      <c r="AM9" s="3395" t="s">
        <v>3228</v>
      </c>
    </row>
    <row r="10" spans="1:39" ht="28.5" customHeight="1">
      <c r="A10" s="3378">
        <v>2011</v>
      </c>
      <c r="B10" s="3378" t="s">
        <v>185</v>
      </c>
      <c r="C10" s="3378">
        <v>14</v>
      </c>
      <c r="D10" s="3379" t="str">
        <f t="shared" si="0"/>
        <v>CS-14-2011</v>
      </c>
      <c r="E10" s="3380" t="s">
        <v>402</v>
      </c>
      <c r="F10" s="3380" t="s">
        <v>402</v>
      </c>
      <c r="G10" s="3381">
        <v>40662</v>
      </c>
      <c r="H10" s="3382">
        <v>100</v>
      </c>
      <c r="I10" s="3382"/>
      <c r="J10" s="3382" t="s">
        <v>3546</v>
      </c>
      <c r="K10" s="3382" t="s">
        <v>3546</v>
      </c>
      <c r="L10" s="3382">
        <v>20</v>
      </c>
      <c r="M10" s="3383" t="s">
        <v>3547</v>
      </c>
      <c r="N10" s="3384" t="s">
        <v>3254</v>
      </c>
      <c r="O10" s="3385" t="s">
        <v>3255</v>
      </c>
      <c r="P10" s="3382" t="s">
        <v>3256</v>
      </c>
      <c r="Q10" s="3386" t="s">
        <v>3241</v>
      </c>
      <c r="R10" s="3382" t="s">
        <v>3257</v>
      </c>
      <c r="S10" s="3387" t="s">
        <v>3192</v>
      </c>
      <c r="T10" s="3387" t="s">
        <v>3192</v>
      </c>
      <c r="U10" s="3388" t="s">
        <v>3258</v>
      </c>
      <c r="V10" s="3389">
        <v>11</v>
      </c>
      <c r="W10" s="3390">
        <f>5000000-4000000-1000000</f>
        <v>0</v>
      </c>
      <c r="X10" s="3390"/>
      <c r="Y10" s="3390"/>
      <c r="Z10" s="3390"/>
      <c r="AA10" s="3390"/>
      <c r="AB10" s="3390"/>
      <c r="AC10" s="3390"/>
      <c r="AD10" s="3390"/>
      <c r="AE10" s="3390"/>
      <c r="AF10" s="3390"/>
      <c r="AG10" s="3390"/>
      <c r="AH10" s="3391">
        <f t="shared" si="1"/>
        <v>0</v>
      </c>
      <c r="AI10" s="3390"/>
      <c r="AJ10" s="3390"/>
      <c r="AK10" s="3390"/>
      <c r="AL10" s="3392">
        <f t="shared" si="2"/>
        <v>0</v>
      </c>
      <c r="AM10" s="3395" t="s">
        <v>3228</v>
      </c>
    </row>
    <row r="11" spans="1:39" ht="27.75" customHeight="1">
      <c r="A11" s="3378">
        <v>2011</v>
      </c>
      <c r="B11" s="3378" t="s">
        <v>185</v>
      </c>
      <c r="C11" s="3378">
        <v>15</v>
      </c>
      <c r="D11" s="3379" t="str">
        <f t="shared" si="0"/>
        <v>CS-15-2011</v>
      </c>
      <c r="E11" s="3380"/>
      <c r="F11" s="3380"/>
      <c r="G11" s="3381">
        <v>40662</v>
      </c>
      <c r="H11" s="3382">
        <v>40.89</v>
      </c>
      <c r="I11" s="3382">
        <v>59.11</v>
      </c>
      <c r="J11" s="3382" t="s">
        <v>3550</v>
      </c>
      <c r="K11" s="3382" t="s">
        <v>3577</v>
      </c>
      <c r="L11" s="3382">
        <v>10</v>
      </c>
      <c r="M11" s="3383" t="s">
        <v>1855</v>
      </c>
      <c r="N11" s="3384" t="s">
        <v>3259</v>
      </c>
      <c r="O11" s="3385" t="s">
        <v>3248</v>
      </c>
      <c r="P11" s="3382" t="s">
        <v>3249</v>
      </c>
      <c r="Q11" s="3386" t="s">
        <v>3241</v>
      </c>
      <c r="R11" s="3382" t="s">
        <v>3578</v>
      </c>
      <c r="S11" s="3387" t="s">
        <v>3192</v>
      </c>
      <c r="T11" s="3387" t="s">
        <v>3192</v>
      </c>
      <c r="U11" s="3388" t="s">
        <v>3260</v>
      </c>
      <c r="V11" s="3389">
        <v>2</v>
      </c>
      <c r="W11" s="3390">
        <f>153100-53100</f>
        <v>100000</v>
      </c>
      <c r="X11" s="3390">
        <v>326440</v>
      </c>
      <c r="Y11" s="3390">
        <v>55000</v>
      </c>
      <c r="Z11" s="3390">
        <v>55400</v>
      </c>
      <c r="AA11" s="3390">
        <v>55400</v>
      </c>
      <c r="AB11" s="3390">
        <v>55400</v>
      </c>
      <c r="AC11" s="3390">
        <v>100000</v>
      </c>
      <c r="AD11" s="3390">
        <v>100000</v>
      </c>
      <c r="AE11" s="3390">
        <v>326440</v>
      </c>
      <c r="AF11" s="3390">
        <v>55000</v>
      </c>
      <c r="AG11" s="3390">
        <v>55000</v>
      </c>
      <c r="AH11" s="3391">
        <f t="shared" si="1"/>
        <v>1284080</v>
      </c>
      <c r="AI11" s="3390">
        <v>55000</v>
      </c>
      <c r="AJ11" s="3390">
        <v>55000</v>
      </c>
      <c r="AK11" s="3390">
        <v>55000</v>
      </c>
      <c r="AL11" s="3392">
        <f t="shared" si="2"/>
        <v>1449080</v>
      </c>
      <c r="AM11" s="3395" t="s">
        <v>3579</v>
      </c>
    </row>
    <row r="12" spans="1:39" ht="28.5" customHeight="1">
      <c r="A12" s="3378">
        <v>2011</v>
      </c>
      <c r="B12" s="3378" t="s">
        <v>185</v>
      </c>
      <c r="C12" s="3378">
        <v>17</v>
      </c>
      <c r="D12" s="3379" t="str">
        <f t="shared" si="0"/>
        <v>CS-17-2011</v>
      </c>
      <c r="E12" s="3380"/>
      <c r="F12" s="3380"/>
      <c r="G12" s="3381">
        <v>40667</v>
      </c>
      <c r="H12" s="3382">
        <v>40.89</v>
      </c>
      <c r="I12" s="3382">
        <v>59.11</v>
      </c>
      <c r="J12" s="3382" t="s">
        <v>3550</v>
      </c>
      <c r="K12" s="3382" t="s">
        <v>3577</v>
      </c>
      <c r="L12" s="3382">
        <v>10</v>
      </c>
      <c r="M12" s="3383" t="s">
        <v>1856</v>
      </c>
      <c r="N12" s="3384" t="s">
        <v>3261</v>
      </c>
      <c r="O12" s="3385" t="s">
        <v>3248</v>
      </c>
      <c r="P12" s="3382" t="s">
        <v>3249</v>
      </c>
      <c r="Q12" s="3386" t="s">
        <v>3250</v>
      </c>
      <c r="R12" s="3382" t="s">
        <v>3251</v>
      </c>
      <c r="S12" s="3387">
        <v>40909</v>
      </c>
      <c r="T12" s="3387">
        <v>42369</v>
      </c>
      <c r="U12" s="3388" t="s">
        <v>3233</v>
      </c>
      <c r="V12" s="3389">
        <v>6</v>
      </c>
      <c r="W12" s="3390">
        <v>180000</v>
      </c>
      <c r="X12" s="3390"/>
      <c r="Y12" s="3390"/>
      <c r="Z12" s="3390"/>
      <c r="AA12" s="3390"/>
      <c r="AB12" s="3390"/>
      <c r="AC12" s="3390"/>
      <c r="AD12" s="3390"/>
      <c r="AE12" s="3390"/>
      <c r="AF12" s="3390"/>
      <c r="AG12" s="3390"/>
      <c r="AH12" s="3391">
        <f t="shared" si="1"/>
        <v>180000</v>
      </c>
      <c r="AI12" s="3390"/>
      <c r="AJ12" s="3390"/>
      <c r="AK12" s="3390"/>
      <c r="AL12" s="3391">
        <f t="shared" si="2"/>
        <v>180000</v>
      </c>
      <c r="AM12" s="3395" t="s">
        <v>3228</v>
      </c>
    </row>
    <row r="13" spans="1:39" ht="28.5" customHeight="1">
      <c r="A13" s="3378">
        <v>2011</v>
      </c>
      <c r="B13" s="3378" t="s">
        <v>185</v>
      </c>
      <c r="C13" s="3378">
        <v>20</v>
      </c>
      <c r="D13" s="3379" t="str">
        <f t="shared" si="0"/>
        <v>CS-20-2011</v>
      </c>
      <c r="E13" s="3380"/>
      <c r="F13" s="3380"/>
      <c r="G13" s="3381">
        <v>40662</v>
      </c>
      <c r="H13" s="3382">
        <v>40.89</v>
      </c>
      <c r="I13" s="3382">
        <v>59.11</v>
      </c>
      <c r="J13" s="3382" t="s">
        <v>3550</v>
      </c>
      <c r="K13" s="3382" t="s">
        <v>3577</v>
      </c>
      <c r="L13" s="3382">
        <v>10</v>
      </c>
      <c r="M13" s="3383" t="s">
        <v>1857</v>
      </c>
      <c r="N13" s="3384" t="s">
        <v>3262</v>
      </c>
      <c r="O13" s="3385" t="s">
        <v>3248</v>
      </c>
      <c r="P13" s="3382" t="s">
        <v>3249</v>
      </c>
      <c r="Q13" s="3386" t="s">
        <v>3241</v>
      </c>
      <c r="R13" s="3382" t="s">
        <v>3263</v>
      </c>
      <c r="S13" s="3387">
        <v>40544</v>
      </c>
      <c r="T13" s="3387">
        <v>43070</v>
      </c>
      <c r="U13" s="3388" t="s">
        <v>3233</v>
      </c>
      <c r="V13" s="3389">
        <v>6</v>
      </c>
      <c r="W13" s="3390">
        <v>310000</v>
      </c>
      <c r="X13" s="3390">
        <v>310000</v>
      </c>
      <c r="Y13" s="3390"/>
      <c r="Z13" s="3390"/>
      <c r="AA13" s="3390"/>
      <c r="AB13" s="3390"/>
      <c r="AC13" s="3390"/>
      <c r="AD13" s="3390"/>
      <c r="AE13" s="3390"/>
      <c r="AF13" s="3390"/>
      <c r="AG13" s="3390"/>
      <c r="AH13" s="3391">
        <f t="shared" si="1"/>
        <v>620000</v>
      </c>
      <c r="AI13" s="3390"/>
      <c r="AJ13" s="3390"/>
      <c r="AK13" s="3390"/>
      <c r="AL13" s="3391">
        <f t="shared" si="2"/>
        <v>620000</v>
      </c>
      <c r="AM13" s="3395" t="s">
        <v>3228</v>
      </c>
    </row>
    <row r="14" spans="1:39" ht="28.5" customHeight="1">
      <c r="A14" s="3378">
        <v>2011</v>
      </c>
      <c r="B14" s="3378" t="s">
        <v>185</v>
      </c>
      <c r="C14" s="3378">
        <v>22</v>
      </c>
      <c r="D14" s="3379" t="str">
        <f t="shared" si="0"/>
        <v>CS-22-2011</v>
      </c>
      <c r="E14" s="3380"/>
      <c r="F14" s="3380"/>
      <c r="G14" s="3381">
        <v>40662</v>
      </c>
      <c r="H14" s="3382">
        <v>40.89</v>
      </c>
      <c r="I14" s="3382">
        <v>59.11</v>
      </c>
      <c r="J14" s="3382" t="s">
        <v>3550</v>
      </c>
      <c r="K14" s="3382" t="s">
        <v>3577</v>
      </c>
      <c r="L14" s="3382">
        <v>10</v>
      </c>
      <c r="M14" s="3383" t="s">
        <v>1858</v>
      </c>
      <c r="N14" s="3384" t="s">
        <v>3265</v>
      </c>
      <c r="O14" s="3385" t="s">
        <v>3248</v>
      </c>
      <c r="P14" s="3382" t="s">
        <v>3249</v>
      </c>
      <c r="Q14" s="3386" t="s">
        <v>3241</v>
      </c>
      <c r="R14" s="3382" t="s">
        <v>3578</v>
      </c>
      <c r="S14" s="3387" t="s">
        <v>3192</v>
      </c>
      <c r="T14" s="3387" t="s">
        <v>3192</v>
      </c>
      <c r="U14" s="3388" t="s">
        <v>3260</v>
      </c>
      <c r="V14" s="3389">
        <v>2</v>
      </c>
      <c r="W14" s="3390">
        <v>58500</v>
      </c>
      <c r="X14" s="3390">
        <v>50600</v>
      </c>
      <c r="Y14" s="3390">
        <v>55800</v>
      </c>
      <c r="Z14" s="3390"/>
      <c r="AA14" s="3390">
        <v>47400</v>
      </c>
      <c r="AB14" s="3390"/>
      <c r="AC14" s="3390">
        <v>284600</v>
      </c>
      <c r="AD14" s="3390">
        <v>58500</v>
      </c>
      <c r="AE14" s="3390">
        <v>50600</v>
      </c>
      <c r="AF14" s="3390">
        <v>55800</v>
      </c>
      <c r="AG14" s="3390"/>
      <c r="AH14" s="3391">
        <f t="shared" si="1"/>
        <v>661800</v>
      </c>
      <c r="AI14" s="3390">
        <v>47400</v>
      </c>
      <c r="AJ14" s="3390"/>
      <c r="AK14" s="3390"/>
      <c r="AL14" s="3391">
        <f t="shared" si="2"/>
        <v>709200</v>
      </c>
      <c r="AM14" s="3395" t="s">
        <v>3579</v>
      </c>
    </row>
    <row r="15" spans="1:39" ht="28.5" customHeight="1">
      <c r="A15" s="3378">
        <v>2011</v>
      </c>
      <c r="B15" s="3378" t="s">
        <v>185</v>
      </c>
      <c r="C15" s="3378">
        <v>25</v>
      </c>
      <c r="D15" s="3379" t="str">
        <f t="shared" si="0"/>
        <v>CS-25-2011</v>
      </c>
      <c r="E15" s="3380" t="s">
        <v>402</v>
      </c>
      <c r="F15" s="3380"/>
      <c r="G15" s="3381">
        <v>40667</v>
      </c>
      <c r="H15" s="3382">
        <v>40.89</v>
      </c>
      <c r="I15" s="3382">
        <v>59.11</v>
      </c>
      <c r="J15" s="3382" t="s">
        <v>3550</v>
      </c>
      <c r="K15" s="3382" t="s">
        <v>3577</v>
      </c>
      <c r="L15" s="3382">
        <v>10</v>
      </c>
      <c r="M15" s="3383" t="s">
        <v>1859</v>
      </c>
      <c r="N15" s="3384" t="s">
        <v>3266</v>
      </c>
      <c r="O15" s="3385" t="s">
        <v>3248</v>
      </c>
      <c r="P15" s="3382" t="s">
        <v>3249</v>
      </c>
      <c r="Q15" s="3386" t="s">
        <v>3241</v>
      </c>
      <c r="R15" s="3382" t="s">
        <v>3251</v>
      </c>
      <c r="S15" s="3387" t="s">
        <v>3192</v>
      </c>
      <c r="T15" s="3387" t="s">
        <v>3192</v>
      </c>
      <c r="U15" s="3388" t="s">
        <v>3233</v>
      </c>
      <c r="V15" s="3389">
        <v>6</v>
      </c>
      <c r="W15" s="3390">
        <f>15000+155000</f>
        <v>170000</v>
      </c>
      <c r="X15" s="3390">
        <v>15000</v>
      </c>
      <c r="Y15" s="3390">
        <v>30000</v>
      </c>
      <c r="Z15" s="3390">
        <v>15000</v>
      </c>
      <c r="AA15" s="3390">
        <v>30000</v>
      </c>
      <c r="AB15" s="3390">
        <v>15000</v>
      </c>
      <c r="AC15" s="3390">
        <v>15000</v>
      </c>
      <c r="AD15" s="3390">
        <v>15000</v>
      </c>
      <c r="AE15" s="3390">
        <v>15000</v>
      </c>
      <c r="AF15" s="3390">
        <v>15000</v>
      </c>
      <c r="AG15" s="3390">
        <f>15000+155000</f>
        <v>170000</v>
      </c>
      <c r="AH15" s="3391">
        <f t="shared" si="1"/>
        <v>505000</v>
      </c>
      <c r="AI15" s="3390">
        <v>15000</v>
      </c>
      <c r="AJ15" s="3390">
        <v>15000</v>
      </c>
      <c r="AK15" s="3390">
        <v>15000</v>
      </c>
      <c r="AL15" s="3391">
        <f t="shared" si="2"/>
        <v>550000</v>
      </c>
      <c r="AM15" s="3395" t="s">
        <v>3228</v>
      </c>
    </row>
    <row r="16" spans="1:39" ht="28.5" customHeight="1">
      <c r="A16" s="3378">
        <v>2011</v>
      </c>
      <c r="B16" s="3378" t="s">
        <v>185</v>
      </c>
      <c r="C16" s="3378">
        <v>29</v>
      </c>
      <c r="D16" s="3379" t="str">
        <f t="shared" si="0"/>
        <v>CS-29-2011</v>
      </c>
      <c r="E16" s="3380"/>
      <c r="F16" s="3380"/>
      <c r="G16" s="3381">
        <v>40638</v>
      </c>
      <c r="H16" s="3382"/>
      <c r="I16" s="3382">
        <v>100</v>
      </c>
      <c r="J16" s="3382" t="s">
        <v>3580</v>
      </c>
      <c r="K16" s="3382" t="s">
        <v>3581</v>
      </c>
      <c r="L16" s="3382">
        <v>40</v>
      </c>
      <c r="M16" s="3383" t="s">
        <v>1860</v>
      </c>
      <c r="N16" s="3384" t="s">
        <v>3267</v>
      </c>
      <c r="O16" s="3385" t="s">
        <v>3268</v>
      </c>
      <c r="P16" s="3382" t="s">
        <v>3269</v>
      </c>
      <c r="Q16" s="3386">
        <v>102369</v>
      </c>
      <c r="R16" s="3382" t="s">
        <v>3270</v>
      </c>
      <c r="S16" s="3387">
        <v>39965</v>
      </c>
      <c r="T16" s="3387">
        <v>42339</v>
      </c>
      <c r="U16" s="3388" t="s">
        <v>3260</v>
      </c>
      <c r="V16" s="3389">
        <v>2</v>
      </c>
      <c r="W16" s="3390">
        <v>100000</v>
      </c>
      <c r="X16" s="3390"/>
      <c r="Y16" s="3390"/>
      <c r="Z16" s="3390"/>
      <c r="AA16" s="3390"/>
      <c r="AB16" s="3390"/>
      <c r="AC16" s="3390"/>
      <c r="AD16" s="3390"/>
      <c r="AE16" s="3390"/>
      <c r="AF16" s="3390"/>
      <c r="AG16" s="3390"/>
      <c r="AH16" s="3391">
        <f t="shared" si="1"/>
        <v>100000</v>
      </c>
      <c r="AI16" s="3390"/>
      <c r="AJ16" s="3390"/>
      <c r="AK16" s="3390"/>
      <c r="AL16" s="3391">
        <f t="shared" si="2"/>
        <v>100000</v>
      </c>
      <c r="AM16" s="3395" t="s">
        <v>3228</v>
      </c>
    </row>
    <row r="17" spans="1:39" ht="28.5" customHeight="1">
      <c r="A17" s="3378">
        <v>2011</v>
      </c>
      <c r="B17" s="3378" t="s">
        <v>185</v>
      </c>
      <c r="C17" s="3378">
        <v>30</v>
      </c>
      <c r="D17" s="3379" t="str">
        <f t="shared" si="0"/>
        <v>CS-30-2011</v>
      </c>
      <c r="E17" s="3380"/>
      <c r="F17" s="3380"/>
      <c r="G17" s="3381">
        <v>40646</v>
      </c>
      <c r="H17" s="3382">
        <v>100</v>
      </c>
      <c r="I17" s="3382"/>
      <c r="J17" s="3382" t="s">
        <v>3543</v>
      </c>
      <c r="K17" s="3382" t="s">
        <v>601</v>
      </c>
      <c r="L17" s="3382">
        <v>50</v>
      </c>
      <c r="M17" s="3396" t="s">
        <v>1861</v>
      </c>
      <c r="N17" s="3397" t="s">
        <v>3271</v>
      </c>
      <c r="O17" s="3385" t="s">
        <v>3222</v>
      </c>
      <c r="P17" s="3382" t="s">
        <v>3223</v>
      </c>
      <c r="Q17" s="3386" t="s">
        <v>3582</v>
      </c>
      <c r="R17" s="3382" t="s">
        <v>3246</v>
      </c>
      <c r="S17" s="3387">
        <v>40695</v>
      </c>
      <c r="T17" s="3387">
        <v>44561</v>
      </c>
      <c r="U17" s="3388" t="s">
        <v>3233</v>
      </c>
      <c r="V17" s="3389">
        <v>6</v>
      </c>
      <c r="W17" s="3390">
        <f>200000-200000</f>
        <v>0</v>
      </c>
      <c r="X17" s="3390">
        <f>200000-200000</f>
        <v>0</v>
      </c>
      <c r="Y17" s="3390">
        <v>200000</v>
      </c>
      <c r="Z17" s="3390">
        <v>200000</v>
      </c>
      <c r="AA17" s="3390">
        <v>200000</v>
      </c>
      <c r="AB17" s="3390">
        <v>200000</v>
      </c>
      <c r="AC17" s="3390"/>
      <c r="AD17" s="3390"/>
      <c r="AE17" s="3390"/>
      <c r="AF17" s="3390"/>
      <c r="AG17" s="3390"/>
      <c r="AH17" s="3391">
        <f t="shared" si="1"/>
        <v>800000</v>
      </c>
      <c r="AI17" s="3390"/>
      <c r="AJ17" s="3390"/>
      <c r="AK17" s="3390"/>
      <c r="AL17" s="3391">
        <f t="shared" si="2"/>
        <v>800000</v>
      </c>
      <c r="AM17" s="3395" t="s">
        <v>3549</v>
      </c>
    </row>
    <row r="18" spans="1:39" ht="28.5" customHeight="1">
      <c r="A18" s="3378">
        <v>2011</v>
      </c>
      <c r="B18" s="3378" t="s">
        <v>185</v>
      </c>
      <c r="C18" s="3378">
        <v>33</v>
      </c>
      <c r="D18" s="3379" t="str">
        <f t="shared" si="0"/>
        <v>CS-33-2011</v>
      </c>
      <c r="E18" s="3380"/>
      <c r="F18" s="3380" t="s">
        <v>402</v>
      </c>
      <c r="G18" s="3381">
        <v>40646</v>
      </c>
      <c r="H18" s="3382">
        <v>100</v>
      </c>
      <c r="I18" s="3382"/>
      <c r="J18" s="3382" t="s">
        <v>3543</v>
      </c>
      <c r="K18" s="3382" t="s">
        <v>600</v>
      </c>
      <c r="L18" s="3382">
        <v>50</v>
      </c>
      <c r="M18" s="3383" t="s">
        <v>3548</v>
      </c>
      <c r="N18" s="3384" t="s">
        <v>3272</v>
      </c>
      <c r="O18" s="3385" t="s">
        <v>3230</v>
      </c>
      <c r="P18" s="3382" t="s">
        <v>3231</v>
      </c>
      <c r="Q18" s="3386">
        <v>102606</v>
      </c>
      <c r="R18" s="3382" t="s">
        <v>3232</v>
      </c>
      <c r="S18" s="3387">
        <v>41640</v>
      </c>
      <c r="T18" s="3387">
        <v>43100</v>
      </c>
      <c r="U18" s="3388" t="s">
        <v>3225</v>
      </c>
      <c r="V18" s="3389">
        <v>7</v>
      </c>
      <c r="W18" s="3390">
        <f>3434000-625250+842250+1649000+100000-2696000</f>
        <v>2704000</v>
      </c>
      <c r="X18" s="3390">
        <f>50000+3073000</f>
        <v>3123000</v>
      </c>
      <c r="Y18" s="3390">
        <v>80000</v>
      </c>
      <c r="Z18" s="3390"/>
      <c r="AA18" s="3390"/>
      <c r="AB18" s="3390"/>
      <c r="AC18" s="3390"/>
      <c r="AD18" s="3390"/>
      <c r="AE18" s="3390"/>
      <c r="AF18" s="3390"/>
      <c r="AG18" s="3390"/>
      <c r="AH18" s="3391">
        <f t="shared" si="1"/>
        <v>5907000</v>
      </c>
      <c r="AI18" s="3390"/>
      <c r="AJ18" s="3390"/>
      <c r="AK18" s="3390"/>
      <c r="AL18" s="3391">
        <f t="shared" si="2"/>
        <v>5907000</v>
      </c>
      <c r="AM18" s="3395" t="s">
        <v>3228</v>
      </c>
    </row>
    <row r="19" spans="1:39" ht="27.75" customHeight="1">
      <c r="A19" s="3378">
        <v>2011</v>
      </c>
      <c r="B19" s="3378" t="s">
        <v>185</v>
      </c>
      <c r="C19" s="3378">
        <v>33</v>
      </c>
      <c r="D19" s="3379" t="str">
        <f t="shared" si="0"/>
        <v>CS-33-2011</v>
      </c>
      <c r="E19" s="3380"/>
      <c r="F19" s="3380" t="s">
        <v>402</v>
      </c>
      <c r="G19" s="3381">
        <v>40646</v>
      </c>
      <c r="H19" s="3382">
        <v>100</v>
      </c>
      <c r="I19" s="3382"/>
      <c r="J19" s="3382" t="s">
        <v>3543</v>
      </c>
      <c r="K19" s="3382" t="s">
        <v>600</v>
      </c>
      <c r="L19" s="3382">
        <v>50</v>
      </c>
      <c r="M19" s="3383" t="s">
        <v>1862</v>
      </c>
      <c r="N19" s="3384" t="s">
        <v>3273</v>
      </c>
      <c r="O19" s="3385" t="s">
        <v>3234</v>
      </c>
      <c r="P19" s="3382" t="s">
        <v>3235</v>
      </c>
      <c r="Q19" s="3386">
        <v>102861</v>
      </c>
      <c r="R19" s="3382" t="s">
        <v>3246</v>
      </c>
      <c r="S19" s="3387">
        <v>41640</v>
      </c>
      <c r="T19" s="3387">
        <v>42735</v>
      </c>
      <c r="U19" s="3388" t="s">
        <v>3225</v>
      </c>
      <c r="V19" s="3389">
        <v>7</v>
      </c>
      <c r="W19" s="3390">
        <f>249000+371000+200000-410000</f>
        <v>410000</v>
      </c>
      <c r="X19" s="3390">
        <v>740000</v>
      </c>
      <c r="Y19" s="3390"/>
      <c r="Z19" s="3390"/>
      <c r="AA19" s="3390"/>
      <c r="AB19" s="3390"/>
      <c r="AC19" s="3390"/>
      <c r="AD19" s="3390"/>
      <c r="AE19" s="3390"/>
      <c r="AF19" s="3390"/>
      <c r="AG19" s="3390"/>
      <c r="AH19" s="3391">
        <f t="shared" si="1"/>
        <v>1150000</v>
      </c>
      <c r="AI19" s="3390"/>
      <c r="AJ19" s="3390"/>
      <c r="AK19" s="3390"/>
      <c r="AL19" s="3391">
        <f t="shared" si="2"/>
        <v>1150000</v>
      </c>
      <c r="AM19" s="3395" t="s">
        <v>3228</v>
      </c>
    </row>
    <row r="20" spans="1:39" ht="28.5" customHeight="1">
      <c r="A20" s="3378">
        <v>2011</v>
      </c>
      <c r="B20" s="3378" t="s">
        <v>185</v>
      </c>
      <c r="C20" s="3378">
        <v>34</v>
      </c>
      <c r="D20" s="3379" t="str">
        <f t="shared" si="0"/>
        <v>CS-34-2011</v>
      </c>
      <c r="E20" s="3380"/>
      <c r="F20" s="3380" t="s">
        <v>402</v>
      </c>
      <c r="G20" s="3381">
        <v>40662</v>
      </c>
      <c r="H20" s="3382"/>
      <c r="I20" s="3382">
        <v>100</v>
      </c>
      <c r="J20" s="3382" t="s">
        <v>3583</v>
      </c>
      <c r="K20" s="3382" t="s">
        <v>3584</v>
      </c>
      <c r="L20" s="3382">
        <v>50</v>
      </c>
      <c r="M20" s="3383" t="s">
        <v>1863</v>
      </c>
      <c r="N20" s="3384" t="s">
        <v>3274</v>
      </c>
      <c r="O20" s="3385" t="s">
        <v>3275</v>
      </c>
      <c r="P20" s="3382" t="s">
        <v>3276</v>
      </c>
      <c r="Q20" s="3386">
        <v>102797</v>
      </c>
      <c r="R20" s="3382" t="s">
        <v>3232</v>
      </c>
      <c r="S20" s="3387">
        <v>40544</v>
      </c>
      <c r="T20" s="3387">
        <v>46387</v>
      </c>
      <c r="U20" s="3388" t="s">
        <v>3233</v>
      </c>
      <c r="V20" s="3389">
        <v>6</v>
      </c>
      <c r="W20" s="3390">
        <f>25000000+7500000-32000000-260000-210000-30000</f>
        <v>0</v>
      </c>
      <c r="X20" s="3390">
        <f>14400000+4320000-18220000+350000-820000-30000</f>
        <v>0</v>
      </c>
      <c r="Y20" s="3390">
        <f>32500000-31970000-350000-120000-60000</f>
        <v>0</v>
      </c>
      <c r="Z20" s="3390">
        <f>18720000-17440000-1040000-60000-120000</f>
        <v>60000</v>
      </c>
      <c r="AA20" s="3390">
        <f>1030000-180000-610000-60000</f>
        <v>180000</v>
      </c>
      <c r="AB20" s="3390">
        <f>30263000-29733000+320000-610000</f>
        <v>240000</v>
      </c>
      <c r="AC20" s="3390">
        <f>20869000-19588800-750000+320000</f>
        <v>850200</v>
      </c>
      <c r="AD20" s="3390">
        <f>1030000+250000-750000</f>
        <v>530000</v>
      </c>
      <c r="AE20" s="3390">
        <f>30263000-29233000+250000</f>
        <v>1280000</v>
      </c>
      <c r="AF20" s="3390">
        <f>20868800-1029000-18810000</f>
        <v>1029800</v>
      </c>
      <c r="AG20" s="3390">
        <f>31292000-11452000</f>
        <v>19840000</v>
      </c>
      <c r="AH20" s="3391">
        <f t="shared" si="1"/>
        <v>24010000</v>
      </c>
      <c r="AI20" s="3390">
        <v>31292000</v>
      </c>
      <c r="AJ20" s="3390"/>
      <c r="AK20" s="3390"/>
      <c r="AL20" s="3391">
        <f t="shared" si="2"/>
        <v>55302000</v>
      </c>
      <c r="AM20" s="3395" t="s">
        <v>3228</v>
      </c>
    </row>
    <row r="21" spans="1:39" ht="28.5" customHeight="1">
      <c r="A21" s="3378">
        <v>2011</v>
      </c>
      <c r="B21" s="3378" t="s">
        <v>185</v>
      </c>
      <c r="C21" s="3378">
        <v>35</v>
      </c>
      <c r="D21" s="3379" t="str">
        <f t="shared" si="0"/>
        <v>CS-35-2011</v>
      </c>
      <c r="E21" s="3380"/>
      <c r="F21" s="3380" t="s">
        <v>402</v>
      </c>
      <c r="G21" s="3381">
        <v>40646</v>
      </c>
      <c r="H21" s="3382">
        <v>100</v>
      </c>
      <c r="I21" s="3382"/>
      <c r="J21" s="3382" t="s">
        <v>3543</v>
      </c>
      <c r="K21" s="3382" t="s">
        <v>601</v>
      </c>
      <c r="L21" s="3382">
        <v>50</v>
      </c>
      <c r="M21" s="3383" t="s">
        <v>1864</v>
      </c>
      <c r="N21" s="3384" t="s">
        <v>3277</v>
      </c>
      <c r="O21" s="3385" t="s">
        <v>3222</v>
      </c>
      <c r="P21" s="3382" t="s">
        <v>3223</v>
      </c>
      <c r="Q21" s="3386">
        <v>102953</v>
      </c>
      <c r="R21" s="3382" t="s">
        <v>3244</v>
      </c>
      <c r="S21" s="3387">
        <v>42370</v>
      </c>
      <c r="T21" s="3387">
        <v>43100</v>
      </c>
      <c r="U21" s="3388" t="s">
        <v>3225</v>
      </c>
      <c r="V21" s="3389">
        <v>7</v>
      </c>
      <c r="W21" s="3390">
        <f>1352400+712000</f>
        <v>2064400</v>
      </c>
      <c r="X21" s="3390">
        <f>1500000+342000</f>
        <v>1842000</v>
      </c>
      <c r="Y21" s="3390">
        <f>1127000-1053000-74000</f>
        <v>0</v>
      </c>
      <c r="Z21" s="3390">
        <f>1250000-123000-1127000</f>
        <v>0</v>
      </c>
      <c r="AA21" s="3390">
        <f>1250000-1250000</f>
        <v>0</v>
      </c>
      <c r="AB21" s="3390"/>
      <c r="AC21" s="3390"/>
      <c r="AD21" s="3390"/>
      <c r="AE21" s="3390"/>
      <c r="AF21" s="3390"/>
      <c r="AG21" s="3390"/>
      <c r="AH21" s="3391">
        <f t="shared" si="1"/>
        <v>3906400</v>
      </c>
      <c r="AI21" s="3390"/>
      <c r="AJ21" s="3390"/>
      <c r="AK21" s="3390"/>
      <c r="AL21" s="3391">
        <f t="shared" si="2"/>
        <v>3906400</v>
      </c>
      <c r="AM21" s="3395" t="s">
        <v>3228</v>
      </c>
    </row>
    <row r="22" spans="1:39" ht="28.5" customHeight="1">
      <c r="A22" s="3378">
        <v>2011</v>
      </c>
      <c r="B22" s="3378" t="s">
        <v>185</v>
      </c>
      <c r="C22" s="3378">
        <v>36</v>
      </c>
      <c r="D22" s="3379" t="str">
        <f t="shared" si="0"/>
        <v>CS-36-2011</v>
      </c>
      <c r="E22" s="3380"/>
      <c r="F22" s="3380" t="s">
        <v>402</v>
      </c>
      <c r="G22" s="3381">
        <v>40662</v>
      </c>
      <c r="H22" s="3382">
        <v>100</v>
      </c>
      <c r="I22" s="3382"/>
      <c r="J22" s="3382" t="s">
        <v>3543</v>
      </c>
      <c r="K22" s="3382" t="s">
        <v>601</v>
      </c>
      <c r="L22" s="3382">
        <v>50</v>
      </c>
      <c r="M22" s="3383" t="s">
        <v>1865</v>
      </c>
      <c r="N22" s="3384" t="s">
        <v>3279</v>
      </c>
      <c r="O22" s="3385" t="s">
        <v>3222</v>
      </c>
      <c r="P22" s="3382" t="s">
        <v>3223</v>
      </c>
      <c r="Q22" s="3386" t="s">
        <v>3250</v>
      </c>
      <c r="R22" s="3382" t="s">
        <v>3244</v>
      </c>
      <c r="S22" s="3387">
        <v>41640</v>
      </c>
      <c r="T22" s="3387">
        <v>44196</v>
      </c>
      <c r="U22" s="3388" t="s">
        <v>3278</v>
      </c>
      <c r="V22" s="3389">
        <v>4</v>
      </c>
      <c r="W22" s="3390">
        <f>350000+1285000</f>
        <v>1635000</v>
      </c>
      <c r="X22" s="3390">
        <f>6000000-992000</f>
        <v>5008000</v>
      </c>
      <c r="Y22" s="3390">
        <f>4091000-608000-3483000</f>
        <v>0</v>
      </c>
      <c r="Z22" s="3390">
        <f>4091000-1311000-2780000</f>
        <v>0</v>
      </c>
      <c r="AA22" s="3390">
        <f>3294000-3294000</f>
        <v>0</v>
      </c>
      <c r="AB22" s="3390"/>
      <c r="AC22" s="3390"/>
      <c r="AD22" s="3390"/>
      <c r="AE22" s="3390"/>
      <c r="AF22" s="3390"/>
      <c r="AG22" s="3390"/>
      <c r="AH22" s="3391">
        <f t="shared" si="1"/>
        <v>6643000</v>
      </c>
      <c r="AI22" s="3390"/>
      <c r="AJ22" s="3390"/>
      <c r="AK22" s="3390"/>
      <c r="AL22" s="3391">
        <f t="shared" si="2"/>
        <v>6643000</v>
      </c>
      <c r="AM22" s="3395" t="s">
        <v>3228</v>
      </c>
    </row>
    <row r="23" spans="1:39" ht="28.5" customHeight="1">
      <c r="A23" s="3378">
        <v>2011</v>
      </c>
      <c r="B23" s="3378" t="s">
        <v>185</v>
      </c>
      <c r="C23" s="3378">
        <v>38</v>
      </c>
      <c r="D23" s="3379" t="str">
        <f t="shared" si="0"/>
        <v>CS-38-2011</v>
      </c>
      <c r="E23" s="3380"/>
      <c r="F23" s="3380"/>
      <c r="G23" s="3381">
        <v>40662</v>
      </c>
      <c r="H23" s="3382">
        <v>100</v>
      </c>
      <c r="I23" s="3382"/>
      <c r="J23" s="3382" t="s">
        <v>3550</v>
      </c>
      <c r="K23" s="3382" t="s">
        <v>3551</v>
      </c>
      <c r="L23" s="3382">
        <v>5</v>
      </c>
      <c r="M23" s="3383" t="s">
        <v>1866</v>
      </c>
      <c r="N23" s="3384" t="s">
        <v>3280</v>
      </c>
      <c r="O23" s="3385" t="s">
        <v>3226</v>
      </c>
      <c r="P23" s="3382" t="s">
        <v>3227</v>
      </c>
      <c r="Q23" s="3386" t="s">
        <v>3281</v>
      </c>
      <c r="R23" s="3382" t="s">
        <v>3585</v>
      </c>
      <c r="S23" s="3387">
        <v>40909</v>
      </c>
      <c r="T23" s="3387">
        <v>42369</v>
      </c>
      <c r="U23" s="3388" t="s">
        <v>3264</v>
      </c>
      <c r="V23" s="3389">
        <v>8</v>
      </c>
      <c r="W23" s="3390">
        <v>275000</v>
      </c>
      <c r="X23" s="3390"/>
      <c r="Y23" s="3390"/>
      <c r="Z23" s="3390"/>
      <c r="AA23" s="3390"/>
      <c r="AB23" s="3390"/>
      <c r="AC23" s="3390"/>
      <c r="AD23" s="3390"/>
      <c r="AE23" s="3390"/>
      <c r="AF23" s="3390"/>
      <c r="AG23" s="3390"/>
      <c r="AH23" s="3391">
        <f t="shared" si="1"/>
        <v>275000</v>
      </c>
      <c r="AI23" s="3390"/>
      <c r="AJ23" s="3390"/>
      <c r="AK23" s="3390"/>
      <c r="AL23" s="3391">
        <f t="shared" si="2"/>
        <v>275000</v>
      </c>
      <c r="AM23" s="3395" t="s">
        <v>3228</v>
      </c>
    </row>
    <row r="24" spans="1:39" ht="28.5" customHeight="1">
      <c r="A24" s="3378">
        <v>2011</v>
      </c>
      <c r="B24" s="3378" t="s">
        <v>185</v>
      </c>
      <c r="C24" s="3378">
        <v>39</v>
      </c>
      <c r="D24" s="3379" t="str">
        <f t="shared" si="0"/>
        <v>CS-39-2011</v>
      </c>
      <c r="E24" s="3380"/>
      <c r="F24" s="3380" t="s">
        <v>402</v>
      </c>
      <c r="G24" s="3381">
        <v>40662</v>
      </c>
      <c r="H24" s="3382">
        <v>100</v>
      </c>
      <c r="I24" s="3382"/>
      <c r="J24" s="3382" t="s">
        <v>3543</v>
      </c>
      <c r="K24" s="3382" t="s">
        <v>601</v>
      </c>
      <c r="L24" s="3382">
        <v>50</v>
      </c>
      <c r="M24" s="3383" t="s">
        <v>1867</v>
      </c>
      <c r="N24" s="3384" t="s">
        <v>3282</v>
      </c>
      <c r="O24" s="3385" t="s">
        <v>3222</v>
      </c>
      <c r="P24" s="3382" t="s">
        <v>3223</v>
      </c>
      <c r="Q24" s="3386">
        <v>102347</v>
      </c>
      <c r="R24" s="3382" t="s">
        <v>3246</v>
      </c>
      <c r="S24" s="3387">
        <v>40695</v>
      </c>
      <c r="T24" s="3387">
        <v>42369</v>
      </c>
      <c r="U24" s="3388" t="s">
        <v>3225</v>
      </c>
      <c r="V24" s="3389">
        <v>7</v>
      </c>
      <c r="W24" s="3390">
        <f>687000+683000+400000-1200000</f>
        <v>570000</v>
      </c>
      <c r="X24" s="3390">
        <v>1200000</v>
      </c>
      <c r="Y24" s="3390"/>
      <c r="Z24" s="3390"/>
      <c r="AA24" s="3390"/>
      <c r="AB24" s="3390"/>
      <c r="AC24" s="3390"/>
      <c r="AD24" s="3390"/>
      <c r="AE24" s="3390"/>
      <c r="AF24" s="3390"/>
      <c r="AG24" s="3390"/>
      <c r="AH24" s="3391">
        <f t="shared" si="1"/>
        <v>1770000</v>
      </c>
      <c r="AI24" s="3390"/>
      <c r="AJ24" s="3390"/>
      <c r="AK24" s="3390"/>
      <c r="AL24" s="3391">
        <f t="shared" si="2"/>
        <v>1770000</v>
      </c>
      <c r="AM24" s="3395" t="s">
        <v>3228</v>
      </c>
    </row>
    <row r="25" spans="1:39" ht="28.5" customHeight="1">
      <c r="A25" s="3378">
        <v>2011</v>
      </c>
      <c r="B25" s="3378" t="s">
        <v>185</v>
      </c>
      <c r="C25" s="3378">
        <v>40</v>
      </c>
      <c r="D25" s="3379" t="str">
        <f t="shared" si="0"/>
        <v>CS-40-2011</v>
      </c>
      <c r="E25" s="3380"/>
      <c r="F25" s="3380" t="s">
        <v>402</v>
      </c>
      <c r="G25" s="3381">
        <v>40653</v>
      </c>
      <c r="H25" s="3382">
        <v>100</v>
      </c>
      <c r="I25" s="3382"/>
      <c r="J25" s="3382" t="s">
        <v>3543</v>
      </c>
      <c r="K25" s="3382" t="s">
        <v>601</v>
      </c>
      <c r="L25" s="3382">
        <v>30</v>
      </c>
      <c r="M25" s="3383" t="s">
        <v>1868</v>
      </c>
      <c r="N25" s="3384" t="s">
        <v>3283</v>
      </c>
      <c r="O25" s="3385" t="s">
        <v>3222</v>
      </c>
      <c r="P25" s="3382" t="s">
        <v>3223</v>
      </c>
      <c r="Q25" s="3386" t="s">
        <v>3250</v>
      </c>
      <c r="R25" s="3382" t="s">
        <v>3284</v>
      </c>
      <c r="S25" s="3387">
        <v>43101</v>
      </c>
      <c r="T25" s="3387">
        <v>44561</v>
      </c>
      <c r="U25" s="3388" t="s">
        <v>3225</v>
      </c>
      <c r="V25" s="3389">
        <v>7</v>
      </c>
      <c r="W25" s="3390">
        <f>644900-644900</f>
        <v>0</v>
      </c>
      <c r="X25" s="3390">
        <f>423100-423100</f>
        <v>0</v>
      </c>
      <c r="Y25" s="3390">
        <f>321200-90000+413700</f>
        <v>644900</v>
      </c>
      <c r="Z25" s="3390">
        <f>557600-134500</f>
        <v>423100</v>
      </c>
      <c r="AA25" s="3390">
        <f>549600-318400</f>
        <v>231200</v>
      </c>
      <c r="AB25" s="3390">
        <f>422400+183200-48000</f>
        <v>557600</v>
      </c>
      <c r="AC25" s="3390">
        <v>549600</v>
      </c>
      <c r="AD25" s="3390">
        <f>374400+231200</f>
        <v>605600</v>
      </c>
      <c r="AE25" s="3390">
        <f>400000+149600</f>
        <v>549600</v>
      </c>
      <c r="AF25" s="3390">
        <f>400000-25600</f>
        <v>374400</v>
      </c>
      <c r="AG25" s="3390">
        <f>400000+95200</f>
        <v>495200</v>
      </c>
      <c r="AH25" s="3391">
        <f t="shared" si="1"/>
        <v>4431200</v>
      </c>
      <c r="AI25" s="3390">
        <v>367200</v>
      </c>
      <c r="AJ25" s="3390">
        <v>359200</v>
      </c>
      <c r="AK25" s="3390">
        <v>359200</v>
      </c>
      <c r="AL25" s="3391">
        <f t="shared" si="2"/>
        <v>5516800</v>
      </c>
      <c r="AM25" s="3395" t="s">
        <v>3228</v>
      </c>
    </row>
    <row r="26" spans="1:39" ht="28.5" customHeight="1">
      <c r="A26" s="3378">
        <v>2011</v>
      </c>
      <c r="B26" s="3378" t="s">
        <v>185</v>
      </c>
      <c r="C26" s="3378">
        <v>41</v>
      </c>
      <c r="D26" s="3379" t="str">
        <f t="shared" si="0"/>
        <v>CS-41-2011</v>
      </c>
      <c r="E26" s="3380"/>
      <c r="F26" s="3380"/>
      <c r="G26" s="3381">
        <v>40662</v>
      </c>
      <c r="H26" s="3382">
        <v>100</v>
      </c>
      <c r="I26" s="3382"/>
      <c r="J26" s="3382" t="s">
        <v>3543</v>
      </c>
      <c r="K26" s="3382" t="s">
        <v>600</v>
      </c>
      <c r="L26" s="3382">
        <v>30</v>
      </c>
      <c r="M26" s="3383" t="s">
        <v>1869</v>
      </c>
      <c r="N26" s="3384" t="s">
        <v>3285</v>
      </c>
      <c r="O26" s="3385" t="s">
        <v>3230</v>
      </c>
      <c r="P26" s="3382" t="s">
        <v>3231</v>
      </c>
      <c r="Q26" s="3386">
        <v>102706</v>
      </c>
      <c r="R26" s="3382" t="s">
        <v>3270</v>
      </c>
      <c r="S26" s="3387">
        <v>41275</v>
      </c>
      <c r="T26" s="3387">
        <v>43070</v>
      </c>
      <c r="U26" s="3388" t="s">
        <v>3225</v>
      </c>
      <c r="V26" s="3389">
        <v>7</v>
      </c>
      <c r="W26" s="3390">
        <f>56020+144000</f>
        <v>200020</v>
      </c>
      <c r="X26" s="3390">
        <f>65860-15860</f>
        <v>50000</v>
      </c>
      <c r="Y26" s="3390"/>
      <c r="Z26" s="3390"/>
      <c r="AA26" s="3390"/>
      <c r="AB26" s="3390"/>
      <c r="AC26" s="3390"/>
      <c r="AD26" s="3390"/>
      <c r="AE26" s="3390"/>
      <c r="AF26" s="3390"/>
      <c r="AG26" s="3390"/>
      <c r="AH26" s="3391">
        <f t="shared" si="1"/>
        <v>250020</v>
      </c>
      <c r="AI26" s="3390"/>
      <c r="AJ26" s="3390"/>
      <c r="AK26" s="3390"/>
      <c r="AL26" s="3391">
        <f t="shared" si="2"/>
        <v>250020</v>
      </c>
      <c r="AM26" s="3395" t="s">
        <v>3228</v>
      </c>
    </row>
    <row r="27" spans="1:39" ht="28.5" customHeight="1">
      <c r="A27" s="3378">
        <v>2011</v>
      </c>
      <c r="B27" s="3378" t="s">
        <v>185</v>
      </c>
      <c r="C27" s="3378">
        <v>44</v>
      </c>
      <c r="D27" s="3379" t="str">
        <f t="shared" si="0"/>
        <v>CS-44-2011</v>
      </c>
      <c r="E27" s="3380"/>
      <c r="F27" s="3380" t="s">
        <v>402</v>
      </c>
      <c r="G27" s="3381">
        <v>40662</v>
      </c>
      <c r="H27" s="3382">
        <v>100</v>
      </c>
      <c r="I27" s="3382"/>
      <c r="J27" s="3382" t="s">
        <v>3543</v>
      </c>
      <c r="K27" s="3382" t="s">
        <v>600</v>
      </c>
      <c r="L27" s="3382">
        <v>50</v>
      </c>
      <c r="M27" s="3383" t="s">
        <v>1870</v>
      </c>
      <c r="N27" s="3384" t="s">
        <v>3286</v>
      </c>
      <c r="O27" s="3385" t="s">
        <v>3234</v>
      </c>
      <c r="P27" s="3382" t="s">
        <v>3235</v>
      </c>
      <c r="Q27" s="3386">
        <v>102545</v>
      </c>
      <c r="R27" s="3382" t="s">
        <v>3242</v>
      </c>
      <c r="S27" s="3387">
        <v>40909</v>
      </c>
      <c r="T27" s="3387">
        <v>46722</v>
      </c>
      <c r="U27" s="3388" t="s">
        <v>3233</v>
      </c>
      <c r="V27" s="3389">
        <v>6</v>
      </c>
      <c r="W27" s="3390">
        <v>200000</v>
      </c>
      <c r="X27" s="3390">
        <v>200000</v>
      </c>
      <c r="Y27" s="3390">
        <v>200000</v>
      </c>
      <c r="Z27" s="3390">
        <v>200000</v>
      </c>
      <c r="AA27" s="3390">
        <v>200000</v>
      </c>
      <c r="AB27" s="3390">
        <v>200000</v>
      </c>
      <c r="AC27" s="3390">
        <v>200000</v>
      </c>
      <c r="AD27" s="3390">
        <v>200000</v>
      </c>
      <c r="AE27" s="3390">
        <v>200000</v>
      </c>
      <c r="AF27" s="3390">
        <v>200000</v>
      </c>
      <c r="AG27" s="3390">
        <v>200000</v>
      </c>
      <c r="AH27" s="3391">
        <f t="shared" si="1"/>
        <v>2200000</v>
      </c>
      <c r="AI27" s="3390">
        <v>200000</v>
      </c>
      <c r="AJ27" s="3390">
        <v>200000</v>
      </c>
      <c r="AK27" s="3390">
        <v>200000</v>
      </c>
      <c r="AL27" s="3391">
        <f t="shared" si="2"/>
        <v>2800000</v>
      </c>
      <c r="AM27" s="3395" t="s">
        <v>3228</v>
      </c>
    </row>
    <row r="28" spans="1:39" ht="28.5" customHeight="1">
      <c r="A28" s="3378">
        <v>2011</v>
      </c>
      <c r="B28" s="3378" t="s">
        <v>185</v>
      </c>
      <c r="C28" s="3378">
        <v>45</v>
      </c>
      <c r="D28" s="3379" t="str">
        <f t="shared" si="0"/>
        <v>CS-45-2011</v>
      </c>
      <c r="E28" s="3380"/>
      <c r="F28" s="3380" t="s">
        <v>402</v>
      </c>
      <c r="G28" s="3381">
        <v>40653</v>
      </c>
      <c r="H28" s="3382">
        <v>100</v>
      </c>
      <c r="I28" s="3382"/>
      <c r="J28" s="3382" t="s">
        <v>3543</v>
      </c>
      <c r="K28" s="3382" t="s">
        <v>601</v>
      </c>
      <c r="L28" s="3382">
        <v>50</v>
      </c>
      <c r="M28" s="3383" t="s">
        <v>1871</v>
      </c>
      <c r="N28" s="3384" t="s">
        <v>3586</v>
      </c>
      <c r="O28" s="3385" t="s">
        <v>3222</v>
      </c>
      <c r="P28" s="3382" t="s">
        <v>3223</v>
      </c>
      <c r="Q28" s="3386" t="s">
        <v>3250</v>
      </c>
      <c r="R28" s="3382" t="s">
        <v>3224</v>
      </c>
      <c r="S28" s="3387">
        <v>42370</v>
      </c>
      <c r="T28" s="3387">
        <v>43070</v>
      </c>
      <c r="U28" s="3388" t="s">
        <v>3225</v>
      </c>
      <c r="V28" s="3389">
        <v>7</v>
      </c>
      <c r="W28" s="3390">
        <f>2820000-2820000</f>
        <v>0</v>
      </c>
      <c r="X28" s="3390">
        <f>2350000-2350000</f>
        <v>0</v>
      </c>
      <c r="Y28" s="3390">
        <f>2820000-2820000</f>
        <v>0</v>
      </c>
      <c r="Z28" s="3390"/>
      <c r="AA28" s="3390"/>
      <c r="AB28" s="3390"/>
      <c r="AC28" s="3390">
        <v>1000000</v>
      </c>
      <c r="AD28" s="3390"/>
      <c r="AE28" s="3390"/>
      <c r="AF28" s="3390"/>
      <c r="AG28" s="3390"/>
      <c r="AH28" s="3391">
        <f t="shared" si="1"/>
        <v>1000000</v>
      </c>
      <c r="AI28" s="3390"/>
      <c r="AJ28" s="3390"/>
      <c r="AK28" s="3390"/>
      <c r="AL28" s="3391">
        <f t="shared" si="2"/>
        <v>1000000</v>
      </c>
      <c r="AM28" s="3395" t="s">
        <v>3228</v>
      </c>
    </row>
    <row r="29" spans="1:39" ht="28.5" customHeight="1">
      <c r="A29" s="3378">
        <v>2011</v>
      </c>
      <c r="B29" s="3378" t="s">
        <v>185</v>
      </c>
      <c r="C29" s="3378">
        <v>46</v>
      </c>
      <c r="D29" s="3379" t="str">
        <f t="shared" si="0"/>
        <v>CS-46-2011</v>
      </c>
      <c r="E29" s="3380" t="s">
        <v>402</v>
      </c>
      <c r="F29" s="3380" t="s">
        <v>402</v>
      </c>
      <c r="G29" s="3381">
        <v>40662</v>
      </c>
      <c r="H29" s="3382">
        <v>100</v>
      </c>
      <c r="I29" s="3382"/>
      <c r="J29" s="3382" t="s">
        <v>3546</v>
      </c>
      <c r="K29" s="3382" t="s">
        <v>3546</v>
      </c>
      <c r="L29" s="3382">
        <v>20</v>
      </c>
      <c r="M29" s="3383" t="s">
        <v>3552</v>
      </c>
      <c r="N29" s="3384" t="s">
        <v>3287</v>
      </c>
      <c r="O29" s="3385" t="s">
        <v>3255</v>
      </c>
      <c r="P29" s="3382" t="s">
        <v>3256</v>
      </c>
      <c r="Q29" s="3386" t="s">
        <v>3241</v>
      </c>
      <c r="R29" s="3382" t="s">
        <v>3288</v>
      </c>
      <c r="S29" s="3387" t="s">
        <v>3192</v>
      </c>
      <c r="T29" s="3387" t="s">
        <v>3192</v>
      </c>
      <c r="U29" s="3388" t="s">
        <v>3278</v>
      </c>
      <c r="V29" s="3389">
        <v>4</v>
      </c>
      <c r="W29" s="3390">
        <f>570000+1530000+1000000</f>
        <v>3100000</v>
      </c>
      <c r="X29" s="3390">
        <f>570000+1530000</f>
        <v>2100000</v>
      </c>
      <c r="Y29" s="3390">
        <f>570000+1530000</f>
        <v>2100000</v>
      </c>
      <c r="Z29" s="3390">
        <f>480000+1620000</f>
        <v>2100000</v>
      </c>
      <c r="AA29" s="3390">
        <f>480000+1620000-1050000</f>
        <v>1050000</v>
      </c>
      <c r="AB29" s="3390">
        <f t="shared" ref="AB29:AG29" si="3">2100000-1050000</f>
        <v>1050000</v>
      </c>
      <c r="AC29" s="3390">
        <f t="shared" si="3"/>
        <v>1050000</v>
      </c>
      <c r="AD29" s="3390">
        <f t="shared" si="3"/>
        <v>1050000</v>
      </c>
      <c r="AE29" s="3390">
        <f t="shared" si="3"/>
        <v>1050000</v>
      </c>
      <c r="AF29" s="3390">
        <f t="shared" si="3"/>
        <v>1050000</v>
      </c>
      <c r="AG29" s="3390">
        <f t="shared" si="3"/>
        <v>1050000</v>
      </c>
      <c r="AH29" s="3391">
        <f t="shared" ref="AH29:AH58" si="4">SUM(W29:AG29)</f>
        <v>16750000</v>
      </c>
      <c r="AI29" s="3390">
        <f>2100000-1050000</f>
        <v>1050000</v>
      </c>
      <c r="AJ29" s="3390">
        <f>2100000-1050000</f>
        <v>1050000</v>
      </c>
      <c r="AK29" s="3390">
        <f>2100000-1050000</f>
        <v>1050000</v>
      </c>
      <c r="AL29" s="3391">
        <f t="shared" ref="AL29:AL58" si="5">SUM(AH29:AK29)</f>
        <v>19900000</v>
      </c>
      <c r="AM29" s="3395" t="s">
        <v>3228</v>
      </c>
    </row>
    <row r="30" spans="1:39" ht="28.5" customHeight="1">
      <c r="A30" s="3378">
        <v>2011</v>
      </c>
      <c r="B30" s="3378" t="s">
        <v>185</v>
      </c>
      <c r="C30" s="3378">
        <v>47</v>
      </c>
      <c r="D30" s="3379" t="str">
        <f t="shared" si="0"/>
        <v>CS-47-2011</v>
      </c>
      <c r="E30" s="3380" t="s">
        <v>402</v>
      </c>
      <c r="F30" s="3380"/>
      <c r="G30" s="3381">
        <v>40779</v>
      </c>
      <c r="H30" s="3382">
        <v>100</v>
      </c>
      <c r="I30" s="3382"/>
      <c r="J30" s="3382" t="s">
        <v>3550</v>
      </c>
      <c r="K30" s="3382" t="s">
        <v>601</v>
      </c>
      <c r="L30" s="3382">
        <v>10</v>
      </c>
      <c r="M30" s="3383" t="s">
        <v>1872</v>
      </c>
      <c r="N30" s="3384" t="s">
        <v>3289</v>
      </c>
      <c r="O30" s="3385" t="s">
        <v>3290</v>
      </c>
      <c r="P30" s="3382" t="s">
        <v>3587</v>
      </c>
      <c r="Q30" s="3386">
        <v>11740</v>
      </c>
      <c r="R30" s="3382" t="s">
        <v>3291</v>
      </c>
      <c r="S30" s="3387" t="s">
        <v>3192</v>
      </c>
      <c r="T30" s="3387" t="s">
        <v>3192</v>
      </c>
      <c r="U30" s="3388" t="s">
        <v>3233</v>
      </c>
      <c r="V30" s="3389">
        <v>6</v>
      </c>
      <c r="W30" s="3390">
        <v>125000</v>
      </c>
      <c r="X30" s="3390">
        <v>125000</v>
      </c>
      <c r="Y30" s="3390">
        <v>125000</v>
      </c>
      <c r="Z30" s="3390">
        <v>125000</v>
      </c>
      <c r="AA30" s="3390">
        <v>125000</v>
      </c>
      <c r="AB30" s="3390">
        <v>125000</v>
      </c>
      <c r="AC30" s="3390">
        <v>125000</v>
      </c>
      <c r="AD30" s="3390">
        <v>125000</v>
      </c>
      <c r="AE30" s="3390">
        <v>125000</v>
      </c>
      <c r="AF30" s="3390">
        <v>125000</v>
      </c>
      <c r="AG30" s="3390">
        <v>125000</v>
      </c>
      <c r="AH30" s="3391">
        <f t="shared" si="4"/>
        <v>1375000</v>
      </c>
      <c r="AI30" s="3390">
        <v>125000</v>
      </c>
      <c r="AJ30" s="3390">
        <v>125000</v>
      </c>
      <c r="AK30" s="3390">
        <v>125000</v>
      </c>
      <c r="AL30" s="3391">
        <f t="shared" si="5"/>
        <v>1750000</v>
      </c>
      <c r="AM30" s="3395" t="s">
        <v>3228</v>
      </c>
    </row>
    <row r="31" spans="1:39" ht="28.5" customHeight="1">
      <c r="A31" s="3378" t="s">
        <v>1078</v>
      </c>
      <c r="B31" s="3378" t="s">
        <v>185</v>
      </c>
      <c r="C31" s="3378" t="s">
        <v>3292</v>
      </c>
      <c r="D31" s="3379" t="str">
        <f t="shared" si="0"/>
        <v>CS-49-2013</v>
      </c>
      <c r="E31" s="3380"/>
      <c r="F31" s="3380" t="s">
        <v>402</v>
      </c>
      <c r="G31" s="3381">
        <v>41380</v>
      </c>
      <c r="H31" s="3382">
        <v>100</v>
      </c>
      <c r="I31" s="3382"/>
      <c r="J31" s="3382" t="s">
        <v>3543</v>
      </c>
      <c r="K31" s="3382" t="s">
        <v>600</v>
      </c>
      <c r="L31" s="3382">
        <v>60</v>
      </c>
      <c r="M31" s="3383" t="s">
        <v>1873</v>
      </c>
      <c r="N31" s="3384" t="s">
        <v>3293</v>
      </c>
      <c r="O31" s="3385" t="s">
        <v>3230</v>
      </c>
      <c r="P31" s="3382" t="s">
        <v>3231</v>
      </c>
      <c r="Q31" s="3386" t="s">
        <v>3250</v>
      </c>
      <c r="R31" s="3382" t="s">
        <v>3232</v>
      </c>
      <c r="S31" s="3387">
        <v>41275</v>
      </c>
      <c r="T31" s="3387">
        <v>43800</v>
      </c>
      <c r="U31" s="3388" t="s">
        <v>3264</v>
      </c>
      <c r="V31" s="3389">
        <v>8</v>
      </c>
      <c r="W31" s="3390">
        <f>125000+275000-85000</f>
        <v>315000</v>
      </c>
      <c r="X31" s="3390">
        <f>6030000-5325000-155000</f>
        <v>550000</v>
      </c>
      <c r="Y31" s="3390">
        <f>50000+6150000-5650000</f>
        <v>550000</v>
      </c>
      <c r="Z31" s="3390">
        <f>50000+7050000</f>
        <v>7100000</v>
      </c>
      <c r="AA31" s="3390">
        <v>50000</v>
      </c>
      <c r="AB31" s="3390">
        <f>30000-30000</f>
        <v>0</v>
      </c>
      <c r="AC31" s="3390">
        <f>50000-50000</f>
        <v>0</v>
      </c>
      <c r="AD31" s="3390"/>
      <c r="AE31" s="3390"/>
      <c r="AF31" s="3390"/>
      <c r="AG31" s="3390"/>
      <c r="AH31" s="3391">
        <f t="shared" si="4"/>
        <v>8565000</v>
      </c>
      <c r="AI31" s="3390"/>
      <c r="AJ31" s="3390"/>
      <c r="AK31" s="3390"/>
      <c r="AL31" s="3391">
        <f t="shared" si="5"/>
        <v>8565000</v>
      </c>
      <c r="AM31" s="3395" t="s">
        <v>3228</v>
      </c>
    </row>
    <row r="32" spans="1:39" ht="30" customHeight="1">
      <c r="A32" s="3378" t="s">
        <v>3206</v>
      </c>
      <c r="B32" s="3378" t="s">
        <v>185</v>
      </c>
      <c r="C32" s="3378" t="s">
        <v>3294</v>
      </c>
      <c r="D32" s="3379" t="str">
        <f t="shared" si="0"/>
        <v>CS-54-2014</v>
      </c>
      <c r="E32" s="3380"/>
      <c r="F32" s="3380" t="s">
        <v>402</v>
      </c>
      <c r="G32" s="3381">
        <v>41654</v>
      </c>
      <c r="H32" s="3382">
        <v>100</v>
      </c>
      <c r="I32" s="3382"/>
      <c r="J32" s="3382" t="s">
        <v>3543</v>
      </c>
      <c r="K32" s="3382" t="s">
        <v>600</v>
      </c>
      <c r="L32" s="3382">
        <v>40</v>
      </c>
      <c r="M32" s="3383" t="s">
        <v>1874</v>
      </c>
      <c r="N32" s="3384" t="s">
        <v>1874</v>
      </c>
      <c r="O32" s="3385" t="s">
        <v>3230</v>
      </c>
      <c r="P32" s="3382" t="s">
        <v>3295</v>
      </c>
      <c r="Q32" s="3386">
        <v>102769</v>
      </c>
      <c r="R32" s="3382" t="s">
        <v>3232</v>
      </c>
      <c r="S32" s="3387">
        <v>41640</v>
      </c>
      <c r="T32" s="3387">
        <v>43101</v>
      </c>
      <c r="U32" s="3388" t="s">
        <v>3296</v>
      </c>
      <c r="V32" s="3389">
        <v>1</v>
      </c>
      <c r="W32" s="3390">
        <f>1480000+5540000-5300000-455000+2050000-2015000+233000</f>
        <v>1533000</v>
      </c>
      <c r="X32" s="3390">
        <f>1420000+5945000+455000-5320000-271000</f>
        <v>2229000</v>
      </c>
      <c r="Y32" s="3390">
        <f>7900000-7500000</f>
        <v>400000</v>
      </c>
      <c r="Z32" s="3390">
        <v>7920000</v>
      </c>
      <c r="AA32" s="3390"/>
      <c r="AB32" s="3390"/>
      <c r="AC32" s="3390"/>
      <c r="AD32" s="3390"/>
      <c r="AE32" s="3390"/>
      <c r="AF32" s="3390"/>
      <c r="AG32" s="3390"/>
      <c r="AH32" s="3391">
        <f t="shared" si="4"/>
        <v>12082000</v>
      </c>
      <c r="AI32" s="3390"/>
      <c r="AJ32" s="3390"/>
      <c r="AK32" s="3390"/>
      <c r="AL32" s="3391">
        <f t="shared" si="5"/>
        <v>12082000</v>
      </c>
      <c r="AM32" s="3395" t="s">
        <v>3228</v>
      </c>
    </row>
    <row r="33" spans="1:39" ht="28.5" customHeight="1">
      <c r="A33" s="3378" t="s">
        <v>3206</v>
      </c>
      <c r="B33" s="3378" t="s">
        <v>185</v>
      </c>
      <c r="C33" s="3378" t="s">
        <v>3297</v>
      </c>
      <c r="D33" s="3379" t="str">
        <f t="shared" si="0"/>
        <v>CS-55-2014</v>
      </c>
      <c r="E33" s="3380"/>
      <c r="F33" s="3380" t="s">
        <v>402</v>
      </c>
      <c r="G33" s="3381">
        <v>41654</v>
      </c>
      <c r="H33" s="3382">
        <v>100</v>
      </c>
      <c r="I33" s="3382"/>
      <c r="J33" s="3382" t="s">
        <v>3543</v>
      </c>
      <c r="K33" s="3382" t="s">
        <v>601</v>
      </c>
      <c r="L33" s="3382">
        <v>50</v>
      </c>
      <c r="M33" s="3383" t="s">
        <v>1875</v>
      </c>
      <c r="N33" s="3384" t="s">
        <v>3298</v>
      </c>
      <c r="O33" s="3385" t="s">
        <v>3222</v>
      </c>
      <c r="P33" s="3378" t="s">
        <v>3223</v>
      </c>
      <c r="Q33" s="3398">
        <v>102813</v>
      </c>
      <c r="R33" s="3382" t="s">
        <v>3224</v>
      </c>
      <c r="S33" s="3399">
        <v>41730</v>
      </c>
      <c r="T33" s="3387">
        <v>42369</v>
      </c>
      <c r="U33" s="3388" t="s">
        <v>3278</v>
      </c>
      <c r="V33" s="3389">
        <v>4</v>
      </c>
      <c r="W33" s="3390">
        <v>347000</v>
      </c>
      <c r="X33" s="3390"/>
      <c r="Y33" s="3390"/>
      <c r="Z33" s="3390"/>
      <c r="AA33" s="3390"/>
      <c r="AB33" s="3390"/>
      <c r="AC33" s="3390"/>
      <c r="AD33" s="3390"/>
      <c r="AE33" s="3390"/>
      <c r="AF33" s="3390"/>
      <c r="AG33" s="3390"/>
      <c r="AH33" s="3391">
        <f t="shared" si="4"/>
        <v>347000</v>
      </c>
      <c r="AI33" s="3390"/>
      <c r="AJ33" s="3390"/>
      <c r="AK33" s="3390"/>
      <c r="AL33" s="3391">
        <f t="shared" si="5"/>
        <v>347000</v>
      </c>
      <c r="AM33" s="3395" t="s">
        <v>3563</v>
      </c>
    </row>
    <row r="34" spans="1:39" ht="28.5" customHeight="1">
      <c r="A34" s="3378" t="s">
        <v>3206</v>
      </c>
      <c r="B34" s="3378" t="s">
        <v>185</v>
      </c>
      <c r="C34" s="3378" t="s">
        <v>3300</v>
      </c>
      <c r="D34" s="3379" t="str">
        <f t="shared" si="0"/>
        <v>CS-58-2014</v>
      </c>
      <c r="E34" s="3400"/>
      <c r="F34" s="3400" t="s">
        <v>402</v>
      </c>
      <c r="G34" s="3401">
        <v>41835</v>
      </c>
      <c r="H34" s="3382">
        <v>100</v>
      </c>
      <c r="I34" s="3382"/>
      <c r="J34" s="3382" t="s">
        <v>3543</v>
      </c>
      <c r="K34" s="3382" t="s">
        <v>600</v>
      </c>
      <c r="L34" s="3382">
        <v>40</v>
      </c>
      <c r="M34" s="3383" t="s">
        <v>2866</v>
      </c>
      <c r="N34" s="3384" t="s">
        <v>3301</v>
      </c>
      <c r="O34" s="3385" t="s">
        <v>3230</v>
      </c>
      <c r="P34" s="3378" t="s">
        <v>3231</v>
      </c>
      <c r="Q34" s="3398">
        <v>102793</v>
      </c>
      <c r="R34" s="3382" t="s">
        <v>3232</v>
      </c>
      <c r="S34" s="3402">
        <v>41743</v>
      </c>
      <c r="T34" s="3387">
        <v>42231</v>
      </c>
      <c r="U34" s="3388" t="s">
        <v>3278</v>
      </c>
      <c r="V34" s="3389">
        <v>4</v>
      </c>
      <c r="W34" s="3390">
        <f>2600000-2560000+80000-120000</f>
        <v>0</v>
      </c>
      <c r="X34" s="3390">
        <f>2525000-2025000-230000</f>
        <v>270000</v>
      </c>
      <c r="Y34" s="3390">
        <f>2100000-1990000</f>
        <v>110000</v>
      </c>
      <c r="Z34" s="3390">
        <v>2635000</v>
      </c>
      <c r="AA34" s="3390">
        <v>50000</v>
      </c>
      <c r="AB34" s="3390"/>
      <c r="AC34" s="3390"/>
      <c r="AD34" s="3390"/>
      <c r="AE34" s="3390"/>
      <c r="AF34" s="3390"/>
      <c r="AG34" s="3390"/>
      <c r="AH34" s="3391">
        <f t="shared" si="4"/>
        <v>3065000</v>
      </c>
      <c r="AI34" s="3390"/>
      <c r="AJ34" s="3390"/>
      <c r="AK34" s="3390"/>
      <c r="AL34" s="3391">
        <f t="shared" si="5"/>
        <v>3065000</v>
      </c>
      <c r="AM34" s="3395" t="s">
        <v>3228</v>
      </c>
    </row>
    <row r="35" spans="1:39" ht="28.5" customHeight="1">
      <c r="A35" s="3378" t="s">
        <v>3206</v>
      </c>
      <c r="B35" s="3378" t="s">
        <v>185</v>
      </c>
      <c r="C35" s="3378" t="s">
        <v>3302</v>
      </c>
      <c r="D35" s="3379" t="str">
        <f t="shared" si="0"/>
        <v>CS-59-2014</v>
      </c>
      <c r="E35" s="3400"/>
      <c r="F35" s="3400" t="s">
        <v>402</v>
      </c>
      <c r="G35" s="3401">
        <v>41835</v>
      </c>
      <c r="H35" s="3382">
        <v>100</v>
      </c>
      <c r="I35" s="3382"/>
      <c r="J35" s="3382" t="s">
        <v>3543</v>
      </c>
      <c r="K35" s="3382" t="s">
        <v>600</v>
      </c>
      <c r="L35" s="3382">
        <v>50</v>
      </c>
      <c r="M35" s="3383" t="s">
        <v>2867</v>
      </c>
      <c r="N35" s="3384" t="s">
        <v>3303</v>
      </c>
      <c r="O35" s="3385" t="s">
        <v>3230</v>
      </c>
      <c r="P35" s="3378" t="s">
        <v>3231</v>
      </c>
      <c r="Q35" s="3398">
        <v>102792</v>
      </c>
      <c r="R35" s="3382" t="s">
        <v>3232</v>
      </c>
      <c r="S35" s="3402">
        <v>41743</v>
      </c>
      <c r="T35" s="3387">
        <v>42445</v>
      </c>
      <c r="U35" s="3388" t="s">
        <v>3278</v>
      </c>
      <c r="V35" s="3389">
        <v>4</v>
      </c>
      <c r="W35" s="3390">
        <f>100000-73750</f>
        <v>26250</v>
      </c>
      <c r="X35" s="3390"/>
      <c r="Y35" s="3390"/>
      <c r="Z35" s="3390"/>
      <c r="AA35" s="3390"/>
      <c r="AB35" s="3390"/>
      <c r="AC35" s="3390"/>
      <c r="AD35" s="3390"/>
      <c r="AE35" s="3390"/>
      <c r="AF35" s="3390"/>
      <c r="AG35" s="3390"/>
      <c r="AH35" s="3391">
        <f t="shared" si="4"/>
        <v>26250</v>
      </c>
      <c r="AI35" s="3390"/>
      <c r="AJ35" s="3390"/>
      <c r="AK35" s="3390"/>
      <c r="AL35" s="3391">
        <f t="shared" si="5"/>
        <v>26250</v>
      </c>
      <c r="AM35" s="3395" t="s">
        <v>3228</v>
      </c>
    </row>
    <row r="36" spans="1:39" ht="28.5" customHeight="1">
      <c r="A36" s="3378" t="s">
        <v>3206</v>
      </c>
      <c r="B36" s="3378" t="s">
        <v>185</v>
      </c>
      <c r="C36" s="3378" t="s">
        <v>3304</v>
      </c>
      <c r="D36" s="3379" t="str">
        <f t="shared" si="0"/>
        <v>CS-60-2014</v>
      </c>
      <c r="E36" s="3400"/>
      <c r="F36" s="3400" t="s">
        <v>402</v>
      </c>
      <c r="G36" s="3401">
        <v>41835</v>
      </c>
      <c r="H36" s="3382">
        <v>100</v>
      </c>
      <c r="I36" s="3382"/>
      <c r="J36" s="3382" t="s">
        <v>3543</v>
      </c>
      <c r="K36" s="3382" t="s">
        <v>600</v>
      </c>
      <c r="L36" s="3382">
        <v>50</v>
      </c>
      <c r="M36" s="3383" t="s">
        <v>2868</v>
      </c>
      <c r="N36" s="3384" t="s">
        <v>3305</v>
      </c>
      <c r="O36" s="3385" t="s">
        <v>3234</v>
      </c>
      <c r="P36" s="3378" t="s">
        <v>3235</v>
      </c>
      <c r="Q36" s="3398">
        <v>102776</v>
      </c>
      <c r="R36" s="3382" t="s">
        <v>3224</v>
      </c>
      <c r="S36" s="3402">
        <v>41652</v>
      </c>
      <c r="T36" s="3387">
        <v>43818</v>
      </c>
      <c r="U36" s="3388" t="s">
        <v>3264</v>
      </c>
      <c r="V36" s="3389">
        <v>8</v>
      </c>
      <c r="W36" s="3390">
        <v>250000</v>
      </c>
      <c r="X36" s="3390">
        <f>6000000-2700000</f>
        <v>3300000</v>
      </c>
      <c r="Y36" s="3390">
        <f>2000000+150000</f>
        <v>2150000</v>
      </c>
      <c r="Z36" s="3390">
        <f>2000000+2300000</f>
        <v>4300000</v>
      </c>
      <c r="AA36" s="3390"/>
      <c r="AB36" s="3390"/>
      <c r="AC36" s="3390"/>
      <c r="AD36" s="3390"/>
      <c r="AE36" s="3390"/>
      <c r="AF36" s="3390"/>
      <c r="AG36" s="3390"/>
      <c r="AH36" s="3391">
        <f t="shared" si="4"/>
        <v>10000000</v>
      </c>
      <c r="AI36" s="3390"/>
      <c r="AJ36" s="3390"/>
      <c r="AK36" s="3390"/>
      <c r="AL36" s="3391">
        <f t="shared" si="5"/>
        <v>10000000</v>
      </c>
      <c r="AM36" s="3395" t="s">
        <v>3228</v>
      </c>
    </row>
    <row r="37" spans="1:39" ht="29.25" customHeight="1">
      <c r="A37" s="3378" t="s">
        <v>3207</v>
      </c>
      <c r="B37" s="3378" t="s">
        <v>185</v>
      </c>
      <c r="C37" s="3378" t="s">
        <v>3306</v>
      </c>
      <c r="D37" s="3379" t="str">
        <f t="shared" si="0"/>
        <v>CS-61-2015</v>
      </c>
      <c r="E37" s="3400"/>
      <c r="F37" s="3400" t="s">
        <v>402</v>
      </c>
      <c r="G37" s="3401">
        <v>41835</v>
      </c>
      <c r="H37" s="3382">
        <v>100</v>
      </c>
      <c r="I37" s="3382"/>
      <c r="J37" s="3382" t="s">
        <v>3543</v>
      </c>
      <c r="K37" s="3382" t="s">
        <v>601</v>
      </c>
      <c r="L37" s="3382">
        <v>30</v>
      </c>
      <c r="M37" s="3383" t="s">
        <v>2869</v>
      </c>
      <c r="N37" s="3384" t="s">
        <v>3307</v>
      </c>
      <c r="O37" s="3385" t="s">
        <v>3222</v>
      </c>
      <c r="P37" s="3378" t="s">
        <v>3223</v>
      </c>
      <c r="Q37" s="3398" t="s">
        <v>3250</v>
      </c>
      <c r="R37" s="3382" t="s">
        <v>3237</v>
      </c>
      <c r="S37" s="3402">
        <v>41926</v>
      </c>
      <c r="T37" s="3387">
        <v>42416</v>
      </c>
      <c r="U37" s="3388" t="s">
        <v>3225</v>
      </c>
      <c r="V37" s="3389">
        <v>7</v>
      </c>
      <c r="W37" s="3390">
        <f>2200000-2200000</f>
        <v>0</v>
      </c>
      <c r="X37" s="3390">
        <v>2200000</v>
      </c>
      <c r="Y37" s="3390">
        <v>2200000</v>
      </c>
      <c r="Z37" s="3390"/>
      <c r="AA37" s="3390"/>
      <c r="AB37" s="3390"/>
      <c r="AC37" s="3390"/>
      <c r="AD37" s="3390"/>
      <c r="AE37" s="3390"/>
      <c r="AF37" s="3390"/>
      <c r="AG37" s="3390"/>
      <c r="AH37" s="3391">
        <f t="shared" si="4"/>
        <v>4400000</v>
      </c>
      <c r="AI37" s="3390"/>
      <c r="AJ37" s="3390"/>
      <c r="AK37" s="3390"/>
      <c r="AL37" s="3391">
        <f t="shared" si="5"/>
        <v>4400000</v>
      </c>
      <c r="AM37" s="3395" t="s">
        <v>3564</v>
      </c>
    </row>
    <row r="38" spans="1:39" ht="28.5" customHeight="1">
      <c r="A38" s="3378" t="s">
        <v>3207</v>
      </c>
      <c r="B38" s="3378" t="s">
        <v>185</v>
      </c>
      <c r="C38" s="3378" t="s">
        <v>3395</v>
      </c>
      <c r="D38" s="3379" t="str">
        <f t="shared" si="0"/>
        <v>CS-62-2015</v>
      </c>
      <c r="E38" s="3380"/>
      <c r="F38" s="3400" t="s">
        <v>402</v>
      </c>
      <c r="G38" s="3381">
        <v>42012</v>
      </c>
      <c r="H38" s="3382">
        <v>100</v>
      </c>
      <c r="I38" s="3382"/>
      <c r="J38" s="3382" t="s">
        <v>3543</v>
      </c>
      <c r="K38" s="3382" t="s">
        <v>601</v>
      </c>
      <c r="L38" s="3382">
        <v>50</v>
      </c>
      <c r="M38" s="3383" t="s">
        <v>3553</v>
      </c>
      <c r="N38" s="3384" t="s">
        <v>3588</v>
      </c>
      <c r="O38" s="3385" t="s">
        <v>3222</v>
      </c>
      <c r="P38" s="3378" t="s">
        <v>3223</v>
      </c>
      <c r="Q38" s="3398">
        <v>102882</v>
      </c>
      <c r="R38" s="3382" t="s">
        <v>3244</v>
      </c>
      <c r="S38" s="3387">
        <v>42005</v>
      </c>
      <c r="T38" s="3387">
        <v>42735</v>
      </c>
      <c r="U38" s="3388" t="s">
        <v>3225</v>
      </c>
      <c r="V38" s="3389">
        <v>7</v>
      </c>
      <c r="W38" s="3390">
        <f>1800000+1800000+91000</f>
        <v>3691000</v>
      </c>
      <c r="X38" s="3390">
        <f>1800000-1800000</f>
        <v>0</v>
      </c>
      <c r="Y38" s="3390"/>
      <c r="Z38" s="3390"/>
      <c r="AA38" s="3390"/>
      <c r="AB38" s="3390"/>
      <c r="AC38" s="3390"/>
      <c r="AD38" s="3390"/>
      <c r="AE38" s="3390"/>
      <c r="AF38" s="3390"/>
      <c r="AG38" s="3390"/>
      <c r="AH38" s="3391">
        <f t="shared" si="4"/>
        <v>3691000</v>
      </c>
      <c r="AI38" s="3390"/>
      <c r="AJ38" s="3390"/>
      <c r="AK38" s="3390"/>
      <c r="AL38" s="3391">
        <f t="shared" si="5"/>
        <v>3691000</v>
      </c>
      <c r="AM38" s="3395" t="s">
        <v>3228</v>
      </c>
    </row>
    <row r="39" spans="1:39" ht="28.5" customHeight="1">
      <c r="A39" s="3378" t="s">
        <v>3207</v>
      </c>
      <c r="B39" s="3378" t="s">
        <v>185</v>
      </c>
      <c r="C39" s="3378" t="s">
        <v>3397</v>
      </c>
      <c r="D39" s="3379" t="str">
        <f t="shared" si="0"/>
        <v>CS-63-2015</v>
      </c>
      <c r="E39" s="3380"/>
      <c r="F39" s="3400" t="s">
        <v>402</v>
      </c>
      <c r="G39" s="3381">
        <v>42012</v>
      </c>
      <c r="H39" s="3382">
        <v>100</v>
      </c>
      <c r="I39" s="3382"/>
      <c r="J39" s="3382" t="s">
        <v>3543</v>
      </c>
      <c r="K39" s="3382" t="s">
        <v>601</v>
      </c>
      <c r="L39" s="3382">
        <v>50</v>
      </c>
      <c r="M39" s="3383" t="s">
        <v>3554</v>
      </c>
      <c r="N39" s="3384" t="s">
        <v>3589</v>
      </c>
      <c r="O39" s="3385" t="s">
        <v>3222</v>
      </c>
      <c r="P39" s="3378" t="s">
        <v>3223</v>
      </c>
      <c r="Q39" s="3398">
        <v>102883</v>
      </c>
      <c r="R39" s="3382" t="s">
        <v>3244</v>
      </c>
      <c r="S39" s="3387">
        <v>42005</v>
      </c>
      <c r="T39" s="3387">
        <v>43100</v>
      </c>
      <c r="U39" s="3388" t="s">
        <v>3225</v>
      </c>
      <c r="V39" s="3389">
        <v>7</v>
      </c>
      <c r="W39" s="3390">
        <f>2925000+75000-280000</f>
        <v>2720000</v>
      </c>
      <c r="X39" s="3390">
        <f>3000000+651000</f>
        <v>3651000</v>
      </c>
      <c r="Y39" s="3390"/>
      <c r="Z39" s="3390"/>
      <c r="AA39" s="3390"/>
      <c r="AB39" s="3390"/>
      <c r="AC39" s="3390"/>
      <c r="AD39" s="3390"/>
      <c r="AE39" s="3390"/>
      <c r="AF39" s="3390"/>
      <c r="AG39" s="3390"/>
      <c r="AH39" s="3391">
        <f t="shared" si="4"/>
        <v>6371000</v>
      </c>
      <c r="AI39" s="3390"/>
      <c r="AJ39" s="3390"/>
      <c r="AK39" s="3390"/>
      <c r="AL39" s="3391">
        <f t="shared" si="5"/>
        <v>6371000</v>
      </c>
      <c r="AM39" s="3395" t="s">
        <v>3228</v>
      </c>
    </row>
    <row r="40" spans="1:39" ht="28.5" customHeight="1">
      <c r="A40" s="3378" t="s">
        <v>3207</v>
      </c>
      <c r="B40" s="3378" t="s">
        <v>185</v>
      </c>
      <c r="C40" s="3378" t="s">
        <v>3399</v>
      </c>
      <c r="D40" s="3379" t="str">
        <f t="shared" si="0"/>
        <v>CS-64-2015</v>
      </c>
      <c r="E40" s="3400"/>
      <c r="F40" s="3400" t="s">
        <v>402</v>
      </c>
      <c r="G40" s="3401">
        <v>42096</v>
      </c>
      <c r="H40" s="3382">
        <v>100</v>
      </c>
      <c r="I40" s="3382"/>
      <c r="J40" s="3382" t="s">
        <v>3543</v>
      </c>
      <c r="K40" s="3382" t="s">
        <v>3551</v>
      </c>
      <c r="L40" s="3382">
        <v>10</v>
      </c>
      <c r="M40" s="3383" t="s">
        <v>3555</v>
      </c>
      <c r="N40" s="3384" t="s">
        <v>3590</v>
      </c>
      <c r="O40" s="3385" t="s">
        <v>3248</v>
      </c>
      <c r="P40" s="3382" t="s">
        <v>3249</v>
      </c>
      <c r="Q40" s="3386" t="s">
        <v>3250</v>
      </c>
      <c r="R40" s="3382" t="s">
        <v>3460</v>
      </c>
      <c r="S40" s="3387">
        <v>42019</v>
      </c>
      <c r="T40" s="3387">
        <v>42353</v>
      </c>
      <c r="U40" s="3388" t="s">
        <v>3264</v>
      </c>
      <c r="V40" s="3389">
        <v>8</v>
      </c>
      <c r="W40" s="3390">
        <f>6530000+4165000-4365000</f>
        <v>6330000</v>
      </c>
      <c r="X40" s="3390">
        <f>5190000-2020000+5206000</f>
        <v>8376000</v>
      </c>
      <c r="Y40" s="3390"/>
      <c r="Z40" s="3390"/>
      <c r="AA40" s="3390"/>
      <c r="AB40" s="3390"/>
      <c r="AC40" s="3390"/>
      <c r="AD40" s="3390"/>
      <c r="AE40" s="3390"/>
      <c r="AF40" s="3390"/>
      <c r="AG40" s="3390"/>
      <c r="AH40" s="3391">
        <f t="shared" si="4"/>
        <v>14706000</v>
      </c>
      <c r="AI40" s="3390"/>
      <c r="AJ40" s="3390"/>
      <c r="AK40" s="3390"/>
      <c r="AL40" s="3391">
        <f t="shared" si="5"/>
        <v>14706000</v>
      </c>
      <c r="AM40" s="3395" t="s">
        <v>3228</v>
      </c>
    </row>
    <row r="41" spans="1:39" ht="28.5" customHeight="1">
      <c r="A41" s="3378" t="s">
        <v>3207</v>
      </c>
      <c r="B41" s="3378" t="s">
        <v>185</v>
      </c>
      <c r="C41" s="3378" t="s">
        <v>3400</v>
      </c>
      <c r="D41" s="3379" t="str">
        <f t="shared" si="0"/>
        <v>CS-65-2015</v>
      </c>
      <c r="E41" s="3400"/>
      <c r="F41" s="3400" t="s">
        <v>402</v>
      </c>
      <c r="G41" s="3401">
        <v>42096</v>
      </c>
      <c r="H41" s="3382">
        <v>100</v>
      </c>
      <c r="I41" s="3382"/>
      <c r="J41" s="3382" t="s">
        <v>3546</v>
      </c>
      <c r="K41" s="3382" t="s">
        <v>3546</v>
      </c>
      <c r="L41" s="3382">
        <v>10</v>
      </c>
      <c r="M41" s="3383" t="s">
        <v>3556</v>
      </c>
      <c r="N41" s="3384" t="s">
        <v>3591</v>
      </c>
      <c r="O41" s="3385" t="s">
        <v>3255</v>
      </c>
      <c r="P41" s="3382" t="s">
        <v>3256</v>
      </c>
      <c r="Q41" s="3386" t="s">
        <v>3250</v>
      </c>
      <c r="R41" s="3382" t="s">
        <v>3253</v>
      </c>
      <c r="S41" s="3387">
        <v>42019</v>
      </c>
      <c r="T41" s="3387">
        <v>43084</v>
      </c>
      <c r="U41" s="3388" t="s">
        <v>3278</v>
      </c>
      <c r="V41" s="3389">
        <v>4</v>
      </c>
      <c r="W41" s="3390">
        <f>1060000-550000</f>
        <v>510000</v>
      </c>
      <c r="X41" s="3390">
        <f>1060000-550000</f>
        <v>510000</v>
      </c>
      <c r="Y41" s="3390"/>
      <c r="Z41" s="3390"/>
      <c r="AA41" s="3390"/>
      <c r="AB41" s="3390"/>
      <c r="AC41" s="3390"/>
      <c r="AD41" s="3390"/>
      <c r="AE41" s="3390"/>
      <c r="AF41" s="3390"/>
      <c r="AG41" s="3390"/>
      <c r="AH41" s="3391">
        <f t="shared" si="4"/>
        <v>1020000</v>
      </c>
      <c r="AI41" s="3390"/>
      <c r="AJ41" s="3390"/>
      <c r="AK41" s="3390"/>
      <c r="AL41" s="3391">
        <f t="shared" si="5"/>
        <v>1020000</v>
      </c>
      <c r="AM41" s="3395" t="s">
        <v>3228</v>
      </c>
    </row>
    <row r="42" spans="1:39" ht="28.5" customHeight="1">
      <c r="A42" s="3378" t="s">
        <v>3207</v>
      </c>
      <c r="B42" s="3378" t="s">
        <v>185</v>
      </c>
      <c r="C42" s="3378" t="s">
        <v>3401</v>
      </c>
      <c r="D42" s="3379" t="str">
        <f t="shared" si="0"/>
        <v>CS-66-2015</v>
      </c>
      <c r="E42" s="3400"/>
      <c r="F42" s="3400" t="s">
        <v>402</v>
      </c>
      <c r="G42" s="3401"/>
      <c r="H42" s="3382">
        <v>100</v>
      </c>
      <c r="I42" s="3382"/>
      <c r="J42" s="3382" t="s">
        <v>3543</v>
      </c>
      <c r="K42" s="3382" t="s">
        <v>600</v>
      </c>
      <c r="L42" s="3382">
        <v>50</v>
      </c>
      <c r="M42" s="3383" t="s">
        <v>3557</v>
      </c>
      <c r="N42" s="3384" t="s">
        <v>3557</v>
      </c>
      <c r="O42" s="3385" t="s">
        <v>3230</v>
      </c>
      <c r="P42" s="3382" t="s">
        <v>3231</v>
      </c>
      <c r="Q42" s="3386">
        <v>102964</v>
      </c>
      <c r="R42" s="3382" t="s">
        <v>3232</v>
      </c>
      <c r="S42" s="3387">
        <v>42258</v>
      </c>
      <c r="T42" s="3387">
        <v>42886</v>
      </c>
      <c r="U42" s="3388" t="s">
        <v>3278</v>
      </c>
      <c r="V42" s="3389">
        <v>4</v>
      </c>
      <c r="W42" s="3390">
        <f>1770000+135000-1100000</f>
        <v>805000</v>
      </c>
      <c r="X42" s="3390">
        <f>1700000+270000+1100000</f>
        <v>3070000</v>
      </c>
      <c r="Y42" s="3390">
        <v>25000</v>
      </c>
      <c r="Z42" s="3390"/>
      <c r="AA42" s="3390"/>
      <c r="AB42" s="3390"/>
      <c r="AC42" s="3390"/>
      <c r="AD42" s="3390"/>
      <c r="AE42" s="3390"/>
      <c r="AF42" s="3390"/>
      <c r="AG42" s="3390"/>
      <c r="AH42" s="3391">
        <f t="shared" si="4"/>
        <v>3900000</v>
      </c>
      <c r="AI42" s="3390"/>
      <c r="AJ42" s="3390"/>
      <c r="AK42" s="3390"/>
      <c r="AL42" s="3391">
        <f t="shared" si="5"/>
        <v>3900000</v>
      </c>
      <c r="AM42" s="3395" t="s">
        <v>3565</v>
      </c>
    </row>
    <row r="43" spans="1:39" ht="28.5" customHeight="1">
      <c r="A43" s="3378" t="s">
        <v>3207</v>
      </c>
      <c r="B43" s="3378" t="s">
        <v>185</v>
      </c>
      <c r="C43" s="3378" t="s">
        <v>3402</v>
      </c>
      <c r="D43" s="3379" t="str">
        <f t="shared" si="0"/>
        <v>CS-67-2015</v>
      </c>
      <c r="E43" s="3400"/>
      <c r="F43" s="3400" t="s">
        <v>402</v>
      </c>
      <c r="G43" s="3401"/>
      <c r="H43" s="3382">
        <v>100</v>
      </c>
      <c r="I43" s="3382"/>
      <c r="J43" s="3382" t="s">
        <v>3543</v>
      </c>
      <c r="K43" s="3382" t="s">
        <v>600</v>
      </c>
      <c r="L43" s="3382">
        <v>50</v>
      </c>
      <c r="M43" s="3383" t="s">
        <v>3558</v>
      </c>
      <c r="N43" s="3384" t="s">
        <v>3592</v>
      </c>
      <c r="O43" s="3385" t="s">
        <v>3234</v>
      </c>
      <c r="P43" s="3382" t="s">
        <v>3235</v>
      </c>
      <c r="Q43" s="3386" t="s">
        <v>3250</v>
      </c>
      <c r="R43" s="3382" t="s">
        <v>3232</v>
      </c>
      <c r="S43" s="3387">
        <v>42248</v>
      </c>
      <c r="T43" s="3387" t="s">
        <v>3250</v>
      </c>
      <c r="U43" s="3388" t="s">
        <v>3278</v>
      </c>
      <c r="V43" s="3389">
        <v>4</v>
      </c>
      <c r="W43" s="3390">
        <f>500000-500000</f>
        <v>0</v>
      </c>
      <c r="X43" s="3390"/>
      <c r="Y43" s="3390">
        <f>4500000+500000</f>
        <v>5000000</v>
      </c>
      <c r="Z43" s="3390"/>
      <c r="AA43" s="3390"/>
      <c r="AB43" s="3390"/>
      <c r="AC43" s="3390"/>
      <c r="AD43" s="3390"/>
      <c r="AE43" s="3390"/>
      <c r="AF43" s="3390"/>
      <c r="AG43" s="3390"/>
      <c r="AH43" s="3391">
        <f t="shared" si="4"/>
        <v>5000000</v>
      </c>
      <c r="AI43" s="3390"/>
      <c r="AJ43" s="3390"/>
      <c r="AK43" s="3390"/>
      <c r="AL43" s="3391">
        <f t="shared" si="5"/>
        <v>5000000</v>
      </c>
      <c r="AM43" s="3395" t="s">
        <v>3228</v>
      </c>
    </row>
    <row r="44" spans="1:39" ht="28.5" customHeight="1">
      <c r="A44" s="3378" t="s">
        <v>3207</v>
      </c>
      <c r="B44" s="3378" t="s">
        <v>185</v>
      </c>
      <c r="C44" s="3378" t="s">
        <v>3403</v>
      </c>
      <c r="D44" s="3379" t="str">
        <f t="shared" si="0"/>
        <v>CS-68-2015</v>
      </c>
      <c r="E44" s="3400"/>
      <c r="F44" s="3400" t="s">
        <v>402</v>
      </c>
      <c r="G44" s="3401"/>
      <c r="H44" s="3382">
        <v>100</v>
      </c>
      <c r="I44" s="3382"/>
      <c r="J44" s="3382" t="s">
        <v>3543</v>
      </c>
      <c r="K44" s="3382" t="s">
        <v>601</v>
      </c>
      <c r="L44" s="3382">
        <v>50</v>
      </c>
      <c r="M44" s="3383" t="s">
        <v>3559</v>
      </c>
      <c r="N44" s="3384" t="s">
        <v>3593</v>
      </c>
      <c r="O44" s="3385" t="s">
        <v>3222</v>
      </c>
      <c r="P44" s="3382" t="s">
        <v>3223</v>
      </c>
      <c r="Q44" s="3386">
        <v>102903</v>
      </c>
      <c r="R44" s="3382" t="s">
        <v>3244</v>
      </c>
      <c r="S44" s="3387">
        <v>42310</v>
      </c>
      <c r="T44" s="3387">
        <v>42979</v>
      </c>
      <c r="U44" s="3388" t="s">
        <v>3278</v>
      </c>
      <c r="V44" s="3389">
        <v>4</v>
      </c>
      <c r="W44" s="3390">
        <f>350000+1421000</f>
        <v>1771000</v>
      </c>
      <c r="X44" s="3390">
        <f>6000000-674000</f>
        <v>5326000</v>
      </c>
      <c r="Y44" s="3390"/>
      <c r="Z44" s="3390"/>
      <c r="AA44" s="3390"/>
      <c r="AB44" s="3390"/>
      <c r="AC44" s="3390"/>
      <c r="AD44" s="3390"/>
      <c r="AE44" s="3390"/>
      <c r="AF44" s="3390"/>
      <c r="AG44" s="3390"/>
      <c r="AH44" s="3391">
        <f t="shared" si="4"/>
        <v>7097000</v>
      </c>
      <c r="AI44" s="3390"/>
      <c r="AJ44" s="3390"/>
      <c r="AK44" s="3390"/>
      <c r="AL44" s="3391">
        <f t="shared" si="5"/>
        <v>7097000</v>
      </c>
      <c r="AM44" s="3395" t="s">
        <v>3228</v>
      </c>
    </row>
    <row r="45" spans="1:39" ht="28.5" customHeight="1">
      <c r="A45" s="3378" t="s">
        <v>3208</v>
      </c>
      <c r="B45" s="3378" t="s">
        <v>185</v>
      </c>
      <c r="C45" s="3378" t="s">
        <v>3404</v>
      </c>
      <c r="D45" s="3379" t="str">
        <f>CONCATENATE(B45,"-",C45,"-",A45)</f>
        <v>CS-69-2016</v>
      </c>
      <c r="E45" s="3400"/>
      <c r="F45" s="3400" t="s">
        <v>402</v>
      </c>
      <c r="G45" s="3401">
        <v>42495</v>
      </c>
      <c r="H45" s="3382">
        <v>100</v>
      </c>
      <c r="I45" s="3382"/>
      <c r="J45" s="3382" t="s">
        <v>3543</v>
      </c>
      <c r="K45" s="3382" t="s">
        <v>601</v>
      </c>
      <c r="L45" s="3382">
        <v>40</v>
      </c>
      <c r="M45" s="3383" t="s">
        <v>3560</v>
      </c>
      <c r="N45" s="3384" t="s">
        <v>3594</v>
      </c>
      <c r="O45" s="3385" t="s">
        <v>3222</v>
      </c>
      <c r="P45" s="3382" t="s">
        <v>3223</v>
      </c>
      <c r="Q45" s="3386" t="s">
        <v>3250</v>
      </c>
      <c r="R45" s="3382" t="s">
        <v>3250</v>
      </c>
      <c r="S45" s="3387">
        <v>43101</v>
      </c>
      <c r="T45" s="3387">
        <v>43466</v>
      </c>
      <c r="U45" s="3388" t="s">
        <v>3225</v>
      </c>
      <c r="V45" s="3389">
        <v>7</v>
      </c>
      <c r="W45" s="3390"/>
      <c r="X45" s="3390"/>
      <c r="Y45" s="3390">
        <v>3727169</v>
      </c>
      <c r="Z45" s="3390"/>
      <c r="AA45" s="3390"/>
      <c r="AB45" s="3390"/>
      <c r="AC45" s="3390"/>
      <c r="AD45" s="3390"/>
      <c r="AE45" s="3390"/>
      <c r="AF45" s="3390"/>
      <c r="AG45" s="3390"/>
      <c r="AH45" s="3391">
        <f>SUM(W45:AG45)</f>
        <v>3727169</v>
      </c>
      <c r="AI45" s="3390"/>
      <c r="AJ45" s="3390"/>
      <c r="AK45" s="3390"/>
      <c r="AL45" s="3391">
        <f>SUM(AH45:AK45)</f>
        <v>3727169</v>
      </c>
      <c r="AM45" s="3395" t="s">
        <v>3228</v>
      </c>
    </row>
    <row r="46" spans="1:39" ht="28.5" customHeight="1">
      <c r="A46" s="3378" t="s">
        <v>3208</v>
      </c>
      <c r="B46" s="3378" t="s">
        <v>185</v>
      </c>
      <c r="C46" s="3378" t="s">
        <v>3561</v>
      </c>
      <c r="D46" s="3379" t="str">
        <f>CONCATENATE(B46,"-",C46,"-",A46)</f>
        <v>CS-70-2016</v>
      </c>
      <c r="E46" s="3400"/>
      <c r="F46" s="3400"/>
      <c r="G46" s="3401">
        <v>42586</v>
      </c>
      <c r="H46" s="3382">
        <v>100</v>
      </c>
      <c r="I46" s="3382"/>
      <c r="J46" s="3382" t="s">
        <v>3543</v>
      </c>
      <c r="K46" s="3382" t="s">
        <v>601</v>
      </c>
      <c r="L46" s="3382">
        <v>20</v>
      </c>
      <c r="M46" s="3383" t="s">
        <v>3562</v>
      </c>
      <c r="N46" s="3384" t="s">
        <v>3595</v>
      </c>
      <c r="O46" s="3385" t="s">
        <v>3239</v>
      </c>
      <c r="P46" s="3382" t="s">
        <v>3240</v>
      </c>
      <c r="Q46" s="3386" t="s">
        <v>3250</v>
      </c>
      <c r="R46" s="3382" t="s">
        <v>3596</v>
      </c>
      <c r="S46" s="3387">
        <v>42614</v>
      </c>
      <c r="T46" s="3387">
        <v>48092</v>
      </c>
      <c r="U46" s="3388" t="s">
        <v>3260</v>
      </c>
      <c r="V46" s="3389">
        <v>2</v>
      </c>
      <c r="W46" s="3390">
        <v>189973</v>
      </c>
      <c r="X46" s="3390">
        <v>147973</v>
      </c>
      <c r="Y46" s="3390">
        <v>189973</v>
      </c>
      <c r="Z46" s="3390">
        <v>189973</v>
      </c>
      <c r="AA46" s="3390">
        <v>147973</v>
      </c>
      <c r="AB46" s="3390">
        <v>105973</v>
      </c>
      <c r="AC46" s="3390">
        <v>189973</v>
      </c>
      <c r="AD46" s="3390">
        <v>105973</v>
      </c>
      <c r="AE46" s="3390">
        <v>105973</v>
      </c>
      <c r="AF46" s="3390">
        <v>105973</v>
      </c>
      <c r="AG46" s="3390">
        <v>52986</v>
      </c>
      <c r="AH46" s="3391">
        <f>SUM(W46:AG46)</f>
        <v>1532716</v>
      </c>
      <c r="AI46" s="3390">
        <v>52986</v>
      </c>
      <c r="AJ46" s="3390">
        <v>52986</v>
      </c>
      <c r="AK46" s="3390">
        <v>52986</v>
      </c>
      <c r="AL46" s="3391">
        <f>SUM(AH46:AK46)</f>
        <v>1691674</v>
      </c>
      <c r="AM46" s="3395" t="s">
        <v>3308</v>
      </c>
    </row>
    <row r="47" spans="1:39" ht="28.5" customHeight="1">
      <c r="A47" s="3378">
        <v>2011</v>
      </c>
      <c r="B47" s="3378" t="s">
        <v>3309</v>
      </c>
      <c r="C47" s="3378">
        <v>1</v>
      </c>
      <c r="D47" s="3379" t="str">
        <f t="shared" si="0"/>
        <v>HYD-1-2011</v>
      </c>
      <c r="E47" s="3400"/>
      <c r="F47" s="3400"/>
      <c r="G47" s="3401">
        <v>40624</v>
      </c>
      <c r="H47" s="3382"/>
      <c r="I47" s="3382">
        <v>100</v>
      </c>
      <c r="J47" s="3382" t="s">
        <v>3583</v>
      </c>
      <c r="K47" s="3382" t="s">
        <v>3584</v>
      </c>
      <c r="L47" s="3382">
        <v>35</v>
      </c>
      <c r="M47" s="3383" t="s">
        <v>1876</v>
      </c>
      <c r="N47" s="3384" t="s">
        <v>3310</v>
      </c>
      <c r="O47" s="3385" t="s">
        <v>3311</v>
      </c>
      <c r="P47" s="3382" t="s">
        <v>3312</v>
      </c>
      <c r="Q47" s="3386" t="s">
        <v>3313</v>
      </c>
      <c r="R47" s="3382" t="s">
        <v>3314</v>
      </c>
      <c r="S47" s="3387">
        <v>39448</v>
      </c>
      <c r="T47" s="3387">
        <v>43800</v>
      </c>
      <c r="U47" s="3388" t="s">
        <v>3315</v>
      </c>
      <c r="V47" s="3389">
        <v>12</v>
      </c>
      <c r="W47" s="3390">
        <f>440000-178500</f>
        <v>261500</v>
      </c>
      <c r="X47" s="3390">
        <f>60000+201500</f>
        <v>261500</v>
      </c>
      <c r="Y47" s="3390">
        <v>261500</v>
      </c>
      <c r="Z47" s="3390">
        <v>261500</v>
      </c>
      <c r="AA47" s="3390"/>
      <c r="AB47" s="3390"/>
      <c r="AC47" s="3390"/>
      <c r="AD47" s="3390"/>
      <c r="AE47" s="3390"/>
      <c r="AF47" s="3390"/>
      <c r="AG47" s="3390"/>
      <c r="AH47" s="3391">
        <f t="shared" si="4"/>
        <v>1046000</v>
      </c>
      <c r="AI47" s="3390"/>
      <c r="AJ47" s="3390"/>
      <c r="AK47" s="3390"/>
      <c r="AL47" s="3391">
        <f t="shared" si="5"/>
        <v>1046000</v>
      </c>
      <c r="AM47" s="3395" t="s">
        <v>3228</v>
      </c>
    </row>
    <row r="48" spans="1:39" ht="28.5" customHeight="1">
      <c r="A48" s="3378">
        <v>2011</v>
      </c>
      <c r="B48" s="3378" t="s">
        <v>3309</v>
      </c>
      <c r="C48" s="3378">
        <v>2</v>
      </c>
      <c r="D48" s="3379" t="str">
        <f t="shared" si="0"/>
        <v>HYD-2-2011</v>
      </c>
      <c r="E48" s="3380"/>
      <c r="F48" s="3380" t="s">
        <v>402</v>
      </c>
      <c r="G48" s="3381">
        <v>40624</v>
      </c>
      <c r="H48" s="3382"/>
      <c r="I48" s="3382">
        <v>100</v>
      </c>
      <c r="J48" s="3382" t="s">
        <v>3583</v>
      </c>
      <c r="K48" s="3382" t="s">
        <v>3584</v>
      </c>
      <c r="L48" s="3382">
        <v>50</v>
      </c>
      <c r="M48" s="3383" t="s">
        <v>1877</v>
      </c>
      <c r="N48" s="3384" t="s">
        <v>3316</v>
      </c>
      <c r="O48" s="3385" t="s">
        <v>3317</v>
      </c>
      <c r="P48" s="3382" t="s">
        <v>3318</v>
      </c>
      <c r="Q48" s="3386" t="s">
        <v>3319</v>
      </c>
      <c r="R48" s="3382" t="s">
        <v>3314</v>
      </c>
      <c r="S48" s="3387">
        <v>39965</v>
      </c>
      <c r="T48" s="3387">
        <v>42185</v>
      </c>
      <c r="U48" s="3388" t="s">
        <v>3225</v>
      </c>
      <c r="V48" s="3389">
        <v>7</v>
      </c>
      <c r="W48" s="3390"/>
      <c r="X48" s="3390"/>
      <c r="Y48" s="3390"/>
      <c r="Z48" s="3390"/>
      <c r="AA48" s="3390"/>
      <c r="AB48" s="3390"/>
      <c r="AC48" s="3390"/>
      <c r="AD48" s="3390"/>
      <c r="AE48" s="3390"/>
      <c r="AF48" s="3390"/>
      <c r="AG48" s="3390"/>
      <c r="AH48" s="3391">
        <f t="shared" si="4"/>
        <v>0</v>
      </c>
      <c r="AI48" s="3390"/>
      <c r="AJ48" s="3390"/>
      <c r="AK48" s="3390"/>
      <c r="AL48" s="3391">
        <f t="shared" si="5"/>
        <v>0</v>
      </c>
      <c r="AM48" s="3395" t="s">
        <v>3228</v>
      </c>
    </row>
    <row r="49" spans="1:39" ht="28.5" customHeight="1">
      <c r="A49" s="3378">
        <v>2011</v>
      </c>
      <c r="B49" s="3378" t="s">
        <v>3309</v>
      </c>
      <c r="C49" s="3378">
        <v>3</v>
      </c>
      <c r="D49" s="3379" t="str">
        <f t="shared" si="0"/>
        <v>HYD-3-2011</v>
      </c>
      <c r="E49" s="3380"/>
      <c r="F49" s="3380"/>
      <c r="G49" s="3381">
        <v>40653</v>
      </c>
      <c r="H49" s="3382"/>
      <c r="I49" s="3382">
        <v>100</v>
      </c>
      <c r="J49" s="3382" t="s">
        <v>3583</v>
      </c>
      <c r="K49" s="3382" t="s">
        <v>3584</v>
      </c>
      <c r="L49" s="3382">
        <v>35</v>
      </c>
      <c r="M49" s="3383" t="s">
        <v>1878</v>
      </c>
      <c r="N49" s="3384" t="s">
        <v>3320</v>
      </c>
      <c r="O49" s="3385" t="s">
        <v>3321</v>
      </c>
      <c r="P49" s="3382" t="s">
        <v>3322</v>
      </c>
      <c r="Q49" s="3403" t="s">
        <v>3323</v>
      </c>
      <c r="R49" s="3382" t="s">
        <v>3324</v>
      </c>
      <c r="S49" s="3387">
        <v>40210</v>
      </c>
      <c r="T49" s="3387">
        <v>43556</v>
      </c>
      <c r="U49" s="3388" t="s">
        <v>3233</v>
      </c>
      <c r="V49" s="3389">
        <v>6</v>
      </c>
      <c r="W49" s="3390">
        <f>25000-25000</f>
        <v>0</v>
      </c>
      <c r="X49" s="3390">
        <f>25000-25000</f>
        <v>0</v>
      </c>
      <c r="Y49" s="3390">
        <f>25000-25000</f>
        <v>0</v>
      </c>
      <c r="Z49" s="3390">
        <f>25000-25000</f>
        <v>0</v>
      </c>
      <c r="AA49" s="3390"/>
      <c r="AB49" s="3390"/>
      <c r="AC49" s="3390"/>
      <c r="AD49" s="3390"/>
      <c r="AE49" s="3390"/>
      <c r="AF49" s="3390"/>
      <c r="AG49" s="3390"/>
      <c r="AH49" s="3391">
        <f t="shared" si="4"/>
        <v>0</v>
      </c>
      <c r="AI49" s="3390"/>
      <c r="AJ49" s="3390"/>
      <c r="AK49" s="3390"/>
      <c r="AL49" s="3391">
        <f t="shared" si="5"/>
        <v>0</v>
      </c>
      <c r="AM49" s="3395" t="s">
        <v>3228</v>
      </c>
    </row>
    <row r="50" spans="1:39" ht="28.5" customHeight="1">
      <c r="A50" s="3378" t="s">
        <v>1080</v>
      </c>
      <c r="B50" s="3378" t="s">
        <v>3309</v>
      </c>
      <c r="C50" s="3378">
        <v>6</v>
      </c>
      <c r="D50" s="3379" t="str">
        <f t="shared" si="0"/>
        <v>HYD-6-2011</v>
      </c>
      <c r="E50" s="3380"/>
      <c r="F50" s="3380" t="s">
        <v>402</v>
      </c>
      <c r="G50" s="3381">
        <v>40624</v>
      </c>
      <c r="H50" s="3382"/>
      <c r="I50" s="3382">
        <v>100</v>
      </c>
      <c r="J50" s="3382" t="s">
        <v>3597</v>
      </c>
      <c r="K50" s="3382" t="s">
        <v>3598</v>
      </c>
      <c r="L50" s="3382">
        <v>50</v>
      </c>
      <c r="M50" s="3383" t="s">
        <v>1879</v>
      </c>
      <c r="N50" s="3384" t="s">
        <v>3327</v>
      </c>
      <c r="O50" s="3385" t="s">
        <v>3328</v>
      </c>
      <c r="P50" s="3382" t="s">
        <v>3329</v>
      </c>
      <c r="Q50" s="3386" t="s">
        <v>3330</v>
      </c>
      <c r="R50" s="3382" t="s">
        <v>3599</v>
      </c>
      <c r="S50" s="3387">
        <v>33604</v>
      </c>
      <c r="T50" s="3387">
        <v>43646</v>
      </c>
      <c r="U50" s="3388" t="s">
        <v>3388</v>
      </c>
      <c r="V50" s="3389">
        <v>3</v>
      </c>
      <c r="W50" s="3390">
        <f>130000+47000+18000</f>
        <v>195000</v>
      </c>
      <c r="X50" s="3390">
        <f>390000-3000-19000</f>
        <v>368000</v>
      </c>
      <c r="Y50" s="3390">
        <f>390000-71000-24000</f>
        <v>295000</v>
      </c>
      <c r="Z50" s="3390">
        <f>110000-95000</f>
        <v>15000</v>
      </c>
      <c r="AA50" s="3390"/>
      <c r="AB50" s="3390"/>
      <c r="AC50" s="3390"/>
      <c r="AD50" s="3390"/>
      <c r="AE50" s="3390"/>
      <c r="AF50" s="3390"/>
      <c r="AG50" s="3390"/>
      <c r="AH50" s="3391">
        <f t="shared" si="4"/>
        <v>873000</v>
      </c>
      <c r="AI50" s="3390"/>
      <c r="AJ50" s="3390"/>
      <c r="AK50" s="3390"/>
      <c r="AL50" s="3391">
        <f t="shared" si="5"/>
        <v>873000</v>
      </c>
      <c r="AM50" s="3395" t="s">
        <v>3228</v>
      </c>
    </row>
    <row r="51" spans="1:39" ht="28.5" customHeight="1">
      <c r="A51" s="3378">
        <v>2011</v>
      </c>
      <c r="B51" s="3378" t="s">
        <v>3309</v>
      </c>
      <c r="C51" s="3378">
        <v>7</v>
      </c>
      <c r="D51" s="3379" t="str">
        <f t="shared" si="0"/>
        <v>HYD-7-2011</v>
      </c>
      <c r="E51" s="3380"/>
      <c r="F51" s="3380" t="s">
        <v>402</v>
      </c>
      <c r="G51" s="3381">
        <v>40624</v>
      </c>
      <c r="H51" s="3382"/>
      <c r="I51" s="3382">
        <v>100</v>
      </c>
      <c r="J51" s="3382" t="s">
        <v>3597</v>
      </c>
      <c r="K51" s="3382" t="s">
        <v>3598</v>
      </c>
      <c r="L51" s="3382">
        <v>50</v>
      </c>
      <c r="M51" s="3383" t="s">
        <v>1880</v>
      </c>
      <c r="N51" s="3384" t="s">
        <v>3332</v>
      </c>
      <c r="O51" s="3385" t="s">
        <v>3333</v>
      </c>
      <c r="P51" s="3382" t="s">
        <v>3334</v>
      </c>
      <c r="Q51" s="3386" t="s">
        <v>3335</v>
      </c>
      <c r="R51" s="3382" t="s">
        <v>3387</v>
      </c>
      <c r="S51" s="3387">
        <v>36892</v>
      </c>
      <c r="T51" s="3387">
        <v>43800</v>
      </c>
      <c r="U51" s="3388" t="s">
        <v>3388</v>
      </c>
      <c r="V51" s="3389">
        <v>3</v>
      </c>
      <c r="W51" s="3390">
        <f>19452088+2707061+1770261-2376578+58849-24000</f>
        <v>21587681</v>
      </c>
      <c r="X51" s="3390">
        <f>18959493+8277307-5734831-5149732+1687665-1091000</f>
        <v>16948902</v>
      </c>
      <c r="Y51" s="3390">
        <f>2074892+4142350-4661602+13464571-8665901+1813000</f>
        <v>8167310</v>
      </c>
      <c r="Z51" s="3390">
        <f>100000+3226048-507977+654000</f>
        <v>3472071</v>
      </c>
      <c r="AA51" s="3390">
        <v>50000</v>
      </c>
      <c r="AB51" s="3390"/>
      <c r="AC51" s="3390"/>
      <c r="AD51" s="3390"/>
      <c r="AE51" s="3390"/>
      <c r="AF51" s="3390"/>
      <c r="AG51" s="3390"/>
      <c r="AH51" s="3391">
        <f t="shared" si="4"/>
        <v>50225964</v>
      </c>
      <c r="AI51" s="3390"/>
      <c r="AJ51" s="3390"/>
      <c r="AK51" s="3390"/>
      <c r="AL51" s="3391">
        <f t="shared" si="5"/>
        <v>50225964</v>
      </c>
      <c r="AM51" s="3395" t="s">
        <v>3228</v>
      </c>
    </row>
    <row r="52" spans="1:39" ht="27.75" customHeight="1">
      <c r="A52" s="3378">
        <v>2011</v>
      </c>
      <c r="B52" s="3378" t="s">
        <v>3309</v>
      </c>
      <c r="C52" s="3378">
        <v>8</v>
      </c>
      <c r="D52" s="3379" t="str">
        <f t="shared" si="0"/>
        <v>HYD-8-2011</v>
      </c>
      <c r="E52" s="3380"/>
      <c r="F52" s="3380" t="s">
        <v>402</v>
      </c>
      <c r="G52" s="3381">
        <v>40653</v>
      </c>
      <c r="H52" s="3382"/>
      <c r="I52" s="3382">
        <v>100</v>
      </c>
      <c r="J52" s="3382" t="s">
        <v>3583</v>
      </c>
      <c r="K52" s="3382" t="s">
        <v>3584</v>
      </c>
      <c r="L52" s="3382">
        <v>40</v>
      </c>
      <c r="M52" s="3383" t="s">
        <v>1881</v>
      </c>
      <c r="N52" s="3384" t="s">
        <v>3336</v>
      </c>
      <c r="O52" s="3385" t="s">
        <v>3337</v>
      </c>
      <c r="P52" s="3382" t="s">
        <v>3338</v>
      </c>
      <c r="Q52" s="3386" t="s">
        <v>3339</v>
      </c>
      <c r="R52" s="3382" t="s">
        <v>3340</v>
      </c>
      <c r="S52" s="3387">
        <v>40575</v>
      </c>
      <c r="T52" s="3387">
        <v>43983</v>
      </c>
      <c r="U52" s="3388" t="s">
        <v>3260</v>
      </c>
      <c r="V52" s="3389">
        <v>2</v>
      </c>
      <c r="W52" s="3390">
        <f>1360000+1430000-450000-491000+3087000+852000</f>
        <v>5788000</v>
      </c>
      <c r="X52" s="3390">
        <f>1360000+1430000-1433000+491000+2320000+600000</f>
        <v>4768000</v>
      </c>
      <c r="Y52" s="3390">
        <f>1360000+40000+1390000-17000+1259000+263000</f>
        <v>4295000</v>
      </c>
      <c r="Z52" s="3390">
        <f>150000+1250000+1356000+17000+101000+214000</f>
        <v>3088000</v>
      </c>
      <c r="AA52" s="3390">
        <f>157000+1229000-1386000</f>
        <v>0</v>
      </c>
      <c r="AB52" s="3390"/>
      <c r="AC52" s="3390"/>
      <c r="AD52" s="3390"/>
      <c r="AE52" s="3390"/>
      <c r="AF52" s="3390"/>
      <c r="AG52" s="3390"/>
      <c r="AH52" s="3391">
        <f t="shared" si="4"/>
        <v>17939000</v>
      </c>
      <c r="AI52" s="3390"/>
      <c r="AJ52" s="3390"/>
      <c r="AK52" s="3390"/>
      <c r="AL52" s="3391">
        <f t="shared" si="5"/>
        <v>17939000</v>
      </c>
      <c r="AM52" s="3395" t="s">
        <v>3228</v>
      </c>
    </row>
    <row r="53" spans="1:39" ht="27.75" customHeight="1">
      <c r="A53" s="3378">
        <v>2011</v>
      </c>
      <c r="B53" s="3378" t="s">
        <v>3309</v>
      </c>
      <c r="C53" s="3378">
        <v>11</v>
      </c>
      <c r="D53" s="3379" t="str">
        <f t="shared" si="0"/>
        <v>HYD-11-2011</v>
      </c>
      <c r="E53" s="3380"/>
      <c r="F53" s="3380" t="s">
        <v>402</v>
      </c>
      <c r="G53" s="3381">
        <v>40653</v>
      </c>
      <c r="H53" s="3382"/>
      <c r="I53" s="3382">
        <v>100</v>
      </c>
      <c r="J53" s="3382" t="s">
        <v>3583</v>
      </c>
      <c r="K53" s="3382" t="s">
        <v>3584</v>
      </c>
      <c r="L53" s="3382">
        <v>35</v>
      </c>
      <c r="M53" s="3383" t="s">
        <v>1884</v>
      </c>
      <c r="N53" s="3384" t="s">
        <v>3345</v>
      </c>
      <c r="O53" s="3385" t="s">
        <v>3346</v>
      </c>
      <c r="P53" s="3382" t="s">
        <v>3347</v>
      </c>
      <c r="Q53" s="3386">
        <v>102371</v>
      </c>
      <c r="R53" s="3382" t="s">
        <v>3365</v>
      </c>
      <c r="S53" s="3387">
        <v>40603</v>
      </c>
      <c r="T53" s="3387">
        <v>44470</v>
      </c>
      <c r="U53" s="3388" t="s">
        <v>3233</v>
      </c>
      <c r="V53" s="3389">
        <v>6</v>
      </c>
      <c r="W53" s="3390"/>
      <c r="X53" s="3390">
        <v>150000</v>
      </c>
      <c r="Y53" s="3390">
        <f>2000000-1000000</f>
        <v>1000000</v>
      </c>
      <c r="Z53" s="3390"/>
      <c r="AA53" s="3390"/>
      <c r="AB53" s="3390"/>
      <c r="AC53" s="3390"/>
      <c r="AD53" s="3390"/>
      <c r="AE53" s="3390"/>
      <c r="AF53" s="3390"/>
      <c r="AG53" s="3390"/>
      <c r="AH53" s="3391">
        <f t="shared" si="4"/>
        <v>1150000</v>
      </c>
      <c r="AI53" s="3390"/>
      <c r="AJ53" s="3390"/>
      <c r="AK53" s="3390"/>
      <c r="AL53" s="3391">
        <f t="shared" si="5"/>
        <v>1150000</v>
      </c>
      <c r="AM53" s="3395" t="s">
        <v>3228</v>
      </c>
    </row>
    <row r="54" spans="1:39" ht="27.75" customHeight="1">
      <c r="A54" s="3378">
        <v>2011</v>
      </c>
      <c r="B54" s="3378" t="s">
        <v>3309</v>
      </c>
      <c r="C54" s="3378">
        <v>12</v>
      </c>
      <c r="D54" s="3379" t="str">
        <f t="shared" si="0"/>
        <v>HYD-12-2011</v>
      </c>
      <c r="E54" s="3380" t="s">
        <v>402</v>
      </c>
      <c r="F54" s="3380"/>
      <c r="G54" s="3381">
        <v>40662</v>
      </c>
      <c r="H54" s="3382"/>
      <c r="I54" s="3382">
        <v>100</v>
      </c>
      <c r="J54" s="3382" t="s">
        <v>3583</v>
      </c>
      <c r="K54" s="3382" t="s">
        <v>3584</v>
      </c>
      <c r="L54" s="3382">
        <v>10</v>
      </c>
      <c r="M54" s="3383" t="s">
        <v>1885</v>
      </c>
      <c r="N54" s="3384" t="s">
        <v>3348</v>
      </c>
      <c r="O54" s="3385" t="s">
        <v>3275</v>
      </c>
      <c r="P54" s="3382" t="s">
        <v>3276</v>
      </c>
      <c r="Q54" s="3386">
        <v>102418</v>
      </c>
      <c r="R54" s="3382" t="s">
        <v>3600</v>
      </c>
      <c r="S54" s="3387" t="s">
        <v>3192</v>
      </c>
      <c r="T54" s="3387" t="s">
        <v>3192</v>
      </c>
      <c r="U54" s="3388" t="s">
        <v>3225</v>
      </c>
      <c r="V54" s="3389">
        <v>7</v>
      </c>
      <c r="W54" s="3390">
        <f t="shared" ref="W54:AF54" si="6">113000-63000</f>
        <v>50000</v>
      </c>
      <c r="X54" s="3390">
        <f t="shared" si="6"/>
        <v>50000</v>
      </c>
      <c r="Y54" s="3390">
        <f t="shared" si="6"/>
        <v>50000</v>
      </c>
      <c r="Z54" s="3390">
        <f t="shared" si="6"/>
        <v>50000</v>
      </c>
      <c r="AA54" s="3390">
        <f t="shared" si="6"/>
        <v>50000</v>
      </c>
      <c r="AB54" s="3390">
        <f t="shared" si="6"/>
        <v>50000</v>
      </c>
      <c r="AC54" s="3390">
        <f t="shared" si="6"/>
        <v>50000</v>
      </c>
      <c r="AD54" s="3390">
        <f t="shared" si="6"/>
        <v>50000</v>
      </c>
      <c r="AE54" s="3390">
        <f t="shared" si="6"/>
        <v>50000</v>
      </c>
      <c r="AF54" s="3390">
        <f t="shared" si="6"/>
        <v>50000</v>
      </c>
      <c r="AG54" s="3390">
        <v>50000</v>
      </c>
      <c r="AH54" s="3391">
        <f t="shared" si="4"/>
        <v>550000</v>
      </c>
      <c r="AI54" s="3390">
        <v>50000</v>
      </c>
      <c r="AJ54" s="3390">
        <v>50000</v>
      </c>
      <c r="AK54" s="3390">
        <v>50000</v>
      </c>
      <c r="AL54" s="3391">
        <f t="shared" si="5"/>
        <v>700000</v>
      </c>
      <c r="AM54" s="3395" t="s">
        <v>3228</v>
      </c>
    </row>
    <row r="55" spans="1:39" ht="27.75" customHeight="1">
      <c r="A55" s="3378">
        <v>2011</v>
      </c>
      <c r="B55" s="3378" t="s">
        <v>3309</v>
      </c>
      <c r="C55" s="3378">
        <v>13</v>
      </c>
      <c r="D55" s="3379" t="str">
        <f t="shared" si="0"/>
        <v>HYD-13-2011</v>
      </c>
      <c r="E55" s="3380"/>
      <c r="F55" s="3380" t="s">
        <v>402</v>
      </c>
      <c r="G55" s="3381">
        <v>40662</v>
      </c>
      <c r="H55" s="3382"/>
      <c r="I55" s="3382">
        <v>100</v>
      </c>
      <c r="J55" s="3382" t="s">
        <v>3583</v>
      </c>
      <c r="K55" s="3382" t="s">
        <v>3584</v>
      </c>
      <c r="L55" s="3382">
        <v>100</v>
      </c>
      <c r="M55" s="3383" t="s">
        <v>3601</v>
      </c>
      <c r="N55" s="3384" t="s">
        <v>3349</v>
      </c>
      <c r="O55" s="3385" t="s">
        <v>3350</v>
      </c>
      <c r="P55" s="3382" t="s">
        <v>3351</v>
      </c>
      <c r="Q55" s="3386">
        <v>101983</v>
      </c>
      <c r="R55" s="3382" t="s">
        <v>3344</v>
      </c>
      <c r="S55" s="3387">
        <v>40575</v>
      </c>
      <c r="T55" s="3387">
        <v>44196</v>
      </c>
      <c r="U55" s="3388" t="s">
        <v>3260</v>
      </c>
      <c r="V55" s="3389">
        <v>2</v>
      </c>
      <c r="W55" s="3390">
        <f>200000+100000</f>
        <v>300000</v>
      </c>
      <c r="X55" s="3390">
        <f>700000-500000</f>
        <v>200000</v>
      </c>
      <c r="Y55" s="3390">
        <f>700000-700000</f>
        <v>0</v>
      </c>
      <c r="Z55" s="3390">
        <f>700000-700000</f>
        <v>0</v>
      </c>
      <c r="AA55" s="3390">
        <f>700000-700000</f>
        <v>0</v>
      </c>
      <c r="AB55" s="3390"/>
      <c r="AC55" s="3390"/>
      <c r="AD55" s="3390"/>
      <c r="AE55" s="3390"/>
      <c r="AF55" s="3390"/>
      <c r="AG55" s="3390"/>
      <c r="AH55" s="3391">
        <f t="shared" si="4"/>
        <v>500000</v>
      </c>
      <c r="AI55" s="3390"/>
      <c r="AJ55" s="3390"/>
      <c r="AK55" s="3390"/>
      <c r="AL55" s="3391">
        <f t="shared" si="5"/>
        <v>500000</v>
      </c>
      <c r="AM55" s="3395" t="s">
        <v>3228</v>
      </c>
    </row>
    <row r="56" spans="1:39" ht="27.75" customHeight="1">
      <c r="A56" s="3378">
        <v>2011</v>
      </c>
      <c r="B56" s="3378" t="s">
        <v>3309</v>
      </c>
      <c r="C56" s="3378">
        <v>14</v>
      </c>
      <c r="D56" s="3379" t="str">
        <f t="shared" si="0"/>
        <v>HYD-14-2011</v>
      </c>
      <c r="E56" s="3380"/>
      <c r="F56" s="3380" t="s">
        <v>402</v>
      </c>
      <c r="G56" s="3381">
        <v>40624</v>
      </c>
      <c r="H56" s="3382"/>
      <c r="I56" s="3382">
        <v>100</v>
      </c>
      <c r="J56" s="3382" t="s">
        <v>3583</v>
      </c>
      <c r="K56" s="3382" t="s">
        <v>3584</v>
      </c>
      <c r="L56" s="3382">
        <v>100</v>
      </c>
      <c r="M56" s="3383" t="s">
        <v>1886</v>
      </c>
      <c r="N56" s="3384" t="s">
        <v>3352</v>
      </c>
      <c r="O56" s="3385" t="s">
        <v>3350</v>
      </c>
      <c r="P56" s="3382" t="s">
        <v>3351</v>
      </c>
      <c r="Q56" s="3386">
        <v>102663</v>
      </c>
      <c r="R56" s="3382" t="s">
        <v>3344</v>
      </c>
      <c r="S56" s="3387">
        <v>40575</v>
      </c>
      <c r="T56" s="3387">
        <v>43465</v>
      </c>
      <c r="U56" s="3388" t="s">
        <v>3260</v>
      </c>
      <c r="V56" s="3389">
        <v>2</v>
      </c>
      <c r="W56" s="3390">
        <f>14000000-6000000-6000000-1500000</f>
        <v>500000</v>
      </c>
      <c r="X56" s="3390">
        <f>14000000-6500000-500000</f>
        <v>7000000</v>
      </c>
      <c r="Y56" s="3390">
        <f>13500000-7500000</f>
        <v>6000000</v>
      </c>
      <c r="Z56" s="3390"/>
      <c r="AA56" s="3390"/>
      <c r="AB56" s="3390"/>
      <c r="AC56" s="3390"/>
      <c r="AD56" s="3390"/>
      <c r="AE56" s="3390"/>
      <c r="AF56" s="3390"/>
      <c r="AG56" s="3390"/>
      <c r="AH56" s="3391">
        <f t="shared" si="4"/>
        <v>13500000</v>
      </c>
      <c r="AI56" s="3390"/>
      <c r="AJ56" s="3390"/>
      <c r="AK56" s="3390"/>
      <c r="AL56" s="3391">
        <f t="shared" si="5"/>
        <v>13500000</v>
      </c>
      <c r="AM56" s="3395" t="s">
        <v>3228</v>
      </c>
    </row>
    <row r="57" spans="1:39" ht="27.75" customHeight="1">
      <c r="A57" s="3378">
        <v>2011</v>
      </c>
      <c r="B57" s="3378" t="s">
        <v>3309</v>
      </c>
      <c r="C57" s="3378">
        <v>16</v>
      </c>
      <c r="D57" s="3379" t="str">
        <f t="shared" si="0"/>
        <v>HYD-16-2011</v>
      </c>
      <c r="E57" s="3380"/>
      <c r="F57" s="3380" t="s">
        <v>402</v>
      </c>
      <c r="G57" s="3381">
        <v>40624</v>
      </c>
      <c r="H57" s="3382"/>
      <c r="I57" s="3382">
        <v>100</v>
      </c>
      <c r="J57" s="3382" t="s">
        <v>3583</v>
      </c>
      <c r="K57" s="3382" t="s">
        <v>3584</v>
      </c>
      <c r="L57" s="3382">
        <v>100</v>
      </c>
      <c r="M57" s="3383" t="s">
        <v>1887</v>
      </c>
      <c r="N57" s="3384" t="s">
        <v>3353</v>
      </c>
      <c r="O57" s="3385" t="s">
        <v>3354</v>
      </c>
      <c r="P57" s="3382" t="s">
        <v>3355</v>
      </c>
      <c r="Q57" s="3386" t="s">
        <v>3356</v>
      </c>
      <c r="R57" s="3382" t="s">
        <v>3344</v>
      </c>
      <c r="S57" s="3387">
        <v>40575</v>
      </c>
      <c r="T57" s="3387">
        <v>42155</v>
      </c>
      <c r="U57" s="3388" t="s">
        <v>3260</v>
      </c>
      <c r="V57" s="3389">
        <v>2</v>
      </c>
      <c r="W57" s="3390">
        <f>500000+750000</f>
        <v>1250000</v>
      </c>
      <c r="X57" s="3390">
        <f>250000+1000000</f>
        <v>1250000</v>
      </c>
      <c r="Y57" s="3390"/>
      <c r="Z57" s="3390"/>
      <c r="AA57" s="3390"/>
      <c r="AB57" s="3390"/>
      <c r="AC57" s="3390"/>
      <c r="AD57" s="3390"/>
      <c r="AE57" s="3390"/>
      <c r="AF57" s="3390"/>
      <c r="AG57" s="3390"/>
      <c r="AH57" s="3391">
        <f t="shared" si="4"/>
        <v>2500000</v>
      </c>
      <c r="AI57" s="3390"/>
      <c r="AJ57" s="3390"/>
      <c r="AK57" s="3390"/>
      <c r="AL57" s="3391">
        <f t="shared" si="5"/>
        <v>2500000</v>
      </c>
      <c r="AM57" s="3395" t="s">
        <v>3228</v>
      </c>
    </row>
    <row r="58" spans="1:39" ht="28.5" customHeight="1">
      <c r="A58" s="3378">
        <v>2011</v>
      </c>
      <c r="B58" s="3378" t="s">
        <v>3309</v>
      </c>
      <c r="C58" s="3378">
        <v>18</v>
      </c>
      <c r="D58" s="3379" t="str">
        <f t="shared" si="0"/>
        <v>HYD-18-2011</v>
      </c>
      <c r="E58" s="3380"/>
      <c r="F58" s="3380"/>
      <c r="G58" s="3381">
        <v>40624</v>
      </c>
      <c r="H58" s="3382"/>
      <c r="I58" s="3382">
        <v>100</v>
      </c>
      <c r="J58" s="3382" t="s">
        <v>3583</v>
      </c>
      <c r="K58" s="3382" t="s">
        <v>3584</v>
      </c>
      <c r="L58" s="3382">
        <v>100</v>
      </c>
      <c r="M58" s="3383" t="s">
        <v>1888</v>
      </c>
      <c r="N58" s="3384" t="s">
        <v>3357</v>
      </c>
      <c r="O58" s="3385" t="s">
        <v>3354</v>
      </c>
      <c r="P58" s="3382" t="s">
        <v>3355</v>
      </c>
      <c r="Q58" s="3386">
        <v>102664</v>
      </c>
      <c r="R58" s="3382" t="s">
        <v>3344</v>
      </c>
      <c r="S58" s="3387">
        <v>40575</v>
      </c>
      <c r="T58" s="3387">
        <v>42277</v>
      </c>
      <c r="U58" s="3388" t="s">
        <v>3233</v>
      </c>
      <c r="V58" s="3389">
        <v>6</v>
      </c>
      <c r="W58" s="3390">
        <v>0</v>
      </c>
      <c r="X58" s="3390">
        <v>0</v>
      </c>
      <c r="Y58" s="3390">
        <v>0</v>
      </c>
      <c r="Z58" s="3390">
        <v>0</v>
      </c>
      <c r="AA58" s="3390"/>
      <c r="AB58" s="3390"/>
      <c r="AC58" s="3390"/>
      <c r="AD58" s="3390"/>
      <c r="AE58" s="3390"/>
      <c r="AF58" s="3390"/>
      <c r="AG58" s="3390"/>
      <c r="AH58" s="3391">
        <f t="shared" si="4"/>
        <v>0</v>
      </c>
      <c r="AI58" s="3390"/>
      <c r="AJ58" s="3390"/>
      <c r="AK58" s="3390"/>
      <c r="AL58" s="3391">
        <f t="shared" si="5"/>
        <v>0</v>
      </c>
      <c r="AM58" s="3395" t="s">
        <v>3228</v>
      </c>
    </row>
    <row r="59" spans="1:39" ht="28.5" customHeight="1">
      <c r="A59" s="3378">
        <v>2011</v>
      </c>
      <c r="B59" s="3378" t="s">
        <v>3309</v>
      </c>
      <c r="C59" s="3378">
        <v>20</v>
      </c>
      <c r="D59" s="3379" t="str">
        <f t="shared" si="0"/>
        <v>HYD-20-2011</v>
      </c>
      <c r="E59" s="3380"/>
      <c r="F59" s="3380"/>
      <c r="G59" s="3381">
        <v>40624</v>
      </c>
      <c r="H59" s="3382"/>
      <c r="I59" s="3382">
        <v>100</v>
      </c>
      <c r="J59" s="3382" t="s">
        <v>3583</v>
      </c>
      <c r="K59" s="3382" t="s">
        <v>3584</v>
      </c>
      <c r="L59" s="3382">
        <v>10</v>
      </c>
      <c r="M59" s="3383" t="s">
        <v>1889</v>
      </c>
      <c r="N59" s="3384" t="s">
        <v>3358</v>
      </c>
      <c r="O59" s="3385" t="s">
        <v>3359</v>
      </c>
      <c r="P59" s="3382" t="s">
        <v>3360</v>
      </c>
      <c r="Q59" s="3386" t="s">
        <v>3250</v>
      </c>
      <c r="R59" s="3382" t="s">
        <v>3314</v>
      </c>
      <c r="S59" s="3387">
        <v>40575</v>
      </c>
      <c r="T59" s="3387">
        <v>44531</v>
      </c>
      <c r="U59" s="3388" t="s">
        <v>3233</v>
      </c>
      <c r="V59" s="3389">
        <v>6</v>
      </c>
      <c r="W59" s="3390">
        <v>40000</v>
      </c>
      <c r="X59" s="3390">
        <v>40000</v>
      </c>
      <c r="Y59" s="3390">
        <v>40000</v>
      </c>
      <c r="Z59" s="3390">
        <v>40000</v>
      </c>
      <c r="AA59" s="3390">
        <v>40000</v>
      </c>
      <c r="AB59" s="3390">
        <v>40000</v>
      </c>
      <c r="AC59" s="3390"/>
      <c r="AD59" s="3390"/>
      <c r="AE59" s="3390"/>
      <c r="AF59" s="3390"/>
      <c r="AG59" s="3390"/>
      <c r="AH59" s="3391">
        <f t="shared" ref="AH59:AH122" si="7">SUM(W59:AG59)</f>
        <v>240000</v>
      </c>
      <c r="AI59" s="3390"/>
      <c r="AJ59" s="3390"/>
      <c r="AK59" s="3390"/>
      <c r="AL59" s="3391">
        <f t="shared" ref="AL59:AL122" si="8">SUM(AH59:AK59)</f>
        <v>240000</v>
      </c>
      <c r="AM59" s="3395" t="s">
        <v>3228</v>
      </c>
    </row>
    <row r="60" spans="1:39" ht="28.5" customHeight="1">
      <c r="A60" s="3378">
        <v>2011</v>
      </c>
      <c r="B60" s="3378" t="s">
        <v>3309</v>
      </c>
      <c r="C60" s="3378">
        <v>20</v>
      </c>
      <c r="D60" s="3379" t="str">
        <f t="shared" si="0"/>
        <v>HYD-20-2011</v>
      </c>
      <c r="E60" s="3380"/>
      <c r="F60" s="3380"/>
      <c r="G60" s="3381">
        <v>40624</v>
      </c>
      <c r="H60" s="3382"/>
      <c r="I60" s="3382">
        <v>100</v>
      </c>
      <c r="J60" s="3382" t="s">
        <v>3583</v>
      </c>
      <c r="K60" s="3382" t="s">
        <v>3584</v>
      </c>
      <c r="L60" s="3382">
        <v>10</v>
      </c>
      <c r="M60" s="3383" t="s">
        <v>1890</v>
      </c>
      <c r="N60" s="3384" t="s">
        <v>3358</v>
      </c>
      <c r="O60" s="3385" t="s">
        <v>3321</v>
      </c>
      <c r="P60" s="3382" t="s">
        <v>3322</v>
      </c>
      <c r="Q60" s="3386" t="s">
        <v>3250</v>
      </c>
      <c r="R60" s="3382" t="s">
        <v>3314</v>
      </c>
      <c r="S60" s="3387">
        <v>40575</v>
      </c>
      <c r="T60" s="3387">
        <v>44531</v>
      </c>
      <c r="U60" s="3388" t="s">
        <v>3233</v>
      </c>
      <c r="V60" s="3389">
        <v>6</v>
      </c>
      <c r="W60" s="3390">
        <v>40000</v>
      </c>
      <c r="X60" s="3390">
        <v>40000</v>
      </c>
      <c r="Y60" s="3390">
        <v>40000</v>
      </c>
      <c r="Z60" s="3390">
        <v>40000</v>
      </c>
      <c r="AA60" s="3390">
        <v>40000</v>
      </c>
      <c r="AB60" s="3390">
        <v>40000</v>
      </c>
      <c r="AC60" s="3390"/>
      <c r="AD60" s="3390"/>
      <c r="AE60" s="3390"/>
      <c r="AF60" s="3390"/>
      <c r="AG60" s="3390"/>
      <c r="AH60" s="3391">
        <f t="shared" si="7"/>
        <v>240000</v>
      </c>
      <c r="AI60" s="3390"/>
      <c r="AJ60" s="3390"/>
      <c r="AK60" s="3390"/>
      <c r="AL60" s="3391">
        <f t="shared" si="8"/>
        <v>240000</v>
      </c>
      <c r="AM60" s="3395" t="s">
        <v>3228</v>
      </c>
    </row>
    <row r="61" spans="1:39" ht="28.5" customHeight="1">
      <c r="A61" s="3378">
        <v>2011</v>
      </c>
      <c r="B61" s="3378" t="s">
        <v>3309</v>
      </c>
      <c r="C61" s="3378">
        <v>22</v>
      </c>
      <c r="D61" s="3379" t="str">
        <f t="shared" si="0"/>
        <v>HYD-22-2011</v>
      </c>
      <c r="E61" s="3380"/>
      <c r="F61" s="3380"/>
      <c r="G61" s="3381">
        <v>40638</v>
      </c>
      <c r="H61" s="3382"/>
      <c r="I61" s="3382">
        <v>100</v>
      </c>
      <c r="J61" s="3382" t="s">
        <v>3583</v>
      </c>
      <c r="K61" s="3382" t="s">
        <v>3584</v>
      </c>
      <c r="L61" s="3382">
        <v>35</v>
      </c>
      <c r="M61" s="3383" t="s">
        <v>1891</v>
      </c>
      <c r="N61" s="3384" t="s">
        <v>3361</v>
      </c>
      <c r="O61" s="3385" t="s">
        <v>3359</v>
      </c>
      <c r="P61" s="3382" t="s">
        <v>3360</v>
      </c>
      <c r="Q61" s="3386">
        <v>102443</v>
      </c>
      <c r="R61" s="3382" t="s">
        <v>3324</v>
      </c>
      <c r="S61" s="3387">
        <v>40575</v>
      </c>
      <c r="T61" s="3387">
        <v>41974</v>
      </c>
      <c r="U61" s="3388" t="s">
        <v>3225</v>
      </c>
      <c r="V61" s="3389">
        <v>7</v>
      </c>
      <c r="W61" s="3390"/>
      <c r="X61" s="3390"/>
      <c r="Y61" s="3390"/>
      <c r="Z61" s="3390"/>
      <c r="AA61" s="3390"/>
      <c r="AB61" s="3390"/>
      <c r="AC61" s="3390"/>
      <c r="AD61" s="3390"/>
      <c r="AE61" s="3390"/>
      <c r="AF61" s="3390"/>
      <c r="AG61" s="3390"/>
      <c r="AH61" s="3391">
        <f t="shared" si="7"/>
        <v>0</v>
      </c>
      <c r="AI61" s="3390"/>
      <c r="AJ61" s="3390"/>
      <c r="AK61" s="3390"/>
      <c r="AL61" s="3391">
        <f t="shared" si="8"/>
        <v>0</v>
      </c>
      <c r="AM61" s="3395" t="s">
        <v>3228</v>
      </c>
    </row>
    <row r="62" spans="1:39" s="3404" customFormat="1" ht="28.5" customHeight="1">
      <c r="A62" s="3378">
        <v>2011</v>
      </c>
      <c r="B62" s="3378" t="s">
        <v>3309</v>
      </c>
      <c r="C62" s="3378">
        <v>23</v>
      </c>
      <c r="D62" s="3379" t="str">
        <f t="shared" si="0"/>
        <v>HYD-23-2011</v>
      </c>
      <c r="E62" s="3380" t="s">
        <v>402</v>
      </c>
      <c r="F62" s="3380"/>
      <c r="G62" s="3381">
        <v>40653</v>
      </c>
      <c r="H62" s="3382"/>
      <c r="I62" s="3382">
        <v>100</v>
      </c>
      <c r="J62" s="3382" t="s">
        <v>3583</v>
      </c>
      <c r="K62" s="3382" t="s">
        <v>3584</v>
      </c>
      <c r="L62" s="3382">
        <v>75</v>
      </c>
      <c r="M62" s="3383" t="s">
        <v>1892</v>
      </c>
      <c r="N62" s="3384" t="s">
        <v>3362</v>
      </c>
      <c r="O62" s="3385" t="s">
        <v>3363</v>
      </c>
      <c r="P62" s="3382" t="s">
        <v>3364</v>
      </c>
      <c r="Q62" s="3382" t="s">
        <v>3364</v>
      </c>
      <c r="R62" s="3382" t="s">
        <v>3365</v>
      </c>
      <c r="S62" s="3387" t="s">
        <v>3192</v>
      </c>
      <c r="T62" s="3387" t="s">
        <v>3192</v>
      </c>
      <c r="U62" s="3388" t="s">
        <v>3260</v>
      </c>
      <c r="V62" s="3389">
        <v>2</v>
      </c>
      <c r="W62" s="3390">
        <v>100000</v>
      </c>
      <c r="X62" s="3390">
        <v>100000</v>
      </c>
      <c r="Y62" s="3390">
        <v>100000</v>
      </c>
      <c r="Z62" s="3390">
        <v>100000</v>
      </c>
      <c r="AA62" s="3390">
        <v>100000</v>
      </c>
      <c r="AB62" s="3390">
        <v>100000</v>
      </c>
      <c r="AC62" s="3390">
        <v>100000</v>
      </c>
      <c r="AD62" s="3390">
        <v>100000</v>
      </c>
      <c r="AE62" s="3390">
        <v>100000</v>
      </c>
      <c r="AF62" s="3390">
        <v>100000</v>
      </c>
      <c r="AG62" s="3390">
        <v>100000</v>
      </c>
      <c r="AH62" s="3391">
        <f t="shared" si="7"/>
        <v>1100000</v>
      </c>
      <c r="AI62" s="3390">
        <v>100000</v>
      </c>
      <c r="AJ62" s="3390">
        <v>100000</v>
      </c>
      <c r="AK62" s="3390">
        <v>100000</v>
      </c>
      <c r="AL62" s="3391">
        <f t="shared" si="8"/>
        <v>1400000</v>
      </c>
      <c r="AM62" s="3395" t="s">
        <v>3228</v>
      </c>
    </row>
    <row r="63" spans="1:39" s="3404" customFormat="1" ht="28.5" customHeight="1">
      <c r="A63" s="3378">
        <v>2011</v>
      </c>
      <c r="B63" s="3378" t="s">
        <v>3309</v>
      </c>
      <c r="C63" s="3378">
        <v>24</v>
      </c>
      <c r="D63" s="3379" t="str">
        <f t="shared" si="0"/>
        <v>HYD-24-2011</v>
      </c>
      <c r="E63" s="3380" t="s">
        <v>402</v>
      </c>
      <c r="F63" s="3380"/>
      <c r="G63" s="3381">
        <v>40638</v>
      </c>
      <c r="H63" s="3382"/>
      <c r="I63" s="3382">
        <v>100</v>
      </c>
      <c r="J63" s="3382" t="s">
        <v>3583</v>
      </c>
      <c r="K63" s="3382" t="s">
        <v>3584</v>
      </c>
      <c r="L63" s="3382">
        <v>35</v>
      </c>
      <c r="M63" s="3383" t="s">
        <v>1893</v>
      </c>
      <c r="N63" s="3384" t="s">
        <v>3366</v>
      </c>
      <c r="O63" s="3385" t="s">
        <v>3367</v>
      </c>
      <c r="P63" s="3382" t="s">
        <v>3368</v>
      </c>
      <c r="Q63" s="3382" t="s">
        <v>3368</v>
      </c>
      <c r="R63" s="3382" t="s">
        <v>3365</v>
      </c>
      <c r="S63" s="3387" t="s">
        <v>3192</v>
      </c>
      <c r="T63" s="3387" t="s">
        <v>3192</v>
      </c>
      <c r="U63" s="3388" t="s">
        <v>3260</v>
      </c>
      <c r="V63" s="3389">
        <v>2</v>
      </c>
      <c r="W63" s="3390">
        <f>100000+400000-300000</f>
        <v>200000</v>
      </c>
      <c r="X63" s="3390">
        <f>100000+300000</f>
        <v>400000</v>
      </c>
      <c r="Y63" s="3390">
        <v>100000</v>
      </c>
      <c r="Z63" s="3390">
        <v>100000</v>
      </c>
      <c r="AA63" s="3390">
        <v>100000</v>
      </c>
      <c r="AB63" s="3390">
        <v>100000</v>
      </c>
      <c r="AC63" s="3390">
        <v>100000</v>
      </c>
      <c r="AD63" s="3390">
        <v>100000</v>
      </c>
      <c r="AE63" s="3390">
        <v>100000</v>
      </c>
      <c r="AF63" s="3390">
        <v>100000</v>
      </c>
      <c r="AG63" s="3390">
        <v>100000</v>
      </c>
      <c r="AH63" s="3391">
        <f t="shared" si="7"/>
        <v>1500000</v>
      </c>
      <c r="AI63" s="3390">
        <v>100000</v>
      </c>
      <c r="AJ63" s="3390">
        <v>100000</v>
      </c>
      <c r="AK63" s="3390">
        <v>100000</v>
      </c>
      <c r="AL63" s="3391">
        <f t="shared" si="8"/>
        <v>1800000</v>
      </c>
      <c r="AM63" s="3395" t="s">
        <v>3228</v>
      </c>
    </row>
    <row r="64" spans="1:39" s="3404" customFormat="1" ht="28.5" customHeight="1">
      <c r="A64" s="3378">
        <v>2011</v>
      </c>
      <c r="B64" s="3378" t="s">
        <v>3309</v>
      </c>
      <c r="C64" s="3378">
        <v>25</v>
      </c>
      <c r="D64" s="3379" t="str">
        <f t="shared" si="0"/>
        <v>HYD-25-2011</v>
      </c>
      <c r="E64" s="3380"/>
      <c r="F64" s="3380"/>
      <c r="G64" s="3381">
        <v>40662</v>
      </c>
      <c r="H64" s="3382"/>
      <c r="I64" s="3382">
        <v>100</v>
      </c>
      <c r="J64" s="3382" t="s">
        <v>3583</v>
      </c>
      <c r="K64" s="3382" t="s">
        <v>3584</v>
      </c>
      <c r="L64" s="3382">
        <v>35</v>
      </c>
      <c r="M64" s="3383" t="s">
        <v>1894</v>
      </c>
      <c r="N64" s="3384" t="s">
        <v>3369</v>
      </c>
      <c r="O64" s="3385" t="s">
        <v>3367</v>
      </c>
      <c r="P64" s="3382" t="s">
        <v>3368</v>
      </c>
      <c r="Q64" s="3386">
        <v>102786</v>
      </c>
      <c r="R64" s="3382" t="s">
        <v>3602</v>
      </c>
      <c r="S64" s="3387">
        <v>40575</v>
      </c>
      <c r="T64" s="3387">
        <v>42705</v>
      </c>
      <c r="U64" s="3388" t="s">
        <v>3370</v>
      </c>
      <c r="V64" s="3389">
        <v>5</v>
      </c>
      <c r="W64" s="3390">
        <f>1650000-300000</f>
        <v>1350000</v>
      </c>
      <c r="X64" s="3390"/>
      <c r="Y64" s="3390"/>
      <c r="Z64" s="3390"/>
      <c r="AA64" s="3390"/>
      <c r="AB64" s="3390"/>
      <c r="AC64" s="3390"/>
      <c r="AD64" s="3390"/>
      <c r="AE64" s="3390"/>
      <c r="AF64" s="3390"/>
      <c r="AG64" s="3390"/>
      <c r="AH64" s="3391">
        <f t="shared" si="7"/>
        <v>1350000</v>
      </c>
      <c r="AI64" s="3390"/>
      <c r="AJ64" s="3390"/>
      <c r="AK64" s="3390"/>
      <c r="AL64" s="3391">
        <f t="shared" si="8"/>
        <v>1350000</v>
      </c>
      <c r="AM64" s="3395" t="s">
        <v>3228</v>
      </c>
    </row>
    <row r="65" spans="1:39" s="3404" customFormat="1" ht="28.5" customHeight="1">
      <c r="A65" s="3378">
        <v>2011</v>
      </c>
      <c r="B65" s="3378" t="s">
        <v>3309</v>
      </c>
      <c r="C65" s="3378">
        <v>32</v>
      </c>
      <c r="D65" s="3379" t="str">
        <f t="shared" si="0"/>
        <v>HYD-32-2011</v>
      </c>
      <c r="E65" s="3380"/>
      <c r="F65" s="3380"/>
      <c r="G65" s="3381">
        <v>40662</v>
      </c>
      <c r="H65" s="3382"/>
      <c r="I65" s="3382">
        <v>100</v>
      </c>
      <c r="J65" s="3382" t="s">
        <v>3583</v>
      </c>
      <c r="K65" s="3382" t="s">
        <v>3584</v>
      </c>
      <c r="L65" s="3382">
        <v>30</v>
      </c>
      <c r="M65" s="3383" t="s">
        <v>1895</v>
      </c>
      <c r="N65" s="3384" t="s">
        <v>3371</v>
      </c>
      <c r="O65" s="3385" t="s">
        <v>3372</v>
      </c>
      <c r="P65" s="3382" t="s">
        <v>3373</v>
      </c>
      <c r="Q65" s="3386">
        <v>102496</v>
      </c>
      <c r="R65" s="3382" t="s">
        <v>3365</v>
      </c>
      <c r="S65" s="3387">
        <v>41640</v>
      </c>
      <c r="T65" s="3387">
        <v>44546</v>
      </c>
      <c r="U65" s="3388" t="s">
        <v>3225</v>
      </c>
      <c r="V65" s="3389">
        <v>7</v>
      </c>
      <c r="W65" s="3390"/>
      <c r="X65" s="3390">
        <f>1200000-1200000</f>
        <v>0</v>
      </c>
      <c r="Y65" s="3390">
        <f>200000-200000</f>
        <v>0</v>
      </c>
      <c r="Z65" s="3390"/>
      <c r="AA65" s="3390">
        <v>1200000</v>
      </c>
      <c r="AB65" s="3390">
        <v>200000</v>
      </c>
      <c r="AC65" s="3390"/>
      <c r="AD65" s="3390"/>
      <c r="AE65" s="3390"/>
      <c r="AF65" s="3390"/>
      <c r="AG65" s="3390"/>
      <c r="AH65" s="3391">
        <f t="shared" si="7"/>
        <v>1400000</v>
      </c>
      <c r="AI65" s="3390"/>
      <c r="AJ65" s="3390"/>
      <c r="AK65" s="3390"/>
      <c r="AL65" s="3391">
        <f t="shared" si="8"/>
        <v>1400000</v>
      </c>
      <c r="AM65" s="3395" t="s">
        <v>3228</v>
      </c>
    </row>
    <row r="66" spans="1:39" s="3404" customFormat="1" ht="27.75" customHeight="1">
      <c r="A66" s="3378">
        <v>2011</v>
      </c>
      <c r="B66" s="3378" t="s">
        <v>3309</v>
      </c>
      <c r="C66" s="3378">
        <v>33</v>
      </c>
      <c r="D66" s="3379" t="str">
        <f t="shared" ref="D66:D125" si="9">CONCATENATE(B66,"-",C66,"-",A66)</f>
        <v>HYD-33-2011</v>
      </c>
      <c r="E66" s="3380"/>
      <c r="F66" s="3380" t="s">
        <v>402</v>
      </c>
      <c r="G66" s="3381">
        <v>40653</v>
      </c>
      <c r="H66" s="3382"/>
      <c r="I66" s="3382">
        <v>100</v>
      </c>
      <c r="J66" s="3382" t="s">
        <v>3583</v>
      </c>
      <c r="K66" s="3382" t="s">
        <v>3584</v>
      </c>
      <c r="L66" s="3382">
        <v>35</v>
      </c>
      <c r="M66" s="3383" t="s">
        <v>1896</v>
      </c>
      <c r="N66" s="3384" t="s">
        <v>3345</v>
      </c>
      <c r="O66" s="3385" t="s">
        <v>3367</v>
      </c>
      <c r="P66" s="3382" t="s">
        <v>3368</v>
      </c>
      <c r="Q66" s="3386">
        <v>102372</v>
      </c>
      <c r="R66" s="3382" t="s">
        <v>3365</v>
      </c>
      <c r="S66" s="3387">
        <v>40695</v>
      </c>
      <c r="T66" s="3387">
        <v>44531</v>
      </c>
      <c r="U66" s="3388" t="s">
        <v>3233</v>
      </c>
      <c r="V66" s="3389">
        <v>6</v>
      </c>
      <c r="W66" s="3390"/>
      <c r="X66" s="3390">
        <v>150000</v>
      </c>
      <c r="Y66" s="3390">
        <v>1000000</v>
      </c>
      <c r="Z66" s="3390"/>
      <c r="AA66" s="3390">
        <f>150000-150000</f>
        <v>0</v>
      </c>
      <c r="AB66" s="3390">
        <f>2000000-2000000</f>
        <v>0</v>
      </c>
      <c r="AC66" s="3390"/>
      <c r="AD66" s="3390"/>
      <c r="AE66" s="3390"/>
      <c r="AF66" s="3390"/>
      <c r="AG66" s="3390"/>
      <c r="AH66" s="3391">
        <f t="shared" si="7"/>
        <v>1150000</v>
      </c>
      <c r="AI66" s="3390"/>
      <c r="AJ66" s="3390"/>
      <c r="AK66" s="3390"/>
      <c r="AL66" s="3391">
        <f t="shared" si="8"/>
        <v>1150000</v>
      </c>
      <c r="AM66" s="3395" t="s">
        <v>3228</v>
      </c>
    </row>
    <row r="67" spans="1:39" s="3404" customFormat="1" ht="28.5" customHeight="1">
      <c r="A67" s="3378">
        <v>2011</v>
      </c>
      <c r="B67" s="3378" t="s">
        <v>3309</v>
      </c>
      <c r="C67" s="3378">
        <v>36</v>
      </c>
      <c r="D67" s="3379" t="str">
        <f t="shared" si="9"/>
        <v>HYD-36-2011</v>
      </c>
      <c r="E67" s="3380"/>
      <c r="F67" s="3380"/>
      <c r="G67" s="3381">
        <v>40662</v>
      </c>
      <c r="H67" s="3382"/>
      <c r="I67" s="3382">
        <v>100</v>
      </c>
      <c r="J67" s="3382" t="s">
        <v>3583</v>
      </c>
      <c r="K67" s="3382" t="s">
        <v>3584</v>
      </c>
      <c r="L67" s="3382">
        <v>35</v>
      </c>
      <c r="M67" s="3383" t="s">
        <v>3603</v>
      </c>
      <c r="N67" s="3384" t="s">
        <v>3374</v>
      </c>
      <c r="O67" s="3385" t="s">
        <v>3359</v>
      </c>
      <c r="P67" s="3382" t="s">
        <v>3360</v>
      </c>
      <c r="Q67" s="3382" t="s">
        <v>3360</v>
      </c>
      <c r="R67" s="3382" t="s">
        <v>3314</v>
      </c>
      <c r="S67" s="3387">
        <v>40909</v>
      </c>
      <c r="T67" s="3387">
        <v>44166</v>
      </c>
      <c r="U67" s="3388" t="s">
        <v>3233</v>
      </c>
      <c r="V67" s="3389">
        <v>6</v>
      </c>
      <c r="W67" s="3390"/>
      <c r="X67" s="3390"/>
      <c r="Y67" s="3390"/>
      <c r="Z67" s="3390"/>
      <c r="AA67" s="3390"/>
      <c r="AB67" s="3390"/>
      <c r="AC67" s="3390"/>
      <c r="AD67" s="3390"/>
      <c r="AE67" s="3390"/>
      <c r="AF67" s="3390"/>
      <c r="AG67" s="3390"/>
      <c r="AH67" s="3391">
        <f t="shared" si="7"/>
        <v>0</v>
      </c>
      <c r="AI67" s="3390"/>
      <c r="AJ67" s="3390"/>
      <c r="AK67" s="3390"/>
      <c r="AL67" s="3391">
        <f t="shared" si="8"/>
        <v>0</v>
      </c>
      <c r="AM67" s="3395" t="s">
        <v>3228</v>
      </c>
    </row>
    <row r="68" spans="1:39" s="3404" customFormat="1" ht="28.5" customHeight="1">
      <c r="A68" s="3378">
        <v>2011</v>
      </c>
      <c r="B68" s="3378" t="s">
        <v>3309</v>
      </c>
      <c r="C68" s="3378">
        <v>36</v>
      </c>
      <c r="D68" s="3379" t="str">
        <f t="shared" si="9"/>
        <v>HYD-36-2011</v>
      </c>
      <c r="E68" s="3380"/>
      <c r="F68" s="3380"/>
      <c r="G68" s="3381">
        <v>40662</v>
      </c>
      <c r="H68" s="3382"/>
      <c r="I68" s="3382">
        <v>100</v>
      </c>
      <c r="J68" s="3382" t="s">
        <v>3583</v>
      </c>
      <c r="K68" s="3382" t="s">
        <v>3584</v>
      </c>
      <c r="L68" s="3382">
        <v>35</v>
      </c>
      <c r="M68" s="3383" t="s">
        <v>3604</v>
      </c>
      <c r="N68" s="3384" t="s">
        <v>3374</v>
      </c>
      <c r="O68" s="3385" t="s">
        <v>3321</v>
      </c>
      <c r="P68" s="3382" t="s">
        <v>3322</v>
      </c>
      <c r="Q68" s="3382" t="s">
        <v>3322</v>
      </c>
      <c r="R68" s="3382" t="s">
        <v>3314</v>
      </c>
      <c r="S68" s="3387">
        <v>40909</v>
      </c>
      <c r="T68" s="3387">
        <v>44166</v>
      </c>
      <c r="U68" s="3388" t="s">
        <v>3233</v>
      </c>
      <c r="V68" s="3389">
        <v>6</v>
      </c>
      <c r="W68" s="3390">
        <v>0</v>
      </c>
      <c r="X68" s="3390">
        <v>0</v>
      </c>
      <c r="Y68" s="3390">
        <v>0</v>
      </c>
      <c r="Z68" s="3390">
        <v>0</v>
      </c>
      <c r="AA68" s="3390">
        <v>0</v>
      </c>
      <c r="AB68" s="3390">
        <v>0</v>
      </c>
      <c r="AC68" s="3390"/>
      <c r="AD68" s="3390"/>
      <c r="AE68" s="3390"/>
      <c r="AF68" s="3390"/>
      <c r="AG68" s="3390"/>
      <c r="AH68" s="3391">
        <f t="shared" si="7"/>
        <v>0</v>
      </c>
      <c r="AI68" s="3390"/>
      <c r="AJ68" s="3390"/>
      <c r="AK68" s="3390"/>
      <c r="AL68" s="3391">
        <f t="shared" si="8"/>
        <v>0</v>
      </c>
      <c r="AM68" s="3395" t="s">
        <v>3228</v>
      </c>
    </row>
    <row r="69" spans="1:39" s="3404" customFormat="1" ht="28.5" customHeight="1">
      <c r="A69" s="3378">
        <v>2011</v>
      </c>
      <c r="B69" s="3378" t="s">
        <v>3309</v>
      </c>
      <c r="C69" s="3378">
        <v>38</v>
      </c>
      <c r="D69" s="3379" t="str">
        <f t="shared" si="9"/>
        <v>HYD-38-2011</v>
      </c>
      <c r="E69" s="3380" t="s">
        <v>402</v>
      </c>
      <c r="F69" s="3380"/>
      <c r="G69" s="3381">
        <v>40646</v>
      </c>
      <c r="H69" s="3382">
        <v>100</v>
      </c>
      <c r="I69" s="3382"/>
      <c r="J69" s="3382" t="s">
        <v>3566</v>
      </c>
      <c r="K69" s="3382" t="s">
        <v>3551</v>
      </c>
      <c r="L69" s="3382">
        <v>20</v>
      </c>
      <c r="M69" s="3383" t="s">
        <v>1897</v>
      </c>
      <c r="N69" s="3384" t="s">
        <v>3375</v>
      </c>
      <c r="O69" s="3385" t="s">
        <v>3376</v>
      </c>
      <c r="P69" s="3382" t="s">
        <v>3377</v>
      </c>
      <c r="Q69" s="3382" t="s">
        <v>3377</v>
      </c>
      <c r="R69" s="3382" t="s">
        <v>3365</v>
      </c>
      <c r="S69" s="3387" t="s">
        <v>3192</v>
      </c>
      <c r="T69" s="3387" t="s">
        <v>3192</v>
      </c>
      <c r="U69" s="3388" t="s">
        <v>3225</v>
      </c>
      <c r="V69" s="3389">
        <v>7</v>
      </c>
      <c r="W69" s="3390">
        <f>17000+10000</f>
        <v>27000</v>
      </c>
      <c r="X69" s="3390">
        <f>17000+495000</f>
        <v>512000</v>
      </c>
      <c r="Y69" s="3390">
        <f>12000+5000</f>
        <v>17000</v>
      </c>
      <c r="Z69" s="3390">
        <v>12000</v>
      </c>
      <c r="AA69" s="3390">
        <v>12000</v>
      </c>
      <c r="AB69" s="3390">
        <v>12000</v>
      </c>
      <c r="AC69" s="3390">
        <v>12000</v>
      </c>
      <c r="AD69" s="3390">
        <v>12000</v>
      </c>
      <c r="AE69" s="3390">
        <v>12000</v>
      </c>
      <c r="AF69" s="3390">
        <v>12000</v>
      </c>
      <c r="AG69" s="3390">
        <v>12000</v>
      </c>
      <c r="AH69" s="3391">
        <f t="shared" si="7"/>
        <v>652000</v>
      </c>
      <c r="AI69" s="3390">
        <v>12000</v>
      </c>
      <c r="AJ69" s="3390">
        <v>12000</v>
      </c>
      <c r="AK69" s="3390">
        <v>12000</v>
      </c>
      <c r="AL69" s="3391">
        <f t="shared" si="8"/>
        <v>688000</v>
      </c>
      <c r="AM69" s="3395" t="s">
        <v>3228</v>
      </c>
    </row>
    <row r="70" spans="1:39" s="3405" customFormat="1" ht="43.5" customHeight="1">
      <c r="A70" s="3378">
        <v>2011</v>
      </c>
      <c r="B70" s="3378" t="s">
        <v>3309</v>
      </c>
      <c r="C70" s="3378">
        <v>39</v>
      </c>
      <c r="D70" s="3379" t="str">
        <f t="shared" si="9"/>
        <v>HYD-39-2011</v>
      </c>
      <c r="E70" s="3380" t="s">
        <v>402</v>
      </c>
      <c r="F70" s="3380"/>
      <c r="G70" s="3381">
        <v>40646</v>
      </c>
      <c r="H70" s="3382">
        <v>100</v>
      </c>
      <c r="I70" s="3382"/>
      <c r="J70" s="3382" t="s">
        <v>3566</v>
      </c>
      <c r="K70" s="3382" t="s">
        <v>3551</v>
      </c>
      <c r="L70" s="3382">
        <v>20</v>
      </c>
      <c r="M70" s="3383" t="s">
        <v>1898</v>
      </c>
      <c r="N70" s="3384" t="s">
        <v>3378</v>
      </c>
      <c r="O70" s="3385" t="s">
        <v>3379</v>
      </c>
      <c r="P70" s="3382" t="s">
        <v>3380</v>
      </c>
      <c r="Q70" s="3382" t="s">
        <v>3380</v>
      </c>
      <c r="R70" s="3382" t="s">
        <v>3365</v>
      </c>
      <c r="S70" s="3387" t="s">
        <v>3192</v>
      </c>
      <c r="T70" s="3387" t="s">
        <v>3192</v>
      </c>
      <c r="U70" s="3388" t="s">
        <v>3225</v>
      </c>
      <c r="V70" s="3389">
        <v>7</v>
      </c>
      <c r="W70" s="3390">
        <f>820000-405000-210000</f>
        <v>205000</v>
      </c>
      <c r="X70" s="3390">
        <f>25000+390000+210000</f>
        <v>625000</v>
      </c>
      <c r="Y70" s="3390">
        <f>5000+20000+1145000</f>
        <v>1170000</v>
      </c>
      <c r="Z70" s="3390">
        <f>5000+405000-385000</f>
        <v>25000</v>
      </c>
      <c r="AA70" s="3390">
        <f>5000+405000</f>
        <v>410000</v>
      </c>
      <c r="AB70" s="3390">
        <v>10000</v>
      </c>
      <c r="AC70" s="3390">
        <v>10000</v>
      </c>
      <c r="AD70" s="3390">
        <v>10000</v>
      </c>
      <c r="AE70" s="3390">
        <v>10000</v>
      </c>
      <c r="AF70" s="3390">
        <v>10000</v>
      </c>
      <c r="AG70" s="3390">
        <v>10000</v>
      </c>
      <c r="AH70" s="3391">
        <f t="shared" si="7"/>
        <v>2495000</v>
      </c>
      <c r="AI70" s="3390">
        <v>10000</v>
      </c>
      <c r="AJ70" s="3390">
        <v>10000</v>
      </c>
      <c r="AK70" s="3390">
        <v>10000</v>
      </c>
      <c r="AL70" s="3391">
        <f t="shared" si="8"/>
        <v>2525000</v>
      </c>
      <c r="AM70" s="3395" t="s">
        <v>3567</v>
      </c>
    </row>
    <row r="71" spans="1:39" s="3404" customFormat="1" ht="28.5" customHeight="1">
      <c r="A71" s="3378">
        <v>2011</v>
      </c>
      <c r="B71" s="3378" t="s">
        <v>3309</v>
      </c>
      <c r="C71" s="3378">
        <v>43</v>
      </c>
      <c r="D71" s="3379" t="str">
        <f t="shared" si="9"/>
        <v>HYD-43-2011</v>
      </c>
      <c r="E71" s="3380" t="s">
        <v>402</v>
      </c>
      <c r="F71" s="3380"/>
      <c r="G71" s="3381">
        <v>40653</v>
      </c>
      <c r="H71" s="3382"/>
      <c r="I71" s="3382">
        <v>100</v>
      </c>
      <c r="J71" s="3382" t="s">
        <v>3583</v>
      </c>
      <c r="K71" s="3382" t="s">
        <v>3584</v>
      </c>
      <c r="L71" s="3382">
        <v>35</v>
      </c>
      <c r="M71" s="3383" t="s">
        <v>1899</v>
      </c>
      <c r="N71" s="3384" t="s">
        <v>3382</v>
      </c>
      <c r="O71" s="3385" t="s">
        <v>3359</v>
      </c>
      <c r="P71" s="3382" t="s">
        <v>3360</v>
      </c>
      <c r="Q71" s="3382" t="s">
        <v>3360</v>
      </c>
      <c r="R71" s="3382" t="s">
        <v>3314</v>
      </c>
      <c r="S71" s="3387" t="s">
        <v>3192</v>
      </c>
      <c r="T71" s="3387" t="s">
        <v>3192</v>
      </c>
      <c r="U71" s="3388" t="s">
        <v>3225</v>
      </c>
      <c r="V71" s="3389">
        <v>7</v>
      </c>
      <c r="W71" s="3390">
        <v>10000</v>
      </c>
      <c r="X71" s="3390">
        <v>10000</v>
      </c>
      <c r="Y71" s="3390">
        <v>10000</v>
      </c>
      <c r="Z71" s="3390">
        <v>10000</v>
      </c>
      <c r="AA71" s="3390">
        <v>10000</v>
      </c>
      <c r="AB71" s="3390">
        <v>10000</v>
      </c>
      <c r="AC71" s="3390">
        <v>10000</v>
      </c>
      <c r="AD71" s="3390">
        <v>10000</v>
      </c>
      <c r="AE71" s="3390">
        <v>10000</v>
      </c>
      <c r="AF71" s="3390">
        <v>10000</v>
      </c>
      <c r="AG71" s="3390">
        <v>10000</v>
      </c>
      <c r="AH71" s="3391">
        <f t="shared" si="7"/>
        <v>110000</v>
      </c>
      <c r="AI71" s="3390">
        <v>10000</v>
      </c>
      <c r="AJ71" s="3390">
        <v>10000</v>
      </c>
      <c r="AK71" s="3390">
        <v>10000</v>
      </c>
      <c r="AL71" s="3391">
        <f t="shared" si="8"/>
        <v>140000</v>
      </c>
      <c r="AM71" s="3395" t="s">
        <v>3228</v>
      </c>
    </row>
    <row r="72" spans="1:39" s="3404" customFormat="1" ht="28.5" customHeight="1">
      <c r="A72" s="3378">
        <v>2011</v>
      </c>
      <c r="B72" s="3378" t="s">
        <v>3309</v>
      </c>
      <c r="C72" s="3378">
        <v>44</v>
      </c>
      <c r="D72" s="3379" t="str">
        <f t="shared" si="9"/>
        <v>HYD-44-2011</v>
      </c>
      <c r="E72" s="3380"/>
      <c r="F72" s="3380" t="s">
        <v>402</v>
      </c>
      <c r="G72" s="3381">
        <v>40646</v>
      </c>
      <c r="H72" s="3382"/>
      <c r="I72" s="3382">
        <v>100</v>
      </c>
      <c r="J72" s="3382" t="s">
        <v>3583</v>
      </c>
      <c r="K72" s="3382" t="s">
        <v>3584</v>
      </c>
      <c r="L72" s="3382">
        <v>35</v>
      </c>
      <c r="M72" s="3383" t="s">
        <v>1900</v>
      </c>
      <c r="N72" s="3384" t="s">
        <v>3310</v>
      </c>
      <c r="O72" s="3385" t="s">
        <v>3359</v>
      </c>
      <c r="P72" s="3382" t="s">
        <v>3360</v>
      </c>
      <c r="Q72" s="3382" t="s">
        <v>3360</v>
      </c>
      <c r="R72" s="3382" t="s">
        <v>3314</v>
      </c>
      <c r="S72" s="3387">
        <v>41275</v>
      </c>
      <c r="T72" s="3387">
        <v>45627</v>
      </c>
      <c r="U72" s="3388" t="s">
        <v>3388</v>
      </c>
      <c r="V72" s="3389">
        <v>3</v>
      </c>
      <c r="W72" s="3390">
        <v>2545000</v>
      </c>
      <c r="X72" s="3390">
        <v>9187000</v>
      </c>
      <c r="Y72" s="3390">
        <v>2441000</v>
      </c>
      <c r="Z72" s="3390">
        <v>3635000</v>
      </c>
      <c r="AA72" s="3390">
        <v>2356000</v>
      </c>
      <c r="AB72" s="3390">
        <v>2321000</v>
      </c>
      <c r="AC72" s="3390">
        <v>2321000</v>
      </c>
      <c r="AD72" s="3390">
        <v>2356000</v>
      </c>
      <c r="AE72" s="3390">
        <v>2333000</v>
      </c>
      <c r="AF72" s="3390">
        <v>2321000</v>
      </c>
      <c r="AG72" s="3390">
        <v>1211000</v>
      </c>
      <c r="AH72" s="3391">
        <f t="shared" si="7"/>
        <v>33027000</v>
      </c>
      <c r="AI72" s="3390"/>
      <c r="AJ72" s="3390"/>
      <c r="AK72" s="3390"/>
      <c r="AL72" s="3391">
        <f t="shared" si="8"/>
        <v>33027000</v>
      </c>
      <c r="AM72" s="3395" t="s">
        <v>3228</v>
      </c>
    </row>
    <row r="73" spans="1:39" s="3404" customFormat="1" ht="28.5" customHeight="1">
      <c r="A73" s="3378">
        <v>2011</v>
      </c>
      <c r="B73" s="3378" t="s">
        <v>3309</v>
      </c>
      <c r="C73" s="3378">
        <v>45</v>
      </c>
      <c r="D73" s="3379" t="str">
        <f t="shared" si="9"/>
        <v>HYD-45-2011</v>
      </c>
      <c r="E73" s="3380"/>
      <c r="F73" s="3380" t="s">
        <v>402</v>
      </c>
      <c r="G73" s="3381">
        <v>40646</v>
      </c>
      <c r="H73" s="3382"/>
      <c r="I73" s="3382">
        <v>100</v>
      </c>
      <c r="J73" s="3382" t="s">
        <v>3597</v>
      </c>
      <c r="K73" s="3382" t="s">
        <v>3598</v>
      </c>
      <c r="L73" s="3382">
        <v>50</v>
      </c>
      <c r="M73" s="3383" t="s">
        <v>1901</v>
      </c>
      <c r="N73" s="3384" t="s">
        <v>3383</v>
      </c>
      <c r="O73" s="3385" t="s">
        <v>3384</v>
      </c>
      <c r="P73" s="3382" t="s">
        <v>3385</v>
      </c>
      <c r="Q73" s="3386" t="s">
        <v>3386</v>
      </c>
      <c r="R73" s="3382" t="s">
        <v>3387</v>
      </c>
      <c r="S73" s="3387">
        <v>40544</v>
      </c>
      <c r="T73" s="3387">
        <v>46357</v>
      </c>
      <c r="U73" s="3388" t="s">
        <v>3388</v>
      </c>
      <c r="V73" s="3389">
        <v>3</v>
      </c>
      <c r="W73" s="3390">
        <v>13665600.072333334</v>
      </c>
      <c r="X73" s="3390">
        <v>16329838.167833334</v>
      </c>
      <c r="Y73" s="3390">
        <v>14703748.872833334</v>
      </c>
      <c r="Z73" s="3390">
        <v>12546254.981833333</v>
      </c>
      <c r="AA73" s="3390">
        <v>12299998.048833333</v>
      </c>
      <c r="AB73" s="3390">
        <v>12251903.781833332</v>
      </c>
      <c r="AC73" s="3390">
        <v>12278096.506833334</v>
      </c>
      <c r="AD73" s="3390">
        <v>12287325.193833334</v>
      </c>
      <c r="AE73" s="3390">
        <v>12221252.364833334</v>
      </c>
      <c r="AF73" s="3390">
        <v>12083555.026833333</v>
      </c>
      <c r="AG73" s="3390">
        <v>7266637.6092500007</v>
      </c>
      <c r="AH73" s="3391">
        <f t="shared" si="7"/>
        <v>137934210.62708336</v>
      </c>
      <c r="AI73" s="3390"/>
      <c r="AJ73" s="3390"/>
      <c r="AK73" s="3390"/>
      <c r="AL73" s="3391">
        <f t="shared" si="8"/>
        <v>137934210.62708336</v>
      </c>
      <c r="AM73" s="3395" t="s">
        <v>3228</v>
      </c>
    </row>
    <row r="74" spans="1:39" s="3404" customFormat="1" ht="28.5" customHeight="1">
      <c r="A74" s="3378">
        <v>2011</v>
      </c>
      <c r="B74" s="3378" t="s">
        <v>3309</v>
      </c>
      <c r="C74" s="3378">
        <v>46</v>
      </c>
      <c r="D74" s="3379" t="str">
        <f t="shared" si="9"/>
        <v>HYD-46-2011</v>
      </c>
      <c r="E74" s="3380"/>
      <c r="F74" s="3380" t="s">
        <v>402</v>
      </c>
      <c r="G74" s="3381">
        <v>40646</v>
      </c>
      <c r="H74" s="3382"/>
      <c r="I74" s="3382">
        <v>100</v>
      </c>
      <c r="J74" s="3382" t="s">
        <v>3597</v>
      </c>
      <c r="K74" s="3382" t="s">
        <v>3598</v>
      </c>
      <c r="L74" s="3382">
        <v>50</v>
      </c>
      <c r="M74" s="3383" t="s">
        <v>1902</v>
      </c>
      <c r="N74" s="3384" t="s">
        <v>3383</v>
      </c>
      <c r="O74" s="3385" t="s">
        <v>3389</v>
      </c>
      <c r="P74" s="3382" t="s">
        <v>3390</v>
      </c>
      <c r="Q74" s="3386" t="s">
        <v>3391</v>
      </c>
      <c r="R74" s="3382" t="s">
        <v>3331</v>
      </c>
      <c r="S74" s="3387">
        <v>38718</v>
      </c>
      <c r="T74" s="3387">
        <v>46722</v>
      </c>
      <c r="U74" s="3388" t="s">
        <v>3388</v>
      </c>
      <c r="V74" s="3389">
        <v>3</v>
      </c>
      <c r="W74" s="3390">
        <v>19070507.799243681</v>
      </c>
      <c r="X74" s="3390">
        <v>23109488.374288067</v>
      </c>
      <c r="Y74" s="3390">
        <v>18868222.324637666</v>
      </c>
      <c r="Z74" s="3390">
        <v>18337972.324637666</v>
      </c>
      <c r="AA74" s="3390">
        <v>18337972.324637666</v>
      </c>
      <c r="AB74" s="3390">
        <v>18337972.324637666</v>
      </c>
      <c r="AC74" s="3390">
        <v>18337972.324637666</v>
      </c>
      <c r="AD74" s="3390">
        <v>18337972.324637666</v>
      </c>
      <c r="AE74" s="3390">
        <v>17723073.532608066</v>
      </c>
      <c r="AF74" s="3390">
        <v>15108307.700142946</v>
      </c>
      <c r="AG74" s="3390">
        <v>2219766.7916444005</v>
      </c>
      <c r="AH74" s="3391">
        <f t="shared" si="7"/>
        <v>187789228.14575315</v>
      </c>
      <c r="AI74" s="3390">
        <v>558544.35</v>
      </c>
      <c r="AJ74" s="3390"/>
      <c r="AK74" s="3390"/>
      <c r="AL74" s="3391">
        <f t="shared" si="8"/>
        <v>188347772.49575314</v>
      </c>
      <c r="AM74" s="3395" t="s">
        <v>3228</v>
      </c>
    </row>
    <row r="75" spans="1:39" s="3404" customFormat="1" ht="28.5" customHeight="1">
      <c r="A75" s="3378">
        <v>2011</v>
      </c>
      <c r="B75" s="3378" t="s">
        <v>3309</v>
      </c>
      <c r="C75" s="3378">
        <v>47</v>
      </c>
      <c r="D75" s="3379" t="str">
        <f t="shared" si="9"/>
        <v>HYD-47-2011</v>
      </c>
      <c r="E75" s="3380" t="s">
        <v>402</v>
      </c>
      <c r="F75" s="3380"/>
      <c r="G75" s="3381">
        <v>40653</v>
      </c>
      <c r="H75" s="3382"/>
      <c r="I75" s="3382">
        <v>100</v>
      </c>
      <c r="J75" s="3382" t="s">
        <v>3583</v>
      </c>
      <c r="K75" s="3382" t="s">
        <v>3584</v>
      </c>
      <c r="L75" s="3382">
        <v>35</v>
      </c>
      <c r="M75" s="3383" t="s">
        <v>1903</v>
      </c>
      <c r="N75" s="3384" t="s">
        <v>3382</v>
      </c>
      <c r="O75" s="3385" t="s">
        <v>3321</v>
      </c>
      <c r="P75" s="3378" t="s">
        <v>3322</v>
      </c>
      <c r="Q75" s="3386" t="s">
        <v>3322</v>
      </c>
      <c r="R75" s="3382" t="s">
        <v>3314</v>
      </c>
      <c r="S75" s="3387" t="s">
        <v>3192</v>
      </c>
      <c r="T75" s="3387" t="s">
        <v>3192</v>
      </c>
      <c r="U75" s="3388" t="s">
        <v>3225</v>
      </c>
      <c r="V75" s="3389">
        <v>7</v>
      </c>
      <c r="W75" s="3390">
        <v>10000</v>
      </c>
      <c r="X75" s="3390">
        <v>10000</v>
      </c>
      <c r="Y75" s="3390">
        <v>10000</v>
      </c>
      <c r="Z75" s="3390">
        <v>10000</v>
      </c>
      <c r="AA75" s="3390">
        <v>10000</v>
      </c>
      <c r="AB75" s="3390">
        <v>10000</v>
      </c>
      <c r="AC75" s="3390">
        <v>10000</v>
      </c>
      <c r="AD75" s="3390">
        <v>10000</v>
      </c>
      <c r="AE75" s="3390">
        <v>10000</v>
      </c>
      <c r="AF75" s="3390">
        <v>10000</v>
      </c>
      <c r="AG75" s="3390">
        <v>10000</v>
      </c>
      <c r="AH75" s="3391">
        <f t="shared" si="7"/>
        <v>110000</v>
      </c>
      <c r="AI75" s="3390">
        <v>10000</v>
      </c>
      <c r="AJ75" s="3390">
        <v>10000</v>
      </c>
      <c r="AK75" s="3390">
        <v>10000</v>
      </c>
      <c r="AL75" s="3391">
        <f t="shared" si="8"/>
        <v>140000</v>
      </c>
      <c r="AM75" s="3395" t="s">
        <v>3228</v>
      </c>
    </row>
    <row r="76" spans="1:39" s="3404" customFormat="1" ht="28.5" customHeight="1">
      <c r="A76" s="3378">
        <v>2011</v>
      </c>
      <c r="B76" s="3378" t="s">
        <v>3309</v>
      </c>
      <c r="C76" s="3378">
        <v>48</v>
      </c>
      <c r="D76" s="3379" t="str">
        <f t="shared" si="9"/>
        <v>HYD-48-2011</v>
      </c>
      <c r="E76" s="3380"/>
      <c r="F76" s="3380"/>
      <c r="G76" s="3381">
        <v>40646</v>
      </c>
      <c r="H76" s="3382"/>
      <c r="I76" s="3382">
        <v>100</v>
      </c>
      <c r="J76" s="3382" t="s">
        <v>3583</v>
      </c>
      <c r="K76" s="3382" t="s">
        <v>3584</v>
      </c>
      <c r="L76" s="3382">
        <v>10</v>
      </c>
      <c r="M76" s="3383" t="s">
        <v>1904</v>
      </c>
      <c r="N76" s="3384" t="s">
        <v>3392</v>
      </c>
      <c r="O76" s="3385" t="s">
        <v>3275</v>
      </c>
      <c r="P76" s="3378" t="s">
        <v>3276</v>
      </c>
      <c r="Q76" s="3386" t="s">
        <v>3276</v>
      </c>
      <c r="R76" s="3382" t="s">
        <v>3314</v>
      </c>
      <c r="S76" s="3387">
        <v>40603</v>
      </c>
      <c r="T76" s="3387">
        <v>43435</v>
      </c>
      <c r="U76" s="3388" t="s">
        <v>3225</v>
      </c>
      <c r="V76" s="3389">
        <v>7</v>
      </c>
      <c r="W76" s="3390">
        <v>24000</v>
      </c>
      <c r="X76" s="3390">
        <v>24000</v>
      </c>
      <c r="Y76" s="3390">
        <v>374000</v>
      </c>
      <c r="Z76" s="3390"/>
      <c r="AA76" s="3390"/>
      <c r="AB76" s="3390"/>
      <c r="AC76" s="3390"/>
      <c r="AD76" s="3390"/>
      <c r="AE76" s="3390"/>
      <c r="AF76" s="3390"/>
      <c r="AG76" s="3390"/>
      <c r="AH76" s="3391">
        <f t="shared" si="7"/>
        <v>422000</v>
      </c>
      <c r="AI76" s="3390"/>
      <c r="AJ76" s="3390"/>
      <c r="AK76" s="3390"/>
      <c r="AL76" s="3391">
        <f t="shared" si="8"/>
        <v>422000</v>
      </c>
      <c r="AM76" s="3395" t="s">
        <v>3228</v>
      </c>
    </row>
    <row r="77" spans="1:39" s="3404" customFormat="1" ht="28.5" customHeight="1">
      <c r="A77" s="3378">
        <v>2011</v>
      </c>
      <c r="B77" s="3378" t="s">
        <v>3309</v>
      </c>
      <c r="C77" s="3378">
        <v>49</v>
      </c>
      <c r="D77" s="3379" t="str">
        <f t="shared" si="9"/>
        <v>HYD-49-2011</v>
      </c>
      <c r="E77" s="3380" t="s">
        <v>402</v>
      </c>
      <c r="F77" s="3380"/>
      <c r="G77" s="3381">
        <v>40653</v>
      </c>
      <c r="H77" s="3382"/>
      <c r="I77" s="3382">
        <v>100</v>
      </c>
      <c r="J77" s="3382" t="s">
        <v>3583</v>
      </c>
      <c r="K77" s="3382" t="s">
        <v>3584</v>
      </c>
      <c r="L77" s="3382">
        <v>35</v>
      </c>
      <c r="M77" s="3383" t="s">
        <v>1905</v>
      </c>
      <c r="N77" s="3384" t="s">
        <v>3366</v>
      </c>
      <c r="O77" s="3385" t="s">
        <v>3346</v>
      </c>
      <c r="P77" s="3378" t="s">
        <v>3347</v>
      </c>
      <c r="Q77" s="3386" t="s">
        <v>3347</v>
      </c>
      <c r="R77" s="3382" t="s">
        <v>3365</v>
      </c>
      <c r="S77" s="3387" t="s">
        <v>3192</v>
      </c>
      <c r="T77" s="3387" t="s">
        <v>3192</v>
      </c>
      <c r="U77" s="3388" t="s">
        <v>3381</v>
      </c>
      <c r="V77" s="3389">
        <v>9</v>
      </c>
      <c r="W77" s="3390">
        <v>75000</v>
      </c>
      <c r="X77" s="3390">
        <v>75000</v>
      </c>
      <c r="Y77" s="3390">
        <v>75000</v>
      </c>
      <c r="Z77" s="3390">
        <v>75000</v>
      </c>
      <c r="AA77" s="3390">
        <v>75000</v>
      </c>
      <c r="AB77" s="3390">
        <v>75000</v>
      </c>
      <c r="AC77" s="3390">
        <v>75000</v>
      </c>
      <c r="AD77" s="3390">
        <v>75000</v>
      </c>
      <c r="AE77" s="3390">
        <v>75000</v>
      </c>
      <c r="AF77" s="3390">
        <v>75000</v>
      </c>
      <c r="AG77" s="3390">
        <v>75000</v>
      </c>
      <c r="AH77" s="3391">
        <f t="shared" si="7"/>
        <v>825000</v>
      </c>
      <c r="AI77" s="3390">
        <v>75000</v>
      </c>
      <c r="AJ77" s="3390">
        <v>75000</v>
      </c>
      <c r="AK77" s="3390">
        <v>75000</v>
      </c>
      <c r="AL77" s="3391">
        <f t="shared" si="8"/>
        <v>1050000</v>
      </c>
      <c r="AM77" s="3395" t="s">
        <v>3228</v>
      </c>
    </row>
    <row r="78" spans="1:39" s="3404" customFormat="1" ht="28.5" customHeight="1">
      <c r="A78" s="3378">
        <v>2011</v>
      </c>
      <c r="B78" s="3378" t="s">
        <v>3309</v>
      </c>
      <c r="C78" s="3378">
        <v>51</v>
      </c>
      <c r="D78" s="3379" t="str">
        <f t="shared" si="9"/>
        <v>HYD-51-2011</v>
      </c>
      <c r="E78" s="3380" t="s">
        <v>402</v>
      </c>
      <c r="F78" s="3380"/>
      <c r="G78" s="3381">
        <v>41164</v>
      </c>
      <c r="H78" s="3382"/>
      <c r="I78" s="3382">
        <v>100</v>
      </c>
      <c r="J78" s="3382" t="s">
        <v>3583</v>
      </c>
      <c r="K78" s="3382" t="s">
        <v>3584</v>
      </c>
      <c r="L78" s="3382">
        <v>75</v>
      </c>
      <c r="M78" s="3383" t="s">
        <v>1906</v>
      </c>
      <c r="N78" s="3384" t="s">
        <v>3362</v>
      </c>
      <c r="O78" s="3385" t="s">
        <v>3372</v>
      </c>
      <c r="P78" s="3378" t="s">
        <v>3373</v>
      </c>
      <c r="Q78" s="3386" t="s">
        <v>3373</v>
      </c>
      <c r="R78" s="3382" t="s">
        <v>3365</v>
      </c>
      <c r="S78" s="3387" t="s">
        <v>3192</v>
      </c>
      <c r="T78" s="3387" t="s">
        <v>3192</v>
      </c>
      <c r="U78" s="3388" t="s">
        <v>3260</v>
      </c>
      <c r="V78" s="3389">
        <v>2</v>
      </c>
      <c r="W78" s="3390">
        <v>50000</v>
      </c>
      <c r="X78" s="3390">
        <v>50000</v>
      </c>
      <c r="Y78" s="3390">
        <v>50000</v>
      </c>
      <c r="Z78" s="3390">
        <v>50000</v>
      </c>
      <c r="AA78" s="3390">
        <f>50000+400000</f>
        <v>450000</v>
      </c>
      <c r="AB78" s="3390">
        <v>50000</v>
      </c>
      <c r="AC78" s="3390">
        <v>50000</v>
      </c>
      <c r="AD78" s="3390">
        <v>50000</v>
      </c>
      <c r="AE78" s="3390">
        <v>50000</v>
      </c>
      <c r="AF78" s="3390">
        <v>50000</v>
      </c>
      <c r="AG78" s="3390">
        <v>50000</v>
      </c>
      <c r="AH78" s="3391">
        <f t="shared" si="7"/>
        <v>950000</v>
      </c>
      <c r="AI78" s="3390">
        <v>50000</v>
      </c>
      <c r="AJ78" s="3390">
        <v>50000</v>
      </c>
      <c r="AK78" s="3390">
        <v>50000</v>
      </c>
      <c r="AL78" s="3391">
        <f t="shared" si="8"/>
        <v>1100000</v>
      </c>
      <c r="AM78" s="3395" t="s">
        <v>3228</v>
      </c>
    </row>
    <row r="79" spans="1:39" s="3404" customFormat="1" ht="28.5" customHeight="1">
      <c r="A79" s="3378" t="s">
        <v>1078</v>
      </c>
      <c r="B79" s="3378" t="s">
        <v>3309</v>
      </c>
      <c r="C79" s="3378" t="s">
        <v>3395</v>
      </c>
      <c r="D79" s="3379" t="str">
        <f t="shared" si="9"/>
        <v>HYD-62-2013</v>
      </c>
      <c r="E79" s="3380"/>
      <c r="F79" s="3380"/>
      <c r="G79" s="3381">
        <v>41380</v>
      </c>
      <c r="H79" s="3382"/>
      <c r="I79" s="3382">
        <v>100</v>
      </c>
      <c r="J79" s="3382" t="s">
        <v>3583</v>
      </c>
      <c r="K79" s="3382" t="s">
        <v>3584</v>
      </c>
      <c r="L79" s="3382">
        <v>10</v>
      </c>
      <c r="M79" s="3383" t="s">
        <v>1907</v>
      </c>
      <c r="N79" s="3384" t="s">
        <v>3396</v>
      </c>
      <c r="O79" s="3385" t="s">
        <v>3275</v>
      </c>
      <c r="P79" s="3382" t="s">
        <v>3276</v>
      </c>
      <c r="Q79" s="3386" t="s">
        <v>3250</v>
      </c>
      <c r="R79" s="3382" t="s">
        <v>3314</v>
      </c>
      <c r="S79" s="3387">
        <v>41640</v>
      </c>
      <c r="T79" s="3387">
        <v>42339</v>
      </c>
      <c r="U79" s="3388" t="s">
        <v>3315</v>
      </c>
      <c r="V79" s="3389">
        <v>12</v>
      </c>
      <c r="W79" s="3390"/>
      <c r="X79" s="3390"/>
      <c r="Y79" s="3390"/>
      <c r="Z79" s="3390"/>
      <c r="AA79" s="3390"/>
      <c r="AB79" s="3390"/>
      <c r="AC79" s="3390"/>
      <c r="AD79" s="3390"/>
      <c r="AE79" s="3390"/>
      <c r="AF79" s="3390"/>
      <c r="AG79" s="3390"/>
      <c r="AH79" s="3391">
        <f t="shared" si="7"/>
        <v>0</v>
      </c>
      <c r="AI79" s="3390"/>
      <c r="AJ79" s="3390"/>
      <c r="AK79" s="3390"/>
      <c r="AL79" s="3391">
        <f t="shared" si="8"/>
        <v>0</v>
      </c>
      <c r="AM79" s="3395" t="s">
        <v>3228</v>
      </c>
    </row>
    <row r="80" spans="1:39" s="3404" customFormat="1" ht="28.5" customHeight="1">
      <c r="A80" s="3378" t="s">
        <v>3206</v>
      </c>
      <c r="B80" s="3378" t="s">
        <v>3309</v>
      </c>
      <c r="C80" s="3378" t="s">
        <v>3397</v>
      </c>
      <c r="D80" s="3379" t="str">
        <f t="shared" si="9"/>
        <v>HYD-63-2014</v>
      </c>
      <c r="E80" s="3380"/>
      <c r="F80" s="3380"/>
      <c r="G80" s="3381">
        <v>41835</v>
      </c>
      <c r="H80" s="3382"/>
      <c r="I80" s="3382">
        <v>100</v>
      </c>
      <c r="J80" s="3382" t="s">
        <v>3583</v>
      </c>
      <c r="K80" s="3382" t="s">
        <v>3584</v>
      </c>
      <c r="L80" s="3382">
        <v>25</v>
      </c>
      <c r="M80" s="3383" t="s">
        <v>2870</v>
      </c>
      <c r="N80" s="3384" t="s">
        <v>3605</v>
      </c>
      <c r="O80" s="3385" t="s">
        <v>3363</v>
      </c>
      <c r="P80" s="3382" t="s">
        <v>3364</v>
      </c>
      <c r="Q80" s="3386" t="s">
        <v>3250</v>
      </c>
      <c r="R80" s="3382" t="s">
        <v>3398</v>
      </c>
      <c r="S80" s="3387">
        <v>41654</v>
      </c>
      <c r="T80" s="3387">
        <v>42705</v>
      </c>
      <c r="U80" s="3388" t="s">
        <v>3225</v>
      </c>
      <c r="V80" s="3389">
        <v>7</v>
      </c>
      <c r="W80" s="3390">
        <v>750000</v>
      </c>
      <c r="X80" s="3390"/>
      <c r="Y80" s="3390"/>
      <c r="Z80" s="3390"/>
      <c r="AA80" s="3390"/>
      <c r="AB80" s="3390"/>
      <c r="AC80" s="3390"/>
      <c r="AD80" s="3390"/>
      <c r="AE80" s="3390"/>
      <c r="AF80" s="3390"/>
      <c r="AG80" s="3390"/>
      <c r="AH80" s="3391">
        <f t="shared" si="7"/>
        <v>750000</v>
      </c>
      <c r="AI80" s="3390"/>
      <c r="AJ80" s="3390"/>
      <c r="AK80" s="3390"/>
      <c r="AL80" s="3391">
        <f t="shared" si="8"/>
        <v>750000</v>
      </c>
      <c r="AM80" s="3395" t="s">
        <v>3228</v>
      </c>
    </row>
    <row r="81" spans="1:39" s="3404" customFormat="1" ht="28.5" customHeight="1">
      <c r="A81" s="3378" t="s">
        <v>3206</v>
      </c>
      <c r="B81" s="3378" t="s">
        <v>3309</v>
      </c>
      <c r="C81" s="3378" t="s">
        <v>3399</v>
      </c>
      <c r="D81" s="3379" t="str">
        <f t="shared" si="9"/>
        <v>HYD-64-2014</v>
      </c>
      <c r="E81" s="3380"/>
      <c r="F81" s="3380"/>
      <c r="G81" s="3381">
        <v>41835</v>
      </c>
      <c r="H81" s="3382"/>
      <c r="I81" s="3382">
        <v>100</v>
      </c>
      <c r="J81" s="3382" t="s">
        <v>3583</v>
      </c>
      <c r="K81" s="3382" t="s">
        <v>3584</v>
      </c>
      <c r="L81" s="3382">
        <v>50</v>
      </c>
      <c r="M81" s="3383" t="s">
        <v>2871</v>
      </c>
      <c r="N81" s="3384" t="s">
        <v>3606</v>
      </c>
      <c r="O81" s="3385" t="s">
        <v>3346</v>
      </c>
      <c r="P81" s="3382" t="s">
        <v>3347</v>
      </c>
      <c r="Q81" s="3386" t="s">
        <v>3250</v>
      </c>
      <c r="R81" s="3382" t="s">
        <v>3365</v>
      </c>
      <c r="S81" s="3387">
        <v>41660</v>
      </c>
      <c r="T81" s="3387">
        <v>45261</v>
      </c>
      <c r="U81" s="3388" t="s">
        <v>3381</v>
      </c>
      <c r="V81" s="3389">
        <v>9</v>
      </c>
      <c r="W81" s="3390"/>
      <c r="X81" s="3390"/>
      <c r="Y81" s="3390"/>
      <c r="Z81" s="3390"/>
      <c r="AA81" s="3390"/>
      <c r="AB81" s="3390">
        <v>500000</v>
      </c>
      <c r="AC81" s="3390">
        <v>500000</v>
      </c>
      <c r="AD81" s="3390">
        <v>500000</v>
      </c>
      <c r="AE81" s="3390"/>
      <c r="AF81" s="3390"/>
      <c r="AG81" s="3390"/>
      <c r="AH81" s="3391">
        <f t="shared" si="7"/>
        <v>1500000</v>
      </c>
      <c r="AI81" s="3390"/>
      <c r="AJ81" s="3390"/>
      <c r="AK81" s="3390"/>
      <c r="AL81" s="3391">
        <f t="shared" si="8"/>
        <v>1500000</v>
      </c>
      <c r="AM81" s="3395" t="s">
        <v>3228</v>
      </c>
    </row>
    <row r="82" spans="1:39" s="3404" customFormat="1" ht="27.75" customHeight="1">
      <c r="A82" s="3378" t="s">
        <v>3206</v>
      </c>
      <c r="B82" s="3378" t="s">
        <v>3309</v>
      </c>
      <c r="C82" s="3378" t="s">
        <v>3400</v>
      </c>
      <c r="D82" s="3379" t="str">
        <f t="shared" si="9"/>
        <v>HYD-65-2014</v>
      </c>
      <c r="E82" s="3380"/>
      <c r="F82" s="3380"/>
      <c r="G82" s="3381">
        <v>41835</v>
      </c>
      <c r="H82" s="3382"/>
      <c r="I82" s="3382">
        <v>100</v>
      </c>
      <c r="J82" s="3382" t="s">
        <v>3583</v>
      </c>
      <c r="K82" s="3382" t="s">
        <v>3584</v>
      </c>
      <c r="L82" s="3382">
        <v>35</v>
      </c>
      <c r="M82" s="3383" t="s">
        <v>2872</v>
      </c>
      <c r="N82" s="3384" t="s">
        <v>3606</v>
      </c>
      <c r="O82" s="3385" t="s">
        <v>3346</v>
      </c>
      <c r="P82" s="3382" t="s">
        <v>3347</v>
      </c>
      <c r="Q82" s="3382" t="s">
        <v>3347</v>
      </c>
      <c r="R82" s="3382" t="s">
        <v>3607</v>
      </c>
      <c r="S82" s="3387">
        <v>41657</v>
      </c>
      <c r="T82" s="3387">
        <v>43800</v>
      </c>
      <c r="U82" s="3388" t="s">
        <v>3370</v>
      </c>
      <c r="V82" s="3389">
        <v>5</v>
      </c>
      <c r="W82" s="3390">
        <f>20000+45000</f>
        <v>65000</v>
      </c>
      <c r="X82" s="3390">
        <v>100000</v>
      </c>
      <c r="Y82" s="3390">
        <f>60000-60000</f>
        <v>0</v>
      </c>
      <c r="Z82" s="3390">
        <f>1200000-1200000</f>
        <v>0</v>
      </c>
      <c r="AA82" s="3390"/>
      <c r="AB82" s="3390"/>
      <c r="AC82" s="3390"/>
      <c r="AD82" s="3390"/>
      <c r="AE82" s="3390"/>
      <c r="AF82" s="3390">
        <v>16000000</v>
      </c>
      <c r="AG82" s="3390"/>
      <c r="AH82" s="3391">
        <f t="shared" si="7"/>
        <v>16165000</v>
      </c>
      <c r="AI82" s="3390"/>
      <c r="AJ82" s="3390"/>
      <c r="AK82" s="3390"/>
      <c r="AL82" s="3391">
        <f t="shared" si="8"/>
        <v>16165000</v>
      </c>
      <c r="AM82" s="3395" t="s">
        <v>3228</v>
      </c>
    </row>
    <row r="83" spans="1:39" s="3404" customFormat="1" ht="27.75" customHeight="1">
      <c r="A83" s="3378" t="s">
        <v>3206</v>
      </c>
      <c r="B83" s="3378" t="s">
        <v>3309</v>
      </c>
      <c r="C83" s="3378" t="s">
        <v>3401</v>
      </c>
      <c r="D83" s="3379" t="str">
        <f t="shared" si="9"/>
        <v>HYD-66-2014</v>
      </c>
      <c r="E83" s="3380"/>
      <c r="F83" s="3380"/>
      <c r="G83" s="3381">
        <v>41835</v>
      </c>
      <c r="H83" s="3382"/>
      <c r="I83" s="3382">
        <v>100</v>
      </c>
      <c r="J83" s="3382" t="s">
        <v>3583</v>
      </c>
      <c r="K83" s="3382" t="s">
        <v>3584</v>
      </c>
      <c r="L83" s="3382">
        <v>35</v>
      </c>
      <c r="M83" s="3383" t="s">
        <v>2873</v>
      </c>
      <c r="N83" s="3384" t="s">
        <v>3608</v>
      </c>
      <c r="O83" s="3385" t="s">
        <v>3367</v>
      </c>
      <c r="P83" s="3382" t="s">
        <v>3368</v>
      </c>
      <c r="Q83" s="3386" t="s">
        <v>3250</v>
      </c>
      <c r="R83" s="3382" t="s">
        <v>3365</v>
      </c>
      <c r="S83" s="3387">
        <v>41649</v>
      </c>
      <c r="T83" s="3387">
        <v>44531</v>
      </c>
      <c r="U83" s="3388" t="s">
        <v>3233</v>
      </c>
      <c r="V83" s="3389">
        <v>6</v>
      </c>
      <c r="W83" s="3390"/>
      <c r="X83" s="3390"/>
      <c r="Y83" s="3390"/>
      <c r="Z83" s="3390"/>
      <c r="AA83" s="3390">
        <v>300000</v>
      </c>
      <c r="AB83" s="3390">
        <v>150000</v>
      </c>
      <c r="AC83" s="3390"/>
      <c r="AD83" s="3390"/>
      <c r="AE83" s="3390"/>
      <c r="AF83" s="3390"/>
      <c r="AG83" s="3390"/>
      <c r="AH83" s="3391">
        <f t="shared" si="7"/>
        <v>450000</v>
      </c>
      <c r="AI83" s="3390"/>
      <c r="AJ83" s="3390"/>
      <c r="AK83" s="3390"/>
      <c r="AL83" s="3391">
        <f t="shared" si="8"/>
        <v>450000</v>
      </c>
      <c r="AM83" s="3395" t="s">
        <v>3228</v>
      </c>
    </row>
    <row r="84" spans="1:39" s="3404" customFormat="1" ht="27.75" customHeight="1">
      <c r="A84" s="3378" t="s">
        <v>3206</v>
      </c>
      <c r="B84" s="3378" t="s">
        <v>3309</v>
      </c>
      <c r="C84" s="3378" t="s">
        <v>3402</v>
      </c>
      <c r="D84" s="3379" t="str">
        <f t="shared" si="9"/>
        <v>HYD-67-2014</v>
      </c>
      <c r="E84" s="3380"/>
      <c r="F84" s="3380"/>
      <c r="G84" s="3381">
        <v>41835</v>
      </c>
      <c r="H84" s="3382"/>
      <c r="I84" s="3382">
        <v>100</v>
      </c>
      <c r="J84" s="3382" t="s">
        <v>3583</v>
      </c>
      <c r="K84" s="3382" t="s">
        <v>3584</v>
      </c>
      <c r="L84" s="3382">
        <v>25</v>
      </c>
      <c r="M84" s="3383" t="s">
        <v>2874</v>
      </c>
      <c r="N84" s="3384" t="s">
        <v>3606</v>
      </c>
      <c r="O84" s="3385" t="s">
        <v>3350</v>
      </c>
      <c r="P84" s="3382" t="s">
        <v>3351</v>
      </c>
      <c r="Q84" s="3386" t="s">
        <v>3250</v>
      </c>
      <c r="R84" s="3382" t="s">
        <v>3398</v>
      </c>
      <c r="S84" s="3387">
        <v>41658</v>
      </c>
      <c r="T84" s="3387">
        <v>43800</v>
      </c>
      <c r="U84" s="3388" t="s">
        <v>3225</v>
      </c>
      <c r="V84" s="3389">
        <v>7</v>
      </c>
      <c r="W84" s="3390"/>
      <c r="X84" s="3390"/>
      <c r="Y84" s="3390"/>
      <c r="Z84" s="3390">
        <f>750000-750000</f>
        <v>0</v>
      </c>
      <c r="AA84" s="3390"/>
      <c r="AB84" s="3390"/>
      <c r="AC84" s="3390"/>
      <c r="AD84" s="3390"/>
      <c r="AE84" s="3390"/>
      <c r="AF84" s="3390"/>
      <c r="AG84" s="3390"/>
      <c r="AH84" s="3391">
        <f t="shared" si="7"/>
        <v>0</v>
      </c>
      <c r="AI84" s="3390"/>
      <c r="AJ84" s="3390"/>
      <c r="AK84" s="3390"/>
      <c r="AL84" s="3391">
        <f t="shared" si="8"/>
        <v>0</v>
      </c>
      <c r="AM84" s="3395" t="s">
        <v>3228</v>
      </c>
    </row>
    <row r="85" spans="1:39" s="3404" customFormat="1" ht="27.75" customHeight="1">
      <c r="A85" s="3378" t="s">
        <v>3206</v>
      </c>
      <c r="B85" s="3378" t="s">
        <v>3309</v>
      </c>
      <c r="C85" s="3378" t="s">
        <v>3403</v>
      </c>
      <c r="D85" s="3379" t="str">
        <f t="shared" si="9"/>
        <v>HYD-68-2014</v>
      </c>
      <c r="E85" s="3380"/>
      <c r="F85" s="3380"/>
      <c r="G85" s="3381">
        <v>41835</v>
      </c>
      <c r="H85" s="3382"/>
      <c r="I85" s="3382">
        <v>100</v>
      </c>
      <c r="J85" s="3382" t="s">
        <v>3583</v>
      </c>
      <c r="K85" s="3382" t="s">
        <v>3584</v>
      </c>
      <c r="L85" s="3382">
        <v>35</v>
      </c>
      <c r="M85" s="3383" t="s">
        <v>2875</v>
      </c>
      <c r="N85" s="3384" t="s">
        <v>3606</v>
      </c>
      <c r="O85" s="3385" t="s">
        <v>3367</v>
      </c>
      <c r="P85" s="3382" t="s">
        <v>3368</v>
      </c>
      <c r="Q85" s="3382" t="s">
        <v>3368</v>
      </c>
      <c r="R85" s="3382" t="s">
        <v>3607</v>
      </c>
      <c r="S85" s="3387">
        <v>41657</v>
      </c>
      <c r="T85" s="3387">
        <v>43800</v>
      </c>
      <c r="U85" s="3388" t="s">
        <v>3370</v>
      </c>
      <c r="V85" s="3389">
        <v>5</v>
      </c>
      <c r="W85" s="3390">
        <f>20000+20000+25000</f>
        <v>65000</v>
      </c>
      <c r="X85" s="3390">
        <f>65000+35000</f>
        <v>100000</v>
      </c>
      <c r="Y85" s="3390">
        <f>60000-60000</f>
        <v>0</v>
      </c>
      <c r="Z85" s="3390">
        <f>1300000-1300000</f>
        <v>0</v>
      </c>
      <c r="AA85" s="3390"/>
      <c r="AB85" s="3390"/>
      <c r="AC85" s="3390"/>
      <c r="AD85" s="3390"/>
      <c r="AE85" s="3390"/>
      <c r="AF85" s="3390">
        <v>12000000</v>
      </c>
      <c r="AG85" s="3390"/>
      <c r="AH85" s="3391">
        <f t="shared" si="7"/>
        <v>12165000</v>
      </c>
      <c r="AI85" s="3390"/>
      <c r="AJ85" s="3390"/>
      <c r="AK85" s="3390"/>
      <c r="AL85" s="3391">
        <f t="shared" si="8"/>
        <v>12165000</v>
      </c>
      <c r="AM85" s="3395" t="s">
        <v>3228</v>
      </c>
    </row>
    <row r="86" spans="1:39" s="3404" customFormat="1" ht="28.5" customHeight="1">
      <c r="A86" s="3378" t="s">
        <v>3206</v>
      </c>
      <c r="B86" s="3378" t="s">
        <v>3309</v>
      </c>
      <c r="C86" s="3378" t="s">
        <v>3404</v>
      </c>
      <c r="D86" s="3379" t="str">
        <f t="shared" si="9"/>
        <v>HYD-69-2014</v>
      </c>
      <c r="E86" s="3380"/>
      <c r="F86" s="3380"/>
      <c r="G86" s="3381">
        <v>41835</v>
      </c>
      <c r="H86" s="3382"/>
      <c r="I86" s="3382">
        <v>100</v>
      </c>
      <c r="J86" s="3382" t="s">
        <v>3583</v>
      </c>
      <c r="K86" s="3382" t="s">
        <v>3584</v>
      </c>
      <c r="L86" s="3382">
        <v>35</v>
      </c>
      <c r="M86" s="3383" t="s">
        <v>2876</v>
      </c>
      <c r="N86" s="3384" t="s">
        <v>3606</v>
      </c>
      <c r="O86" s="3385" t="s">
        <v>3346</v>
      </c>
      <c r="P86" s="3382" t="s">
        <v>3347</v>
      </c>
      <c r="Q86" s="3382" t="s">
        <v>3347</v>
      </c>
      <c r="R86" s="3382" t="s">
        <v>3365</v>
      </c>
      <c r="S86" s="3387">
        <v>41660</v>
      </c>
      <c r="T86" s="3387">
        <v>44531</v>
      </c>
      <c r="U86" s="3388" t="s">
        <v>3233</v>
      </c>
      <c r="V86" s="3389">
        <v>6</v>
      </c>
      <c r="W86" s="3390"/>
      <c r="X86" s="3390"/>
      <c r="Y86" s="3390"/>
      <c r="Z86" s="3390"/>
      <c r="AA86" s="3390"/>
      <c r="AB86" s="3390">
        <v>1500000</v>
      </c>
      <c r="AC86" s="3390"/>
      <c r="AD86" s="3390"/>
      <c r="AE86" s="3390"/>
      <c r="AF86" s="3390"/>
      <c r="AG86" s="3390"/>
      <c r="AH86" s="3391">
        <f t="shared" si="7"/>
        <v>1500000</v>
      </c>
      <c r="AI86" s="3390"/>
      <c r="AJ86" s="3390"/>
      <c r="AK86" s="3390"/>
      <c r="AL86" s="3391">
        <f t="shared" si="8"/>
        <v>1500000</v>
      </c>
      <c r="AM86" s="3395" t="s">
        <v>3228</v>
      </c>
    </row>
    <row r="87" spans="1:39" s="3404" customFormat="1" ht="29.25" customHeight="1">
      <c r="A87" s="3378" t="s">
        <v>3207</v>
      </c>
      <c r="B87" s="3378" t="s">
        <v>3309</v>
      </c>
      <c r="C87" s="3378" t="s">
        <v>3609</v>
      </c>
      <c r="D87" s="3379" t="str">
        <f t="shared" si="9"/>
        <v>HYD-71-2015</v>
      </c>
      <c r="E87" s="3380"/>
      <c r="F87" s="3380"/>
      <c r="G87" s="3381">
        <v>42376</v>
      </c>
      <c r="H87" s="3382"/>
      <c r="I87" s="3382">
        <v>100</v>
      </c>
      <c r="J87" s="3382" t="s">
        <v>3583</v>
      </c>
      <c r="K87" s="3382" t="s">
        <v>3584</v>
      </c>
      <c r="L87" s="3382">
        <v>35</v>
      </c>
      <c r="M87" s="3383" t="s">
        <v>3610</v>
      </c>
      <c r="N87" s="3383" t="s">
        <v>3610</v>
      </c>
      <c r="O87" s="3385" t="s">
        <v>3359</v>
      </c>
      <c r="P87" s="3382" t="s">
        <v>3360</v>
      </c>
      <c r="Q87" s="3406">
        <v>102993</v>
      </c>
      <c r="R87" s="3382" t="s">
        <v>3314</v>
      </c>
      <c r="S87" s="3387" t="s">
        <v>3611</v>
      </c>
      <c r="T87" s="3387">
        <v>42614</v>
      </c>
      <c r="U87" s="3388" t="s">
        <v>3225</v>
      </c>
      <c r="V87" s="3389">
        <v>7</v>
      </c>
      <c r="W87" s="3390">
        <v>225000</v>
      </c>
      <c r="X87" s="3390"/>
      <c r="Y87" s="3390"/>
      <c r="Z87" s="3390"/>
      <c r="AA87" s="3390"/>
      <c r="AB87" s="3390"/>
      <c r="AC87" s="3390"/>
      <c r="AD87" s="3390"/>
      <c r="AE87" s="3390"/>
      <c r="AF87" s="3390"/>
      <c r="AG87" s="3390"/>
      <c r="AH87" s="3391">
        <f t="shared" si="7"/>
        <v>225000</v>
      </c>
      <c r="AI87" s="3390"/>
      <c r="AJ87" s="3390"/>
      <c r="AK87" s="3390"/>
      <c r="AL87" s="3391">
        <f t="shared" si="8"/>
        <v>225000</v>
      </c>
      <c r="AM87" s="3395" t="s">
        <v>3228</v>
      </c>
    </row>
    <row r="88" spans="1:39" s="3404" customFormat="1" ht="29.25" customHeight="1">
      <c r="A88" s="3378" t="s">
        <v>3207</v>
      </c>
      <c r="B88" s="3378" t="s">
        <v>3309</v>
      </c>
      <c r="C88" s="3378" t="s">
        <v>3612</v>
      </c>
      <c r="D88" s="3379" t="str">
        <f t="shared" si="9"/>
        <v>HYD-72-2015</v>
      </c>
      <c r="E88" s="3380"/>
      <c r="F88" s="3380"/>
      <c r="G88" s="3381">
        <v>42376</v>
      </c>
      <c r="H88" s="3382"/>
      <c r="I88" s="3382">
        <v>100</v>
      </c>
      <c r="J88" s="3382" t="s">
        <v>3583</v>
      </c>
      <c r="K88" s="3382" t="s">
        <v>3584</v>
      </c>
      <c r="L88" s="3382">
        <v>35</v>
      </c>
      <c r="M88" s="3383" t="s">
        <v>3613</v>
      </c>
      <c r="N88" s="3383" t="s">
        <v>3613</v>
      </c>
      <c r="O88" s="3385" t="s">
        <v>3321</v>
      </c>
      <c r="P88" s="3382" t="s">
        <v>3322</v>
      </c>
      <c r="Q88" s="3406" t="s">
        <v>3614</v>
      </c>
      <c r="R88" s="3382" t="s">
        <v>3314</v>
      </c>
      <c r="S88" s="3387" t="s">
        <v>3611</v>
      </c>
      <c r="T88" s="3387">
        <v>42614</v>
      </c>
      <c r="U88" s="3388" t="s">
        <v>3225</v>
      </c>
      <c r="V88" s="3389">
        <v>7</v>
      </c>
      <c r="W88" s="3390">
        <v>225000</v>
      </c>
      <c r="X88" s="3390"/>
      <c r="Y88" s="3390"/>
      <c r="Z88" s="3390"/>
      <c r="AA88" s="3390"/>
      <c r="AB88" s="3390"/>
      <c r="AC88" s="3390"/>
      <c r="AD88" s="3390"/>
      <c r="AE88" s="3390"/>
      <c r="AF88" s="3390"/>
      <c r="AG88" s="3390"/>
      <c r="AH88" s="3391">
        <f t="shared" si="7"/>
        <v>225000</v>
      </c>
      <c r="AI88" s="3390"/>
      <c r="AJ88" s="3390"/>
      <c r="AK88" s="3390"/>
      <c r="AL88" s="3391">
        <f t="shared" si="8"/>
        <v>225000</v>
      </c>
      <c r="AM88" s="3395" t="s">
        <v>3228</v>
      </c>
    </row>
    <row r="89" spans="1:39" s="3404" customFormat="1" ht="29.25" customHeight="1">
      <c r="A89" s="3378" t="s">
        <v>3208</v>
      </c>
      <c r="B89" s="3378" t="s">
        <v>3309</v>
      </c>
      <c r="C89" s="3378" t="s">
        <v>3615</v>
      </c>
      <c r="D89" s="3379" t="str">
        <f t="shared" si="9"/>
        <v>HYD-73-2016</v>
      </c>
      <c r="E89" s="3380"/>
      <c r="F89" s="3380"/>
      <c r="G89" s="3381">
        <v>42495</v>
      </c>
      <c r="H89" s="3382">
        <v>5</v>
      </c>
      <c r="I89" s="3382">
        <v>95</v>
      </c>
      <c r="J89" s="3382" t="s">
        <v>3583</v>
      </c>
      <c r="K89" s="3382" t="s">
        <v>3584</v>
      </c>
      <c r="L89" s="3382">
        <v>10</v>
      </c>
      <c r="M89" s="3383" t="s">
        <v>3616</v>
      </c>
      <c r="N89" s="3384" t="s">
        <v>3617</v>
      </c>
      <c r="O89" s="3385" t="s">
        <v>3275</v>
      </c>
      <c r="P89" s="3382" t="s">
        <v>3276</v>
      </c>
      <c r="Q89" s="3406" t="s">
        <v>3250</v>
      </c>
      <c r="R89" s="3382" t="s">
        <v>3314</v>
      </c>
      <c r="S89" s="3406" t="s">
        <v>3250</v>
      </c>
      <c r="T89" s="3387">
        <v>42705</v>
      </c>
      <c r="U89" s="3388" t="s">
        <v>3278</v>
      </c>
      <c r="V89" s="3389">
        <v>4</v>
      </c>
      <c r="W89" s="3390">
        <v>132000</v>
      </c>
      <c r="X89" s="3390"/>
      <c r="Y89" s="3390"/>
      <c r="Z89" s="3390"/>
      <c r="AA89" s="3390"/>
      <c r="AB89" s="3390"/>
      <c r="AC89" s="3390"/>
      <c r="AD89" s="3390"/>
      <c r="AE89" s="3390"/>
      <c r="AF89" s="3390"/>
      <c r="AG89" s="3390"/>
      <c r="AH89" s="3391">
        <f t="shared" si="7"/>
        <v>132000</v>
      </c>
      <c r="AI89" s="3390"/>
      <c r="AJ89" s="3390"/>
      <c r="AK89" s="3390"/>
      <c r="AL89" s="3391">
        <f t="shared" si="8"/>
        <v>132000</v>
      </c>
      <c r="AM89" s="3395" t="s">
        <v>3228</v>
      </c>
    </row>
    <row r="90" spans="1:39" s="3404" customFormat="1" ht="29.25" customHeight="1">
      <c r="A90" s="3378" t="s">
        <v>3208</v>
      </c>
      <c r="B90" s="3378" t="s">
        <v>3309</v>
      </c>
      <c r="C90" s="3378" t="s">
        <v>3618</v>
      </c>
      <c r="D90" s="3379" t="str">
        <f t="shared" si="9"/>
        <v>HYD-74-2016</v>
      </c>
      <c r="E90" s="3380"/>
      <c r="F90" s="3380"/>
      <c r="G90" s="3381">
        <v>42495</v>
      </c>
      <c r="H90" s="3382"/>
      <c r="I90" s="3382">
        <v>100</v>
      </c>
      <c r="J90" s="3382" t="s">
        <v>3583</v>
      </c>
      <c r="K90" s="3382" t="s">
        <v>3584</v>
      </c>
      <c r="L90" s="3382">
        <v>20</v>
      </c>
      <c r="M90" s="3383" t="s">
        <v>3619</v>
      </c>
      <c r="N90" s="3384" t="s">
        <v>3620</v>
      </c>
      <c r="O90" s="3385" t="s">
        <v>3359</v>
      </c>
      <c r="P90" s="3382" t="s">
        <v>3360</v>
      </c>
      <c r="Q90" s="3406" t="s">
        <v>3250</v>
      </c>
      <c r="R90" s="3382" t="s">
        <v>3314</v>
      </c>
      <c r="S90" s="3406" t="s">
        <v>3250</v>
      </c>
      <c r="T90" s="3387">
        <v>46722</v>
      </c>
      <c r="U90" s="3388" t="s">
        <v>3233</v>
      </c>
      <c r="V90" s="3389">
        <v>6</v>
      </c>
      <c r="W90" s="3390"/>
      <c r="X90" s="3390">
        <v>67438</v>
      </c>
      <c r="Y90" s="3390">
        <v>134875</v>
      </c>
      <c r="Z90" s="3390">
        <v>134875</v>
      </c>
      <c r="AA90" s="3390">
        <v>134875</v>
      </c>
      <c r="AB90" s="3390">
        <v>134875</v>
      </c>
      <c r="AC90" s="3390">
        <v>134875</v>
      </c>
      <c r="AD90" s="3390">
        <v>134875</v>
      </c>
      <c r="AE90" s="3390">
        <v>134875</v>
      </c>
      <c r="AF90" s="3390">
        <v>134875</v>
      </c>
      <c r="AG90" s="3390">
        <v>134875</v>
      </c>
      <c r="AH90" s="3391">
        <f t="shared" si="7"/>
        <v>1281313</v>
      </c>
      <c r="AI90" s="3390">
        <v>67000</v>
      </c>
      <c r="AJ90" s="3390"/>
      <c r="AK90" s="3390"/>
      <c r="AL90" s="3391">
        <f t="shared" si="8"/>
        <v>1348313</v>
      </c>
      <c r="AM90" s="3395" t="s">
        <v>3228</v>
      </c>
    </row>
    <row r="91" spans="1:39" s="3404" customFormat="1" ht="29.25" customHeight="1">
      <c r="A91" s="3378" t="s">
        <v>3208</v>
      </c>
      <c r="B91" s="3378" t="s">
        <v>3309</v>
      </c>
      <c r="C91" s="3378" t="s">
        <v>3621</v>
      </c>
      <c r="D91" s="3379" t="str">
        <f t="shared" si="9"/>
        <v>HYD-75-2016</v>
      </c>
      <c r="E91" s="3380"/>
      <c r="F91" s="3380"/>
      <c r="G91" s="3381">
        <v>42495</v>
      </c>
      <c r="H91" s="3382"/>
      <c r="I91" s="3382">
        <v>100</v>
      </c>
      <c r="J91" s="3382" t="s">
        <v>3583</v>
      </c>
      <c r="K91" s="3382" t="s">
        <v>3584</v>
      </c>
      <c r="L91" s="3382">
        <v>20</v>
      </c>
      <c r="M91" s="3383" t="s">
        <v>3622</v>
      </c>
      <c r="N91" s="3384" t="s">
        <v>3623</v>
      </c>
      <c r="O91" s="3385" t="s">
        <v>3275</v>
      </c>
      <c r="P91" s="3382" t="s">
        <v>3276</v>
      </c>
      <c r="Q91" s="3406" t="s">
        <v>3250</v>
      </c>
      <c r="R91" s="3382" t="s">
        <v>3365</v>
      </c>
      <c r="S91" s="3406" t="s">
        <v>3250</v>
      </c>
      <c r="T91" s="3387">
        <v>43070</v>
      </c>
      <c r="U91" s="3388" t="s">
        <v>3370</v>
      </c>
      <c r="V91" s="3389">
        <v>5</v>
      </c>
      <c r="W91" s="3390">
        <v>75000</v>
      </c>
      <c r="X91" s="3390">
        <v>50000</v>
      </c>
      <c r="Y91" s="3390"/>
      <c r="Z91" s="3390"/>
      <c r="AA91" s="3390"/>
      <c r="AB91" s="3390"/>
      <c r="AC91" s="3390"/>
      <c r="AD91" s="3390"/>
      <c r="AE91" s="3390"/>
      <c r="AF91" s="3390"/>
      <c r="AG91" s="3390"/>
      <c r="AH91" s="3391">
        <f t="shared" si="7"/>
        <v>125000</v>
      </c>
      <c r="AI91" s="3390"/>
      <c r="AJ91" s="3390"/>
      <c r="AK91" s="3390"/>
      <c r="AL91" s="3391">
        <f t="shared" si="8"/>
        <v>125000</v>
      </c>
      <c r="AM91" s="3395" t="s">
        <v>3228</v>
      </c>
    </row>
    <row r="92" spans="1:39" s="3404" customFormat="1" ht="29.25" customHeight="1">
      <c r="A92" s="3378" t="s">
        <v>3208</v>
      </c>
      <c r="B92" s="3378" t="s">
        <v>3309</v>
      </c>
      <c r="C92" s="3378" t="s">
        <v>3624</v>
      </c>
      <c r="D92" s="3379" t="str">
        <f t="shared" si="9"/>
        <v>HYD-76-2016</v>
      </c>
      <c r="E92" s="3380" t="s">
        <v>402</v>
      </c>
      <c r="F92" s="3380"/>
      <c r="G92" s="3381">
        <v>42495</v>
      </c>
      <c r="H92" s="3382"/>
      <c r="I92" s="3382">
        <v>100</v>
      </c>
      <c r="J92" s="3382" t="s">
        <v>3583</v>
      </c>
      <c r="K92" s="3382" t="s">
        <v>3584</v>
      </c>
      <c r="L92" s="3382">
        <v>40</v>
      </c>
      <c r="M92" s="3383" t="s">
        <v>3625</v>
      </c>
      <c r="N92" s="3384" t="s">
        <v>3626</v>
      </c>
      <c r="O92" s="3385" t="s">
        <v>3627</v>
      </c>
      <c r="P92" s="3382" t="s">
        <v>3628</v>
      </c>
      <c r="Q92" s="3406" t="s">
        <v>3629</v>
      </c>
      <c r="R92" s="3382" t="s">
        <v>3314</v>
      </c>
      <c r="S92" s="3406" t="s">
        <v>3250</v>
      </c>
      <c r="T92" s="3387" t="s">
        <v>3192</v>
      </c>
      <c r="U92" s="3388" t="s">
        <v>3225</v>
      </c>
      <c r="V92" s="3389">
        <v>7</v>
      </c>
      <c r="W92" s="3390">
        <v>50000</v>
      </c>
      <c r="X92" s="3390">
        <v>50000</v>
      </c>
      <c r="Y92" s="3390">
        <v>50000</v>
      </c>
      <c r="Z92" s="3390">
        <v>50000</v>
      </c>
      <c r="AA92" s="3390">
        <v>50000</v>
      </c>
      <c r="AB92" s="3390">
        <v>50000</v>
      </c>
      <c r="AC92" s="3390">
        <v>50000</v>
      </c>
      <c r="AD92" s="3390">
        <v>50000</v>
      </c>
      <c r="AE92" s="3390">
        <v>50000</v>
      </c>
      <c r="AF92" s="3390">
        <v>50000</v>
      </c>
      <c r="AG92" s="3390">
        <v>50000</v>
      </c>
      <c r="AH92" s="3391">
        <f t="shared" si="7"/>
        <v>550000</v>
      </c>
      <c r="AI92" s="3390">
        <v>50000</v>
      </c>
      <c r="AJ92" s="3390"/>
      <c r="AK92" s="3390"/>
      <c r="AL92" s="3391">
        <f t="shared" si="8"/>
        <v>600000</v>
      </c>
      <c r="AM92" s="3395" t="s">
        <v>3228</v>
      </c>
    </row>
    <row r="93" spans="1:39" s="3404" customFormat="1" ht="29.25" customHeight="1">
      <c r="A93" s="3378" t="s">
        <v>3208</v>
      </c>
      <c r="B93" s="3378" t="s">
        <v>3309</v>
      </c>
      <c r="C93" s="3378" t="s">
        <v>3630</v>
      </c>
      <c r="D93" s="3379" t="str">
        <f t="shared" si="9"/>
        <v>HYD-77-2016</v>
      </c>
      <c r="E93" s="3380"/>
      <c r="F93" s="3380" t="s">
        <v>402</v>
      </c>
      <c r="G93" s="3381">
        <v>42586</v>
      </c>
      <c r="H93" s="3382"/>
      <c r="I93" s="3382">
        <v>100</v>
      </c>
      <c r="J93" s="3382" t="s">
        <v>3583</v>
      </c>
      <c r="K93" s="3382" t="s">
        <v>3584</v>
      </c>
      <c r="L93" s="3382">
        <v>20</v>
      </c>
      <c r="M93" s="3383" t="s">
        <v>3631</v>
      </c>
      <c r="N93" s="3384" t="s">
        <v>3632</v>
      </c>
      <c r="O93" s="3385" t="s">
        <v>3363</v>
      </c>
      <c r="P93" s="3382" t="s">
        <v>3364</v>
      </c>
      <c r="Q93" s="3406" t="s">
        <v>3250</v>
      </c>
      <c r="R93" s="3382" t="s">
        <v>3365</v>
      </c>
      <c r="S93" s="3406">
        <v>45566</v>
      </c>
      <c r="T93" s="3387">
        <v>45870</v>
      </c>
      <c r="U93" s="3388" t="s">
        <v>3225</v>
      </c>
      <c r="V93" s="3389">
        <v>6</v>
      </c>
      <c r="W93" s="3390"/>
      <c r="X93" s="3390"/>
      <c r="Y93" s="3390"/>
      <c r="Z93" s="3390"/>
      <c r="AA93" s="3390"/>
      <c r="AB93" s="3390"/>
      <c r="AC93" s="3390"/>
      <c r="AD93" s="3390"/>
      <c r="AE93" s="3390"/>
      <c r="AF93" s="3390">
        <v>2400000</v>
      </c>
      <c r="AG93" s="3390">
        <v>0</v>
      </c>
      <c r="AH93" s="3391">
        <f t="shared" si="7"/>
        <v>2400000</v>
      </c>
      <c r="AI93" s="3390"/>
      <c r="AJ93" s="3390"/>
      <c r="AK93" s="3390"/>
      <c r="AL93" s="3391">
        <f t="shared" si="8"/>
        <v>2400000</v>
      </c>
      <c r="AM93" s="3395" t="s">
        <v>3308</v>
      </c>
    </row>
    <row r="94" spans="1:39" s="3404" customFormat="1" ht="29.25" customHeight="1">
      <c r="A94" s="3378" t="s">
        <v>3208</v>
      </c>
      <c r="B94" s="3378" t="s">
        <v>3309</v>
      </c>
      <c r="C94" s="3378" t="s">
        <v>3633</v>
      </c>
      <c r="D94" s="3379" t="str">
        <f t="shared" si="9"/>
        <v>HYD-78-2016</v>
      </c>
      <c r="E94" s="3380"/>
      <c r="F94" s="3380"/>
      <c r="G94" s="3381">
        <v>42586</v>
      </c>
      <c r="H94" s="3382"/>
      <c r="I94" s="3382">
        <v>100</v>
      </c>
      <c r="J94" s="3382" t="s">
        <v>3583</v>
      </c>
      <c r="K94" s="3382" t="s">
        <v>3584</v>
      </c>
      <c r="L94" s="3382">
        <v>25</v>
      </c>
      <c r="M94" s="3383" t="s">
        <v>3634</v>
      </c>
      <c r="N94" s="3384" t="s">
        <v>3635</v>
      </c>
      <c r="O94" s="3385" t="s">
        <v>3367</v>
      </c>
      <c r="P94" s="3382" t="s">
        <v>3368</v>
      </c>
      <c r="Q94" s="3406" t="s">
        <v>3250</v>
      </c>
      <c r="R94" s="3382" t="s">
        <v>3365</v>
      </c>
      <c r="S94" s="3406">
        <v>43466</v>
      </c>
      <c r="T94" s="3387">
        <v>43800</v>
      </c>
      <c r="U94" s="3388" t="s">
        <v>3225</v>
      </c>
      <c r="V94" s="3389">
        <v>6</v>
      </c>
      <c r="W94" s="3390"/>
      <c r="X94" s="3390"/>
      <c r="Y94" s="3390"/>
      <c r="Z94" s="3390">
        <v>260000</v>
      </c>
      <c r="AA94" s="3390"/>
      <c r="AB94" s="3390"/>
      <c r="AC94" s="3390"/>
      <c r="AD94" s="3390"/>
      <c r="AE94" s="3390"/>
      <c r="AF94" s="3390"/>
      <c r="AG94" s="3390"/>
      <c r="AH94" s="3391">
        <f t="shared" si="7"/>
        <v>260000</v>
      </c>
      <c r="AI94" s="3390"/>
      <c r="AJ94" s="3390"/>
      <c r="AK94" s="3390"/>
      <c r="AL94" s="3391">
        <f t="shared" si="8"/>
        <v>260000</v>
      </c>
      <c r="AM94" s="3395" t="s">
        <v>3308</v>
      </c>
    </row>
    <row r="95" spans="1:39" s="3404" customFormat="1" ht="29.25" customHeight="1">
      <c r="A95" s="3378" t="s">
        <v>3208</v>
      </c>
      <c r="B95" s="3378" t="s">
        <v>3309</v>
      </c>
      <c r="C95" s="3378" t="s">
        <v>3636</v>
      </c>
      <c r="D95" s="3379" t="str">
        <f t="shared" si="9"/>
        <v>HYD-79-2016</v>
      </c>
      <c r="E95" s="3380"/>
      <c r="F95" s="3380"/>
      <c r="G95" s="3381">
        <v>42586</v>
      </c>
      <c r="H95" s="3382"/>
      <c r="I95" s="3382">
        <v>100</v>
      </c>
      <c r="J95" s="3382" t="s">
        <v>3583</v>
      </c>
      <c r="K95" s="3382" t="s">
        <v>3584</v>
      </c>
      <c r="L95" s="3382">
        <v>30</v>
      </c>
      <c r="M95" s="3383" t="s">
        <v>3637</v>
      </c>
      <c r="N95" s="3384" t="s">
        <v>3638</v>
      </c>
      <c r="O95" s="3385" t="s">
        <v>3367</v>
      </c>
      <c r="P95" s="3382" t="s">
        <v>3368</v>
      </c>
      <c r="Q95" s="3406" t="s">
        <v>3250</v>
      </c>
      <c r="R95" s="3382" t="s">
        <v>3365</v>
      </c>
      <c r="S95" s="3406">
        <v>45292</v>
      </c>
      <c r="T95" s="3387">
        <v>45992</v>
      </c>
      <c r="U95" s="3388" t="s">
        <v>3381</v>
      </c>
      <c r="V95" s="3389">
        <v>9</v>
      </c>
      <c r="W95" s="3390"/>
      <c r="X95" s="3390"/>
      <c r="Y95" s="3390"/>
      <c r="Z95" s="3390"/>
      <c r="AA95" s="3390"/>
      <c r="AB95" s="3390"/>
      <c r="AC95" s="3390"/>
      <c r="AD95" s="3390"/>
      <c r="AE95" s="3390">
        <v>1700000</v>
      </c>
      <c r="AF95" s="3390">
        <v>100000</v>
      </c>
      <c r="AG95" s="3390"/>
      <c r="AH95" s="3391">
        <f t="shared" si="7"/>
        <v>1800000</v>
      </c>
      <c r="AI95" s="3390"/>
      <c r="AJ95" s="3390"/>
      <c r="AK95" s="3390"/>
      <c r="AL95" s="3391">
        <f t="shared" si="8"/>
        <v>1800000</v>
      </c>
      <c r="AM95" s="3395" t="s">
        <v>3308</v>
      </c>
    </row>
    <row r="96" spans="1:39" s="3404" customFormat="1" ht="29.25" customHeight="1">
      <c r="A96" s="3378" t="s">
        <v>3208</v>
      </c>
      <c r="B96" s="3378" t="s">
        <v>3309</v>
      </c>
      <c r="C96" s="3378" t="s">
        <v>3639</v>
      </c>
      <c r="D96" s="3379" t="str">
        <f t="shared" si="9"/>
        <v>HYD-80-2016</v>
      </c>
      <c r="E96" s="3380"/>
      <c r="F96" s="3380"/>
      <c r="G96" s="3381">
        <v>42586</v>
      </c>
      <c r="H96" s="3382"/>
      <c r="I96" s="3382">
        <v>100</v>
      </c>
      <c r="J96" s="3382" t="s">
        <v>3583</v>
      </c>
      <c r="K96" s="3382" t="s">
        <v>3584</v>
      </c>
      <c r="L96" s="3382">
        <v>20</v>
      </c>
      <c r="M96" s="3383" t="s">
        <v>3640</v>
      </c>
      <c r="N96" s="3384" t="s">
        <v>3641</v>
      </c>
      <c r="O96" s="3385" t="s">
        <v>3372</v>
      </c>
      <c r="P96" s="3382" t="s">
        <v>3373</v>
      </c>
      <c r="Q96" s="3406" t="s">
        <v>3250</v>
      </c>
      <c r="R96" s="3382" t="s">
        <v>3365</v>
      </c>
      <c r="S96" s="3406">
        <v>43466</v>
      </c>
      <c r="T96" s="3387">
        <v>43800</v>
      </c>
      <c r="U96" s="3388" t="s">
        <v>3225</v>
      </c>
      <c r="V96" s="3389">
        <v>6</v>
      </c>
      <c r="W96" s="3390"/>
      <c r="X96" s="3390"/>
      <c r="Y96" s="3390"/>
      <c r="Z96" s="3390">
        <v>100000</v>
      </c>
      <c r="AA96" s="3390"/>
      <c r="AB96" s="3390"/>
      <c r="AC96" s="3390"/>
      <c r="AD96" s="3390"/>
      <c r="AE96" s="3390"/>
      <c r="AF96" s="3390"/>
      <c r="AG96" s="3390"/>
      <c r="AH96" s="3391">
        <f t="shared" si="7"/>
        <v>100000</v>
      </c>
      <c r="AI96" s="3390"/>
      <c r="AJ96" s="3390"/>
      <c r="AK96" s="3390"/>
      <c r="AL96" s="3391">
        <f t="shared" si="8"/>
        <v>100000</v>
      </c>
      <c r="AM96" s="3395" t="s">
        <v>3308</v>
      </c>
    </row>
    <row r="97" spans="1:39" s="3404" customFormat="1" ht="29.25" customHeight="1">
      <c r="A97" s="3378" t="s">
        <v>3208</v>
      </c>
      <c r="B97" s="3378" t="s">
        <v>3309</v>
      </c>
      <c r="C97" s="3378" t="s">
        <v>3642</v>
      </c>
      <c r="D97" s="3379" t="str">
        <f t="shared" si="9"/>
        <v>HYD-81-2016</v>
      </c>
      <c r="E97" s="3380"/>
      <c r="F97" s="3380"/>
      <c r="G97" s="3381">
        <v>42586</v>
      </c>
      <c r="H97" s="3382"/>
      <c r="I97" s="3382">
        <v>100</v>
      </c>
      <c r="J97" s="3382" t="s">
        <v>3583</v>
      </c>
      <c r="K97" s="3382" t="s">
        <v>3584</v>
      </c>
      <c r="L97" s="3382">
        <v>25</v>
      </c>
      <c r="M97" s="3383" t="s">
        <v>3643</v>
      </c>
      <c r="N97" s="3384" t="s">
        <v>3644</v>
      </c>
      <c r="O97" s="3385" t="s">
        <v>3346</v>
      </c>
      <c r="P97" s="3382" t="s">
        <v>3347</v>
      </c>
      <c r="Q97" s="3406" t="s">
        <v>3250</v>
      </c>
      <c r="R97" s="3382" t="s">
        <v>3645</v>
      </c>
      <c r="S97" s="3406">
        <v>43466</v>
      </c>
      <c r="T97" s="3387">
        <v>44531</v>
      </c>
      <c r="U97" s="3388" t="s">
        <v>3381</v>
      </c>
      <c r="V97" s="3389">
        <v>9</v>
      </c>
      <c r="W97" s="3390"/>
      <c r="X97" s="3390"/>
      <c r="Y97" s="3390"/>
      <c r="Z97" s="3390">
        <v>40000</v>
      </c>
      <c r="AA97" s="3390">
        <v>130000</v>
      </c>
      <c r="AB97" s="3390">
        <v>930000</v>
      </c>
      <c r="AC97" s="3390"/>
      <c r="AD97" s="3390"/>
      <c r="AE97" s="3390"/>
      <c r="AF97" s="3390"/>
      <c r="AG97" s="3390"/>
      <c r="AH97" s="3391">
        <f t="shared" si="7"/>
        <v>1100000</v>
      </c>
      <c r="AI97" s="3390"/>
      <c r="AJ97" s="3390"/>
      <c r="AK97" s="3390"/>
      <c r="AL97" s="3391">
        <f t="shared" si="8"/>
        <v>1100000</v>
      </c>
      <c r="AM97" s="3395" t="s">
        <v>3308</v>
      </c>
    </row>
    <row r="98" spans="1:39" s="3404" customFormat="1" ht="29.25" customHeight="1">
      <c r="A98" s="3378" t="s">
        <v>3208</v>
      </c>
      <c r="B98" s="3378" t="s">
        <v>3309</v>
      </c>
      <c r="C98" s="3378" t="s">
        <v>3646</v>
      </c>
      <c r="D98" s="3379" t="str">
        <f t="shared" si="9"/>
        <v>HYD-82-2016</v>
      </c>
      <c r="E98" s="3380"/>
      <c r="F98" s="3380"/>
      <c r="G98" s="3381">
        <v>42586</v>
      </c>
      <c r="H98" s="3382"/>
      <c r="I98" s="3382">
        <v>100</v>
      </c>
      <c r="J98" s="3382" t="s">
        <v>3583</v>
      </c>
      <c r="K98" s="3382" t="s">
        <v>3584</v>
      </c>
      <c r="L98" s="3382">
        <v>20</v>
      </c>
      <c r="M98" s="3383" t="s">
        <v>3647</v>
      </c>
      <c r="N98" s="3384" t="s">
        <v>3648</v>
      </c>
      <c r="O98" s="3385" t="s">
        <v>3346</v>
      </c>
      <c r="P98" s="3382" t="s">
        <v>3347</v>
      </c>
      <c r="Q98" s="3406" t="s">
        <v>3250</v>
      </c>
      <c r="R98" s="3382" t="s">
        <v>3365</v>
      </c>
      <c r="S98" s="3406">
        <v>46388</v>
      </c>
      <c r="T98" s="3387">
        <v>47088</v>
      </c>
      <c r="U98" s="3388" t="s">
        <v>3225</v>
      </c>
      <c r="V98" s="3389">
        <v>6</v>
      </c>
      <c r="W98" s="3390"/>
      <c r="X98" s="3390"/>
      <c r="Y98" s="3390"/>
      <c r="Z98" s="3390"/>
      <c r="AA98" s="3390"/>
      <c r="AB98" s="3390"/>
      <c r="AC98" s="3390"/>
      <c r="AD98" s="3390"/>
      <c r="AE98" s="3390"/>
      <c r="AF98" s="3390"/>
      <c r="AG98" s="3390"/>
      <c r="AH98" s="3391">
        <f t="shared" si="7"/>
        <v>0</v>
      </c>
      <c r="AI98" s="3390">
        <v>525000</v>
      </c>
      <c r="AJ98" s="3390">
        <v>10000</v>
      </c>
      <c r="AK98" s="3390"/>
      <c r="AL98" s="3391">
        <f t="shared" si="8"/>
        <v>535000</v>
      </c>
      <c r="AM98" s="3395" t="s">
        <v>3308</v>
      </c>
    </row>
    <row r="99" spans="1:39" s="3404" customFormat="1" ht="29.25" customHeight="1">
      <c r="A99" s="3378" t="s">
        <v>3208</v>
      </c>
      <c r="B99" s="3378" t="s">
        <v>3309</v>
      </c>
      <c r="C99" s="3378" t="s">
        <v>3649</v>
      </c>
      <c r="D99" s="3379" t="str">
        <f t="shared" si="9"/>
        <v>HYD-83-2016</v>
      </c>
      <c r="E99" s="3380"/>
      <c r="F99" s="3380" t="s">
        <v>402</v>
      </c>
      <c r="G99" s="3381">
        <v>42586</v>
      </c>
      <c r="H99" s="3382"/>
      <c r="I99" s="3382">
        <v>100</v>
      </c>
      <c r="J99" s="3382" t="s">
        <v>3583</v>
      </c>
      <c r="K99" s="3382" t="s">
        <v>3584</v>
      </c>
      <c r="L99" s="3382">
        <v>25</v>
      </c>
      <c r="M99" s="3383" t="s">
        <v>3650</v>
      </c>
      <c r="N99" s="3384" t="s">
        <v>3651</v>
      </c>
      <c r="O99" s="3385" t="s">
        <v>3346</v>
      </c>
      <c r="P99" s="3382" t="s">
        <v>3652</v>
      </c>
      <c r="Q99" s="3406" t="s">
        <v>3250</v>
      </c>
      <c r="R99" s="3382" t="s">
        <v>3602</v>
      </c>
      <c r="S99" s="3406">
        <v>43678</v>
      </c>
      <c r="T99" s="3387">
        <v>44531</v>
      </c>
      <c r="U99" s="3388" t="s">
        <v>3381</v>
      </c>
      <c r="V99" s="3389">
        <v>9</v>
      </c>
      <c r="W99" s="3390"/>
      <c r="X99" s="3390"/>
      <c r="Y99" s="3390"/>
      <c r="Z99" s="3390"/>
      <c r="AA99" s="3390">
        <v>100000</v>
      </c>
      <c r="AB99" s="3390">
        <v>660000</v>
      </c>
      <c r="AC99" s="3390">
        <v>5240000</v>
      </c>
      <c r="AD99" s="3390"/>
      <c r="AE99" s="3390"/>
      <c r="AF99" s="3390"/>
      <c r="AG99" s="3390"/>
      <c r="AH99" s="3391">
        <f t="shared" si="7"/>
        <v>6000000</v>
      </c>
      <c r="AI99" s="3390"/>
      <c r="AJ99" s="3390"/>
      <c r="AK99" s="3390"/>
      <c r="AL99" s="3391">
        <f t="shared" si="8"/>
        <v>6000000</v>
      </c>
      <c r="AM99" s="3395" t="s">
        <v>3308</v>
      </c>
    </row>
    <row r="100" spans="1:39" s="3404" customFormat="1" ht="29.25" customHeight="1">
      <c r="A100" s="3378" t="s">
        <v>3208</v>
      </c>
      <c r="B100" s="3378" t="s">
        <v>3309</v>
      </c>
      <c r="C100" s="3378" t="s">
        <v>3653</v>
      </c>
      <c r="D100" s="3379" t="str">
        <f t="shared" si="9"/>
        <v>HYD-84-2016</v>
      </c>
      <c r="E100" s="3380"/>
      <c r="F100" s="3380" t="s">
        <v>402</v>
      </c>
      <c r="G100" s="3381">
        <v>42586</v>
      </c>
      <c r="H100" s="3382"/>
      <c r="I100" s="3382">
        <v>100</v>
      </c>
      <c r="J100" s="3382" t="s">
        <v>3583</v>
      </c>
      <c r="K100" s="3382" t="s">
        <v>3584</v>
      </c>
      <c r="L100" s="3382">
        <v>25</v>
      </c>
      <c r="M100" s="3383" t="s">
        <v>3654</v>
      </c>
      <c r="N100" s="3384" t="s">
        <v>3655</v>
      </c>
      <c r="O100" s="3385" t="s">
        <v>3346</v>
      </c>
      <c r="P100" s="3382" t="s">
        <v>3347</v>
      </c>
      <c r="Q100" s="3406" t="s">
        <v>3250</v>
      </c>
      <c r="R100" s="3382" t="s">
        <v>3365</v>
      </c>
      <c r="S100" s="3406">
        <v>44044</v>
      </c>
      <c r="T100" s="3387">
        <v>44896</v>
      </c>
      <c r="U100" s="3388" t="s">
        <v>3370</v>
      </c>
      <c r="V100" s="3389">
        <v>5</v>
      </c>
      <c r="W100" s="3390"/>
      <c r="X100" s="3390"/>
      <c r="Y100" s="3390"/>
      <c r="Z100" s="3390"/>
      <c r="AA100" s="3390"/>
      <c r="AB100" s="3390">
        <v>60000</v>
      </c>
      <c r="AC100" s="3390">
        <v>140000</v>
      </c>
      <c r="AD100" s="3390">
        <v>2650000</v>
      </c>
      <c r="AE100" s="3390"/>
      <c r="AF100" s="3390"/>
      <c r="AG100" s="3390"/>
      <c r="AH100" s="3391">
        <f t="shared" si="7"/>
        <v>2850000</v>
      </c>
      <c r="AI100" s="3390"/>
      <c r="AJ100" s="3390"/>
      <c r="AK100" s="3390"/>
      <c r="AL100" s="3391">
        <f t="shared" si="8"/>
        <v>2850000</v>
      </c>
      <c r="AM100" s="3395" t="s">
        <v>3308</v>
      </c>
    </row>
    <row r="101" spans="1:39" s="3404" customFormat="1" ht="29.25" customHeight="1">
      <c r="A101" s="3378" t="s">
        <v>3208</v>
      </c>
      <c r="B101" s="3378" t="s">
        <v>3309</v>
      </c>
      <c r="C101" s="3378" t="s">
        <v>3568</v>
      </c>
      <c r="D101" s="3379" t="str">
        <f t="shared" si="9"/>
        <v>HYD-85-2016</v>
      </c>
      <c r="E101" s="3380"/>
      <c r="F101" s="3380"/>
      <c r="G101" s="3381">
        <v>42586</v>
      </c>
      <c r="H101" s="3382">
        <v>100</v>
      </c>
      <c r="I101" s="3382"/>
      <c r="J101" s="3382" t="s">
        <v>3566</v>
      </c>
      <c r="K101" s="3382" t="s">
        <v>3551</v>
      </c>
      <c r="L101" s="3382">
        <v>30</v>
      </c>
      <c r="M101" s="3383" t="s">
        <v>3569</v>
      </c>
      <c r="N101" s="3384" t="s">
        <v>3656</v>
      </c>
      <c r="O101" s="3385" t="s">
        <v>3376</v>
      </c>
      <c r="P101" s="3382" t="s">
        <v>3377</v>
      </c>
      <c r="Q101" s="3406" t="s">
        <v>3250</v>
      </c>
      <c r="R101" s="3382" t="s">
        <v>3365</v>
      </c>
      <c r="S101" s="3406">
        <v>46023</v>
      </c>
      <c r="T101" s="3387">
        <v>46357</v>
      </c>
      <c r="U101" s="3388" t="s">
        <v>3225</v>
      </c>
      <c r="V101" s="3389">
        <v>6</v>
      </c>
      <c r="W101" s="3390"/>
      <c r="X101" s="3390"/>
      <c r="Y101" s="3390"/>
      <c r="Z101" s="3390"/>
      <c r="AA101" s="3390"/>
      <c r="AB101" s="3390"/>
      <c r="AC101" s="3390"/>
      <c r="AD101" s="3390"/>
      <c r="AE101" s="3390"/>
      <c r="AF101" s="3390"/>
      <c r="AG101" s="3390">
        <v>162000</v>
      </c>
      <c r="AH101" s="3391">
        <f t="shared" si="7"/>
        <v>162000</v>
      </c>
      <c r="AI101" s="3390"/>
      <c r="AJ101" s="3390"/>
      <c r="AK101" s="3390"/>
      <c r="AL101" s="3391">
        <f t="shared" si="8"/>
        <v>162000</v>
      </c>
      <c r="AM101" s="3395" t="s">
        <v>3308</v>
      </c>
    </row>
    <row r="102" spans="1:39" s="3404" customFormat="1" ht="29.25" customHeight="1">
      <c r="A102" s="3378" t="s">
        <v>3208</v>
      </c>
      <c r="B102" s="3378" t="s">
        <v>3309</v>
      </c>
      <c r="C102" s="3378" t="s">
        <v>3570</v>
      </c>
      <c r="D102" s="3379" t="str">
        <f t="shared" si="9"/>
        <v>HYD-86-2016</v>
      </c>
      <c r="E102" s="3380"/>
      <c r="F102" s="3380"/>
      <c r="G102" s="3381">
        <v>42586</v>
      </c>
      <c r="H102" s="3382">
        <v>100</v>
      </c>
      <c r="I102" s="3382"/>
      <c r="J102" s="3382" t="s">
        <v>3566</v>
      </c>
      <c r="K102" s="3382" t="s">
        <v>3551</v>
      </c>
      <c r="L102" s="3382">
        <v>35</v>
      </c>
      <c r="M102" s="3383" t="s">
        <v>3571</v>
      </c>
      <c r="N102" s="3384" t="s">
        <v>3657</v>
      </c>
      <c r="O102" s="3385" t="s">
        <v>3376</v>
      </c>
      <c r="P102" s="3382" t="s">
        <v>3377</v>
      </c>
      <c r="Q102" s="3406" t="s">
        <v>3250</v>
      </c>
      <c r="R102" s="3382" t="s">
        <v>3365</v>
      </c>
      <c r="S102" s="3406">
        <v>46023</v>
      </c>
      <c r="T102" s="3387">
        <v>45992</v>
      </c>
      <c r="U102" s="3388" t="s">
        <v>3225</v>
      </c>
      <c r="V102" s="3389">
        <v>6</v>
      </c>
      <c r="W102" s="3390"/>
      <c r="X102" s="3390"/>
      <c r="Y102" s="3390"/>
      <c r="Z102" s="3390"/>
      <c r="AA102" s="3390"/>
      <c r="AB102" s="3390"/>
      <c r="AC102" s="3390"/>
      <c r="AD102" s="3390"/>
      <c r="AE102" s="3390">
        <v>30000</v>
      </c>
      <c r="AF102" s="3390">
        <v>215000</v>
      </c>
      <c r="AG102" s="3390"/>
      <c r="AH102" s="3391">
        <f t="shared" si="7"/>
        <v>245000</v>
      </c>
      <c r="AI102" s="3390"/>
      <c r="AJ102" s="3390"/>
      <c r="AK102" s="3390"/>
      <c r="AL102" s="3391">
        <f t="shared" si="8"/>
        <v>245000</v>
      </c>
      <c r="AM102" s="3395" t="s">
        <v>3308</v>
      </c>
    </row>
    <row r="103" spans="1:39" s="3404" customFormat="1" ht="29.25" customHeight="1">
      <c r="A103" s="3378" t="s">
        <v>3208</v>
      </c>
      <c r="B103" s="3378" t="s">
        <v>3309</v>
      </c>
      <c r="C103" s="3378" t="s">
        <v>3572</v>
      </c>
      <c r="D103" s="3379" t="str">
        <f t="shared" si="9"/>
        <v>HYD-87-2016</v>
      </c>
      <c r="E103" s="3380"/>
      <c r="F103" s="3380"/>
      <c r="G103" s="3381">
        <v>42586</v>
      </c>
      <c r="H103" s="3382">
        <v>100</v>
      </c>
      <c r="I103" s="3382"/>
      <c r="J103" s="3382" t="s">
        <v>3566</v>
      </c>
      <c r="K103" s="3382" t="s">
        <v>3551</v>
      </c>
      <c r="L103" s="3382">
        <v>15</v>
      </c>
      <c r="M103" s="3383" t="s">
        <v>3573</v>
      </c>
      <c r="N103" s="3384" t="s">
        <v>3658</v>
      </c>
      <c r="O103" s="3385" t="s">
        <v>3376</v>
      </c>
      <c r="P103" s="3382" t="s">
        <v>3377</v>
      </c>
      <c r="Q103" s="3406" t="s">
        <v>3250</v>
      </c>
      <c r="R103" s="3382" t="s">
        <v>3365</v>
      </c>
      <c r="S103" s="3406">
        <v>46023</v>
      </c>
      <c r="T103" s="3387">
        <v>46357</v>
      </c>
      <c r="U103" s="3388" t="s">
        <v>3225</v>
      </c>
      <c r="V103" s="3389">
        <v>6</v>
      </c>
      <c r="W103" s="3390"/>
      <c r="X103" s="3390"/>
      <c r="Y103" s="3390"/>
      <c r="Z103" s="3390"/>
      <c r="AA103" s="3390"/>
      <c r="AB103" s="3390"/>
      <c r="AC103" s="3390"/>
      <c r="AD103" s="3390"/>
      <c r="AE103" s="3390"/>
      <c r="AF103" s="3390"/>
      <c r="AG103" s="3390">
        <v>150000</v>
      </c>
      <c r="AH103" s="3391">
        <f t="shared" si="7"/>
        <v>150000</v>
      </c>
      <c r="AI103" s="3390"/>
      <c r="AJ103" s="3390"/>
      <c r="AK103" s="3390"/>
      <c r="AL103" s="3391">
        <f t="shared" si="8"/>
        <v>150000</v>
      </c>
      <c r="AM103" s="3395" t="s">
        <v>3308</v>
      </c>
    </row>
    <row r="104" spans="1:39" s="3404" customFormat="1" ht="29.25" customHeight="1">
      <c r="A104" s="3378" t="s">
        <v>3208</v>
      </c>
      <c r="B104" s="3378" t="s">
        <v>3309</v>
      </c>
      <c r="C104" s="3378" t="s">
        <v>3659</v>
      </c>
      <c r="D104" s="3379" t="str">
        <f t="shared" si="9"/>
        <v>HYD-88-2016</v>
      </c>
      <c r="E104" s="3380"/>
      <c r="F104" s="3380"/>
      <c r="G104" s="3381">
        <v>42586</v>
      </c>
      <c r="H104" s="3382"/>
      <c r="I104" s="3382">
        <v>100</v>
      </c>
      <c r="J104" s="3382" t="s">
        <v>3566</v>
      </c>
      <c r="K104" s="3382" t="s">
        <v>3660</v>
      </c>
      <c r="L104" s="3382">
        <v>10</v>
      </c>
      <c r="M104" s="3383" t="s">
        <v>3661</v>
      </c>
      <c r="N104" s="3384" t="s">
        <v>3662</v>
      </c>
      <c r="O104" s="3385" t="s">
        <v>3275</v>
      </c>
      <c r="P104" s="3382" t="s">
        <v>3276</v>
      </c>
      <c r="Q104" s="3406" t="s">
        <v>3250</v>
      </c>
      <c r="R104" s="3382" t="s">
        <v>3663</v>
      </c>
      <c r="S104" s="3406">
        <v>42583</v>
      </c>
      <c r="T104" s="3387">
        <v>42705</v>
      </c>
      <c r="U104" s="3388" t="s">
        <v>3260</v>
      </c>
      <c r="V104" s="3389">
        <v>2</v>
      </c>
      <c r="W104" s="3390">
        <v>50000</v>
      </c>
      <c r="X104" s="3390"/>
      <c r="Y104" s="3390"/>
      <c r="Z104" s="3390"/>
      <c r="AA104" s="3390"/>
      <c r="AB104" s="3390"/>
      <c r="AC104" s="3390"/>
      <c r="AD104" s="3390"/>
      <c r="AE104" s="3390"/>
      <c r="AF104" s="3390"/>
      <c r="AG104" s="3390"/>
      <c r="AH104" s="3391">
        <f t="shared" si="7"/>
        <v>50000</v>
      </c>
      <c r="AI104" s="3390"/>
      <c r="AJ104" s="3390"/>
      <c r="AK104" s="3390"/>
      <c r="AL104" s="3391">
        <f t="shared" si="8"/>
        <v>50000</v>
      </c>
      <c r="AM104" s="3395" t="s">
        <v>3308</v>
      </c>
    </row>
    <row r="105" spans="1:39" s="3404" customFormat="1" ht="29.25" customHeight="1">
      <c r="A105" s="3378" t="s">
        <v>3208</v>
      </c>
      <c r="B105" s="3378" t="s">
        <v>3309</v>
      </c>
      <c r="C105" s="3378" t="s">
        <v>3664</v>
      </c>
      <c r="D105" s="3379" t="str">
        <f t="shared" si="9"/>
        <v>HYD-89-2016</v>
      </c>
      <c r="E105" s="3380"/>
      <c r="F105" s="3380" t="s">
        <v>402</v>
      </c>
      <c r="G105" s="3381">
        <v>42586</v>
      </c>
      <c r="H105" s="3382"/>
      <c r="I105" s="3382">
        <v>100</v>
      </c>
      <c r="J105" s="3382" t="s">
        <v>3583</v>
      </c>
      <c r="K105" s="3382" t="s">
        <v>3584</v>
      </c>
      <c r="L105" s="3382"/>
      <c r="M105" s="3383" t="s">
        <v>3665</v>
      </c>
      <c r="N105" s="3384" t="s">
        <v>3666</v>
      </c>
      <c r="O105" s="3385" t="s">
        <v>3325</v>
      </c>
      <c r="P105" s="3382" t="s">
        <v>3326</v>
      </c>
      <c r="Q105" s="3406">
        <v>102344</v>
      </c>
      <c r="R105" s="3382" t="s">
        <v>3667</v>
      </c>
      <c r="S105" s="3406">
        <v>42522</v>
      </c>
      <c r="T105" s="3387">
        <v>44409</v>
      </c>
      <c r="U105" s="3388" t="s">
        <v>3260</v>
      </c>
      <c r="V105" s="3389">
        <v>2</v>
      </c>
      <c r="W105" s="3390">
        <v>10000</v>
      </c>
      <c r="X105" s="3390">
        <v>788052</v>
      </c>
      <c r="Y105" s="3390">
        <v>1039903</v>
      </c>
      <c r="Z105" s="3390">
        <v>1427228</v>
      </c>
      <c r="AA105" s="3390">
        <v>2869904</v>
      </c>
      <c r="AB105" s="3390">
        <v>1654841</v>
      </c>
      <c r="AC105" s="3390">
        <v>273970</v>
      </c>
      <c r="AD105" s="3390">
        <v>273970</v>
      </c>
      <c r="AE105" s="3390">
        <v>273970</v>
      </c>
      <c r="AF105" s="3390">
        <v>273970</v>
      </c>
      <c r="AG105" s="3390">
        <v>136985</v>
      </c>
      <c r="AH105" s="3391">
        <f t="shared" si="7"/>
        <v>9022793</v>
      </c>
      <c r="AI105" s="3390"/>
      <c r="AJ105" s="3390"/>
      <c r="AK105" s="3390"/>
      <c r="AL105" s="3391">
        <f t="shared" si="8"/>
        <v>9022793</v>
      </c>
      <c r="AM105" s="3395" t="s">
        <v>3308</v>
      </c>
    </row>
    <row r="106" spans="1:39" s="3404" customFormat="1" ht="27.75" customHeight="1">
      <c r="A106" s="3378">
        <v>2011</v>
      </c>
      <c r="B106" s="3378" t="s">
        <v>3405</v>
      </c>
      <c r="C106" s="3378">
        <v>1</v>
      </c>
      <c r="D106" s="3379" t="str">
        <f t="shared" si="9"/>
        <v>NR-1-2011</v>
      </c>
      <c r="E106" s="3380"/>
      <c r="F106" s="3380"/>
      <c r="G106" s="3381">
        <v>40653</v>
      </c>
      <c r="H106" s="3382"/>
      <c r="I106" s="3382">
        <v>100</v>
      </c>
      <c r="J106" s="3382" t="s">
        <v>3668</v>
      </c>
      <c r="K106" s="3382" t="s">
        <v>3581</v>
      </c>
      <c r="L106" s="3382">
        <v>25</v>
      </c>
      <c r="M106" s="3383" t="s">
        <v>1908</v>
      </c>
      <c r="N106" s="3384" t="s">
        <v>3406</v>
      </c>
      <c r="O106" s="3385" t="s">
        <v>3407</v>
      </c>
      <c r="P106" s="3378" t="s">
        <v>3408</v>
      </c>
      <c r="Q106" s="3386">
        <v>102206</v>
      </c>
      <c r="R106" s="3382" t="s">
        <v>3409</v>
      </c>
      <c r="S106" s="3387">
        <v>40179</v>
      </c>
      <c r="T106" s="3387">
        <v>42430</v>
      </c>
      <c r="U106" s="3388" t="s">
        <v>3233</v>
      </c>
      <c r="V106" s="3389">
        <v>6</v>
      </c>
      <c r="W106" s="3390">
        <v>125000</v>
      </c>
      <c r="X106" s="3390">
        <v>0</v>
      </c>
      <c r="Y106" s="3390">
        <v>0</v>
      </c>
      <c r="Z106" s="3390"/>
      <c r="AA106" s="3390"/>
      <c r="AB106" s="3390"/>
      <c r="AC106" s="3390"/>
      <c r="AD106" s="3390"/>
      <c r="AE106" s="3390"/>
      <c r="AF106" s="3390"/>
      <c r="AG106" s="3390"/>
      <c r="AH106" s="3391">
        <f t="shared" si="7"/>
        <v>125000</v>
      </c>
      <c r="AI106" s="3390"/>
      <c r="AJ106" s="3390"/>
      <c r="AK106" s="3390"/>
      <c r="AL106" s="3391">
        <f t="shared" si="8"/>
        <v>125000</v>
      </c>
      <c r="AM106" s="3395" t="s">
        <v>3228</v>
      </c>
    </row>
    <row r="107" spans="1:39" s="3404" customFormat="1" ht="27.75" customHeight="1">
      <c r="A107" s="3378">
        <v>2011</v>
      </c>
      <c r="B107" s="3378" t="s">
        <v>3405</v>
      </c>
      <c r="C107" s="3378">
        <v>6</v>
      </c>
      <c r="D107" s="3379" t="str">
        <f t="shared" si="9"/>
        <v>NR-6-2011</v>
      </c>
      <c r="E107" s="3380"/>
      <c r="F107" s="3380"/>
      <c r="G107" s="3381">
        <v>40653</v>
      </c>
      <c r="H107" s="3382"/>
      <c r="I107" s="3382">
        <v>100</v>
      </c>
      <c r="J107" s="3382" t="s">
        <v>3668</v>
      </c>
      <c r="K107" s="3382" t="s">
        <v>3581</v>
      </c>
      <c r="L107" s="3382">
        <v>25</v>
      </c>
      <c r="M107" s="3383" t="s">
        <v>1909</v>
      </c>
      <c r="N107" s="3384" t="s">
        <v>3410</v>
      </c>
      <c r="O107" s="3385" t="s">
        <v>3407</v>
      </c>
      <c r="P107" s="3378" t="s">
        <v>3408</v>
      </c>
      <c r="Q107" s="3386">
        <v>102091</v>
      </c>
      <c r="R107" s="3382" t="s">
        <v>3409</v>
      </c>
      <c r="S107" s="3387">
        <v>40179</v>
      </c>
      <c r="T107" s="3387">
        <v>43435</v>
      </c>
      <c r="U107" s="3388" t="s">
        <v>3260</v>
      </c>
      <c r="V107" s="3389">
        <v>2</v>
      </c>
      <c r="W107" s="3390">
        <f>1934000-1904000</f>
        <v>30000</v>
      </c>
      <c r="X107" s="3390">
        <v>1842000</v>
      </c>
      <c r="Y107" s="3390"/>
      <c r="Z107" s="3390"/>
      <c r="AA107" s="3390"/>
      <c r="AB107" s="3390"/>
      <c r="AC107" s="3390"/>
      <c r="AD107" s="3390"/>
      <c r="AE107" s="3390"/>
      <c r="AF107" s="3390"/>
      <c r="AG107" s="3390"/>
      <c r="AH107" s="3391">
        <f t="shared" si="7"/>
        <v>1872000</v>
      </c>
      <c r="AI107" s="3390"/>
      <c r="AJ107" s="3390"/>
      <c r="AK107" s="3390"/>
      <c r="AL107" s="3391">
        <f t="shared" si="8"/>
        <v>1872000</v>
      </c>
      <c r="AM107" s="3395" t="s">
        <v>3228</v>
      </c>
    </row>
    <row r="108" spans="1:39" s="3404" customFormat="1" ht="28.5" customHeight="1">
      <c r="A108" s="3378">
        <v>2011</v>
      </c>
      <c r="B108" s="3378" t="s">
        <v>3405</v>
      </c>
      <c r="C108" s="3378">
        <v>7</v>
      </c>
      <c r="D108" s="3379" t="str">
        <f t="shared" si="9"/>
        <v>NR-7-2011</v>
      </c>
      <c r="E108" s="3380"/>
      <c r="F108" s="3380"/>
      <c r="G108" s="3381">
        <v>40653</v>
      </c>
      <c r="H108" s="3382"/>
      <c r="I108" s="3382">
        <v>100</v>
      </c>
      <c r="J108" s="3382" t="s">
        <v>3668</v>
      </c>
      <c r="K108" s="3382" t="s">
        <v>3581</v>
      </c>
      <c r="L108" s="3382">
        <v>25</v>
      </c>
      <c r="M108" s="3383" t="s">
        <v>1910</v>
      </c>
      <c r="N108" s="3384" t="s">
        <v>3411</v>
      </c>
      <c r="O108" s="3385" t="s">
        <v>3407</v>
      </c>
      <c r="P108" s="3378" t="s">
        <v>3408</v>
      </c>
      <c r="Q108" s="3386">
        <v>102187</v>
      </c>
      <c r="R108" s="3382" t="s">
        <v>3409</v>
      </c>
      <c r="S108" s="3387">
        <v>40179</v>
      </c>
      <c r="T108" s="3387">
        <v>42339</v>
      </c>
      <c r="U108" s="3388" t="s">
        <v>3260</v>
      </c>
      <c r="V108" s="3389">
        <v>2</v>
      </c>
      <c r="W108" s="3390"/>
      <c r="X108" s="3390"/>
      <c r="Y108" s="3390"/>
      <c r="Z108" s="3390"/>
      <c r="AA108" s="3390"/>
      <c r="AB108" s="3390"/>
      <c r="AC108" s="3390"/>
      <c r="AD108" s="3390"/>
      <c r="AE108" s="3390"/>
      <c r="AF108" s="3390"/>
      <c r="AG108" s="3390"/>
      <c r="AH108" s="3391">
        <f t="shared" si="7"/>
        <v>0</v>
      </c>
      <c r="AI108" s="3390"/>
      <c r="AJ108" s="3390"/>
      <c r="AK108" s="3390"/>
      <c r="AL108" s="3391">
        <f t="shared" si="8"/>
        <v>0</v>
      </c>
      <c r="AM108" s="3395" t="s">
        <v>3228</v>
      </c>
    </row>
    <row r="109" spans="1:39" s="3404" customFormat="1" ht="28.5" customHeight="1">
      <c r="A109" s="3378">
        <v>2011</v>
      </c>
      <c r="B109" s="3378" t="s">
        <v>3405</v>
      </c>
      <c r="C109" s="3378">
        <v>10</v>
      </c>
      <c r="D109" s="3379" t="str">
        <f t="shared" si="9"/>
        <v>NR-10-2011</v>
      </c>
      <c r="E109" s="3380"/>
      <c r="F109" s="3380" t="s">
        <v>402</v>
      </c>
      <c r="G109" s="3381">
        <v>40653</v>
      </c>
      <c r="H109" s="3382"/>
      <c r="I109" s="3382">
        <v>100</v>
      </c>
      <c r="J109" s="3382" t="s">
        <v>3580</v>
      </c>
      <c r="K109" s="3382" t="s">
        <v>3581</v>
      </c>
      <c r="L109" s="3382">
        <v>45</v>
      </c>
      <c r="M109" s="3383" t="s">
        <v>1911</v>
      </c>
      <c r="N109" s="3384" t="s">
        <v>3412</v>
      </c>
      <c r="O109" s="3385" t="s">
        <v>3413</v>
      </c>
      <c r="P109" s="3378" t="s">
        <v>3414</v>
      </c>
      <c r="Q109" s="3386">
        <v>102110</v>
      </c>
      <c r="R109" s="3382" t="s">
        <v>3415</v>
      </c>
      <c r="S109" s="3387">
        <v>38353</v>
      </c>
      <c r="T109" s="3387">
        <v>42705</v>
      </c>
      <c r="U109" s="3388" t="s">
        <v>3233</v>
      </c>
      <c r="V109" s="3389">
        <v>6</v>
      </c>
      <c r="W109" s="3390">
        <v>90000</v>
      </c>
      <c r="X109" s="3390"/>
      <c r="Y109" s="3390"/>
      <c r="Z109" s="3390"/>
      <c r="AA109" s="3390"/>
      <c r="AB109" s="3390"/>
      <c r="AC109" s="3390"/>
      <c r="AD109" s="3390"/>
      <c r="AE109" s="3390"/>
      <c r="AF109" s="3390"/>
      <c r="AG109" s="3390"/>
      <c r="AH109" s="3391">
        <f t="shared" si="7"/>
        <v>90000</v>
      </c>
      <c r="AI109" s="3390"/>
      <c r="AJ109" s="3390"/>
      <c r="AK109" s="3390"/>
      <c r="AL109" s="3391">
        <f t="shared" si="8"/>
        <v>90000</v>
      </c>
      <c r="AM109" s="3395" t="s">
        <v>3228</v>
      </c>
    </row>
    <row r="110" spans="1:39" s="3404" customFormat="1" ht="27.75" customHeight="1">
      <c r="A110" s="3378">
        <v>2011</v>
      </c>
      <c r="B110" s="3378" t="s">
        <v>3405</v>
      </c>
      <c r="C110" s="3378">
        <v>11</v>
      </c>
      <c r="D110" s="3379" t="str">
        <f t="shared" si="9"/>
        <v>NR-11-2011</v>
      </c>
      <c r="E110" s="3380"/>
      <c r="F110" s="3380" t="s">
        <v>402</v>
      </c>
      <c r="G110" s="3381">
        <v>40638</v>
      </c>
      <c r="H110" s="3382"/>
      <c r="I110" s="3382">
        <v>100</v>
      </c>
      <c r="J110" s="3382" t="s">
        <v>3580</v>
      </c>
      <c r="K110" s="3382" t="s">
        <v>3581</v>
      </c>
      <c r="L110" s="3382">
        <v>45</v>
      </c>
      <c r="M110" s="3383" t="s">
        <v>1912</v>
      </c>
      <c r="N110" s="3384" t="s">
        <v>3416</v>
      </c>
      <c r="O110" s="3385" t="s">
        <v>3413</v>
      </c>
      <c r="P110" s="3378" t="s">
        <v>3414</v>
      </c>
      <c r="Q110" s="3386">
        <v>101798</v>
      </c>
      <c r="R110" s="3382" t="s">
        <v>3415</v>
      </c>
      <c r="S110" s="3387">
        <v>38353</v>
      </c>
      <c r="T110" s="3387">
        <v>43070</v>
      </c>
      <c r="U110" s="3388" t="s">
        <v>3260</v>
      </c>
      <c r="V110" s="3389">
        <v>2</v>
      </c>
      <c r="W110" s="3390">
        <f>47284+763000</f>
        <v>810284</v>
      </c>
      <c r="X110" s="3390">
        <v>275000</v>
      </c>
      <c r="Y110" s="3390"/>
      <c r="Z110" s="3390"/>
      <c r="AA110" s="3390"/>
      <c r="AB110" s="3390"/>
      <c r="AC110" s="3390"/>
      <c r="AD110" s="3390"/>
      <c r="AE110" s="3390"/>
      <c r="AF110" s="3390"/>
      <c r="AG110" s="3390"/>
      <c r="AH110" s="3391">
        <f t="shared" si="7"/>
        <v>1085284</v>
      </c>
      <c r="AI110" s="3390"/>
      <c r="AJ110" s="3390"/>
      <c r="AK110" s="3390"/>
      <c r="AL110" s="3391">
        <f t="shared" si="8"/>
        <v>1085284</v>
      </c>
      <c r="AM110" s="3395" t="s">
        <v>3228</v>
      </c>
    </row>
    <row r="111" spans="1:39" s="3404" customFormat="1" ht="27.75" customHeight="1">
      <c r="A111" s="3378">
        <v>2011</v>
      </c>
      <c r="B111" s="3378" t="s">
        <v>3405</v>
      </c>
      <c r="C111" s="3378">
        <v>12</v>
      </c>
      <c r="D111" s="3379" t="str">
        <f t="shared" si="9"/>
        <v>NR-12-2011</v>
      </c>
      <c r="E111" s="3380"/>
      <c r="F111" s="3380" t="s">
        <v>402</v>
      </c>
      <c r="G111" s="3381">
        <v>40638</v>
      </c>
      <c r="H111" s="3382"/>
      <c r="I111" s="3382">
        <v>100</v>
      </c>
      <c r="J111" s="3382" t="s">
        <v>3580</v>
      </c>
      <c r="K111" s="3382" t="s">
        <v>3581</v>
      </c>
      <c r="L111" s="3382">
        <v>45</v>
      </c>
      <c r="M111" s="3383" t="s">
        <v>1913</v>
      </c>
      <c r="N111" s="3384" t="s">
        <v>3417</v>
      </c>
      <c r="O111" s="3385" t="s">
        <v>3413</v>
      </c>
      <c r="P111" s="3378" t="s">
        <v>3414</v>
      </c>
      <c r="Q111" s="3386">
        <v>101802</v>
      </c>
      <c r="R111" s="3382" t="s">
        <v>3415</v>
      </c>
      <c r="S111" s="3387">
        <v>38718</v>
      </c>
      <c r="T111" s="3387">
        <v>43800</v>
      </c>
      <c r="U111" s="3388" t="s">
        <v>3233</v>
      </c>
      <c r="V111" s="3389">
        <v>6</v>
      </c>
      <c r="W111" s="3390">
        <f>250000+2250000-200000+250000-2000000+250000</f>
        <v>800000</v>
      </c>
      <c r="X111" s="3390">
        <f>1550000-1500000+2050000-1950000+12000</f>
        <v>162000</v>
      </c>
      <c r="Y111" s="3390">
        <f>120000+10000</f>
        <v>130000</v>
      </c>
      <c r="Z111" s="3390">
        <f>2000000+552000</f>
        <v>2552000</v>
      </c>
      <c r="AA111" s="3390"/>
      <c r="AB111" s="3390"/>
      <c r="AC111" s="3390"/>
      <c r="AD111" s="3390"/>
      <c r="AE111" s="3390"/>
      <c r="AF111" s="3390"/>
      <c r="AG111" s="3390"/>
      <c r="AH111" s="3391">
        <f t="shared" si="7"/>
        <v>3644000</v>
      </c>
      <c r="AI111" s="3390"/>
      <c r="AJ111" s="3390"/>
      <c r="AK111" s="3390"/>
      <c r="AL111" s="3391">
        <f t="shared" si="8"/>
        <v>3644000</v>
      </c>
      <c r="AM111" s="3395" t="s">
        <v>3669</v>
      </c>
    </row>
    <row r="112" spans="1:39" s="3404" customFormat="1" ht="28.5" customHeight="1">
      <c r="A112" s="3378">
        <v>2011</v>
      </c>
      <c r="B112" s="3378" t="s">
        <v>3405</v>
      </c>
      <c r="C112" s="3378">
        <v>14</v>
      </c>
      <c r="D112" s="3379" t="str">
        <f t="shared" si="9"/>
        <v>NR-14-2011</v>
      </c>
      <c r="E112" s="3380"/>
      <c r="F112" s="3380"/>
      <c r="G112" s="3381">
        <v>40638</v>
      </c>
      <c r="H112" s="3382"/>
      <c r="I112" s="3382">
        <v>100</v>
      </c>
      <c r="J112" s="3382" t="s">
        <v>3580</v>
      </c>
      <c r="K112" s="3382" t="s">
        <v>3581</v>
      </c>
      <c r="L112" s="3382">
        <v>40</v>
      </c>
      <c r="M112" s="3383" t="s">
        <v>1914</v>
      </c>
      <c r="N112" s="3384" t="s">
        <v>3418</v>
      </c>
      <c r="O112" s="3385" t="s">
        <v>3268</v>
      </c>
      <c r="P112" s="3378" t="s">
        <v>3269</v>
      </c>
      <c r="Q112" s="3386">
        <v>100959</v>
      </c>
      <c r="R112" s="3382" t="s">
        <v>3670</v>
      </c>
      <c r="S112" s="3387">
        <v>40391</v>
      </c>
      <c r="T112" s="3387">
        <v>44531</v>
      </c>
      <c r="U112" s="3388" t="s">
        <v>3260</v>
      </c>
      <c r="V112" s="3389">
        <v>2</v>
      </c>
      <c r="W112" s="3390">
        <v>95000</v>
      </c>
      <c r="X112" s="3390">
        <v>125000</v>
      </c>
      <c r="Y112" s="3390">
        <v>100000</v>
      </c>
      <c r="Z112" s="3390">
        <v>75000</v>
      </c>
      <c r="AA112" s="3390">
        <v>75000</v>
      </c>
      <c r="AB112" s="3390">
        <v>75000</v>
      </c>
      <c r="AC112" s="3390"/>
      <c r="AD112" s="3390"/>
      <c r="AE112" s="3390"/>
      <c r="AF112" s="3390"/>
      <c r="AG112" s="3390"/>
      <c r="AH112" s="3391">
        <f t="shared" si="7"/>
        <v>545000</v>
      </c>
      <c r="AI112" s="3390"/>
      <c r="AJ112" s="3390"/>
      <c r="AK112" s="3390"/>
      <c r="AL112" s="3391">
        <f t="shared" si="8"/>
        <v>545000</v>
      </c>
      <c r="AM112" s="3395" t="s">
        <v>3671</v>
      </c>
    </row>
    <row r="113" spans="1:39" s="3404" customFormat="1" ht="28.5" customHeight="1">
      <c r="A113" s="3378">
        <v>2011</v>
      </c>
      <c r="B113" s="3378" t="s">
        <v>3405</v>
      </c>
      <c r="C113" s="3378">
        <v>16</v>
      </c>
      <c r="D113" s="3379" t="str">
        <f t="shared" si="9"/>
        <v>NR-16-2011</v>
      </c>
      <c r="E113" s="3380"/>
      <c r="F113" s="3380" t="s">
        <v>402</v>
      </c>
      <c r="G113" s="3381">
        <v>40662</v>
      </c>
      <c r="H113" s="3382"/>
      <c r="I113" s="3382">
        <v>100</v>
      </c>
      <c r="J113" s="3382" t="s">
        <v>3580</v>
      </c>
      <c r="K113" s="3382" t="s">
        <v>3581</v>
      </c>
      <c r="L113" s="3382">
        <v>45</v>
      </c>
      <c r="M113" s="3383" t="s">
        <v>1915</v>
      </c>
      <c r="N113" s="3384" t="s">
        <v>3419</v>
      </c>
      <c r="O113" s="3385" t="s">
        <v>3413</v>
      </c>
      <c r="P113" s="3378" t="s">
        <v>3414</v>
      </c>
      <c r="Q113" s="3386">
        <v>102109</v>
      </c>
      <c r="R113" s="3382" t="s">
        <v>3415</v>
      </c>
      <c r="S113" s="3387">
        <v>38353</v>
      </c>
      <c r="T113" s="3387">
        <v>42583</v>
      </c>
      <c r="U113" s="3388" t="s">
        <v>3233</v>
      </c>
      <c r="V113" s="3389">
        <v>6</v>
      </c>
      <c r="W113" s="3390">
        <f>2270800-1764800</f>
        <v>506000</v>
      </c>
      <c r="X113" s="3390"/>
      <c r="Y113" s="3390"/>
      <c r="Z113" s="3390"/>
      <c r="AA113" s="3390"/>
      <c r="AB113" s="3390"/>
      <c r="AC113" s="3390"/>
      <c r="AD113" s="3390"/>
      <c r="AE113" s="3390"/>
      <c r="AF113" s="3390"/>
      <c r="AG113" s="3390"/>
      <c r="AH113" s="3391">
        <f t="shared" si="7"/>
        <v>506000</v>
      </c>
      <c r="AI113" s="3390"/>
      <c r="AJ113" s="3390"/>
      <c r="AK113" s="3390"/>
      <c r="AL113" s="3391">
        <f t="shared" si="8"/>
        <v>506000</v>
      </c>
      <c r="AM113" s="3395" t="s">
        <v>3228</v>
      </c>
    </row>
    <row r="114" spans="1:39" s="3404" customFormat="1" ht="28.5" customHeight="1">
      <c r="A114" s="3378">
        <v>2011</v>
      </c>
      <c r="B114" s="3378" t="s">
        <v>3405</v>
      </c>
      <c r="C114" s="3378">
        <v>17</v>
      </c>
      <c r="D114" s="3379" t="str">
        <f t="shared" si="9"/>
        <v>NR-17-2011</v>
      </c>
      <c r="E114" s="3380"/>
      <c r="F114" s="3380"/>
      <c r="G114" s="3381">
        <v>40653</v>
      </c>
      <c r="H114" s="3382"/>
      <c r="I114" s="3382">
        <v>100</v>
      </c>
      <c r="J114" s="3382" t="s">
        <v>3580</v>
      </c>
      <c r="K114" s="3382" t="s">
        <v>3581</v>
      </c>
      <c r="L114" s="3382">
        <v>35</v>
      </c>
      <c r="M114" s="3383" t="s">
        <v>1916</v>
      </c>
      <c r="N114" s="3384" t="s">
        <v>3420</v>
      </c>
      <c r="O114" s="3385" t="s">
        <v>3413</v>
      </c>
      <c r="P114" s="3378" t="s">
        <v>3414</v>
      </c>
      <c r="Q114" s="3386">
        <v>102399</v>
      </c>
      <c r="R114" s="3382" t="s">
        <v>3415</v>
      </c>
      <c r="S114" s="3387">
        <v>37987</v>
      </c>
      <c r="T114" s="3387">
        <v>41609</v>
      </c>
      <c r="U114" s="3388" t="s">
        <v>3233</v>
      </c>
      <c r="V114" s="3389">
        <v>6</v>
      </c>
      <c r="W114" s="3390"/>
      <c r="X114" s="3390"/>
      <c r="Y114" s="3390"/>
      <c r="Z114" s="3390"/>
      <c r="AA114" s="3390"/>
      <c r="AB114" s="3390"/>
      <c r="AC114" s="3390"/>
      <c r="AD114" s="3390"/>
      <c r="AE114" s="3390"/>
      <c r="AF114" s="3390"/>
      <c r="AG114" s="3390"/>
      <c r="AH114" s="3391">
        <f t="shared" si="7"/>
        <v>0</v>
      </c>
      <c r="AI114" s="3390"/>
      <c r="AJ114" s="3390"/>
      <c r="AK114" s="3390"/>
      <c r="AL114" s="3391">
        <f t="shared" si="8"/>
        <v>0</v>
      </c>
      <c r="AM114" s="3395" t="s">
        <v>3228</v>
      </c>
    </row>
    <row r="115" spans="1:39" s="3404" customFormat="1" ht="28.5" customHeight="1">
      <c r="A115" s="3378">
        <v>2011</v>
      </c>
      <c r="B115" s="3378" t="s">
        <v>3405</v>
      </c>
      <c r="C115" s="3378">
        <v>18</v>
      </c>
      <c r="D115" s="3379" t="str">
        <f t="shared" si="9"/>
        <v>NR-18-2011</v>
      </c>
      <c r="E115" s="3380"/>
      <c r="F115" s="3380" t="s">
        <v>402</v>
      </c>
      <c r="G115" s="3381">
        <v>40653</v>
      </c>
      <c r="H115" s="3382"/>
      <c r="I115" s="3382">
        <v>100</v>
      </c>
      <c r="J115" s="3382" t="s">
        <v>3580</v>
      </c>
      <c r="K115" s="3382" t="s">
        <v>3581</v>
      </c>
      <c r="L115" s="3382">
        <v>35</v>
      </c>
      <c r="M115" s="3383" t="s">
        <v>3672</v>
      </c>
      <c r="N115" s="3384" t="s">
        <v>3421</v>
      </c>
      <c r="O115" s="3385" t="s">
        <v>3393</v>
      </c>
      <c r="P115" s="3378" t="s">
        <v>3394</v>
      </c>
      <c r="Q115" s="3386">
        <v>102782</v>
      </c>
      <c r="R115" s="3382" t="s">
        <v>3673</v>
      </c>
      <c r="S115" s="3387">
        <v>40787</v>
      </c>
      <c r="T115" s="3387">
        <v>45261</v>
      </c>
      <c r="U115" s="3388" t="s">
        <v>3260</v>
      </c>
      <c r="V115" s="3389">
        <v>2</v>
      </c>
      <c r="W115" s="3390">
        <f>500000+500000-740000-160000</f>
        <v>100000</v>
      </c>
      <c r="X115" s="3390">
        <f>260000-181000</f>
        <v>79000</v>
      </c>
      <c r="Y115" s="3390"/>
      <c r="Z115" s="3390">
        <v>79000</v>
      </c>
      <c r="AA115" s="3390"/>
      <c r="AB115" s="3390">
        <v>79000</v>
      </c>
      <c r="AC115" s="3390"/>
      <c r="AD115" s="3390">
        <v>79000</v>
      </c>
      <c r="AE115" s="3390"/>
      <c r="AF115" s="3390"/>
      <c r="AG115" s="3390"/>
      <c r="AH115" s="3391">
        <f t="shared" si="7"/>
        <v>416000</v>
      </c>
      <c r="AI115" s="3390"/>
      <c r="AJ115" s="3390"/>
      <c r="AK115" s="3390"/>
      <c r="AL115" s="3391">
        <f t="shared" si="8"/>
        <v>416000</v>
      </c>
      <c r="AM115" s="3395" t="s">
        <v>3228</v>
      </c>
    </row>
    <row r="116" spans="1:39" s="3404" customFormat="1" ht="28.5" customHeight="1">
      <c r="A116" s="3378">
        <v>2011</v>
      </c>
      <c r="B116" s="3378" t="s">
        <v>3405</v>
      </c>
      <c r="C116" s="3378">
        <v>18</v>
      </c>
      <c r="D116" s="3379" t="str">
        <f>CONCATENATE(B116,"-",C116,"-",A116)</f>
        <v>NR-18-2011</v>
      </c>
      <c r="E116" s="3380"/>
      <c r="F116" s="3380" t="s">
        <v>402</v>
      </c>
      <c r="G116" s="3381">
        <v>40653</v>
      </c>
      <c r="H116" s="3382"/>
      <c r="I116" s="3382">
        <v>100</v>
      </c>
      <c r="J116" s="3382" t="s">
        <v>3580</v>
      </c>
      <c r="K116" s="3382" t="s">
        <v>3581</v>
      </c>
      <c r="L116" s="3382">
        <v>35</v>
      </c>
      <c r="M116" s="3383" t="s">
        <v>3674</v>
      </c>
      <c r="N116" s="3384" t="s">
        <v>3421</v>
      </c>
      <c r="O116" s="3385" t="s">
        <v>3393</v>
      </c>
      <c r="P116" s="3378" t="s">
        <v>3394</v>
      </c>
      <c r="Q116" s="3386" t="s">
        <v>3394</v>
      </c>
      <c r="R116" s="3382" t="s">
        <v>3422</v>
      </c>
      <c r="S116" s="3387">
        <v>40787</v>
      </c>
      <c r="T116" s="3387">
        <v>42705</v>
      </c>
      <c r="U116" s="3388" t="s">
        <v>3260</v>
      </c>
      <c r="V116" s="3389">
        <v>2</v>
      </c>
      <c r="W116" s="3390">
        <f>30000+370000+250000</f>
        <v>650000</v>
      </c>
      <c r="X116" s="3390"/>
      <c r="Y116" s="3390"/>
      <c r="Z116" s="3390"/>
      <c r="AA116" s="3390"/>
      <c r="AB116" s="3390"/>
      <c r="AC116" s="3390"/>
      <c r="AD116" s="3390"/>
      <c r="AE116" s="3390"/>
      <c r="AF116" s="3390"/>
      <c r="AG116" s="3390"/>
      <c r="AH116" s="3391">
        <f>SUM(W116:AG116)</f>
        <v>650000</v>
      </c>
      <c r="AI116" s="3390"/>
      <c r="AJ116" s="3390"/>
      <c r="AK116" s="3390"/>
      <c r="AL116" s="3391">
        <f>SUM(AH116:AK116)</f>
        <v>650000</v>
      </c>
      <c r="AM116" s="3395" t="s">
        <v>3228</v>
      </c>
    </row>
    <row r="117" spans="1:39" s="3404" customFormat="1" ht="29.25" customHeight="1">
      <c r="A117" s="3378">
        <v>2011</v>
      </c>
      <c r="B117" s="3378" t="s">
        <v>3405</v>
      </c>
      <c r="C117" s="3378">
        <v>19</v>
      </c>
      <c r="D117" s="3379" t="str">
        <f t="shared" si="9"/>
        <v>NR-19-2011</v>
      </c>
      <c r="E117" s="3380"/>
      <c r="F117" s="3380"/>
      <c r="G117" s="3381">
        <v>40653</v>
      </c>
      <c r="H117" s="3382"/>
      <c r="I117" s="3382">
        <v>100</v>
      </c>
      <c r="J117" s="3382" t="s">
        <v>3668</v>
      </c>
      <c r="K117" s="3382" t="s">
        <v>3581</v>
      </c>
      <c r="L117" s="3382">
        <v>25</v>
      </c>
      <c r="M117" s="3383" t="s">
        <v>1917</v>
      </c>
      <c r="N117" s="3384" t="s">
        <v>3423</v>
      </c>
      <c r="O117" s="3385" t="s">
        <v>3407</v>
      </c>
      <c r="P117" s="3378" t="s">
        <v>3408</v>
      </c>
      <c r="Q117" s="3386">
        <v>102320</v>
      </c>
      <c r="R117" s="3382" t="s">
        <v>3409</v>
      </c>
      <c r="S117" s="3387">
        <v>40179</v>
      </c>
      <c r="T117" s="3387">
        <v>42248</v>
      </c>
      <c r="U117" s="3388" t="s">
        <v>3233</v>
      </c>
      <c r="V117" s="3389">
        <v>6</v>
      </c>
      <c r="W117" s="3390">
        <v>175000</v>
      </c>
      <c r="X117" s="3390"/>
      <c r="Y117" s="3390"/>
      <c r="Z117" s="3390"/>
      <c r="AA117" s="3390"/>
      <c r="AB117" s="3390"/>
      <c r="AC117" s="3390"/>
      <c r="AD117" s="3390"/>
      <c r="AE117" s="3390"/>
      <c r="AF117" s="3390"/>
      <c r="AG117" s="3390"/>
      <c r="AH117" s="3391">
        <f t="shared" si="7"/>
        <v>175000</v>
      </c>
      <c r="AI117" s="3390"/>
      <c r="AJ117" s="3390"/>
      <c r="AK117" s="3390"/>
      <c r="AL117" s="3391">
        <f t="shared" si="8"/>
        <v>175000</v>
      </c>
      <c r="AM117" s="3395" t="s">
        <v>3228</v>
      </c>
    </row>
    <row r="118" spans="1:39" s="3404" customFormat="1" ht="28.5" customHeight="1">
      <c r="A118" s="3378">
        <v>2011</v>
      </c>
      <c r="B118" s="3378" t="s">
        <v>3405</v>
      </c>
      <c r="C118" s="3378">
        <v>21</v>
      </c>
      <c r="D118" s="3379" t="str">
        <f t="shared" si="9"/>
        <v>NR-21-2011</v>
      </c>
      <c r="E118" s="3380"/>
      <c r="F118" s="3380"/>
      <c r="G118" s="3381">
        <v>40653</v>
      </c>
      <c r="H118" s="3382"/>
      <c r="I118" s="3382">
        <v>100</v>
      </c>
      <c r="J118" s="3382" t="s">
        <v>3668</v>
      </c>
      <c r="K118" s="3382" t="s">
        <v>3581</v>
      </c>
      <c r="L118" s="3382">
        <v>25</v>
      </c>
      <c r="M118" s="3383" t="s">
        <v>1918</v>
      </c>
      <c r="N118" s="3384" t="s">
        <v>3424</v>
      </c>
      <c r="O118" s="3385" t="s">
        <v>3407</v>
      </c>
      <c r="P118" s="3378" t="s">
        <v>3408</v>
      </c>
      <c r="Q118" s="3386">
        <v>102076</v>
      </c>
      <c r="R118" s="3382" t="s">
        <v>3409</v>
      </c>
      <c r="S118" s="3387">
        <v>40544</v>
      </c>
      <c r="T118" s="3387">
        <v>41609</v>
      </c>
      <c r="U118" s="3388" t="s">
        <v>3233</v>
      </c>
      <c r="V118" s="3389">
        <v>6</v>
      </c>
      <c r="W118" s="3390"/>
      <c r="X118" s="3390"/>
      <c r="Y118" s="3390"/>
      <c r="Z118" s="3390"/>
      <c r="AA118" s="3390"/>
      <c r="AB118" s="3390"/>
      <c r="AC118" s="3390"/>
      <c r="AD118" s="3390"/>
      <c r="AE118" s="3390"/>
      <c r="AF118" s="3390"/>
      <c r="AG118" s="3390"/>
      <c r="AH118" s="3391">
        <f t="shared" si="7"/>
        <v>0</v>
      </c>
      <c r="AI118" s="3390"/>
      <c r="AJ118" s="3390"/>
      <c r="AK118" s="3390"/>
      <c r="AL118" s="3391">
        <f t="shared" si="8"/>
        <v>0</v>
      </c>
      <c r="AM118" s="3395" t="s">
        <v>3228</v>
      </c>
    </row>
    <row r="119" spans="1:39" s="3404" customFormat="1" ht="28.5" customHeight="1">
      <c r="A119" s="3378">
        <v>2011</v>
      </c>
      <c r="B119" s="3378" t="s">
        <v>3405</v>
      </c>
      <c r="C119" s="3378">
        <v>25</v>
      </c>
      <c r="D119" s="3379" t="str">
        <f t="shared" si="9"/>
        <v>NR-25-2011</v>
      </c>
      <c r="E119" s="3380"/>
      <c r="F119" s="3380"/>
      <c r="G119" s="3381">
        <v>40653</v>
      </c>
      <c r="H119" s="3382"/>
      <c r="I119" s="3382">
        <v>100</v>
      </c>
      <c r="J119" s="3382" t="s">
        <v>3668</v>
      </c>
      <c r="K119" s="3382" t="s">
        <v>3581</v>
      </c>
      <c r="L119" s="3382">
        <v>45</v>
      </c>
      <c r="M119" s="3383" t="s">
        <v>1919</v>
      </c>
      <c r="N119" s="3384" t="s">
        <v>3425</v>
      </c>
      <c r="O119" s="3385" t="s">
        <v>3407</v>
      </c>
      <c r="P119" s="3378" t="s">
        <v>3408</v>
      </c>
      <c r="Q119" s="3386">
        <v>102070</v>
      </c>
      <c r="R119" s="3382" t="s">
        <v>3409</v>
      </c>
      <c r="S119" s="3387">
        <v>40179</v>
      </c>
      <c r="T119" s="3387">
        <v>42036</v>
      </c>
      <c r="U119" s="3388" t="s">
        <v>3260</v>
      </c>
      <c r="V119" s="3389">
        <v>2</v>
      </c>
      <c r="W119" s="3390">
        <v>229000</v>
      </c>
      <c r="X119" s="3390"/>
      <c r="Y119" s="3390"/>
      <c r="Z119" s="3390"/>
      <c r="AA119" s="3390"/>
      <c r="AB119" s="3390"/>
      <c r="AC119" s="3390"/>
      <c r="AD119" s="3390"/>
      <c r="AE119" s="3390"/>
      <c r="AF119" s="3390"/>
      <c r="AG119" s="3390"/>
      <c r="AH119" s="3391">
        <f t="shared" si="7"/>
        <v>229000</v>
      </c>
      <c r="AI119" s="3390"/>
      <c r="AJ119" s="3390"/>
      <c r="AK119" s="3390"/>
      <c r="AL119" s="3391">
        <f t="shared" si="8"/>
        <v>229000</v>
      </c>
      <c r="AM119" s="3395" t="s">
        <v>3228</v>
      </c>
    </row>
    <row r="120" spans="1:39" s="3404" customFormat="1" ht="30" customHeight="1">
      <c r="A120" s="3378">
        <v>2011</v>
      </c>
      <c r="B120" s="3378" t="s">
        <v>3405</v>
      </c>
      <c r="C120" s="3378">
        <v>26</v>
      </c>
      <c r="D120" s="3379" t="str">
        <f t="shared" si="9"/>
        <v>NR-26-2011</v>
      </c>
      <c r="E120" s="3380"/>
      <c r="F120" s="3380" t="s">
        <v>402</v>
      </c>
      <c r="G120" s="3381">
        <v>40653</v>
      </c>
      <c r="H120" s="3382"/>
      <c r="I120" s="3382">
        <v>100</v>
      </c>
      <c r="J120" s="3382" t="s">
        <v>3668</v>
      </c>
      <c r="K120" s="3382" t="s">
        <v>3581</v>
      </c>
      <c r="L120" s="3382">
        <v>25</v>
      </c>
      <c r="M120" s="3383" t="s">
        <v>1920</v>
      </c>
      <c r="N120" s="3384" t="s">
        <v>3426</v>
      </c>
      <c r="O120" s="3385" t="s">
        <v>3407</v>
      </c>
      <c r="P120" s="3378" t="s">
        <v>3408</v>
      </c>
      <c r="Q120" s="3386">
        <v>102069</v>
      </c>
      <c r="R120" s="3382" t="s">
        <v>3409</v>
      </c>
      <c r="S120" s="3387">
        <v>39814</v>
      </c>
      <c r="T120" s="3387">
        <v>43435</v>
      </c>
      <c r="U120" s="3388" t="s">
        <v>3260</v>
      </c>
      <c r="V120" s="3389">
        <v>2</v>
      </c>
      <c r="W120" s="3390">
        <v>4397375</v>
      </c>
      <c r="X120" s="3390">
        <v>4397375</v>
      </c>
      <c r="Y120" s="3390">
        <f>400000-400000</f>
        <v>0</v>
      </c>
      <c r="Z120" s="3390"/>
      <c r="AA120" s="3390"/>
      <c r="AB120" s="3390">
        <f>1967850-1967850</f>
        <v>0</v>
      </c>
      <c r="AC120" s="3390">
        <f>150000-150000</f>
        <v>0</v>
      </c>
      <c r="AD120" s="3390">
        <f>3279750-3279750</f>
        <v>0</v>
      </c>
      <c r="AE120" s="3390">
        <f>6559500-6559500</f>
        <v>0</v>
      </c>
      <c r="AF120" s="3390"/>
      <c r="AG120" s="3390"/>
      <c r="AH120" s="3391">
        <f t="shared" si="7"/>
        <v>8794750</v>
      </c>
      <c r="AI120" s="3390"/>
      <c r="AJ120" s="3390"/>
      <c r="AK120" s="3390"/>
      <c r="AL120" s="3391">
        <f t="shared" si="8"/>
        <v>8794750</v>
      </c>
      <c r="AM120" s="3395" t="s">
        <v>3228</v>
      </c>
    </row>
    <row r="121" spans="1:39" s="3404" customFormat="1" ht="28.5" customHeight="1">
      <c r="A121" s="3378">
        <v>2011</v>
      </c>
      <c r="B121" s="3378" t="s">
        <v>3405</v>
      </c>
      <c r="C121" s="3378">
        <v>27</v>
      </c>
      <c r="D121" s="3379" t="str">
        <f t="shared" si="9"/>
        <v>NR-27-2011</v>
      </c>
      <c r="E121" s="3380"/>
      <c r="F121" s="3380" t="s">
        <v>402</v>
      </c>
      <c r="G121" s="3381">
        <v>40653</v>
      </c>
      <c r="H121" s="3382"/>
      <c r="I121" s="3382">
        <v>100</v>
      </c>
      <c r="J121" s="3382" t="s">
        <v>3668</v>
      </c>
      <c r="K121" s="3382" t="s">
        <v>3581</v>
      </c>
      <c r="L121" s="3382">
        <v>25</v>
      </c>
      <c r="M121" s="3383" t="s">
        <v>1921</v>
      </c>
      <c r="N121" s="3384" t="s">
        <v>3428</v>
      </c>
      <c r="O121" s="3385" t="s">
        <v>3407</v>
      </c>
      <c r="P121" s="3378" t="s">
        <v>3408</v>
      </c>
      <c r="Q121" s="3386">
        <v>102509</v>
      </c>
      <c r="R121" s="3382" t="s">
        <v>3409</v>
      </c>
      <c r="S121" s="3387">
        <v>40179</v>
      </c>
      <c r="T121" s="3387">
        <v>43435</v>
      </c>
      <c r="U121" s="3388" t="s">
        <v>3260</v>
      </c>
      <c r="V121" s="3389">
        <v>2</v>
      </c>
      <c r="W121" s="3390">
        <f>4853876.35833333-831000</f>
        <v>4022876.3583333297</v>
      </c>
      <c r="X121" s="3390">
        <f>14222105.4033333-2077000</f>
        <v>12145105.403333301</v>
      </c>
      <c r="Y121" s="3390">
        <f>11895719.8383333-989000</f>
        <v>10906719.838333299</v>
      </c>
      <c r="Z121" s="3390">
        <f>1992680+1992320+1993000-5598000-263000-117000</f>
        <v>0</v>
      </c>
      <c r="AA121" s="3390">
        <f>1993000+1992000+9865000-13470000-380000</f>
        <v>0</v>
      </c>
      <c r="AB121" s="3407"/>
      <c r="AC121" s="3407"/>
      <c r="AD121" s="3407"/>
      <c r="AE121" s="3407"/>
      <c r="AF121" s="3390"/>
      <c r="AG121" s="3390"/>
      <c r="AH121" s="3391">
        <f t="shared" si="7"/>
        <v>27074701.599999927</v>
      </c>
      <c r="AI121" s="3390"/>
      <c r="AJ121" s="3390"/>
      <c r="AK121" s="3390"/>
      <c r="AL121" s="3391">
        <f t="shared" si="8"/>
        <v>27074701.599999927</v>
      </c>
      <c r="AM121" s="3395" t="s">
        <v>3675</v>
      </c>
    </row>
    <row r="122" spans="1:39" s="3404" customFormat="1" ht="28.5" customHeight="1">
      <c r="A122" s="3378">
        <v>2011</v>
      </c>
      <c r="B122" s="3378" t="s">
        <v>3405</v>
      </c>
      <c r="C122" s="3378">
        <v>28</v>
      </c>
      <c r="D122" s="3379" t="str">
        <f t="shared" si="9"/>
        <v>NR-28-2011</v>
      </c>
      <c r="E122" s="3380"/>
      <c r="F122" s="3380"/>
      <c r="G122" s="3381">
        <v>40653</v>
      </c>
      <c r="H122" s="3382"/>
      <c r="I122" s="3382">
        <v>100</v>
      </c>
      <c r="J122" s="3382" t="s">
        <v>3580</v>
      </c>
      <c r="K122" s="3382" t="s">
        <v>3581</v>
      </c>
      <c r="L122" s="3382">
        <v>20</v>
      </c>
      <c r="M122" s="3383" t="s">
        <v>1922</v>
      </c>
      <c r="N122" s="3384" t="s">
        <v>3429</v>
      </c>
      <c r="O122" s="3385" t="s">
        <v>3393</v>
      </c>
      <c r="P122" s="3378" t="s">
        <v>3394</v>
      </c>
      <c r="Q122" s="3386">
        <v>102018</v>
      </c>
      <c r="R122" s="3382" t="s">
        <v>3430</v>
      </c>
      <c r="S122" s="3387">
        <v>39934</v>
      </c>
      <c r="T122" s="3387">
        <v>43586</v>
      </c>
      <c r="U122" s="3388" t="s">
        <v>3260</v>
      </c>
      <c r="V122" s="3389">
        <v>2</v>
      </c>
      <c r="W122" s="3390"/>
      <c r="X122" s="3390"/>
      <c r="Y122" s="3390"/>
      <c r="Z122" s="3390"/>
      <c r="AA122" s="3390"/>
      <c r="AB122" s="3390"/>
      <c r="AC122" s="3390"/>
      <c r="AD122" s="3390"/>
      <c r="AE122" s="3390"/>
      <c r="AF122" s="3390"/>
      <c r="AG122" s="3390"/>
      <c r="AH122" s="3391">
        <f t="shared" si="7"/>
        <v>0</v>
      </c>
      <c r="AI122" s="3390"/>
      <c r="AJ122" s="3390"/>
      <c r="AK122" s="3390"/>
      <c r="AL122" s="3391">
        <f t="shared" si="8"/>
        <v>0</v>
      </c>
      <c r="AM122" s="3395" t="s">
        <v>3228</v>
      </c>
    </row>
    <row r="123" spans="1:39" s="3404" customFormat="1" ht="28.5" customHeight="1">
      <c r="A123" s="3378">
        <v>2011</v>
      </c>
      <c r="B123" s="3378" t="s">
        <v>3405</v>
      </c>
      <c r="C123" s="3378">
        <v>29</v>
      </c>
      <c r="D123" s="3379" t="str">
        <f t="shared" si="9"/>
        <v>NR-29-2011</v>
      </c>
      <c r="E123" s="3380"/>
      <c r="F123" s="3380"/>
      <c r="G123" s="3381">
        <v>40653</v>
      </c>
      <c r="H123" s="3382"/>
      <c r="I123" s="3382">
        <v>100</v>
      </c>
      <c r="J123" s="3382" t="s">
        <v>3580</v>
      </c>
      <c r="K123" s="3382" t="s">
        <v>3581</v>
      </c>
      <c r="L123" s="3382">
        <v>35</v>
      </c>
      <c r="M123" s="3383" t="s">
        <v>1923</v>
      </c>
      <c r="N123" s="3384" t="s">
        <v>3431</v>
      </c>
      <c r="O123" s="3385" t="s">
        <v>3413</v>
      </c>
      <c r="P123" s="3378" t="s">
        <v>3414</v>
      </c>
      <c r="Q123" s="3386" t="s">
        <v>3432</v>
      </c>
      <c r="R123" s="3382" t="s">
        <v>3415</v>
      </c>
      <c r="S123" s="3387">
        <v>40179</v>
      </c>
      <c r="T123" s="3387">
        <v>41244</v>
      </c>
      <c r="U123" s="3388" t="s">
        <v>3260</v>
      </c>
      <c r="V123" s="3389">
        <v>2</v>
      </c>
      <c r="W123" s="3390"/>
      <c r="X123" s="3390"/>
      <c r="Y123" s="3390"/>
      <c r="Z123" s="3390"/>
      <c r="AA123" s="3390"/>
      <c r="AB123" s="3390"/>
      <c r="AC123" s="3390"/>
      <c r="AD123" s="3390"/>
      <c r="AE123" s="3390"/>
      <c r="AF123" s="3390"/>
      <c r="AG123" s="3390"/>
      <c r="AH123" s="3391">
        <f t="shared" ref="AH123:AH134" si="10">SUM(W123:AG123)</f>
        <v>0</v>
      </c>
      <c r="AI123" s="3390"/>
      <c r="AJ123" s="3390"/>
      <c r="AK123" s="3390"/>
      <c r="AL123" s="3391">
        <f t="shared" ref="AL123:AL134" si="11">SUM(AH123:AK123)</f>
        <v>0</v>
      </c>
      <c r="AM123" s="3395" t="s">
        <v>3228</v>
      </c>
    </row>
    <row r="124" spans="1:39" s="3404" customFormat="1" ht="28.5" customHeight="1">
      <c r="A124" s="3378">
        <v>2011</v>
      </c>
      <c r="B124" s="3378" t="s">
        <v>3405</v>
      </c>
      <c r="C124" s="3378">
        <v>34</v>
      </c>
      <c r="D124" s="3379" t="str">
        <f t="shared" si="9"/>
        <v>NR-34-2011</v>
      </c>
      <c r="E124" s="3380"/>
      <c r="F124" s="3380" t="s">
        <v>402</v>
      </c>
      <c r="G124" s="3381">
        <v>41223</v>
      </c>
      <c r="H124" s="3382"/>
      <c r="I124" s="3382">
        <v>100</v>
      </c>
      <c r="J124" s="3382" t="s">
        <v>3580</v>
      </c>
      <c r="K124" s="3382" t="s">
        <v>3581</v>
      </c>
      <c r="L124" s="3382">
        <v>45</v>
      </c>
      <c r="M124" s="3383" t="s">
        <v>1924</v>
      </c>
      <c r="N124" s="3384" t="s">
        <v>3433</v>
      </c>
      <c r="O124" s="3385" t="s">
        <v>3413</v>
      </c>
      <c r="P124" s="3378" t="s">
        <v>3414</v>
      </c>
      <c r="Q124" s="3386">
        <v>102956</v>
      </c>
      <c r="R124" s="3382" t="s">
        <v>3415</v>
      </c>
      <c r="S124" s="3387">
        <v>38261</v>
      </c>
      <c r="T124" s="3387">
        <v>41913</v>
      </c>
      <c r="U124" s="3388" t="s">
        <v>3233</v>
      </c>
      <c r="V124" s="3389">
        <v>6</v>
      </c>
      <c r="W124" s="3390"/>
      <c r="X124" s="3390"/>
      <c r="Y124" s="3390"/>
      <c r="Z124" s="3390"/>
      <c r="AA124" s="3390"/>
      <c r="AB124" s="3390"/>
      <c r="AC124" s="3390"/>
      <c r="AD124" s="3390"/>
      <c r="AE124" s="3390"/>
      <c r="AF124" s="3390"/>
      <c r="AG124" s="3390"/>
      <c r="AH124" s="3391">
        <f t="shared" si="10"/>
        <v>0</v>
      </c>
      <c r="AI124" s="3390"/>
      <c r="AJ124" s="3390"/>
      <c r="AK124" s="3390"/>
      <c r="AL124" s="3391">
        <f t="shared" si="11"/>
        <v>0</v>
      </c>
      <c r="AM124" s="3395" t="s">
        <v>3228</v>
      </c>
    </row>
    <row r="125" spans="1:39" s="3404" customFormat="1" ht="28.5" customHeight="1">
      <c r="A125" s="3378" t="s">
        <v>1078</v>
      </c>
      <c r="B125" s="3378" t="s">
        <v>3405</v>
      </c>
      <c r="C125" s="3378" t="s">
        <v>3434</v>
      </c>
      <c r="D125" s="3379" t="str">
        <f t="shared" si="9"/>
        <v>NR-37-2013</v>
      </c>
      <c r="E125" s="3380"/>
      <c r="F125" s="3380" t="s">
        <v>402</v>
      </c>
      <c r="G125" s="3381">
        <v>41275</v>
      </c>
      <c r="H125" s="3382"/>
      <c r="I125" s="3382">
        <v>100</v>
      </c>
      <c r="J125" s="3382" t="s">
        <v>3580</v>
      </c>
      <c r="K125" s="3382" t="s">
        <v>3581</v>
      </c>
      <c r="L125" s="3382">
        <v>45</v>
      </c>
      <c r="M125" s="3383" t="s">
        <v>1925</v>
      </c>
      <c r="N125" s="3384" t="s">
        <v>3435</v>
      </c>
      <c r="O125" s="3385" t="s">
        <v>3413</v>
      </c>
      <c r="P125" s="3378" t="s">
        <v>3414</v>
      </c>
      <c r="Q125" s="3386">
        <v>102685</v>
      </c>
      <c r="R125" s="3382" t="s">
        <v>3415</v>
      </c>
      <c r="S125" s="3387">
        <v>41275</v>
      </c>
      <c r="T125" s="3387">
        <v>42705</v>
      </c>
      <c r="U125" s="3388" t="s">
        <v>3260</v>
      </c>
      <c r="V125" s="3389">
        <v>2</v>
      </c>
      <c r="W125" s="3390">
        <v>26000</v>
      </c>
      <c r="X125" s="3390"/>
      <c r="Y125" s="3390"/>
      <c r="Z125" s="3390"/>
      <c r="AA125" s="3390"/>
      <c r="AB125" s="3390"/>
      <c r="AC125" s="3390"/>
      <c r="AD125" s="3390"/>
      <c r="AE125" s="3390"/>
      <c r="AF125" s="3390"/>
      <c r="AG125" s="3390"/>
      <c r="AH125" s="3391">
        <f t="shared" si="10"/>
        <v>26000</v>
      </c>
      <c r="AI125" s="3390"/>
      <c r="AJ125" s="3390"/>
      <c r="AK125" s="3390"/>
      <c r="AL125" s="3391">
        <f t="shared" si="11"/>
        <v>26000</v>
      </c>
      <c r="AM125" s="3395" t="s">
        <v>3228</v>
      </c>
    </row>
    <row r="126" spans="1:39" s="3404" customFormat="1" ht="28.5" customHeight="1">
      <c r="A126" s="3378" t="s">
        <v>3207</v>
      </c>
      <c r="B126" s="3378" t="s">
        <v>3405</v>
      </c>
      <c r="C126" s="3378" t="s">
        <v>3676</v>
      </c>
      <c r="D126" s="3379" t="str">
        <f t="shared" ref="D126:D132" si="12">CONCATENATE(B126,"-",C126,"-",A126)</f>
        <v>NR-38-2015</v>
      </c>
      <c r="E126" s="3380"/>
      <c r="F126" s="3380"/>
      <c r="G126" s="3381">
        <v>42186</v>
      </c>
      <c r="H126" s="3382"/>
      <c r="I126" s="3382">
        <v>100</v>
      </c>
      <c r="J126" s="3382" t="s">
        <v>3580</v>
      </c>
      <c r="K126" s="3382" t="s">
        <v>3581</v>
      </c>
      <c r="L126" s="3382">
        <v>45</v>
      </c>
      <c r="M126" s="3383" t="s">
        <v>3677</v>
      </c>
      <c r="N126" s="3384" t="s">
        <v>3678</v>
      </c>
      <c r="O126" s="3385" t="s">
        <v>3413</v>
      </c>
      <c r="P126" s="3378" t="s">
        <v>3414</v>
      </c>
      <c r="Q126" s="3386" t="s">
        <v>3679</v>
      </c>
      <c r="R126" s="3382" t="s">
        <v>3415</v>
      </c>
      <c r="S126" s="3387">
        <v>42186</v>
      </c>
      <c r="T126" s="3387">
        <v>43281</v>
      </c>
      <c r="U126" s="3388" t="s">
        <v>3233</v>
      </c>
      <c r="V126" s="3389">
        <v>6</v>
      </c>
      <c r="W126" s="3390">
        <v>200000</v>
      </c>
      <c r="X126" s="3390">
        <v>321000</v>
      </c>
      <c r="Y126" s="3390">
        <v>216000</v>
      </c>
      <c r="Z126" s="3390"/>
      <c r="AA126" s="3390"/>
      <c r="AB126" s="3390"/>
      <c r="AC126" s="3390"/>
      <c r="AD126" s="3390"/>
      <c r="AE126" s="3390"/>
      <c r="AF126" s="3390"/>
      <c r="AG126" s="3390"/>
      <c r="AH126" s="3391">
        <f t="shared" si="10"/>
        <v>737000</v>
      </c>
      <c r="AI126" s="3390"/>
      <c r="AJ126" s="3390"/>
      <c r="AK126" s="3390"/>
      <c r="AL126" s="3391">
        <f t="shared" si="11"/>
        <v>737000</v>
      </c>
      <c r="AM126" s="3395" t="s">
        <v>3228</v>
      </c>
    </row>
    <row r="127" spans="1:39" s="3404" customFormat="1" ht="28.5" customHeight="1">
      <c r="A127" s="3378" t="s">
        <v>3208</v>
      </c>
      <c r="B127" s="3378" t="s">
        <v>3405</v>
      </c>
      <c r="C127" s="3378" t="s">
        <v>3680</v>
      </c>
      <c r="D127" s="3379" t="str">
        <f t="shared" si="12"/>
        <v>NR-39-2016</v>
      </c>
      <c r="E127" s="3380"/>
      <c r="F127" s="3380" t="s">
        <v>402</v>
      </c>
      <c r="G127" s="3381">
        <v>42495</v>
      </c>
      <c r="H127" s="3382"/>
      <c r="I127" s="3382">
        <v>100</v>
      </c>
      <c r="J127" s="3382" t="s">
        <v>3580</v>
      </c>
      <c r="K127" s="3382" t="s">
        <v>3581</v>
      </c>
      <c r="L127" s="3382">
        <v>45</v>
      </c>
      <c r="M127" s="3383" t="s">
        <v>3681</v>
      </c>
      <c r="N127" s="3384" t="s">
        <v>3682</v>
      </c>
      <c r="O127" s="3385" t="s">
        <v>3413</v>
      </c>
      <c r="P127" s="3378" t="s">
        <v>3414</v>
      </c>
      <c r="Q127" s="3386" t="s">
        <v>3679</v>
      </c>
      <c r="R127" s="3382" t="s">
        <v>3683</v>
      </c>
      <c r="S127" s="3387">
        <v>42370</v>
      </c>
      <c r="T127" s="3387">
        <v>43435</v>
      </c>
      <c r="U127" s="3388" t="s">
        <v>3233</v>
      </c>
      <c r="V127" s="3389">
        <v>6</v>
      </c>
      <c r="W127" s="3390">
        <v>15000</v>
      </c>
      <c r="X127" s="3390">
        <v>210000</v>
      </c>
      <c r="Y127" s="3390">
        <v>1980000</v>
      </c>
      <c r="Z127" s="3390"/>
      <c r="AA127" s="3390"/>
      <c r="AB127" s="3390"/>
      <c r="AC127" s="3390"/>
      <c r="AD127" s="3390"/>
      <c r="AE127" s="3390"/>
      <c r="AF127" s="3390"/>
      <c r="AG127" s="3390"/>
      <c r="AH127" s="3391">
        <f t="shared" si="10"/>
        <v>2205000</v>
      </c>
      <c r="AI127" s="3390"/>
      <c r="AJ127" s="3390"/>
      <c r="AK127" s="3390"/>
      <c r="AL127" s="3391">
        <f t="shared" si="11"/>
        <v>2205000</v>
      </c>
      <c r="AM127" s="3395" t="s">
        <v>3228</v>
      </c>
    </row>
    <row r="128" spans="1:39" s="3404" customFormat="1" ht="28.5" customHeight="1">
      <c r="A128" s="3378" t="s">
        <v>3208</v>
      </c>
      <c r="B128" s="3378" t="s">
        <v>3405</v>
      </c>
      <c r="C128" s="3378" t="s">
        <v>3684</v>
      </c>
      <c r="D128" s="3379" t="str">
        <f t="shared" si="12"/>
        <v>NR-40-2016</v>
      </c>
      <c r="E128" s="3380"/>
      <c r="F128" s="3380"/>
      <c r="G128" s="3381">
        <v>42586</v>
      </c>
      <c r="H128" s="3382"/>
      <c r="I128" s="3382">
        <v>100</v>
      </c>
      <c r="J128" s="3382" t="s">
        <v>3580</v>
      </c>
      <c r="K128" s="3382" t="s">
        <v>3581</v>
      </c>
      <c r="L128" s="3382">
        <v>40</v>
      </c>
      <c r="M128" s="3383" t="s">
        <v>3685</v>
      </c>
      <c r="N128" s="3384" t="s">
        <v>3686</v>
      </c>
      <c r="O128" s="3385" t="s">
        <v>3393</v>
      </c>
      <c r="P128" s="3378" t="s">
        <v>3394</v>
      </c>
      <c r="Q128" s="3386" t="s">
        <v>3250</v>
      </c>
      <c r="R128" s="3382" t="s">
        <v>3415</v>
      </c>
      <c r="S128" s="3387">
        <v>44197</v>
      </c>
      <c r="T128" s="3387">
        <v>50010</v>
      </c>
      <c r="U128" s="3388" t="s">
        <v>3233</v>
      </c>
      <c r="V128" s="3389">
        <v>7</v>
      </c>
      <c r="W128" s="3390"/>
      <c r="X128" s="3390"/>
      <c r="Y128" s="3390"/>
      <c r="Z128" s="3390"/>
      <c r="AA128" s="3390"/>
      <c r="AB128" s="3390">
        <v>10000</v>
      </c>
      <c r="AC128" s="3390">
        <v>80000</v>
      </c>
      <c r="AD128" s="3390"/>
      <c r="AE128" s="3390"/>
      <c r="AF128" s="3390"/>
      <c r="AG128" s="3390">
        <v>10000</v>
      </c>
      <c r="AH128" s="3391">
        <f t="shared" si="10"/>
        <v>100000</v>
      </c>
      <c r="AI128" s="3390">
        <v>80000</v>
      </c>
      <c r="AJ128" s="3390"/>
      <c r="AK128" s="3390"/>
      <c r="AL128" s="3391">
        <f t="shared" si="11"/>
        <v>180000</v>
      </c>
      <c r="AM128" s="3395" t="s">
        <v>3308</v>
      </c>
    </row>
    <row r="129" spans="1:39" s="3404" customFormat="1" ht="28.5" customHeight="1">
      <c r="A129" s="3378" t="s">
        <v>3208</v>
      </c>
      <c r="B129" s="3378" t="s">
        <v>3405</v>
      </c>
      <c r="C129" s="3378" t="s">
        <v>3687</v>
      </c>
      <c r="D129" s="3379" t="str">
        <f t="shared" si="12"/>
        <v>NR-41-2016</v>
      </c>
      <c r="E129" s="3380"/>
      <c r="F129" s="3380"/>
      <c r="G129" s="3381">
        <v>42586</v>
      </c>
      <c r="H129" s="3382"/>
      <c r="I129" s="3382">
        <v>100</v>
      </c>
      <c r="J129" s="3382" t="s">
        <v>3580</v>
      </c>
      <c r="K129" s="3382" t="s">
        <v>3581</v>
      </c>
      <c r="L129" s="3382">
        <v>40</v>
      </c>
      <c r="M129" s="3383" t="s">
        <v>3688</v>
      </c>
      <c r="N129" s="3384" t="s">
        <v>3689</v>
      </c>
      <c r="O129" s="3385" t="s">
        <v>3413</v>
      </c>
      <c r="P129" s="3378" t="s">
        <v>3414</v>
      </c>
      <c r="Q129" s="3386" t="s">
        <v>3250</v>
      </c>
      <c r="R129" s="3382" t="s">
        <v>3415</v>
      </c>
      <c r="S129" s="3387">
        <v>43466</v>
      </c>
      <c r="T129" s="3387">
        <v>44166</v>
      </c>
      <c r="U129" s="3388" t="s">
        <v>3233</v>
      </c>
      <c r="V129" s="3389">
        <v>7</v>
      </c>
      <c r="W129" s="3390"/>
      <c r="X129" s="3390"/>
      <c r="Y129" s="3390"/>
      <c r="Z129" s="3390">
        <v>50000</v>
      </c>
      <c r="AA129" s="3390">
        <v>200000</v>
      </c>
      <c r="AB129" s="3390"/>
      <c r="AC129" s="3390"/>
      <c r="AD129" s="3390"/>
      <c r="AE129" s="3390"/>
      <c r="AF129" s="3390"/>
      <c r="AG129" s="3390"/>
      <c r="AH129" s="3391">
        <f t="shared" si="10"/>
        <v>250000</v>
      </c>
      <c r="AI129" s="3390"/>
      <c r="AJ129" s="3390"/>
      <c r="AK129" s="3390"/>
      <c r="AL129" s="3391">
        <f t="shared" si="11"/>
        <v>250000</v>
      </c>
      <c r="AM129" s="3395" t="s">
        <v>3308</v>
      </c>
    </row>
    <row r="130" spans="1:39" s="3404" customFormat="1" ht="28.5" customHeight="1">
      <c r="A130" s="3378" t="s">
        <v>3208</v>
      </c>
      <c r="B130" s="3378" t="s">
        <v>3405</v>
      </c>
      <c r="C130" s="3378" t="s">
        <v>3690</v>
      </c>
      <c r="D130" s="3379" t="str">
        <f t="shared" si="12"/>
        <v>NR-42-2016</v>
      </c>
      <c r="E130" s="3380"/>
      <c r="F130" s="3380"/>
      <c r="G130" s="3381">
        <v>42586</v>
      </c>
      <c r="H130" s="3382"/>
      <c r="I130" s="3382">
        <v>100</v>
      </c>
      <c r="J130" s="3382" t="s">
        <v>3668</v>
      </c>
      <c r="K130" s="3382" t="s">
        <v>3581</v>
      </c>
      <c r="L130" s="3382">
        <v>25</v>
      </c>
      <c r="M130" s="3383" t="s">
        <v>3691</v>
      </c>
      <c r="N130" s="3384" t="s">
        <v>3692</v>
      </c>
      <c r="O130" s="3385" t="s">
        <v>3407</v>
      </c>
      <c r="P130" s="3378" t="s">
        <v>3408</v>
      </c>
      <c r="Q130" s="3386" t="s">
        <v>3250</v>
      </c>
      <c r="R130" s="3382" t="s">
        <v>3427</v>
      </c>
      <c r="S130" s="3387">
        <v>42583</v>
      </c>
      <c r="T130" s="3387"/>
      <c r="U130" s="3388" t="s">
        <v>3260</v>
      </c>
      <c r="V130" s="3389">
        <v>2</v>
      </c>
      <c r="W130" s="3390">
        <v>37500</v>
      </c>
      <c r="X130" s="3390">
        <v>37500</v>
      </c>
      <c r="Y130" s="3390">
        <v>37500</v>
      </c>
      <c r="Z130" s="3390">
        <v>37500</v>
      </c>
      <c r="AA130" s="3390">
        <v>37500</v>
      </c>
      <c r="AB130" s="3390">
        <v>37500</v>
      </c>
      <c r="AC130" s="3390">
        <v>37500</v>
      </c>
      <c r="AD130" s="3390">
        <v>37500</v>
      </c>
      <c r="AE130" s="3390">
        <v>37500</v>
      </c>
      <c r="AF130" s="3390">
        <v>37500</v>
      </c>
      <c r="AG130" s="3390">
        <v>37500</v>
      </c>
      <c r="AH130" s="3391">
        <f t="shared" si="10"/>
        <v>412500</v>
      </c>
      <c r="AI130" s="3390">
        <v>37500</v>
      </c>
      <c r="AJ130" s="3390">
        <v>37500</v>
      </c>
      <c r="AK130" s="3390">
        <v>37500</v>
      </c>
      <c r="AL130" s="3391">
        <f t="shared" si="11"/>
        <v>525000</v>
      </c>
      <c r="AM130" s="3395" t="s">
        <v>3308</v>
      </c>
    </row>
    <row r="131" spans="1:39" s="3404" customFormat="1" ht="28.5" customHeight="1">
      <c r="A131" s="3378" t="s">
        <v>3208</v>
      </c>
      <c r="B131" s="3378" t="s">
        <v>3405</v>
      </c>
      <c r="C131" s="3378" t="s">
        <v>3693</v>
      </c>
      <c r="D131" s="3379" t="str">
        <f t="shared" si="12"/>
        <v>NR-43-2016</v>
      </c>
      <c r="E131" s="3380"/>
      <c r="F131" s="3380"/>
      <c r="G131" s="3381">
        <v>42586</v>
      </c>
      <c r="H131" s="3382"/>
      <c r="I131" s="3382">
        <v>100</v>
      </c>
      <c r="J131" s="3382" t="s">
        <v>3668</v>
      </c>
      <c r="K131" s="3382" t="s">
        <v>3581</v>
      </c>
      <c r="L131" s="3382">
        <v>25</v>
      </c>
      <c r="M131" s="3383" t="s">
        <v>3694</v>
      </c>
      <c r="N131" s="3384" t="s">
        <v>3695</v>
      </c>
      <c r="O131" s="3385" t="s">
        <v>3407</v>
      </c>
      <c r="P131" s="3378" t="s">
        <v>3408</v>
      </c>
      <c r="Q131" s="3386">
        <v>102738</v>
      </c>
      <c r="R131" s="3382" t="s">
        <v>3427</v>
      </c>
      <c r="S131" s="3387" t="s">
        <v>3696</v>
      </c>
      <c r="T131" s="3387">
        <v>43070</v>
      </c>
      <c r="U131" s="3388" t="s">
        <v>3260</v>
      </c>
      <c r="V131" s="3389">
        <v>2</v>
      </c>
      <c r="W131" s="3390">
        <v>396294</v>
      </c>
      <c r="X131" s="3390"/>
      <c r="Y131" s="3390"/>
      <c r="Z131" s="3390"/>
      <c r="AA131" s="3390"/>
      <c r="AB131" s="3390"/>
      <c r="AC131" s="3390"/>
      <c r="AD131" s="3390"/>
      <c r="AE131" s="3390"/>
      <c r="AF131" s="3390"/>
      <c r="AG131" s="3390"/>
      <c r="AH131" s="3391">
        <f t="shared" si="10"/>
        <v>396294</v>
      </c>
      <c r="AI131" s="3390"/>
      <c r="AJ131" s="3390"/>
      <c r="AK131" s="3390"/>
      <c r="AL131" s="3391">
        <f t="shared" si="11"/>
        <v>396294</v>
      </c>
      <c r="AM131" s="3395" t="s">
        <v>3308</v>
      </c>
    </row>
    <row r="132" spans="1:39" s="3404" customFormat="1" ht="28.5" customHeight="1">
      <c r="A132" s="3378" t="s">
        <v>3207</v>
      </c>
      <c r="B132" s="3378" t="s">
        <v>3697</v>
      </c>
      <c r="C132" s="3378" t="s">
        <v>3698</v>
      </c>
      <c r="D132" s="3379" t="str">
        <f t="shared" si="12"/>
        <v>PM-1-2015</v>
      </c>
      <c r="E132" s="3380"/>
      <c r="F132" s="3380"/>
      <c r="G132" s="3381">
        <v>42375</v>
      </c>
      <c r="H132" s="3382">
        <v>40.89</v>
      </c>
      <c r="I132" s="3382">
        <v>59.11</v>
      </c>
      <c r="J132" s="3382" t="s">
        <v>3550</v>
      </c>
      <c r="K132" s="3382" t="s">
        <v>3577</v>
      </c>
      <c r="L132" s="3382">
        <v>10</v>
      </c>
      <c r="M132" s="3383" t="s">
        <v>3699</v>
      </c>
      <c r="N132" s="3384" t="s">
        <v>3700</v>
      </c>
      <c r="O132" s="3385" t="s">
        <v>3226</v>
      </c>
      <c r="P132" s="3378" t="s">
        <v>3227</v>
      </c>
      <c r="Q132" s="3386" t="s">
        <v>3701</v>
      </c>
      <c r="R132" s="3382" t="s">
        <v>3702</v>
      </c>
      <c r="S132" s="3387">
        <v>42339</v>
      </c>
      <c r="T132" s="3387">
        <v>42887</v>
      </c>
      <c r="U132" s="3388" t="s">
        <v>3233</v>
      </c>
      <c r="V132" s="3389">
        <v>6</v>
      </c>
      <c r="W132" s="3390">
        <v>1671633</v>
      </c>
      <c r="X132" s="3390">
        <v>289265</v>
      </c>
      <c r="Y132" s="3390"/>
      <c r="Z132" s="3390"/>
      <c r="AA132" s="3390"/>
      <c r="AB132" s="3390"/>
      <c r="AC132" s="3390"/>
      <c r="AD132" s="3390"/>
      <c r="AE132" s="3390"/>
      <c r="AF132" s="3390"/>
      <c r="AG132" s="3390"/>
      <c r="AH132" s="3391">
        <f t="shared" si="10"/>
        <v>1960898</v>
      </c>
      <c r="AI132" s="3390"/>
      <c r="AJ132" s="3390"/>
      <c r="AK132" s="3390"/>
      <c r="AL132" s="3391">
        <f t="shared" si="11"/>
        <v>1960898</v>
      </c>
      <c r="AM132" s="3395" t="s">
        <v>3228</v>
      </c>
    </row>
    <row r="133" spans="1:39" s="3404" customFormat="1" ht="28.5" customHeight="1">
      <c r="A133" s="3378">
        <v>2011</v>
      </c>
      <c r="B133" s="3378" t="s">
        <v>3436</v>
      </c>
      <c r="C133" s="3378">
        <v>2</v>
      </c>
      <c r="D133" s="3379" t="str">
        <f t="shared" ref="D133:D151" si="13">CONCATENATE(B133,"-",C133,"-",A133)</f>
        <v>SS-2-2011</v>
      </c>
      <c r="E133" s="3380"/>
      <c r="F133" s="3380"/>
      <c r="G133" s="3381">
        <v>40624</v>
      </c>
      <c r="H133" s="3382">
        <v>40.89</v>
      </c>
      <c r="I133" s="3382">
        <v>59.11</v>
      </c>
      <c r="J133" s="3382" t="s">
        <v>3550</v>
      </c>
      <c r="K133" s="3382" t="s">
        <v>3577</v>
      </c>
      <c r="L133" s="3382">
        <v>5</v>
      </c>
      <c r="M133" s="3383" t="s">
        <v>1926</v>
      </c>
      <c r="N133" s="3384" t="s">
        <v>3439</v>
      </c>
      <c r="O133" s="3385" t="s">
        <v>3226</v>
      </c>
      <c r="P133" s="3378" t="s">
        <v>3227</v>
      </c>
      <c r="Q133" s="3386" t="s">
        <v>3245</v>
      </c>
      <c r="R133" s="3382" t="s">
        <v>3440</v>
      </c>
      <c r="S133" s="3387">
        <v>42248</v>
      </c>
      <c r="T133" s="3387">
        <v>42369</v>
      </c>
      <c r="U133" s="3388" t="s">
        <v>3260</v>
      </c>
      <c r="V133" s="3389">
        <v>2</v>
      </c>
      <c r="W133" s="3390">
        <f>250000-250000</f>
        <v>0</v>
      </c>
      <c r="X133" s="3390"/>
      <c r="Y133" s="3390">
        <v>400000</v>
      </c>
      <c r="Z133" s="3390"/>
      <c r="AA133" s="3390"/>
      <c r="AB133" s="3390"/>
      <c r="AC133" s="3390">
        <v>400000</v>
      </c>
      <c r="AD133" s="3390"/>
      <c r="AE133" s="3390"/>
      <c r="AF133" s="3390"/>
      <c r="AG133" s="3390">
        <v>400000</v>
      </c>
      <c r="AH133" s="3391">
        <f t="shared" si="10"/>
        <v>1200000</v>
      </c>
      <c r="AI133" s="3390"/>
      <c r="AJ133" s="3390"/>
      <c r="AK133" s="3390"/>
      <c r="AL133" s="3391">
        <f t="shared" si="11"/>
        <v>1200000</v>
      </c>
      <c r="AM133" s="3395" t="s">
        <v>3228</v>
      </c>
    </row>
    <row r="134" spans="1:39" s="3404" customFormat="1" ht="28.5" customHeight="1">
      <c r="A134" s="3378">
        <v>2011</v>
      </c>
      <c r="B134" s="3378" t="s">
        <v>3436</v>
      </c>
      <c r="C134" s="3378">
        <v>3</v>
      </c>
      <c r="D134" s="3379" t="str">
        <f t="shared" si="13"/>
        <v>SS-3-2011</v>
      </c>
      <c r="E134" s="3380" t="s">
        <v>402</v>
      </c>
      <c r="F134" s="3380"/>
      <c r="G134" s="3381">
        <v>40638</v>
      </c>
      <c r="H134" s="3382">
        <v>100</v>
      </c>
      <c r="I134" s="3382"/>
      <c r="J134" s="3382" t="s">
        <v>3574</v>
      </c>
      <c r="K134" s="3382" t="s">
        <v>3551</v>
      </c>
      <c r="L134" s="3382">
        <v>15</v>
      </c>
      <c r="M134" s="3383" t="s">
        <v>1927</v>
      </c>
      <c r="N134" s="3384" t="s">
        <v>3441</v>
      </c>
      <c r="O134" s="3385" t="s">
        <v>3442</v>
      </c>
      <c r="P134" s="3378" t="s">
        <v>3443</v>
      </c>
      <c r="Q134" s="3386" t="s">
        <v>3245</v>
      </c>
      <c r="R134" s="3382" t="s">
        <v>3444</v>
      </c>
      <c r="S134" s="3387" t="s">
        <v>3192</v>
      </c>
      <c r="T134" s="3387" t="s">
        <v>3192</v>
      </c>
      <c r="U134" s="3388" t="s">
        <v>3278</v>
      </c>
      <c r="V134" s="3389">
        <v>4</v>
      </c>
      <c r="W134" s="3390">
        <f>528000+272000+216000</f>
        <v>1016000</v>
      </c>
      <c r="X134" s="3390">
        <f>110000+690000</f>
        <v>800000</v>
      </c>
      <c r="Y134" s="3390">
        <f>395000+205000</f>
        <v>600000</v>
      </c>
      <c r="Z134" s="3390">
        <f>550000-28000+78000</f>
        <v>600000</v>
      </c>
      <c r="AA134" s="3390">
        <f>275000+325000</f>
        <v>600000</v>
      </c>
      <c r="AB134" s="3390">
        <f>1200000-28000-672000</f>
        <v>500000</v>
      </c>
      <c r="AC134" s="3390">
        <f>300000+200000</f>
        <v>500000</v>
      </c>
      <c r="AD134" s="3390">
        <f>250000-28000+278000</f>
        <v>500000</v>
      </c>
      <c r="AE134" s="3390">
        <f>300000+200000</f>
        <v>500000</v>
      </c>
      <c r="AF134" s="3390">
        <f>300000+200000</f>
        <v>500000</v>
      </c>
      <c r="AG134" s="3390">
        <f>300000+200000</f>
        <v>500000</v>
      </c>
      <c r="AH134" s="3391">
        <f t="shared" si="10"/>
        <v>6616000</v>
      </c>
      <c r="AI134" s="3390">
        <f>300000+200000</f>
        <v>500000</v>
      </c>
      <c r="AJ134" s="3390">
        <f>300000+200000</f>
        <v>500000</v>
      </c>
      <c r="AK134" s="3390">
        <f>300000+200000</f>
        <v>500000</v>
      </c>
      <c r="AL134" s="3391">
        <f t="shared" si="11"/>
        <v>8116000</v>
      </c>
      <c r="AM134" s="3395" t="s">
        <v>3228</v>
      </c>
    </row>
    <row r="135" spans="1:39" s="3404" customFormat="1" ht="28.5" customHeight="1">
      <c r="A135" s="3378">
        <v>2011</v>
      </c>
      <c r="B135" s="3378" t="s">
        <v>3436</v>
      </c>
      <c r="C135" s="3378">
        <v>4</v>
      </c>
      <c r="D135" s="3379" t="str">
        <f t="shared" si="13"/>
        <v>SS-4-2011</v>
      </c>
      <c r="E135" s="3380" t="s">
        <v>402</v>
      </c>
      <c r="F135" s="3380"/>
      <c r="G135" s="3381">
        <v>40624</v>
      </c>
      <c r="H135" s="3382">
        <v>100</v>
      </c>
      <c r="I135" s="3382"/>
      <c r="J135" s="3382" t="s">
        <v>3574</v>
      </c>
      <c r="K135" s="3382" t="s">
        <v>3551</v>
      </c>
      <c r="L135" s="3382">
        <v>20</v>
      </c>
      <c r="M135" s="3383" t="s">
        <v>1928</v>
      </c>
      <c r="N135" s="3384" t="s">
        <v>3445</v>
      </c>
      <c r="O135" s="3385" t="s">
        <v>3442</v>
      </c>
      <c r="P135" s="3378" t="s">
        <v>3443</v>
      </c>
      <c r="Q135" s="3386" t="s">
        <v>3442</v>
      </c>
      <c r="R135" s="3382" t="s">
        <v>3444</v>
      </c>
      <c r="S135" s="3387" t="s">
        <v>3192</v>
      </c>
      <c r="T135" s="3387" t="s">
        <v>3192</v>
      </c>
      <c r="U135" s="3388" t="s">
        <v>3278</v>
      </c>
      <c r="V135" s="3389">
        <v>4</v>
      </c>
      <c r="W135" s="3390">
        <f>800000+200000+630000-250000</f>
        <v>1380000</v>
      </c>
      <c r="X135" s="3390">
        <f>250000+750000+500000</f>
        <v>1500000</v>
      </c>
      <c r="Y135" s="3390">
        <f>380000+620000</f>
        <v>1000000</v>
      </c>
      <c r="Z135" s="3390">
        <f>250000+750000</f>
        <v>1000000</v>
      </c>
      <c r="AA135" s="3390">
        <f>250000+750000</f>
        <v>1000000</v>
      </c>
      <c r="AB135" s="3390">
        <f>250000+550000</f>
        <v>800000</v>
      </c>
      <c r="AC135" s="3390">
        <f>250000+550000</f>
        <v>800000</v>
      </c>
      <c r="AD135" s="3390">
        <f>200000+600000</f>
        <v>800000</v>
      </c>
      <c r="AE135" s="3390">
        <f>250000+550000</f>
        <v>800000</v>
      </c>
      <c r="AF135" s="3390">
        <f>250000+550000</f>
        <v>800000</v>
      </c>
      <c r="AG135" s="3390">
        <f>250000+550000</f>
        <v>800000</v>
      </c>
      <c r="AH135" s="3391">
        <f t="shared" ref="AH135:AH151" si="14">SUM(W135:AG135)</f>
        <v>10680000</v>
      </c>
      <c r="AI135" s="3390">
        <f>250000+550000</f>
        <v>800000</v>
      </c>
      <c r="AJ135" s="3390">
        <f>250000+550000</f>
        <v>800000</v>
      </c>
      <c r="AK135" s="3390">
        <f>250000+550000</f>
        <v>800000</v>
      </c>
      <c r="AL135" s="3391">
        <f t="shared" ref="AL135:AL151" si="15">SUM(AH135:AK135)</f>
        <v>13080000</v>
      </c>
      <c r="AM135" s="3395" t="s">
        <v>3228</v>
      </c>
    </row>
    <row r="136" spans="1:39" s="3404" customFormat="1" ht="28.5" customHeight="1">
      <c r="A136" s="3378">
        <v>2011</v>
      </c>
      <c r="B136" s="3378" t="s">
        <v>3436</v>
      </c>
      <c r="C136" s="3378">
        <v>5</v>
      </c>
      <c r="D136" s="3379" t="str">
        <f t="shared" si="13"/>
        <v>SS-5-2011</v>
      </c>
      <c r="E136" s="3380" t="s">
        <v>402</v>
      </c>
      <c r="F136" s="3380"/>
      <c r="G136" s="3381">
        <v>40653</v>
      </c>
      <c r="H136" s="3382">
        <v>40.89</v>
      </c>
      <c r="I136" s="3382">
        <v>59.11</v>
      </c>
      <c r="J136" s="3382" t="s">
        <v>3550</v>
      </c>
      <c r="K136" s="3382" t="s">
        <v>3577</v>
      </c>
      <c r="L136" s="3382">
        <v>10</v>
      </c>
      <c r="M136" s="3383" t="s">
        <v>1929</v>
      </c>
      <c r="N136" s="3384" t="s">
        <v>3446</v>
      </c>
      <c r="O136" s="3385" t="s">
        <v>3226</v>
      </c>
      <c r="P136" s="3378" t="s">
        <v>3227</v>
      </c>
      <c r="Q136" s="3386">
        <v>102788</v>
      </c>
      <c r="R136" s="3382" t="s">
        <v>3440</v>
      </c>
      <c r="S136" s="3387" t="s">
        <v>3192</v>
      </c>
      <c r="T136" s="3387" t="s">
        <v>3192</v>
      </c>
      <c r="U136" s="3388" t="s">
        <v>3264</v>
      </c>
      <c r="V136" s="3389">
        <v>8</v>
      </c>
      <c r="W136" s="3390">
        <f>15000-15000</f>
        <v>0</v>
      </c>
      <c r="X136" s="3390">
        <f>15000-15000</f>
        <v>0</v>
      </c>
      <c r="Y136" s="3390">
        <f>15000-15000</f>
        <v>0</v>
      </c>
      <c r="Z136" s="3390">
        <f>15000+1800+34200</f>
        <v>51000</v>
      </c>
      <c r="AA136" s="3390">
        <v>0</v>
      </c>
      <c r="AB136" s="3390">
        <v>0</v>
      </c>
      <c r="AC136" s="3390">
        <v>8000</v>
      </c>
      <c r="AD136" s="3390">
        <v>15000</v>
      </c>
      <c r="AE136" s="3390">
        <f>25000+5000</f>
        <v>30000</v>
      </c>
      <c r="AF136" s="3390">
        <v>20000</v>
      </c>
      <c r="AG136" s="3390"/>
      <c r="AH136" s="3391">
        <f t="shared" si="14"/>
        <v>124000</v>
      </c>
      <c r="AI136" s="3390"/>
      <c r="AJ136" s="3390"/>
      <c r="AK136" s="3390"/>
      <c r="AL136" s="3391">
        <f t="shared" si="15"/>
        <v>124000</v>
      </c>
      <c r="AM136" s="3395" t="s">
        <v>3228</v>
      </c>
    </row>
    <row r="137" spans="1:39" s="3404" customFormat="1" ht="28.5" customHeight="1">
      <c r="A137" s="3378">
        <v>2011</v>
      </c>
      <c r="B137" s="3378" t="s">
        <v>3436</v>
      </c>
      <c r="C137" s="3378">
        <v>6</v>
      </c>
      <c r="D137" s="3379" t="str">
        <f t="shared" si="13"/>
        <v>SS-6-2011</v>
      </c>
      <c r="E137" s="3380"/>
      <c r="F137" s="3380"/>
      <c r="G137" s="3381">
        <v>40653</v>
      </c>
      <c r="H137" s="3382">
        <v>40.89</v>
      </c>
      <c r="I137" s="3382">
        <v>59.11</v>
      </c>
      <c r="J137" s="3382" t="s">
        <v>3550</v>
      </c>
      <c r="K137" s="3382" t="s">
        <v>3577</v>
      </c>
      <c r="L137" s="3382">
        <v>5</v>
      </c>
      <c r="M137" s="3383" t="s">
        <v>1930</v>
      </c>
      <c r="N137" s="3384" t="s">
        <v>3447</v>
      </c>
      <c r="O137" s="3385" t="s">
        <v>3226</v>
      </c>
      <c r="P137" s="3378" t="s">
        <v>3227</v>
      </c>
      <c r="Q137" s="3386"/>
      <c r="R137" s="3382" t="s">
        <v>3440</v>
      </c>
      <c r="S137" s="3387">
        <v>41183</v>
      </c>
      <c r="T137" s="3387">
        <v>43830</v>
      </c>
      <c r="U137" s="3388" t="s">
        <v>3260</v>
      </c>
      <c r="V137" s="3389">
        <v>2</v>
      </c>
      <c r="W137" s="3390"/>
      <c r="X137" s="3390">
        <v>65000</v>
      </c>
      <c r="Y137" s="3390"/>
      <c r="Z137" s="3390">
        <v>400000</v>
      </c>
      <c r="AA137" s="3390"/>
      <c r="AB137" s="3390"/>
      <c r="AC137" s="3390"/>
      <c r="AD137" s="3390">
        <v>400000</v>
      </c>
      <c r="AE137" s="3390"/>
      <c r="AF137" s="3390"/>
      <c r="AG137" s="3390"/>
      <c r="AH137" s="3391">
        <f t="shared" si="14"/>
        <v>865000</v>
      </c>
      <c r="AI137" s="3390">
        <v>400000</v>
      </c>
      <c r="AJ137" s="3390"/>
      <c r="AK137" s="3390"/>
      <c r="AL137" s="3391">
        <f t="shared" si="15"/>
        <v>1265000</v>
      </c>
      <c r="AM137" s="3395" t="s">
        <v>3228</v>
      </c>
    </row>
    <row r="138" spans="1:39" s="3404" customFormat="1" ht="28.5" customHeight="1">
      <c r="A138" s="3378">
        <v>2011</v>
      </c>
      <c r="B138" s="3378" t="s">
        <v>3436</v>
      </c>
      <c r="C138" s="3378">
        <v>7</v>
      </c>
      <c r="D138" s="3379" t="str">
        <f t="shared" si="13"/>
        <v>SS-7-2011</v>
      </c>
      <c r="E138" s="3380"/>
      <c r="F138" s="3380"/>
      <c r="G138" s="3381">
        <v>40653</v>
      </c>
      <c r="H138" s="3382"/>
      <c r="I138" s="3382">
        <v>100</v>
      </c>
      <c r="J138" s="3382" t="s">
        <v>3550</v>
      </c>
      <c r="K138" s="3382" t="s">
        <v>3660</v>
      </c>
      <c r="L138" s="3382">
        <v>5</v>
      </c>
      <c r="M138" s="3383" t="s">
        <v>1931</v>
      </c>
      <c r="N138" s="3384" t="s">
        <v>3448</v>
      </c>
      <c r="O138" s="3385" t="s">
        <v>3226</v>
      </c>
      <c r="P138" s="3378" t="s">
        <v>3227</v>
      </c>
      <c r="Q138" s="3386">
        <v>102988</v>
      </c>
      <c r="R138" s="3382" t="s">
        <v>3449</v>
      </c>
      <c r="S138" s="3387">
        <v>41548</v>
      </c>
      <c r="T138" s="3387">
        <v>42308</v>
      </c>
      <c r="U138" s="3388" t="s">
        <v>3264</v>
      </c>
      <c r="V138" s="3389">
        <v>8</v>
      </c>
      <c r="W138" s="3390">
        <f>17000+22000</f>
        <v>39000</v>
      </c>
      <c r="X138" s="3390">
        <f>39000-39000</f>
        <v>0</v>
      </c>
      <c r="Y138" s="3390"/>
      <c r="Z138" s="3390"/>
      <c r="AA138" s="3390"/>
      <c r="AB138" s="3390"/>
      <c r="AC138" s="3390"/>
      <c r="AD138" s="3390"/>
      <c r="AE138" s="3390"/>
      <c r="AF138" s="3390"/>
      <c r="AG138" s="3390"/>
      <c r="AH138" s="3391">
        <f t="shared" si="14"/>
        <v>39000</v>
      </c>
      <c r="AI138" s="3390"/>
      <c r="AJ138" s="3390"/>
      <c r="AK138" s="3390"/>
      <c r="AL138" s="3391">
        <f t="shared" si="15"/>
        <v>39000</v>
      </c>
      <c r="AM138" s="3395" t="s">
        <v>3703</v>
      </c>
    </row>
    <row r="139" spans="1:39" s="3404" customFormat="1" ht="28.5" customHeight="1">
      <c r="A139" s="3378">
        <v>2011</v>
      </c>
      <c r="B139" s="3378" t="s">
        <v>3436</v>
      </c>
      <c r="C139" s="3378">
        <v>8</v>
      </c>
      <c r="D139" s="3379" t="str">
        <f t="shared" si="13"/>
        <v>SS-8-2011</v>
      </c>
      <c r="E139" s="3380" t="s">
        <v>402</v>
      </c>
      <c r="F139" s="3380"/>
      <c r="G139" s="3381">
        <v>40653</v>
      </c>
      <c r="H139" s="3382">
        <v>40.89</v>
      </c>
      <c r="I139" s="3382">
        <v>59.11</v>
      </c>
      <c r="J139" s="3382" t="s">
        <v>3550</v>
      </c>
      <c r="K139" s="3382" t="s">
        <v>3577</v>
      </c>
      <c r="L139" s="3382">
        <v>5</v>
      </c>
      <c r="M139" s="3383" t="s">
        <v>1932</v>
      </c>
      <c r="N139" s="3384" t="s">
        <v>3450</v>
      </c>
      <c r="O139" s="3385" t="s">
        <v>3226</v>
      </c>
      <c r="P139" s="3378" t="s">
        <v>3227</v>
      </c>
      <c r="Q139" s="3386">
        <v>102774</v>
      </c>
      <c r="R139" s="3382" t="s">
        <v>3440</v>
      </c>
      <c r="S139" s="3387" t="s">
        <v>3192</v>
      </c>
      <c r="T139" s="3387" t="s">
        <v>3192</v>
      </c>
      <c r="U139" s="3388" t="s">
        <v>3260</v>
      </c>
      <c r="V139" s="3389">
        <v>2</v>
      </c>
      <c r="W139" s="3390">
        <v>36000</v>
      </c>
      <c r="X139" s="3390">
        <v>46000</v>
      </c>
      <c r="Y139" s="3390">
        <v>36000</v>
      </c>
      <c r="Z139" s="3390">
        <v>36000</v>
      </c>
      <c r="AA139" s="3390">
        <v>46000</v>
      </c>
      <c r="AB139" s="3390">
        <v>36000</v>
      </c>
      <c r="AC139" s="3390">
        <v>36000</v>
      </c>
      <c r="AD139" s="3390">
        <v>46000</v>
      </c>
      <c r="AE139" s="3390">
        <v>36000</v>
      </c>
      <c r="AF139" s="3390">
        <v>36000</v>
      </c>
      <c r="AG139" s="3390">
        <v>46000</v>
      </c>
      <c r="AH139" s="3391">
        <f>SUM(W139:AG139)</f>
        <v>436000</v>
      </c>
      <c r="AI139" s="3390">
        <v>36000</v>
      </c>
      <c r="AJ139" s="3390">
        <v>46000</v>
      </c>
      <c r="AK139" s="3390">
        <v>36000</v>
      </c>
      <c r="AL139" s="3391">
        <f t="shared" si="15"/>
        <v>554000</v>
      </c>
      <c r="AM139" s="3395" t="s">
        <v>3228</v>
      </c>
    </row>
    <row r="140" spans="1:39" s="3404" customFormat="1" ht="28.5" customHeight="1">
      <c r="A140" s="3378">
        <v>2011</v>
      </c>
      <c r="B140" s="3378" t="s">
        <v>3436</v>
      </c>
      <c r="C140" s="3378">
        <v>9</v>
      </c>
      <c r="D140" s="3379" t="str">
        <f t="shared" si="13"/>
        <v>SS-9-2011</v>
      </c>
      <c r="E140" s="3380" t="s">
        <v>402</v>
      </c>
      <c r="F140" s="3380"/>
      <c r="G140" s="3381">
        <v>40653</v>
      </c>
      <c r="H140" s="3382">
        <v>40.89</v>
      </c>
      <c r="I140" s="3382">
        <v>59.11</v>
      </c>
      <c r="J140" s="3382" t="s">
        <v>3550</v>
      </c>
      <c r="K140" s="3382" t="s">
        <v>3577</v>
      </c>
      <c r="L140" s="3382">
        <v>5</v>
      </c>
      <c r="M140" s="3383" t="s">
        <v>1933</v>
      </c>
      <c r="N140" s="3384" t="s">
        <v>3451</v>
      </c>
      <c r="O140" s="3385" t="s">
        <v>3226</v>
      </c>
      <c r="P140" s="3378" t="s">
        <v>3227</v>
      </c>
      <c r="Q140" s="3386"/>
      <c r="R140" s="3382" t="s">
        <v>3440</v>
      </c>
      <c r="S140" s="3387" t="s">
        <v>3192</v>
      </c>
      <c r="T140" s="3387" t="s">
        <v>3192</v>
      </c>
      <c r="U140" s="3388" t="s">
        <v>3225</v>
      </c>
      <c r="V140" s="3389">
        <v>7</v>
      </c>
      <c r="W140" s="3390">
        <f>50000+70000+245000-15000</f>
        <v>350000</v>
      </c>
      <c r="X140" s="3390">
        <f>50000+90000+29000+150000</f>
        <v>319000</v>
      </c>
      <c r="Y140" s="3390">
        <f>50000+50000+103000+120000</f>
        <v>323000</v>
      </c>
      <c r="Z140" s="3390">
        <f>50000+95000+10000</f>
        <v>155000</v>
      </c>
      <c r="AA140" s="3390">
        <f>50000+315000-15000</f>
        <v>350000</v>
      </c>
      <c r="AB140" s="3390">
        <f>50000+119000+15000</f>
        <v>184000</v>
      </c>
      <c r="AC140" s="3390">
        <f>50000+153000+120000</f>
        <v>323000</v>
      </c>
      <c r="AD140" s="3390">
        <f>50000+95000+20000</f>
        <v>165000</v>
      </c>
      <c r="AE140" s="3390">
        <f>50000+324000+15000</f>
        <v>389000</v>
      </c>
      <c r="AF140" s="3390">
        <f>50000+110000+15000</f>
        <v>175000</v>
      </c>
      <c r="AG140" s="3390">
        <f>50000+110000</f>
        <v>160000</v>
      </c>
      <c r="AH140" s="3391">
        <f t="shared" si="14"/>
        <v>2893000</v>
      </c>
      <c r="AI140" s="3390">
        <f>50000+110000</f>
        <v>160000</v>
      </c>
      <c r="AJ140" s="3390">
        <f>50000+110000</f>
        <v>160000</v>
      </c>
      <c r="AK140" s="3390">
        <f>50000+110000</f>
        <v>160000</v>
      </c>
      <c r="AL140" s="3391">
        <f t="shared" si="15"/>
        <v>3373000</v>
      </c>
      <c r="AM140" s="3395" t="s">
        <v>3228</v>
      </c>
    </row>
    <row r="141" spans="1:39" s="3404" customFormat="1" ht="28.5" customHeight="1">
      <c r="A141" s="3378">
        <v>2011</v>
      </c>
      <c r="B141" s="3378" t="s">
        <v>3436</v>
      </c>
      <c r="C141" s="3378">
        <v>10</v>
      </c>
      <c r="D141" s="3379" t="str">
        <f t="shared" si="13"/>
        <v>SS-10-2011</v>
      </c>
      <c r="E141" s="3380"/>
      <c r="F141" s="3380"/>
      <c r="G141" s="3381">
        <v>40653</v>
      </c>
      <c r="H141" s="3382">
        <v>40.89</v>
      </c>
      <c r="I141" s="3382">
        <v>59.11</v>
      </c>
      <c r="J141" s="3382" t="s">
        <v>3550</v>
      </c>
      <c r="K141" s="3382" t="s">
        <v>3577</v>
      </c>
      <c r="L141" s="3382">
        <v>5</v>
      </c>
      <c r="M141" s="3383" t="s">
        <v>1934</v>
      </c>
      <c r="N141" s="3384" t="s">
        <v>3452</v>
      </c>
      <c r="O141" s="3385" t="s">
        <v>3226</v>
      </c>
      <c r="P141" s="3378" t="s">
        <v>3227</v>
      </c>
      <c r="Q141" s="3386"/>
      <c r="R141" s="3382" t="s">
        <v>3440</v>
      </c>
      <c r="S141" s="3387">
        <v>40909</v>
      </c>
      <c r="T141" s="3387">
        <v>44531</v>
      </c>
      <c r="U141" s="3388" t="s">
        <v>3225</v>
      </c>
      <c r="V141" s="3389">
        <v>7</v>
      </c>
      <c r="W141" s="3390">
        <f t="shared" ref="W141:AK141" si="16">14000+7000</f>
        <v>21000</v>
      </c>
      <c r="X141" s="3390">
        <f t="shared" si="16"/>
        <v>21000</v>
      </c>
      <c r="Y141" s="3390">
        <f t="shared" si="16"/>
        <v>21000</v>
      </c>
      <c r="Z141" s="3390">
        <f t="shared" si="16"/>
        <v>21000</v>
      </c>
      <c r="AA141" s="3390">
        <f t="shared" si="16"/>
        <v>21000</v>
      </c>
      <c r="AB141" s="3390">
        <f t="shared" si="16"/>
        <v>21000</v>
      </c>
      <c r="AC141" s="3390">
        <f t="shared" si="16"/>
        <v>21000</v>
      </c>
      <c r="AD141" s="3390">
        <f t="shared" si="16"/>
        <v>21000</v>
      </c>
      <c r="AE141" s="3390">
        <f t="shared" si="16"/>
        <v>21000</v>
      </c>
      <c r="AF141" s="3390">
        <f t="shared" si="16"/>
        <v>21000</v>
      </c>
      <c r="AG141" s="3390">
        <f t="shared" si="16"/>
        <v>21000</v>
      </c>
      <c r="AH141" s="3391">
        <f t="shared" si="14"/>
        <v>231000</v>
      </c>
      <c r="AI141" s="3390">
        <f t="shared" si="16"/>
        <v>21000</v>
      </c>
      <c r="AJ141" s="3390">
        <f t="shared" si="16"/>
        <v>21000</v>
      </c>
      <c r="AK141" s="3390">
        <f t="shared" si="16"/>
        <v>21000</v>
      </c>
      <c r="AL141" s="3391">
        <f t="shared" si="15"/>
        <v>294000</v>
      </c>
      <c r="AM141" s="3395" t="s">
        <v>3228</v>
      </c>
    </row>
    <row r="142" spans="1:39" s="3404" customFormat="1" ht="25.5">
      <c r="A142" s="3378">
        <v>2011</v>
      </c>
      <c r="B142" s="3378" t="s">
        <v>3436</v>
      </c>
      <c r="C142" s="3378">
        <v>11</v>
      </c>
      <c r="D142" s="3379" t="str">
        <f t="shared" si="13"/>
        <v>SS-11-2011</v>
      </c>
      <c r="E142" s="3380"/>
      <c r="F142" s="3380" t="s">
        <v>402</v>
      </c>
      <c r="G142" s="3381">
        <v>40662</v>
      </c>
      <c r="H142" s="3382">
        <v>100</v>
      </c>
      <c r="I142" s="3382"/>
      <c r="J142" s="3382" t="s">
        <v>3575</v>
      </c>
      <c r="K142" s="3382" t="s">
        <v>3551</v>
      </c>
      <c r="L142" s="3382">
        <v>40</v>
      </c>
      <c r="M142" s="3383" t="s">
        <v>1935</v>
      </c>
      <c r="N142" s="3384" t="s">
        <v>3704</v>
      </c>
      <c r="O142" s="3385" t="s">
        <v>3437</v>
      </c>
      <c r="P142" s="3378" t="s">
        <v>3438</v>
      </c>
      <c r="Q142" s="3386">
        <v>101827</v>
      </c>
      <c r="R142" s="3382" t="s">
        <v>3453</v>
      </c>
      <c r="S142" s="3387">
        <v>42005</v>
      </c>
      <c r="T142" s="3387">
        <v>45261</v>
      </c>
      <c r="U142" s="3388" t="s">
        <v>3278</v>
      </c>
      <c r="V142" s="3389">
        <v>4</v>
      </c>
      <c r="W142" s="3390">
        <f>1048000+752000-1500000-300000</f>
        <v>0</v>
      </c>
      <c r="X142" s="3390">
        <f>1153000-105000-1048000+1800000-1800000</f>
        <v>0</v>
      </c>
      <c r="Y142" s="3390">
        <f>1048000-1048000</f>
        <v>0</v>
      </c>
      <c r="Z142" s="3390"/>
      <c r="AA142" s="3390"/>
      <c r="AB142" s="3390"/>
      <c r="AC142" s="3390">
        <v>300000</v>
      </c>
      <c r="AD142" s="3390">
        <v>4700000</v>
      </c>
      <c r="AE142" s="3390"/>
      <c r="AF142" s="3390"/>
      <c r="AG142" s="3390"/>
      <c r="AH142" s="3391">
        <f t="shared" si="14"/>
        <v>5000000</v>
      </c>
      <c r="AI142" s="3390"/>
      <c r="AJ142" s="3390"/>
      <c r="AK142" s="3390"/>
      <c r="AL142" s="3391">
        <f t="shared" si="15"/>
        <v>5000000</v>
      </c>
      <c r="AM142" s="3395" t="s">
        <v>3228</v>
      </c>
    </row>
    <row r="143" spans="1:39" s="3404" customFormat="1" ht="41.25" customHeight="1">
      <c r="A143" s="3378">
        <v>2011</v>
      </c>
      <c r="B143" s="3378" t="s">
        <v>3436</v>
      </c>
      <c r="C143" s="3378">
        <v>12</v>
      </c>
      <c r="D143" s="3379" t="str">
        <f t="shared" si="13"/>
        <v>SS-12-2011</v>
      </c>
      <c r="E143" s="3380"/>
      <c r="F143" s="3380"/>
      <c r="G143" s="3381">
        <v>40662</v>
      </c>
      <c r="H143" s="3382">
        <v>100</v>
      </c>
      <c r="I143" s="3382"/>
      <c r="J143" s="3382" t="s">
        <v>3575</v>
      </c>
      <c r="K143" s="3382" t="s">
        <v>3551</v>
      </c>
      <c r="L143" s="3382">
        <v>40</v>
      </c>
      <c r="M143" s="3383" t="s">
        <v>1936</v>
      </c>
      <c r="N143" s="3384" t="s">
        <v>3705</v>
      </c>
      <c r="O143" s="3385" t="s">
        <v>3437</v>
      </c>
      <c r="P143" s="3378" t="s">
        <v>3438</v>
      </c>
      <c r="Q143" s="3386">
        <v>101825</v>
      </c>
      <c r="R143" s="3382" t="s">
        <v>3454</v>
      </c>
      <c r="S143" s="3387">
        <v>41275</v>
      </c>
      <c r="T143" s="3387">
        <v>42917</v>
      </c>
      <c r="U143" s="3388" t="s">
        <v>3278</v>
      </c>
      <c r="V143" s="3389">
        <v>4</v>
      </c>
      <c r="W143" s="3390">
        <f>800000+1000000-800000+200000</f>
        <v>1200000</v>
      </c>
      <c r="X143" s="3390">
        <f>800000+235000</f>
        <v>1035000</v>
      </c>
      <c r="Y143" s="3390"/>
      <c r="Z143" s="3390"/>
      <c r="AA143" s="3390"/>
      <c r="AB143" s="3390"/>
      <c r="AC143" s="3390"/>
      <c r="AD143" s="3390"/>
      <c r="AE143" s="3390"/>
      <c r="AF143" s="3390"/>
      <c r="AG143" s="3390"/>
      <c r="AH143" s="3391">
        <f t="shared" si="14"/>
        <v>2235000</v>
      </c>
      <c r="AI143" s="3390"/>
      <c r="AJ143" s="3390"/>
      <c r="AK143" s="3390"/>
      <c r="AL143" s="3391">
        <f t="shared" si="15"/>
        <v>2235000</v>
      </c>
      <c r="AM143" s="3395" t="s">
        <v>3576</v>
      </c>
    </row>
    <row r="144" spans="1:39" s="3404" customFormat="1" ht="28.5" customHeight="1">
      <c r="A144" s="3378">
        <v>2011</v>
      </c>
      <c r="B144" s="3378" t="s">
        <v>3436</v>
      </c>
      <c r="C144" s="3378">
        <v>17</v>
      </c>
      <c r="D144" s="3379" t="str">
        <f t="shared" si="13"/>
        <v>SS-17-2011</v>
      </c>
      <c r="E144" s="3380"/>
      <c r="F144" s="3380"/>
      <c r="G144" s="3381">
        <v>40779</v>
      </c>
      <c r="H144" s="3382">
        <v>40.89</v>
      </c>
      <c r="I144" s="3382">
        <v>59.11</v>
      </c>
      <c r="J144" s="3382" t="s">
        <v>3550</v>
      </c>
      <c r="K144" s="3382" t="s">
        <v>3577</v>
      </c>
      <c r="L144" s="3382">
        <v>5</v>
      </c>
      <c r="M144" s="3383" t="s">
        <v>1937</v>
      </c>
      <c r="N144" s="3384" t="s">
        <v>3457</v>
      </c>
      <c r="O144" s="3385" t="s">
        <v>3226</v>
      </c>
      <c r="P144" s="3378" t="s">
        <v>3227</v>
      </c>
      <c r="Q144" s="3386">
        <v>101701</v>
      </c>
      <c r="R144" s="3382" t="s">
        <v>3449</v>
      </c>
      <c r="S144" s="3387">
        <v>40544</v>
      </c>
      <c r="T144" s="3387">
        <v>42369</v>
      </c>
      <c r="U144" s="3388" t="s">
        <v>3264</v>
      </c>
      <c r="V144" s="3389">
        <v>8</v>
      </c>
      <c r="W144" s="3390"/>
      <c r="X144" s="3390"/>
      <c r="Y144" s="3390"/>
      <c r="Z144" s="3390"/>
      <c r="AA144" s="3390"/>
      <c r="AB144" s="3390"/>
      <c r="AC144" s="3390"/>
      <c r="AD144" s="3390"/>
      <c r="AE144" s="3390"/>
      <c r="AF144" s="3390"/>
      <c r="AG144" s="3390"/>
      <c r="AH144" s="3391">
        <f t="shared" si="14"/>
        <v>0</v>
      </c>
      <c r="AI144" s="3390"/>
      <c r="AJ144" s="3390"/>
      <c r="AK144" s="3390"/>
      <c r="AL144" s="3391">
        <f t="shared" si="15"/>
        <v>0</v>
      </c>
      <c r="AM144" s="3395" t="s">
        <v>3228</v>
      </c>
    </row>
    <row r="145" spans="1:39" s="3404" customFormat="1" ht="28.5" customHeight="1">
      <c r="A145" s="3378" t="s">
        <v>1078</v>
      </c>
      <c r="B145" s="3378" t="s">
        <v>3436</v>
      </c>
      <c r="C145" s="3378" t="s">
        <v>3458</v>
      </c>
      <c r="D145" s="3379" t="str">
        <f t="shared" si="13"/>
        <v>SS-21-2013</v>
      </c>
      <c r="E145" s="3380"/>
      <c r="F145" s="3380"/>
      <c r="G145" s="3381">
        <v>41670</v>
      </c>
      <c r="H145" s="3382">
        <v>100</v>
      </c>
      <c r="I145" s="3382"/>
      <c r="J145" s="3382" t="s">
        <v>3575</v>
      </c>
      <c r="K145" s="3382" t="s">
        <v>3551</v>
      </c>
      <c r="L145" s="3382">
        <v>15</v>
      </c>
      <c r="M145" s="3383" t="s">
        <v>1938</v>
      </c>
      <c r="N145" s="3384" t="s">
        <v>3459</v>
      </c>
      <c r="O145" s="3385" t="s">
        <v>3455</v>
      </c>
      <c r="P145" s="3378" t="s">
        <v>3456</v>
      </c>
      <c r="Q145" s="3386">
        <v>102852</v>
      </c>
      <c r="R145" s="3382" t="s">
        <v>3453</v>
      </c>
      <c r="S145" s="3387">
        <v>40909</v>
      </c>
      <c r="T145" s="3387">
        <v>44896</v>
      </c>
      <c r="U145" s="3388" t="s">
        <v>3233</v>
      </c>
      <c r="V145" s="3389">
        <v>6</v>
      </c>
      <c r="W145" s="3390">
        <f>900000-900000</f>
        <v>0</v>
      </c>
      <c r="X145" s="3390"/>
      <c r="Y145" s="3390"/>
      <c r="Z145" s="3390"/>
      <c r="AA145" s="3390"/>
      <c r="AB145" s="3390"/>
      <c r="AC145" s="3390">
        <v>900000</v>
      </c>
      <c r="AD145" s="3390"/>
      <c r="AE145" s="3390"/>
      <c r="AF145" s="3390"/>
      <c r="AG145" s="3390"/>
      <c r="AH145" s="3391">
        <f t="shared" si="14"/>
        <v>900000</v>
      </c>
      <c r="AI145" s="3390"/>
      <c r="AJ145" s="3390"/>
      <c r="AK145" s="3390"/>
      <c r="AL145" s="3391">
        <f t="shared" si="15"/>
        <v>900000</v>
      </c>
      <c r="AM145" s="3395" t="s">
        <v>3228</v>
      </c>
    </row>
    <row r="146" spans="1:39" s="3404" customFormat="1" ht="29.25" customHeight="1">
      <c r="A146" s="3408" t="s">
        <v>1080</v>
      </c>
      <c r="B146" s="3408" t="s">
        <v>3436</v>
      </c>
      <c r="C146" s="3408" t="s">
        <v>3706</v>
      </c>
      <c r="D146" s="3409" t="str">
        <f>CONCATENATE(B146,"-",C146,"-",A146)</f>
        <v>SS-23-2011</v>
      </c>
      <c r="E146" s="3410"/>
      <c r="F146" s="3410"/>
      <c r="G146" s="3411">
        <v>41640</v>
      </c>
      <c r="H146" s="3382">
        <v>40.89</v>
      </c>
      <c r="I146" s="3382">
        <v>59.11</v>
      </c>
      <c r="J146" s="3412" t="s">
        <v>3550</v>
      </c>
      <c r="K146" s="3382" t="s">
        <v>3577</v>
      </c>
      <c r="L146" s="3412">
        <v>10</v>
      </c>
      <c r="M146" s="3413" t="s">
        <v>3707</v>
      </c>
      <c r="N146" s="3414" t="s">
        <v>3708</v>
      </c>
      <c r="O146" s="3415" t="s">
        <v>3342</v>
      </c>
      <c r="P146" s="3412" t="s">
        <v>3343</v>
      </c>
      <c r="Q146" s="3416">
        <v>102887</v>
      </c>
      <c r="R146" s="3412" t="s">
        <v>3460</v>
      </c>
      <c r="S146" s="3417">
        <v>42018</v>
      </c>
      <c r="T146" s="3417">
        <v>45992</v>
      </c>
      <c r="U146" s="3418" t="s">
        <v>3233</v>
      </c>
      <c r="V146" s="3389">
        <v>6</v>
      </c>
      <c r="W146" s="3419">
        <v>35000</v>
      </c>
      <c r="X146" s="3419"/>
      <c r="Y146" s="3419"/>
      <c r="Z146" s="3419"/>
      <c r="AA146" s="3419"/>
      <c r="AB146" s="3419"/>
      <c r="AC146" s="3419"/>
      <c r="AD146" s="3419"/>
      <c r="AE146" s="3419">
        <v>117000</v>
      </c>
      <c r="AF146" s="3419">
        <v>117000</v>
      </c>
      <c r="AG146" s="3419"/>
      <c r="AH146" s="3392">
        <f>SUM(W146:AG146)</f>
        <v>269000</v>
      </c>
      <c r="AI146" s="3419"/>
      <c r="AJ146" s="3419"/>
      <c r="AK146" s="3419"/>
      <c r="AL146" s="3391">
        <f>SUM(AH146:AK146)</f>
        <v>269000</v>
      </c>
      <c r="AM146" s="3395" t="s">
        <v>3228</v>
      </c>
    </row>
    <row r="147" spans="1:39" s="3404" customFormat="1" ht="28.5" customHeight="1">
      <c r="A147" s="3378" t="s">
        <v>3207</v>
      </c>
      <c r="B147" s="3378" t="s">
        <v>3436</v>
      </c>
      <c r="C147" s="3378" t="s">
        <v>3709</v>
      </c>
      <c r="D147" s="3379" t="str">
        <f>CONCATENATE(B147,"-",C147,"-",A147)</f>
        <v>SS-24-2015</v>
      </c>
      <c r="E147" s="3380" t="s">
        <v>402</v>
      </c>
      <c r="F147" s="3380"/>
      <c r="G147" s="3381">
        <v>42277</v>
      </c>
      <c r="H147" s="3382">
        <v>40.89</v>
      </c>
      <c r="I147" s="3382">
        <v>59.11</v>
      </c>
      <c r="J147" s="3412" t="s">
        <v>3550</v>
      </c>
      <c r="K147" s="3412" t="s">
        <v>3577</v>
      </c>
      <c r="L147" s="3382">
        <v>5</v>
      </c>
      <c r="M147" s="3383" t="s">
        <v>3710</v>
      </c>
      <c r="N147" s="3384" t="s">
        <v>3711</v>
      </c>
      <c r="O147" s="3385" t="s">
        <v>3226</v>
      </c>
      <c r="P147" s="3382" t="s">
        <v>3227</v>
      </c>
      <c r="Q147" s="3386" t="s">
        <v>3241</v>
      </c>
      <c r="R147" s="3382" t="s">
        <v>3449</v>
      </c>
      <c r="S147" s="3387" t="s">
        <v>3192</v>
      </c>
      <c r="T147" s="3387" t="s">
        <v>3192</v>
      </c>
      <c r="U147" s="3388" t="s">
        <v>3264</v>
      </c>
      <c r="V147" s="3389">
        <v>8</v>
      </c>
      <c r="W147" s="3390">
        <v>300000</v>
      </c>
      <c r="X147" s="3390">
        <v>300000</v>
      </c>
      <c r="Y147" s="3390">
        <v>300000</v>
      </c>
      <c r="Z147" s="3390">
        <v>300000</v>
      </c>
      <c r="AA147" s="3390">
        <v>300000</v>
      </c>
      <c r="AB147" s="3390">
        <v>300000</v>
      </c>
      <c r="AC147" s="3390">
        <v>300000</v>
      </c>
      <c r="AD147" s="3390">
        <v>300000</v>
      </c>
      <c r="AE147" s="3390">
        <v>300000</v>
      </c>
      <c r="AF147" s="3390">
        <v>300000</v>
      </c>
      <c r="AG147" s="3390">
        <v>300000</v>
      </c>
      <c r="AH147" s="3391">
        <f>SUM(W147:AG147)</f>
        <v>3300000</v>
      </c>
      <c r="AI147" s="3390">
        <v>300000</v>
      </c>
      <c r="AJ147" s="3390">
        <v>300000</v>
      </c>
      <c r="AK147" s="3390">
        <v>300000</v>
      </c>
      <c r="AL147" s="3420">
        <f>SUM(AH147:AK147)</f>
        <v>4200000</v>
      </c>
      <c r="AM147" s="3395" t="s">
        <v>3228</v>
      </c>
    </row>
    <row r="148" spans="1:39" ht="28.5" customHeight="1">
      <c r="A148" s="3378">
        <v>2011</v>
      </c>
      <c r="B148" s="3378" t="s">
        <v>3461</v>
      </c>
      <c r="C148" s="3378">
        <v>9</v>
      </c>
      <c r="D148" s="3379" t="str">
        <f t="shared" si="13"/>
        <v>SS-H-9-2011</v>
      </c>
      <c r="E148" s="3380" t="s">
        <v>402</v>
      </c>
      <c r="F148" s="3380"/>
      <c r="G148" s="3381">
        <v>40653</v>
      </c>
      <c r="H148" s="3382"/>
      <c r="I148" s="3382">
        <v>100</v>
      </c>
      <c r="J148" s="3382" t="s">
        <v>1939</v>
      </c>
      <c r="K148" s="3382" t="s">
        <v>3660</v>
      </c>
      <c r="L148" s="3382">
        <v>10</v>
      </c>
      <c r="M148" s="3383" t="s">
        <v>1882</v>
      </c>
      <c r="N148" s="3384" t="s">
        <v>3341</v>
      </c>
      <c r="O148" s="3385" t="s">
        <v>3342</v>
      </c>
      <c r="P148" s="3382" t="s">
        <v>3343</v>
      </c>
      <c r="Q148" s="3386">
        <v>102425</v>
      </c>
      <c r="R148" s="3382" t="s">
        <v>3712</v>
      </c>
      <c r="S148" s="3387" t="s">
        <v>3192</v>
      </c>
      <c r="T148" s="3387" t="s">
        <v>3192</v>
      </c>
      <c r="U148" s="3388" t="s">
        <v>3233</v>
      </c>
      <c r="V148" s="3389">
        <v>6</v>
      </c>
      <c r="W148" s="3390">
        <f>45000+55000</f>
        <v>100000</v>
      </c>
      <c r="X148" s="3390">
        <f t="shared" ref="X148:AF148" si="17">45000-45000</f>
        <v>0</v>
      </c>
      <c r="Y148" s="3390">
        <f t="shared" si="17"/>
        <v>0</v>
      </c>
      <c r="Z148" s="3390">
        <f t="shared" si="17"/>
        <v>0</v>
      </c>
      <c r="AA148" s="3390">
        <f t="shared" si="17"/>
        <v>0</v>
      </c>
      <c r="AB148" s="3390">
        <f t="shared" si="17"/>
        <v>0</v>
      </c>
      <c r="AC148" s="3390">
        <f t="shared" si="17"/>
        <v>0</v>
      </c>
      <c r="AD148" s="3390">
        <f t="shared" si="17"/>
        <v>0</v>
      </c>
      <c r="AE148" s="3390">
        <f t="shared" si="17"/>
        <v>0</v>
      </c>
      <c r="AF148" s="3390">
        <f t="shared" si="17"/>
        <v>0</v>
      </c>
      <c r="AG148" s="3390">
        <f>45000-45000</f>
        <v>0</v>
      </c>
      <c r="AH148" s="3391">
        <f t="shared" si="14"/>
        <v>100000</v>
      </c>
      <c r="AI148" s="3390">
        <f>45000-45000</f>
        <v>0</v>
      </c>
      <c r="AJ148" s="3390">
        <f>45000-45000</f>
        <v>0</v>
      </c>
      <c r="AK148" s="3390">
        <f>45000-45000</f>
        <v>0</v>
      </c>
      <c r="AL148" s="3391">
        <f t="shared" si="15"/>
        <v>100000</v>
      </c>
      <c r="AM148" s="3395" t="s">
        <v>3228</v>
      </c>
    </row>
    <row r="149" spans="1:39" ht="28.5" customHeight="1">
      <c r="A149" s="3408">
        <v>2011</v>
      </c>
      <c r="B149" s="3408" t="s">
        <v>3461</v>
      </c>
      <c r="C149" s="3408">
        <v>10</v>
      </c>
      <c r="D149" s="3409" t="str">
        <f t="shared" si="13"/>
        <v>SS-H-10-2011</v>
      </c>
      <c r="E149" s="3410" t="s">
        <v>402</v>
      </c>
      <c r="F149" s="3410"/>
      <c r="G149" s="3411">
        <v>40653</v>
      </c>
      <c r="H149" s="3412"/>
      <c r="I149" s="3412">
        <v>100</v>
      </c>
      <c r="J149" s="3412" t="s">
        <v>1939</v>
      </c>
      <c r="K149" s="3382" t="s">
        <v>3660</v>
      </c>
      <c r="L149" s="3412">
        <v>10</v>
      </c>
      <c r="M149" s="3413" t="s">
        <v>1883</v>
      </c>
      <c r="N149" s="3414" t="s">
        <v>3341</v>
      </c>
      <c r="O149" s="3415" t="s">
        <v>3342</v>
      </c>
      <c r="P149" s="3412" t="s">
        <v>3343</v>
      </c>
      <c r="Q149" s="3416">
        <v>102424</v>
      </c>
      <c r="R149" s="3382" t="s">
        <v>3712</v>
      </c>
      <c r="S149" s="3417" t="s">
        <v>3192</v>
      </c>
      <c r="T149" s="3417" t="s">
        <v>3192</v>
      </c>
      <c r="U149" s="3418" t="s">
        <v>3233</v>
      </c>
      <c r="V149" s="3389">
        <v>6</v>
      </c>
      <c r="W149" s="3390">
        <f>50000+50000</f>
        <v>100000</v>
      </c>
      <c r="X149" s="3390">
        <f t="shared" ref="X149:AF149" si="18">50000-50000</f>
        <v>0</v>
      </c>
      <c r="Y149" s="3390">
        <f t="shared" si="18"/>
        <v>0</v>
      </c>
      <c r="Z149" s="3390">
        <f t="shared" si="18"/>
        <v>0</v>
      </c>
      <c r="AA149" s="3390">
        <f t="shared" si="18"/>
        <v>0</v>
      </c>
      <c r="AB149" s="3390">
        <f t="shared" si="18"/>
        <v>0</v>
      </c>
      <c r="AC149" s="3390">
        <f t="shared" si="18"/>
        <v>0</v>
      </c>
      <c r="AD149" s="3390">
        <f t="shared" si="18"/>
        <v>0</v>
      </c>
      <c r="AE149" s="3390">
        <f t="shared" si="18"/>
        <v>0</v>
      </c>
      <c r="AF149" s="3390">
        <f t="shared" si="18"/>
        <v>0</v>
      </c>
      <c r="AG149" s="3390">
        <f>50000-50000</f>
        <v>0</v>
      </c>
      <c r="AH149" s="3391">
        <f t="shared" si="14"/>
        <v>100000</v>
      </c>
      <c r="AI149" s="3390">
        <f>50000-50000</f>
        <v>0</v>
      </c>
      <c r="AJ149" s="3390">
        <f>50000-50000</f>
        <v>0</v>
      </c>
      <c r="AK149" s="3390">
        <f>50000-50000</f>
        <v>0</v>
      </c>
      <c r="AL149" s="3391">
        <f t="shared" si="15"/>
        <v>100000</v>
      </c>
      <c r="AM149" s="3395" t="s">
        <v>3228</v>
      </c>
    </row>
    <row r="150" spans="1:39" s="3404" customFormat="1" ht="28.5" customHeight="1">
      <c r="A150" s="3378">
        <v>2011</v>
      </c>
      <c r="B150" s="3378" t="s">
        <v>3461</v>
      </c>
      <c r="C150" s="3378">
        <v>28</v>
      </c>
      <c r="D150" s="3379" t="str">
        <f t="shared" si="13"/>
        <v>SS-H-28-2011</v>
      </c>
      <c r="E150" s="3380"/>
      <c r="F150" s="3380"/>
      <c r="G150" s="3381">
        <v>40624</v>
      </c>
      <c r="H150" s="3382"/>
      <c r="I150" s="3382">
        <v>100</v>
      </c>
      <c r="J150" s="3382" t="s">
        <v>3575</v>
      </c>
      <c r="K150" s="3382" t="s">
        <v>3660</v>
      </c>
      <c r="L150" s="3382">
        <v>15</v>
      </c>
      <c r="M150" s="3383" t="s">
        <v>3713</v>
      </c>
      <c r="N150" s="3384" t="s">
        <v>3714</v>
      </c>
      <c r="O150" s="3385" t="s">
        <v>3437</v>
      </c>
      <c r="P150" s="3382" t="s">
        <v>3438</v>
      </c>
      <c r="Q150" s="3386">
        <v>102847</v>
      </c>
      <c r="R150" s="3382" t="s">
        <v>3453</v>
      </c>
      <c r="S150" s="3387">
        <v>38869</v>
      </c>
      <c r="T150" s="3387">
        <v>42583</v>
      </c>
      <c r="U150" s="3388" t="s">
        <v>3260</v>
      </c>
      <c r="V150" s="3389">
        <v>2</v>
      </c>
      <c r="W150" s="3390">
        <f>958000-718000</f>
        <v>240000</v>
      </c>
      <c r="X150" s="3390"/>
      <c r="Y150" s="3390"/>
      <c r="Z150" s="3390"/>
      <c r="AA150" s="3390"/>
      <c r="AB150" s="3390"/>
      <c r="AC150" s="3390"/>
      <c r="AD150" s="3390"/>
      <c r="AE150" s="3390"/>
      <c r="AF150" s="3390"/>
      <c r="AG150" s="3390"/>
      <c r="AH150" s="3391">
        <f t="shared" si="14"/>
        <v>240000</v>
      </c>
      <c r="AI150" s="3390"/>
      <c r="AJ150" s="3390"/>
      <c r="AK150" s="3390"/>
      <c r="AL150" s="3391">
        <f t="shared" si="15"/>
        <v>240000</v>
      </c>
      <c r="AM150" s="3395" t="s">
        <v>3228</v>
      </c>
    </row>
    <row r="151" spans="1:39" s="3404" customFormat="1" ht="27.75" customHeight="1">
      <c r="A151" s="3378">
        <v>2011</v>
      </c>
      <c r="B151" s="3378" t="s">
        <v>3461</v>
      </c>
      <c r="C151" s="3378">
        <v>52</v>
      </c>
      <c r="D151" s="3379" t="str">
        <f t="shared" si="13"/>
        <v>SS-H-52-2011</v>
      </c>
      <c r="E151" s="3380" t="s">
        <v>402</v>
      </c>
      <c r="F151" s="3380"/>
      <c r="G151" s="3381">
        <v>40653</v>
      </c>
      <c r="H151" s="3382">
        <v>60</v>
      </c>
      <c r="I151" s="3382">
        <v>40</v>
      </c>
      <c r="J151" s="3382" t="s">
        <v>3575</v>
      </c>
      <c r="K151" s="3382" t="s">
        <v>3715</v>
      </c>
      <c r="L151" s="3382">
        <v>15</v>
      </c>
      <c r="M151" s="3383" t="s">
        <v>1940</v>
      </c>
      <c r="N151" s="3384" t="s">
        <v>3716</v>
      </c>
      <c r="O151" s="3385" t="s">
        <v>3462</v>
      </c>
      <c r="P151" s="3378" t="s">
        <v>3463</v>
      </c>
      <c r="Q151" s="3386" t="s">
        <v>3462</v>
      </c>
      <c r="R151" s="3382" t="s">
        <v>3453</v>
      </c>
      <c r="S151" s="3387" t="s">
        <v>3192</v>
      </c>
      <c r="T151" s="3387" t="s">
        <v>3192</v>
      </c>
      <c r="U151" s="3388" t="s">
        <v>3278</v>
      </c>
      <c r="V151" s="3389">
        <v>4</v>
      </c>
      <c r="W151" s="3390">
        <f>475000+825000-200000+450000-300000</f>
        <v>1250000</v>
      </c>
      <c r="X151" s="3390">
        <f>725000+200000+175000+100000-275000</f>
        <v>925000</v>
      </c>
      <c r="Y151" s="3390">
        <f>515000-15000+700000-250000</f>
        <v>950000</v>
      </c>
      <c r="Z151" s="3390">
        <f t="shared" ref="Z151:AK151" si="19">515000-15000+700000</f>
        <v>1200000</v>
      </c>
      <c r="AA151" s="3390">
        <f t="shared" si="19"/>
        <v>1200000</v>
      </c>
      <c r="AB151" s="3390">
        <f t="shared" si="19"/>
        <v>1200000</v>
      </c>
      <c r="AC151" s="3390">
        <f t="shared" si="19"/>
        <v>1200000</v>
      </c>
      <c r="AD151" s="3390">
        <f t="shared" si="19"/>
        <v>1200000</v>
      </c>
      <c r="AE151" s="3390">
        <f t="shared" si="19"/>
        <v>1200000</v>
      </c>
      <c r="AF151" s="3390">
        <f t="shared" si="19"/>
        <v>1200000</v>
      </c>
      <c r="AG151" s="3390">
        <f t="shared" si="19"/>
        <v>1200000</v>
      </c>
      <c r="AH151" s="3391">
        <f t="shared" si="14"/>
        <v>12725000</v>
      </c>
      <c r="AI151" s="3390">
        <f t="shared" si="19"/>
        <v>1200000</v>
      </c>
      <c r="AJ151" s="3390">
        <f t="shared" si="19"/>
        <v>1200000</v>
      </c>
      <c r="AK151" s="3390">
        <f t="shared" si="19"/>
        <v>1200000</v>
      </c>
      <c r="AL151" s="3391">
        <f t="shared" si="15"/>
        <v>16325000</v>
      </c>
      <c r="AM151" s="3395" t="s">
        <v>3228</v>
      </c>
    </row>
    <row r="152" spans="1:39" s="3404" customFormat="1" ht="29.25" customHeight="1">
      <c r="A152" s="3408" t="s">
        <v>1079</v>
      </c>
      <c r="B152" s="3378" t="s">
        <v>3461</v>
      </c>
      <c r="C152" s="3408" t="s">
        <v>3299</v>
      </c>
      <c r="D152" s="3409" t="str">
        <f>CONCATENATE(B152,"-",C152,"-",A152)</f>
        <v>SS-H-57-2012</v>
      </c>
      <c r="E152" s="3410"/>
      <c r="F152" s="3410" t="s">
        <v>402</v>
      </c>
      <c r="G152" s="3411">
        <v>41157</v>
      </c>
      <c r="H152" s="3412"/>
      <c r="I152" s="3412">
        <v>100</v>
      </c>
      <c r="J152" s="3412" t="s">
        <v>3575</v>
      </c>
      <c r="K152" s="3412" t="s">
        <v>3660</v>
      </c>
      <c r="L152" s="3412">
        <v>40</v>
      </c>
      <c r="M152" s="3413" t="s">
        <v>3717</v>
      </c>
      <c r="N152" s="3414" t="s">
        <v>3718</v>
      </c>
      <c r="O152" s="3415" t="s">
        <v>3437</v>
      </c>
      <c r="P152" s="3408" t="s">
        <v>3438</v>
      </c>
      <c r="Q152" s="3416">
        <v>102851</v>
      </c>
      <c r="R152" s="3412" t="s">
        <v>3464</v>
      </c>
      <c r="S152" s="3417">
        <v>40922</v>
      </c>
      <c r="T152" s="3417">
        <v>42552</v>
      </c>
      <c r="U152" s="3418" t="s">
        <v>3233</v>
      </c>
      <c r="V152" s="3389">
        <v>6</v>
      </c>
      <c r="W152" s="3419">
        <v>1240000</v>
      </c>
      <c r="X152" s="3419"/>
      <c r="Y152" s="3419"/>
      <c r="Z152" s="3419"/>
      <c r="AA152" s="3419"/>
      <c r="AB152" s="3419"/>
      <c r="AC152" s="3419"/>
      <c r="AD152" s="3419"/>
      <c r="AE152" s="3419"/>
      <c r="AF152" s="3419"/>
      <c r="AG152" s="3419"/>
      <c r="AH152" s="3392">
        <f>SUM(W152:AG152)</f>
        <v>1240000</v>
      </c>
      <c r="AI152" s="3419"/>
      <c r="AJ152" s="3419"/>
      <c r="AK152" s="3419"/>
      <c r="AL152" s="3391">
        <f>SUM(AH152:AK152)</f>
        <v>1240000</v>
      </c>
      <c r="AM152" s="3395" t="s">
        <v>3228</v>
      </c>
    </row>
    <row r="153" spans="1:39" s="3404" customFormat="1" ht="29.25" customHeight="1">
      <c r="A153" s="3408" t="s">
        <v>3208</v>
      </c>
      <c r="B153" s="3408" t="s">
        <v>3436</v>
      </c>
      <c r="C153" s="3408" t="s">
        <v>3300</v>
      </c>
      <c r="D153" s="3409" t="str">
        <f>CONCATENATE(B153,"-",C153,"-",A153)</f>
        <v>SS-58-2016</v>
      </c>
      <c r="E153" s="3410" t="s">
        <v>402</v>
      </c>
      <c r="F153" s="3410"/>
      <c r="G153" s="3411">
        <v>42495</v>
      </c>
      <c r="H153" s="3382">
        <v>40.89</v>
      </c>
      <c r="I153" s="3382">
        <v>59.11</v>
      </c>
      <c r="J153" s="3412" t="s">
        <v>3550</v>
      </c>
      <c r="K153" s="3412" t="s">
        <v>3577</v>
      </c>
      <c r="L153" s="3412">
        <v>10</v>
      </c>
      <c r="M153" s="3413" t="s">
        <v>3719</v>
      </c>
      <c r="N153" s="3414" t="s">
        <v>3341</v>
      </c>
      <c r="O153" s="3415" t="s">
        <v>3342</v>
      </c>
      <c r="P153" s="3412" t="s">
        <v>3343</v>
      </c>
      <c r="Q153" s="3386" t="s">
        <v>3241</v>
      </c>
      <c r="R153" s="3382" t="s">
        <v>3712</v>
      </c>
      <c r="S153" s="3417" t="s">
        <v>3192</v>
      </c>
      <c r="T153" s="3417" t="s">
        <v>3192</v>
      </c>
      <c r="U153" s="3418" t="s">
        <v>3260</v>
      </c>
      <c r="V153" s="3421">
        <v>2</v>
      </c>
      <c r="W153" s="3419">
        <v>500000</v>
      </c>
      <c r="X153" s="3419">
        <v>750000</v>
      </c>
      <c r="Y153" s="3419">
        <v>750000</v>
      </c>
      <c r="Z153" s="3419">
        <v>500000</v>
      </c>
      <c r="AA153" s="3419">
        <v>500000</v>
      </c>
      <c r="AB153" s="3419">
        <v>500000</v>
      </c>
      <c r="AC153" s="3419">
        <v>500000</v>
      </c>
      <c r="AD153" s="3419">
        <v>500000</v>
      </c>
      <c r="AE153" s="3419">
        <v>500000</v>
      </c>
      <c r="AF153" s="3419">
        <v>500000</v>
      </c>
      <c r="AG153" s="3419">
        <v>500000</v>
      </c>
      <c r="AH153" s="3392">
        <f>SUM(W153:AG153)</f>
        <v>6000000</v>
      </c>
      <c r="AI153" s="3419">
        <v>500000</v>
      </c>
      <c r="AJ153" s="3419">
        <v>500000</v>
      </c>
      <c r="AK153" s="3419">
        <v>500000</v>
      </c>
      <c r="AL153" s="3391">
        <f>SUM(AH153:AK153)</f>
        <v>7500000</v>
      </c>
      <c r="AM153" s="3395" t="s">
        <v>3720</v>
      </c>
    </row>
    <row r="154" spans="1:39" ht="15" customHeight="1">
      <c r="A154" s="3408"/>
      <c r="B154" s="3408"/>
      <c r="C154" s="3408"/>
      <c r="D154" s="3409"/>
      <c r="E154" s="3410"/>
      <c r="F154" s="3410"/>
      <c r="G154" s="3411"/>
      <c r="H154" s="3412"/>
      <c r="I154" s="3412"/>
      <c r="J154" s="3412"/>
      <c r="K154" s="3412"/>
      <c r="L154" s="3412"/>
      <c r="M154" s="3413"/>
      <c r="N154" s="3414"/>
      <c r="O154" s="3415"/>
      <c r="P154" s="3412"/>
      <c r="Q154" s="3416"/>
      <c r="R154" s="3412"/>
      <c r="S154" s="3417"/>
      <c r="T154" s="3417"/>
      <c r="U154" s="3418"/>
      <c r="V154" s="3421"/>
      <c r="W154" s="3419"/>
      <c r="X154" s="3419"/>
      <c r="Y154" s="3419"/>
      <c r="Z154" s="3419"/>
      <c r="AA154" s="3419"/>
      <c r="AB154" s="3419"/>
      <c r="AC154" s="3419"/>
      <c r="AD154" s="3419"/>
      <c r="AE154" s="3419"/>
      <c r="AF154" s="3419"/>
      <c r="AG154" s="3419"/>
      <c r="AH154" s="3392"/>
      <c r="AI154" s="3419"/>
      <c r="AJ154" s="3419"/>
      <c r="AK154" s="3419"/>
      <c r="AL154" s="3391"/>
      <c r="AM154" s="3395"/>
    </row>
    <row r="155" spans="1:39" s="3432" customFormat="1" ht="15" thickBot="1">
      <c r="A155" s="3422"/>
      <c r="B155" s="3422"/>
      <c r="C155" s="3422"/>
      <c r="D155" s="3423"/>
      <c r="E155" s="3423"/>
      <c r="F155" s="3423"/>
      <c r="G155" s="3424"/>
      <c r="H155" s="3425"/>
      <c r="I155" s="3425"/>
      <c r="J155" s="3425"/>
      <c r="K155" s="3425"/>
      <c r="L155" s="3425"/>
      <c r="M155" s="3426"/>
      <c r="N155" s="3426"/>
      <c r="O155" s="3427"/>
      <c r="P155" s="3428"/>
      <c r="Q155" s="3427"/>
      <c r="R155" s="3428"/>
      <c r="S155" s="3425"/>
      <c r="T155" s="3429"/>
      <c r="U155" s="3430"/>
      <c r="V155" s="3430" t="s">
        <v>3465</v>
      </c>
      <c r="W155" s="3368">
        <f>SUM(W2:W154)</f>
        <v>134357114.22991037</v>
      </c>
      <c r="X155" s="3368">
        <f t="shared" ref="X155:AL155" si="20">SUM(X2:X154)</f>
        <v>164569707.94545472</v>
      </c>
      <c r="Y155" s="3368">
        <f t="shared" si="20"/>
        <v>103449852.03580429</v>
      </c>
      <c r="Z155" s="3368">
        <f t="shared" si="20"/>
        <v>82749105.30647099</v>
      </c>
      <c r="AA155" s="3368">
        <f t="shared" si="20"/>
        <v>53911453.373470999</v>
      </c>
      <c r="AB155" s="3368">
        <f t="shared" si="20"/>
        <v>52109921.106471002</v>
      </c>
      <c r="AC155" s="3368">
        <f t="shared" si="20"/>
        <v>56033976.831470996</v>
      </c>
      <c r="AD155" s="3368">
        <f t="shared" si="20"/>
        <v>56031905.518471003</v>
      </c>
      <c r="AE155" s="3368">
        <f t="shared" si="20"/>
        <v>50155848.897441402</v>
      </c>
      <c r="AF155" s="3368">
        <f t="shared" si="20"/>
        <v>74310745.726976275</v>
      </c>
      <c r="AG155" s="3368">
        <f t="shared" si="20"/>
        <v>45733849.400894403</v>
      </c>
      <c r="AH155" s="3368">
        <f t="shared" si="20"/>
        <v>873413480.37283635</v>
      </c>
      <c r="AI155" s="3368">
        <f t="shared" si="20"/>
        <v>45346195.350000001</v>
      </c>
      <c r="AJ155" s="3368">
        <f t="shared" si="20"/>
        <v>12338251</v>
      </c>
      <c r="AK155" s="3368">
        <f t="shared" si="20"/>
        <v>12318251</v>
      </c>
      <c r="AL155" s="3368">
        <f t="shared" si="20"/>
        <v>943416177.72283638</v>
      </c>
      <c r="AM155" s="3431"/>
    </row>
    <row r="156" spans="1:39" s="3432" customFormat="1" ht="15" thickTop="1">
      <c r="A156" s="3422"/>
      <c r="B156" s="3422"/>
      <c r="C156" s="3422"/>
      <c r="D156" s="3423"/>
      <c r="E156" s="3423"/>
      <c r="F156" s="3423"/>
      <c r="G156" s="3424"/>
      <c r="H156" s="3425"/>
      <c r="I156" s="3425"/>
      <c r="J156" s="3425"/>
      <c r="K156" s="3425"/>
      <c r="L156" s="3425"/>
      <c r="M156" s="3426"/>
      <c r="N156" s="3426"/>
      <c r="O156" s="3427"/>
      <c r="P156" s="3428"/>
      <c r="Q156" s="3427"/>
      <c r="R156" s="3428"/>
      <c r="S156" s="3425"/>
      <c r="T156" s="3429"/>
      <c r="U156" s="3425"/>
      <c r="V156" s="3433" t="s">
        <v>3466</v>
      </c>
      <c r="W156" s="3434">
        <f t="array" ref="W156">SUM(W2:W154*(($H$2:$H$154)/100))</f>
        <v>48241034.683699995</v>
      </c>
      <c r="X156" s="3434">
        <f t="array" ref="X156">SUM(X2:X154*(($H$2:$H$154)/100))</f>
        <v>61345929.779399998</v>
      </c>
      <c r="Y156" s="3434">
        <f t="array" ref="Y156">SUM(Y2:Y154*(($H$2:$H$154)/100))</f>
        <v>29319755.384899996</v>
      </c>
      <c r="Z156" s="3434">
        <f t="array" ref="Z156">SUM(Z2:Z154*(($H$2:$H$154)/100))</f>
        <v>34556933.524899997</v>
      </c>
      <c r="AA156" s="3434">
        <f t="array" ref="AA156">SUM(AA2:AA154*(($H$2:$H$154)/100))</f>
        <v>13327959.484900001</v>
      </c>
      <c r="AB156" s="3434">
        <f t="array" ref="AB156">SUM(AB2:AB154*(($H$2:$H$154)/100))</f>
        <v>11207364.1874</v>
      </c>
      <c r="AC156" s="3434">
        <f t="array" ref="AC156">SUM(AC2:AC154*(($H$2:$H$154)/100))</f>
        <v>13641778.939999999</v>
      </c>
      <c r="AD156" s="3434">
        <f t="array" ref="AD156">SUM(AD2:AD154*(($H$2:$H$154)/100))</f>
        <v>16863671.75</v>
      </c>
      <c r="AE156" s="3434">
        <f t="array" ref="AE156">SUM(AE2:AE154*(($H$2:$H$154)/100))</f>
        <v>12362465.693499999</v>
      </c>
      <c r="AF156" s="3434">
        <f t="array" ref="AF156">SUM(AF2:AF154*(($H$2:$H$154)/100))</f>
        <v>11021806.557500001</v>
      </c>
      <c r="AG156" s="3434">
        <f t="array" ref="AG156">SUM(AG2:AG154*(($H$2:$H$154)/100))</f>
        <v>12846308.9101</v>
      </c>
      <c r="AH156" s="3434">
        <f t="array" ref="AH156">SUM(AH2:AH154*(($H$2:$H$154)/100))</f>
        <v>264735008.89630002</v>
      </c>
      <c r="AI156" s="3434">
        <f t="array" ref="AI156">SUM(AI2:AI154*(($H$2:$H$154)/100))</f>
        <v>10844591.997500001</v>
      </c>
      <c r="AJ156" s="3434">
        <f t="array" ref="AJ156">SUM(AJ2:AJ154*(($H$2:$H$154)/100))</f>
        <v>10657739.137499999</v>
      </c>
      <c r="AK156" s="3434">
        <f t="array" ref="AK156">SUM(AK2:AK154*(($H$2:$H$154)/100))</f>
        <v>10653650.137499999</v>
      </c>
      <c r="AL156" s="3434">
        <f t="array" ref="AL156">SUM(AL2:AL154*(($H$2:$H$154)/100))</f>
        <v>296890990.16880006</v>
      </c>
      <c r="AM156" s="3431"/>
    </row>
    <row r="157" spans="1:39" s="3432" customFormat="1" ht="14.25">
      <c r="A157" s="3422"/>
      <c r="B157" s="3422"/>
      <c r="C157" s="3422"/>
      <c r="D157" s="3423"/>
      <c r="E157" s="3423"/>
      <c r="F157" s="3423"/>
      <c r="G157" s="3424"/>
      <c r="H157" s="3425"/>
      <c r="I157" s="3425"/>
      <c r="J157" s="3425"/>
      <c r="K157" s="3425"/>
      <c r="L157" s="3425"/>
      <c r="M157" s="3426"/>
      <c r="N157" s="3426"/>
      <c r="O157" s="3427"/>
      <c r="P157" s="3428"/>
      <c r="Q157" s="3427"/>
      <c r="R157" s="3428"/>
      <c r="S157" s="3425"/>
      <c r="T157" s="3429"/>
      <c r="U157" s="3425"/>
      <c r="V157" s="3433" t="s">
        <v>3467</v>
      </c>
      <c r="W157" s="3434">
        <f t="array" ref="W157">SUM(W2:W154*(($I$2:$I$154)/100))</f>
        <v>86116079.546210334</v>
      </c>
      <c r="X157" s="3434">
        <f t="array" ref="X157">SUM(X2:X154*(($I$2:$I$154)/100))</f>
        <v>103223778.1660547</v>
      </c>
      <c r="Y157" s="3434">
        <f t="array" ref="Y157">SUM(Y2:Y154*(($I$2:$I$154)/100))</f>
        <v>74130096.650904283</v>
      </c>
      <c r="Z157" s="3434">
        <f t="array" ref="Z157">SUM(Z2:Z154*(($I$2:$I$154)/100))</f>
        <v>48192171.781571008</v>
      </c>
      <c r="AA157" s="3434">
        <f t="array" ref="AA157">SUM(AA2:AA154*(($I$2:$I$154)/100))</f>
        <v>40583493.888571002</v>
      </c>
      <c r="AB157" s="3434">
        <f t="array" ref="AB157">SUM(AB2:AB154*(($I$2:$I$154)/100))</f>
        <v>40902556.919070996</v>
      </c>
      <c r="AC157" s="3434">
        <f t="array" ref="AC157">SUM(AC2:AC154*(($I$2:$I$154)/100))</f>
        <v>42392197.891470999</v>
      </c>
      <c r="AD157" s="3434">
        <f t="array" ref="AD157">SUM(AD2:AD154*(($I$2:$I$154)/100))</f>
        <v>39168233.768471003</v>
      </c>
      <c r="AE157" s="3434">
        <f t="array" ref="AE157">SUM(AE2:AE154*(($I$2:$I$154)/100))</f>
        <v>37793383.203941405</v>
      </c>
      <c r="AF157" s="3434">
        <f t="array" ref="AF157">SUM(AF2:AF154*(($I$2:$I$154)/100))</f>
        <v>63288939.169476286</v>
      </c>
      <c r="AG157" s="3434">
        <f t="array" ref="AG157">SUM(AG2:AG154*(($I$2:$I$154)/100))</f>
        <v>32887540.490794405</v>
      </c>
      <c r="AH157" s="3434">
        <f t="array" ref="AH157">SUM(AH2:AH154*(($I$2:$I$154)/100))</f>
        <v>608678471.47653639</v>
      </c>
      <c r="AI157" s="3434">
        <f t="array" ref="AI157">SUM(AI2:AI154*(($I$2:$I$154)/100))</f>
        <v>34501603.352500007</v>
      </c>
      <c r="AJ157" s="3434">
        <f t="array" ref="AJ157">SUM(AJ2:AJ154*(($I$2:$I$154)/100))</f>
        <v>1680511.8624999998</v>
      </c>
      <c r="AK157" s="3434">
        <f t="array" ref="AK157">SUM(AK2:AK154*(($I$2:$I$154)/100))</f>
        <v>1664600.8624999998</v>
      </c>
      <c r="AL157" s="3434">
        <f t="array" ref="AL157">SUM(AL2:AL154*(($I$2:$I$154)/100))</f>
        <v>646525187.55403638</v>
      </c>
      <c r="AM157" s="3431"/>
    </row>
    <row r="158" spans="1:39" ht="28.5" customHeight="1">
      <c r="Y158" s="3445"/>
      <c r="Z158" s="3446"/>
      <c r="AA158" s="3445"/>
      <c r="AB158" s="3445"/>
      <c r="AC158" s="3445"/>
      <c r="AD158" s="3445"/>
      <c r="AE158" s="3445"/>
      <c r="AF158" s="3445"/>
      <c r="AG158" s="3445"/>
      <c r="AH158" s="3445"/>
      <c r="AI158" s="3445"/>
      <c r="AJ158" s="3446"/>
      <c r="AK158" s="3445"/>
      <c r="AL158" s="3445"/>
      <c r="AM158" s="3445"/>
    </row>
    <row r="159" spans="1:39" ht="28.5" customHeight="1">
      <c r="A159" s="3454" t="s">
        <v>3497</v>
      </c>
      <c r="B159" s="3454" t="s">
        <v>4022</v>
      </c>
      <c r="C159" s="1"/>
      <c r="D159" s="1"/>
      <c r="E159" s="1"/>
      <c r="F159" s="3394"/>
      <c r="G159" s="3394"/>
      <c r="H159" s="3394"/>
      <c r="I159" s="3394"/>
      <c r="J159" s="3394"/>
      <c r="K159" s="3394"/>
      <c r="L159" s="3394"/>
      <c r="T159" s="3447"/>
      <c r="Y159" s="3445"/>
      <c r="Z159" s="3446"/>
      <c r="AA159" s="3445"/>
      <c r="AB159" s="3445"/>
      <c r="AC159" s="3445"/>
      <c r="AD159" s="3445"/>
      <c r="AE159" s="3445"/>
      <c r="AF159" s="3445"/>
      <c r="AG159" s="3445"/>
      <c r="AH159" s="3445"/>
      <c r="AI159" s="3445"/>
      <c r="AJ159" s="3446"/>
      <c r="AK159" s="3445"/>
      <c r="AL159" s="3445"/>
      <c r="AM159" s="3445"/>
    </row>
    <row r="160" spans="1:39" ht="28.5" customHeight="1">
      <c r="A160" s="3454" t="s">
        <v>3493</v>
      </c>
      <c r="B160" s="3454" t="s">
        <v>3941</v>
      </c>
      <c r="C160" s="1"/>
      <c r="D160" s="1"/>
      <c r="E160" s="1"/>
      <c r="F160" s="3394"/>
      <c r="G160" s="3394"/>
      <c r="H160" s="3394"/>
      <c r="I160" s="3394"/>
      <c r="J160" s="3394"/>
      <c r="K160" s="3394"/>
      <c r="L160" s="3394"/>
      <c r="Y160" s="3445"/>
      <c r="Z160" s="3446"/>
      <c r="AA160" s="3445"/>
      <c r="AB160" s="3445"/>
      <c r="AC160" s="3445"/>
      <c r="AD160" s="3445"/>
      <c r="AE160" s="3445"/>
      <c r="AF160" s="3445"/>
      <c r="AG160" s="3445"/>
      <c r="AH160" s="3445"/>
      <c r="AI160" s="3445"/>
      <c r="AJ160" s="3446"/>
      <c r="AK160" s="3445"/>
      <c r="AL160" s="3445"/>
      <c r="AM160" s="3445"/>
    </row>
    <row r="161" spans="1:39" ht="28.5" customHeight="1">
      <c r="A161" s="3394"/>
      <c r="B161" s="3394"/>
      <c r="C161" s="3394"/>
      <c r="D161" s="3394"/>
      <c r="E161" s="3394"/>
      <c r="F161" s="3394"/>
      <c r="G161" s="3394"/>
      <c r="H161" s="3394"/>
      <c r="I161" s="3394"/>
      <c r="J161" s="3394"/>
      <c r="K161" s="3394"/>
      <c r="L161" s="3394"/>
      <c r="Y161" s="3445"/>
      <c r="Z161" s="3446"/>
      <c r="AA161" s="3445"/>
      <c r="AB161" s="3445"/>
      <c r="AC161" s="3445"/>
      <c r="AD161" s="3445"/>
      <c r="AE161" s="3445"/>
      <c r="AF161" s="3445"/>
      <c r="AG161" s="3445"/>
      <c r="AH161" s="3445"/>
      <c r="AI161" s="3445"/>
      <c r="AJ161" s="3446"/>
      <c r="AK161" s="3445"/>
      <c r="AL161" s="3445"/>
      <c r="AM161" s="3445"/>
    </row>
    <row r="162" spans="1:39" ht="28.5" customHeight="1">
      <c r="A162" s="3394"/>
      <c r="B162" s="3394"/>
      <c r="C162" s="3394"/>
      <c r="D162" s="3394"/>
      <c r="E162" s="3394"/>
      <c r="F162" s="3394"/>
      <c r="G162" s="3394"/>
      <c r="H162" s="3394"/>
      <c r="I162" s="3394"/>
      <c r="J162" s="3394"/>
      <c r="K162" s="3394"/>
      <c r="L162" s="3394"/>
      <c r="M162" s="3394"/>
      <c r="N162" s="3394"/>
      <c r="O162" s="3394"/>
      <c r="Q162" s="3394"/>
    </row>
    <row r="163" spans="1:39" ht="28.5" customHeight="1">
      <c r="A163" s="3394"/>
      <c r="B163" s="3394"/>
      <c r="C163" s="3394"/>
      <c r="D163" s="3394"/>
      <c r="E163" s="3394"/>
      <c r="F163" s="3394"/>
      <c r="G163" s="3394"/>
      <c r="H163" s="3394"/>
      <c r="I163" s="3394"/>
      <c r="J163" s="3394"/>
      <c r="K163" s="3394"/>
      <c r="L163" s="3394"/>
      <c r="M163" s="3394"/>
      <c r="N163" s="3394"/>
      <c r="O163" s="3394"/>
      <c r="Q163" s="3394"/>
    </row>
    <row r="164" spans="1:39" ht="28.5" customHeight="1">
      <c r="A164" s="3394"/>
      <c r="B164" s="3394"/>
      <c r="C164" s="3394"/>
      <c r="D164" s="3394"/>
      <c r="E164" s="3394"/>
      <c r="F164" s="3394"/>
      <c r="G164" s="3394"/>
      <c r="H164" s="3394"/>
      <c r="I164" s="3394"/>
      <c r="J164" s="3394"/>
      <c r="K164" s="3394"/>
      <c r="L164" s="3394"/>
      <c r="M164" s="3394"/>
      <c r="N164" s="3394"/>
      <c r="O164" s="3394"/>
      <c r="Q164" s="3394"/>
    </row>
    <row r="165" spans="1:39" ht="28.5" customHeight="1">
      <c r="A165" s="3394"/>
      <c r="B165" s="3394"/>
      <c r="C165" s="3394"/>
      <c r="D165" s="3394"/>
      <c r="E165" s="3394"/>
      <c r="F165" s="3394"/>
      <c r="G165" s="3394"/>
      <c r="H165" s="3394"/>
      <c r="I165" s="3394"/>
      <c r="J165" s="3394"/>
      <c r="K165" s="3394"/>
      <c r="L165" s="3394"/>
      <c r="M165" s="3394"/>
      <c r="N165" s="3394"/>
      <c r="O165" s="3394"/>
      <c r="Q165" s="3394"/>
    </row>
    <row r="166" spans="1:39" ht="28.5" customHeight="1">
      <c r="A166" s="3394"/>
      <c r="B166" s="3394"/>
      <c r="C166" s="3394"/>
      <c r="D166" s="3394"/>
      <c r="E166" s="3394"/>
      <c r="F166" s="3394"/>
      <c r="G166" s="3394"/>
      <c r="H166" s="3394"/>
      <c r="I166" s="3394"/>
      <c r="J166" s="3394"/>
      <c r="K166" s="3394"/>
      <c r="L166" s="3394"/>
      <c r="M166" s="3394"/>
      <c r="N166" s="3394"/>
      <c r="O166" s="3394"/>
      <c r="Q166" s="3394"/>
      <c r="S166" s="3394"/>
      <c r="T166" s="3394"/>
      <c r="U166" s="3394"/>
      <c r="V166" s="3394"/>
    </row>
    <row r="167" spans="1:39" ht="28.5" customHeight="1">
      <c r="A167" s="3394"/>
      <c r="B167" s="3394"/>
      <c r="C167" s="3394"/>
      <c r="D167" s="3394"/>
      <c r="E167" s="3394"/>
      <c r="F167" s="3394"/>
      <c r="G167" s="3394"/>
      <c r="H167" s="3394"/>
      <c r="I167" s="3394"/>
      <c r="J167" s="3394"/>
      <c r="K167" s="3394"/>
      <c r="L167" s="3394"/>
      <c r="M167" s="3394"/>
      <c r="N167" s="3394"/>
      <c r="O167" s="3394"/>
      <c r="Q167" s="3394"/>
      <c r="S167" s="3394"/>
      <c r="T167" s="3394"/>
      <c r="U167" s="3394"/>
      <c r="V167" s="3394"/>
      <c r="Y167" s="3452"/>
      <c r="Z167" s="3453"/>
      <c r="AA167" s="3452"/>
      <c r="AB167" s="3452"/>
      <c r="AC167" s="3452"/>
      <c r="AD167" s="3452"/>
      <c r="AE167" s="3452"/>
      <c r="AF167" s="3452"/>
      <c r="AG167" s="3452"/>
      <c r="AH167" s="3452"/>
      <c r="AI167" s="3452"/>
      <c r="AJ167" s="3453"/>
      <c r="AK167" s="3452"/>
      <c r="AL167" s="3452"/>
      <c r="AM167" s="3452"/>
    </row>
    <row r="168" spans="1:39" ht="28.5" customHeight="1">
      <c r="A168" s="3394"/>
      <c r="B168" s="3394"/>
      <c r="C168" s="3394"/>
      <c r="D168" s="3394"/>
      <c r="E168" s="3394"/>
      <c r="F168" s="3394"/>
      <c r="G168" s="3394"/>
      <c r="H168" s="3394"/>
      <c r="I168" s="3394"/>
      <c r="J168" s="3394"/>
      <c r="K168" s="3394"/>
      <c r="L168" s="3394"/>
      <c r="M168" s="3394"/>
      <c r="N168" s="3394"/>
      <c r="O168" s="3394"/>
      <c r="Q168" s="3394"/>
      <c r="S168" s="3394"/>
      <c r="T168" s="3394"/>
      <c r="U168" s="3394"/>
      <c r="V168" s="3394"/>
      <c r="Y168" s="3445"/>
      <c r="Z168" s="3446"/>
      <c r="AA168" s="3445"/>
      <c r="AB168" s="3445"/>
      <c r="AC168" s="3445"/>
      <c r="AD168" s="3445"/>
      <c r="AE168" s="3445"/>
      <c r="AF168" s="3445"/>
      <c r="AG168" s="3445"/>
      <c r="AH168" s="3445"/>
      <c r="AI168" s="3445"/>
      <c r="AJ168" s="3446"/>
      <c r="AK168" s="3445"/>
      <c r="AL168" s="3445"/>
      <c r="AM168" s="3445"/>
    </row>
  </sheetData>
  <pageMargins left="0.25" right="0.26" top="0.5" bottom="0.5" header="0.25" footer="0"/>
  <pageSetup paperSize="5" scale="46" fitToHeight="6" pageOrder="overThenDown" orientation="landscape" r:id="rId1"/>
  <headerFooter>
    <oddHeader xml:space="preserve">&amp;L&amp;"Times New Roman,Bold"Capital Plan (Directs and Materials Only-No Labor included)&amp;"Times New Roman,Regular"
&amp;C&amp;"Times New Roman,Bold"(In Thousands)&amp;RAs of 8/4/2016
</oddHeader>
    <oddFooter>&amp;R&amp;10&amp;P</oddFooter>
  </headerFooter>
  <tableParts count="1">
    <tablePart r:id="rId2"/>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154"/>
  <sheetViews>
    <sheetView zoomScale="85" zoomScaleNormal="85" workbookViewId="0">
      <pane xSplit="2" ySplit="5" topLeftCell="C30" activePane="bottomRight" state="frozen"/>
      <selection activeCell="D11" sqref="D11"/>
      <selection pane="topRight" activeCell="D11" sqref="D11"/>
      <selection pane="bottomLeft" activeCell="D11" sqref="D11"/>
      <selection pane="bottomRight" activeCell="A58" sqref="A58"/>
    </sheetView>
  </sheetViews>
  <sheetFormatPr defaultRowHeight="15.75"/>
  <cols>
    <col min="1" max="1" width="35.125" customWidth="1"/>
    <col min="2" max="2" width="12.5" bestFit="1" customWidth="1"/>
    <col min="3" max="3" width="19.5" customWidth="1"/>
    <col min="4" max="4" width="18.625" customWidth="1"/>
    <col min="5" max="7" width="17.625" bestFit="1" customWidth="1"/>
    <col min="8" max="8" width="17.25" bestFit="1" customWidth="1"/>
    <col min="9" max="9" width="17.625" bestFit="1" customWidth="1"/>
    <col min="10" max="10" width="17.25" bestFit="1" customWidth="1"/>
    <col min="11" max="11" width="17.625" bestFit="1" customWidth="1"/>
    <col min="12" max="13" width="15.375" customWidth="1"/>
    <col min="14" max="14" width="17.5" bestFit="1" customWidth="1"/>
    <col min="15" max="15" width="17.75" bestFit="1" customWidth="1"/>
    <col min="16" max="16" width="18.125" customWidth="1"/>
    <col min="17" max="17" width="16.75" bestFit="1" customWidth="1"/>
    <col min="18" max="18" width="17.125" bestFit="1" customWidth="1"/>
    <col min="19" max="19" width="16.75" bestFit="1" customWidth="1"/>
    <col min="20" max="20" width="16.375" bestFit="1" customWidth="1"/>
    <col min="21" max="21" width="16.75" bestFit="1" customWidth="1"/>
    <col min="22" max="22" width="16.375" bestFit="1" customWidth="1"/>
    <col min="23" max="23" width="17.875" customWidth="1"/>
    <col min="24" max="26" width="16.75" bestFit="1" customWidth="1"/>
    <col min="27" max="27" width="16.375" bestFit="1" customWidth="1"/>
    <col min="28" max="31" width="16.75" bestFit="1" customWidth="1"/>
    <col min="32" max="32" width="17.125" bestFit="1" customWidth="1"/>
    <col min="33" max="33" width="16.75" bestFit="1" customWidth="1"/>
    <col min="34" max="34" width="17.125" bestFit="1" customWidth="1"/>
    <col min="35" max="35" width="18.25" customWidth="1"/>
  </cols>
  <sheetData>
    <row r="1" spans="1:35">
      <c r="A1" s="3142" t="s">
        <v>2181</v>
      </c>
      <c r="B1" s="3142" t="s">
        <v>2787</v>
      </c>
    </row>
    <row r="2" spans="1:35">
      <c r="A2" s="3142" t="s">
        <v>3490</v>
      </c>
      <c r="B2" s="3142" t="s">
        <v>3498</v>
      </c>
    </row>
    <row r="5" spans="1:35">
      <c r="A5" s="427"/>
      <c r="B5" s="427"/>
      <c r="C5" s="2159">
        <v>2013</v>
      </c>
      <c r="D5" s="2159">
        <v>2014</v>
      </c>
      <c r="E5" s="2159">
        <v>2015</v>
      </c>
      <c r="F5" s="2159">
        <v>2016</v>
      </c>
      <c r="G5" s="2159">
        <v>2017</v>
      </c>
      <c r="H5" s="2159">
        <v>2018</v>
      </c>
      <c r="I5" s="2159">
        <v>2019</v>
      </c>
      <c r="J5" s="2159">
        <v>2020</v>
      </c>
      <c r="K5" s="2159">
        <v>2021</v>
      </c>
      <c r="L5" s="2159">
        <v>2022</v>
      </c>
      <c r="M5" s="2159">
        <v>2023</v>
      </c>
      <c r="N5" s="2159">
        <v>2024</v>
      </c>
      <c r="O5" s="2159">
        <v>2025</v>
      </c>
      <c r="P5" s="2159">
        <v>2026</v>
      </c>
      <c r="Q5" s="2159">
        <v>2027</v>
      </c>
      <c r="R5" s="2159">
        <v>2028</v>
      </c>
      <c r="S5" s="2159">
        <v>2029</v>
      </c>
      <c r="T5" s="2159">
        <v>2030</v>
      </c>
      <c r="U5" s="2159">
        <v>2031</v>
      </c>
      <c r="V5" s="2159">
        <v>2032</v>
      </c>
      <c r="W5" s="2159">
        <v>2033</v>
      </c>
      <c r="X5" s="2159">
        <v>2034</v>
      </c>
      <c r="Y5" s="2159">
        <v>2035</v>
      </c>
      <c r="Z5" s="2159">
        <v>2036</v>
      </c>
      <c r="AA5" s="2159">
        <v>2037</v>
      </c>
      <c r="AB5" s="2159">
        <v>2038</v>
      </c>
      <c r="AC5" s="2159">
        <v>2039</v>
      </c>
      <c r="AD5" s="2159">
        <v>2040</v>
      </c>
      <c r="AE5" s="2159">
        <v>2041</v>
      </c>
      <c r="AF5" s="2159">
        <v>2042</v>
      </c>
      <c r="AG5" s="2159">
        <v>2043</v>
      </c>
      <c r="AH5" s="2159">
        <v>2044</v>
      </c>
      <c r="AI5" s="2159">
        <v>2045</v>
      </c>
    </row>
    <row r="6" spans="1:35">
      <c r="A6" s="1647" t="s">
        <v>1986</v>
      </c>
      <c r="B6" s="1647"/>
    </row>
    <row r="7" spans="1:35">
      <c r="A7" t="s">
        <v>2603</v>
      </c>
      <c r="D7" s="424">
        <f>C10</f>
        <v>534790060.37</v>
      </c>
      <c r="E7" s="424">
        <f>D10</f>
        <v>557905957.84147286</v>
      </c>
      <c r="F7" s="424">
        <f t="shared" ref="F7:AI7" si="0">E10</f>
        <v>594415302.02981937</v>
      </c>
      <c r="G7" s="424">
        <f t="shared" si="0"/>
        <v>628818758.90823519</v>
      </c>
      <c r="H7" s="424">
        <f t="shared" si="0"/>
        <v>654424115.93572533</v>
      </c>
      <c r="I7" s="424">
        <f t="shared" si="0"/>
        <v>663797786.81055653</v>
      </c>
      <c r="J7" s="424">
        <f t="shared" si="0"/>
        <v>671701313.48568892</v>
      </c>
      <c r="K7" s="424">
        <f t="shared" si="0"/>
        <v>670741500.54598022</v>
      </c>
      <c r="L7" s="424">
        <f t="shared" si="0"/>
        <v>668022522.09073114</v>
      </c>
      <c r="M7" s="424">
        <f t="shared" si="0"/>
        <v>665658339.63932872</v>
      </c>
      <c r="N7" s="424">
        <f t="shared" si="0"/>
        <v>662911745.68942463</v>
      </c>
      <c r="O7" s="424">
        <f t="shared" si="0"/>
        <v>660021803.15826201</v>
      </c>
      <c r="P7" s="424">
        <f t="shared" si="0"/>
        <v>656554987.6354053</v>
      </c>
      <c r="Q7" s="424">
        <f t="shared" si="0"/>
        <v>681784919.8211453</v>
      </c>
      <c r="R7" s="424">
        <f t="shared" si="0"/>
        <v>706178895.51060677</v>
      </c>
      <c r="S7" s="424">
        <f t="shared" si="0"/>
        <v>729685200.43284929</v>
      </c>
      <c r="T7" s="424">
        <f t="shared" si="0"/>
        <v>752251634.31184661</v>
      </c>
      <c r="U7" s="424">
        <f t="shared" si="0"/>
        <v>773825453.66941166</v>
      </c>
      <c r="V7" s="424">
        <f t="shared" si="0"/>
        <v>794353314.61688757</v>
      </c>
      <c r="W7" s="424">
        <f t="shared" si="0"/>
        <v>813781215.56707823</v>
      </c>
      <c r="X7" s="424">
        <f t="shared" si="0"/>
        <v>832054439.79856753</v>
      </c>
      <c r="Y7" s="424">
        <f t="shared" si="0"/>
        <v>849117497.80515671</v>
      </c>
      <c r="Z7" s="424">
        <f t="shared" si="0"/>
        <v>853860668.60746968</v>
      </c>
      <c r="AA7" s="424">
        <f t="shared" si="0"/>
        <v>857501211.75636971</v>
      </c>
      <c r="AB7" s="424">
        <f t="shared" si="0"/>
        <v>859987602.38033998</v>
      </c>
      <c r="AC7" s="424">
        <f t="shared" si="0"/>
        <v>861267507.70339489</v>
      </c>
      <c r="AD7" s="424">
        <f t="shared" si="0"/>
        <v>861287733.29427862</v>
      </c>
      <c r="AE7" s="424">
        <f t="shared" si="0"/>
        <v>859994168.88368702</v>
      </c>
      <c r="AF7" s="424">
        <f t="shared" si="0"/>
        <v>857331733.68932998</v>
      </c>
      <c r="AG7" s="424">
        <f t="shared" si="0"/>
        <v>853244321.18873906</v>
      </c>
      <c r="AH7" s="424">
        <f t="shared" si="0"/>
        <v>847674743.2797296</v>
      </c>
      <c r="AI7" s="424">
        <f t="shared" si="0"/>
        <v>840564673.76837146</v>
      </c>
    </row>
    <row r="8" spans="1:35">
      <c r="A8" t="s">
        <v>2604</v>
      </c>
      <c r="C8" s="1920">
        <v>-29611859</v>
      </c>
      <c r="D8" s="339">
        <f>-D75</f>
        <v>-17391815.762020402</v>
      </c>
      <c r="E8" s="339">
        <f t="shared" ref="E8:AI8" si="1">-E75</f>
        <v>-19350595.868413649</v>
      </c>
      <c r="F8" s="339">
        <f t="shared" si="1"/>
        <v>-22086630.543372188</v>
      </c>
      <c r="G8" s="339">
        <f t="shared" si="1"/>
        <v>-24878806.207501359</v>
      </c>
      <c r="H8" s="339">
        <f t="shared" si="1"/>
        <v>-27183946.038932953</v>
      </c>
      <c r="I8" s="339">
        <f t="shared" si="1"/>
        <v>-28879050.292303029</v>
      </c>
      <c r="J8" s="339">
        <f t="shared" si="1"/>
        <v>-30584436.298377804</v>
      </c>
      <c r="K8" s="339">
        <f t="shared" si="1"/>
        <v>-31159899.843315888</v>
      </c>
      <c r="L8" s="339">
        <f t="shared" si="1"/>
        <v>-31257433.277947444</v>
      </c>
      <c r="M8" s="339">
        <f t="shared" si="1"/>
        <v>-32232231.95084548</v>
      </c>
      <c r="N8" s="339">
        <f t="shared" si="1"/>
        <v>-33331747.244832311</v>
      </c>
      <c r="O8" s="339">
        <f t="shared" si="1"/>
        <v>-34440959.627527408</v>
      </c>
      <c r="P8" s="339">
        <f t="shared" si="1"/>
        <v>-35593304.09389209</v>
      </c>
      <c r="Q8" s="339">
        <f t="shared" si="1"/>
        <v>-38253957.678559609</v>
      </c>
      <c r="R8" s="339">
        <f t="shared" si="1"/>
        <v>-41021066.446819134</v>
      </c>
      <c r="S8" s="339">
        <f t="shared" si="1"/>
        <v>-43896758.63113635</v>
      </c>
      <c r="T8" s="339">
        <f t="shared" si="1"/>
        <v>-46883268.927872598</v>
      </c>
      <c r="U8" s="339">
        <f t="shared" si="1"/>
        <v>-49982939.986524865</v>
      </c>
      <c r="V8" s="339">
        <f t="shared" si="1"/>
        <v>-53198224.011830069</v>
      </c>
      <c r="W8" s="339">
        <f t="shared" si="1"/>
        <v>-56531684.479392074</v>
      </c>
      <c r="X8" s="339">
        <f t="shared" si="1"/>
        <v>-59985997.96561867</v>
      </c>
      <c r="Y8" s="339">
        <f t="shared" si="1"/>
        <v>-63563956.09288428</v>
      </c>
      <c r="Z8" s="339">
        <f t="shared" si="1"/>
        <v>-66715797.553153165</v>
      </c>
      <c r="AA8" s="339">
        <f t="shared" si="1"/>
        <v>-69980640.299144477</v>
      </c>
      <c r="AB8" s="339">
        <f t="shared" si="1"/>
        <v>-73361136.527753323</v>
      </c>
      <c r="AC8" s="339">
        <f t="shared" si="1"/>
        <v>-76860047.515448719</v>
      </c>
      <c r="AD8" s="339">
        <f t="shared" si="1"/>
        <v>-80480245.710114121</v>
      </c>
      <c r="AE8" s="339">
        <f t="shared" si="1"/>
        <v>-84224716.932865083</v>
      </c>
      <c r="AF8" s="339">
        <f t="shared" si="1"/>
        <v>-88096562.691254318</v>
      </c>
      <c r="AG8" s="339">
        <f t="shared" si="1"/>
        <v>-92099002.605392769</v>
      </c>
      <c r="AH8" s="339">
        <f t="shared" si="1"/>
        <v>-96235376.948633</v>
      </c>
      <c r="AI8" s="339">
        <f t="shared" si="1"/>
        <v>-100509149.30458097</v>
      </c>
    </row>
    <row r="9" spans="1:35">
      <c r="A9" t="s">
        <v>2605</v>
      </c>
      <c r="D9" s="424">
        <f>D23</f>
        <v>40507713.233493328</v>
      </c>
      <c r="E9" s="424">
        <f>E23</f>
        <v>55859940.056760222</v>
      </c>
      <c r="F9" s="424">
        <f>F23</f>
        <v>56490087.421787985</v>
      </c>
      <c r="G9" s="424">
        <f>G23</f>
        <v>50484163.234991513</v>
      </c>
      <c r="H9" s="424">
        <f>H23</f>
        <v>36557616.913764171</v>
      </c>
      <c r="I9" s="424">
        <f t="shared" ref="I9:AI9" si="2">I23</f>
        <v>36782576.967435479</v>
      </c>
      <c r="J9" s="424">
        <f t="shared" si="2"/>
        <v>29624623.358669013</v>
      </c>
      <c r="K9" s="424">
        <f t="shared" si="2"/>
        <v>28440921.388066828</v>
      </c>
      <c r="L9" s="424">
        <f t="shared" si="2"/>
        <v>28893250.826545011</v>
      </c>
      <c r="M9" s="424">
        <f t="shared" si="2"/>
        <v>29485638.000941362</v>
      </c>
      <c r="N9" s="424">
        <f t="shared" si="2"/>
        <v>30441804.713669606</v>
      </c>
      <c r="O9" s="424">
        <f t="shared" si="2"/>
        <v>30974144.104670689</v>
      </c>
      <c r="P9" s="424">
        <f t="shared" si="2"/>
        <v>60823236.279632151</v>
      </c>
      <c r="Q9" s="424">
        <f t="shared" si="2"/>
        <v>62647933.368021116</v>
      </c>
      <c r="R9" s="424">
        <f t="shared" si="2"/>
        <v>64527371.369061753</v>
      </c>
      <c r="S9" s="424">
        <f t="shared" si="2"/>
        <v>66463192.510133609</v>
      </c>
      <c r="T9" s="424">
        <f t="shared" si="2"/>
        <v>68457088.285437614</v>
      </c>
      <c r="U9" s="424">
        <f t="shared" si="2"/>
        <v>70510800.934000745</v>
      </c>
      <c r="V9" s="424">
        <f t="shared" si="2"/>
        <v>72626124.96202077</v>
      </c>
      <c r="W9" s="424">
        <f t="shared" si="2"/>
        <v>74804908.710881397</v>
      </c>
      <c r="X9" s="424">
        <f t="shared" si="2"/>
        <v>77049055.972207844</v>
      </c>
      <c r="Y9" s="424">
        <f t="shared" si="2"/>
        <v>68307126.895197272</v>
      </c>
      <c r="Z9" s="424">
        <f t="shared" si="2"/>
        <v>70356340.702053189</v>
      </c>
      <c r="AA9" s="424">
        <f t="shared" si="2"/>
        <v>72467030.923114792</v>
      </c>
      <c r="AB9" s="424">
        <f t="shared" si="2"/>
        <v>74641041.850808233</v>
      </c>
      <c r="AC9" s="424">
        <f t="shared" si="2"/>
        <v>76880273.106332481</v>
      </c>
      <c r="AD9" s="424">
        <f t="shared" si="2"/>
        <v>79186681.29952246</v>
      </c>
      <c r="AE9" s="424">
        <f t="shared" si="2"/>
        <v>81562281.738508135</v>
      </c>
      <c r="AF9" s="424">
        <f t="shared" si="2"/>
        <v>84009150.190663397</v>
      </c>
      <c r="AG9" s="424">
        <f t="shared" si="2"/>
        <v>86529424.696383297</v>
      </c>
      <c r="AH9" s="424">
        <f t="shared" si="2"/>
        <v>89125307.437274784</v>
      </c>
      <c r="AI9" s="424">
        <f t="shared" si="2"/>
        <v>91799066.660393029</v>
      </c>
    </row>
    <row r="10" spans="1:35">
      <c r="A10" s="1461" t="s">
        <v>2606</v>
      </c>
      <c r="B10" s="1461"/>
      <c r="C10" s="2270">
        <v>534790060.37</v>
      </c>
      <c r="D10" s="1460">
        <f>SUM(D7:D9)</f>
        <v>557905957.84147286</v>
      </c>
      <c r="E10" s="1460">
        <f t="shared" ref="E10:AI10" si="3">SUM(E7:E9)</f>
        <v>594415302.02981937</v>
      </c>
      <c r="F10" s="1460">
        <f t="shared" si="3"/>
        <v>628818758.90823519</v>
      </c>
      <c r="G10" s="1460">
        <f t="shared" si="3"/>
        <v>654424115.93572533</v>
      </c>
      <c r="H10" s="1460">
        <f t="shared" si="3"/>
        <v>663797786.81055653</v>
      </c>
      <c r="I10" s="1460">
        <f t="shared" si="3"/>
        <v>671701313.48568892</v>
      </c>
      <c r="J10" s="1460">
        <f t="shared" si="3"/>
        <v>670741500.54598022</v>
      </c>
      <c r="K10" s="1460">
        <f t="shared" si="3"/>
        <v>668022522.09073114</v>
      </c>
      <c r="L10" s="1460">
        <f t="shared" si="3"/>
        <v>665658339.63932872</v>
      </c>
      <c r="M10" s="1460">
        <f t="shared" si="3"/>
        <v>662911745.68942463</v>
      </c>
      <c r="N10" s="1460">
        <f t="shared" si="3"/>
        <v>660021803.15826201</v>
      </c>
      <c r="O10" s="1460">
        <f t="shared" si="3"/>
        <v>656554987.6354053</v>
      </c>
      <c r="P10" s="1460">
        <f t="shared" si="3"/>
        <v>681784919.8211453</v>
      </c>
      <c r="Q10" s="1460">
        <f t="shared" si="3"/>
        <v>706178895.51060677</v>
      </c>
      <c r="R10" s="1460">
        <f t="shared" si="3"/>
        <v>729685200.43284929</v>
      </c>
      <c r="S10" s="1460">
        <f t="shared" si="3"/>
        <v>752251634.31184661</v>
      </c>
      <c r="T10" s="1460">
        <f t="shared" si="3"/>
        <v>773825453.66941166</v>
      </c>
      <c r="U10" s="1460">
        <f t="shared" si="3"/>
        <v>794353314.61688757</v>
      </c>
      <c r="V10" s="1460">
        <f t="shared" si="3"/>
        <v>813781215.56707823</v>
      </c>
      <c r="W10" s="1460">
        <f t="shared" si="3"/>
        <v>832054439.79856753</v>
      </c>
      <c r="X10" s="1460">
        <f t="shared" si="3"/>
        <v>849117497.80515671</v>
      </c>
      <c r="Y10" s="1460">
        <f t="shared" si="3"/>
        <v>853860668.60746968</v>
      </c>
      <c r="Z10" s="1460">
        <f t="shared" si="3"/>
        <v>857501211.75636971</v>
      </c>
      <c r="AA10" s="1460">
        <f t="shared" si="3"/>
        <v>859987602.38033998</v>
      </c>
      <c r="AB10" s="1460">
        <f t="shared" si="3"/>
        <v>861267507.70339489</v>
      </c>
      <c r="AC10" s="1460">
        <f t="shared" si="3"/>
        <v>861287733.29427862</v>
      </c>
      <c r="AD10" s="1460">
        <f t="shared" si="3"/>
        <v>859994168.88368702</v>
      </c>
      <c r="AE10" s="1460">
        <f t="shared" si="3"/>
        <v>857331733.68932998</v>
      </c>
      <c r="AF10" s="1460">
        <f t="shared" si="3"/>
        <v>853244321.18873906</v>
      </c>
      <c r="AG10" s="1460">
        <f t="shared" si="3"/>
        <v>847674743.2797296</v>
      </c>
      <c r="AH10" s="1460">
        <f t="shared" si="3"/>
        <v>840564673.76837146</v>
      </c>
      <c r="AI10" s="1460">
        <f t="shared" si="3"/>
        <v>831854591.12418354</v>
      </c>
    </row>
    <row r="12" spans="1:35">
      <c r="A12" s="1647" t="s">
        <v>2607</v>
      </c>
      <c r="B12" s="1647"/>
    </row>
    <row r="13" spans="1:35">
      <c r="A13" t="s">
        <v>2603</v>
      </c>
      <c r="D13" s="424">
        <f>C16</f>
        <v>1154570958.9000001</v>
      </c>
      <c r="E13" s="424">
        <f>D16</f>
        <v>1253242697.7498426</v>
      </c>
      <c r="F13" s="424">
        <f t="shared" ref="F13:AI13" si="4">E16</f>
        <v>1292072403.5137403</v>
      </c>
      <c r="G13" s="424">
        <f t="shared" si="4"/>
        <v>1357354982.9123921</v>
      </c>
      <c r="H13" s="424">
        <f t="shared" si="4"/>
        <v>1417923706.0203483</v>
      </c>
      <c r="I13" s="424">
        <f t="shared" si="4"/>
        <v>1441881623.8779311</v>
      </c>
      <c r="J13" s="424">
        <f t="shared" si="4"/>
        <v>1462474031.0692866</v>
      </c>
      <c r="K13" s="424">
        <f t="shared" si="4"/>
        <v>1484479740.6192513</v>
      </c>
      <c r="L13" s="424">
        <f t="shared" si="4"/>
        <v>1515789970.517988</v>
      </c>
      <c r="M13" s="424">
        <f t="shared" si="4"/>
        <v>1545774809.4921975</v>
      </c>
      <c r="N13" s="424">
        <f t="shared" si="4"/>
        <v>1574469079.7451375</v>
      </c>
      <c r="O13" s="424">
        <f t="shared" si="4"/>
        <v>1637777537.6582298</v>
      </c>
      <c r="P13" s="424">
        <f t="shared" si="4"/>
        <v>1682914656.8876433</v>
      </c>
      <c r="Q13" s="424">
        <f t="shared" si="4"/>
        <v>1680983780.9263668</v>
      </c>
      <c r="R13" s="424">
        <f t="shared" si="4"/>
        <v>1680289663.3770139</v>
      </c>
      <c r="S13" s="424">
        <f t="shared" si="4"/>
        <v>1680811902.8143933</v>
      </c>
      <c r="T13" s="424">
        <f t="shared" si="4"/>
        <v>1682531785.937659</v>
      </c>
      <c r="U13" s="424">
        <f t="shared" si="4"/>
        <v>1685432246.2073584</v>
      </c>
      <c r="V13" s="424">
        <f t="shared" si="4"/>
        <v>1689497824.9218557</v>
      </c>
      <c r="W13" s="424">
        <f t="shared" si="4"/>
        <v>1694714634.6591077</v>
      </c>
      <c r="X13" s="424">
        <f t="shared" si="4"/>
        <v>1701070325.0134254</v>
      </c>
      <c r="Y13" s="424">
        <f t="shared" si="4"/>
        <v>1708554050.5604038</v>
      </c>
      <c r="Z13" s="424">
        <f t="shared" si="4"/>
        <v>1717156440.9866228</v>
      </c>
      <c r="AA13" s="424">
        <f t="shared" si="4"/>
        <v>1726869573.3240271</v>
      </c>
      <c r="AB13" s="424">
        <f t="shared" si="4"/>
        <v>1737686946.2320974</v>
      </c>
      <c r="AC13" s="424">
        <f t="shared" si="4"/>
        <v>1749603456.274013</v>
      </c>
      <c r="AD13" s="424">
        <f t="shared" si="4"/>
        <v>1799205670.0522933</v>
      </c>
      <c r="AE13" s="424">
        <f t="shared" si="4"/>
        <v>1850266825.5137446</v>
      </c>
      <c r="AF13" s="424">
        <f t="shared" si="4"/>
        <v>1902796866.8730173</v>
      </c>
      <c r="AG13" s="424">
        <f t="shared" si="4"/>
        <v>1956807389.6326346</v>
      </c>
      <c r="AH13" s="424">
        <f t="shared" si="4"/>
        <v>2012311636.0031724</v>
      </c>
      <c r="AI13" s="424">
        <f t="shared" si="4"/>
        <v>2069324492.350781</v>
      </c>
    </row>
    <row r="14" spans="1:35">
      <c r="A14" t="s">
        <v>2604</v>
      </c>
      <c r="C14" s="1920">
        <v>-20861604</v>
      </c>
      <c r="D14" s="339">
        <f>-D80</f>
        <v>-33140592.827979602</v>
      </c>
      <c r="E14" s="339">
        <f t="shared" ref="E14:AI14" si="5">-E80</f>
        <v>-35633043.146817461</v>
      </c>
      <c r="F14" s="339">
        <f t="shared" si="5"/>
        <v>-36999320.802911229</v>
      </c>
      <c r="G14" s="339">
        <f t="shared" si="5"/>
        <v>-38975163.593902722</v>
      </c>
      <c r="H14" s="339">
        <f t="shared" si="5"/>
        <v>-40493089.508257881</v>
      </c>
      <c r="I14" s="339">
        <f t="shared" si="5"/>
        <v>-41495455.117892832</v>
      </c>
      <c r="J14" s="339">
        <f t="shared" si="5"/>
        <v>-42448471.766374797</v>
      </c>
      <c r="K14" s="339">
        <f t="shared" si="5"/>
        <v>-41782072.165696956</v>
      </c>
      <c r="L14" s="339">
        <f t="shared" si="5"/>
        <v>-40384396.431757405</v>
      </c>
      <c r="M14" s="339">
        <f t="shared" si="5"/>
        <v>-40777380.878305964</v>
      </c>
      <c r="N14" s="339">
        <f t="shared" si="5"/>
        <v>-41357721.376991116</v>
      </c>
      <c r="O14" s="339">
        <f t="shared" si="5"/>
        <v>-42559673.16298116</v>
      </c>
      <c r="P14" s="339">
        <f t="shared" si="5"/>
        <v>-43457892.083009906</v>
      </c>
      <c r="Q14" s="339">
        <f t="shared" si="5"/>
        <v>-43466944.154738188</v>
      </c>
      <c r="R14" s="339">
        <f t="shared" si="5"/>
        <v>-43533771.966167763</v>
      </c>
      <c r="S14" s="339">
        <f t="shared" si="5"/>
        <v>-43657808.622387692</v>
      </c>
      <c r="T14" s="339">
        <f t="shared" si="5"/>
        <v>-43838562.228323802</v>
      </c>
      <c r="U14" s="339">
        <f t="shared" si="5"/>
        <v>-44075614.458466366</v>
      </c>
      <c r="V14" s="339">
        <f t="shared" si="5"/>
        <v>-44368619.230900474</v>
      </c>
      <c r="W14" s="339">
        <f t="shared" si="5"/>
        <v>-44717301.482879356</v>
      </c>
      <c r="X14" s="339">
        <f t="shared" si="5"/>
        <v>-45121456.045334503</v>
      </c>
      <c r="Y14" s="339">
        <f t="shared" si="5"/>
        <v>-45580946.61386352</v>
      </c>
      <c r="Z14" s="339">
        <f t="shared" si="5"/>
        <v>-46095704.813880615</v>
      </c>
      <c r="AA14" s="339">
        <f t="shared" si="5"/>
        <v>-46665729.357753143</v>
      </c>
      <c r="AB14" s="339">
        <f t="shared" si="5"/>
        <v>-47291085.29188256</v>
      </c>
      <c r="AC14" s="339">
        <f t="shared" si="5"/>
        <v>-47971903.331818961</v>
      </c>
      <c r="AD14" s="339">
        <f t="shared" si="5"/>
        <v>-49440185.161950961</v>
      </c>
      <c r="AE14" s="339">
        <f t="shared" si="5"/>
        <v>-50986339.482831821</v>
      </c>
      <c r="AF14" s="339">
        <f t="shared" si="5"/>
        <v>-52611349.507750221</v>
      </c>
      <c r="AG14" s="339">
        <f t="shared" si="5"/>
        <v>-54316282.064850822</v>
      </c>
      <c r="AH14" s="339">
        <f t="shared" si="5"/>
        <v>-56102287.94084172</v>
      </c>
      <c r="AI14" s="339">
        <f t="shared" si="5"/>
        <v>-57970602.321602516</v>
      </c>
    </row>
    <row r="15" spans="1:35">
      <c r="A15" t="s">
        <v>2605</v>
      </c>
      <c r="D15" s="424">
        <f>D30</f>
        <v>131812331.67782202</v>
      </c>
      <c r="E15" s="424">
        <f>E30</f>
        <v>74462748.910715029</v>
      </c>
      <c r="F15" s="424">
        <f>F30</f>
        <v>102281900.20156313</v>
      </c>
      <c r="G15" s="424">
        <f>G30</f>
        <v>99543886.701859042</v>
      </c>
      <c r="H15" s="424">
        <f>H30</f>
        <v>64451007.365840778</v>
      </c>
      <c r="I15" s="424">
        <f t="shared" ref="I15:AI15" si="6">I30</f>
        <v>62087862.309248246</v>
      </c>
      <c r="J15" s="424">
        <f t="shared" si="6"/>
        <v>64454181.316339605</v>
      </c>
      <c r="K15" s="424">
        <f t="shared" si="6"/>
        <v>73092302.06443359</v>
      </c>
      <c r="L15" s="424">
        <f t="shared" si="6"/>
        <v>70369235.405966908</v>
      </c>
      <c r="M15" s="424">
        <f t="shared" si="6"/>
        <v>69471651.131245911</v>
      </c>
      <c r="N15" s="424">
        <f t="shared" si="6"/>
        <v>104666179.29008329</v>
      </c>
      <c r="O15" s="424">
        <f t="shared" si="6"/>
        <v>87696792.392394811</v>
      </c>
      <c r="P15" s="424">
        <f>P30</f>
        <v>41527016.121733375</v>
      </c>
      <c r="Q15" s="424">
        <f t="shared" si="6"/>
        <v>42772826.605385378</v>
      </c>
      <c r="R15" s="424">
        <f t="shared" si="6"/>
        <v>44056011.403546937</v>
      </c>
      <c r="S15" s="424">
        <f t="shared" si="6"/>
        <v>45377691.745653346</v>
      </c>
      <c r="T15" s="424">
        <f t="shared" si="6"/>
        <v>46739022.498022951</v>
      </c>
      <c r="U15" s="424">
        <f t="shared" si="6"/>
        <v>48141193.172963642</v>
      </c>
      <c r="V15" s="424">
        <f t="shared" si="6"/>
        <v>49585428.968152553</v>
      </c>
      <c r="W15" s="424">
        <f t="shared" si="6"/>
        <v>51072991.837197132</v>
      </c>
      <c r="X15" s="424">
        <f t="shared" si="6"/>
        <v>52605181.592313051</v>
      </c>
      <c r="Y15" s="424">
        <f t="shared" si="6"/>
        <v>54183337.040082447</v>
      </c>
      <c r="Z15" s="424">
        <f t="shared" si="6"/>
        <v>55808837.151284926</v>
      </c>
      <c r="AA15" s="424">
        <f t="shared" si="6"/>
        <v>57483102.265823476</v>
      </c>
      <c r="AB15" s="424">
        <f t="shared" si="6"/>
        <v>59207595.333798185</v>
      </c>
      <c r="AC15" s="424">
        <f t="shared" si="6"/>
        <v>97574117.110099405</v>
      </c>
      <c r="AD15" s="424">
        <f t="shared" si="6"/>
        <v>100501340.62340239</v>
      </c>
      <c r="AE15" s="424">
        <f t="shared" si="6"/>
        <v>103516380.84210446</v>
      </c>
      <c r="AF15" s="424">
        <f t="shared" si="6"/>
        <v>106621872.2673676</v>
      </c>
      <c r="AG15" s="424">
        <f t="shared" si="6"/>
        <v>109820528.43538862</v>
      </c>
      <c r="AH15" s="424">
        <f t="shared" si="6"/>
        <v>113115144.28845027</v>
      </c>
      <c r="AI15" s="424">
        <f t="shared" si="6"/>
        <v>116508598.61710379</v>
      </c>
    </row>
    <row r="16" spans="1:35">
      <c r="A16" s="1461" t="s">
        <v>2606</v>
      </c>
      <c r="B16" s="1461"/>
      <c r="C16" s="2270">
        <v>1154570958.9000001</v>
      </c>
      <c r="D16" s="1460">
        <f>SUM(D13:D15)</f>
        <v>1253242697.7498426</v>
      </c>
      <c r="E16" s="1460">
        <f t="shared" ref="E16:AI16" si="7">SUM(E13:E15)</f>
        <v>1292072403.5137403</v>
      </c>
      <c r="F16" s="1460">
        <f t="shared" si="7"/>
        <v>1357354982.9123921</v>
      </c>
      <c r="G16" s="1460">
        <f t="shared" si="7"/>
        <v>1417923706.0203483</v>
      </c>
      <c r="H16" s="1460">
        <f t="shared" si="7"/>
        <v>1441881623.8779311</v>
      </c>
      <c r="I16" s="1460">
        <f t="shared" si="7"/>
        <v>1462474031.0692866</v>
      </c>
      <c r="J16" s="1460">
        <f t="shared" si="7"/>
        <v>1484479740.6192513</v>
      </c>
      <c r="K16" s="1460">
        <f t="shared" si="7"/>
        <v>1515789970.517988</v>
      </c>
      <c r="L16" s="1460">
        <f t="shared" si="7"/>
        <v>1545774809.4921975</v>
      </c>
      <c r="M16" s="1460">
        <f t="shared" si="7"/>
        <v>1574469079.7451375</v>
      </c>
      <c r="N16" s="1460">
        <f t="shared" si="7"/>
        <v>1637777537.6582298</v>
      </c>
      <c r="O16" s="1460">
        <f t="shared" si="7"/>
        <v>1682914656.8876433</v>
      </c>
      <c r="P16" s="1460">
        <f t="shared" si="7"/>
        <v>1680983780.9263668</v>
      </c>
      <c r="Q16" s="1460">
        <f t="shared" si="7"/>
        <v>1680289663.3770139</v>
      </c>
      <c r="R16" s="1460">
        <f t="shared" si="7"/>
        <v>1680811902.8143933</v>
      </c>
      <c r="S16" s="1460">
        <f t="shared" si="7"/>
        <v>1682531785.937659</v>
      </c>
      <c r="T16" s="1460">
        <f t="shared" si="7"/>
        <v>1685432246.2073584</v>
      </c>
      <c r="U16" s="1460">
        <f t="shared" si="7"/>
        <v>1689497824.9218557</v>
      </c>
      <c r="V16" s="1460">
        <f t="shared" si="7"/>
        <v>1694714634.6591077</v>
      </c>
      <c r="W16" s="1460">
        <f t="shared" si="7"/>
        <v>1701070325.0134254</v>
      </c>
      <c r="X16" s="1460">
        <f t="shared" si="7"/>
        <v>1708554050.5604038</v>
      </c>
      <c r="Y16" s="1460">
        <f t="shared" si="7"/>
        <v>1717156440.9866228</v>
      </c>
      <c r="Z16" s="1460">
        <f t="shared" si="7"/>
        <v>1726869573.3240271</v>
      </c>
      <c r="AA16" s="1460">
        <f t="shared" si="7"/>
        <v>1737686946.2320974</v>
      </c>
      <c r="AB16" s="1460">
        <f t="shared" si="7"/>
        <v>1749603456.274013</v>
      </c>
      <c r="AC16" s="1460">
        <f t="shared" si="7"/>
        <v>1799205670.0522933</v>
      </c>
      <c r="AD16" s="1460">
        <f t="shared" si="7"/>
        <v>1850266825.5137446</v>
      </c>
      <c r="AE16" s="1460">
        <f t="shared" si="7"/>
        <v>1902796866.8730173</v>
      </c>
      <c r="AF16" s="1460">
        <f t="shared" si="7"/>
        <v>1956807389.6326346</v>
      </c>
      <c r="AG16" s="1460">
        <f t="shared" si="7"/>
        <v>2012311636.0031724</v>
      </c>
      <c r="AH16" s="1460">
        <f t="shared" si="7"/>
        <v>2069324492.350781</v>
      </c>
      <c r="AI16" s="1460">
        <f t="shared" si="7"/>
        <v>2127862488.6462822</v>
      </c>
    </row>
    <row r="18" spans="1:35">
      <c r="D18" s="424">
        <f>+D20+D26+D29</f>
        <v>145961877</v>
      </c>
      <c r="E18" s="424"/>
      <c r="F18" s="424"/>
      <c r="G18" s="424"/>
      <c r="H18" s="424"/>
      <c r="I18" s="424"/>
      <c r="J18" s="424"/>
      <c r="K18" s="424"/>
      <c r="L18" s="424"/>
      <c r="M18" s="424"/>
      <c r="N18" s="424"/>
      <c r="O18" s="424"/>
      <c r="P18" s="424"/>
      <c r="Q18" s="424"/>
      <c r="R18" s="424"/>
      <c r="S18" s="424"/>
      <c r="T18" s="424"/>
      <c r="U18" s="424"/>
      <c r="V18" s="424"/>
      <c r="W18" s="424"/>
      <c r="X18" s="424"/>
      <c r="Y18" s="424"/>
      <c r="Z18" s="424"/>
      <c r="AA18" s="424"/>
      <c r="AB18" s="424"/>
      <c r="AC18" s="424"/>
      <c r="AD18" s="424"/>
      <c r="AE18" s="424"/>
      <c r="AF18" s="424"/>
      <c r="AG18" s="424"/>
      <c r="AH18" s="424"/>
      <c r="AI18" s="424"/>
    </row>
    <row r="19" spans="1:35">
      <c r="A19" s="1647" t="s">
        <v>2608</v>
      </c>
      <c r="B19" s="1647"/>
    </row>
    <row r="20" spans="1:35">
      <c r="A20" t="s">
        <v>2609</v>
      </c>
      <c r="B20" t="s">
        <v>2610</v>
      </c>
      <c r="D20" s="1741">
        <f>+O58</f>
        <v>30000000</v>
      </c>
      <c r="E20" s="588">
        <f>E42*(1+E33)</f>
        <v>43879011.31212455</v>
      </c>
      <c r="F20" s="588">
        <f t="shared" ref="F20:O20" si="8">F42*(1+F33)</f>
        <v>44149730.814813241</v>
      </c>
      <c r="G20" s="588">
        <f t="shared" si="8"/>
        <v>37773595.929807529</v>
      </c>
      <c r="H20" s="588">
        <f t="shared" si="8"/>
        <v>23465732.589424666</v>
      </c>
      <c r="I20" s="588">
        <f t="shared" si="8"/>
        <v>23297936.113365788</v>
      </c>
      <c r="J20" s="588">
        <f t="shared" si="8"/>
        <v>15735443.278977232</v>
      </c>
      <c r="K20" s="588">
        <f t="shared" si="8"/>
        <v>14135065.90598429</v>
      </c>
      <c r="L20" s="588">
        <f t="shared" si="8"/>
        <v>14158219.68</v>
      </c>
      <c r="M20" s="588">
        <f t="shared" si="8"/>
        <v>14308555.92</v>
      </c>
      <c r="N20" s="588">
        <f t="shared" si="8"/>
        <v>14809410.170300001</v>
      </c>
      <c r="O20" s="588">
        <f t="shared" si="8"/>
        <v>14872777.725</v>
      </c>
      <c r="P20" s="588"/>
      <c r="Q20" s="588"/>
      <c r="R20" s="588"/>
      <c r="S20" s="588"/>
      <c r="T20" s="588"/>
      <c r="U20" s="588"/>
      <c r="V20" s="588"/>
      <c r="W20" s="588"/>
      <c r="X20" s="588"/>
      <c r="Y20" s="588"/>
      <c r="Z20" s="588"/>
      <c r="AA20" s="588"/>
      <c r="AB20" s="588"/>
      <c r="AC20" s="588"/>
      <c r="AD20" s="588"/>
      <c r="AE20" s="588"/>
      <c r="AF20" s="588"/>
      <c r="AG20" s="588"/>
      <c r="AH20" s="588"/>
      <c r="AI20" s="588"/>
    </row>
    <row r="21" spans="1:35">
      <c r="A21" t="s">
        <v>2611</v>
      </c>
      <c r="C21" s="20"/>
      <c r="D21" s="1750">
        <v>11519331.683493327</v>
      </c>
      <c r="E21" s="1750">
        <v>11980928.744635673</v>
      </c>
      <c r="F21" s="1750">
        <v>12340356.606974743</v>
      </c>
      <c r="G21" s="1750">
        <v>12710567.305183984</v>
      </c>
      <c r="H21" s="1750">
        <v>13091884.324339505</v>
      </c>
      <c r="I21" s="1750">
        <v>13484640.854069691</v>
      </c>
      <c r="J21" s="1750">
        <v>13889180.079691783</v>
      </c>
      <c r="K21" s="1750">
        <v>14305855.482082536</v>
      </c>
      <c r="L21" s="1750">
        <v>14735031.146545012</v>
      </c>
      <c r="M21" s="1750">
        <v>15177082.080941362</v>
      </c>
      <c r="N21" s="1750">
        <v>15632394.543369602</v>
      </c>
      <c r="O21" s="1750">
        <v>16101366.379670691</v>
      </c>
      <c r="P21" s="2162"/>
      <c r="Q21" s="2162"/>
      <c r="R21" s="2162"/>
      <c r="S21" s="2162"/>
      <c r="T21" s="2162"/>
      <c r="U21" s="2162"/>
      <c r="V21" s="2162"/>
      <c r="W21" s="2162"/>
      <c r="X21" s="2162"/>
      <c r="Y21" s="2162"/>
      <c r="Z21" s="2162"/>
      <c r="AA21" s="2162"/>
      <c r="AB21" s="2162"/>
      <c r="AC21" s="2162"/>
      <c r="AD21" s="2162"/>
      <c r="AE21" s="2162"/>
      <c r="AF21" s="2162"/>
      <c r="AG21" s="2162"/>
      <c r="AH21" s="2162"/>
      <c r="AI21" s="2162"/>
    </row>
    <row r="22" spans="1:35">
      <c r="A22" t="s">
        <v>2807</v>
      </c>
      <c r="C22" s="427"/>
      <c r="D22" s="2260">
        <f>(+E61*0.3)*0.5</f>
        <v>-1011618.45</v>
      </c>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1709"/>
      <c r="AA22" s="1709"/>
      <c r="AB22" s="1709"/>
      <c r="AC22" s="1709"/>
      <c r="AD22" s="1709"/>
      <c r="AE22" s="1709"/>
      <c r="AF22" s="1709"/>
      <c r="AG22" s="1709"/>
      <c r="AH22" s="1709"/>
      <c r="AI22" s="1709"/>
    </row>
    <row r="23" spans="1:35">
      <c r="A23" s="1461" t="s">
        <v>2612</v>
      </c>
      <c r="B23" s="1461"/>
      <c r="C23" s="2189">
        <v>67069487</v>
      </c>
      <c r="D23" s="1710">
        <f>SUM(D20:D22)</f>
        <v>40507713.233493328</v>
      </c>
      <c r="E23" s="1710">
        <f t="shared" ref="E23:O23" si="9">SUM(E20:E22)</f>
        <v>55859940.056760222</v>
      </c>
      <c r="F23" s="1710">
        <f t="shared" si="9"/>
        <v>56490087.421787985</v>
      </c>
      <c r="G23" s="1710">
        <f t="shared" si="9"/>
        <v>50484163.234991513</v>
      </c>
      <c r="H23" s="1710">
        <f t="shared" si="9"/>
        <v>36557616.913764171</v>
      </c>
      <c r="I23" s="1710">
        <f t="shared" si="9"/>
        <v>36782576.967435479</v>
      </c>
      <c r="J23" s="1710">
        <f t="shared" si="9"/>
        <v>29624623.358669013</v>
      </c>
      <c r="K23" s="1710">
        <f t="shared" si="9"/>
        <v>28440921.388066828</v>
      </c>
      <c r="L23" s="1710">
        <f t="shared" si="9"/>
        <v>28893250.826545011</v>
      </c>
      <c r="M23" s="1710">
        <f t="shared" si="9"/>
        <v>29485638.000941362</v>
      </c>
      <c r="N23" s="1710">
        <f t="shared" si="9"/>
        <v>30441804.713669606</v>
      </c>
      <c r="O23" s="1710">
        <f t="shared" si="9"/>
        <v>30974144.104670689</v>
      </c>
      <c r="P23" s="1740">
        <f>P138+P142</f>
        <v>60823236.279632151</v>
      </c>
      <c r="Q23" s="1740">
        <f t="shared" ref="Q23:AI23" si="10">Q138+Q142</f>
        <v>62647933.368021116</v>
      </c>
      <c r="R23" s="1740">
        <f t="shared" si="10"/>
        <v>64527371.369061753</v>
      </c>
      <c r="S23" s="1740">
        <f t="shared" si="10"/>
        <v>66463192.510133609</v>
      </c>
      <c r="T23" s="1740">
        <f t="shared" si="10"/>
        <v>68457088.285437614</v>
      </c>
      <c r="U23" s="1740">
        <f t="shared" si="10"/>
        <v>70510800.934000745</v>
      </c>
      <c r="V23" s="1740">
        <f t="shared" si="10"/>
        <v>72626124.96202077</v>
      </c>
      <c r="W23" s="1740">
        <f t="shared" si="10"/>
        <v>74804908.710881397</v>
      </c>
      <c r="X23" s="1740">
        <f t="shared" si="10"/>
        <v>77049055.972207844</v>
      </c>
      <c r="Y23" s="1740">
        <f t="shared" si="10"/>
        <v>68307126.895197272</v>
      </c>
      <c r="Z23" s="1740">
        <f t="shared" si="10"/>
        <v>70356340.702053189</v>
      </c>
      <c r="AA23" s="1740">
        <f t="shared" si="10"/>
        <v>72467030.923114792</v>
      </c>
      <c r="AB23" s="1740">
        <f t="shared" si="10"/>
        <v>74641041.850808233</v>
      </c>
      <c r="AC23" s="1740">
        <f t="shared" si="10"/>
        <v>76880273.106332481</v>
      </c>
      <c r="AD23" s="1740">
        <f t="shared" si="10"/>
        <v>79186681.29952246</v>
      </c>
      <c r="AE23" s="1740">
        <f t="shared" si="10"/>
        <v>81562281.738508135</v>
      </c>
      <c r="AF23" s="1740">
        <f t="shared" si="10"/>
        <v>84009150.190663397</v>
      </c>
      <c r="AG23" s="1740">
        <f t="shared" si="10"/>
        <v>86529424.696383297</v>
      </c>
      <c r="AH23" s="1740">
        <f t="shared" si="10"/>
        <v>89125307.437274784</v>
      </c>
      <c r="AI23" s="1740">
        <f t="shared" si="10"/>
        <v>91799066.660393029</v>
      </c>
    </row>
    <row r="24" spans="1:35">
      <c r="C24" s="20"/>
    </row>
    <row r="25" spans="1:35">
      <c r="A25" s="1647" t="s">
        <v>2613</v>
      </c>
      <c r="B25" s="1647"/>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4"/>
    </row>
    <row r="26" spans="1:35">
      <c r="A26" t="s">
        <v>2609</v>
      </c>
      <c r="B26" t="s">
        <v>2610</v>
      </c>
      <c r="D26" s="1741">
        <f>+Q57</f>
        <v>75961877</v>
      </c>
      <c r="E26" s="588">
        <f>E38*(1+E33)</f>
        <v>55522112.939139515</v>
      </c>
      <c r="F26" s="588">
        <f t="shared" ref="F26:O26" si="11">F38*(1+F33)</f>
        <v>82773045.150840357</v>
      </c>
      <c r="G26" s="588">
        <f t="shared" si="11"/>
        <v>79449765.999614581</v>
      </c>
      <c r="H26" s="588">
        <f t="shared" si="11"/>
        <v>43754063.042528979</v>
      </c>
      <c r="I26" s="588">
        <f t="shared" si="11"/>
        <v>40770009.656237096</v>
      </c>
      <c r="J26" s="588">
        <f t="shared" si="11"/>
        <v>42496793.083738126</v>
      </c>
      <c r="K26" s="588">
        <f t="shared" si="11"/>
        <v>50476192.18485406</v>
      </c>
      <c r="L26" s="588">
        <f t="shared" si="11"/>
        <v>47074642.229999997</v>
      </c>
      <c r="M26" s="588">
        <f t="shared" si="11"/>
        <v>45478220.159999996</v>
      </c>
      <c r="N26" s="588">
        <f t="shared" si="11"/>
        <v>79952945.389699996</v>
      </c>
      <c r="O26" s="588">
        <f t="shared" si="11"/>
        <v>62242161.475000001</v>
      </c>
      <c r="P26" s="588"/>
      <c r="Q26" s="588"/>
      <c r="R26" s="588"/>
      <c r="S26" s="588"/>
      <c r="T26" s="588"/>
      <c r="U26" s="588"/>
      <c r="V26" s="588"/>
      <c r="W26" s="588"/>
      <c r="X26" s="588"/>
      <c r="Y26" s="588"/>
      <c r="Z26" s="588"/>
      <c r="AA26" s="588"/>
      <c r="AB26" s="588"/>
      <c r="AC26" s="588"/>
      <c r="AD26" s="588"/>
      <c r="AE26" s="588"/>
      <c r="AF26" s="588"/>
      <c r="AG26" s="588"/>
      <c r="AH26" s="588"/>
      <c r="AI26" s="588"/>
    </row>
    <row r="27" spans="1:35">
      <c r="A27" t="s">
        <v>2611</v>
      </c>
      <c r="D27" s="1920">
        <v>18210897.727822017</v>
      </c>
      <c r="E27" s="1920">
        <v>18940635.97157551</v>
      </c>
      <c r="F27" s="1920">
        <v>19508855.050722778</v>
      </c>
      <c r="G27" s="1920">
        <v>20094120.702244461</v>
      </c>
      <c r="H27" s="1920">
        <v>20696944.323311795</v>
      </c>
      <c r="I27" s="1920">
        <v>21317852.653011151</v>
      </c>
      <c r="J27" s="1920">
        <v>21957388.232601479</v>
      </c>
      <c r="K27" s="1920">
        <v>22616109.879579525</v>
      </c>
      <c r="L27" s="1920">
        <v>23294593.175966911</v>
      </c>
      <c r="M27" s="1920">
        <v>23993430.971245922</v>
      </c>
      <c r="N27" s="1920">
        <v>24713233.900383301</v>
      </c>
      <c r="O27" s="1920">
        <v>25454630.917394802</v>
      </c>
      <c r="P27" s="987"/>
      <c r="Q27" s="987"/>
      <c r="R27" s="987"/>
      <c r="S27" s="987"/>
      <c r="T27" s="987"/>
      <c r="U27" s="987"/>
      <c r="V27" s="987"/>
      <c r="W27" s="987"/>
      <c r="X27" s="987"/>
      <c r="Y27" s="987"/>
      <c r="Z27" s="987"/>
      <c r="AA27" s="987"/>
      <c r="AB27" s="987"/>
      <c r="AC27" s="987"/>
      <c r="AD27" s="987"/>
      <c r="AE27" s="987"/>
      <c r="AF27" s="987"/>
      <c r="AG27" s="987"/>
      <c r="AH27" s="987"/>
      <c r="AI27" s="987"/>
    </row>
    <row r="28" spans="1:35">
      <c r="A28" t="s">
        <v>2808</v>
      </c>
      <c r="D28" s="2261">
        <f>(+E61*0.7)*0.5</f>
        <v>-2360443.0499999998</v>
      </c>
      <c r="E28" s="987"/>
      <c r="F28" s="987"/>
      <c r="G28" s="987"/>
      <c r="H28" s="987"/>
      <c r="I28" s="987"/>
      <c r="J28" s="987"/>
      <c r="K28" s="987"/>
      <c r="L28" s="987"/>
      <c r="M28" s="987"/>
      <c r="N28" s="987"/>
      <c r="O28" s="987"/>
      <c r="P28" s="987"/>
      <c r="Q28" s="987"/>
      <c r="R28" s="987"/>
      <c r="S28" s="987"/>
      <c r="T28" s="987"/>
      <c r="U28" s="987"/>
      <c r="V28" s="987"/>
      <c r="W28" s="987"/>
      <c r="X28" s="987"/>
      <c r="Y28" s="987"/>
      <c r="Z28" s="987"/>
      <c r="AA28" s="987"/>
      <c r="AB28" s="987"/>
      <c r="AC28" s="987"/>
      <c r="AD28" s="987"/>
      <c r="AE28" s="987"/>
      <c r="AF28" s="987"/>
      <c r="AG28" s="987"/>
      <c r="AH28" s="987"/>
      <c r="AI28" s="987"/>
    </row>
    <row r="29" spans="1:35">
      <c r="A29" s="1" t="s">
        <v>2614</v>
      </c>
      <c r="B29" s="1"/>
      <c r="C29" s="2188"/>
      <c r="D29" s="1740">
        <v>40000000</v>
      </c>
      <c r="E29" s="1740">
        <v>0</v>
      </c>
      <c r="F29" s="1740">
        <v>0</v>
      </c>
      <c r="G29" s="1740">
        <v>0</v>
      </c>
      <c r="H29" s="1740">
        <v>0</v>
      </c>
      <c r="I29" s="1740">
        <v>0</v>
      </c>
      <c r="J29" s="1740">
        <v>0</v>
      </c>
      <c r="K29" s="1740">
        <v>0</v>
      </c>
      <c r="L29" s="1740">
        <v>0</v>
      </c>
      <c r="M29" s="1740">
        <v>0</v>
      </c>
      <c r="N29" s="1740">
        <v>0</v>
      </c>
      <c r="O29" s="1740">
        <v>0</v>
      </c>
      <c r="P29" s="2259"/>
      <c r="Q29" s="2259"/>
      <c r="R29" s="2259"/>
      <c r="S29" s="2259"/>
      <c r="T29" s="2259"/>
      <c r="U29" s="2259"/>
      <c r="V29" s="2259"/>
      <c r="W29" s="2259"/>
      <c r="X29" s="2259"/>
      <c r="Y29" s="2259"/>
      <c r="Z29" s="2259"/>
      <c r="AA29" s="2259"/>
      <c r="AB29" s="2259"/>
      <c r="AC29" s="2259"/>
      <c r="AD29" s="2259"/>
      <c r="AE29" s="2259"/>
      <c r="AF29" s="2259"/>
      <c r="AG29" s="2259"/>
      <c r="AH29" s="2259"/>
      <c r="AI29" s="2259"/>
    </row>
    <row r="30" spans="1:35">
      <c r="A30" s="1461" t="s">
        <v>2612</v>
      </c>
      <c r="B30" s="1461"/>
      <c r="C30" s="2189">
        <v>141644212</v>
      </c>
      <c r="D30" s="1710">
        <f t="shared" ref="D30:O30" si="12">SUM(D26:D29)</f>
        <v>131812331.67782202</v>
      </c>
      <c r="E30" s="1710">
        <f t="shared" si="12"/>
        <v>74462748.910715029</v>
      </c>
      <c r="F30" s="1710">
        <f t="shared" si="12"/>
        <v>102281900.20156313</v>
      </c>
      <c r="G30" s="1710">
        <f t="shared" si="12"/>
        <v>99543886.701859042</v>
      </c>
      <c r="H30" s="1710">
        <f t="shared" si="12"/>
        <v>64451007.365840778</v>
      </c>
      <c r="I30" s="1710">
        <f t="shared" si="12"/>
        <v>62087862.309248246</v>
      </c>
      <c r="J30" s="1710">
        <f t="shared" si="12"/>
        <v>64454181.316339605</v>
      </c>
      <c r="K30" s="1710">
        <f t="shared" si="12"/>
        <v>73092302.06443359</v>
      </c>
      <c r="L30" s="1710">
        <f t="shared" si="12"/>
        <v>70369235.405966908</v>
      </c>
      <c r="M30" s="1710">
        <f t="shared" si="12"/>
        <v>69471651.131245911</v>
      </c>
      <c r="N30" s="1710">
        <f t="shared" si="12"/>
        <v>104666179.29008329</v>
      </c>
      <c r="O30" s="1710">
        <f t="shared" si="12"/>
        <v>87696792.392394811</v>
      </c>
      <c r="P30" s="1740">
        <f>P144+P146</f>
        <v>41527016.121733375</v>
      </c>
      <c r="Q30" s="1740">
        <f t="shared" ref="Q30:AI30" si="13">Q144+Q146</f>
        <v>42772826.605385378</v>
      </c>
      <c r="R30" s="1740">
        <f t="shared" si="13"/>
        <v>44056011.403546937</v>
      </c>
      <c r="S30" s="1740">
        <f t="shared" si="13"/>
        <v>45377691.745653346</v>
      </c>
      <c r="T30" s="1740">
        <f t="shared" si="13"/>
        <v>46739022.498022951</v>
      </c>
      <c r="U30" s="1740">
        <f t="shared" si="13"/>
        <v>48141193.172963642</v>
      </c>
      <c r="V30" s="1740">
        <f t="shared" si="13"/>
        <v>49585428.968152553</v>
      </c>
      <c r="W30" s="1740">
        <f t="shared" si="13"/>
        <v>51072991.837197132</v>
      </c>
      <c r="X30" s="1740">
        <f t="shared" si="13"/>
        <v>52605181.592313051</v>
      </c>
      <c r="Y30" s="1740">
        <f t="shared" si="13"/>
        <v>54183337.040082447</v>
      </c>
      <c r="Z30" s="1740">
        <f t="shared" si="13"/>
        <v>55808837.151284926</v>
      </c>
      <c r="AA30" s="1740">
        <f t="shared" si="13"/>
        <v>57483102.265823476</v>
      </c>
      <c r="AB30" s="1740">
        <f t="shared" si="13"/>
        <v>59207595.333798185</v>
      </c>
      <c r="AC30" s="1740">
        <f t="shared" si="13"/>
        <v>97574117.110099405</v>
      </c>
      <c r="AD30" s="1740">
        <f t="shared" si="13"/>
        <v>100501340.62340239</v>
      </c>
      <c r="AE30" s="1740">
        <f t="shared" si="13"/>
        <v>103516380.84210446</v>
      </c>
      <c r="AF30" s="1740">
        <f t="shared" si="13"/>
        <v>106621872.2673676</v>
      </c>
      <c r="AG30" s="1740">
        <f t="shared" si="13"/>
        <v>109820528.43538862</v>
      </c>
      <c r="AH30" s="1740">
        <f t="shared" si="13"/>
        <v>113115144.28845027</v>
      </c>
      <c r="AI30" s="1740">
        <f t="shared" si="13"/>
        <v>116508598.61710379</v>
      </c>
    </row>
    <row r="32" spans="1:35">
      <c r="D32">
        <v>1</v>
      </c>
      <c r="E32">
        <f t="shared" ref="E32:J32" si="14">D32+1</f>
        <v>2</v>
      </c>
      <c r="F32">
        <f t="shared" si="14"/>
        <v>3</v>
      </c>
      <c r="G32">
        <f t="shared" si="14"/>
        <v>4</v>
      </c>
      <c r="H32">
        <f t="shared" si="14"/>
        <v>5</v>
      </c>
      <c r="I32">
        <f t="shared" si="14"/>
        <v>6</v>
      </c>
      <c r="J32">
        <f t="shared" si="14"/>
        <v>7</v>
      </c>
      <c r="K32">
        <v>8</v>
      </c>
    </row>
    <row r="33" spans="1:35">
      <c r="B33" t="s">
        <v>2615</v>
      </c>
      <c r="D33" s="1708"/>
      <c r="E33" s="2163"/>
      <c r="F33" s="2269">
        <v>0.03</v>
      </c>
      <c r="G33" s="2269">
        <v>0.06</v>
      </c>
      <c r="H33" s="2269">
        <v>0.09</v>
      </c>
      <c r="I33" s="2269">
        <v>0.12</v>
      </c>
      <c r="J33" s="2269">
        <v>0.15</v>
      </c>
      <c r="K33" s="2269">
        <v>0.18</v>
      </c>
      <c r="L33" s="2269">
        <v>0.21</v>
      </c>
      <c r="M33" s="2269">
        <v>0.24</v>
      </c>
      <c r="N33" s="2269">
        <v>0.27</v>
      </c>
      <c r="O33" s="2269">
        <v>0.3</v>
      </c>
      <c r="P33" s="2269">
        <v>0.33</v>
      </c>
      <c r="Q33" s="2269">
        <v>0.36</v>
      </c>
      <c r="R33" s="2269">
        <v>0.39</v>
      </c>
      <c r="S33" s="2269">
        <v>0.42</v>
      </c>
      <c r="T33" s="2269">
        <v>0.45</v>
      </c>
      <c r="U33" s="2269">
        <v>0.48</v>
      </c>
      <c r="V33" s="2269">
        <v>0.51</v>
      </c>
      <c r="W33" s="2269">
        <v>0.54</v>
      </c>
      <c r="X33" s="2269">
        <v>0.56999999999999995</v>
      </c>
      <c r="Y33" s="2269">
        <v>0.6</v>
      </c>
      <c r="Z33" s="2269">
        <v>0.63</v>
      </c>
      <c r="AA33" s="2269">
        <v>0.66</v>
      </c>
      <c r="AB33" s="2269">
        <v>0.69</v>
      </c>
      <c r="AC33" s="2269">
        <v>0.72</v>
      </c>
      <c r="AD33" s="2269">
        <v>0.75</v>
      </c>
      <c r="AE33" s="2269">
        <v>0.78</v>
      </c>
      <c r="AF33" s="2269">
        <v>0.81</v>
      </c>
      <c r="AG33" s="2269">
        <v>0.84</v>
      </c>
      <c r="AH33" s="2269">
        <v>0.87</v>
      </c>
      <c r="AI33" s="2269">
        <v>0.87</v>
      </c>
    </row>
    <row r="34" spans="1:35" ht="16.5" thickBot="1">
      <c r="A34" t="s">
        <v>2616</v>
      </c>
    </row>
    <row r="35" spans="1:35">
      <c r="A35" s="2015" t="s">
        <v>2809</v>
      </c>
      <c r="B35" s="2016"/>
      <c r="C35" s="2016"/>
      <c r="D35" s="2017"/>
      <c r="E35" s="2018"/>
      <c r="F35" s="2018"/>
      <c r="G35" s="2018"/>
      <c r="H35" s="2018"/>
      <c r="I35" s="2018"/>
      <c r="J35" s="2018"/>
      <c r="K35" s="2019"/>
      <c r="L35" s="2164"/>
      <c r="M35" s="2165"/>
      <c r="N35" s="2165"/>
      <c r="O35" s="2165"/>
      <c r="P35" s="2267"/>
      <c r="Q35" s="2267"/>
      <c r="R35" s="2018"/>
      <c r="S35" s="2019"/>
      <c r="T35" s="2017"/>
      <c r="U35" s="2018"/>
      <c r="V35" s="2018"/>
      <c r="W35" s="2018"/>
      <c r="X35" s="2018"/>
      <c r="Y35" s="2018"/>
      <c r="Z35" s="2018"/>
      <c r="AA35" s="2019"/>
      <c r="AB35" s="2017"/>
      <c r="AC35" s="2018"/>
      <c r="AD35" s="2018"/>
      <c r="AE35" s="2018"/>
      <c r="AF35" s="2018"/>
      <c r="AG35" s="2018"/>
      <c r="AH35" s="2018"/>
      <c r="AI35" s="2018"/>
    </row>
    <row r="36" spans="1:35" ht="16.5" thickBot="1">
      <c r="A36" s="2166"/>
      <c r="B36" s="2167"/>
      <c r="C36" s="2167"/>
      <c r="D36" s="1711">
        <v>2014</v>
      </c>
      <c r="E36" s="1712">
        <f>D36+1</f>
        <v>2015</v>
      </c>
      <c r="F36" s="1712">
        <f t="shared" ref="F36:AI36" si="15">E36+1</f>
        <v>2016</v>
      </c>
      <c r="G36" s="1712">
        <f t="shared" si="15"/>
        <v>2017</v>
      </c>
      <c r="H36" s="1712">
        <f t="shared" si="15"/>
        <v>2018</v>
      </c>
      <c r="I36" s="1712">
        <f t="shared" si="15"/>
        <v>2019</v>
      </c>
      <c r="J36" s="1712">
        <f t="shared" si="15"/>
        <v>2020</v>
      </c>
      <c r="K36" s="1712">
        <f t="shared" si="15"/>
        <v>2021</v>
      </c>
      <c r="L36" s="2168">
        <f t="shared" si="15"/>
        <v>2022</v>
      </c>
      <c r="M36" s="2168">
        <f t="shared" si="15"/>
        <v>2023</v>
      </c>
      <c r="N36" s="2168">
        <f t="shared" si="15"/>
        <v>2024</v>
      </c>
      <c r="O36" s="2168">
        <f t="shared" si="15"/>
        <v>2025</v>
      </c>
      <c r="P36" s="2268">
        <f t="shared" si="15"/>
        <v>2026</v>
      </c>
      <c r="Q36" s="2268">
        <f t="shared" si="15"/>
        <v>2027</v>
      </c>
      <c r="R36" s="1712">
        <f t="shared" si="15"/>
        <v>2028</v>
      </c>
      <c r="S36" s="1712">
        <f t="shared" si="15"/>
        <v>2029</v>
      </c>
      <c r="T36" s="1712">
        <f t="shared" si="15"/>
        <v>2030</v>
      </c>
      <c r="U36" s="1712">
        <f t="shared" si="15"/>
        <v>2031</v>
      </c>
      <c r="V36" s="1712">
        <f t="shared" si="15"/>
        <v>2032</v>
      </c>
      <c r="W36" s="1712">
        <f t="shared" si="15"/>
        <v>2033</v>
      </c>
      <c r="X36" s="1712">
        <f t="shared" si="15"/>
        <v>2034</v>
      </c>
      <c r="Y36" s="1712">
        <f t="shared" si="15"/>
        <v>2035</v>
      </c>
      <c r="Z36" s="1712">
        <f t="shared" si="15"/>
        <v>2036</v>
      </c>
      <c r="AA36" s="1712">
        <f t="shared" si="15"/>
        <v>2037</v>
      </c>
      <c r="AB36" s="1712">
        <f t="shared" si="15"/>
        <v>2038</v>
      </c>
      <c r="AC36" s="1712">
        <f t="shared" si="15"/>
        <v>2039</v>
      </c>
      <c r="AD36" s="1712">
        <f t="shared" si="15"/>
        <v>2040</v>
      </c>
      <c r="AE36" s="1712">
        <f t="shared" si="15"/>
        <v>2041</v>
      </c>
      <c r="AF36" s="1712">
        <f t="shared" si="15"/>
        <v>2042</v>
      </c>
      <c r="AG36" s="1712">
        <f t="shared" si="15"/>
        <v>2043</v>
      </c>
      <c r="AH36" s="1712">
        <f t="shared" si="15"/>
        <v>2044</v>
      </c>
      <c r="AI36" s="1712">
        <f t="shared" si="15"/>
        <v>2045</v>
      </c>
    </row>
    <row r="37" spans="1:35">
      <c r="A37" s="2179" t="s">
        <v>2617</v>
      </c>
      <c r="B37" s="2180"/>
      <c r="C37" s="1713">
        <v>90</v>
      </c>
      <c r="D37" s="1731">
        <v>66792585.443293631</v>
      </c>
      <c r="E37" s="1732">
        <v>47108172.564904623</v>
      </c>
      <c r="F37" s="1732">
        <v>66480126.12143112</v>
      </c>
      <c r="G37" s="1732">
        <v>60120802.806676887</v>
      </c>
      <c r="H37" s="1732">
        <v>31483714.988748375</v>
      </c>
      <c r="I37" s="1732">
        <v>32513263.667647343</v>
      </c>
      <c r="J37" s="1732">
        <v>32761731.588210724</v>
      </c>
      <c r="K37" s="1733">
        <v>34743307.534750238</v>
      </c>
      <c r="L37" s="2169"/>
      <c r="M37" s="2169"/>
      <c r="N37" s="2169"/>
      <c r="O37" s="2169"/>
    </row>
    <row r="38" spans="1:35">
      <c r="A38" s="2181"/>
      <c r="B38" s="2182"/>
      <c r="C38" s="1714">
        <v>50</v>
      </c>
      <c r="D38" s="1725">
        <v>70216830.901996031</v>
      </c>
      <c r="E38" s="1726">
        <v>55522112.939139515</v>
      </c>
      <c r="F38" s="1726">
        <v>80362179.758097425</v>
      </c>
      <c r="G38" s="1726">
        <v>74952609.433598652</v>
      </c>
      <c r="H38" s="1726">
        <v>40141342.240852274</v>
      </c>
      <c r="I38" s="1726">
        <v>36401794.335925974</v>
      </c>
      <c r="J38" s="1726">
        <v>36953733.116294026</v>
      </c>
      <c r="K38" s="1727">
        <v>42776434.05496107</v>
      </c>
      <c r="L38" s="2170">
        <v>38904663</v>
      </c>
      <c r="M38" s="2170">
        <v>36675984</v>
      </c>
      <c r="N38" s="2171">
        <v>62955075.109999999</v>
      </c>
      <c r="O38" s="2172">
        <v>47878585.75</v>
      </c>
    </row>
    <row r="39" spans="1:35" ht="16.5" thickBot="1">
      <c r="A39" s="2183"/>
      <c r="B39" s="2184"/>
      <c r="C39" s="2173">
        <v>10</v>
      </c>
      <c r="D39" s="2271">
        <v>73785280.600388438</v>
      </c>
      <c r="E39" s="2272">
        <v>62880790.971273959</v>
      </c>
      <c r="F39" s="2272">
        <v>90550359.18962872</v>
      </c>
      <c r="G39" s="2272">
        <v>82391895.442333594</v>
      </c>
      <c r="H39" s="2272">
        <v>45589882.009349614</v>
      </c>
      <c r="I39" s="2272">
        <v>40841416.260584787</v>
      </c>
      <c r="J39" s="2272">
        <v>55460887.210030496</v>
      </c>
      <c r="K39" s="2273">
        <v>53829269.64271161</v>
      </c>
      <c r="L39" s="2171"/>
      <c r="M39" s="2171"/>
      <c r="N39" s="2171"/>
      <c r="O39" s="2171"/>
    </row>
    <row r="40" spans="1:35" ht="16.5" thickBot="1">
      <c r="A40" s="2185"/>
      <c r="B40" s="2186"/>
      <c r="C40" s="137"/>
      <c r="D40" s="1715"/>
      <c r="E40" s="87"/>
      <c r="F40" s="87"/>
      <c r="G40" s="87"/>
      <c r="H40" s="87"/>
      <c r="I40" s="87"/>
      <c r="J40" s="87"/>
      <c r="K40" s="1716"/>
      <c r="L40" s="2171"/>
      <c r="M40" s="2171"/>
      <c r="N40" s="2171"/>
      <c r="O40" s="2171"/>
    </row>
    <row r="41" spans="1:35">
      <c r="A41" s="2179" t="s">
        <v>2618</v>
      </c>
      <c r="B41" s="2180"/>
      <c r="C41" s="1713">
        <v>90</v>
      </c>
      <c r="D41" s="1734">
        <v>27431900.100973099</v>
      </c>
      <c r="E41" s="1735">
        <v>37157066.069028854</v>
      </c>
      <c r="F41" s="1735">
        <v>36758414.974246562</v>
      </c>
      <c r="G41" s="1735">
        <v>27361549.378731221</v>
      </c>
      <c r="H41" s="1735">
        <v>17556874.100958198</v>
      </c>
      <c r="I41" s="1735">
        <v>15849838.443283726</v>
      </c>
      <c r="J41" s="1735">
        <v>10286864.502186127</v>
      </c>
      <c r="K41" s="1736">
        <v>9617717.5127788633</v>
      </c>
      <c r="L41" s="2171"/>
      <c r="M41" s="2171"/>
      <c r="N41" s="2171"/>
      <c r="O41" s="2171"/>
    </row>
    <row r="42" spans="1:35">
      <c r="A42" s="2181"/>
      <c r="B42" s="2182"/>
      <c r="C42" s="1714">
        <v>50</v>
      </c>
      <c r="D42" s="1725">
        <v>30245172.57649754</v>
      </c>
      <c r="E42" s="1726">
        <v>43879011.31212455</v>
      </c>
      <c r="F42" s="1726">
        <v>42863816.325061396</v>
      </c>
      <c r="G42" s="1726">
        <v>35635467.858308986</v>
      </c>
      <c r="H42" s="1726">
        <v>21528195.036169417</v>
      </c>
      <c r="I42" s="1726">
        <v>20801728.672648024</v>
      </c>
      <c r="J42" s="1726">
        <v>13682994.155632377</v>
      </c>
      <c r="K42" s="1727">
        <v>11978869.411851093</v>
      </c>
      <c r="L42" s="2171">
        <v>11701008</v>
      </c>
      <c r="M42" s="2171">
        <v>11539158</v>
      </c>
      <c r="N42" s="2171">
        <v>11660952.890000001</v>
      </c>
      <c r="O42" s="2171">
        <v>11440598.25</v>
      </c>
    </row>
    <row r="43" spans="1:35" ht="16.5" thickBot="1">
      <c r="A43" s="2183"/>
      <c r="B43" s="2184"/>
      <c r="C43" s="2173">
        <v>10</v>
      </c>
      <c r="D43" s="2271">
        <v>32702378.973977938</v>
      </c>
      <c r="E43" s="2272">
        <v>50241951.4168761</v>
      </c>
      <c r="F43" s="2272">
        <v>50153643.435919598</v>
      </c>
      <c r="G43" s="2272">
        <v>56162561.882658228</v>
      </c>
      <c r="H43" s="2272">
        <v>26271742.62024536</v>
      </c>
      <c r="I43" s="2272">
        <v>26467878.813140586</v>
      </c>
      <c r="J43" s="2272">
        <v>19497692.692983337</v>
      </c>
      <c r="K43" s="2273">
        <v>14715754.106742069</v>
      </c>
      <c r="L43" s="2171"/>
      <c r="M43" s="2170"/>
      <c r="N43" s="2170"/>
      <c r="O43" s="2171"/>
    </row>
    <row r="44" spans="1:35" ht="16.5" thickBot="1">
      <c r="A44" s="2185"/>
      <c r="B44" s="2186"/>
      <c r="C44" s="137"/>
      <c r="D44" s="1719"/>
      <c r="E44" s="1720"/>
      <c r="F44" s="1720"/>
      <c r="G44" s="1720"/>
      <c r="H44" s="1720"/>
      <c r="I44" s="1720"/>
      <c r="J44" s="1720"/>
      <c r="K44" s="1721"/>
      <c r="L44" s="2171"/>
      <c r="M44" s="2174"/>
      <c r="N44" s="2172"/>
      <c r="O44" s="2172"/>
    </row>
    <row r="45" spans="1:35" ht="15.75" customHeight="1">
      <c r="A45" s="2179" t="s">
        <v>2619</v>
      </c>
      <c r="B45" s="2180"/>
      <c r="C45" s="1713">
        <v>90</v>
      </c>
      <c r="D45" s="1737">
        <v>94224485.544266731</v>
      </c>
      <c r="E45" s="1738">
        <v>84265238.633933485</v>
      </c>
      <c r="F45" s="1738">
        <v>103238541.09567767</v>
      </c>
      <c r="G45" s="1738">
        <v>87482352.185408115</v>
      </c>
      <c r="H45" s="1738">
        <v>49040589.08970657</v>
      </c>
      <c r="I45" s="1738">
        <v>48363102.110931069</v>
      </c>
      <c r="J45" s="1738">
        <v>43048596.090396851</v>
      </c>
      <c r="K45" s="1739">
        <v>44361025.047529101</v>
      </c>
      <c r="L45" s="2171"/>
      <c r="M45" s="2174"/>
      <c r="N45" s="2174"/>
      <c r="O45" s="2174"/>
    </row>
    <row r="46" spans="1:35">
      <c r="A46" s="2020"/>
      <c r="B46" s="2021"/>
      <c r="C46" s="1714">
        <v>50</v>
      </c>
      <c r="D46" s="1728">
        <v>100462003.47849357</v>
      </c>
      <c r="E46" s="1729">
        <v>99401124.251264066</v>
      </c>
      <c r="F46" s="1729">
        <v>123225996.08315882</v>
      </c>
      <c r="G46" s="1729">
        <v>110588077.29190764</v>
      </c>
      <c r="H46" s="1729">
        <v>61669537.277021691</v>
      </c>
      <c r="I46" s="1729">
        <v>57203523.008573994</v>
      </c>
      <c r="J46" s="1729">
        <v>50636727.271926403</v>
      </c>
      <c r="K46" s="1730">
        <v>54755303.466812164</v>
      </c>
      <c r="L46" s="2175">
        <f>+L38+L42</f>
        <v>50605671</v>
      </c>
      <c r="M46" s="2175">
        <f>+M38+M42</f>
        <v>48215142</v>
      </c>
      <c r="N46" s="2175">
        <f>+N38+N42</f>
        <v>74616028</v>
      </c>
      <c r="O46" s="2175">
        <f>+O38+O42</f>
        <v>59319184</v>
      </c>
    </row>
    <row r="47" spans="1:35" ht="16.5" thickBot="1">
      <c r="A47" s="2022"/>
      <c r="B47" s="2023"/>
      <c r="C47" s="2173">
        <v>10</v>
      </c>
      <c r="D47" s="2274">
        <v>106487659.57436638</v>
      </c>
      <c r="E47" s="2275">
        <v>113122742.38815007</v>
      </c>
      <c r="F47" s="2275">
        <v>140704002.6255483</v>
      </c>
      <c r="G47" s="2275">
        <v>138554457.32499182</v>
      </c>
      <c r="H47" s="2275">
        <v>71861624.629594982</v>
      </c>
      <c r="I47" s="2275">
        <v>67309295.073725373</v>
      </c>
      <c r="J47" s="2275">
        <v>74958579.903013825</v>
      </c>
      <c r="K47" s="2276">
        <v>68545023.749453679</v>
      </c>
      <c r="L47" s="2171"/>
      <c r="M47" s="2171"/>
      <c r="N47" s="2171"/>
      <c r="O47" s="2171"/>
    </row>
    <row r="48" spans="1:35">
      <c r="A48" s="86"/>
      <c r="B48" s="86"/>
      <c r="C48" s="86"/>
      <c r="D48" s="86"/>
      <c r="E48" s="86"/>
      <c r="F48" s="86"/>
      <c r="G48" s="86"/>
      <c r="H48" s="86"/>
      <c r="I48" s="86"/>
      <c r="J48" s="86"/>
      <c r="K48" s="86"/>
      <c r="L48" s="4369" t="s">
        <v>2810</v>
      </c>
      <c r="M48" s="4369"/>
      <c r="N48" s="4369"/>
      <c r="O48" s="4369"/>
    </row>
    <row r="49" spans="1:17" ht="16.5" thickBot="1">
      <c r="A49" s="86"/>
      <c r="B49" s="86"/>
      <c r="C49" s="86"/>
      <c r="D49" s="86"/>
      <c r="E49" s="86"/>
      <c r="F49" s="86"/>
      <c r="G49" s="86"/>
      <c r="H49" s="86"/>
      <c r="I49" s="86"/>
      <c r="J49" s="86"/>
      <c r="K49" s="86"/>
      <c r="M49" s="17"/>
      <c r="N49" s="17"/>
      <c r="O49" s="17"/>
    </row>
    <row r="50" spans="1:17">
      <c r="A50" s="4366" t="s">
        <v>2620</v>
      </c>
      <c r="B50" s="4367"/>
      <c r="C50" s="4368"/>
      <c r="D50" s="1717">
        <v>250000</v>
      </c>
      <c r="E50" s="1717"/>
      <c r="F50" s="1717"/>
      <c r="G50" s="1717"/>
      <c r="H50" s="1718"/>
      <c r="I50" s="86"/>
      <c r="J50" s="86"/>
      <c r="K50" s="86"/>
      <c r="M50" s="2176"/>
      <c r="N50" s="187"/>
      <c r="O50" s="17"/>
      <c r="P50" s="17"/>
    </row>
    <row r="51" spans="1:17" ht="16.5" thickBot="1">
      <c r="A51" s="4363" t="s">
        <v>2621</v>
      </c>
      <c r="B51" s="4364"/>
      <c r="C51" s="4365"/>
      <c r="D51" s="2177">
        <v>1000000</v>
      </c>
      <c r="E51" s="2177">
        <v>2000000</v>
      </c>
      <c r="F51" s="2177">
        <v>2000000</v>
      </c>
      <c r="G51" s="2177">
        <v>50000000</v>
      </c>
      <c r="H51" s="2178">
        <v>50000000</v>
      </c>
      <c r="I51" s="86"/>
      <c r="J51" s="86"/>
      <c r="K51" s="86"/>
      <c r="M51" s="17"/>
      <c r="N51" s="187"/>
      <c r="O51" s="17"/>
      <c r="P51" s="326"/>
    </row>
    <row r="52" spans="1:17">
      <c r="M52" s="2176"/>
      <c r="N52" s="187"/>
      <c r="O52" s="17"/>
      <c r="P52" s="326"/>
    </row>
    <row r="53" spans="1:17">
      <c r="K53" t="s">
        <v>2811</v>
      </c>
      <c r="M53" s="2176"/>
      <c r="N53" s="187"/>
      <c r="O53" s="17"/>
      <c r="P53" s="326"/>
    </row>
    <row r="54" spans="1:17">
      <c r="D54" s="4370" t="s">
        <v>2812</v>
      </c>
      <c r="E54" s="4371"/>
      <c r="F54" s="4371"/>
      <c r="G54" s="4372"/>
      <c r="K54" s="1661"/>
      <c r="L54" s="1661"/>
      <c r="M54" s="1661"/>
      <c r="N54" s="1661"/>
      <c r="O54" s="17"/>
      <c r="P54" s="326"/>
    </row>
    <row r="55" spans="1:17">
      <c r="D55" s="4373"/>
      <c r="E55" s="4374"/>
      <c r="F55" s="4374"/>
      <c r="G55" s="4375"/>
      <c r="K55" s="2280">
        <v>145961877</v>
      </c>
      <c r="L55" s="1661"/>
      <c r="M55" s="2190">
        <f>+K57</f>
        <v>105961877</v>
      </c>
      <c r="N55" s="1661"/>
      <c r="O55" s="17"/>
      <c r="P55" s="326"/>
    </row>
    <row r="56" spans="1:17">
      <c r="D56" s="2191"/>
      <c r="E56" s="2192" t="s">
        <v>2813</v>
      </c>
      <c r="F56" s="2192" t="s">
        <v>2814</v>
      </c>
      <c r="G56" s="2192" t="s">
        <v>2815</v>
      </c>
      <c r="K56" s="2281">
        <v>-40000000</v>
      </c>
      <c r="L56" s="1661" t="s">
        <v>2816</v>
      </c>
      <c r="M56" s="2194">
        <f>+M55*C57</f>
        <v>58994317.533998743</v>
      </c>
      <c r="N56" s="1661" t="s">
        <v>1951</v>
      </c>
      <c r="O56" s="17"/>
      <c r="P56" s="326"/>
    </row>
    <row r="57" spans="1:17">
      <c r="C57" s="485">
        <f>+E57/E59</f>
        <v>0.55675040122211827</v>
      </c>
      <c r="D57" s="2191" t="s">
        <v>1951</v>
      </c>
      <c r="E57" s="2277">
        <v>64872000</v>
      </c>
      <c r="F57" s="2195">
        <f>+E38</f>
        <v>55522112.939139515</v>
      </c>
      <c r="G57" s="2196">
        <f>+F57-E57</f>
        <v>-9349887.0608604848</v>
      </c>
      <c r="K57" s="2193">
        <f>+K55+K56</f>
        <v>105961877</v>
      </c>
      <c r="L57" s="1661"/>
      <c r="M57" s="2194">
        <f>+M55*C58</f>
        <v>46967559.466001257</v>
      </c>
      <c r="N57" s="1661" t="s">
        <v>2548</v>
      </c>
      <c r="O57" s="2282">
        <v>115961877</v>
      </c>
      <c r="P57" s="2283">
        <v>40000000</v>
      </c>
      <c r="Q57" s="485">
        <f>+O57-P57</f>
        <v>75961877</v>
      </c>
    </row>
    <row r="58" spans="1:17">
      <c r="C58" s="485">
        <f>+E58/E59</f>
        <v>0.44324959877788173</v>
      </c>
      <c r="D58" s="2191" t="s">
        <v>2548</v>
      </c>
      <c r="E58" s="2277">
        <v>51647000</v>
      </c>
      <c r="F58" s="2195">
        <f>+E42</f>
        <v>43879011.31212455</v>
      </c>
      <c r="G58" s="2196">
        <f>+F58-E58</f>
        <v>-7767988.6878754497</v>
      </c>
      <c r="K58" s="2190"/>
      <c r="L58" s="1661"/>
      <c r="M58" s="1661"/>
      <c r="N58" s="1661"/>
      <c r="O58" s="2282">
        <v>30000000</v>
      </c>
    </row>
    <row r="59" spans="1:17">
      <c r="D59" s="2191" t="s">
        <v>602</v>
      </c>
      <c r="E59" s="2195">
        <f>+E57+E58</f>
        <v>116519000</v>
      </c>
      <c r="F59" s="2195">
        <f>+F57+F58</f>
        <v>99401124.251264066</v>
      </c>
      <c r="G59" s="2197">
        <f>SUM(G57:G58)</f>
        <v>-17117875.748735934</v>
      </c>
      <c r="H59" s="2198" t="s">
        <v>2817</v>
      </c>
      <c r="K59" s="1661"/>
      <c r="L59" s="1661"/>
      <c r="M59" s="1661"/>
      <c r="N59" s="1661"/>
      <c r="O59" s="17"/>
      <c r="P59" s="326"/>
    </row>
    <row r="60" spans="1:17">
      <c r="M60" s="17"/>
      <c r="N60" s="326"/>
      <c r="O60" s="326"/>
      <c r="P60" s="326"/>
    </row>
    <row r="61" spans="1:17">
      <c r="D61" s="2199" t="s">
        <v>2818</v>
      </c>
      <c r="E61" s="2200">
        <v>-6744123</v>
      </c>
      <c r="F61" s="2201"/>
      <c r="G61" s="2201"/>
    </row>
    <row r="62" spans="1:17">
      <c r="P62" s="485"/>
    </row>
    <row r="63" spans="1:17">
      <c r="K63" s="1661"/>
      <c r="L63" s="1661"/>
      <c r="M63" s="1661"/>
      <c r="N63" s="1661"/>
    </row>
    <row r="64" spans="1:17">
      <c r="C64" s="1649"/>
      <c r="D64" s="1722" t="s">
        <v>2622</v>
      </c>
      <c r="E64" s="1649"/>
      <c r="F64" s="1649"/>
      <c r="G64" s="1649"/>
      <c r="H64" s="1649"/>
      <c r="K64" s="1661"/>
      <c r="L64" s="1661"/>
      <c r="M64" s="2190"/>
      <c r="N64" s="1661"/>
    </row>
    <row r="65" spans="1:35">
      <c r="C65" s="1649"/>
      <c r="D65" s="1723">
        <v>2014</v>
      </c>
      <c r="E65" s="1723">
        <v>2015</v>
      </c>
      <c r="F65" s="1723">
        <v>2016</v>
      </c>
      <c r="G65" s="1723">
        <v>2017</v>
      </c>
      <c r="H65" s="1723">
        <v>2018</v>
      </c>
      <c r="K65" s="2193"/>
      <c r="L65" s="1661"/>
      <c r="M65" s="2194"/>
      <c r="N65" s="1661"/>
    </row>
    <row r="66" spans="1:35">
      <c r="C66" s="1649"/>
      <c r="D66" s="2278">
        <v>30731029.615993422</v>
      </c>
      <c r="E66" s="2278">
        <v>31098728.081741299</v>
      </c>
      <c r="F66" s="2278">
        <v>31480525.742370144</v>
      </c>
      <c r="G66" s="2278">
        <v>31998009.938080754</v>
      </c>
      <c r="H66" s="2278">
        <v>32847254.433181234</v>
      </c>
      <c r="K66" s="2193"/>
      <c r="L66" s="1661"/>
      <c r="M66" s="2190"/>
      <c r="N66" s="1661"/>
    </row>
    <row r="67" spans="1:35">
      <c r="C67" s="1649"/>
      <c r="D67" s="2187">
        <v>29908000</v>
      </c>
      <c r="E67" s="2187">
        <v>34989000</v>
      </c>
      <c r="F67" s="2187">
        <v>39964000</v>
      </c>
      <c r="G67" s="2187">
        <v>42592000</v>
      </c>
      <c r="H67" s="2187">
        <v>36444269.815724649</v>
      </c>
      <c r="K67" s="2190"/>
      <c r="L67" s="1661"/>
      <c r="M67" s="1661"/>
      <c r="N67" s="1661"/>
    </row>
    <row r="68" spans="1:35">
      <c r="C68" s="1649"/>
      <c r="D68" s="1648">
        <f>+D66+D67</f>
        <v>60639029.615993425</v>
      </c>
      <c r="E68" s="1648">
        <f>+E66+E67</f>
        <v>66087728.081741303</v>
      </c>
      <c r="F68" s="1648">
        <f>+F66+F67</f>
        <v>71444525.742370144</v>
      </c>
      <c r="G68" s="1648">
        <f>+G66+G67</f>
        <v>74590009.938080758</v>
      </c>
      <c r="H68" s="1648">
        <f>+H66+H67</f>
        <v>69291524.248905882</v>
      </c>
      <c r="I68" s="424">
        <f>SUM(D68:H68)</f>
        <v>342052817.62709153</v>
      </c>
      <c r="K68" s="1661"/>
      <c r="L68" s="1661"/>
      <c r="M68" s="1661"/>
      <c r="N68" s="1661"/>
    </row>
    <row r="69" spans="1:35">
      <c r="C69" s="1649" t="s">
        <v>2623</v>
      </c>
      <c r="D69" s="2279">
        <v>51987666.890000001</v>
      </c>
      <c r="E69" s="2279">
        <v>53547296.896700002</v>
      </c>
      <c r="F69" s="2279">
        <v>56760134.710502006</v>
      </c>
      <c r="G69" s="2279">
        <v>61868546.83444719</v>
      </c>
      <c r="H69" s="2279">
        <v>71148828.859614268</v>
      </c>
    </row>
    <row r="70" spans="1:35">
      <c r="C70" s="1649" t="s">
        <v>1476</v>
      </c>
      <c r="D70" s="1724">
        <f>+D68-D69</f>
        <v>8651362.7259934247</v>
      </c>
      <c r="E70" s="1724">
        <f>+E68-E69</f>
        <v>12540431.185041301</v>
      </c>
      <c r="F70" s="1724">
        <f>+F68-F69</f>
        <v>14684391.031868137</v>
      </c>
      <c r="G70" s="1724">
        <f>+G68-G69</f>
        <v>12721463.103633568</v>
      </c>
      <c r="H70" s="1724">
        <f>+H68-H69</f>
        <v>-1857304.6107083857</v>
      </c>
    </row>
    <row r="71" spans="1:35">
      <c r="D71" s="424"/>
      <c r="E71" s="424"/>
      <c r="F71" s="424"/>
      <c r="G71" s="424"/>
      <c r="H71" s="424"/>
    </row>
    <row r="72" spans="1:35">
      <c r="D72" s="424"/>
      <c r="E72" s="424"/>
      <c r="F72" s="424"/>
      <c r="G72" s="424"/>
      <c r="H72" s="424"/>
    </row>
    <row r="74" spans="1:35">
      <c r="A74" t="s">
        <v>2819</v>
      </c>
      <c r="D74" s="2159">
        <v>2014</v>
      </c>
      <c r="E74" s="2159">
        <v>2015</v>
      </c>
      <c r="F74" s="2159">
        <v>2016</v>
      </c>
      <c r="G74" s="2159">
        <v>2017</v>
      </c>
      <c r="H74" s="2159">
        <v>2018</v>
      </c>
      <c r="I74" s="2159">
        <v>2019</v>
      </c>
      <c r="J74" s="2159">
        <v>2020</v>
      </c>
      <c r="K74" s="2159">
        <v>2021</v>
      </c>
      <c r="L74" s="2159">
        <v>2022</v>
      </c>
      <c r="M74" s="2159">
        <v>2023</v>
      </c>
      <c r="N74" s="2159">
        <v>2024</v>
      </c>
      <c r="O74" s="2159">
        <v>2025</v>
      </c>
      <c r="P74" s="2159">
        <v>2026</v>
      </c>
      <c r="Q74" s="2159">
        <v>2027</v>
      </c>
      <c r="R74" s="2159">
        <v>2028</v>
      </c>
      <c r="S74" s="2159">
        <v>2029</v>
      </c>
      <c r="T74" s="2159">
        <v>2030</v>
      </c>
      <c r="U74" s="2159">
        <v>2031</v>
      </c>
      <c r="V74" s="2159">
        <v>2032</v>
      </c>
      <c r="W74" s="2159">
        <v>2033</v>
      </c>
      <c r="X74" s="2159">
        <v>2034</v>
      </c>
      <c r="Y74" s="2159">
        <v>2035</v>
      </c>
      <c r="Z74" s="2159">
        <v>2036</v>
      </c>
      <c r="AA74" s="2159">
        <v>2037</v>
      </c>
      <c r="AB74" s="2159">
        <v>2038</v>
      </c>
      <c r="AC74" s="2159">
        <v>2039</v>
      </c>
      <c r="AD74" s="2159">
        <v>2040</v>
      </c>
      <c r="AE74" s="2159">
        <v>2041</v>
      </c>
      <c r="AF74" s="2159">
        <v>2042</v>
      </c>
      <c r="AG74" s="2159">
        <v>2043</v>
      </c>
      <c r="AH74" s="2159">
        <v>2044</v>
      </c>
      <c r="AI74" s="2159">
        <v>2045</v>
      </c>
    </row>
    <row r="75" spans="1:35">
      <c r="C75" s="2202" t="s">
        <v>2820</v>
      </c>
      <c r="D75" s="2160">
        <f>+D125</f>
        <v>17391815.762020402</v>
      </c>
      <c r="E75" s="2160">
        <f t="shared" ref="E75:AI75" si="16">+E125</f>
        <v>19350595.868413649</v>
      </c>
      <c r="F75" s="2160">
        <f t="shared" si="16"/>
        <v>22086630.543372188</v>
      </c>
      <c r="G75" s="2160">
        <f t="shared" si="16"/>
        <v>24878806.207501359</v>
      </c>
      <c r="H75" s="2160">
        <f t="shared" si="16"/>
        <v>27183946.038932953</v>
      </c>
      <c r="I75" s="2160">
        <f t="shared" si="16"/>
        <v>28879050.292303029</v>
      </c>
      <c r="J75" s="2160">
        <f t="shared" si="16"/>
        <v>30584436.298377804</v>
      </c>
      <c r="K75" s="2160">
        <f t="shared" si="16"/>
        <v>31159899.843315888</v>
      </c>
      <c r="L75" s="2160">
        <f t="shared" si="16"/>
        <v>31257433.277947444</v>
      </c>
      <c r="M75" s="2160">
        <f t="shared" si="16"/>
        <v>32232231.95084548</v>
      </c>
      <c r="N75" s="2160">
        <f t="shared" si="16"/>
        <v>33331747.244832311</v>
      </c>
      <c r="O75" s="2160">
        <f t="shared" si="16"/>
        <v>34440959.627527408</v>
      </c>
      <c r="P75" s="2160">
        <f t="shared" si="16"/>
        <v>35593304.09389209</v>
      </c>
      <c r="Q75" s="2160">
        <f t="shared" si="16"/>
        <v>38253957.678559609</v>
      </c>
      <c r="R75" s="2160">
        <f t="shared" si="16"/>
        <v>41021066.446819134</v>
      </c>
      <c r="S75" s="2160">
        <f t="shared" si="16"/>
        <v>43896758.63113635</v>
      </c>
      <c r="T75" s="2160">
        <f t="shared" si="16"/>
        <v>46883268.927872598</v>
      </c>
      <c r="U75" s="2160">
        <f t="shared" si="16"/>
        <v>49982939.986524865</v>
      </c>
      <c r="V75" s="2160">
        <f t="shared" si="16"/>
        <v>53198224.011830069</v>
      </c>
      <c r="W75" s="2160">
        <f t="shared" si="16"/>
        <v>56531684.479392074</v>
      </c>
      <c r="X75" s="2160">
        <f t="shared" si="16"/>
        <v>59985997.96561867</v>
      </c>
      <c r="Y75" s="2160">
        <f t="shared" si="16"/>
        <v>63563956.09288428</v>
      </c>
      <c r="Z75" s="2160">
        <f t="shared" si="16"/>
        <v>66715797.553153165</v>
      </c>
      <c r="AA75" s="2160">
        <f t="shared" si="16"/>
        <v>69980640.299144477</v>
      </c>
      <c r="AB75" s="2160">
        <f t="shared" si="16"/>
        <v>73361136.527753323</v>
      </c>
      <c r="AC75" s="2160">
        <f t="shared" si="16"/>
        <v>76860047.515448719</v>
      </c>
      <c r="AD75" s="2160">
        <f t="shared" si="16"/>
        <v>80480245.710114121</v>
      </c>
      <c r="AE75" s="2160">
        <f t="shared" si="16"/>
        <v>84224716.932865083</v>
      </c>
      <c r="AF75" s="2160">
        <f t="shared" si="16"/>
        <v>88096562.691254318</v>
      </c>
      <c r="AG75" s="2160">
        <f t="shared" si="16"/>
        <v>92099002.605392769</v>
      </c>
      <c r="AH75" s="2160">
        <f t="shared" si="16"/>
        <v>96235376.948633</v>
      </c>
      <c r="AI75" s="2160">
        <f t="shared" si="16"/>
        <v>100509149.30458097</v>
      </c>
    </row>
    <row r="76" spans="1:35">
      <c r="C76" s="2202" t="s">
        <v>2821</v>
      </c>
      <c r="D76" s="2203">
        <f>+$C$103+$C$110</f>
        <v>845434.2</v>
      </c>
      <c r="E76" s="2203">
        <f t="shared" ref="E76:AI76" si="17">+$C$103+$C$110</f>
        <v>845434.2</v>
      </c>
      <c r="F76" s="2203">
        <f t="shared" si="17"/>
        <v>845434.2</v>
      </c>
      <c r="G76" s="2203">
        <f t="shared" si="17"/>
        <v>845434.2</v>
      </c>
      <c r="H76" s="2203">
        <f t="shared" si="17"/>
        <v>845434.2</v>
      </c>
      <c r="I76" s="2203">
        <f t="shared" si="17"/>
        <v>845434.2</v>
      </c>
      <c r="J76" s="2203">
        <f t="shared" si="17"/>
        <v>845434.2</v>
      </c>
      <c r="K76" s="2203">
        <f t="shared" si="17"/>
        <v>845434.2</v>
      </c>
      <c r="L76" s="2203">
        <f t="shared" si="17"/>
        <v>845434.2</v>
      </c>
      <c r="M76" s="2203">
        <f t="shared" si="17"/>
        <v>845434.2</v>
      </c>
      <c r="N76" s="2203">
        <f t="shared" si="17"/>
        <v>845434.2</v>
      </c>
      <c r="O76" s="2203">
        <f t="shared" si="17"/>
        <v>845434.2</v>
      </c>
      <c r="P76" s="2203">
        <f t="shared" si="17"/>
        <v>845434.2</v>
      </c>
      <c r="Q76" s="2203">
        <f t="shared" si="17"/>
        <v>845434.2</v>
      </c>
      <c r="R76" s="2203">
        <f t="shared" si="17"/>
        <v>845434.2</v>
      </c>
      <c r="S76" s="2203">
        <f t="shared" si="17"/>
        <v>845434.2</v>
      </c>
      <c r="T76" s="2203">
        <f t="shared" si="17"/>
        <v>845434.2</v>
      </c>
      <c r="U76" s="2203">
        <f t="shared" si="17"/>
        <v>845434.2</v>
      </c>
      <c r="V76" s="2203">
        <f t="shared" si="17"/>
        <v>845434.2</v>
      </c>
      <c r="W76" s="2203">
        <f t="shared" si="17"/>
        <v>845434.2</v>
      </c>
      <c r="X76" s="2203">
        <f t="shared" si="17"/>
        <v>845434.2</v>
      </c>
      <c r="Y76" s="2203">
        <f t="shared" si="17"/>
        <v>845434.2</v>
      </c>
      <c r="Z76" s="2203">
        <f t="shared" si="17"/>
        <v>845434.2</v>
      </c>
      <c r="AA76" s="2203">
        <f t="shared" si="17"/>
        <v>845434.2</v>
      </c>
      <c r="AB76" s="2203">
        <f t="shared" si="17"/>
        <v>845434.2</v>
      </c>
      <c r="AC76" s="2203">
        <f t="shared" si="17"/>
        <v>845434.2</v>
      </c>
      <c r="AD76" s="2203">
        <f t="shared" si="17"/>
        <v>845434.2</v>
      </c>
      <c r="AE76" s="2203">
        <f t="shared" si="17"/>
        <v>845434.2</v>
      </c>
      <c r="AF76" s="2203">
        <f t="shared" si="17"/>
        <v>845434.2</v>
      </c>
      <c r="AG76" s="2203">
        <f t="shared" si="17"/>
        <v>845434.2</v>
      </c>
      <c r="AH76" s="2203">
        <f t="shared" si="17"/>
        <v>845434.2</v>
      </c>
      <c r="AI76" s="2203">
        <f t="shared" si="17"/>
        <v>845434.2</v>
      </c>
    </row>
    <row r="77" spans="1:35" ht="16.5" thickBot="1">
      <c r="C77" s="2202" t="s">
        <v>2822</v>
      </c>
      <c r="D77" s="2284">
        <v>690874.28916666668</v>
      </c>
      <c r="E77" s="2284">
        <v>345942.5791666666</v>
      </c>
      <c r="F77" s="2284">
        <v>297253.28166666697</v>
      </c>
      <c r="G77" s="2284">
        <v>259586.82583333331</v>
      </c>
      <c r="H77" s="2284">
        <v>216666.10249999998</v>
      </c>
      <c r="I77" s="2284">
        <v>216666.10249999998</v>
      </c>
      <c r="J77" s="2284">
        <v>216666.10249999998</v>
      </c>
      <c r="K77" s="2284">
        <v>216666.10249999998</v>
      </c>
      <c r="L77" s="2284">
        <v>216666.10249999998</v>
      </c>
      <c r="M77" s="2284">
        <v>216666.10249999998</v>
      </c>
      <c r="N77" s="2284">
        <v>216666.10249999998</v>
      </c>
      <c r="O77" s="2284">
        <v>216666.10249999998</v>
      </c>
      <c r="P77" s="2284">
        <v>216666.10249999998</v>
      </c>
      <c r="Q77" s="2284">
        <v>216666.10249999998</v>
      </c>
      <c r="R77" s="2284">
        <v>216666.10249999998</v>
      </c>
      <c r="S77" s="2284">
        <v>216666.10249999998</v>
      </c>
      <c r="T77" s="2284">
        <v>216666.10249999998</v>
      </c>
      <c r="U77" s="2284">
        <v>216666.10249999998</v>
      </c>
      <c r="V77" s="2284">
        <v>216666.10249999998</v>
      </c>
      <c r="W77" s="2284">
        <v>216666.10249999998</v>
      </c>
      <c r="X77" s="2284">
        <v>216666.10249999998</v>
      </c>
      <c r="Y77" s="2284">
        <v>216666.10249999998</v>
      </c>
      <c r="Z77" s="2284">
        <v>216666.10249999998</v>
      </c>
      <c r="AA77" s="2284">
        <v>216666.10249999998</v>
      </c>
      <c r="AB77" s="2284">
        <v>216666.10249999998</v>
      </c>
      <c r="AC77" s="2284">
        <v>216666.10249999998</v>
      </c>
      <c r="AD77" s="2284">
        <v>216666.10249999998</v>
      </c>
      <c r="AE77" s="2284">
        <v>216666.10249999998</v>
      </c>
      <c r="AF77" s="2284">
        <v>216666.10249999998</v>
      </c>
      <c r="AG77" s="2284">
        <v>216666.10249999998</v>
      </c>
      <c r="AH77" s="2284">
        <v>216666.10249999998</v>
      </c>
      <c r="AI77" s="2284">
        <v>216666.10249999998</v>
      </c>
    </row>
    <row r="78" spans="1:35">
      <c r="C78" s="2202" t="s">
        <v>2823</v>
      </c>
      <c r="D78" s="2204">
        <f>SUM(D75:D77)</f>
        <v>18928124.251187067</v>
      </c>
      <c r="E78" s="2204">
        <f t="shared" ref="E78:AI78" si="18">SUM(E75:E77)</f>
        <v>20541972.647580314</v>
      </c>
      <c r="F78" s="2204">
        <f t="shared" si="18"/>
        <v>23229318.025038853</v>
      </c>
      <c r="G78" s="2204">
        <f t="shared" si="18"/>
        <v>25983827.23333469</v>
      </c>
      <c r="H78" s="2204">
        <f t="shared" si="18"/>
        <v>28246046.341432951</v>
      </c>
      <c r="I78" s="2204">
        <f t="shared" si="18"/>
        <v>29941150.594803028</v>
      </c>
      <c r="J78" s="2204">
        <f t="shared" si="18"/>
        <v>31646536.600877803</v>
      </c>
      <c r="K78" s="2204">
        <f t="shared" si="18"/>
        <v>32222000.145815887</v>
      </c>
      <c r="L78" s="2204">
        <f t="shared" si="18"/>
        <v>32319533.580447443</v>
      </c>
      <c r="M78" s="2204">
        <f t="shared" si="18"/>
        <v>33294332.253345478</v>
      </c>
      <c r="N78" s="2204">
        <f t="shared" si="18"/>
        <v>34393847.547332309</v>
      </c>
      <c r="O78" s="2204">
        <f t="shared" si="18"/>
        <v>35503059.93002741</v>
      </c>
      <c r="P78" s="2204">
        <f t="shared" si="18"/>
        <v>36655404.396392092</v>
      </c>
      <c r="Q78" s="2204">
        <f t="shared" si="18"/>
        <v>39316057.981059611</v>
      </c>
      <c r="R78" s="2204">
        <f t="shared" si="18"/>
        <v>42083166.749319136</v>
      </c>
      <c r="S78" s="2204">
        <f t="shared" si="18"/>
        <v>44958858.933636352</v>
      </c>
      <c r="T78" s="2204">
        <f t="shared" si="18"/>
        <v>47945369.2303726</v>
      </c>
      <c r="U78" s="2204">
        <f t="shared" si="18"/>
        <v>51045040.289024867</v>
      </c>
      <c r="V78" s="2204">
        <f t="shared" si="18"/>
        <v>54260324.314330071</v>
      </c>
      <c r="W78" s="2204">
        <f t="shared" si="18"/>
        <v>57593784.781892076</v>
      </c>
      <c r="X78" s="2204">
        <f t="shared" si="18"/>
        <v>61048098.268118672</v>
      </c>
      <c r="Y78" s="2204">
        <f t="shared" si="18"/>
        <v>64626056.395384282</v>
      </c>
      <c r="Z78" s="2204">
        <f t="shared" si="18"/>
        <v>67777897.855653167</v>
      </c>
      <c r="AA78" s="2204">
        <f t="shared" si="18"/>
        <v>71042740.601644486</v>
      </c>
      <c r="AB78" s="2204">
        <f t="shared" si="18"/>
        <v>74423236.830253333</v>
      </c>
      <c r="AC78" s="2204">
        <f t="shared" si="18"/>
        <v>77922147.817948729</v>
      </c>
      <c r="AD78" s="2204">
        <f t="shared" si="18"/>
        <v>81542346.012614131</v>
      </c>
      <c r="AE78" s="2204">
        <f t="shared" si="18"/>
        <v>85286817.235365093</v>
      </c>
      <c r="AF78" s="2204">
        <f t="shared" si="18"/>
        <v>89158662.993754327</v>
      </c>
      <c r="AG78" s="2204">
        <f t="shared" si="18"/>
        <v>93161102.907892779</v>
      </c>
      <c r="AH78" s="2204">
        <f t="shared" si="18"/>
        <v>97297477.25113301</v>
      </c>
      <c r="AI78" s="2204">
        <f t="shared" si="18"/>
        <v>101571249.60708098</v>
      </c>
    </row>
    <row r="79" spans="1:35">
      <c r="C79" s="2202"/>
      <c r="D79" s="2204"/>
      <c r="E79" s="2204"/>
      <c r="F79" s="2204"/>
      <c r="G79" s="2204"/>
      <c r="H79" s="2204"/>
      <c r="I79" s="2204"/>
      <c r="J79" s="2204"/>
      <c r="K79" s="2204"/>
      <c r="L79" s="2204"/>
      <c r="M79" s="2204"/>
      <c r="N79" s="2204"/>
      <c r="O79" s="2204"/>
      <c r="P79" s="2204"/>
      <c r="Q79" s="2204"/>
      <c r="R79" s="2204"/>
      <c r="S79" s="2204"/>
      <c r="T79" s="2204"/>
      <c r="U79" s="2204"/>
      <c r="V79" s="2204"/>
      <c r="W79" s="2204"/>
      <c r="X79" s="2204"/>
      <c r="Y79" s="2204"/>
      <c r="Z79" s="2204"/>
      <c r="AA79" s="2204"/>
      <c r="AB79" s="2204"/>
      <c r="AC79" s="2204"/>
      <c r="AD79" s="2204"/>
      <c r="AE79" s="2204"/>
      <c r="AF79" s="2204"/>
      <c r="AG79" s="2204"/>
      <c r="AH79" s="2204"/>
      <c r="AI79" s="2204"/>
    </row>
    <row r="80" spans="1:35">
      <c r="C80" s="2202" t="s">
        <v>2824</v>
      </c>
      <c r="D80" s="2161">
        <f>+D119</f>
        <v>33140592.827979602</v>
      </c>
      <c r="E80" s="2161">
        <f>+E119</f>
        <v>35633043.146817461</v>
      </c>
      <c r="F80" s="2161">
        <f>+F119</f>
        <v>36999320.802911229</v>
      </c>
      <c r="G80" s="2161">
        <f>+G119</f>
        <v>38975163.593902722</v>
      </c>
      <c r="H80" s="2161">
        <f>+H119</f>
        <v>40493089.508257881</v>
      </c>
      <c r="I80" s="2161">
        <f t="shared" ref="I80:AI80" si="19">+I119</f>
        <v>41495455.117892832</v>
      </c>
      <c r="J80" s="2161">
        <f t="shared" si="19"/>
        <v>42448471.766374797</v>
      </c>
      <c r="K80" s="2161">
        <f t="shared" si="19"/>
        <v>41782072.165696956</v>
      </c>
      <c r="L80" s="2161">
        <f t="shared" si="19"/>
        <v>40384396.431757405</v>
      </c>
      <c r="M80" s="2161">
        <f t="shared" si="19"/>
        <v>40777380.878305964</v>
      </c>
      <c r="N80" s="2161">
        <f t="shared" si="19"/>
        <v>41357721.376991116</v>
      </c>
      <c r="O80" s="2161">
        <f t="shared" si="19"/>
        <v>42559673.16298116</v>
      </c>
      <c r="P80" s="2161">
        <f t="shared" si="19"/>
        <v>43457892.083009906</v>
      </c>
      <c r="Q80" s="2161">
        <f t="shared" si="19"/>
        <v>43466944.154738188</v>
      </c>
      <c r="R80" s="2161">
        <f t="shared" si="19"/>
        <v>43533771.966167763</v>
      </c>
      <c r="S80" s="2161">
        <f t="shared" si="19"/>
        <v>43657808.622387692</v>
      </c>
      <c r="T80" s="2161">
        <f t="shared" si="19"/>
        <v>43838562.228323802</v>
      </c>
      <c r="U80" s="2161">
        <f t="shared" si="19"/>
        <v>44075614.458466366</v>
      </c>
      <c r="V80" s="2161">
        <f t="shared" si="19"/>
        <v>44368619.230900474</v>
      </c>
      <c r="W80" s="2161">
        <f t="shared" si="19"/>
        <v>44717301.482879356</v>
      </c>
      <c r="X80" s="2161">
        <f t="shared" si="19"/>
        <v>45121456.045334503</v>
      </c>
      <c r="Y80" s="2161">
        <f t="shared" si="19"/>
        <v>45580946.61386352</v>
      </c>
      <c r="Z80" s="2161">
        <f t="shared" si="19"/>
        <v>46095704.813880615</v>
      </c>
      <c r="AA80" s="2161">
        <f t="shared" si="19"/>
        <v>46665729.357753143</v>
      </c>
      <c r="AB80" s="2161">
        <f t="shared" si="19"/>
        <v>47291085.29188256</v>
      </c>
      <c r="AC80" s="2161">
        <f t="shared" si="19"/>
        <v>47971903.331818961</v>
      </c>
      <c r="AD80" s="2161">
        <f t="shared" si="19"/>
        <v>49440185.161950961</v>
      </c>
      <c r="AE80" s="2161">
        <f t="shared" si="19"/>
        <v>50986339.482831821</v>
      </c>
      <c r="AF80" s="2161">
        <f t="shared" si="19"/>
        <v>52611349.507750221</v>
      </c>
      <c r="AG80" s="2161">
        <f t="shared" si="19"/>
        <v>54316282.064850822</v>
      </c>
      <c r="AH80" s="2161">
        <f t="shared" si="19"/>
        <v>56102287.94084172</v>
      </c>
      <c r="AI80" s="2161">
        <f t="shared" si="19"/>
        <v>57970602.321602516</v>
      </c>
    </row>
    <row r="81" spans="1:35">
      <c r="C81" s="2202" t="s">
        <v>2825</v>
      </c>
      <c r="D81" s="2285">
        <v>1298798.28</v>
      </c>
      <c r="E81" s="2285">
        <v>1298798.28</v>
      </c>
      <c r="F81" s="2285">
        <v>1298798.28</v>
      </c>
      <c r="G81" s="2285">
        <v>1298798.28</v>
      </c>
      <c r="H81" s="2285">
        <v>1298798.28</v>
      </c>
      <c r="I81" s="2285">
        <v>1298798.28</v>
      </c>
      <c r="J81" s="2285">
        <v>1298798.28</v>
      </c>
      <c r="K81" s="2285">
        <v>1298798.28</v>
      </c>
      <c r="L81" s="2285">
        <v>1298798.28</v>
      </c>
      <c r="M81" s="2285">
        <v>1298798.28</v>
      </c>
      <c r="N81" s="2285">
        <v>1298798.28</v>
      </c>
      <c r="O81" s="2285">
        <v>1298798.28</v>
      </c>
      <c r="P81" s="2285">
        <v>1298798.28</v>
      </c>
      <c r="Q81" s="2285">
        <v>1298798.28</v>
      </c>
      <c r="R81" s="2285">
        <v>1298798.28</v>
      </c>
      <c r="S81" s="2285">
        <v>1298798.28</v>
      </c>
      <c r="T81" s="2285">
        <v>1298798.28</v>
      </c>
      <c r="U81" s="2285">
        <v>1298798.28</v>
      </c>
      <c r="V81" s="2285">
        <v>1298798.28</v>
      </c>
      <c r="W81" s="2285">
        <v>1298798.28</v>
      </c>
      <c r="X81" s="2285">
        <v>1298798.28</v>
      </c>
      <c r="Y81" s="2285">
        <v>1298798.28</v>
      </c>
      <c r="Z81" s="2285">
        <v>1298798.28</v>
      </c>
      <c r="AA81" s="2285">
        <v>1298798.28</v>
      </c>
      <c r="AB81" s="2285">
        <v>1298798.28</v>
      </c>
      <c r="AC81" s="2285">
        <v>1298798.28</v>
      </c>
      <c r="AD81" s="2285">
        <v>1298798.28</v>
      </c>
      <c r="AE81" s="2285">
        <v>1298798.28</v>
      </c>
      <c r="AF81" s="2285">
        <v>1298798.28</v>
      </c>
      <c r="AG81" s="2285">
        <v>1298798.28</v>
      </c>
      <c r="AH81" s="2285">
        <v>1298798.28</v>
      </c>
      <c r="AI81" s="2285">
        <v>1298798.28</v>
      </c>
    </row>
    <row r="82" spans="1:35">
      <c r="C82" s="2202" t="s">
        <v>2826</v>
      </c>
      <c r="D82" s="2286">
        <v>2723104.2</v>
      </c>
      <c r="E82" s="2286">
        <v>2723104.2</v>
      </c>
      <c r="F82" s="2286">
        <v>2723104.2</v>
      </c>
      <c r="G82" s="2286">
        <v>2723104.2</v>
      </c>
      <c r="H82" s="2286">
        <v>2723104.2</v>
      </c>
      <c r="I82" s="2286">
        <v>2723104.2</v>
      </c>
      <c r="J82" s="2286">
        <v>2723104.2</v>
      </c>
      <c r="K82" s="2286">
        <v>2723104.2</v>
      </c>
      <c r="L82" s="2286">
        <v>2723104.2</v>
      </c>
      <c r="M82" s="2286">
        <v>2723104.2</v>
      </c>
      <c r="N82" s="2286">
        <v>2723104.2</v>
      </c>
      <c r="O82" s="2286">
        <v>2723104.2</v>
      </c>
      <c r="P82" s="2286">
        <v>2723104.2</v>
      </c>
      <c r="Q82" s="2286">
        <v>2723104.2</v>
      </c>
      <c r="R82" s="2286">
        <v>2723104.2</v>
      </c>
      <c r="S82" s="2286">
        <v>2723104.2</v>
      </c>
      <c r="T82" s="2286">
        <v>2723104.2</v>
      </c>
      <c r="U82" s="2286">
        <v>2723104.2</v>
      </c>
      <c r="V82" s="2286">
        <v>2723104.2</v>
      </c>
      <c r="W82" s="2286">
        <v>2723104.2</v>
      </c>
      <c r="X82" s="2286">
        <v>2723104.2</v>
      </c>
      <c r="Y82" s="2286">
        <v>2723104.2</v>
      </c>
      <c r="Z82" s="2286">
        <v>2723104.2</v>
      </c>
      <c r="AA82" s="2286">
        <v>2723104.2</v>
      </c>
      <c r="AB82" s="2286">
        <v>2723104.2</v>
      </c>
      <c r="AC82" s="2286">
        <v>2723104.2</v>
      </c>
      <c r="AD82" s="2286">
        <v>2723104.2</v>
      </c>
      <c r="AE82" s="2286">
        <v>2723104.2</v>
      </c>
      <c r="AF82" s="2286">
        <v>2723104.2</v>
      </c>
      <c r="AG82" s="2286">
        <v>2723104.2</v>
      </c>
      <c r="AH82" s="2286">
        <v>2723104.2</v>
      </c>
      <c r="AI82" s="2286">
        <v>2723104.2</v>
      </c>
    </row>
    <row r="83" spans="1:35">
      <c r="C83" s="2202" t="s">
        <v>2676</v>
      </c>
      <c r="D83" s="2205">
        <f>SUM(D80:D82)</f>
        <v>37162495.307979606</v>
      </c>
      <c r="E83" s="2205">
        <f t="shared" ref="E83:AI83" si="20">SUM(E80:E82)</f>
        <v>39654945.626817465</v>
      </c>
      <c r="F83" s="2205">
        <f t="shared" si="20"/>
        <v>41021223.282911234</v>
      </c>
      <c r="G83" s="2205">
        <f t="shared" si="20"/>
        <v>42997066.073902726</v>
      </c>
      <c r="H83" s="2205">
        <f t="shared" si="20"/>
        <v>44514991.988257885</v>
      </c>
      <c r="I83" s="2205">
        <f t="shared" si="20"/>
        <v>45517357.597892836</v>
      </c>
      <c r="J83" s="2205">
        <f t="shared" si="20"/>
        <v>46470374.246374801</v>
      </c>
      <c r="K83" s="2205">
        <f t="shared" si="20"/>
        <v>45803974.64569696</v>
      </c>
      <c r="L83" s="2205">
        <f t="shared" si="20"/>
        <v>44406298.91175741</v>
      </c>
      <c r="M83" s="2205">
        <f t="shared" si="20"/>
        <v>44799283.358305968</v>
      </c>
      <c r="N83" s="2205">
        <f t="shared" si="20"/>
        <v>45379623.85699112</v>
      </c>
      <c r="O83" s="2205">
        <f t="shared" si="20"/>
        <v>46581575.642981164</v>
      </c>
      <c r="P83" s="2205">
        <f t="shared" si="20"/>
        <v>47479794.56300991</v>
      </c>
      <c r="Q83" s="2205">
        <f t="shared" si="20"/>
        <v>47488846.634738192</v>
      </c>
      <c r="R83" s="2205">
        <f t="shared" si="20"/>
        <v>47555674.446167767</v>
      </c>
      <c r="S83" s="2205">
        <f t="shared" si="20"/>
        <v>47679711.102387697</v>
      </c>
      <c r="T83" s="2205">
        <f t="shared" si="20"/>
        <v>47860464.708323807</v>
      </c>
      <c r="U83" s="2205">
        <f t="shared" si="20"/>
        <v>48097516.93846637</v>
      </c>
      <c r="V83" s="2205">
        <f t="shared" si="20"/>
        <v>48390521.710900478</v>
      </c>
      <c r="W83" s="2205">
        <f t="shared" si="20"/>
        <v>48739203.96287936</v>
      </c>
      <c r="X83" s="2205">
        <f t="shared" si="20"/>
        <v>49143358.525334507</v>
      </c>
      <c r="Y83" s="2205">
        <f t="shared" si="20"/>
        <v>49602849.093863524</v>
      </c>
      <c r="Z83" s="2205">
        <f t="shared" si="20"/>
        <v>50117607.293880619</v>
      </c>
      <c r="AA83" s="2205">
        <f t="shared" si="20"/>
        <v>50687631.837753147</v>
      </c>
      <c r="AB83" s="2205">
        <f t="shared" si="20"/>
        <v>51312987.771882564</v>
      </c>
      <c r="AC83" s="2205">
        <f t="shared" si="20"/>
        <v>51993805.811818965</v>
      </c>
      <c r="AD83" s="2205">
        <f t="shared" si="20"/>
        <v>53462087.641950965</v>
      </c>
      <c r="AE83" s="2205">
        <f t="shared" si="20"/>
        <v>55008241.962831825</v>
      </c>
      <c r="AF83" s="2205">
        <f t="shared" si="20"/>
        <v>56633251.987750225</v>
      </c>
      <c r="AG83" s="2205">
        <f t="shared" si="20"/>
        <v>58338184.544850826</v>
      </c>
      <c r="AH83" s="2205">
        <f t="shared" si="20"/>
        <v>60124190.420841724</v>
      </c>
      <c r="AI83" s="2205">
        <f t="shared" si="20"/>
        <v>61992504.80160252</v>
      </c>
    </row>
    <row r="84" spans="1:35">
      <c r="C84" s="2202" t="s">
        <v>602</v>
      </c>
      <c r="D84" s="2206">
        <f>+D78+D83</f>
        <v>56090619.55916667</v>
      </c>
      <c r="E84" s="2206">
        <f t="shared" ref="E84:AI84" si="21">+E78+E83</f>
        <v>60196918.274397776</v>
      </c>
      <c r="F84" s="2206">
        <f t="shared" si="21"/>
        <v>64250541.307950087</v>
      </c>
      <c r="G84" s="2206">
        <f t="shared" si="21"/>
        <v>68980893.307237417</v>
      </c>
      <c r="H84" s="2206">
        <f t="shared" si="21"/>
        <v>72761038.329690844</v>
      </c>
      <c r="I84" s="2206">
        <f t="shared" si="21"/>
        <v>75458508.192695856</v>
      </c>
      <c r="J84" s="2206">
        <f t="shared" si="21"/>
        <v>78116910.847252607</v>
      </c>
      <c r="K84" s="2206">
        <f t="shared" si="21"/>
        <v>78025974.791512847</v>
      </c>
      <c r="L84" s="2206">
        <f t="shared" si="21"/>
        <v>76725832.492204845</v>
      </c>
      <c r="M84" s="2206">
        <f t="shared" si="21"/>
        <v>78093615.61165145</v>
      </c>
      <c r="N84" s="2206">
        <f t="shared" si="21"/>
        <v>79773471.404323429</v>
      </c>
      <c r="O84" s="2206">
        <f t="shared" si="21"/>
        <v>82084635.573008567</v>
      </c>
      <c r="P84" s="2206">
        <f t="shared" si="21"/>
        <v>84135198.959401995</v>
      </c>
      <c r="Q84" s="2206">
        <f t="shared" si="21"/>
        <v>86804904.615797803</v>
      </c>
      <c r="R84" s="2206">
        <f t="shared" si="21"/>
        <v>89638841.195486903</v>
      </c>
      <c r="S84" s="2206">
        <f t="shared" si="21"/>
        <v>92638570.036024049</v>
      </c>
      <c r="T84" s="2206">
        <f t="shared" si="21"/>
        <v>95805833.938696414</v>
      </c>
      <c r="U84" s="2206">
        <f t="shared" si="21"/>
        <v>99142557.22749123</v>
      </c>
      <c r="V84" s="2206">
        <f t="shared" si="21"/>
        <v>102650846.02523056</v>
      </c>
      <c r="W84" s="2206">
        <f t="shared" si="21"/>
        <v>106332988.74477144</v>
      </c>
      <c r="X84" s="2206">
        <f t="shared" si="21"/>
        <v>110191456.79345319</v>
      </c>
      <c r="Y84" s="2206">
        <f t="shared" si="21"/>
        <v>114228905.4892478</v>
      </c>
      <c r="Z84" s="2206">
        <f t="shared" si="21"/>
        <v>117895505.14953378</v>
      </c>
      <c r="AA84" s="2206">
        <f t="shared" si="21"/>
        <v>121730372.43939763</v>
      </c>
      <c r="AB84" s="2206">
        <f t="shared" si="21"/>
        <v>125736224.6021359</v>
      </c>
      <c r="AC84" s="2206">
        <f t="shared" si="21"/>
        <v>129915953.62976769</v>
      </c>
      <c r="AD84" s="2206">
        <f t="shared" si="21"/>
        <v>135004433.6545651</v>
      </c>
      <c r="AE84" s="2206">
        <f t="shared" si="21"/>
        <v>140295059.19819692</v>
      </c>
      <c r="AF84" s="2206">
        <f t="shared" si="21"/>
        <v>145791914.98150456</v>
      </c>
      <c r="AG84" s="2206">
        <f t="shared" si="21"/>
        <v>151499287.45274359</v>
      </c>
      <c r="AH84" s="2206">
        <f t="shared" si="21"/>
        <v>157421667.67197472</v>
      </c>
      <c r="AI84" s="2206">
        <f t="shared" si="21"/>
        <v>163563754.40868351</v>
      </c>
    </row>
    <row r="85" spans="1:35">
      <c r="C85" s="2207" t="s">
        <v>2827</v>
      </c>
      <c r="D85" s="2208">
        <v>60639000</v>
      </c>
      <c r="E85" s="2208">
        <v>66088000</v>
      </c>
      <c r="F85" s="2208">
        <v>71445000</v>
      </c>
      <c r="G85" s="2208">
        <v>74590000</v>
      </c>
      <c r="H85" s="987"/>
    </row>
    <row r="86" spans="1:35">
      <c r="C86" s="2207" t="s">
        <v>2828</v>
      </c>
      <c r="D86" s="2208">
        <f>+D84-D85</f>
        <v>-4548380.4408333302</v>
      </c>
      <c r="E86" s="2208">
        <f>+E84-E85</f>
        <v>-5891081.7256022245</v>
      </c>
      <c r="F86" s="2208">
        <f>+F84-F85</f>
        <v>-7194458.6920499131</v>
      </c>
      <c r="G86" s="2208">
        <f>+G84-G85</f>
        <v>-5609106.6927625835</v>
      </c>
      <c r="H86" s="987"/>
    </row>
    <row r="87" spans="1:35">
      <c r="A87" s="2209"/>
      <c r="C87" s="2210"/>
      <c r="D87" s="2211">
        <f>+D84-D69</f>
        <v>4102952.6691666692</v>
      </c>
      <c r="E87" s="2211">
        <f>+E84-E69</f>
        <v>6649621.3776977733</v>
      </c>
      <c r="F87" s="2211">
        <f>+F84-F69</f>
        <v>7490406.5974480808</v>
      </c>
      <c r="G87" s="2211">
        <f>+G84-G69</f>
        <v>7112346.4727902263</v>
      </c>
      <c r="H87" s="2211">
        <f>+H84-H69</f>
        <v>1612209.4700765759</v>
      </c>
    </row>
    <row r="88" spans="1:35">
      <c r="A88" s="2209"/>
      <c r="C88" s="2210"/>
      <c r="D88" s="2211"/>
      <c r="E88" s="2211"/>
      <c r="F88" s="2211"/>
      <c r="G88" s="2211"/>
      <c r="H88" s="987"/>
    </row>
    <row r="89" spans="1:35">
      <c r="A89" s="2209"/>
      <c r="C89" s="2210"/>
      <c r="D89" s="2211"/>
      <c r="E89" s="2211"/>
      <c r="F89" s="2211"/>
      <c r="G89" s="2211"/>
      <c r="H89" s="987"/>
    </row>
    <row r="90" spans="1:35">
      <c r="A90" s="2209" t="s">
        <v>2829</v>
      </c>
      <c r="C90" s="2210"/>
      <c r="D90" s="2211"/>
      <c r="E90" s="2211"/>
      <c r="F90" s="2211"/>
      <c r="G90" s="2211"/>
      <c r="H90" s="987"/>
    </row>
    <row r="91" spans="1:35">
      <c r="A91" s="2212" t="s">
        <v>2830</v>
      </c>
      <c r="B91" s="2212"/>
      <c r="C91" s="2212"/>
      <c r="D91" s="2212" t="s">
        <v>2831</v>
      </c>
      <c r="E91" s="2212"/>
      <c r="F91" s="2212"/>
      <c r="G91" s="2213"/>
      <c r="H91" s="2212"/>
      <c r="I91" s="2212"/>
      <c r="J91" s="2212"/>
      <c r="K91" s="2212"/>
      <c r="L91" s="2212"/>
    </row>
    <row r="92" spans="1:35">
      <c r="A92" s="2212" t="s">
        <v>2832</v>
      </c>
      <c r="B92" s="2288">
        <v>817438.40833333344</v>
      </c>
      <c r="C92" s="2212" t="s">
        <v>2833</v>
      </c>
      <c r="D92" s="2287">
        <v>2837160.2558333334</v>
      </c>
      <c r="E92" s="2214">
        <f t="shared" ref="E92:K92" si="22">D92-E95</f>
        <v>1999721.8474999999</v>
      </c>
      <c r="F92" s="2214">
        <f t="shared" si="22"/>
        <v>1308847.5583333331</v>
      </c>
      <c r="G92" s="2214">
        <f t="shared" si="22"/>
        <v>962904.97916666651</v>
      </c>
      <c r="H92" s="2214">
        <f t="shared" si="22"/>
        <v>665651.69749999954</v>
      </c>
      <c r="I92" s="2214">
        <f t="shared" si="22"/>
        <v>406064.87166666624</v>
      </c>
      <c r="J92" s="2214">
        <f t="shared" si="22"/>
        <v>189398.76916666626</v>
      </c>
      <c r="K92" s="2214">
        <f t="shared" si="22"/>
        <v>29286.114999999612</v>
      </c>
      <c r="L92" s="2214"/>
    </row>
    <row r="93" spans="1:35" ht="16.5" thickBot="1">
      <c r="A93" s="2212" t="s">
        <v>2834</v>
      </c>
      <c r="B93" s="2289">
        <v>20000</v>
      </c>
      <c r="C93" s="2212" t="s">
        <v>2833</v>
      </c>
      <c r="D93" s="2287">
        <v>23582.44</v>
      </c>
      <c r="E93" s="2212"/>
      <c r="F93" s="2212"/>
      <c r="G93" s="2212"/>
      <c r="H93" s="2212"/>
      <c r="I93" s="2212"/>
      <c r="J93" s="2212"/>
      <c r="K93" s="2212"/>
      <c r="L93" s="2212"/>
    </row>
    <row r="94" spans="1:35">
      <c r="A94" s="2212"/>
      <c r="B94" s="2212"/>
      <c r="C94" s="2212"/>
      <c r="D94" s="2212"/>
      <c r="E94" s="2212" t="s">
        <v>2835</v>
      </c>
      <c r="F94" s="2212"/>
      <c r="G94" s="2212"/>
      <c r="H94" s="2212"/>
      <c r="I94" s="2212"/>
      <c r="J94" s="2212"/>
      <c r="K94" s="2212"/>
      <c r="L94" s="2212"/>
    </row>
    <row r="95" spans="1:35">
      <c r="A95" s="2212"/>
      <c r="B95" s="2215">
        <f>SUM(B92:B94)</f>
        <v>837438.40833333344</v>
      </c>
      <c r="C95" s="2293">
        <v>932019</v>
      </c>
      <c r="D95" s="2294">
        <v>86985321.190000027</v>
      </c>
      <c r="E95" s="2216">
        <f>B95</f>
        <v>837438.40833333344</v>
      </c>
      <c r="F95" s="2290">
        <v>690874.28916666668</v>
      </c>
      <c r="G95" s="2291">
        <v>345942.5791666666</v>
      </c>
      <c r="H95" s="2291">
        <f>298216.351666667-963.07</f>
        <v>297253.28166666697</v>
      </c>
      <c r="I95" s="2291">
        <v>259586.82583333331</v>
      </c>
      <c r="J95" s="2291">
        <v>216666.10249999998</v>
      </c>
      <c r="K95" s="2292">
        <v>160112.65416666665</v>
      </c>
      <c r="L95" s="2217">
        <f>K92</f>
        <v>29286.114999999612</v>
      </c>
    </row>
    <row r="96" spans="1:35">
      <c r="E96">
        <v>2013</v>
      </c>
      <c r="F96">
        <v>2014</v>
      </c>
      <c r="G96">
        <v>2015</v>
      </c>
      <c r="H96">
        <v>2016</v>
      </c>
      <c r="I96">
        <v>2017</v>
      </c>
      <c r="J96">
        <v>2018</v>
      </c>
      <c r="K96">
        <v>2019</v>
      </c>
      <c r="L96">
        <v>2020</v>
      </c>
    </row>
    <row r="98" spans="2:3">
      <c r="B98" s="2212" t="s">
        <v>2836</v>
      </c>
      <c r="C98" s="2212"/>
    </row>
    <row r="99" spans="2:3">
      <c r="B99" s="2212">
        <v>2009</v>
      </c>
      <c r="C99" s="2287">
        <v>414439.92</v>
      </c>
    </row>
    <row r="100" spans="2:3">
      <c r="B100" s="2212">
        <v>2010</v>
      </c>
      <c r="C100" s="2287">
        <v>416961.48</v>
      </c>
    </row>
    <row r="101" spans="2:3">
      <c r="B101" s="2212">
        <v>2011</v>
      </c>
      <c r="C101" s="2287">
        <v>416961.48</v>
      </c>
    </row>
    <row r="102" spans="2:3">
      <c r="B102" s="2218">
        <v>2012</v>
      </c>
      <c r="C102" s="2295">
        <v>421980.96</v>
      </c>
    </row>
    <row r="103" spans="2:3">
      <c r="B103" s="2219">
        <v>2013</v>
      </c>
      <c r="C103" s="2220">
        <f>C102</f>
        <v>421980.96</v>
      </c>
    </row>
    <row r="104" spans="2:3">
      <c r="B104" s="2212"/>
      <c r="C104" s="2221"/>
    </row>
    <row r="105" spans="2:3">
      <c r="B105" s="2212" t="s">
        <v>2837</v>
      </c>
      <c r="C105" s="2212"/>
    </row>
    <row r="106" spans="2:3">
      <c r="B106" s="2212">
        <v>2009</v>
      </c>
      <c r="C106" s="2287">
        <v>419718.09</v>
      </c>
    </row>
    <row r="107" spans="2:3">
      <c r="B107" s="2212">
        <v>2010</v>
      </c>
      <c r="C107" s="2287">
        <v>420165.36</v>
      </c>
    </row>
    <row r="108" spans="2:3">
      <c r="B108" s="2212">
        <v>2011</v>
      </c>
      <c r="C108" s="2287">
        <v>420165.36</v>
      </c>
    </row>
    <row r="109" spans="2:3">
      <c r="B109" s="2218">
        <v>2012</v>
      </c>
      <c r="C109" s="2295">
        <v>423453.24</v>
      </c>
    </row>
    <row r="110" spans="2:3">
      <c r="B110" s="2219">
        <v>2013</v>
      </c>
      <c r="C110" s="2220">
        <f>C109</f>
        <v>423453.24</v>
      </c>
    </row>
    <row r="113" spans="1:35">
      <c r="B113" s="2159" t="s">
        <v>393</v>
      </c>
      <c r="C113" s="2159" t="s">
        <v>2838</v>
      </c>
      <c r="D113" s="2159">
        <v>2014</v>
      </c>
      <c r="E113" s="2159">
        <v>2015</v>
      </c>
      <c r="F113" s="2159">
        <v>2016</v>
      </c>
      <c r="G113" s="2159">
        <v>2017</v>
      </c>
      <c r="H113" s="2159">
        <v>2018</v>
      </c>
      <c r="I113" s="2159">
        <v>2019</v>
      </c>
      <c r="J113" s="2159">
        <v>2020</v>
      </c>
      <c r="K113" s="2159">
        <v>2021</v>
      </c>
      <c r="L113" s="2159">
        <v>2022</v>
      </c>
      <c r="M113" s="2159">
        <v>2023</v>
      </c>
      <c r="N113" s="2159">
        <v>2024</v>
      </c>
      <c r="O113" s="2159">
        <v>2025</v>
      </c>
      <c r="P113" s="2159">
        <v>2026</v>
      </c>
      <c r="Q113" s="2159">
        <v>2027</v>
      </c>
      <c r="R113" s="2159">
        <v>2028</v>
      </c>
      <c r="S113" s="2159">
        <v>2029</v>
      </c>
      <c r="T113" s="2159">
        <v>2030</v>
      </c>
      <c r="U113" s="2159">
        <v>2031</v>
      </c>
      <c r="V113" s="2159">
        <v>2032</v>
      </c>
      <c r="W113" s="2159">
        <v>2033</v>
      </c>
      <c r="X113" s="2159">
        <v>2034</v>
      </c>
      <c r="Y113" s="2159">
        <v>2035</v>
      </c>
      <c r="Z113" s="2159">
        <v>2036</v>
      </c>
      <c r="AA113" s="2159">
        <v>2037</v>
      </c>
      <c r="AB113" s="2159">
        <v>2038</v>
      </c>
      <c r="AC113" s="2159">
        <v>2039</v>
      </c>
      <c r="AD113" s="2159">
        <v>2040</v>
      </c>
      <c r="AE113" s="2159">
        <v>2041</v>
      </c>
      <c r="AF113" s="2159">
        <v>2042</v>
      </c>
      <c r="AG113" s="2159">
        <v>2043</v>
      </c>
      <c r="AH113" s="2159">
        <v>2044</v>
      </c>
      <c r="AI113" s="2159">
        <v>2045</v>
      </c>
    </row>
    <row r="114" spans="1:35">
      <c r="A114" s="2222" t="s">
        <v>2839</v>
      </c>
      <c r="B114" s="2223">
        <f>+C114/C126</f>
        <v>0.68343648618038355</v>
      </c>
      <c r="C114" s="2162">
        <f>+C16</f>
        <v>1154570958.9000001</v>
      </c>
      <c r="D114" s="2159"/>
      <c r="E114" s="2159"/>
      <c r="F114" s="2159"/>
      <c r="G114" s="2159"/>
      <c r="H114" s="2159"/>
    </row>
    <row r="115" spans="1:35">
      <c r="A115" s="2224" t="s">
        <v>2840</v>
      </c>
      <c r="B115" s="2225">
        <v>50</v>
      </c>
      <c r="C115" s="2162"/>
      <c r="D115" s="2159"/>
      <c r="E115" s="2159"/>
      <c r="F115" s="2159"/>
      <c r="G115" s="2159"/>
      <c r="H115" s="2159"/>
    </row>
    <row r="116" spans="1:35">
      <c r="A116" s="2222" t="s">
        <v>2841</v>
      </c>
      <c r="B116" s="2226"/>
      <c r="C116" s="2162"/>
      <c r="D116" s="2162">
        <f>+C30</f>
        <v>141644212</v>
      </c>
      <c r="E116" s="2162">
        <f>+D30</f>
        <v>131812331.67782202</v>
      </c>
      <c r="F116" s="2162">
        <f t="shared" ref="F116:AI116" si="23">+E30</f>
        <v>74462748.910715029</v>
      </c>
      <c r="G116" s="2162">
        <f t="shared" si="23"/>
        <v>102281900.20156313</v>
      </c>
      <c r="H116" s="2162">
        <f t="shared" si="23"/>
        <v>99543886.701859042</v>
      </c>
      <c r="I116" s="2162">
        <f t="shared" si="23"/>
        <v>64451007.365840778</v>
      </c>
      <c r="J116" s="2162">
        <f t="shared" si="23"/>
        <v>62087862.309248246</v>
      </c>
      <c r="K116" s="2162">
        <f t="shared" si="23"/>
        <v>64454181.316339605</v>
      </c>
      <c r="L116" s="2162">
        <f t="shared" si="23"/>
        <v>73092302.06443359</v>
      </c>
      <c r="M116" s="2162">
        <f t="shared" si="23"/>
        <v>70369235.405966908</v>
      </c>
      <c r="N116" s="2162">
        <f t="shared" si="23"/>
        <v>69471651.131245911</v>
      </c>
      <c r="O116" s="2162">
        <f t="shared" si="23"/>
        <v>104666179.29008329</v>
      </c>
      <c r="P116" s="2162">
        <f t="shared" si="23"/>
        <v>87696792.392394811</v>
      </c>
      <c r="Q116" s="2162">
        <f t="shared" si="23"/>
        <v>41527016.121733375</v>
      </c>
      <c r="R116" s="2162">
        <f t="shared" si="23"/>
        <v>42772826.605385378</v>
      </c>
      <c r="S116" s="2162">
        <f t="shared" si="23"/>
        <v>44056011.403546937</v>
      </c>
      <c r="T116" s="2162">
        <f t="shared" si="23"/>
        <v>45377691.745653346</v>
      </c>
      <c r="U116" s="2162">
        <f t="shared" si="23"/>
        <v>46739022.498022951</v>
      </c>
      <c r="V116" s="2162">
        <f t="shared" si="23"/>
        <v>48141193.172963642</v>
      </c>
      <c r="W116" s="2162">
        <f t="shared" si="23"/>
        <v>49585428.968152553</v>
      </c>
      <c r="X116" s="2162">
        <f t="shared" si="23"/>
        <v>51072991.837197132</v>
      </c>
      <c r="Y116" s="2162">
        <f t="shared" si="23"/>
        <v>52605181.592313051</v>
      </c>
      <c r="Z116" s="2162">
        <f t="shared" si="23"/>
        <v>54183337.040082447</v>
      </c>
      <c r="AA116" s="2162">
        <f t="shared" si="23"/>
        <v>55808837.151284926</v>
      </c>
      <c r="AB116" s="2162">
        <f t="shared" si="23"/>
        <v>57483102.265823476</v>
      </c>
      <c r="AC116" s="2162">
        <f t="shared" si="23"/>
        <v>59207595.333798185</v>
      </c>
      <c r="AD116" s="2162">
        <f t="shared" si="23"/>
        <v>97574117.110099405</v>
      </c>
      <c r="AE116" s="2162">
        <f t="shared" si="23"/>
        <v>100501340.62340239</v>
      </c>
      <c r="AF116" s="2162">
        <f t="shared" si="23"/>
        <v>103516380.84210446</v>
      </c>
      <c r="AG116" s="2162">
        <f t="shared" si="23"/>
        <v>106621872.2673676</v>
      </c>
      <c r="AH116" s="2162">
        <f t="shared" si="23"/>
        <v>109820528.43538862</v>
      </c>
      <c r="AI116" s="2162">
        <f t="shared" si="23"/>
        <v>113115144.28845027</v>
      </c>
    </row>
    <row r="117" spans="1:35">
      <c r="A117" s="2222" t="s">
        <v>2842</v>
      </c>
      <c r="B117" s="20"/>
      <c r="C117" s="20"/>
      <c r="D117" s="2162">
        <f>+D132*$B$114</f>
        <v>30307708.5879796</v>
      </c>
      <c r="E117" s="2162">
        <f>+E132*$B$114</f>
        <v>30163912.273261018</v>
      </c>
      <c r="F117" s="2162">
        <f t="shared" ref="F117:AI117" si="24">+F132*$B$114</f>
        <v>30040934.951140486</v>
      </c>
      <c r="G117" s="2162">
        <f t="shared" si="24"/>
        <v>29971139.738100722</v>
      </c>
      <c r="H117" s="2162">
        <f t="shared" si="24"/>
        <v>29498187.918418698</v>
      </c>
      <c r="I117" s="2162">
        <f t="shared" si="24"/>
        <v>29211533.380736832</v>
      </c>
      <c r="J117" s="2162">
        <f t="shared" si="24"/>
        <v>28922792.783033833</v>
      </c>
      <c r="K117" s="2162">
        <f t="shared" si="24"/>
        <v>26967309.556029197</v>
      </c>
      <c r="L117" s="2162">
        <f t="shared" si="24"/>
        <v>24107787.78080098</v>
      </c>
      <c r="M117" s="2162">
        <f t="shared" si="24"/>
        <v>23093387.519230198</v>
      </c>
      <c r="N117" s="2162">
        <f t="shared" si="24"/>
        <v>22284294.995290432</v>
      </c>
      <c r="O117" s="2162">
        <f t="shared" si="24"/>
        <v>21392923.195478812</v>
      </c>
      <c r="P117" s="2162">
        <f t="shared" si="24"/>
        <v>20537206.26765966</v>
      </c>
      <c r="Q117" s="2162">
        <f t="shared" si="24"/>
        <v>19715718.016953275</v>
      </c>
      <c r="R117" s="2162">
        <f t="shared" si="24"/>
        <v>18927089.296275146</v>
      </c>
      <c r="S117" s="2162">
        <f t="shared" si="24"/>
        <v>18170005.724424139</v>
      </c>
      <c r="T117" s="2162">
        <f t="shared" si="24"/>
        <v>17443205.495447174</v>
      </c>
      <c r="U117" s="2162">
        <f t="shared" si="24"/>
        <v>16745477.275629286</v>
      </c>
      <c r="V117" s="2162">
        <f t="shared" si="24"/>
        <v>16075658.184604114</v>
      </c>
      <c r="W117" s="2162">
        <f t="shared" si="24"/>
        <v>15432631.857219949</v>
      </c>
      <c r="X117" s="2162">
        <f t="shared" si="24"/>
        <v>14815326.582931153</v>
      </c>
      <c r="Y117" s="2162">
        <f t="shared" si="24"/>
        <v>14222713.519613909</v>
      </c>
      <c r="Z117" s="2162">
        <f t="shared" si="24"/>
        <v>13653804.978829352</v>
      </c>
      <c r="AA117" s="2162">
        <f t="shared" si="24"/>
        <v>13107652.77967618</v>
      </c>
      <c r="AB117" s="2162">
        <f t="shared" si="24"/>
        <v>12583346.668489132</v>
      </c>
      <c r="AC117" s="2162">
        <f t="shared" si="24"/>
        <v>12080012.801749567</v>
      </c>
      <c r="AD117" s="2162">
        <f t="shared" si="24"/>
        <v>11596812.289679583</v>
      </c>
      <c r="AE117" s="2162">
        <f t="shared" si="24"/>
        <v>11132939.798092399</v>
      </c>
      <c r="AF117" s="2162">
        <f t="shared" si="24"/>
        <v>10687622.206168704</v>
      </c>
      <c r="AG117" s="2162">
        <f t="shared" si="24"/>
        <v>10260117.317921955</v>
      </c>
      <c r="AH117" s="2162">
        <f t="shared" si="24"/>
        <v>9849712.6252050772</v>
      </c>
      <c r="AI117" s="2162">
        <f t="shared" si="24"/>
        <v>9455724.1201968733</v>
      </c>
    </row>
    <row r="118" spans="1:35">
      <c r="A118" s="2222" t="s">
        <v>2843</v>
      </c>
      <c r="D118" s="2162">
        <f>+D116/$B$115</f>
        <v>2832884.24</v>
      </c>
      <c r="E118" s="2162">
        <f>+D118+(+E116/$B$115)</f>
        <v>5469130.8735564407</v>
      </c>
      <c r="F118" s="2162">
        <f t="shared" ref="F118:AI118" si="25">+E118+(+F116/$B$115)</f>
        <v>6958385.8517707409</v>
      </c>
      <c r="G118" s="2162">
        <f t="shared" si="25"/>
        <v>9004023.8558020033</v>
      </c>
      <c r="H118" s="2162">
        <f t="shared" si="25"/>
        <v>10994901.589839185</v>
      </c>
      <c r="I118" s="2162">
        <f t="shared" si="25"/>
        <v>12283921.737156</v>
      </c>
      <c r="J118" s="2162">
        <f t="shared" si="25"/>
        <v>13525678.983340966</v>
      </c>
      <c r="K118" s="2162">
        <f t="shared" si="25"/>
        <v>14814762.609667758</v>
      </c>
      <c r="L118" s="2162">
        <f t="shared" si="25"/>
        <v>16276608.65095643</v>
      </c>
      <c r="M118" s="2162">
        <f t="shared" si="25"/>
        <v>17683993.359075766</v>
      </c>
      <c r="N118" s="2162">
        <f t="shared" si="25"/>
        <v>19073426.381700683</v>
      </c>
      <c r="O118" s="2162">
        <f t="shared" si="25"/>
        <v>21166749.967502348</v>
      </c>
      <c r="P118" s="2162">
        <f t="shared" si="25"/>
        <v>22920685.815350246</v>
      </c>
      <c r="Q118" s="2162">
        <f t="shared" si="25"/>
        <v>23751226.137784913</v>
      </c>
      <c r="R118" s="2162">
        <f t="shared" si="25"/>
        <v>24606682.66989262</v>
      </c>
      <c r="S118" s="2162">
        <f t="shared" si="25"/>
        <v>25487802.897963557</v>
      </c>
      <c r="T118" s="2162">
        <f t="shared" si="25"/>
        <v>26395356.732876625</v>
      </c>
      <c r="U118" s="2162">
        <f t="shared" si="25"/>
        <v>27330137.182837084</v>
      </c>
      <c r="V118" s="2162">
        <f t="shared" si="25"/>
        <v>28292961.046296358</v>
      </c>
      <c r="W118" s="2162">
        <f t="shared" si="25"/>
        <v>29284669.62565941</v>
      </c>
      <c r="X118" s="2162">
        <f t="shared" si="25"/>
        <v>30306129.462403353</v>
      </c>
      <c r="Y118" s="2162">
        <f t="shared" si="25"/>
        <v>31358233.094249614</v>
      </c>
      <c r="Z118" s="2162">
        <f t="shared" si="25"/>
        <v>32441899.835051261</v>
      </c>
      <c r="AA118" s="2162">
        <f t="shared" si="25"/>
        <v>33558076.578076959</v>
      </c>
      <c r="AB118" s="2162">
        <f t="shared" si="25"/>
        <v>34707738.623393431</v>
      </c>
      <c r="AC118" s="2162">
        <f t="shared" si="25"/>
        <v>35891890.530069396</v>
      </c>
      <c r="AD118" s="2162">
        <f t="shared" si="25"/>
        <v>37843372.872271381</v>
      </c>
      <c r="AE118" s="2162">
        <f t="shared" si="25"/>
        <v>39853399.684739426</v>
      </c>
      <c r="AF118" s="2162">
        <f t="shared" si="25"/>
        <v>41923727.301581517</v>
      </c>
      <c r="AG118" s="2162">
        <f t="shared" si="25"/>
        <v>44056164.746928871</v>
      </c>
      <c r="AH118" s="2162">
        <f t="shared" si="25"/>
        <v>46252575.315636642</v>
      </c>
      <c r="AI118" s="2162">
        <f t="shared" si="25"/>
        <v>48514878.201405644</v>
      </c>
    </row>
    <row r="119" spans="1:35">
      <c r="A119" s="2227" t="s">
        <v>2844</v>
      </c>
      <c r="B119" s="2228"/>
      <c r="C119" s="2228"/>
      <c r="D119" s="2228">
        <f t="shared" ref="D119:AI119" si="26">+D117+D118</f>
        <v>33140592.827979602</v>
      </c>
      <c r="E119" s="2228">
        <f t="shared" si="26"/>
        <v>35633043.146817461</v>
      </c>
      <c r="F119" s="2228">
        <f t="shared" si="26"/>
        <v>36999320.802911229</v>
      </c>
      <c r="G119" s="2228">
        <f t="shared" si="26"/>
        <v>38975163.593902722</v>
      </c>
      <c r="H119" s="2228">
        <f t="shared" si="26"/>
        <v>40493089.508257881</v>
      </c>
      <c r="I119" s="2228">
        <f t="shared" si="26"/>
        <v>41495455.117892832</v>
      </c>
      <c r="J119" s="2228">
        <f t="shared" si="26"/>
        <v>42448471.766374797</v>
      </c>
      <c r="K119" s="2228">
        <f t="shared" si="26"/>
        <v>41782072.165696956</v>
      </c>
      <c r="L119" s="2228">
        <f t="shared" si="26"/>
        <v>40384396.431757405</v>
      </c>
      <c r="M119" s="2228">
        <f t="shared" si="26"/>
        <v>40777380.878305964</v>
      </c>
      <c r="N119" s="2228">
        <f t="shared" si="26"/>
        <v>41357721.376991116</v>
      </c>
      <c r="O119" s="2228">
        <f t="shared" si="26"/>
        <v>42559673.16298116</v>
      </c>
      <c r="P119" s="2228">
        <f t="shared" si="26"/>
        <v>43457892.083009906</v>
      </c>
      <c r="Q119" s="2228">
        <f t="shared" si="26"/>
        <v>43466944.154738188</v>
      </c>
      <c r="R119" s="2228">
        <f t="shared" si="26"/>
        <v>43533771.966167763</v>
      </c>
      <c r="S119" s="2228">
        <f t="shared" si="26"/>
        <v>43657808.622387692</v>
      </c>
      <c r="T119" s="2228">
        <f t="shared" si="26"/>
        <v>43838562.228323802</v>
      </c>
      <c r="U119" s="2228">
        <f t="shared" si="26"/>
        <v>44075614.458466366</v>
      </c>
      <c r="V119" s="2228">
        <f t="shared" si="26"/>
        <v>44368619.230900474</v>
      </c>
      <c r="W119" s="2228">
        <f t="shared" si="26"/>
        <v>44717301.482879356</v>
      </c>
      <c r="X119" s="2228">
        <f t="shared" si="26"/>
        <v>45121456.045334503</v>
      </c>
      <c r="Y119" s="2228">
        <f t="shared" si="26"/>
        <v>45580946.61386352</v>
      </c>
      <c r="Z119" s="2228">
        <f t="shared" si="26"/>
        <v>46095704.813880615</v>
      </c>
      <c r="AA119" s="2228">
        <f t="shared" si="26"/>
        <v>46665729.357753143</v>
      </c>
      <c r="AB119" s="2228">
        <f t="shared" si="26"/>
        <v>47291085.29188256</v>
      </c>
      <c r="AC119" s="2228">
        <f t="shared" si="26"/>
        <v>47971903.331818961</v>
      </c>
      <c r="AD119" s="2228">
        <f t="shared" si="26"/>
        <v>49440185.161950961</v>
      </c>
      <c r="AE119" s="2228">
        <f t="shared" si="26"/>
        <v>50986339.482831821</v>
      </c>
      <c r="AF119" s="2228">
        <f t="shared" si="26"/>
        <v>52611349.507750221</v>
      </c>
      <c r="AG119" s="2228">
        <f t="shared" si="26"/>
        <v>54316282.064850822</v>
      </c>
      <c r="AH119" s="2228">
        <f t="shared" si="26"/>
        <v>56102287.94084172</v>
      </c>
      <c r="AI119" s="2228">
        <f t="shared" si="26"/>
        <v>57970602.321602516</v>
      </c>
    </row>
    <row r="120" spans="1:35">
      <c r="A120" s="2222" t="s">
        <v>2839</v>
      </c>
      <c r="B120" s="2223">
        <f>+C120/C126</f>
        <v>0.31656351381961645</v>
      </c>
      <c r="C120" s="2162">
        <f>+C10</f>
        <v>534790060.37</v>
      </c>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row>
    <row r="121" spans="1:35">
      <c r="A121" s="2224" t="s">
        <v>2845</v>
      </c>
      <c r="B121" s="2225">
        <v>20</v>
      </c>
      <c r="C121" s="2162"/>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row>
    <row r="122" spans="1:35">
      <c r="A122" s="2222" t="s">
        <v>2846</v>
      </c>
      <c r="B122" s="2226"/>
      <c r="C122" s="2162"/>
      <c r="D122" s="2162">
        <f>+C23</f>
        <v>67069487</v>
      </c>
      <c r="E122" s="2162">
        <f t="shared" ref="E122:AI122" si="27">+D23</f>
        <v>40507713.233493328</v>
      </c>
      <c r="F122" s="2162">
        <f t="shared" si="27"/>
        <v>55859940.056760222</v>
      </c>
      <c r="G122" s="2162">
        <f t="shared" si="27"/>
        <v>56490087.421787985</v>
      </c>
      <c r="H122" s="2162">
        <f t="shared" si="27"/>
        <v>50484163.234991513</v>
      </c>
      <c r="I122" s="2162">
        <f t="shared" si="27"/>
        <v>36557616.913764171</v>
      </c>
      <c r="J122" s="2162">
        <f t="shared" si="27"/>
        <v>36782576.967435479</v>
      </c>
      <c r="K122" s="2162">
        <f t="shared" si="27"/>
        <v>29624623.358669013</v>
      </c>
      <c r="L122" s="2162">
        <f t="shared" si="27"/>
        <v>28440921.388066828</v>
      </c>
      <c r="M122" s="2162">
        <f t="shared" si="27"/>
        <v>28893250.826545011</v>
      </c>
      <c r="N122" s="2162">
        <f t="shared" si="27"/>
        <v>29485638.000941362</v>
      </c>
      <c r="O122" s="2162">
        <f t="shared" si="27"/>
        <v>30441804.713669606</v>
      </c>
      <c r="P122" s="2162">
        <f t="shared" si="27"/>
        <v>30974144.104670689</v>
      </c>
      <c r="Q122" s="2162">
        <f t="shared" si="27"/>
        <v>60823236.279632151</v>
      </c>
      <c r="R122" s="2162">
        <f t="shared" si="27"/>
        <v>62647933.368021116</v>
      </c>
      <c r="S122" s="2162">
        <f t="shared" si="27"/>
        <v>64527371.369061753</v>
      </c>
      <c r="T122" s="2162">
        <f t="shared" si="27"/>
        <v>66463192.510133609</v>
      </c>
      <c r="U122" s="2162">
        <f t="shared" si="27"/>
        <v>68457088.285437614</v>
      </c>
      <c r="V122" s="2162">
        <f t="shared" si="27"/>
        <v>70510800.934000745</v>
      </c>
      <c r="W122" s="2162">
        <f t="shared" si="27"/>
        <v>72626124.96202077</v>
      </c>
      <c r="X122" s="2162">
        <f t="shared" si="27"/>
        <v>74804908.710881397</v>
      </c>
      <c r="Y122" s="2162">
        <f t="shared" si="27"/>
        <v>77049055.972207844</v>
      </c>
      <c r="Z122" s="2162">
        <f t="shared" si="27"/>
        <v>68307126.895197272</v>
      </c>
      <c r="AA122" s="2162">
        <f t="shared" si="27"/>
        <v>70356340.702053189</v>
      </c>
      <c r="AB122" s="2162">
        <f t="shared" si="27"/>
        <v>72467030.923114792</v>
      </c>
      <c r="AC122" s="2162">
        <f t="shared" si="27"/>
        <v>74641041.850808233</v>
      </c>
      <c r="AD122" s="2162">
        <f t="shared" si="27"/>
        <v>76880273.106332481</v>
      </c>
      <c r="AE122" s="2162">
        <f t="shared" si="27"/>
        <v>79186681.29952246</v>
      </c>
      <c r="AF122" s="2162">
        <f t="shared" si="27"/>
        <v>81562281.738508135</v>
      </c>
      <c r="AG122" s="2162">
        <f t="shared" si="27"/>
        <v>84009150.190663397</v>
      </c>
      <c r="AH122" s="2162">
        <f t="shared" si="27"/>
        <v>86529424.696383297</v>
      </c>
      <c r="AI122" s="2162">
        <f t="shared" si="27"/>
        <v>89125307.437274784</v>
      </c>
    </row>
    <row r="123" spans="1:35">
      <c r="A123" s="2222" t="s">
        <v>2847</v>
      </c>
      <c r="B123" s="19"/>
      <c r="C123" s="19"/>
      <c r="D123" s="2162">
        <f>+D132*$B$120</f>
        <v>14038341.412020402</v>
      </c>
      <c r="E123" s="2162">
        <f t="shared" ref="E123:AI123" si="28">+E132*$B$120</f>
        <v>13971735.856738985</v>
      </c>
      <c r="F123" s="2162">
        <f t="shared" si="28"/>
        <v>13914773.528859511</v>
      </c>
      <c r="G123" s="2162">
        <f t="shared" si="28"/>
        <v>13882444.82189928</v>
      </c>
      <c r="H123" s="2162">
        <f t="shared" si="28"/>
        <v>13663376.4915813</v>
      </c>
      <c r="I123" s="2162">
        <f t="shared" si="28"/>
        <v>13530599.899263168</v>
      </c>
      <c r="J123" s="2162">
        <f t="shared" si="28"/>
        <v>13396857.056966171</v>
      </c>
      <c r="K123" s="2162">
        <f t="shared" si="28"/>
        <v>12491089.433970805</v>
      </c>
      <c r="L123" s="2162">
        <f t="shared" si="28"/>
        <v>11166576.799199019</v>
      </c>
      <c r="M123" s="2162">
        <f t="shared" si="28"/>
        <v>10696712.930769803</v>
      </c>
      <c r="N123" s="2162">
        <f t="shared" si="28"/>
        <v>10321946.324709568</v>
      </c>
      <c r="O123" s="2162">
        <f t="shared" si="28"/>
        <v>9909068.4717211854</v>
      </c>
      <c r="P123" s="2162">
        <f t="shared" si="28"/>
        <v>9512705.7328523379</v>
      </c>
      <c r="Q123" s="2162">
        <f t="shared" si="28"/>
        <v>9132197.5035382453</v>
      </c>
      <c r="R123" s="2162">
        <f t="shared" si="28"/>
        <v>8766909.6033967156</v>
      </c>
      <c r="S123" s="2162">
        <f t="shared" si="28"/>
        <v>8416233.2192608472</v>
      </c>
      <c r="T123" s="2162">
        <f t="shared" si="28"/>
        <v>8079583.8904904127</v>
      </c>
      <c r="U123" s="2162">
        <f t="shared" si="28"/>
        <v>7756400.5348707959</v>
      </c>
      <c r="V123" s="2162">
        <f t="shared" si="28"/>
        <v>7446144.5134759638</v>
      </c>
      <c r="W123" s="2162">
        <f t="shared" si="28"/>
        <v>7148298.7329369262</v>
      </c>
      <c r="X123" s="2162">
        <f t="shared" si="28"/>
        <v>6862366.7836194495</v>
      </c>
      <c r="Y123" s="2162">
        <f t="shared" si="28"/>
        <v>6587872.1122746719</v>
      </c>
      <c r="Z123" s="2162">
        <f t="shared" si="28"/>
        <v>6324357.2277836856</v>
      </c>
      <c r="AA123" s="2162">
        <f t="shared" si="28"/>
        <v>6071382.9386723386</v>
      </c>
      <c r="AB123" s="2162">
        <f t="shared" si="28"/>
        <v>5828527.6211254448</v>
      </c>
      <c r="AC123" s="2162">
        <f t="shared" si="28"/>
        <v>5595386.5162804266</v>
      </c>
      <c r="AD123" s="2162">
        <f t="shared" si="28"/>
        <v>5371571.0556292096</v>
      </c>
      <c r="AE123" s="2162">
        <f t="shared" si="28"/>
        <v>5156708.2134040408</v>
      </c>
      <c r="AF123" s="2162">
        <f t="shared" si="28"/>
        <v>4950439.8848678796</v>
      </c>
      <c r="AG123" s="2162">
        <f t="shared" si="28"/>
        <v>4752422.2894731639</v>
      </c>
      <c r="AH123" s="2162">
        <f t="shared" si="28"/>
        <v>4562325.3978942372</v>
      </c>
      <c r="AI123" s="2162">
        <f t="shared" si="28"/>
        <v>4379832.381978468</v>
      </c>
    </row>
    <row r="124" spans="1:35">
      <c r="A124" s="2222" t="s">
        <v>2843</v>
      </c>
      <c r="D124" s="2162">
        <f>+D122/$B$121</f>
        <v>3353474.35</v>
      </c>
      <c r="E124" s="2162">
        <f>+D124+(+E122/$B$121)</f>
        <v>5378860.0116746668</v>
      </c>
      <c r="F124" s="2162">
        <f t="shared" ref="F124:AI124" si="29">+E124+(+F122/$B$121)</f>
        <v>8171857.0145126777</v>
      </c>
      <c r="G124" s="2162">
        <f t="shared" si="29"/>
        <v>10996361.385602077</v>
      </c>
      <c r="H124" s="2162">
        <f t="shared" si="29"/>
        <v>13520569.547351653</v>
      </c>
      <c r="I124" s="2162">
        <f t="shared" si="29"/>
        <v>15348450.393039862</v>
      </c>
      <c r="J124" s="2162">
        <f t="shared" si="29"/>
        <v>17187579.241411634</v>
      </c>
      <c r="K124" s="2162">
        <f t="shared" si="29"/>
        <v>18668810.409345083</v>
      </c>
      <c r="L124" s="2162">
        <f t="shared" si="29"/>
        <v>20090856.478748426</v>
      </c>
      <c r="M124" s="2162">
        <f t="shared" si="29"/>
        <v>21535519.020075675</v>
      </c>
      <c r="N124" s="2162">
        <f t="shared" si="29"/>
        <v>23009800.920122743</v>
      </c>
      <c r="O124" s="2162">
        <f t="shared" si="29"/>
        <v>24531891.155806221</v>
      </c>
      <c r="P124" s="2162">
        <f t="shared" si="29"/>
        <v>26080598.361039754</v>
      </c>
      <c r="Q124" s="2162">
        <f t="shared" si="29"/>
        <v>29121760.175021362</v>
      </c>
      <c r="R124" s="2162">
        <f t="shared" si="29"/>
        <v>32254156.843422417</v>
      </c>
      <c r="S124" s="2162">
        <f t="shared" si="29"/>
        <v>35480525.411875501</v>
      </c>
      <c r="T124" s="2162">
        <f t="shared" si="29"/>
        <v>38803685.037382185</v>
      </c>
      <c r="U124" s="2162">
        <f t="shared" si="29"/>
        <v>42226539.451654069</v>
      </c>
      <c r="V124" s="2162">
        <f t="shared" si="29"/>
        <v>45752079.498354107</v>
      </c>
      <c r="W124" s="2162">
        <f t="shared" si="29"/>
        <v>49383385.746455148</v>
      </c>
      <c r="X124" s="2162">
        <f t="shared" si="29"/>
        <v>53123631.181999221</v>
      </c>
      <c r="Y124" s="2162">
        <f t="shared" si="29"/>
        <v>56976083.980609611</v>
      </c>
      <c r="Z124" s="2162">
        <f t="shared" si="29"/>
        <v>60391440.325369477</v>
      </c>
      <c r="AA124" s="2162">
        <f t="shared" si="29"/>
        <v>63909257.360472135</v>
      </c>
      <c r="AB124" s="2162">
        <f t="shared" si="29"/>
        <v>67532608.906627879</v>
      </c>
      <c r="AC124" s="2162">
        <f t="shared" si="29"/>
        <v>71264660.999168292</v>
      </c>
      <c r="AD124" s="2162">
        <f t="shared" si="29"/>
        <v>75108674.654484913</v>
      </c>
      <c r="AE124" s="2162">
        <f t="shared" si="29"/>
        <v>79068008.719461039</v>
      </c>
      <c r="AF124" s="2162">
        <f t="shared" si="29"/>
        <v>83146122.806386441</v>
      </c>
      <c r="AG124" s="2162">
        <f t="shared" si="29"/>
        <v>87346580.315919608</v>
      </c>
      <c r="AH124" s="2162">
        <f t="shared" si="29"/>
        <v>91673051.550738767</v>
      </c>
      <c r="AI124" s="2162">
        <f t="shared" si="29"/>
        <v>96129316.922602504</v>
      </c>
    </row>
    <row r="125" spans="1:35">
      <c r="A125" s="2229" t="s">
        <v>2848</v>
      </c>
      <c r="B125" s="2230"/>
      <c r="C125" s="2230"/>
      <c r="D125" s="2230">
        <f>+D123+D124</f>
        <v>17391815.762020402</v>
      </c>
      <c r="E125" s="2230">
        <f t="shared" ref="E125:AI125" si="30">+E123+E124</f>
        <v>19350595.868413649</v>
      </c>
      <c r="F125" s="2230">
        <f t="shared" si="30"/>
        <v>22086630.543372188</v>
      </c>
      <c r="G125" s="2230">
        <f t="shared" si="30"/>
        <v>24878806.207501359</v>
      </c>
      <c r="H125" s="2230">
        <f t="shared" si="30"/>
        <v>27183946.038932953</v>
      </c>
      <c r="I125" s="2230">
        <f t="shared" si="30"/>
        <v>28879050.292303029</v>
      </c>
      <c r="J125" s="2230">
        <f t="shared" si="30"/>
        <v>30584436.298377804</v>
      </c>
      <c r="K125" s="2230">
        <f t="shared" si="30"/>
        <v>31159899.843315888</v>
      </c>
      <c r="L125" s="2230">
        <f t="shared" si="30"/>
        <v>31257433.277947444</v>
      </c>
      <c r="M125" s="2230">
        <f t="shared" si="30"/>
        <v>32232231.95084548</v>
      </c>
      <c r="N125" s="2230">
        <f t="shared" si="30"/>
        <v>33331747.244832311</v>
      </c>
      <c r="O125" s="2230">
        <f t="shared" si="30"/>
        <v>34440959.627527408</v>
      </c>
      <c r="P125" s="2230">
        <f t="shared" si="30"/>
        <v>35593304.09389209</v>
      </c>
      <c r="Q125" s="2230">
        <f t="shared" si="30"/>
        <v>38253957.678559609</v>
      </c>
      <c r="R125" s="2230">
        <f t="shared" si="30"/>
        <v>41021066.446819134</v>
      </c>
      <c r="S125" s="2230">
        <f t="shared" si="30"/>
        <v>43896758.63113635</v>
      </c>
      <c r="T125" s="2230">
        <f t="shared" si="30"/>
        <v>46883268.927872598</v>
      </c>
      <c r="U125" s="2230">
        <f t="shared" si="30"/>
        <v>49982939.986524865</v>
      </c>
      <c r="V125" s="2230">
        <f t="shared" si="30"/>
        <v>53198224.011830069</v>
      </c>
      <c r="W125" s="2230">
        <f t="shared" si="30"/>
        <v>56531684.479392074</v>
      </c>
      <c r="X125" s="2230">
        <f t="shared" si="30"/>
        <v>59985997.96561867</v>
      </c>
      <c r="Y125" s="2230">
        <f t="shared" si="30"/>
        <v>63563956.09288428</v>
      </c>
      <c r="Z125" s="2230">
        <f t="shared" si="30"/>
        <v>66715797.553153165</v>
      </c>
      <c r="AA125" s="2230">
        <f t="shared" si="30"/>
        <v>69980640.299144477</v>
      </c>
      <c r="AB125" s="2230">
        <f t="shared" si="30"/>
        <v>73361136.527753323</v>
      </c>
      <c r="AC125" s="2230">
        <f t="shared" si="30"/>
        <v>76860047.515448719</v>
      </c>
      <c r="AD125" s="2230">
        <f t="shared" si="30"/>
        <v>80480245.710114121</v>
      </c>
      <c r="AE125" s="2230">
        <f t="shared" si="30"/>
        <v>84224716.932865083</v>
      </c>
      <c r="AF125" s="2230">
        <f t="shared" si="30"/>
        <v>88096562.691254318</v>
      </c>
      <c r="AG125" s="2230">
        <f t="shared" si="30"/>
        <v>92099002.605392769</v>
      </c>
      <c r="AH125" s="2230">
        <f t="shared" si="30"/>
        <v>96235376.948633</v>
      </c>
      <c r="AI125" s="2230">
        <f t="shared" si="30"/>
        <v>100509149.30458097</v>
      </c>
    </row>
    <row r="126" spans="1:35">
      <c r="C126" s="424">
        <f>+C114+C120</f>
        <v>1689361019.27</v>
      </c>
    </row>
    <row r="131" spans="1:35">
      <c r="O131" t="s">
        <v>2849</v>
      </c>
    </row>
    <row r="132" spans="1:35">
      <c r="A132" s="2231" t="s">
        <v>2850</v>
      </c>
      <c r="B132" s="2232"/>
      <c r="C132" s="2232"/>
      <c r="D132" s="2265">
        <v>44346050</v>
      </c>
      <c r="E132" s="2265">
        <v>44135648.130000003</v>
      </c>
      <c r="F132" s="2265">
        <v>43955708.479999997</v>
      </c>
      <c r="G132" s="2265">
        <v>43853584.560000002</v>
      </c>
      <c r="H132" s="2265">
        <v>43161564.409999996</v>
      </c>
      <c r="I132" s="2265">
        <v>42742133.280000001</v>
      </c>
      <c r="J132" s="2265">
        <v>42319649.840000004</v>
      </c>
      <c r="K132" s="2265">
        <v>39458398.990000002</v>
      </c>
      <c r="L132" s="2265">
        <v>35274364.579999998</v>
      </c>
      <c r="M132" s="2265">
        <v>33790100.450000003</v>
      </c>
      <c r="N132" s="2265">
        <v>32606241.32</v>
      </c>
      <c r="O132" s="2266">
        <f>+N132-(+N132*0.04)</f>
        <v>31301991.667199999</v>
      </c>
      <c r="P132" s="2266">
        <f t="shared" ref="P132:AI132" si="31">+O132-(+O132*0.04)</f>
        <v>30049912.000512</v>
      </c>
      <c r="Q132" s="2266">
        <f t="shared" si="31"/>
        <v>28847915.520491522</v>
      </c>
      <c r="R132" s="2266">
        <f t="shared" si="31"/>
        <v>27693998.89967186</v>
      </c>
      <c r="S132" s="2266">
        <f t="shared" si="31"/>
        <v>26586238.943684984</v>
      </c>
      <c r="T132" s="2266">
        <f t="shared" si="31"/>
        <v>25522789.385937586</v>
      </c>
      <c r="U132" s="2266">
        <f t="shared" si="31"/>
        <v>24501877.810500082</v>
      </c>
      <c r="V132" s="2266">
        <f t="shared" si="31"/>
        <v>23521802.698080078</v>
      </c>
      <c r="W132" s="2266">
        <f t="shared" si="31"/>
        <v>22580930.590156876</v>
      </c>
      <c r="X132" s="2266">
        <f t="shared" si="31"/>
        <v>21677693.366550602</v>
      </c>
      <c r="Y132" s="2266">
        <f t="shared" si="31"/>
        <v>20810585.63188858</v>
      </c>
      <c r="Z132" s="2266">
        <f t="shared" si="31"/>
        <v>19978162.206613038</v>
      </c>
      <c r="AA132" s="2266">
        <f t="shared" si="31"/>
        <v>19179035.718348518</v>
      </c>
      <c r="AB132" s="2266">
        <f t="shared" si="31"/>
        <v>18411874.289614577</v>
      </c>
      <c r="AC132" s="2266">
        <f t="shared" si="31"/>
        <v>17675399.318029992</v>
      </c>
      <c r="AD132" s="2266">
        <f t="shared" si="31"/>
        <v>16968383.345308792</v>
      </c>
      <c r="AE132" s="2266">
        <f t="shared" si="31"/>
        <v>16289648.01149644</v>
      </c>
      <c r="AF132" s="2266">
        <f t="shared" si="31"/>
        <v>15638062.091036582</v>
      </c>
      <c r="AG132" s="2266">
        <f t="shared" si="31"/>
        <v>15012539.60739512</v>
      </c>
      <c r="AH132" s="2266">
        <f t="shared" si="31"/>
        <v>14412038.023099314</v>
      </c>
      <c r="AI132" s="2266">
        <f t="shared" si="31"/>
        <v>13835556.502175342</v>
      </c>
    </row>
    <row r="133" spans="1:35">
      <c r="A133" s="20"/>
      <c r="B133" s="20"/>
      <c r="C133" s="20" t="s">
        <v>2699</v>
      </c>
      <c r="D133" s="2233">
        <f>+D117+D123-D132</f>
        <v>0</v>
      </c>
      <c r="E133" s="2233">
        <f>+E117+E123-E132</f>
        <v>0</v>
      </c>
      <c r="F133" s="2233">
        <f>+F117+F123-F132</f>
        <v>0</v>
      </c>
      <c r="G133" s="2233">
        <f>+G117+G123-G132</f>
        <v>0</v>
      </c>
      <c r="H133" s="2233">
        <f>+H117+H123-H132</f>
        <v>0</v>
      </c>
      <c r="I133" s="20"/>
      <c r="J133" s="20"/>
      <c r="L133" s="485"/>
      <c r="M133" s="485"/>
      <c r="N133" s="485"/>
    </row>
    <row r="134" spans="1:35">
      <c r="A134" s="20"/>
      <c r="B134" s="20"/>
      <c r="C134" s="2234"/>
      <c r="D134" s="2162"/>
      <c r="E134" s="2162"/>
      <c r="F134" s="2162"/>
      <c r="G134" s="2162"/>
      <c r="H134" s="2162"/>
      <c r="I134" s="20"/>
      <c r="J134" s="20"/>
    </row>
    <row r="135" spans="1:35">
      <c r="A135" s="20"/>
      <c r="B135" s="20"/>
      <c r="C135" s="2234"/>
      <c r="D135" s="2162"/>
      <c r="E135" s="2162"/>
      <c r="F135" s="2162"/>
      <c r="G135" s="2162"/>
      <c r="H135" s="2162"/>
      <c r="I135" s="2162"/>
      <c r="J135" s="20"/>
    </row>
    <row r="136" spans="1:35">
      <c r="A136" s="2235" t="s">
        <v>2851</v>
      </c>
      <c r="B136" s="2236"/>
      <c r="C136" s="2237"/>
      <c r="D136" s="2237"/>
      <c r="E136" s="4376" t="s">
        <v>2852</v>
      </c>
      <c r="F136" s="4376"/>
      <c r="G136" s="4376"/>
      <c r="H136" s="4376"/>
      <c r="I136" s="4376"/>
      <c r="J136" s="4376"/>
      <c r="K136" s="4376"/>
      <c r="L136" s="4377" t="s">
        <v>2853</v>
      </c>
      <c r="M136" s="4377"/>
      <c r="N136" s="4377"/>
      <c r="O136" s="4377"/>
      <c r="P136" s="4362" t="s">
        <v>2854</v>
      </c>
      <c r="Q136" s="4362"/>
      <c r="R136" s="4362"/>
      <c r="S136" s="4362"/>
      <c r="T136" s="4362"/>
      <c r="U136" s="4362"/>
      <c r="V136" s="4362"/>
      <c r="W136" s="4362"/>
      <c r="X136" s="4362"/>
      <c r="Y136" s="4362"/>
      <c r="Z136" s="4362"/>
      <c r="AA136" s="4362"/>
      <c r="AB136" s="4362"/>
      <c r="AC136" s="4362"/>
      <c r="AD136" s="4362"/>
      <c r="AE136" s="4362"/>
      <c r="AF136" s="4362"/>
      <c r="AG136" s="4362"/>
      <c r="AH136" s="4362"/>
      <c r="AI136" s="4362"/>
    </row>
    <row r="137" spans="1:35">
      <c r="A137" s="2238"/>
      <c r="B137" s="2239" t="s">
        <v>400</v>
      </c>
      <c r="C137" s="2237" t="s">
        <v>2855</v>
      </c>
      <c r="D137" s="2237"/>
      <c r="E137" s="2240">
        <v>2015</v>
      </c>
      <c r="F137" s="2240">
        <v>2016</v>
      </c>
      <c r="G137" s="2240">
        <v>2017</v>
      </c>
      <c r="H137" s="2240">
        <v>2018</v>
      </c>
      <c r="I137" s="2240">
        <v>2019</v>
      </c>
      <c r="J137" s="2240">
        <v>2020</v>
      </c>
      <c r="K137" s="2240">
        <v>2021</v>
      </c>
      <c r="L137" s="2241">
        <v>2022</v>
      </c>
      <c r="M137" s="2241">
        <v>2023</v>
      </c>
      <c r="N137" s="2241">
        <v>2024</v>
      </c>
      <c r="O137" s="2241">
        <v>2025</v>
      </c>
      <c r="P137" s="2242">
        <v>2026</v>
      </c>
      <c r="Q137" s="2242">
        <v>2027</v>
      </c>
      <c r="R137" s="2242">
        <v>2028</v>
      </c>
      <c r="S137" s="2242">
        <v>2029</v>
      </c>
      <c r="T137" s="2242">
        <v>2030</v>
      </c>
      <c r="U137" s="2242">
        <v>2031</v>
      </c>
      <c r="V137" s="2242">
        <v>2032</v>
      </c>
      <c r="W137" s="2242">
        <v>2033</v>
      </c>
      <c r="X137" s="2242">
        <v>2034</v>
      </c>
      <c r="Y137" s="2242">
        <v>2035</v>
      </c>
      <c r="Z137" s="2242">
        <v>2036</v>
      </c>
      <c r="AA137" s="2242">
        <v>2037</v>
      </c>
      <c r="AB137" s="2242">
        <v>2038</v>
      </c>
      <c r="AC137" s="2242">
        <v>2039</v>
      </c>
      <c r="AD137" s="2242">
        <v>2040</v>
      </c>
      <c r="AE137" s="2242">
        <v>2041</v>
      </c>
      <c r="AF137" s="2242">
        <v>2042</v>
      </c>
      <c r="AG137" s="2242">
        <v>2043</v>
      </c>
      <c r="AH137" s="2242">
        <v>2044</v>
      </c>
      <c r="AI137" s="2242">
        <v>2045</v>
      </c>
    </row>
    <row r="138" spans="1:35">
      <c r="A138" s="2238" t="s">
        <v>2856</v>
      </c>
      <c r="B138" s="2299">
        <v>0.03</v>
      </c>
      <c r="C138" s="2296">
        <v>30000000</v>
      </c>
      <c r="D138" s="2245"/>
      <c r="E138" s="2246">
        <f>+C138</f>
        <v>30000000</v>
      </c>
      <c r="F138" s="2246">
        <f>+E138*(1+$B$138)</f>
        <v>30900000</v>
      </c>
      <c r="G138" s="2246">
        <f t="shared" ref="G138:AI138" si="32">+F138*(1+$B$138)</f>
        <v>31827000</v>
      </c>
      <c r="H138" s="2246">
        <f t="shared" si="32"/>
        <v>32781810</v>
      </c>
      <c r="I138" s="2246">
        <f t="shared" si="32"/>
        <v>33765264.300000004</v>
      </c>
      <c r="J138" s="2246">
        <f t="shared" si="32"/>
        <v>34778222.229000002</v>
      </c>
      <c r="K138" s="2246">
        <f t="shared" si="32"/>
        <v>35821568.89587</v>
      </c>
      <c r="L138" s="2247">
        <f t="shared" si="32"/>
        <v>36896215.962746099</v>
      </c>
      <c r="M138" s="2247">
        <f t="shared" si="32"/>
        <v>38003102.441628486</v>
      </c>
      <c r="N138" s="2247">
        <f t="shared" si="32"/>
        <v>39143195.514877342</v>
      </c>
      <c r="O138" s="2247">
        <f t="shared" si="32"/>
        <v>40317491.380323663</v>
      </c>
      <c r="P138" s="2248">
        <f t="shared" si="32"/>
        <v>41527016.121733375</v>
      </c>
      <c r="Q138" s="2248">
        <f t="shared" si="32"/>
        <v>42772826.605385378</v>
      </c>
      <c r="R138" s="2248">
        <f t="shared" si="32"/>
        <v>44056011.403546937</v>
      </c>
      <c r="S138" s="2248">
        <f t="shared" si="32"/>
        <v>45377691.745653346</v>
      </c>
      <c r="T138" s="2248">
        <f t="shared" si="32"/>
        <v>46739022.498022951</v>
      </c>
      <c r="U138" s="2248">
        <f t="shared" si="32"/>
        <v>48141193.172963642</v>
      </c>
      <c r="V138" s="2248">
        <f t="shared" si="32"/>
        <v>49585428.968152553</v>
      </c>
      <c r="W138" s="2248">
        <f t="shared" si="32"/>
        <v>51072991.837197132</v>
      </c>
      <c r="X138" s="2248">
        <f t="shared" si="32"/>
        <v>52605181.592313051</v>
      </c>
      <c r="Y138" s="2248">
        <f t="shared" si="32"/>
        <v>54183337.040082447</v>
      </c>
      <c r="Z138" s="2248">
        <f t="shared" si="32"/>
        <v>55808837.151284926</v>
      </c>
      <c r="AA138" s="2248">
        <f t="shared" si="32"/>
        <v>57483102.265823476</v>
      </c>
      <c r="AB138" s="2248">
        <f t="shared" si="32"/>
        <v>59207595.333798185</v>
      </c>
      <c r="AC138" s="2248">
        <f t="shared" si="32"/>
        <v>60983823.193812132</v>
      </c>
      <c r="AD138" s="2248">
        <f t="shared" si="32"/>
        <v>62813337.889626496</v>
      </c>
      <c r="AE138" s="2248">
        <f t="shared" si="32"/>
        <v>64697738.026315294</v>
      </c>
      <c r="AF138" s="2248">
        <f t="shared" si="32"/>
        <v>66638670.167104758</v>
      </c>
      <c r="AG138" s="2248">
        <f t="shared" si="32"/>
        <v>68637830.272117898</v>
      </c>
      <c r="AH138" s="2248">
        <f t="shared" si="32"/>
        <v>70696965.18028143</v>
      </c>
      <c r="AI138" s="2248">
        <f t="shared" si="32"/>
        <v>72817874.13568987</v>
      </c>
    </row>
    <row r="139" spans="1:35">
      <c r="A139" s="2238" t="s">
        <v>2857</v>
      </c>
      <c r="B139" s="2249" t="s">
        <v>2858</v>
      </c>
      <c r="C139" s="2297">
        <v>2500000</v>
      </c>
      <c r="D139" s="2250"/>
      <c r="E139" s="2251">
        <f>+C139</f>
        <v>2500000</v>
      </c>
      <c r="F139" s="2251">
        <f>+E139*(1+$B$138)</f>
        <v>2575000</v>
      </c>
      <c r="G139" s="2251">
        <f t="shared" ref="G139:AI139" si="33">+F139*(1+$B$138)</f>
        <v>2652250</v>
      </c>
      <c r="H139" s="2251">
        <f t="shared" si="33"/>
        <v>2731817.5</v>
      </c>
      <c r="I139" s="2251">
        <f t="shared" si="33"/>
        <v>2813772.0249999999</v>
      </c>
      <c r="J139" s="2251">
        <f t="shared" si="33"/>
        <v>2898185.1857500002</v>
      </c>
      <c r="K139" s="2251">
        <f t="shared" si="33"/>
        <v>2985130.7413225002</v>
      </c>
      <c r="L139" s="2251">
        <f t="shared" si="33"/>
        <v>3074684.6635621754</v>
      </c>
      <c r="M139" s="2251">
        <f t="shared" si="33"/>
        <v>3166925.2034690408</v>
      </c>
      <c r="N139" s="2251">
        <f t="shared" si="33"/>
        <v>3261932.959573112</v>
      </c>
      <c r="O139" s="2251">
        <f t="shared" si="33"/>
        <v>3359790.9483603053</v>
      </c>
      <c r="P139" s="2251">
        <f t="shared" si="33"/>
        <v>3460584.6768111144</v>
      </c>
      <c r="Q139" s="2251">
        <f t="shared" si="33"/>
        <v>3564402.2171154479</v>
      </c>
      <c r="R139" s="2251">
        <f t="shared" si="33"/>
        <v>3671334.2836289112</v>
      </c>
      <c r="S139" s="2251">
        <f t="shared" si="33"/>
        <v>3781474.3121377788</v>
      </c>
      <c r="T139" s="2251">
        <f t="shared" si="33"/>
        <v>3894918.5415019123</v>
      </c>
      <c r="U139" s="2251">
        <f t="shared" si="33"/>
        <v>4011766.0977469697</v>
      </c>
      <c r="V139" s="2251">
        <f t="shared" si="33"/>
        <v>4132119.0806793789</v>
      </c>
      <c r="W139" s="2251">
        <f t="shared" si="33"/>
        <v>4256082.6530997604</v>
      </c>
      <c r="X139" s="2251">
        <f t="shared" si="33"/>
        <v>4383765.1326927533</v>
      </c>
      <c r="Y139" s="2251">
        <f t="shared" si="33"/>
        <v>4515278.0866735363</v>
      </c>
      <c r="Z139" s="2251">
        <f t="shared" si="33"/>
        <v>4650736.4292737423</v>
      </c>
      <c r="AA139" s="2251">
        <f t="shared" si="33"/>
        <v>4790258.5221519545</v>
      </c>
      <c r="AB139" s="2251">
        <f t="shared" si="33"/>
        <v>4933966.2778165136</v>
      </c>
      <c r="AC139" s="2251">
        <f t="shared" si="33"/>
        <v>5081985.2661510091</v>
      </c>
      <c r="AD139" s="2251">
        <f t="shared" si="33"/>
        <v>5234444.8241355391</v>
      </c>
      <c r="AE139" s="2251">
        <f t="shared" si="33"/>
        <v>5391478.1688596057</v>
      </c>
      <c r="AF139" s="2251">
        <f t="shared" si="33"/>
        <v>5553222.513925394</v>
      </c>
      <c r="AG139" s="2251">
        <f t="shared" si="33"/>
        <v>5719819.1893431563</v>
      </c>
      <c r="AH139" s="2251">
        <f t="shared" si="33"/>
        <v>5891413.7650234513</v>
      </c>
      <c r="AI139" s="2251">
        <f t="shared" si="33"/>
        <v>6068156.1779741552</v>
      </c>
    </row>
    <row r="140" spans="1:35">
      <c r="A140" s="2238" t="s">
        <v>2859</v>
      </c>
      <c r="B140" s="2249" t="s">
        <v>2860</v>
      </c>
      <c r="C140" s="2297">
        <v>13940000</v>
      </c>
      <c r="D140" s="2251"/>
      <c r="E140" s="2251">
        <f>+C140</f>
        <v>13940000</v>
      </c>
      <c r="F140" s="2251">
        <f>+E140*(1+$B$138)</f>
        <v>14358200</v>
      </c>
      <c r="G140" s="2251">
        <f t="shared" ref="G140:AI140" si="34">+F140*(1+$B$138)</f>
        <v>14788946</v>
      </c>
      <c r="H140" s="2251">
        <f t="shared" si="34"/>
        <v>15232614.380000001</v>
      </c>
      <c r="I140" s="2251">
        <f t="shared" si="34"/>
        <v>15689592.811400002</v>
      </c>
      <c r="J140" s="2251">
        <f t="shared" si="34"/>
        <v>16160280.595742002</v>
      </c>
      <c r="K140" s="2251">
        <f t="shared" si="34"/>
        <v>16645089.013614263</v>
      </c>
      <c r="L140" s="2251">
        <f t="shared" si="34"/>
        <v>17144441.684022691</v>
      </c>
      <c r="M140" s="2251">
        <f t="shared" si="34"/>
        <v>17658774.934543371</v>
      </c>
      <c r="N140" s="2251">
        <f t="shared" si="34"/>
        <v>18188538.182579674</v>
      </c>
      <c r="O140" s="2251">
        <f t="shared" si="34"/>
        <v>18734194.328057066</v>
      </c>
      <c r="P140" s="2251">
        <f t="shared" si="34"/>
        <v>19296220.157898776</v>
      </c>
      <c r="Q140" s="2251">
        <f t="shared" si="34"/>
        <v>19875106.762635741</v>
      </c>
      <c r="R140" s="2251">
        <f t="shared" si="34"/>
        <v>20471359.965514813</v>
      </c>
      <c r="S140" s="2251">
        <f t="shared" si="34"/>
        <v>21085500.764480259</v>
      </c>
      <c r="T140" s="2251">
        <f t="shared" si="34"/>
        <v>21718065.787414666</v>
      </c>
      <c r="U140" s="2251">
        <f t="shared" si="34"/>
        <v>22369607.761037108</v>
      </c>
      <c r="V140" s="2251">
        <f t="shared" si="34"/>
        <v>23040695.993868221</v>
      </c>
      <c r="W140" s="2251">
        <f t="shared" si="34"/>
        <v>23731916.873684268</v>
      </c>
      <c r="X140" s="2251">
        <f t="shared" si="34"/>
        <v>24443874.379894797</v>
      </c>
      <c r="Y140" s="2251">
        <f t="shared" si="34"/>
        <v>25177190.61129164</v>
      </c>
      <c r="Z140" s="2251">
        <f t="shared" si="34"/>
        <v>25932506.32963039</v>
      </c>
      <c r="AA140" s="2251">
        <f t="shared" si="34"/>
        <v>26710481.519519303</v>
      </c>
      <c r="AB140" s="2251">
        <f t="shared" si="34"/>
        <v>27511795.965104882</v>
      </c>
      <c r="AC140" s="2251">
        <f t="shared" si="34"/>
        <v>28337149.844058029</v>
      </c>
      <c r="AD140" s="2251">
        <f t="shared" si="34"/>
        <v>29187264.339379773</v>
      </c>
      <c r="AE140" s="2251">
        <f t="shared" si="34"/>
        <v>30062882.269561168</v>
      </c>
      <c r="AF140" s="2251">
        <f t="shared" si="34"/>
        <v>30964768.737648003</v>
      </c>
      <c r="AG140" s="2251">
        <f t="shared" si="34"/>
        <v>31893711.799777444</v>
      </c>
      <c r="AH140" s="2251">
        <f t="shared" si="34"/>
        <v>32850523.153770767</v>
      </c>
      <c r="AI140" s="2251">
        <f t="shared" si="34"/>
        <v>33836038.848383889</v>
      </c>
    </row>
    <row r="141" spans="1:35">
      <c r="A141" s="2252" t="s">
        <v>2859</v>
      </c>
      <c r="B141" s="2249" t="s">
        <v>2861</v>
      </c>
      <c r="C141" s="2297">
        <v>7820000</v>
      </c>
      <c r="D141" s="2251"/>
      <c r="E141" s="2251">
        <f>+C141</f>
        <v>7820000</v>
      </c>
      <c r="F141" s="2251">
        <f>+E141*(1+$B$138)</f>
        <v>8054600</v>
      </c>
      <c r="G141" s="2251">
        <f t="shared" ref="G141:AI141" si="35">+F141*(1+$B$138)</f>
        <v>8296238</v>
      </c>
      <c r="H141" s="2251">
        <f t="shared" si="35"/>
        <v>8545125.1400000006</v>
      </c>
      <c r="I141" s="2251">
        <f t="shared" si="35"/>
        <v>8801478.8942000009</v>
      </c>
      <c r="J141" s="2251">
        <f t="shared" si="35"/>
        <v>9065523.2610260006</v>
      </c>
      <c r="K141" s="2251">
        <f t="shared" si="35"/>
        <v>9337488.9588567801</v>
      </c>
      <c r="L141" s="2251">
        <f t="shared" si="35"/>
        <v>9617613.6276224833</v>
      </c>
      <c r="M141" s="2251">
        <f t="shared" si="35"/>
        <v>9906142.0364511572</v>
      </c>
      <c r="N141" s="2251">
        <f t="shared" si="35"/>
        <v>10203326.297544692</v>
      </c>
      <c r="O141" s="2251">
        <f t="shared" si="35"/>
        <v>10509426.086471032</v>
      </c>
      <c r="P141" s="2251">
        <f t="shared" si="35"/>
        <v>10824708.869065164</v>
      </c>
      <c r="Q141" s="2251">
        <f t="shared" si="35"/>
        <v>11149450.135137118</v>
      </c>
      <c r="R141" s="2251">
        <f t="shared" si="35"/>
        <v>11483933.639191233</v>
      </c>
      <c r="S141" s="2251">
        <f t="shared" si="35"/>
        <v>11828451.648366969</v>
      </c>
      <c r="T141" s="2251">
        <f t="shared" si="35"/>
        <v>12183305.197817979</v>
      </c>
      <c r="U141" s="2251">
        <f t="shared" si="35"/>
        <v>12548804.35375252</v>
      </c>
      <c r="V141" s="2251">
        <f t="shared" si="35"/>
        <v>12925268.484365096</v>
      </c>
      <c r="W141" s="2251">
        <f t="shared" si="35"/>
        <v>13313026.53889605</v>
      </c>
      <c r="X141" s="2251">
        <f t="shared" si="35"/>
        <v>13712417.335062932</v>
      </c>
      <c r="Y141" s="2251">
        <f t="shared" si="35"/>
        <v>14123789.855114821</v>
      </c>
      <c r="Z141" s="2251">
        <f t="shared" si="35"/>
        <v>14547503.550768266</v>
      </c>
      <c r="AA141" s="2251">
        <f t="shared" si="35"/>
        <v>14983928.657291314</v>
      </c>
      <c r="AB141" s="2251">
        <f t="shared" si="35"/>
        <v>15433446.517010054</v>
      </c>
      <c r="AC141" s="2251">
        <f t="shared" si="35"/>
        <v>15896449.912520356</v>
      </c>
      <c r="AD141" s="2251">
        <f t="shared" si="35"/>
        <v>16373343.409895968</v>
      </c>
      <c r="AE141" s="2251">
        <f t="shared" si="35"/>
        <v>16864543.712192848</v>
      </c>
      <c r="AF141" s="2251">
        <f t="shared" si="35"/>
        <v>17370480.023558635</v>
      </c>
      <c r="AG141" s="2251">
        <f t="shared" si="35"/>
        <v>17891594.424265396</v>
      </c>
      <c r="AH141" s="2251">
        <f t="shared" si="35"/>
        <v>18428342.256993357</v>
      </c>
      <c r="AI141" s="2251">
        <f t="shared" si="35"/>
        <v>18981192.52470316</v>
      </c>
    </row>
    <row r="142" spans="1:35">
      <c r="A142" s="2252" t="s">
        <v>2862</v>
      </c>
      <c r="B142" s="2253"/>
      <c r="C142" s="2244"/>
      <c r="D142" s="2245"/>
      <c r="E142" s="2246">
        <f>+E139</f>
        <v>2500000</v>
      </c>
      <c r="F142" s="2246">
        <f>+E142*(1+$B$138)</f>
        <v>2575000</v>
      </c>
      <c r="G142" s="2246">
        <f t="shared" ref="G142:N142" si="36">+F142*(1+$B$138)</f>
        <v>2652250</v>
      </c>
      <c r="H142" s="2246">
        <f t="shared" si="36"/>
        <v>2731817.5</v>
      </c>
      <c r="I142" s="2246">
        <f t="shared" si="36"/>
        <v>2813772.0249999999</v>
      </c>
      <c r="J142" s="2246">
        <f t="shared" si="36"/>
        <v>2898185.1857500002</v>
      </c>
      <c r="K142" s="2246">
        <f t="shared" si="36"/>
        <v>2985130.7413225002</v>
      </c>
      <c r="L142" s="2247">
        <f t="shared" si="36"/>
        <v>3074684.6635621754</v>
      </c>
      <c r="M142" s="2247">
        <f t="shared" si="36"/>
        <v>3166925.2034690408</v>
      </c>
      <c r="N142" s="2247">
        <f t="shared" si="36"/>
        <v>3261932.959573112</v>
      </c>
      <c r="O142" s="2262">
        <f>O140</f>
        <v>18734194.328057066</v>
      </c>
      <c r="P142" s="2263">
        <f t="shared" ref="P142:X142" si="37">P140</f>
        <v>19296220.157898776</v>
      </c>
      <c r="Q142" s="2263">
        <f t="shared" si="37"/>
        <v>19875106.762635741</v>
      </c>
      <c r="R142" s="2263">
        <f t="shared" si="37"/>
        <v>20471359.965514813</v>
      </c>
      <c r="S142" s="2263">
        <f t="shared" si="37"/>
        <v>21085500.764480259</v>
      </c>
      <c r="T142" s="2263">
        <f t="shared" si="37"/>
        <v>21718065.787414666</v>
      </c>
      <c r="U142" s="2263">
        <f t="shared" si="37"/>
        <v>22369607.761037108</v>
      </c>
      <c r="V142" s="2263">
        <f t="shared" si="37"/>
        <v>23040695.993868221</v>
      </c>
      <c r="W142" s="2263">
        <f t="shared" si="37"/>
        <v>23731916.873684268</v>
      </c>
      <c r="X142" s="2263">
        <f t="shared" si="37"/>
        <v>24443874.379894797</v>
      </c>
      <c r="Y142" s="2264">
        <f>Y141</f>
        <v>14123789.855114821</v>
      </c>
      <c r="Z142" s="2264">
        <f t="shared" ref="Z142:AI142" si="38">Z141</f>
        <v>14547503.550768266</v>
      </c>
      <c r="AA142" s="2264">
        <f t="shared" si="38"/>
        <v>14983928.657291314</v>
      </c>
      <c r="AB142" s="2264">
        <f t="shared" si="38"/>
        <v>15433446.517010054</v>
      </c>
      <c r="AC142" s="2264">
        <f t="shared" si="38"/>
        <v>15896449.912520356</v>
      </c>
      <c r="AD142" s="2264">
        <f t="shared" si="38"/>
        <v>16373343.409895968</v>
      </c>
      <c r="AE142" s="2264">
        <f t="shared" si="38"/>
        <v>16864543.712192848</v>
      </c>
      <c r="AF142" s="2264">
        <f t="shared" si="38"/>
        <v>17370480.023558635</v>
      </c>
      <c r="AG142" s="2264">
        <f t="shared" si="38"/>
        <v>17891594.424265396</v>
      </c>
      <c r="AH142" s="2264">
        <f t="shared" si="38"/>
        <v>18428342.256993357</v>
      </c>
      <c r="AI142" s="2264">
        <f t="shared" si="38"/>
        <v>18981192.52470316</v>
      </c>
    </row>
    <row r="143" spans="1:35">
      <c r="A143" s="2238"/>
      <c r="B143" s="2243"/>
      <c r="C143" s="2244"/>
      <c r="D143" s="2245"/>
      <c r="E143" s="2246"/>
      <c r="F143" s="2246"/>
      <c r="G143" s="2246"/>
      <c r="H143" s="2246"/>
      <c r="I143" s="2246"/>
      <c r="J143" s="2246"/>
      <c r="K143" s="2246"/>
      <c r="L143" s="2247"/>
      <c r="M143" s="2247"/>
      <c r="N143" s="2247"/>
      <c r="O143" s="2247"/>
      <c r="P143" s="2254"/>
      <c r="Q143" s="2254"/>
      <c r="R143" s="2254"/>
      <c r="S143" s="2254"/>
      <c r="T143" s="2254"/>
      <c r="U143" s="2254"/>
      <c r="V143" s="2254"/>
      <c r="W143" s="2254"/>
      <c r="X143" s="2254"/>
      <c r="Y143" s="2254"/>
      <c r="Z143" s="2254"/>
      <c r="AA143" s="2254"/>
      <c r="AB143" s="2254"/>
      <c r="AC143" s="2254"/>
      <c r="AD143" s="2254"/>
      <c r="AE143" s="2254"/>
      <c r="AF143" s="2254"/>
      <c r="AG143" s="2254"/>
      <c r="AH143" s="2254"/>
      <c r="AI143" s="2254"/>
    </row>
    <row r="144" spans="1:35">
      <c r="A144" s="2238" t="s">
        <v>2863</v>
      </c>
      <c r="B144" s="2299">
        <v>0.03</v>
      </c>
      <c r="C144" s="2296">
        <v>30000000</v>
      </c>
      <c r="D144" s="2245"/>
      <c r="E144" s="2246">
        <f>+C144</f>
        <v>30000000</v>
      </c>
      <c r="F144" s="2246">
        <f>+E144*(1+$B$144)</f>
        <v>30900000</v>
      </c>
      <c r="G144" s="2246">
        <f t="shared" ref="G144:AI144" si="39">+F144*(1+$B$144)</f>
        <v>31827000</v>
      </c>
      <c r="H144" s="2246">
        <f t="shared" si="39"/>
        <v>32781810</v>
      </c>
      <c r="I144" s="2246">
        <f t="shared" si="39"/>
        <v>33765264.300000004</v>
      </c>
      <c r="J144" s="2246">
        <f t="shared" si="39"/>
        <v>34778222.229000002</v>
      </c>
      <c r="K144" s="2246">
        <f t="shared" si="39"/>
        <v>35821568.89587</v>
      </c>
      <c r="L144" s="2247">
        <f t="shared" si="39"/>
        <v>36896215.962746099</v>
      </c>
      <c r="M144" s="2247">
        <f t="shared" si="39"/>
        <v>38003102.441628486</v>
      </c>
      <c r="N144" s="2247">
        <f t="shared" si="39"/>
        <v>39143195.514877342</v>
      </c>
      <c r="O144" s="2247">
        <f t="shared" si="39"/>
        <v>40317491.380323663</v>
      </c>
      <c r="P144" s="2248">
        <f t="shared" si="39"/>
        <v>41527016.121733375</v>
      </c>
      <c r="Q144" s="2248">
        <f t="shared" si="39"/>
        <v>42772826.605385378</v>
      </c>
      <c r="R144" s="2248">
        <f t="shared" si="39"/>
        <v>44056011.403546937</v>
      </c>
      <c r="S144" s="2248">
        <f t="shared" si="39"/>
        <v>45377691.745653346</v>
      </c>
      <c r="T144" s="2248">
        <f t="shared" si="39"/>
        <v>46739022.498022951</v>
      </c>
      <c r="U144" s="2248">
        <f t="shared" si="39"/>
        <v>48141193.172963642</v>
      </c>
      <c r="V144" s="2248">
        <f t="shared" si="39"/>
        <v>49585428.968152553</v>
      </c>
      <c r="W144" s="2248">
        <f t="shared" si="39"/>
        <v>51072991.837197132</v>
      </c>
      <c r="X144" s="2248">
        <f t="shared" si="39"/>
        <v>52605181.592313051</v>
      </c>
      <c r="Y144" s="2248">
        <f t="shared" si="39"/>
        <v>54183337.040082447</v>
      </c>
      <c r="Z144" s="2248">
        <f t="shared" si="39"/>
        <v>55808837.151284926</v>
      </c>
      <c r="AA144" s="2248">
        <f t="shared" si="39"/>
        <v>57483102.265823476</v>
      </c>
      <c r="AB144" s="2248">
        <f t="shared" si="39"/>
        <v>59207595.333798185</v>
      </c>
      <c r="AC144" s="2248">
        <f t="shared" si="39"/>
        <v>60983823.193812132</v>
      </c>
      <c r="AD144" s="2248">
        <f t="shared" si="39"/>
        <v>62813337.889626496</v>
      </c>
      <c r="AE144" s="2248">
        <f t="shared" si="39"/>
        <v>64697738.026315294</v>
      </c>
      <c r="AF144" s="2248">
        <f t="shared" si="39"/>
        <v>66638670.167104758</v>
      </c>
      <c r="AG144" s="2248">
        <f t="shared" si="39"/>
        <v>68637830.272117898</v>
      </c>
      <c r="AH144" s="2248">
        <f t="shared" si="39"/>
        <v>70696965.18028143</v>
      </c>
      <c r="AI144" s="2248">
        <f t="shared" si="39"/>
        <v>72817874.13568987</v>
      </c>
    </row>
    <row r="145" spans="1:35">
      <c r="A145" s="2252" t="s">
        <v>2864</v>
      </c>
      <c r="B145" s="2238"/>
      <c r="C145" s="2298">
        <v>18000000</v>
      </c>
      <c r="D145" s="2251"/>
      <c r="E145" s="2251">
        <f>+C145</f>
        <v>18000000</v>
      </c>
      <c r="F145" s="2251">
        <f>+E145*(1+$B$144)</f>
        <v>18540000</v>
      </c>
      <c r="G145" s="2251">
        <f t="shared" ref="G145:AI145" si="40">+F145*(1+$B$144)</f>
        <v>19096200</v>
      </c>
      <c r="H145" s="2251">
        <f t="shared" si="40"/>
        <v>19669086</v>
      </c>
      <c r="I145" s="2251">
        <f t="shared" si="40"/>
        <v>20259158.580000002</v>
      </c>
      <c r="J145" s="2251">
        <f t="shared" si="40"/>
        <v>20866933.337400004</v>
      </c>
      <c r="K145" s="2251">
        <f t="shared" si="40"/>
        <v>21492941.337522004</v>
      </c>
      <c r="L145" s="2251">
        <f t="shared" si="40"/>
        <v>22137729.577647664</v>
      </c>
      <c r="M145" s="2251">
        <f t="shared" si="40"/>
        <v>22801861.464977093</v>
      </c>
      <c r="N145" s="2251">
        <f t="shared" si="40"/>
        <v>23485917.308926407</v>
      </c>
      <c r="O145" s="2251">
        <f t="shared" si="40"/>
        <v>24190494.828194201</v>
      </c>
      <c r="P145" s="2251">
        <f t="shared" si="40"/>
        <v>24916209.673040029</v>
      </c>
      <c r="Q145" s="2251">
        <f t="shared" si="40"/>
        <v>25663695.963231232</v>
      </c>
      <c r="R145" s="2251">
        <f t="shared" si="40"/>
        <v>26433606.842128169</v>
      </c>
      <c r="S145" s="2251">
        <f t="shared" si="40"/>
        <v>27226615.047392014</v>
      </c>
      <c r="T145" s="2251">
        <f t="shared" si="40"/>
        <v>28043413.498813774</v>
      </c>
      <c r="U145" s="2251">
        <f t="shared" si="40"/>
        <v>28884715.903778188</v>
      </c>
      <c r="V145" s="2251">
        <f t="shared" si="40"/>
        <v>29751257.380891535</v>
      </c>
      <c r="W145" s="2251">
        <f t="shared" si="40"/>
        <v>30643795.102318283</v>
      </c>
      <c r="X145" s="2251">
        <f t="shared" si="40"/>
        <v>31563108.955387831</v>
      </c>
      <c r="Y145" s="2251">
        <f t="shared" si="40"/>
        <v>32510002.224049468</v>
      </c>
      <c r="Z145" s="2251">
        <f t="shared" si="40"/>
        <v>33485302.290770952</v>
      </c>
      <c r="AA145" s="2251">
        <f t="shared" si="40"/>
        <v>34489861.359494083</v>
      </c>
      <c r="AB145" s="2251">
        <f t="shared" si="40"/>
        <v>35524557.200278908</v>
      </c>
      <c r="AC145" s="2251">
        <f t="shared" si="40"/>
        <v>36590293.916287273</v>
      </c>
      <c r="AD145" s="2251">
        <f t="shared" si="40"/>
        <v>37688002.733775891</v>
      </c>
      <c r="AE145" s="2251">
        <f t="shared" si="40"/>
        <v>38818642.815789171</v>
      </c>
      <c r="AF145" s="2251">
        <f t="shared" si="40"/>
        <v>39983202.100262843</v>
      </c>
      <c r="AG145" s="2251">
        <f t="shared" si="40"/>
        <v>41182698.163270727</v>
      </c>
      <c r="AH145" s="2251">
        <f t="shared" si="40"/>
        <v>42418179.108168848</v>
      </c>
      <c r="AI145" s="2251">
        <f t="shared" si="40"/>
        <v>43690724.481413916</v>
      </c>
    </row>
    <row r="146" spans="1:35">
      <c r="A146" s="2252" t="s">
        <v>2865</v>
      </c>
      <c r="B146" s="2238"/>
      <c r="C146" s="2255"/>
      <c r="D146" s="2245"/>
      <c r="E146" s="2246"/>
      <c r="F146" s="2246"/>
      <c r="G146" s="2246"/>
      <c r="H146" s="2246"/>
      <c r="I146" s="2246"/>
      <c r="J146" s="2256"/>
      <c r="K146" s="2256"/>
      <c r="L146" s="2257"/>
      <c r="M146" s="2257"/>
      <c r="N146" s="2257"/>
      <c r="O146" s="2257"/>
      <c r="P146" s="2258"/>
      <c r="Q146" s="2258"/>
      <c r="R146" s="2258"/>
      <c r="S146" s="2258"/>
      <c r="T146" s="2258"/>
      <c r="U146" s="2258"/>
      <c r="V146" s="2258"/>
      <c r="W146" s="2258"/>
      <c r="X146" s="2258"/>
      <c r="Y146" s="2258"/>
      <c r="Z146" s="2258"/>
      <c r="AA146" s="2258"/>
      <c r="AB146" s="2258"/>
      <c r="AC146" s="2264">
        <f t="shared" ref="AC146:AI146" si="41">AC145</f>
        <v>36590293.916287273</v>
      </c>
      <c r="AD146" s="2264">
        <f t="shared" si="41"/>
        <v>37688002.733775891</v>
      </c>
      <c r="AE146" s="2264">
        <f t="shared" si="41"/>
        <v>38818642.815789171</v>
      </c>
      <c r="AF146" s="2264">
        <f t="shared" si="41"/>
        <v>39983202.100262843</v>
      </c>
      <c r="AG146" s="2264">
        <f t="shared" si="41"/>
        <v>41182698.163270727</v>
      </c>
      <c r="AH146" s="2264">
        <f t="shared" si="41"/>
        <v>42418179.108168848</v>
      </c>
      <c r="AI146" s="2264">
        <f t="shared" si="41"/>
        <v>43690724.481413916</v>
      </c>
    </row>
    <row r="147" spans="1:35">
      <c r="A147" s="20"/>
      <c r="B147" s="20"/>
      <c r="C147" s="20"/>
      <c r="D147" s="20"/>
      <c r="E147" s="20"/>
      <c r="F147" s="20"/>
      <c r="G147" s="20"/>
      <c r="H147" s="20"/>
      <c r="I147" s="20"/>
      <c r="J147" s="20"/>
    </row>
    <row r="148" spans="1:35">
      <c r="A148" s="20"/>
      <c r="B148" s="20"/>
      <c r="C148" s="20"/>
      <c r="D148" s="20"/>
      <c r="E148" s="20"/>
      <c r="F148" s="20"/>
      <c r="G148" s="20"/>
      <c r="H148" s="20"/>
      <c r="I148" s="20"/>
      <c r="J148" s="20"/>
    </row>
    <row r="149" spans="1:35">
      <c r="A149" s="20"/>
      <c r="B149" s="20"/>
      <c r="C149" s="20"/>
      <c r="D149" s="20"/>
      <c r="E149" s="20"/>
      <c r="F149" s="20"/>
      <c r="G149" s="20"/>
      <c r="H149" s="20"/>
      <c r="I149" s="20"/>
      <c r="J149" s="20"/>
    </row>
    <row r="150" spans="1:35">
      <c r="A150" s="20"/>
      <c r="B150" s="20"/>
      <c r="C150" s="20"/>
      <c r="D150" s="20"/>
      <c r="E150" s="20"/>
      <c r="F150" s="20"/>
      <c r="G150" s="20"/>
      <c r="H150" s="20"/>
      <c r="I150" s="20"/>
      <c r="J150" s="20"/>
    </row>
    <row r="153" spans="1:35">
      <c r="A153" s="1624" t="s">
        <v>2181</v>
      </c>
    </row>
    <row r="154" spans="1:35">
      <c r="A154" s="1624" t="s">
        <v>2787</v>
      </c>
    </row>
  </sheetData>
  <mergeCells count="7">
    <mergeCell ref="P136:AI136"/>
    <mergeCell ref="A51:C51"/>
    <mergeCell ref="A50:C50"/>
    <mergeCell ref="L48:O48"/>
    <mergeCell ref="D54:G55"/>
    <mergeCell ref="E136:K136"/>
    <mergeCell ref="L136:O136"/>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B289"/>
  <sheetViews>
    <sheetView showGridLines="0" zoomScale="89" zoomScaleNormal="89" workbookViewId="0">
      <pane xSplit="1" ySplit="8" topLeftCell="B9" activePane="bottomRight" state="frozen"/>
      <selection activeCell="G45" sqref="G45"/>
      <selection pane="topRight" activeCell="G45" sqref="G45"/>
      <selection pane="bottomLeft" activeCell="G45" sqref="G45"/>
      <selection pane="bottomRight" activeCell="G45" sqref="G45"/>
    </sheetView>
  </sheetViews>
  <sheetFormatPr defaultColWidth="0" defaultRowHeight="15.75" zeroHeight="1"/>
  <cols>
    <col min="1" max="1" width="22.625" customWidth="1"/>
    <col min="2" max="2" width="2" style="1" customWidth="1"/>
    <col min="3" max="3" width="9" customWidth="1"/>
    <col min="4" max="4" width="0.375" customWidth="1"/>
    <col min="5" max="5" width="30.75" customWidth="1"/>
    <col min="6" max="6" width="0.375" customWidth="1"/>
    <col min="7" max="7" width="155.125" customWidth="1"/>
    <col min="8" max="8" width="1.75" customWidth="1"/>
  </cols>
  <sheetData>
    <row r="1" spans="1:8" ht="22.5">
      <c r="A1" s="411"/>
      <c r="C1" s="430" t="s">
        <v>391</v>
      </c>
      <c r="D1" s="430"/>
      <c r="E1" s="109"/>
      <c r="F1" s="109"/>
      <c r="G1" s="430"/>
      <c r="H1" s="53"/>
    </row>
    <row r="2" spans="1:8" ht="22.5">
      <c r="A2" s="411"/>
      <c r="C2" s="430" t="s">
        <v>717</v>
      </c>
      <c r="D2" s="430"/>
      <c r="E2" s="109"/>
      <c r="F2" s="109"/>
      <c r="G2" s="430"/>
      <c r="H2" s="53"/>
    </row>
    <row r="3" spans="1:8" ht="22.5">
      <c r="A3" s="411"/>
      <c r="C3" s="430" t="s">
        <v>427</v>
      </c>
      <c r="D3" s="430"/>
      <c r="E3" s="109"/>
      <c r="F3" s="109"/>
      <c r="G3" s="430"/>
      <c r="H3" s="53"/>
    </row>
    <row r="4" spans="1:8" ht="15.75" customHeight="1">
      <c r="A4" s="411"/>
      <c r="C4" s="7"/>
      <c r="G4" s="50"/>
    </row>
    <row r="5" spans="1:8">
      <c r="A5" s="411"/>
    </row>
    <row r="6" spans="1:8">
      <c r="A6" s="411"/>
      <c r="H6" s="20"/>
    </row>
    <row r="7" spans="1:8">
      <c r="A7" s="411"/>
      <c r="C7" s="431" t="s">
        <v>867</v>
      </c>
      <c r="D7" s="86"/>
      <c r="E7" s="431" t="s">
        <v>201</v>
      </c>
      <c r="F7" s="86"/>
      <c r="G7" s="4341" t="s">
        <v>399</v>
      </c>
      <c r="H7" s="20"/>
    </row>
    <row r="8" spans="1:8">
      <c r="A8" s="411"/>
      <c r="C8" s="432" t="s">
        <v>398</v>
      </c>
      <c r="D8" s="86"/>
      <c r="E8" s="432" t="s">
        <v>202</v>
      </c>
      <c r="F8" s="86"/>
      <c r="G8" s="4342"/>
      <c r="H8" s="20"/>
    </row>
    <row r="9" spans="1:8">
      <c r="A9" s="411"/>
      <c r="C9" s="65"/>
      <c r="D9" s="51"/>
      <c r="E9" s="65"/>
      <c r="F9" s="51"/>
      <c r="G9" s="102"/>
      <c r="H9" s="20"/>
    </row>
    <row r="10" spans="1:8">
      <c r="A10" s="411"/>
      <c r="C10" s="51"/>
      <c r="D10" s="51"/>
      <c r="E10" s="58" t="s">
        <v>575</v>
      </c>
      <c r="F10" s="51"/>
      <c r="G10" s="51"/>
    </row>
    <row r="11" spans="1:8">
      <c r="A11" s="411"/>
      <c r="C11" s="54">
        <f>MAX($C$9:C10)+1</f>
        <v>1</v>
      </c>
      <c r="D11" s="51"/>
      <c r="E11" s="107" t="s">
        <v>428</v>
      </c>
      <c r="F11" s="51"/>
      <c r="G11" s="51" t="s">
        <v>590</v>
      </c>
    </row>
    <row r="12" spans="1:8">
      <c r="A12" s="411"/>
      <c r="C12" s="54">
        <f>MAX($C$9:C11)+1</f>
        <v>2</v>
      </c>
      <c r="D12" s="51"/>
      <c r="E12" s="107" t="s">
        <v>483</v>
      </c>
      <c r="F12" s="51"/>
      <c r="G12" s="51" t="s">
        <v>429</v>
      </c>
    </row>
    <row r="13" spans="1:8">
      <c r="A13" s="411"/>
      <c r="C13" s="54">
        <f>MAX($C$9:C12)+1</f>
        <v>3</v>
      </c>
      <c r="D13" s="51"/>
      <c r="E13" s="107" t="s">
        <v>290</v>
      </c>
      <c r="F13" s="51"/>
      <c r="G13" s="51" t="s">
        <v>292</v>
      </c>
    </row>
    <row r="14" spans="1:8">
      <c r="A14" s="411"/>
      <c r="C14" s="54">
        <f>MAX($C$9:C13)+1</f>
        <v>4</v>
      </c>
      <c r="D14" s="51"/>
      <c r="E14" s="107" t="s">
        <v>180</v>
      </c>
      <c r="F14" s="51"/>
      <c r="G14" s="51" t="s">
        <v>594</v>
      </c>
    </row>
    <row r="15" spans="1:8">
      <c r="A15" s="411"/>
      <c r="C15" s="54">
        <f>MAX($C$9:C14)+1</f>
        <v>5</v>
      </c>
      <c r="D15" s="51"/>
      <c r="E15" s="107" t="s">
        <v>706</v>
      </c>
      <c r="F15" s="51"/>
      <c r="G15" s="51" t="s">
        <v>593</v>
      </c>
    </row>
    <row r="16" spans="1:8">
      <c r="A16" s="411"/>
      <c r="C16" s="54">
        <f>MAX($C$9:C15)+1</f>
        <v>6</v>
      </c>
      <c r="D16" s="51"/>
      <c r="E16" s="107" t="s">
        <v>291</v>
      </c>
      <c r="F16" s="51"/>
      <c r="G16" s="51" t="s">
        <v>293</v>
      </c>
    </row>
    <row r="17" spans="1:7">
      <c r="A17" s="411"/>
      <c r="C17" s="54"/>
      <c r="D17" s="51"/>
      <c r="E17" s="51"/>
      <c r="F17" s="51"/>
      <c r="G17" s="51"/>
    </row>
    <row r="18" spans="1:7">
      <c r="A18" s="411"/>
      <c r="C18" s="54"/>
      <c r="D18" s="51"/>
      <c r="E18" s="58"/>
      <c r="F18" s="51"/>
      <c r="G18" s="51"/>
    </row>
    <row r="19" spans="1:7">
      <c r="A19" s="411"/>
      <c r="C19" s="54"/>
      <c r="D19" s="51"/>
      <c r="E19" s="107"/>
      <c r="F19" s="51"/>
      <c r="G19" s="51"/>
    </row>
    <row r="20" spans="1:7">
      <c r="A20" s="411"/>
      <c r="C20" s="54"/>
      <c r="D20" s="51"/>
      <c r="E20" s="107"/>
      <c r="F20" s="51"/>
      <c r="G20" s="51"/>
    </row>
    <row r="21" spans="1:7">
      <c r="A21" s="411"/>
      <c r="C21" s="54"/>
      <c r="D21" s="51"/>
      <c r="E21" s="107"/>
      <c r="F21" s="51"/>
      <c r="G21" s="51"/>
    </row>
    <row r="22" spans="1:7">
      <c r="A22" s="411"/>
      <c r="C22" s="54"/>
      <c r="D22" s="51"/>
      <c r="E22" s="107"/>
      <c r="F22" s="51"/>
      <c r="G22" s="51"/>
    </row>
    <row r="23" spans="1:7">
      <c r="A23" s="411"/>
      <c r="C23" s="54"/>
      <c r="D23" s="51"/>
      <c r="E23" s="107"/>
      <c r="F23" s="51"/>
      <c r="G23" s="51"/>
    </row>
    <row r="24" spans="1:7">
      <c r="A24" s="411"/>
      <c r="C24" s="54"/>
      <c r="D24" s="51"/>
      <c r="E24" s="107"/>
      <c r="F24" s="51"/>
      <c r="G24" s="51"/>
    </row>
    <row r="25" spans="1:7">
      <c r="A25" s="411"/>
      <c r="C25" s="54"/>
      <c r="D25" s="51"/>
      <c r="E25" s="107"/>
      <c r="F25" s="51"/>
      <c r="G25" s="51"/>
    </row>
    <row r="26" spans="1:7">
      <c r="A26" s="411"/>
      <c r="C26" s="54"/>
      <c r="D26" s="51"/>
      <c r="E26" s="107"/>
      <c r="F26" s="51"/>
      <c r="G26" s="51"/>
    </row>
    <row r="27" spans="1:7">
      <c r="A27" s="411"/>
      <c r="C27" s="54"/>
      <c r="D27" s="51"/>
      <c r="E27" s="107"/>
      <c r="F27" s="51"/>
      <c r="G27" s="51"/>
    </row>
    <row r="28" spans="1:7">
      <c r="A28" s="411"/>
      <c r="C28" s="54"/>
      <c r="D28" s="51"/>
      <c r="E28" s="107"/>
      <c r="F28" s="51"/>
      <c r="G28" s="51"/>
    </row>
    <row r="29" spans="1:7">
      <c r="A29" s="411"/>
      <c r="C29" s="54"/>
      <c r="D29" s="51"/>
      <c r="E29" s="51"/>
      <c r="F29" s="51"/>
      <c r="G29" s="51"/>
    </row>
    <row r="30" spans="1:7">
      <c r="A30" s="411"/>
      <c r="C30" s="54"/>
      <c r="D30" s="51"/>
      <c r="E30" s="58"/>
      <c r="F30" s="51"/>
      <c r="G30" s="51"/>
    </row>
    <row r="31" spans="1:7">
      <c r="A31" s="411"/>
      <c r="C31" s="54"/>
      <c r="D31" s="51"/>
      <c r="E31" s="107"/>
      <c r="F31" s="51"/>
      <c r="G31" s="51"/>
    </row>
    <row r="32" spans="1:7">
      <c r="A32" s="411"/>
      <c r="C32" s="54"/>
      <c r="D32" s="51"/>
      <c r="E32" s="107"/>
      <c r="F32" s="51"/>
      <c r="G32" s="51"/>
    </row>
    <row r="33" spans="1:7">
      <c r="A33" s="411"/>
      <c r="C33" s="54"/>
      <c r="D33" s="51"/>
      <c r="E33" s="107"/>
      <c r="F33" s="51"/>
      <c r="G33" s="51"/>
    </row>
    <row r="34" spans="1:7">
      <c r="A34" s="415"/>
      <c r="C34" s="54"/>
      <c r="D34" s="51"/>
      <c r="E34" s="107"/>
      <c r="F34" s="51"/>
      <c r="G34" s="51"/>
    </row>
    <row r="35" spans="1:7">
      <c r="A35" s="415"/>
      <c r="C35" s="54"/>
      <c r="D35" s="51"/>
      <c r="E35" s="107"/>
      <c r="F35" s="51"/>
      <c r="G35" s="51"/>
    </row>
    <row r="36" spans="1:7">
      <c r="A36" s="415"/>
      <c r="C36" s="54"/>
      <c r="D36" s="51"/>
      <c r="E36" s="107"/>
      <c r="F36" s="51"/>
      <c r="G36" s="51"/>
    </row>
    <row r="37" spans="1:7">
      <c r="A37" s="415"/>
      <c r="C37" s="54"/>
      <c r="D37" s="51"/>
      <c r="E37" s="107"/>
      <c r="F37" s="51"/>
      <c r="G37" s="51"/>
    </row>
    <row r="38" spans="1:7">
      <c r="A38" s="415"/>
      <c r="C38" s="54"/>
      <c r="D38" s="51"/>
      <c r="E38" s="107"/>
      <c r="F38" s="51"/>
      <c r="G38" s="51"/>
    </row>
    <row r="39" spans="1:7">
      <c r="A39" s="415"/>
      <c r="C39" s="54"/>
      <c r="D39" s="51"/>
      <c r="E39" s="107"/>
      <c r="F39" s="51"/>
      <c r="G39" s="51"/>
    </row>
    <row r="40" spans="1:7">
      <c r="A40" s="415"/>
      <c r="C40" s="54"/>
      <c r="D40" s="51"/>
      <c r="E40" s="107"/>
      <c r="F40" s="51"/>
      <c r="G40" s="51"/>
    </row>
    <row r="41" spans="1:7">
      <c r="A41" s="415"/>
      <c r="C41" s="54"/>
      <c r="D41" s="51"/>
      <c r="E41" s="107"/>
      <c r="F41" s="51"/>
      <c r="G41" s="51"/>
    </row>
    <row r="42" spans="1:7">
      <c r="A42" s="415"/>
      <c r="C42" s="54"/>
      <c r="D42" s="51"/>
      <c r="E42" s="52"/>
      <c r="F42" s="51"/>
      <c r="G42" s="51"/>
    </row>
    <row r="43" spans="1:7">
      <c r="A43" s="415"/>
      <c r="C43" s="54"/>
      <c r="D43" s="51"/>
      <c r="E43" s="58"/>
      <c r="F43" s="51"/>
      <c r="G43" s="51"/>
    </row>
    <row r="44" spans="1:7">
      <c r="A44" s="415"/>
      <c r="C44" s="54"/>
      <c r="D44" s="51"/>
      <c r="E44" s="107"/>
      <c r="F44" s="51"/>
      <c r="G44" s="51"/>
    </row>
    <row r="45" spans="1:7">
      <c r="A45" s="415"/>
      <c r="C45" s="54"/>
      <c r="D45" s="51"/>
      <c r="E45" s="52"/>
      <c r="F45" s="51"/>
      <c r="G45" s="51"/>
    </row>
    <row r="46" spans="1:7">
      <c r="A46" s="415"/>
      <c r="C46" s="54"/>
      <c r="D46" s="51"/>
      <c r="E46" s="58"/>
      <c r="F46" s="51"/>
      <c r="G46" s="51"/>
    </row>
    <row r="47" spans="1:7">
      <c r="A47" s="415"/>
      <c r="C47" s="54"/>
      <c r="D47" s="51"/>
      <c r="E47" s="107"/>
      <c r="F47" s="51"/>
      <c r="G47" s="51"/>
    </row>
    <row r="48" spans="1:7">
      <c r="A48" s="415"/>
      <c r="C48" s="54"/>
      <c r="D48" s="51"/>
      <c r="E48" s="107"/>
      <c r="F48" s="51"/>
      <c r="G48" s="51"/>
    </row>
    <row r="49" spans="1:7">
      <c r="A49" s="415"/>
      <c r="C49" s="54"/>
      <c r="D49" s="51"/>
      <c r="E49" s="107"/>
      <c r="F49" s="51"/>
      <c r="G49" s="51"/>
    </row>
    <row r="50" spans="1:7">
      <c r="A50" s="415"/>
      <c r="C50" s="51"/>
      <c r="D50" s="51"/>
      <c r="E50" s="51"/>
      <c r="F50" s="51"/>
      <c r="G50" s="51"/>
    </row>
    <row r="51" spans="1:7">
      <c r="A51" s="415"/>
      <c r="C51" s="51"/>
      <c r="D51" s="51"/>
      <c r="E51" s="58"/>
      <c r="F51" s="51"/>
      <c r="G51" s="51"/>
    </row>
    <row r="52" spans="1:7">
      <c r="A52" s="415"/>
      <c r="C52" s="54"/>
      <c r="D52" s="51"/>
      <c r="E52" s="107"/>
      <c r="F52" s="51"/>
      <c r="G52" s="51"/>
    </row>
    <row r="53" spans="1:7">
      <c r="A53" s="415"/>
      <c r="C53" s="51"/>
      <c r="D53" s="51"/>
      <c r="E53" s="51"/>
      <c r="F53" s="51"/>
      <c r="G53" s="51"/>
    </row>
    <row r="54" spans="1:7">
      <c r="A54" s="415"/>
      <c r="C54" s="51"/>
      <c r="D54" s="51"/>
      <c r="E54" s="51"/>
      <c r="F54" s="51"/>
      <c r="G54" s="51"/>
    </row>
    <row r="55" spans="1:7">
      <c r="A55" s="415"/>
      <c r="C55" s="51"/>
      <c r="D55" s="51"/>
      <c r="E55" s="51"/>
      <c r="F55" s="51"/>
      <c r="G55" s="51"/>
    </row>
    <row r="56" spans="1:7">
      <c r="A56" s="415"/>
      <c r="C56" s="51"/>
      <c r="D56" s="51"/>
      <c r="E56" s="51"/>
      <c r="F56" s="51"/>
      <c r="G56" s="51"/>
    </row>
    <row r="57" spans="1:7">
      <c r="A57" s="415"/>
      <c r="C57" s="51"/>
      <c r="D57" s="51"/>
      <c r="E57" s="51"/>
      <c r="F57" s="51"/>
      <c r="G57" s="51"/>
    </row>
    <row r="58" spans="1:7" ht="7.5" customHeight="1">
      <c r="A58" s="415"/>
    </row>
    <row r="59" spans="1:7" hidden="1"/>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spans="28:28" hidden="1"/>
    <row r="274" spans="28:28" hidden="1"/>
    <row r="275" spans="28:28" hidden="1"/>
    <row r="276" spans="28:28" hidden="1"/>
    <row r="277" spans="28:28" hidden="1"/>
    <row r="278" spans="28:28" hidden="1"/>
    <row r="279" spans="28:28" hidden="1"/>
    <row r="280" spans="28:28" hidden="1"/>
    <row r="281" spans="28:28" hidden="1"/>
    <row r="282" spans="28:28" hidden="1"/>
    <row r="283" spans="28:28" hidden="1"/>
    <row r="284" spans="28:28" hidden="1">
      <c r="AB284" t="s">
        <v>194</v>
      </c>
    </row>
    <row r="285" spans="28:28" hidden="1"/>
    <row r="286" spans="28:28" hidden="1"/>
    <row r="287" spans="28:28" hidden="1"/>
    <row r="288" spans="28:28" hidden="1"/>
    <row r="289" hidden="1"/>
  </sheetData>
  <mergeCells count="1">
    <mergeCell ref="G7:G8"/>
  </mergeCells>
  <phoneticPr fontId="8" type="noConversion"/>
  <hyperlinks>
    <hyperlink ref="E11" location="Cust_Detail!A1" display="Cust_Detail"/>
    <hyperlink ref="E14" location="Rates!A1" display="Rates"/>
    <hyperlink ref="E15" location="Rev!A1" display="Rev"/>
    <hyperlink ref="E12" location="Cust_Esca!A1" display="Cust_Esca"/>
    <hyperlink ref="E13" location="TY_Units!A1" display="TY_Units"/>
    <hyperlink ref="E16" location="'Spec Contract Rev'!A1" display="Spec Contract Rev"/>
  </hyperlinks>
  <pageMargins left="0.75" right="0.75" top="0.75" bottom="0.75" header="0.5" footer="0.5"/>
  <pageSetup scale="51"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0000"/>
    <pageSetUpPr fitToPage="1"/>
  </sheetPr>
  <dimension ref="A1:T5774"/>
  <sheetViews>
    <sheetView workbookViewId="0">
      <selection activeCell="S1" sqref="S1:AK1048576"/>
    </sheetView>
  </sheetViews>
  <sheetFormatPr defaultRowHeight="15"/>
  <cols>
    <col min="1" max="1" width="17.875" style="3696" customWidth="1"/>
    <col min="2" max="2" width="52.625" style="3696" bestFit="1" customWidth="1"/>
    <col min="3" max="3" width="14.75" style="3696" customWidth="1"/>
    <col min="4" max="4" width="4.125" style="3696" customWidth="1"/>
    <col min="5" max="7" width="14" style="3696" hidden="1" customWidth="1"/>
    <col min="8" max="18" width="12.5" style="3696" customWidth="1"/>
    <col min="19" max="16384" width="9" style="3696"/>
  </cols>
  <sheetData>
    <row r="1" spans="1:18">
      <c r="A1" s="3142" t="s">
        <v>2181</v>
      </c>
      <c r="B1" s="3142" t="s">
        <v>3971</v>
      </c>
    </row>
    <row r="2" spans="1:18">
      <c r="A2" s="3142" t="s">
        <v>3490</v>
      </c>
      <c r="B2" s="3142" t="s">
        <v>3882</v>
      </c>
    </row>
    <row r="5" spans="1:18">
      <c r="A5" s="3695" t="s">
        <v>3830</v>
      </c>
      <c r="B5" s="3695"/>
      <c r="C5" s="3695"/>
      <c r="D5" s="3695"/>
      <c r="E5" s="3695" t="s">
        <v>3831</v>
      </c>
      <c r="F5" s="3695" t="s">
        <v>3832</v>
      </c>
      <c r="G5" s="3695" t="s">
        <v>3833</v>
      </c>
      <c r="H5" s="3695"/>
      <c r="I5" s="3695"/>
      <c r="J5" s="3695"/>
      <c r="K5" s="3695"/>
      <c r="L5" s="3695"/>
      <c r="M5" s="3695"/>
      <c r="N5" s="3695"/>
      <c r="O5" s="3695"/>
      <c r="P5" s="3695"/>
      <c r="Q5" s="3695"/>
      <c r="R5" s="3695"/>
    </row>
    <row r="6" spans="1:18">
      <c r="A6" s="3695"/>
      <c r="D6" s="3697"/>
      <c r="E6" s="3698" t="s">
        <v>1959</v>
      </c>
      <c r="F6" s="3698" t="s">
        <v>1959</v>
      </c>
      <c r="G6" s="3698" t="s">
        <v>1959</v>
      </c>
      <c r="H6" s="3487"/>
    </row>
    <row r="7" spans="1:18">
      <c r="A7" s="3695"/>
      <c r="D7" s="3699"/>
      <c r="E7" s="3700">
        <v>2013</v>
      </c>
      <c r="F7" s="3700">
        <v>2014</v>
      </c>
      <c r="G7" s="3700">
        <v>2015</v>
      </c>
      <c r="H7" s="3490">
        <v>2016</v>
      </c>
      <c r="I7" s="3701">
        <v>2017</v>
      </c>
      <c r="J7" s="3701">
        <v>2018</v>
      </c>
      <c r="K7" s="3701">
        <v>2019</v>
      </c>
      <c r="L7" s="3701">
        <v>2020</v>
      </c>
      <c r="M7" s="3701">
        <v>2021</v>
      </c>
      <c r="N7" s="3701">
        <v>2022</v>
      </c>
      <c r="O7" s="3701">
        <v>2023</v>
      </c>
      <c r="P7" s="3701">
        <v>2024</v>
      </c>
      <c r="Q7" s="3701">
        <v>2025</v>
      </c>
      <c r="R7" s="3701">
        <v>2026</v>
      </c>
    </row>
    <row r="8" spans="1:18">
      <c r="A8" s="3695"/>
      <c r="B8" s="3702" t="s">
        <v>717</v>
      </c>
      <c r="C8" s="3703"/>
      <c r="D8" s="3703"/>
      <c r="E8" s="3704"/>
      <c r="F8" s="3704"/>
      <c r="G8" s="3704"/>
    </row>
    <row r="9" spans="1:18">
      <c r="A9" s="3695"/>
      <c r="B9" s="3705" t="s">
        <v>3834</v>
      </c>
      <c r="C9" s="3703"/>
      <c r="D9" s="3703"/>
      <c r="E9" s="3704"/>
      <c r="F9" s="3704"/>
      <c r="G9" s="3704"/>
    </row>
    <row r="10" spans="1:18">
      <c r="A10" s="3695"/>
      <c r="B10" s="3706" t="s">
        <v>3835</v>
      </c>
      <c r="E10" s="3704"/>
      <c r="F10" s="3704">
        <f t="shared" ref="F10:R10" si="0">E16</f>
        <v>534790060.37</v>
      </c>
      <c r="G10" s="3704">
        <f>F16</f>
        <v>548327748.95000005</v>
      </c>
      <c r="H10" s="3707">
        <f>G16</f>
        <v>557597950.3499999</v>
      </c>
      <c r="I10" s="3707">
        <f t="shared" si="0"/>
        <v>583985942.76361597</v>
      </c>
      <c r="J10" s="3707">
        <f t="shared" si="0"/>
        <v>617199636.30174148</v>
      </c>
      <c r="K10" s="3707">
        <f t="shared" si="0"/>
        <v>633815907.41089058</v>
      </c>
      <c r="L10" s="3707">
        <f t="shared" si="0"/>
        <v>644848393.54535782</v>
      </c>
      <c r="M10" s="3707">
        <f t="shared" si="0"/>
        <v>630118804.9652611</v>
      </c>
      <c r="N10" s="3707">
        <f t="shared" si="0"/>
        <v>614101481.29796219</v>
      </c>
      <c r="O10" s="3707">
        <f t="shared" si="0"/>
        <v>602687409.45008039</v>
      </c>
      <c r="P10" s="3707">
        <f t="shared" si="0"/>
        <v>595467093.42622471</v>
      </c>
      <c r="Q10" s="3707">
        <f t="shared" si="0"/>
        <v>582749826.5900805</v>
      </c>
      <c r="R10" s="3707">
        <f t="shared" si="0"/>
        <v>568458967.89306009</v>
      </c>
    </row>
    <row r="11" spans="1:18">
      <c r="A11" s="3695"/>
      <c r="B11" s="3706" t="s">
        <v>3836</v>
      </c>
      <c r="C11" s="3707"/>
      <c r="E11" s="3704"/>
      <c r="F11" s="3704">
        <v>43801487.740000002</v>
      </c>
      <c r="G11" s="3704">
        <f>557597950.35-G10-G13-G15</f>
        <v>42018834.689999983</v>
      </c>
      <c r="H11" s="3708">
        <f t="shared" ref="H11:R11" si="1">H42</f>
        <v>59999222.552695818</v>
      </c>
      <c r="I11" s="3708">
        <f t="shared" si="1"/>
        <v>69299537.898900956</v>
      </c>
      <c r="J11" s="3708">
        <f t="shared" si="1"/>
        <v>55761096.780477867</v>
      </c>
      <c r="K11" s="3708">
        <f t="shared" si="1"/>
        <v>52719294.060464561</v>
      </c>
      <c r="L11" s="3708">
        <f t="shared" si="1"/>
        <v>29345320.730032656</v>
      </c>
      <c r="M11" s="3708">
        <f t="shared" si="1"/>
        <v>27846208.057557296</v>
      </c>
      <c r="N11" s="3708">
        <f t="shared" si="1"/>
        <v>31387073.699986964</v>
      </c>
      <c r="O11" s="3708">
        <f t="shared" si="1"/>
        <v>36279392.549446926</v>
      </c>
      <c r="P11" s="3708">
        <f t="shared" si="1"/>
        <v>31901862.832594763</v>
      </c>
      <c r="Q11" s="3708">
        <f t="shared" si="1"/>
        <v>31158184.660147019</v>
      </c>
      <c r="R11" s="3708">
        <f t="shared" si="1"/>
        <v>34661890.528807357</v>
      </c>
    </row>
    <row r="12" spans="1:18">
      <c r="A12" s="3695"/>
      <c r="B12" s="3706" t="s">
        <v>3837</v>
      </c>
      <c r="E12" s="3704"/>
      <c r="F12" s="3704"/>
      <c r="G12" s="3704"/>
      <c r="H12" s="3709"/>
      <c r="I12" s="3709"/>
      <c r="J12" s="3709"/>
      <c r="K12" s="3709"/>
      <c r="L12" s="3709"/>
      <c r="M12" s="3709"/>
      <c r="N12" s="3709"/>
      <c r="O12" s="3709"/>
      <c r="P12" s="3709"/>
      <c r="Q12" s="3709"/>
      <c r="R12" s="3709"/>
    </row>
    <row r="13" spans="1:18" ht="15.75">
      <c r="A13" s="3695"/>
      <c r="B13" s="3706" t="s">
        <v>384</v>
      </c>
      <c r="E13" s="3704">
        <v>-29611859</v>
      </c>
      <c r="F13" s="3704">
        <v>-30039489.68</v>
      </c>
      <c r="G13" s="3704">
        <v>-32242338.59</v>
      </c>
      <c r="H13" s="3710">
        <f t="shared" ref="H13:R13" si="2">-H64</f>
        <v>-33611230.139079787</v>
      </c>
      <c r="I13" s="3710">
        <f t="shared" si="2"/>
        <v>-36085844.360775448</v>
      </c>
      <c r="J13" s="3710">
        <f t="shared" si="2"/>
        <v>-39144825.671328776</v>
      </c>
      <c r="K13" s="3710">
        <f t="shared" si="2"/>
        <v>-41686807.925997391</v>
      </c>
      <c r="L13" s="3710">
        <f t="shared" si="2"/>
        <v>-44074909.310129359</v>
      </c>
      <c r="M13" s="3710">
        <f t="shared" si="2"/>
        <v>-43863531.724856317</v>
      </c>
      <c r="N13" s="3710">
        <f t="shared" si="2"/>
        <v>-42801145.547868669</v>
      </c>
      <c r="O13" s="3710">
        <f t="shared" si="2"/>
        <v>-43499708.573302664</v>
      </c>
      <c r="P13" s="3710">
        <f t="shared" si="2"/>
        <v>-44619129.668739021</v>
      </c>
      <c r="Q13" s="3710">
        <f t="shared" si="2"/>
        <v>-45449043.357167527</v>
      </c>
      <c r="R13" s="3710">
        <f t="shared" si="2"/>
        <v>-46272380.315101698</v>
      </c>
    </row>
    <row r="14" spans="1:18">
      <c r="A14" s="3695"/>
      <c r="B14" s="3706" t="s">
        <v>3838</v>
      </c>
      <c r="E14" s="3704"/>
      <c r="F14" s="3704">
        <v>-77324.479999999996</v>
      </c>
      <c r="G14" s="3704"/>
    </row>
    <row r="15" spans="1:18">
      <c r="A15" s="3695"/>
      <c r="B15" s="3706" t="s">
        <v>3839</v>
      </c>
      <c r="E15" s="3704"/>
      <c r="F15" s="3704">
        <v>-146985</v>
      </c>
      <c r="G15" s="3704">
        <v>-506294.7</v>
      </c>
    </row>
    <row r="16" spans="1:18">
      <c r="A16" s="3695" t="s">
        <v>3840</v>
      </c>
      <c r="B16" s="3711" t="s">
        <v>3841</v>
      </c>
      <c r="C16" s="3702"/>
      <c r="D16" s="3702"/>
      <c r="E16" s="3712">
        <v>534790060.37</v>
      </c>
      <c r="F16" s="3712">
        <f>SUM(F10:F15)</f>
        <v>548327748.95000005</v>
      </c>
      <c r="G16" s="3712">
        <f>SUM(G10:G15)</f>
        <v>557597950.3499999</v>
      </c>
      <c r="H16" s="3713">
        <f t="shared" ref="H16:R16" si="3">SUM(H10:H14)</f>
        <v>583985942.76361597</v>
      </c>
      <c r="I16" s="3713">
        <f t="shared" si="3"/>
        <v>617199636.30174148</v>
      </c>
      <c r="J16" s="3713">
        <f t="shared" si="3"/>
        <v>633815907.41089058</v>
      </c>
      <c r="K16" s="3713">
        <f t="shared" si="3"/>
        <v>644848393.54535782</v>
      </c>
      <c r="L16" s="3713">
        <f t="shared" si="3"/>
        <v>630118804.9652611</v>
      </c>
      <c r="M16" s="3713">
        <f t="shared" si="3"/>
        <v>614101481.29796219</v>
      </c>
      <c r="N16" s="3713">
        <f t="shared" si="3"/>
        <v>602687409.45008039</v>
      </c>
      <c r="O16" s="3713">
        <f t="shared" si="3"/>
        <v>595467093.42622471</v>
      </c>
      <c r="P16" s="3713">
        <f t="shared" si="3"/>
        <v>582749826.5900805</v>
      </c>
      <c r="Q16" s="3713">
        <f t="shared" si="3"/>
        <v>568458967.89306009</v>
      </c>
      <c r="R16" s="3713">
        <f t="shared" si="3"/>
        <v>556848478.10676575</v>
      </c>
    </row>
    <row r="17" spans="1:18">
      <c r="A17" s="3695"/>
      <c r="B17" s="3705" t="s">
        <v>3842</v>
      </c>
      <c r="C17" s="3702"/>
      <c r="D17" s="3702"/>
      <c r="E17" s="3714"/>
      <c r="F17" s="3714"/>
      <c r="G17" s="3714"/>
      <c r="H17" s="3715"/>
      <c r="I17" s="3715"/>
      <c r="J17" s="3715"/>
      <c r="K17" s="3715"/>
      <c r="L17" s="3715"/>
      <c r="M17" s="3715"/>
      <c r="N17" s="3715"/>
      <c r="O17" s="3715"/>
      <c r="P17" s="3715"/>
      <c r="Q17" s="3715"/>
      <c r="R17" s="3715"/>
    </row>
    <row r="18" spans="1:18">
      <c r="A18" s="3695" t="s">
        <v>3843</v>
      </c>
      <c r="B18" s="3716" t="s">
        <v>3844</v>
      </c>
      <c r="C18" s="3702"/>
      <c r="D18" s="3702"/>
      <c r="E18" s="3717">
        <v>876974.33</v>
      </c>
      <c r="F18" s="3717">
        <f>+E20</f>
        <v>725917.66999999993</v>
      </c>
      <c r="G18" s="3717">
        <f>+F20</f>
        <v>632873.59999999986</v>
      </c>
      <c r="H18" s="4378" t="s">
        <v>3845</v>
      </c>
      <c r="I18" s="4378"/>
      <c r="J18" s="4378"/>
      <c r="K18" s="4378"/>
      <c r="L18" s="4378"/>
      <c r="M18" s="4378"/>
      <c r="N18" s="4378"/>
      <c r="O18" s="4378"/>
      <c r="P18" s="4378"/>
      <c r="Q18" s="4378"/>
      <c r="R18" s="3718"/>
    </row>
    <row r="19" spans="1:18">
      <c r="A19" s="3695" t="s">
        <v>3843</v>
      </c>
      <c r="B19" s="3716" t="s">
        <v>3846</v>
      </c>
      <c r="C19" s="3702"/>
      <c r="D19" s="3702"/>
      <c r="E19" s="3719">
        <v>-151056.66</v>
      </c>
      <c r="F19" s="3719">
        <f>632873.6-725917.67</f>
        <v>-93044.070000000065</v>
      </c>
      <c r="G19" s="3719">
        <v>-216048</v>
      </c>
      <c r="H19" s="4378"/>
      <c r="I19" s="4378"/>
      <c r="J19" s="4378"/>
      <c r="K19" s="4378"/>
      <c r="L19" s="4378"/>
      <c r="M19" s="4378"/>
      <c r="N19" s="4378"/>
      <c r="O19" s="4378"/>
      <c r="P19" s="4378"/>
      <c r="Q19" s="4378"/>
      <c r="R19" s="3718"/>
    </row>
    <row r="20" spans="1:18">
      <c r="A20" s="3695" t="s">
        <v>3843</v>
      </c>
      <c r="B20" s="3716" t="s">
        <v>3847</v>
      </c>
      <c r="C20" s="3702"/>
      <c r="D20" s="3702"/>
      <c r="E20" s="3720">
        <f>+E18+E19</f>
        <v>725917.66999999993</v>
      </c>
      <c r="F20" s="3720">
        <f>+F18+F19</f>
        <v>632873.59999999986</v>
      </c>
      <c r="G20" s="3720">
        <f>+G18+G19</f>
        <v>416825.59999999986</v>
      </c>
      <c r="H20" s="4378"/>
      <c r="I20" s="4378"/>
      <c r="J20" s="4378"/>
      <c r="K20" s="4378"/>
      <c r="L20" s="4378"/>
      <c r="M20" s="4378"/>
      <c r="N20" s="4378"/>
      <c r="O20" s="4378"/>
      <c r="P20" s="4378"/>
      <c r="Q20" s="4378"/>
      <c r="R20" s="3718"/>
    </row>
    <row r="21" spans="1:18">
      <c r="A21" s="3695" t="s">
        <v>3840</v>
      </c>
      <c r="B21" s="3711" t="s">
        <v>3848</v>
      </c>
      <c r="C21" s="3702"/>
      <c r="D21" s="3702"/>
      <c r="E21" s="3714">
        <f>+E16+E20</f>
        <v>535515978.04000002</v>
      </c>
      <c r="F21" s="3714">
        <f>+F16+F20</f>
        <v>548960622.55000007</v>
      </c>
      <c r="G21" s="3714">
        <f>+G16+G20</f>
        <v>558014775.94999993</v>
      </c>
      <c r="H21" s="3715">
        <f t="shared" ref="H21:R21" si="4">+H16</f>
        <v>583985942.76361597</v>
      </c>
      <c r="I21" s="3715">
        <f t="shared" si="4"/>
        <v>617199636.30174148</v>
      </c>
      <c r="J21" s="3715">
        <f t="shared" si="4"/>
        <v>633815907.41089058</v>
      </c>
      <c r="K21" s="3715">
        <f t="shared" si="4"/>
        <v>644848393.54535782</v>
      </c>
      <c r="L21" s="3715">
        <f t="shared" si="4"/>
        <v>630118804.9652611</v>
      </c>
      <c r="M21" s="3715">
        <f t="shared" si="4"/>
        <v>614101481.29796219</v>
      </c>
      <c r="N21" s="3715">
        <f t="shared" si="4"/>
        <v>602687409.45008039</v>
      </c>
      <c r="O21" s="3715">
        <f t="shared" si="4"/>
        <v>595467093.42622471</v>
      </c>
      <c r="P21" s="3715">
        <f t="shared" si="4"/>
        <v>582749826.5900805</v>
      </c>
      <c r="Q21" s="3715">
        <f t="shared" si="4"/>
        <v>568458967.89306009</v>
      </c>
      <c r="R21" s="3715">
        <f t="shared" si="4"/>
        <v>556848478.10676575</v>
      </c>
    </row>
    <row r="22" spans="1:18">
      <c r="A22" s="3695"/>
      <c r="B22" s="3702" t="s">
        <v>1951</v>
      </c>
      <c r="C22" s="3703"/>
      <c r="D22" s="3703"/>
      <c r="E22" s="3704"/>
      <c r="F22" s="3704"/>
      <c r="G22" s="3704"/>
    </row>
    <row r="23" spans="1:18">
      <c r="A23" s="3695"/>
      <c r="B23" s="3705" t="s">
        <v>3834</v>
      </c>
      <c r="C23" s="3703"/>
      <c r="D23" s="3703"/>
      <c r="E23" s="3704"/>
      <c r="F23" s="3704"/>
      <c r="G23" s="3704"/>
    </row>
    <row r="24" spans="1:18">
      <c r="A24" s="3695"/>
      <c r="B24" s="3706" t="s">
        <v>2603</v>
      </c>
      <c r="E24" s="3704"/>
      <c r="F24" s="3704">
        <f t="shared" ref="F24:R24" si="5">E29</f>
        <v>1154570958.9000001</v>
      </c>
      <c r="G24" s="3704">
        <f>F29</f>
        <v>1256021271.48</v>
      </c>
      <c r="H24" s="3707">
        <f>G29</f>
        <v>1323666993.0799997</v>
      </c>
      <c r="I24" s="3707">
        <f t="shared" si="5"/>
        <v>1399923936.8902514</v>
      </c>
      <c r="J24" s="3707">
        <f t="shared" si="5"/>
        <v>1486460296.3646095</v>
      </c>
      <c r="K24" s="3707">
        <f t="shared" si="5"/>
        <v>1557110663.3387465</v>
      </c>
      <c r="L24" s="3707">
        <f t="shared" si="5"/>
        <v>1596824896.8831933</v>
      </c>
      <c r="M24" s="3707">
        <f t="shared" si="5"/>
        <v>1624036580.2963233</v>
      </c>
      <c r="N24" s="3707">
        <f t="shared" si="5"/>
        <v>1652316973.7384171</v>
      </c>
      <c r="O24" s="3707">
        <f t="shared" si="5"/>
        <v>1683798595.4402823</v>
      </c>
      <c r="P24" s="3707">
        <f t="shared" si="5"/>
        <v>1711844049.1481016</v>
      </c>
      <c r="Q24" s="3707">
        <f t="shared" si="5"/>
        <v>1738836779.9231486</v>
      </c>
      <c r="R24" s="3707">
        <f t="shared" si="5"/>
        <v>1798733799.1769636</v>
      </c>
    </row>
    <row r="25" spans="1:18">
      <c r="A25" s="3695"/>
      <c r="B25" s="3706" t="s">
        <v>3849</v>
      </c>
      <c r="E25" s="3704"/>
      <c r="F25" s="3704">
        <f>123563747.56+2680372</f>
        <v>126244119.56</v>
      </c>
      <c r="G25" s="3704">
        <f>1323666993.08-G24-G26-G28</f>
        <v>93123633.449999899</v>
      </c>
      <c r="H25" s="3708">
        <f t="shared" ref="H25:R25" si="6">H48</f>
        <v>101330610.35146607</v>
      </c>
      <c r="I25" s="3708">
        <f t="shared" si="6"/>
        <v>113469803.70422849</v>
      </c>
      <c r="J25" s="3708">
        <f t="shared" si="6"/>
        <v>99567182.712483793</v>
      </c>
      <c r="K25" s="3708">
        <f t="shared" si="6"/>
        <v>70449034.3913984</v>
      </c>
      <c r="L25" s="3708">
        <f t="shared" si="6"/>
        <v>59180844.826800779</v>
      </c>
      <c r="M25" s="3708">
        <f t="shared" si="6"/>
        <v>60250564.524075486</v>
      </c>
      <c r="N25" s="3708">
        <f t="shared" si="6"/>
        <v>62927466.244193703</v>
      </c>
      <c r="O25" s="3708">
        <f t="shared" si="6"/>
        <v>60136374.104597077</v>
      </c>
      <c r="P25" s="3708">
        <f t="shared" si="6"/>
        <v>59797068.055952802</v>
      </c>
      <c r="Q25" s="3708">
        <f t="shared" si="6"/>
        <v>93358227.696240857</v>
      </c>
      <c r="R25" s="3708">
        <f t="shared" si="6"/>
        <v>56321257.839261182</v>
      </c>
    </row>
    <row r="26" spans="1:18" ht="15.75">
      <c r="A26" s="3695"/>
      <c r="B26" s="3706" t="s">
        <v>384</v>
      </c>
      <c r="E26" s="3704">
        <v>-20861604</v>
      </c>
      <c r="F26" s="3704">
        <v>-23182793.129999999</v>
      </c>
      <c r="G26" s="3704">
        <v>-24742727.190000001</v>
      </c>
      <c r="H26" s="3710">
        <f t="shared" ref="H26:R26" si="7">-H69</f>
        <v>-25073666.541214548</v>
      </c>
      <c r="I26" s="3710">
        <f t="shared" si="7"/>
        <v>-26933444.22987042</v>
      </c>
      <c r="J26" s="3710">
        <f t="shared" si="7"/>
        <v>-28916815.738346703</v>
      </c>
      <c r="K26" s="3710">
        <f t="shared" si="7"/>
        <v>-30734800.846951663</v>
      </c>
      <c r="L26" s="3710">
        <f t="shared" si="7"/>
        <v>-31969161.413670886</v>
      </c>
      <c r="M26" s="3710">
        <f t="shared" si="7"/>
        <v>-31970171.081981577</v>
      </c>
      <c r="N26" s="3710">
        <f t="shared" si="7"/>
        <v>-31445844.542328596</v>
      </c>
      <c r="O26" s="3710">
        <f t="shared" si="7"/>
        <v>-32090920.396777831</v>
      </c>
      <c r="P26" s="3710">
        <f t="shared" si="7"/>
        <v>-32804337.280905753</v>
      </c>
      <c r="Q26" s="3710">
        <f t="shared" si="7"/>
        <v>-33461208.442426041</v>
      </c>
      <c r="R26" s="3710">
        <f t="shared" si="7"/>
        <v>-34810865.604736045</v>
      </c>
    </row>
    <row r="27" spans="1:18">
      <c r="A27" s="3695"/>
      <c r="B27" s="3706" t="s">
        <v>3838</v>
      </c>
      <c r="E27" s="3704"/>
      <c r="F27" s="3704">
        <f>1925364.15-640958-2680372</f>
        <v>-1395965.85</v>
      </c>
      <c r="G27" s="3704"/>
    </row>
    <row r="28" spans="1:18">
      <c r="A28" s="3695"/>
      <c r="B28" s="3706" t="s">
        <v>3839</v>
      </c>
      <c r="E28" s="3704"/>
      <c r="F28" s="3704">
        <v>-215048</v>
      </c>
      <c r="G28" s="3704">
        <f>-3292.27-731892.39</f>
        <v>-735184.66</v>
      </c>
    </row>
    <row r="29" spans="1:18">
      <c r="A29" s="3695" t="s">
        <v>3840</v>
      </c>
      <c r="B29" s="3711" t="s">
        <v>3850</v>
      </c>
      <c r="C29" s="3702"/>
      <c r="D29" s="3702"/>
      <c r="E29" s="3712">
        <v>1154570958.9000001</v>
      </c>
      <c r="F29" s="3712">
        <f>SUM(F24:F28)</f>
        <v>1256021271.48</v>
      </c>
      <c r="G29" s="3712">
        <f>SUM(G24:G28)</f>
        <v>1323666993.0799997</v>
      </c>
      <c r="H29" s="3713">
        <f t="shared" ref="H29:R29" si="8">SUM(H24:H27)</f>
        <v>1399923936.8902514</v>
      </c>
      <c r="I29" s="3713">
        <f t="shared" si="8"/>
        <v>1486460296.3646095</v>
      </c>
      <c r="J29" s="3713">
        <f t="shared" si="8"/>
        <v>1557110663.3387465</v>
      </c>
      <c r="K29" s="3713">
        <f t="shared" si="8"/>
        <v>1596824896.8831933</v>
      </c>
      <c r="L29" s="3713">
        <f t="shared" si="8"/>
        <v>1624036580.2963233</v>
      </c>
      <c r="M29" s="3713">
        <f t="shared" si="8"/>
        <v>1652316973.7384171</v>
      </c>
      <c r="N29" s="3713">
        <f t="shared" si="8"/>
        <v>1683798595.4402823</v>
      </c>
      <c r="O29" s="3713">
        <f t="shared" si="8"/>
        <v>1711844049.1481016</v>
      </c>
      <c r="P29" s="3713">
        <f t="shared" si="8"/>
        <v>1738836779.9231486</v>
      </c>
      <c r="Q29" s="3713">
        <f t="shared" si="8"/>
        <v>1798733799.1769636</v>
      </c>
      <c r="R29" s="3713">
        <f t="shared" si="8"/>
        <v>1820244191.4114888</v>
      </c>
    </row>
    <row r="30" spans="1:18">
      <c r="A30" s="3695"/>
      <c r="B30" s="3705" t="s">
        <v>3851</v>
      </c>
      <c r="C30" s="3702"/>
      <c r="D30" s="3702"/>
      <c r="E30" s="3714"/>
      <c r="F30" s="3714"/>
      <c r="G30" s="3714"/>
      <c r="H30" s="3715"/>
      <c r="I30" s="3715"/>
      <c r="J30" s="3715"/>
      <c r="K30" s="3715"/>
      <c r="L30" s="3715"/>
      <c r="M30" s="3715"/>
      <c r="N30" s="3715"/>
      <c r="O30" s="3715"/>
      <c r="P30" s="3715"/>
      <c r="Q30" s="3715"/>
      <c r="R30" s="3715"/>
    </row>
    <row r="31" spans="1:18">
      <c r="A31" s="3695" t="s">
        <v>3843</v>
      </c>
      <c r="B31" s="3716" t="s">
        <v>3844</v>
      </c>
      <c r="C31" s="3702"/>
      <c r="D31" s="3702"/>
      <c r="E31" s="3717">
        <v>625994.41</v>
      </c>
      <c r="F31" s="3717">
        <f>+E33</f>
        <v>625994.41</v>
      </c>
      <c r="G31" s="3717">
        <f>+F33</f>
        <v>702100.81</v>
      </c>
      <c r="H31" s="4378" t="s">
        <v>3845</v>
      </c>
      <c r="I31" s="4379"/>
      <c r="J31" s="4379"/>
      <c r="K31" s="4379"/>
      <c r="L31" s="4379"/>
      <c r="M31" s="4379"/>
      <c r="N31" s="4379"/>
      <c r="O31" s="4379"/>
      <c r="P31" s="4379"/>
      <c r="Q31" s="4379"/>
      <c r="R31" s="3718"/>
    </row>
    <row r="32" spans="1:18">
      <c r="A32" s="3695" t="s">
        <v>3843</v>
      </c>
      <c r="B32" s="3716" t="s">
        <v>3846</v>
      </c>
      <c r="C32" s="3702"/>
      <c r="D32" s="3702"/>
      <c r="E32" s="3719">
        <v>0</v>
      </c>
      <c r="F32" s="3719">
        <f>-625994.41+702100.81</f>
        <v>76106.400000000023</v>
      </c>
      <c r="G32" s="3719">
        <f>101471.47-573608.77</f>
        <v>-472137.30000000005</v>
      </c>
      <c r="H32" s="4379"/>
      <c r="I32" s="4379"/>
      <c r="J32" s="4379"/>
      <c r="K32" s="4379"/>
      <c r="L32" s="4379"/>
      <c r="M32" s="4379"/>
      <c r="N32" s="4379"/>
      <c r="O32" s="4379"/>
      <c r="P32" s="4379"/>
      <c r="Q32" s="4379"/>
      <c r="R32" s="3718"/>
    </row>
    <row r="33" spans="1:18">
      <c r="A33" s="3695" t="s">
        <v>3843</v>
      </c>
      <c r="B33" s="3716" t="s">
        <v>3847</v>
      </c>
      <c r="C33" s="3702"/>
      <c r="D33" s="3702"/>
      <c r="E33" s="3721">
        <f>+E31+E32</f>
        <v>625994.41</v>
      </c>
      <c r="F33" s="3721">
        <f>+F31+F32</f>
        <v>702100.81</v>
      </c>
      <c r="G33" s="3721">
        <f>+G31+G32</f>
        <v>229963.51</v>
      </c>
      <c r="H33" s="4379"/>
      <c r="I33" s="4379"/>
      <c r="J33" s="4379"/>
      <c r="K33" s="4379"/>
      <c r="L33" s="4379"/>
      <c r="M33" s="4379"/>
      <c r="N33" s="4379"/>
      <c r="O33" s="4379"/>
      <c r="P33" s="4379"/>
      <c r="Q33" s="4379"/>
      <c r="R33" s="3718"/>
    </row>
    <row r="34" spans="1:18">
      <c r="A34" s="3695" t="s">
        <v>3840</v>
      </c>
      <c r="B34" s="3711" t="s">
        <v>3852</v>
      </c>
      <c r="C34" s="3702"/>
      <c r="D34" s="3702"/>
      <c r="E34" s="3721">
        <f>+E29+E33</f>
        <v>1155196953.3100002</v>
      </c>
      <c r="F34" s="3721">
        <f>+F29+F33</f>
        <v>1256723372.29</v>
      </c>
      <c r="G34" s="3721">
        <f>+G29+G33</f>
        <v>1323896956.5899997</v>
      </c>
      <c r="H34" s="3722"/>
      <c r="I34" s="3722"/>
      <c r="J34" s="3722"/>
      <c r="K34" s="3722"/>
      <c r="L34" s="3722"/>
      <c r="M34" s="3722"/>
      <c r="N34" s="3722"/>
      <c r="O34" s="3722"/>
      <c r="P34" s="3722"/>
      <c r="Q34" s="3722"/>
      <c r="R34" s="3722"/>
    </row>
    <row r="35" spans="1:18">
      <c r="A35" s="3695" t="s">
        <v>3840</v>
      </c>
      <c r="B35" s="3702" t="s">
        <v>3853</v>
      </c>
      <c r="C35" s="3702"/>
      <c r="D35" s="3702"/>
      <c r="E35" s="3723">
        <f>+E21+E34</f>
        <v>1690712931.3500001</v>
      </c>
      <c r="F35" s="3723">
        <f>+F21+F34</f>
        <v>1805683994.8400002</v>
      </c>
      <c r="G35" s="3723">
        <f>+G21+G34</f>
        <v>1881911732.5399995</v>
      </c>
      <c r="H35" s="3724">
        <f t="shared" ref="H35:R35" si="9">+H21+H29</f>
        <v>1983909879.6538672</v>
      </c>
      <c r="I35" s="3724">
        <f t="shared" si="9"/>
        <v>2103659932.6663508</v>
      </c>
      <c r="J35" s="3724">
        <f t="shared" si="9"/>
        <v>2190926570.7496371</v>
      </c>
      <c r="K35" s="3724">
        <f t="shared" si="9"/>
        <v>2241673290.4285512</v>
      </c>
      <c r="L35" s="3724">
        <f t="shared" si="9"/>
        <v>2254155385.2615843</v>
      </c>
      <c r="M35" s="3724">
        <f t="shared" si="9"/>
        <v>2266418455.0363793</v>
      </c>
      <c r="N35" s="3724">
        <f t="shared" si="9"/>
        <v>2286486004.8903627</v>
      </c>
      <c r="O35" s="3724">
        <f t="shared" si="9"/>
        <v>2307311142.5743265</v>
      </c>
      <c r="P35" s="3724">
        <f t="shared" si="9"/>
        <v>2321586606.5132294</v>
      </c>
      <c r="Q35" s="3724">
        <f t="shared" si="9"/>
        <v>2367192767.0700235</v>
      </c>
      <c r="R35" s="3724">
        <f t="shared" si="9"/>
        <v>2377092669.5182543</v>
      </c>
    </row>
    <row r="36" spans="1:18">
      <c r="A36" s="3695"/>
      <c r="B36" s="3725" t="s">
        <v>3854</v>
      </c>
      <c r="C36" s="3725"/>
      <c r="D36" s="3725"/>
      <c r="E36" s="3726">
        <f>1689361019.27+1351912.08</f>
        <v>1690712931.3499999</v>
      </c>
      <c r="F36" s="3726">
        <f>1334974.41+1804349020.43</f>
        <v>1805683994.8400002</v>
      </c>
      <c r="G36" s="3726">
        <f>646789.11+1881264943.43</f>
        <v>1881911732.54</v>
      </c>
      <c r="H36" s="3726"/>
      <c r="I36" s="3726"/>
      <c r="J36" s="3726"/>
      <c r="K36" s="3726"/>
      <c r="L36" s="3726"/>
      <c r="M36" s="3726"/>
      <c r="N36" s="3726"/>
      <c r="O36" s="3726"/>
      <c r="P36" s="3726"/>
      <c r="Q36" s="3726"/>
      <c r="R36" s="3726"/>
    </row>
    <row r="37" spans="1:18">
      <c r="A37" s="3695"/>
      <c r="B37" s="3727"/>
      <c r="C37" s="3727"/>
      <c r="D37" s="3727"/>
      <c r="E37" s="3728"/>
      <c r="F37" s="3728">
        <f>+F35-F36</f>
        <v>0</v>
      </c>
      <c r="G37" s="3728">
        <f>+G35-G36</f>
        <v>0</v>
      </c>
      <c r="H37" s="3728"/>
      <c r="I37" s="3728"/>
      <c r="J37" s="3728"/>
      <c r="K37" s="3728"/>
      <c r="L37" s="3728"/>
      <c r="M37" s="3728"/>
      <c r="N37" s="3728"/>
      <c r="O37" s="3728"/>
      <c r="P37" s="3728"/>
      <c r="Q37" s="3728"/>
      <c r="R37" s="3728"/>
    </row>
    <row r="38" spans="1:18" ht="15.75">
      <c r="A38" s="3695"/>
      <c r="B38" s="3703" t="s">
        <v>2608</v>
      </c>
      <c r="C38" s="3703"/>
      <c r="D38" s="3703"/>
      <c r="F38" s="3707"/>
      <c r="G38" s="3707"/>
      <c r="H38" s="3729"/>
      <c r="I38" s="3729"/>
      <c r="J38" s="3730"/>
      <c r="K38" s="3730"/>
      <c r="L38" s="3730"/>
      <c r="M38" s="3730"/>
      <c r="N38" s="3730"/>
      <c r="O38" s="3730"/>
      <c r="P38" s="3730"/>
      <c r="Q38" s="3730"/>
    </row>
    <row r="39" spans="1:18">
      <c r="A39" s="3731" t="s">
        <v>3855</v>
      </c>
      <c r="B39" s="3696" t="s">
        <v>3856</v>
      </c>
      <c r="C39" s="3696" t="s">
        <v>2610</v>
      </c>
      <c r="E39" s="3732"/>
      <c r="F39" s="3733"/>
      <c r="G39" s="3733"/>
      <c r="H39" s="3733">
        <f>+H51</f>
        <v>47757198.280749291</v>
      </c>
      <c r="I39" s="3733">
        <f t="shared" ref="I39:R39" si="10">+I51</f>
        <v>56262383.883810438</v>
      </c>
      <c r="J39" s="3733">
        <f t="shared" si="10"/>
        <v>41947503.06899336</v>
      </c>
      <c r="K39" s="3733">
        <f t="shared" si="10"/>
        <v>38441184.943974629</v>
      </c>
      <c r="L39" s="3733">
        <f t="shared" si="10"/>
        <v>14563821.184056323</v>
      </c>
      <c r="M39" s="3733">
        <f t="shared" si="10"/>
        <v>12613987.129797192</v>
      </c>
      <c r="N39" s="3733">
        <f t="shared" si="10"/>
        <v>15814560.652473735</v>
      </c>
      <c r="O39" s="3733">
        <f t="shared" si="10"/>
        <v>20136105.980998721</v>
      </c>
      <c r="P39" s="3733">
        <f t="shared" si="10"/>
        <v>15204273.468647193</v>
      </c>
      <c r="Q39" s="3733">
        <f t="shared" si="10"/>
        <v>13962094.789882841</v>
      </c>
      <c r="R39" s="3733">
        <f t="shared" si="10"/>
        <v>16761519.377085174</v>
      </c>
    </row>
    <row r="40" spans="1:18" ht="15.75">
      <c r="A40" s="3695" t="s">
        <v>2627</v>
      </c>
      <c r="B40" s="3696" t="s">
        <v>3857</v>
      </c>
      <c r="E40" s="3734"/>
      <c r="F40" s="3735"/>
      <c r="G40" s="3735"/>
      <c r="H40" s="3733">
        <v>12242024.271946525</v>
      </c>
      <c r="I40" s="3733">
        <v>13037154.01509051</v>
      </c>
      <c r="J40" s="3733">
        <v>13813593.711484503</v>
      </c>
      <c r="K40" s="3733">
        <v>14278109.116489936</v>
      </c>
      <c r="L40" s="3733">
        <v>14781499.545976333</v>
      </c>
      <c r="M40" s="3733">
        <v>15232220.927760104</v>
      </c>
      <c r="N40" s="3733">
        <v>15572513.047513232</v>
      </c>
      <c r="O40" s="3733">
        <v>16143286.568448208</v>
      </c>
      <c r="P40" s="3733">
        <v>16697589.36394757</v>
      </c>
      <c r="Q40" s="3733">
        <v>17196089.870264176</v>
      </c>
      <c r="R40" s="3733">
        <v>17900371.151722182</v>
      </c>
    </row>
    <row r="41" spans="1:18" ht="15.75">
      <c r="A41" s="3695"/>
      <c r="B41" s="3696" t="s">
        <v>3858</v>
      </c>
      <c r="C41" s="3707"/>
      <c r="D41" s="3707"/>
      <c r="E41" s="3737"/>
      <c r="F41" s="3738"/>
      <c r="G41" s="3739"/>
      <c r="H41" s="3738"/>
      <c r="I41" s="3738"/>
      <c r="J41" s="3738"/>
      <c r="K41" s="3738"/>
      <c r="L41" s="3738"/>
      <c r="M41" s="3738"/>
      <c r="N41" s="3738"/>
      <c r="O41" s="3738"/>
      <c r="P41" s="3738"/>
      <c r="Q41" s="3738"/>
      <c r="R41" s="3738"/>
    </row>
    <row r="42" spans="1:18">
      <c r="A42" s="3695"/>
      <c r="B42" s="3702" t="s">
        <v>2612</v>
      </c>
      <c r="C42" s="3724">
        <f>+F41+F47</f>
        <v>0</v>
      </c>
      <c r="D42" s="3724"/>
      <c r="E42" s="3741">
        <v>67069487</v>
      </c>
      <c r="F42" s="3504">
        <v>43454998.460000001</v>
      </c>
      <c r="G42" s="3504">
        <v>36631234.984602019</v>
      </c>
      <c r="H42" s="3504">
        <f t="shared" ref="H42:R42" si="11">SUM(H39:H41)</f>
        <v>59999222.552695818</v>
      </c>
      <c r="I42" s="3504">
        <f t="shared" si="11"/>
        <v>69299537.898900956</v>
      </c>
      <c r="J42" s="3504">
        <f t="shared" si="11"/>
        <v>55761096.780477867</v>
      </c>
      <c r="K42" s="3504">
        <f t="shared" si="11"/>
        <v>52719294.060464561</v>
      </c>
      <c r="L42" s="3504">
        <f t="shared" si="11"/>
        <v>29345320.730032656</v>
      </c>
      <c r="M42" s="3504">
        <f t="shared" si="11"/>
        <v>27846208.057557296</v>
      </c>
      <c r="N42" s="3504">
        <f t="shared" si="11"/>
        <v>31387073.699986964</v>
      </c>
      <c r="O42" s="3504">
        <f t="shared" si="11"/>
        <v>36279392.549446926</v>
      </c>
      <c r="P42" s="3504">
        <f t="shared" si="11"/>
        <v>31901862.832594763</v>
      </c>
      <c r="Q42" s="3504">
        <f t="shared" si="11"/>
        <v>31158184.660147019</v>
      </c>
      <c r="R42" s="3504">
        <f t="shared" si="11"/>
        <v>34661890.528807357</v>
      </c>
    </row>
    <row r="43" spans="1:18">
      <c r="A43" s="3695"/>
      <c r="E43" s="3734"/>
      <c r="F43" s="3732"/>
      <c r="G43" s="3732"/>
      <c r="H43" s="3732"/>
      <c r="I43" s="3732"/>
      <c r="J43" s="3732"/>
      <c r="K43" s="3732"/>
      <c r="L43" s="3732"/>
      <c r="M43" s="3732"/>
      <c r="N43" s="3732"/>
      <c r="O43" s="3732"/>
      <c r="P43" s="3732"/>
      <c r="Q43" s="3732"/>
      <c r="R43" s="3732"/>
    </row>
    <row r="44" spans="1:18">
      <c r="A44" s="3695"/>
      <c r="B44" s="3703" t="s">
        <v>2613</v>
      </c>
      <c r="C44" s="3743"/>
      <c r="D44" s="3743"/>
      <c r="E44" s="3732"/>
      <c r="F44" s="3709"/>
      <c r="G44" s="3709"/>
      <c r="H44" s="3709"/>
      <c r="I44" s="3709"/>
      <c r="J44" s="3709"/>
      <c r="K44" s="3709"/>
      <c r="L44" s="3709"/>
      <c r="M44" s="3709"/>
      <c r="N44" s="3709"/>
      <c r="O44" s="3709"/>
      <c r="P44" s="3709"/>
      <c r="Q44" s="3709"/>
      <c r="R44" s="3709"/>
    </row>
    <row r="45" spans="1:18">
      <c r="A45" s="3695"/>
      <c r="B45" s="3696" t="s">
        <v>3856</v>
      </c>
      <c r="C45" s="3696" t="s">
        <v>2610</v>
      </c>
      <c r="E45" s="3732"/>
      <c r="F45" s="3733"/>
      <c r="G45" s="3733"/>
      <c r="H45" s="3733">
        <f>+H52</f>
        <v>84441656.409343243</v>
      </c>
      <c r="I45" s="3733">
        <f t="shared" ref="I45:R45" si="12">+I52</f>
        <v>94669936.97793588</v>
      </c>
      <c r="J45" s="3733">
        <f t="shared" si="12"/>
        <v>82257005.354352206</v>
      </c>
      <c r="K45" s="3733">
        <f t="shared" si="12"/>
        <v>54121749.181505509</v>
      </c>
      <c r="L45" s="3733">
        <f t="shared" si="12"/>
        <v>44346679.526376523</v>
      </c>
      <c r="M45" s="3733">
        <f t="shared" si="12"/>
        <v>46036188.163940869</v>
      </c>
      <c r="N45" s="3733">
        <f t="shared" si="12"/>
        <v>49144175.96817746</v>
      </c>
      <c r="O45" s="3733">
        <f t="shared" si="12"/>
        <v>46768919.482227534</v>
      </c>
      <c r="P45" s="3733">
        <f t="shared" si="12"/>
        <v>46481094.288514778</v>
      </c>
      <c r="Q45" s="3733">
        <f t="shared" si="12"/>
        <v>80172534.62265338</v>
      </c>
      <c r="R45" s="3733">
        <f t="shared" si="12"/>
        <v>42910780.914487027</v>
      </c>
    </row>
    <row r="46" spans="1:18" ht="15.75">
      <c r="A46" s="3695"/>
      <c r="B46" s="3696" t="s">
        <v>3857</v>
      </c>
      <c r="E46" s="3732"/>
      <c r="F46" s="3710"/>
      <c r="G46" s="3710"/>
      <c r="H46" s="3733">
        <v>16888953.942122832</v>
      </c>
      <c r="I46" s="3733">
        <v>18799866.726292606</v>
      </c>
      <c r="J46" s="3733">
        <v>17310177.358131588</v>
      </c>
      <c r="K46" s="3733">
        <v>16327285.209892888</v>
      </c>
      <c r="L46" s="3733">
        <v>14834165.300424259</v>
      </c>
      <c r="M46" s="3733">
        <v>14214376.360134616</v>
      </c>
      <c r="N46" s="3733">
        <v>13783290.276016247</v>
      </c>
      <c r="O46" s="3733">
        <v>13367454.622369546</v>
      </c>
      <c r="P46" s="3733">
        <v>13315973.767438026</v>
      </c>
      <c r="Q46" s="3733">
        <v>13185693.073587481</v>
      </c>
      <c r="R46" s="3733">
        <v>13410476.924774153</v>
      </c>
    </row>
    <row r="47" spans="1:18" ht="15.75">
      <c r="A47" s="3695"/>
      <c r="B47" s="3696" t="s">
        <v>3858</v>
      </c>
      <c r="E47" s="3737"/>
      <c r="F47" s="3738"/>
      <c r="G47" s="3739"/>
      <c r="H47" s="3738"/>
      <c r="I47" s="3738"/>
      <c r="J47" s="3738"/>
      <c r="K47" s="3738"/>
      <c r="L47" s="3738"/>
      <c r="M47" s="3738"/>
      <c r="N47" s="3738"/>
      <c r="O47" s="3738"/>
      <c r="P47" s="3738"/>
      <c r="Q47" s="3738"/>
      <c r="R47" s="3738"/>
    </row>
    <row r="48" spans="1:18">
      <c r="A48" s="3695"/>
      <c r="B48" s="3702" t="s">
        <v>2612</v>
      </c>
      <c r="C48" s="3702"/>
      <c r="D48" s="3702"/>
      <c r="E48" s="3741">
        <v>141644212</v>
      </c>
      <c r="F48" s="3504">
        <v>117410261.12</v>
      </c>
      <c r="G48" s="3504">
        <v>80012760.567582503</v>
      </c>
      <c r="H48" s="3504">
        <f t="shared" ref="H48:R48" si="13">SUM(H45:H47)</f>
        <v>101330610.35146607</v>
      </c>
      <c r="I48" s="3504">
        <f t="shared" si="13"/>
        <v>113469803.70422849</v>
      </c>
      <c r="J48" s="3504">
        <f t="shared" si="13"/>
        <v>99567182.712483793</v>
      </c>
      <c r="K48" s="3504">
        <f t="shared" si="13"/>
        <v>70449034.3913984</v>
      </c>
      <c r="L48" s="3504">
        <f t="shared" si="13"/>
        <v>59180844.826800779</v>
      </c>
      <c r="M48" s="3504">
        <f t="shared" si="13"/>
        <v>60250564.524075486</v>
      </c>
      <c r="N48" s="3504">
        <f t="shared" si="13"/>
        <v>62927466.244193703</v>
      </c>
      <c r="O48" s="3504">
        <f t="shared" si="13"/>
        <v>60136374.104597077</v>
      </c>
      <c r="P48" s="3504">
        <f t="shared" si="13"/>
        <v>59797068.055952802</v>
      </c>
      <c r="Q48" s="3504">
        <f t="shared" si="13"/>
        <v>93358227.696240857</v>
      </c>
      <c r="R48" s="3504">
        <f t="shared" si="13"/>
        <v>56321257.839261182</v>
      </c>
    </row>
    <row r="49" spans="1:20">
      <c r="A49" s="3695"/>
      <c r="B49" s="3702"/>
      <c r="C49" s="3702"/>
      <c r="D49" s="3702"/>
      <c r="E49" s="3741"/>
      <c r="F49" s="3504">
        <f>+F42+F48</f>
        <v>160865259.58000001</v>
      </c>
      <c r="G49" s="3742"/>
      <c r="H49" s="3742"/>
      <c r="I49" s="3742"/>
      <c r="J49" s="3742"/>
      <c r="K49" s="3742"/>
      <c r="L49" s="3742"/>
      <c r="M49" s="3742"/>
      <c r="N49" s="3742"/>
      <c r="O49" s="3742"/>
      <c r="P49" s="3742"/>
      <c r="Q49" s="3745" t="s">
        <v>3859</v>
      </c>
      <c r="R49" s="3746"/>
    </row>
    <row r="50" spans="1:20" ht="19.5" thickBot="1">
      <c r="A50" s="3695"/>
      <c r="B50" s="3747" t="s">
        <v>3860</v>
      </c>
      <c r="C50" s="3748"/>
      <c r="D50" s="3749"/>
      <c r="E50" s="3750"/>
      <c r="F50" s="3751"/>
      <c r="G50" s="3751"/>
      <c r="H50" s="3748"/>
      <c r="I50" s="3748"/>
      <c r="J50" s="3748"/>
      <c r="K50" s="3748"/>
      <c r="L50" s="3748"/>
      <c r="M50" s="3748"/>
      <c r="N50" s="3748"/>
      <c r="O50" s="3748"/>
      <c r="P50" s="3748"/>
      <c r="Q50" s="3748"/>
      <c r="R50" s="3748"/>
    </row>
    <row r="51" spans="1:20">
      <c r="A51" s="3695"/>
      <c r="B51" s="4380"/>
      <c r="C51" s="3752" t="s">
        <v>204</v>
      </c>
      <c r="D51" s="3753"/>
      <c r="E51" s="3754"/>
      <c r="F51" s="3755"/>
      <c r="G51" s="3756"/>
      <c r="H51" s="3757">
        <v>47757198.280749291</v>
      </c>
      <c r="I51" s="3758">
        <v>56262383.883810438</v>
      </c>
      <c r="J51" s="3758">
        <v>41947503.06899336</v>
      </c>
      <c r="K51" s="3758">
        <v>38441184.943974629</v>
      </c>
      <c r="L51" s="3758">
        <v>14563821.184056323</v>
      </c>
      <c r="M51" s="3758">
        <v>12613987.129797192</v>
      </c>
      <c r="N51" s="3758">
        <v>15814560.652473735</v>
      </c>
      <c r="O51" s="3758">
        <v>20136105.980998721</v>
      </c>
      <c r="P51" s="3758">
        <v>15204273.468647193</v>
      </c>
      <c r="Q51" s="3758">
        <v>13962094.789882841</v>
      </c>
      <c r="R51" s="3759">
        <v>16761519.377085174</v>
      </c>
    </row>
    <row r="52" spans="1:20">
      <c r="A52" s="3695"/>
      <c r="B52" s="4381"/>
      <c r="C52" s="3760" t="s">
        <v>1951</v>
      </c>
      <c r="D52" s="3761"/>
      <c r="E52" s="3762"/>
      <c r="F52" s="3763"/>
      <c r="G52" s="3764"/>
      <c r="H52" s="3765">
        <v>84441656.409343243</v>
      </c>
      <c r="I52" s="3766">
        <v>94669936.97793588</v>
      </c>
      <c r="J52" s="3766">
        <v>82257005.354352206</v>
      </c>
      <c r="K52" s="3766">
        <v>54121749.181505509</v>
      </c>
      <c r="L52" s="3766">
        <v>44346679.526376523</v>
      </c>
      <c r="M52" s="3766">
        <v>46036188.163940869</v>
      </c>
      <c r="N52" s="3766">
        <v>49144175.96817746</v>
      </c>
      <c r="O52" s="3766">
        <v>46768919.482227534</v>
      </c>
      <c r="P52" s="3766">
        <v>46481094.288514778</v>
      </c>
      <c r="Q52" s="3766">
        <v>80172534.62265338</v>
      </c>
      <c r="R52" s="3767">
        <v>42910780.914487027</v>
      </c>
    </row>
    <row r="53" spans="1:20" ht="15.75" thickBot="1">
      <c r="A53" s="3695"/>
      <c r="B53" s="3768"/>
      <c r="C53" s="3769" t="s">
        <v>602</v>
      </c>
      <c r="D53" s="3770"/>
      <c r="E53" s="3771"/>
      <c r="F53" s="3772"/>
      <c r="G53" s="3773"/>
      <c r="H53" s="3774">
        <v>132198854.69009253</v>
      </c>
      <c r="I53" s="3775">
        <v>150932320.86174631</v>
      </c>
      <c r="J53" s="3775">
        <v>124204508.42334557</v>
      </c>
      <c r="K53" s="3775">
        <v>92562934.125480145</v>
      </c>
      <c r="L53" s="3775">
        <v>58910500.710432842</v>
      </c>
      <c r="M53" s="3775">
        <v>58650175.29373806</v>
      </c>
      <c r="N53" s="3775">
        <v>64958736.620651193</v>
      </c>
      <c r="O53" s="3775">
        <v>66905025.463226259</v>
      </c>
      <c r="P53" s="3775">
        <v>61685367.757161975</v>
      </c>
      <c r="Q53" s="3775">
        <v>94134629.412536219</v>
      </c>
      <c r="R53" s="3776">
        <v>59672300.291572198</v>
      </c>
    </row>
    <row r="54" spans="1:20">
      <c r="A54" s="3777"/>
      <c r="B54" s="3778"/>
      <c r="C54" s="3779"/>
      <c r="D54" s="3780"/>
      <c r="E54" s="3778"/>
      <c r="F54" s="3781"/>
      <c r="G54" s="3782"/>
      <c r="H54" s="3781"/>
      <c r="I54" s="3781"/>
      <c r="J54" s="3781"/>
      <c r="K54" s="3781"/>
      <c r="L54" s="3781"/>
      <c r="M54" s="3781"/>
      <c r="N54" s="3781"/>
      <c r="O54" s="3781"/>
      <c r="P54" s="3781"/>
      <c r="Q54" s="3781"/>
      <c r="R54" s="3781"/>
      <c r="S54" s="3783"/>
      <c r="T54" s="3783"/>
    </row>
    <row r="55" spans="1:20">
      <c r="A55" s="3784" t="s">
        <v>3861</v>
      </c>
      <c r="B55" s="3778"/>
      <c r="C55" s="3779"/>
      <c r="D55" s="3780"/>
      <c r="E55" s="3778"/>
      <c r="F55" s="3781"/>
      <c r="G55" s="3782"/>
      <c r="H55" s="3781"/>
      <c r="I55" s="3781"/>
      <c r="J55" s="3781"/>
      <c r="K55" s="3781"/>
      <c r="L55" s="3781"/>
      <c r="M55" s="3781"/>
      <c r="N55" s="3781"/>
      <c r="O55" s="3781"/>
      <c r="P55" s="3781"/>
      <c r="Q55" s="3781"/>
      <c r="R55" s="3781"/>
      <c r="S55" s="3783"/>
      <c r="T55" s="3783"/>
    </row>
    <row r="56" spans="1:20" ht="15.75" thickBot="1">
      <c r="A56" s="3777"/>
      <c r="B56" s="3778"/>
      <c r="C56" s="3779"/>
      <c r="D56" s="3780"/>
      <c r="E56" s="3778"/>
      <c r="F56" s="3781"/>
      <c r="G56" s="3782"/>
      <c r="H56" s="3781"/>
      <c r="I56" s="3781"/>
      <c r="J56" s="3781"/>
      <c r="K56" s="3781"/>
      <c r="L56" s="3781"/>
      <c r="M56" s="3781"/>
      <c r="N56" s="3781"/>
      <c r="O56" s="3781"/>
      <c r="P56" s="3781"/>
      <c r="Q56" s="3781"/>
      <c r="R56" s="3781"/>
      <c r="S56" s="3783"/>
      <c r="T56" s="3783"/>
    </row>
    <row r="57" spans="1:20" ht="15.75" thickBot="1">
      <c r="A57" s="3777"/>
      <c r="B57" s="3778"/>
      <c r="C57" s="3779"/>
      <c r="D57" s="3780"/>
      <c r="E57" s="3778"/>
      <c r="F57" s="3781"/>
      <c r="G57" s="3785" t="s">
        <v>400</v>
      </c>
      <c r="H57" s="3786">
        <v>0.03</v>
      </c>
      <c r="I57" s="3787">
        <v>0</v>
      </c>
      <c r="J57" s="3788">
        <f>+H57</f>
        <v>0.03</v>
      </c>
      <c r="K57" s="3788">
        <f>+(1+J57)*(1+$H$57)-1</f>
        <v>6.0899999999999954E-2</v>
      </c>
      <c r="L57" s="3788">
        <f t="shared" ref="L57:R57" si="14">+(1+K57)*(1+$H$57)-1</f>
        <v>9.2727000000000004E-2</v>
      </c>
      <c r="M57" s="3788">
        <f t="shared" si="14"/>
        <v>0.12550881000000014</v>
      </c>
      <c r="N57" s="3788">
        <f t="shared" si="14"/>
        <v>0.15927407430000007</v>
      </c>
      <c r="O57" s="3788">
        <f t="shared" si="14"/>
        <v>0.19405229652900013</v>
      </c>
      <c r="P57" s="3788">
        <f t="shared" si="14"/>
        <v>0.22987386542487021</v>
      </c>
      <c r="Q57" s="3788">
        <f t="shared" si="14"/>
        <v>0.26677008138761638</v>
      </c>
      <c r="R57" s="3788">
        <f t="shared" si="14"/>
        <v>0.3047731838292449</v>
      </c>
      <c r="S57" s="3783"/>
      <c r="T57" s="3783"/>
    </row>
    <row r="58" spans="1:20" ht="15.75" thickBot="1">
      <c r="A58" s="3777"/>
      <c r="B58" s="3778"/>
      <c r="C58" s="3779"/>
      <c r="D58" s="3780"/>
      <c r="E58" s="3778"/>
      <c r="F58" s="3781"/>
      <c r="G58" s="3785" t="s">
        <v>3862</v>
      </c>
      <c r="H58" s="3789">
        <v>0</v>
      </c>
      <c r="I58" s="3781"/>
      <c r="J58" s="3781"/>
      <c r="K58" s="3781"/>
      <c r="L58" s="3781"/>
      <c r="M58" s="3781"/>
      <c r="N58" s="3781"/>
      <c r="O58" s="3781"/>
      <c r="P58" s="3781"/>
      <c r="Q58" s="3781"/>
      <c r="R58" s="3781"/>
      <c r="S58" s="3783"/>
      <c r="T58" s="3783"/>
    </row>
    <row r="59" spans="1:20">
      <c r="A59" s="3777"/>
      <c r="B59" s="3778"/>
      <c r="C59" s="3779"/>
      <c r="D59" s="3780"/>
      <c r="E59" s="3778"/>
      <c r="F59" s="3781"/>
      <c r="G59" s="3781" t="s">
        <v>3863</v>
      </c>
      <c r="H59" s="3782"/>
      <c r="I59" s="3790">
        <f>-$H$58*(1+I57)</f>
        <v>0</v>
      </c>
      <c r="J59" s="3790">
        <f t="shared" ref="J59:R59" si="15">-$H$58*(1+J57)</f>
        <v>0</v>
      </c>
      <c r="K59" s="3790">
        <f t="shared" si="15"/>
        <v>0</v>
      </c>
      <c r="L59" s="3790">
        <f t="shared" si="15"/>
        <v>0</v>
      </c>
      <c r="M59" s="3790">
        <f t="shared" si="15"/>
        <v>0</v>
      </c>
      <c r="N59" s="3790">
        <f t="shared" si="15"/>
        <v>0</v>
      </c>
      <c r="O59" s="3790">
        <f t="shared" si="15"/>
        <v>0</v>
      </c>
      <c r="P59" s="3790">
        <f t="shared" si="15"/>
        <v>0</v>
      </c>
      <c r="Q59" s="3790">
        <f t="shared" si="15"/>
        <v>0</v>
      </c>
      <c r="R59" s="3790">
        <f t="shared" si="15"/>
        <v>0</v>
      </c>
      <c r="S59" s="3783"/>
      <c r="T59" s="3783"/>
    </row>
    <row r="60" spans="1:20">
      <c r="A60" s="3777"/>
      <c r="B60" s="3778"/>
      <c r="C60" s="3779"/>
      <c r="D60" s="3780"/>
      <c r="E60" s="3778"/>
      <c r="F60" s="3781"/>
      <c r="G60" s="3781" t="s">
        <v>122</v>
      </c>
      <c r="H60" s="3782"/>
      <c r="I60" s="3788"/>
      <c r="J60" s="3788"/>
      <c r="K60" s="3788"/>
      <c r="L60" s="3788"/>
      <c r="M60" s="3788"/>
      <c r="N60" s="3788"/>
      <c r="O60" s="3788"/>
      <c r="P60" s="3788"/>
      <c r="Q60" s="3788"/>
      <c r="R60" s="3788"/>
      <c r="S60" s="3783"/>
      <c r="T60" s="3783"/>
    </row>
    <row r="61" spans="1:20" ht="15.75">
      <c r="A61" s="3695"/>
      <c r="G61" s="3707"/>
      <c r="H61" s="3791"/>
      <c r="I61" s="3707">
        <f>I56-I59</f>
        <v>0</v>
      </c>
      <c r="J61" s="3707">
        <f t="shared" ref="J61:R61" si="16">J56-J59</f>
        <v>0</v>
      </c>
      <c r="K61" s="3707">
        <f t="shared" si="16"/>
        <v>0</v>
      </c>
      <c r="L61" s="3707">
        <f t="shared" si="16"/>
        <v>0</v>
      </c>
      <c r="M61" s="3707">
        <f t="shared" si="16"/>
        <v>0</v>
      </c>
      <c r="N61" s="3707">
        <f t="shared" si="16"/>
        <v>0</v>
      </c>
      <c r="O61" s="3707">
        <f t="shared" si="16"/>
        <v>0</v>
      </c>
      <c r="P61" s="3707">
        <f t="shared" si="16"/>
        <v>0</v>
      </c>
      <c r="Q61" s="3707">
        <f t="shared" si="16"/>
        <v>0</v>
      </c>
      <c r="R61" s="3707">
        <f t="shared" si="16"/>
        <v>0</v>
      </c>
    </row>
    <row r="62" spans="1:20">
      <c r="A62" s="3695"/>
    </row>
    <row r="63" spans="1:20">
      <c r="A63" s="3695" t="s">
        <v>3864</v>
      </c>
      <c r="B63" s="3696" t="s">
        <v>2819</v>
      </c>
      <c r="F63" s="3701">
        <v>2014</v>
      </c>
      <c r="G63" s="3701">
        <v>2015</v>
      </c>
      <c r="H63" s="3701">
        <v>2016</v>
      </c>
      <c r="I63" s="3701">
        <v>2017</v>
      </c>
      <c r="J63" s="3701">
        <v>2018</v>
      </c>
      <c r="K63" s="3701">
        <v>2019</v>
      </c>
      <c r="L63" s="3701">
        <v>2020</v>
      </c>
      <c r="M63" s="3701">
        <v>2021</v>
      </c>
      <c r="N63" s="3701">
        <v>2022</v>
      </c>
      <c r="O63" s="3701">
        <v>2023</v>
      </c>
      <c r="P63" s="3701">
        <v>2024</v>
      </c>
      <c r="Q63" s="3701">
        <v>2025</v>
      </c>
      <c r="R63" s="3701">
        <v>2026</v>
      </c>
    </row>
    <row r="64" spans="1:20" ht="15.75">
      <c r="A64" s="3695"/>
      <c r="E64" s="3792" t="s">
        <v>2820</v>
      </c>
      <c r="F64" s="3793">
        <f>+F110</f>
        <v>29370492.041196462</v>
      </c>
      <c r="G64" s="3793">
        <f>+G110</f>
        <v>31419803.029408567</v>
      </c>
      <c r="H64" s="3793">
        <v>33611230.139079787</v>
      </c>
      <c r="I64" s="3793">
        <f>+I110</f>
        <v>36085844.360775448</v>
      </c>
      <c r="J64" s="3793">
        <f>+J110</f>
        <v>39144825.671328776</v>
      </c>
      <c r="K64" s="3793">
        <f t="shared" ref="K64:R64" si="17">+K110</f>
        <v>41686807.925997391</v>
      </c>
      <c r="L64" s="3793">
        <f t="shared" si="17"/>
        <v>44074909.310129359</v>
      </c>
      <c r="M64" s="3793">
        <f t="shared" si="17"/>
        <v>43863531.724856317</v>
      </c>
      <c r="N64" s="3793">
        <f t="shared" si="17"/>
        <v>42801145.547868669</v>
      </c>
      <c r="O64" s="3793">
        <f t="shared" si="17"/>
        <v>43499708.573302664</v>
      </c>
      <c r="P64" s="3793">
        <f t="shared" si="17"/>
        <v>44619129.668739021</v>
      </c>
      <c r="Q64" s="3793">
        <f t="shared" si="17"/>
        <v>45449043.357167527</v>
      </c>
      <c r="R64" s="3793">
        <f t="shared" si="17"/>
        <v>46272380.315101698</v>
      </c>
    </row>
    <row r="65" spans="1:18">
      <c r="A65" s="3695"/>
      <c r="E65" s="3792" t="s">
        <v>2821</v>
      </c>
      <c r="F65" s="3794">
        <f>+$E$88+$E$95</f>
        <v>845434.2</v>
      </c>
      <c r="G65" s="3794">
        <f t="shared" ref="G65:R65" si="18">+$E$88+$E$95</f>
        <v>845434.2</v>
      </c>
      <c r="H65" s="3794">
        <v>845434.2</v>
      </c>
      <c r="I65" s="3794">
        <f t="shared" si="18"/>
        <v>845434.2</v>
      </c>
      <c r="J65" s="3794">
        <f t="shared" si="18"/>
        <v>845434.2</v>
      </c>
      <c r="K65" s="3794">
        <f t="shared" si="18"/>
        <v>845434.2</v>
      </c>
      <c r="L65" s="3794">
        <f t="shared" si="18"/>
        <v>845434.2</v>
      </c>
      <c r="M65" s="3794">
        <f t="shared" si="18"/>
        <v>845434.2</v>
      </c>
      <c r="N65" s="3794">
        <f t="shared" si="18"/>
        <v>845434.2</v>
      </c>
      <c r="O65" s="3794">
        <f t="shared" si="18"/>
        <v>845434.2</v>
      </c>
      <c r="P65" s="3794">
        <f t="shared" si="18"/>
        <v>845434.2</v>
      </c>
      <c r="Q65" s="3794">
        <f t="shared" si="18"/>
        <v>845434.2</v>
      </c>
      <c r="R65" s="3794">
        <f t="shared" si="18"/>
        <v>845434.2</v>
      </c>
    </row>
    <row r="66" spans="1:18" ht="15.75" thickBot="1">
      <c r="A66" s="3695"/>
      <c r="E66" s="3792" t="s">
        <v>2822</v>
      </c>
      <c r="F66" s="3795">
        <v>690874.28916666668</v>
      </c>
      <c r="G66" s="3795">
        <v>345942.5791666666</v>
      </c>
      <c r="H66" s="3795">
        <v>297253.28166666697</v>
      </c>
      <c r="I66" s="3795">
        <v>259586.82583333331</v>
      </c>
      <c r="J66" s="3795">
        <v>216666.10249999998</v>
      </c>
      <c r="K66" s="3795">
        <v>216666.10249999998</v>
      </c>
      <c r="L66" s="3795">
        <v>216666.10249999998</v>
      </c>
      <c r="M66" s="3795">
        <v>216666.10249999998</v>
      </c>
      <c r="N66" s="3795">
        <v>216666.10249999998</v>
      </c>
      <c r="O66" s="3795">
        <v>216666.10249999998</v>
      </c>
      <c r="P66" s="3795">
        <v>216666.10249999998</v>
      </c>
      <c r="Q66" s="3795">
        <v>216666.10249999998</v>
      </c>
      <c r="R66" s="3795">
        <v>216666.10249999998</v>
      </c>
    </row>
    <row r="67" spans="1:18">
      <c r="A67" s="3695"/>
      <c r="E67" s="3792" t="s">
        <v>2823</v>
      </c>
      <c r="F67" s="3796">
        <f>SUM(F64:F66)</f>
        <v>30906800.530363128</v>
      </c>
      <c r="G67" s="3796">
        <f>SUM(G64:G66)</f>
        <v>32611179.808575232</v>
      </c>
      <c r="H67" s="3796">
        <f>SUM(H64:H66)</f>
        <v>34753917.620746456</v>
      </c>
      <c r="I67" s="3796">
        <f>SUM(I64:I66)</f>
        <v>37190865.386608787</v>
      </c>
      <c r="J67" s="3796">
        <f>SUM(J64:J66)</f>
        <v>40206925.973828778</v>
      </c>
      <c r="K67" s="3796">
        <f t="shared" ref="K67:R67" si="19">SUM(K64:K66)</f>
        <v>42748908.228497393</v>
      </c>
      <c r="L67" s="3796">
        <f t="shared" si="19"/>
        <v>45137009.612629361</v>
      </c>
      <c r="M67" s="3796">
        <f t="shared" si="19"/>
        <v>44925632.027356319</v>
      </c>
      <c r="N67" s="3796">
        <f t="shared" si="19"/>
        <v>43863245.850368671</v>
      </c>
      <c r="O67" s="3796">
        <f t="shared" si="19"/>
        <v>44561808.875802666</v>
      </c>
      <c r="P67" s="3796">
        <f t="shared" si="19"/>
        <v>45681229.971239023</v>
      </c>
      <c r="Q67" s="3796">
        <f t="shared" si="19"/>
        <v>46511143.659667529</v>
      </c>
      <c r="R67" s="3796">
        <f t="shared" si="19"/>
        <v>47334480.6176017</v>
      </c>
    </row>
    <row r="68" spans="1:18">
      <c r="A68" s="3695"/>
      <c r="E68" s="3792"/>
      <c r="F68" s="3796"/>
      <c r="G68" s="3796"/>
      <c r="H68" s="3796"/>
      <c r="I68" s="3796"/>
      <c r="J68" s="3796"/>
      <c r="K68" s="3796"/>
      <c r="L68" s="3796"/>
      <c r="M68" s="3796"/>
      <c r="N68" s="3796"/>
      <c r="O68" s="3796"/>
      <c r="P68" s="3796"/>
      <c r="Q68" s="3796"/>
      <c r="R68" s="3796"/>
    </row>
    <row r="69" spans="1:18" ht="15.75">
      <c r="A69" s="3695"/>
      <c r="E69" s="3792" t="s">
        <v>2824</v>
      </c>
      <c r="F69" s="3797">
        <f>+F104</f>
        <v>21161916.548803538</v>
      </c>
      <c r="G69" s="3797">
        <f>+G104</f>
        <v>23423158.835991435</v>
      </c>
      <c r="H69" s="3797">
        <v>25073666.541214548</v>
      </c>
      <c r="I69" s="3797">
        <f>+I104</f>
        <v>26933444.22987042</v>
      </c>
      <c r="J69" s="3797">
        <f>+J104</f>
        <v>28916815.738346703</v>
      </c>
      <c r="K69" s="3797">
        <f t="shared" ref="K69:R69" si="20">+K104</f>
        <v>30734800.846951663</v>
      </c>
      <c r="L69" s="3797">
        <f t="shared" si="20"/>
        <v>31969161.413670886</v>
      </c>
      <c r="M69" s="3797">
        <f t="shared" si="20"/>
        <v>31970171.081981577</v>
      </c>
      <c r="N69" s="3797">
        <f t="shared" si="20"/>
        <v>31445844.542328596</v>
      </c>
      <c r="O69" s="3797">
        <f t="shared" si="20"/>
        <v>32090920.396777831</v>
      </c>
      <c r="P69" s="3797">
        <f t="shared" si="20"/>
        <v>32804337.280905753</v>
      </c>
      <c r="Q69" s="3797">
        <f t="shared" si="20"/>
        <v>33461208.442426041</v>
      </c>
      <c r="R69" s="3797">
        <f t="shared" si="20"/>
        <v>34810865.604736045</v>
      </c>
    </row>
    <row r="70" spans="1:18">
      <c r="A70" s="3695"/>
      <c r="E70" s="3792" t="s">
        <v>2825</v>
      </c>
      <c r="F70" s="3707">
        <v>1298798.28</v>
      </c>
      <c r="G70" s="3707">
        <v>1298798.28</v>
      </c>
      <c r="H70" s="3707">
        <v>1298798.28</v>
      </c>
      <c r="I70" s="3707">
        <v>1298798.28</v>
      </c>
      <c r="J70" s="3707">
        <v>1298798.28</v>
      </c>
      <c r="K70" s="3707">
        <v>1298798.28</v>
      </c>
      <c r="L70" s="3707">
        <v>1298798.28</v>
      </c>
      <c r="M70" s="3707">
        <v>1298798.28</v>
      </c>
      <c r="N70" s="3707">
        <v>1298798.28</v>
      </c>
      <c r="O70" s="3707">
        <v>1298798.28</v>
      </c>
      <c r="P70" s="3707">
        <v>1298798.28</v>
      </c>
      <c r="Q70" s="3707">
        <v>1298798.28</v>
      </c>
      <c r="R70" s="3707">
        <v>1298798.28</v>
      </c>
    </row>
    <row r="71" spans="1:18">
      <c r="A71" s="3695"/>
      <c r="E71" s="3792" t="s">
        <v>3865</v>
      </c>
      <c r="F71" s="3798">
        <v>2723104.2</v>
      </c>
      <c r="G71" s="3798">
        <v>2723104.2</v>
      </c>
      <c r="H71" s="3798">
        <v>2723104.2</v>
      </c>
      <c r="I71" s="3798">
        <v>2723104.2</v>
      </c>
      <c r="J71" s="3798">
        <v>2723104.2</v>
      </c>
      <c r="K71" s="3798">
        <v>2723104.2</v>
      </c>
      <c r="L71" s="3798">
        <v>2723104.2</v>
      </c>
      <c r="M71" s="3798">
        <v>2723104.2</v>
      </c>
      <c r="N71" s="3798">
        <v>2723104.2</v>
      </c>
      <c r="O71" s="3798">
        <v>2723104.2</v>
      </c>
      <c r="P71" s="3798">
        <v>2723104.2</v>
      </c>
      <c r="Q71" s="3798">
        <v>2723104.2</v>
      </c>
      <c r="R71" s="3798">
        <v>2723104.2</v>
      </c>
    </row>
    <row r="72" spans="1:18">
      <c r="A72" s="3695"/>
      <c r="E72" s="3792" t="s">
        <v>2676</v>
      </c>
      <c r="F72" s="3799">
        <f t="shared" ref="F72:R72" si="21">SUM(F69:F71)</f>
        <v>25183819.028803539</v>
      </c>
      <c r="G72" s="3799">
        <f t="shared" si="21"/>
        <v>27445061.315991435</v>
      </c>
      <c r="H72" s="3799">
        <f t="shared" si="21"/>
        <v>29095569.021214548</v>
      </c>
      <c r="I72" s="3799">
        <f t="shared" si="21"/>
        <v>30955346.70987042</v>
      </c>
      <c r="J72" s="3799">
        <f t="shared" si="21"/>
        <v>32938718.218346704</v>
      </c>
      <c r="K72" s="3799">
        <f t="shared" si="21"/>
        <v>34756703.326951668</v>
      </c>
      <c r="L72" s="3799">
        <f t="shared" si="21"/>
        <v>35991063.893670887</v>
      </c>
      <c r="M72" s="3799">
        <f t="shared" si="21"/>
        <v>35992073.561981581</v>
      </c>
      <c r="N72" s="3799">
        <f t="shared" si="21"/>
        <v>35467747.0223286</v>
      </c>
      <c r="O72" s="3799">
        <f t="shared" si="21"/>
        <v>36112822.876777835</v>
      </c>
      <c r="P72" s="3799">
        <f t="shared" si="21"/>
        <v>36826239.760905758</v>
      </c>
      <c r="Q72" s="3799">
        <f t="shared" si="21"/>
        <v>37483110.922426045</v>
      </c>
      <c r="R72" s="3799">
        <f t="shared" si="21"/>
        <v>38832768.084736049</v>
      </c>
    </row>
    <row r="73" spans="1:18" ht="27" customHeight="1">
      <c r="A73" s="3695"/>
      <c r="E73" s="3792" t="s">
        <v>602</v>
      </c>
      <c r="F73" s="3724">
        <f>+F67+F72</f>
        <v>56090619.55916667</v>
      </c>
      <c r="G73" s="3724">
        <f>+G67+G72</f>
        <v>60056241.124566667</v>
      </c>
      <c r="H73" s="3724">
        <f>+H67+H72</f>
        <v>63849486.641961008</v>
      </c>
      <c r="I73" s="3724">
        <f>+I67+I72</f>
        <v>68146212.096479207</v>
      </c>
      <c r="J73" s="3724">
        <f>+J67+J72</f>
        <v>73145644.192175478</v>
      </c>
      <c r="K73" s="3724">
        <f t="shared" ref="K73:R73" si="22">+K67+K72</f>
        <v>77505611.555449069</v>
      </c>
      <c r="L73" s="3724">
        <f t="shared" si="22"/>
        <v>81128073.506300241</v>
      </c>
      <c r="M73" s="3724">
        <f t="shared" si="22"/>
        <v>80917705.5893379</v>
      </c>
      <c r="N73" s="3724">
        <f t="shared" si="22"/>
        <v>79330992.872697264</v>
      </c>
      <c r="O73" s="3724">
        <f t="shared" si="22"/>
        <v>80674631.752580494</v>
      </c>
      <c r="P73" s="3724">
        <f t="shared" si="22"/>
        <v>82507469.732144773</v>
      </c>
      <c r="Q73" s="3724">
        <f t="shared" si="22"/>
        <v>83994254.582093567</v>
      </c>
      <c r="R73" s="3724">
        <f t="shared" si="22"/>
        <v>86167248.702337742</v>
      </c>
    </row>
    <row r="74" spans="1:18" ht="15.75">
      <c r="A74" s="3695"/>
      <c r="B74" s="3800"/>
      <c r="E74" s="3801"/>
      <c r="F74" s="3802"/>
      <c r="G74" s="3803"/>
      <c r="H74" s="3803"/>
      <c r="I74" s="3803"/>
      <c r="J74" s="3744"/>
    </row>
    <row r="75" spans="1:18" ht="33.75" customHeight="1">
      <c r="A75" s="3695"/>
      <c r="B75" s="3800" t="s">
        <v>2829</v>
      </c>
      <c r="E75" s="3801"/>
      <c r="F75" s="3802"/>
      <c r="G75" s="3803"/>
      <c r="H75" s="3803"/>
      <c r="I75" s="3803"/>
      <c r="J75" s="3744"/>
    </row>
    <row r="76" spans="1:18" ht="15.75">
      <c r="A76" s="3695"/>
      <c r="B76" s="3804" t="s">
        <v>3866</v>
      </c>
      <c r="C76" s="3805"/>
      <c r="D76" s="3805"/>
      <c r="E76" s="3805"/>
      <c r="F76" s="3805" t="s">
        <v>2831</v>
      </c>
      <c r="G76" s="3805"/>
      <c r="H76" s="3805"/>
      <c r="I76" s="3806"/>
      <c r="J76" s="3805"/>
      <c r="K76" s="3805"/>
      <c r="L76" s="3805"/>
      <c r="M76" s="3805"/>
      <c r="N76" s="3805"/>
    </row>
    <row r="77" spans="1:18">
      <c r="A77" s="3695"/>
      <c r="B77" s="3805" t="s">
        <v>2832</v>
      </c>
      <c r="C77" s="3807">
        <v>817438.40833333344</v>
      </c>
      <c r="D77" s="3807"/>
      <c r="E77" s="3805" t="s">
        <v>2833</v>
      </c>
      <c r="F77" s="3808">
        <v>2837160.2558333334</v>
      </c>
      <c r="G77" s="3807">
        <f t="shared" ref="G77:M77" si="23">F77-G80</f>
        <v>2019721.8474999999</v>
      </c>
      <c r="H77" s="3807">
        <f t="shared" si="23"/>
        <v>1328847.5583333331</v>
      </c>
      <c r="I77" s="3807">
        <f t="shared" si="23"/>
        <v>982904.97916666651</v>
      </c>
      <c r="J77" s="3807">
        <f t="shared" si="23"/>
        <v>685651.69749999954</v>
      </c>
      <c r="K77" s="3807">
        <f t="shared" si="23"/>
        <v>426064.87166666624</v>
      </c>
      <c r="L77" s="3807">
        <f t="shared" si="23"/>
        <v>209398.76916666626</v>
      </c>
      <c r="M77" s="3807">
        <f t="shared" si="23"/>
        <v>49286.114999999612</v>
      </c>
      <c r="N77" s="3807"/>
    </row>
    <row r="78" spans="1:18" ht="15.75" thickBot="1">
      <c r="A78" s="3695"/>
      <c r="B78" s="3805"/>
      <c r="C78" s="3809"/>
      <c r="D78" s="3810"/>
      <c r="E78" s="3805"/>
      <c r="F78" s="3808">
        <v>23582.44</v>
      </c>
      <c r="G78" s="3805"/>
      <c r="H78" s="3805"/>
      <c r="I78" s="3805"/>
      <c r="J78" s="3805"/>
      <c r="K78" s="3805"/>
      <c r="L78" s="3805"/>
      <c r="M78" s="3805"/>
      <c r="N78" s="3805"/>
    </row>
    <row r="79" spans="1:18" ht="15.75">
      <c r="A79" s="3695"/>
      <c r="B79" s="3805"/>
      <c r="C79" s="3805"/>
      <c r="D79" s="3805"/>
      <c r="E79" s="3805"/>
      <c r="F79" s="3805"/>
      <c r="G79" s="3804" t="s">
        <v>3867</v>
      </c>
      <c r="H79" s="3805"/>
      <c r="I79" s="3805"/>
      <c r="J79" s="3805"/>
      <c r="K79" s="3805"/>
      <c r="L79" s="3805"/>
      <c r="M79" s="3805"/>
      <c r="N79" s="3805"/>
    </row>
    <row r="80" spans="1:18">
      <c r="A80" s="3695"/>
      <c r="B80" s="3805"/>
      <c r="C80" s="3811">
        <f>SUM(C77:C79)</f>
        <v>817438.40833333344</v>
      </c>
      <c r="D80" s="3811"/>
      <c r="E80" s="3805">
        <v>932019</v>
      </c>
      <c r="F80" s="3812">
        <v>86985321.190000027</v>
      </c>
      <c r="G80" s="3813">
        <f>C80</f>
        <v>817438.40833333344</v>
      </c>
      <c r="H80" s="3814">
        <v>690874.28916666668</v>
      </c>
      <c r="I80" s="3815">
        <v>345942.5791666666</v>
      </c>
      <c r="J80" s="3815">
        <f>298216.351666667-963.07</f>
        <v>297253.28166666697</v>
      </c>
      <c r="K80" s="3815">
        <v>259586.82583333331</v>
      </c>
      <c r="L80" s="3815">
        <v>216666.10249999998</v>
      </c>
      <c r="M80" s="3816">
        <v>160112.65416666665</v>
      </c>
      <c r="N80" s="3817">
        <f>M77</f>
        <v>49286.114999999612</v>
      </c>
    </row>
    <row r="81" spans="1:14">
      <c r="A81" s="3695"/>
      <c r="G81" s="3696">
        <v>2013</v>
      </c>
      <c r="H81" s="3696">
        <v>2014</v>
      </c>
      <c r="I81" s="3696">
        <v>2015</v>
      </c>
      <c r="J81" s="3696">
        <v>2016</v>
      </c>
      <c r="K81" s="3696">
        <v>2017</v>
      </c>
      <c r="L81" s="3696">
        <v>2018</v>
      </c>
      <c r="M81" s="3696">
        <v>2019</v>
      </c>
      <c r="N81" s="3696">
        <v>2020</v>
      </c>
    </row>
    <row r="82" spans="1:14">
      <c r="A82" s="3695"/>
    </row>
    <row r="83" spans="1:14">
      <c r="A83" s="3695"/>
      <c r="C83" s="3805" t="s">
        <v>2836</v>
      </c>
      <c r="D83" s="3805"/>
      <c r="E83" s="3805"/>
    </row>
    <row r="84" spans="1:14">
      <c r="A84" s="3695"/>
      <c r="C84" s="3805">
        <v>2009</v>
      </c>
      <c r="D84" s="3805"/>
      <c r="E84" s="3808">
        <v>414439.92</v>
      </c>
    </row>
    <row r="85" spans="1:14">
      <c r="A85" s="3695"/>
      <c r="C85" s="3805">
        <v>2010</v>
      </c>
      <c r="D85" s="3805"/>
      <c r="E85" s="3808">
        <v>416961.48</v>
      </c>
    </row>
    <row r="86" spans="1:14">
      <c r="A86" s="3695"/>
      <c r="C86" s="3805">
        <v>2011</v>
      </c>
      <c r="D86" s="3805"/>
      <c r="E86" s="3808">
        <v>416961.48</v>
      </c>
      <c r="H86" s="3818"/>
    </row>
    <row r="87" spans="1:14">
      <c r="A87" s="3695"/>
      <c r="C87" s="3819">
        <v>2012</v>
      </c>
      <c r="D87" s="3819"/>
      <c r="E87" s="3820">
        <v>421980.96</v>
      </c>
    </row>
    <row r="88" spans="1:14">
      <c r="A88" s="3695"/>
      <c r="C88" s="3821">
        <v>2013</v>
      </c>
      <c r="D88" s="3821"/>
      <c r="E88" s="3822">
        <f>E87</f>
        <v>421980.96</v>
      </c>
    </row>
    <row r="89" spans="1:14">
      <c r="A89" s="3695"/>
      <c r="C89" s="3805"/>
      <c r="D89" s="3805"/>
      <c r="E89" s="3823"/>
    </row>
    <row r="90" spans="1:14">
      <c r="A90" s="3695"/>
      <c r="C90" s="3805" t="s">
        <v>2837</v>
      </c>
      <c r="D90" s="3805"/>
      <c r="E90" s="3805"/>
    </row>
    <row r="91" spans="1:14">
      <c r="A91" s="3695"/>
      <c r="C91" s="3805">
        <v>2009</v>
      </c>
      <c r="D91" s="3805"/>
      <c r="E91" s="3808">
        <v>419718.09</v>
      </c>
    </row>
    <row r="92" spans="1:14">
      <c r="A92" s="3695"/>
      <c r="C92" s="3805">
        <v>2010</v>
      </c>
      <c r="D92" s="3805"/>
      <c r="E92" s="3808">
        <v>420165.36</v>
      </c>
    </row>
    <row r="93" spans="1:14">
      <c r="A93" s="3695"/>
      <c r="C93" s="3805">
        <v>2011</v>
      </c>
      <c r="D93" s="3805"/>
      <c r="E93" s="3808">
        <v>420165.36</v>
      </c>
    </row>
    <row r="94" spans="1:14">
      <c r="A94" s="3695"/>
      <c r="C94" s="3819">
        <v>2012</v>
      </c>
      <c r="D94" s="3819"/>
      <c r="E94" s="3820">
        <v>423453.24</v>
      </c>
    </row>
    <row r="95" spans="1:14">
      <c r="A95" s="3695"/>
      <c r="C95" s="3821">
        <v>2013</v>
      </c>
      <c r="D95" s="3821"/>
      <c r="E95" s="3822">
        <f>E94</f>
        <v>423453.24</v>
      </c>
    </row>
    <row r="96" spans="1:14">
      <c r="A96" s="3695"/>
    </row>
    <row r="97" spans="1:18">
      <c r="A97" s="3695"/>
    </row>
    <row r="98" spans="1:18">
      <c r="A98" s="3695"/>
      <c r="C98" s="3701" t="s">
        <v>393</v>
      </c>
      <c r="D98" s="3701"/>
      <c r="E98" s="3701" t="s">
        <v>2838</v>
      </c>
      <c r="F98" s="3701">
        <v>2014</v>
      </c>
      <c r="G98" s="3701">
        <v>2015</v>
      </c>
      <c r="H98" s="3701">
        <v>2016</v>
      </c>
      <c r="I98" s="3701">
        <v>2017</v>
      </c>
      <c r="J98" s="3701">
        <v>2018</v>
      </c>
      <c r="K98" s="3701">
        <v>2019</v>
      </c>
      <c r="L98" s="3701">
        <v>2020</v>
      </c>
      <c r="M98" s="3701">
        <v>2021</v>
      </c>
      <c r="N98" s="3701">
        <v>2022</v>
      </c>
      <c r="O98" s="3701">
        <v>2023</v>
      </c>
      <c r="P98" s="3701">
        <v>2024</v>
      </c>
      <c r="Q98" s="3701">
        <v>2025</v>
      </c>
      <c r="R98" s="3701">
        <v>2026</v>
      </c>
    </row>
    <row r="99" spans="1:18" ht="15.75">
      <c r="A99" s="3695"/>
      <c r="B99" s="3824" t="s">
        <v>3868</v>
      </c>
      <c r="C99" s="3825">
        <f>+E99/E111</f>
        <v>0.41331826191517707</v>
      </c>
      <c r="D99" s="3825"/>
      <c r="E99" s="3736">
        <f>-E26</f>
        <v>20861604</v>
      </c>
      <c r="F99" s="3701"/>
      <c r="G99" s="3701"/>
      <c r="H99" s="3701"/>
      <c r="I99" s="3701"/>
      <c r="J99" s="3701"/>
    </row>
    <row r="100" spans="1:18" ht="15.75">
      <c r="A100" s="3695"/>
      <c r="B100" s="3826" t="s">
        <v>2840</v>
      </c>
      <c r="C100" s="3827">
        <v>50</v>
      </c>
      <c r="D100" s="3827"/>
      <c r="E100" s="3736"/>
      <c r="F100" s="3701"/>
      <c r="G100" s="3701"/>
      <c r="H100" s="3701"/>
      <c r="I100" s="3701"/>
      <c r="J100" s="3701"/>
    </row>
    <row r="101" spans="1:18" ht="15.75">
      <c r="A101" s="3695"/>
      <c r="B101" s="3824" t="s">
        <v>2841</v>
      </c>
      <c r="C101" s="3828"/>
      <c r="D101" s="3828"/>
      <c r="E101" s="3736"/>
      <c r="F101" s="3736">
        <f t="shared" ref="F101:R101" si="24">+E48</f>
        <v>141644212</v>
      </c>
      <c r="G101" s="3736">
        <f t="shared" si="24"/>
        <v>117410261.12</v>
      </c>
      <c r="H101" s="3736">
        <f t="shared" si="24"/>
        <v>80012760.567582503</v>
      </c>
      <c r="I101" s="3736">
        <f t="shared" si="24"/>
        <v>101330610.35146607</v>
      </c>
      <c r="J101" s="3736">
        <f t="shared" si="24"/>
        <v>113469803.70422849</v>
      </c>
      <c r="K101" s="3736">
        <f t="shared" si="24"/>
        <v>99567182.712483793</v>
      </c>
      <c r="L101" s="3736">
        <f t="shared" si="24"/>
        <v>70449034.3913984</v>
      </c>
      <c r="M101" s="3736">
        <f t="shared" si="24"/>
        <v>59180844.826800779</v>
      </c>
      <c r="N101" s="3736">
        <f t="shared" si="24"/>
        <v>60250564.524075486</v>
      </c>
      <c r="O101" s="3736">
        <f t="shared" si="24"/>
        <v>62927466.244193703</v>
      </c>
      <c r="P101" s="3736">
        <f t="shared" si="24"/>
        <v>60136374.104597077</v>
      </c>
      <c r="Q101" s="3736">
        <f t="shared" si="24"/>
        <v>59797068.055952802</v>
      </c>
      <c r="R101" s="3736">
        <f t="shared" si="24"/>
        <v>93358227.696240857</v>
      </c>
    </row>
    <row r="102" spans="1:18" ht="15.75">
      <c r="A102" s="3695"/>
      <c r="B102" s="3829" t="s">
        <v>2842</v>
      </c>
      <c r="C102" s="3830"/>
      <c r="D102" s="3830"/>
      <c r="E102" s="3830"/>
      <c r="F102" s="3736">
        <f>+F117*$C$99</f>
        <v>18329032.30880354</v>
      </c>
      <c r="G102" s="3736">
        <f>+G117*$C$99</f>
        <v>18242069.373591434</v>
      </c>
      <c r="H102" s="3736">
        <f>+H117*$C$99</f>
        <v>18167697.030203808</v>
      </c>
      <c r="I102" s="3736">
        <f>+I117*$C$99</f>
        <v>18125487.349089447</v>
      </c>
      <c r="J102" s="3736">
        <f>+J117*$C$99</f>
        <v>17839462.783481162</v>
      </c>
      <c r="K102" s="3736">
        <f t="shared" ref="K102:R102" si="25">+K117*$C$99</f>
        <v>17666104.237836447</v>
      </c>
      <c r="L102" s="3736">
        <f t="shared" si="25"/>
        <v>17491484.116727702</v>
      </c>
      <c r="M102" s="3736">
        <f t="shared" si="25"/>
        <v>16308876.88850238</v>
      </c>
      <c r="N102" s="3736">
        <f t="shared" si="25"/>
        <v>14579539.058367884</v>
      </c>
      <c r="O102" s="3736">
        <f t="shared" si="25"/>
        <v>13966065.587933244</v>
      </c>
      <c r="P102" s="3736">
        <f t="shared" si="25"/>
        <v>13476754.989969229</v>
      </c>
      <c r="Q102" s="3736">
        <f t="shared" si="25"/>
        <v>12937684.790370459</v>
      </c>
      <c r="R102" s="3736">
        <f t="shared" si="25"/>
        <v>12420177.398755642</v>
      </c>
    </row>
    <row r="103" spans="1:18" ht="15.75">
      <c r="A103" s="3695"/>
      <c r="B103" s="3824" t="s">
        <v>3869</v>
      </c>
      <c r="F103" s="3736">
        <f>+F101/$C$100</f>
        <v>2832884.24</v>
      </c>
      <c r="G103" s="3736">
        <f>+F103+(+G101/$C$100)</f>
        <v>5181089.4624000005</v>
      </c>
      <c r="H103" s="3736">
        <f>+G103+(+H101/$C$100)</f>
        <v>6781344.6737516504</v>
      </c>
      <c r="I103" s="3736">
        <f>+H103+(+I101/$C$100)</f>
        <v>8807956.8807809725</v>
      </c>
      <c r="J103" s="3736">
        <f>+I103+(+J101/$C$100)</f>
        <v>11077352.954865541</v>
      </c>
      <c r="K103" s="3736">
        <f t="shared" ref="K103:R103" si="26">+J103+(+K101/$C$100)</f>
        <v>13068696.609115217</v>
      </c>
      <c r="L103" s="3736">
        <f t="shared" si="26"/>
        <v>14477677.296943184</v>
      </c>
      <c r="M103" s="3736">
        <f t="shared" si="26"/>
        <v>15661294.193479199</v>
      </c>
      <c r="N103" s="3736">
        <f t="shared" si="26"/>
        <v>16866305.48396071</v>
      </c>
      <c r="O103" s="3736">
        <f t="shared" si="26"/>
        <v>18124854.808844585</v>
      </c>
      <c r="P103" s="3736">
        <f t="shared" si="26"/>
        <v>19327582.290936526</v>
      </c>
      <c r="Q103" s="3736">
        <f t="shared" si="26"/>
        <v>20523523.652055584</v>
      </c>
      <c r="R103" s="3736">
        <f t="shared" si="26"/>
        <v>22390688.205980401</v>
      </c>
    </row>
    <row r="104" spans="1:18" ht="23.25" customHeight="1">
      <c r="A104" s="3695"/>
      <c r="B104" s="3831" t="s">
        <v>2844</v>
      </c>
      <c r="C104" s="3832"/>
      <c r="D104" s="3832"/>
      <c r="E104" s="3832"/>
      <c r="F104" s="3832">
        <f>+F102+F103</f>
        <v>21161916.548803538</v>
      </c>
      <c r="G104" s="3832">
        <f>+G102+G103</f>
        <v>23423158.835991435</v>
      </c>
      <c r="H104" s="3832">
        <f>+H102+H103</f>
        <v>24949041.703955457</v>
      </c>
      <c r="I104" s="3832">
        <f>+I102+I103</f>
        <v>26933444.22987042</v>
      </c>
      <c r="J104" s="3832">
        <f>+J102+J103</f>
        <v>28916815.738346703</v>
      </c>
      <c r="K104" s="3832">
        <f t="shared" ref="K104:R104" si="27">+K102+K103</f>
        <v>30734800.846951663</v>
      </c>
      <c r="L104" s="3832">
        <f t="shared" si="27"/>
        <v>31969161.413670886</v>
      </c>
      <c r="M104" s="3832">
        <f t="shared" si="27"/>
        <v>31970171.081981577</v>
      </c>
      <c r="N104" s="3832">
        <f t="shared" si="27"/>
        <v>31445844.542328596</v>
      </c>
      <c r="O104" s="3832">
        <f t="shared" si="27"/>
        <v>32090920.396777831</v>
      </c>
      <c r="P104" s="3832">
        <f t="shared" si="27"/>
        <v>32804337.280905753</v>
      </c>
      <c r="Q104" s="3832">
        <f t="shared" si="27"/>
        <v>33461208.442426041</v>
      </c>
      <c r="R104" s="3832">
        <f t="shared" si="27"/>
        <v>34810865.604736045</v>
      </c>
    </row>
    <row r="105" spans="1:18" ht="23.25" customHeight="1">
      <c r="A105" s="3695"/>
      <c r="B105" s="3824" t="s">
        <v>3868</v>
      </c>
      <c r="C105" s="3825">
        <f>+E105/E111</f>
        <v>0.58668173808482293</v>
      </c>
      <c r="D105" s="3825"/>
      <c r="E105" s="3736">
        <f>-E13</f>
        <v>29611859</v>
      </c>
      <c r="F105" s="3735"/>
      <c r="G105" s="3735"/>
      <c r="H105" s="3735"/>
      <c r="I105" s="3735"/>
      <c r="J105" s="3735"/>
      <c r="K105" s="3735"/>
      <c r="L105" s="3735"/>
      <c r="M105" s="3735"/>
      <c r="N105" s="3735"/>
      <c r="O105" s="3735"/>
      <c r="P105" s="3735"/>
      <c r="Q105" s="3735"/>
      <c r="R105" s="3735"/>
    </row>
    <row r="106" spans="1:18" ht="23.25" customHeight="1">
      <c r="A106" s="3695"/>
      <c r="B106" s="3826" t="s">
        <v>2845</v>
      </c>
      <c r="C106" s="3827">
        <v>20</v>
      </c>
      <c r="D106" s="3827"/>
      <c r="E106" s="3736"/>
      <c r="F106" s="3735"/>
      <c r="G106" s="3735"/>
      <c r="H106" s="3735"/>
      <c r="I106" s="3735"/>
      <c r="J106" s="3735"/>
      <c r="K106" s="3735"/>
      <c r="L106" s="3735"/>
      <c r="M106" s="3735"/>
      <c r="N106" s="3735"/>
      <c r="O106" s="3735"/>
      <c r="P106" s="3735"/>
      <c r="Q106" s="3735"/>
      <c r="R106" s="3735"/>
    </row>
    <row r="107" spans="1:18" ht="15.75">
      <c r="A107" s="3695"/>
      <c r="B107" s="3824" t="s">
        <v>3870</v>
      </c>
      <c r="C107" s="3828"/>
      <c r="D107" s="3828"/>
      <c r="E107" s="3736"/>
      <c r="F107" s="3736">
        <f t="shared" ref="F107:R107" si="28">+E42</f>
        <v>67069487</v>
      </c>
      <c r="G107" s="3736">
        <f t="shared" si="28"/>
        <v>43454998.460000001</v>
      </c>
      <c r="H107" s="3736">
        <f t="shared" si="28"/>
        <v>36631234.984602019</v>
      </c>
      <c r="I107" s="3736">
        <f t="shared" si="28"/>
        <v>59999222.552695818</v>
      </c>
      <c r="J107" s="3736">
        <f t="shared" si="28"/>
        <v>69299537.898900956</v>
      </c>
      <c r="K107" s="3736">
        <f t="shared" si="28"/>
        <v>55761096.780477867</v>
      </c>
      <c r="L107" s="3736">
        <f t="shared" si="28"/>
        <v>52719294.060464561</v>
      </c>
      <c r="M107" s="3736">
        <f t="shared" si="28"/>
        <v>29345320.730032656</v>
      </c>
      <c r="N107" s="3736">
        <f t="shared" si="28"/>
        <v>27846208.057557296</v>
      </c>
      <c r="O107" s="3736">
        <f t="shared" si="28"/>
        <v>31387073.699986964</v>
      </c>
      <c r="P107" s="3736">
        <f t="shared" si="28"/>
        <v>36279392.549446926</v>
      </c>
      <c r="Q107" s="3736">
        <f t="shared" si="28"/>
        <v>31901862.832594763</v>
      </c>
      <c r="R107" s="3736">
        <f t="shared" si="28"/>
        <v>31158184.660147019</v>
      </c>
    </row>
    <row r="108" spans="1:18" ht="23.25" customHeight="1">
      <c r="A108" s="3695"/>
      <c r="B108" s="3829" t="s">
        <v>2847</v>
      </c>
      <c r="C108" s="3735"/>
      <c r="D108" s="3735"/>
      <c r="E108" s="3735"/>
      <c r="F108" s="3736">
        <f>+F117*$C$105</f>
        <v>26017017.69119646</v>
      </c>
      <c r="G108" s="3736">
        <f>+G117*$C$105</f>
        <v>25893578.756408568</v>
      </c>
      <c r="H108" s="3736">
        <f>+H117*$C$105</f>
        <v>25788011.449796189</v>
      </c>
      <c r="I108" s="3736">
        <f>+I117*$C$105</f>
        <v>25728097.210910555</v>
      </c>
      <c r="J108" s="3736">
        <f>+J117*$C$105</f>
        <v>25322101.626518834</v>
      </c>
      <c r="K108" s="3736">
        <f t="shared" ref="K108:R108" si="29">+K117*$C$105</f>
        <v>25076029.042163555</v>
      </c>
      <c r="L108" s="3736">
        <f t="shared" si="29"/>
        <v>24828165.723272301</v>
      </c>
      <c r="M108" s="3736">
        <f t="shared" si="29"/>
        <v>23149522.101497624</v>
      </c>
      <c r="N108" s="3736">
        <f t="shared" si="29"/>
        <v>20694825.521632113</v>
      </c>
      <c r="O108" s="3736">
        <f t="shared" si="29"/>
        <v>19824034.862066761</v>
      </c>
      <c r="P108" s="3736">
        <f t="shared" si="29"/>
        <v>19129486.330030773</v>
      </c>
      <c r="Q108" s="3736">
        <f t="shared" si="29"/>
        <v>18364306.876829538</v>
      </c>
      <c r="R108" s="3736">
        <f t="shared" si="29"/>
        <v>17629734.60175636</v>
      </c>
    </row>
    <row r="109" spans="1:18" ht="15.75">
      <c r="A109" s="3695"/>
      <c r="B109" s="3824" t="s">
        <v>3869</v>
      </c>
      <c r="F109" s="3736">
        <f>+F107/$C$106</f>
        <v>3353474.35</v>
      </c>
      <c r="G109" s="3736">
        <f>+F109+(+G107/$C$106)</f>
        <v>5526224.273</v>
      </c>
      <c r="H109" s="3736">
        <f>+G109+(+H107/$C$106)</f>
        <v>7357786.0222301008</v>
      </c>
      <c r="I109" s="3736">
        <f>+H109+(+I107/$C$106)</f>
        <v>10357747.149864892</v>
      </c>
      <c r="J109" s="3736">
        <f>+I109+(+J107/$C$106)</f>
        <v>13822724.044809939</v>
      </c>
      <c r="K109" s="3736">
        <f t="shared" ref="K109:R109" si="30">+J109+(+K107/$C$106)</f>
        <v>16610778.883833833</v>
      </c>
      <c r="L109" s="3736">
        <f t="shared" si="30"/>
        <v>19246743.586857062</v>
      </c>
      <c r="M109" s="3736">
        <f t="shared" si="30"/>
        <v>20714009.623358693</v>
      </c>
      <c r="N109" s="3736">
        <f t="shared" si="30"/>
        <v>22106320.026236556</v>
      </c>
      <c r="O109" s="3736">
        <f t="shared" si="30"/>
        <v>23675673.711235903</v>
      </c>
      <c r="P109" s="3736">
        <f t="shared" si="30"/>
        <v>25489643.338708248</v>
      </c>
      <c r="Q109" s="3736">
        <f t="shared" si="30"/>
        <v>27084736.480337985</v>
      </c>
      <c r="R109" s="3736">
        <f t="shared" si="30"/>
        <v>28642645.713345334</v>
      </c>
    </row>
    <row r="110" spans="1:18" ht="23.25" customHeight="1">
      <c r="A110" s="3695"/>
      <c r="B110" s="3833" t="s">
        <v>2848</v>
      </c>
      <c r="C110" s="3834"/>
      <c r="D110" s="3834"/>
      <c r="E110" s="3834"/>
      <c r="F110" s="3834">
        <f>+F108+F109</f>
        <v>29370492.041196462</v>
      </c>
      <c r="G110" s="3834">
        <f>+G108+G109</f>
        <v>31419803.029408567</v>
      </c>
      <c r="H110" s="3834">
        <f>+H108+H109</f>
        <v>33145797.472026289</v>
      </c>
      <c r="I110" s="3834">
        <f>+I108+I109</f>
        <v>36085844.360775448</v>
      </c>
      <c r="J110" s="3834">
        <f>+J108+J109</f>
        <v>39144825.671328776</v>
      </c>
      <c r="K110" s="3834">
        <f t="shared" ref="K110:R110" si="31">+K108+K109</f>
        <v>41686807.925997391</v>
      </c>
      <c r="L110" s="3834">
        <f t="shared" si="31"/>
        <v>44074909.310129359</v>
      </c>
      <c r="M110" s="3834">
        <f t="shared" si="31"/>
        <v>43863531.724856317</v>
      </c>
      <c r="N110" s="3834">
        <f t="shared" si="31"/>
        <v>42801145.547868669</v>
      </c>
      <c r="O110" s="3834">
        <f t="shared" si="31"/>
        <v>43499708.573302664</v>
      </c>
      <c r="P110" s="3834">
        <f t="shared" si="31"/>
        <v>44619129.668739021</v>
      </c>
      <c r="Q110" s="3834">
        <f t="shared" si="31"/>
        <v>45449043.357167527</v>
      </c>
      <c r="R110" s="3834">
        <f t="shared" si="31"/>
        <v>46272380.315101698</v>
      </c>
    </row>
    <row r="111" spans="1:18">
      <c r="A111" s="3695"/>
      <c r="E111" s="3707">
        <f>+E99+E105</f>
        <v>50473463</v>
      </c>
    </row>
    <row r="112" spans="1:18" ht="23.25" customHeight="1">
      <c r="A112" s="3695"/>
      <c r="G112" s="3707">
        <f>+G102+G103+G108+G109</f>
        <v>54842961.865400001</v>
      </c>
    </row>
    <row r="113" spans="1:18">
      <c r="A113" s="3695"/>
    </row>
    <row r="114" spans="1:18">
      <c r="A114" s="3695"/>
    </row>
    <row r="115" spans="1:18">
      <c r="A115" s="3695"/>
    </row>
    <row r="116" spans="1:18">
      <c r="A116" s="3695"/>
      <c r="Q116" s="3696" t="s">
        <v>2849</v>
      </c>
    </row>
    <row r="117" spans="1:18" ht="15.75">
      <c r="A117" s="3695"/>
      <c r="B117" s="3835" t="s">
        <v>2850</v>
      </c>
      <c r="C117" s="3836"/>
      <c r="D117" s="3836"/>
      <c r="E117" s="3836"/>
      <c r="F117" s="3837">
        <v>44346050</v>
      </c>
      <c r="G117" s="3837">
        <v>44135648.130000003</v>
      </c>
      <c r="H117" s="3837">
        <v>43955708.479999997</v>
      </c>
      <c r="I117" s="3837">
        <v>43853584.560000002</v>
      </c>
      <c r="J117" s="3837">
        <v>43161564.409999996</v>
      </c>
      <c r="K117" s="3837">
        <v>42742133.280000001</v>
      </c>
      <c r="L117" s="3837">
        <v>42319649.840000004</v>
      </c>
      <c r="M117" s="3837">
        <v>39458398.990000002</v>
      </c>
      <c r="N117" s="3837">
        <v>35274364.579999998</v>
      </c>
      <c r="O117" s="3837">
        <v>33790100.450000003</v>
      </c>
      <c r="P117" s="3837">
        <v>32606241.32</v>
      </c>
      <c r="Q117" s="3838">
        <f>+P117-(+P117*0.04)</f>
        <v>31301991.667199999</v>
      </c>
      <c r="R117" s="3838">
        <f t="shared" ref="R117" si="32">+Q117-(+Q117*0.04)</f>
        <v>30049912.000512</v>
      </c>
    </row>
    <row r="118" spans="1:18">
      <c r="A118" s="3695"/>
      <c r="B118" s="3830"/>
      <c r="C118" s="3830"/>
      <c r="D118" s="3830"/>
      <c r="E118" s="3830" t="s">
        <v>2699</v>
      </c>
      <c r="F118" s="3839">
        <f>+F102+F108-F117</f>
        <v>0</v>
      </c>
      <c r="G118" s="3839">
        <f>+G102+G108-G117</f>
        <v>0</v>
      </c>
      <c r="H118" s="3839">
        <f>+H102+H108-H117</f>
        <v>0</v>
      </c>
      <c r="I118" s="3839">
        <f>+I102+I108-I117</f>
        <v>0</v>
      </c>
      <c r="J118" s="3839">
        <f>+J102+J108-J117</f>
        <v>0</v>
      </c>
      <c r="K118" s="3830"/>
      <c r="L118" s="3830"/>
      <c r="N118" s="3840"/>
      <c r="O118" s="3840"/>
      <c r="P118" s="3840"/>
    </row>
    <row r="119" spans="1:18" ht="15.75">
      <c r="A119" s="3695"/>
      <c r="B119" s="3830"/>
      <c r="C119" s="3830"/>
      <c r="D119" s="3830"/>
      <c r="E119" s="3841"/>
      <c r="F119" s="3736"/>
      <c r="G119" s="3736"/>
      <c r="H119" s="3736"/>
      <c r="I119" s="3736"/>
      <c r="J119" s="3736"/>
      <c r="K119" s="3830"/>
      <c r="L119" s="3830"/>
    </row>
    <row r="120" spans="1:18" ht="15.75">
      <c r="A120" s="3695"/>
      <c r="B120" s="3830"/>
      <c r="C120" s="3830"/>
      <c r="D120" s="3830"/>
      <c r="E120" s="3841"/>
      <c r="F120" s="3736"/>
      <c r="G120" s="3736"/>
      <c r="H120" s="3736"/>
      <c r="I120" s="3736"/>
      <c r="J120" s="3736"/>
      <c r="K120" s="3736"/>
      <c r="L120" s="3830"/>
    </row>
    <row r="121" spans="1:18">
      <c r="A121" s="3695"/>
      <c r="B121" s="3842" t="s">
        <v>2851</v>
      </c>
      <c r="C121" s="3843"/>
      <c r="D121" s="3843"/>
      <c r="E121" s="3844"/>
      <c r="F121" s="3844"/>
      <c r="G121" s="4382" t="s">
        <v>2852</v>
      </c>
      <c r="H121" s="4383"/>
      <c r="I121" s="4383"/>
      <c r="J121" s="4383"/>
      <c r="K121" s="4383"/>
      <c r="L121" s="4383"/>
      <c r="M121" s="4383"/>
      <c r="N121" s="4383"/>
      <c r="O121" s="4384"/>
      <c r="P121" s="4385" t="s">
        <v>3871</v>
      </c>
      <c r="Q121" s="4386"/>
      <c r="R121" s="4387"/>
    </row>
    <row r="122" spans="1:18">
      <c r="A122" s="3695"/>
      <c r="B122" s="3845"/>
      <c r="C122" s="3846" t="s">
        <v>400</v>
      </c>
      <c r="D122" s="3846"/>
      <c r="E122" s="3844" t="s">
        <v>2855</v>
      </c>
      <c r="F122" s="3844"/>
      <c r="G122" s="3847">
        <v>2015</v>
      </c>
      <c r="H122" s="3847">
        <v>2016</v>
      </c>
      <c r="I122" s="3847">
        <v>2017</v>
      </c>
      <c r="J122" s="3847">
        <v>2018</v>
      </c>
      <c r="K122" s="3847">
        <v>2019</v>
      </c>
      <c r="L122" s="3847">
        <v>2020</v>
      </c>
      <c r="M122" s="3847">
        <v>2021</v>
      </c>
      <c r="N122" s="3847">
        <v>2022</v>
      </c>
      <c r="O122" s="3847">
        <v>2023</v>
      </c>
      <c r="P122" s="3848">
        <v>2024</v>
      </c>
      <c r="Q122" s="3848">
        <v>2025</v>
      </c>
      <c r="R122" s="3848">
        <v>2026</v>
      </c>
    </row>
    <row r="123" spans="1:18" ht="15.75">
      <c r="A123" s="3695"/>
      <c r="B123" s="3845" t="s">
        <v>2856</v>
      </c>
      <c r="C123" s="3849">
        <v>0.03</v>
      </c>
      <c r="D123" s="3849"/>
      <c r="E123" s="3850">
        <v>30000000</v>
      </c>
      <c r="F123" s="3851"/>
      <c r="G123" s="3852">
        <f>+E123</f>
        <v>30000000</v>
      </c>
      <c r="H123" s="3852">
        <f>+G123*(1+$C$123)</f>
        <v>30900000</v>
      </c>
      <c r="I123" s="3852">
        <f t="shared" ref="I123:R127" si="33">+H123*(1+$C$123)</f>
        <v>31827000</v>
      </c>
      <c r="J123" s="3852">
        <f t="shared" si="33"/>
        <v>32781810</v>
      </c>
      <c r="K123" s="3852">
        <f t="shared" si="33"/>
        <v>33765264.300000004</v>
      </c>
      <c r="L123" s="3852">
        <f t="shared" si="33"/>
        <v>34778222.229000002</v>
      </c>
      <c r="M123" s="3852">
        <f t="shared" si="33"/>
        <v>35821568.89587</v>
      </c>
      <c r="N123" s="3852">
        <f t="shared" si="33"/>
        <v>36896215.962746099</v>
      </c>
      <c r="O123" s="3852">
        <f t="shared" si="33"/>
        <v>38003102.441628486</v>
      </c>
      <c r="P123" s="3853">
        <f t="shared" si="33"/>
        <v>39143195.514877342</v>
      </c>
      <c r="Q123" s="3853">
        <f t="shared" si="33"/>
        <v>40317491.380323663</v>
      </c>
      <c r="R123" s="3853">
        <f>+Q123*(1+$C$123)</f>
        <v>41527016.121733375</v>
      </c>
    </row>
    <row r="124" spans="1:18" ht="15.75">
      <c r="A124" s="3695"/>
      <c r="B124" s="3845" t="s">
        <v>2857</v>
      </c>
      <c r="C124" s="3854" t="s">
        <v>2858</v>
      </c>
      <c r="D124" s="3854"/>
      <c r="E124" s="3855">
        <v>2500000</v>
      </c>
      <c r="F124" s="3856"/>
      <c r="G124" s="3857">
        <f>+E124</f>
        <v>2500000</v>
      </c>
      <c r="H124" s="3857">
        <f>+G124*(1+$C$123)</f>
        <v>2575000</v>
      </c>
      <c r="I124" s="3857">
        <f t="shared" si="33"/>
        <v>2652250</v>
      </c>
      <c r="J124" s="3857">
        <f t="shared" si="33"/>
        <v>2731817.5</v>
      </c>
      <c r="K124" s="3857">
        <f t="shared" si="33"/>
        <v>2813772.0249999999</v>
      </c>
      <c r="L124" s="3857">
        <f t="shared" si="33"/>
        <v>2898185.1857500002</v>
      </c>
      <c r="M124" s="3857">
        <f t="shared" si="33"/>
        <v>2985130.7413225002</v>
      </c>
      <c r="N124" s="3857">
        <f t="shared" si="33"/>
        <v>3074684.6635621754</v>
      </c>
      <c r="O124" s="3857">
        <f t="shared" si="33"/>
        <v>3166925.2034690408</v>
      </c>
      <c r="P124" s="3857">
        <f t="shared" si="33"/>
        <v>3261932.959573112</v>
      </c>
      <c r="Q124" s="3857"/>
      <c r="R124" s="3857"/>
    </row>
    <row r="125" spans="1:18">
      <c r="A125" s="3695"/>
      <c r="B125" s="3845" t="s">
        <v>2859</v>
      </c>
      <c r="C125" s="3854" t="s">
        <v>2860</v>
      </c>
      <c r="D125" s="3854"/>
      <c r="E125" s="3855">
        <v>13940000</v>
      </c>
      <c r="F125" s="3857"/>
      <c r="G125" s="3858">
        <f>+E125</f>
        <v>13940000</v>
      </c>
      <c r="H125" s="3858">
        <f>+G125*(1+$C$123)</f>
        <v>14358200</v>
      </c>
      <c r="I125" s="3858">
        <f t="shared" si="33"/>
        <v>14788946</v>
      </c>
      <c r="J125" s="3858">
        <f t="shared" si="33"/>
        <v>15232614.380000001</v>
      </c>
      <c r="K125" s="3858">
        <f t="shared" si="33"/>
        <v>15689592.811400002</v>
      </c>
      <c r="L125" s="3858">
        <f t="shared" si="33"/>
        <v>16160280.595742002</v>
      </c>
      <c r="M125" s="3858">
        <f t="shared" si="33"/>
        <v>16645089.013614263</v>
      </c>
      <c r="N125" s="3858">
        <f t="shared" si="33"/>
        <v>17144441.684022691</v>
      </c>
      <c r="O125" s="3858">
        <f t="shared" si="33"/>
        <v>17658774.934543371</v>
      </c>
      <c r="P125" s="3858">
        <f t="shared" si="33"/>
        <v>18188538.182579674</v>
      </c>
      <c r="Q125" s="3858">
        <f t="shared" si="33"/>
        <v>18734194.328057066</v>
      </c>
      <c r="R125" s="3858">
        <f t="shared" si="33"/>
        <v>19296220.157898776</v>
      </c>
    </row>
    <row r="126" spans="1:18">
      <c r="A126" s="3695"/>
      <c r="B126" s="3859" t="s">
        <v>2859</v>
      </c>
      <c r="C126" s="3854" t="s">
        <v>2861</v>
      </c>
      <c r="D126" s="3854"/>
      <c r="E126" s="3855">
        <v>7820000</v>
      </c>
      <c r="F126" s="3857"/>
      <c r="G126" s="3858">
        <f>+E126</f>
        <v>7820000</v>
      </c>
      <c r="H126" s="3858">
        <f>+G126*(1+$C$123)</f>
        <v>8054600</v>
      </c>
      <c r="I126" s="3858">
        <f t="shared" si="33"/>
        <v>8296238</v>
      </c>
      <c r="J126" s="3858">
        <f t="shared" si="33"/>
        <v>8545125.1400000006</v>
      </c>
      <c r="K126" s="3858">
        <f t="shared" si="33"/>
        <v>8801478.8942000009</v>
      </c>
      <c r="L126" s="3858">
        <f t="shared" si="33"/>
        <v>9065523.2610260006</v>
      </c>
      <c r="M126" s="3858">
        <f t="shared" si="33"/>
        <v>9337488.9588567801</v>
      </c>
      <c r="N126" s="3858">
        <f t="shared" si="33"/>
        <v>9617613.6276224833</v>
      </c>
      <c r="O126" s="3858">
        <f t="shared" si="33"/>
        <v>9906142.0364511572</v>
      </c>
      <c r="P126" s="3858">
        <f t="shared" si="33"/>
        <v>10203326.297544692</v>
      </c>
      <c r="Q126" s="3858">
        <f t="shared" si="33"/>
        <v>10509426.086471032</v>
      </c>
      <c r="R126" s="3858">
        <f t="shared" si="33"/>
        <v>10824708.869065164</v>
      </c>
    </row>
    <row r="127" spans="1:18" ht="15.75">
      <c r="A127" s="3695"/>
      <c r="B127" s="3859" t="s">
        <v>2862</v>
      </c>
      <c r="C127" s="3860"/>
      <c r="D127" s="3860"/>
      <c r="E127" s="3850"/>
      <c r="F127" s="3851"/>
      <c r="G127" s="3852">
        <f>+G124</f>
        <v>2500000</v>
      </c>
      <c r="H127" s="3852">
        <f>+G127*(1+$C$123)</f>
        <v>2575000</v>
      </c>
      <c r="I127" s="3852">
        <f t="shared" si="33"/>
        <v>2652250</v>
      </c>
      <c r="J127" s="3852">
        <f t="shared" si="33"/>
        <v>2731817.5</v>
      </c>
      <c r="K127" s="3852">
        <f t="shared" si="33"/>
        <v>2813772.0249999999</v>
      </c>
      <c r="L127" s="3852">
        <f t="shared" si="33"/>
        <v>2898185.1857500002</v>
      </c>
      <c r="M127" s="3852">
        <f t="shared" si="33"/>
        <v>2985130.7413225002</v>
      </c>
      <c r="N127" s="3852">
        <f t="shared" si="33"/>
        <v>3074684.6635621754</v>
      </c>
      <c r="O127" s="3852">
        <f t="shared" si="33"/>
        <v>3166925.2034690408</v>
      </c>
      <c r="P127" s="3853">
        <f t="shared" si="33"/>
        <v>3261932.959573112</v>
      </c>
      <c r="Q127" s="3853">
        <f>+Q125</f>
        <v>18734194.328057066</v>
      </c>
      <c r="R127" s="3853">
        <f t="shared" ref="R127" si="34">+R125</f>
        <v>19296220.157898776</v>
      </c>
    </row>
    <row r="128" spans="1:18" ht="15.75">
      <c r="A128" s="3695"/>
      <c r="B128" s="3845"/>
      <c r="C128" s="3849"/>
      <c r="D128" s="3849"/>
      <c r="E128" s="3850"/>
      <c r="F128" s="3851"/>
      <c r="G128" s="3852"/>
      <c r="H128" s="3852"/>
      <c r="I128" s="3852"/>
      <c r="J128" s="3852"/>
      <c r="K128" s="3852"/>
      <c r="L128" s="3852"/>
      <c r="M128" s="3852"/>
      <c r="N128" s="3852"/>
      <c r="O128" s="3852"/>
      <c r="P128" s="3853"/>
      <c r="Q128" s="3853"/>
      <c r="R128" s="3853"/>
    </row>
    <row r="129" spans="1:18" ht="15.75">
      <c r="A129" s="3695"/>
      <c r="B129" s="3845" t="s">
        <v>3872</v>
      </c>
      <c r="C129" s="3849">
        <v>0.03</v>
      </c>
      <c r="D129" s="3849"/>
      <c r="E129" s="3850">
        <v>30000000</v>
      </c>
      <c r="F129" s="3851"/>
      <c r="G129" s="3852">
        <f>+E129</f>
        <v>30000000</v>
      </c>
      <c r="H129" s="3852">
        <f>+G129*(1+$C$129)</f>
        <v>30900000</v>
      </c>
      <c r="I129" s="3852">
        <f t="shared" ref="I129:R130" si="35">+H129*(1+$C$129)</f>
        <v>31827000</v>
      </c>
      <c r="J129" s="3852">
        <f t="shared" si="35"/>
        <v>32781810</v>
      </c>
      <c r="K129" s="3852">
        <f t="shared" si="35"/>
        <v>33765264.300000004</v>
      </c>
      <c r="L129" s="3852">
        <f t="shared" si="35"/>
        <v>34778222.229000002</v>
      </c>
      <c r="M129" s="3852">
        <f t="shared" si="35"/>
        <v>35821568.89587</v>
      </c>
      <c r="N129" s="3852">
        <f t="shared" si="35"/>
        <v>36896215.962746099</v>
      </c>
      <c r="O129" s="3852">
        <f t="shared" si="35"/>
        <v>38003102.441628486</v>
      </c>
      <c r="P129" s="3853">
        <f t="shared" si="35"/>
        <v>39143195.514877342</v>
      </c>
      <c r="Q129" s="3853">
        <f t="shared" si="35"/>
        <v>40317491.380323663</v>
      </c>
      <c r="R129" s="3853">
        <f t="shared" si="35"/>
        <v>41527016.121733375</v>
      </c>
    </row>
    <row r="130" spans="1:18">
      <c r="A130" s="3695"/>
      <c r="B130" s="3859" t="s">
        <v>2864</v>
      </c>
      <c r="C130" s="3845"/>
      <c r="D130" s="3845"/>
      <c r="E130" s="3861">
        <v>18000000</v>
      </c>
      <c r="F130" s="3857"/>
      <c r="G130" s="3857">
        <f>+E130</f>
        <v>18000000</v>
      </c>
      <c r="H130" s="3857">
        <f>+G130*(1+$C$129)</f>
        <v>18540000</v>
      </c>
      <c r="I130" s="3857">
        <f t="shared" si="35"/>
        <v>19096200</v>
      </c>
      <c r="J130" s="3857">
        <f t="shared" si="35"/>
        <v>19669086</v>
      </c>
      <c r="K130" s="3857">
        <f t="shared" si="35"/>
        <v>20259158.580000002</v>
      </c>
      <c r="L130" s="3857">
        <f t="shared" si="35"/>
        <v>20866933.337400004</v>
      </c>
      <c r="M130" s="3857">
        <f t="shared" si="35"/>
        <v>21492941.337522004</v>
      </c>
      <c r="N130" s="3857">
        <f t="shared" si="35"/>
        <v>22137729.577647664</v>
      </c>
      <c r="O130" s="3857">
        <f t="shared" si="35"/>
        <v>22801861.464977093</v>
      </c>
      <c r="P130" s="3857">
        <f t="shared" si="35"/>
        <v>23485917.308926407</v>
      </c>
      <c r="Q130" s="3857">
        <f t="shared" si="35"/>
        <v>24190494.828194201</v>
      </c>
      <c r="R130" s="3857">
        <f t="shared" si="35"/>
        <v>24916209.673040029</v>
      </c>
    </row>
    <row r="131" spans="1:18" ht="15.75">
      <c r="A131" s="3695"/>
      <c r="B131" s="3859" t="s">
        <v>2865</v>
      </c>
      <c r="C131" s="3845"/>
      <c r="D131" s="3845"/>
      <c r="E131" s="3862"/>
      <c r="F131" s="3851"/>
      <c r="G131" s="3852"/>
      <c r="H131" s="3852"/>
      <c r="I131" s="3852"/>
      <c r="J131" s="3852"/>
      <c r="K131" s="3852"/>
      <c r="L131" s="3863"/>
      <c r="M131" s="3863"/>
      <c r="N131" s="3863"/>
      <c r="O131" s="3863"/>
      <c r="P131" s="3864"/>
      <c r="Q131" s="3864"/>
      <c r="R131" s="3864"/>
    </row>
    <row r="132" spans="1:18">
      <c r="B132" s="3830"/>
      <c r="C132" s="3830"/>
      <c r="D132" s="3830"/>
      <c r="E132" s="3830"/>
      <c r="F132" s="3830"/>
      <c r="G132" s="3734"/>
      <c r="H132" s="3830"/>
      <c r="I132" s="3830"/>
      <c r="J132" s="3830"/>
      <c r="K132" s="3830"/>
      <c r="L132" s="3830"/>
    </row>
    <row r="133" spans="1:18">
      <c r="B133" s="3830"/>
      <c r="C133" s="3830"/>
      <c r="D133" s="3830"/>
      <c r="E133" s="3830"/>
      <c r="F133" s="3830"/>
      <c r="G133" s="3734"/>
      <c r="H133" s="3830"/>
      <c r="I133" s="3830"/>
      <c r="J133" s="3830"/>
      <c r="K133" s="3830"/>
      <c r="L133" s="3830"/>
    </row>
    <row r="134" spans="1:18">
      <c r="B134" s="3830"/>
      <c r="C134" s="3830"/>
      <c r="D134" s="3830"/>
      <c r="E134" s="3830"/>
      <c r="F134" s="3830"/>
      <c r="G134" s="3734"/>
      <c r="H134" s="3830"/>
      <c r="I134" s="3830"/>
      <c r="J134" s="3830"/>
      <c r="K134" s="3830"/>
      <c r="L134" s="3830"/>
    </row>
    <row r="135" spans="1:18">
      <c r="B135" s="3830"/>
      <c r="C135" s="3830"/>
      <c r="D135" s="3830"/>
      <c r="E135" s="3830"/>
      <c r="F135" s="3830"/>
      <c r="G135" s="3734"/>
      <c r="H135" s="3830"/>
      <c r="I135" s="3830"/>
      <c r="J135" s="3830"/>
      <c r="K135" s="3830"/>
      <c r="L135" s="3830"/>
    </row>
    <row r="136" spans="1:18">
      <c r="G136" s="3732"/>
    </row>
    <row r="137" spans="1:18">
      <c r="G137" s="3732"/>
    </row>
    <row r="138" spans="1:18" ht="15.75" thickBot="1">
      <c r="G138" s="3732"/>
    </row>
    <row r="139" spans="1:18">
      <c r="C139" s="3865"/>
      <c r="D139" s="3866"/>
      <c r="E139" s="3866"/>
      <c r="F139" s="3866"/>
      <c r="G139" s="3866"/>
      <c r="H139" s="3866"/>
      <c r="I139" s="3866"/>
      <c r="J139" s="3867"/>
    </row>
    <row r="140" spans="1:18">
      <c r="C140" s="3868" t="s">
        <v>3873</v>
      </c>
      <c r="D140" s="3869"/>
      <c r="E140" s="3869" t="s">
        <v>3874</v>
      </c>
      <c r="F140" s="3869" t="s">
        <v>2627</v>
      </c>
      <c r="G140" s="3869" t="s">
        <v>3875</v>
      </c>
      <c r="H140" s="3870" t="s">
        <v>3876</v>
      </c>
      <c r="I140" s="3869" t="s">
        <v>3877</v>
      </c>
      <c r="J140" s="3871"/>
    </row>
    <row r="141" spans="1:18" ht="15.75">
      <c r="C141" s="3868" t="s">
        <v>3878</v>
      </c>
      <c r="D141" s="3869"/>
      <c r="E141" s="3872">
        <v>16075925</v>
      </c>
      <c r="F141" s="3872">
        <v>3611311</v>
      </c>
      <c r="G141" s="3872">
        <f>+F141*0.37</f>
        <v>1336185.07</v>
      </c>
      <c r="H141" s="3872">
        <f>+(+E143+F143+G143)*0.594</f>
        <v>1980516.95028</v>
      </c>
      <c r="I141" s="3872">
        <f>SUM(E141:H141)</f>
        <v>23003938.02028</v>
      </c>
      <c r="J141" s="3873"/>
    </row>
    <row r="142" spans="1:18" ht="15.75">
      <c r="C142" s="3868" t="s">
        <v>1951</v>
      </c>
      <c r="D142" s="3869"/>
      <c r="E142" s="3872">
        <v>42251289</v>
      </c>
      <c r="F142" s="3872">
        <v>3668530</v>
      </c>
      <c r="G142" s="3872">
        <f>+F142*0.37</f>
        <v>1357356.1</v>
      </c>
      <c r="H142" s="3872">
        <f>+(+E143+F143+G143)*0.406</f>
        <v>1353686.6697200001</v>
      </c>
      <c r="I142" s="3872">
        <f>SUM(E142:H142)</f>
        <v>48630861.769720003</v>
      </c>
      <c r="J142" s="3873"/>
    </row>
    <row r="143" spans="1:18" ht="15.75">
      <c r="C143" s="3874" t="s">
        <v>3879</v>
      </c>
      <c r="D143" s="3869"/>
      <c r="E143" s="3875">
        <v>3026192</v>
      </c>
      <c r="F143" s="3875">
        <v>224826</v>
      </c>
      <c r="G143" s="3875">
        <f>+F143*0.37</f>
        <v>83185.62</v>
      </c>
      <c r="H143" s="3875">
        <f>-H141-H142</f>
        <v>-3334203.62</v>
      </c>
      <c r="I143" s="3875">
        <f>SUM(E143:H143)</f>
        <v>0</v>
      </c>
      <c r="J143" s="3876"/>
    </row>
    <row r="144" spans="1:18" ht="15.75">
      <c r="C144" s="3868"/>
      <c r="D144" s="3869"/>
      <c r="E144" s="3872">
        <f>SUM(E141:E143)</f>
        <v>61353406</v>
      </c>
      <c r="F144" s="3872">
        <f>SUM(F141:F143)</f>
        <v>7504667</v>
      </c>
      <c r="G144" s="3872">
        <f>SUM(G141:G143)</f>
        <v>2776726.79</v>
      </c>
      <c r="H144" s="3872"/>
      <c r="I144" s="3872">
        <f>SUM(E144:H144)</f>
        <v>71634799.790000007</v>
      </c>
      <c r="J144" s="3873"/>
    </row>
    <row r="145" spans="3:15">
      <c r="C145" s="3868"/>
      <c r="D145" s="3869"/>
      <c r="E145" s="3869"/>
      <c r="F145" s="3869"/>
      <c r="G145" s="3869"/>
      <c r="H145" s="3869"/>
      <c r="I145" s="3869"/>
      <c r="J145" s="3871"/>
    </row>
    <row r="146" spans="3:15" ht="15.75" thickBot="1">
      <c r="C146" s="3877"/>
      <c r="D146" s="3878"/>
      <c r="E146" s="3878"/>
      <c r="F146" s="3878"/>
      <c r="G146" s="3878"/>
      <c r="H146" s="3878"/>
      <c r="I146" s="3878"/>
      <c r="J146" s="3879"/>
    </row>
    <row r="147" spans="3:15">
      <c r="G147" s="3732"/>
    </row>
    <row r="148" spans="3:15">
      <c r="G148" s="3732"/>
    </row>
    <row r="149" spans="3:15">
      <c r="G149" s="3732"/>
    </row>
    <row r="150" spans="3:15">
      <c r="G150" s="3732"/>
    </row>
    <row r="151" spans="3:15">
      <c r="E151" s="3696">
        <v>2015</v>
      </c>
      <c r="F151" s="3696">
        <v>2016</v>
      </c>
      <c r="G151" s="3696">
        <v>2017</v>
      </c>
      <c r="H151" s="3696">
        <v>2018</v>
      </c>
      <c r="I151" s="3696">
        <v>2019</v>
      </c>
      <c r="J151" s="3696">
        <v>2020</v>
      </c>
      <c r="K151" s="3696">
        <v>2021</v>
      </c>
      <c r="L151" s="3696">
        <v>2022</v>
      </c>
      <c r="M151" s="3696">
        <v>2023</v>
      </c>
      <c r="N151" s="3696">
        <v>2024</v>
      </c>
    </row>
    <row r="152" spans="3:15" ht="15.75">
      <c r="D152" s="3696" t="s">
        <v>3880</v>
      </c>
      <c r="E152" s="3744">
        <v>18966994.140000001</v>
      </c>
      <c r="F152" s="3744">
        <v>22660234.07</v>
      </c>
      <c r="G152" s="3710">
        <v>22612079.390000001</v>
      </c>
      <c r="H152" s="3710">
        <v>21951554.719999999</v>
      </c>
      <c r="I152" s="3710">
        <v>21590521.18</v>
      </c>
      <c r="J152" s="3710">
        <v>21323013.460000001</v>
      </c>
      <c r="K152" s="3710">
        <v>18831583.629999999</v>
      </c>
      <c r="L152" s="3710">
        <v>16073225.99</v>
      </c>
      <c r="M152" s="3710">
        <v>15253366.119999999</v>
      </c>
      <c r="N152" s="3710">
        <v>15012748.73</v>
      </c>
      <c r="O152" s="3744">
        <f t="shared" ref="O152:O157" si="36">SUM(E152:N152)</f>
        <v>194275321.43000001</v>
      </c>
    </row>
    <row r="153" spans="3:15" ht="15.75">
      <c r="D153" s="3696" t="s">
        <v>3880</v>
      </c>
      <c r="E153" s="3740">
        <v>5604606.6200000001</v>
      </c>
      <c r="F153" s="3740">
        <v>6725527.9199999999</v>
      </c>
      <c r="G153" s="3738">
        <v>6725527.9199999999</v>
      </c>
      <c r="H153" s="3738">
        <v>6725527.9199999999</v>
      </c>
      <c r="I153" s="3738">
        <v>6725527.8600000003</v>
      </c>
      <c r="J153" s="3740">
        <v>6610909.8399999999</v>
      </c>
      <c r="K153" s="3740">
        <v>6572262.0599999996</v>
      </c>
      <c r="L153" s="3740">
        <v>5438385.2000000002</v>
      </c>
      <c r="M153" s="3740">
        <v>4964609.3099999996</v>
      </c>
      <c r="N153" s="3740">
        <v>3980311.84</v>
      </c>
      <c r="O153" s="3744">
        <f t="shared" si="36"/>
        <v>60073196.49000001</v>
      </c>
    </row>
    <row r="154" spans="3:15" ht="15.75">
      <c r="E154" s="3744">
        <f>+E152+E153</f>
        <v>24571600.760000002</v>
      </c>
      <c r="F154" s="3744">
        <f t="shared" ref="F154:N154" si="37">+F152+F153</f>
        <v>29385761.990000002</v>
      </c>
      <c r="G154" s="3744">
        <f t="shared" si="37"/>
        <v>29337607.310000002</v>
      </c>
      <c r="H154" s="3744">
        <f t="shared" si="37"/>
        <v>28677082.640000001</v>
      </c>
      <c r="I154" s="3744">
        <f t="shared" si="37"/>
        <v>28316049.039999999</v>
      </c>
      <c r="J154" s="3744">
        <f t="shared" si="37"/>
        <v>27933923.300000001</v>
      </c>
      <c r="K154" s="3744">
        <f t="shared" si="37"/>
        <v>25403845.689999998</v>
      </c>
      <c r="L154" s="3744">
        <f t="shared" si="37"/>
        <v>21511611.190000001</v>
      </c>
      <c r="M154" s="3744">
        <f t="shared" si="37"/>
        <v>20217975.43</v>
      </c>
      <c r="N154" s="3744">
        <f t="shared" si="37"/>
        <v>18993060.57</v>
      </c>
      <c r="O154" s="3744">
        <f t="shared" si="36"/>
        <v>254348517.92000002</v>
      </c>
    </row>
    <row r="155" spans="3:15" ht="15.75">
      <c r="D155" s="3696" t="s">
        <v>3881</v>
      </c>
      <c r="E155" s="3744">
        <v>2574740.56</v>
      </c>
      <c r="F155" s="3744">
        <v>3011081.22</v>
      </c>
      <c r="G155" s="3710">
        <v>2960155.1</v>
      </c>
      <c r="H155" s="3710">
        <v>2928659.63</v>
      </c>
      <c r="I155" s="3710">
        <v>2869631.16</v>
      </c>
      <c r="J155" s="3744">
        <v>2829273.46</v>
      </c>
      <c r="K155" s="3744">
        <v>2693413.49</v>
      </c>
      <c r="L155" s="3744">
        <v>2477606.4700000002</v>
      </c>
      <c r="M155" s="3744">
        <v>2286977.9500000002</v>
      </c>
      <c r="N155" s="3744">
        <v>2000816.85</v>
      </c>
      <c r="O155" s="3744">
        <f t="shared" si="36"/>
        <v>26632355.890000004</v>
      </c>
    </row>
    <row r="156" spans="3:15" ht="15.75">
      <c r="D156" s="3696" t="s">
        <v>3881</v>
      </c>
      <c r="E156" s="3740">
        <v>13419633.199999999</v>
      </c>
      <c r="F156" s="3740">
        <v>16103559.880000001</v>
      </c>
      <c r="G156" s="3738">
        <v>16100516.76</v>
      </c>
      <c r="H156" s="3738">
        <v>16100516.76</v>
      </c>
      <c r="I156" s="3738">
        <v>16100516.76</v>
      </c>
      <c r="J156" s="3740">
        <v>16100516.76</v>
      </c>
      <c r="K156" s="3740">
        <v>15905203.49</v>
      </c>
      <c r="L156" s="3740">
        <v>15829210.6</v>
      </c>
      <c r="M156" s="3740">
        <v>15829210.6</v>
      </c>
      <c r="N156" s="3740">
        <v>15829210.6</v>
      </c>
      <c r="O156" s="3744">
        <f t="shared" si="36"/>
        <v>157318095.41</v>
      </c>
    </row>
    <row r="157" spans="3:15" ht="15.75">
      <c r="E157" s="3744">
        <f>+E155+E156</f>
        <v>15994373.76</v>
      </c>
      <c r="F157" s="3744">
        <f t="shared" ref="F157:N157" si="38">+F155+F156</f>
        <v>19114641.100000001</v>
      </c>
      <c r="G157" s="3744">
        <f t="shared" si="38"/>
        <v>19060671.859999999</v>
      </c>
      <c r="H157" s="3744">
        <f t="shared" si="38"/>
        <v>19029176.390000001</v>
      </c>
      <c r="I157" s="3744">
        <f t="shared" si="38"/>
        <v>18970147.920000002</v>
      </c>
      <c r="J157" s="3744">
        <f t="shared" si="38"/>
        <v>18929790.219999999</v>
      </c>
      <c r="K157" s="3744">
        <f t="shared" si="38"/>
        <v>18598616.98</v>
      </c>
      <c r="L157" s="3744">
        <f t="shared" si="38"/>
        <v>18306817.07</v>
      </c>
      <c r="M157" s="3744">
        <f t="shared" si="38"/>
        <v>18116188.550000001</v>
      </c>
      <c r="N157" s="3744">
        <f t="shared" si="38"/>
        <v>17830027.449999999</v>
      </c>
      <c r="O157" s="3744">
        <f t="shared" si="36"/>
        <v>183950451.30000001</v>
      </c>
    </row>
    <row r="158" spans="3:15" ht="15.75">
      <c r="E158" s="3744"/>
      <c r="F158" s="3744"/>
      <c r="G158" s="3710"/>
      <c r="H158" s="3710"/>
      <c r="I158" s="3710"/>
      <c r="J158" s="3744"/>
      <c r="K158" s="3744"/>
      <c r="L158" s="3744"/>
      <c r="M158" s="3744"/>
      <c r="N158" s="3744"/>
      <c r="O158" s="3744"/>
    </row>
    <row r="159" spans="3:15" ht="15.75">
      <c r="E159" s="3744">
        <f>+E154+E157</f>
        <v>40565974.520000003</v>
      </c>
      <c r="F159" s="3744">
        <f t="shared" ref="F159:O159" si="39">+F154+F157</f>
        <v>48500403.090000004</v>
      </c>
      <c r="G159" s="3744">
        <f t="shared" si="39"/>
        <v>48398279.170000002</v>
      </c>
      <c r="H159" s="3744">
        <f t="shared" si="39"/>
        <v>47706259.030000001</v>
      </c>
      <c r="I159" s="3744">
        <f t="shared" si="39"/>
        <v>47286196.960000001</v>
      </c>
      <c r="J159" s="3744">
        <f t="shared" si="39"/>
        <v>46863713.519999996</v>
      </c>
      <c r="K159" s="3744">
        <f t="shared" si="39"/>
        <v>44002462.670000002</v>
      </c>
      <c r="L159" s="3744">
        <f t="shared" si="39"/>
        <v>39818428.260000005</v>
      </c>
      <c r="M159" s="3744">
        <f t="shared" si="39"/>
        <v>38334163.980000004</v>
      </c>
      <c r="N159" s="3744">
        <f t="shared" si="39"/>
        <v>36823088.019999996</v>
      </c>
      <c r="O159" s="3744">
        <f t="shared" si="39"/>
        <v>438298969.22000003</v>
      </c>
    </row>
    <row r="160" spans="3:15">
      <c r="G160" s="3732"/>
      <c r="H160" s="3732"/>
      <c r="I160" s="3732"/>
    </row>
    <row r="161" spans="5:14" ht="15.75">
      <c r="E161" s="3744">
        <v>44135648.130000003</v>
      </c>
      <c r="F161" s="3744">
        <v>43955708.479999997</v>
      </c>
      <c r="G161" s="3710">
        <v>43853584.560000002</v>
      </c>
      <c r="H161" s="3710">
        <v>43161564.409999996</v>
      </c>
      <c r="I161" s="3710">
        <v>42742133.280000001</v>
      </c>
      <c r="J161" s="3744">
        <v>42319649.840000004</v>
      </c>
      <c r="K161" s="3744">
        <v>39458398.990000002</v>
      </c>
      <c r="L161" s="3744">
        <v>35274364.579999998</v>
      </c>
      <c r="M161" s="3744">
        <v>33790100.450000003</v>
      </c>
      <c r="N161" s="3744">
        <v>32606241.32</v>
      </c>
    </row>
    <row r="162" spans="5:14">
      <c r="G162" s="3732"/>
      <c r="H162" s="3732"/>
      <c r="I162" s="3732"/>
    </row>
    <row r="163" spans="5:14">
      <c r="E163" s="3707">
        <f>+E159-E161</f>
        <v>-3569673.6099999994</v>
      </c>
      <c r="F163" s="3707">
        <f>+F159-F161</f>
        <v>4544694.6100000069</v>
      </c>
      <c r="G163" s="3707">
        <f t="shared" ref="G163:N163" si="40">+G159-G161</f>
        <v>4544694.6099999994</v>
      </c>
      <c r="H163" s="3707">
        <f t="shared" si="40"/>
        <v>4544694.6200000048</v>
      </c>
      <c r="I163" s="3707">
        <f t="shared" si="40"/>
        <v>4544063.68</v>
      </c>
      <c r="J163" s="3707">
        <f t="shared" si="40"/>
        <v>4544063.6799999923</v>
      </c>
      <c r="K163" s="3707">
        <f t="shared" si="40"/>
        <v>4544063.68</v>
      </c>
      <c r="L163" s="3707">
        <f t="shared" si="40"/>
        <v>4544063.6800000072</v>
      </c>
      <c r="M163" s="3707">
        <f t="shared" si="40"/>
        <v>4544063.5300000012</v>
      </c>
      <c r="N163" s="3707">
        <f t="shared" si="40"/>
        <v>4216846.6999999955</v>
      </c>
    </row>
    <row r="164" spans="5:14">
      <c r="G164" s="3732"/>
    </row>
    <row r="165" spans="5:14">
      <c r="G165" s="3732"/>
    </row>
    <row r="166" spans="5:14">
      <c r="G166" s="3732"/>
    </row>
    <row r="167" spans="5:14">
      <c r="G167" s="3732"/>
    </row>
    <row r="168" spans="5:14">
      <c r="G168" s="3732"/>
    </row>
    <row r="169" spans="5:14">
      <c r="G169" s="3732"/>
    </row>
    <row r="170" spans="5:14">
      <c r="G170" s="3732"/>
    </row>
    <row r="171" spans="5:14">
      <c r="G171" s="3732"/>
    </row>
    <row r="172" spans="5:14">
      <c r="G172" s="3732"/>
    </row>
    <row r="173" spans="5:14">
      <c r="G173" s="3732"/>
    </row>
    <row r="174" spans="5:14">
      <c r="G174" s="3732"/>
    </row>
    <row r="175" spans="5:14">
      <c r="G175" s="3732"/>
    </row>
    <row r="176" spans="5:14">
      <c r="G176" s="3732"/>
    </row>
    <row r="177" spans="7:7">
      <c r="G177" s="3732"/>
    </row>
    <row r="178" spans="7:7">
      <c r="G178" s="3732"/>
    </row>
    <row r="179" spans="7:7">
      <c r="G179" s="3732"/>
    </row>
    <row r="180" spans="7:7">
      <c r="G180" s="3732"/>
    </row>
    <row r="181" spans="7:7">
      <c r="G181" s="3732"/>
    </row>
    <row r="182" spans="7:7">
      <c r="G182" s="3732"/>
    </row>
    <row r="183" spans="7:7">
      <c r="G183" s="3732"/>
    </row>
    <row r="184" spans="7:7">
      <c r="G184" s="3732"/>
    </row>
    <row r="185" spans="7:7">
      <c r="G185" s="3732"/>
    </row>
    <row r="186" spans="7:7">
      <c r="G186" s="3732"/>
    </row>
    <row r="187" spans="7:7">
      <c r="G187" s="3732"/>
    </row>
    <row r="188" spans="7:7">
      <c r="G188" s="3732"/>
    </row>
    <row r="189" spans="7:7">
      <c r="G189" s="3732"/>
    </row>
    <row r="190" spans="7:7">
      <c r="G190" s="3732"/>
    </row>
    <row r="191" spans="7:7">
      <c r="G191" s="3732"/>
    </row>
    <row r="192" spans="7:7">
      <c r="G192" s="3732"/>
    </row>
    <row r="193" spans="7:7">
      <c r="G193" s="3732"/>
    </row>
    <row r="194" spans="7:7">
      <c r="G194" s="3732"/>
    </row>
    <row r="195" spans="7:7">
      <c r="G195" s="3732"/>
    </row>
    <row r="196" spans="7:7">
      <c r="G196" s="3732"/>
    </row>
    <row r="197" spans="7:7">
      <c r="G197" s="3732"/>
    </row>
    <row r="198" spans="7:7">
      <c r="G198" s="3732"/>
    </row>
    <row r="199" spans="7:7">
      <c r="G199" s="3732"/>
    </row>
    <row r="200" spans="7:7">
      <c r="G200" s="3732"/>
    </row>
    <row r="201" spans="7:7">
      <c r="G201" s="3732"/>
    </row>
    <row r="202" spans="7:7">
      <c r="G202" s="3732"/>
    </row>
    <row r="203" spans="7:7">
      <c r="G203" s="3732"/>
    </row>
    <row r="204" spans="7:7">
      <c r="G204" s="3732"/>
    </row>
    <row r="205" spans="7:7">
      <c r="G205" s="3732"/>
    </row>
    <row r="206" spans="7:7">
      <c r="G206" s="3732"/>
    </row>
    <row r="207" spans="7:7">
      <c r="G207" s="3732"/>
    </row>
    <row r="208" spans="7:7">
      <c r="G208" s="3732"/>
    </row>
    <row r="209" spans="7:7">
      <c r="G209" s="3732"/>
    </row>
    <row r="210" spans="7:7">
      <c r="G210" s="3732"/>
    </row>
    <row r="211" spans="7:7">
      <c r="G211" s="3732"/>
    </row>
    <row r="212" spans="7:7">
      <c r="G212" s="3732"/>
    </row>
    <row r="213" spans="7:7">
      <c r="G213" s="3732"/>
    </row>
    <row r="214" spans="7:7">
      <c r="G214" s="3732"/>
    </row>
    <row r="215" spans="7:7">
      <c r="G215" s="3732"/>
    </row>
    <row r="216" spans="7:7">
      <c r="G216" s="3732"/>
    </row>
    <row r="217" spans="7:7">
      <c r="G217" s="3732"/>
    </row>
    <row r="218" spans="7:7">
      <c r="G218" s="3732"/>
    </row>
    <row r="219" spans="7:7">
      <c r="G219" s="3732"/>
    </row>
    <row r="220" spans="7:7">
      <c r="G220" s="3732"/>
    </row>
    <row r="221" spans="7:7">
      <c r="G221" s="3732"/>
    </row>
    <row r="222" spans="7:7">
      <c r="G222" s="3732"/>
    </row>
    <row r="223" spans="7:7">
      <c r="G223" s="3732"/>
    </row>
    <row r="224" spans="7:7">
      <c r="G224" s="3732"/>
    </row>
    <row r="225" spans="7:7">
      <c r="G225" s="3732"/>
    </row>
    <row r="226" spans="7:7">
      <c r="G226" s="3732"/>
    </row>
    <row r="227" spans="7:7">
      <c r="G227" s="3732"/>
    </row>
    <row r="228" spans="7:7">
      <c r="G228" s="3732"/>
    </row>
    <row r="229" spans="7:7">
      <c r="G229" s="3732"/>
    </row>
    <row r="230" spans="7:7">
      <c r="G230" s="3732"/>
    </row>
    <row r="231" spans="7:7">
      <c r="G231" s="3732"/>
    </row>
    <row r="232" spans="7:7">
      <c r="G232" s="3732"/>
    </row>
    <row r="233" spans="7:7">
      <c r="G233" s="3732"/>
    </row>
    <row r="234" spans="7:7">
      <c r="G234" s="3732"/>
    </row>
    <row r="235" spans="7:7">
      <c r="G235" s="3732"/>
    </row>
    <row r="236" spans="7:7">
      <c r="G236" s="3732"/>
    </row>
    <row r="237" spans="7:7">
      <c r="G237" s="3732"/>
    </row>
    <row r="238" spans="7:7">
      <c r="G238" s="3732"/>
    </row>
    <row r="239" spans="7:7">
      <c r="G239" s="3732"/>
    </row>
    <row r="240" spans="7:7">
      <c r="G240" s="3732"/>
    </row>
    <row r="241" spans="7:7">
      <c r="G241" s="3732"/>
    </row>
    <row r="242" spans="7:7">
      <c r="G242" s="3732"/>
    </row>
    <row r="243" spans="7:7">
      <c r="G243" s="3732"/>
    </row>
    <row r="244" spans="7:7">
      <c r="G244" s="3732"/>
    </row>
    <row r="245" spans="7:7">
      <c r="G245" s="3732"/>
    </row>
    <row r="246" spans="7:7">
      <c r="G246" s="3732"/>
    </row>
    <row r="247" spans="7:7">
      <c r="G247" s="3732"/>
    </row>
    <row r="248" spans="7:7">
      <c r="G248" s="3732"/>
    </row>
    <row r="249" spans="7:7">
      <c r="G249" s="3732"/>
    </row>
    <row r="250" spans="7:7">
      <c r="G250" s="3732"/>
    </row>
    <row r="251" spans="7:7">
      <c r="G251" s="3732"/>
    </row>
    <row r="252" spans="7:7">
      <c r="G252" s="3732"/>
    </row>
    <row r="253" spans="7:7">
      <c r="G253" s="3732"/>
    </row>
    <row r="254" spans="7:7">
      <c r="G254" s="3732"/>
    </row>
    <row r="255" spans="7:7">
      <c r="G255" s="3732"/>
    </row>
    <row r="256" spans="7:7">
      <c r="G256" s="3732"/>
    </row>
    <row r="257" spans="7:7">
      <c r="G257" s="3732"/>
    </row>
    <row r="258" spans="7:7">
      <c r="G258" s="3732"/>
    </row>
    <row r="259" spans="7:7">
      <c r="G259" s="3732"/>
    </row>
    <row r="260" spans="7:7">
      <c r="G260" s="3732"/>
    </row>
    <row r="261" spans="7:7">
      <c r="G261" s="3732"/>
    </row>
    <row r="262" spans="7:7">
      <c r="G262" s="3732"/>
    </row>
    <row r="263" spans="7:7">
      <c r="G263" s="3732"/>
    </row>
    <row r="264" spans="7:7">
      <c r="G264" s="3732"/>
    </row>
    <row r="265" spans="7:7">
      <c r="G265" s="3732"/>
    </row>
    <row r="266" spans="7:7">
      <c r="G266" s="3732"/>
    </row>
    <row r="267" spans="7:7">
      <c r="G267" s="3732"/>
    </row>
    <row r="268" spans="7:7">
      <c r="G268" s="3732"/>
    </row>
    <row r="269" spans="7:7">
      <c r="G269" s="3732"/>
    </row>
    <row r="270" spans="7:7">
      <c r="G270" s="3732"/>
    </row>
    <row r="271" spans="7:7">
      <c r="G271" s="3732"/>
    </row>
    <row r="272" spans="7:7">
      <c r="G272" s="3732"/>
    </row>
    <row r="273" spans="7:7">
      <c r="G273" s="3732"/>
    </row>
    <row r="274" spans="7:7">
      <c r="G274" s="3732"/>
    </row>
    <row r="275" spans="7:7">
      <c r="G275" s="3732"/>
    </row>
    <row r="276" spans="7:7">
      <c r="G276" s="3732"/>
    </row>
    <row r="277" spans="7:7">
      <c r="G277" s="3732"/>
    </row>
    <row r="278" spans="7:7">
      <c r="G278" s="3732"/>
    </row>
    <row r="279" spans="7:7">
      <c r="G279" s="3732"/>
    </row>
    <row r="280" spans="7:7">
      <c r="G280" s="3732"/>
    </row>
    <row r="281" spans="7:7">
      <c r="G281" s="3732"/>
    </row>
    <row r="282" spans="7:7">
      <c r="G282" s="3732"/>
    </row>
    <row r="283" spans="7:7">
      <c r="G283" s="3732"/>
    </row>
    <row r="284" spans="7:7">
      <c r="G284" s="3732"/>
    </row>
    <row r="285" spans="7:7">
      <c r="G285" s="3732"/>
    </row>
    <row r="286" spans="7:7">
      <c r="G286" s="3732"/>
    </row>
    <row r="287" spans="7:7">
      <c r="G287" s="3732"/>
    </row>
    <row r="288" spans="7:7">
      <c r="G288" s="3732"/>
    </row>
    <row r="289" spans="7:7">
      <c r="G289" s="3732"/>
    </row>
    <row r="290" spans="7:7">
      <c r="G290" s="3732"/>
    </row>
    <row r="291" spans="7:7">
      <c r="G291" s="3732"/>
    </row>
    <row r="292" spans="7:7">
      <c r="G292" s="3732"/>
    </row>
    <row r="293" spans="7:7">
      <c r="G293" s="3732"/>
    </row>
    <row r="294" spans="7:7">
      <c r="G294" s="3732"/>
    </row>
    <row r="295" spans="7:7">
      <c r="G295" s="3732"/>
    </row>
    <row r="296" spans="7:7">
      <c r="G296" s="3732"/>
    </row>
    <row r="297" spans="7:7">
      <c r="G297" s="3732"/>
    </row>
    <row r="298" spans="7:7">
      <c r="G298" s="3732"/>
    </row>
    <row r="299" spans="7:7">
      <c r="G299" s="3732"/>
    </row>
    <row r="300" spans="7:7">
      <c r="G300" s="3732"/>
    </row>
    <row r="301" spans="7:7">
      <c r="G301" s="3732"/>
    </row>
    <row r="302" spans="7:7">
      <c r="G302" s="3732"/>
    </row>
    <row r="303" spans="7:7">
      <c r="G303" s="3732"/>
    </row>
    <row r="304" spans="7:7">
      <c r="G304" s="3732"/>
    </row>
    <row r="305" spans="7:7">
      <c r="G305" s="3732"/>
    </row>
    <row r="306" spans="7:7">
      <c r="G306" s="3732"/>
    </row>
    <row r="307" spans="7:7">
      <c r="G307" s="3732"/>
    </row>
    <row r="308" spans="7:7">
      <c r="G308" s="3732"/>
    </row>
    <row r="309" spans="7:7">
      <c r="G309" s="3732"/>
    </row>
    <row r="310" spans="7:7">
      <c r="G310" s="3732"/>
    </row>
    <row r="311" spans="7:7">
      <c r="G311" s="3732"/>
    </row>
    <row r="312" spans="7:7">
      <c r="G312" s="3732"/>
    </row>
    <row r="313" spans="7:7">
      <c r="G313" s="3732"/>
    </row>
    <row r="314" spans="7:7">
      <c r="G314" s="3732"/>
    </row>
    <row r="315" spans="7:7">
      <c r="G315" s="3732"/>
    </row>
    <row r="316" spans="7:7">
      <c r="G316" s="3732"/>
    </row>
    <row r="317" spans="7:7">
      <c r="G317" s="3732"/>
    </row>
    <row r="318" spans="7:7">
      <c r="G318" s="3732"/>
    </row>
    <row r="319" spans="7:7">
      <c r="G319" s="3732"/>
    </row>
    <row r="320" spans="7:7">
      <c r="G320" s="3732"/>
    </row>
    <row r="321" spans="7:7">
      <c r="G321" s="3732"/>
    </row>
    <row r="322" spans="7:7">
      <c r="G322" s="3732"/>
    </row>
    <row r="323" spans="7:7">
      <c r="G323" s="3732"/>
    </row>
    <row r="324" spans="7:7">
      <c r="G324" s="3732"/>
    </row>
    <row r="325" spans="7:7">
      <c r="G325" s="3732"/>
    </row>
    <row r="326" spans="7:7">
      <c r="G326" s="3732"/>
    </row>
    <row r="327" spans="7:7">
      <c r="G327" s="3732"/>
    </row>
    <row r="328" spans="7:7">
      <c r="G328" s="3732"/>
    </row>
    <row r="329" spans="7:7">
      <c r="G329" s="3732"/>
    </row>
    <row r="330" spans="7:7">
      <c r="G330" s="3732"/>
    </row>
    <row r="331" spans="7:7">
      <c r="G331" s="3732"/>
    </row>
    <row r="332" spans="7:7">
      <c r="G332" s="3732"/>
    </row>
    <row r="333" spans="7:7">
      <c r="G333" s="3732"/>
    </row>
    <row r="334" spans="7:7">
      <c r="G334" s="3732"/>
    </row>
    <row r="335" spans="7:7">
      <c r="G335" s="3732"/>
    </row>
    <row r="336" spans="7:7">
      <c r="G336" s="3732"/>
    </row>
    <row r="337" spans="7:7">
      <c r="G337" s="3732"/>
    </row>
    <row r="338" spans="7:7">
      <c r="G338" s="3732"/>
    </row>
    <row r="339" spans="7:7">
      <c r="G339" s="3732"/>
    </row>
    <row r="340" spans="7:7">
      <c r="G340" s="3732"/>
    </row>
    <row r="341" spans="7:7">
      <c r="G341" s="3732"/>
    </row>
    <row r="342" spans="7:7">
      <c r="G342" s="3732"/>
    </row>
    <row r="343" spans="7:7">
      <c r="G343" s="3732"/>
    </row>
    <row r="344" spans="7:7">
      <c r="G344" s="3732"/>
    </row>
    <row r="345" spans="7:7">
      <c r="G345" s="3732"/>
    </row>
    <row r="346" spans="7:7">
      <c r="G346" s="3732"/>
    </row>
    <row r="347" spans="7:7">
      <c r="G347" s="3732"/>
    </row>
    <row r="348" spans="7:7">
      <c r="G348" s="3732"/>
    </row>
    <row r="349" spans="7:7">
      <c r="G349" s="3732"/>
    </row>
    <row r="350" spans="7:7">
      <c r="G350" s="3732"/>
    </row>
    <row r="351" spans="7:7">
      <c r="G351" s="3732"/>
    </row>
    <row r="352" spans="7:7">
      <c r="G352" s="3732"/>
    </row>
    <row r="353" spans="7:7">
      <c r="G353" s="3732"/>
    </row>
    <row r="354" spans="7:7">
      <c r="G354" s="3732"/>
    </row>
    <row r="355" spans="7:7">
      <c r="G355" s="3732"/>
    </row>
    <row r="356" spans="7:7">
      <c r="G356" s="3732"/>
    </row>
    <row r="357" spans="7:7">
      <c r="G357" s="3732"/>
    </row>
    <row r="358" spans="7:7">
      <c r="G358" s="3732"/>
    </row>
    <row r="359" spans="7:7">
      <c r="G359" s="3732"/>
    </row>
    <row r="360" spans="7:7">
      <c r="G360" s="3732"/>
    </row>
    <row r="361" spans="7:7">
      <c r="G361" s="3732"/>
    </row>
    <row r="362" spans="7:7">
      <c r="G362" s="3732"/>
    </row>
    <row r="363" spans="7:7">
      <c r="G363" s="3732"/>
    </row>
    <row r="364" spans="7:7">
      <c r="G364" s="3732"/>
    </row>
    <row r="365" spans="7:7">
      <c r="G365" s="3732"/>
    </row>
    <row r="366" spans="7:7">
      <c r="G366" s="3732"/>
    </row>
    <row r="367" spans="7:7">
      <c r="G367" s="3732"/>
    </row>
    <row r="368" spans="7:7">
      <c r="G368" s="3732"/>
    </row>
    <row r="369" spans="7:7">
      <c r="G369" s="3732"/>
    </row>
    <row r="370" spans="7:7">
      <c r="G370" s="3732"/>
    </row>
    <row r="371" spans="7:7">
      <c r="G371" s="3732"/>
    </row>
    <row r="372" spans="7:7">
      <c r="G372" s="3732"/>
    </row>
    <row r="373" spans="7:7">
      <c r="G373" s="3732"/>
    </row>
    <row r="374" spans="7:7">
      <c r="G374" s="3732"/>
    </row>
    <row r="375" spans="7:7">
      <c r="G375" s="3732"/>
    </row>
    <row r="376" spans="7:7">
      <c r="G376" s="3732"/>
    </row>
    <row r="377" spans="7:7">
      <c r="G377" s="3732"/>
    </row>
    <row r="378" spans="7:7">
      <c r="G378" s="3732"/>
    </row>
    <row r="379" spans="7:7">
      <c r="G379" s="3732"/>
    </row>
    <row r="380" spans="7:7">
      <c r="G380" s="3732"/>
    </row>
    <row r="381" spans="7:7">
      <c r="G381" s="3732"/>
    </row>
    <row r="382" spans="7:7">
      <c r="G382" s="3732"/>
    </row>
    <row r="383" spans="7:7">
      <c r="G383" s="3732"/>
    </row>
    <row r="384" spans="7:7">
      <c r="G384" s="3732"/>
    </row>
    <row r="385" spans="7:7">
      <c r="G385" s="3732"/>
    </row>
    <row r="386" spans="7:7">
      <c r="G386" s="3732"/>
    </row>
    <row r="387" spans="7:7">
      <c r="G387" s="3732"/>
    </row>
    <row r="388" spans="7:7">
      <c r="G388" s="3732"/>
    </row>
    <row r="389" spans="7:7">
      <c r="G389" s="3732"/>
    </row>
    <row r="390" spans="7:7">
      <c r="G390" s="3732"/>
    </row>
    <row r="391" spans="7:7">
      <c r="G391" s="3732"/>
    </row>
    <row r="392" spans="7:7">
      <c r="G392" s="3732"/>
    </row>
    <row r="393" spans="7:7">
      <c r="G393" s="3732"/>
    </row>
    <row r="394" spans="7:7">
      <c r="G394" s="3732"/>
    </row>
    <row r="395" spans="7:7">
      <c r="G395" s="3732"/>
    </row>
    <row r="396" spans="7:7">
      <c r="G396" s="3732"/>
    </row>
    <row r="397" spans="7:7">
      <c r="G397" s="3732"/>
    </row>
    <row r="398" spans="7:7">
      <c r="G398" s="3732"/>
    </row>
    <row r="399" spans="7:7">
      <c r="G399" s="3732"/>
    </row>
    <row r="400" spans="7:7">
      <c r="G400" s="3732"/>
    </row>
    <row r="401" spans="7:7">
      <c r="G401" s="3732"/>
    </row>
    <row r="402" spans="7:7">
      <c r="G402" s="3732"/>
    </row>
    <row r="403" spans="7:7">
      <c r="G403" s="3732"/>
    </row>
    <row r="404" spans="7:7">
      <c r="G404" s="3732"/>
    </row>
    <row r="405" spans="7:7">
      <c r="G405" s="3732"/>
    </row>
    <row r="406" spans="7:7">
      <c r="G406" s="3732"/>
    </row>
    <row r="407" spans="7:7">
      <c r="G407" s="3732"/>
    </row>
    <row r="408" spans="7:7">
      <c r="G408" s="3732"/>
    </row>
    <row r="409" spans="7:7">
      <c r="G409" s="3732"/>
    </row>
    <row r="410" spans="7:7">
      <c r="G410" s="3732"/>
    </row>
    <row r="411" spans="7:7">
      <c r="G411" s="3732"/>
    </row>
    <row r="412" spans="7:7">
      <c r="G412" s="3732"/>
    </row>
    <row r="413" spans="7:7">
      <c r="G413" s="3732"/>
    </row>
    <row r="414" spans="7:7">
      <c r="G414" s="3732"/>
    </row>
    <row r="415" spans="7:7">
      <c r="G415" s="3732"/>
    </row>
    <row r="416" spans="7:7">
      <c r="G416" s="3732"/>
    </row>
    <row r="417" spans="7:7">
      <c r="G417" s="3732"/>
    </row>
    <row r="418" spans="7:7">
      <c r="G418" s="3732"/>
    </row>
    <row r="419" spans="7:7">
      <c r="G419" s="3732"/>
    </row>
    <row r="420" spans="7:7">
      <c r="G420" s="3732"/>
    </row>
    <row r="421" spans="7:7">
      <c r="G421" s="3732"/>
    </row>
    <row r="422" spans="7:7">
      <c r="G422" s="3732"/>
    </row>
    <row r="423" spans="7:7">
      <c r="G423" s="3732"/>
    </row>
    <row r="424" spans="7:7">
      <c r="G424" s="3732"/>
    </row>
    <row r="425" spans="7:7">
      <c r="G425" s="3732"/>
    </row>
    <row r="426" spans="7:7">
      <c r="G426" s="3732"/>
    </row>
    <row r="427" spans="7:7">
      <c r="G427" s="3732"/>
    </row>
    <row r="428" spans="7:7">
      <c r="G428" s="3732"/>
    </row>
    <row r="429" spans="7:7">
      <c r="G429" s="3732"/>
    </row>
    <row r="430" spans="7:7">
      <c r="G430" s="3732"/>
    </row>
    <row r="431" spans="7:7">
      <c r="G431" s="3732"/>
    </row>
    <row r="432" spans="7:7">
      <c r="G432" s="3732"/>
    </row>
    <row r="433" spans="7:7">
      <c r="G433" s="3732"/>
    </row>
    <row r="434" spans="7:7">
      <c r="G434" s="3732"/>
    </row>
    <row r="435" spans="7:7">
      <c r="G435" s="3732"/>
    </row>
    <row r="436" spans="7:7">
      <c r="G436" s="3732"/>
    </row>
    <row r="437" spans="7:7">
      <c r="G437" s="3732"/>
    </row>
    <row r="438" spans="7:7">
      <c r="G438" s="3732"/>
    </row>
    <row r="439" spans="7:7">
      <c r="G439" s="3732"/>
    </row>
    <row r="440" spans="7:7">
      <c r="G440" s="3732"/>
    </row>
    <row r="441" spans="7:7">
      <c r="G441" s="3732"/>
    </row>
    <row r="442" spans="7:7">
      <c r="G442" s="3732"/>
    </row>
    <row r="443" spans="7:7">
      <c r="G443" s="3732"/>
    </row>
    <row r="444" spans="7:7">
      <c r="G444" s="3732"/>
    </row>
    <row r="445" spans="7:7">
      <c r="G445" s="3732"/>
    </row>
    <row r="446" spans="7:7">
      <c r="G446" s="3732"/>
    </row>
    <row r="447" spans="7:7">
      <c r="G447" s="3732"/>
    </row>
    <row r="448" spans="7:7">
      <c r="G448" s="3732"/>
    </row>
    <row r="449" spans="7:7">
      <c r="G449" s="3732"/>
    </row>
    <row r="450" spans="7:7">
      <c r="G450" s="3732"/>
    </row>
    <row r="451" spans="7:7">
      <c r="G451" s="3732"/>
    </row>
    <row r="452" spans="7:7">
      <c r="G452" s="3732"/>
    </row>
    <row r="453" spans="7:7">
      <c r="G453" s="3732"/>
    </row>
    <row r="454" spans="7:7">
      <c r="G454" s="3732"/>
    </row>
    <row r="455" spans="7:7">
      <c r="G455" s="3732"/>
    </row>
    <row r="456" spans="7:7">
      <c r="G456" s="3732"/>
    </row>
    <row r="457" spans="7:7">
      <c r="G457" s="3732"/>
    </row>
    <row r="458" spans="7:7">
      <c r="G458" s="3732"/>
    </row>
    <row r="459" spans="7:7">
      <c r="G459" s="3732"/>
    </row>
    <row r="460" spans="7:7">
      <c r="G460" s="3732"/>
    </row>
    <row r="461" spans="7:7">
      <c r="G461" s="3732"/>
    </row>
    <row r="462" spans="7:7">
      <c r="G462" s="3732"/>
    </row>
    <row r="463" spans="7:7">
      <c r="G463" s="3732"/>
    </row>
    <row r="464" spans="7:7">
      <c r="G464" s="3732"/>
    </row>
    <row r="465" spans="7:7">
      <c r="G465" s="3732"/>
    </row>
    <row r="466" spans="7:7">
      <c r="G466" s="3732"/>
    </row>
    <row r="467" spans="7:7">
      <c r="G467" s="3732"/>
    </row>
    <row r="468" spans="7:7">
      <c r="G468" s="3732"/>
    </row>
    <row r="469" spans="7:7">
      <c r="G469" s="3732"/>
    </row>
    <row r="470" spans="7:7">
      <c r="G470" s="3732"/>
    </row>
    <row r="471" spans="7:7">
      <c r="G471" s="3732"/>
    </row>
    <row r="472" spans="7:7">
      <c r="G472" s="3732"/>
    </row>
    <row r="473" spans="7:7">
      <c r="G473" s="3732"/>
    </row>
    <row r="474" spans="7:7">
      <c r="G474" s="3732"/>
    </row>
    <row r="475" spans="7:7">
      <c r="G475" s="3732"/>
    </row>
    <row r="476" spans="7:7">
      <c r="G476" s="3732"/>
    </row>
    <row r="477" spans="7:7">
      <c r="G477" s="3732"/>
    </row>
    <row r="478" spans="7:7">
      <c r="G478" s="3732"/>
    </row>
    <row r="479" spans="7:7">
      <c r="G479" s="3732"/>
    </row>
    <row r="480" spans="7:7">
      <c r="G480" s="3732"/>
    </row>
    <row r="481" spans="7:7">
      <c r="G481" s="3732"/>
    </row>
    <row r="482" spans="7:7">
      <c r="G482" s="3732"/>
    </row>
    <row r="483" spans="7:7">
      <c r="G483" s="3732"/>
    </row>
    <row r="484" spans="7:7">
      <c r="G484" s="3732"/>
    </row>
    <row r="485" spans="7:7">
      <c r="G485" s="3732"/>
    </row>
    <row r="486" spans="7:7">
      <c r="G486" s="3732"/>
    </row>
    <row r="487" spans="7:7">
      <c r="G487" s="3732"/>
    </row>
    <row r="488" spans="7:7">
      <c r="G488" s="3732"/>
    </row>
    <row r="489" spans="7:7">
      <c r="G489" s="3732"/>
    </row>
    <row r="490" spans="7:7">
      <c r="G490" s="3732"/>
    </row>
    <row r="491" spans="7:7">
      <c r="G491" s="3732"/>
    </row>
    <row r="492" spans="7:7">
      <c r="G492" s="3732"/>
    </row>
    <row r="493" spans="7:7">
      <c r="G493" s="3732"/>
    </row>
    <row r="494" spans="7:7">
      <c r="G494" s="3732"/>
    </row>
    <row r="495" spans="7:7">
      <c r="G495" s="3732"/>
    </row>
    <row r="496" spans="7:7">
      <c r="G496" s="3732"/>
    </row>
    <row r="497" spans="7:7">
      <c r="G497" s="3732"/>
    </row>
    <row r="498" spans="7:7">
      <c r="G498" s="3732"/>
    </row>
    <row r="499" spans="7:7">
      <c r="G499" s="3732"/>
    </row>
    <row r="500" spans="7:7">
      <c r="G500" s="3732"/>
    </row>
    <row r="501" spans="7:7">
      <c r="G501" s="3732"/>
    </row>
    <row r="502" spans="7:7">
      <c r="G502" s="3732"/>
    </row>
    <row r="503" spans="7:7">
      <c r="G503" s="3732"/>
    </row>
    <row r="504" spans="7:7">
      <c r="G504" s="3732"/>
    </row>
    <row r="505" spans="7:7">
      <c r="G505" s="3732"/>
    </row>
    <row r="506" spans="7:7">
      <c r="G506" s="3732"/>
    </row>
    <row r="507" spans="7:7">
      <c r="G507" s="3732"/>
    </row>
    <row r="508" spans="7:7">
      <c r="G508" s="3732"/>
    </row>
    <row r="509" spans="7:7">
      <c r="G509" s="3732"/>
    </row>
    <row r="510" spans="7:7">
      <c r="G510" s="3732"/>
    </row>
    <row r="511" spans="7:7">
      <c r="G511" s="3732"/>
    </row>
    <row r="512" spans="7:7">
      <c r="G512" s="3732"/>
    </row>
    <row r="513" spans="7:7">
      <c r="G513" s="3732"/>
    </row>
    <row r="514" spans="7:7">
      <c r="G514" s="3732"/>
    </row>
    <row r="515" spans="7:7">
      <c r="G515" s="3732"/>
    </row>
    <row r="516" spans="7:7">
      <c r="G516" s="3732"/>
    </row>
    <row r="517" spans="7:7">
      <c r="G517" s="3732"/>
    </row>
    <row r="518" spans="7:7">
      <c r="G518" s="3732"/>
    </row>
    <row r="519" spans="7:7">
      <c r="G519" s="3732"/>
    </row>
    <row r="520" spans="7:7">
      <c r="G520" s="3732"/>
    </row>
    <row r="521" spans="7:7">
      <c r="G521" s="3732"/>
    </row>
    <row r="522" spans="7:7">
      <c r="G522" s="3732"/>
    </row>
    <row r="523" spans="7:7">
      <c r="G523" s="3732"/>
    </row>
    <row r="524" spans="7:7">
      <c r="G524" s="3732"/>
    </row>
    <row r="525" spans="7:7">
      <c r="G525" s="3732"/>
    </row>
    <row r="526" spans="7:7">
      <c r="G526" s="3732"/>
    </row>
    <row r="527" spans="7:7">
      <c r="G527" s="3732"/>
    </row>
    <row r="528" spans="7:7">
      <c r="G528" s="3732"/>
    </row>
    <row r="529" spans="7:7">
      <c r="G529" s="3732"/>
    </row>
    <row r="530" spans="7:7">
      <c r="G530" s="3732"/>
    </row>
    <row r="531" spans="7:7">
      <c r="G531" s="3732"/>
    </row>
    <row r="532" spans="7:7">
      <c r="G532" s="3732"/>
    </row>
    <row r="533" spans="7:7">
      <c r="G533" s="3732"/>
    </row>
    <row r="534" spans="7:7">
      <c r="G534" s="3732"/>
    </row>
    <row r="535" spans="7:7">
      <c r="G535" s="3732"/>
    </row>
    <row r="536" spans="7:7">
      <c r="G536" s="3732"/>
    </row>
    <row r="537" spans="7:7">
      <c r="G537" s="3732"/>
    </row>
    <row r="538" spans="7:7">
      <c r="G538" s="3732"/>
    </row>
    <row r="539" spans="7:7">
      <c r="G539" s="3732"/>
    </row>
    <row r="540" spans="7:7">
      <c r="G540" s="3732"/>
    </row>
    <row r="541" spans="7:7">
      <c r="G541" s="3732"/>
    </row>
    <row r="542" spans="7:7">
      <c r="G542" s="3732"/>
    </row>
    <row r="543" spans="7:7">
      <c r="G543" s="3732"/>
    </row>
    <row r="544" spans="7:7">
      <c r="G544" s="3732"/>
    </row>
    <row r="545" spans="7:7">
      <c r="G545" s="3732"/>
    </row>
    <row r="546" spans="7:7">
      <c r="G546" s="3732"/>
    </row>
    <row r="547" spans="7:7">
      <c r="G547" s="3732"/>
    </row>
    <row r="548" spans="7:7">
      <c r="G548" s="3732"/>
    </row>
    <row r="549" spans="7:7">
      <c r="G549" s="3732"/>
    </row>
    <row r="550" spans="7:7">
      <c r="G550" s="3732"/>
    </row>
    <row r="551" spans="7:7">
      <c r="G551" s="3732"/>
    </row>
    <row r="552" spans="7:7">
      <c r="G552" s="3732"/>
    </row>
    <row r="553" spans="7:7">
      <c r="G553" s="3732"/>
    </row>
    <row r="554" spans="7:7">
      <c r="G554" s="3732"/>
    </row>
    <row r="555" spans="7:7">
      <c r="G555" s="3732"/>
    </row>
    <row r="556" spans="7:7">
      <c r="G556" s="3732"/>
    </row>
    <row r="557" spans="7:7">
      <c r="G557" s="3732"/>
    </row>
    <row r="558" spans="7:7">
      <c r="G558" s="3732"/>
    </row>
    <row r="559" spans="7:7">
      <c r="G559" s="3732"/>
    </row>
    <row r="560" spans="7:7">
      <c r="G560" s="3732"/>
    </row>
    <row r="561" spans="7:7">
      <c r="G561" s="3732"/>
    </row>
    <row r="562" spans="7:7">
      <c r="G562" s="3732"/>
    </row>
    <row r="563" spans="7:7">
      <c r="G563" s="3732"/>
    </row>
    <row r="564" spans="7:7">
      <c r="G564" s="3732"/>
    </row>
    <row r="565" spans="7:7">
      <c r="G565" s="3732"/>
    </row>
    <row r="566" spans="7:7">
      <c r="G566" s="3732"/>
    </row>
    <row r="567" spans="7:7">
      <c r="G567" s="3732"/>
    </row>
    <row r="568" spans="7:7">
      <c r="G568" s="3732"/>
    </row>
    <row r="569" spans="7:7">
      <c r="G569" s="3732"/>
    </row>
    <row r="570" spans="7:7">
      <c r="G570" s="3732"/>
    </row>
    <row r="571" spans="7:7">
      <c r="G571" s="3732"/>
    </row>
    <row r="572" spans="7:7">
      <c r="G572" s="3732"/>
    </row>
    <row r="573" spans="7:7">
      <c r="G573" s="3732"/>
    </row>
    <row r="574" spans="7:7">
      <c r="G574" s="3732"/>
    </row>
    <row r="575" spans="7:7">
      <c r="G575" s="3732"/>
    </row>
    <row r="576" spans="7:7">
      <c r="G576" s="3732"/>
    </row>
    <row r="577" spans="7:7">
      <c r="G577" s="3732"/>
    </row>
    <row r="578" spans="7:7">
      <c r="G578" s="3732"/>
    </row>
    <row r="579" spans="7:7">
      <c r="G579" s="3732"/>
    </row>
    <row r="580" spans="7:7">
      <c r="G580" s="3732"/>
    </row>
    <row r="581" spans="7:7">
      <c r="G581" s="3732"/>
    </row>
    <row r="582" spans="7:7">
      <c r="G582" s="3732"/>
    </row>
    <row r="583" spans="7:7">
      <c r="G583" s="3732"/>
    </row>
    <row r="584" spans="7:7">
      <c r="G584" s="3732"/>
    </row>
    <row r="585" spans="7:7">
      <c r="G585" s="3732"/>
    </row>
    <row r="586" spans="7:7">
      <c r="G586" s="3732"/>
    </row>
    <row r="587" spans="7:7">
      <c r="G587" s="3732"/>
    </row>
    <row r="588" spans="7:7">
      <c r="G588" s="3732"/>
    </row>
    <row r="589" spans="7:7">
      <c r="G589" s="3732"/>
    </row>
    <row r="590" spans="7:7">
      <c r="G590" s="3732"/>
    </row>
    <row r="591" spans="7:7">
      <c r="G591" s="3732"/>
    </row>
    <row r="592" spans="7:7">
      <c r="G592" s="3732"/>
    </row>
    <row r="593" spans="7:7">
      <c r="G593" s="3732"/>
    </row>
    <row r="594" spans="7:7">
      <c r="G594" s="3732"/>
    </row>
    <row r="595" spans="7:7">
      <c r="G595" s="3732"/>
    </row>
    <row r="596" spans="7:7">
      <c r="G596" s="3732"/>
    </row>
    <row r="597" spans="7:7">
      <c r="G597" s="3732"/>
    </row>
    <row r="598" spans="7:7">
      <c r="G598" s="3732"/>
    </row>
    <row r="599" spans="7:7">
      <c r="G599" s="3732"/>
    </row>
    <row r="600" spans="7:7">
      <c r="G600" s="3732"/>
    </row>
    <row r="601" spans="7:7">
      <c r="G601" s="3732"/>
    </row>
    <row r="602" spans="7:7">
      <c r="G602" s="3732"/>
    </row>
    <row r="603" spans="7:7">
      <c r="G603" s="3732"/>
    </row>
    <row r="604" spans="7:7">
      <c r="G604" s="3732"/>
    </row>
    <row r="605" spans="7:7">
      <c r="G605" s="3732"/>
    </row>
    <row r="606" spans="7:7">
      <c r="G606" s="3732"/>
    </row>
    <row r="607" spans="7:7">
      <c r="G607" s="3732"/>
    </row>
    <row r="608" spans="7:7">
      <c r="G608" s="3732"/>
    </row>
    <row r="609" spans="7:7">
      <c r="G609" s="3732"/>
    </row>
    <row r="610" spans="7:7">
      <c r="G610" s="3732"/>
    </row>
    <row r="611" spans="7:7">
      <c r="G611" s="3732"/>
    </row>
    <row r="612" spans="7:7">
      <c r="G612" s="3732"/>
    </row>
    <row r="613" spans="7:7">
      <c r="G613" s="3732"/>
    </row>
    <row r="614" spans="7:7">
      <c r="G614" s="3732"/>
    </row>
    <row r="615" spans="7:7">
      <c r="G615" s="3732"/>
    </row>
    <row r="616" spans="7:7">
      <c r="G616" s="3732"/>
    </row>
    <row r="617" spans="7:7">
      <c r="G617" s="3732"/>
    </row>
    <row r="618" spans="7:7">
      <c r="G618" s="3732"/>
    </row>
    <row r="619" spans="7:7">
      <c r="G619" s="3732"/>
    </row>
    <row r="620" spans="7:7">
      <c r="G620" s="3732"/>
    </row>
    <row r="621" spans="7:7">
      <c r="G621" s="3732"/>
    </row>
    <row r="622" spans="7:7">
      <c r="G622" s="3732"/>
    </row>
    <row r="623" spans="7:7">
      <c r="G623" s="3732"/>
    </row>
    <row r="624" spans="7:7">
      <c r="G624" s="3732"/>
    </row>
    <row r="625" spans="7:7">
      <c r="G625" s="3732"/>
    </row>
    <row r="626" spans="7:7">
      <c r="G626" s="3732"/>
    </row>
    <row r="627" spans="7:7">
      <c r="G627" s="3732"/>
    </row>
    <row r="628" spans="7:7">
      <c r="G628" s="3732"/>
    </row>
    <row r="629" spans="7:7">
      <c r="G629" s="3732"/>
    </row>
    <row r="630" spans="7:7">
      <c r="G630" s="3732"/>
    </row>
    <row r="631" spans="7:7">
      <c r="G631" s="3732"/>
    </row>
    <row r="632" spans="7:7">
      <c r="G632" s="3732"/>
    </row>
    <row r="633" spans="7:7">
      <c r="G633" s="3732"/>
    </row>
    <row r="634" spans="7:7">
      <c r="G634" s="3732"/>
    </row>
    <row r="635" spans="7:7">
      <c r="G635" s="3732"/>
    </row>
    <row r="636" spans="7:7">
      <c r="G636" s="3732"/>
    </row>
    <row r="637" spans="7:7">
      <c r="G637" s="3732"/>
    </row>
    <row r="638" spans="7:7">
      <c r="G638" s="3732"/>
    </row>
    <row r="639" spans="7:7">
      <c r="G639" s="3732"/>
    </row>
    <row r="640" spans="7:7">
      <c r="G640" s="3732"/>
    </row>
    <row r="641" spans="7:7">
      <c r="G641" s="3732"/>
    </row>
    <row r="642" spans="7:7">
      <c r="G642" s="3732"/>
    </row>
    <row r="643" spans="7:7">
      <c r="G643" s="3732"/>
    </row>
    <row r="644" spans="7:7">
      <c r="G644" s="3732"/>
    </row>
    <row r="645" spans="7:7">
      <c r="G645" s="3732"/>
    </row>
    <row r="646" spans="7:7">
      <c r="G646" s="3732"/>
    </row>
    <row r="647" spans="7:7">
      <c r="G647" s="3732"/>
    </row>
    <row r="648" spans="7:7">
      <c r="G648" s="3732"/>
    </row>
    <row r="649" spans="7:7">
      <c r="G649" s="3732"/>
    </row>
    <row r="650" spans="7:7">
      <c r="G650" s="3732"/>
    </row>
    <row r="651" spans="7:7">
      <c r="G651" s="3732"/>
    </row>
    <row r="652" spans="7:7">
      <c r="G652" s="3732"/>
    </row>
    <row r="653" spans="7:7">
      <c r="G653" s="3732"/>
    </row>
    <row r="654" spans="7:7">
      <c r="G654" s="3732"/>
    </row>
    <row r="655" spans="7:7">
      <c r="G655" s="3732"/>
    </row>
    <row r="656" spans="7:7">
      <c r="G656" s="3732"/>
    </row>
    <row r="657" spans="7:7">
      <c r="G657" s="3732"/>
    </row>
    <row r="658" spans="7:7">
      <c r="G658" s="3732"/>
    </row>
    <row r="659" spans="7:7">
      <c r="G659" s="3732"/>
    </row>
    <row r="660" spans="7:7">
      <c r="G660" s="3732"/>
    </row>
    <row r="661" spans="7:7">
      <c r="G661" s="3732"/>
    </row>
    <row r="662" spans="7:7">
      <c r="G662" s="3732"/>
    </row>
    <row r="663" spans="7:7">
      <c r="G663" s="3732"/>
    </row>
    <row r="664" spans="7:7">
      <c r="G664" s="3732"/>
    </row>
    <row r="665" spans="7:7">
      <c r="G665" s="3732"/>
    </row>
    <row r="666" spans="7:7">
      <c r="G666" s="3732"/>
    </row>
    <row r="667" spans="7:7">
      <c r="G667" s="3732"/>
    </row>
    <row r="668" spans="7:7">
      <c r="G668" s="3732"/>
    </row>
    <row r="669" spans="7:7">
      <c r="G669" s="3732"/>
    </row>
    <row r="670" spans="7:7">
      <c r="G670" s="3732"/>
    </row>
    <row r="671" spans="7:7">
      <c r="G671" s="3732"/>
    </row>
    <row r="672" spans="7:7">
      <c r="G672" s="3732"/>
    </row>
    <row r="673" spans="7:7">
      <c r="G673" s="3732"/>
    </row>
    <row r="674" spans="7:7">
      <c r="G674" s="3732"/>
    </row>
    <row r="675" spans="7:7">
      <c r="G675" s="3732"/>
    </row>
    <row r="676" spans="7:7">
      <c r="G676" s="3732"/>
    </row>
    <row r="677" spans="7:7">
      <c r="G677" s="3732"/>
    </row>
    <row r="678" spans="7:7">
      <c r="G678" s="3732"/>
    </row>
    <row r="679" spans="7:7">
      <c r="G679" s="3732"/>
    </row>
    <row r="680" spans="7:7">
      <c r="G680" s="3732"/>
    </row>
    <row r="681" spans="7:7">
      <c r="G681" s="3732"/>
    </row>
    <row r="682" spans="7:7">
      <c r="G682" s="3732"/>
    </row>
    <row r="683" spans="7:7">
      <c r="G683" s="3732"/>
    </row>
    <row r="684" spans="7:7">
      <c r="G684" s="3732"/>
    </row>
    <row r="685" spans="7:7">
      <c r="G685" s="3732"/>
    </row>
    <row r="686" spans="7:7">
      <c r="G686" s="3732"/>
    </row>
    <row r="687" spans="7:7">
      <c r="G687" s="3732"/>
    </row>
    <row r="688" spans="7:7">
      <c r="G688" s="3732"/>
    </row>
    <row r="689" spans="7:7">
      <c r="G689" s="3732"/>
    </row>
    <row r="690" spans="7:7">
      <c r="G690" s="3732"/>
    </row>
    <row r="691" spans="7:7">
      <c r="G691" s="3732"/>
    </row>
    <row r="692" spans="7:7">
      <c r="G692" s="3732"/>
    </row>
    <row r="693" spans="7:7">
      <c r="G693" s="3732"/>
    </row>
    <row r="694" spans="7:7">
      <c r="G694" s="3732"/>
    </row>
    <row r="695" spans="7:7">
      <c r="G695" s="3732"/>
    </row>
    <row r="696" spans="7:7">
      <c r="G696" s="3732"/>
    </row>
    <row r="697" spans="7:7">
      <c r="G697" s="3732"/>
    </row>
    <row r="698" spans="7:7">
      <c r="G698" s="3732"/>
    </row>
    <row r="699" spans="7:7">
      <c r="G699" s="3732"/>
    </row>
    <row r="700" spans="7:7">
      <c r="G700" s="3732"/>
    </row>
    <row r="701" spans="7:7">
      <c r="G701" s="3732"/>
    </row>
    <row r="702" spans="7:7">
      <c r="G702" s="3732"/>
    </row>
    <row r="703" spans="7:7">
      <c r="G703" s="3732"/>
    </row>
    <row r="704" spans="7:7">
      <c r="G704" s="3732"/>
    </row>
    <row r="705" spans="7:7">
      <c r="G705" s="3732"/>
    </row>
    <row r="706" spans="7:7">
      <c r="G706" s="3732"/>
    </row>
    <row r="707" spans="7:7">
      <c r="G707" s="3732"/>
    </row>
    <row r="708" spans="7:7">
      <c r="G708" s="3732"/>
    </row>
    <row r="709" spans="7:7">
      <c r="G709" s="3732"/>
    </row>
    <row r="710" spans="7:7">
      <c r="G710" s="3732"/>
    </row>
    <row r="711" spans="7:7">
      <c r="G711" s="3732"/>
    </row>
    <row r="712" spans="7:7">
      <c r="G712" s="3732"/>
    </row>
    <row r="713" spans="7:7">
      <c r="G713" s="3732"/>
    </row>
    <row r="714" spans="7:7">
      <c r="G714" s="3732"/>
    </row>
    <row r="715" spans="7:7">
      <c r="G715" s="3732"/>
    </row>
    <row r="716" spans="7:7">
      <c r="G716" s="3732"/>
    </row>
    <row r="717" spans="7:7">
      <c r="G717" s="3732"/>
    </row>
    <row r="718" spans="7:7">
      <c r="G718" s="3732"/>
    </row>
    <row r="719" spans="7:7">
      <c r="G719" s="3732"/>
    </row>
    <row r="720" spans="7:7">
      <c r="G720" s="3732"/>
    </row>
    <row r="721" spans="7:7">
      <c r="G721" s="3732"/>
    </row>
    <row r="722" spans="7:7">
      <c r="G722" s="3732"/>
    </row>
    <row r="723" spans="7:7">
      <c r="G723" s="3732"/>
    </row>
    <row r="724" spans="7:7">
      <c r="G724" s="3732"/>
    </row>
    <row r="725" spans="7:7">
      <c r="G725" s="3732"/>
    </row>
    <row r="726" spans="7:7">
      <c r="G726" s="3732"/>
    </row>
    <row r="727" spans="7:7">
      <c r="G727" s="3732"/>
    </row>
    <row r="728" spans="7:7">
      <c r="G728" s="3732"/>
    </row>
    <row r="729" spans="7:7">
      <c r="G729" s="3732"/>
    </row>
    <row r="730" spans="7:7">
      <c r="G730" s="3732"/>
    </row>
    <row r="731" spans="7:7">
      <c r="G731" s="3732"/>
    </row>
    <row r="732" spans="7:7">
      <c r="G732" s="3732"/>
    </row>
    <row r="733" spans="7:7">
      <c r="G733" s="3732"/>
    </row>
    <row r="734" spans="7:7">
      <c r="G734" s="3732"/>
    </row>
    <row r="735" spans="7:7">
      <c r="G735" s="3732"/>
    </row>
    <row r="736" spans="7:7">
      <c r="G736" s="3732"/>
    </row>
    <row r="737" spans="7:7">
      <c r="G737" s="3732"/>
    </row>
    <row r="738" spans="7:7">
      <c r="G738" s="3732"/>
    </row>
    <row r="739" spans="7:7">
      <c r="G739" s="3732"/>
    </row>
    <row r="740" spans="7:7">
      <c r="G740" s="3732"/>
    </row>
    <row r="741" spans="7:7">
      <c r="G741" s="3732"/>
    </row>
    <row r="742" spans="7:7">
      <c r="G742" s="3732"/>
    </row>
    <row r="743" spans="7:7">
      <c r="G743" s="3732"/>
    </row>
    <row r="744" spans="7:7">
      <c r="G744" s="3732"/>
    </row>
    <row r="745" spans="7:7">
      <c r="G745" s="3732"/>
    </row>
    <row r="746" spans="7:7">
      <c r="G746" s="3732"/>
    </row>
    <row r="747" spans="7:7">
      <c r="G747" s="3732"/>
    </row>
    <row r="748" spans="7:7">
      <c r="G748" s="3732"/>
    </row>
    <row r="749" spans="7:7">
      <c r="G749" s="3732"/>
    </row>
    <row r="750" spans="7:7">
      <c r="G750" s="3732"/>
    </row>
    <row r="751" spans="7:7">
      <c r="G751" s="3732"/>
    </row>
    <row r="752" spans="7:7">
      <c r="G752" s="3732"/>
    </row>
    <row r="753" spans="7:7">
      <c r="G753" s="3732"/>
    </row>
    <row r="754" spans="7:7">
      <c r="G754" s="3732"/>
    </row>
    <row r="755" spans="7:7">
      <c r="G755" s="3732"/>
    </row>
    <row r="756" spans="7:7">
      <c r="G756" s="3732"/>
    </row>
    <row r="757" spans="7:7">
      <c r="G757" s="3732"/>
    </row>
    <row r="758" spans="7:7">
      <c r="G758" s="3732"/>
    </row>
    <row r="759" spans="7:7">
      <c r="G759" s="3732"/>
    </row>
    <row r="760" spans="7:7">
      <c r="G760" s="3732"/>
    </row>
    <row r="761" spans="7:7">
      <c r="G761" s="3732"/>
    </row>
    <row r="762" spans="7:7">
      <c r="G762" s="3732"/>
    </row>
    <row r="763" spans="7:7">
      <c r="G763" s="3732"/>
    </row>
    <row r="764" spans="7:7">
      <c r="G764" s="3732"/>
    </row>
    <row r="765" spans="7:7">
      <c r="G765" s="3732"/>
    </row>
    <row r="766" spans="7:7">
      <c r="G766" s="3732"/>
    </row>
    <row r="767" spans="7:7">
      <c r="G767" s="3732"/>
    </row>
    <row r="768" spans="7:7">
      <c r="G768" s="3732"/>
    </row>
    <row r="769" spans="7:7">
      <c r="G769" s="3732"/>
    </row>
    <row r="770" spans="7:7">
      <c r="G770" s="3732"/>
    </row>
    <row r="771" spans="7:7">
      <c r="G771" s="3732"/>
    </row>
    <row r="772" spans="7:7">
      <c r="G772" s="3732"/>
    </row>
    <row r="773" spans="7:7">
      <c r="G773" s="3732"/>
    </row>
    <row r="774" spans="7:7">
      <c r="G774" s="3732"/>
    </row>
    <row r="775" spans="7:7">
      <c r="G775" s="3732"/>
    </row>
    <row r="776" spans="7:7">
      <c r="G776" s="3732"/>
    </row>
    <row r="777" spans="7:7">
      <c r="G777" s="3732"/>
    </row>
    <row r="778" spans="7:7">
      <c r="G778" s="3732"/>
    </row>
    <row r="779" spans="7:7">
      <c r="G779" s="3732"/>
    </row>
    <row r="780" spans="7:7">
      <c r="G780" s="3732"/>
    </row>
    <row r="781" spans="7:7">
      <c r="G781" s="3732"/>
    </row>
    <row r="782" spans="7:7">
      <c r="G782" s="3732"/>
    </row>
    <row r="783" spans="7:7">
      <c r="G783" s="3732"/>
    </row>
    <row r="784" spans="7:7">
      <c r="G784" s="3732"/>
    </row>
    <row r="785" spans="7:7">
      <c r="G785" s="3732"/>
    </row>
    <row r="786" spans="7:7">
      <c r="G786" s="3732"/>
    </row>
    <row r="787" spans="7:7">
      <c r="G787" s="3732"/>
    </row>
    <row r="788" spans="7:7">
      <c r="G788" s="3732"/>
    </row>
    <row r="789" spans="7:7">
      <c r="G789" s="3732"/>
    </row>
    <row r="790" spans="7:7">
      <c r="G790" s="3732"/>
    </row>
    <row r="791" spans="7:7">
      <c r="G791" s="3732"/>
    </row>
    <row r="792" spans="7:7">
      <c r="G792" s="3732"/>
    </row>
    <row r="793" spans="7:7">
      <c r="G793" s="3732"/>
    </row>
    <row r="794" spans="7:7">
      <c r="G794" s="3732"/>
    </row>
    <row r="795" spans="7:7">
      <c r="G795" s="3732"/>
    </row>
    <row r="796" spans="7:7">
      <c r="G796" s="3732"/>
    </row>
    <row r="797" spans="7:7">
      <c r="G797" s="3732"/>
    </row>
    <row r="798" spans="7:7">
      <c r="G798" s="3732"/>
    </row>
    <row r="799" spans="7:7">
      <c r="G799" s="3732"/>
    </row>
    <row r="800" spans="7:7">
      <c r="G800" s="3732"/>
    </row>
    <row r="801" spans="7:7">
      <c r="G801" s="3732"/>
    </row>
    <row r="802" spans="7:7">
      <c r="G802" s="3732"/>
    </row>
    <row r="803" spans="7:7">
      <c r="G803" s="3732"/>
    </row>
    <row r="804" spans="7:7">
      <c r="G804" s="3732"/>
    </row>
    <row r="805" spans="7:7">
      <c r="G805" s="3732"/>
    </row>
    <row r="806" spans="7:7">
      <c r="G806" s="3732"/>
    </row>
    <row r="807" spans="7:7">
      <c r="G807" s="3732"/>
    </row>
    <row r="808" spans="7:7">
      <c r="G808" s="3732"/>
    </row>
    <row r="809" spans="7:7">
      <c r="G809" s="3732"/>
    </row>
    <row r="810" spans="7:7">
      <c r="G810" s="3732"/>
    </row>
    <row r="811" spans="7:7">
      <c r="G811" s="3732"/>
    </row>
    <row r="812" spans="7:7">
      <c r="G812" s="3732"/>
    </row>
    <row r="813" spans="7:7">
      <c r="G813" s="3732"/>
    </row>
    <row r="814" spans="7:7">
      <c r="G814" s="3732"/>
    </row>
    <row r="815" spans="7:7">
      <c r="G815" s="3732"/>
    </row>
    <row r="816" spans="7:7">
      <c r="G816" s="3732"/>
    </row>
    <row r="817" spans="7:7">
      <c r="G817" s="3732"/>
    </row>
    <row r="818" spans="7:7">
      <c r="G818" s="3732"/>
    </row>
    <row r="819" spans="7:7">
      <c r="G819" s="3732"/>
    </row>
    <row r="820" spans="7:7">
      <c r="G820" s="3732"/>
    </row>
    <row r="821" spans="7:7">
      <c r="G821" s="3732"/>
    </row>
    <row r="822" spans="7:7">
      <c r="G822" s="3732"/>
    </row>
    <row r="823" spans="7:7">
      <c r="G823" s="3732"/>
    </row>
    <row r="824" spans="7:7">
      <c r="G824" s="3732"/>
    </row>
    <row r="825" spans="7:7">
      <c r="G825" s="3732"/>
    </row>
    <row r="826" spans="7:7">
      <c r="G826" s="3732"/>
    </row>
    <row r="827" spans="7:7">
      <c r="G827" s="3732"/>
    </row>
    <row r="828" spans="7:7">
      <c r="G828" s="3732"/>
    </row>
    <row r="829" spans="7:7">
      <c r="G829" s="3732"/>
    </row>
    <row r="830" spans="7:7">
      <c r="G830" s="3732"/>
    </row>
    <row r="831" spans="7:7">
      <c r="G831" s="3732"/>
    </row>
    <row r="832" spans="7:7">
      <c r="G832" s="3732"/>
    </row>
    <row r="833" spans="7:7">
      <c r="G833" s="3732"/>
    </row>
    <row r="834" spans="7:7">
      <c r="G834" s="3732"/>
    </row>
    <row r="835" spans="7:7">
      <c r="G835" s="3732"/>
    </row>
    <row r="836" spans="7:7">
      <c r="G836" s="3732"/>
    </row>
    <row r="837" spans="7:7">
      <c r="G837" s="3732"/>
    </row>
    <row r="838" spans="7:7">
      <c r="G838" s="3732"/>
    </row>
    <row r="839" spans="7:7">
      <c r="G839" s="3732"/>
    </row>
    <row r="840" spans="7:7">
      <c r="G840" s="3732"/>
    </row>
    <row r="841" spans="7:7">
      <c r="G841" s="3732"/>
    </row>
    <row r="842" spans="7:7">
      <c r="G842" s="3732"/>
    </row>
    <row r="843" spans="7:7">
      <c r="G843" s="3732"/>
    </row>
    <row r="844" spans="7:7">
      <c r="G844" s="3732"/>
    </row>
    <row r="845" spans="7:7">
      <c r="G845" s="3732"/>
    </row>
    <row r="846" spans="7:7">
      <c r="G846" s="3732"/>
    </row>
    <row r="847" spans="7:7">
      <c r="G847" s="3732"/>
    </row>
    <row r="848" spans="7:7">
      <c r="G848" s="3732"/>
    </row>
    <row r="849" spans="7:7">
      <c r="G849" s="3732"/>
    </row>
    <row r="850" spans="7:7">
      <c r="G850" s="3732"/>
    </row>
    <row r="851" spans="7:7">
      <c r="G851" s="3732"/>
    </row>
    <row r="852" spans="7:7">
      <c r="G852" s="3732"/>
    </row>
    <row r="853" spans="7:7">
      <c r="G853" s="3732"/>
    </row>
    <row r="854" spans="7:7">
      <c r="G854" s="3732"/>
    </row>
    <row r="855" spans="7:7">
      <c r="G855" s="3732"/>
    </row>
    <row r="856" spans="7:7">
      <c r="G856" s="3732"/>
    </row>
    <row r="857" spans="7:7">
      <c r="G857" s="3732"/>
    </row>
    <row r="858" spans="7:7">
      <c r="G858" s="3732"/>
    </row>
    <row r="859" spans="7:7">
      <c r="G859" s="3732"/>
    </row>
    <row r="860" spans="7:7">
      <c r="G860" s="3732"/>
    </row>
    <row r="861" spans="7:7">
      <c r="G861" s="3732"/>
    </row>
    <row r="862" spans="7:7">
      <c r="G862" s="3732"/>
    </row>
    <row r="863" spans="7:7">
      <c r="G863" s="3732"/>
    </row>
    <row r="864" spans="7:7">
      <c r="G864" s="3732"/>
    </row>
    <row r="865" spans="7:7">
      <c r="G865" s="3732"/>
    </row>
    <row r="866" spans="7:7">
      <c r="G866" s="3732"/>
    </row>
    <row r="867" spans="7:7">
      <c r="G867" s="3732"/>
    </row>
    <row r="868" spans="7:7">
      <c r="G868" s="3732"/>
    </row>
    <row r="869" spans="7:7">
      <c r="G869" s="3732"/>
    </row>
    <row r="870" spans="7:7">
      <c r="G870" s="3732"/>
    </row>
    <row r="871" spans="7:7">
      <c r="G871" s="3732"/>
    </row>
    <row r="872" spans="7:7">
      <c r="G872" s="3732"/>
    </row>
    <row r="873" spans="7:7">
      <c r="G873" s="3732"/>
    </row>
    <row r="874" spans="7:7">
      <c r="G874" s="3732"/>
    </row>
    <row r="875" spans="7:7">
      <c r="G875" s="3732"/>
    </row>
    <row r="876" spans="7:7">
      <c r="G876" s="3732"/>
    </row>
    <row r="877" spans="7:7">
      <c r="G877" s="3732"/>
    </row>
    <row r="878" spans="7:7">
      <c r="G878" s="3732"/>
    </row>
    <row r="879" spans="7:7">
      <c r="G879" s="3732"/>
    </row>
    <row r="880" spans="7:7">
      <c r="G880" s="3732"/>
    </row>
    <row r="881" spans="7:7">
      <c r="G881" s="3732"/>
    </row>
    <row r="882" spans="7:7">
      <c r="G882" s="3732"/>
    </row>
    <row r="883" spans="7:7">
      <c r="G883" s="3732"/>
    </row>
    <row r="884" spans="7:7">
      <c r="G884" s="3732"/>
    </row>
    <row r="885" spans="7:7">
      <c r="G885" s="3732"/>
    </row>
    <row r="886" spans="7:7">
      <c r="G886" s="3732"/>
    </row>
    <row r="887" spans="7:7">
      <c r="G887" s="3732"/>
    </row>
    <row r="888" spans="7:7">
      <c r="G888" s="3732"/>
    </row>
    <row r="889" spans="7:7">
      <c r="G889" s="3732"/>
    </row>
    <row r="890" spans="7:7">
      <c r="G890" s="3732"/>
    </row>
    <row r="891" spans="7:7">
      <c r="G891" s="3732"/>
    </row>
    <row r="892" spans="7:7">
      <c r="G892" s="3732"/>
    </row>
    <row r="893" spans="7:7">
      <c r="G893" s="3732"/>
    </row>
    <row r="894" spans="7:7">
      <c r="G894" s="3732"/>
    </row>
    <row r="895" spans="7:7">
      <c r="G895" s="3732"/>
    </row>
    <row r="896" spans="7:7">
      <c r="G896" s="3732"/>
    </row>
    <row r="897" spans="7:7">
      <c r="G897" s="3732"/>
    </row>
    <row r="898" spans="7:7">
      <c r="G898" s="3732"/>
    </row>
    <row r="899" spans="7:7">
      <c r="G899" s="3732"/>
    </row>
    <row r="900" spans="7:7">
      <c r="G900" s="3732"/>
    </row>
    <row r="901" spans="7:7">
      <c r="G901" s="3732"/>
    </row>
    <row r="902" spans="7:7">
      <c r="G902" s="3732"/>
    </row>
    <row r="903" spans="7:7">
      <c r="G903" s="3732"/>
    </row>
    <row r="904" spans="7:7">
      <c r="G904" s="3732"/>
    </row>
    <row r="905" spans="7:7">
      <c r="G905" s="3732"/>
    </row>
    <row r="906" spans="7:7">
      <c r="G906" s="3732"/>
    </row>
    <row r="907" spans="7:7">
      <c r="G907" s="3732"/>
    </row>
    <row r="908" spans="7:7">
      <c r="G908" s="3732"/>
    </row>
    <row r="909" spans="7:7">
      <c r="G909" s="3732"/>
    </row>
    <row r="910" spans="7:7">
      <c r="G910" s="3732"/>
    </row>
    <row r="911" spans="7:7">
      <c r="G911" s="3732"/>
    </row>
    <row r="912" spans="7:7">
      <c r="G912" s="3732"/>
    </row>
    <row r="913" spans="7:7">
      <c r="G913" s="3732"/>
    </row>
    <row r="914" spans="7:7">
      <c r="G914" s="3732"/>
    </row>
    <row r="915" spans="7:7">
      <c r="G915" s="3732"/>
    </row>
    <row r="916" spans="7:7">
      <c r="G916" s="3732"/>
    </row>
    <row r="917" spans="7:7">
      <c r="G917" s="3732"/>
    </row>
    <row r="918" spans="7:7">
      <c r="G918" s="3732"/>
    </row>
    <row r="919" spans="7:7">
      <c r="G919" s="3732"/>
    </row>
    <row r="920" spans="7:7">
      <c r="G920" s="3732"/>
    </row>
    <row r="921" spans="7:7">
      <c r="G921" s="3732"/>
    </row>
    <row r="922" spans="7:7">
      <c r="G922" s="3732"/>
    </row>
    <row r="923" spans="7:7">
      <c r="G923" s="3732"/>
    </row>
    <row r="924" spans="7:7">
      <c r="G924" s="3732"/>
    </row>
    <row r="925" spans="7:7">
      <c r="G925" s="3732"/>
    </row>
    <row r="926" spans="7:7">
      <c r="G926" s="3732"/>
    </row>
    <row r="927" spans="7:7">
      <c r="G927" s="3732"/>
    </row>
    <row r="928" spans="7:7">
      <c r="G928" s="3732"/>
    </row>
    <row r="929" spans="7:7">
      <c r="G929" s="3732"/>
    </row>
    <row r="930" spans="7:7">
      <c r="G930" s="3732"/>
    </row>
    <row r="931" spans="7:7">
      <c r="G931" s="3732"/>
    </row>
    <row r="932" spans="7:7">
      <c r="G932" s="3732"/>
    </row>
    <row r="933" spans="7:7">
      <c r="G933" s="3732"/>
    </row>
    <row r="934" spans="7:7">
      <c r="G934" s="3732"/>
    </row>
    <row r="935" spans="7:7">
      <c r="G935" s="3732"/>
    </row>
    <row r="936" spans="7:7">
      <c r="G936" s="3732"/>
    </row>
    <row r="937" spans="7:7">
      <c r="G937" s="3732"/>
    </row>
    <row r="938" spans="7:7">
      <c r="G938" s="3732"/>
    </row>
    <row r="939" spans="7:7">
      <c r="G939" s="3732"/>
    </row>
    <row r="940" spans="7:7">
      <c r="G940" s="3732"/>
    </row>
    <row r="941" spans="7:7">
      <c r="G941" s="3732"/>
    </row>
    <row r="942" spans="7:7">
      <c r="G942" s="3732"/>
    </row>
    <row r="943" spans="7:7">
      <c r="G943" s="3732"/>
    </row>
    <row r="944" spans="7:7">
      <c r="G944" s="3732"/>
    </row>
    <row r="945" spans="7:7">
      <c r="G945" s="3732"/>
    </row>
    <row r="946" spans="7:7">
      <c r="G946" s="3732"/>
    </row>
    <row r="947" spans="7:7">
      <c r="G947" s="3732"/>
    </row>
    <row r="948" spans="7:7">
      <c r="G948" s="3732"/>
    </row>
    <row r="949" spans="7:7">
      <c r="G949" s="3732"/>
    </row>
    <row r="950" spans="7:7">
      <c r="G950" s="3732"/>
    </row>
    <row r="951" spans="7:7">
      <c r="G951" s="3732"/>
    </row>
    <row r="952" spans="7:7">
      <c r="G952" s="3732"/>
    </row>
    <row r="953" spans="7:7">
      <c r="G953" s="3732"/>
    </row>
    <row r="954" spans="7:7">
      <c r="G954" s="3732"/>
    </row>
    <row r="955" spans="7:7">
      <c r="G955" s="3732"/>
    </row>
    <row r="956" spans="7:7">
      <c r="G956" s="3732"/>
    </row>
    <row r="957" spans="7:7">
      <c r="G957" s="3732"/>
    </row>
    <row r="958" spans="7:7">
      <c r="G958" s="3732"/>
    </row>
    <row r="959" spans="7:7">
      <c r="G959" s="3732"/>
    </row>
    <row r="960" spans="7:7">
      <c r="G960" s="3732"/>
    </row>
    <row r="961" spans="7:7">
      <c r="G961" s="3732"/>
    </row>
    <row r="962" spans="7:7">
      <c r="G962" s="3732"/>
    </row>
    <row r="963" spans="7:7">
      <c r="G963" s="3732"/>
    </row>
    <row r="964" spans="7:7">
      <c r="G964" s="3732"/>
    </row>
    <row r="965" spans="7:7">
      <c r="G965" s="3732"/>
    </row>
    <row r="966" spans="7:7">
      <c r="G966" s="3732"/>
    </row>
    <row r="967" spans="7:7">
      <c r="G967" s="3732"/>
    </row>
    <row r="968" spans="7:7">
      <c r="G968" s="3732"/>
    </row>
    <row r="969" spans="7:7">
      <c r="G969" s="3732"/>
    </row>
    <row r="970" spans="7:7">
      <c r="G970" s="3732"/>
    </row>
    <row r="971" spans="7:7">
      <c r="G971" s="3732"/>
    </row>
    <row r="972" spans="7:7">
      <c r="G972" s="3732"/>
    </row>
    <row r="973" spans="7:7">
      <c r="G973" s="3732"/>
    </row>
    <row r="974" spans="7:7">
      <c r="G974" s="3732"/>
    </row>
    <row r="975" spans="7:7">
      <c r="G975" s="3732"/>
    </row>
    <row r="976" spans="7:7">
      <c r="G976" s="3732"/>
    </row>
    <row r="977" spans="7:7">
      <c r="G977" s="3732"/>
    </row>
    <row r="978" spans="7:7">
      <c r="G978" s="3732"/>
    </row>
    <row r="979" spans="7:7">
      <c r="G979" s="3732"/>
    </row>
    <row r="980" spans="7:7">
      <c r="G980" s="3732"/>
    </row>
    <row r="981" spans="7:7">
      <c r="G981" s="3732"/>
    </row>
    <row r="982" spans="7:7">
      <c r="G982" s="3732"/>
    </row>
    <row r="983" spans="7:7">
      <c r="G983" s="3732"/>
    </row>
    <row r="984" spans="7:7">
      <c r="G984" s="3732"/>
    </row>
    <row r="985" spans="7:7">
      <c r="G985" s="3732"/>
    </row>
    <row r="986" spans="7:7">
      <c r="G986" s="3732"/>
    </row>
    <row r="987" spans="7:7">
      <c r="G987" s="3732"/>
    </row>
    <row r="988" spans="7:7">
      <c r="G988" s="3732"/>
    </row>
    <row r="989" spans="7:7">
      <c r="G989" s="3732"/>
    </row>
    <row r="990" spans="7:7">
      <c r="G990" s="3732"/>
    </row>
    <row r="991" spans="7:7">
      <c r="G991" s="3732"/>
    </row>
    <row r="992" spans="7:7">
      <c r="G992" s="3732"/>
    </row>
    <row r="993" spans="7:7">
      <c r="G993" s="3732"/>
    </row>
    <row r="994" spans="7:7">
      <c r="G994" s="3732"/>
    </row>
    <row r="995" spans="7:7">
      <c r="G995" s="3732"/>
    </row>
    <row r="996" spans="7:7">
      <c r="G996" s="3732"/>
    </row>
    <row r="997" spans="7:7">
      <c r="G997" s="3732"/>
    </row>
    <row r="998" spans="7:7">
      <c r="G998" s="3732"/>
    </row>
    <row r="999" spans="7:7">
      <c r="G999" s="3732"/>
    </row>
    <row r="1000" spans="7:7">
      <c r="G1000" s="3732"/>
    </row>
    <row r="1001" spans="7:7">
      <c r="G1001" s="3732"/>
    </row>
    <row r="1002" spans="7:7">
      <c r="G1002" s="3732"/>
    </row>
    <row r="1003" spans="7:7">
      <c r="G1003" s="3732"/>
    </row>
    <row r="1004" spans="7:7">
      <c r="G1004" s="3732"/>
    </row>
    <row r="1005" spans="7:7">
      <c r="G1005" s="3732"/>
    </row>
    <row r="1006" spans="7:7">
      <c r="G1006" s="3732"/>
    </row>
    <row r="1007" spans="7:7">
      <c r="G1007" s="3732"/>
    </row>
    <row r="1008" spans="7:7">
      <c r="G1008" s="3732"/>
    </row>
    <row r="1009" spans="7:7">
      <c r="G1009" s="3732"/>
    </row>
    <row r="1010" spans="7:7">
      <c r="G1010" s="3732"/>
    </row>
    <row r="1011" spans="7:7">
      <c r="G1011" s="3732"/>
    </row>
    <row r="1012" spans="7:7">
      <c r="G1012" s="3732"/>
    </row>
    <row r="1013" spans="7:7">
      <c r="G1013" s="3732"/>
    </row>
    <row r="1014" spans="7:7">
      <c r="G1014" s="3732"/>
    </row>
    <row r="1015" spans="7:7">
      <c r="G1015" s="3732"/>
    </row>
    <row r="1016" spans="7:7">
      <c r="G1016" s="3732"/>
    </row>
    <row r="1017" spans="7:7">
      <c r="G1017" s="3732"/>
    </row>
    <row r="1018" spans="7:7">
      <c r="G1018" s="3732"/>
    </row>
    <row r="1019" spans="7:7">
      <c r="G1019" s="3732"/>
    </row>
    <row r="1020" spans="7:7">
      <c r="G1020" s="3732"/>
    </row>
    <row r="1021" spans="7:7">
      <c r="G1021" s="3732"/>
    </row>
    <row r="1022" spans="7:7">
      <c r="G1022" s="3732"/>
    </row>
    <row r="1023" spans="7:7">
      <c r="G1023" s="3732"/>
    </row>
    <row r="1024" spans="7:7">
      <c r="G1024" s="3732"/>
    </row>
    <row r="1025" spans="7:7">
      <c r="G1025" s="3732"/>
    </row>
    <row r="1026" spans="7:7">
      <c r="G1026" s="3732"/>
    </row>
    <row r="1027" spans="7:7">
      <c r="G1027" s="3732"/>
    </row>
    <row r="1028" spans="7:7">
      <c r="G1028" s="3732"/>
    </row>
    <row r="1029" spans="7:7">
      <c r="G1029" s="3732"/>
    </row>
    <row r="1030" spans="7:7">
      <c r="G1030" s="3732"/>
    </row>
    <row r="1031" spans="7:7">
      <c r="G1031" s="3732"/>
    </row>
    <row r="1032" spans="7:7">
      <c r="G1032" s="3732"/>
    </row>
    <row r="1033" spans="7:7">
      <c r="G1033" s="3732"/>
    </row>
    <row r="1034" spans="7:7">
      <c r="G1034" s="3732"/>
    </row>
    <row r="1035" spans="7:7">
      <c r="G1035" s="3732"/>
    </row>
    <row r="1036" spans="7:7">
      <c r="G1036" s="3732"/>
    </row>
    <row r="1037" spans="7:7">
      <c r="G1037" s="3732"/>
    </row>
    <row r="1038" spans="7:7">
      <c r="G1038" s="3732"/>
    </row>
    <row r="1039" spans="7:7">
      <c r="G1039" s="3732"/>
    </row>
    <row r="1040" spans="7:7">
      <c r="G1040" s="3732"/>
    </row>
    <row r="1041" spans="7:7">
      <c r="G1041" s="3732"/>
    </row>
    <row r="1042" spans="7:7">
      <c r="G1042" s="3732"/>
    </row>
    <row r="1043" spans="7:7">
      <c r="G1043" s="3732"/>
    </row>
    <row r="1044" spans="7:7">
      <c r="G1044" s="3732"/>
    </row>
    <row r="1045" spans="7:7">
      <c r="G1045" s="3732"/>
    </row>
    <row r="1046" spans="7:7">
      <c r="G1046" s="3732"/>
    </row>
    <row r="1047" spans="7:7">
      <c r="G1047" s="3732"/>
    </row>
    <row r="1048" spans="7:7">
      <c r="G1048" s="3732"/>
    </row>
    <row r="1049" spans="7:7">
      <c r="G1049" s="3732"/>
    </row>
    <row r="1050" spans="7:7">
      <c r="G1050" s="3732"/>
    </row>
    <row r="1051" spans="7:7">
      <c r="G1051" s="3732"/>
    </row>
    <row r="1052" spans="7:7">
      <c r="G1052" s="3732"/>
    </row>
    <row r="1053" spans="7:7">
      <c r="G1053" s="3732"/>
    </row>
    <row r="1054" spans="7:7">
      <c r="G1054" s="3732"/>
    </row>
    <row r="1055" spans="7:7">
      <c r="G1055" s="3732"/>
    </row>
    <row r="1056" spans="7:7">
      <c r="G1056" s="3732"/>
    </row>
    <row r="1057" spans="7:7">
      <c r="G1057" s="3732"/>
    </row>
    <row r="1058" spans="7:7">
      <c r="G1058" s="3732"/>
    </row>
    <row r="1059" spans="7:7">
      <c r="G1059" s="3732"/>
    </row>
    <row r="1060" spans="7:7">
      <c r="G1060" s="3732"/>
    </row>
    <row r="1061" spans="7:7">
      <c r="G1061" s="3732"/>
    </row>
    <row r="1062" spans="7:7">
      <c r="G1062" s="3732"/>
    </row>
    <row r="1063" spans="7:7">
      <c r="G1063" s="3732"/>
    </row>
    <row r="1064" spans="7:7">
      <c r="G1064" s="3732"/>
    </row>
    <row r="1065" spans="7:7">
      <c r="G1065" s="3732"/>
    </row>
    <row r="1066" spans="7:7">
      <c r="G1066" s="3732"/>
    </row>
    <row r="1067" spans="7:7">
      <c r="G1067" s="3732"/>
    </row>
    <row r="1068" spans="7:7">
      <c r="G1068" s="3732"/>
    </row>
    <row r="1069" spans="7:7">
      <c r="G1069" s="3732"/>
    </row>
    <row r="1070" spans="7:7">
      <c r="G1070" s="3732"/>
    </row>
    <row r="1071" spans="7:7">
      <c r="G1071" s="3732"/>
    </row>
    <row r="1072" spans="7:7">
      <c r="G1072" s="3732"/>
    </row>
    <row r="1073" spans="7:7">
      <c r="G1073" s="3732"/>
    </row>
    <row r="1074" spans="7:7">
      <c r="G1074" s="3732"/>
    </row>
    <row r="1075" spans="7:7">
      <c r="G1075" s="3732"/>
    </row>
    <row r="1076" spans="7:7">
      <c r="G1076" s="3732"/>
    </row>
    <row r="1077" spans="7:7">
      <c r="G1077" s="3732"/>
    </row>
    <row r="1078" spans="7:7">
      <c r="G1078" s="3732"/>
    </row>
    <row r="1079" spans="7:7">
      <c r="G1079" s="3732"/>
    </row>
    <row r="1080" spans="7:7">
      <c r="G1080" s="3732"/>
    </row>
    <row r="1081" spans="7:7">
      <c r="G1081" s="3732"/>
    </row>
    <row r="1082" spans="7:7">
      <c r="G1082" s="3732"/>
    </row>
    <row r="1083" spans="7:7">
      <c r="G1083" s="3732"/>
    </row>
    <row r="1084" spans="7:7">
      <c r="G1084" s="3732"/>
    </row>
    <row r="1085" spans="7:7">
      <c r="G1085" s="3732"/>
    </row>
    <row r="1086" spans="7:7">
      <c r="G1086" s="3732"/>
    </row>
    <row r="1087" spans="7:7">
      <c r="G1087" s="3732"/>
    </row>
    <row r="1088" spans="7:7">
      <c r="G1088" s="3732"/>
    </row>
    <row r="1089" spans="7:7">
      <c r="G1089" s="3732"/>
    </row>
    <row r="1090" spans="7:7">
      <c r="G1090" s="3732"/>
    </row>
    <row r="1091" spans="7:7">
      <c r="G1091" s="3732"/>
    </row>
    <row r="1092" spans="7:7">
      <c r="G1092" s="3732"/>
    </row>
    <row r="1093" spans="7:7">
      <c r="G1093" s="3732"/>
    </row>
    <row r="1094" spans="7:7">
      <c r="G1094" s="3732"/>
    </row>
    <row r="1095" spans="7:7">
      <c r="G1095" s="3732"/>
    </row>
    <row r="1096" spans="7:7">
      <c r="G1096" s="3732"/>
    </row>
    <row r="1097" spans="7:7">
      <c r="G1097" s="3732"/>
    </row>
    <row r="1098" spans="7:7">
      <c r="G1098" s="3732"/>
    </row>
    <row r="1099" spans="7:7">
      <c r="G1099" s="3732"/>
    </row>
    <row r="1100" spans="7:7">
      <c r="G1100" s="3732"/>
    </row>
    <row r="1101" spans="7:7">
      <c r="G1101" s="3732"/>
    </row>
    <row r="1102" spans="7:7">
      <c r="G1102" s="3732"/>
    </row>
    <row r="1103" spans="7:7">
      <c r="G1103" s="3732"/>
    </row>
    <row r="1104" spans="7:7">
      <c r="G1104" s="3732"/>
    </row>
    <row r="1105" spans="7:7">
      <c r="G1105" s="3732"/>
    </row>
    <row r="1106" spans="7:7">
      <c r="G1106" s="3732"/>
    </row>
    <row r="1107" spans="7:7">
      <c r="G1107" s="3732"/>
    </row>
    <row r="1108" spans="7:7">
      <c r="G1108" s="3732"/>
    </row>
    <row r="1109" spans="7:7">
      <c r="G1109" s="3732"/>
    </row>
    <row r="1110" spans="7:7">
      <c r="G1110" s="3732"/>
    </row>
    <row r="1111" spans="7:7">
      <c r="G1111" s="3732"/>
    </row>
    <row r="1112" spans="7:7">
      <c r="G1112" s="3732"/>
    </row>
    <row r="1113" spans="7:7">
      <c r="G1113" s="3732"/>
    </row>
    <row r="1114" spans="7:7">
      <c r="G1114" s="3732"/>
    </row>
    <row r="1115" spans="7:7">
      <c r="G1115" s="3732"/>
    </row>
    <row r="1116" spans="7:7">
      <c r="G1116" s="3732"/>
    </row>
    <row r="1117" spans="7:7">
      <c r="G1117" s="3732"/>
    </row>
    <row r="1118" spans="7:7">
      <c r="G1118" s="3732"/>
    </row>
    <row r="1119" spans="7:7">
      <c r="G1119" s="3732"/>
    </row>
    <row r="1120" spans="7:7">
      <c r="G1120" s="3732"/>
    </row>
    <row r="1121" spans="7:7">
      <c r="G1121" s="3732"/>
    </row>
    <row r="1122" spans="7:7">
      <c r="G1122" s="3732"/>
    </row>
    <row r="1123" spans="7:7">
      <c r="G1123" s="3732"/>
    </row>
    <row r="1124" spans="7:7">
      <c r="G1124" s="3732"/>
    </row>
    <row r="1125" spans="7:7">
      <c r="G1125" s="3732"/>
    </row>
    <row r="1126" spans="7:7">
      <c r="G1126" s="3732"/>
    </row>
    <row r="1127" spans="7:7">
      <c r="G1127" s="3732"/>
    </row>
    <row r="1128" spans="7:7">
      <c r="G1128" s="3732"/>
    </row>
    <row r="1129" spans="7:7">
      <c r="G1129" s="3732"/>
    </row>
    <row r="1130" spans="7:7">
      <c r="G1130" s="3732"/>
    </row>
    <row r="1131" spans="7:7">
      <c r="G1131" s="3732"/>
    </row>
    <row r="1132" spans="7:7">
      <c r="G1132" s="3732"/>
    </row>
    <row r="1133" spans="7:7">
      <c r="G1133" s="3732"/>
    </row>
    <row r="1134" spans="7:7">
      <c r="G1134" s="3732"/>
    </row>
    <row r="1135" spans="7:7">
      <c r="G1135" s="3732"/>
    </row>
    <row r="1136" spans="7:7">
      <c r="G1136" s="3732"/>
    </row>
    <row r="1137" spans="7:7">
      <c r="G1137" s="3732"/>
    </row>
    <row r="1138" spans="7:7">
      <c r="G1138" s="3732"/>
    </row>
    <row r="1139" spans="7:7">
      <c r="G1139" s="3732"/>
    </row>
    <row r="1140" spans="7:7">
      <c r="G1140" s="3732"/>
    </row>
    <row r="1141" spans="7:7">
      <c r="G1141" s="3732"/>
    </row>
    <row r="1142" spans="7:7">
      <c r="G1142" s="3732"/>
    </row>
    <row r="1143" spans="7:7">
      <c r="G1143" s="3732"/>
    </row>
    <row r="1144" spans="7:7">
      <c r="G1144" s="3732"/>
    </row>
    <row r="1145" spans="7:7">
      <c r="G1145" s="3732"/>
    </row>
    <row r="1146" spans="7:7">
      <c r="G1146" s="3732"/>
    </row>
    <row r="1147" spans="7:7">
      <c r="G1147" s="3732"/>
    </row>
    <row r="1148" spans="7:7">
      <c r="G1148" s="3732"/>
    </row>
    <row r="1149" spans="7:7">
      <c r="G1149" s="3732"/>
    </row>
    <row r="1150" spans="7:7">
      <c r="G1150" s="3732"/>
    </row>
    <row r="1151" spans="7:7">
      <c r="G1151" s="3732"/>
    </row>
    <row r="1152" spans="7:7">
      <c r="G1152" s="3732"/>
    </row>
    <row r="1153" spans="7:7">
      <c r="G1153" s="3732"/>
    </row>
    <row r="1154" spans="7:7">
      <c r="G1154" s="3732"/>
    </row>
    <row r="1155" spans="7:7">
      <c r="G1155" s="3732"/>
    </row>
    <row r="1156" spans="7:7">
      <c r="G1156" s="3732"/>
    </row>
    <row r="1157" spans="7:7">
      <c r="G1157" s="3732"/>
    </row>
    <row r="1158" spans="7:7">
      <c r="G1158" s="3732"/>
    </row>
    <row r="1159" spans="7:7">
      <c r="G1159" s="3732"/>
    </row>
    <row r="1160" spans="7:7">
      <c r="G1160" s="3732"/>
    </row>
    <row r="1161" spans="7:7">
      <c r="G1161" s="3732"/>
    </row>
    <row r="1162" spans="7:7">
      <c r="G1162" s="3732"/>
    </row>
    <row r="1163" spans="7:7">
      <c r="G1163" s="3732"/>
    </row>
    <row r="1164" spans="7:7">
      <c r="G1164" s="3732"/>
    </row>
    <row r="1165" spans="7:7">
      <c r="G1165" s="3732"/>
    </row>
    <row r="1166" spans="7:7">
      <c r="G1166" s="3732"/>
    </row>
    <row r="1167" spans="7:7">
      <c r="G1167" s="3732"/>
    </row>
    <row r="1168" spans="7:7">
      <c r="G1168" s="3732"/>
    </row>
    <row r="1169" spans="7:7">
      <c r="G1169" s="3732"/>
    </row>
    <row r="1170" spans="7:7">
      <c r="G1170" s="3732"/>
    </row>
    <row r="1171" spans="7:7">
      <c r="G1171" s="3732"/>
    </row>
    <row r="1172" spans="7:7">
      <c r="G1172" s="3732"/>
    </row>
    <row r="1173" spans="7:7">
      <c r="G1173" s="3732"/>
    </row>
    <row r="1174" spans="7:7">
      <c r="G1174" s="3732"/>
    </row>
    <row r="1175" spans="7:7">
      <c r="G1175" s="3732"/>
    </row>
    <row r="1176" spans="7:7">
      <c r="G1176" s="3732"/>
    </row>
    <row r="1177" spans="7:7">
      <c r="G1177" s="3732"/>
    </row>
    <row r="1178" spans="7:7">
      <c r="G1178" s="3732"/>
    </row>
    <row r="1179" spans="7:7">
      <c r="G1179" s="3732"/>
    </row>
    <row r="1180" spans="7:7">
      <c r="G1180" s="3732"/>
    </row>
    <row r="1181" spans="7:7">
      <c r="G1181" s="3732"/>
    </row>
    <row r="1182" spans="7:7">
      <c r="G1182" s="3732"/>
    </row>
    <row r="1183" spans="7:7">
      <c r="G1183" s="3732"/>
    </row>
    <row r="1184" spans="7:7">
      <c r="G1184" s="3732"/>
    </row>
    <row r="1185" spans="7:7">
      <c r="G1185" s="3732"/>
    </row>
    <row r="1186" spans="7:7">
      <c r="G1186" s="3732"/>
    </row>
    <row r="1187" spans="7:7">
      <c r="G1187" s="3732"/>
    </row>
    <row r="1188" spans="7:7">
      <c r="G1188" s="3732"/>
    </row>
    <row r="1189" spans="7:7">
      <c r="G1189" s="3732"/>
    </row>
    <row r="1190" spans="7:7">
      <c r="G1190" s="3732"/>
    </row>
    <row r="1191" spans="7:7">
      <c r="G1191" s="3732"/>
    </row>
    <row r="1192" spans="7:7">
      <c r="G1192" s="3732"/>
    </row>
    <row r="1193" spans="7:7">
      <c r="G1193" s="3732"/>
    </row>
    <row r="1194" spans="7:7">
      <c r="G1194" s="3732"/>
    </row>
    <row r="1195" spans="7:7">
      <c r="G1195" s="3732"/>
    </row>
    <row r="1196" spans="7:7">
      <c r="G1196" s="3732"/>
    </row>
    <row r="1197" spans="7:7">
      <c r="G1197" s="3732"/>
    </row>
    <row r="1198" spans="7:7">
      <c r="G1198" s="3732"/>
    </row>
    <row r="1199" spans="7:7">
      <c r="G1199" s="3732"/>
    </row>
    <row r="1200" spans="7:7">
      <c r="G1200" s="3732"/>
    </row>
    <row r="1201" spans="7:7">
      <c r="G1201" s="3732"/>
    </row>
    <row r="1202" spans="7:7">
      <c r="G1202" s="3732"/>
    </row>
    <row r="1203" spans="7:7">
      <c r="G1203" s="3732"/>
    </row>
    <row r="1204" spans="7:7">
      <c r="G1204" s="3732"/>
    </row>
    <row r="1205" spans="7:7">
      <c r="G1205" s="3732"/>
    </row>
    <row r="1206" spans="7:7">
      <c r="G1206" s="3732"/>
    </row>
    <row r="1207" spans="7:7">
      <c r="G1207" s="3732"/>
    </row>
    <row r="1208" spans="7:7">
      <c r="G1208" s="3732"/>
    </row>
    <row r="1209" spans="7:7">
      <c r="G1209" s="3732"/>
    </row>
    <row r="1210" spans="7:7">
      <c r="G1210" s="3732"/>
    </row>
    <row r="1211" spans="7:7">
      <c r="G1211" s="3732"/>
    </row>
    <row r="1212" spans="7:7">
      <c r="G1212" s="3732"/>
    </row>
    <row r="1213" spans="7:7">
      <c r="G1213" s="3732"/>
    </row>
    <row r="1214" spans="7:7">
      <c r="G1214" s="3732"/>
    </row>
    <row r="1215" spans="7:7">
      <c r="G1215" s="3732"/>
    </row>
    <row r="1216" spans="7:7">
      <c r="G1216" s="3732"/>
    </row>
    <row r="1217" spans="7:7">
      <c r="G1217" s="3732"/>
    </row>
    <row r="1218" spans="7:7">
      <c r="G1218" s="3732"/>
    </row>
    <row r="1219" spans="7:7">
      <c r="G1219" s="3732"/>
    </row>
    <row r="1220" spans="7:7">
      <c r="G1220" s="3732"/>
    </row>
    <row r="1221" spans="7:7">
      <c r="G1221" s="3732"/>
    </row>
    <row r="1222" spans="7:7">
      <c r="G1222" s="3732"/>
    </row>
    <row r="1223" spans="7:7">
      <c r="G1223" s="3732"/>
    </row>
    <row r="1224" spans="7:7">
      <c r="G1224" s="3732"/>
    </row>
    <row r="1225" spans="7:7">
      <c r="G1225" s="3732"/>
    </row>
    <row r="1226" spans="7:7">
      <c r="G1226" s="3732"/>
    </row>
    <row r="1227" spans="7:7">
      <c r="G1227" s="3732"/>
    </row>
    <row r="1228" spans="7:7">
      <c r="G1228" s="3732"/>
    </row>
    <row r="1229" spans="7:7">
      <c r="G1229" s="3732"/>
    </row>
    <row r="1230" spans="7:7">
      <c r="G1230" s="3732"/>
    </row>
    <row r="1231" spans="7:7">
      <c r="G1231" s="3732"/>
    </row>
    <row r="1232" spans="7:7">
      <c r="G1232" s="3732"/>
    </row>
    <row r="1233" spans="7:7">
      <c r="G1233" s="3732"/>
    </row>
    <row r="1234" spans="7:7">
      <c r="G1234" s="3732"/>
    </row>
    <row r="1235" spans="7:7">
      <c r="G1235" s="3732"/>
    </row>
    <row r="1236" spans="7:7">
      <c r="G1236" s="3732"/>
    </row>
    <row r="1237" spans="7:7">
      <c r="G1237" s="3732"/>
    </row>
    <row r="1238" spans="7:7">
      <c r="G1238" s="3732"/>
    </row>
    <row r="1239" spans="7:7">
      <c r="G1239" s="3732"/>
    </row>
    <row r="1240" spans="7:7">
      <c r="G1240" s="3732"/>
    </row>
    <row r="1241" spans="7:7">
      <c r="G1241" s="3732"/>
    </row>
    <row r="1242" spans="7:7">
      <c r="G1242" s="3732"/>
    </row>
    <row r="1243" spans="7:7">
      <c r="G1243" s="3732"/>
    </row>
    <row r="1244" spans="7:7">
      <c r="G1244" s="3732"/>
    </row>
    <row r="1245" spans="7:7">
      <c r="G1245" s="3732"/>
    </row>
    <row r="1246" spans="7:7">
      <c r="G1246" s="3732"/>
    </row>
    <row r="1247" spans="7:7">
      <c r="G1247" s="3732"/>
    </row>
    <row r="1248" spans="7:7">
      <c r="G1248" s="3732"/>
    </row>
    <row r="1249" spans="7:7">
      <c r="G1249" s="3732"/>
    </row>
    <row r="1250" spans="7:7">
      <c r="G1250" s="3732"/>
    </row>
    <row r="1251" spans="7:7">
      <c r="G1251" s="3732"/>
    </row>
    <row r="1252" spans="7:7">
      <c r="G1252" s="3732"/>
    </row>
    <row r="1253" spans="7:7">
      <c r="G1253" s="3732"/>
    </row>
    <row r="1254" spans="7:7">
      <c r="G1254" s="3732"/>
    </row>
    <row r="1255" spans="7:7">
      <c r="G1255" s="3732"/>
    </row>
    <row r="1256" spans="7:7">
      <c r="G1256" s="3732"/>
    </row>
    <row r="1257" spans="7:7">
      <c r="G1257" s="3732"/>
    </row>
    <row r="1258" spans="7:7">
      <c r="G1258" s="3732"/>
    </row>
    <row r="1259" spans="7:7">
      <c r="G1259" s="3732"/>
    </row>
    <row r="1260" spans="7:7">
      <c r="G1260" s="3732"/>
    </row>
    <row r="1261" spans="7:7">
      <c r="G1261" s="3732"/>
    </row>
    <row r="1262" spans="7:7">
      <c r="G1262" s="3732"/>
    </row>
    <row r="1263" spans="7:7">
      <c r="G1263" s="3732"/>
    </row>
    <row r="1264" spans="7:7">
      <c r="G1264" s="3732"/>
    </row>
    <row r="1265" spans="7:7">
      <c r="G1265" s="3732"/>
    </row>
    <row r="1266" spans="7:7">
      <c r="G1266" s="3732"/>
    </row>
    <row r="1267" spans="7:7">
      <c r="G1267" s="3732"/>
    </row>
    <row r="1268" spans="7:7">
      <c r="G1268" s="3732"/>
    </row>
    <row r="1269" spans="7:7">
      <c r="G1269" s="3732"/>
    </row>
    <row r="1270" spans="7:7">
      <c r="G1270" s="3732"/>
    </row>
    <row r="1271" spans="7:7">
      <c r="G1271" s="3732"/>
    </row>
    <row r="1272" spans="7:7">
      <c r="G1272" s="3732"/>
    </row>
    <row r="1273" spans="7:7">
      <c r="G1273" s="3732"/>
    </row>
    <row r="1274" spans="7:7">
      <c r="G1274" s="3732"/>
    </row>
    <row r="1275" spans="7:7">
      <c r="G1275" s="3732"/>
    </row>
    <row r="1276" spans="7:7">
      <c r="G1276" s="3732"/>
    </row>
    <row r="1277" spans="7:7">
      <c r="G1277" s="3732"/>
    </row>
    <row r="1278" spans="7:7">
      <c r="G1278" s="3732"/>
    </row>
    <row r="1279" spans="7:7">
      <c r="G1279" s="3732"/>
    </row>
    <row r="1280" spans="7:7">
      <c r="G1280" s="3732"/>
    </row>
    <row r="1281" spans="7:7">
      <c r="G1281" s="3732"/>
    </row>
    <row r="1282" spans="7:7">
      <c r="G1282" s="3732"/>
    </row>
    <row r="1283" spans="7:7">
      <c r="G1283" s="3732"/>
    </row>
    <row r="1284" spans="7:7">
      <c r="G1284" s="3732"/>
    </row>
    <row r="1285" spans="7:7">
      <c r="G1285" s="3732"/>
    </row>
    <row r="1286" spans="7:7">
      <c r="G1286" s="3732"/>
    </row>
    <row r="1287" spans="7:7">
      <c r="G1287" s="3732"/>
    </row>
    <row r="1288" spans="7:7">
      <c r="G1288" s="3732"/>
    </row>
    <row r="1289" spans="7:7">
      <c r="G1289" s="3732"/>
    </row>
    <row r="1290" spans="7:7">
      <c r="G1290" s="3732"/>
    </row>
    <row r="1291" spans="7:7">
      <c r="G1291" s="3732"/>
    </row>
    <row r="1292" spans="7:7">
      <c r="G1292" s="3732"/>
    </row>
    <row r="1293" spans="7:7">
      <c r="G1293" s="3732"/>
    </row>
    <row r="1294" spans="7:7">
      <c r="G1294" s="3732"/>
    </row>
    <row r="1295" spans="7:7">
      <c r="G1295" s="3732"/>
    </row>
    <row r="1296" spans="7:7">
      <c r="G1296" s="3732"/>
    </row>
    <row r="1297" spans="7:7">
      <c r="G1297" s="3732"/>
    </row>
    <row r="1298" spans="7:7">
      <c r="G1298" s="3732"/>
    </row>
    <row r="1299" spans="7:7">
      <c r="G1299" s="3732"/>
    </row>
    <row r="1300" spans="7:7">
      <c r="G1300" s="3732"/>
    </row>
    <row r="1301" spans="7:7">
      <c r="G1301" s="3732"/>
    </row>
    <row r="1302" spans="7:7">
      <c r="G1302" s="3732"/>
    </row>
    <row r="1303" spans="7:7">
      <c r="G1303" s="3732"/>
    </row>
    <row r="1304" spans="7:7">
      <c r="G1304" s="3732"/>
    </row>
    <row r="1305" spans="7:7">
      <c r="G1305" s="3732"/>
    </row>
    <row r="1306" spans="7:7">
      <c r="G1306" s="3732"/>
    </row>
    <row r="1307" spans="7:7">
      <c r="G1307" s="3732"/>
    </row>
    <row r="1308" spans="7:7">
      <c r="G1308" s="3732"/>
    </row>
    <row r="1309" spans="7:7">
      <c r="G1309" s="3732"/>
    </row>
    <row r="1310" spans="7:7">
      <c r="G1310" s="3732"/>
    </row>
    <row r="1311" spans="7:7">
      <c r="G1311" s="3732"/>
    </row>
    <row r="1312" spans="7:7">
      <c r="G1312" s="3732"/>
    </row>
    <row r="1313" spans="7:7">
      <c r="G1313" s="3732"/>
    </row>
    <row r="1314" spans="7:7">
      <c r="G1314" s="3732"/>
    </row>
    <row r="1315" spans="7:7">
      <c r="G1315" s="3732"/>
    </row>
    <row r="1316" spans="7:7">
      <c r="G1316" s="3732"/>
    </row>
    <row r="1317" spans="7:7">
      <c r="G1317" s="3732"/>
    </row>
    <row r="1318" spans="7:7">
      <c r="G1318" s="3732"/>
    </row>
    <row r="1319" spans="7:7">
      <c r="G1319" s="3732"/>
    </row>
    <row r="1320" spans="7:7">
      <c r="G1320" s="3732"/>
    </row>
    <row r="1321" spans="7:7">
      <c r="G1321" s="3732"/>
    </row>
    <row r="1322" spans="7:7">
      <c r="G1322" s="3732"/>
    </row>
    <row r="1323" spans="7:7">
      <c r="G1323" s="3732"/>
    </row>
    <row r="1324" spans="7:7">
      <c r="G1324" s="3732"/>
    </row>
    <row r="1325" spans="7:7">
      <c r="G1325" s="3732"/>
    </row>
    <row r="1326" spans="7:7">
      <c r="G1326" s="3732"/>
    </row>
    <row r="1327" spans="7:7">
      <c r="G1327" s="3732"/>
    </row>
    <row r="1328" spans="7:7">
      <c r="G1328" s="3732"/>
    </row>
    <row r="1329" spans="7:7">
      <c r="G1329" s="3732"/>
    </row>
    <row r="1330" spans="7:7">
      <c r="G1330" s="3732"/>
    </row>
    <row r="1331" spans="7:7">
      <c r="G1331" s="3732"/>
    </row>
    <row r="1332" spans="7:7">
      <c r="G1332" s="3732"/>
    </row>
    <row r="1333" spans="7:7">
      <c r="G1333" s="3732"/>
    </row>
    <row r="1334" spans="7:7">
      <c r="G1334" s="3732"/>
    </row>
    <row r="1335" spans="7:7">
      <c r="G1335" s="3732"/>
    </row>
    <row r="1336" spans="7:7">
      <c r="G1336" s="3732"/>
    </row>
    <row r="1337" spans="7:7">
      <c r="G1337" s="3732"/>
    </row>
    <row r="1338" spans="7:7">
      <c r="G1338" s="3732"/>
    </row>
    <row r="1339" spans="7:7">
      <c r="G1339" s="3732"/>
    </row>
    <row r="1340" spans="7:7">
      <c r="G1340" s="3732"/>
    </row>
    <row r="1341" spans="7:7">
      <c r="G1341" s="3732"/>
    </row>
    <row r="1342" spans="7:7">
      <c r="G1342" s="3732"/>
    </row>
    <row r="1343" spans="7:7">
      <c r="G1343" s="3732"/>
    </row>
    <row r="1344" spans="7:7">
      <c r="G1344" s="3732"/>
    </row>
    <row r="1345" spans="7:7">
      <c r="G1345" s="3732"/>
    </row>
    <row r="1346" spans="7:7">
      <c r="G1346" s="3732"/>
    </row>
    <row r="1347" spans="7:7">
      <c r="G1347" s="3732"/>
    </row>
    <row r="1348" spans="7:7">
      <c r="G1348" s="3732"/>
    </row>
    <row r="1349" spans="7:7">
      <c r="G1349" s="3732"/>
    </row>
    <row r="1350" spans="7:7">
      <c r="G1350" s="3732"/>
    </row>
    <row r="1351" spans="7:7">
      <c r="G1351" s="3732"/>
    </row>
    <row r="1352" spans="7:7">
      <c r="G1352" s="3732"/>
    </row>
    <row r="1353" spans="7:7">
      <c r="G1353" s="3732"/>
    </row>
    <row r="1354" spans="7:7">
      <c r="G1354" s="3732"/>
    </row>
    <row r="1355" spans="7:7">
      <c r="G1355" s="3732"/>
    </row>
    <row r="1356" spans="7:7">
      <c r="G1356" s="3732"/>
    </row>
    <row r="1357" spans="7:7">
      <c r="G1357" s="3732"/>
    </row>
    <row r="1358" spans="7:7">
      <c r="G1358" s="3732"/>
    </row>
    <row r="1359" spans="7:7">
      <c r="G1359" s="3732"/>
    </row>
    <row r="1360" spans="7:7">
      <c r="G1360" s="3732"/>
    </row>
    <row r="1361" spans="7:7">
      <c r="G1361" s="3732"/>
    </row>
    <row r="1362" spans="7:7">
      <c r="G1362" s="3732"/>
    </row>
    <row r="1363" spans="7:7">
      <c r="G1363" s="3732"/>
    </row>
    <row r="1364" spans="7:7">
      <c r="G1364" s="3732"/>
    </row>
    <row r="1365" spans="7:7">
      <c r="G1365" s="3732"/>
    </row>
    <row r="1366" spans="7:7">
      <c r="G1366" s="3732"/>
    </row>
    <row r="1367" spans="7:7">
      <c r="G1367" s="3732"/>
    </row>
    <row r="1368" spans="7:7">
      <c r="G1368" s="3732"/>
    </row>
    <row r="1369" spans="7:7">
      <c r="G1369" s="3732"/>
    </row>
    <row r="1370" spans="7:7">
      <c r="G1370" s="3732"/>
    </row>
    <row r="1371" spans="7:7">
      <c r="G1371" s="3732"/>
    </row>
    <row r="1372" spans="7:7">
      <c r="G1372" s="3732"/>
    </row>
    <row r="1373" spans="7:7">
      <c r="G1373" s="3732"/>
    </row>
    <row r="1374" spans="7:7">
      <c r="G1374" s="3732"/>
    </row>
    <row r="1375" spans="7:7">
      <c r="G1375" s="3732"/>
    </row>
    <row r="1376" spans="7:7">
      <c r="G1376" s="3732"/>
    </row>
    <row r="1377" spans="7:7">
      <c r="G1377" s="3732"/>
    </row>
    <row r="1378" spans="7:7">
      <c r="G1378" s="3732"/>
    </row>
    <row r="1379" spans="7:7">
      <c r="G1379" s="3732"/>
    </row>
    <row r="1380" spans="7:7">
      <c r="G1380" s="3732"/>
    </row>
    <row r="1381" spans="7:7">
      <c r="G1381" s="3732"/>
    </row>
    <row r="1382" spans="7:7">
      <c r="G1382" s="3732"/>
    </row>
    <row r="1383" spans="7:7">
      <c r="G1383" s="3732"/>
    </row>
    <row r="1384" spans="7:7">
      <c r="G1384" s="3732"/>
    </row>
    <row r="1385" spans="7:7">
      <c r="G1385" s="3732"/>
    </row>
    <row r="1386" spans="7:7">
      <c r="G1386" s="3732"/>
    </row>
    <row r="1387" spans="7:7">
      <c r="G1387" s="3732"/>
    </row>
    <row r="1388" spans="7:7">
      <c r="G1388" s="3732"/>
    </row>
    <row r="1389" spans="7:7">
      <c r="G1389" s="3732"/>
    </row>
    <row r="1390" spans="7:7">
      <c r="G1390" s="3732"/>
    </row>
    <row r="1391" spans="7:7">
      <c r="G1391" s="3732"/>
    </row>
    <row r="1392" spans="7:7">
      <c r="G1392" s="3732"/>
    </row>
    <row r="1393" spans="7:7">
      <c r="G1393" s="3732"/>
    </row>
    <row r="1394" spans="7:7">
      <c r="G1394" s="3732"/>
    </row>
    <row r="1395" spans="7:7">
      <c r="G1395" s="3732"/>
    </row>
    <row r="1396" spans="7:7">
      <c r="G1396" s="3732"/>
    </row>
    <row r="1397" spans="7:7">
      <c r="G1397" s="3732"/>
    </row>
    <row r="1398" spans="7:7">
      <c r="G1398" s="3732"/>
    </row>
    <row r="1399" spans="7:7">
      <c r="G1399" s="3732"/>
    </row>
    <row r="1400" spans="7:7">
      <c r="G1400" s="3732"/>
    </row>
    <row r="1401" spans="7:7">
      <c r="G1401" s="3732"/>
    </row>
    <row r="1402" spans="7:7">
      <c r="G1402" s="3732"/>
    </row>
    <row r="1403" spans="7:7">
      <c r="G1403" s="3732"/>
    </row>
    <row r="1404" spans="7:7">
      <c r="G1404" s="3732"/>
    </row>
    <row r="1405" spans="7:7">
      <c r="G1405" s="3732"/>
    </row>
    <row r="1406" spans="7:7">
      <c r="G1406" s="3732"/>
    </row>
    <row r="1407" spans="7:7">
      <c r="G1407" s="3732"/>
    </row>
    <row r="1408" spans="7:7">
      <c r="G1408" s="3732"/>
    </row>
    <row r="1409" spans="7:7">
      <c r="G1409" s="3732"/>
    </row>
    <row r="1410" spans="7:7">
      <c r="G1410" s="3732"/>
    </row>
    <row r="1411" spans="7:7">
      <c r="G1411" s="3732"/>
    </row>
    <row r="1412" spans="7:7">
      <c r="G1412" s="3732"/>
    </row>
    <row r="1413" spans="7:7">
      <c r="G1413" s="3732"/>
    </row>
    <row r="1414" spans="7:7">
      <c r="G1414" s="3732"/>
    </row>
    <row r="1415" spans="7:7">
      <c r="G1415" s="3732"/>
    </row>
    <row r="1416" spans="7:7">
      <c r="G1416" s="3732"/>
    </row>
    <row r="1417" spans="7:7">
      <c r="G1417" s="3732"/>
    </row>
    <row r="1418" spans="7:7">
      <c r="G1418" s="3732"/>
    </row>
    <row r="1419" spans="7:7">
      <c r="G1419" s="3732"/>
    </row>
    <row r="1420" spans="7:7">
      <c r="G1420" s="3732"/>
    </row>
    <row r="1421" spans="7:7">
      <c r="G1421" s="3732"/>
    </row>
    <row r="1422" spans="7:7">
      <c r="G1422" s="3732"/>
    </row>
    <row r="1423" spans="7:7">
      <c r="G1423" s="3732"/>
    </row>
    <row r="1424" spans="7:7">
      <c r="G1424" s="3732"/>
    </row>
    <row r="1425" spans="7:7">
      <c r="G1425" s="3732"/>
    </row>
    <row r="1426" spans="7:7">
      <c r="G1426" s="3732"/>
    </row>
    <row r="1427" spans="7:7">
      <c r="G1427" s="3732"/>
    </row>
    <row r="1428" spans="7:7">
      <c r="G1428" s="3732"/>
    </row>
    <row r="1429" spans="7:7">
      <c r="G1429" s="3732"/>
    </row>
    <row r="1430" spans="7:7">
      <c r="G1430" s="3732"/>
    </row>
    <row r="1431" spans="7:7">
      <c r="G1431" s="3732"/>
    </row>
    <row r="1432" spans="7:7">
      <c r="G1432" s="3732"/>
    </row>
    <row r="1433" spans="7:7">
      <c r="G1433" s="3732"/>
    </row>
    <row r="1434" spans="7:7">
      <c r="G1434" s="3732"/>
    </row>
    <row r="1435" spans="7:7">
      <c r="G1435" s="3732"/>
    </row>
    <row r="1436" spans="7:7">
      <c r="G1436" s="3732"/>
    </row>
    <row r="1437" spans="7:7">
      <c r="G1437" s="3732"/>
    </row>
    <row r="1438" spans="7:7">
      <c r="G1438" s="3732"/>
    </row>
    <row r="1439" spans="7:7">
      <c r="G1439" s="3732"/>
    </row>
    <row r="1440" spans="7:7">
      <c r="G1440" s="3732"/>
    </row>
    <row r="1441" spans="7:7">
      <c r="G1441" s="3732"/>
    </row>
    <row r="1442" spans="7:7">
      <c r="G1442" s="3732"/>
    </row>
    <row r="1443" spans="7:7">
      <c r="G1443" s="3732"/>
    </row>
    <row r="1444" spans="7:7">
      <c r="G1444" s="3732"/>
    </row>
    <row r="1445" spans="7:7">
      <c r="G1445" s="3732"/>
    </row>
    <row r="1446" spans="7:7">
      <c r="G1446" s="3732"/>
    </row>
    <row r="1447" spans="7:7">
      <c r="G1447" s="3732"/>
    </row>
    <row r="1448" spans="7:7">
      <c r="G1448" s="3732"/>
    </row>
    <row r="1449" spans="7:7">
      <c r="G1449" s="3732"/>
    </row>
    <row r="1450" spans="7:7">
      <c r="G1450" s="3732"/>
    </row>
    <row r="1451" spans="7:7">
      <c r="G1451" s="3732"/>
    </row>
    <row r="1452" spans="7:7">
      <c r="G1452" s="3732"/>
    </row>
    <row r="1453" spans="7:7">
      <c r="G1453" s="3732"/>
    </row>
    <row r="1454" spans="7:7">
      <c r="G1454" s="3732"/>
    </row>
    <row r="1455" spans="7:7">
      <c r="G1455" s="3732"/>
    </row>
    <row r="1456" spans="7:7">
      <c r="G1456" s="3732"/>
    </row>
    <row r="1457" spans="7:7">
      <c r="G1457" s="3732"/>
    </row>
    <row r="1458" spans="7:7">
      <c r="G1458" s="3732"/>
    </row>
    <row r="1459" spans="7:7">
      <c r="G1459" s="3732"/>
    </row>
    <row r="1460" spans="7:7">
      <c r="G1460" s="3732"/>
    </row>
    <row r="1461" spans="7:7">
      <c r="G1461" s="3732"/>
    </row>
    <row r="1462" spans="7:7">
      <c r="G1462" s="3732"/>
    </row>
    <row r="1463" spans="7:7">
      <c r="G1463" s="3732"/>
    </row>
    <row r="1464" spans="7:7">
      <c r="G1464" s="3732"/>
    </row>
    <row r="1465" spans="7:7">
      <c r="G1465" s="3732"/>
    </row>
    <row r="1466" spans="7:7">
      <c r="G1466" s="3732"/>
    </row>
    <row r="1467" spans="7:7">
      <c r="G1467" s="3732"/>
    </row>
    <row r="1468" spans="7:7">
      <c r="G1468" s="3732"/>
    </row>
    <row r="1469" spans="7:7">
      <c r="G1469" s="3732"/>
    </row>
    <row r="1470" spans="7:7">
      <c r="G1470" s="3732"/>
    </row>
    <row r="1471" spans="7:7">
      <c r="G1471" s="3732"/>
    </row>
    <row r="1472" spans="7:7">
      <c r="G1472" s="3732"/>
    </row>
    <row r="1473" spans="7:7">
      <c r="G1473" s="3732"/>
    </row>
    <row r="1474" spans="7:7">
      <c r="G1474" s="3732"/>
    </row>
    <row r="1475" spans="7:7">
      <c r="G1475" s="3732"/>
    </row>
    <row r="1476" spans="7:7">
      <c r="G1476" s="3732"/>
    </row>
    <row r="1477" spans="7:7">
      <c r="G1477" s="3732"/>
    </row>
    <row r="1478" spans="7:7">
      <c r="G1478" s="3732"/>
    </row>
    <row r="1479" spans="7:7">
      <c r="G1479" s="3732"/>
    </row>
    <row r="1480" spans="7:7">
      <c r="G1480" s="3732"/>
    </row>
    <row r="1481" spans="7:7">
      <c r="G1481" s="3732"/>
    </row>
    <row r="1482" spans="7:7">
      <c r="G1482" s="3732"/>
    </row>
    <row r="1483" spans="7:7">
      <c r="G1483" s="3732"/>
    </row>
    <row r="1484" spans="7:7">
      <c r="G1484" s="3732"/>
    </row>
    <row r="1485" spans="7:7">
      <c r="G1485" s="3732"/>
    </row>
    <row r="1486" spans="7:7">
      <c r="G1486" s="3732"/>
    </row>
    <row r="1487" spans="7:7">
      <c r="G1487" s="3732"/>
    </row>
    <row r="1488" spans="7:7">
      <c r="G1488" s="3732"/>
    </row>
    <row r="1489" spans="7:7">
      <c r="G1489" s="3732"/>
    </row>
    <row r="1490" spans="7:7">
      <c r="G1490" s="3732"/>
    </row>
    <row r="1491" spans="7:7">
      <c r="G1491" s="3732"/>
    </row>
    <row r="1492" spans="7:7">
      <c r="G1492" s="3732"/>
    </row>
    <row r="1493" spans="7:7">
      <c r="G1493" s="3732"/>
    </row>
    <row r="1494" spans="7:7">
      <c r="G1494" s="3732"/>
    </row>
    <row r="1495" spans="7:7">
      <c r="G1495" s="3732"/>
    </row>
    <row r="1496" spans="7:7">
      <c r="G1496" s="3732"/>
    </row>
    <row r="1497" spans="7:7">
      <c r="G1497" s="3732"/>
    </row>
    <row r="1498" spans="7:7">
      <c r="G1498" s="3732"/>
    </row>
    <row r="1499" spans="7:7">
      <c r="G1499" s="3732"/>
    </row>
    <row r="1500" spans="7:7">
      <c r="G1500" s="3732"/>
    </row>
    <row r="1501" spans="7:7">
      <c r="G1501" s="3732"/>
    </row>
    <row r="1502" spans="7:7">
      <c r="G1502" s="3732"/>
    </row>
    <row r="1503" spans="7:7">
      <c r="G1503" s="3732"/>
    </row>
    <row r="1504" spans="7:7">
      <c r="G1504" s="3732"/>
    </row>
    <row r="1505" spans="7:7">
      <c r="G1505" s="3732"/>
    </row>
    <row r="1506" spans="7:7">
      <c r="G1506" s="3732"/>
    </row>
    <row r="1507" spans="7:7">
      <c r="G1507" s="3732"/>
    </row>
    <row r="1508" spans="7:7">
      <c r="G1508" s="3732"/>
    </row>
    <row r="1509" spans="7:7">
      <c r="G1509" s="3732"/>
    </row>
    <row r="1510" spans="7:7">
      <c r="G1510" s="3732"/>
    </row>
    <row r="1511" spans="7:7">
      <c r="G1511" s="3732"/>
    </row>
    <row r="1512" spans="7:7">
      <c r="G1512" s="3732"/>
    </row>
    <row r="1513" spans="7:7">
      <c r="G1513" s="3732"/>
    </row>
    <row r="1514" spans="7:7">
      <c r="G1514" s="3732"/>
    </row>
    <row r="1515" spans="7:7">
      <c r="G1515" s="3732"/>
    </row>
    <row r="1516" spans="7:7">
      <c r="G1516" s="3732"/>
    </row>
    <row r="1517" spans="7:7">
      <c r="G1517" s="3732"/>
    </row>
    <row r="1518" spans="7:7">
      <c r="G1518" s="3732"/>
    </row>
    <row r="1519" spans="7:7">
      <c r="G1519" s="3732"/>
    </row>
    <row r="1520" spans="7:7">
      <c r="G1520" s="3732"/>
    </row>
    <row r="1521" spans="7:7">
      <c r="G1521" s="3732"/>
    </row>
    <row r="1522" spans="7:7">
      <c r="G1522" s="3732"/>
    </row>
    <row r="1523" spans="7:7">
      <c r="G1523" s="3732"/>
    </row>
    <row r="1524" spans="7:7">
      <c r="G1524" s="3732"/>
    </row>
    <row r="1525" spans="7:7">
      <c r="G1525" s="3732"/>
    </row>
    <row r="1526" spans="7:7">
      <c r="G1526" s="3732"/>
    </row>
    <row r="1527" spans="7:7">
      <c r="G1527" s="3732"/>
    </row>
    <row r="1528" spans="7:7">
      <c r="G1528" s="3732"/>
    </row>
    <row r="1529" spans="7:7">
      <c r="G1529" s="3732"/>
    </row>
    <row r="1530" spans="7:7">
      <c r="G1530" s="3732"/>
    </row>
    <row r="1531" spans="7:7">
      <c r="G1531" s="3732"/>
    </row>
    <row r="1532" spans="7:7">
      <c r="G1532" s="3732"/>
    </row>
    <row r="1533" spans="7:7">
      <c r="G1533" s="3732"/>
    </row>
    <row r="1534" spans="7:7">
      <c r="G1534" s="3732"/>
    </row>
    <row r="1535" spans="7:7">
      <c r="G1535" s="3732"/>
    </row>
    <row r="1536" spans="7:7">
      <c r="G1536" s="3732"/>
    </row>
    <row r="1537" spans="7:7">
      <c r="G1537" s="3732"/>
    </row>
    <row r="1538" spans="7:7">
      <c r="G1538" s="3732"/>
    </row>
    <row r="1539" spans="7:7">
      <c r="G1539" s="3732"/>
    </row>
    <row r="1540" spans="7:7">
      <c r="G1540" s="3732"/>
    </row>
    <row r="1541" spans="7:7">
      <c r="G1541" s="3732"/>
    </row>
    <row r="1542" spans="7:7">
      <c r="G1542" s="3732"/>
    </row>
    <row r="1543" spans="7:7">
      <c r="G1543" s="3732"/>
    </row>
    <row r="1544" spans="7:7">
      <c r="G1544" s="3732"/>
    </row>
    <row r="1545" spans="7:7">
      <c r="G1545" s="3732"/>
    </row>
    <row r="1546" spans="7:7">
      <c r="G1546" s="3732"/>
    </row>
    <row r="1547" spans="7:7">
      <c r="G1547" s="3732"/>
    </row>
    <row r="1548" spans="7:7">
      <c r="G1548" s="3732"/>
    </row>
    <row r="1549" spans="7:7">
      <c r="G1549" s="3732"/>
    </row>
    <row r="1550" spans="7:7">
      <c r="G1550" s="3732"/>
    </row>
    <row r="1551" spans="7:7">
      <c r="G1551" s="3732"/>
    </row>
    <row r="1552" spans="7:7">
      <c r="G1552" s="3732"/>
    </row>
    <row r="1553" spans="7:7">
      <c r="G1553" s="3732"/>
    </row>
    <row r="1554" spans="7:7">
      <c r="G1554" s="3732"/>
    </row>
    <row r="1555" spans="7:7">
      <c r="G1555" s="3732"/>
    </row>
    <row r="1556" spans="7:7">
      <c r="G1556" s="3732"/>
    </row>
    <row r="1557" spans="7:7">
      <c r="G1557" s="3732"/>
    </row>
    <row r="1558" spans="7:7">
      <c r="G1558" s="3732"/>
    </row>
    <row r="1559" spans="7:7">
      <c r="G1559" s="3732"/>
    </row>
    <row r="1560" spans="7:7">
      <c r="G1560" s="3732"/>
    </row>
    <row r="1561" spans="7:7">
      <c r="G1561" s="3732"/>
    </row>
    <row r="1562" spans="7:7">
      <c r="G1562" s="3732"/>
    </row>
    <row r="1563" spans="7:7">
      <c r="G1563" s="3732"/>
    </row>
    <row r="1564" spans="7:7">
      <c r="G1564" s="3732"/>
    </row>
    <row r="1565" spans="7:7">
      <c r="G1565" s="3732"/>
    </row>
    <row r="1566" spans="7:7">
      <c r="G1566" s="3732"/>
    </row>
    <row r="1567" spans="7:7">
      <c r="G1567" s="3732"/>
    </row>
    <row r="1568" spans="7:7">
      <c r="G1568" s="3732"/>
    </row>
    <row r="1569" spans="7:7">
      <c r="G1569" s="3732"/>
    </row>
    <row r="1570" spans="7:7">
      <c r="G1570" s="3732"/>
    </row>
    <row r="1571" spans="7:7">
      <c r="G1571" s="3732"/>
    </row>
    <row r="1572" spans="7:7">
      <c r="G1572" s="3732"/>
    </row>
    <row r="1573" spans="7:7">
      <c r="G1573" s="3732"/>
    </row>
    <row r="1574" spans="7:7">
      <c r="G1574" s="3732"/>
    </row>
    <row r="1575" spans="7:7">
      <c r="G1575" s="3732"/>
    </row>
    <row r="1576" spans="7:7">
      <c r="G1576" s="3732"/>
    </row>
    <row r="1577" spans="7:7">
      <c r="G1577" s="3732"/>
    </row>
    <row r="1578" spans="7:7">
      <c r="G1578" s="3732"/>
    </row>
    <row r="1579" spans="7:7">
      <c r="G1579" s="3732"/>
    </row>
    <row r="1580" spans="7:7">
      <c r="G1580" s="3732"/>
    </row>
    <row r="1581" spans="7:7">
      <c r="G1581" s="3732"/>
    </row>
    <row r="1582" spans="7:7">
      <c r="G1582" s="3732"/>
    </row>
    <row r="1583" spans="7:7">
      <c r="G1583" s="3732"/>
    </row>
    <row r="1584" spans="7:7">
      <c r="G1584" s="3732"/>
    </row>
    <row r="1585" spans="7:7">
      <c r="G1585" s="3732"/>
    </row>
    <row r="1586" spans="7:7">
      <c r="G1586" s="3732"/>
    </row>
    <row r="1587" spans="7:7">
      <c r="G1587" s="3732"/>
    </row>
    <row r="1588" spans="7:7">
      <c r="G1588" s="3732"/>
    </row>
    <row r="1589" spans="7:7">
      <c r="G1589" s="3732"/>
    </row>
    <row r="1590" spans="7:7">
      <c r="G1590" s="3732"/>
    </row>
    <row r="1591" spans="7:7">
      <c r="G1591" s="3732"/>
    </row>
    <row r="1592" spans="7:7">
      <c r="G1592" s="3732"/>
    </row>
    <row r="1593" spans="7:7">
      <c r="G1593" s="3732"/>
    </row>
    <row r="1594" spans="7:7">
      <c r="G1594" s="3732"/>
    </row>
    <row r="1595" spans="7:7">
      <c r="G1595" s="3732"/>
    </row>
    <row r="1596" spans="7:7">
      <c r="G1596" s="3732"/>
    </row>
    <row r="1597" spans="7:7">
      <c r="G1597" s="3732"/>
    </row>
    <row r="1598" spans="7:7">
      <c r="G1598" s="3732"/>
    </row>
    <row r="1599" spans="7:7">
      <c r="G1599" s="3732"/>
    </row>
    <row r="1600" spans="7:7">
      <c r="G1600" s="3732"/>
    </row>
    <row r="1601" spans="7:7">
      <c r="G1601" s="3732"/>
    </row>
    <row r="1602" spans="7:7">
      <c r="G1602" s="3732"/>
    </row>
    <row r="1603" spans="7:7">
      <c r="G1603" s="3732"/>
    </row>
    <row r="1604" spans="7:7">
      <c r="G1604" s="3732"/>
    </row>
    <row r="1605" spans="7:7">
      <c r="G1605" s="3732"/>
    </row>
    <row r="1606" spans="7:7">
      <c r="G1606" s="3732"/>
    </row>
    <row r="1607" spans="7:7">
      <c r="G1607" s="3732"/>
    </row>
    <row r="1608" spans="7:7">
      <c r="G1608" s="3732"/>
    </row>
    <row r="1609" spans="7:7">
      <c r="G1609" s="3732"/>
    </row>
    <row r="1610" spans="7:7">
      <c r="G1610" s="3732"/>
    </row>
    <row r="1611" spans="7:7">
      <c r="G1611" s="3732"/>
    </row>
    <row r="1612" spans="7:7">
      <c r="G1612" s="3732"/>
    </row>
    <row r="1613" spans="7:7">
      <c r="G1613" s="3732"/>
    </row>
    <row r="1614" spans="7:7">
      <c r="G1614" s="3732"/>
    </row>
    <row r="1615" spans="7:7">
      <c r="G1615" s="3732"/>
    </row>
    <row r="1616" spans="7:7">
      <c r="G1616" s="3732"/>
    </row>
    <row r="1617" spans="7:7">
      <c r="G1617" s="3732"/>
    </row>
    <row r="1618" spans="7:7">
      <c r="G1618" s="3732"/>
    </row>
    <row r="1619" spans="7:7">
      <c r="G1619" s="3732"/>
    </row>
    <row r="1620" spans="7:7">
      <c r="G1620" s="3732"/>
    </row>
    <row r="1621" spans="7:7">
      <c r="G1621" s="3732"/>
    </row>
    <row r="1622" spans="7:7">
      <c r="G1622" s="3732"/>
    </row>
    <row r="1623" spans="7:7">
      <c r="G1623" s="3732"/>
    </row>
    <row r="1624" spans="7:7">
      <c r="G1624" s="3732"/>
    </row>
    <row r="1625" spans="7:7">
      <c r="G1625" s="3732"/>
    </row>
    <row r="1626" spans="7:7">
      <c r="G1626" s="3732"/>
    </row>
    <row r="1627" spans="7:7">
      <c r="G1627" s="3732"/>
    </row>
    <row r="1628" spans="7:7">
      <c r="G1628" s="3732"/>
    </row>
    <row r="1629" spans="7:7">
      <c r="G1629" s="3732"/>
    </row>
    <row r="1630" spans="7:7">
      <c r="G1630" s="3732"/>
    </row>
    <row r="1631" spans="7:7">
      <c r="G1631" s="3732"/>
    </row>
    <row r="1632" spans="7:7">
      <c r="G1632" s="3732"/>
    </row>
    <row r="1633" spans="7:7">
      <c r="G1633" s="3732"/>
    </row>
    <row r="1634" spans="7:7">
      <c r="G1634" s="3732"/>
    </row>
    <row r="1635" spans="7:7">
      <c r="G1635" s="3732"/>
    </row>
    <row r="1636" spans="7:7">
      <c r="G1636" s="3732"/>
    </row>
    <row r="1637" spans="7:7">
      <c r="G1637" s="3732"/>
    </row>
    <row r="1638" spans="7:7">
      <c r="G1638" s="3732"/>
    </row>
    <row r="1639" spans="7:7">
      <c r="G1639" s="3732"/>
    </row>
    <row r="1640" spans="7:7">
      <c r="G1640" s="3732"/>
    </row>
    <row r="1641" spans="7:7">
      <c r="G1641" s="3732"/>
    </row>
    <row r="1642" spans="7:7">
      <c r="G1642" s="3732"/>
    </row>
    <row r="1643" spans="7:7">
      <c r="G1643" s="3732"/>
    </row>
    <row r="1644" spans="7:7">
      <c r="G1644" s="3732"/>
    </row>
    <row r="1645" spans="7:7">
      <c r="G1645" s="3732"/>
    </row>
    <row r="1646" spans="7:7">
      <c r="G1646" s="3732"/>
    </row>
    <row r="1647" spans="7:7">
      <c r="G1647" s="3732"/>
    </row>
    <row r="1648" spans="7:7">
      <c r="G1648" s="3732"/>
    </row>
    <row r="1649" spans="7:7">
      <c r="G1649" s="3732"/>
    </row>
    <row r="1650" spans="7:7">
      <c r="G1650" s="3732"/>
    </row>
    <row r="1651" spans="7:7">
      <c r="G1651" s="3732"/>
    </row>
    <row r="1652" spans="7:7">
      <c r="G1652" s="3732"/>
    </row>
    <row r="1653" spans="7:7">
      <c r="G1653" s="3732"/>
    </row>
    <row r="1654" spans="7:7">
      <c r="G1654" s="3732"/>
    </row>
    <row r="1655" spans="7:7">
      <c r="G1655" s="3732"/>
    </row>
    <row r="1656" spans="7:7">
      <c r="G1656" s="3732"/>
    </row>
    <row r="1657" spans="7:7">
      <c r="G1657" s="3732"/>
    </row>
    <row r="1658" spans="7:7">
      <c r="G1658" s="3732"/>
    </row>
    <row r="1659" spans="7:7">
      <c r="G1659" s="3732"/>
    </row>
    <row r="1660" spans="7:7">
      <c r="G1660" s="3732"/>
    </row>
    <row r="1661" spans="7:7">
      <c r="G1661" s="3732"/>
    </row>
    <row r="1662" spans="7:7">
      <c r="G1662" s="3732"/>
    </row>
    <row r="1663" spans="7:7">
      <c r="G1663" s="3732"/>
    </row>
    <row r="1664" spans="7:7">
      <c r="G1664" s="3732"/>
    </row>
    <row r="1665" spans="7:7">
      <c r="G1665" s="3732"/>
    </row>
    <row r="1666" spans="7:7">
      <c r="G1666" s="3732"/>
    </row>
    <row r="1667" spans="7:7">
      <c r="G1667" s="3732"/>
    </row>
    <row r="1668" spans="7:7">
      <c r="G1668" s="3732"/>
    </row>
    <row r="1669" spans="7:7">
      <c r="G1669" s="3732"/>
    </row>
    <row r="1670" spans="7:7">
      <c r="G1670" s="3732"/>
    </row>
    <row r="1671" spans="7:7">
      <c r="G1671" s="3732"/>
    </row>
    <row r="1672" spans="7:7">
      <c r="G1672" s="3732"/>
    </row>
    <row r="1673" spans="7:7">
      <c r="G1673" s="3732"/>
    </row>
    <row r="1674" spans="7:7">
      <c r="G1674" s="3732"/>
    </row>
    <row r="1675" spans="7:7">
      <c r="G1675" s="3732"/>
    </row>
    <row r="1676" spans="7:7">
      <c r="G1676" s="3732"/>
    </row>
    <row r="1677" spans="7:7">
      <c r="G1677" s="3732"/>
    </row>
    <row r="1678" spans="7:7">
      <c r="G1678" s="3732"/>
    </row>
    <row r="1679" spans="7:7">
      <c r="G1679" s="3732"/>
    </row>
    <row r="1680" spans="7:7">
      <c r="G1680" s="3732"/>
    </row>
    <row r="1681" spans="7:7">
      <c r="G1681" s="3732"/>
    </row>
    <row r="1682" spans="7:7">
      <c r="G1682" s="3732"/>
    </row>
    <row r="1683" spans="7:7">
      <c r="G1683" s="3732"/>
    </row>
    <row r="1684" spans="7:7">
      <c r="G1684" s="3732"/>
    </row>
    <row r="1685" spans="7:7">
      <c r="G1685" s="3732"/>
    </row>
    <row r="1686" spans="7:7">
      <c r="G1686" s="3732"/>
    </row>
    <row r="1687" spans="7:7">
      <c r="G1687" s="3732"/>
    </row>
    <row r="1688" spans="7:7">
      <c r="G1688" s="3732"/>
    </row>
    <row r="1689" spans="7:7">
      <c r="G1689" s="3732"/>
    </row>
    <row r="1690" spans="7:7">
      <c r="G1690" s="3732"/>
    </row>
    <row r="1691" spans="7:7">
      <c r="G1691" s="3732"/>
    </row>
    <row r="1692" spans="7:7">
      <c r="G1692" s="3732"/>
    </row>
    <row r="1693" spans="7:7">
      <c r="G1693" s="3732"/>
    </row>
    <row r="1694" spans="7:7">
      <c r="G1694" s="3732"/>
    </row>
    <row r="1695" spans="7:7">
      <c r="G1695" s="3732"/>
    </row>
    <row r="1696" spans="7:7">
      <c r="G1696" s="3732"/>
    </row>
    <row r="1697" spans="7:7">
      <c r="G1697" s="3732"/>
    </row>
    <row r="1698" spans="7:7">
      <c r="G1698" s="3732"/>
    </row>
    <row r="1699" spans="7:7">
      <c r="G1699" s="3732"/>
    </row>
    <row r="1700" spans="7:7">
      <c r="G1700" s="3732"/>
    </row>
    <row r="1701" spans="7:7">
      <c r="G1701" s="3732"/>
    </row>
    <row r="1702" spans="7:7">
      <c r="G1702" s="3732"/>
    </row>
    <row r="1703" spans="7:7">
      <c r="G1703" s="3732"/>
    </row>
    <row r="1704" spans="7:7">
      <c r="G1704" s="3732"/>
    </row>
    <row r="1705" spans="7:7">
      <c r="G1705" s="3732"/>
    </row>
    <row r="1706" spans="7:7">
      <c r="G1706" s="3732"/>
    </row>
    <row r="1707" spans="7:7">
      <c r="G1707" s="3732"/>
    </row>
    <row r="1708" spans="7:7">
      <c r="G1708" s="3732"/>
    </row>
    <row r="1709" spans="7:7">
      <c r="G1709" s="3732"/>
    </row>
    <row r="1710" spans="7:7">
      <c r="G1710" s="3732"/>
    </row>
    <row r="1711" spans="7:7">
      <c r="G1711" s="3732"/>
    </row>
    <row r="1712" spans="7:7">
      <c r="G1712" s="3732"/>
    </row>
    <row r="1713" spans="7:7">
      <c r="G1713" s="3732"/>
    </row>
    <row r="1714" spans="7:7">
      <c r="G1714" s="3732"/>
    </row>
    <row r="1715" spans="7:7">
      <c r="G1715" s="3732"/>
    </row>
    <row r="1716" spans="7:7">
      <c r="G1716" s="3732"/>
    </row>
    <row r="1717" spans="7:7">
      <c r="G1717" s="3732"/>
    </row>
    <row r="1718" spans="7:7">
      <c r="G1718" s="3732"/>
    </row>
    <row r="1719" spans="7:7">
      <c r="G1719" s="3732"/>
    </row>
    <row r="1720" spans="7:7">
      <c r="G1720" s="3732"/>
    </row>
    <row r="1721" spans="7:7">
      <c r="G1721" s="3732"/>
    </row>
    <row r="1722" spans="7:7">
      <c r="G1722" s="3732"/>
    </row>
    <row r="1723" spans="7:7">
      <c r="G1723" s="3732"/>
    </row>
    <row r="1724" spans="7:7">
      <c r="G1724" s="3732"/>
    </row>
    <row r="1725" spans="7:7">
      <c r="G1725" s="3732"/>
    </row>
    <row r="1726" spans="7:7">
      <c r="G1726" s="3732"/>
    </row>
    <row r="1727" spans="7:7">
      <c r="G1727" s="3732"/>
    </row>
    <row r="1728" spans="7:7">
      <c r="G1728" s="3732"/>
    </row>
    <row r="1729" spans="7:7">
      <c r="G1729" s="3732"/>
    </row>
    <row r="1730" spans="7:7">
      <c r="G1730" s="3732"/>
    </row>
    <row r="1731" spans="7:7">
      <c r="G1731" s="3732"/>
    </row>
    <row r="1732" spans="7:7">
      <c r="G1732" s="3732"/>
    </row>
    <row r="1733" spans="7:7">
      <c r="G1733" s="3732"/>
    </row>
    <row r="1734" spans="7:7">
      <c r="G1734" s="3732"/>
    </row>
    <row r="1735" spans="7:7">
      <c r="G1735" s="3732"/>
    </row>
    <row r="1736" spans="7:7">
      <c r="G1736" s="3732"/>
    </row>
    <row r="1737" spans="7:7">
      <c r="G1737" s="3732"/>
    </row>
    <row r="1738" spans="7:7">
      <c r="G1738" s="3732"/>
    </row>
    <row r="1739" spans="7:7">
      <c r="G1739" s="3732"/>
    </row>
    <row r="1740" spans="7:7">
      <c r="G1740" s="3732"/>
    </row>
    <row r="1741" spans="7:7">
      <c r="G1741" s="3732"/>
    </row>
    <row r="1742" spans="7:7">
      <c r="G1742" s="3732"/>
    </row>
    <row r="1743" spans="7:7">
      <c r="G1743" s="3732"/>
    </row>
    <row r="1744" spans="7:7">
      <c r="G1744" s="3732"/>
    </row>
    <row r="1745" spans="7:7">
      <c r="G1745" s="3732"/>
    </row>
    <row r="1746" spans="7:7">
      <c r="G1746" s="3732"/>
    </row>
    <row r="1747" spans="7:7">
      <c r="G1747" s="3732"/>
    </row>
    <row r="1748" spans="7:7">
      <c r="G1748" s="3732"/>
    </row>
    <row r="1749" spans="7:7">
      <c r="G1749" s="3732"/>
    </row>
    <row r="1750" spans="7:7">
      <c r="G1750" s="3732"/>
    </row>
    <row r="1751" spans="7:7">
      <c r="G1751" s="3732"/>
    </row>
    <row r="1752" spans="7:7">
      <c r="G1752" s="3732"/>
    </row>
    <row r="1753" spans="7:7">
      <c r="G1753" s="3732"/>
    </row>
    <row r="1754" spans="7:7">
      <c r="G1754" s="3732"/>
    </row>
    <row r="1755" spans="7:7">
      <c r="G1755" s="3732"/>
    </row>
    <row r="1756" spans="7:7">
      <c r="G1756" s="3732"/>
    </row>
    <row r="1757" spans="7:7">
      <c r="G1757" s="3732"/>
    </row>
    <row r="1758" spans="7:7">
      <c r="G1758" s="3732"/>
    </row>
    <row r="1759" spans="7:7">
      <c r="G1759" s="3732"/>
    </row>
    <row r="1760" spans="7:7">
      <c r="G1760" s="3732"/>
    </row>
    <row r="1761" spans="7:7">
      <c r="G1761" s="3732"/>
    </row>
    <row r="1762" spans="7:7">
      <c r="G1762" s="3732"/>
    </row>
    <row r="1763" spans="7:7">
      <c r="G1763" s="3732"/>
    </row>
    <row r="1764" spans="7:7">
      <c r="G1764" s="3732"/>
    </row>
    <row r="1765" spans="7:7">
      <c r="G1765" s="3732"/>
    </row>
    <row r="1766" spans="7:7">
      <c r="G1766" s="3732"/>
    </row>
    <row r="1767" spans="7:7">
      <c r="G1767" s="3732"/>
    </row>
    <row r="1768" spans="7:7">
      <c r="G1768" s="3732"/>
    </row>
    <row r="1769" spans="7:7">
      <c r="G1769" s="3732"/>
    </row>
    <row r="1770" spans="7:7">
      <c r="G1770" s="3732"/>
    </row>
    <row r="1771" spans="7:7">
      <c r="G1771" s="3732"/>
    </row>
    <row r="1772" spans="7:7">
      <c r="G1772" s="3732"/>
    </row>
    <row r="1773" spans="7:7">
      <c r="G1773" s="3732"/>
    </row>
    <row r="1774" spans="7:7">
      <c r="G1774" s="3732"/>
    </row>
    <row r="1775" spans="7:7">
      <c r="G1775" s="3732"/>
    </row>
    <row r="1776" spans="7:7">
      <c r="G1776" s="3732"/>
    </row>
    <row r="1777" spans="7:7">
      <c r="G1777" s="3732"/>
    </row>
    <row r="1778" spans="7:7">
      <c r="G1778" s="3732"/>
    </row>
    <row r="1779" spans="7:7">
      <c r="G1779" s="3732"/>
    </row>
    <row r="1780" spans="7:7">
      <c r="G1780" s="3732"/>
    </row>
    <row r="1781" spans="7:7">
      <c r="G1781" s="3732"/>
    </row>
    <row r="1782" spans="7:7">
      <c r="G1782" s="3732"/>
    </row>
    <row r="1783" spans="7:7">
      <c r="G1783" s="3732"/>
    </row>
    <row r="1784" spans="7:7">
      <c r="G1784" s="3732"/>
    </row>
    <row r="1785" spans="7:7">
      <c r="G1785" s="3732"/>
    </row>
    <row r="1786" spans="7:7">
      <c r="G1786" s="3732"/>
    </row>
    <row r="1787" spans="7:7">
      <c r="G1787" s="3732"/>
    </row>
    <row r="1788" spans="7:7">
      <c r="G1788" s="3732"/>
    </row>
    <row r="1789" spans="7:7">
      <c r="G1789" s="3732"/>
    </row>
    <row r="1790" spans="7:7">
      <c r="G1790" s="3732"/>
    </row>
    <row r="1791" spans="7:7">
      <c r="G1791" s="3732"/>
    </row>
    <row r="1792" spans="7:7">
      <c r="G1792" s="3732"/>
    </row>
    <row r="1793" spans="7:7">
      <c r="G1793" s="3732"/>
    </row>
    <row r="1794" spans="7:7">
      <c r="G1794" s="3732"/>
    </row>
    <row r="1795" spans="7:7">
      <c r="G1795" s="3732"/>
    </row>
    <row r="1796" spans="7:7">
      <c r="G1796" s="3732"/>
    </row>
    <row r="1797" spans="7:7">
      <c r="G1797" s="3732"/>
    </row>
    <row r="1798" spans="7:7">
      <c r="G1798" s="3732"/>
    </row>
    <row r="1799" spans="7:7">
      <c r="G1799" s="3732"/>
    </row>
    <row r="1800" spans="7:7">
      <c r="G1800" s="3732"/>
    </row>
    <row r="1801" spans="7:7">
      <c r="G1801" s="3732"/>
    </row>
    <row r="1802" spans="7:7">
      <c r="G1802" s="3732"/>
    </row>
    <row r="1803" spans="7:7">
      <c r="G1803" s="3732"/>
    </row>
    <row r="1804" spans="7:7">
      <c r="G1804" s="3732"/>
    </row>
    <row r="1805" spans="7:7">
      <c r="G1805" s="3732"/>
    </row>
    <row r="1806" spans="7:7">
      <c r="G1806" s="3732"/>
    </row>
    <row r="1807" spans="7:7">
      <c r="G1807" s="3732"/>
    </row>
    <row r="1808" spans="7:7">
      <c r="G1808" s="3732"/>
    </row>
    <row r="1809" spans="7:7">
      <c r="G1809" s="3732"/>
    </row>
    <row r="1810" spans="7:7">
      <c r="G1810" s="3732"/>
    </row>
    <row r="1811" spans="7:7">
      <c r="G1811" s="3732"/>
    </row>
    <row r="1812" spans="7:7">
      <c r="G1812" s="3732"/>
    </row>
    <row r="1813" spans="7:7">
      <c r="G1813" s="3732"/>
    </row>
    <row r="1814" spans="7:7">
      <c r="G1814" s="3732"/>
    </row>
    <row r="1815" spans="7:7">
      <c r="G1815" s="3732"/>
    </row>
    <row r="1816" spans="7:7">
      <c r="G1816" s="3732"/>
    </row>
    <row r="1817" spans="7:7">
      <c r="G1817" s="3732"/>
    </row>
    <row r="1818" spans="7:7">
      <c r="G1818" s="3732"/>
    </row>
    <row r="1819" spans="7:7">
      <c r="G1819" s="3732"/>
    </row>
    <row r="1820" spans="7:7">
      <c r="G1820" s="3732"/>
    </row>
    <row r="1821" spans="7:7">
      <c r="G1821" s="3732"/>
    </row>
    <row r="1822" spans="7:7">
      <c r="G1822" s="3732"/>
    </row>
    <row r="1823" spans="7:7">
      <c r="G1823" s="3732"/>
    </row>
    <row r="1824" spans="7:7">
      <c r="G1824" s="3732"/>
    </row>
    <row r="1825" spans="7:7">
      <c r="G1825" s="3732"/>
    </row>
    <row r="1826" spans="7:7">
      <c r="G1826" s="3732"/>
    </row>
    <row r="1827" spans="7:7">
      <c r="G1827" s="3732"/>
    </row>
    <row r="1828" spans="7:7">
      <c r="G1828" s="3732"/>
    </row>
    <row r="1829" spans="7:7">
      <c r="G1829" s="3732"/>
    </row>
    <row r="1830" spans="7:7">
      <c r="G1830" s="3732"/>
    </row>
    <row r="1831" spans="7:7">
      <c r="G1831" s="3732"/>
    </row>
    <row r="1832" spans="7:7">
      <c r="G1832" s="3732"/>
    </row>
    <row r="1833" spans="7:7">
      <c r="G1833" s="3732"/>
    </row>
    <row r="1834" spans="7:7">
      <c r="G1834" s="3732"/>
    </row>
    <row r="1835" spans="7:7">
      <c r="G1835" s="3732"/>
    </row>
    <row r="1836" spans="7:7">
      <c r="G1836" s="3732"/>
    </row>
    <row r="1837" spans="7:7">
      <c r="G1837" s="3732"/>
    </row>
    <row r="1838" spans="7:7">
      <c r="G1838" s="3732"/>
    </row>
    <row r="1839" spans="7:7">
      <c r="G1839" s="3732"/>
    </row>
    <row r="1840" spans="7:7">
      <c r="G1840" s="3732"/>
    </row>
    <row r="1841" spans="7:7">
      <c r="G1841" s="3732"/>
    </row>
    <row r="1842" spans="7:7">
      <c r="G1842" s="3732"/>
    </row>
    <row r="1843" spans="7:7">
      <c r="G1843" s="3732"/>
    </row>
    <row r="1844" spans="7:7">
      <c r="G1844" s="3732"/>
    </row>
    <row r="1845" spans="7:7">
      <c r="G1845" s="3732"/>
    </row>
    <row r="1846" spans="7:7">
      <c r="G1846" s="3732"/>
    </row>
    <row r="1847" spans="7:7">
      <c r="G1847" s="3732"/>
    </row>
    <row r="1848" spans="7:7">
      <c r="G1848" s="3732"/>
    </row>
    <row r="1849" spans="7:7">
      <c r="G1849" s="3732"/>
    </row>
    <row r="1850" spans="7:7">
      <c r="G1850" s="3732"/>
    </row>
    <row r="1851" spans="7:7">
      <c r="G1851" s="3732"/>
    </row>
    <row r="1852" spans="7:7">
      <c r="G1852" s="3732"/>
    </row>
    <row r="1853" spans="7:7">
      <c r="G1853" s="3732"/>
    </row>
    <row r="1854" spans="7:7">
      <c r="G1854" s="3732"/>
    </row>
    <row r="1855" spans="7:7">
      <c r="G1855" s="3732"/>
    </row>
    <row r="1856" spans="7:7">
      <c r="G1856" s="3732"/>
    </row>
    <row r="1857" spans="7:7">
      <c r="G1857" s="3732"/>
    </row>
    <row r="1858" spans="7:7">
      <c r="G1858" s="3732"/>
    </row>
    <row r="1859" spans="7:7">
      <c r="G1859" s="3732"/>
    </row>
    <row r="1860" spans="7:7">
      <c r="G1860" s="3732"/>
    </row>
    <row r="1861" spans="7:7">
      <c r="G1861" s="3732"/>
    </row>
    <row r="1862" spans="7:7">
      <c r="G1862" s="3732"/>
    </row>
    <row r="1863" spans="7:7">
      <c r="G1863" s="3732"/>
    </row>
    <row r="1864" spans="7:7">
      <c r="G1864" s="3732"/>
    </row>
    <row r="1865" spans="7:7">
      <c r="G1865" s="3732"/>
    </row>
    <row r="1866" spans="7:7">
      <c r="G1866" s="3732"/>
    </row>
    <row r="1867" spans="7:7">
      <c r="G1867" s="3732"/>
    </row>
    <row r="1868" spans="7:7">
      <c r="G1868" s="3732"/>
    </row>
    <row r="1869" spans="7:7">
      <c r="G1869" s="3732"/>
    </row>
    <row r="1870" spans="7:7">
      <c r="G1870" s="3732"/>
    </row>
    <row r="1871" spans="7:7">
      <c r="G1871" s="3732"/>
    </row>
    <row r="1872" spans="7:7">
      <c r="G1872" s="3732"/>
    </row>
    <row r="1873" spans="7:7">
      <c r="G1873" s="3732"/>
    </row>
    <row r="1874" spans="7:7">
      <c r="G1874" s="3732"/>
    </row>
    <row r="1875" spans="7:7">
      <c r="G1875" s="3732"/>
    </row>
    <row r="1876" spans="7:7">
      <c r="G1876" s="3732"/>
    </row>
    <row r="1877" spans="7:7">
      <c r="G1877" s="3732"/>
    </row>
    <row r="1878" spans="7:7">
      <c r="G1878" s="3732"/>
    </row>
    <row r="1879" spans="7:7">
      <c r="G1879" s="3732"/>
    </row>
    <row r="1880" spans="7:7">
      <c r="G1880" s="3732"/>
    </row>
    <row r="1881" spans="7:7">
      <c r="G1881" s="3732"/>
    </row>
    <row r="1882" spans="7:7">
      <c r="G1882" s="3732"/>
    </row>
    <row r="1883" spans="7:7">
      <c r="G1883" s="3732"/>
    </row>
    <row r="1884" spans="7:7">
      <c r="G1884" s="3732"/>
    </row>
    <row r="1885" spans="7:7">
      <c r="G1885" s="3732"/>
    </row>
    <row r="1886" spans="7:7">
      <c r="G1886" s="3732"/>
    </row>
    <row r="1887" spans="7:7">
      <c r="G1887" s="3732"/>
    </row>
    <row r="1888" spans="7:7">
      <c r="G1888" s="3732"/>
    </row>
    <row r="1889" spans="7:7">
      <c r="G1889" s="3732"/>
    </row>
    <row r="1890" spans="7:7">
      <c r="G1890" s="3732"/>
    </row>
    <row r="1891" spans="7:7">
      <c r="G1891" s="3732"/>
    </row>
    <row r="1892" spans="7:7">
      <c r="G1892" s="3732"/>
    </row>
    <row r="1893" spans="7:7">
      <c r="G1893" s="3732"/>
    </row>
    <row r="1894" spans="7:7">
      <c r="G1894" s="3732"/>
    </row>
    <row r="1895" spans="7:7">
      <c r="G1895" s="3732"/>
    </row>
    <row r="1896" spans="7:7">
      <c r="G1896" s="3732"/>
    </row>
    <row r="1897" spans="7:7">
      <c r="G1897" s="3732"/>
    </row>
    <row r="1898" spans="7:7">
      <c r="G1898" s="3732"/>
    </row>
    <row r="1899" spans="7:7">
      <c r="G1899" s="3732"/>
    </row>
    <row r="1900" spans="7:7">
      <c r="G1900" s="3732"/>
    </row>
    <row r="1901" spans="7:7">
      <c r="G1901" s="3732"/>
    </row>
    <row r="1902" spans="7:7">
      <c r="G1902" s="3732"/>
    </row>
    <row r="1903" spans="7:7">
      <c r="G1903" s="3732"/>
    </row>
    <row r="1904" spans="7:7">
      <c r="G1904" s="3732"/>
    </row>
    <row r="1905" spans="7:7">
      <c r="G1905" s="3732"/>
    </row>
    <row r="1906" spans="7:7">
      <c r="G1906" s="3732"/>
    </row>
    <row r="1907" spans="7:7">
      <c r="G1907" s="3732"/>
    </row>
    <row r="1908" spans="7:7">
      <c r="G1908" s="3732"/>
    </row>
    <row r="1909" spans="7:7">
      <c r="G1909" s="3732"/>
    </row>
    <row r="1910" spans="7:7">
      <c r="G1910" s="3732"/>
    </row>
    <row r="1911" spans="7:7">
      <c r="G1911" s="3732"/>
    </row>
    <row r="1912" spans="7:7">
      <c r="G1912" s="3732"/>
    </row>
    <row r="1913" spans="7:7">
      <c r="G1913" s="3732"/>
    </row>
    <row r="1914" spans="7:7">
      <c r="G1914" s="3732"/>
    </row>
    <row r="1915" spans="7:7">
      <c r="G1915" s="3732"/>
    </row>
    <row r="1916" spans="7:7">
      <c r="G1916" s="3732"/>
    </row>
    <row r="1917" spans="7:7">
      <c r="G1917" s="3732"/>
    </row>
    <row r="1918" spans="7:7">
      <c r="G1918" s="3732"/>
    </row>
    <row r="1919" spans="7:7">
      <c r="G1919" s="3732"/>
    </row>
    <row r="1920" spans="7:7">
      <c r="G1920" s="3732"/>
    </row>
    <row r="1921" spans="7:7">
      <c r="G1921" s="3732"/>
    </row>
    <row r="1922" spans="7:7">
      <c r="G1922" s="3732"/>
    </row>
    <row r="1923" spans="7:7">
      <c r="G1923" s="3732"/>
    </row>
    <row r="1924" spans="7:7">
      <c r="G1924" s="3732"/>
    </row>
    <row r="1925" spans="7:7">
      <c r="G1925" s="3732"/>
    </row>
    <row r="1926" spans="7:7">
      <c r="G1926" s="3732"/>
    </row>
    <row r="1927" spans="7:7">
      <c r="G1927" s="3732"/>
    </row>
    <row r="1928" spans="7:7">
      <c r="G1928" s="3732"/>
    </row>
    <row r="1929" spans="7:7">
      <c r="G1929" s="3732"/>
    </row>
    <row r="1930" spans="7:7">
      <c r="G1930" s="3732"/>
    </row>
    <row r="1931" spans="7:7">
      <c r="G1931" s="3732"/>
    </row>
    <row r="1932" spans="7:7">
      <c r="G1932" s="3732"/>
    </row>
    <row r="1933" spans="7:7">
      <c r="G1933" s="3732"/>
    </row>
    <row r="1934" spans="7:7">
      <c r="G1934" s="3732"/>
    </row>
    <row r="1935" spans="7:7">
      <c r="G1935" s="3732"/>
    </row>
    <row r="1936" spans="7:7">
      <c r="G1936" s="3732"/>
    </row>
    <row r="1937" spans="7:7">
      <c r="G1937" s="3732"/>
    </row>
    <row r="1938" spans="7:7">
      <c r="G1938" s="3732"/>
    </row>
    <row r="1939" spans="7:7">
      <c r="G1939" s="3732"/>
    </row>
    <row r="1940" spans="7:7">
      <c r="G1940" s="3732"/>
    </row>
    <row r="1941" spans="7:7">
      <c r="G1941" s="3732"/>
    </row>
    <row r="1942" spans="7:7">
      <c r="G1942" s="3732"/>
    </row>
    <row r="1943" spans="7:7">
      <c r="G1943" s="3732"/>
    </row>
    <row r="1944" spans="7:7">
      <c r="G1944" s="3732"/>
    </row>
    <row r="1945" spans="7:7">
      <c r="G1945" s="3732"/>
    </row>
    <row r="1946" spans="7:7">
      <c r="G1946" s="3732"/>
    </row>
    <row r="1947" spans="7:7">
      <c r="G1947" s="3732"/>
    </row>
    <row r="1948" spans="7:7">
      <c r="G1948" s="3732"/>
    </row>
    <row r="1949" spans="7:7">
      <c r="G1949" s="3732"/>
    </row>
    <row r="1950" spans="7:7">
      <c r="G1950" s="3732"/>
    </row>
    <row r="1951" spans="7:7">
      <c r="G1951" s="3732"/>
    </row>
    <row r="1952" spans="7:7">
      <c r="G1952" s="3732"/>
    </row>
    <row r="1953" spans="7:7">
      <c r="G1953" s="3732"/>
    </row>
    <row r="1954" spans="7:7">
      <c r="G1954" s="3732"/>
    </row>
    <row r="1955" spans="7:7">
      <c r="G1955" s="3732"/>
    </row>
    <row r="1956" spans="7:7">
      <c r="G1956" s="3732"/>
    </row>
    <row r="1957" spans="7:7">
      <c r="G1957" s="3732"/>
    </row>
    <row r="1958" spans="7:7">
      <c r="G1958" s="3732"/>
    </row>
    <row r="1959" spans="7:7">
      <c r="G1959" s="3732"/>
    </row>
    <row r="1960" spans="7:7">
      <c r="G1960" s="3732"/>
    </row>
    <row r="1961" spans="7:7">
      <c r="G1961" s="3732"/>
    </row>
    <row r="1962" spans="7:7">
      <c r="G1962" s="3732"/>
    </row>
    <row r="1963" spans="7:7">
      <c r="G1963" s="3732"/>
    </row>
    <row r="1964" spans="7:7">
      <c r="G1964" s="3732"/>
    </row>
    <row r="1965" spans="7:7">
      <c r="G1965" s="3732"/>
    </row>
    <row r="1966" spans="7:7">
      <c r="G1966" s="3732"/>
    </row>
    <row r="1967" spans="7:7">
      <c r="G1967" s="3732"/>
    </row>
    <row r="1968" spans="7:7">
      <c r="G1968" s="3732"/>
    </row>
    <row r="1969" spans="7:7">
      <c r="G1969" s="3732"/>
    </row>
    <row r="1970" spans="7:7">
      <c r="G1970" s="3732"/>
    </row>
    <row r="1971" spans="7:7">
      <c r="G1971" s="3732"/>
    </row>
    <row r="1972" spans="7:7">
      <c r="G1972" s="3732"/>
    </row>
    <row r="1973" spans="7:7">
      <c r="G1973" s="3732"/>
    </row>
    <row r="1974" spans="7:7">
      <c r="G1974" s="3732"/>
    </row>
    <row r="1975" spans="7:7">
      <c r="G1975" s="3732"/>
    </row>
    <row r="1976" spans="7:7">
      <c r="G1976" s="3732"/>
    </row>
    <row r="1977" spans="7:7">
      <c r="G1977" s="3732"/>
    </row>
    <row r="1978" spans="7:7">
      <c r="G1978" s="3732"/>
    </row>
    <row r="1979" spans="7:7">
      <c r="G1979" s="3732"/>
    </row>
    <row r="1980" spans="7:7">
      <c r="G1980" s="3732"/>
    </row>
    <row r="1981" spans="7:7">
      <c r="G1981" s="3732"/>
    </row>
    <row r="1982" spans="7:7">
      <c r="G1982" s="3732"/>
    </row>
    <row r="1983" spans="7:7">
      <c r="G1983" s="3732"/>
    </row>
    <row r="1984" spans="7:7">
      <c r="G1984" s="3732"/>
    </row>
    <row r="1985" spans="7:7">
      <c r="G1985" s="3732"/>
    </row>
    <row r="1986" spans="7:7">
      <c r="G1986" s="3732"/>
    </row>
    <row r="1987" spans="7:7">
      <c r="G1987" s="3732"/>
    </row>
    <row r="1988" spans="7:7">
      <c r="G1988" s="3732"/>
    </row>
    <row r="1989" spans="7:7">
      <c r="G1989" s="3732"/>
    </row>
    <row r="1990" spans="7:7">
      <c r="G1990" s="3732"/>
    </row>
    <row r="1991" spans="7:7">
      <c r="G1991" s="3732"/>
    </row>
    <row r="1992" spans="7:7">
      <c r="G1992" s="3732"/>
    </row>
    <row r="1993" spans="7:7">
      <c r="G1993" s="3732"/>
    </row>
    <row r="1994" spans="7:7">
      <c r="G1994" s="3732"/>
    </row>
    <row r="1995" spans="7:7">
      <c r="G1995" s="3732"/>
    </row>
    <row r="1996" spans="7:7">
      <c r="G1996" s="3732"/>
    </row>
    <row r="1997" spans="7:7">
      <c r="G1997" s="3732"/>
    </row>
    <row r="1998" spans="7:7">
      <c r="G1998" s="3732"/>
    </row>
    <row r="1999" spans="7:7">
      <c r="G1999" s="3732"/>
    </row>
    <row r="2000" spans="7:7">
      <c r="G2000" s="3732"/>
    </row>
    <row r="2001" spans="7:7">
      <c r="G2001" s="3732"/>
    </row>
    <row r="2002" spans="7:7">
      <c r="G2002" s="3732"/>
    </row>
    <row r="2003" spans="7:7">
      <c r="G2003" s="3732"/>
    </row>
    <row r="2004" spans="7:7">
      <c r="G2004" s="3732"/>
    </row>
    <row r="2005" spans="7:7">
      <c r="G2005" s="3732"/>
    </row>
    <row r="2006" spans="7:7">
      <c r="G2006" s="3732"/>
    </row>
    <row r="2007" spans="7:7">
      <c r="G2007" s="3732"/>
    </row>
    <row r="2008" spans="7:7">
      <c r="G2008" s="3732"/>
    </row>
    <row r="2009" spans="7:7">
      <c r="G2009" s="3732"/>
    </row>
    <row r="2010" spans="7:7">
      <c r="G2010" s="3732"/>
    </row>
    <row r="2011" spans="7:7">
      <c r="G2011" s="3732"/>
    </row>
    <row r="2012" spans="7:7">
      <c r="G2012" s="3732"/>
    </row>
    <row r="2013" spans="7:7">
      <c r="G2013" s="3732"/>
    </row>
    <row r="2014" spans="7:7">
      <c r="G2014" s="3732"/>
    </row>
    <row r="2015" spans="7:7">
      <c r="G2015" s="3732"/>
    </row>
    <row r="2016" spans="7:7">
      <c r="G2016" s="3732"/>
    </row>
    <row r="2017" spans="7:7">
      <c r="G2017" s="3732"/>
    </row>
    <row r="2018" spans="7:7">
      <c r="G2018" s="3732"/>
    </row>
    <row r="2019" spans="7:7">
      <c r="G2019" s="3732"/>
    </row>
    <row r="2020" spans="7:7">
      <c r="G2020" s="3732"/>
    </row>
    <row r="2021" spans="7:7">
      <c r="G2021" s="3732"/>
    </row>
    <row r="2022" spans="7:7">
      <c r="G2022" s="3732"/>
    </row>
    <row r="2023" spans="7:7">
      <c r="G2023" s="3732"/>
    </row>
    <row r="2024" spans="7:7">
      <c r="G2024" s="3732"/>
    </row>
    <row r="2025" spans="7:7">
      <c r="G2025" s="3732"/>
    </row>
    <row r="2026" spans="7:7">
      <c r="G2026" s="3732"/>
    </row>
    <row r="2027" spans="7:7">
      <c r="G2027" s="3732"/>
    </row>
    <row r="2028" spans="7:7">
      <c r="G2028" s="3732"/>
    </row>
    <row r="2029" spans="7:7">
      <c r="G2029" s="3732"/>
    </row>
    <row r="2030" spans="7:7">
      <c r="G2030" s="3732"/>
    </row>
    <row r="2031" spans="7:7">
      <c r="G2031" s="3732"/>
    </row>
    <row r="2032" spans="7:7">
      <c r="G2032" s="3732"/>
    </row>
    <row r="2033" spans="7:7">
      <c r="G2033" s="3732"/>
    </row>
    <row r="2034" spans="7:7">
      <c r="G2034" s="3732"/>
    </row>
    <row r="2035" spans="7:7">
      <c r="G2035" s="3732"/>
    </row>
    <row r="2036" spans="7:7">
      <c r="G2036" s="3732"/>
    </row>
    <row r="2037" spans="7:7">
      <c r="G2037" s="3732"/>
    </row>
    <row r="2038" spans="7:7">
      <c r="G2038" s="3732"/>
    </row>
    <row r="2039" spans="7:7">
      <c r="G2039" s="3732"/>
    </row>
    <row r="2040" spans="7:7">
      <c r="G2040" s="3732"/>
    </row>
    <row r="2041" spans="7:7">
      <c r="G2041" s="3732"/>
    </row>
    <row r="2042" spans="7:7">
      <c r="G2042" s="3732"/>
    </row>
    <row r="2043" spans="7:7">
      <c r="G2043" s="3732"/>
    </row>
    <row r="2044" spans="7:7">
      <c r="G2044" s="3732"/>
    </row>
    <row r="2045" spans="7:7">
      <c r="G2045" s="3732"/>
    </row>
    <row r="2046" spans="7:7">
      <c r="G2046" s="3732"/>
    </row>
    <row r="2047" spans="7:7">
      <c r="G2047" s="3732"/>
    </row>
    <row r="2048" spans="7:7">
      <c r="G2048" s="3732"/>
    </row>
    <row r="2049" spans="7:7">
      <c r="G2049" s="3732"/>
    </row>
    <row r="2050" spans="7:7">
      <c r="G2050" s="3732"/>
    </row>
    <row r="2051" spans="7:7">
      <c r="G2051" s="3732"/>
    </row>
    <row r="2052" spans="7:7">
      <c r="G2052" s="3732"/>
    </row>
    <row r="2053" spans="7:7">
      <c r="G2053" s="3732"/>
    </row>
    <row r="2054" spans="7:7">
      <c r="G2054" s="3732"/>
    </row>
    <row r="2055" spans="7:7">
      <c r="G2055" s="3732"/>
    </row>
    <row r="2056" spans="7:7">
      <c r="G2056" s="3732"/>
    </row>
    <row r="2057" spans="7:7">
      <c r="G2057" s="3732"/>
    </row>
    <row r="2058" spans="7:7">
      <c r="G2058" s="3732"/>
    </row>
    <row r="2059" spans="7:7">
      <c r="G2059" s="3732"/>
    </row>
    <row r="2060" spans="7:7">
      <c r="G2060" s="3732"/>
    </row>
    <row r="2061" spans="7:7">
      <c r="G2061" s="3732"/>
    </row>
    <row r="2062" spans="7:7">
      <c r="G2062" s="3732"/>
    </row>
    <row r="2063" spans="7:7">
      <c r="G2063" s="3732"/>
    </row>
    <row r="2064" spans="7:7">
      <c r="G2064" s="3732"/>
    </row>
    <row r="2065" spans="7:7">
      <c r="G2065" s="3732"/>
    </row>
    <row r="2066" spans="7:7">
      <c r="G2066" s="3732"/>
    </row>
    <row r="2067" spans="7:7">
      <c r="G2067" s="3732"/>
    </row>
    <row r="2068" spans="7:7">
      <c r="G2068" s="3732"/>
    </row>
    <row r="2069" spans="7:7">
      <c r="G2069" s="3732"/>
    </row>
    <row r="2070" spans="7:7">
      <c r="G2070" s="3732"/>
    </row>
    <row r="2071" spans="7:7">
      <c r="G2071" s="3732"/>
    </row>
    <row r="2072" spans="7:7">
      <c r="G2072" s="3732"/>
    </row>
    <row r="2073" spans="7:7">
      <c r="G2073" s="3732"/>
    </row>
    <row r="2074" spans="7:7">
      <c r="G2074" s="3732"/>
    </row>
    <row r="2075" spans="7:7">
      <c r="G2075" s="3732"/>
    </row>
    <row r="2076" spans="7:7">
      <c r="G2076" s="3732"/>
    </row>
    <row r="2077" spans="7:7">
      <c r="G2077" s="3732"/>
    </row>
    <row r="2078" spans="7:7">
      <c r="G2078" s="3732"/>
    </row>
    <row r="2079" spans="7:7">
      <c r="G2079" s="3732"/>
    </row>
    <row r="2080" spans="7:7">
      <c r="G2080" s="3732"/>
    </row>
    <row r="2081" spans="7:7">
      <c r="G2081" s="3732"/>
    </row>
    <row r="2082" spans="7:7">
      <c r="G2082" s="3732"/>
    </row>
    <row r="2083" spans="7:7">
      <c r="G2083" s="3732"/>
    </row>
    <row r="2084" spans="7:7">
      <c r="G2084" s="3732"/>
    </row>
    <row r="2085" spans="7:7">
      <c r="G2085" s="3732"/>
    </row>
    <row r="2086" spans="7:7">
      <c r="G2086" s="3732"/>
    </row>
    <row r="2087" spans="7:7">
      <c r="G2087" s="3732"/>
    </row>
    <row r="2088" spans="7:7">
      <c r="G2088" s="3732"/>
    </row>
    <row r="2089" spans="7:7">
      <c r="G2089" s="3732"/>
    </row>
    <row r="2090" spans="7:7">
      <c r="G2090" s="3732"/>
    </row>
    <row r="2091" spans="7:7">
      <c r="G2091" s="3732"/>
    </row>
    <row r="2092" spans="7:7">
      <c r="G2092" s="3732"/>
    </row>
    <row r="2093" spans="7:7">
      <c r="G2093" s="3732"/>
    </row>
    <row r="2094" spans="7:7">
      <c r="G2094" s="3732"/>
    </row>
    <row r="2095" spans="7:7">
      <c r="G2095" s="3732"/>
    </row>
    <row r="2096" spans="7:7">
      <c r="G2096" s="3732"/>
    </row>
    <row r="2097" spans="7:7">
      <c r="G2097" s="3732"/>
    </row>
    <row r="2098" spans="7:7">
      <c r="G2098" s="3732"/>
    </row>
    <row r="2099" spans="7:7">
      <c r="G2099" s="3732"/>
    </row>
    <row r="2100" spans="7:7">
      <c r="G2100" s="3732"/>
    </row>
    <row r="2101" spans="7:7">
      <c r="G2101" s="3732"/>
    </row>
    <row r="2102" spans="7:7">
      <c r="G2102" s="3732"/>
    </row>
    <row r="2103" spans="7:7">
      <c r="G2103" s="3732"/>
    </row>
    <row r="2104" spans="7:7">
      <c r="G2104" s="3732"/>
    </row>
    <row r="2105" spans="7:7">
      <c r="G2105" s="3732"/>
    </row>
    <row r="2106" spans="7:7">
      <c r="G2106" s="3732"/>
    </row>
    <row r="2107" spans="7:7">
      <c r="G2107" s="3732"/>
    </row>
    <row r="2108" spans="7:7">
      <c r="G2108" s="3732"/>
    </row>
    <row r="2109" spans="7:7">
      <c r="G2109" s="3732"/>
    </row>
    <row r="2110" spans="7:7">
      <c r="G2110" s="3732"/>
    </row>
    <row r="2111" spans="7:7">
      <c r="G2111" s="3732"/>
    </row>
    <row r="2112" spans="7:7">
      <c r="G2112" s="3732"/>
    </row>
    <row r="2113" spans="7:7">
      <c r="G2113" s="3732"/>
    </row>
    <row r="2114" spans="7:7">
      <c r="G2114" s="3732"/>
    </row>
    <row r="2115" spans="7:7">
      <c r="G2115" s="3732"/>
    </row>
    <row r="2116" spans="7:7">
      <c r="G2116" s="3732"/>
    </row>
    <row r="2117" spans="7:7">
      <c r="G2117" s="3732"/>
    </row>
    <row r="2118" spans="7:7">
      <c r="G2118" s="3732"/>
    </row>
    <row r="2119" spans="7:7">
      <c r="G2119" s="3732"/>
    </row>
    <row r="2120" spans="7:7">
      <c r="G2120" s="3732"/>
    </row>
    <row r="2121" spans="7:7">
      <c r="G2121" s="3732"/>
    </row>
    <row r="2122" spans="7:7">
      <c r="G2122" s="3732"/>
    </row>
    <row r="2123" spans="7:7">
      <c r="G2123" s="3732"/>
    </row>
    <row r="2124" spans="7:7">
      <c r="G2124" s="3732"/>
    </row>
    <row r="2125" spans="7:7">
      <c r="G2125" s="3732"/>
    </row>
    <row r="2126" spans="7:7">
      <c r="G2126" s="3732"/>
    </row>
    <row r="2127" spans="7:7">
      <c r="G2127" s="3732"/>
    </row>
    <row r="2128" spans="7:7">
      <c r="G2128" s="3732"/>
    </row>
    <row r="2129" spans="7:7">
      <c r="G2129" s="3732"/>
    </row>
    <row r="2130" spans="7:7">
      <c r="G2130" s="3732"/>
    </row>
    <row r="2131" spans="7:7">
      <c r="G2131" s="3732"/>
    </row>
    <row r="2132" spans="7:7">
      <c r="G2132" s="3732"/>
    </row>
    <row r="2133" spans="7:7">
      <c r="G2133" s="3732"/>
    </row>
    <row r="2134" spans="7:7">
      <c r="G2134" s="3732"/>
    </row>
    <row r="2135" spans="7:7">
      <c r="G2135" s="3732"/>
    </row>
    <row r="2136" spans="7:7">
      <c r="G2136" s="3732"/>
    </row>
    <row r="2137" spans="7:7">
      <c r="G2137" s="3732"/>
    </row>
    <row r="2138" spans="7:7">
      <c r="G2138" s="3732"/>
    </row>
    <row r="2139" spans="7:7">
      <c r="G2139" s="3732"/>
    </row>
    <row r="2140" spans="7:7">
      <c r="G2140" s="3732"/>
    </row>
    <row r="2141" spans="7:7">
      <c r="G2141" s="3732"/>
    </row>
    <row r="2142" spans="7:7">
      <c r="G2142" s="3732"/>
    </row>
    <row r="2143" spans="7:7">
      <c r="G2143" s="3732"/>
    </row>
    <row r="2144" spans="7:7">
      <c r="G2144" s="3732"/>
    </row>
    <row r="2145" spans="7:7">
      <c r="G2145" s="3732"/>
    </row>
    <row r="2146" spans="7:7">
      <c r="G2146" s="3732"/>
    </row>
    <row r="2147" spans="7:7">
      <c r="G2147" s="3732"/>
    </row>
    <row r="2148" spans="7:7">
      <c r="G2148" s="3732"/>
    </row>
    <row r="2149" spans="7:7">
      <c r="G2149" s="3732"/>
    </row>
    <row r="2150" spans="7:7">
      <c r="G2150" s="3732"/>
    </row>
    <row r="2151" spans="7:7">
      <c r="G2151" s="3732"/>
    </row>
    <row r="2152" spans="7:7">
      <c r="G2152" s="3732"/>
    </row>
    <row r="2153" spans="7:7">
      <c r="G2153" s="3732"/>
    </row>
    <row r="2154" spans="7:7">
      <c r="G2154" s="3732"/>
    </row>
    <row r="2155" spans="7:7">
      <c r="G2155" s="3732"/>
    </row>
    <row r="2156" spans="7:7">
      <c r="G2156" s="3732"/>
    </row>
    <row r="2157" spans="7:7">
      <c r="G2157" s="3732"/>
    </row>
    <row r="2158" spans="7:7">
      <c r="G2158" s="3732"/>
    </row>
    <row r="2159" spans="7:7">
      <c r="G2159" s="3732"/>
    </row>
    <row r="2160" spans="7:7">
      <c r="G2160" s="3732"/>
    </row>
    <row r="2161" spans="7:7">
      <c r="G2161" s="3732"/>
    </row>
    <row r="2162" spans="7:7">
      <c r="G2162" s="3732"/>
    </row>
    <row r="2163" spans="7:7">
      <c r="G2163" s="3732"/>
    </row>
    <row r="2164" spans="7:7">
      <c r="G2164" s="3732"/>
    </row>
    <row r="2165" spans="7:7">
      <c r="G2165" s="3732"/>
    </row>
    <row r="2166" spans="7:7">
      <c r="G2166" s="3732"/>
    </row>
    <row r="2167" spans="7:7">
      <c r="G2167" s="3732"/>
    </row>
    <row r="2168" spans="7:7">
      <c r="G2168" s="3732"/>
    </row>
    <row r="2169" spans="7:7">
      <c r="G2169" s="3732"/>
    </row>
    <row r="2170" spans="7:7">
      <c r="G2170" s="3732"/>
    </row>
    <row r="2171" spans="7:7">
      <c r="G2171" s="3732"/>
    </row>
    <row r="2172" spans="7:7">
      <c r="G2172" s="3732"/>
    </row>
    <row r="2173" spans="7:7">
      <c r="G2173" s="3732"/>
    </row>
    <row r="2174" spans="7:7">
      <c r="G2174" s="3732"/>
    </row>
    <row r="2175" spans="7:7">
      <c r="G2175" s="3732"/>
    </row>
    <row r="2176" spans="7:7">
      <c r="G2176" s="3732"/>
    </row>
    <row r="2177" spans="7:7">
      <c r="G2177" s="3732"/>
    </row>
    <row r="2178" spans="7:7">
      <c r="G2178" s="3732"/>
    </row>
    <row r="2179" spans="7:7">
      <c r="G2179" s="3732"/>
    </row>
    <row r="2180" spans="7:7">
      <c r="G2180" s="3732"/>
    </row>
    <row r="2181" spans="7:7">
      <c r="G2181" s="3732"/>
    </row>
    <row r="2182" spans="7:7">
      <c r="G2182" s="3732"/>
    </row>
    <row r="2183" spans="7:7">
      <c r="G2183" s="3732"/>
    </row>
    <row r="2184" spans="7:7">
      <c r="G2184" s="3732"/>
    </row>
    <row r="2185" spans="7:7">
      <c r="G2185" s="3732"/>
    </row>
    <row r="2186" spans="7:7">
      <c r="G2186" s="3732"/>
    </row>
    <row r="2187" spans="7:7">
      <c r="G2187" s="3732"/>
    </row>
    <row r="2188" spans="7:7">
      <c r="G2188" s="3732"/>
    </row>
    <row r="2189" spans="7:7">
      <c r="G2189" s="3732"/>
    </row>
    <row r="2190" spans="7:7">
      <c r="G2190" s="3732"/>
    </row>
    <row r="2191" spans="7:7">
      <c r="G2191" s="3732"/>
    </row>
    <row r="2192" spans="7:7">
      <c r="G2192" s="3732"/>
    </row>
    <row r="2193" spans="7:7">
      <c r="G2193" s="3732"/>
    </row>
    <row r="2194" spans="7:7">
      <c r="G2194" s="3732"/>
    </row>
    <row r="2195" spans="7:7">
      <c r="G2195" s="3732"/>
    </row>
    <row r="2196" spans="7:7">
      <c r="G2196" s="3732"/>
    </row>
    <row r="2197" spans="7:7">
      <c r="G2197" s="3732"/>
    </row>
    <row r="2198" spans="7:7">
      <c r="G2198" s="3732"/>
    </row>
    <row r="2199" spans="7:7">
      <c r="G2199" s="3732"/>
    </row>
    <row r="2200" spans="7:7">
      <c r="G2200" s="3732"/>
    </row>
    <row r="2201" spans="7:7">
      <c r="G2201" s="3732"/>
    </row>
    <row r="2202" spans="7:7">
      <c r="G2202" s="3732"/>
    </row>
    <row r="2203" spans="7:7">
      <c r="G2203" s="3732"/>
    </row>
    <row r="2204" spans="7:7">
      <c r="G2204" s="3732"/>
    </row>
    <row r="2205" spans="7:7">
      <c r="G2205" s="3732"/>
    </row>
    <row r="2206" spans="7:7">
      <c r="G2206" s="3732"/>
    </row>
    <row r="2207" spans="7:7">
      <c r="G2207" s="3732"/>
    </row>
    <row r="2208" spans="7:7">
      <c r="G2208" s="3732"/>
    </row>
    <row r="2209" spans="7:7">
      <c r="G2209" s="3732"/>
    </row>
    <row r="2210" spans="7:7">
      <c r="G2210" s="3732"/>
    </row>
    <row r="2211" spans="7:7">
      <c r="G2211" s="3732"/>
    </row>
    <row r="2212" spans="7:7">
      <c r="G2212" s="3732"/>
    </row>
    <row r="2213" spans="7:7">
      <c r="G2213" s="3732"/>
    </row>
    <row r="2214" spans="7:7">
      <c r="G2214" s="3732"/>
    </row>
    <row r="2215" spans="7:7">
      <c r="G2215" s="3732"/>
    </row>
    <row r="2216" spans="7:7">
      <c r="G2216" s="3732"/>
    </row>
    <row r="2217" spans="7:7">
      <c r="G2217" s="3732"/>
    </row>
    <row r="2218" spans="7:7">
      <c r="G2218" s="3732"/>
    </row>
    <row r="2219" spans="7:7">
      <c r="G2219" s="3732"/>
    </row>
    <row r="2220" spans="7:7">
      <c r="G2220" s="3732"/>
    </row>
    <row r="2221" spans="7:7">
      <c r="G2221" s="3732"/>
    </row>
    <row r="2222" spans="7:7">
      <c r="G2222" s="3732"/>
    </row>
    <row r="2223" spans="7:7">
      <c r="G2223" s="3732"/>
    </row>
    <row r="2224" spans="7:7">
      <c r="G2224" s="3732"/>
    </row>
    <row r="2225" spans="7:7">
      <c r="G2225" s="3732"/>
    </row>
    <row r="2226" spans="7:7">
      <c r="G2226" s="3732"/>
    </row>
    <row r="2227" spans="7:7">
      <c r="G2227" s="3732"/>
    </row>
    <row r="2228" spans="7:7">
      <c r="G2228" s="3732"/>
    </row>
    <row r="2229" spans="7:7">
      <c r="G2229" s="3732"/>
    </row>
    <row r="2230" spans="7:7">
      <c r="G2230" s="3732"/>
    </row>
    <row r="2231" spans="7:7">
      <c r="G2231" s="3732"/>
    </row>
    <row r="2232" spans="7:7">
      <c r="G2232" s="3732"/>
    </row>
    <row r="2233" spans="7:7">
      <c r="G2233" s="3732"/>
    </row>
    <row r="2234" spans="7:7">
      <c r="G2234" s="3732"/>
    </row>
    <row r="2235" spans="7:7">
      <c r="G2235" s="3732"/>
    </row>
    <row r="2236" spans="7:7">
      <c r="G2236" s="3732"/>
    </row>
    <row r="2237" spans="7:7">
      <c r="G2237" s="3732"/>
    </row>
    <row r="2238" spans="7:7">
      <c r="G2238" s="3732"/>
    </row>
    <row r="2239" spans="7:7">
      <c r="G2239" s="3732"/>
    </row>
    <row r="2240" spans="7:7">
      <c r="G2240" s="3732"/>
    </row>
    <row r="2241" spans="7:7">
      <c r="G2241" s="3732"/>
    </row>
    <row r="2242" spans="7:7">
      <c r="G2242" s="3732"/>
    </row>
    <row r="2243" spans="7:7">
      <c r="G2243" s="3732"/>
    </row>
    <row r="2244" spans="7:7">
      <c r="G2244" s="3732"/>
    </row>
    <row r="2245" spans="7:7">
      <c r="G2245" s="3732"/>
    </row>
    <row r="2246" spans="7:7">
      <c r="G2246" s="3732"/>
    </row>
    <row r="2247" spans="7:7">
      <c r="G2247" s="3732"/>
    </row>
    <row r="2248" spans="7:7">
      <c r="G2248" s="3732"/>
    </row>
    <row r="2249" spans="7:7">
      <c r="G2249" s="3732"/>
    </row>
    <row r="2250" spans="7:7">
      <c r="G2250" s="3732"/>
    </row>
    <row r="2251" spans="7:7">
      <c r="G2251" s="3732"/>
    </row>
    <row r="2252" spans="7:7">
      <c r="G2252" s="3732"/>
    </row>
    <row r="2253" spans="7:7">
      <c r="G2253" s="3732"/>
    </row>
    <row r="2254" spans="7:7">
      <c r="G2254" s="3732"/>
    </row>
    <row r="2255" spans="7:7">
      <c r="G2255" s="3732"/>
    </row>
    <row r="2256" spans="7:7">
      <c r="G2256" s="3732"/>
    </row>
    <row r="2257" spans="7:7">
      <c r="G2257" s="3732"/>
    </row>
    <row r="2258" spans="7:7">
      <c r="G2258" s="3732"/>
    </row>
    <row r="2259" spans="7:7">
      <c r="G2259" s="3732"/>
    </row>
    <row r="2260" spans="7:7">
      <c r="G2260" s="3732"/>
    </row>
    <row r="2261" spans="7:7">
      <c r="G2261" s="3732"/>
    </row>
    <row r="2262" spans="7:7">
      <c r="G2262" s="3732"/>
    </row>
    <row r="2263" spans="7:7">
      <c r="G2263" s="3732"/>
    </row>
    <row r="2264" spans="7:7">
      <c r="G2264" s="3732"/>
    </row>
    <row r="2265" spans="7:7">
      <c r="G2265" s="3732"/>
    </row>
    <row r="2266" spans="7:7">
      <c r="G2266" s="3732"/>
    </row>
    <row r="2267" spans="7:7">
      <c r="G2267" s="3732"/>
    </row>
    <row r="2268" spans="7:7">
      <c r="G2268" s="3732"/>
    </row>
    <row r="2269" spans="7:7">
      <c r="G2269" s="3732"/>
    </row>
    <row r="2270" spans="7:7">
      <c r="G2270" s="3732"/>
    </row>
    <row r="2271" spans="7:7">
      <c r="G2271" s="3732"/>
    </row>
    <row r="2272" spans="7:7">
      <c r="G2272" s="3732"/>
    </row>
    <row r="2273" spans="7:7">
      <c r="G2273" s="3732"/>
    </row>
    <row r="2274" spans="7:7">
      <c r="G2274" s="3732"/>
    </row>
    <row r="2275" spans="7:7">
      <c r="G2275" s="3732"/>
    </row>
    <row r="2276" spans="7:7">
      <c r="G2276" s="3732"/>
    </row>
    <row r="2277" spans="7:7">
      <c r="G2277" s="3732"/>
    </row>
    <row r="2278" spans="7:7">
      <c r="G2278" s="3732"/>
    </row>
    <row r="2279" spans="7:7">
      <c r="G2279" s="3732"/>
    </row>
    <row r="2280" spans="7:7">
      <c r="G2280" s="3732"/>
    </row>
    <row r="2281" spans="7:7">
      <c r="G2281" s="3732"/>
    </row>
    <row r="2282" spans="7:7">
      <c r="G2282" s="3732"/>
    </row>
    <row r="2283" spans="7:7">
      <c r="G2283" s="3732"/>
    </row>
    <row r="2284" spans="7:7">
      <c r="G2284" s="3732"/>
    </row>
    <row r="2285" spans="7:7">
      <c r="G2285" s="3732"/>
    </row>
    <row r="2286" spans="7:7">
      <c r="G2286" s="3732"/>
    </row>
    <row r="2287" spans="7:7">
      <c r="G2287" s="3732"/>
    </row>
    <row r="2288" spans="7:7">
      <c r="G2288" s="3732"/>
    </row>
    <row r="2289" spans="7:7">
      <c r="G2289" s="3732"/>
    </row>
    <row r="2290" spans="7:7">
      <c r="G2290" s="3732"/>
    </row>
    <row r="2291" spans="7:7">
      <c r="G2291" s="3732"/>
    </row>
    <row r="2292" spans="7:7">
      <c r="G2292" s="3732"/>
    </row>
    <row r="2293" spans="7:7">
      <c r="G2293" s="3732"/>
    </row>
    <row r="2294" spans="7:7">
      <c r="G2294" s="3732"/>
    </row>
    <row r="2295" spans="7:7">
      <c r="G2295" s="3732"/>
    </row>
    <row r="2296" spans="7:7">
      <c r="G2296" s="3732"/>
    </row>
    <row r="2297" spans="7:7">
      <c r="G2297" s="3732"/>
    </row>
    <row r="2298" spans="7:7">
      <c r="G2298" s="3732"/>
    </row>
    <row r="2299" spans="7:7">
      <c r="G2299" s="3732"/>
    </row>
    <row r="2300" spans="7:7">
      <c r="G2300" s="3732"/>
    </row>
    <row r="2301" spans="7:7">
      <c r="G2301" s="3732"/>
    </row>
    <row r="2302" spans="7:7">
      <c r="G2302" s="3732"/>
    </row>
    <row r="2303" spans="7:7">
      <c r="G2303" s="3732"/>
    </row>
    <row r="2304" spans="7:7">
      <c r="G2304" s="3732"/>
    </row>
    <row r="2305" spans="7:7">
      <c r="G2305" s="3732"/>
    </row>
    <row r="2306" spans="7:7">
      <c r="G2306" s="3732"/>
    </row>
    <row r="2307" spans="7:7">
      <c r="G2307" s="3732"/>
    </row>
    <row r="2308" spans="7:7">
      <c r="G2308" s="3732"/>
    </row>
    <row r="2309" spans="7:7">
      <c r="G2309" s="3732"/>
    </row>
    <row r="2310" spans="7:7">
      <c r="G2310" s="3732"/>
    </row>
    <row r="2311" spans="7:7">
      <c r="G2311" s="3732"/>
    </row>
    <row r="2312" spans="7:7">
      <c r="G2312" s="3732"/>
    </row>
    <row r="2313" spans="7:7">
      <c r="G2313" s="3732"/>
    </row>
    <row r="2314" spans="7:7">
      <c r="G2314" s="3732"/>
    </row>
    <row r="2315" spans="7:7">
      <c r="G2315" s="3732"/>
    </row>
    <row r="2316" spans="7:7">
      <c r="G2316" s="3732"/>
    </row>
    <row r="2317" spans="7:7">
      <c r="G2317" s="3732"/>
    </row>
    <row r="2318" spans="7:7">
      <c r="G2318" s="3732"/>
    </row>
    <row r="2319" spans="7:7">
      <c r="G2319" s="3732"/>
    </row>
    <row r="2320" spans="7:7">
      <c r="G2320" s="3732"/>
    </row>
    <row r="2321" spans="7:7">
      <c r="G2321" s="3732"/>
    </row>
    <row r="2322" spans="7:7">
      <c r="G2322" s="3732"/>
    </row>
    <row r="2323" spans="7:7">
      <c r="G2323" s="3732"/>
    </row>
    <row r="2324" spans="7:7">
      <c r="G2324" s="3732"/>
    </row>
    <row r="2325" spans="7:7">
      <c r="G2325" s="3732"/>
    </row>
    <row r="2326" spans="7:7">
      <c r="G2326" s="3732"/>
    </row>
    <row r="2327" spans="7:7">
      <c r="G2327" s="3732"/>
    </row>
    <row r="2328" spans="7:7">
      <c r="G2328" s="3732"/>
    </row>
    <row r="2329" spans="7:7">
      <c r="G2329" s="3732"/>
    </row>
    <row r="2330" spans="7:7">
      <c r="G2330" s="3732"/>
    </row>
    <row r="2331" spans="7:7">
      <c r="G2331" s="3732"/>
    </row>
    <row r="2332" spans="7:7">
      <c r="G2332" s="3732"/>
    </row>
    <row r="2333" spans="7:7">
      <c r="G2333" s="3732"/>
    </row>
    <row r="2334" spans="7:7">
      <c r="G2334" s="3732"/>
    </row>
    <row r="2335" spans="7:7">
      <c r="G2335" s="3732"/>
    </row>
    <row r="2336" spans="7:7">
      <c r="G2336" s="3732"/>
    </row>
    <row r="2337" spans="7:7">
      <c r="G2337" s="3732"/>
    </row>
    <row r="2338" spans="7:7">
      <c r="G2338" s="3732"/>
    </row>
    <row r="2339" spans="7:7">
      <c r="G2339" s="3732"/>
    </row>
    <row r="2340" spans="7:7">
      <c r="G2340" s="3732"/>
    </row>
    <row r="2341" spans="7:7">
      <c r="G2341" s="3732"/>
    </row>
    <row r="2342" spans="7:7">
      <c r="G2342" s="3732"/>
    </row>
    <row r="2343" spans="7:7">
      <c r="G2343" s="3732"/>
    </row>
    <row r="2344" spans="7:7">
      <c r="G2344" s="3732"/>
    </row>
    <row r="2345" spans="7:7">
      <c r="G2345" s="3732"/>
    </row>
    <row r="2346" spans="7:7">
      <c r="G2346" s="3732"/>
    </row>
    <row r="2347" spans="7:7">
      <c r="G2347" s="3732"/>
    </row>
    <row r="2348" spans="7:7">
      <c r="G2348" s="3732"/>
    </row>
    <row r="2349" spans="7:7">
      <c r="G2349" s="3732"/>
    </row>
    <row r="2350" spans="7:7">
      <c r="G2350" s="3732"/>
    </row>
    <row r="2351" spans="7:7">
      <c r="G2351" s="3732"/>
    </row>
    <row r="2352" spans="7:7">
      <c r="G2352" s="3732"/>
    </row>
    <row r="2353" spans="7:7">
      <c r="G2353" s="3732"/>
    </row>
    <row r="2354" spans="7:7">
      <c r="G2354" s="3732"/>
    </row>
    <row r="2355" spans="7:7">
      <c r="G2355" s="3732"/>
    </row>
    <row r="2356" spans="7:7">
      <c r="G2356" s="3732"/>
    </row>
    <row r="2357" spans="7:7">
      <c r="G2357" s="3732"/>
    </row>
    <row r="2358" spans="7:7">
      <c r="G2358" s="3732"/>
    </row>
    <row r="2359" spans="7:7">
      <c r="G2359" s="3732"/>
    </row>
    <row r="2360" spans="7:7">
      <c r="G2360" s="3732"/>
    </row>
    <row r="2361" spans="7:7">
      <c r="G2361" s="3732"/>
    </row>
    <row r="2362" spans="7:7">
      <c r="G2362" s="3732"/>
    </row>
    <row r="2363" spans="7:7">
      <c r="G2363" s="3732"/>
    </row>
    <row r="2364" spans="7:7">
      <c r="G2364" s="3732"/>
    </row>
    <row r="2365" spans="7:7">
      <c r="G2365" s="3732"/>
    </row>
    <row r="2366" spans="7:7">
      <c r="G2366" s="3732"/>
    </row>
    <row r="2367" spans="7:7">
      <c r="G2367" s="3732"/>
    </row>
    <row r="2368" spans="7:7">
      <c r="G2368" s="3732"/>
    </row>
    <row r="2369" spans="7:7">
      <c r="G2369" s="3732"/>
    </row>
    <row r="2370" spans="7:7">
      <c r="G2370" s="3732"/>
    </row>
    <row r="2371" spans="7:7">
      <c r="G2371" s="3732"/>
    </row>
    <row r="2372" spans="7:7">
      <c r="G2372" s="3732"/>
    </row>
    <row r="2373" spans="7:7">
      <c r="G2373" s="3732"/>
    </row>
    <row r="2374" spans="7:7">
      <c r="G2374" s="3732"/>
    </row>
    <row r="2375" spans="7:7">
      <c r="G2375" s="3732"/>
    </row>
    <row r="2376" spans="7:7">
      <c r="G2376" s="3732"/>
    </row>
    <row r="2377" spans="7:7">
      <c r="G2377" s="3732"/>
    </row>
    <row r="2378" spans="7:7">
      <c r="G2378" s="3732"/>
    </row>
    <row r="2379" spans="7:7">
      <c r="G2379" s="3732"/>
    </row>
    <row r="2380" spans="7:7">
      <c r="G2380" s="3732"/>
    </row>
    <row r="2381" spans="7:7">
      <c r="G2381" s="3732"/>
    </row>
    <row r="2382" spans="7:7">
      <c r="G2382" s="3732"/>
    </row>
    <row r="2383" spans="7:7">
      <c r="G2383" s="3732"/>
    </row>
    <row r="2384" spans="7:7">
      <c r="G2384" s="3732"/>
    </row>
    <row r="2385" spans="7:7">
      <c r="G2385" s="3732"/>
    </row>
    <row r="2386" spans="7:7">
      <c r="G2386" s="3732"/>
    </row>
    <row r="2387" spans="7:7">
      <c r="G2387" s="3732"/>
    </row>
    <row r="2388" spans="7:7">
      <c r="G2388" s="3732"/>
    </row>
    <row r="2389" spans="7:7">
      <c r="G2389" s="3732"/>
    </row>
    <row r="2390" spans="7:7">
      <c r="G2390" s="3732"/>
    </row>
    <row r="2391" spans="7:7">
      <c r="G2391" s="3732"/>
    </row>
    <row r="2392" spans="7:7">
      <c r="G2392" s="3732"/>
    </row>
    <row r="2393" spans="7:7">
      <c r="G2393" s="3732"/>
    </row>
    <row r="2394" spans="7:7">
      <c r="G2394" s="3732"/>
    </row>
    <row r="2395" spans="7:7">
      <c r="G2395" s="3732"/>
    </row>
    <row r="2396" spans="7:7">
      <c r="G2396" s="3732"/>
    </row>
    <row r="2397" spans="7:7">
      <c r="G2397" s="3732"/>
    </row>
    <row r="2398" spans="7:7">
      <c r="G2398" s="3732"/>
    </row>
    <row r="2399" spans="7:7">
      <c r="G2399" s="3732"/>
    </row>
    <row r="2400" spans="7:7">
      <c r="G2400" s="3732"/>
    </row>
    <row r="2401" spans="7:7">
      <c r="G2401" s="3732"/>
    </row>
    <row r="2402" spans="7:7">
      <c r="G2402" s="3732"/>
    </row>
    <row r="2403" spans="7:7">
      <c r="G2403" s="3732"/>
    </row>
    <row r="2404" spans="7:7">
      <c r="G2404" s="3732"/>
    </row>
    <row r="2405" spans="7:7">
      <c r="G2405" s="3732"/>
    </row>
    <row r="2406" spans="7:7">
      <c r="G2406" s="3732"/>
    </row>
    <row r="2407" spans="7:7">
      <c r="G2407" s="3732"/>
    </row>
    <row r="2408" spans="7:7">
      <c r="G2408" s="3732"/>
    </row>
    <row r="2409" spans="7:7">
      <c r="G2409" s="3732"/>
    </row>
    <row r="2410" spans="7:7">
      <c r="G2410" s="3732"/>
    </row>
    <row r="2411" spans="7:7">
      <c r="G2411" s="3732"/>
    </row>
    <row r="2412" spans="7:7">
      <c r="G2412" s="3732"/>
    </row>
    <row r="2413" spans="7:7">
      <c r="G2413" s="3732"/>
    </row>
    <row r="2414" spans="7:7">
      <c r="G2414" s="3732"/>
    </row>
    <row r="2415" spans="7:7">
      <c r="G2415" s="3732"/>
    </row>
    <row r="2416" spans="7:7">
      <c r="G2416" s="3732"/>
    </row>
    <row r="2417" spans="7:7">
      <c r="G2417" s="3732"/>
    </row>
    <row r="2418" spans="7:7">
      <c r="G2418" s="3732"/>
    </row>
    <row r="2419" spans="7:7">
      <c r="G2419" s="3732"/>
    </row>
    <row r="2420" spans="7:7">
      <c r="G2420" s="3732"/>
    </row>
    <row r="2421" spans="7:7">
      <c r="G2421" s="3732"/>
    </row>
    <row r="2422" spans="7:7">
      <c r="G2422" s="3732"/>
    </row>
    <row r="2423" spans="7:7">
      <c r="G2423" s="3732"/>
    </row>
    <row r="2424" spans="7:7">
      <c r="G2424" s="3732"/>
    </row>
    <row r="2425" spans="7:7">
      <c r="G2425" s="3732"/>
    </row>
    <row r="2426" spans="7:7">
      <c r="G2426" s="3732"/>
    </row>
    <row r="2427" spans="7:7">
      <c r="G2427" s="3732"/>
    </row>
    <row r="2428" spans="7:7">
      <c r="G2428" s="3732"/>
    </row>
    <row r="2429" spans="7:7">
      <c r="G2429" s="3732"/>
    </row>
    <row r="2430" spans="7:7">
      <c r="G2430" s="3732"/>
    </row>
    <row r="2431" spans="7:7">
      <c r="G2431" s="3732"/>
    </row>
    <row r="2432" spans="7:7">
      <c r="G2432" s="3732"/>
    </row>
    <row r="2433" spans="7:7">
      <c r="G2433" s="3732"/>
    </row>
    <row r="2434" spans="7:7">
      <c r="G2434" s="3732"/>
    </row>
    <row r="2435" spans="7:7">
      <c r="G2435" s="3732"/>
    </row>
    <row r="2436" spans="7:7">
      <c r="G2436" s="3732"/>
    </row>
    <row r="2437" spans="7:7">
      <c r="G2437" s="3732"/>
    </row>
    <row r="2438" spans="7:7">
      <c r="G2438" s="3732"/>
    </row>
    <row r="2439" spans="7:7">
      <c r="G2439" s="3732"/>
    </row>
    <row r="2440" spans="7:7">
      <c r="G2440" s="3732"/>
    </row>
    <row r="2441" spans="7:7">
      <c r="G2441" s="3732"/>
    </row>
    <row r="2442" spans="7:7">
      <c r="G2442" s="3732"/>
    </row>
    <row r="2443" spans="7:7">
      <c r="G2443" s="3732"/>
    </row>
    <row r="2444" spans="7:7">
      <c r="G2444" s="3732"/>
    </row>
    <row r="2445" spans="7:7">
      <c r="G2445" s="3732"/>
    </row>
    <row r="2446" spans="7:7">
      <c r="G2446" s="3732"/>
    </row>
    <row r="2447" spans="7:7">
      <c r="G2447" s="3732"/>
    </row>
    <row r="2448" spans="7:7">
      <c r="G2448" s="3732"/>
    </row>
    <row r="2449" spans="7:7">
      <c r="G2449" s="3732"/>
    </row>
    <row r="2450" spans="7:7">
      <c r="G2450" s="3732"/>
    </row>
    <row r="2451" spans="7:7">
      <c r="G2451" s="3732"/>
    </row>
    <row r="2452" spans="7:7">
      <c r="G2452" s="3732"/>
    </row>
    <row r="2453" spans="7:7">
      <c r="G2453" s="3732"/>
    </row>
    <row r="2454" spans="7:7">
      <c r="G2454" s="3732"/>
    </row>
    <row r="2455" spans="7:7">
      <c r="G2455" s="3732"/>
    </row>
    <row r="2456" spans="7:7">
      <c r="G2456" s="3732"/>
    </row>
    <row r="2457" spans="7:7">
      <c r="G2457" s="3732"/>
    </row>
    <row r="2458" spans="7:7">
      <c r="G2458" s="3732"/>
    </row>
    <row r="2459" spans="7:7">
      <c r="G2459" s="3732"/>
    </row>
    <row r="2460" spans="7:7">
      <c r="G2460" s="3732"/>
    </row>
    <row r="2461" spans="7:7">
      <c r="G2461" s="3732"/>
    </row>
    <row r="2462" spans="7:7">
      <c r="G2462" s="3732"/>
    </row>
    <row r="2463" spans="7:7">
      <c r="G2463" s="3732"/>
    </row>
    <row r="2464" spans="7:7">
      <c r="G2464" s="3732"/>
    </row>
    <row r="2465" spans="7:7">
      <c r="G2465" s="3732"/>
    </row>
    <row r="2466" spans="7:7">
      <c r="G2466" s="3732"/>
    </row>
    <row r="2467" spans="7:7">
      <c r="G2467" s="3732"/>
    </row>
    <row r="2468" spans="7:7">
      <c r="G2468" s="3732"/>
    </row>
    <row r="2469" spans="7:7">
      <c r="G2469" s="3732"/>
    </row>
    <row r="2470" spans="7:7">
      <c r="G2470" s="3732"/>
    </row>
    <row r="2471" spans="7:7">
      <c r="G2471" s="3732"/>
    </row>
    <row r="2472" spans="7:7">
      <c r="G2472" s="3732"/>
    </row>
    <row r="2473" spans="7:7">
      <c r="G2473" s="3732"/>
    </row>
    <row r="2474" spans="7:7">
      <c r="G2474" s="3732"/>
    </row>
    <row r="2475" spans="7:7">
      <c r="G2475" s="3732"/>
    </row>
    <row r="2476" spans="7:7">
      <c r="G2476" s="3732"/>
    </row>
    <row r="2477" spans="7:7">
      <c r="G2477" s="3732"/>
    </row>
    <row r="2478" spans="7:7">
      <c r="G2478" s="3732"/>
    </row>
    <row r="2479" spans="7:7">
      <c r="G2479" s="3732"/>
    </row>
    <row r="2480" spans="7:7">
      <c r="G2480" s="3732"/>
    </row>
    <row r="2481" spans="7:7">
      <c r="G2481" s="3732"/>
    </row>
    <row r="2482" spans="7:7">
      <c r="G2482" s="3732"/>
    </row>
    <row r="2483" spans="7:7">
      <c r="G2483" s="3732"/>
    </row>
    <row r="2484" spans="7:7">
      <c r="G2484" s="3732"/>
    </row>
    <row r="2485" spans="7:7">
      <c r="G2485" s="3732"/>
    </row>
    <row r="2486" spans="7:7">
      <c r="G2486" s="3732"/>
    </row>
    <row r="2487" spans="7:7">
      <c r="G2487" s="3732"/>
    </row>
    <row r="2488" spans="7:7">
      <c r="G2488" s="3732"/>
    </row>
    <row r="2489" spans="7:7">
      <c r="G2489" s="3732"/>
    </row>
    <row r="2490" spans="7:7">
      <c r="G2490" s="3732"/>
    </row>
    <row r="2491" spans="7:7">
      <c r="G2491" s="3732"/>
    </row>
    <row r="2492" spans="7:7">
      <c r="G2492" s="3732"/>
    </row>
    <row r="2493" spans="7:7">
      <c r="G2493" s="3732"/>
    </row>
    <row r="2494" spans="7:7">
      <c r="G2494" s="3732"/>
    </row>
    <row r="2495" spans="7:7">
      <c r="G2495" s="3732"/>
    </row>
    <row r="2496" spans="7:7">
      <c r="G2496" s="3732"/>
    </row>
    <row r="2497" spans="7:7">
      <c r="G2497" s="3732"/>
    </row>
    <row r="2498" spans="7:7">
      <c r="G2498" s="3732"/>
    </row>
    <row r="2499" spans="7:7">
      <c r="G2499" s="3732"/>
    </row>
    <row r="2500" spans="7:7">
      <c r="G2500" s="3732"/>
    </row>
    <row r="2501" spans="7:7">
      <c r="G2501" s="3732"/>
    </row>
    <row r="2502" spans="7:7">
      <c r="G2502" s="3732"/>
    </row>
    <row r="2503" spans="7:7">
      <c r="G2503" s="3732"/>
    </row>
    <row r="2504" spans="7:7">
      <c r="G2504" s="3732"/>
    </row>
    <row r="2505" spans="7:7">
      <c r="G2505" s="3732"/>
    </row>
    <row r="2506" spans="7:7">
      <c r="G2506" s="3732"/>
    </row>
    <row r="2507" spans="7:7">
      <c r="G2507" s="3732"/>
    </row>
    <row r="2508" spans="7:7">
      <c r="G2508" s="3732"/>
    </row>
    <row r="2509" spans="7:7">
      <c r="G2509" s="3732"/>
    </row>
    <row r="2510" spans="7:7">
      <c r="G2510" s="3732"/>
    </row>
    <row r="2511" spans="7:7">
      <c r="G2511" s="3732"/>
    </row>
    <row r="2512" spans="7:7">
      <c r="G2512" s="3732"/>
    </row>
    <row r="2513" spans="7:7">
      <c r="G2513" s="3732"/>
    </row>
    <row r="2514" spans="7:7">
      <c r="G2514" s="3732"/>
    </row>
    <row r="2515" spans="7:7">
      <c r="G2515" s="3732"/>
    </row>
    <row r="2516" spans="7:7">
      <c r="G2516" s="3732"/>
    </row>
    <row r="2517" spans="7:7">
      <c r="G2517" s="3732"/>
    </row>
    <row r="2518" spans="7:7">
      <c r="G2518" s="3732"/>
    </row>
    <row r="2519" spans="7:7">
      <c r="G2519" s="3732"/>
    </row>
    <row r="2520" spans="7:7">
      <c r="G2520" s="3732"/>
    </row>
    <row r="2521" spans="7:7">
      <c r="G2521" s="3732"/>
    </row>
    <row r="2522" spans="7:7">
      <c r="G2522" s="3732"/>
    </row>
    <row r="2523" spans="7:7">
      <c r="G2523" s="3732"/>
    </row>
    <row r="2524" spans="7:7">
      <c r="G2524" s="3732"/>
    </row>
    <row r="2525" spans="7:7">
      <c r="G2525" s="3732"/>
    </row>
    <row r="2526" spans="7:7">
      <c r="G2526" s="3732"/>
    </row>
    <row r="2527" spans="7:7">
      <c r="G2527" s="3732"/>
    </row>
    <row r="2528" spans="7:7">
      <c r="G2528" s="3732"/>
    </row>
    <row r="2529" spans="7:7">
      <c r="G2529" s="3732"/>
    </row>
    <row r="2530" spans="7:7">
      <c r="G2530" s="3732"/>
    </row>
    <row r="2531" spans="7:7">
      <c r="G2531" s="3732"/>
    </row>
    <row r="2532" spans="7:7">
      <c r="G2532" s="3732"/>
    </row>
    <row r="2533" spans="7:7">
      <c r="G2533" s="3732"/>
    </row>
    <row r="2534" spans="7:7">
      <c r="G2534" s="3732"/>
    </row>
    <row r="2535" spans="7:7">
      <c r="G2535" s="3732"/>
    </row>
    <row r="2536" spans="7:7">
      <c r="G2536" s="3732"/>
    </row>
    <row r="2537" spans="7:7">
      <c r="G2537" s="3732"/>
    </row>
    <row r="2538" spans="7:7">
      <c r="G2538" s="3732"/>
    </row>
    <row r="2539" spans="7:7">
      <c r="G2539" s="3732"/>
    </row>
    <row r="2540" spans="7:7">
      <c r="G2540" s="3732"/>
    </row>
    <row r="2541" spans="7:7">
      <c r="G2541" s="3732"/>
    </row>
    <row r="2542" spans="7:7">
      <c r="G2542" s="3732"/>
    </row>
    <row r="2543" spans="7:7">
      <c r="G2543" s="3732"/>
    </row>
    <row r="2544" spans="7:7">
      <c r="G2544" s="3732"/>
    </row>
    <row r="2545" spans="7:7">
      <c r="G2545" s="3732"/>
    </row>
    <row r="2546" spans="7:7">
      <c r="G2546" s="3732"/>
    </row>
    <row r="2547" spans="7:7">
      <c r="G2547" s="3732"/>
    </row>
    <row r="2548" spans="7:7">
      <c r="G2548" s="3732"/>
    </row>
    <row r="2549" spans="7:7">
      <c r="G2549" s="3732"/>
    </row>
    <row r="2550" spans="7:7">
      <c r="G2550" s="3732"/>
    </row>
    <row r="2551" spans="7:7">
      <c r="G2551" s="3732"/>
    </row>
    <row r="2552" spans="7:7">
      <c r="G2552" s="3732"/>
    </row>
    <row r="2553" spans="7:7">
      <c r="G2553" s="3732"/>
    </row>
    <row r="2554" spans="7:7">
      <c r="G2554" s="3732"/>
    </row>
    <row r="2555" spans="7:7">
      <c r="G2555" s="3732"/>
    </row>
    <row r="2556" spans="7:7">
      <c r="G2556" s="3732"/>
    </row>
    <row r="2557" spans="7:7">
      <c r="G2557" s="3732"/>
    </row>
    <row r="2558" spans="7:7">
      <c r="G2558" s="3732"/>
    </row>
    <row r="2559" spans="7:7">
      <c r="G2559" s="3732"/>
    </row>
    <row r="2560" spans="7:7">
      <c r="G2560" s="3732"/>
    </row>
    <row r="2561" spans="7:7">
      <c r="G2561" s="3732"/>
    </row>
    <row r="2562" spans="7:7">
      <c r="G2562" s="3732"/>
    </row>
    <row r="2563" spans="7:7">
      <c r="G2563" s="3732"/>
    </row>
    <row r="2564" spans="7:7">
      <c r="G2564" s="3732"/>
    </row>
    <row r="2565" spans="7:7">
      <c r="G2565" s="3732"/>
    </row>
    <row r="2566" spans="7:7">
      <c r="G2566" s="3732"/>
    </row>
    <row r="2567" spans="7:7">
      <c r="G2567" s="3732"/>
    </row>
    <row r="2568" spans="7:7">
      <c r="G2568" s="3732"/>
    </row>
    <row r="2569" spans="7:7">
      <c r="G2569" s="3732"/>
    </row>
    <row r="2570" spans="7:7">
      <c r="G2570" s="3732"/>
    </row>
    <row r="2571" spans="7:7">
      <c r="G2571" s="3732"/>
    </row>
    <row r="2572" spans="7:7">
      <c r="G2572" s="3732"/>
    </row>
    <row r="2573" spans="7:7">
      <c r="G2573" s="3732"/>
    </row>
    <row r="2574" spans="7:7">
      <c r="G2574" s="3732"/>
    </row>
    <row r="2575" spans="7:7">
      <c r="G2575" s="3732"/>
    </row>
    <row r="2576" spans="7:7">
      <c r="G2576" s="3732"/>
    </row>
    <row r="2577" spans="7:7">
      <c r="G2577" s="3732"/>
    </row>
    <row r="2578" spans="7:7">
      <c r="G2578" s="3732"/>
    </row>
    <row r="2579" spans="7:7">
      <c r="G2579" s="3732"/>
    </row>
    <row r="2580" spans="7:7">
      <c r="G2580" s="3732"/>
    </row>
    <row r="2581" spans="7:7">
      <c r="G2581" s="3732"/>
    </row>
    <row r="2582" spans="7:7">
      <c r="G2582" s="3732"/>
    </row>
    <row r="2583" spans="7:7">
      <c r="G2583" s="3732"/>
    </row>
    <row r="2584" spans="7:7">
      <c r="G2584" s="3732"/>
    </row>
    <row r="2585" spans="7:7">
      <c r="G2585" s="3732"/>
    </row>
    <row r="2586" spans="7:7">
      <c r="G2586" s="3732"/>
    </row>
    <row r="2587" spans="7:7">
      <c r="G2587" s="3732"/>
    </row>
    <row r="2588" spans="7:7">
      <c r="G2588" s="3732"/>
    </row>
    <row r="2589" spans="7:7">
      <c r="G2589" s="3732"/>
    </row>
    <row r="2590" spans="7:7">
      <c r="G2590" s="3732"/>
    </row>
    <row r="2591" spans="7:7">
      <c r="G2591" s="3732"/>
    </row>
    <row r="2592" spans="7:7">
      <c r="G2592" s="3732"/>
    </row>
    <row r="2593" spans="7:7">
      <c r="G2593" s="3732"/>
    </row>
    <row r="2594" spans="7:7">
      <c r="G2594" s="3732"/>
    </row>
    <row r="2595" spans="7:7">
      <c r="G2595" s="3732"/>
    </row>
    <row r="2596" spans="7:7">
      <c r="G2596" s="3732"/>
    </row>
    <row r="2597" spans="7:7">
      <c r="G2597" s="3732"/>
    </row>
    <row r="2598" spans="7:7">
      <c r="G2598" s="3732"/>
    </row>
    <row r="2599" spans="7:7">
      <c r="G2599" s="3732"/>
    </row>
    <row r="2600" spans="7:7">
      <c r="G2600" s="3732"/>
    </row>
    <row r="2601" spans="7:7">
      <c r="G2601" s="3732"/>
    </row>
    <row r="2602" spans="7:7">
      <c r="G2602" s="3732"/>
    </row>
    <row r="2603" spans="7:7">
      <c r="G2603" s="3732"/>
    </row>
    <row r="2604" spans="7:7">
      <c r="G2604" s="3732"/>
    </row>
    <row r="2605" spans="7:7">
      <c r="G2605" s="3732"/>
    </row>
    <row r="2606" spans="7:7">
      <c r="G2606" s="3732"/>
    </row>
    <row r="2607" spans="7:7">
      <c r="G2607" s="3732"/>
    </row>
    <row r="2608" spans="7:7">
      <c r="G2608" s="3732"/>
    </row>
    <row r="2609" spans="7:7">
      <c r="G2609" s="3732"/>
    </row>
    <row r="2610" spans="7:7">
      <c r="G2610" s="3732"/>
    </row>
    <row r="2611" spans="7:7">
      <c r="G2611" s="3732"/>
    </row>
    <row r="2612" spans="7:7">
      <c r="G2612" s="3732"/>
    </row>
    <row r="2613" spans="7:7">
      <c r="G2613" s="3732"/>
    </row>
    <row r="2614" spans="7:7">
      <c r="G2614" s="3732"/>
    </row>
    <row r="2615" spans="7:7">
      <c r="G2615" s="3732"/>
    </row>
    <row r="2616" spans="7:7">
      <c r="G2616" s="3732"/>
    </row>
    <row r="2617" spans="7:7">
      <c r="G2617" s="3732"/>
    </row>
    <row r="2618" spans="7:7">
      <c r="G2618" s="3732"/>
    </row>
    <row r="2619" spans="7:7">
      <c r="G2619" s="3732"/>
    </row>
    <row r="2620" spans="7:7">
      <c r="G2620" s="3732"/>
    </row>
    <row r="2621" spans="7:7">
      <c r="G2621" s="3732"/>
    </row>
    <row r="2622" spans="7:7">
      <c r="G2622" s="3732"/>
    </row>
    <row r="2623" spans="7:7">
      <c r="G2623" s="3732"/>
    </row>
    <row r="2624" spans="7:7">
      <c r="G2624" s="3732"/>
    </row>
    <row r="2625" spans="7:7">
      <c r="G2625" s="3732"/>
    </row>
    <row r="2626" spans="7:7">
      <c r="G2626" s="3732"/>
    </row>
    <row r="2627" spans="7:7">
      <c r="G2627" s="3732"/>
    </row>
    <row r="2628" spans="7:7">
      <c r="G2628" s="3732"/>
    </row>
    <row r="2629" spans="7:7">
      <c r="G2629" s="3732"/>
    </row>
    <row r="2630" spans="7:7">
      <c r="G2630" s="3732"/>
    </row>
    <row r="2631" spans="7:7">
      <c r="G2631" s="3732"/>
    </row>
    <row r="2632" spans="7:7">
      <c r="G2632" s="3732"/>
    </row>
    <row r="2633" spans="7:7">
      <c r="G2633" s="3732"/>
    </row>
    <row r="2634" spans="7:7">
      <c r="G2634" s="3732"/>
    </row>
    <row r="2635" spans="7:7">
      <c r="G2635" s="3732"/>
    </row>
    <row r="2636" spans="7:7">
      <c r="G2636" s="3732"/>
    </row>
    <row r="2637" spans="7:7">
      <c r="G2637" s="3732"/>
    </row>
    <row r="2638" spans="7:7">
      <c r="G2638" s="3732"/>
    </row>
    <row r="2639" spans="7:7">
      <c r="G2639" s="3732"/>
    </row>
    <row r="2640" spans="7:7">
      <c r="G2640" s="3732"/>
    </row>
    <row r="2641" spans="7:7">
      <c r="G2641" s="3732"/>
    </row>
    <row r="2642" spans="7:7">
      <c r="G2642" s="3732"/>
    </row>
    <row r="2643" spans="7:7">
      <c r="G2643" s="3732"/>
    </row>
    <row r="2644" spans="7:7">
      <c r="G2644" s="3732"/>
    </row>
    <row r="2645" spans="7:7">
      <c r="G2645" s="3732"/>
    </row>
    <row r="2646" spans="7:7">
      <c r="G2646" s="3732"/>
    </row>
    <row r="2647" spans="7:7">
      <c r="G2647" s="3732"/>
    </row>
    <row r="2648" spans="7:7">
      <c r="G2648" s="3732"/>
    </row>
    <row r="2649" spans="7:7">
      <c r="G2649" s="3732"/>
    </row>
    <row r="2650" spans="7:7">
      <c r="G2650" s="3732"/>
    </row>
    <row r="2651" spans="7:7">
      <c r="G2651" s="3732"/>
    </row>
    <row r="2652" spans="7:7">
      <c r="G2652" s="3732"/>
    </row>
    <row r="2653" spans="7:7">
      <c r="G2653" s="3732"/>
    </row>
    <row r="2654" spans="7:7">
      <c r="G2654" s="3732"/>
    </row>
    <row r="2655" spans="7:7">
      <c r="G2655" s="3732"/>
    </row>
    <row r="2656" spans="7:7">
      <c r="G2656" s="3732"/>
    </row>
    <row r="2657" spans="7:7">
      <c r="G2657" s="3732"/>
    </row>
    <row r="2658" spans="7:7">
      <c r="G2658" s="3732"/>
    </row>
    <row r="2659" spans="7:7">
      <c r="G2659" s="3732"/>
    </row>
    <row r="2660" spans="7:7">
      <c r="G2660" s="3732"/>
    </row>
    <row r="2661" spans="7:7">
      <c r="G2661" s="3732"/>
    </row>
    <row r="2662" spans="7:7">
      <c r="G2662" s="3732"/>
    </row>
    <row r="2663" spans="7:7">
      <c r="G2663" s="3732"/>
    </row>
    <row r="2664" spans="7:7">
      <c r="G2664" s="3732"/>
    </row>
    <row r="2665" spans="7:7">
      <c r="G2665" s="3732"/>
    </row>
    <row r="2666" spans="7:7">
      <c r="G2666" s="3732"/>
    </row>
    <row r="2667" spans="7:7">
      <c r="G2667" s="3732"/>
    </row>
    <row r="2668" spans="7:7">
      <c r="G2668" s="3732"/>
    </row>
    <row r="2669" spans="7:7">
      <c r="G2669" s="3732"/>
    </row>
    <row r="2670" spans="7:7">
      <c r="G2670" s="3732"/>
    </row>
    <row r="2671" spans="7:7">
      <c r="G2671" s="3732"/>
    </row>
    <row r="2672" spans="7:7">
      <c r="G2672" s="3732"/>
    </row>
    <row r="2673" spans="7:7">
      <c r="G2673" s="3732"/>
    </row>
    <row r="2674" spans="7:7">
      <c r="G2674" s="3732"/>
    </row>
    <row r="2675" spans="7:7">
      <c r="G2675" s="3732"/>
    </row>
    <row r="2676" spans="7:7">
      <c r="G2676" s="3732"/>
    </row>
    <row r="2677" spans="7:7">
      <c r="G2677" s="3732"/>
    </row>
    <row r="2678" spans="7:7">
      <c r="G2678" s="3732"/>
    </row>
    <row r="2679" spans="7:7">
      <c r="G2679" s="3732"/>
    </row>
    <row r="2680" spans="7:7">
      <c r="G2680" s="3732"/>
    </row>
    <row r="2681" spans="7:7">
      <c r="G2681" s="3732"/>
    </row>
    <row r="2682" spans="7:7">
      <c r="G2682" s="3732"/>
    </row>
    <row r="2683" spans="7:7">
      <c r="G2683" s="3732"/>
    </row>
    <row r="2684" spans="7:7">
      <c r="G2684" s="3732"/>
    </row>
    <row r="2685" spans="7:7">
      <c r="G2685" s="3732"/>
    </row>
    <row r="2686" spans="7:7">
      <c r="G2686" s="3732"/>
    </row>
    <row r="2687" spans="7:7">
      <c r="G2687" s="3732"/>
    </row>
    <row r="2688" spans="7:7">
      <c r="G2688" s="3732"/>
    </row>
    <row r="2689" spans="7:7">
      <c r="G2689" s="3732"/>
    </row>
    <row r="2690" spans="7:7">
      <c r="G2690" s="3732"/>
    </row>
    <row r="2691" spans="7:7">
      <c r="G2691" s="3732"/>
    </row>
    <row r="2692" spans="7:7">
      <c r="G2692" s="3732"/>
    </row>
    <row r="2693" spans="7:7">
      <c r="G2693" s="3732"/>
    </row>
    <row r="2694" spans="7:7">
      <c r="G2694" s="3732"/>
    </row>
    <row r="2695" spans="7:7">
      <c r="G2695" s="3732"/>
    </row>
    <row r="2696" spans="7:7">
      <c r="G2696" s="3732"/>
    </row>
    <row r="2697" spans="7:7">
      <c r="G2697" s="3732"/>
    </row>
    <row r="2698" spans="7:7">
      <c r="G2698" s="3732"/>
    </row>
    <row r="2699" spans="7:7">
      <c r="G2699" s="3732"/>
    </row>
    <row r="2700" spans="7:7">
      <c r="G2700" s="3732"/>
    </row>
    <row r="2701" spans="7:7">
      <c r="G2701" s="3732"/>
    </row>
    <row r="2702" spans="7:7">
      <c r="G2702" s="3732"/>
    </row>
    <row r="2703" spans="7:7">
      <c r="G2703" s="3732"/>
    </row>
    <row r="2704" spans="7:7">
      <c r="G2704" s="3732"/>
    </row>
    <row r="2705" spans="7:7">
      <c r="G2705" s="3732"/>
    </row>
    <row r="2706" spans="7:7">
      <c r="G2706" s="3732"/>
    </row>
    <row r="2707" spans="7:7">
      <c r="G2707" s="3732"/>
    </row>
    <row r="2708" spans="7:7">
      <c r="G2708" s="3732"/>
    </row>
    <row r="2709" spans="7:7">
      <c r="G2709" s="3732"/>
    </row>
    <row r="2710" spans="7:7">
      <c r="G2710" s="3732"/>
    </row>
    <row r="2711" spans="7:7">
      <c r="G2711" s="3732"/>
    </row>
    <row r="2712" spans="7:7">
      <c r="G2712" s="3732"/>
    </row>
    <row r="2713" spans="7:7">
      <c r="G2713" s="3732"/>
    </row>
    <row r="2714" spans="7:7">
      <c r="G2714" s="3732"/>
    </row>
    <row r="2715" spans="7:7">
      <c r="G2715" s="3732"/>
    </row>
    <row r="2716" spans="7:7">
      <c r="G2716" s="3732"/>
    </row>
    <row r="2717" spans="7:7">
      <c r="G2717" s="3732"/>
    </row>
    <row r="2718" spans="7:7">
      <c r="G2718" s="3732"/>
    </row>
    <row r="2719" spans="7:7">
      <c r="G2719" s="3732"/>
    </row>
    <row r="2720" spans="7:7">
      <c r="G2720" s="3732"/>
    </row>
    <row r="2721" spans="7:7">
      <c r="G2721" s="3732"/>
    </row>
    <row r="2722" spans="7:7">
      <c r="G2722" s="3732"/>
    </row>
    <row r="2723" spans="7:7">
      <c r="G2723" s="3732"/>
    </row>
    <row r="2724" spans="7:7">
      <c r="G2724" s="3732"/>
    </row>
    <row r="2725" spans="7:7">
      <c r="G2725" s="3732"/>
    </row>
    <row r="2726" spans="7:7">
      <c r="G2726" s="3732"/>
    </row>
    <row r="2727" spans="7:7">
      <c r="G2727" s="3732"/>
    </row>
    <row r="2728" spans="7:7">
      <c r="G2728" s="3732"/>
    </row>
    <row r="2729" spans="7:7">
      <c r="G2729" s="3732"/>
    </row>
    <row r="2730" spans="7:7">
      <c r="G2730" s="3732"/>
    </row>
    <row r="2731" spans="7:7">
      <c r="G2731" s="3732"/>
    </row>
    <row r="2732" spans="7:7">
      <c r="G2732" s="3732"/>
    </row>
    <row r="2733" spans="7:7">
      <c r="G2733" s="3732"/>
    </row>
    <row r="2734" spans="7:7">
      <c r="G2734" s="3732"/>
    </row>
    <row r="2735" spans="7:7">
      <c r="G2735" s="3732"/>
    </row>
    <row r="2736" spans="7:7">
      <c r="G2736" s="3732"/>
    </row>
    <row r="2737" spans="7:7">
      <c r="G2737" s="3732"/>
    </row>
    <row r="2738" spans="7:7">
      <c r="G2738" s="3732"/>
    </row>
    <row r="2739" spans="7:7">
      <c r="G2739" s="3732"/>
    </row>
    <row r="2740" spans="7:7">
      <c r="G2740" s="3732"/>
    </row>
    <row r="2741" spans="7:7">
      <c r="G2741" s="3732"/>
    </row>
    <row r="2742" spans="7:7">
      <c r="G2742" s="3732"/>
    </row>
    <row r="2743" spans="7:7">
      <c r="G2743" s="3732"/>
    </row>
    <row r="2744" spans="7:7">
      <c r="G2744" s="3732"/>
    </row>
    <row r="2745" spans="7:7">
      <c r="G2745" s="3732"/>
    </row>
    <row r="2746" spans="7:7">
      <c r="G2746" s="3732"/>
    </row>
    <row r="2747" spans="7:7">
      <c r="G2747" s="3732"/>
    </row>
    <row r="2748" spans="7:7">
      <c r="G2748" s="3732"/>
    </row>
    <row r="2749" spans="7:7">
      <c r="G2749" s="3732"/>
    </row>
    <row r="2750" spans="7:7">
      <c r="G2750" s="3732"/>
    </row>
    <row r="2751" spans="7:7">
      <c r="G2751" s="3732"/>
    </row>
    <row r="2752" spans="7:7">
      <c r="G2752" s="3732"/>
    </row>
    <row r="2753" spans="7:7">
      <c r="G2753" s="3732"/>
    </row>
    <row r="2754" spans="7:7">
      <c r="G2754" s="3732"/>
    </row>
    <row r="2755" spans="7:7">
      <c r="G2755" s="3732"/>
    </row>
    <row r="2756" spans="7:7">
      <c r="G2756" s="3732"/>
    </row>
    <row r="2757" spans="7:7">
      <c r="G2757" s="3732"/>
    </row>
    <row r="2758" spans="7:7">
      <c r="G2758" s="3732"/>
    </row>
    <row r="2759" spans="7:7">
      <c r="G2759" s="3732"/>
    </row>
    <row r="2760" spans="7:7">
      <c r="G2760" s="3732"/>
    </row>
    <row r="2761" spans="7:7">
      <c r="G2761" s="3732"/>
    </row>
    <row r="2762" spans="7:7">
      <c r="G2762" s="3732"/>
    </row>
    <row r="2763" spans="7:7">
      <c r="G2763" s="3732"/>
    </row>
    <row r="2764" spans="7:7">
      <c r="G2764" s="3732"/>
    </row>
    <row r="2765" spans="7:7">
      <c r="G2765" s="3732"/>
    </row>
    <row r="2766" spans="7:7">
      <c r="G2766" s="3732"/>
    </row>
    <row r="2767" spans="7:7">
      <c r="G2767" s="3732"/>
    </row>
    <row r="2768" spans="7:7">
      <c r="G2768" s="3732"/>
    </row>
    <row r="2769" spans="7:7">
      <c r="G2769" s="3732"/>
    </row>
    <row r="2770" spans="7:7">
      <c r="G2770" s="3732"/>
    </row>
    <row r="2771" spans="7:7">
      <c r="G2771" s="3732"/>
    </row>
    <row r="2772" spans="7:7">
      <c r="G2772" s="3732"/>
    </row>
    <row r="2773" spans="7:7">
      <c r="G2773" s="3732"/>
    </row>
    <row r="2774" spans="7:7">
      <c r="G2774" s="3732"/>
    </row>
    <row r="2775" spans="7:7">
      <c r="G2775" s="3732"/>
    </row>
    <row r="2776" spans="7:7">
      <c r="G2776" s="3732"/>
    </row>
    <row r="2777" spans="7:7">
      <c r="G2777" s="3732"/>
    </row>
    <row r="2778" spans="7:7">
      <c r="G2778" s="3732"/>
    </row>
    <row r="2779" spans="7:7">
      <c r="G2779" s="3732"/>
    </row>
    <row r="2780" spans="7:7">
      <c r="G2780" s="3732"/>
    </row>
    <row r="2781" spans="7:7">
      <c r="G2781" s="3732"/>
    </row>
    <row r="2782" spans="7:7">
      <c r="G2782" s="3732"/>
    </row>
    <row r="2783" spans="7:7">
      <c r="G2783" s="3732"/>
    </row>
    <row r="2784" spans="7:7">
      <c r="G2784" s="3732"/>
    </row>
    <row r="2785" spans="7:7">
      <c r="G2785" s="3732"/>
    </row>
    <row r="2786" spans="7:7">
      <c r="G2786" s="3732"/>
    </row>
    <row r="2787" spans="7:7">
      <c r="G2787" s="3732"/>
    </row>
    <row r="2788" spans="7:7">
      <c r="G2788" s="3732"/>
    </row>
    <row r="2789" spans="7:7">
      <c r="G2789" s="3732"/>
    </row>
    <row r="2790" spans="7:7">
      <c r="G2790" s="3732"/>
    </row>
    <row r="2791" spans="7:7">
      <c r="G2791" s="3732"/>
    </row>
    <row r="2792" spans="7:7">
      <c r="G2792" s="3732"/>
    </row>
    <row r="2793" spans="7:7">
      <c r="G2793" s="3732"/>
    </row>
    <row r="2794" spans="7:7">
      <c r="G2794" s="3732"/>
    </row>
    <row r="2795" spans="7:7">
      <c r="G2795" s="3732"/>
    </row>
    <row r="2796" spans="7:7">
      <c r="G2796" s="3732"/>
    </row>
    <row r="2797" spans="7:7">
      <c r="G2797" s="3732"/>
    </row>
    <row r="2798" spans="7:7">
      <c r="G2798" s="3732"/>
    </row>
    <row r="2799" spans="7:7">
      <c r="G2799" s="3732"/>
    </row>
    <row r="2800" spans="7:7">
      <c r="G2800" s="3732"/>
    </row>
    <row r="2801" spans="7:7">
      <c r="G2801" s="3732"/>
    </row>
    <row r="2802" spans="7:7">
      <c r="G2802" s="3732"/>
    </row>
    <row r="2803" spans="7:7">
      <c r="G2803" s="3732"/>
    </row>
    <row r="2804" spans="7:7">
      <c r="G2804" s="3732"/>
    </row>
    <row r="2805" spans="7:7">
      <c r="G2805" s="3732"/>
    </row>
    <row r="2806" spans="7:7">
      <c r="G2806" s="3732"/>
    </row>
    <row r="2807" spans="7:7">
      <c r="G2807" s="3732"/>
    </row>
    <row r="2808" spans="7:7">
      <c r="G2808" s="3732"/>
    </row>
    <row r="2809" spans="7:7">
      <c r="G2809" s="3732"/>
    </row>
    <row r="2810" spans="7:7">
      <c r="G2810" s="3732"/>
    </row>
    <row r="2811" spans="7:7">
      <c r="G2811" s="3732"/>
    </row>
    <row r="2812" spans="7:7">
      <c r="G2812" s="3732"/>
    </row>
    <row r="2813" spans="7:7">
      <c r="G2813" s="3732"/>
    </row>
    <row r="2814" spans="7:7">
      <c r="G2814" s="3732"/>
    </row>
    <row r="2815" spans="7:7">
      <c r="G2815" s="3732"/>
    </row>
    <row r="2816" spans="7:7">
      <c r="G2816" s="3732"/>
    </row>
    <row r="2817" spans="7:7">
      <c r="G2817" s="3732"/>
    </row>
    <row r="2818" spans="7:7">
      <c r="G2818" s="3732"/>
    </row>
    <row r="2819" spans="7:7">
      <c r="G2819" s="3732"/>
    </row>
    <row r="2820" spans="7:7">
      <c r="G2820" s="3732"/>
    </row>
    <row r="2821" spans="7:7">
      <c r="G2821" s="3732"/>
    </row>
    <row r="2822" spans="7:7">
      <c r="G2822" s="3732"/>
    </row>
    <row r="2823" spans="7:7">
      <c r="G2823" s="3732"/>
    </row>
    <row r="2824" spans="7:7">
      <c r="G2824" s="3732"/>
    </row>
    <row r="2825" spans="7:7">
      <c r="G2825" s="3732"/>
    </row>
    <row r="2826" spans="7:7">
      <c r="G2826" s="3732"/>
    </row>
    <row r="2827" spans="7:7">
      <c r="G2827" s="3732"/>
    </row>
    <row r="2828" spans="7:7">
      <c r="G2828" s="3732"/>
    </row>
    <row r="2829" spans="7:7">
      <c r="G2829" s="3732"/>
    </row>
    <row r="2830" spans="7:7">
      <c r="G2830" s="3732"/>
    </row>
    <row r="2831" spans="7:7">
      <c r="G2831" s="3732"/>
    </row>
    <row r="2832" spans="7:7">
      <c r="G2832" s="3732"/>
    </row>
    <row r="2833" spans="7:7">
      <c r="G2833" s="3732"/>
    </row>
    <row r="2834" spans="7:7">
      <c r="G2834" s="3732"/>
    </row>
    <row r="2835" spans="7:7">
      <c r="G2835" s="3732"/>
    </row>
    <row r="2836" spans="7:7">
      <c r="G2836" s="3732"/>
    </row>
    <row r="2837" spans="7:7">
      <c r="G2837" s="3732"/>
    </row>
    <row r="2838" spans="7:7">
      <c r="G2838" s="3732"/>
    </row>
    <row r="2839" spans="7:7">
      <c r="G2839" s="3732"/>
    </row>
    <row r="2840" spans="7:7">
      <c r="G2840" s="3732"/>
    </row>
    <row r="2841" spans="7:7">
      <c r="G2841" s="3732"/>
    </row>
    <row r="2842" spans="7:7">
      <c r="G2842" s="3732"/>
    </row>
    <row r="2843" spans="7:7">
      <c r="G2843" s="3732"/>
    </row>
    <row r="2844" spans="7:7">
      <c r="G2844" s="3732"/>
    </row>
    <row r="2845" spans="7:7">
      <c r="G2845" s="3732"/>
    </row>
    <row r="2846" spans="7:7">
      <c r="G2846" s="3732"/>
    </row>
    <row r="2847" spans="7:7">
      <c r="G2847" s="3732"/>
    </row>
    <row r="2848" spans="7:7">
      <c r="G2848" s="3732"/>
    </row>
    <row r="2849" spans="7:7">
      <c r="G2849" s="3732"/>
    </row>
    <row r="2850" spans="7:7">
      <c r="G2850" s="3732"/>
    </row>
    <row r="2851" spans="7:7">
      <c r="G2851" s="3732"/>
    </row>
    <row r="2852" spans="7:7">
      <c r="G2852" s="3732"/>
    </row>
    <row r="2853" spans="7:7">
      <c r="G2853" s="3732"/>
    </row>
    <row r="2854" spans="7:7">
      <c r="G2854" s="3732"/>
    </row>
    <row r="2855" spans="7:7">
      <c r="G2855" s="3732"/>
    </row>
    <row r="2856" spans="7:7">
      <c r="G2856" s="3732"/>
    </row>
    <row r="2857" spans="7:7">
      <c r="G2857" s="3732"/>
    </row>
    <row r="2858" spans="7:7">
      <c r="G2858" s="3732"/>
    </row>
    <row r="2859" spans="7:7">
      <c r="G2859" s="3732"/>
    </row>
    <row r="2860" spans="7:7">
      <c r="G2860" s="3732"/>
    </row>
    <row r="2861" spans="7:7">
      <c r="G2861" s="3732"/>
    </row>
    <row r="2862" spans="7:7">
      <c r="G2862" s="3732"/>
    </row>
    <row r="2863" spans="7:7">
      <c r="G2863" s="3732"/>
    </row>
    <row r="2864" spans="7:7">
      <c r="G2864" s="3732"/>
    </row>
    <row r="2865" spans="7:7">
      <c r="G2865" s="3732"/>
    </row>
    <row r="2866" spans="7:7">
      <c r="G2866" s="3732"/>
    </row>
    <row r="2867" spans="7:7">
      <c r="G2867" s="3732"/>
    </row>
    <row r="2868" spans="7:7">
      <c r="G2868" s="3732"/>
    </row>
    <row r="2869" spans="7:7">
      <c r="G2869" s="3732"/>
    </row>
    <row r="2870" spans="7:7">
      <c r="G2870" s="3732"/>
    </row>
    <row r="2871" spans="7:7">
      <c r="G2871" s="3732"/>
    </row>
    <row r="2872" spans="7:7">
      <c r="G2872" s="3732"/>
    </row>
    <row r="2873" spans="7:7">
      <c r="G2873" s="3732"/>
    </row>
    <row r="2874" spans="7:7">
      <c r="G2874" s="3732"/>
    </row>
    <row r="2875" spans="7:7">
      <c r="G2875" s="3732"/>
    </row>
    <row r="2876" spans="7:7">
      <c r="G2876" s="3732"/>
    </row>
    <row r="2877" spans="7:7">
      <c r="G2877" s="3732"/>
    </row>
    <row r="2878" spans="7:7">
      <c r="G2878" s="3732"/>
    </row>
    <row r="2879" spans="7:7">
      <c r="G2879" s="3732"/>
    </row>
    <row r="2880" spans="7:7">
      <c r="G2880" s="3732"/>
    </row>
    <row r="2881" spans="7:7">
      <c r="G2881" s="3732"/>
    </row>
    <row r="2882" spans="7:7">
      <c r="G2882" s="3732"/>
    </row>
    <row r="2883" spans="7:7">
      <c r="G2883" s="3732"/>
    </row>
    <row r="2884" spans="7:7">
      <c r="G2884" s="3732"/>
    </row>
    <row r="2885" spans="7:7">
      <c r="G2885" s="3732"/>
    </row>
    <row r="2886" spans="7:7">
      <c r="G2886" s="3732"/>
    </row>
    <row r="2887" spans="7:7">
      <c r="G2887" s="3732"/>
    </row>
    <row r="2888" spans="7:7">
      <c r="G2888" s="3732"/>
    </row>
    <row r="2889" spans="7:7">
      <c r="G2889" s="3732"/>
    </row>
    <row r="2890" spans="7:7">
      <c r="G2890" s="3732"/>
    </row>
    <row r="2891" spans="7:7">
      <c r="G2891" s="3732"/>
    </row>
    <row r="2892" spans="7:7">
      <c r="G2892" s="3732"/>
    </row>
    <row r="2893" spans="7:7">
      <c r="G2893" s="3732"/>
    </row>
    <row r="2894" spans="7:7">
      <c r="G2894" s="3732"/>
    </row>
    <row r="2895" spans="7:7">
      <c r="G2895" s="3732"/>
    </row>
    <row r="2896" spans="7:7">
      <c r="G2896" s="3732"/>
    </row>
    <row r="2897" spans="7:7">
      <c r="G2897" s="3732"/>
    </row>
    <row r="2898" spans="7:7">
      <c r="G2898" s="3732"/>
    </row>
    <row r="2899" spans="7:7">
      <c r="G2899" s="3732"/>
    </row>
    <row r="2900" spans="7:7">
      <c r="G2900" s="3732"/>
    </row>
    <row r="2901" spans="7:7">
      <c r="G2901" s="3732"/>
    </row>
    <row r="2902" spans="7:7">
      <c r="G2902" s="3732"/>
    </row>
    <row r="2903" spans="7:7">
      <c r="G2903" s="3732"/>
    </row>
    <row r="2904" spans="7:7">
      <c r="G2904" s="3732"/>
    </row>
    <row r="2905" spans="7:7">
      <c r="G2905" s="3732"/>
    </row>
    <row r="2906" spans="7:7">
      <c r="G2906" s="3732"/>
    </row>
    <row r="2907" spans="7:7">
      <c r="G2907" s="3732"/>
    </row>
    <row r="2908" spans="7:7">
      <c r="G2908" s="3732"/>
    </row>
    <row r="2909" spans="7:7">
      <c r="G2909" s="3732"/>
    </row>
    <row r="2910" spans="7:7">
      <c r="G2910" s="3732"/>
    </row>
    <row r="2911" spans="7:7">
      <c r="G2911" s="3732"/>
    </row>
    <row r="2912" spans="7:7">
      <c r="G2912" s="3732"/>
    </row>
    <row r="2913" spans="7:7">
      <c r="G2913" s="3732"/>
    </row>
    <row r="2914" spans="7:7">
      <c r="G2914" s="3732"/>
    </row>
    <row r="2915" spans="7:7">
      <c r="G2915" s="3732"/>
    </row>
    <row r="2916" spans="7:7">
      <c r="G2916" s="3732"/>
    </row>
    <row r="2917" spans="7:7">
      <c r="G2917" s="3732"/>
    </row>
    <row r="2918" spans="7:7">
      <c r="G2918" s="3732"/>
    </row>
    <row r="2919" spans="7:7">
      <c r="G2919" s="3732"/>
    </row>
    <row r="2920" spans="7:7">
      <c r="G2920" s="3732"/>
    </row>
    <row r="2921" spans="7:7">
      <c r="G2921" s="3732"/>
    </row>
    <row r="2922" spans="7:7">
      <c r="G2922" s="3732"/>
    </row>
    <row r="2923" spans="7:7">
      <c r="G2923" s="3732"/>
    </row>
    <row r="2924" spans="7:7">
      <c r="G2924" s="3732"/>
    </row>
    <row r="2925" spans="7:7">
      <c r="G2925" s="3732"/>
    </row>
    <row r="2926" spans="7:7">
      <c r="G2926" s="3732"/>
    </row>
    <row r="2927" spans="7:7">
      <c r="G2927" s="3732"/>
    </row>
    <row r="2928" spans="7:7">
      <c r="G2928" s="3732"/>
    </row>
    <row r="2929" spans="7:7">
      <c r="G2929" s="3732"/>
    </row>
    <row r="2930" spans="7:7">
      <c r="G2930" s="3732"/>
    </row>
    <row r="2931" spans="7:7">
      <c r="G2931" s="3732"/>
    </row>
    <row r="2932" spans="7:7">
      <c r="G2932" s="3732"/>
    </row>
    <row r="2933" spans="7:7">
      <c r="G2933" s="3732"/>
    </row>
    <row r="2934" spans="7:7">
      <c r="G2934" s="3732"/>
    </row>
    <row r="2935" spans="7:7">
      <c r="G2935" s="3732"/>
    </row>
    <row r="2936" spans="7:7">
      <c r="G2936" s="3732"/>
    </row>
    <row r="2937" spans="7:7">
      <c r="G2937" s="3732"/>
    </row>
    <row r="2938" spans="7:7">
      <c r="G2938" s="3732"/>
    </row>
    <row r="2939" spans="7:7">
      <c r="G2939" s="3732"/>
    </row>
    <row r="2940" spans="7:7">
      <c r="G2940" s="3732"/>
    </row>
    <row r="2941" spans="7:7">
      <c r="G2941" s="3732"/>
    </row>
    <row r="2942" spans="7:7">
      <c r="G2942" s="3732"/>
    </row>
    <row r="2943" spans="7:7">
      <c r="G2943" s="3732"/>
    </row>
    <row r="2944" spans="7:7">
      <c r="G2944" s="3732"/>
    </row>
    <row r="2945" spans="7:7">
      <c r="G2945" s="3732"/>
    </row>
    <row r="2946" spans="7:7">
      <c r="G2946" s="3732"/>
    </row>
    <row r="2947" spans="7:7">
      <c r="G2947" s="3732"/>
    </row>
    <row r="2948" spans="7:7">
      <c r="G2948" s="3732"/>
    </row>
    <row r="2949" spans="7:7">
      <c r="G2949" s="3732"/>
    </row>
    <row r="2950" spans="7:7">
      <c r="G2950" s="3732"/>
    </row>
    <row r="2951" spans="7:7">
      <c r="G2951" s="3732"/>
    </row>
    <row r="2952" spans="7:7">
      <c r="G2952" s="3732"/>
    </row>
    <row r="2953" spans="7:7">
      <c r="G2953" s="3732"/>
    </row>
    <row r="2954" spans="7:7">
      <c r="G2954" s="3732"/>
    </row>
    <row r="2955" spans="7:7">
      <c r="G2955" s="3732"/>
    </row>
    <row r="2956" spans="7:7">
      <c r="G2956" s="3732"/>
    </row>
    <row r="2957" spans="7:7">
      <c r="G2957" s="3732"/>
    </row>
    <row r="2958" spans="7:7">
      <c r="G2958" s="3732"/>
    </row>
    <row r="2959" spans="7:7">
      <c r="G2959" s="3732"/>
    </row>
    <row r="2960" spans="7:7">
      <c r="G2960" s="3732"/>
    </row>
    <row r="2961" spans="7:7">
      <c r="G2961" s="3732"/>
    </row>
    <row r="2962" spans="7:7">
      <c r="G2962" s="3732"/>
    </row>
    <row r="2963" spans="7:7">
      <c r="G2963" s="3732"/>
    </row>
    <row r="2964" spans="7:7">
      <c r="G2964" s="3732"/>
    </row>
    <row r="2965" spans="7:7">
      <c r="G2965" s="3732"/>
    </row>
    <row r="2966" spans="7:7">
      <c r="G2966" s="3732"/>
    </row>
    <row r="2967" spans="7:7">
      <c r="G2967" s="3732"/>
    </row>
    <row r="2968" spans="7:7">
      <c r="G2968" s="3732"/>
    </row>
    <row r="2969" spans="7:7">
      <c r="G2969" s="3732"/>
    </row>
    <row r="2970" spans="7:7">
      <c r="G2970" s="3732"/>
    </row>
    <row r="2971" spans="7:7">
      <c r="G2971" s="3732"/>
    </row>
    <row r="2972" spans="7:7">
      <c r="G2972" s="3732"/>
    </row>
    <row r="2973" spans="7:7">
      <c r="G2973" s="3732"/>
    </row>
    <row r="2974" spans="7:7">
      <c r="G2974" s="3732"/>
    </row>
    <row r="2975" spans="7:7">
      <c r="G2975" s="3732"/>
    </row>
    <row r="2976" spans="7:7">
      <c r="G2976" s="3732"/>
    </row>
    <row r="2977" spans="7:7">
      <c r="G2977" s="3732"/>
    </row>
    <row r="2978" spans="7:7">
      <c r="G2978" s="3732"/>
    </row>
    <row r="2979" spans="7:7">
      <c r="G2979" s="3732"/>
    </row>
    <row r="2980" spans="7:7">
      <c r="G2980" s="3732"/>
    </row>
    <row r="2981" spans="7:7">
      <c r="G2981" s="3732"/>
    </row>
    <row r="2982" spans="7:7">
      <c r="G2982" s="3732"/>
    </row>
    <row r="2983" spans="7:7">
      <c r="G2983" s="3732"/>
    </row>
    <row r="2984" spans="7:7">
      <c r="G2984" s="3732"/>
    </row>
    <row r="2985" spans="7:7">
      <c r="G2985" s="3732"/>
    </row>
    <row r="2986" spans="7:7">
      <c r="G2986" s="3732"/>
    </row>
    <row r="2987" spans="7:7">
      <c r="G2987" s="3732"/>
    </row>
    <row r="2988" spans="7:7">
      <c r="G2988" s="3732"/>
    </row>
    <row r="2989" spans="7:7">
      <c r="G2989" s="3732"/>
    </row>
    <row r="2990" spans="7:7">
      <c r="G2990" s="3732"/>
    </row>
    <row r="2991" spans="7:7">
      <c r="G2991" s="3732"/>
    </row>
    <row r="2992" spans="7:7">
      <c r="G2992" s="3732"/>
    </row>
    <row r="2993" spans="7:7">
      <c r="G2993" s="3732"/>
    </row>
    <row r="2994" spans="7:7">
      <c r="G2994" s="3732"/>
    </row>
    <row r="2995" spans="7:7">
      <c r="G2995" s="3732"/>
    </row>
    <row r="2996" spans="7:7">
      <c r="G2996" s="3732"/>
    </row>
    <row r="2997" spans="7:7">
      <c r="G2997" s="3732"/>
    </row>
    <row r="2998" spans="7:7">
      <c r="G2998" s="3732"/>
    </row>
    <row r="2999" spans="7:7">
      <c r="G2999" s="3732"/>
    </row>
    <row r="3000" spans="7:7">
      <c r="G3000" s="3732"/>
    </row>
    <row r="3001" spans="7:7">
      <c r="G3001" s="3732"/>
    </row>
    <row r="3002" spans="7:7">
      <c r="G3002" s="3732"/>
    </row>
    <row r="3003" spans="7:7">
      <c r="G3003" s="3732"/>
    </row>
    <row r="3004" spans="7:7">
      <c r="G3004" s="3732"/>
    </row>
    <row r="3005" spans="7:7">
      <c r="G3005" s="3732"/>
    </row>
    <row r="3006" spans="7:7">
      <c r="G3006" s="3732"/>
    </row>
    <row r="3007" spans="7:7">
      <c r="G3007" s="3732"/>
    </row>
    <row r="3008" spans="7:7">
      <c r="G3008" s="3732"/>
    </row>
    <row r="3009" spans="7:7">
      <c r="G3009" s="3732"/>
    </row>
    <row r="3010" spans="7:7">
      <c r="G3010" s="3732"/>
    </row>
    <row r="3011" spans="7:7">
      <c r="G3011" s="3732"/>
    </row>
    <row r="3012" spans="7:7">
      <c r="G3012" s="3732"/>
    </row>
    <row r="3013" spans="7:7">
      <c r="G3013" s="3732"/>
    </row>
    <row r="3014" spans="7:7">
      <c r="G3014" s="3732"/>
    </row>
    <row r="3015" spans="7:7">
      <c r="G3015" s="3732"/>
    </row>
    <row r="3016" spans="7:7">
      <c r="G3016" s="3732"/>
    </row>
    <row r="3017" spans="7:7">
      <c r="G3017" s="3732"/>
    </row>
    <row r="3018" spans="7:7">
      <c r="G3018" s="3732"/>
    </row>
    <row r="3019" spans="7:7">
      <c r="G3019" s="3732"/>
    </row>
    <row r="3020" spans="7:7">
      <c r="G3020" s="3732"/>
    </row>
    <row r="3021" spans="7:7">
      <c r="G3021" s="3732"/>
    </row>
    <row r="3022" spans="7:7">
      <c r="G3022" s="3732"/>
    </row>
    <row r="3023" spans="7:7">
      <c r="G3023" s="3732"/>
    </row>
    <row r="3024" spans="7:7">
      <c r="G3024" s="3732"/>
    </row>
    <row r="3025" spans="7:7">
      <c r="G3025" s="3732"/>
    </row>
    <row r="3026" spans="7:7">
      <c r="G3026" s="3732"/>
    </row>
    <row r="3027" spans="7:7">
      <c r="G3027" s="3732"/>
    </row>
    <row r="3028" spans="7:7">
      <c r="G3028" s="3732"/>
    </row>
    <row r="3029" spans="7:7">
      <c r="G3029" s="3732"/>
    </row>
    <row r="3030" spans="7:7">
      <c r="G3030" s="3732"/>
    </row>
    <row r="3031" spans="7:7">
      <c r="G3031" s="3732"/>
    </row>
    <row r="3032" spans="7:7">
      <c r="G3032" s="3732"/>
    </row>
    <row r="3033" spans="7:7">
      <c r="G3033" s="3732"/>
    </row>
    <row r="3034" spans="7:7">
      <c r="G3034" s="3732"/>
    </row>
    <row r="3035" spans="7:7">
      <c r="G3035" s="3732"/>
    </row>
    <row r="3036" spans="7:7">
      <c r="G3036" s="3732"/>
    </row>
    <row r="3037" spans="7:7">
      <c r="G3037" s="3732"/>
    </row>
    <row r="3038" spans="7:7">
      <c r="G3038" s="3732"/>
    </row>
    <row r="3039" spans="7:7">
      <c r="G3039" s="3732"/>
    </row>
    <row r="3040" spans="7:7">
      <c r="G3040" s="3732"/>
    </row>
    <row r="3041" spans="7:7">
      <c r="G3041" s="3732"/>
    </row>
    <row r="3042" spans="7:7">
      <c r="G3042" s="3732"/>
    </row>
    <row r="3043" spans="7:7">
      <c r="G3043" s="3732"/>
    </row>
    <row r="3044" spans="7:7">
      <c r="G3044" s="3732"/>
    </row>
    <row r="3045" spans="7:7">
      <c r="G3045" s="3732"/>
    </row>
    <row r="3046" spans="7:7">
      <c r="G3046" s="3732"/>
    </row>
    <row r="3047" spans="7:7">
      <c r="G3047" s="3732"/>
    </row>
    <row r="3048" spans="7:7">
      <c r="G3048" s="3732"/>
    </row>
    <row r="3049" spans="7:7">
      <c r="G3049" s="3732"/>
    </row>
    <row r="3050" spans="7:7">
      <c r="G3050" s="3732"/>
    </row>
    <row r="3051" spans="7:7">
      <c r="G3051" s="3732"/>
    </row>
    <row r="3052" spans="7:7">
      <c r="G3052" s="3732"/>
    </row>
    <row r="3053" spans="7:7">
      <c r="G3053" s="3732"/>
    </row>
    <row r="3054" spans="7:7">
      <c r="G3054" s="3732"/>
    </row>
    <row r="3055" spans="7:7">
      <c r="G3055" s="3732"/>
    </row>
    <row r="3056" spans="7:7">
      <c r="G3056" s="3732"/>
    </row>
    <row r="3057" spans="7:7">
      <c r="G3057" s="3732"/>
    </row>
    <row r="3058" spans="7:7">
      <c r="G3058" s="3732"/>
    </row>
    <row r="3059" spans="7:7">
      <c r="G3059" s="3732"/>
    </row>
    <row r="3060" spans="7:7">
      <c r="G3060" s="3732"/>
    </row>
    <row r="3061" spans="7:7">
      <c r="G3061" s="3732"/>
    </row>
    <row r="3062" spans="7:7">
      <c r="G3062" s="3732"/>
    </row>
    <row r="3063" spans="7:7">
      <c r="G3063" s="3732"/>
    </row>
    <row r="3064" spans="7:7">
      <c r="G3064" s="3732"/>
    </row>
    <row r="3065" spans="7:7">
      <c r="G3065" s="3732"/>
    </row>
    <row r="3066" spans="7:7">
      <c r="G3066" s="3732"/>
    </row>
    <row r="3067" spans="7:7">
      <c r="G3067" s="3732"/>
    </row>
    <row r="3068" spans="7:7">
      <c r="G3068" s="3732"/>
    </row>
    <row r="3069" spans="7:7">
      <c r="G3069" s="3732"/>
    </row>
    <row r="3070" spans="7:7">
      <c r="G3070" s="3732"/>
    </row>
    <row r="3071" spans="7:7">
      <c r="G3071" s="3732"/>
    </row>
    <row r="3072" spans="7:7">
      <c r="G3072" s="3732"/>
    </row>
    <row r="3073" spans="7:7">
      <c r="G3073" s="3732"/>
    </row>
    <row r="3074" spans="7:7">
      <c r="G3074" s="3732"/>
    </row>
    <row r="3075" spans="7:7">
      <c r="G3075" s="3732"/>
    </row>
    <row r="3076" spans="7:7">
      <c r="G3076" s="3732"/>
    </row>
    <row r="3077" spans="7:7">
      <c r="G3077" s="3732"/>
    </row>
    <row r="3078" spans="7:7">
      <c r="G3078" s="3732"/>
    </row>
    <row r="3079" spans="7:7">
      <c r="G3079" s="3732"/>
    </row>
    <row r="3080" spans="7:7">
      <c r="G3080" s="3732"/>
    </row>
    <row r="3081" spans="7:7">
      <c r="G3081" s="3732"/>
    </row>
    <row r="3082" spans="7:7">
      <c r="G3082" s="3732"/>
    </row>
    <row r="3083" spans="7:7">
      <c r="G3083" s="3732"/>
    </row>
    <row r="3084" spans="7:7">
      <c r="G3084" s="3732"/>
    </row>
    <row r="3085" spans="7:7">
      <c r="G3085" s="3732"/>
    </row>
    <row r="3086" spans="7:7">
      <c r="G3086" s="3732"/>
    </row>
    <row r="3087" spans="7:7">
      <c r="G3087" s="3732"/>
    </row>
    <row r="3088" spans="7:7">
      <c r="G3088" s="3732"/>
    </row>
    <row r="3089" spans="7:7">
      <c r="G3089" s="3732"/>
    </row>
    <row r="3090" spans="7:7">
      <c r="G3090" s="3732"/>
    </row>
    <row r="3091" spans="7:7">
      <c r="G3091" s="3732"/>
    </row>
    <row r="3092" spans="7:7">
      <c r="G3092" s="3732"/>
    </row>
    <row r="3093" spans="7:7">
      <c r="G3093" s="3732"/>
    </row>
    <row r="3094" spans="7:7">
      <c r="G3094" s="3732"/>
    </row>
    <row r="3095" spans="7:7">
      <c r="G3095" s="3732"/>
    </row>
    <row r="3096" spans="7:7">
      <c r="G3096" s="3732"/>
    </row>
    <row r="3097" spans="7:7">
      <c r="G3097" s="3732"/>
    </row>
    <row r="3098" spans="7:7">
      <c r="G3098" s="3732"/>
    </row>
    <row r="3099" spans="7:7">
      <c r="G3099" s="3732"/>
    </row>
    <row r="3100" spans="7:7">
      <c r="G3100" s="3732"/>
    </row>
    <row r="3101" spans="7:7">
      <c r="G3101" s="3732"/>
    </row>
    <row r="3102" spans="7:7">
      <c r="G3102" s="3732"/>
    </row>
    <row r="3103" spans="7:7">
      <c r="G3103" s="3732"/>
    </row>
    <row r="3104" spans="7:7">
      <c r="G3104" s="3732"/>
    </row>
    <row r="3105" spans="7:7">
      <c r="G3105" s="3732"/>
    </row>
    <row r="3106" spans="7:7">
      <c r="G3106" s="3732"/>
    </row>
    <row r="3107" spans="7:7">
      <c r="G3107" s="3732"/>
    </row>
    <row r="3108" spans="7:7">
      <c r="G3108" s="3732"/>
    </row>
    <row r="3109" spans="7:7">
      <c r="G3109" s="3732"/>
    </row>
    <row r="3110" spans="7:7">
      <c r="G3110" s="3732"/>
    </row>
    <row r="3111" spans="7:7">
      <c r="G3111" s="3732"/>
    </row>
    <row r="3112" spans="7:7">
      <c r="G3112" s="3732"/>
    </row>
    <row r="3113" spans="7:7">
      <c r="G3113" s="3732"/>
    </row>
    <row r="3114" spans="7:7">
      <c r="G3114" s="3732"/>
    </row>
    <row r="3115" spans="7:7">
      <c r="G3115" s="3732"/>
    </row>
    <row r="3116" spans="7:7">
      <c r="G3116" s="3732"/>
    </row>
    <row r="3117" spans="7:7">
      <c r="G3117" s="3732"/>
    </row>
    <row r="3118" spans="7:7">
      <c r="G3118" s="3732"/>
    </row>
    <row r="3119" spans="7:7">
      <c r="G3119" s="3732"/>
    </row>
    <row r="3120" spans="7:7">
      <c r="G3120" s="3732"/>
    </row>
    <row r="3121" spans="7:7">
      <c r="G3121" s="3732"/>
    </row>
    <row r="3122" spans="7:7">
      <c r="G3122" s="3732"/>
    </row>
    <row r="3123" spans="7:7">
      <c r="G3123" s="3732"/>
    </row>
    <row r="3124" spans="7:7">
      <c r="G3124" s="3732"/>
    </row>
    <row r="3125" spans="7:7">
      <c r="G3125" s="3732"/>
    </row>
    <row r="3126" spans="7:7">
      <c r="G3126" s="3732"/>
    </row>
    <row r="3127" spans="7:7">
      <c r="G3127" s="3732"/>
    </row>
    <row r="3128" spans="7:7">
      <c r="G3128" s="3732"/>
    </row>
    <row r="3129" spans="7:7">
      <c r="G3129" s="3732"/>
    </row>
    <row r="3130" spans="7:7">
      <c r="G3130" s="3732"/>
    </row>
    <row r="3131" spans="7:7">
      <c r="G3131" s="3732"/>
    </row>
    <row r="3132" spans="7:7">
      <c r="G3132" s="3732"/>
    </row>
    <row r="3133" spans="7:7">
      <c r="G3133" s="3732"/>
    </row>
    <row r="3134" spans="7:7">
      <c r="G3134" s="3732"/>
    </row>
    <row r="3135" spans="7:7">
      <c r="G3135" s="3732"/>
    </row>
    <row r="3136" spans="7:7">
      <c r="G3136" s="3732"/>
    </row>
    <row r="3137" spans="7:7">
      <c r="G3137" s="3732"/>
    </row>
    <row r="3138" spans="7:7">
      <c r="G3138" s="3732"/>
    </row>
    <row r="3139" spans="7:7">
      <c r="G3139" s="3732"/>
    </row>
    <row r="3140" spans="7:7">
      <c r="G3140" s="3732"/>
    </row>
    <row r="3141" spans="7:7">
      <c r="G3141" s="3732"/>
    </row>
    <row r="3142" spans="7:7">
      <c r="G3142" s="3732"/>
    </row>
    <row r="3143" spans="7:7">
      <c r="G3143" s="3732"/>
    </row>
    <row r="3144" spans="7:7">
      <c r="G3144" s="3732"/>
    </row>
    <row r="3145" spans="7:7">
      <c r="G3145" s="3732"/>
    </row>
    <row r="3146" spans="7:7">
      <c r="G3146" s="3732"/>
    </row>
    <row r="3147" spans="7:7">
      <c r="G3147" s="3732"/>
    </row>
    <row r="3148" spans="7:7">
      <c r="G3148" s="3732"/>
    </row>
    <row r="3149" spans="7:7">
      <c r="G3149" s="3732"/>
    </row>
    <row r="3150" spans="7:7">
      <c r="G3150" s="3732"/>
    </row>
    <row r="3151" spans="7:7">
      <c r="G3151" s="3732"/>
    </row>
    <row r="3152" spans="7:7">
      <c r="G3152" s="3732"/>
    </row>
    <row r="3153" spans="7:7">
      <c r="G3153" s="3732"/>
    </row>
    <row r="3154" spans="7:7">
      <c r="G3154" s="3732"/>
    </row>
    <row r="3155" spans="7:7">
      <c r="G3155" s="3732"/>
    </row>
    <row r="3156" spans="7:7">
      <c r="G3156" s="3732"/>
    </row>
    <row r="3157" spans="7:7">
      <c r="G3157" s="3732"/>
    </row>
    <row r="3158" spans="7:7">
      <c r="G3158" s="3732"/>
    </row>
    <row r="3159" spans="7:7">
      <c r="G3159" s="3732"/>
    </row>
    <row r="3160" spans="7:7">
      <c r="G3160" s="3732"/>
    </row>
    <row r="3161" spans="7:7">
      <c r="G3161" s="3732"/>
    </row>
    <row r="3162" spans="7:7">
      <c r="G3162" s="3732"/>
    </row>
    <row r="3163" spans="7:7">
      <c r="G3163" s="3732"/>
    </row>
    <row r="3164" spans="7:7">
      <c r="G3164" s="3732"/>
    </row>
    <row r="3165" spans="7:7">
      <c r="G3165" s="3732"/>
    </row>
    <row r="3166" spans="7:7">
      <c r="G3166" s="3732"/>
    </row>
    <row r="3167" spans="7:7">
      <c r="G3167" s="3732"/>
    </row>
    <row r="3168" spans="7:7">
      <c r="G3168" s="3732"/>
    </row>
    <row r="3169" spans="7:7">
      <c r="G3169" s="3732"/>
    </row>
    <row r="3170" spans="7:7">
      <c r="G3170" s="3732"/>
    </row>
    <row r="3171" spans="7:7">
      <c r="G3171" s="3732"/>
    </row>
    <row r="3172" spans="7:7">
      <c r="G3172" s="3732"/>
    </row>
    <row r="3173" spans="7:7">
      <c r="G3173" s="3732"/>
    </row>
    <row r="3174" spans="7:7">
      <c r="G3174" s="3732"/>
    </row>
    <row r="3175" spans="7:7">
      <c r="G3175" s="3732"/>
    </row>
    <row r="3176" spans="7:7">
      <c r="G3176" s="3732"/>
    </row>
    <row r="3177" spans="7:7">
      <c r="G3177" s="3732"/>
    </row>
    <row r="3178" spans="7:7">
      <c r="G3178" s="3732"/>
    </row>
    <row r="3179" spans="7:7">
      <c r="G3179" s="3732"/>
    </row>
    <row r="3180" spans="7:7">
      <c r="G3180" s="3732"/>
    </row>
    <row r="3181" spans="7:7">
      <c r="G3181" s="3732"/>
    </row>
    <row r="3182" spans="7:7">
      <c r="G3182" s="3732"/>
    </row>
    <row r="3183" spans="7:7">
      <c r="G3183" s="3732"/>
    </row>
    <row r="3184" spans="7:7">
      <c r="G3184" s="3732"/>
    </row>
    <row r="3185" spans="7:7">
      <c r="G3185" s="3732"/>
    </row>
    <row r="3186" spans="7:7">
      <c r="G3186" s="3732"/>
    </row>
    <row r="3187" spans="7:7">
      <c r="G3187" s="3732"/>
    </row>
    <row r="3188" spans="7:7">
      <c r="G3188" s="3732"/>
    </row>
    <row r="3189" spans="7:7">
      <c r="G3189" s="3732"/>
    </row>
    <row r="3190" spans="7:7">
      <c r="G3190" s="3732"/>
    </row>
    <row r="3191" spans="7:7">
      <c r="G3191" s="3732"/>
    </row>
    <row r="3192" spans="7:7">
      <c r="G3192" s="3732"/>
    </row>
    <row r="3193" spans="7:7">
      <c r="G3193" s="3732"/>
    </row>
    <row r="3194" spans="7:7">
      <c r="G3194" s="3732"/>
    </row>
    <row r="3195" spans="7:7">
      <c r="G3195" s="3732"/>
    </row>
    <row r="3196" spans="7:7">
      <c r="G3196" s="3732"/>
    </row>
    <row r="3197" spans="7:7">
      <c r="G3197" s="3732"/>
    </row>
    <row r="3198" spans="7:7">
      <c r="G3198" s="3732"/>
    </row>
    <row r="3199" spans="7:7">
      <c r="G3199" s="3732"/>
    </row>
    <row r="3200" spans="7:7">
      <c r="G3200" s="3732"/>
    </row>
    <row r="3201" spans="7:7">
      <c r="G3201" s="3732"/>
    </row>
    <row r="3202" spans="7:7">
      <c r="G3202" s="3732"/>
    </row>
    <row r="3203" spans="7:7">
      <c r="G3203" s="3732"/>
    </row>
    <row r="3204" spans="7:7">
      <c r="G3204" s="3732"/>
    </row>
    <row r="3205" spans="7:7">
      <c r="G3205" s="3732"/>
    </row>
    <row r="3206" spans="7:7">
      <c r="G3206" s="3732"/>
    </row>
    <row r="3207" spans="7:7">
      <c r="G3207" s="3732"/>
    </row>
    <row r="3208" spans="7:7">
      <c r="G3208" s="3732"/>
    </row>
    <row r="3209" spans="7:7">
      <c r="G3209" s="3732"/>
    </row>
    <row r="3210" spans="7:7">
      <c r="G3210" s="3732"/>
    </row>
    <row r="3211" spans="7:7">
      <c r="G3211" s="3732"/>
    </row>
    <row r="3212" spans="7:7">
      <c r="G3212" s="3732"/>
    </row>
    <row r="3213" spans="7:7">
      <c r="G3213" s="3732"/>
    </row>
    <row r="3214" spans="7:7">
      <c r="G3214" s="3732"/>
    </row>
    <row r="3215" spans="7:7">
      <c r="G3215" s="3732"/>
    </row>
    <row r="3216" spans="7:7">
      <c r="G3216" s="3732"/>
    </row>
    <row r="3217" spans="7:7">
      <c r="G3217" s="3732"/>
    </row>
    <row r="3218" spans="7:7">
      <c r="G3218" s="3732"/>
    </row>
    <row r="3219" spans="7:7">
      <c r="G3219" s="3732"/>
    </row>
    <row r="3220" spans="7:7">
      <c r="G3220" s="3732"/>
    </row>
    <row r="3221" spans="7:7">
      <c r="G3221" s="3732"/>
    </row>
    <row r="3222" spans="7:7">
      <c r="G3222" s="3732"/>
    </row>
    <row r="3223" spans="7:7">
      <c r="G3223" s="3732"/>
    </row>
    <row r="3224" spans="7:7">
      <c r="G3224" s="3732"/>
    </row>
    <row r="3225" spans="7:7">
      <c r="G3225" s="3732"/>
    </row>
    <row r="3226" spans="7:7">
      <c r="G3226" s="3732"/>
    </row>
    <row r="3227" spans="7:7">
      <c r="G3227" s="3732"/>
    </row>
    <row r="3228" spans="7:7">
      <c r="G3228" s="3732"/>
    </row>
    <row r="3229" spans="7:7">
      <c r="G3229" s="3732"/>
    </row>
    <row r="3230" spans="7:7">
      <c r="G3230" s="3732"/>
    </row>
    <row r="3231" spans="7:7">
      <c r="G3231" s="3732"/>
    </row>
    <row r="3232" spans="7:7">
      <c r="G3232" s="3732"/>
    </row>
    <row r="3233" spans="7:7">
      <c r="G3233" s="3732"/>
    </row>
    <row r="3234" spans="7:7">
      <c r="G3234" s="3732"/>
    </row>
    <row r="3235" spans="7:7">
      <c r="G3235" s="3732"/>
    </row>
    <row r="3236" spans="7:7">
      <c r="G3236" s="3732"/>
    </row>
    <row r="3237" spans="7:7">
      <c r="G3237" s="3732"/>
    </row>
    <row r="3238" spans="7:7">
      <c r="G3238" s="3732"/>
    </row>
    <row r="3239" spans="7:7">
      <c r="G3239" s="3732"/>
    </row>
    <row r="3240" spans="7:7">
      <c r="G3240" s="3732"/>
    </row>
    <row r="3241" spans="7:7">
      <c r="G3241" s="3732"/>
    </row>
    <row r="3242" spans="7:7">
      <c r="G3242" s="3732"/>
    </row>
    <row r="3243" spans="7:7">
      <c r="G3243" s="3732"/>
    </row>
    <row r="3244" spans="7:7">
      <c r="G3244" s="3732"/>
    </row>
    <row r="3245" spans="7:7">
      <c r="G3245" s="3732"/>
    </row>
    <row r="3246" spans="7:7">
      <c r="G3246" s="3732"/>
    </row>
    <row r="3247" spans="7:7">
      <c r="G3247" s="3732"/>
    </row>
    <row r="3248" spans="7:7">
      <c r="G3248" s="3732"/>
    </row>
    <row r="3249" spans="7:7">
      <c r="G3249" s="3732"/>
    </row>
    <row r="3250" spans="7:7">
      <c r="G3250" s="3732"/>
    </row>
    <row r="3251" spans="7:7">
      <c r="G3251" s="3732"/>
    </row>
    <row r="3252" spans="7:7">
      <c r="G3252" s="3732"/>
    </row>
    <row r="3253" spans="7:7">
      <c r="G3253" s="3732"/>
    </row>
    <row r="3254" spans="7:7">
      <c r="G3254" s="3732"/>
    </row>
    <row r="3255" spans="7:7">
      <c r="G3255" s="3732"/>
    </row>
    <row r="3256" spans="7:7">
      <c r="G3256" s="3732"/>
    </row>
    <row r="3257" spans="7:7">
      <c r="G3257" s="3732"/>
    </row>
    <row r="3258" spans="7:7">
      <c r="G3258" s="3732"/>
    </row>
    <row r="3259" spans="7:7">
      <c r="G3259" s="3732"/>
    </row>
    <row r="3260" spans="7:7">
      <c r="G3260" s="3732"/>
    </row>
    <row r="3261" spans="7:7">
      <c r="G3261" s="3732"/>
    </row>
    <row r="3262" spans="7:7">
      <c r="G3262" s="3732"/>
    </row>
    <row r="3263" spans="7:7">
      <c r="G3263" s="3732"/>
    </row>
    <row r="3264" spans="7:7">
      <c r="G3264" s="3732"/>
    </row>
    <row r="3265" spans="7:7">
      <c r="G3265" s="3732"/>
    </row>
    <row r="3266" spans="7:7">
      <c r="G3266" s="3732"/>
    </row>
    <row r="3267" spans="7:7">
      <c r="G3267" s="3732"/>
    </row>
    <row r="3268" spans="7:7">
      <c r="G3268" s="3732"/>
    </row>
    <row r="3269" spans="7:7">
      <c r="G3269" s="3732"/>
    </row>
    <row r="3270" spans="7:7">
      <c r="G3270" s="3732"/>
    </row>
    <row r="3271" spans="7:7">
      <c r="G3271" s="3732"/>
    </row>
    <row r="3272" spans="7:7">
      <c r="G3272" s="3732"/>
    </row>
    <row r="3273" spans="7:7">
      <c r="G3273" s="3732"/>
    </row>
    <row r="3274" spans="7:7">
      <c r="G3274" s="3732"/>
    </row>
    <row r="3275" spans="7:7">
      <c r="G3275" s="3732"/>
    </row>
    <row r="3276" spans="7:7">
      <c r="G3276" s="3732"/>
    </row>
    <row r="3277" spans="7:7">
      <c r="G3277" s="3732"/>
    </row>
    <row r="3278" spans="7:7">
      <c r="G3278" s="3732"/>
    </row>
    <row r="3279" spans="7:7">
      <c r="G3279" s="3732"/>
    </row>
    <row r="3280" spans="7:7">
      <c r="G3280" s="3732"/>
    </row>
    <row r="3281" spans="7:7">
      <c r="G3281" s="3732"/>
    </row>
    <row r="3282" spans="7:7">
      <c r="G3282" s="3732"/>
    </row>
    <row r="3283" spans="7:7">
      <c r="G3283" s="3732"/>
    </row>
    <row r="3284" spans="7:7">
      <c r="G3284" s="3732"/>
    </row>
    <row r="3285" spans="7:7">
      <c r="G3285" s="3732"/>
    </row>
    <row r="3286" spans="7:7">
      <c r="G3286" s="3732"/>
    </row>
    <row r="3287" spans="7:7">
      <c r="G3287" s="3732"/>
    </row>
    <row r="3288" spans="7:7">
      <c r="G3288" s="3732"/>
    </row>
    <row r="3289" spans="7:7">
      <c r="G3289" s="3732"/>
    </row>
    <row r="3290" spans="7:7">
      <c r="G3290" s="3732"/>
    </row>
    <row r="3291" spans="7:7">
      <c r="G3291" s="3732"/>
    </row>
    <row r="3292" spans="7:7">
      <c r="G3292" s="3732"/>
    </row>
    <row r="3293" spans="7:7">
      <c r="G3293" s="3732"/>
    </row>
    <row r="3294" spans="7:7">
      <c r="G3294" s="3732"/>
    </row>
    <row r="3295" spans="7:7">
      <c r="G3295" s="3732"/>
    </row>
    <row r="3296" spans="7:7">
      <c r="G3296" s="3732"/>
    </row>
    <row r="3297" spans="7:7">
      <c r="G3297" s="3732"/>
    </row>
    <row r="3298" spans="7:7">
      <c r="G3298" s="3732"/>
    </row>
    <row r="3299" spans="7:7">
      <c r="G3299" s="3732"/>
    </row>
    <row r="3300" spans="7:7">
      <c r="G3300" s="3732"/>
    </row>
    <row r="3301" spans="7:7">
      <c r="G3301" s="3732"/>
    </row>
    <row r="3302" spans="7:7">
      <c r="G3302" s="3732"/>
    </row>
    <row r="3303" spans="7:7">
      <c r="G3303" s="3732"/>
    </row>
    <row r="3304" spans="7:7">
      <c r="G3304" s="3732"/>
    </row>
    <row r="3305" spans="7:7">
      <c r="G3305" s="3732"/>
    </row>
    <row r="3306" spans="7:7">
      <c r="G3306" s="3732"/>
    </row>
    <row r="3307" spans="7:7">
      <c r="G3307" s="3732"/>
    </row>
    <row r="3308" spans="7:7">
      <c r="G3308" s="3732"/>
    </row>
    <row r="3309" spans="7:7">
      <c r="G3309" s="3732"/>
    </row>
    <row r="3310" spans="7:7">
      <c r="G3310" s="3732"/>
    </row>
    <row r="3311" spans="7:7">
      <c r="G3311" s="3732"/>
    </row>
    <row r="3312" spans="7:7">
      <c r="G3312" s="3732"/>
    </row>
    <row r="3313" spans="7:7">
      <c r="G3313" s="3732"/>
    </row>
    <row r="3314" spans="7:7">
      <c r="G3314" s="3732"/>
    </row>
    <row r="3315" spans="7:7">
      <c r="G3315" s="3732"/>
    </row>
    <row r="3316" spans="7:7">
      <c r="G3316" s="3732"/>
    </row>
    <row r="3317" spans="7:7">
      <c r="G3317" s="3732"/>
    </row>
    <row r="3318" spans="7:7">
      <c r="G3318" s="3732"/>
    </row>
    <row r="3319" spans="7:7">
      <c r="G3319" s="3732"/>
    </row>
    <row r="3320" spans="7:7">
      <c r="G3320" s="3732"/>
    </row>
    <row r="3321" spans="7:7">
      <c r="G3321" s="3732"/>
    </row>
    <row r="3322" spans="7:7">
      <c r="G3322" s="3732"/>
    </row>
    <row r="3323" spans="7:7">
      <c r="G3323" s="3732"/>
    </row>
    <row r="3324" spans="7:7">
      <c r="G3324" s="3732"/>
    </row>
    <row r="3325" spans="7:7">
      <c r="G3325" s="3732"/>
    </row>
    <row r="3326" spans="7:7">
      <c r="G3326" s="3732"/>
    </row>
    <row r="3327" spans="7:7">
      <c r="G3327" s="3732"/>
    </row>
    <row r="3328" spans="7:7">
      <c r="G3328" s="3732"/>
    </row>
    <row r="3329" spans="7:7">
      <c r="G3329" s="3732"/>
    </row>
    <row r="3330" spans="7:7">
      <c r="G3330" s="3732"/>
    </row>
    <row r="3331" spans="7:7">
      <c r="G3331" s="3732"/>
    </row>
    <row r="3332" spans="7:7">
      <c r="G3332" s="3732"/>
    </row>
    <row r="3333" spans="7:7">
      <c r="G3333" s="3732"/>
    </row>
    <row r="3334" spans="7:7">
      <c r="G3334" s="3732"/>
    </row>
    <row r="3335" spans="7:7">
      <c r="G3335" s="3732"/>
    </row>
    <row r="3336" spans="7:7">
      <c r="G3336" s="3732"/>
    </row>
    <row r="3337" spans="7:7">
      <c r="G3337" s="3732"/>
    </row>
    <row r="3338" spans="7:7">
      <c r="G3338" s="3732"/>
    </row>
    <row r="3339" spans="7:7">
      <c r="G3339" s="3732"/>
    </row>
    <row r="3340" spans="7:7">
      <c r="G3340" s="3732"/>
    </row>
    <row r="3341" spans="7:7">
      <c r="G3341" s="3732"/>
    </row>
    <row r="3342" spans="7:7">
      <c r="G3342" s="3732"/>
    </row>
    <row r="3343" spans="7:7">
      <c r="G3343" s="3732"/>
    </row>
    <row r="3344" spans="7:7">
      <c r="G3344" s="3732"/>
    </row>
    <row r="3345" spans="7:7">
      <c r="G3345" s="3732"/>
    </row>
    <row r="3346" spans="7:7">
      <c r="G3346" s="3732"/>
    </row>
    <row r="3347" spans="7:7">
      <c r="G3347" s="3732"/>
    </row>
    <row r="3348" spans="7:7">
      <c r="G3348" s="3732"/>
    </row>
    <row r="3349" spans="7:7">
      <c r="G3349" s="3732"/>
    </row>
    <row r="3350" spans="7:7">
      <c r="G3350" s="3732"/>
    </row>
    <row r="3351" spans="7:7">
      <c r="G3351" s="3732"/>
    </row>
    <row r="3352" spans="7:7">
      <c r="G3352" s="3732"/>
    </row>
    <row r="3353" spans="7:7">
      <c r="G3353" s="3732"/>
    </row>
    <row r="3354" spans="7:7">
      <c r="G3354" s="3732"/>
    </row>
    <row r="3355" spans="7:7">
      <c r="G3355" s="3732"/>
    </row>
    <row r="3356" spans="7:7">
      <c r="G3356" s="3732"/>
    </row>
    <row r="3357" spans="7:7">
      <c r="G3357" s="3732"/>
    </row>
    <row r="3358" spans="7:7">
      <c r="G3358" s="3732"/>
    </row>
    <row r="3359" spans="7:7">
      <c r="G3359" s="3732"/>
    </row>
    <row r="3360" spans="7:7">
      <c r="G3360" s="3732"/>
    </row>
    <row r="3361" spans="7:7">
      <c r="G3361" s="3732"/>
    </row>
    <row r="3362" spans="7:7">
      <c r="G3362" s="3732"/>
    </row>
    <row r="3363" spans="7:7">
      <c r="G3363" s="3732"/>
    </row>
    <row r="3364" spans="7:7">
      <c r="G3364" s="3732"/>
    </row>
    <row r="3365" spans="7:7">
      <c r="G3365" s="3732"/>
    </row>
    <row r="3366" spans="7:7">
      <c r="G3366" s="3732"/>
    </row>
    <row r="3367" spans="7:7">
      <c r="G3367" s="3732"/>
    </row>
    <row r="3368" spans="7:7">
      <c r="G3368" s="3732"/>
    </row>
    <row r="3369" spans="7:7">
      <c r="G3369" s="3732"/>
    </row>
    <row r="3370" spans="7:7">
      <c r="G3370" s="3732"/>
    </row>
    <row r="3371" spans="7:7">
      <c r="G3371" s="3732"/>
    </row>
    <row r="3372" spans="7:7">
      <c r="G3372" s="3732"/>
    </row>
    <row r="3373" spans="7:7">
      <c r="G3373" s="3732"/>
    </row>
    <row r="3374" spans="7:7">
      <c r="G3374" s="3732"/>
    </row>
    <row r="3375" spans="7:7">
      <c r="G3375" s="3732"/>
    </row>
    <row r="3376" spans="7:7">
      <c r="G3376" s="3732"/>
    </row>
    <row r="3377" spans="7:7">
      <c r="G3377" s="3732"/>
    </row>
    <row r="3378" spans="7:7">
      <c r="G3378" s="3732"/>
    </row>
    <row r="3379" spans="7:7">
      <c r="G3379" s="3732"/>
    </row>
    <row r="3380" spans="7:7">
      <c r="G3380" s="3732"/>
    </row>
    <row r="3381" spans="7:7">
      <c r="G3381" s="3732"/>
    </row>
    <row r="3382" spans="7:7">
      <c r="G3382" s="3732"/>
    </row>
    <row r="3383" spans="7:7">
      <c r="G3383" s="3732"/>
    </row>
    <row r="3384" spans="7:7">
      <c r="G3384" s="3732"/>
    </row>
    <row r="3385" spans="7:7">
      <c r="G3385" s="3732"/>
    </row>
    <row r="3386" spans="7:7">
      <c r="G3386" s="3732"/>
    </row>
    <row r="3387" spans="7:7">
      <c r="G3387" s="3732"/>
    </row>
    <row r="3388" spans="7:7">
      <c r="G3388" s="3732"/>
    </row>
    <row r="3389" spans="7:7">
      <c r="G3389" s="3732"/>
    </row>
    <row r="3390" spans="7:7">
      <c r="G3390" s="3732"/>
    </row>
    <row r="3391" spans="7:7">
      <c r="G3391" s="3732"/>
    </row>
    <row r="3392" spans="7:7">
      <c r="G3392" s="3732"/>
    </row>
    <row r="3393" spans="7:7">
      <c r="G3393" s="3732"/>
    </row>
    <row r="3394" spans="7:7">
      <c r="G3394" s="3732"/>
    </row>
    <row r="3395" spans="7:7">
      <c r="G3395" s="3732"/>
    </row>
    <row r="3396" spans="7:7">
      <c r="G3396" s="3732"/>
    </row>
    <row r="3397" spans="7:7">
      <c r="G3397" s="3732"/>
    </row>
    <row r="3398" spans="7:7">
      <c r="G3398" s="3732"/>
    </row>
    <row r="3399" spans="7:7">
      <c r="G3399" s="3732"/>
    </row>
    <row r="3400" spans="7:7">
      <c r="G3400" s="3732"/>
    </row>
    <row r="3401" spans="7:7">
      <c r="G3401" s="3732"/>
    </row>
    <row r="3402" spans="7:7">
      <c r="G3402" s="3732"/>
    </row>
    <row r="3403" spans="7:7">
      <c r="G3403" s="3732"/>
    </row>
    <row r="3404" spans="7:7">
      <c r="G3404" s="3732"/>
    </row>
    <row r="3405" spans="7:7">
      <c r="G3405" s="3732"/>
    </row>
    <row r="3406" spans="7:7">
      <c r="G3406" s="3732"/>
    </row>
    <row r="3407" spans="7:7">
      <c r="G3407" s="3732"/>
    </row>
    <row r="3408" spans="7:7">
      <c r="G3408" s="3732"/>
    </row>
    <row r="3409" spans="7:7">
      <c r="G3409" s="3732"/>
    </row>
    <row r="3410" spans="7:7">
      <c r="G3410" s="3732"/>
    </row>
    <row r="3411" spans="7:7">
      <c r="G3411" s="3732"/>
    </row>
    <row r="3412" spans="7:7">
      <c r="G3412" s="3732"/>
    </row>
    <row r="3413" spans="7:7">
      <c r="G3413" s="3732"/>
    </row>
    <row r="3414" spans="7:7">
      <c r="G3414" s="3732"/>
    </row>
    <row r="3415" spans="7:7">
      <c r="G3415" s="3732"/>
    </row>
    <row r="3416" spans="7:7">
      <c r="G3416" s="3732"/>
    </row>
    <row r="3417" spans="7:7">
      <c r="G3417" s="3732"/>
    </row>
    <row r="3418" spans="7:7">
      <c r="G3418" s="3732"/>
    </row>
    <row r="3419" spans="7:7">
      <c r="G3419" s="3732"/>
    </row>
    <row r="3420" spans="7:7">
      <c r="G3420" s="3732"/>
    </row>
    <row r="3421" spans="7:7">
      <c r="G3421" s="3732"/>
    </row>
    <row r="3422" spans="7:7">
      <c r="G3422" s="3732"/>
    </row>
    <row r="3423" spans="7:7">
      <c r="G3423" s="3732"/>
    </row>
    <row r="3424" spans="7:7">
      <c r="G3424" s="3732"/>
    </row>
    <row r="3425" spans="7:7">
      <c r="G3425" s="3732"/>
    </row>
    <row r="3426" spans="7:7">
      <c r="G3426" s="3732"/>
    </row>
    <row r="3427" spans="7:7">
      <c r="G3427" s="3732"/>
    </row>
    <row r="3428" spans="7:7">
      <c r="G3428" s="3732"/>
    </row>
    <row r="3429" spans="7:7">
      <c r="G3429" s="3732"/>
    </row>
    <row r="3430" spans="7:7">
      <c r="G3430" s="3732"/>
    </row>
    <row r="3431" spans="7:7">
      <c r="G3431" s="3732"/>
    </row>
    <row r="3432" spans="7:7">
      <c r="G3432" s="3732"/>
    </row>
    <row r="3433" spans="7:7">
      <c r="G3433" s="3732"/>
    </row>
    <row r="3434" spans="7:7">
      <c r="G3434" s="3732"/>
    </row>
    <row r="3435" spans="7:7">
      <c r="G3435" s="3732"/>
    </row>
    <row r="3436" spans="7:7">
      <c r="G3436" s="3732"/>
    </row>
    <row r="3437" spans="7:7">
      <c r="G3437" s="3732"/>
    </row>
    <row r="3438" spans="7:7">
      <c r="G3438" s="3732"/>
    </row>
    <row r="3439" spans="7:7">
      <c r="G3439" s="3732"/>
    </row>
    <row r="3440" spans="7:7">
      <c r="G3440" s="3732"/>
    </row>
    <row r="3441" spans="7:7">
      <c r="G3441" s="3732"/>
    </row>
    <row r="3442" spans="7:7">
      <c r="G3442" s="3732"/>
    </row>
    <row r="3443" spans="7:7">
      <c r="G3443" s="3732"/>
    </row>
    <row r="3444" spans="7:7">
      <c r="G3444" s="3732"/>
    </row>
    <row r="3445" spans="7:7">
      <c r="G3445" s="3732"/>
    </row>
    <row r="3446" spans="7:7">
      <c r="G3446" s="3732"/>
    </row>
    <row r="3447" spans="7:7">
      <c r="G3447" s="3732"/>
    </row>
    <row r="3448" spans="7:7">
      <c r="G3448" s="3732"/>
    </row>
    <row r="3449" spans="7:7">
      <c r="G3449" s="3732"/>
    </row>
    <row r="3450" spans="7:7">
      <c r="G3450" s="3732"/>
    </row>
    <row r="3451" spans="7:7">
      <c r="G3451" s="3732"/>
    </row>
    <row r="3452" spans="7:7">
      <c r="G3452" s="3732"/>
    </row>
    <row r="3453" spans="7:7">
      <c r="G3453" s="3732"/>
    </row>
    <row r="3454" spans="7:7">
      <c r="G3454" s="3732"/>
    </row>
    <row r="3455" spans="7:7">
      <c r="G3455" s="3732"/>
    </row>
    <row r="3456" spans="7:7">
      <c r="G3456" s="3732"/>
    </row>
    <row r="3457" spans="7:7">
      <c r="G3457" s="3732"/>
    </row>
    <row r="3458" spans="7:7">
      <c r="G3458" s="3732"/>
    </row>
    <row r="3459" spans="7:7">
      <c r="G3459" s="3732"/>
    </row>
    <row r="3460" spans="7:7">
      <c r="G3460" s="3732"/>
    </row>
    <row r="3461" spans="7:7">
      <c r="G3461" s="3732"/>
    </row>
    <row r="3462" spans="7:7">
      <c r="G3462" s="3732"/>
    </row>
    <row r="3463" spans="7:7">
      <c r="G3463" s="3732"/>
    </row>
    <row r="3464" spans="7:7">
      <c r="G3464" s="3732"/>
    </row>
    <row r="3465" spans="7:7">
      <c r="G3465" s="3732"/>
    </row>
    <row r="3466" spans="7:7">
      <c r="G3466" s="3732"/>
    </row>
    <row r="3467" spans="7:7">
      <c r="G3467" s="3732"/>
    </row>
    <row r="3468" spans="7:7">
      <c r="G3468" s="3732"/>
    </row>
    <row r="3469" spans="7:7">
      <c r="G3469" s="3732"/>
    </row>
    <row r="3470" spans="7:7">
      <c r="G3470" s="3732"/>
    </row>
    <row r="3471" spans="7:7">
      <c r="G3471" s="3732"/>
    </row>
    <row r="3472" spans="7:7">
      <c r="G3472" s="3732"/>
    </row>
    <row r="3473" spans="7:7">
      <c r="G3473" s="3732"/>
    </row>
    <row r="3474" spans="7:7">
      <c r="G3474" s="3732"/>
    </row>
    <row r="3475" spans="7:7">
      <c r="G3475" s="3732"/>
    </row>
    <row r="3476" spans="7:7">
      <c r="G3476" s="3732"/>
    </row>
    <row r="3477" spans="7:7">
      <c r="G3477" s="3732"/>
    </row>
    <row r="3478" spans="7:7">
      <c r="G3478" s="3732"/>
    </row>
    <row r="3479" spans="7:7">
      <c r="G3479" s="3732"/>
    </row>
    <row r="3480" spans="7:7">
      <c r="G3480" s="3732"/>
    </row>
    <row r="3481" spans="7:7">
      <c r="G3481" s="3732"/>
    </row>
    <row r="3482" spans="7:7">
      <c r="G3482" s="3732"/>
    </row>
    <row r="3483" spans="7:7">
      <c r="G3483" s="3732"/>
    </row>
    <row r="3484" spans="7:7">
      <c r="G3484" s="3732"/>
    </row>
    <row r="3485" spans="7:7">
      <c r="G3485" s="3732"/>
    </row>
    <row r="3486" spans="7:7">
      <c r="G3486" s="3732"/>
    </row>
    <row r="3487" spans="7:7">
      <c r="G3487" s="3732"/>
    </row>
    <row r="3488" spans="7:7">
      <c r="G3488" s="3732"/>
    </row>
    <row r="3489" spans="7:7">
      <c r="G3489" s="3732"/>
    </row>
    <row r="3490" spans="7:7">
      <c r="G3490" s="3732"/>
    </row>
    <row r="3491" spans="7:7">
      <c r="G3491" s="3732"/>
    </row>
    <row r="3492" spans="7:7">
      <c r="G3492" s="3732"/>
    </row>
    <row r="3493" spans="7:7">
      <c r="G3493" s="3732"/>
    </row>
    <row r="3494" spans="7:7">
      <c r="G3494" s="3732"/>
    </row>
    <row r="3495" spans="7:7">
      <c r="G3495" s="3732"/>
    </row>
    <row r="3496" spans="7:7">
      <c r="G3496" s="3732"/>
    </row>
    <row r="3497" spans="7:7">
      <c r="G3497" s="3732"/>
    </row>
    <row r="3498" spans="7:7">
      <c r="G3498" s="3732"/>
    </row>
    <row r="3499" spans="7:7">
      <c r="G3499" s="3732"/>
    </row>
    <row r="3500" spans="7:7">
      <c r="G3500" s="3732"/>
    </row>
    <row r="3501" spans="7:7">
      <c r="G3501" s="3732"/>
    </row>
    <row r="3502" spans="7:7">
      <c r="G3502" s="3732"/>
    </row>
    <row r="3503" spans="7:7">
      <c r="G3503" s="3732"/>
    </row>
    <row r="3504" spans="7:7">
      <c r="G3504" s="3732"/>
    </row>
    <row r="3505" spans="7:7">
      <c r="G3505" s="3732"/>
    </row>
    <row r="3506" spans="7:7">
      <c r="G3506" s="3732"/>
    </row>
    <row r="3507" spans="7:7">
      <c r="G3507" s="3732"/>
    </row>
    <row r="3508" spans="7:7">
      <c r="G3508" s="3732"/>
    </row>
    <row r="3509" spans="7:7">
      <c r="G3509" s="3732"/>
    </row>
    <row r="3510" spans="7:7">
      <c r="G3510" s="3732"/>
    </row>
    <row r="3511" spans="7:7">
      <c r="G3511" s="3732"/>
    </row>
    <row r="3512" spans="7:7">
      <c r="G3512" s="3732"/>
    </row>
    <row r="3513" spans="7:7">
      <c r="G3513" s="3732"/>
    </row>
    <row r="3514" spans="7:7">
      <c r="G3514" s="3732"/>
    </row>
    <row r="3515" spans="7:7">
      <c r="G3515" s="3732"/>
    </row>
    <row r="3516" spans="7:7">
      <c r="G3516" s="3732"/>
    </row>
    <row r="3517" spans="7:7">
      <c r="G3517" s="3732"/>
    </row>
    <row r="3518" spans="7:7">
      <c r="G3518" s="3732"/>
    </row>
    <row r="3519" spans="7:7">
      <c r="G3519" s="3732"/>
    </row>
    <row r="3520" spans="7:7">
      <c r="G3520" s="3732"/>
    </row>
    <row r="3521" spans="7:7">
      <c r="G3521" s="3732"/>
    </row>
    <row r="3522" spans="7:7">
      <c r="G3522" s="3732"/>
    </row>
    <row r="3523" spans="7:7">
      <c r="G3523" s="3732"/>
    </row>
    <row r="3524" spans="7:7">
      <c r="G3524" s="3732"/>
    </row>
    <row r="3525" spans="7:7">
      <c r="G3525" s="3732"/>
    </row>
    <row r="3526" spans="7:7">
      <c r="G3526" s="3732"/>
    </row>
    <row r="3527" spans="7:7">
      <c r="G3527" s="3732"/>
    </row>
    <row r="3528" spans="7:7">
      <c r="G3528" s="3732"/>
    </row>
    <row r="3529" spans="7:7">
      <c r="G3529" s="3732"/>
    </row>
    <row r="3530" spans="7:7">
      <c r="G3530" s="3732"/>
    </row>
    <row r="3531" spans="7:7">
      <c r="G3531" s="3732"/>
    </row>
    <row r="3532" spans="7:7">
      <c r="G3532" s="3732"/>
    </row>
    <row r="3533" spans="7:7">
      <c r="G3533" s="3732"/>
    </row>
    <row r="3534" spans="7:7">
      <c r="G3534" s="3732"/>
    </row>
    <row r="3535" spans="7:7">
      <c r="G3535" s="3732"/>
    </row>
    <row r="3536" spans="7:7">
      <c r="G3536" s="3732"/>
    </row>
    <row r="3537" spans="7:7">
      <c r="G3537" s="3732"/>
    </row>
    <row r="3538" spans="7:7">
      <c r="G3538" s="3732"/>
    </row>
    <row r="3539" spans="7:7">
      <c r="G3539" s="3732"/>
    </row>
    <row r="3540" spans="7:7">
      <c r="G3540" s="3732"/>
    </row>
    <row r="3541" spans="7:7">
      <c r="G3541" s="3732"/>
    </row>
    <row r="3542" spans="7:7">
      <c r="G3542" s="3732"/>
    </row>
    <row r="3543" spans="7:7">
      <c r="G3543" s="3732"/>
    </row>
    <row r="3544" spans="7:7">
      <c r="G3544" s="3732"/>
    </row>
    <row r="3545" spans="7:7">
      <c r="G3545" s="3732"/>
    </row>
    <row r="3546" spans="7:7">
      <c r="G3546" s="3732"/>
    </row>
    <row r="3547" spans="7:7">
      <c r="G3547" s="3732"/>
    </row>
    <row r="3548" spans="7:7">
      <c r="G3548" s="3732"/>
    </row>
    <row r="3549" spans="7:7">
      <c r="G3549" s="3732"/>
    </row>
    <row r="3550" spans="7:7">
      <c r="G3550" s="3732"/>
    </row>
    <row r="3551" spans="7:7">
      <c r="G3551" s="3732"/>
    </row>
    <row r="3552" spans="7:7">
      <c r="G3552" s="3732"/>
    </row>
    <row r="3553" spans="7:7">
      <c r="G3553" s="3732"/>
    </row>
    <row r="3554" spans="7:7">
      <c r="G3554" s="3732"/>
    </row>
    <row r="3555" spans="7:7">
      <c r="G3555" s="3732"/>
    </row>
    <row r="3556" spans="7:7">
      <c r="G3556" s="3732"/>
    </row>
    <row r="3557" spans="7:7">
      <c r="G3557" s="3732"/>
    </row>
    <row r="3558" spans="7:7">
      <c r="G3558" s="3732"/>
    </row>
    <row r="3559" spans="7:7">
      <c r="G3559" s="3732"/>
    </row>
    <row r="3560" spans="7:7">
      <c r="G3560" s="3732"/>
    </row>
    <row r="3561" spans="7:7">
      <c r="G3561" s="3732"/>
    </row>
    <row r="3562" spans="7:7">
      <c r="G3562" s="3732"/>
    </row>
    <row r="3563" spans="7:7">
      <c r="G3563" s="3732"/>
    </row>
    <row r="3564" spans="7:7">
      <c r="G3564" s="3732"/>
    </row>
    <row r="3565" spans="7:7">
      <c r="G3565" s="3732"/>
    </row>
    <row r="3566" spans="7:7">
      <c r="G3566" s="3732"/>
    </row>
    <row r="3567" spans="7:7">
      <c r="G3567" s="3732"/>
    </row>
    <row r="3568" spans="7:7">
      <c r="G3568" s="3732"/>
    </row>
    <row r="3569" spans="7:7">
      <c r="G3569" s="3732"/>
    </row>
    <row r="3570" spans="7:7">
      <c r="G3570" s="3732"/>
    </row>
    <row r="3571" spans="7:7">
      <c r="G3571" s="3732"/>
    </row>
    <row r="3572" spans="7:7">
      <c r="G3572" s="3732"/>
    </row>
    <row r="3573" spans="7:7">
      <c r="G3573" s="3732"/>
    </row>
    <row r="3574" spans="7:7">
      <c r="G3574" s="3732"/>
    </row>
    <row r="3575" spans="7:7">
      <c r="G3575" s="3732"/>
    </row>
    <row r="3576" spans="7:7">
      <c r="G3576" s="3732"/>
    </row>
    <row r="3577" spans="7:7">
      <c r="G3577" s="3732"/>
    </row>
    <row r="3578" spans="7:7">
      <c r="G3578" s="3732"/>
    </row>
    <row r="3579" spans="7:7">
      <c r="G3579" s="3732"/>
    </row>
    <row r="3580" spans="7:7">
      <c r="G3580" s="3732"/>
    </row>
    <row r="3581" spans="7:7">
      <c r="G3581" s="3732"/>
    </row>
    <row r="3582" spans="7:7">
      <c r="G3582" s="3732"/>
    </row>
    <row r="3583" spans="7:7">
      <c r="G3583" s="3732"/>
    </row>
    <row r="3584" spans="7:7">
      <c r="G3584" s="3732"/>
    </row>
    <row r="3585" spans="7:7">
      <c r="G3585" s="3732"/>
    </row>
    <row r="3586" spans="7:7">
      <c r="G3586" s="3732"/>
    </row>
    <row r="3587" spans="7:7">
      <c r="G3587" s="3732"/>
    </row>
    <row r="3588" spans="7:7">
      <c r="G3588" s="3732"/>
    </row>
    <row r="3589" spans="7:7">
      <c r="G3589" s="3732"/>
    </row>
    <row r="3590" spans="7:7">
      <c r="G3590" s="3732"/>
    </row>
    <row r="3591" spans="7:7">
      <c r="G3591" s="3732"/>
    </row>
    <row r="3592" spans="7:7">
      <c r="G3592" s="3732"/>
    </row>
    <row r="3593" spans="7:7">
      <c r="G3593" s="3732"/>
    </row>
    <row r="3594" spans="7:7">
      <c r="G3594" s="3732"/>
    </row>
    <row r="3595" spans="7:7">
      <c r="G3595" s="3732"/>
    </row>
    <row r="3596" spans="7:7">
      <c r="G3596" s="3732"/>
    </row>
    <row r="3597" spans="7:7">
      <c r="G3597" s="3732"/>
    </row>
    <row r="3598" spans="7:7">
      <c r="G3598" s="3732"/>
    </row>
    <row r="3599" spans="7:7">
      <c r="G3599" s="3732"/>
    </row>
    <row r="3600" spans="7:7">
      <c r="G3600" s="3732"/>
    </row>
    <row r="3601" spans="7:7">
      <c r="G3601" s="3732"/>
    </row>
    <row r="3602" spans="7:7">
      <c r="G3602" s="3732"/>
    </row>
    <row r="3603" spans="7:7">
      <c r="G3603" s="3732"/>
    </row>
    <row r="3604" spans="7:7">
      <c r="G3604" s="3732"/>
    </row>
    <row r="3605" spans="7:7">
      <c r="G3605" s="3732"/>
    </row>
    <row r="3606" spans="7:7">
      <c r="G3606" s="3732"/>
    </row>
    <row r="3607" spans="7:7">
      <c r="G3607" s="3732"/>
    </row>
    <row r="3608" spans="7:7">
      <c r="G3608" s="3732"/>
    </row>
    <row r="3609" spans="7:7">
      <c r="G3609" s="3732"/>
    </row>
    <row r="3610" spans="7:7">
      <c r="G3610" s="3732"/>
    </row>
    <row r="3611" spans="7:7">
      <c r="G3611" s="3732"/>
    </row>
    <row r="3612" spans="7:7">
      <c r="G3612" s="3732"/>
    </row>
    <row r="3613" spans="7:7">
      <c r="G3613" s="3732"/>
    </row>
    <row r="3614" spans="7:7">
      <c r="G3614" s="3732"/>
    </row>
    <row r="3615" spans="7:7">
      <c r="G3615" s="3732"/>
    </row>
    <row r="3616" spans="7:7">
      <c r="G3616" s="3732"/>
    </row>
    <row r="3617" spans="7:7">
      <c r="G3617" s="3732"/>
    </row>
    <row r="3618" spans="7:7">
      <c r="G3618" s="3732"/>
    </row>
    <row r="3619" spans="7:7">
      <c r="G3619" s="3732"/>
    </row>
    <row r="3620" spans="7:7">
      <c r="G3620" s="3732"/>
    </row>
    <row r="3621" spans="7:7">
      <c r="G3621" s="3732"/>
    </row>
    <row r="3622" spans="7:7">
      <c r="G3622" s="3732"/>
    </row>
    <row r="3623" spans="7:7">
      <c r="G3623" s="3732"/>
    </row>
    <row r="3624" spans="7:7">
      <c r="G3624" s="3732"/>
    </row>
    <row r="3625" spans="7:7">
      <c r="G3625" s="3732"/>
    </row>
    <row r="3626" spans="7:7">
      <c r="G3626" s="3732"/>
    </row>
    <row r="3627" spans="7:7">
      <c r="G3627" s="3732"/>
    </row>
    <row r="3628" spans="7:7">
      <c r="G3628" s="3732"/>
    </row>
    <row r="3629" spans="7:7">
      <c r="G3629" s="3732"/>
    </row>
    <row r="3630" spans="7:7">
      <c r="G3630" s="3732"/>
    </row>
    <row r="3631" spans="7:7">
      <c r="G3631" s="3732"/>
    </row>
    <row r="3632" spans="7:7">
      <c r="G3632" s="3732"/>
    </row>
    <row r="3633" spans="7:7">
      <c r="G3633" s="3732"/>
    </row>
    <row r="3634" spans="7:7">
      <c r="G3634" s="3732"/>
    </row>
    <row r="3635" spans="7:7">
      <c r="G3635" s="3732"/>
    </row>
    <row r="3636" spans="7:7">
      <c r="G3636" s="3732"/>
    </row>
    <row r="3637" spans="7:7">
      <c r="G3637" s="3732"/>
    </row>
    <row r="3638" spans="7:7">
      <c r="G3638" s="3732"/>
    </row>
    <row r="3639" spans="7:7">
      <c r="G3639" s="3732"/>
    </row>
    <row r="3640" spans="7:7">
      <c r="G3640" s="3732"/>
    </row>
    <row r="3641" spans="7:7">
      <c r="G3641" s="3732"/>
    </row>
    <row r="3642" spans="7:7">
      <c r="G3642" s="3732"/>
    </row>
    <row r="3643" spans="7:7">
      <c r="G3643" s="3732"/>
    </row>
    <row r="3644" spans="7:7">
      <c r="G3644" s="3732"/>
    </row>
    <row r="3645" spans="7:7">
      <c r="G3645" s="3732"/>
    </row>
    <row r="3646" spans="7:7">
      <c r="G3646" s="3732"/>
    </row>
    <row r="3647" spans="7:7">
      <c r="G3647" s="3732"/>
    </row>
    <row r="3648" spans="7:7">
      <c r="G3648" s="3732"/>
    </row>
    <row r="3649" spans="7:7">
      <c r="G3649" s="3732"/>
    </row>
    <row r="3650" spans="7:7">
      <c r="G3650" s="3732"/>
    </row>
    <row r="3651" spans="7:7">
      <c r="G3651" s="3732"/>
    </row>
    <row r="3652" spans="7:7">
      <c r="G3652" s="3732"/>
    </row>
    <row r="3653" spans="7:7">
      <c r="G3653" s="3732"/>
    </row>
    <row r="3654" spans="7:7">
      <c r="G3654" s="3732"/>
    </row>
    <row r="3655" spans="7:7">
      <c r="G3655" s="3732"/>
    </row>
    <row r="3656" spans="7:7">
      <c r="G3656" s="3732"/>
    </row>
    <row r="3657" spans="7:7">
      <c r="G3657" s="3732"/>
    </row>
    <row r="3658" spans="7:7">
      <c r="G3658" s="3732"/>
    </row>
    <row r="3659" spans="7:7">
      <c r="G3659" s="3732"/>
    </row>
    <row r="3660" spans="7:7">
      <c r="G3660" s="3732"/>
    </row>
    <row r="3661" spans="7:7">
      <c r="G3661" s="3732"/>
    </row>
    <row r="3662" spans="7:7">
      <c r="G3662" s="3732"/>
    </row>
    <row r="3663" spans="7:7">
      <c r="G3663" s="3732"/>
    </row>
    <row r="3664" spans="7:7">
      <c r="G3664" s="3732"/>
    </row>
    <row r="3665" spans="7:7">
      <c r="G3665" s="3732"/>
    </row>
    <row r="3666" spans="7:7">
      <c r="G3666" s="3732"/>
    </row>
    <row r="3667" spans="7:7">
      <c r="G3667" s="3732"/>
    </row>
    <row r="3668" spans="7:7">
      <c r="G3668" s="3732"/>
    </row>
    <row r="3669" spans="7:7">
      <c r="G3669" s="3732"/>
    </row>
    <row r="3670" spans="7:7">
      <c r="G3670" s="3732"/>
    </row>
    <row r="3671" spans="7:7">
      <c r="G3671" s="3732"/>
    </row>
    <row r="3672" spans="7:7">
      <c r="G3672" s="3732"/>
    </row>
    <row r="3673" spans="7:7">
      <c r="G3673" s="3732"/>
    </row>
    <row r="3674" spans="7:7">
      <c r="G3674" s="3732"/>
    </row>
    <row r="3675" spans="7:7">
      <c r="G3675" s="3732"/>
    </row>
    <row r="3676" spans="7:7">
      <c r="G3676" s="3732"/>
    </row>
    <row r="3677" spans="7:7">
      <c r="G3677" s="3732"/>
    </row>
    <row r="3678" spans="7:7">
      <c r="G3678" s="3732"/>
    </row>
    <row r="3679" spans="7:7">
      <c r="G3679" s="3732"/>
    </row>
    <row r="3680" spans="7:7">
      <c r="G3680" s="3732"/>
    </row>
    <row r="3681" spans="7:7">
      <c r="G3681" s="3732"/>
    </row>
    <row r="3682" spans="7:7">
      <c r="G3682" s="3732"/>
    </row>
    <row r="3683" spans="7:7">
      <c r="G3683" s="3732"/>
    </row>
    <row r="3684" spans="7:7">
      <c r="G3684" s="3732"/>
    </row>
    <row r="3685" spans="7:7">
      <c r="G3685" s="3732"/>
    </row>
    <row r="3686" spans="7:7">
      <c r="G3686" s="3732"/>
    </row>
    <row r="3687" spans="7:7">
      <c r="G3687" s="3732"/>
    </row>
    <row r="3688" spans="7:7">
      <c r="G3688" s="3732"/>
    </row>
    <row r="3689" spans="7:7">
      <c r="G3689" s="3732"/>
    </row>
    <row r="3690" spans="7:7">
      <c r="G3690" s="3732"/>
    </row>
    <row r="3691" spans="7:7">
      <c r="G3691" s="3732"/>
    </row>
    <row r="3692" spans="7:7">
      <c r="G3692" s="3732"/>
    </row>
    <row r="3693" spans="7:7">
      <c r="G3693" s="3732"/>
    </row>
    <row r="3694" spans="7:7">
      <c r="G3694" s="3732"/>
    </row>
    <row r="3695" spans="7:7">
      <c r="G3695" s="3732"/>
    </row>
    <row r="3696" spans="7:7">
      <c r="G3696" s="3732"/>
    </row>
    <row r="3697" spans="7:7">
      <c r="G3697" s="3732"/>
    </row>
    <row r="3698" spans="7:7">
      <c r="G3698" s="3732"/>
    </row>
    <row r="3699" spans="7:7">
      <c r="G3699" s="3732"/>
    </row>
    <row r="3700" spans="7:7">
      <c r="G3700" s="3732"/>
    </row>
    <row r="3701" spans="7:7">
      <c r="G3701" s="3732"/>
    </row>
    <row r="3702" spans="7:7">
      <c r="G3702" s="3732"/>
    </row>
    <row r="3703" spans="7:7">
      <c r="G3703" s="3732"/>
    </row>
    <row r="3704" spans="7:7">
      <c r="G3704" s="3732"/>
    </row>
    <row r="3705" spans="7:7">
      <c r="G3705" s="3732"/>
    </row>
    <row r="3706" spans="7:7">
      <c r="G3706" s="3732"/>
    </row>
    <row r="3707" spans="7:7">
      <c r="G3707" s="3732"/>
    </row>
    <row r="3708" spans="7:7">
      <c r="G3708" s="3732"/>
    </row>
    <row r="3709" spans="7:7">
      <c r="G3709" s="3732"/>
    </row>
    <row r="3710" spans="7:7">
      <c r="G3710" s="3732"/>
    </row>
    <row r="3711" spans="7:7">
      <c r="G3711" s="3732"/>
    </row>
    <row r="3712" spans="7:7">
      <c r="G3712" s="3732"/>
    </row>
    <row r="3713" spans="7:7">
      <c r="G3713" s="3732"/>
    </row>
    <row r="3714" spans="7:7">
      <c r="G3714" s="3732"/>
    </row>
    <row r="3715" spans="7:7">
      <c r="G3715" s="3732"/>
    </row>
    <row r="3716" spans="7:7">
      <c r="G3716" s="3732"/>
    </row>
    <row r="3717" spans="7:7">
      <c r="G3717" s="3732"/>
    </row>
    <row r="3718" spans="7:7">
      <c r="G3718" s="3732"/>
    </row>
    <row r="3719" spans="7:7">
      <c r="G3719" s="3732"/>
    </row>
    <row r="3720" spans="7:7">
      <c r="G3720" s="3732"/>
    </row>
    <row r="3721" spans="7:7">
      <c r="G3721" s="3732"/>
    </row>
    <row r="3722" spans="7:7">
      <c r="G3722" s="3732"/>
    </row>
    <row r="3723" spans="7:7">
      <c r="G3723" s="3732"/>
    </row>
    <row r="3724" spans="7:7">
      <c r="G3724" s="3732"/>
    </row>
    <row r="3725" spans="7:7">
      <c r="G3725" s="3732"/>
    </row>
    <row r="3726" spans="7:7">
      <c r="G3726" s="3732"/>
    </row>
    <row r="3727" spans="7:7">
      <c r="G3727" s="3732"/>
    </row>
    <row r="3728" spans="7:7">
      <c r="G3728" s="3732"/>
    </row>
    <row r="3729" spans="7:7">
      <c r="G3729" s="3732"/>
    </row>
    <row r="3730" spans="7:7">
      <c r="G3730" s="3732"/>
    </row>
    <row r="3731" spans="7:7">
      <c r="G3731" s="3732"/>
    </row>
    <row r="3732" spans="7:7">
      <c r="G3732" s="3732"/>
    </row>
    <row r="3733" spans="7:7">
      <c r="G3733" s="3732"/>
    </row>
    <row r="3734" spans="7:7">
      <c r="G3734" s="3732"/>
    </row>
    <row r="3735" spans="7:7">
      <c r="G3735" s="3732"/>
    </row>
    <row r="3736" spans="7:7">
      <c r="G3736" s="3732"/>
    </row>
    <row r="3737" spans="7:7">
      <c r="G3737" s="3732"/>
    </row>
    <row r="3738" spans="7:7">
      <c r="G3738" s="3732"/>
    </row>
    <row r="3739" spans="7:7">
      <c r="G3739" s="3732"/>
    </row>
    <row r="3740" spans="7:7">
      <c r="G3740" s="3732"/>
    </row>
    <row r="3741" spans="7:7">
      <c r="G3741" s="3732"/>
    </row>
    <row r="3742" spans="7:7">
      <c r="G3742" s="3732"/>
    </row>
    <row r="3743" spans="7:7">
      <c r="G3743" s="3732"/>
    </row>
    <row r="3744" spans="7:7">
      <c r="G3744" s="3732"/>
    </row>
    <row r="3745" spans="7:7">
      <c r="G3745" s="3732"/>
    </row>
    <row r="3746" spans="7:7">
      <c r="G3746" s="3732"/>
    </row>
    <row r="3747" spans="7:7">
      <c r="G3747" s="3732"/>
    </row>
    <row r="3748" spans="7:7">
      <c r="G3748" s="3732"/>
    </row>
    <row r="3749" spans="7:7">
      <c r="G3749" s="3732"/>
    </row>
    <row r="3750" spans="7:7">
      <c r="G3750" s="3732"/>
    </row>
    <row r="3751" spans="7:7">
      <c r="G3751" s="3732"/>
    </row>
    <row r="3752" spans="7:7">
      <c r="G3752" s="3732"/>
    </row>
    <row r="3753" spans="7:7">
      <c r="G3753" s="3732"/>
    </row>
    <row r="3754" spans="7:7">
      <c r="G3754" s="3732"/>
    </row>
    <row r="3755" spans="7:7">
      <c r="G3755" s="3732"/>
    </row>
    <row r="3756" spans="7:7">
      <c r="G3756" s="3732"/>
    </row>
    <row r="3757" spans="7:7">
      <c r="G3757" s="3732"/>
    </row>
    <row r="3758" spans="7:7">
      <c r="G3758" s="3732"/>
    </row>
    <row r="3759" spans="7:7">
      <c r="G3759" s="3732"/>
    </row>
    <row r="3760" spans="7:7">
      <c r="G3760" s="3732"/>
    </row>
    <row r="3761" spans="7:7">
      <c r="G3761" s="3732"/>
    </row>
    <row r="3762" spans="7:7">
      <c r="G3762" s="3732"/>
    </row>
    <row r="3763" spans="7:7">
      <c r="G3763" s="3732"/>
    </row>
    <row r="3764" spans="7:7">
      <c r="G3764" s="3732"/>
    </row>
    <row r="3765" spans="7:7">
      <c r="G3765" s="3732"/>
    </row>
    <row r="3766" spans="7:7">
      <c r="G3766" s="3732"/>
    </row>
    <row r="3767" spans="7:7">
      <c r="G3767" s="3732"/>
    </row>
    <row r="3768" spans="7:7">
      <c r="G3768" s="3732"/>
    </row>
    <row r="3769" spans="7:7">
      <c r="G3769" s="3732"/>
    </row>
    <row r="3770" spans="7:7">
      <c r="G3770" s="3732"/>
    </row>
    <row r="3771" spans="7:7">
      <c r="G3771" s="3732"/>
    </row>
    <row r="3772" spans="7:7">
      <c r="G3772" s="3732"/>
    </row>
    <row r="3773" spans="7:7">
      <c r="G3773" s="3732"/>
    </row>
    <row r="3774" spans="7:7">
      <c r="G3774" s="3732"/>
    </row>
    <row r="3775" spans="7:7">
      <c r="G3775" s="3732"/>
    </row>
    <row r="3776" spans="7:7">
      <c r="G3776" s="3732"/>
    </row>
    <row r="3777" spans="7:7">
      <c r="G3777" s="3732"/>
    </row>
    <row r="3778" spans="7:7">
      <c r="G3778" s="3732"/>
    </row>
    <row r="3779" spans="7:7">
      <c r="G3779" s="3732"/>
    </row>
    <row r="3780" spans="7:7">
      <c r="G3780" s="3732"/>
    </row>
    <row r="3781" spans="7:7">
      <c r="G3781" s="3732"/>
    </row>
    <row r="3782" spans="7:7">
      <c r="G3782" s="3732"/>
    </row>
    <row r="3783" spans="7:7">
      <c r="G3783" s="3732"/>
    </row>
    <row r="3784" spans="7:7">
      <c r="G3784" s="3732"/>
    </row>
    <row r="3785" spans="7:7">
      <c r="G3785" s="3732"/>
    </row>
    <row r="3786" spans="7:7">
      <c r="G3786" s="3732"/>
    </row>
    <row r="3787" spans="7:7">
      <c r="G3787" s="3732"/>
    </row>
    <row r="3788" spans="7:7">
      <c r="G3788" s="3732"/>
    </row>
    <row r="3789" spans="7:7">
      <c r="G3789" s="3732"/>
    </row>
    <row r="3790" spans="7:7">
      <c r="G3790" s="3732"/>
    </row>
    <row r="3791" spans="7:7">
      <c r="G3791" s="3732"/>
    </row>
    <row r="3792" spans="7:7">
      <c r="G3792" s="3732"/>
    </row>
    <row r="3793" spans="7:7">
      <c r="G3793" s="3732"/>
    </row>
    <row r="3794" spans="7:7">
      <c r="G3794" s="3732"/>
    </row>
    <row r="3795" spans="7:7">
      <c r="G3795" s="3732"/>
    </row>
    <row r="3796" spans="7:7">
      <c r="G3796" s="3732"/>
    </row>
    <row r="3797" spans="7:7">
      <c r="G3797" s="3732"/>
    </row>
    <row r="3798" spans="7:7">
      <c r="G3798" s="3732"/>
    </row>
    <row r="3799" spans="7:7">
      <c r="G3799" s="3732"/>
    </row>
    <row r="3800" spans="7:7">
      <c r="G3800" s="3732"/>
    </row>
    <row r="3801" spans="7:7">
      <c r="G3801" s="3732"/>
    </row>
    <row r="3802" spans="7:7">
      <c r="G3802" s="3732"/>
    </row>
    <row r="3803" spans="7:7">
      <c r="G3803" s="3732"/>
    </row>
    <row r="3804" spans="7:7">
      <c r="G3804" s="3732"/>
    </row>
    <row r="3805" spans="7:7">
      <c r="G3805" s="3732"/>
    </row>
    <row r="3806" spans="7:7">
      <c r="G3806" s="3732"/>
    </row>
    <row r="3807" spans="7:7">
      <c r="G3807" s="3732"/>
    </row>
    <row r="3808" spans="7:7">
      <c r="G3808" s="3732"/>
    </row>
    <row r="3809" spans="7:7">
      <c r="G3809" s="3732"/>
    </row>
    <row r="3810" spans="7:7">
      <c r="G3810" s="3732"/>
    </row>
    <row r="3811" spans="7:7">
      <c r="G3811" s="3732"/>
    </row>
    <row r="3812" spans="7:7">
      <c r="G3812" s="3732"/>
    </row>
    <row r="3813" spans="7:7">
      <c r="G3813" s="3732"/>
    </row>
    <row r="3814" spans="7:7">
      <c r="G3814" s="3732"/>
    </row>
    <row r="3815" spans="7:7">
      <c r="G3815" s="3732"/>
    </row>
    <row r="3816" spans="7:7">
      <c r="G3816" s="3732"/>
    </row>
    <row r="3817" spans="7:7">
      <c r="G3817" s="3732"/>
    </row>
    <row r="3818" spans="7:7">
      <c r="G3818" s="3732"/>
    </row>
    <row r="3819" spans="7:7">
      <c r="G3819" s="3732"/>
    </row>
    <row r="3820" spans="7:7">
      <c r="G3820" s="3732"/>
    </row>
    <row r="3821" spans="7:7">
      <c r="G3821" s="3732"/>
    </row>
    <row r="3822" spans="7:7">
      <c r="G3822" s="3732"/>
    </row>
    <row r="3823" spans="7:7">
      <c r="G3823" s="3732"/>
    </row>
    <row r="3824" spans="7:7">
      <c r="G3824" s="3732"/>
    </row>
    <row r="3825" spans="7:7">
      <c r="G3825" s="3732"/>
    </row>
    <row r="3826" spans="7:7">
      <c r="G3826" s="3732"/>
    </row>
    <row r="3827" spans="7:7">
      <c r="G3827" s="3732"/>
    </row>
    <row r="3828" spans="7:7">
      <c r="G3828" s="3732"/>
    </row>
    <row r="3829" spans="7:7">
      <c r="G3829" s="3732"/>
    </row>
    <row r="3830" spans="7:7">
      <c r="G3830" s="3732"/>
    </row>
    <row r="3831" spans="7:7">
      <c r="G3831" s="3732"/>
    </row>
    <row r="3832" spans="7:7">
      <c r="G3832" s="3732"/>
    </row>
    <row r="3833" spans="7:7">
      <c r="G3833" s="3732"/>
    </row>
    <row r="3834" spans="7:7">
      <c r="G3834" s="3732"/>
    </row>
    <row r="3835" spans="7:7">
      <c r="G3835" s="3732"/>
    </row>
    <row r="3836" spans="7:7">
      <c r="G3836" s="3732"/>
    </row>
    <row r="3837" spans="7:7">
      <c r="G3837" s="3732"/>
    </row>
    <row r="3838" spans="7:7">
      <c r="G3838" s="3732"/>
    </row>
    <row r="3839" spans="7:7">
      <c r="G3839" s="3732"/>
    </row>
    <row r="3840" spans="7:7">
      <c r="G3840" s="3732"/>
    </row>
    <row r="3841" spans="7:7">
      <c r="G3841" s="3732"/>
    </row>
    <row r="3842" spans="7:7">
      <c r="G3842" s="3732"/>
    </row>
    <row r="3843" spans="7:7">
      <c r="G3843" s="3732"/>
    </row>
    <row r="3844" spans="7:7">
      <c r="G3844" s="3732"/>
    </row>
    <row r="3845" spans="7:7">
      <c r="G3845" s="3732"/>
    </row>
    <row r="3846" spans="7:7">
      <c r="G3846" s="3732"/>
    </row>
    <row r="3847" spans="7:7">
      <c r="G3847" s="3732"/>
    </row>
    <row r="3848" spans="7:7">
      <c r="G3848" s="3732"/>
    </row>
    <row r="3849" spans="7:7">
      <c r="G3849" s="3732"/>
    </row>
    <row r="3850" spans="7:7">
      <c r="G3850" s="3732"/>
    </row>
    <row r="3851" spans="7:7">
      <c r="G3851" s="3732"/>
    </row>
    <row r="3852" spans="7:7">
      <c r="G3852" s="3732"/>
    </row>
    <row r="3853" spans="7:7">
      <c r="G3853" s="3732"/>
    </row>
    <row r="3854" spans="7:7">
      <c r="G3854" s="3732"/>
    </row>
    <row r="3855" spans="7:7">
      <c r="G3855" s="3732"/>
    </row>
    <row r="3856" spans="7:7">
      <c r="G3856" s="3732"/>
    </row>
    <row r="3857" spans="7:7">
      <c r="G3857" s="3732"/>
    </row>
    <row r="3858" spans="7:7">
      <c r="G3858" s="3732"/>
    </row>
    <row r="3859" spans="7:7">
      <c r="G3859" s="3732"/>
    </row>
    <row r="3860" spans="7:7">
      <c r="G3860" s="3732"/>
    </row>
    <row r="3861" spans="7:7">
      <c r="G3861" s="3732"/>
    </row>
    <row r="3862" spans="7:7">
      <c r="G3862" s="3732"/>
    </row>
    <row r="3863" spans="7:7">
      <c r="G3863" s="3732"/>
    </row>
    <row r="3864" spans="7:7">
      <c r="G3864" s="3732"/>
    </row>
    <row r="3865" spans="7:7">
      <c r="G3865" s="3732"/>
    </row>
    <row r="3866" spans="7:7">
      <c r="G3866" s="3732"/>
    </row>
    <row r="3867" spans="7:7">
      <c r="G3867" s="3732"/>
    </row>
    <row r="3868" spans="7:7">
      <c r="G3868" s="3732"/>
    </row>
    <row r="3869" spans="7:7">
      <c r="G3869" s="3732"/>
    </row>
    <row r="3870" spans="7:7">
      <c r="G3870" s="3732"/>
    </row>
    <row r="3871" spans="7:7">
      <c r="G3871" s="3732"/>
    </row>
    <row r="3872" spans="7:7">
      <c r="G3872" s="3732"/>
    </row>
    <row r="3873" spans="7:7">
      <c r="G3873" s="3732"/>
    </row>
    <row r="3874" spans="7:7">
      <c r="G3874" s="3732"/>
    </row>
    <row r="3875" spans="7:7">
      <c r="G3875" s="3732"/>
    </row>
    <row r="3876" spans="7:7">
      <c r="G3876" s="3732"/>
    </row>
    <row r="3877" spans="7:7">
      <c r="G3877" s="3732"/>
    </row>
    <row r="3878" spans="7:7">
      <c r="G3878" s="3732"/>
    </row>
    <row r="3879" spans="7:7">
      <c r="G3879" s="3732"/>
    </row>
    <row r="3880" spans="7:7">
      <c r="G3880" s="3732"/>
    </row>
    <row r="3881" spans="7:7">
      <c r="G3881" s="3732"/>
    </row>
    <row r="3882" spans="7:7">
      <c r="G3882" s="3732"/>
    </row>
    <row r="3883" spans="7:7">
      <c r="G3883" s="3732"/>
    </row>
    <row r="3884" spans="7:7">
      <c r="G3884" s="3732"/>
    </row>
    <row r="3885" spans="7:7">
      <c r="G3885" s="3732"/>
    </row>
    <row r="3886" spans="7:7">
      <c r="G3886" s="3732"/>
    </row>
    <row r="3887" spans="7:7">
      <c r="G3887" s="3732"/>
    </row>
    <row r="3888" spans="7:7">
      <c r="G3888" s="3732"/>
    </row>
    <row r="3889" spans="7:7">
      <c r="G3889" s="3732"/>
    </row>
    <row r="3890" spans="7:7">
      <c r="G3890" s="3732"/>
    </row>
    <row r="3891" spans="7:7">
      <c r="G3891" s="3732"/>
    </row>
    <row r="3892" spans="7:7">
      <c r="G3892" s="3732"/>
    </row>
    <row r="3893" spans="7:7">
      <c r="G3893" s="3732"/>
    </row>
    <row r="3894" spans="7:7">
      <c r="G3894" s="3732"/>
    </row>
    <row r="3895" spans="7:7">
      <c r="G3895" s="3732"/>
    </row>
    <row r="3896" spans="7:7">
      <c r="G3896" s="3732"/>
    </row>
    <row r="3897" spans="7:7">
      <c r="G3897" s="3732"/>
    </row>
    <row r="3898" spans="7:7">
      <c r="G3898" s="3732"/>
    </row>
    <row r="3899" spans="7:7">
      <c r="G3899" s="3732"/>
    </row>
    <row r="3900" spans="7:7">
      <c r="G3900" s="3732"/>
    </row>
    <row r="3901" spans="7:7">
      <c r="G3901" s="3732"/>
    </row>
    <row r="3902" spans="7:7">
      <c r="G3902" s="3732"/>
    </row>
    <row r="3903" spans="7:7">
      <c r="G3903" s="3732"/>
    </row>
    <row r="3904" spans="7:7">
      <c r="G3904" s="3732"/>
    </row>
    <row r="3905" spans="7:7">
      <c r="G3905" s="3732"/>
    </row>
    <row r="3906" spans="7:7">
      <c r="G3906" s="3732"/>
    </row>
    <row r="3907" spans="7:7">
      <c r="G3907" s="3732"/>
    </row>
    <row r="3908" spans="7:7">
      <c r="G3908" s="3732"/>
    </row>
    <row r="3909" spans="7:7">
      <c r="G3909" s="3732"/>
    </row>
    <row r="3910" spans="7:7">
      <c r="G3910" s="3732"/>
    </row>
    <row r="3911" spans="7:7">
      <c r="G3911" s="3732"/>
    </row>
    <row r="3912" spans="7:7">
      <c r="G3912" s="3732"/>
    </row>
    <row r="3913" spans="7:7">
      <c r="G3913" s="3732"/>
    </row>
    <row r="3914" spans="7:7">
      <c r="G3914" s="3732"/>
    </row>
    <row r="3915" spans="7:7">
      <c r="G3915" s="3732"/>
    </row>
    <row r="3916" spans="7:7">
      <c r="G3916" s="3732"/>
    </row>
    <row r="3917" spans="7:7">
      <c r="G3917" s="3732"/>
    </row>
    <row r="3918" spans="7:7">
      <c r="G3918" s="3732"/>
    </row>
    <row r="3919" spans="7:7">
      <c r="G3919" s="3732"/>
    </row>
    <row r="3920" spans="7:7">
      <c r="G3920" s="3732"/>
    </row>
    <row r="3921" spans="7:7">
      <c r="G3921" s="3732"/>
    </row>
    <row r="3922" spans="7:7">
      <c r="G3922" s="3732"/>
    </row>
    <row r="3923" spans="7:7">
      <c r="G3923" s="3732"/>
    </row>
    <row r="3924" spans="7:7">
      <c r="G3924" s="3732"/>
    </row>
    <row r="3925" spans="7:7">
      <c r="G3925" s="3732"/>
    </row>
    <row r="3926" spans="7:7">
      <c r="G3926" s="3732"/>
    </row>
    <row r="3927" spans="7:7">
      <c r="G3927" s="3732"/>
    </row>
    <row r="3928" spans="7:7">
      <c r="G3928" s="3732"/>
    </row>
    <row r="3929" spans="7:7">
      <c r="G3929" s="3732"/>
    </row>
    <row r="3930" spans="7:7">
      <c r="G3930" s="3732"/>
    </row>
    <row r="3931" spans="7:7">
      <c r="G3931" s="3732"/>
    </row>
    <row r="3932" spans="7:7">
      <c r="G3932" s="3732"/>
    </row>
    <row r="3933" spans="7:7">
      <c r="G3933" s="3732"/>
    </row>
    <row r="3934" spans="7:7">
      <c r="G3934" s="3732"/>
    </row>
    <row r="3935" spans="7:7">
      <c r="G3935" s="3732"/>
    </row>
    <row r="3936" spans="7:7">
      <c r="G3936" s="3732"/>
    </row>
    <row r="3937" spans="7:7">
      <c r="G3937" s="3732"/>
    </row>
    <row r="3938" spans="7:7">
      <c r="G3938" s="3732"/>
    </row>
    <row r="3939" spans="7:7">
      <c r="G3939" s="3732"/>
    </row>
    <row r="3940" spans="7:7">
      <c r="G3940" s="3732"/>
    </row>
    <row r="3941" spans="7:7">
      <c r="G3941" s="3732"/>
    </row>
    <row r="3942" spans="7:7">
      <c r="G3942" s="3732"/>
    </row>
    <row r="3943" spans="7:7">
      <c r="G3943" s="3732"/>
    </row>
    <row r="3944" spans="7:7">
      <c r="G3944" s="3732"/>
    </row>
    <row r="3945" spans="7:7">
      <c r="G3945" s="3732"/>
    </row>
    <row r="3946" spans="7:7">
      <c r="G3946" s="3732"/>
    </row>
    <row r="3947" spans="7:7">
      <c r="G3947" s="3732"/>
    </row>
    <row r="3948" spans="7:7">
      <c r="G3948" s="3732"/>
    </row>
    <row r="3949" spans="7:7">
      <c r="G3949" s="3732"/>
    </row>
    <row r="3950" spans="7:7">
      <c r="G3950" s="3732"/>
    </row>
    <row r="3951" spans="7:7">
      <c r="G3951" s="3732"/>
    </row>
    <row r="3952" spans="7:7">
      <c r="G3952" s="3732"/>
    </row>
    <row r="3953" spans="7:7">
      <c r="G3953" s="3732"/>
    </row>
    <row r="3954" spans="7:7">
      <c r="G3954" s="3732"/>
    </row>
    <row r="3955" spans="7:7">
      <c r="G3955" s="3732"/>
    </row>
    <row r="3956" spans="7:7">
      <c r="G3956" s="3732"/>
    </row>
    <row r="3957" spans="7:7">
      <c r="G3957" s="3732"/>
    </row>
    <row r="3958" spans="7:7">
      <c r="G3958" s="3732"/>
    </row>
    <row r="3959" spans="7:7">
      <c r="G3959" s="3732"/>
    </row>
    <row r="3960" spans="7:7">
      <c r="G3960" s="3732"/>
    </row>
    <row r="3961" spans="7:7">
      <c r="G3961" s="3732"/>
    </row>
    <row r="3962" spans="7:7">
      <c r="G3962" s="3732"/>
    </row>
    <row r="3963" spans="7:7">
      <c r="G3963" s="3732"/>
    </row>
    <row r="3964" spans="7:7">
      <c r="G3964" s="3732"/>
    </row>
    <row r="3965" spans="7:7">
      <c r="G3965" s="3732"/>
    </row>
    <row r="3966" spans="7:7">
      <c r="G3966" s="3732"/>
    </row>
    <row r="3967" spans="7:7">
      <c r="G3967" s="3732"/>
    </row>
    <row r="3968" spans="7:7">
      <c r="G3968" s="3732"/>
    </row>
    <row r="3969" spans="7:7">
      <c r="G3969" s="3732"/>
    </row>
    <row r="3970" spans="7:7">
      <c r="G3970" s="3732"/>
    </row>
    <row r="3971" spans="7:7">
      <c r="G3971" s="3732"/>
    </row>
    <row r="3972" spans="7:7">
      <c r="G3972" s="3732"/>
    </row>
    <row r="3973" spans="7:7">
      <c r="G3973" s="3732"/>
    </row>
    <row r="3974" spans="7:7">
      <c r="G3974" s="3732"/>
    </row>
    <row r="3975" spans="7:7">
      <c r="G3975" s="3732"/>
    </row>
    <row r="3976" spans="7:7">
      <c r="G3976" s="3732"/>
    </row>
    <row r="3977" spans="7:7">
      <c r="G3977" s="3732"/>
    </row>
    <row r="3978" spans="7:7">
      <c r="G3978" s="3732"/>
    </row>
    <row r="3979" spans="7:7">
      <c r="G3979" s="3732"/>
    </row>
    <row r="3980" spans="7:7">
      <c r="G3980" s="3732"/>
    </row>
    <row r="3981" spans="7:7">
      <c r="G3981" s="3732"/>
    </row>
    <row r="3982" spans="7:7">
      <c r="G3982" s="3732"/>
    </row>
    <row r="3983" spans="7:7">
      <c r="G3983" s="3732"/>
    </row>
    <row r="3984" spans="7:7">
      <c r="G3984" s="3732"/>
    </row>
    <row r="3985" spans="7:7">
      <c r="G3985" s="3732"/>
    </row>
    <row r="3986" spans="7:7">
      <c r="G3986" s="3732"/>
    </row>
    <row r="3987" spans="7:7">
      <c r="G3987" s="3732"/>
    </row>
    <row r="3988" spans="7:7">
      <c r="G3988" s="3732"/>
    </row>
    <row r="3989" spans="7:7">
      <c r="G3989" s="3732"/>
    </row>
    <row r="3990" spans="7:7">
      <c r="G3990" s="3732"/>
    </row>
    <row r="3991" spans="7:7">
      <c r="G3991" s="3732"/>
    </row>
    <row r="3992" spans="7:7">
      <c r="G3992" s="3732"/>
    </row>
    <row r="3993" spans="7:7">
      <c r="G3993" s="3732"/>
    </row>
    <row r="3994" spans="7:7">
      <c r="G3994" s="3732"/>
    </row>
    <row r="3995" spans="7:7">
      <c r="G3995" s="3732"/>
    </row>
    <row r="3996" spans="7:7">
      <c r="G3996" s="3732"/>
    </row>
    <row r="3997" spans="7:7">
      <c r="G3997" s="3732"/>
    </row>
    <row r="3998" spans="7:7">
      <c r="G3998" s="3732"/>
    </row>
    <row r="3999" spans="7:7">
      <c r="G3999" s="3732"/>
    </row>
    <row r="4000" spans="7:7">
      <c r="G4000" s="3732"/>
    </row>
    <row r="4001" spans="7:7">
      <c r="G4001" s="3732"/>
    </row>
    <row r="4002" spans="7:7">
      <c r="G4002" s="3732"/>
    </row>
    <row r="4003" spans="7:7">
      <c r="G4003" s="3732"/>
    </row>
    <row r="4004" spans="7:7">
      <c r="G4004" s="3732"/>
    </row>
    <row r="4005" spans="7:7">
      <c r="G4005" s="3732"/>
    </row>
    <row r="4006" spans="7:7">
      <c r="G4006" s="3732"/>
    </row>
    <row r="4007" spans="7:7">
      <c r="G4007" s="3732"/>
    </row>
    <row r="4008" spans="7:7">
      <c r="G4008" s="3732"/>
    </row>
    <row r="4009" spans="7:7">
      <c r="G4009" s="3732"/>
    </row>
    <row r="4010" spans="7:7">
      <c r="G4010" s="3732"/>
    </row>
    <row r="4011" spans="7:7">
      <c r="G4011" s="3732"/>
    </row>
    <row r="4012" spans="7:7">
      <c r="G4012" s="3732"/>
    </row>
    <row r="4013" spans="7:7">
      <c r="G4013" s="3732"/>
    </row>
    <row r="4014" spans="7:7">
      <c r="G4014" s="3732"/>
    </row>
    <row r="4015" spans="7:7">
      <c r="G4015" s="3732"/>
    </row>
    <row r="4016" spans="7:7">
      <c r="G4016" s="3732"/>
    </row>
    <row r="4017" spans="7:7">
      <c r="G4017" s="3732"/>
    </row>
    <row r="4018" spans="7:7">
      <c r="G4018" s="3732"/>
    </row>
    <row r="4019" spans="7:7">
      <c r="G4019" s="3732"/>
    </row>
    <row r="4020" spans="7:7">
      <c r="G4020" s="3732"/>
    </row>
    <row r="4021" spans="7:7">
      <c r="G4021" s="3732"/>
    </row>
    <row r="4022" spans="7:7">
      <c r="G4022" s="3732"/>
    </row>
    <row r="4023" spans="7:7">
      <c r="G4023" s="3732"/>
    </row>
    <row r="4024" spans="7:7">
      <c r="G4024" s="3732"/>
    </row>
    <row r="4025" spans="7:7">
      <c r="G4025" s="3732"/>
    </row>
    <row r="4026" spans="7:7">
      <c r="G4026" s="3732"/>
    </row>
    <row r="4027" spans="7:7">
      <c r="G4027" s="3732"/>
    </row>
    <row r="4028" spans="7:7">
      <c r="G4028" s="3732"/>
    </row>
    <row r="4029" spans="7:7">
      <c r="G4029" s="3732"/>
    </row>
    <row r="4030" spans="7:7">
      <c r="G4030" s="3732"/>
    </row>
    <row r="4031" spans="7:7">
      <c r="G4031" s="3732"/>
    </row>
    <row r="4032" spans="7:7">
      <c r="G4032" s="3732"/>
    </row>
    <row r="4033" spans="7:7">
      <c r="G4033" s="3732"/>
    </row>
    <row r="4034" spans="7:7">
      <c r="G4034" s="3732"/>
    </row>
    <row r="4035" spans="7:7">
      <c r="G4035" s="3732"/>
    </row>
    <row r="4036" spans="7:7">
      <c r="G4036" s="3732"/>
    </row>
    <row r="4037" spans="7:7">
      <c r="G4037" s="3732"/>
    </row>
    <row r="4038" spans="7:7">
      <c r="G4038" s="3732"/>
    </row>
    <row r="4039" spans="7:7">
      <c r="G4039" s="3732"/>
    </row>
    <row r="4040" spans="7:7">
      <c r="G4040" s="3732"/>
    </row>
    <row r="4041" spans="7:7">
      <c r="G4041" s="3732"/>
    </row>
    <row r="4042" spans="7:7">
      <c r="G4042" s="3732"/>
    </row>
    <row r="4043" spans="7:7">
      <c r="G4043" s="3732"/>
    </row>
    <row r="4044" spans="7:7">
      <c r="G4044" s="3732"/>
    </row>
    <row r="4045" spans="7:7">
      <c r="G4045" s="3732"/>
    </row>
    <row r="4046" spans="7:7">
      <c r="G4046" s="3732"/>
    </row>
    <row r="4047" spans="7:7">
      <c r="G4047" s="3732"/>
    </row>
    <row r="4048" spans="7:7">
      <c r="G4048" s="3732"/>
    </row>
    <row r="4049" spans="7:7">
      <c r="G4049" s="3732"/>
    </row>
    <row r="4050" spans="7:7">
      <c r="G4050" s="3732"/>
    </row>
    <row r="4051" spans="7:7">
      <c r="G4051" s="3732"/>
    </row>
    <row r="4052" spans="7:7">
      <c r="G4052" s="3732"/>
    </row>
    <row r="4053" spans="7:7">
      <c r="G4053" s="3732"/>
    </row>
    <row r="4054" spans="7:7">
      <c r="G4054" s="3732"/>
    </row>
    <row r="4055" spans="7:7">
      <c r="G4055" s="3732"/>
    </row>
    <row r="4056" spans="7:7">
      <c r="G4056" s="3732"/>
    </row>
    <row r="4057" spans="7:7">
      <c r="G4057" s="3732"/>
    </row>
    <row r="4058" spans="7:7">
      <c r="G4058" s="3732"/>
    </row>
    <row r="4059" spans="7:7">
      <c r="G4059" s="3732"/>
    </row>
    <row r="4060" spans="7:7">
      <c r="G4060" s="3732"/>
    </row>
    <row r="4061" spans="7:7">
      <c r="G4061" s="3732"/>
    </row>
    <row r="4062" spans="7:7">
      <c r="G4062" s="3732"/>
    </row>
    <row r="4063" spans="7:7">
      <c r="G4063" s="3732"/>
    </row>
    <row r="4064" spans="7:7">
      <c r="G4064" s="3732"/>
    </row>
    <row r="4065" spans="7:7">
      <c r="G4065" s="3732"/>
    </row>
    <row r="4066" spans="7:7">
      <c r="G4066" s="3732"/>
    </row>
    <row r="4067" spans="7:7">
      <c r="G4067" s="3732"/>
    </row>
    <row r="4068" spans="7:7">
      <c r="G4068" s="3732"/>
    </row>
    <row r="4069" spans="7:7">
      <c r="G4069" s="3732"/>
    </row>
    <row r="4070" spans="7:7">
      <c r="G4070" s="3732"/>
    </row>
    <row r="4071" spans="7:7">
      <c r="G4071" s="3732"/>
    </row>
    <row r="4072" spans="7:7">
      <c r="G4072" s="3732"/>
    </row>
    <row r="4073" spans="7:7">
      <c r="G4073" s="3732"/>
    </row>
    <row r="4074" spans="7:7">
      <c r="G4074" s="3732"/>
    </row>
    <row r="4075" spans="7:7">
      <c r="G4075" s="3732"/>
    </row>
    <row r="4076" spans="7:7">
      <c r="G4076" s="3732"/>
    </row>
    <row r="4077" spans="7:7">
      <c r="G4077" s="3732"/>
    </row>
    <row r="4078" spans="7:7">
      <c r="G4078" s="3732"/>
    </row>
    <row r="4079" spans="7:7">
      <c r="G4079" s="3732"/>
    </row>
    <row r="4080" spans="7:7">
      <c r="G4080" s="3732"/>
    </row>
    <row r="4081" spans="7:7">
      <c r="G4081" s="3732"/>
    </row>
    <row r="4082" spans="7:7">
      <c r="G4082" s="3732"/>
    </row>
    <row r="4083" spans="7:7">
      <c r="G4083" s="3732"/>
    </row>
    <row r="4084" spans="7:7">
      <c r="G4084" s="3732"/>
    </row>
    <row r="4085" spans="7:7">
      <c r="G4085" s="3732"/>
    </row>
    <row r="4086" spans="7:7">
      <c r="G4086" s="3732"/>
    </row>
    <row r="4087" spans="7:7">
      <c r="G4087" s="3732"/>
    </row>
    <row r="4088" spans="7:7">
      <c r="G4088" s="3732"/>
    </row>
    <row r="4089" spans="7:7">
      <c r="G4089" s="3732"/>
    </row>
    <row r="4090" spans="7:7">
      <c r="G4090" s="3732"/>
    </row>
    <row r="4091" spans="7:7">
      <c r="G4091" s="3732"/>
    </row>
    <row r="4092" spans="7:7">
      <c r="G4092" s="3732"/>
    </row>
    <row r="4093" spans="7:7">
      <c r="G4093" s="3732"/>
    </row>
    <row r="4094" spans="7:7">
      <c r="G4094" s="3732"/>
    </row>
    <row r="4095" spans="7:7">
      <c r="G4095" s="3732"/>
    </row>
    <row r="4096" spans="7:7">
      <c r="G4096" s="3732"/>
    </row>
    <row r="4097" spans="7:7">
      <c r="G4097" s="3732"/>
    </row>
    <row r="4098" spans="7:7">
      <c r="G4098" s="3732"/>
    </row>
    <row r="4099" spans="7:7">
      <c r="G4099" s="3732"/>
    </row>
    <row r="4100" spans="7:7">
      <c r="G4100" s="3732"/>
    </row>
    <row r="4101" spans="7:7">
      <c r="G4101" s="3732"/>
    </row>
    <row r="4102" spans="7:7">
      <c r="G4102" s="3732"/>
    </row>
    <row r="4103" spans="7:7">
      <c r="G4103" s="3732"/>
    </row>
    <row r="4104" spans="7:7">
      <c r="G4104" s="3732"/>
    </row>
    <row r="4105" spans="7:7">
      <c r="G4105" s="3732"/>
    </row>
    <row r="4106" spans="7:7">
      <c r="G4106" s="3732"/>
    </row>
    <row r="4107" spans="7:7">
      <c r="G4107" s="3732"/>
    </row>
    <row r="4108" spans="7:7">
      <c r="G4108" s="3732"/>
    </row>
    <row r="4109" spans="7:7">
      <c r="G4109" s="3732"/>
    </row>
    <row r="4110" spans="7:7">
      <c r="G4110" s="3732"/>
    </row>
    <row r="4111" spans="7:7">
      <c r="G4111" s="3732"/>
    </row>
    <row r="4112" spans="7:7">
      <c r="G4112" s="3732"/>
    </row>
    <row r="4113" spans="7:7">
      <c r="G4113" s="3732"/>
    </row>
    <row r="4114" spans="7:7">
      <c r="G4114" s="3732"/>
    </row>
    <row r="4115" spans="7:7">
      <c r="G4115" s="3732"/>
    </row>
    <row r="4116" spans="7:7">
      <c r="G4116" s="3732"/>
    </row>
    <row r="4117" spans="7:7">
      <c r="G4117" s="3732"/>
    </row>
    <row r="4118" spans="7:7">
      <c r="G4118" s="3732"/>
    </row>
    <row r="4119" spans="7:7">
      <c r="G4119" s="3732"/>
    </row>
    <row r="4120" spans="7:7">
      <c r="G4120" s="3732"/>
    </row>
    <row r="4121" spans="7:7">
      <c r="G4121" s="3732"/>
    </row>
    <row r="4122" spans="7:7">
      <c r="G4122" s="3732"/>
    </row>
    <row r="4123" spans="7:7">
      <c r="G4123" s="3732"/>
    </row>
    <row r="4124" spans="7:7">
      <c r="G4124" s="3732"/>
    </row>
    <row r="4125" spans="7:7">
      <c r="G4125" s="3732"/>
    </row>
    <row r="4126" spans="7:7">
      <c r="G4126" s="3732"/>
    </row>
    <row r="4127" spans="7:7">
      <c r="G4127" s="3732"/>
    </row>
    <row r="4128" spans="7:7">
      <c r="G4128" s="3732"/>
    </row>
    <row r="4129" spans="7:7">
      <c r="G4129" s="3732"/>
    </row>
    <row r="4130" spans="7:7">
      <c r="G4130" s="3732"/>
    </row>
    <row r="4131" spans="7:7">
      <c r="G4131" s="3732"/>
    </row>
    <row r="4132" spans="7:7">
      <c r="G4132" s="3732"/>
    </row>
    <row r="4133" spans="7:7">
      <c r="G4133" s="3732"/>
    </row>
    <row r="4134" spans="7:7">
      <c r="G4134" s="3732"/>
    </row>
    <row r="4135" spans="7:7">
      <c r="G4135" s="3732"/>
    </row>
    <row r="4136" spans="7:7">
      <c r="G4136" s="3732"/>
    </row>
    <row r="4137" spans="7:7">
      <c r="G4137" s="3732"/>
    </row>
    <row r="4138" spans="7:7">
      <c r="G4138" s="3732"/>
    </row>
    <row r="4139" spans="7:7">
      <c r="G4139" s="3732"/>
    </row>
    <row r="4140" spans="7:7">
      <c r="G4140" s="3732"/>
    </row>
    <row r="4141" spans="7:7">
      <c r="G4141" s="3732"/>
    </row>
    <row r="4142" spans="7:7">
      <c r="G4142" s="3732"/>
    </row>
    <row r="4143" spans="7:7">
      <c r="G4143" s="3732"/>
    </row>
    <row r="4144" spans="7:7">
      <c r="G4144" s="3732"/>
    </row>
    <row r="4145" spans="7:7">
      <c r="G4145" s="3732"/>
    </row>
    <row r="4146" spans="7:7">
      <c r="G4146" s="3732"/>
    </row>
    <row r="4147" spans="7:7">
      <c r="G4147" s="3732"/>
    </row>
    <row r="4148" spans="7:7">
      <c r="G4148" s="3732"/>
    </row>
    <row r="4149" spans="7:7">
      <c r="G4149" s="3732"/>
    </row>
    <row r="4150" spans="7:7">
      <c r="G4150" s="3732"/>
    </row>
    <row r="4151" spans="7:7">
      <c r="G4151" s="3732"/>
    </row>
    <row r="4152" spans="7:7">
      <c r="G4152" s="3732"/>
    </row>
    <row r="4153" spans="7:7">
      <c r="G4153" s="3732"/>
    </row>
    <row r="4154" spans="7:7">
      <c r="G4154" s="3732"/>
    </row>
    <row r="4155" spans="7:7">
      <c r="G4155" s="3732"/>
    </row>
    <row r="4156" spans="7:7">
      <c r="G4156" s="3732"/>
    </row>
    <row r="4157" spans="7:7">
      <c r="G4157" s="3732"/>
    </row>
    <row r="4158" spans="7:7">
      <c r="G4158" s="3732"/>
    </row>
    <row r="4159" spans="7:7">
      <c r="G4159" s="3732"/>
    </row>
    <row r="4160" spans="7:7">
      <c r="G4160" s="3732"/>
    </row>
    <row r="4161" spans="7:7">
      <c r="G4161" s="3732"/>
    </row>
    <row r="4162" spans="7:7">
      <c r="G4162" s="3732"/>
    </row>
    <row r="4163" spans="7:7">
      <c r="G4163" s="3732"/>
    </row>
    <row r="4164" spans="7:7">
      <c r="G4164" s="3732"/>
    </row>
    <row r="4165" spans="7:7">
      <c r="G4165" s="3732"/>
    </row>
    <row r="4166" spans="7:7">
      <c r="G4166" s="3732"/>
    </row>
    <row r="4167" spans="7:7">
      <c r="G4167" s="3732"/>
    </row>
    <row r="4168" spans="7:7">
      <c r="G4168" s="3732"/>
    </row>
    <row r="4169" spans="7:7">
      <c r="G4169" s="3732"/>
    </row>
    <row r="4170" spans="7:7">
      <c r="G4170" s="3732"/>
    </row>
    <row r="4171" spans="7:7">
      <c r="G4171" s="3732"/>
    </row>
    <row r="4172" spans="7:7">
      <c r="G4172" s="3732"/>
    </row>
    <row r="4173" spans="7:7">
      <c r="G4173" s="3732"/>
    </row>
    <row r="4174" spans="7:7">
      <c r="G4174" s="3732"/>
    </row>
    <row r="4175" spans="7:7">
      <c r="G4175" s="3732"/>
    </row>
    <row r="4176" spans="7:7">
      <c r="G4176" s="3732"/>
    </row>
    <row r="4177" spans="7:7">
      <c r="G4177" s="3732"/>
    </row>
    <row r="4178" spans="7:7">
      <c r="G4178" s="3732"/>
    </row>
    <row r="4179" spans="7:7">
      <c r="G4179" s="3732"/>
    </row>
    <row r="4180" spans="7:7">
      <c r="G4180" s="3732"/>
    </row>
    <row r="4181" spans="7:7">
      <c r="G4181" s="3732"/>
    </row>
    <row r="4182" spans="7:7">
      <c r="G4182" s="3732"/>
    </row>
    <row r="4183" spans="7:7">
      <c r="G4183" s="3732"/>
    </row>
    <row r="4184" spans="7:7">
      <c r="G4184" s="3732"/>
    </row>
    <row r="4185" spans="7:7">
      <c r="G4185" s="3732"/>
    </row>
    <row r="4186" spans="7:7">
      <c r="G4186" s="3732"/>
    </row>
    <row r="4187" spans="7:7">
      <c r="G4187" s="3732"/>
    </row>
    <row r="4188" spans="7:7">
      <c r="G4188" s="3732"/>
    </row>
    <row r="4189" spans="7:7">
      <c r="G4189" s="3732"/>
    </row>
    <row r="4190" spans="7:7">
      <c r="G4190" s="3732"/>
    </row>
    <row r="4191" spans="7:7">
      <c r="G4191" s="3732"/>
    </row>
    <row r="4192" spans="7:7">
      <c r="G4192" s="3732"/>
    </row>
    <row r="4193" spans="7:7">
      <c r="G4193" s="3732"/>
    </row>
    <row r="4194" spans="7:7">
      <c r="G4194" s="3732"/>
    </row>
    <row r="4195" spans="7:7">
      <c r="G4195" s="3732"/>
    </row>
    <row r="4196" spans="7:7">
      <c r="G4196" s="3732"/>
    </row>
    <row r="4197" spans="7:7">
      <c r="G4197" s="3732"/>
    </row>
    <row r="4198" spans="7:7">
      <c r="G4198" s="3732"/>
    </row>
    <row r="4199" spans="7:7">
      <c r="G4199" s="3732"/>
    </row>
    <row r="4200" spans="7:7">
      <c r="G4200" s="3732"/>
    </row>
    <row r="4201" spans="7:7">
      <c r="G4201" s="3732"/>
    </row>
    <row r="4202" spans="7:7">
      <c r="G4202" s="3732"/>
    </row>
    <row r="4203" spans="7:7">
      <c r="G4203" s="3732"/>
    </row>
    <row r="4204" spans="7:7">
      <c r="G4204" s="3732"/>
    </row>
    <row r="4205" spans="7:7">
      <c r="G4205" s="3732"/>
    </row>
    <row r="4206" spans="7:7">
      <c r="G4206" s="3732"/>
    </row>
    <row r="4207" spans="7:7">
      <c r="G4207" s="3732"/>
    </row>
    <row r="4208" spans="7:7">
      <c r="G4208" s="3732"/>
    </row>
    <row r="4209" spans="7:7">
      <c r="G4209" s="3732"/>
    </row>
    <row r="4210" spans="7:7">
      <c r="G4210" s="3732"/>
    </row>
    <row r="4211" spans="7:7">
      <c r="G4211" s="3732"/>
    </row>
    <row r="4212" spans="7:7">
      <c r="G4212" s="3732"/>
    </row>
    <row r="4213" spans="7:7">
      <c r="G4213" s="3732"/>
    </row>
    <row r="4214" spans="7:7">
      <c r="G4214" s="3732"/>
    </row>
    <row r="4215" spans="7:7">
      <c r="G4215" s="3732"/>
    </row>
    <row r="4216" spans="7:7">
      <c r="G4216" s="3732"/>
    </row>
    <row r="4217" spans="7:7">
      <c r="G4217" s="3732"/>
    </row>
    <row r="4218" spans="7:7">
      <c r="G4218" s="3732"/>
    </row>
    <row r="4219" spans="7:7">
      <c r="G4219" s="3732"/>
    </row>
    <row r="4220" spans="7:7">
      <c r="G4220" s="3732"/>
    </row>
    <row r="4221" spans="7:7">
      <c r="G4221" s="3732"/>
    </row>
    <row r="4222" spans="7:7">
      <c r="G4222" s="3732"/>
    </row>
    <row r="4223" spans="7:7">
      <c r="G4223" s="3732"/>
    </row>
    <row r="4224" spans="7:7">
      <c r="G4224" s="3732"/>
    </row>
    <row r="4225" spans="7:7">
      <c r="G4225" s="3732"/>
    </row>
    <row r="4226" spans="7:7">
      <c r="G4226" s="3732"/>
    </row>
    <row r="4227" spans="7:7">
      <c r="G4227" s="3732"/>
    </row>
    <row r="4228" spans="7:7">
      <c r="G4228" s="3732"/>
    </row>
    <row r="4229" spans="7:7">
      <c r="G4229" s="3732"/>
    </row>
    <row r="4230" spans="7:7">
      <c r="G4230" s="3732"/>
    </row>
    <row r="4231" spans="7:7">
      <c r="G4231" s="3732"/>
    </row>
    <row r="4232" spans="7:7">
      <c r="G4232" s="3732"/>
    </row>
    <row r="4233" spans="7:7">
      <c r="G4233" s="3732"/>
    </row>
    <row r="4234" spans="7:7">
      <c r="G4234" s="3732"/>
    </row>
    <row r="4235" spans="7:7">
      <c r="G4235" s="3732"/>
    </row>
    <row r="4236" spans="7:7">
      <c r="G4236" s="3732"/>
    </row>
    <row r="4237" spans="7:7">
      <c r="G4237" s="3732"/>
    </row>
    <row r="4238" spans="7:7">
      <c r="G4238" s="3732"/>
    </row>
    <row r="4239" spans="7:7">
      <c r="G4239" s="3732"/>
    </row>
    <row r="4240" spans="7:7">
      <c r="G4240" s="3732"/>
    </row>
    <row r="4241" spans="7:7">
      <c r="G4241" s="3732"/>
    </row>
    <row r="4242" spans="7:7">
      <c r="G4242" s="3732"/>
    </row>
    <row r="4243" spans="7:7">
      <c r="G4243" s="3732"/>
    </row>
    <row r="4244" spans="7:7">
      <c r="G4244" s="3732"/>
    </row>
    <row r="4245" spans="7:7">
      <c r="G4245" s="3732"/>
    </row>
    <row r="4246" spans="7:7">
      <c r="G4246" s="3732"/>
    </row>
    <row r="4247" spans="7:7">
      <c r="G4247" s="3732"/>
    </row>
    <row r="4248" spans="7:7">
      <c r="G4248" s="3732"/>
    </row>
    <row r="4249" spans="7:7">
      <c r="G4249" s="3732"/>
    </row>
    <row r="4250" spans="7:7">
      <c r="G4250" s="3732"/>
    </row>
    <row r="4251" spans="7:7">
      <c r="G4251" s="3732"/>
    </row>
    <row r="4252" spans="7:7">
      <c r="G4252" s="3732"/>
    </row>
    <row r="4253" spans="7:7">
      <c r="G4253" s="3732"/>
    </row>
    <row r="4254" spans="7:7">
      <c r="G4254" s="3732"/>
    </row>
    <row r="4255" spans="7:7">
      <c r="G4255" s="3732"/>
    </row>
    <row r="4256" spans="7:7">
      <c r="G4256" s="3732"/>
    </row>
    <row r="4257" spans="7:7">
      <c r="G4257" s="3732"/>
    </row>
    <row r="4258" spans="7:7">
      <c r="G4258" s="3732"/>
    </row>
    <row r="4259" spans="7:7">
      <c r="G4259" s="3732"/>
    </row>
    <row r="4260" spans="7:7">
      <c r="G4260" s="3732"/>
    </row>
    <row r="4261" spans="7:7">
      <c r="G4261" s="3732"/>
    </row>
    <row r="4262" spans="7:7">
      <c r="G4262" s="3732"/>
    </row>
    <row r="4263" spans="7:7">
      <c r="G4263" s="3732"/>
    </row>
    <row r="4264" spans="7:7">
      <c r="G4264" s="3732"/>
    </row>
    <row r="4265" spans="7:7">
      <c r="G4265" s="3732"/>
    </row>
    <row r="4266" spans="7:7">
      <c r="G4266" s="3732"/>
    </row>
    <row r="4267" spans="7:7">
      <c r="G4267" s="3732"/>
    </row>
    <row r="4268" spans="7:7">
      <c r="G4268" s="3732"/>
    </row>
    <row r="4269" spans="7:7">
      <c r="G4269" s="3732"/>
    </row>
    <row r="4270" spans="7:7">
      <c r="G4270" s="3732"/>
    </row>
    <row r="4271" spans="7:7">
      <c r="G4271" s="3732"/>
    </row>
    <row r="4272" spans="7:7">
      <c r="G4272" s="3732"/>
    </row>
    <row r="4273" spans="7:7">
      <c r="G4273" s="3732"/>
    </row>
    <row r="4274" spans="7:7">
      <c r="G4274" s="3732"/>
    </row>
    <row r="4275" spans="7:7">
      <c r="G4275" s="3732"/>
    </row>
    <row r="4276" spans="7:7">
      <c r="G4276" s="3732"/>
    </row>
    <row r="4277" spans="7:7">
      <c r="G4277" s="3732"/>
    </row>
    <row r="4278" spans="7:7">
      <c r="G4278" s="3732"/>
    </row>
    <row r="4279" spans="7:7">
      <c r="G4279" s="3732"/>
    </row>
    <row r="4280" spans="7:7">
      <c r="G4280" s="3732"/>
    </row>
    <row r="4281" spans="7:7">
      <c r="G4281" s="3732"/>
    </row>
    <row r="4282" spans="7:7">
      <c r="G4282" s="3732"/>
    </row>
    <row r="4283" spans="7:7">
      <c r="G4283" s="3732"/>
    </row>
    <row r="4284" spans="7:7">
      <c r="G4284" s="3732"/>
    </row>
    <row r="4285" spans="7:7">
      <c r="G4285" s="3732"/>
    </row>
    <row r="4286" spans="7:7">
      <c r="G4286" s="3732"/>
    </row>
    <row r="4287" spans="7:7">
      <c r="G4287" s="3732"/>
    </row>
    <row r="4288" spans="7:7">
      <c r="G4288" s="3732"/>
    </row>
    <row r="4289" spans="7:7">
      <c r="G4289" s="3732"/>
    </row>
    <row r="4290" spans="7:7">
      <c r="G4290" s="3732"/>
    </row>
    <row r="4291" spans="7:7">
      <c r="G4291" s="3732"/>
    </row>
    <row r="4292" spans="7:7">
      <c r="G4292" s="3732"/>
    </row>
    <row r="4293" spans="7:7">
      <c r="G4293" s="3732"/>
    </row>
    <row r="4294" spans="7:7">
      <c r="G4294" s="3732"/>
    </row>
    <row r="4295" spans="7:7">
      <c r="G4295" s="3732"/>
    </row>
    <row r="4296" spans="7:7">
      <c r="G4296" s="3732"/>
    </row>
    <row r="4297" spans="7:7">
      <c r="G4297" s="3732"/>
    </row>
    <row r="4298" spans="7:7">
      <c r="G4298" s="3732"/>
    </row>
    <row r="4299" spans="7:7">
      <c r="G4299" s="3732"/>
    </row>
    <row r="4300" spans="7:7">
      <c r="G4300" s="3732"/>
    </row>
    <row r="4301" spans="7:7">
      <c r="G4301" s="3732"/>
    </row>
    <row r="4302" spans="7:7">
      <c r="G4302" s="3732"/>
    </row>
    <row r="4303" spans="7:7">
      <c r="G4303" s="3732"/>
    </row>
    <row r="4304" spans="7:7">
      <c r="G4304" s="3732"/>
    </row>
    <row r="4305" spans="7:7">
      <c r="G4305" s="3732"/>
    </row>
    <row r="4306" spans="7:7">
      <c r="G4306" s="3732"/>
    </row>
    <row r="4307" spans="7:7">
      <c r="G4307" s="3732"/>
    </row>
    <row r="4308" spans="7:7">
      <c r="G4308" s="3732"/>
    </row>
    <row r="4309" spans="7:7">
      <c r="G4309" s="3732"/>
    </row>
    <row r="4310" spans="7:7">
      <c r="G4310" s="3732"/>
    </row>
    <row r="4311" spans="7:7">
      <c r="G4311" s="3732"/>
    </row>
    <row r="4312" spans="7:7">
      <c r="G4312" s="3732"/>
    </row>
    <row r="4313" spans="7:7">
      <c r="G4313" s="3732"/>
    </row>
    <row r="4314" spans="7:7">
      <c r="G4314" s="3732"/>
    </row>
    <row r="4315" spans="7:7">
      <c r="G4315" s="3732"/>
    </row>
    <row r="4316" spans="7:7">
      <c r="G4316" s="3732"/>
    </row>
    <row r="4317" spans="7:7">
      <c r="G4317" s="3732"/>
    </row>
    <row r="4318" spans="7:7">
      <c r="G4318" s="3732"/>
    </row>
    <row r="4319" spans="7:7">
      <c r="G4319" s="3732"/>
    </row>
    <row r="4320" spans="7:7">
      <c r="G4320" s="3732"/>
    </row>
    <row r="4321" spans="7:7">
      <c r="G4321" s="3732"/>
    </row>
    <row r="4322" spans="7:7">
      <c r="G4322" s="3732"/>
    </row>
    <row r="4323" spans="7:7">
      <c r="G4323" s="3732"/>
    </row>
    <row r="4324" spans="7:7">
      <c r="G4324" s="3732"/>
    </row>
    <row r="4325" spans="7:7">
      <c r="G4325" s="3732"/>
    </row>
    <row r="4326" spans="7:7">
      <c r="G4326" s="3732"/>
    </row>
    <row r="4327" spans="7:7">
      <c r="G4327" s="3732"/>
    </row>
    <row r="4328" spans="7:7">
      <c r="G4328" s="3732"/>
    </row>
    <row r="4329" spans="7:7">
      <c r="G4329" s="3732"/>
    </row>
    <row r="4330" spans="7:7">
      <c r="G4330" s="3732"/>
    </row>
    <row r="4331" spans="7:7">
      <c r="G4331" s="3732"/>
    </row>
    <row r="4332" spans="7:7">
      <c r="G4332" s="3732"/>
    </row>
    <row r="4333" spans="7:7">
      <c r="G4333" s="3732"/>
    </row>
    <row r="4334" spans="7:7">
      <c r="G4334" s="3732"/>
    </row>
    <row r="4335" spans="7:7">
      <c r="G4335" s="3732"/>
    </row>
    <row r="4336" spans="7:7">
      <c r="G4336" s="3732"/>
    </row>
    <row r="4337" spans="7:7">
      <c r="G4337" s="3732"/>
    </row>
    <row r="4338" spans="7:7">
      <c r="G4338" s="3732"/>
    </row>
    <row r="4339" spans="7:7">
      <c r="G4339" s="3732"/>
    </row>
    <row r="4340" spans="7:7">
      <c r="G4340" s="3732"/>
    </row>
    <row r="4341" spans="7:7">
      <c r="G4341" s="3732"/>
    </row>
    <row r="4342" spans="7:7">
      <c r="G4342" s="3732"/>
    </row>
    <row r="4343" spans="7:7">
      <c r="G4343" s="3732"/>
    </row>
    <row r="4344" spans="7:7">
      <c r="G4344" s="3732"/>
    </row>
    <row r="4345" spans="7:7">
      <c r="G4345" s="3732"/>
    </row>
    <row r="4346" spans="7:7">
      <c r="G4346" s="3732"/>
    </row>
    <row r="4347" spans="7:7">
      <c r="G4347" s="3732"/>
    </row>
    <row r="4348" spans="7:7">
      <c r="G4348" s="3732"/>
    </row>
    <row r="4349" spans="7:7">
      <c r="G4349" s="3732"/>
    </row>
    <row r="4350" spans="7:7">
      <c r="G4350" s="3732"/>
    </row>
    <row r="4351" spans="7:7">
      <c r="G4351" s="3732"/>
    </row>
    <row r="4352" spans="7:7">
      <c r="G4352" s="3732"/>
    </row>
    <row r="4353" spans="7:7">
      <c r="G4353" s="3732"/>
    </row>
    <row r="4354" spans="7:7">
      <c r="G4354" s="3732"/>
    </row>
    <row r="4355" spans="7:7">
      <c r="G4355" s="3732"/>
    </row>
    <row r="4356" spans="7:7">
      <c r="G4356" s="3732"/>
    </row>
    <row r="4357" spans="7:7">
      <c r="G4357" s="3732"/>
    </row>
    <row r="4358" spans="7:7">
      <c r="G4358" s="3732"/>
    </row>
    <row r="4359" spans="7:7">
      <c r="G4359" s="3732"/>
    </row>
    <row r="4360" spans="7:7">
      <c r="G4360" s="3732"/>
    </row>
    <row r="4361" spans="7:7">
      <c r="G4361" s="3732"/>
    </row>
    <row r="4362" spans="7:7">
      <c r="G4362" s="3732"/>
    </row>
    <row r="4363" spans="7:7">
      <c r="G4363" s="3732"/>
    </row>
    <row r="4364" spans="7:7">
      <c r="G4364" s="3732"/>
    </row>
    <row r="4365" spans="7:7">
      <c r="G4365" s="3732"/>
    </row>
    <row r="4366" spans="7:7">
      <c r="G4366" s="3732"/>
    </row>
    <row r="4367" spans="7:7">
      <c r="G4367" s="3732"/>
    </row>
    <row r="4368" spans="7:7">
      <c r="G4368" s="3732"/>
    </row>
    <row r="4369" spans="7:7">
      <c r="G4369" s="3732"/>
    </row>
    <row r="4370" spans="7:7">
      <c r="G4370" s="3732"/>
    </row>
    <row r="4371" spans="7:7">
      <c r="G4371" s="3732"/>
    </row>
    <row r="4372" spans="7:7">
      <c r="G4372" s="3732"/>
    </row>
    <row r="4373" spans="7:7">
      <c r="G4373" s="3732"/>
    </row>
    <row r="4374" spans="7:7">
      <c r="G4374" s="3732"/>
    </row>
    <row r="4375" spans="7:7">
      <c r="G4375" s="3732"/>
    </row>
    <row r="4376" spans="7:7">
      <c r="G4376" s="3732"/>
    </row>
    <row r="4377" spans="7:7">
      <c r="G4377" s="3732"/>
    </row>
    <row r="4378" spans="7:7">
      <c r="G4378" s="3732"/>
    </row>
    <row r="4379" spans="7:7">
      <c r="G4379" s="3732"/>
    </row>
    <row r="4380" spans="7:7">
      <c r="G4380" s="3732"/>
    </row>
    <row r="4381" spans="7:7">
      <c r="G4381" s="3732"/>
    </row>
    <row r="4382" spans="7:7">
      <c r="G4382" s="3732"/>
    </row>
    <row r="4383" spans="7:7">
      <c r="G4383" s="3732"/>
    </row>
    <row r="4384" spans="7:7">
      <c r="G4384" s="3732"/>
    </row>
    <row r="4385" spans="7:7">
      <c r="G4385" s="3732"/>
    </row>
    <row r="4386" spans="7:7">
      <c r="G4386" s="3732"/>
    </row>
    <row r="4387" spans="7:7">
      <c r="G4387" s="3732"/>
    </row>
    <row r="4388" spans="7:7">
      <c r="G4388" s="3732"/>
    </row>
    <row r="4389" spans="7:7">
      <c r="G4389" s="3732"/>
    </row>
    <row r="4390" spans="7:7">
      <c r="G4390" s="3732"/>
    </row>
    <row r="4391" spans="7:7">
      <c r="G4391" s="3732"/>
    </row>
    <row r="4392" spans="7:7">
      <c r="G4392" s="3732"/>
    </row>
    <row r="4393" spans="7:7">
      <c r="G4393" s="3732"/>
    </row>
    <row r="4394" spans="7:7">
      <c r="G4394" s="3732"/>
    </row>
    <row r="4395" spans="7:7">
      <c r="G4395" s="3732"/>
    </row>
    <row r="4396" spans="7:7">
      <c r="G4396" s="3732"/>
    </row>
    <row r="4397" spans="7:7">
      <c r="G4397" s="3732"/>
    </row>
    <row r="4398" spans="7:7">
      <c r="G4398" s="3732"/>
    </row>
    <row r="4399" spans="7:7">
      <c r="G4399" s="3732"/>
    </row>
    <row r="4400" spans="7:7">
      <c r="G4400" s="3732"/>
    </row>
    <row r="4401" spans="7:7">
      <c r="G4401" s="3732"/>
    </row>
    <row r="4402" spans="7:7">
      <c r="G4402" s="3732"/>
    </row>
    <row r="4403" spans="7:7">
      <c r="G4403" s="3732"/>
    </row>
    <row r="4404" spans="7:7">
      <c r="G4404" s="3732"/>
    </row>
    <row r="4405" spans="7:7">
      <c r="G4405" s="3732"/>
    </row>
    <row r="4406" spans="7:7">
      <c r="G4406" s="3732"/>
    </row>
    <row r="4407" spans="7:7">
      <c r="G4407" s="3732"/>
    </row>
    <row r="4408" spans="7:7">
      <c r="G4408" s="3732"/>
    </row>
    <row r="4409" spans="7:7">
      <c r="G4409" s="3732"/>
    </row>
    <row r="4410" spans="7:7">
      <c r="G4410" s="3732"/>
    </row>
    <row r="4411" spans="7:7">
      <c r="G4411" s="3732"/>
    </row>
    <row r="4412" spans="7:7">
      <c r="G4412" s="3732"/>
    </row>
    <row r="4413" spans="7:7">
      <c r="G4413" s="3732"/>
    </row>
    <row r="4414" spans="7:7">
      <c r="G4414" s="3732"/>
    </row>
    <row r="4415" spans="7:7">
      <c r="G4415" s="3732"/>
    </row>
    <row r="4416" spans="7:7">
      <c r="G4416" s="3732"/>
    </row>
    <row r="4417" spans="7:7">
      <c r="G4417" s="3732"/>
    </row>
    <row r="4418" spans="7:7">
      <c r="G4418" s="3732"/>
    </row>
    <row r="4419" spans="7:7">
      <c r="G4419" s="3732"/>
    </row>
    <row r="4420" spans="7:7">
      <c r="G4420" s="3732"/>
    </row>
    <row r="4421" spans="7:7">
      <c r="G4421" s="3732"/>
    </row>
    <row r="4422" spans="7:7">
      <c r="G4422" s="3732"/>
    </row>
    <row r="4423" spans="7:7">
      <c r="G4423" s="3732"/>
    </row>
    <row r="4424" spans="7:7">
      <c r="G4424" s="3732"/>
    </row>
    <row r="4425" spans="7:7">
      <c r="G4425" s="3732"/>
    </row>
    <row r="4426" spans="7:7">
      <c r="G4426" s="3732"/>
    </row>
    <row r="4427" spans="7:7">
      <c r="G4427" s="3732"/>
    </row>
    <row r="4428" spans="7:7">
      <c r="G4428" s="3732"/>
    </row>
    <row r="4429" spans="7:7">
      <c r="G4429" s="3732"/>
    </row>
    <row r="4430" spans="7:7">
      <c r="G4430" s="3732"/>
    </row>
    <row r="4431" spans="7:7">
      <c r="G4431" s="3732"/>
    </row>
    <row r="4432" spans="7:7">
      <c r="G4432" s="3732"/>
    </row>
    <row r="4433" spans="7:7">
      <c r="G4433" s="3732"/>
    </row>
    <row r="4434" spans="7:7">
      <c r="G4434" s="3732"/>
    </row>
    <row r="4435" spans="7:7">
      <c r="G4435" s="3732"/>
    </row>
    <row r="4436" spans="7:7">
      <c r="G4436" s="3732"/>
    </row>
    <row r="4437" spans="7:7">
      <c r="G4437" s="3732"/>
    </row>
    <row r="4438" spans="7:7">
      <c r="G4438" s="3732"/>
    </row>
    <row r="4439" spans="7:7">
      <c r="G4439" s="3732"/>
    </row>
    <row r="4440" spans="7:7">
      <c r="G4440" s="3732"/>
    </row>
    <row r="4441" spans="7:7">
      <c r="G4441" s="3732"/>
    </row>
    <row r="4442" spans="7:7">
      <c r="G4442" s="3732"/>
    </row>
    <row r="4443" spans="7:7">
      <c r="G4443" s="3732"/>
    </row>
    <row r="4444" spans="7:7">
      <c r="G4444" s="3732"/>
    </row>
    <row r="4445" spans="7:7">
      <c r="G4445" s="3732"/>
    </row>
    <row r="4446" spans="7:7">
      <c r="G4446" s="3732"/>
    </row>
    <row r="4447" spans="7:7">
      <c r="G4447" s="3732"/>
    </row>
    <row r="4448" spans="7:7">
      <c r="G4448" s="3732"/>
    </row>
    <row r="4449" spans="7:7">
      <c r="G4449" s="3732"/>
    </row>
    <row r="4450" spans="7:7">
      <c r="G4450" s="3732"/>
    </row>
    <row r="4451" spans="7:7">
      <c r="G4451" s="3732"/>
    </row>
    <row r="4452" spans="7:7">
      <c r="G4452" s="3732"/>
    </row>
    <row r="4453" spans="7:7">
      <c r="G4453" s="3732"/>
    </row>
    <row r="4454" spans="7:7">
      <c r="G4454" s="3732"/>
    </row>
    <row r="4455" spans="7:7">
      <c r="G4455" s="3732"/>
    </row>
    <row r="4456" spans="7:7">
      <c r="G4456" s="3732"/>
    </row>
    <row r="4457" spans="7:7">
      <c r="G4457" s="3732"/>
    </row>
    <row r="4458" spans="7:7">
      <c r="G4458" s="3732"/>
    </row>
    <row r="4459" spans="7:7">
      <c r="G4459" s="3732"/>
    </row>
    <row r="4460" spans="7:7">
      <c r="G4460" s="3732"/>
    </row>
    <row r="4461" spans="7:7">
      <c r="G4461" s="3732"/>
    </row>
    <row r="4462" spans="7:7">
      <c r="G4462" s="3732"/>
    </row>
    <row r="4463" spans="7:7">
      <c r="G4463" s="3732"/>
    </row>
    <row r="4464" spans="7:7">
      <c r="G4464" s="3732"/>
    </row>
    <row r="4465" spans="7:7">
      <c r="G4465" s="3732"/>
    </row>
    <row r="4466" spans="7:7">
      <c r="G4466" s="3732"/>
    </row>
    <row r="4467" spans="7:7">
      <c r="G4467" s="3732"/>
    </row>
    <row r="4468" spans="7:7">
      <c r="G4468" s="3732"/>
    </row>
    <row r="4469" spans="7:7">
      <c r="G4469" s="3732"/>
    </row>
    <row r="4470" spans="7:7">
      <c r="G4470" s="3732"/>
    </row>
    <row r="4471" spans="7:7">
      <c r="G4471" s="3732"/>
    </row>
    <row r="4472" spans="7:7">
      <c r="G4472" s="3732"/>
    </row>
    <row r="4473" spans="7:7">
      <c r="G4473" s="3732"/>
    </row>
    <row r="4474" spans="7:7">
      <c r="G4474" s="3732"/>
    </row>
    <row r="4475" spans="7:7">
      <c r="G4475" s="3732"/>
    </row>
    <row r="4476" spans="7:7">
      <c r="G4476" s="3732"/>
    </row>
    <row r="4477" spans="7:7">
      <c r="G4477" s="3732"/>
    </row>
    <row r="4478" spans="7:7">
      <c r="G4478" s="3732"/>
    </row>
    <row r="4479" spans="7:7">
      <c r="G4479" s="3732"/>
    </row>
    <row r="4480" spans="7:7">
      <c r="G4480" s="3732"/>
    </row>
    <row r="4481" spans="7:7">
      <c r="G4481" s="3732"/>
    </row>
    <row r="4482" spans="7:7">
      <c r="G4482" s="3732"/>
    </row>
    <row r="4483" spans="7:7">
      <c r="G4483" s="3732"/>
    </row>
    <row r="4484" spans="7:7">
      <c r="G4484" s="3732"/>
    </row>
    <row r="4485" spans="7:7">
      <c r="G4485" s="3732"/>
    </row>
    <row r="4486" spans="7:7">
      <c r="G4486" s="3732"/>
    </row>
    <row r="4487" spans="7:7">
      <c r="G4487" s="3732"/>
    </row>
    <row r="4488" spans="7:7">
      <c r="G4488" s="3732"/>
    </row>
    <row r="4489" spans="7:7">
      <c r="G4489" s="3732"/>
    </row>
    <row r="4490" spans="7:7">
      <c r="G4490" s="3732"/>
    </row>
    <row r="4491" spans="7:7">
      <c r="G4491" s="3732"/>
    </row>
    <row r="4492" spans="7:7">
      <c r="G4492" s="3732"/>
    </row>
    <row r="4493" spans="7:7">
      <c r="G4493" s="3732"/>
    </row>
    <row r="4494" spans="7:7">
      <c r="G4494" s="3732"/>
    </row>
    <row r="4495" spans="7:7">
      <c r="G4495" s="3732"/>
    </row>
    <row r="4496" spans="7:7">
      <c r="G4496" s="3732"/>
    </row>
    <row r="4497" spans="7:7">
      <c r="G4497" s="3732"/>
    </row>
    <row r="4498" spans="7:7">
      <c r="G4498" s="3732"/>
    </row>
    <row r="4499" spans="7:7">
      <c r="G4499" s="3732"/>
    </row>
    <row r="4500" spans="7:7">
      <c r="G4500" s="3732"/>
    </row>
    <row r="4501" spans="7:7">
      <c r="G4501" s="3732"/>
    </row>
    <row r="4502" spans="7:7">
      <c r="G4502" s="3732"/>
    </row>
    <row r="4503" spans="7:7">
      <c r="G4503" s="3732"/>
    </row>
    <row r="4504" spans="7:7">
      <c r="G4504" s="3732"/>
    </row>
    <row r="4505" spans="7:7">
      <c r="G4505" s="3732"/>
    </row>
    <row r="4506" spans="7:7">
      <c r="G4506" s="3732"/>
    </row>
    <row r="4507" spans="7:7">
      <c r="G4507" s="3732"/>
    </row>
    <row r="4508" spans="7:7">
      <c r="G4508" s="3732"/>
    </row>
    <row r="4509" spans="7:7">
      <c r="G4509" s="3732"/>
    </row>
    <row r="4510" spans="7:7">
      <c r="G4510" s="3732"/>
    </row>
    <row r="4511" spans="7:7">
      <c r="G4511" s="3732"/>
    </row>
    <row r="4512" spans="7:7">
      <c r="G4512" s="3732"/>
    </row>
    <row r="4513" spans="7:7">
      <c r="G4513" s="3732"/>
    </row>
    <row r="4514" spans="7:7">
      <c r="G4514" s="3732"/>
    </row>
    <row r="4515" spans="7:7">
      <c r="G4515" s="3732"/>
    </row>
    <row r="4516" spans="7:7">
      <c r="G4516" s="3732"/>
    </row>
    <row r="4517" spans="7:7">
      <c r="G4517" s="3732"/>
    </row>
    <row r="4518" spans="7:7">
      <c r="G4518" s="3732"/>
    </row>
    <row r="4519" spans="7:7">
      <c r="G4519" s="3732"/>
    </row>
    <row r="4520" spans="7:7">
      <c r="G4520" s="3732"/>
    </row>
    <row r="4521" spans="7:7">
      <c r="G4521" s="3732"/>
    </row>
    <row r="4522" spans="7:7">
      <c r="G4522" s="3732"/>
    </row>
    <row r="4523" spans="7:7">
      <c r="G4523" s="3732"/>
    </row>
    <row r="4524" spans="7:7">
      <c r="G4524" s="3732"/>
    </row>
    <row r="4525" spans="7:7">
      <c r="G4525" s="3732"/>
    </row>
    <row r="4526" spans="7:7">
      <c r="G4526" s="3732"/>
    </row>
    <row r="4527" spans="7:7">
      <c r="G4527" s="3732"/>
    </row>
    <row r="4528" spans="7:7">
      <c r="G4528" s="3732"/>
    </row>
    <row r="4529" spans="7:7">
      <c r="G4529" s="3732"/>
    </row>
    <row r="4530" spans="7:7">
      <c r="G4530" s="3732"/>
    </row>
    <row r="4531" spans="7:7">
      <c r="G4531" s="3732"/>
    </row>
    <row r="4532" spans="7:7">
      <c r="G4532" s="3732"/>
    </row>
    <row r="4533" spans="7:7">
      <c r="G4533" s="3732"/>
    </row>
    <row r="4534" spans="7:7">
      <c r="G4534" s="3732"/>
    </row>
    <row r="4535" spans="7:7">
      <c r="G4535" s="3732"/>
    </row>
    <row r="4536" spans="7:7">
      <c r="G4536" s="3732"/>
    </row>
    <row r="4537" spans="7:7">
      <c r="G4537" s="3732"/>
    </row>
    <row r="4538" spans="7:7">
      <c r="G4538" s="3732"/>
    </row>
    <row r="4539" spans="7:7">
      <c r="G4539" s="3732"/>
    </row>
    <row r="4540" spans="7:7">
      <c r="G4540" s="3732"/>
    </row>
    <row r="4541" spans="7:7">
      <c r="G4541" s="3732"/>
    </row>
    <row r="4542" spans="7:7">
      <c r="G4542" s="3732"/>
    </row>
    <row r="4543" spans="7:7">
      <c r="G4543" s="3732"/>
    </row>
    <row r="4544" spans="7:7">
      <c r="G4544" s="3732"/>
    </row>
    <row r="4545" spans="7:7">
      <c r="G4545" s="3732"/>
    </row>
    <row r="4546" spans="7:7">
      <c r="G4546" s="3732"/>
    </row>
    <row r="4547" spans="7:7">
      <c r="G4547" s="3732"/>
    </row>
    <row r="4548" spans="7:7">
      <c r="G4548" s="3732"/>
    </row>
    <row r="4549" spans="7:7">
      <c r="G4549" s="3732"/>
    </row>
    <row r="4550" spans="7:7">
      <c r="G4550" s="3732"/>
    </row>
    <row r="4551" spans="7:7">
      <c r="G4551" s="3732"/>
    </row>
    <row r="4552" spans="7:7">
      <c r="G4552" s="3732"/>
    </row>
    <row r="4553" spans="7:7">
      <c r="G4553" s="3732"/>
    </row>
    <row r="4554" spans="7:7">
      <c r="G4554" s="3732"/>
    </row>
    <row r="4555" spans="7:7">
      <c r="G4555" s="3732"/>
    </row>
    <row r="4556" spans="7:7">
      <c r="G4556" s="3732"/>
    </row>
    <row r="4557" spans="7:7">
      <c r="G4557" s="3732"/>
    </row>
    <row r="4558" spans="7:7">
      <c r="G4558" s="3732"/>
    </row>
    <row r="4559" spans="7:7">
      <c r="G4559" s="3732"/>
    </row>
    <row r="4560" spans="7:7">
      <c r="G4560" s="3732"/>
    </row>
    <row r="4561" spans="7:7">
      <c r="G4561" s="3732"/>
    </row>
    <row r="4562" spans="7:7">
      <c r="G4562" s="3732"/>
    </row>
    <row r="4563" spans="7:7">
      <c r="G4563" s="3732"/>
    </row>
    <row r="4564" spans="7:7">
      <c r="G4564" s="3732"/>
    </row>
    <row r="4565" spans="7:7">
      <c r="G4565" s="3732"/>
    </row>
    <row r="4566" spans="7:7">
      <c r="G4566" s="3732"/>
    </row>
    <row r="4567" spans="7:7">
      <c r="G4567" s="3732"/>
    </row>
    <row r="4568" spans="7:7">
      <c r="G4568" s="3732"/>
    </row>
    <row r="4569" spans="7:7">
      <c r="G4569" s="3732"/>
    </row>
    <row r="4570" spans="7:7">
      <c r="G4570" s="3732"/>
    </row>
    <row r="4571" spans="7:7">
      <c r="G4571" s="3732"/>
    </row>
    <row r="4572" spans="7:7">
      <c r="G4572" s="3732"/>
    </row>
    <row r="4573" spans="7:7">
      <c r="G4573" s="3732"/>
    </row>
    <row r="4574" spans="7:7">
      <c r="G4574" s="3732"/>
    </row>
    <row r="4575" spans="7:7">
      <c r="G4575" s="3732"/>
    </row>
    <row r="4576" spans="7:7">
      <c r="G4576" s="3732"/>
    </row>
    <row r="4577" spans="7:7">
      <c r="G4577" s="3732"/>
    </row>
    <row r="4578" spans="7:7">
      <c r="G4578" s="3732"/>
    </row>
    <row r="4579" spans="7:7">
      <c r="G4579" s="3732"/>
    </row>
    <row r="4580" spans="7:7">
      <c r="G4580" s="3732"/>
    </row>
    <row r="4581" spans="7:7">
      <c r="G4581" s="3732"/>
    </row>
    <row r="4582" spans="7:7">
      <c r="G4582" s="3732"/>
    </row>
    <row r="4583" spans="7:7">
      <c r="G4583" s="3732"/>
    </row>
    <row r="4584" spans="7:7">
      <c r="G4584" s="3732"/>
    </row>
    <row r="4585" spans="7:7">
      <c r="G4585" s="3732"/>
    </row>
    <row r="4586" spans="7:7">
      <c r="G4586" s="3732"/>
    </row>
    <row r="4587" spans="7:7">
      <c r="G4587" s="3732"/>
    </row>
    <row r="4588" spans="7:7">
      <c r="G4588" s="3732"/>
    </row>
    <row r="4589" spans="7:7">
      <c r="G4589" s="3732"/>
    </row>
    <row r="4590" spans="7:7">
      <c r="G4590" s="3732"/>
    </row>
    <row r="4591" spans="7:7">
      <c r="G4591" s="3732"/>
    </row>
    <row r="4592" spans="7:7">
      <c r="G4592" s="3732"/>
    </row>
    <row r="4593" spans="7:7">
      <c r="G4593" s="3732"/>
    </row>
    <row r="4594" spans="7:7">
      <c r="G4594" s="3732"/>
    </row>
    <row r="4595" spans="7:7">
      <c r="G4595" s="3732"/>
    </row>
    <row r="4596" spans="7:7">
      <c r="G4596" s="3732"/>
    </row>
    <row r="4597" spans="7:7">
      <c r="G4597" s="3732"/>
    </row>
    <row r="4598" spans="7:7">
      <c r="G4598" s="3732"/>
    </row>
    <row r="4599" spans="7:7">
      <c r="G4599" s="3732"/>
    </row>
    <row r="4600" spans="7:7">
      <c r="G4600" s="3732"/>
    </row>
    <row r="4601" spans="7:7">
      <c r="G4601" s="3732"/>
    </row>
    <row r="4602" spans="7:7">
      <c r="G4602" s="3732"/>
    </row>
    <row r="4603" spans="7:7">
      <c r="G4603" s="3732"/>
    </row>
    <row r="4604" spans="7:7">
      <c r="G4604" s="3732"/>
    </row>
    <row r="4605" spans="7:7">
      <c r="G4605" s="3732"/>
    </row>
    <row r="4606" spans="7:7">
      <c r="G4606" s="3732"/>
    </row>
    <row r="4607" spans="7:7">
      <c r="G4607" s="3732"/>
    </row>
    <row r="4608" spans="7:7">
      <c r="G4608" s="3732"/>
    </row>
    <row r="4609" spans="7:7">
      <c r="G4609" s="3732"/>
    </row>
    <row r="4610" spans="7:7">
      <c r="G4610" s="3732"/>
    </row>
    <row r="4611" spans="7:7">
      <c r="G4611" s="3732"/>
    </row>
    <row r="4612" spans="7:7">
      <c r="G4612" s="3732"/>
    </row>
    <row r="4613" spans="7:7">
      <c r="G4613" s="3732"/>
    </row>
    <row r="4614" spans="7:7">
      <c r="G4614" s="3732"/>
    </row>
    <row r="4615" spans="7:7">
      <c r="G4615" s="3732"/>
    </row>
    <row r="4616" spans="7:7">
      <c r="G4616" s="3732"/>
    </row>
    <row r="4617" spans="7:7">
      <c r="G4617" s="3732"/>
    </row>
    <row r="4618" spans="7:7">
      <c r="G4618" s="3732"/>
    </row>
    <row r="4619" spans="7:7">
      <c r="G4619" s="3732"/>
    </row>
    <row r="4620" spans="7:7">
      <c r="G4620" s="3732"/>
    </row>
    <row r="4621" spans="7:7">
      <c r="G4621" s="3732"/>
    </row>
    <row r="4622" spans="7:7">
      <c r="G4622" s="3732"/>
    </row>
    <row r="4623" spans="7:7">
      <c r="G4623" s="3732"/>
    </row>
    <row r="4624" spans="7:7">
      <c r="G4624" s="3732"/>
    </row>
    <row r="4625" spans="7:7">
      <c r="G4625" s="3732"/>
    </row>
    <row r="4626" spans="7:7">
      <c r="G4626" s="3732"/>
    </row>
    <row r="4627" spans="7:7">
      <c r="G4627" s="3732"/>
    </row>
    <row r="4628" spans="7:7">
      <c r="G4628" s="3732"/>
    </row>
    <row r="4629" spans="7:7">
      <c r="G4629" s="3732"/>
    </row>
    <row r="4630" spans="7:7">
      <c r="G4630" s="3732"/>
    </row>
    <row r="4631" spans="7:7">
      <c r="G4631" s="3732"/>
    </row>
    <row r="4632" spans="7:7">
      <c r="G4632" s="3732"/>
    </row>
    <row r="4633" spans="7:7">
      <c r="G4633" s="3732"/>
    </row>
    <row r="4634" spans="7:7">
      <c r="G4634" s="3732"/>
    </row>
    <row r="4635" spans="7:7">
      <c r="G4635" s="3732"/>
    </row>
    <row r="4636" spans="7:7">
      <c r="G4636" s="3732"/>
    </row>
    <row r="4637" spans="7:7">
      <c r="G4637" s="3732"/>
    </row>
    <row r="4638" spans="7:7">
      <c r="G4638" s="3732"/>
    </row>
    <row r="4639" spans="7:7">
      <c r="G4639" s="3732"/>
    </row>
    <row r="4640" spans="7:7">
      <c r="G4640" s="3732"/>
    </row>
    <row r="4641" spans="7:7">
      <c r="G4641" s="3732"/>
    </row>
    <row r="4642" spans="7:7">
      <c r="G4642" s="3732"/>
    </row>
    <row r="4643" spans="7:7">
      <c r="G4643" s="3732"/>
    </row>
    <row r="4644" spans="7:7">
      <c r="G4644" s="3732"/>
    </row>
    <row r="4645" spans="7:7">
      <c r="G4645" s="3732"/>
    </row>
    <row r="4646" spans="7:7">
      <c r="G4646" s="3732"/>
    </row>
    <row r="4647" spans="7:7">
      <c r="G4647" s="3732"/>
    </row>
    <row r="4648" spans="7:7">
      <c r="G4648" s="3732"/>
    </row>
    <row r="4649" spans="7:7">
      <c r="G4649" s="3732"/>
    </row>
    <row r="4650" spans="7:7">
      <c r="G4650" s="3732"/>
    </row>
    <row r="4651" spans="7:7">
      <c r="G4651" s="3732"/>
    </row>
    <row r="4652" spans="7:7">
      <c r="G4652" s="3732"/>
    </row>
    <row r="4653" spans="7:7">
      <c r="G4653" s="3732"/>
    </row>
    <row r="4654" spans="7:7">
      <c r="G4654" s="3732"/>
    </row>
    <row r="4655" spans="7:7">
      <c r="G4655" s="3732"/>
    </row>
    <row r="4656" spans="7:7">
      <c r="G4656" s="3732"/>
    </row>
    <row r="4657" spans="7:7">
      <c r="G4657" s="3732"/>
    </row>
    <row r="4658" spans="7:7">
      <c r="G4658" s="3732"/>
    </row>
    <row r="4659" spans="7:7">
      <c r="G4659" s="3732"/>
    </row>
    <row r="4660" spans="7:7">
      <c r="G4660" s="3732"/>
    </row>
    <row r="4661" spans="7:7">
      <c r="G4661" s="3732"/>
    </row>
    <row r="4662" spans="7:7">
      <c r="G4662" s="3732"/>
    </row>
    <row r="4663" spans="7:7">
      <c r="G4663" s="3732"/>
    </row>
    <row r="4664" spans="7:7">
      <c r="G4664" s="3732"/>
    </row>
    <row r="4665" spans="7:7">
      <c r="G4665" s="3732"/>
    </row>
    <row r="4666" spans="7:7">
      <c r="G4666" s="3732"/>
    </row>
    <row r="4667" spans="7:7">
      <c r="G4667" s="3732"/>
    </row>
    <row r="4668" spans="7:7">
      <c r="G4668" s="3732"/>
    </row>
    <row r="4669" spans="7:7">
      <c r="G4669" s="3732"/>
    </row>
    <row r="4670" spans="7:7">
      <c r="G4670" s="3732"/>
    </row>
    <row r="4671" spans="7:7">
      <c r="G4671" s="3732"/>
    </row>
    <row r="4672" spans="7:7">
      <c r="G4672" s="3732"/>
    </row>
    <row r="4673" spans="7:7">
      <c r="G4673" s="3732"/>
    </row>
    <row r="4674" spans="7:7">
      <c r="G4674" s="3732"/>
    </row>
    <row r="4675" spans="7:7">
      <c r="G4675" s="3732"/>
    </row>
    <row r="4676" spans="7:7">
      <c r="G4676" s="3732"/>
    </row>
    <row r="4677" spans="7:7">
      <c r="G4677" s="3732"/>
    </row>
    <row r="4678" spans="7:7">
      <c r="G4678" s="3732"/>
    </row>
    <row r="4679" spans="7:7">
      <c r="G4679" s="3732"/>
    </row>
    <row r="4680" spans="7:7">
      <c r="G4680" s="3732"/>
    </row>
    <row r="4681" spans="7:7">
      <c r="G4681" s="3732"/>
    </row>
    <row r="4682" spans="7:7">
      <c r="G4682" s="3732"/>
    </row>
    <row r="4683" spans="7:7">
      <c r="G4683" s="3732"/>
    </row>
    <row r="4684" spans="7:7">
      <c r="G4684" s="3732"/>
    </row>
    <row r="4685" spans="7:7">
      <c r="G4685" s="3732"/>
    </row>
    <row r="4686" spans="7:7">
      <c r="G4686" s="3732"/>
    </row>
    <row r="4687" spans="7:7">
      <c r="G4687" s="3732"/>
    </row>
    <row r="4688" spans="7:7">
      <c r="G4688" s="3732"/>
    </row>
    <row r="4689" spans="7:7">
      <c r="G4689" s="3732"/>
    </row>
    <row r="4690" spans="7:7">
      <c r="G4690" s="3732"/>
    </row>
    <row r="4691" spans="7:7">
      <c r="G4691" s="3732"/>
    </row>
    <row r="4692" spans="7:7">
      <c r="G4692" s="3732"/>
    </row>
    <row r="4693" spans="7:7">
      <c r="G4693" s="3732"/>
    </row>
    <row r="4694" spans="7:7">
      <c r="G4694" s="3732"/>
    </row>
    <row r="4695" spans="7:7">
      <c r="G4695" s="3732"/>
    </row>
    <row r="4696" spans="7:7">
      <c r="G4696" s="3732"/>
    </row>
    <row r="4697" spans="7:7">
      <c r="G4697" s="3732"/>
    </row>
    <row r="4698" spans="7:7">
      <c r="G4698" s="3732"/>
    </row>
    <row r="4699" spans="7:7">
      <c r="G4699" s="3732"/>
    </row>
    <row r="4700" spans="7:7">
      <c r="G4700" s="3732"/>
    </row>
    <row r="4701" spans="7:7">
      <c r="G4701" s="3732"/>
    </row>
    <row r="4702" spans="7:7">
      <c r="G4702" s="3732"/>
    </row>
    <row r="4703" spans="7:7">
      <c r="G4703" s="3732"/>
    </row>
    <row r="4704" spans="7:7">
      <c r="G4704" s="3732"/>
    </row>
    <row r="4705" spans="7:7">
      <c r="G4705" s="3732"/>
    </row>
    <row r="4706" spans="7:7">
      <c r="G4706" s="3732"/>
    </row>
    <row r="4707" spans="7:7">
      <c r="G4707" s="3732"/>
    </row>
    <row r="4708" spans="7:7">
      <c r="G4708" s="3732"/>
    </row>
    <row r="4709" spans="7:7">
      <c r="G4709" s="3732"/>
    </row>
    <row r="4710" spans="7:7">
      <c r="G4710" s="3732"/>
    </row>
    <row r="4711" spans="7:7">
      <c r="G4711" s="3732"/>
    </row>
    <row r="4712" spans="7:7">
      <c r="G4712" s="3732"/>
    </row>
    <row r="4713" spans="7:7">
      <c r="G4713" s="3732"/>
    </row>
    <row r="4714" spans="7:7">
      <c r="G4714" s="3732"/>
    </row>
    <row r="4715" spans="7:7">
      <c r="G4715" s="3732"/>
    </row>
    <row r="4716" spans="7:7">
      <c r="G4716" s="3732"/>
    </row>
    <row r="4717" spans="7:7">
      <c r="G4717" s="3732"/>
    </row>
    <row r="4718" spans="7:7">
      <c r="G4718" s="3732"/>
    </row>
    <row r="4719" spans="7:7">
      <c r="G4719" s="3732"/>
    </row>
    <row r="4720" spans="7:7">
      <c r="G4720" s="3732"/>
    </row>
    <row r="4721" spans="7:7">
      <c r="G4721" s="3732"/>
    </row>
    <row r="4722" spans="7:7">
      <c r="G4722" s="3732"/>
    </row>
    <row r="4723" spans="7:7">
      <c r="G4723" s="3732"/>
    </row>
    <row r="4724" spans="7:7">
      <c r="G4724" s="3732"/>
    </row>
    <row r="4725" spans="7:7">
      <c r="G4725" s="3732"/>
    </row>
    <row r="4726" spans="7:7">
      <c r="G4726" s="3732"/>
    </row>
    <row r="4727" spans="7:7">
      <c r="G4727" s="3732"/>
    </row>
    <row r="4728" spans="7:7">
      <c r="G4728" s="3732"/>
    </row>
    <row r="4729" spans="7:7">
      <c r="G4729" s="3732"/>
    </row>
    <row r="4730" spans="7:7">
      <c r="G4730" s="3732"/>
    </row>
    <row r="4731" spans="7:7">
      <c r="G4731" s="3732"/>
    </row>
    <row r="4732" spans="7:7">
      <c r="G4732" s="3732"/>
    </row>
    <row r="4733" spans="7:7">
      <c r="G4733" s="3732"/>
    </row>
    <row r="4734" spans="7:7">
      <c r="G4734" s="3732"/>
    </row>
    <row r="4735" spans="7:7">
      <c r="G4735" s="3732"/>
    </row>
    <row r="4736" spans="7:7">
      <c r="G4736" s="3732"/>
    </row>
    <row r="4737" spans="7:7">
      <c r="G4737" s="3732"/>
    </row>
    <row r="4738" spans="7:7">
      <c r="G4738" s="3732"/>
    </row>
    <row r="4739" spans="7:7">
      <c r="G4739" s="3732"/>
    </row>
    <row r="4740" spans="7:7">
      <c r="G4740" s="3732"/>
    </row>
    <row r="4741" spans="7:7">
      <c r="G4741" s="3732"/>
    </row>
    <row r="4742" spans="7:7">
      <c r="G4742" s="3732"/>
    </row>
    <row r="4743" spans="7:7">
      <c r="G4743" s="3732"/>
    </row>
    <row r="4744" spans="7:7">
      <c r="G4744" s="3732"/>
    </row>
    <row r="4745" spans="7:7">
      <c r="G4745" s="3732"/>
    </row>
    <row r="4746" spans="7:7">
      <c r="G4746" s="3732"/>
    </row>
    <row r="4747" spans="7:7">
      <c r="G4747" s="3732"/>
    </row>
    <row r="4748" spans="7:7">
      <c r="G4748" s="3732"/>
    </row>
    <row r="4749" spans="7:7">
      <c r="G4749" s="3732"/>
    </row>
    <row r="4750" spans="7:7">
      <c r="G4750" s="3732"/>
    </row>
    <row r="4751" spans="7:7">
      <c r="G4751" s="3732"/>
    </row>
    <row r="4752" spans="7:7">
      <c r="G4752" s="3732"/>
    </row>
    <row r="4753" spans="7:7">
      <c r="G4753" s="3732"/>
    </row>
    <row r="4754" spans="7:7">
      <c r="G4754" s="3732"/>
    </row>
    <row r="4755" spans="7:7">
      <c r="G4755" s="3732"/>
    </row>
    <row r="4756" spans="7:7">
      <c r="G4756" s="3732"/>
    </row>
    <row r="4757" spans="7:7">
      <c r="G4757" s="3732"/>
    </row>
    <row r="4758" spans="7:7">
      <c r="G4758" s="3732"/>
    </row>
    <row r="4759" spans="7:7">
      <c r="G4759" s="3732"/>
    </row>
    <row r="4760" spans="7:7">
      <c r="G4760" s="3732"/>
    </row>
    <row r="4761" spans="7:7">
      <c r="G4761" s="3732"/>
    </row>
    <row r="4762" spans="7:7">
      <c r="G4762" s="3732"/>
    </row>
    <row r="4763" spans="7:7">
      <c r="G4763" s="3732"/>
    </row>
    <row r="4764" spans="7:7">
      <c r="G4764" s="3732"/>
    </row>
    <row r="4765" spans="7:7">
      <c r="G4765" s="3732"/>
    </row>
    <row r="4766" spans="7:7">
      <c r="G4766" s="3732"/>
    </row>
    <row r="4767" spans="7:7">
      <c r="G4767" s="3732"/>
    </row>
    <row r="4768" spans="7:7">
      <c r="G4768" s="3732"/>
    </row>
    <row r="4769" spans="7:7">
      <c r="G4769" s="3732"/>
    </row>
    <row r="4770" spans="7:7">
      <c r="G4770" s="3732"/>
    </row>
    <row r="4771" spans="7:7">
      <c r="G4771" s="3732"/>
    </row>
    <row r="4772" spans="7:7">
      <c r="G4772" s="3732"/>
    </row>
    <row r="4773" spans="7:7">
      <c r="G4773" s="3732"/>
    </row>
    <row r="4774" spans="7:7">
      <c r="G4774" s="3732"/>
    </row>
    <row r="4775" spans="7:7">
      <c r="G4775" s="3732"/>
    </row>
    <row r="4776" spans="7:7">
      <c r="G4776" s="3732"/>
    </row>
    <row r="4777" spans="7:7">
      <c r="G4777" s="3732"/>
    </row>
    <row r="4778" spans="7:7">
      <c r="G4778" s="3732"/>
    </row>
    <row r="4779" spans="7:7">
      <c r="G4779" s="3732"/>
    </row>
    <row r="4780" spans="7:7">
      <c r="G4780" s="3732"/>
    </row>
    <row r="4781" spans="7:7">
      <c r="G4781" s="3732"/>
    </row>
    <row r="4782" spans="7:7">
      <c r="G4782" s="3732"/>
    </row>
    <row r="4783" spans="7:7">
      <c r="G4783" s="3732"/>
    </row>
    <row r="4784" spans="7:7">
      <c r="G4784" s="3732"/>
    </row>
    <row r="4785" spans="7:7">
      <c r="G4785" s="3732"/>
    </row>
    <row r="4786" spans="7:7">
      <c r="G4786" s="3732"/>
    </row>
    <row r="4787" spans="7:7">
      <c r="G4787" s="3732"/>
    </row>
    <row r="4788" spans="7:7">
      <c r="G4788" s="3732"/>
    </row>
    <row r="4789" spans="7:7">
      <c r="G4789" s="3732"/>
    </row>
    <row r="4790" spans="7:7">
      <c r="G4790" s="3732"/>
    </row>
    <row r="4791" spans="7:7">
      <c r="G4791" s="3732"/>
    </row>
    <row r="4792" spans="7:7">
      <c r="G4792" s="3732"/>
    </row>
    <row r="4793" spans="7:7">
      <c r="G4793" s="3732"/>
    </row>
    <row r="4794" spans="7:7">
      <c r="G4794" s="3732"/>
    </row>
    <row r="4795" spans="7:7">
      <c r="G4795" s="3732"/>
    </row>
    <row r="4796" spans="7:7">
      <c r="G4796" s="3732"/>
    </row>
    <row r="4797" spans="7:7">
      <c r="G4797" s="3732"/>
    </row>
    <row r="4798" spans="7:7">
      <c r="G4798" s="3732"/>
    </row>
    <row r="4799" spans="7:7">
      <c r="G4799" s="3732"/>
    </row>
    <row r="4800" spans="7:7">
      <c r="G4800" s="3732"/>
    </row>
    <row r="4801" spans="7:7">
      <c r="G4801" s="3732"/>
    </row>
    <row r="4802" spans="7:7">
      <c r="G4802" s="3732"/>
    </row>
    <row r="4803" spans="7:7">
      <c r="G4803" s="3732"/>
    </row>
    <row r="4804" spans="7:7">
      <c r="G4804" s="3732"/>
    </row>
    <row r="4805" spans="7:7">
      <c r="G4805" s="3732"/>
    </row>
    <row r="4806" spans="7:7">
      <c r="G4806" s="3732"/>
    </row>
    <row r="4807" spans="7:7">
      <c r="G4807" s="3732"/>
    </row>
    <row r="4808" spans="7:7">
      <c r="G4808" s="3732"/>
    </row>
    <row r="4809" spans="7:7">
      <c r="G4809" s="3732"/>
    </row>
    <row r="4810" spans="7:7">
      <c r="G4810" s="3732"/>
    </row>
    <row r="4811" spans="7:7">
      <c r="G4811" s="3732"/>
    </row>
    <row r="4812" spans="7:7">
      <c r="G4812" s="3732"/>
    </row>
    <row r="4813" spans="7:7">
      <c r="G4813" s="3732"/>
    </row>
    <row r="4814" spans="7:7">
      <c r="G4814" s="3732"/>
    </row>
    <row r="4815" spans="7:7">
      <c r="G4815" s="3732"/>
    </row>
    <row r="4816" spans="7:7">
      <c r="G4816" s="3732"/>
    </row>
    <row r="4817" spans="7:7">
      <c r="G4817" s="3732"/>
    </row>
    <row r="4818" spans="7:7">
      <c r="G4818" s="3732"/>
    </row>
    <row r="4819" spans="7:7">
      <c r="G4819" s="3732"/>
    </row>
    <row r="4820" spans="7:7">
      <c r="G4820" s="3732"/>
    </row>
    <row r="4821" spans="7:7">
      <c r="G4821" s="3732"/>
    </row>
    <row r="4822" spans="7:7">
      <c r="G4822" s="3732"/>
    </row>
    <row r="4823" spans="7:7">
      <c r="G4823" s="3732"/>
    </row>
    <row r="4824" spans="7:7">
      <c r="G4824" s="3732"/>
    </row>
    <row r="4825" spans="7:7">
      <c r="G4825" s="3732"/>
    </row>
    <row r="4826" spans="7:7">
      <c r="G4826" s="3732"/>
    </row>
    <row r="4827" spans="7:7">
      <c r="G4827" s="3732"/>
    </row>
    <row r="4828" spans="7:7">
      <c r="G4828" s="3732"/>
    </row>
    <row r="4829" spans="7:7">
      <c r="G4829" s="3732"/>
    </row>
    <row r="4830" spans="7:7">
      <c r="G4830" s="3732"/>
    </row>
    <row r="4831" spans="7:7">
      <c r="G4831" s="3732"/>
    </row>
    <row r="4832" spans="7:7">
      <c r="G4832" s="3732"/>
    </row>
    <row r="4833" spans="7:7">
      <c r="G4833" s="3732"/>
    </row>
    <row r="4834" spans="7:7">
      <c r="G4834" s="3732"/>
    </row>
    <row r="4835" spans="7:7">
      <c r="G4835" s="3732"/>
    </row>
    <row r="4836" spans="7:7">
      <c r="G4836" s="3732"/>
    </row>
    <row r="4837" spans="7:7">
      <c r="G4837" s="3732"/>
    </row>
    <row r="4838" spans="7:7">
      <c r="G4838" s="3732"/>
    </row>
    <row r="4839" spans="7:7">
      <c r="G4839" s="3732"/>
    </row>
    <row r="4840" spans="7:7">
      <c r="G4840" s="3732"/>
    </row>
    <row r="4841" spans="7:7">
      <c r="G4841" s="3732"/>
    </row>
    <row r="4842" spans="7:7">
      <c r="G4842" s="3732"/>
    </row>
    <row r="4843" spans="7:7">
      <c r="G4843" s="3732"/>
    </row>
    <row r="4844" spans="7:7">
      <c r="G4844" s="3732"/>
    </row>
    <row r="4845" spans="7:7">
      <c r="G4845" s="3732"/>
    </row>
    <row r="4846" spans="7:7">
      <c r="G4846" s="3732"/>
    </row>
    <row r="4847" spans="7:7">
      <c r="G4847" s="3732"/>
    </row>
    <row r="4848" spans="7:7">
      <c r="G4848" s="3732"/>
    </row>
    <row r="4849" spans="7:7">
      <c r="G4849" s="3732"/>
    </row>
    <row r="4850" spans="7:7">
      <c r="G4850" s="3732"/>
    </row>
    <row r="4851" spans="7:7">
      <c r="G4851" s="3732"/>
    </row>
    <row r="4852" spans="7:7">
      <c r="G4852" s="3732"/>
    </row>
    <row r="4853" spans="7:7">
      <c r="G4853" s="3732"/>
    </row>
    <row r="4854" spans="7:7">
      <c r="G4854" s="3732"/>
    </row>
    <row r="4855" spans="7:7">
      <c r="G4855" s="3732"/>
    </row>
    <row r="4856" spans="7:7">
      <c r="G4856" s="3732"/>
    </row>
    <row r="4857" spans="7:7">
      <c r="G4857" s="3732"/>
    </row>
    <row r="4858" spans="7:7">
      <c r="G4858" s="3732"/>
    </row>
    <row r="4859" spans="7:7">
      <c r="G4859" s="3732"/>
    </row>
    <row r="4860" spans="7:7">
      <c r="G4860" s="3732"/>
    </row>
    <row r="4861" spans="7:7">
      <c r="G4861" s="3732"/>
    </row>
    <row r="4862" spans="7:7">
      <c r="G4862" s="3732"/>
    </row>
    <row r="4863" spans="7:7">
      <c r="G4863" s="3732"/>
    </row>
    <row r="4864" spans="7:7">
      <c r="G4864" s="3732"/>
    </row>
    <row r="4865" spans="7:7">
      <c r="G4865" s="3732"/>
    </row>
    <row r="4866" spans="7:7">
      <c r="G4866" s="3732"/>
    </row>
    <row r="4867" spans="7:7">
      <c r="G4867" s="3732"/>
    </row>
    <row r="4868" spans="7:7">
      <c r="G4868" s="3732"/>
    </row>
    <row r="4869" spans="7:7">
      <c r="G4869" s="3732"/>
    </row>
    <row r="4870" spans="7:7">
      <c r="G4870" s="3732"/>
    </row>
    <row r="4871" spans="7:7">
      <c r="G4871" s="3732"/>
    </row>
    <row r="4872" spans="7:7">
      <c r="G4872" s="3732"/>
    </row>
    <row r="4873" spans="7:7">
      <c r="G4873" s="3732"/>
    </row>
    <row r="4874" spans="7:7">
      <c r="G4874" s="3732"/>
    </row>
    <row r="4875" spans="7:7">
      <c r="G4875" s="3732"/>
    </row>
    <row r="4876" spans="7:7">
      <c r="G4876" s="3732"/>
    </row>
    <row r="4877" spans="7:7">
      <c r="G4877" s="3732"/>
    </row>
    <row r="4878" spans="7:7">
      <c r="G4878" s="3732"/>
    </row>
    <row r="4879" spans="7:7">
      <c r="G4879" s="3732"/>
    </row>
    <row r="4880" spans="7:7">
      <c r="G4880" s="3732"/>
    </row>
    <row r="4881" spans="7:7">
      <c r="G4881" s="3732"/>
    </row>
    <row r="4882" spans="7:7">
      <c r="G4882" s="3732"/>
    </row>
    <row r="4883" spans="7:7">
      <c r="G4883" s="3732"/>
    </row>
    <row r="4884" spans="7:7">
      <c r="G4884" s="3732"/>
    </row>
    <row r="4885" spans="7:7">
      <c r="G4885" s="3732"/>
    </row>
    <row r="4886" spans="7:7">
      <c r="G4886" s="3732"/>
    </row>
    <row r="4887" spans="7:7">
      <c r="G4887" s="3732"/>
    </row>
    <row r="4888" spans="7:7">
      <c r="G4888" s="3732"/>
    </row>
    <row r="4889" spans="7:7">
      <c r="G4889" s="3732"/>
    </row>
    <row r="4890" spans="7:7">
      <c r="G4890" s="3732"/>
    </row>
    <row r="4891" spans="7:7">
      <c r="G4891" s="3732"/>
    </row>
    <row r="4892" spans="7:7">
      <c r="G4892" s="3732"/>
    </row>
    <row r="4893" spans="7:7">
      <c r="G4893" s="3732"/>
    </row>
    <row r="4894" spans="7:7">
      <c r="G4894" s="3732"/>
    </row>
    <row r="4895" spans="7:7">
      <c r="G4895" s="3732"/>
    </row>
    <row r="4896" spans="7:7">
      <c r="G4896" s="3732"/>
    </row>
    <row r="4897" spans="7:7">
      <c r="G4897" s="3732"/>
    </row>
    <row r="4898" spans="7:7">
      <c r="G4898" s="3732"/>
    </row>
    <row r="4899" spans="7:7">
      <c r="G4899" s="3732"/>
    </row>
    <row r="4900" spans="7:7">
      <c r="G4900" s="3732"/>
    </row>
    <row r="4901" spans="7:7">
      <c r="G4901" s="3732"/>
    </row>
    <row r="4902" spans="7:7">
      <c r="G4902" s="3732"/>
    </row>
    <row r="4903" spans="7:7">
      <c r="G4903" s="3732"/>
    </row>
    <row r="4904" spans="7:7">
      <c r="G4904" s="3732"/>
    </row>
    <row r="4905" spans="7:7">
      <c r="G4905" s="3732"/>
    </row>
    <row r="4906" spans="7:7">
      <c r="G4906" s="3732"/>
    </row>
    <row r="4907" spans="7:7">
      <c r="G4907" s="3732"/>
    </row>
    <row r="4908" spans="7:7">
      <c r="G4908" s="3732"/>
    </row>
    <row r="4909" spans="7:7">
      <c r="G4909" s="3732"/>
    </row>
    <row r="4910" spans="7:7">
      <c r="G4910" s="3732"/>
    </row>
    <row r="4911" spans="7:7">
      <c r="G4911" s="3732"/>
    </row>
    <row r="4912" spans="7:7">
      <c r="G4912" s="3732"/>
    </row>
    <row r="4913" spans="7:7">
      <c r="G4913" s="3732"/>
    </row>
    <row r="4914" spans="7:7">
      <c r="G4914" s="3732"/>
    </row>
    <row r="4915" spans="7:7">
      <c r="G4915" s="3732"/>
    </row>
    <row r="4916" spans="7:7">
      <c r="G4916" s="3732"/>
    </row>
    <row r="4917" spans="7:7">
      <c r="G4917" s="3732"/>
    </row>
    <row r="4918" spans="7:7">
      <c r="G4918" s="3732"/>
    </row>
    <row r="4919" spans="7:7">
      <c r="G4919" s="3732"/>
    </row>
    <row r="4920" spans="7:7">
      <c r="G4920" s="3732"/>
    </row>
    <row r="4921" spans="7:7">
      <c r="G4921" s="3732"/>
    </row>
    <row r="4922" spans="7:7">
      <c r="G4922" s="3732"/>
    </row>
    <row r="4923" spans="7:7">
      <c r="G4923" s="3732"/>
    </row>
    <row r="4924" spans="7:7">
      <c r="G4924" s="3732"/>
    </row>
    <row r="4925" spans="7:7">
      <c r="G4925" s="3732"/>
    </row>
    <row r="4926" spans="7:7">
      <c r="G4926" s="3732"/>
    </row>
    <row r="4927" spans="7:7">
      <c r="G4927" s="3732"/>
    </row>
    <row r="4928" spans="7:7">
      <c r="G4928" s="3732"/>
    </row>
    <row r="4929" spans="7:7">
      <c r="G4929" s="3732"/>
    </row>
    <row r="4930" spans="7:7">
      <c r="G4930" s="3732"/>
    </row>
    <row r="4931" spans="7:7">
      <c r="G4931" s="3732"/>
    </row>
    <row r="4932" spans="7:7">
      <c r="G4932" s="3732"/>
    </row>
    <row r="4933" spans="7:7">
      <c r="G4933" s="3732"/>
    </row>
    <row r="4934" spans="7:7">
      <c r="G4934" s="3732"/>
    </row>
    <row r="4935" spans="7:7">
      <c r="G4935" s="3732"/>
    </row>
    <row r="4936" spans="7:7">
      <c r="G4936" s="3732"/>
    </row>
    <row r="4937" spans="7:7">
      <c r="G4937" s="3732"/>
    </row>
    <row r="4938" spans="7:7">
      <c r="G4938" s="3732"/>
    </row>
    <row r="4939" spans="7:7">
      <c r="G4939" s="3732"/>
    </row>
    <row r="4940" spans="7:7">
      <c r="G4940" s="3732"/>
    </row>
    <row r="4941" spans="7:7">
      <c r="G4941" s="3732"/>
    </row>
    <row r="4942" spans="7:7">
      <c r="G4942" s="3732"/>
    </row>
    <row r="4943" spans="7:7">
      <c r="G4943" s="3732"/>
    </row>
    <row r="4944" spans="7:7">
      <c r="G4944" s="3732"/>
    </row>
    <row r="4945" spans="7:7">
      <c r="G4945" s="3732"/>
    </row>
    <row r="4946" spans="7:7">
      <c r="G4946" s="3732"/>
    </row>
    <row r="4947" spans="7:7">
      <c r="G4947" s="3732"/>
    </row>
    <row r="4948" spans="7:7">
      <c r="G4948" s="3732"/>
    </row>
    <row r="4949" spans="7:7">
      <c r="G4949" s="3732"/>
    </row>
    <row r="4950" spans="7:7">
      <c r="G4950" s="3732"/>
    </row>
    <row r="4951" spans="7:7">
      <c r="G4951" s="3732"/>
    </row>
    <row r="4952" spans="7:7">
      <c r="G4952" s="3732"/>
    </row>
    <row r="4953" spans="7:7">
      <c r="G4953" s="3732"/>
    </row>
    <row r="4954" spans="7:7">
      <c r="G4954" s="3732"/>
    </row>
    <row r="4955" spans="7:7">
      <c r="G4955" s="3732"/>
    </row>
    <row r="4956" spans="7:7">
      <c r="G4956" s="3732"/>
    </row>
    <row r="4957" spans="7:7">
      <c r="G4957" s="3732"/>
    </row>
    <row r="4958" spans="7:7">
      <c r="G4958" s="3732"/>
    </row>
    <row r="4959" spans="7:7">
      <c r="G4959" s="3732"/>
    </row>
    <row r="4960" spans="7:7">
      <c r="G4960" s="3732"/>
    </row>
    <row r="4961" spans="7:7">
      <c r="G4961" s="3732"/>
    </row>
    <row r="4962" spans="7:7">
      <c r="G4962" s="3732"/>
    </row>
    <row r="4963" spans="7:7">
      <c r="G4963" s="3732"/>
    </row>
    <row r="4964" spans="7:7">
      <c r="G4964" s="3732"/>
    </row>
    <row r="4965" spans="7:7">
      <c r="G4965" s="3732"/>
    </row>
    <row r="4966" spans="7:7">
      <c r="G4966" s="3732"/>
    </row>
    <row r="4967" spans="7:7">
      <c r="G4967" s="3732"/>
    </row>
    <row r="4968" spans="7:7">
      <c r="G4968" s="3732"/>
    </row>
    <row r="4969" spans="7:7">
      <c r="G4969" s="3732"/>
    </row>
    <row r="4970" spans="7:7">
      <c r="G4970" s="3732"/>
    </row>
    <row r="4971" spans="7:7">
      <c r="G4971" s="3732"/>
    </row>
    <row r="4972" spans="7:7">
      <c r="G4972" s="3732"/>
    </row>
    <row r="4973" spans="7:7">
      <c r="G4973" s="3732"/>
    </row>
    <row r="4974" spans="7:7">
      <c r="G4974" s="3732"/>
    </row>
    <row r="4975" spans="7:7">
      <c r="G4975" s="3732"/>
    </row>
    <row r="4976" spans="7:7">
      <c r="G4976" s="3732"/>
    </row>
    <row r="4977" spans="7:7">
      <c r="G4977" s="3732"/>
    </row>
    <row r="4978" spans="7:7">
      <c r="G4978" s="3732"/>
    </row>
    <row r="4979" spans="7:7">
      <c r="G4979" s="3732"/>
    </row>
    <row r="4980" spans="7:7">
      <c r="G4980" s="3732"/>
    </row>
    <row r="4981" spans="7:7">
      <c r="G4981" s="3732"/>
    </row>
    <row r="4982" spans="7:7">
      <c r="G4982" s="3732"/>
    </row>
    <row r="4983" spans="7:7">
      <c r="G4983" s="3732"/>
    </row>
    <row r="4984" spans="7:7">
      <c r="G4984" s="3732"/>
    </row>
    <row r="4985" spans="7:7">
      <c r="G4985" s="3732"/>
    </row>
    <row r="4986" spans="7:7">
      <c r="G4986" s="3732"/>
    </row>
    <row r="4987" spans="7:7">
      <c r="G4987" s="3732"/>
    </row>
    <row r="4988" spans="7:7">
      <c r="G4988" s="3732"/>
    </row>
    <row r="4989" spans="7:7">
      <c r="G4989" s="3732"/>
    </row>
    <row r="4990" spans="7:7">
      <c r="G4990" s="3732"/>
    </row>
    <row r="4991" spans="7:7">
      <c r="G4991" s="3732"/>
    </row>
    <row r="4992" spans="7:7">
      <c r="G4992" s="3732"/>
    </row>
    <row r="4993" spans="7:7">
      <c r="G4993" s="3732"/>
    </row>
    <row r="4994" spans="7:7">
      <c r="G4994" s="3732"/>
    </row>
    <row r="4995" spans="7:7">
      <c r="G4995" s="3732"/>
    </row>
    <row r="4996" spans="7:7">
      <c r="G4996" s="3732"/>
    </row>
    <row r="4997" spans="7:7">
      <c r="G4997" s="3732"/>
    </row>
    <row r="4998" spans="7:7">
      <c r="G4998" s="3732"/>
    </row>
    <row r="4999" spans="7:7">
      <c r="G4999" s="3732"/>
    </row>
    <row r="5000" spans="7:7">
      <c r="G5000" s="3732"/>
    </row>
    <row r="5001" spans="7:7">
      <c r="G5001" s="3732"/>
    </row>
    <row r="5002" spans="7:7">
      <c r="G5002" s="3732"/>
    </row>
    <row r="5003" spans="7:7">
      <c r="G5003" s="3732"/>
    </row>
    <row r="5004" spans="7:7">
      <c r="G5004" s="3732"/>
    </row>
    <row r="5005" spans="7:7">
      <c r="G5005" s="3732"/>
    </row>
    <row r="5006" spans="7:7">
      <c r="G5006" s="3732"/>
    </row>
    <row r="5007" spans="7:7">
      <c r="G5007" s="3732"/>
    </row>
    <row r="5008" spans="7:7">
      <c r="G5008" s="3732"/>
    </row>
    <row r="5009" spans="7:7">
      <c r="G5009" s="3732"/>
    </row>
    <row r="5010" spans="7:7">
      <c r="G5010" s="3732"/>
    </row>
    <row r="5011" spans="7:7">
      <c r="G5011" s="3732"/>
    </row>
    <row r="5012" spans="7:7">
      <c r="G5012" s="3732"/>
    </row>
    <row r="5013" spans="7:7">
      <c r="G5013" s="3732"/>
    </row>
    <row r="5014" spans="7:7">
      <c r="G5014" s="3732"/>
    </row>
    <row r="5015" spans="7:7">
      <c r="G5015" s="3732"/>
    </row>
    <row r="5016" spans="7:7">
      <c r="G5016" s="3732"/>
    </row>
    <row r="5017" spans="7:7">
      <c r="G5017" s="3732"/>
    </row>
    <row r="5018" spans="7:7">
      <c r="G5018" s="3732"/>
    </row>
    <row r="5019" spans="7:7">
      <c r="G5019" s="3732"/>
    </row>
    <row r="5020" spans="7:7">
      <c r="G5020" s="3732"/>
    </row>
    <row r="5021" spans="7:7">
      <c r="G5021" s="3732"/>
    </row>
    <row r="5022" spans="7:7">
      <c r="G5022" s="3732"/>
    </row>
    <row r="5023" spans="7:7">
      <c r="G5023" s="3732"/>
    </row>
    <row r="5024" spans="7:7">
      <c r="G5024" s="3732"/>
    </row>
    <row r="5025" spans="7:7">
      <c r="G5025" s="3732"/>
    </row>
    <row r="5026" spans="7:7">
      <c r="G5026" s="3732"/>
    </row>
    <row r="5027" spans="7:7">
      <c r="G5027" s="3732"/>
    </row>
    <row r="5028" spans="7:7">
      <c r="G5028" s="3732"/>
    </row>
    <row r="5029" spans="7:7">
      <c r="G5029" s="3732"/>
    </row>
    <row r="5030" spans="7:7">
      <c r="G5030" s="3732"/>
    </row>
    <row r="5031" spans="7:7">
      <c r="G5031" s="3732"/>
    </row>
    <row r="5032" spans="7:7">
      <c r="G5032" s="3732"/>
    </row>
    <row r="5033" spans="7:7">
      <c r="G5033" s="3732"/>
    </row>
    <row r="5034" spans="7:7">
      <c r="G5034" s="3732"/>
    </row>
    <row r="5035" spans="7:7">
      <c r="G5035" s="3732"/>
    </row>
    <row r="5036" spans="7:7">
      <c r="G5036" s="3732"/>
    </row>
    <row r="5037" spans="7:7">
      <c r="G5037" s="3732"/>
    </row>
    <row r="5038" spans="7:7">
      <c r="G5038" s="3732"/>
    </row>
    <row r="5039" spans="7:7">
      <c r="G5039" s="3732"/>
    </row>
    <row r="5040" spans="7:7">
      <c r="G5040" s="3732"/>
    </row>
    <row r="5041" spans="7:7">
      <c r="G5041" s="3732"/>
    </row>
    <row r="5042" spans="7:7">
      <c r="G5042" s="3732"/>
    </row>
    <row r="5043" spans="7:7">
      <c r="G5043" s="3732"/>
    </row>
    <row r="5044" spans="7:7">
      <c r="G5044" s="3732"/>
    </row>
    <row r="5045" spans="7:7">
      <c r="G5045" s="3732"/>
    </row>
    <row r="5046" spans="7:7">
      <c r="G5046" s="3732"/>
    </row>
    <row r="5047" spans="7:7">
      <c r="G5047" s="3732"/>
    </row>
    <row r="5048" spans="7:7">
      <c r="G5048" s="3732"/>
    </row>
    <row r="5049" spans="7:7">
      <c r="G5049" s="3732"/>
    </row>
    <row r="5050" spans="7:7">
      <c r="G5050" s="3732"/>
    </row>
    <row r="5051" spans="7:7">
      <c r="G5051" s="3732"/>
    </row>
    <row r="5052" spans="7:7">
      <c r="G5052" s="3732"/>
    </row>
    <row r="5053" spans="7:7">
      <c r="G5053" s="3732"/>
    </row>
    <row r="5054" spans="7:7">
      <c r="G5054" s="3732"/>
    </row>
    <row r="5055" spans="7:7">
      <c r="G5055" s="3732"/>
    </row>
    <row r="5056" spans="7:7">
      <c r="G5056" s="3732"/>
    </row>
    <row r="5057" spans="7:7">
      <c r="G5057" s="3732"/>
    </row>
    <row r="5058" spans="7:7">
      <c r="G5058" s="3732"/>
    </row>
    <row r="5059" spans="7:7">
      <c r="G5059" s="3732"/>
    </row>
    <row r="5060" spans="7:7">
      <c r="G5060" s="3732"/>
    </row>
    <row r="5061" spans="7:7">
      <c r="G5061" s="3732"/>
    </row>
    <row r="5062" spans="7:7">
      <c r="G5062" s="3732"/>
    </row>
    <row r="5063" spans="7:7">
      <c r="G5063" s="3732"/>
    </row>
    <row r="5064" spans="7:7">
      <c r="G5064" s="3732"/>
    </row>
    <row r="5065" spans="7:7">
      <c r="G5065" s="3732"/>
    </row>
    <row r="5066" spans="7:7">
      <c r="G5066" s="3732"/>
    </row>
    <row r="5067" spans="7:7">
      <c r="G5067" s="3732"/>
    </row>
    <row r="5068" spans="7:7">
      <c r="G5068" s="3732"/>
    </row>
    <row r="5069" spans="7:7">
      <c r="G5069" s="3732"/>
    </row>
    <row r="5070" spans="7:7">
      <c r="G5070" s="3732"/>
    </row>
    <row r="5071" spans="7:7">
      <c r="G5071" s="3732"/>
    </row>
    <row r="5072" spans="7:7">
      <c r="G5072" s="3732"/>
    </row>
    <row r="5073" spans="7:7">
      <c r="G5073" s="3732"/>
    </row>
    <row r="5074" spans="7:7">
      <c r="G5074" s="3732"/>
    </row>
    <row r="5075" spans="7:7">
      <c r="G5075" s="3732"/>
    </row>
    <row r="5076" spans="7:7">
      <c r="G5076" s="3732"/>
    </row>
    <row r="5077" spans="7:7">
      <c r="G5077" s="3732"/>
    </row>
    <row r="5078" spans="7:7">
      <c r="G5078" s="3732"/>
    </row>
    <row r="5079" spans="7:7">
      <c r="G5079" s="3732"/>
    </row>
    <row r="5080" spans="7:7">
      <c r="G5080" s="3732"/>
    </row>
    <row r="5081" spans="7:7">
      <c r="G5081" s="3732"/>
    </row>
    <row r="5082" spans="7:7">
      <c r="G5082" s="3732"/>
    </row>
    <row r="5083" spans="7:7">
      <c r="G5083" s="3732"/>
    </row>
    <row r="5084" spans="7:7">
      <c r="G5084" s="3732"/>
    </row>
    <row r="5085" spans="7:7">
      <c r="G5085" s="3732"/>
    </row>
    <row r="5086" spans="7:7">
      <c r="G5086" s="3732"/>
    </row>
    <row r="5087" spans="7:7">
      <c r="G5087" s="3732"/>
    </row>
    <row r="5088" spans="7:7">
      <c r="G5088" s="3732"/>
    </row>
    <row r="5089" spans="7:7">
      <c r="G5089" s="3732"/>
    </row>
    <row r="5090" spans="7:7">
      <c r="G5090" s="3732"/>
    </row>
    <row r="5091" spans="7:7">
      <c r="G5091" s="3732"/>
    </row>
    <row r="5092" spans="7:7">
      <c r="G5092" s="3732"/>
    </row>
    <row r="5093" spans="7:7">
      <c r="G5093" s="3732"/>
    </row>
    <row r="5094" spans="7:7">
      <c r="G5094" s="3732"/>
    </row>
    <row r="5095" spans="7:7">
      <c r="G5095" s="3732"/>
    </row>
    <row r="5096" spans="7:7">
      <c r="G5096" s="3732"/>
    </row>
    <row r="5097" spans="7:7">
      <c r="G5097" s="3732"/>
    </row>
    <row r="5098" spans="7:7">
      <c r="G5098" s="3732"/>
    </row>
    <row r="5099" spans="7:7">
      <c r="G5099" s="3732"/>
    </row>
    <row r="5100" spans="7:7">
      <c r="G5100" s="3732"/>
    </row>
    <row r="5101" spans="7:7">
      <c r="G5101" s="3732"/>
    </row>
    <row r="5102" spans="7:7">
      <c r="G5102" s="3732"/>
    </row>
    <row r="5103" spans="7:7">
      <c r="G5103" s="3732"/>
    </row>
    <row r="5104" spans="7:7">
      <c r="G5104" s="3732"/>
    </row>
    <row r="5105" spans="7:7">
      <c r="G5105" s="3732"/>
    </row>
    <row r="5106" spans="7:7">
      <c r="G5106" s="3732"/>
    </row>
    <row r="5107" spans="7:7">
      <c r="G5107" s="3732"/>
    </row>
    <row r="5108" spans="7:7">
      <c r="G5108" s="3732"/>
    </row>
    <row r="5109" spans="7:7">
      <c r="G5109" s="3732"/>
    </row>
    <row r="5110" spans="7:7">
      <c r="G5110" s="3732"/>
    </row>
    <row r="5111" spans="7:7">
      <c r="G5111" s="3732"/>
    </row>
    <row r="5112" spans="7:7">
      <c r="G5112" s="3732"/>
    </row>
    <row r="5113" spans="7:7">
      <c r="G5113" s="3732"/>
    </row>
    <row r="5114" spans="7:7">
      <c r="G5114" s="3732"/>
    </row>
    <row r="5115" spans="7:7">
      <c r="G5115" s="3732"/>
    </row>
    <row r="5116" spans="7:7">
      <c r="G5116" s="3732"/>
    </row>
    <row r="5117" spans="7:7">
      <c r="G5117" s="3732"/>
    </row>
    <row r="5118" spans="7:7">
      <c r="G5118" s="3732"/>
    </row>
    <row r="5119" spans="7:7">
      <c r="G5119" s="3732"/>
    </row>
    <row r="5120" spans="7:7">
      <c r="G5120" s="3732"/>
    </row>
    <row r="5121" spans="7:7">
      <c r="G5121" s="3732"/>
    </row>
    <row r="5122" spans="7:7">
      <c r="G5122" s="3732"/>
    </row>
    <row r="5123" spans="7:7">
      <c r="G5123" s="3732"/>
    </row>
    <row r="5124" spans="7:7">
      <c r="G5124" s="3732"/>
    </row>
    <row r="5125" spans="7:7">
      <c r="G5125" s="3732"/>
    </row>
    <row r="5126" spans="7:7">
      <c r="G5126" s="3732"/>
    </row>
    <row r="5127" spans="7:7">
      <c r="G5127" s="3732"/>
    </row>
    <row r="5128" spans="7:7">
      <c r="G5128" s="3732"/>
    </row>
    <row r="5129" spans="7:7">
      <c r="G5129" s="3732"/>
    </row>
    <row r="5130" spans="7:7">
      <c r="G5130" s="3732"/>
    </row>
    <row r="5131" spans="7:7">
      <c r="G5131" s="3732"/>
    </row>
    <row r="5132" spans="7:7">
      <c r="G5132" s="3732"/>
    </row>
    <row r="5133" spans="7:7">
      <c r="G5133" s="3732"/>
    </row>
    <row r="5134" spans="7:7">
      <c r="G5134" s="3732"/>
    </row>
    <row r="5135" spans="7:7">
      <c r="G5135" s="3732"/>
    </row>
    <row r="5136" spans="7:7">
      <c r="G5136" s="3732"/>
    </row>
    <row r="5137" spans="7:7">
      <c r="G5137" s="3732"/>
    </row>
    <row r="5138" spans="7:7">
      <c r="G5138" s="3732"/>
    </row>
    <row r="5139" spans="7:7">
      <c r="G5139" s="3732"/>
    </row>
    <row r="5140" spans="7:7">
      <c r="G5140" s="3732"/>
    </row>
    <row r="5141" spans="7:7">
      <c r="G5141" s="3732"/>
    </row>
    <row r="5142" spans="7:7">
      <c r="G5142" s="3732"/>
    </row>
    <row r="5143" spans="7:7">
      <c r="G5143" s="3732"/>
    </row>
    <row r="5144" spans="7:7">
      <c r="G5144" s="3732"/>
    </row>
    <row r="5145" spans="7:7">
      <c r="G5145" s="3732"/>
    </row>
    <row r="5146" spans="7:7">
      <c r="G5146" s="3732"/>
    </row>
    <row r="5147" spans="7:7">
      <c r="G5147" s="3732"/>
    </row>
    <row r="5148" spans="7:7">
      <c r="G5148" s="3732"/>
    </row>
    <row r="5149" spans="7:7">
      <c r="G5149" s="3732"/>
    </row>
    <row r="5150" spans="7:7">
      <c r="G5150" s="3732"/>
    </row>
    <row r="5151" spans="7:7">
      <c r="G5151" s="3732"/>
    </row>
    <row r="5152" spans="7:7">
      <c r="G5152" s="3732"/>
    </row>
    <row r="5153" spans="7:7">
      <c r="G5153" s="3732"/>
    </row>
    <row r="5154" spans="7:7">
      <c r="G5154" s="3732"/>
    </row>
    <row r="5155" spans="7:7">
      <c r="G5155" s="3732"/>
    </row>
    <row r="5156" spans="7:7">
      <c r="G5156" s="3732"/>
    </row>
    <row r="5157" spans="7:7">
      <c r="G5157" s="3732"/>
    </row>
    <row r="5158" spans="7:7">
      <c r="G5158" s="3732"/>
    </row>
    <row r="5159" spans="7:7">
      <c r="G5159" s="3732"/>
    </row>
    <row r="5160" spans="7:7">
      <c r="G5160" s="3732"/>
    </row>
    <row r="5161" spans="7:7">
      <c r="G5161" s="3732"/>
    </row>
    <row r="5162" spans="7:7">
      <c r="G5162" s="3732"/>
    </row>
    <row r="5163" spans="7:7">
      <c r="G5163" s="3732"/>
    </row>
    <row r="5164" spans="7:7">
      <c r="G5164" s="3732"/>
    </row>
    <row r="5165" spans="7:7">
      <c r="G5165" s="3732"/>
    </row>
    <row r="5166" spans="7:7">
      <c r="G5166" s="3732"/>
    </row>
    <row r="5167" spans="7:7">
      <c r="G5167" s="3732"/>
    </row>
    <row r="5168" spans="7:7">
      <c r="G5168" s="3732"/>
    </row>
    <row r="5169" spans="7:7">
      <c r="G5169" s="3732"/>
    </row>
    <row r="5170" spans="7:7">
      <c r="G5170" s="3732"/>
    </row>
    <row r="5171" spans="7:7">
      <c r="G5171" s="3732"/>
    </row>
    <row r="5172" spans="7:7">
      <c r="G5172" s="3732"/>
    </row>
    <row r="5173" spans="7:7">
      <c r="G5173" s="3732"/>
    </row>
    <row r="5174" spans="7:7">
      <c r="G5174" s="3732"/>
    </row>
    <row r="5175" spans="7:7">
      <c r="G5175" s="3732"/>
    </row>
    <row r="5176" spans="7:7">
      <c r="G5176" s="3732"/>
    </row>
    <row r="5177" spans="7:7">
      <c r="G5177" s="3732"/>
    </row>
    <row r="5178" spans="7:7">
      <c r="G5178" s="3732"/>
    </row>
    <row r="5179" spans="7:7">
      <c r="G5179" s="3732"/>
    </row>
    <row r="5180" spans="7:7">
      <c r="G5180" s="3732"/>
    </row>
    <row r="5181" spans="7:7">
      <c r="G5181" s="3732"/>
    </row>
    <row r="5182" spans="7:7">
      <c r="G5182" s="3732"/>
    </row>
    <row r="5183" spans="7:7">
      <c r="G5183" s="3732"/>
    </row>
    <row r="5184" spans="7:7">
      <c r="G5184" s="3732"/>
    </row>
    <row r="5185" spans="7:7">
      <c r="G5185" s="3732"/>
    </row>
    <row r="5186" spans="7:7">
      <c r="G5186" s="3732"/>
    </row>
    <row r="5187" spans="7:7">
      <c r="G5187" s="3732"/>
    </row>
    <row r="5188" spans="7:7">
      <c r="G5188" s="3732"/>
    </row>
    <row r="5189" spans="7:7">
      <c r="G5189" s="3732"/>
    </row>
    <row r="5190" spans="7:7">
      <c r="G5190" s="3732"/>
    </row>
    <row r="5191" spans="7:7">
      <c r="G5191" s="3732"/>
    </row>
    <row r="5192" spans="7:7">
      <c r="G5192" s="3732"/>
    </row>
    <row r="5193" spans="7:7">
      <c r="G5193" s="3732"/>
    </row>
    <row r="5194" spans="7:7">
      <c r="G5194" s="3732"/>
    </row>
    <row r="5195" spans="7:7">
      <c r="G5195" s="3732"/>
    </row>
    <row r="5196" spans="7:7">
      <c r="G5196" s="3732"/>
    </row>
    <row r="5197" spans="7:7">
      <c r="G5197" s="3732"/>
    </row>
    <row r="5198" spans="7:7">
      <c r="G5198" s="3732"/>
    </row>
    <row r="5199" spans="7:7">
      <c r="G5199" s="3732"/>
    </row>
    <row r="5200" spans="7:7">
      <c r="G5200" s="3732"/>
    </row>
    <row r="5201" spans="7:7">
      <c r="G5201" s="3732"/>
    </row>
    <row r="5202" spans="7:7">
      <c r="G5202" s="3732"/>
    </row>
    <row r="5203" spans="7:7">
      <c r="G5203" s="3732"/>
    </row>
    <row r="5204" spans="7:7">
      <c r="G5204" s="3732"/>
    </row>
    <row r="5205" spans="7:7">
      <c r="G5205" s="3732"/>
    </row>
    <row r="5206" spans="7:7">
      <c r="G5206" s="3732"/>
    </row>
    <row r="5207" spans="7:7">
      <c r="G5207" s="3732"/>
    </row>
    <row r="5208" spans="7:7">
      <c r="G5208" s="3732"/>
    </row>
    <row r="5209" spans="7:7">
      <c r="G5209" s="3732"/>
    </row>
    <row r="5210" spans="7:7">
      <c r="G5210" s="3732"/>
    </row>
    <row r="5211" spans="7:7">
      <c r="G5211" s="3732"/>
    </row>
    <row r="5212" spans="7:7">
      <c r="G5212" s="3732"/>
    </row>
    <row r="5213" spans="7:7">
      <c r="G5213" s="3732"/>
    </row>
    <row r="5214" spans="7:7">
      <c r="G5214" s="3732"/>
    </row>
    <row r="5215" spans="7:7">
      <c r="G5215" s="3732"/>
    </row>
    <row r="5216" spans="7:7">
      <c r="G5216" s="3732"/>
    </row>
    <row r="5217" spans="7:7">
      <c r="G5217" s="3732"/>
    </row>
    <row r="5218" spans="7:7">
      <c r="G5218" s="3732"/>
    </row>
    <row r="5219" spans="7:7">
      <c r="G5219" s="3732"/>
    </row>
    <row r="5220" spans="7:7">
      <c r="G5220" s="3732"/>
    </row>
    <row r="5221" spans="7:7">
      <c r="G5221" s="3732"/>
    </row>
    <row r="5222" spans="7:7">
      <c r="G5222" s="3732"/>
    </row>
    <row r="5223" spans="7:7">
      <c r="G5223" s="3732"/>
    </row>
    <row r="5224" spans="7:7">
      <c r="G5224" s="3732"/>
    </row>
    <row r="5225" spans="7:7">
      <c r="G5225" s="3732"/>
    </row>
    <row r="5226" spans="7:7">
      <c r="G5226" s="3732"/>
    </row>
    <row r="5227" spans="7:7">
      <c r="G5227" s="3732"/>
    </row>
    <row r="5228" spans="7:7">
      <c r="G5228" s="3732"/>
    </row>
    <row r="5229" spans="7:7">
      <c r="G5229" s="3732"/>
    </row>
    <row r="5230" spans="7:7">
      <c r="G5230" s="3732"/>
    </row>
    <row r="5231" spans="7:7">
      <c r="G5231" s="3732"/>
    </row>
    <row r="5232" spans="7:7">
      <c r="G5232" s="3732"/>
    </row>
    <row r="5233" spans="7:7">
      <c r="G5233" s="3732"/>
    </row>
    <row r="5234" spans="7:7">
      <c r="G5234" s="3732"/>
    </row>
    <row r="5235" spans="7:7">
      <c r="G5235" s="3732"/>
    </row>
    <row r="5236" spans="7:7">
      <c r="G5236" s="3732"/>
    </row>
    <row r="5237" spans="7:7">
      <c r="G5237" s="3732"/>
    </row>
    <row r="5238" spans="7:7">
      <c r="G5238" s="3732"/>
    </row>
    <row r="5239" spans="7:7">
      <c r="G5239" s="3732"/>
    </row>
    <row r="5240" spans="7:7">
      <c r="G5240" s="3732"/>
    </row>
    <row r="5241" spans="7:7">
      <c r="G5241" s="3732"/>
    </row>
    <row r="5242" spans="7:7">
      <c r="G5242" s="3732"/>
    </row>
    <row r="5243" spans="7:7">
      <c r="G5243" s="3732"/>
    </row>
    <row r="5244" spans="7:7">
      <c r="G5244" s="3732"/>
    </row>
    <row r="5245" spans="7:7">
      <c r="G5245" s="3732"/>
    </row>
    <row r="5246" spans="7:7">
      <c r="G5246" s="3732"/>
    </row>
    <row r="5247" spans="7:7">
      <c r="G5247" s="3732"/>
    </row>
    <row r="5248" spans="7:7">
      <c r="G5248" s="3732"/>
    </row>
    <row r="5249" spans="7:7">
      <c r="G5249" s="3732"/>
    </row>
    <row r="5250" spans="7:7">
      <c r="G5250" s="3732"/>
    </row>
    <row r="5251" spans="7:7">
      <c r="G5251" s="3732"/>
    </row>
    <row r="5252" spans="7:7">
      <c r="G5252" s="3732"/>
    </row>
    <row r="5253" spans="7:7">
      <c r="G5253" s="3732"/>
    </row>
    <row r="5254" spans="7:7">
      <c r="G5254" s="3732"/>
    </row>
    <row r="5255" spans="7:7">
      <c r="G5255" s="3732"/>
    </row>
    <row r="5256" spans="7:7">
      <c r="G5256" s="3732"/>
    </row>
    <row r="5257" spans="7:7">
      <c r="G5257" s="3732"/>
    </row>
    <row r="5258" spans="7:7">
      <c r="G5258" s="3732"/>
    </row>
    <row r="5259" spans="7:7">
      <c r="G5259" s="3732"/>
    </row>
    <row r="5260" spans="7:7">
      <c r="G5260" s="3732"/>
    </row>
    <row r="5261" spans="7:7">
      <c r="G5261" s="3732"/>
    </row>
    <row r="5262" spans="7:7">
      <c r="G5262" s="3732"/>
    </row>
    <row r="5263" spans="7:7">
      <c r="G5263" s="3732"/>
    </row>
    <row r="5264" spans="7:7">
      <c r="G5264" s="3732"/>
    </row>
    <row r="5265" spans="7:7">
      <c r="G5265" s="3732"/>
    </row>
    <row r="5266" spans="7:7">
      <c r="G5266" s="3732"/>
    </row>
    <row r="5267" spans="7:7">
      <c r="G5267" s="3732"/>
    </row>
    <row r="5268" spans="7:7">
      <c r="G5268" s="3732"/>
    </row>
    <row r="5269" spans="7:7">
      <c r="G5269" s="3732"/>
    </row>
    <row r="5270" spans="7:7">
      <c r="G5270" s="3732"/>
    </row>
    <row r="5271" spans="7:7">
      <c r="G5271" s="3732"/>
    </row>
    <row r="5272" spans="7:7">
      <c r="G5272" s="3732"/>
    </row>
    <row r="5273" spans="7:7">
      <c r="G5273" s="3732"/>
    </row>
    <row r="5274" spans="7:7">
      <c r="G5274" s="3732"/>
    </row>
    <row r="5275" spans="7:7">
      <c r="G5275" s="3732"/>
    </row>
    <row r="5276" spans="7:7">
      <c r="G5276" s="3732"/>
    </row>
    <row r="5277" spans="7:7">
      <c r="G5277" s="3732"/>
    </row>
    <row r="5278" spans="7:7">
      <c r="G5278" s="3732"/>
    </row>
    <row r="5279" spans="7:7">
      <c r="G5279" s="3732"/>
    </row>
    <row r="5280" spans="7:7">
      <c r="G5280" s="3732"/>
    </row>
    <row r="5281" spans="7:7">
      <c r="G5281" s="3732"/>
    </row>
    <row r="5282" spans="7:7">
      <c r="G5282" s="3732"/>
    </row>
    <row r="5283" spans="7:7">
      <c r="G5283" s="3732"/>
    </row>
    <row r="5284" spans="7:7">
      <c r="G5284" s="3732"/>
    </row>
    <row r="5285" spans="7:7">
      <c r="G5285" s="3732"/>
    </row>
    <row r="5286" spans="7:7">
      <c r="G5286" s="3732"/>
    </row>
    <row r="5287" spans="7:7">
      <c r="G5287" s="3732"/>
    </row>
    <row r="5288" spans="7:7">
      <c r="G5288" s="3732"/>
    </row>
    <row r="5289" spans="7:7">
      <c r="G5289" s="3732"/>
    </row>
    <row r="5290" spans="7:7">
      <c r="G5290" s="3732"/>
    </row>
    <row r="5291" spans="7:7">
      <c r="G5291" s="3732"/>
    </row>
    <row r="5292" spans="7:7">
      <c r="G5292" s="3732"/>
    </row>
    <row r="5293" spans="7:7">
      <c r="G5293" s="3732"/>
    </row>
    <row r="5294" spans="7:7">
      <c r="G5294" s="3732"/>
    </row>
    <row r="5295" spans="7:7">
      <c r="G5295" s="3732"/>
    </row>
    <row r="5296" spans="7:7">
      <c r="G5296" s="3732"/>
    </row>
    <row r="5297" spans="7:7">
      <c r="G5297" s="3732"/>
    </row>
    <row r="5298" spans="7:7">
      <c r="G5298" s="3732"/>
    </row>
    <row r="5299" spans="7:7">
      <c r="G5299" s="3732"/>
    </row>
    <row r="5300" spans="7:7">
      <c r="G5300" s="3732"/>
    </row>
    <row r="5301" spans="7:7">
      <c r="G5301" s="3732"/>
    </row>
    <row r="5302" spans="7:7">
      <c r="G5302" s="3732"/>
    </row>
    <row r="5303" spans="7:7">
      <c r="G5303" s="3732"/>
    </row>
    <row r="5304" spans="7:7">
      <c r="G5304" s="3732"/>
    </row>
    <row r="5305" spans="7:7">
      <c r="G5305" s="3732"/>
    </row>
    <row r="5306" spans="7:7">
      <c r="G5306" s="3732"/>
    </row>
    <row r="5307" spans="7:7">
      <c r="G5307" s="3732"/>
    </row>
    <row r="5308" spans="7:7">
      <c r="G5308" s="3732"/>
    </row>
    <row r="5309" spans="7:7">
      <c r="G5309" s="3732"/>
    </row>
    <row r="5310" spans="7:7">
      <c r="G5310" s="3732"/>
    </row>
    <row r="5311" spans="7:7">
      <c r="G5311" s="3732"/>
    </row>
    <row r="5312" spans="7:7">
      <c r="G5312" s="3732"/>
    </row>
    <row r="5313" spans="7:7">
      <c r="G5313" s="3732"/>
    </row>
    <row r="5314" spans="7:7">
      <c r="G5314" s="3732"/>
    </row>
    <row r="5315" spans="7:7">
      <c r="G5315" s="3732"/>
    </row>
    <row r="5316" spans="7:7">
      <c r="G5316" s="3732"/>
    </row>
    <row r="5317" spans="7:7">
      <c r="G5317" s="3732"/>
    </row>
    <row r="5318" spans="7:7">
      <c r="G5318" s="3732"/>
    </row>
    <row r="5319" spans="7:7">
      <c r="G5319" s="3732"/>
    </row>
    <row r="5320" spans="7:7">
      <c r="G5320" s="3732"/>
    </row>
    <row r="5321" spans="7:7">
      <c r="G5321" s="3732"/>
    </row>
    <row r="5322" spans="7:7">
      <c r="G5322" s="3732"/>
    </row>
    <row r="5323" spans="7:7">
      <c r="G5323" s="3732"/>
    </row>
    <row r="5324" spans="7:7">
      <c r="G5324" s="3732"/>
    </row>
    <row r="5325" spans="7:7">
      <c r="G5325" s="3732"/>
    </row>
    <row r="5326" spans="7:7">
      <c r="G5326" s="3732"/>
    </row>
    <row r="5327" spans="7:7">
      <c r="G5327" s="3732"/>
    </row>
    <row r="5328" spans="7:7">
      <c r="G5328" s="3732"/>
    </row>
    <row r="5329" spans="7:7">
      <c r="G5329" s="3732"/>
    </row>
    <row r="5330" spans="7:7">
      <c r="G5330" s="3732"/>
    </row>
    <row r="5331" spans="7:7">
      <c r="G5331" s="3732"/>
    </row>
    <row r="5332" spans="7:7">
      <c r="G5332" s="3732"/>
    </row>
    <row r="5333" spans="7:7">
      <c r="G5333" s="3732"/>
    </row>
    <row r="5334" spans="7:7">
      <c r="G5334" s="3732"/>
    </row>
    <row r="5335" spans="7:7">
      <c r="G5335" s="3732"/>
    </row>
    <row r="5336" spans="7:7">
      <c r="G5336" s="3732"/>
    </row>
    <row r="5337" spans="7:7">
      <c r="G5337" s="3732"/>
    </row>
    <row r="5338" spans="7:7">
      <c r="G5338" s="3732"/>
    </row>
    <row r="5339" spans="7:7">
      <c r="G5339" s="3732"/>
    </row>
    <row r="5340" spans="7:7">
      <c r="G5340" s="3732"/>
    </row>
    <row r="5341" spans="7:7">
      <c r="G5341" s="3732"/>
    </row>
    <row r="5342" spans="7:7">
      <c r="G5342" s="3732"/>
    </row>
    <row r="5343" spans="7:7">
      <c r="G5343" s="3732"/>
    </row>
    <row r="5344" spans="7:7">
      <c r="G5344" s="3732"/>
    </row>
    <row r="5345" spans="7:7">
      <c r="G5345" s="3732"/>
    </row>
    <row r="5346" spans="7:7">
      <c r="G5346" s="3732"/>
    </row>
    <row r="5347" spans="7:7">
      <c r="G5347" s="3732"/>
    </row>
    <row r="5348" spans="7:7">
      <c r="G5348" s="3732"/>
    </row>
    <row r="5349" spans="7:7">
      <c r="G5349" s="3732"/>
    </row>
    <row r="5350" spans="7:7">
      <c r="G5350" s="3732"/>
    </row>
    <row r="5351" spans="7:7">
      <c r="G5351" s="3732"/>
    </row>
    <row r="5352" spans="7:7">
      <c r="G5352" s="3732"/>
    </row>
    <row r="5353" spans="7:7">
      <c r="G5353" s="3732"/>
    </row>
    <row r="5354" spans="7:7">
      <c r="G5354" s="3732"/>
    </row>
    <row r="5355" spans="7:7">
      <c r="G5355" s="3732"/>
    </row>
    <row r="5356" spans="7:7">
      <c r="G5356" s="3732"/>
    </row>
    <row r="5357" spans="7:7">
      <c r="G5357" s="3732"/>
    </row>
    <row r="5358" spans="7:7">
      <c r="G5358" s="3732"/>
    </row>
    <row r="5359" spans="7:7">
      <c r="G5359" s="3732"/>
    </row>
    <row r="5360" spans="7:7">
      <c r="G5360" s="3732"/>
    </row>
    <row r="5361" spans="7:7">
      <c r="G5361" s="3732"/>
    </row>
    <row r="5362" spans="7:7">
      <c r="G5362" s="3732"/>
    </row>
    <row r="5363" spans="7:7">
      <c r="G5363" s="3732"/>
    </row>
    <row r="5364" spans="7:7">
      <c r="G5364" s="3732"/>
    </row>
    <row r="5365" spans="7:7">
      <c r="G5365" s="3732"/>
    </row>
    <row r="5366" spans="7:7">
      <c r="G5366" s="3732"/>
    </row>
    <row r="5367" spans="7:7">
      <c r="G5367" s="3732"/>
    </row>
    <row r="5368" spans="7:7">
      <c r="G5368" s="3732"/>
    </row>
    <row r="5369" spans="7:7">
      <c r="G5369" s="3732"/>
    </row>
    <row r="5370" spans="7:7">
      <c r="G5370" s="3732"/>
    </row>
    <row r="5371" spans="7:7">
      <c r="G5371" s="3732"/>
    </row>
    <row r="5372" spans="7:7">
      <c r="G5372" s="3732"/>
    </row>
    <row r="5373" spans="7:7">
      <c r="G5373" s="3732"/>
    </row>
    <row r="5374" spans="7:7">
      <c r="G5374" s="3732"/>
    </row>
    <row r="5375" spans="7:7">
      <c r="G5375" s="3732"/>
    </row>
    <row r="5376" spans="7:7">
      <c r="G5376" s="3732"/>
    </row>
    <row r="5377" spans="7:7">
      <c r="G5377" s="3732"/>
    </row>
    <row r="5378" spans="7:7">
      <c r="G5378" s="3732"/>
    </row>
    <row r="5379" spans="7:7">
      <c r="G5379" s="3732"/>
    </row>
    <row r="5380" spans="7:7">
      <c r="G5380" s="3732"/>
    </row>
    <row r="5381" spans="7:7">
      <c r="G5381" s="3732"/>
    </row>
    <row r="5382" spans="7:7">
      <c r="G5382" s="3732"/>
    </row>
    <row r="5383" spans="7:7">
      <c r="G5383" s="3732"/>
    </row>
    <row r="5384" spans="7:7">
      <c r="G5384" s="3732"/>
    </row>
    <row r="5385" spans="7:7">
      <c r="G5385" s="3732"/>
    </row>
    <row r="5386" spans="7:7">
      <c r="G5386" s="3732"/>
    </row>
    <row r="5387" spans="7:7">
      <c r="G5387" s="3732"/>
    </row>
    <row r="5388" spans="7:7">
      <c r="G5388" s="3732"/>
    </row>
    <row r="5389" spans="7:7">
      <c r="G5389" s="3732"/>
    </row>
    <row r="5390" spans="7:7">
      <c r="G5390" s="3732"/>
    </row>
    <row r="5391" spans="7:7">
      <c r="G5391" s="3732"/>
    </row>
    <row r="5392" spans="7:7">
      <c r="G5392" s="3732"/>
    </row>
    <row r="5393" spans="7:7">
      <c r="G5393" s="3732"/>
    </row>
    <row r="5394" spans="7:7">
      <c r="G5394" s="3732"/>
    </row>
    <row r="5395" spans="7:7">
      <c r="G5395" s="3732"/>
    </row>
    <row r="5396" spans="7:7">
      <c r="G5396" s="3732"/>
    </row>
    <row r="5397" spans="7:7">
      <c r="G5397" s="3732"/>
    </row>
    <row r="5398" spans="7:7">
      <c r="G5398" s="3732"/>
    </row>
    <row r="5399" spans="7:7">
      <c r="G5399" s="3732"/>
    </row>
    <row r="5400" spans="7:7">
      <c r="G5400" s="3732"/>
    </row>
    <row r="5401" spans="7:7">
      <c r="G5401" s="3732"/>
    </row>
    <row r="5402" spans="7:7">
      <c r="G5402" s="3732"/>
    </row>
    <row r="5403" spans="7:7">
      <c r="G5403" s="3732"/>
    </row>
    <row r="5404" spans="7:7">
      <c r="G5404" s="3732"/>
    </row>
    <row r="5405" spans="7:7">
      <c r="G5405" s="3732"/>
    </row>
    <row r="5406" spans="7:7">
      <c r="G5406" s="3732"/>
    </row>
    <row r="5407" spans="7:7">
      <c r="G5407" s="3732"/>
    </row>
    <row r="5408" spans="7:7">
      <c r="G5408" s="3732"/>
    </row>
    <row r="5409" spans="7:7">
      <c r="G5409" s="3732"/>
    </row>
    <row r="5410" spans="7:7">
      <c r="G5410" s="3732"/>
    </row>
    <row r="5411" spans="7:7">
      <c r="G5411" s="3732"/>
    </row>
    <row r="5412" spans="7:7">
      <c r="G5412" s="3732"/>
    </row>
    <row r="5413" spans="7:7">
      <c r="G5413" s="3732"/>
    </row>
    <row r="5414" spans="7:7">
      <c r="G5414" s="3732"/>
    </row>
    <row r="5415" spans="7:7">
      <c r="G5415" s="3732"/>
    </row>
    <row r="5416" spans="7:7">
      <c r="G5416" s="3732"/>
    </row>
    <row r="5417" spans="7:7">
      <c r="G5417" s="3732"/>
    </row>
    <row r="5418" spans="7:7">
      <c r="G5418" s="3732"/>
    </row>
    <row r="5419" spans="7:7">
      <c r="G5419" s="3732"/>
    </row>
    <row r="5420" spans="7:7">
      <c r="G5420" s="3732"/>
    </row>
    <row r="5421" spans="7:7">
      <c r="G5421" s="3732"/>
    </row>
    <row r="5422" spans="7:7">
      <c r="G5422" s="3732"/>
    </row>
    <row r="5423" spans="7:7">
      <c r="G5423" s="3732"/>
    </row>
    <row r="5424" spans="7:7">
      <c r="G5424" s="3732"/>
    </row>
    <row r="5425" spans="7:7">
      <c r="G5425" s="3732"/>
    </row>
    <row r="5426" spans="7:7">
      <c r="G5426" s="3732"/>
    </row>
    <row r="5427" spans="7:7">
      <c r="G5427" s="3732"/>
    </row>
    <row r="5428" spans="7:7">
      <c r="G5428" s="3732"/>
    </row>
    <row r="5429" spans="7:7">
      <c r="G5429" s="3732"/>
    </row>
    <row r="5430" spans="7:7">
      <c r="G5430" s="3732"/>
    </row>
    <row r="5431" spans="7:7">
      <c r="G5431" s="3732"/>
    </row>
    <row r="5432" spans="7:7">
      <c r="G5432" s="3732"/>
    </row>
    <row r="5433" spans="7:7">
      <c r="G5433" s="3732"/>
    </row>
    <row r="5434" spans="7:7">
      <c r="G5434" s="3732"/>
    </row>
    <row r="5435" spans="7:7">
      <c r="G5435" s="3732"/>
    </row>
    <row r="5436" spans="7:7">
      <c r="G5436" s="3732"/>
    </row>
    <row r="5437" spans="7:7">
      <c r="G5437" s="3732"/>
    </row>
    <row r="5438" spans="7:7">
      <c r="G5438" s="3732"/>
    </row>
    <row r="5439" spans="7:7">
      <c r="G5439" s="3732"/>
    </row>
    <row r="5440" spans="7:7">
      <c r="G5440" s="3732"/>
    </row>
    <row r="5441" spans="7:7">
      <c r="G5441" s="3732"/>
    </row>
    <row r="5442" spans="7:7">
      <c r="G5442" s="3732"/>
    </row>
    <row r="5443" spans="7:7">
      <c r="G5443" s="3732"/>
    </row>
    <row r="5444" spans="7:7">
      <c r="G5444" s="3732"/>
    </row>
    <row r="5445" spans="7:7">
      <c r="G5445" s="3732"/>
    </row>
    <row r="5446" spans="7:7">
      <c r="G5446" s="3732"/>
    </row>
    <row r="5447" spans="7:7">
      <c r="G5447" s="3732"/>
    </row>
    <row r="5448" spans="7:7">
      <c r="G5448" s="3732"/>
    </row>
    <row r="5449" spans="7:7">
      <c r="G5449" s="3732"/>
    </row>
    <row r="5450" spans="7:7">
      <c r="G5450" s="3732"/>
    </row>
    <row r="5451" spans="7:7">
      <c r="G5451" s="3732"/>
    </row>
    <row r="5452" spans="7:7">
      <c r="G5452" s="3732"/>
    </row>
    <row r="5453" spans="7:7">
      <c r="G5453" s="3732"/>
    </row>
    <row r="5454" spans="7:7">
      <c r="G5454" s="3732"/>
    </row>
    <row r="5455" spans="7:7">
      <c r="G5455" s="3732"/>
    </row>
    <row r="5456" spans="7:7">
      <c r="G5456" s="3732"/>
    </row>
    <row r="5457" spans="7:7">
      <c r="G5457" s="3732"/>
    </row>
    <row r="5458" spans="7:7">
      <c r="G5458" s="3732"/>
    </row>
    <row r="5459" spans="7:7">
      <c r="G5459" s="3732"/>
    </row>
    <row r="5460" spans="7:7">
      <c r="G5460" s="3732"/>
    </row>
    <row r="5461" spans="7:7">
      <c r="G5461" s="3732"/>
    </row>
    <row r="5462" spans="7:7">
      <c r="G5462" s="3732"/>
    </row>
    <row r="5463" spans="7:7">
      <c r="G5463" s="3732"/>
    </row>
    <row r="5464" spans="7:7">
      <c r="G5464" s="3732"/>
    </row>
    <row r="5465" spans="7:7">
      <c r="G5465" s="3732"/>
    </row>
    <row r="5466" spans="7:7">
      <c r="G5466" s="3732"/>
    </row>
    <row r="5467" spans="7:7">
      <c r="G5467" s="3732"/>
    </row>
    <row r="5468" spans="7:7">
      <c r="G5468" s="3732"/>
    </row>
    <row r="5469" spans="7:7">
      <c r="G5469" s="3732"/>
    </row>
    <row r="5470" spans="7:7">
      <c r="G5470" s="3732"/>
    </row>
    <row r="5471" spans="7:7">
      <c r="G5471" s="3732"/>
    </row>
    <row r="5472" spans="7:7">
      <c r="G5472" s="3732"/>
    </row>
    <row r="5473" spans="7:7">
      <c r="G5473" s="3732"/>
    </row>
    <row r="5474" spans="7:7">
      <c r="G5474" s="3732"/>
    </row>
    <row r="5475" spans="7:7">
      <c r="G5475" s="3732"/>
    </row>
    <row r="5476" spans="7:7">
      <c r="G5476" s="3732"/>
    </row>
    <row r="5477" spans="7:7">
      <c r="G5477" s="3732"/>
    </row>
    <row r="5478" spans="7:7">
      <c r="G5478" s="3732"/>
    </row>
    <row r="5479" spans="7:7">
      <c r="G5479" s="3732"/>
    </row>
    <row r="5480" spans="7:7">
      <c r="G5480" s="3732"/>
    </row>
    <row r="5481" spans="7:7">
      <c r="G5481" s="3732"/>
    </row>
    <row r="5482" spans="7:7">
      <c r="G5482" s="3732"/>
    </row>
    <row r="5483" spans="7:7">
      <c r="G5483" s="3732"/>
    </row>
    <row r="5484" spans="7:7">
      <c r="G5484" s="3732"/>
    </row>
    <row r="5485" spans="7:7">
      <c r="G5485" s="3732"/>
    </row>
    <row r="5486" spans="7:7">
      <c r="G5486" s="3732"/>
    </row>
    <row r="5487" spans="7:7">
      <c r="G5487" s="3732"/>
    </row>
    <row r="5488" spans="7:7">
      <c r="G5488" s="3732"/>
    </row>
    <row r="5489" spans="7:7">
      <c r="G5489" s="3732"/>
    </row>
    <row r="5490" spans="7:7">
      <c r="G5490" s="3732"/>
    </row>
    <row r="5491" spans="7:7">
      <c r="G5491" s="3732"/>
    </row>
    <row r="5492" spans="7:7">
      <c r="G5492" s="3732"/>
    </row>
    <row r="5493" spans="7:7">
      <c r="G5493" s="3732"/>
    </row>
    <row r="5494" spans="7:7">
      <c r="G5494" s="3732"/>
    </row>
    <row r="5495" spans="7:7">
      <c r="G5495" s="3732"/>
    </row>
    <row r="5496" spans="7:7">
      <c r="G5496" s="3732"/>
    </row>
    <row r="5497" spans="7:7">
      <c r="G5497" s="3732"/>
    </row>
    <row r="5498" spans="7:7">
      <c r="G5498" s="3732"/>
    </row>
    <row r="5499" spans="7:7">
      <c r="G5499" s="3732"/>
    </row>
    <row r="5500" spans="7:7">
      <c r="G5500" s="3732"/>
    </row>
    <row r="5501" spans="7:7">
      <c r="G5501" s="3732"/>
    </row>
    <row r="5502" spans="7:7">
      <c r="G5502" s="3732"/>
    </row>
    <row r="5503" spans="7:7">
      <c r="G5503" s="3732"/>
    </row>
    <row r="5504" spans="7:7">
      <c r="G5504" s="3732"/>
    </row>
    <row r="5505" spans="7:7">
      <c r="G5505" s="3732"/>
    </row>
    <row r="5506" spans="7:7">
      <c r="G5506" s="3732"/>
    </row>
    <row r="5507" spans="7:7">
      <c r="G5507" s="3732"/>
    </row>
    <row r="5508" spans="7:7">
      <c r="G5508" s="3732"/>
    </row>
    <row r="5509" spans="7:7">
      <c r="G5509" s="3732"/>
    </row>
    <row r="5510" spans="7:7">
      <c r="G5510" s="3732"/>
    </row>
    <row r="5511" spans="7:7">
      <c r="G5511" s="3732"/>
    </row>
    <row r="5512" spans="7:7">
      <c r="G5512" s="3732"/>
    </row>
    <row r="5513" spans="7:7">
      <c r="G5513" s="3732"/>
    </row>
    <row r="5514" spans="7:7">
      <c r="G5514" s="3732"/>
    </row>
    <row r="5515" spans="7:7">
      <c r="G5515" s="3732"/>
    </row>
    <row r="5516" spans="7:7">
      <c r="G5516" s="3732"/>
    </row>
    <row r="5517" spans="7:7">
      <c r="G5517" s="3732"/>
    </row>
    <row r="5518" spans="7:7">
      <c r="G5518" s="3732"/>
    </row>
    <row r="5519" spans="7:7">
      <c r="G5519" s="3732"/>
    </row>
    <row r="5520" spans="7:7">
      <c r="G5520" s="3732"/>
    </row>
    <row r="5521" spans="7:7">
      <c r="G5521" s="3732"/>
    </row>
    <row r="5522" spans="7:7">
      <c r="G5522" s="3732"/>
    </row>
    <row r="5523" spans="7:7">
      <c r="G5523" s="3732"/>
    </row>
    <row r="5524" spans="7:7">
      <c r="G5524" s="3732"/>
    </row>
    <row r="5525" spans="7:7">
      <c r="G5525" s="3732"/>
    </row>
    <row r="5526" spans="7:7">
      <c r="G5526" s="3732"/>
    </row>
    <row r="5527" spans="7:7">
      <c r="G5527" s="3732"/>
    </row>
    <row r="5528" spans="7:7">
      <c r="G5528" s="3732"/>
    </row>
    <row r="5529" spans="7:7">
      <c r="G5529" s="3732"/>
    </row>
    <row r="5530" spans="7:7">
      <c r="G5530" s="3732"/>
    </row>
    <row r="5531" spans="7:7">
      <c r="G5531" s="3732"/>
    </row>
    <row r="5532" spans="7:7">
      <c r="G5532" s="3732"/>
    </row>
    <row r="5533" spans="7:7">
      <c r="G5533" s="3732"/>
    </row>
    <row r="5534" spans="7:7">
      <c r="G5534" s="3732"/>
    </row>
    <row r="5535" spans="7:7">
      <c r="G5535" s="3732"/>
    </row>
    <row r="5536" spans="7:7">
      <c r="G5536" s="3732"/>
    </row>
    <row r="5537" spans="7:7">
      <c r="G5537" s="3732"/>
    </row>
    <row r="5538" spans="7:7">
      <c r="G5538" s="3732"/>
    </row>
    <row r="5539" spans="7:7">
      <c r="G5539" s="3732"/>
    </row>
    <row r="5540" spans="7:7">
      <c r="G5540" s="3732"/>
    </row>
    <row r="5541" spans="7:7">
      <c r="G5541" s="3732"/>
    </row>
    <row r="5542" spans="7:7">
      <c r="G5542" s="3732"/>
    </row>
    <row r="5543" spans="7:7">
      <c r="G5543" s="3732"/>
    </row>
    <row r="5544" spans="7:7">
      <c r="G5544" s="3732"/>
    </row>
    <row r="5545" spans="7:7">
      <c r="G5545" s="3732"/>
    </row>
    <row r="5546" spans="7:7">
      <c r="G5546" s="3732"/>
    </row>
    <row r="5547" spans="7:7">
      <c r="G5547" s="3732"/>
    </row>
    <row r="5548" spans="7:7">
      <c r="G5548" s="3732"/>
    </row>
    <row r="5549" spans="7:7">
      <c r="G5549" s="3732"/>
    </row>
    <row r="5550" spans="7:7">
      <c r="G5550" s="3732"/>
    </row>
    <row r="5551" spans="7:7">
      <c r="G5551" s="3732"/>
    </row>
    <row r="5552" spans="7:7">
      <c r="G5552" s="3732"/>
    </row>
    <row r="5553" spans="7:7">
      <c r="G5553" s="3732"/>
    </row>
    <row r="5554" spans="7:7">
      <c r="G5554" s="3732"/>
    </row>
    <row r="5555" spans="7:7">
      <c r="G5555" s="3732"/>
    </row>
    <row r="5556" spans="7:7">
      <c r="G5556" s="3732"/>
    </row>
    <row r="5557" spans="7:7">
      <c r="G5557" s="3732"/>
    </row>
    <row r="5558" spans="7:7">
      <c r="G5558" s="3732"/>
    </row>
    <row r="5559" spans="7:7">
      <c r="G5559" s="3732"/>
    </row>
    <row r="5560" spans="7:7">
      <c r="G5560" s="3732"/>
    </row>
    <row r="5561" spans="7:7">
      <c r="G5561" s="3732"/>
    </row>
    <row r="5562" spans="7:7">
      <c r="G5562" s="3732"/>
    </row>
    <row r="5563" spans="7:7">
      <c r="G5563" s="3732"/>
    </row>
    <row r="5564" spans="7:7">
      <c r="G5564" s="3732"/>
    </row>
    <row r="5565" spans="7:7">
      <c r="G5565" s="3732"/>
    </row>
    <row r="5566" spans="7:7">
      <c r="G5566" s="3732"/>
    </row>
    <row r="5567" spans="7:7">
      <c r="G5567" s="3732"/>
    </row>
    <row r="5568" spans="7:7">
      <c r="G5568" s="3732"/>
    </row>
    <row r="5569" spans="7:7">
      <c r="G5569" s="3732"/>
    </row>
    <row r="5570" spans="7:7">
      <c r="G5570" s="3732"/>
    </row>
    <row r="5571" spans="7:7">
      <c r="G5571" s="3732"/>
    </row>
    <row r="5572" spans="7:7">
      <c r="G5572" s="3732"/>
    </row>
    <row r="5573" spans="7:7">
      <c r="G5573" s="3732"/>
    </row>
    <row r="5574" spans="7:7">
      <c r="G5574" s="3732"/>
    </row>
    <row r="5575" spans="7:7">
      <c r="G5575" s="3732"/>
    </row>
    <row r="5576" spans="7:7">
      <c r="G5576" s="3732"/>
    </row>
    <row r="5577" spans="7:7">
      <c r="G5577" s="3732"/>
    </row>
    <row r="5578" spans="7:7">
      <c r="G5578" s="3732"/>
    </row>
    <row r="5579" spans="7:7">
      <c r="G5579" s="3732"/>
    </row>
    <row r="5580" spans="7:7">
      <c r="G5580" s="3732"/>
    </row>
    <row r="5581" spans="7:7">
      <c r="G5581" s="3732"/>
    </row>
    <row r="5582" spans="7:7">
      <c r="G5582" s="3732"/>
    </row>
    <row r="5583" spans="7:7">
      <c r="G5583" s="3732"/>
    </row>
    <row r="5584" spans="7:7">
      <c r="G5584" s="3732"/>
    </row>
    <row r="5585" spans="7:7">
      <c r="G5585" s="3732"/>
    </row>
    <row r="5586" spans="7:7">
      <c r="G5586" s="3732"/>
    </row>
    <row r="5587" spans="7:7">
      <c r="G5587" s="3732"/>
    </row>
    <row r="5588" spans="7:7">
      <c r="G5588" s="3732"/>
    </row>
    <row r="5589" spans="7:7">
      <c r="G5589" s="3732"/>
    </row>
    <row r="5590" spans="7:7">
      <c r="G5590" s="3732"/>
    </row>
    <row r="5591" spans="7:7">
      <c r="G5591" s="3732"/>
    </row>
    <row r="5592" spans="7:7">
      <c r="G5592" s="3732"/>
    </row>
    <row r="5593" spans="7:7">
      <c r="G5593" s="3732"/>
    </row>
    <row r="5594" spans="7:7">
      <c r="G5594" s="3732"/>
    </row>
    <row r="5595" spans="7:7">
      <c r="G5595" s="3732"/>
    </row>
    <row r="5596" spans="7:7">
      <c r="G5596" s="3732"/>
    </row>
    <row r="5597" spans="7:7">
      <c r="G5597" s="3732"/>
    </row>
    <row r="5598" spans="7:7">
      <c r="G5598" s="3732"/>
    </row>
    <row r="5599" spans="7:7">
      <c r="G5599" s="3732"/>
    </row>
    <row r="5600" spans="7:7">
      <c r="G5600" s="3732"/>
    </row>
    <row r="5601" spans="7:7">
      <c r="G5601" s="3732"/>
    </row>
    <row r="5602" spans="7:7">
      <c r="G5602" s="3732"/>
    </row>
    <row r="5603" spans="7:7">
      <c r="G5603" s="3732"/>
    </row>
    <row r="5604" spans="7:7">
      <c r="G5604" s="3732"/>
    </row>
    <row r="5605" spans="7:7">
      <c r="G5605" s="3732"/>
    </row>
    <row r="5606" spans="7:7">
      <c r="G5606" s="3732"/>
    </row>
    <row r="5607" spans="7:7">
      <c r="G5607" s="3732"/>
    </row>
    <row r="5608" spans="7:7">
      <c r="G5608" s="3732"/>
    </row>
    <row r="5609" spans="7:7">
      <c r="G5609" s="3732"/>
    </row>
    <row r="5610" spans="7:7">
      <c r="G5610" s="3732"/>
    </row>
    <row r="5611" spans="7:7">
      <c r="G5611" s="3732"/>
    </row>
    <row r="5612" spans="7:7">
      <c r="G5612" s="3732"/>
    </row>
    <row r="5613" spans="7:7">
      <c r="G5613" s="3732"/>
    </row>
    <row r="5614" spans="7:7">
      <c r="G5614" s="3732"/>
    </row>
    <row r="5615" spans="7:7">
      <c r="G5615" s="3732"/>
    </row>
    <row r="5616" spans="7:7">
      <c r="G5616" s="3732"/>
    </row>
    <row r="5617" spans="7:7">
      <c r="G5617" s="3732"/>
    </row>
    <row r="5618" spans="7:7">
      <c r="G5618" s="3732"/>
    </row>
    <row r="5619" spans="7:7">
      <c r="G5619" s="3732"/>
    </row>
    <row r="5620" spans="7:7">
      <c r="G5620" s="3732"/>
    </row>
    <row r="5621" spans="7:7">
      <c r="G5621" s="3732"/>
    </row>
    <row r="5622" spans="7:7">
      <c r="G5622" s="3732"/>
    </row>
    <row r="5623" spans="7:7">
      <c r="G5623" s="3732"/>
    </row>
    <row r="5624" spans="7:7">
      <c r="G5624" s="3732"/>
    </row>
    <row r="5625" spans="7:7">
      <c r="G5625" s="3732"/>
    </row>
    <row r="5626" spans="7:7">
      <c r="G5626" s="3732"/>
    </row>
    <row r="5627" spans="7:7">
      <c r="G5627" s="3732"/>
    </row>
    <row r="5628" spans="7:7">
      <c r="G5628" s="3732"/>
    </row>
    <row r="5629" spans="7:7">
      <c r="G5629" s="3732"/>
    </row>
    <row r="5630" spans="7:7">
      <c r="G5630" s="3732"/>
    </row>
    <row r="5631" spans="7:7">
      <c r="G5631" s="3732"/>
    </row>
    <row r="5632" spans="7:7">
      <c r="G5632" s="3732"/>
    </row>
    <row r="5633" spans="7:7">
      <c r="G5633" s="3732"/>
    </row>
    <row r="5634" spans="7:7">
      <c r="G5634" s="3732"/>
    </row>
    <row r="5635" spans="7:7">
      <c r="G5635" s="3732"/>
    </row>
    <row r="5636" spans="7:7">
      <c r="G5636" s="3732"/>
    </row>
    <row r="5637" spans="7:7">
      <c r="G5637" s="3732"/>
    </row>
    <row r="5638" spans="7:7">
      <c r="G5638" s="3732"/>
    </row>
    <row r="5639" spans="7:7">
      <c r="G5639" s="3732"/>
    </row>
    <row r="5640" spans="7:7">
      <c r="G5640" s="3732"/>
    </row>
    <row r="5641" spans="7:7">
      <c r="G5641" s="3732"/>
    </row>
    <row r="5642" spans="7:7">
      <c r="G5642" s="3732"/>
    </row>
    <row r="5643" spans="7:7">
      <c r="G5643" s="3732"/>
    </row>
    <row r="5644" spans="7:7">
      <c r="G5644" s="3732"/>
    </row>
    <row r="5645" spans="7:7">
      <c r="G5645" s="3732"/>
    </row>
    <row r="5646" spans="7:7">
      <c r="G5646" s="3732"/>
    </row>
    <row r="5647" spans="7:7">
      <c r="G5647" s="3732"/>
    </row>
    <row r="5648" spans="7:7">
      <c r="G5648" s="3732"/>
    </row>
    <row r="5649" spans="7:7">
      <c r="G5649" s="3732"/>
    </row>
    <row r="5650" spans="7:7">
      <c r="G5650" s="3732"/>
    </row>
    <row r="5651" spans="7:7">
      <c r="G5651" s="3732"/>
    </row>
    <row r="5652" spans="7:7">
      <c r="G5652" s="3732"/>
    </row>
    <row r="5653" spans="7:7">
      <c r="G5653" s="3732"/>
    </row>
    <row r="5654" spans="7:7">
      <c r="G5654" s="3732"/>
    </row>
    <row r="5655" spans="7:7">
      <c r="G5655" s="3732"/>
    </row>
    <row r="5656" spans="7:7">
      <c r="G5656" s="3732"/>
    </row>
    <row r="5657" spans="7:7">
      <c r="G5657" s="3732"/>
    </row>
    <row r="5658" spans="7:7">
      <c r="G5658" s="3732"/>
    </row>
    <row r="5659" spans="7:7">
      <c r="G5659" s="3732"/>
    </row>
    <row r="5660" spans="7:7">
      <c r="G5660" s="3732"/>
    </row>
    <row r="5661" spans="7:7">
      <c r="G5661" s="3732"/>
    </row>
    <row r="5662" spans="7:7">
      <c r="G5662" s="3732"/>
    </row>
    <row r="5663" spans="7:7">
      <c r="G5663" s="3732"/>
    </row>
    <row r="5664" spans="7:7">
      <c r="G5664" s="3732"/>
    </row>
    <row r="5665" spans="7:7">
      <c r="G5665" s="3732"/>
    </row>
    <row r="5666" spans="7:7">
      <c r="G5666" s="3732"/>
    </row>
    <row r="5667" spans="7:7">
      <c r="G5667" s="3732"/>
    </row>
    <row r="5668" spans="7:7">
      <c r="G5668" s="3732"/>
    </row>
    <row r="5669" spans="7:7">
      <c r="G5669" s="3732"/>
    </row>
    <row r="5670" spans="7:7">
      <c r="G5670" s="3732"/>
    </row>
    <row r="5671" spans="7:7">
      <c r="G5671" s="3732"/>
    </row>
    <row r="5672" spans="7:7">
      <c r="G5672" s="3732"/>
    </row>
    <row r="5673" spans="7:7">
      <c r="G5673" s="3732"/>
    </row>
    <row r="5674" spans="7:7">
      <c r="G5674" s="3732"/>
    </row>
    <row r="5675" spans="7:7">
      <c r="G5675" s="3732"/>
    </row>
    <row r="5676" spans="7:7">
      <c r="G5676" s="3732"/>
    </row>
    <row r="5677" spans="7:7">
      <c r="G5677" s="3732"/>
    </row>
    <row r="5678" spans="7:7">
      <c r="G5678" s="3732"/>
    </row>
    <row r="5679" spans="7:7">
      <c r="G5679" s="3732"/>
    </row>
    <row r="5680" spans="7:7">
      <c r="G5680" s="3732"/>
    </row>
    <row r="5681" spans="7:7">
      <c r="G5681" s="3732"/>
    </row>
    <row r="5682" spans="7:7">
      <c r="G5682" s="3732"/>
    </row>
    <row r="5683" spans="7:7">
      <c r="G5683" s="3732"/>
    </row>
    <row r="5684" spans="7:7">
      <c r="G5684" s="3732"/>
    </row>
    <row r="5685" spans="7:7">
      <c r="G5685" s="3732"/>
    </row>
    <row r="5686" spans="7:7">
      <c r="G5686" s="3732"/>
    </row>
    <row r="5687" spans="7:7">
      <c r="G5687" s="3732"/>
    </row>
    <row r="5688" spans="7:7">
      <c r="G5688" s="3732"/>
    </row>
    <row r="5689" spans="7:7">
      <c r="G5689" s="3732"/>
    </row>
    <row r="5690" spans="7:7">
      <c r="G5690" s="3732"/>
    </row>
    <row r="5691" spans="7:7">
      <c r="G5691" s="3732"/>
    </row>
    <row r="5692" spans="7:7">
      <c r="G5692" s="3732"/>
    </row>
    <row r="5693" spans="7:7">
      <c r="G5693" s="3732"/>
    </row>
    <row r="5694" spans="7:7">
      <c r="G5694" s="3732"/>
    </row>
    <row r="5695" spans="7:7">
      <c r="G5695" s="3732"/>
    </row>
    <row r="5696" spans="7:7">
      <c r="G5696" s="3732"/>
    </row>
    <row r="5697" spans="7:7">
      <c r="G5697" s="3732"/>
    </row>
    <row r="5698" spans="7:7">
      <c r="G5698" s="3732"/>
    </row>
    <row r="5699" spans="7:7">
      <c r="G5699" s="3732"/>
    </row>
    <row r="5700" spans="7:7">
      <c r="G5700" s="3732"/>
    </row>
    <row r="5701" spans="7:7">
      <c r="G5701" s="3732"/>
    </row>
    <row r="5702" spans="7:7">
      <c r="G5702" s="3732"/>
    </row>
    <row r="5703" spans="7:7">
      <c r="G5703" s="3732"/>
    </row>
    <row r="5704" spans="7:7">
      <c r="G5704" s="3732"/>
    </row>
    <row r="5705" spans="7:7">
      <c r="G5705" s="3732"/>
    </row>
    <row r="5706" spans="7:7">
      <c r="G5706" s="3732"/>
    </row>
    <row r="5707" spans="7:7">
      <c r="G5707" s="3732"/>
    </row>
    <row r="5708" spans="7:7">
      <c r="G5708" s="3732"/>
    </row>
    <row r="5709" spans="7:7">
      <c r="G5709" s="3732"/>
    </row>
    <row r="5710" spans="7:7">
      <c r="G5710" s="3732"/>
    </row>
    <row r="5711" spans="7:7">
      <c r="G5711" s="3732"/>
    </row>
    <row r="5712" spans="7:7">
      <c r="G5712" s="3732"/>
    </row>
    <row r="5713" spans="7:7">
      <c r="G5713" s="3732"/>
    </row>
    <row r="5714" spans="7:7">
      <c r="G5714" s="3732"/>
    </row>
    <row r="5715" spans="7:7">
      <c r="G5715" s="3732"/>
    </row>
    <row r="5716" spans="7:7">
      <c r="G5716" s="3732"/>
    </row>
    <row r="5717" spans="7:7">
      <c r="G5717" s="3732"/>
    </row>
    <row r="5718" spans="7:7">
      <c r="G5718" s="3732"/>
    </row>
    <row r="5719" spans="7:7">
      <c r="G5719" s="3732"/>
    </row>
    <row r="5720" spans="7:7">
      <c r="G5720" s="3732"/>
    </row>
    <row r="5721" spans="7:7">
      <c r="G5721" s="3732"/>
    </row>
    <row r="5722" spans="7:7">
      <c r="G5722" s="3732"/>
    </row>
    <row r="5723" spans="7:7">
      <c r="G5723" s="3732"/>
    </row>
    <row r="5724" spans="7:7">
      <c r="G5724" s="3732"/>
    </row>
    <row r="5725" spans="7:7">
      <c r="G5725" s="3732"/>
    </row>
    <row r="5726" spans="7:7">
      <c r="G5726" s="3732"/>
    </row>
    <row r="5727" spans="7:7">
      <c r="G5727" s="3732"/>
    </row>
    <row r="5728" spans="7:7">
      <c r="G5728" s="3732"/>
    </row>
    <row r="5729" spans="7:7">
      <c r="G5729" s="3732"/>
    </row>
    <row r="5730" spans="7:7">
      <c r="G5730" s="3732"/>
    </row>
    <row r="5731" spans="7:7">
      <c r="G5731" s="3732"/>
    </row>
    <row r="5732" spans="7:7">
      <c r="G5732" s="3732"/>
    </row>
    <row r="5733" spans="7:7">
      <c r="G5733" s="3732"/>
    </row>
    <row r="5734" spans="7:7">
      <c r="G5734" s="3732"/>
    </row>
    <row r="5735" spans="7:7">
      <c r="G5735" s="3732"/>
    </row>
    <row r="5736" spans="7:7">
      <c r="G5736" s="3732"/>
    </row>
    <row r="5737" spans="7:7">
      <c r="G5737" s="3732"/>
    </row>
    <row r="5738" spans="7:7">
      <c r="G5738" s="3732"/>
    </row>
    <row r="5739" spans="7:7">
      <c r="G5739" s="3732"/>
    </row>
    <row r="5740" spans="7:7">
      <c r="G5740" s="3732"/>
    </row>
    <row r="5741" spans="7:7">
      <c r="G5741" s="3732"/>
    </row>
    <row r="5742" spans="7:7">
      <c r="G5742" s="3732"/>
    </row>
    <row r="5743" spans="7:7">
      <c r="G5743" s="3732"/>
    </row>
    <row r="5744" spans="7:7">
      <c r="G5744" s="3732"/>
    </row>
    <row r="5745" spans="7:7">
      <c r="G5745" s="3732"/>
    </row>
    <row r="5746" spans="7:7">
      <c r="G5746" s="3732"/>
    </row>
    <row r="5747" spans="7:7">
      <c r="G5747" s="3732"/>
    </row>
    <row r="5748" spans="7:7">
      <c r="G5748" s="3732"/>
    </row>
    <row r="5749" spans="7:7">
      <c r="G5749" s="3732"/>
    </row>
    <row r="5750" spans="7:7">
      <c r="G5750" s="3732"/>
    </row>
    <row r="5751" spans="7:7">
      <c r="G5751" s="3732"/>
    </row>
    <row r="5752" spans="7:7">
      <c r="G5752" s="3732"/>
    </row>
    <row r="5753" spans="7:7">
      <c r="G5753" s="3732"/>
    </row>
    <row r="5754" spans="7:7">
      <c r="G5754" s="3732"/>
    </row>
    <row r="5755" spans="7:7">
      <c r="G5755" s="3732"/>
    </row>
    <row r="5756" spans="7:7">
      <c r="G5756" s="3732"/>
    </row>
    <row r="5757" spans="7:7">
      <c r="G5757" s="3732"/>
    </row>
    <row r="5758" spans="7:7">
      <c r="G5758" s="3732"/>
    </row>
    <row r="5759" spans="7:7">
      <c r="G5759" s="3732"/>
    </row>
    <row r="5760" spans="7:7">
      <c r="G5760" s="3732"/>
    </row>
    <row r="5761" spans="7:7">
      <c r="G5761" s="3732"/>
    </row>
    <row r="5762" spans="7:7">
      <c r="G5762" s="3732"/>
    </row>
    <row r="5763" spans="7:7">
      <c r="G5763" s="3732"/>
    </row>
    <row r="5764" spans="7:7">
      <c r="G5764" s="3732"/>
    </row>
    <row r="5765" spans="7:7">
      <c r="G5765" s="3732"/>
    </row>
    <row r="5766" spans="7:7">
      <c r="G5766" s="3732"/>
    </row>
    <row r="5767" spans="7:7">
      <c r="G5767" s="3732"/>
    </row>
    <row r="5768" spans="7:7">
      <c r="G5768" s="3732"/>
    </row>
    <row r="5769" spans="7:7">
      <c r="G5769" s="3732"/>
    </row>
    <row r="5770" spans="7:7">
      <c r="G5770" s="3732"/>
    </row>
    <row r="5771" spans="7:7">
      <c r="G5771" s="3732"/>
    </row>
    <row r="5772" spans="7:7">
      <c r="G5772" s="3732"/>
    </row>
    <row r="5773" spans="7:7">
      <c r="G5773" s="3732"/>
    </row>
    <row r="5774" spans="7:7">
      <c r="G5774" s="3732"/>
    </row>
  </sheetData>
  <mergeCells count="5">
    <mergeCell ref="H18:Q20"/>
    <mergeCell ref="H31:Q33"/>
    <mergeCell ref="B51:B52"/>
    <mergeCell ref="G121:O121"/>
    <mergeCell ref="P121:R121"/>
  </mergeCells>
  <pageMargins left="0.7" right="0.7" top="0.75" bottom="0.75" header="0.3" footer="0.3"/>
  <pageSetup paperSize="5" scale="20" orientation="landscape"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CA238"/>
  <sheetViews>
    <sheetView zoomScale="85" zoomScaleNormal="85" workbookViewId="0">
      <pane xSplit="1" ySplit="6" topLeftCell="D7" activePane="bottomRight" state="frozen"/>
      <selection activeCell="A23" sqref="A23"/>
      <selection pane="topRight" activeCell="A23" sqref="A23"/>
      <selection pane="bottomLeft" activeCell="A23" sqref="A23"/>
      <selection pane="bottomRight" activeCell="F81" sqref="F81"/>
    </sheetView>
  </sheetViews>
  <sheetFormatPr defaultRowHeight="15.75"/>
  <cols>
    <col min="1" max="1" width="37.25" customWidth="1"/>
    <col min="3" max="3" width="12.875" customWidth="1"/>
    <col min="4" max="4" width="11.375" customWidth="1"/>
    <col min="5" max="5" width="10.625" customWidth="1"/>
    <col min="6" max="6" width="11.375" customWidth="1"/>
    <col min="7" max="7" width="12.75" customWidth="1"/>
    <col min="8" max="8" width="12.375" customWidth="1"/>
    <col min="9" max="9" width="13.125" hidden="1" customWidth="1"/>
    <col min="10" max="10" width="14.25" customWidth="1"/>
    <col min="11" max="12" width="12.375" customWidth="1"/>
    <col min="13" max="13" width="12.5" customWidth="1"/>
    <col min="14" max="14" width="12.75" customWidth="1"/>
    <col min="15" max="15" width="12.25" customWidth="1"/>
    <col min="16" max="23" width="12.375" customWidth="1"/>
    <col min="24" max="24" width="12.375" style="1696" customWidth="1"/>
    <col min="25" max="41" width="12.375" customWidth="1"/>
  </cols>
  <sheetData>
    <row r="1" spans="1:41">
      <c r="A1" s="562" t="s">
        <v>3500</v>
      </c>
      <c r="B1" s="1624" t="s">
        <v>2787</v>
      </c>
    </row>
    <row r="2" spans="1:41">
      <c r="A2" s="562" t="s">
        <v>3493</v>
      </c>
      <c r="B2" s="1624" t="s">
        <v>3499</v>
      </c>
    </row>
    <row r="3" spans="1:41">
      <c r="X3" s="1696" t="s">
        <v>3883</v>
      </c>
    </row>
    <row r="4" spans="1:41">
      <c r="A4" s="1014"/>
      <c r="B4" s="1015"/>
      <c r="C4" s="1016"/>
      <c r="D4" s="1016"/>
      <c r="E4" s="1017"/>
      <c r="F4" s="1016"/>
      <c r="G4" s="1016"/>
      <c r="H4" s="1018" t="s">
        <v>1956</v>
      </c>
      <c r="I4" s="1018" t="s">
        <v>1957</v>
      </c>
      <c r="J4" s="3694" t="s">
        <v>1956</v>
      </c>
      <c r="K4" s="3694" t="s">
        <v>1956</v>
      </c>
      <c r="L4" s="3693" t="s">
        <v>1958</v>
      </c>
      <c r="M4" s="1020"/>
      <c r="N4" s="1020"/>
      <c r="O4" s="1020"/>
      <c r="P4" s="1020"/>
      <c r="Q4" s="1020"/>
      <c r="R4" s="1020"/>
      <c r="S4" s="1020"/>
      <c r="T4" s="1020"/>
      <c r="U4" s="1020"/>
      <c r="V4" s="1020"/>
      <c r="W4" s="1020"/>
      <c r="X4" s="3881"/>
      <c r="Y4" s="1020"/>
      <c r="Z4" s="1020"/>
      <c r="AA4" s="1020"/>
      <c r="AB4" s="1020"/>
      <c r="AC4" s="1020"/>
      <c r="AD4" s="1020"/>
      <c r="AE4" s="1020"/>
      <c r="AF4" s="1020"/>
      <c r="AG4" s="1020"/>
      <c r="AH4" s="1020"/>
      <c r="AI4" s="1020"/>
      <c r="AJ4" s="1020"/>
      <c r="AK4" s="1020"/>
      <c r="AL4" s="1020"/>
      <c r="AM4" s="1020"/>
      <c r="AN4" s="1020"/>
      <c r="AO4" s="1020"/>
    </row>
    <row r="5" spans="1:41">
      <c r="A5" s="1021"/>
      <c r="B5" s="1015"/>
      <c r="C5" s="1016"/>
      <c r="D5" s="1022" t="s">
        <v>1959</v>
      </c>
      <c r="E5" s="1023" t="s">
        <v>1960</v>
      </c>
      <c r="F5" s="1018" t="s">
        <v>1959</v>
      </c>
      <c r="G5" s="1024" t="s">
        <v>1960</v>
      </c>
      <c r="H5" s="1025">
        <v>2013</v>
      </c>
      <c r="I5" s="1025">
        <v>2014</v>
      </c>
      <c r="J5" s="2024">
        <v>2014</v>
      </c>
      <c r="K5" s="2024">
        <v>2015</v>
      </c>
      <c r="L5" s="2024">
        <v>2016</v>
      </c>
      <c r="M5" s="2024">
        <f>L5+1</f>
        <v>2017</v>
      </c>
      <c r="N5" s="2024">
        <f>M5+1</f>
        <v>2018</v>
      </c>
      <c r="O5" s="2024">
        <f t="shared" ref="O5:AN5" si="0">N5+1</f>
        <v>2019</v>
      </c>
      <c r="P5" s="2024">
        <f t="shared" si="0"/>
        <v>2020</v>
      </c>
      <c r="Q5" s="2024">
        <f t="shared" si="0"/>
        <v>2021</v>
      </c>
      <c r="R5" s="2024">
        <f t="shared" si="0"/>
        <v>2022</v>
      </c>
      <c r="S5" s="2024">
        <f t="shared" si="0"/>
        <v>2023</v>
      </c>
      <c r="T5" s="2024">
        <f t="shared" si="0"/>
        <v>2024</v>
      </c>
      <c r="U5" s="2024">
        <f t="shared" si="0"/>
        <v>2025</v>
      </c>
      <c r="V5" s="2024">
        <f t="shared" si="0"/>
        <v>2026</v>
      </c>
      <c r="W5" s="2024">
        <f t="shared" si="0"/>
        <v>2027</v>
      </c>
      <c r="X5" s="3882">
        <f t="shared" si="0"/>
        <v>2028</v>
      </c>
      <c r="Y5" s="2024">
        <f t="shared" si="0"/>
        <v>2029</v>
      </c>
      <c r="Z5" s="2024">
        <f t="shared" si="0"/>
        <v>2030</v>
      </c>
      <c r="AA5" s="2024">
        <f t="shared" si="0"/>
        <v>2031</v>
      </c>
      <c r="AB5" s="2024">
        <f t="shared" si="0"/>
        <v>2032</v>
      </c>
      <c r="AC5" s="2024">
        <f t="shared" si="0"/>
        <v>2033</v>
      </c>
      <c r="AD5" s="2024">
        <f t="shared" si="0"/>
        <v>2034</v>
      </c>
      <c r="AE5" s="2024">
        <f t="shared" si="0"/>
        <v>2035</v>
      </c>
      <c r="AF5" s="2024">
        <f t="shared" si="0"/>
        <v>2036</v>
      </c>
      <c r="AG5" s="2024">
        <f t="shared" si="0"/>
        <v>2037</v>
      </c>
      <c r="AH5" s="2024">
        <f t="shared" si="0"/>
        <v>2038</v>
      </c>
      <c r="AI5" s="2024">
        <f t="shared" si="0"/>
        <v>2039</v>
      </c>
      <c r="AJ5" s="2024">
        <f t="shared" si="0"/>
        <v>2040</v>
      </c>
      <c r="AK5" s="2024">
        <f t="shared" si="0"/>
        <v>2041</v>
      </c>
      <c r="AL5" s="2024">
        <f t="shared" si="0"/>
        <v>2042</v>
      </c>
      <c r="AM5" s="2024">
        <f t="shared" si="0"/>
        <v>2043</v>
      </c>
      <c r="AN5" s="2024">
        <f t="shared" si="0"/>
        <v>2044</v>
      </c>
      <c r="AO5" s="2024">
        <v>2045</v>
      </c>
    </row>
    <row r="6" spans="1:41" ht="16.5">
      <c r="A6" s="1027" t="s">
        <v>1961</v>
      </c>
      <c r="B6" s="1028"/>
      <c r="C6" s="1025">
        <v>2010</v>
      </c>
      <c r="D6" s="1025">
        <v>2011</v>
      </c>
      <c r="E6" s="1029">
        <v>2012</v>
      </c>
      <c r="F6" s="1025">
        <v>2012</v>
      </c>
      <c r="G6" s="1029">
        <v>2013</v>
      </c>
      <c r="H6" s="1030"/>
      <c r="I6" s="1030"/>
      <c r="J6" s="1030"/>
      <c r="K6" s="1030"/>
      <c r="L6" s="1030"/>
      <c r="M6" s="1030"/>
      <c r="N6" s="1030"/>
      <c r="O6" s="1030"/>
      <c r="P6" s="1030"/>
      <c r="Q6" s="1030"/>
      <c r="R6" s="1030"/>
      <c r="S6" s="1030"/>
      <c r="T6" s="1030"/>
      <c r="U6" s="1030"/>
      <c r="V6" s="1030"/>
      <c r="W6" s="1030"/>
      <c r="X6" s="3883"/>
      <c r="Y6" s="1030"/>
      <c r="Z6" s="1030"/>
      <c r="AA6" s="1030"/>
      <c r="AB6" s="1030"/>
      <c r="AC6" s="1030"/>
      <c r="AD6" s="1030"/>
      <c r="AE6" s="1030"/>
      <c r="AF6" s="1030"/>
      <c r="AG6" s="1030"/>
      <c r="AH6" s="1030"/>
      <c r="AI6" s="1030"/>
      <c r="AJ6" s="1030"/>
      <c r="AK6" s="1030"/>
      <c r="AL6" s="1030"/>
      <c r="AM6" s="1030"/>
      <c r="AN6" s="1030"/>
      <c r="AO6" s="1030"/>
    </row>
    <row r="7" spans="1:41">
      <c r="A7" s="1027" t="s">
        <v>1962</v>
      </c>
      <c r="B7" s="1015"/>
      <c r="C7" s="1031"/>
      <c r="D7" s="1031"/>
      <c r="E7" s="1032"/>
      <c r="F7" s="1031"/>
      <c r="G7" s="1032"/>
      <c r="H7" s="1031"/>
      <c r="I7" s="1031"/>
      <c r="J7" s="1033"/>
      <c r="K7" s="1034"/>
      <c r="L7" s="1034"/>
      <c r="M7" s="1020"/>
      <c r="N7" s="1020"/>
      <c r="O7" s="1020"/>
      <c r="P7" s="1020"/>
      <c r="Q7" s="1020"/>
      <c r="R7" s="1020"/>
      <c r="S7" s="1020"/>
      <c r="T7" s="1020"/>
      <c r="U7" s="1020"/>
      <c r="V7" s="1020"/>
      <c r="W7" s="1020"/>
      <c r="X7" s="3881"/>
      <c r="Y7" s="1020"/>
      <c r="Z7" s="1020"/>
      <c r="AA7" s="1020"/>
      <c r="AB7" s="1020"/>
      <c r="AC7" s="1020"/>
      <c r="AD7" s="1020"/>
      <c r="AE7" s="1020"/>
      <c r="AF7" s="1020"/>
      <c r="AG7" s="1020"/>
      <c r="AH7" s="1020"/>
      <c r="AI7" s="1020"/>
      <c r="AJ7" s="1020"/>
      <c r="AK7" s="1020"/>
      <c r="AL7" s="1020"/>
      <c r="AM7" s="1020"/>
      <c r="AN7" s="1020"/>
      <c r="AO7" s="1020"/>
    </row>
    <row r="8" spans="1:41">
      <c r="A8" s="1035" t="s">
        <v>717</v>
      </c>
      <c r="B8" s="1015" t="s">
        <v>1963</v>
      </c>
      <c r="C8" s="1036"/>
      <c r="D8" s="1016"/>
      <c r="E8" s="1037"/>
      <c r="F8" s="1016"/>
      <c r="G8" s="1038"/>
      <c r="H8" s="1016"/>
      <c r="I8" s="1016"/>
      <c r="J8" s="1020"/>
      <c r="K8" s="1020"/>
      <c r="L8" s="1020"/>
      <c r="M8" s="1020"/>
      <c r="N8" s="1020"/>
      <c r="O8" s="1020"/>
      <c r="P8" s="1020"/>
      <c r="Q8" s="1020"/>
      <c r="R8" s="1020"/>
      <c r="S8" s="1020"/>
      <c r="T8" s="1020"/>
      <c r="U8" s="1020"/>
      <c r="V8" s="1020"/>
      <c r="W8" s="1020"/>
      <c r="X8" s="3881"/>
      <c r="Y8" s="1020"/>
      <c r="Z8" s="1020"/>
      <c r="AA8" s="1020"/>
      <c r="AB8" s="1020"/>
      <c r="AC8" s="1020"/>
      <c r="AD8" s="1020"/>
      <c r="AE8" s="1020"/>
      <c r="AF8" s="1020"/>
      <c r="AG8" s="1020"/>
      <c r="AH8" s="1020"/>
      <c r="AI8" s="1020"/>
      <c r="AJ8" s="1020"/>
      <c r="AK8" s="1020"/>
      <c r="AL8" s="1020"/>
      <c r="AM8" s="1020"/>
      <c r="AN8" s="1020"/>
      <c r="AO8" s="1020"/>
    </row>
    <row r="9" spans="1:41">
      <c r="A9" s="1039" t="s">
        <v>1964</v>
      </c>
      <c r="B9" s="1040" t="s">
        <v>1965</v>
      </c>
      <c r="C9" s="1041">
        <v>96118</v>
      </c>
      <c r="D9" s="1042">
        <v>71806190</v>
      </c>
      <c r="E9" s="1043">
        <v>83274</v>
      </c>
      <c r="F9" s="1042">
        <v>72070265</v>
      </c>
      <c r="G9" s="1044">
        <v>117491.71378951668</v>
      </c>
      <c r="H9" s="2052">
        <v>120111176</v>
      </c>
      <c r="I9" s="2052"/>
      <c r="J9" s="2052">
        <v>121783447.86</v>
      </c>
      <c r="K9" s="2052">
        <v>123242823.8</v>
      </c>
      <c r="L9" s="2052">
        <v>125212737.0956192</v>
      </c>
      <c r="M9" s="2052">
        <v>127214137.48535559</v>
      </c>
      <c r="N9" s="2052">
        <v>129247528.2589215</v>
      </c>
      <c r="O9" s="2052">
        <v>131313420.75061211</v>
      </c>
      <c r="P9" s="2052">
        <v>133412334.46788989</v>
      </c>
      <c r="Q9" s="2052">
        <v>135544797.22202465</v>
      </c>
      <c r="R9" s="2052">
        <v>137711345.26082149</v>
      </c>
      <c r="S9" s="2052">
        <v>139912523.40347046</v>
      </c>
      <c r="T9" s="2052">
        <v>142148885.17755154</v>
      </c>
      <c r="U9" s="2052">
        <v>144420992.95822951</v>
      </c>
      <c r="V9" s="2052">
        <v>146729418.10967386</v>
      </c>
      <c r="W9" s="2052">
        <v>149074741.12873888</v>
      </c>
      <c r="X9" s="3884">
        <v>130604069.39935869</v>
      </c>
      <c r="Y9" s="2052">
        <v>132563130.44034907</v>
      </c>
      <c r="Z9" s="2052">
        <v>134551577.3969543</v>
      </c>
      <c r="AA9" s="2052">
        <v>136569851.05790862</v>
      </c>
      <c r="AB9" s="2052">
        <v>138618398.82377726</v>
      </c>
      <c r="AC9" s="2052">
        <v>140697674.80613393</v>
      </c>
      <c r="AD9" s="2052">
        <v>142808139.92822593</v>
      </c>
      <c r="AE9" s="2052">
        <v>144950262.02714932</v>
      </c>
      <c r="AF9" s="2052">
        <v>147124515.95755655</v>
      </c>
      <c r="AG9" s="2052">
        <v>149331383.69691989</v>
      </c>
      <c r="AH9" s="2052">
        <v>151571354.45237368</v>
      </c>
      <c r="AI9" s="2052">
        <v>153844924.76915929</v>
      </c>
      <c r="AJ9" s="2052">
        <v>156152598.64069667</v>
      </c>
      <c r="AK9" s="2052">
        <v>158494887.62030712</v>
      </c>
      <c r="AL9" s="2052">
        <v>160872310.93461174</v>
      </c>
      <c r="AM9" s="2052">
        <v>163285395.59863091</v>
      </c>
      <c r="AN9" s="2052">
        <v>165734676.53261036</v>
      </c>
      <c r="AO9" s="1042">
        <v>0</v>
      </c>
    </row>
    <row r="10" spans="1:41">
      <c r="A10" s="1020" t="s">
        <v>1966</v>
      </c>
      <c r="B10" s="1040" t="s">
        <v>1965</v>
      </c>
      <c r="C10" s="1041">
        <v>23468</v>
      </c>
      <c r="D10" s="1042">
        <v>28075543</v>
      </c>
      <c r="E10" s="1043">
        <v>35041</v>
      </c>
      <c r="F10" s="1042">
        <v>58883216.000000007</v>
      </c>
      <c r="G10" s="1044">
        <v>35000</v>
      </c>
      <c r="H10" s="2052">
        <v>74183964.389999986</v>
      </c>
      <c r="I10" s="2052"/>
      <c r="J10" s="2052">
        <v>53571588.666819997</v>
      </c>
      <c r="K10" s="2052">
        <v>35000000</v>
      </c>
      <c r="L10" s="2052">
        <v>35000000</v>
      </c>
      <c r="M10" s="2052">
        <v>35000000</v>
      </c>
      <c r="N10" s="2052">
        <v>35000000</v>
      </c>
      <c r="O10" s="2052">
        <v>35000000</v>
      </c>
      <c r="P10" s="2052">
        <v>35000000</v>
      </c>
      <c r="Q10" s="2052">
        <v>35000000</v>
      </c>
      <c r="R10" s="2052">
        <v>35000000</v>
      </c>
      <c r="S10" s="2052">
        <v>35000000</v>
      </c>
      <c r="T10" s="2052">
        <v>35000000</v>
      </c>
      <c r="U10" s="2052">
        <v>35000000</v>
      </c>
      <c r="V10" s="2052">
        <v>35000000</v>
      </c>
      <c r="W10" s="2052">
        <v>35000000</v>
      </c>
      <c r="X10" s="3884">
        <v>35262500</v>
      </c>
      <c r="Y10" s="2052">
        <v>35262500</v>
      </c>
      <c r="Z10" s="2052">
        <v>35262500</v>
      </c>
      <c r="AA10" s="2052">
        <v>35262500</v>
      </c>
      <c r="AB10" s="2052">
        <v>35262500</v>
      </c>
      <c r="AC10" s="2052">
        <v>35262500</v>
      </c>
      <c r="AD10" s="2052">
        <v>35262500</v>
      </c>
      <c r="AE10" s="2052">
        <v>35262500</v>
      </c>
      <c r="AF10" s="2052">
        <v>35262500</v>
      </c>
      <c r="AG10" s="2052">
        <v>35262500</v>
      </c>
      <c r="AH10" s="2052">
        <v>35262500</v>
      </c>
      <c r="AI10" s="2052">
        <v>35262500</v>
      </c>
      <c r="AJ10" s="2052">
        <v>35262500</v>
      </c>
      <c r="AK10" s="2052">
        <v>35262500</v>
      </c>
      <c r="AL10" s="2052">
        <v>35262500</v>
      </c>
      <c r="AM10" s="2052">
        <v>35262500</v>
      </c>
      <c r="AN10" s="2052">
        <v>35262500</v>
      </c>
      <c r="AO10" s="1042" t="s">
        <v>2788</v>
      </c>
    </row>
    <row r="11" spans="1:41">
      <c r="A11" s="1020" t="s">
        <v>1967</v>
      </c>
      <c r="B11" s="1040" t="s">
        <v>1968</v>
      </c>
      <c r="C11" s="1041"/>
      <c r="D11" s="1042">
        <v>0</v>
      </c>
      <c r="E11" s="1043">
        <v>0</v>
      </c>
      <c r="F11" s="1042">
        <v>0</v>
      </c>
      <c r="G11" s="1044">
        <v>0</v>
      </c>
      <c r="H11" s="2052"/>
      <c r="I11" s="2052"/>
      <c r="J11" s="2052">
        <v>0</v>
      </c>
      <c r="K11" s="2052">
        <v>12083702.953720002</v>
      </c>
      <c r="L11" s="2052">
        <v>54037071.547890358</v>
      </c>
      <c r="M11" s="2052">
        <v>0</v>
      </c>
      <c r="N11" s="2052">
        <v>7.4605047702789315E-9</v>
      </c>
      <c r="O11" s="2052">
        <v>-6.714454293251038E-8</v>
      </c>
      <c r="P11" s="2052">
        <v>0</v>
      </c>
      <c r="Q11" s="2052">
        <v>0</v>
      </c>
      <c r="R11" s="2052">
        <v>9.4994902610778809E-8</v>
      </c>
      <c r="S11" s="2052">
        <v>-3.7252902984619141E-8</v>
      </c>
      <c r="T11" s="2052">
        <v>6.7055225372314453E-8</v>
      </c>
      <c r="U11" s="2052">
        <v>8.9406967163085938E-8</v>
      </c>
      <c r="V11" s="2052">
        <v>0</v>
      </c>
      <c r="W11" s="2052">
        <v>0</v>
      </c>
      <c r="X11" s="3884">
        <v>22711681.963359699</v>
      </c>
      <c r="Y11" s="2052">
        <v>23300743.658901785</v>
      </c>
      <c r="Z11" s="2052">
        <v>23069019.684583843</v>
      </c>
      <c r="AA11" s="2052">
        <v>30491895.062688999</v>
      </c>
      <c r="AB11" s="2052">
        <v>22307526.985241886</v>
      </c>
      <c r="AC11" s="2052">
        <v>19124611.104980063</v>
      </c>
      <c r="AD11" s="2052">
        <v>19929491.834407397</v>
      </c>
      <c r="AE11" s="2052">
        <v>16082631.212488482</v>
      </c>
      <c r="AF11" s="2052">
        <v>43634214.667587087</v>
      </c>
      <c r="AG11" s="2052">
        <v>68657768.385281131</v>
      </c>
      <c r="AH11" s="2052">
        <v>95766993.114132166</v>
      </c>
      <c r="AI11" s="2052">
        <v>120770683.25016598</v>
      </c>
      <c r="AJ11" s="2052">
        <v>155983027.17680314</v>
      </c>
      <c r="AK11" s="2052">
        <v>188418159.44849205</v>
      </c>
      <c r="AL11" s="2052">
        <v>214822415.76616803</v>
      </c>
      <c r="AM11" s="2052">
        <v>254137780.43040743</v>
      </c>
      <c r="AN11" s="2052">
        <v>300260350.22726804</v>
      </c>
      <c r="AO11" s="1042" t="s">
        <v>2788</v>
      </c>
    </row>
    <row r="12" spans="1:41">
      <c r="A12" s="1020" t="s">
        <v>1969</v>
      </c>
      <c r="B12" s="1040" t="s">
        <v>1965</v>
      </c>
      <c r="C12" s="1041">
        <v>23468</v>
      </c>
      <c r="D12" s="1042">
        <v>4070862</v>
      </c>
      <c r="E12" s="1043"/>
      <c r="F12" s="1042">
        <v>3863822</v>
      </c>
      <c r="G12" s="1044">
        <v>0</v>
      </c>
      <c r="H12" s="2052">
        <v>3979371</v>
      </c>
      <c r="I12" s="2052"/>
      <c r="J12" s="2052">
        <v>3006716.03</v>
      </c>
      <c r="K12" s="2052">
        <v>7228862.8499999996</v>
      </c>
      <c r="L12" s="2052">
        <v>7228862.8499999996</v>
      </c>
      <c r="M12" s="2052">
        <v>7228862.8499999996</v>
      </c>
      <c r="N12" s="2052">
        <v>7228862.8499999996</v>
      </c>
      <c r="O12" s="2052">
        <v>7228862.8499999996</v>
      </c>
      <c r="P12" s="2052">
        <v>7228862.8499999996</v>
      </c>
      <c r="Q12" s="2052">
        <v>7228862.8499999996</v>
      </c>
      <c r="R12" s="2052">
        <v>7228862.8499999996</v>
      </c>
      <c r="S12" s="2052">
        <v>7228862.8499999996</v>
      </c>
      <c r="T12" s="2052">
        <v>7228862.8499999996</v>
      </c>
      <c r="U12" s="2052">
        <v>7228862.8499999996</v>
      </c>
      <c r="V12" s="2052">
        <v>7228862.8499999996</v>
      </c>
      <c r="W12" s="2052">
        <v>7228862.8499999996</v>
      </c>
      <c r="X12" s="3884">
        <v>4327007.5760521088</v>
      </c>
      <c r="Y12" s="2052">
        <v>4391912.6896928903</v>
      </c>
      <c r="Z12" s="2052">
        <v>4457791.3800382838</v>
      </c>
      <c r="AA12" s="2052">
        <v>4524658.2507388582</v>
      </c>
      <c r="AB12" s="2052">
        <v>4592528.1244999412</v>
      </c>
      <c r="AC12" s="2052">
        <v>4661416.0463674404</v>
      </c>
      <c r="AD12" s="2052">
        <v>4731337.2870629523</v>
      </c>
      <c r="AE12" s="2052">
        <v>4802307.3463688968</v>
      </c>
      <c r="AF12" s="2052">
        <v>4874341.9565644301</v>
      </c>
      <c r="AG12" s="2052">
        <v>4947457.0859128963</v>
      </c>
      <c r="AH12" s="2052">
        <v>5021668.9422015902</v>
      </c>
      <c r="AI12" s="2052">
        <v>5096993.9763346137</v>
      </c>
      <c r="AJ12" s="2052">
        <v>5173448.8859796328</v>
      </c>
      <c r="AK12" s="2052">
        <v>5251050.6192693273</v>
      </c>
      <c r="AL12" s="2052">
        <v>5329816.3785583675</v>
      </c>
      <c r="AM12" s="2052">
        <v>5409763.624236743</v>
      </c>
      <c r="AN12" s="2052">
        <v>5490910.078600294</v>
      </c>
      <c r="AO12" s="1042" t="s">
        <v>2789</v>
      </c>
    </row>
    <row r="13" spans="1:41">
      <c r="A13" s="1020" t="s">
        <v>1970</v>
      </c>
      <c r="B13" s="1040" t="s">
        <v>1968</v>
      </c>
      <c r="C13" s="1041">
        <v>1708</v>
      </c>
      <c r="D13" s="1042">
        <v>1711068</v>
      </c>
      <c r="E13" s="1043">
        <v>1711</v>
      </c>
      <c r="F13" s="1042">
        <v>1713852.21</v>
      </c>
      <c r="G13" s="1044">
        <v>1714.4919472680999</v>
      </c>
      <c r="H13" s="2052">
        <v>1710284</v>
      </c>
      <c r="I13" s="2052"/>
      <c r="J13" s="2052">
        <v>1730438.41</v>
      </c>
      <c r="K13" s="2052">
        <v>1741606.64</v>
      </c>
      <c r="L13" s="2052">
        <v>1741606.64</v>
      </c>
      <c r="M13" s="2052">
        <v>1741606.64</v>
      </c>
      <c r="N13" s="2052">
        <v>1741606.64</v>
      </c>
      <c r="O13" s="2052">
        <v>1741606.64</v>
      </c>
      <c r="P13" s="2052">
        <v>1741606.64</v>
      </c>
      <c r="Q13" s="2052">
        <v>1741606.64</v>
      </c>
      <c r="R13" s="2052">
        <v>1741606.64</v>
      </c>
      <c r="S13" s="2052">
        <v>1741606.64</v>
      </c>
      <c r="T13" s="2052">
        <v>1741606.64</v>
      </c>
      <c r="U13" s="2052">
        <v>1741606.64</v>
      </c>
      <c r="V13" s="2052">
        <v>1741606.64</v>
      </c>
      <c r="W13" s="2052">
        <v>1741606.64</v>
      </c>
      <c r="X13" s="3884">
        <v>1859693.8042641501</v>
      </c>
      <c r="Y13" s="2052">
        <v>1887589.2113281123</v>
      </c>
      <c r="Z13" s="2052">
        <v>1915903.0494980339</v>
      </c>
      <c r="AA13" s="2052">
        <v>1944641.5952405045</v>
      </c>
      <c r="AB13" s="2052">
        <v>1973811.2191691122</v>
      </c>
      <c r="AC13" s="2052">
        <v>2003418.3874566488</v>
      </c>
      <c r="AD13" s="2052">
        <v>2033469.6632684984</v>
      </c>
      <c r="AE13" s="2052">
        <v>2063971.7082175259</v>
      </c>
      <c r="AF13" s="2052">
        <v>2094931.2838407888</v>
      </c>
      <c r="AG13" s="2052">
        <v>2126355.2530984008</v>
      </c>
      <c r="AH13" s="2052">
        <v>2158250.5818948769</v>
      </c>
      <c r="AI13" s="2052">
        <v>2190624.3406233001</v>
      </c>
      <c r="AJ13" s="2052">
        <v>2223483.7057326497</v>
      </c>
      <c r="AK13" s="2052">
        <v>2256835.9613186396</v>
      </c>
      <c r="AL13" s="2052">
        <v>2290688.5007384191</v>
      </c>
      <c r="AM13" s="2052">
        <v>2325048.8282494955</v>
      </c>
      <c r="AN13" s="2052">
        <v>2359924.5606732378</v>
      </c>
      <c r="AO13" s="1042" t="s">
        <v>2788</v>
      </c>
    </row>
    <row r="14" spans="1:41">
      <c r="A14" s="1020" t="s">
        <v>1971</v>
      </c>
      <c r="B14" s="1040" t="s">
        <v>1972</v>
      </c>
      <c r="C14" s="1041">
        <v>0</v>
      </c>
      <c r="D14" s="1042">
        <v>11343667</v>
      </c>
      <c r="E14" s="1043">
        <v>11344</v>
      </c>
      <c r="F14" s="1042">
        <v>11645991</v>
      </c>
      <c r="G14" s="1044">
        <v>11307.91406957212</v>
      </c>
      <c r="H14" s="2052">
        <v>17141782</v>
      </c>
      <c r="I14" s="2052"/>
      <c r="J14" s="2052">
        <v>17916758.449999999</v>
      </c>
      <c r="K14" s="2052">
        <v>18259254.27</v>
      </c>
      <c r="L14" s="2052">
        <v>18259254.27</v>
      </c>
      <c r="M14" s="2052">
        <v>18259254.27</v>
      </c>
      <c r="N14" s="2052">
        <v>18259254.27</v>
      </c>
      <c r="O14" s="2052">
        <v>18259254.27</v>
      </c>
      <c r="P14" s="2052">
        <v>18259254.27</v>
      </c>
      <c r="Q14" s="2052">
        <v>18259254.27</v>
      </c>
      <c r="R14" s="2052">
        <v>18259254.27</v>
      </c>
      <c r="S14" s="2052">
        <v>18259254.27</v>
      </c>
      <c r="T14" s="2052">
        <v>18259254.27</v>
      </c>
      <c r="U14" s="2052">
        <v>18259254.27</v>
      </c>
      <c r="V14" s="2052">
        <v>18259254.27</v>
      </c>
      <c r="W14" s="2052">
        <v>18259254.27</v>
      </c>
      <c r="X14" s="3884">
        <v>18639285.652542043</v>
      </c>
      <c r="Y14" s="2052">
        <v>18918874.937330175</v>
      </c>
      <c r="Z14" s="2052">
        <v>19202658.061390128</v>
      </c>
      <c r="AA14" s="2052">
        <v>19490697.93231098</v>
      </c>
      <c r="AB14" s="2052">
        <v>19783058.401295643</v>
      </c>
      <c r="AC14" s="2052">
        <v>20079804.277315076</v>
      </c>
      <c r="AD14" s="2052">
        <v>20381001.341474801</v>
      </c>
      <c r="AE14" s="2052">
        <v>20686716.361596923</v>
      </c>
      <c r="AF14" s="2052">
        <v>20997017.107020877</v>
      </c>
      <c r="AG14" s="2052">
        <v>21311972.36362619</v>
      </c>
      <c r="AH14" s="2052">
        <v>21631651.949080583</v>
      </c>
      <c r="AI14" s="2052">
        <v>21956126.728316791</v>
      </c>
      <c r="AJ14" s="2052">
        <v>22285468.629241545</v>
      </c>
      <c r="AK14" s="2052">
        <v>22619750.658680167</v>
      </c>
      <c r="AL14" s="2052">
        <v>22959046.918560371</v>
      </c>
      <c r="AM14" s="2052">
        <v>23303432.622338776</v>
      </c>
      <c r="AN14" s="2052">
        <v>23652984.111673858</v>
      </c>
      <c r="AO14" s="1042" t="s">
        <v>2790</v>
      </c>
    </row>
    <row r="15" spans="1:41">
      <c r="A15" s="1020" t="s">
        <v>1973</v>
      </c>
      <c r="B15" s="1040" t="s">
        <v>1972</v>
      </c>
      <c r="C15" s="1041">
        <v>0</v>
      </c>
      <c r="D15" s="1042">
        <v>90686877</v>
      </c>
      <c r="E15" s="1043">
        <v>30450</v>
      </c>
      <c r="F15" s="1042">
        <v>58012449</v>
      </c>
      <c r="G15" s="1044">
        <v>0</v>
      </c>
      <c r="H15" s="2052">
        <v>3024397</v>
      </c>
      <c r="I15" s="2052"/>
      <c r="J15" s="2052">
        <v>38985010.82</v>
      </c>
      <c r="K15" s="2052">
        <v>7314225.9400000004</v>
      </c>
      <c r="L15" s="2052">
        <v>1045373.2348897986</v>
      </c>
      <c r="M15" s="2052">
        <v>1046765.6720386711</v>
      </c>
      <c r="N15" s="2052">
        <v>1048159.9639138266</v>
      </c>
      <c r="O15" s="2052">
        <v>1049556.1129857597</v>
      </c>
      <c r="P15" s="2052">
        <v>1050954.1217282568</v>
      </c>
      <c r="Q15" s="2052">
        <v>1052353.9926183987</v>
      </c>
      <c r="R15" s="2052">
        <v>1053755.7281365665</v>
      </c>
      <c r="S15" s="2052">
        <v>1055159.3307664443</v>
      </c>
      <c r="T15" s="2052">
        <v>1056564.8029950252</v>
      </c>
      <c r="U15" s="2052">
        <v>1057972.1473126146</v>
      </c>
      <c r="V15" s="2052">
        <v>1059381.3662128351</v>
      </c>
      <c r="W15" s="2052">
        <v>1060792.4621926306</v>
      </c>
      <c r="X15" s="3884">
        <v>0</v>
      </c>
      <c r="Y15" s="2052">
        <v>0</v>
      </c>
      <c r="Z15" s="2052">
        <v>0</v>
      </c>
      <c r="AA15" s="2052">
        <v>0</v>
      </c>
      <c r="AB15" s="2052">
        <v>0</v>
      </c>
      <c r="AC15" s="2052">
        <v>0</v>
      </c>
      <c r="AD15" s="2052">
        <v>0</v>
      </c>
      <c r="AE15" s="2052">
        <v>0</v>
      </c>
      <c r="AF15" s="2052">
        <v>0</v>
      </c>
      <c r="AG15" s="2052">
        <v>0</v>
      </c>
      <c r="AH15" s="2052">
        <v>0</v>
      </c>
      <c r="AI15" s="2052">
        <v>0</v>
      </c>
      <c r="AJ15" s="2052">
        <v>0</v>
      </c>
      <c r="AK15" s="2052">
        <v>0</v>
      </c>
      <c r="AL15" s="2052">
        <v>0</v>
      </c>
      <c r="AM15" s="2052">
        <v>0</v>
      </c>
      <c r="AN15" s="2052">
        <v>0</v>
      </c>
      <c r="AO15" s="1042" t="s">
        <v>2788</v>
      </c>
    </row>
    <row r="16" spans="1:41">
      <c r="A16" s="1020" t="s">
        <v>1974</v>
      </c>
      <c r="B16" s="1040" t="s">
        <v>1972</v>
      </c>
      <c r="C16" s="1041">
        <v>14826</v>
      </c>
      <c r="D16" s="1042">
        <v>6015225</v>
      </c>
      <c r="E16" s="1045">
        <v>14700</v>
      </c>
      <c r="F16" s="1042">
        <v>14735876</v>
      </c>
      <c r="G16" s="1044">
        <v>14886.778129999999</v>
      </c>
      <c r="H16" s="2052">
        <v>8565879</v>
      </c>
      <c r="I16" s="2052"/>
      <c r="J16" s="2052">
        <v>4586435.46</v>
      </c>
      <c r="K16" s="2052">
        <v>3639720.2399999998</v>
      </c>
      <c r="L16" s="2052">
        <v>3571915.6299999901</v>
      </c>
      <c r="M16" s="2052">
        <v>3571915.6299999901</v>
      </c>
      <c r="N16" s="2052">
        <v>17986915.629999992</v>
      </c>
      <c r="O16" s="2052">
        <v>18344040.629999992</v>
      </c>
      <c r="P16" s="2052">
        <v>18712290.629999992</v>
      </c>
      <c r="Q16" s="2052">
        <v>19100665.629999992</v>
      </c>
      <c r="R16" s="2052">
        <v>17161265.629999999</v>
      </c>
      <c r="S16" s="2052">
        <v>4095625</v>
      </c>
      <c r="T16" s="2052">
        <v>4155500</v>
      </c>
      <c r="U16" s="2052">
        <v>4217375</v>
      </c>
      <c r="V16" s="2052">
        <v>4286125</v>
      </c>
      <c r="W16" s="2052">
        <v>4351500</v>
      </c>
      <c r="X16" s="3884">
        <v>4428500</v>
      </c>
      <c r="Y16" s="2052">
        <v>4501750</v>
      </c>
      <c r="Z16" s="2052">
        <v>4586250</v>
      </c>
      <c r="AA16" s="2052">
        <v>4666625</v>
      </c>
      <c r="AB16" s="2052">
        <v>4757875</v>
      </c>
      <c r="AC16" s="2052">
        <v>4849625</v>
      </c>
      <c r="AD16" s="2052">
        <v>4946750</v>
      </c>
      <c r="AE16" s="2052">
        <v>5049000</v>
      </c>
      <c r="AF16" s="2052">
        <v>5161125</v>
      </c>
      <c r="AG16" s="2052">
        <v>5272750</v>
      </c>
      <c r="AH16" s="2052">
        <v>5388750</v>
      </c>
      <c r="AI16" s="2052">
        <v>5513875</v>
      </c>
      <c r="AJ16" s="2052">
        <v>5647750</v>
      </c>
      <c r="AK16" s="2052">
        <v>0</v>
      </c>
      <c r="AL16" s="2052">
        <v>0</v>
      </c>
      <c r="AM16" s="2052">
        <v>0</v>
      </c>
      <c r="AN16" s="2052">
        <v>0</v>
      </c>
      <c r="AO16" s="1042">
        <v>0</v>
      </c>
    </row>
    <row r="17" spans="1:41">
      <c r="A17" s="1020" t="s">
        <v>1975</v>
      </c>
      <c r="B17" s="1040" t="s">
        <v>1965</v>
      </c>
      <c r="C17" s="1041"/>
      <c r="D17" s="1042">
        <v>1162882</v>
      </c>
      <c r="E17" s="1045"/>
      <c r="F17" s="1042">
        <v>1109662</v>
      </c>
      <c r="G17" s="1044">
        <v>0</v>
      </c>
      <c r="H17" s="2052">
        <v>1100970</v>
      </c>
      <c r="I17" s="2052"/>
      <c r="J17" s="2052">
        <v>1086503.07</v>
      </c>
      <c r="K17" s="2052">
        <v>629587.12211999996</v>
      </c>
      <c r="L17" s="2052">
        <v>629587.12211999996</v>
      </c>
      <c r="M17" s="2052">
        <v>629587.12211999996</v>
      </c>
      <c r="N17" s="2052">
        <v>629587.12211999996</v>
      </c>
      <c r="O17" s="2052">
        <v>629587.12211999996</v>
      </c>
      <c r="P17" s="2052">
        <v>629587.12211999996</v>
      </c>
      <c r="Q17" s="2052">
        <v>629587.12211999996</v>
      </c>
      <c r="R17" s="2052">
        <v>629587.12211999996</v>
      </c>
      <c r="S17" s="2052">
        <v>629587.12211999996</v>
      </c>
      <c r="T17" s="2052">
        <v>629587.12211999996</v>
      </c>
      <c r="U17" s="2052">
        <v>629587.12211999996</v>
      </c>
      <c r="V17" s="2052">
        <v>629587.12211999996</v>
      </c>
      <c r="W17" s="2052">
        <v>629587.12211999996</v>
      </c>
      <c r="X17" s="3884">
        <v>1197150.4426198143</v>
      </c>
      <c r="Y17" s="2052">
        <v>1215107.6992591114</v>
      </c>
      <c r="Z17" s="2052">
        <v>1233334.314747998</v>
      </c>
      <c r="AA17" s="2052">
        <v>1251834.3294692179</v>
      </c>
      <c r="AB17" s="2052">
        <v>1270611.8444112563</v>
      </c>
      <c r="AC17" s="2052">
        <v>1289671.0220774252</v>
      </c>
      <c r="AD17" s="2052">
        <v>1309016.0874085866</v>
      </c>
      <c r="AE17" s="2052">
        <v>1328651.3287197154</v>
      </c>
      <c r="AF17" s="2052">
        <v>1348581.0986505111</v>
      </c>
      <c r="AG17" s="2052">
        <v>1368809.8151302687</v>
      </c>
      <c r="AH17" s="2052">
        <v>1389341.9623572228</v>
      </c>
      <c r="AI17" s="2052">
        <v>1410182.0917925811</v>
      </c>
      <c r="AJ17" s="2052">
        <v>1431334.8231694698</v>
      </c>
      <c r="AK17" s="2052">
        <v>1452804.8455170118</v>
      </c>
      <c r="AL17" s="2052">
        <v>1474596.9181997669</v>
      </c>
      <c r="AM17" s="2052">
        <v>1496715.8719727634</v>
      </c>
      <c r="AN17" s="2052">
        <v>1519166.6100523549</v>
      </c>
      <c r="AO17" s="1042">
        <v>0</v>
      </c>
    </row>
    <row r="18" spans="1:41" s="3094" customFormat="1">
      <c r="A18" s="3129" t="s">
        <v>3884</v>
      </c>
      <c r="B18" s="1040"/>
      <c r="C18" s="1041"/>
      <c r="D18" s="1042"/>
      <c r="E18" s="1045"/>
      <c r="F18" s="1042"/>
      <c r="G18" s="1044"/>
      <c r="H18" s="2052"/>
      <c r="I18" s="2052"/>
      <c r="J18" s="2052"/>
      <c r="K18" s="2052">
        <v>1248238.8686800001</v>
      </c>
      <c r="L18" s="2052"/>
      <c r="M18" s="2052"/>
      <c r="N18" s="2052"/>
      <c r="O18" s="2052"/>
      <c r="P18" s="2052"/>
      <c r="Q18" s="2052"/>
      <c r="R18" s="2052"/>
      <c r="S18" s="2052"/>
      <c r="T18" s="2052"/>
      <c r="U18" s="2052"/>
      <c r="V18" s="2052"/>
      <c r="W18" s="2052"/>
      <c r="X18" s="3884"/>
      <c r="Y18" s="2052"/>
      <c r="Z18" s="2052"/>
      <c r="AA18" s="2052"/>
      <c r="AB18" s="2052"/>
      <c r="AC18" s="2052"/>
      <c r="AD18" s="2052"/>
      <c r="AE18" s="2052"/>
      <c r="AF18" s="2052"/>
      <c r="AG18" s="2052"/>
      <c r="AH18" s="2052"/>
      <c r="AI18" s="2052"/>
      <c r="AJ18" s="2052"/>
      <c r="AK18" s="2052"/>
      <c r="AL18" s="2052"/>
      <c r="AM18" s="2052"/>
      <c r="AN18" s="2052"/>
      <c r="AO18" s="1042"/>
    </row>
    <row r="19" spans="1:41">
      <c r="A19" s="1046" t="s">
        <v>1976</v>
      </c>
      <c r="B19" s="1047"/>
      <c r="C19" s="1048">
        <v>136120</v>
      </c>
      <c r="D19" s="1049">
        <v>214872314</v>
      </c>
      <c r="E19" s="1050">
        <v>176520</v>
      </c>
      <c r="F19" s="1049">
        <v>222035133.21000001</v>
      </c>
      <c r="G19" s="1051">
        <v>180400.89793635689</v>
      </c>
      <c r="H19" s="1049">
        <f>SUM(H9:H17)</f>
        <v>229817823.38999999</v>
      </c>
      <c r="I19" s="1049"/>
      <c r="J19" s="1049">
        <f>SUM(J9:J18)</f>
        <v>242666898.76681998</v>
      </c>
      <c r="K19" s="1049">
        <f t="shared" ref="K19:W19" si="1">SUM(K9:K18)</f>
        <v>210388022.68452001</v>
      </c>
      <c r="L19" s="1049">
        <f t="shared" si="1"/>
        <v>246726408.39051935</v>
      </c>
      <c r="M19" s="1049">
        <f t="shared" si="1"/>
        <v>194692129.66951424</v>
      </c>
      <c r="N19" s="1049">
        <f t="shared" si="1"/>
        <v>211141914.73495531</v>
      </c>
      <c r="O19" s="1049">
        <f t="shared" si="1"/>
        <v>213566328.37571779</v>
      </c>
      <c r="P19" s="1049">
        <f t="shared" si="1"/>
        <v>216034890.10173815</v>
      </c>
      <c r="Q19" s="1049">
        <f t="shared" si="1"/>
        <v>218557127.72676304</v>
      </c>
      <c r="R19" s="1049">
        <f t="shared" si="1"/>
        <v>218785677.50107813</v>
      </c>
      <c r="S19" s="1049">
        <f t="shared" si="1"/>
        <v>207922618.61635685</v>
      </c>
      <c r="T19" s="1049">
        <f t="shared" si="1"/>
        <v>210220260.86266661</v>
      </c>
      <c r="U19" s="1049">
        <f t="shared" si="1"/>
        <v>212555650.9876622</v>
      </c>
      <c r="V19" s="1049">
        <f t="shared" si="1"/>
        <v>214934235.35800669</v>
      </c>
      <c r="W19" s="1049">
        <f t="shared" si="1"/>
        <v>217346344.47305149</v>
      </c>
      <c r="X19" s="3885">
        <f t="shared" ref="X19:AO19" si="2">SUM(X9:X17)</f>
        <v>219029888.83819652</v>
      </c>
      <c r="Y19" s="1049">
        <f t="shared" si="2"/>
        <v>222041608.63686115</v>
      </c>
      <c r="Z19" s="1049">
        <f t="shared" si="2"/>
        <v>224279033.88721257</v>
      </c>
      <c r="AA19" s="1049">
        <f t="shared" si="2"/>
        <v>234202703.22835717</v>
      </c>
      <c r="AB19" s="1049">
        <f t="shared" si="2"/>
        <v>228566310.39839509</v>
      </c>
      <c r="AC19" s="1049">
        <f t="shared" si="2"/>
        <v>227968720.64433056</v>
      </c>
      <c r="AD19" s="1049">
        <f t="shared" si="2"/>
        <v>231401706.14184815</v>
      </c>
      <c r="AE19" s="1049">
        <f t="shared" si="2"/>
        <v>230226039.98454085</v>
      </c>
      <c r="AF19" s="1049">
        <f t="shared" si="2"/>
        <v>260497227.07122025</v>
      </c>
      <c r="AG19" s="1049">
        <f t="shared" si="2"/>
        <v>288278996.59996879</v>
      </c>
      <c r="AH19" s="1049">
        <f t="shared" si="2"/>
        <v>318190511.00204015</v>
      </c>
      <c r="AI19" s="1049">
        <f t="shared" si="2"/>
        <v>346045910.15639257</v>
      </c>
      <c r="AJ19" s="1049">
        <f t="shared" si="2"/>
        <v>384159611.86162311</v>
      </c>
      <c r="AK19" s="1049">
        <f t="shared" si="2"/>
        <v>413755989.15358424</v>
      </c>
      <c r="AL19" s="1049">
        <f t="shared" si="2"/>
        <v>443011375.4168368</v>
      </c>
      <c r="AM19" s="1049">
        <f t="shared" si="2"/>
        <v>485220636.9758361</v>
      </c>
      <c r="AN19" s="1049">
        <f t="shared" si="2"/>
        <v>534280512.1208781</v>
      </c>
      <c r="AO19" s="1049">
        <f t="shared" si="2"/>
        <v>0</v>
      </c>
    </row>
    <row r="20" spans="1:41">
      <c r="A20" s="1052"/>
      <c r="B20" s="1053"/>
      <c r="C20" s="1054"/>
      <c r="D20" s="1054"/>
      <c r="E20" s="1055"/>
      <c r="F20" s="1054"/>
      <c r="G20" s="1056"/>
      <c r="H20" s="1054"/>
      <c r="I20" s="1054"/>
      <c r="J20" s="1054"/>
      <c r="K20" s="1054"/>
      <c r="L20" s="1054"/>
      <c r="M20" s="1020"/>
      <c r="N20" s="1020"/>
      <c r="O20" s="1020"/>
      <c r="P20" s="1020"/>
      <c r="Q20" s="1020"/>
      <c r="R20" s="1020"/>
      <c r="S20" s="1020"/>
      <c r="T20" s="1020"/>
      <c r="U20" s="1020"/>
      <c r="V20" s="1020"/>
      <c r="W20" s="1020"/>
      <c r="X20" s="3881"/>
      <c r="Y20" s="1020"/>
      <c r="Z20" s="1020"/>
      <c r="AA20" s="1020"/>
      <c r="AB20" s="1020"/>
      <c r="AC20" s="1020"/>
      <c r="AD20" s="1020"/>
      <c r="AE20" s="1020"/>
      <c r="AF20" s="1020"/>
      <c r="AG20" s="1020"/>
      <c r="AH20" s="1020"/>
      <c r="AI20" s="1020"/>
      <c r="AJ20" s="1020"/>
      <c r="AK20" s="1020"/>
      <c r="AL20" s="1020"/>
      <c r="AM20" s="1020"/>
      <c r="AN20" s="1020"/>
      <c r="AO20" s="1020"/>
    </row>
    <row r="21" spans="1:41">
      <c r="A21" s="1057" t="s">
        <v>1977</v>
      </c>
      <c r="B21" s="1053" t="s">
        <v>1963</v>
      </c>
      <c r="C21" s="1041"/>
      <c r="D21" s="1020"/>
      <c r="E21" s="1017"/>
      <c r="F21" s="1020"/>
      <c r="G21" s="1020"/>
      <c r="H21" s="1020"/>
      <c r="I21" s="1020"/>
      <c r="J21" s="1020"/>
      <c r="K21" s="1020"/>
      <c r="L21" s="1020"/>
      <c r="M21" s="1020"/>
      <c r="N21" s="1020"/>
      <c r="O21" s="1020"/>
      <c r="P21" s="1020"/>
      <c r="Q21" s="1020"/>
      <c r="R21" s="1020"/>
      <c r="S21" s="1020"/>
      <c r="T21" s="1020"/>
      <c r="U21" s="1020"/>
      <c r="V21" s="1020"/>
      <c r="W21" s="1020"/>
      <c r="X21" s="3881"/>
      <c r="Y21" s="1020"/>
      <c r="Z21" s="1020"/>
      <c r="AA21" s="1020"/>
      <c r="AB21" s="1020"/>
      <c r="AC21" s="1020"/>
      <c r="AD21" s="1020"/>
      <c r="AE21" s="1020"/>
      <c r="AF21" s="1020"/>
      <c r="AG21" s="1020"/>
      <c r="AH21" s="1020"/>
      <c r="AI21" s="1020"/>
      <c r="AJ21" s="1020"/>
      <c r="AK21" s="1020"/>
      <c r="AL21" s="1020"/>
      <c r="AM21" s="1020"/>
      <c r="AN21" s="1020"/>
      <c r="AO21" s="1020"/>
    </row>
    <row r="22" spans="1:41">
      <c r="A22" s="1020" t="s">
        <v>1978</v>
      </c>
      <c r="B22" s="1040" t="s">
        <v>1968</v>
      </c>
      <c r="C22" s="1041">
        <v>11883</v>
      </c>
      <c r="D22" s="1058">
        <v>18557481</v>
      </c>
      <c r="E22" s="1043">
        <v>4500</v>
      </c>
      <c r="F22" s="1058">
        <v>7307224</v>
      </c>
      <c r="G22" s="1044">
        <v>4500</v>
      </c>
      <c r="H22" s="2053">
        <v>18855958.129999999</v>
      </c>
      <c r="I22" s="2053"/>
      <c r="J22" s="2053">
        <v>1500000</v>
      </c>
      <c r="K22" s="2053">
        <v>1500000</v>
      </c>
      <c r="L22" s="2053">
        <v>1500000</v>
      </c>
      <c r="M22" s="2053">
        <v>1500000</v>
      </c>
      <c r="N22" s="2053">
        <v>1500000</v>
      </c>
      <c r="O22" s="2053">
        <v>1500000</v>
      </c>
      <c r="P22" s="2053">
        <v>1500000</v>
      </c>
      <c r="Q22" s="2053">
        <v>1500000</v>
      </c>
      <c r="R22" s="2053">
        <v>1500000</v>
      </c>
      <c r="S22" s="2053">
        <v>1500000</v>
      </c>
      <c r="T22" s="2053">
        <v>1500000</v>
      </c>
      <c r="U22" s="2053">
        <v>1500000</v>
      </c>
      <c r="V22" s="2053">
        <v>1500000</v>
      </c>
      <c r="W22" s="2053">
        <v>1500000</v>
      </c>
      <c r="X22" s="3886">
        <v>1500000</v>
      </c>
      <c r="Y22" s="2053">
        <v>1500000</v>
      </c>
      <c r="Z22" s="2053">
        <v>1500000</v>
      </c>
      <c r="AA22" s="2053">
        <v>1500000</v>
      </c>
      <c r="AB22" s="2053">
        <v>1500000</v>
      </c>
      <c r="AC22" s="2053">
        <v>1500000</v>
      </c>
      <c r="AD22" s="2053">
        <v>1500000</v>
      </c>
      <c r="AE22" s="2053">
        <v>1500000</v>
      </c>
      <c r="AF22" s="2053">
        <v>1500000</v>
      </c>
      <c r="AG22" s="2053">
        <v>1500000</v>
      </c>
      <c r="AH22" s="2053">
        <v>1500000</v>
      </c>
      <c r="AI22" s="2053">
        <v>1500000</v>
      </c>
      <c r="AJ22" s="2053">
        <v>1500000</v>
      </c>
      <c r="AK22" s="2053">
        <v>1500000</v>
      </c>
      <c r="AL22" s="2053">
        <v>1500000</v>
      </c>
      <c r="AM22" s="2053">
        <v>1500000</v>
      </c>
      <c r="AN22" s="2053">
        <v>1500000</v>
      </c>
      <c r="AO22" s="1058" t="s">
        <v>2790</v>
      </c>
    </row>
    <row r="23" spans="1:41">
      <c r="A23" s="1020" t="s">
        <v>1979</v>
      </c>
      <c r="B23" s="1040" t="s">
        <v>1972</v>
      </c>
      <c r="C23" s="1041">
        <v>257969</v>
      </c>
      <c r="D23" s="1042">
        <v>167169492</v>
      </c>
      <c r="E23" s="1043">
        <v>50037</v>
      </c>
      <c r="F23" s="1042">
        <v>118886827</v>
      </c>
      <c r="G23" s="1044">
        <v>-21618.192133159944</v>
      </c>
      <c r="H23" s="2052">
        <v>67797565</v>
      </c>
      <c r="I23" s="2052"/>
      <c r="J23" s="2053">
        <v>0</v>
      </c>
      <c r="K23" s="2053">
        <v>0</v>
      </c>
      <c r="L23" s="2053">
        <v>0</v>
      </c>
      <c r="M23" s="2053">
        <v>0</v>
      </c>
      <c r="N23" s="2053">
        <v>0</v>
      </c>
      <c r="O23" s="2053">
        <v>0</v>
      </c>
      <c r="P23" s="2053">
        <v>0</v>
      </c>
      <c r="Q23" s="2053">
        <v>0</v>
      </c>
      <c r="R23" s="2053">
        <v>0</v>
      </c>
      <c r="S23" s="2053">
        <v>0</v>
      </c>
      <c r="T23" s="2053">
        <v>0</v>
      </c>
      <c r="U23" s="2053">
        <v>0</v>
      </c>
      <c r="V23" s="2053">
        <v>0</v>
      </c>
      <c r="W23" s="2053">
        <v>0</v>
      </c>
      <c r="X23" s="3886">
        <v>0</v>
      </c>
      <c r="Y23" s="2053">
        <v>0</v>
      </c>
      <c r="Z23" s="2053">
        <v>0</v>
      </c>
      <c r="AA23" s="2053">
        <v>0</v>
      </c>
      <c r="AB23" s="2053">
        <v>0</v>
      </c>
      <c r="AC23" s="2053">
        <v>0</v>
      </c>
      <c r="AD23" s="2053">
        <v>0</v>
      </c>
      <c r="AE23" s="2053">
        <v>0</v>
      </c>
      <c r="AF23" s="2053">
        <v>0</v>
      </c>
      <c r="AG23" s="2053">
        <v>0</v>
      </c>
      <c r="AH23" s="2053">
        <v>0</v>
      </c>
      <c r="AI23" s="2053">
        <v>0</v>
      </c>
      <c r="AJ23" s="2053">
        <v>0</v>
      </c>
      <c r="AK23" s="2053">
        <v>0</v>
      </c>
      <c r="AL23" s="2053">
        <v>0</v>
      </c>
      <c r="AM23" s="2053">
        <v>0</v>
      </c>
      <c r="AN23" s="2053">
        <v>0</v>
      </c>
      <c r="AO23" s="1058">
        <v>0</v>
      </c>
    </row>
    <row r="24" spans="1:41">
      <c r="A24" s="1020" t="s">
        <v>1980</v>
      </c>
      <c r="B24" s="1040" t="s">
        <v>1968</v>
      </c>
      <c r="C24" s="1041">
        <v>24242</v>
      </c>
      <c r="D24" s="1058">
        <v>23959458</v>
      </c>
      <c r="E24" s="1043">
        <v>24000</v>
      </c>
      <c r="F24" s="1058">
        <v>24283267</v>
      </c>
      <c r="G24" s="1044">
        <v>24384.202713048748</v>
      </c>
      <c r="H24" s="2053">
        <v>24625643</v>
      </c>
      <c r="I24" s="2053"/>
      <c r="J24" s="2053">
        <v>23497417.836750843</v>
      </c>
      <c r="K24" s="2053">
        <v>25189944.507432081</v>
      </c>
      <c r="L24" s="2053">
        <v>25782828.891766153</v>
      </c>
      <c r="M24" s="2053">
        <v>25882783.423011884</v>
      </c>
      <c r="N24" s="2053">
        <v>25547590.814287975</v>
      </c>
      <c r="O24" s="2053">
        <v>25844284.530098256</v>
      </c>
      <c r="P24" s="2053">
        <v>26169594.646978591</v>
      </c>
      <c r="Q24" s="2053">
        <v>25653438.826479711</v>
      </c>
      <c r="R24" s="2053">
        <v>25875090.902436495</v>
      </c>
      <c r="S24" s="2053">
        <v>25294172.035493992</v>
      </c>
      <c r="T24" s="2053">
        <v>25736130.880122021</v>
      </c>
      <c r="U24" s="2053">
        <v>25955850.766314797</v>
      </c>
      <c r="V24" s="2053">
        <v>25311163.855237696</v>
      </c>
      <c r="W24" s="2053">
        <v>25986272.369488042</v>
      </c>
      <c r="X24" s="3886">
        <v>26621191.264000282</v>
      </c>
      <c r="Y24" s="2053">
        <v>26957004.339588918</v>
      </c>
      <c r="Z24" s="2053">
        <v>27168051.394483961</v>
      </c>
      <c r="AA24" s="2053">
        <v>26366955.273432933</v>
      </c>
      <c r="AB24" s="2053">
        <v>26470765.412489414</v>
      </c>
      <c r="AC24" s="2053">
        <v>26544689.52060993</v>
      </c>
      <c r="AD24" s="2053">
        <v>26796830.704463564</v>
      </c>
      <c r="AE24" s="2053">
        <v>26979103.16450987</v>
      </c>
      <c r="AF24" s="2053">
        <v>26903731.481236748</v>
      </c>
      <c r="AG24" s="2053">
        <v>27439652.555723734</v>
      </c>
      <c r="AH24" s="2053">
        <v>27629804.28297653</v>
      </c>
      <c r="AI24" s="2053">
        <v>28567113.052903377</v>
      </c>
      <c r="AJ24" s="2053">
        <v>27051879.433040977</v>
      </c>
      <c r="AK24" s="2053">
        <v>28538597.78264273</v>
      </c>
      <c r="AL24" s="2053">
        <v>29614309.178466097</v>
      </c>
      <c r="AM24" s="2053">
        <v>27764001.109599024</v>
      </c>
      <c r="AN24" s="2053">
        <v>26794614.41663672</v>
      </c>
      <c r="AO24" s="1058" t="s">
        <v>2790</v>
      </c>
    </row>
    <row r="25" spans="1:41">
      <c r="A25" s="1020" t="s">
        <v>1974</v>
      </c>
      <c r="B25" s="1040" t="s">
        <v>1972</v>
      </c>
      <c r="C25" s="1041">
        <v>55580</v>
      </c>
      <c r="D25" s="1058">
        <v>60298443</v>
      </c>
      <c r="E25" s="1043">
        <v>60000</v>
      </c>
      <c r="F25" s="1058">
        <v>68417664</v>
      </c>
      <c r="G25" s="1044">
        <v>68330.631160000004</v>
      </c>
      <c r="H25" s="2053">
        <v>77241138</v>
      </c>
      <c r="I25" s="2053"/>
      <c r="J25" s="2053">
        <v>86988190.328954875</v>
      </c>
      <c r="K25" s="2053">
        <v>96400305.756765783</v>
      </c>
      <c r="L25" s="2053">
        <v>105714232.9700768</v>
      </c>
      <c r="M25" s="2053">
        <v>111873209.37386927</v>
      </c>
      <c r="N25" s="2053">
        <v>115990045.28564961</v>
      </c>
      <c r="O25" s="2053">
        <v>124300205.59674901</v>
      </c>
      <c r="P25" s="2053">
        <v>132634927.55558109</v>
      </c>
      <c r="Q25" s="2053">
        <v>135371449.54260647</v>
      </c>
      <c r="R25" s="2053">
        <v>142916113.74042243</v>
      </c>
      <c r="S25" s="2053">
        <v>145635834.30647546</v>
      </c>
      <c r="T25" s="2053">
        <v>154253882.18409336</v>
      </c>
      <c r="U25" s="2053">
        <v>161656591.8999576</v>
      </c>
      <c r="V25" s="2053">
        <v>169755380.35400802</v>
      </c>
      <c r="W25" s="2053">
        <v>176349919.89665461</v>
      </c>
      <c r="X25" s="3886">
        <v>180541017.53422803</v>
      </c>
      <c r="Y25" s="2053">
        <v>184894132.52288702</v>
      </c>
      <c r="Z25" s="2053">
        <v>188448253.25689083</v>
      </c>
      <c r="AA25" s="2053">
        <v>187398775.84078181</v>
      </c>
      <c r="AB25" s="2053">
        <v>188853998.87712383</v>
      </c>
      <c r="AC25" s="2053">
        <v>189183220.63389981</v>
      </c>
      <c r="AD25" s="2053">
        <v>191367362.92303744</v>
      </c>
      <c r="AE25" s="2053">
        <v>193440534.09502071</v>
      </c>
      <c r="AF25" s="2053">
        <v>193060350.87509003</v>
      </c>
      <c r="AG25" s="2053">
        <v>196789046.92762667</v>
      </c>
      <c r="AH25" s="2053">
        <v>198164615.16559601</v>
      </c>
      <c r="AI25" s="2053">
        <v>203693981.69058663</v>
      </c>
      <c r="AJ25" s="2053">
        <v>192623199.83862886</v>
      </c>
      <c r="AK25" s="2053">
        <v>198404296.80214775</v>
      </c>
      <c r="AL25" s="2053">
        <v>204433992.5312646</v>
      </c>
      <c r="AM25" s="2053">
        <v>190729922.29351321</v>
      </c>
      <c r="AN25" s="2053">
        <v>182921717.69135934</v>
      </c>
      <c r="AO25" s="1058" t="s">
        <v>2791</v>
      </c>
    </row>
    <row r="26" spans="1:41">
      <c r="A26" s="1020" t="s">
        <v>1971</v>
      </c>
      <c r="B26" s="1040" t="s">
        <v>1972</v>
      </c>
      <c r="C26" s="1041">
        <v>19471</v>
      </c>
      <c r="D26" s="1058">
        <v>20850947</v>
      </c>
      <c r="E26" s="1043">
        <v>24000</v>
      </c>
      <c r="F26" s="1058">
        <v>26003253.000000004</v>
      </c>
      <c r="G26" s="1044">
        <v>24308.792367174312</v>
      </c>
      <c r="H26" s="2053">
        <v>30755765</v>
      </c>
      <c r="I26" s="2053"/>
      <c r="J26" s="2053">
        <v>30787443.077579204</v>
      </c>
      <c r="K26" s="2053">
        <v>30821085.34789104</v>
      </c>
      <c r="L26" s="2053">
        <v>30857887.335632205</v>
      </c>
      <c r="M26" s="2053">
        <v>30899357.755854513</v>
      </c>
      <c r="N26" s="2053">
        <v>30947497.948432028</v>
      </c>
      <c r="O26" s="2053">
        <v>31005069.410873484</v>
      </c>
      <c r="P26" s="2053">
        <v>31076006.767266776</v>
      </c>
      <c r="Q26" s="2053">
        <v>31166073.684201211</v>
      </c>
      <c r="R26" s="2053">
        <v>31283931.178845987</v>
      </c>
      <c r="S26" s="2053">
        <v>31442920.765627984</v>
      </c>
      <c r="T26" s="2053">
        <v>31664118.009760797</v>
      </c>
      <c r="U26" s="2053">
        <v>31981711.010333668</v>
      </c>
      <c r="V26" s="2053">
        <v>32461436.675488669</v>
      </c>
      <c r="W26" s="2053">
        <v>32948358.225620996</v>
      </c>
      <c r="X26" s="3886">
        <v>33442583.599005308</v>
      </c>
      <c r="Y26" s="2053">
        <v>33944222.352990381</v>
      </c>
      <c r="Z26" s="2053">
        <v>34453385.688285232</v>
      </c>
      <c r="AA26" s="2053">
        <v>34970186.473609507</v>
      </c>
      <c r="AB26" s="2053">
        <v>35494739.27071365</v>
      </c>
      <c r="AC26" s="2053">
        <v>36027160.359774351</v>
      </c>
      <c r="AD26" s="2053">
        <v>36567567.765170962</v>
      </c>
      <c r="AE26" s="2053">
        <v>37116081.281648524</v>
      </c>
      <c r="AF26" s="2053">
        <v>37672822.500873245</v>
      </c>
      <c r="AG26" s="2053">
        <v>38237914.838386342</v>
      </c>
      <c r="AH26" s="2053">
        <v>38811483.560962133</v>
      </c>
      <c r="AI26" s="2053">
        <v>39393655.814376563</v>
      </c>
      <c r="AJ26" s="2053">
        <v>39984560.65159221</v>
      </c>
      <c r="AK26" s="2053">
        <v>40584329.061366089</v>
      </c>
      <c r="AL26" s="2053">
        <v>41193093.997286573</v>
      </c>
      <c r="AM26" s="2053">
        <v>41810990.407245867</v>
      </c>
      <c r="AN26" s="2053">
        <v>42438155.263354547</v>
      </c>
      <c r="AO26" s="1058">
        <v>0</v>
      </c>
    </row>
    <row r="27" spans="1:41">
      <c r="A27" s="1020" t="s">
        <v>1981</v>
      </c>
      <c r="B27" s="1040" t="s">
        <v>1972</v>
      </c>
      <c r="C27" s="1041">
        <v>8213</v>
      </c>
      <c r="D27" s="1058">
        <v>10481824</v>
      </c>
      <c r="E27" s="1043">
        <v>11500</v>
      </c>
      <c r="F27" s="1058">
        <v>12137938.33</v>
      </c>
      <c r="G27" s="1044">
        <v>13299.230411593311</v>
      </c>
      <c r="H27" s="2053">
        <v>12496529</v>
      </c>
      <c r="I27" s="2053"/>
      <c r="J27" s="2053">
        <v>12509400.775230501</v>
      </c>
      <c r="K27" s="2053">
        <v>12523070.135211417</v>
      </c>
      <c r="L27" s="2053">
        <v>12538023.335865961</v>
      </c>
      <c r="M27" s="2053">
        <v>12554873.39079163</v>
      </c>
      <c r="N27" s="2053">
        <v>12574433.474454032</v>
      </c>
      <c r="O27" s="2053">
        <v>12597825.62478888</v>
      </c>
      <c r="P27" s="2053">
        <v>12626648.538689947</v>
      </c>
      <c r="Q27" s="2053">
        <v>12663244.080504939</v>
      </c>
      <c r="R27" s="2053">
        <v>12711131.351661593</v>
      </c>
      <c r="S27" s="2053">
        <v>12775731.209958779</v>
      </c>
      <c r="T27" s="2053">
        <v>12865606.974252077</v>
      </c>
      <c r="U27" s="2053">
        <v>12994649.782957008</v>
      </c>
      <c r="V27" s="2053">
        <v>13189569.529701361</v>
      </c>
      <c r="W27" s="2053">
        <v>13387413.072646881</v>
      </c>
      <c r="X27" s="3886">
        <v>13588224.268736582</v>
      </c>
      <c r="Y27" s="2053">
        <v>13792047.632767629</v>
      </c>
      <c r="Z27" s="2053">
        <v>13998928.347259142</v>
      </c>
      <c r="AA27" s="2053">
        <v>14208912.272468027</v>
      </c>
      <c r="AB27" s="2053">
        <v>14422045.956555046</v>
      </c>
      <c r="AC27" s="2053">
        <v>14638376.645903371</v>
      </c>
      <c r="AD27" s="2053">
        <v>14857952.295591921</v>
      </c>
      <c r="AE27" s="2053">
        <v>15080821.580025798</v>
      </c>
      <c r="AF27" s="2053">
        <v>15307033.903726183</v>
      </c>
      <c r="AG27" s="2053">
        <v>15536639.412282074</v>
      </c>
      <c r="AH27" s="2053">
        <v>15769689.003466304</v>
      </c>
      <c r="AI27" s="2053">
        <v>16006234.338518297</v>
      </c>
      <c r="AJ27" s="2053">
        <v>16246327.853596071</v>
      </c>
      <c r="AK27" s="2053">
        <v>16490022.77140001</v>
      </c>
      <c r="AL27" s="2053">
        <v>16737373.112971008</v>
      </c>
      <c r="AM27" s="2053">
        <v>16988433.70966557</v>
      </c>
      <c r="AN27" s="2053">
        <v>17243260.215310551</v>
      </c>
      <c r="AO27" s="1058">
        <v>0</v>
      </c>
    </row>
    <row r="28" spans="1:41" s="3094" customFormat="1">
      <c r="A28" s="1020" t="s">
        <v>1975</v>
      </c>
      <c r="B28" s="1040"/>
      <c r="C28" s="1041"/>
      <c r="D28" s="1058"/>
      <c r="E28" s="1043"/>
      <c r="F28" s="1058"/>
      <c r="G28" s="1044"/>
      <c r="H28" s="2053"/>
      <c r="I28" s="2053"/>
      <c r="J28" s="2053"/>
      <c r="K28" s="2053"/>
      <c r="L28" s="2053"/>
      <c r="M28" s="2053"/>
      <c r="N28" s="2053"/>
      <c r="O28" s="2053"/>
      <c r="P28" s="2053"/>
      <c r="Q28" s="2053"/>
      <c r="R28" s="2053"/>
      <c r="S28" s="2053"/>
      <c r="T28" s="2053"/>
      <c r="U28" s="2053"/>
      <c r="V28" s="2053"/>
      <c r="W28" s="2053"/>
      <c r="X28" s="3886"/>
      <c r="Y28" s="2053"/>
      <c r="Z28" s="2053"/>
      <c r="AA28" s="2053"/>
      <c r="AB28" s="2053"/>
      <c r="AC28" s="2053"/>
      <c r="AD28" s="2053"/>
      <c r="AE28" s="2053"/>
      <c r="AF28" s="2053"/>
      <c r="AG28" s="2053"/>
      <c r="AH28" s="2053"/>
      <c r="AI28" s="2053"/>
      <c r="AJ28" s="2053"/>
      <c r="AK28" s="2053"/>
      <c r="AL28" s="2053"/>
      <c r="AM28" s="2053"/>
      <c r="AN28" s="2053"/>
      <c r="AO28" s="1058"/>
    </row>
    <row r="29" spans="1:41" s="3094" customFormat="1">
      <c r="A29" s="1020" t="s">
        <v>3884</v>
      </c>
      <c r="B29" s="1040"/>
      <c r="C29" s="1041"/>
      <c r="D29" s="1058"/>
      <c r="E29" s="1043"/>
      <c r="F29" s="1058"/>
      <c r="G29" s="1044"/>
      <c r="H29" s="2053"/>
      <c r="I29" s="2053"/>
      <c r="J29" s="2053"/>
      <c r="K29" s="2053"/>
      <c r="L29" s="2053"/>
      <c r="M29" s="2053"/>
      <c r="N29" s="2053"/>
      <c r="O29" s="2053"/>
      <c r="P29" s="2053"/>
      <c r="Q29" s="2053"/>
      <c r="R29" s="2053"/>
      <c r="S29" s="2053"/>
      <c r="T29" s="2053"/>
      <c r="U29" s="2053"/>
      <c r="V29" s="2053"/>
      <c r="W29" s="2053"/>
      <c r="X29" s="3886"/>
      <c r="Y29" s="2053"/>
      <c r="Z29" s="2053"/>
      <c r="AA29" s="2053"/>
      <c r="AB29" s="2053"/>
      <c r="AC29" s="2053"/>
      <c r="AD29" s="2053"/>
      <c r="AE29" s="2053"/>
      <c r="AF29" s="2053"/>
      <c r="AG29" s="2053"/>
      <c r="AH29" s="2053"/>
      <c r="AI29" s="2053"/>
      <c r="AJ29" s="2053"/>
      <c r="AK29" s="2053"/>
      <c r="AL29" s="2053"/>
      <c r="AM29" s="2053"/>
      <c r="AN29" s="2053"/>
      <c r="AO29" s="1058"/>
    </row>
    <row r="30" spans="1:41">
      <c r="A30" s="1046" t="s">
        <v>1982</v>
      </c>
      <c r="B30" s="1047"/>
      <c r="C30" s="1048">
        <v>377358</v>
      </c>
      <c r="D30" s="1049">
        <v>301317645</v>
      </c>
      <c r="E30" s="1050">
        <v>174037</v>
      </c>
      <c r="F30" s="1049">
        <v>257036173.33000001</v>
      </c>
      <c r="G30" s="1051">
        <v>113204.66451865644</v>
      </c>
      <c r="H30" s="1049">
        <f>SUM(H22:H27)</f>
        <v>231772598.13</v>
      </c>
      <c r="I30" s="1049"/>
      <c r="J30" s="1049">
        <f>SUM(J22:J27)</f>
        <v>155282452.01851541</v>
      </c>
      <c r="K30" s="1049">
        <f t="shared" ref="K30:AO30" si="3">SUM(K22:K27)</f>
        <v>166434405.7473003</v>
      </c>
      <c r="L30" s="1049">
        <f t="shared" si="3"/>
        <v>176392972.53334114</v>
      </c>
      <c r="M30" s="1049">
        <f t="shared" si="3"/>
        <v>182710223.94352728</v>
      </c>
      <c r="N30" s="1049">
        <f t="shared" si="3"/>
        <v>186559567.52282366</v>
      </c>
      <c r="O30" s="1049">
        <f t="shared" si="3"/>
        <v>195247385.16250962</v>
      </c>
      <c r="P30" s="1049">
        <f t="shared" si="3"/>
        <v>204007177.5085164</v>
      </c>
      <c r="Q30" s="1049">
        <f t="shared" si="3"/>
        <v>206354206.13379234</v>
      </c>
      <c r="R30" s="1049">
        <f t="shared" si="3"/>
        <v>214286267.17336652</v>
      </c>
      <c r="S30" s="1049">
        <f t="shared" si="3"/>
        <v>216648658.31755623</v>
      </c>
      <c r="T30" s="1049">
        <f t="shared" si="3"/>
        <v>226019738.04822823</v>
      </c>
      <c r="U30" s="1049">
        <f t="shared" si="3"/>
        <v>234088803.45956308</v>
      </c>
      <c r="V30" s="1049">
        <f t="shared" si="3"/>
        <v>242217550.41443574</v>
      </c>
      <c r="W30" s="1049">
        <f t="shared" si="3"/>
        <v>250171963.56441051</v>
      </c>
      <c r="X30" s="3885">
        <f t="shared" si="3"/>
        <v>255693016.66597021</v>
      </c>
      <c r="Y30" s="1049">
        <f t="shared" si="3"/>
        <v>261087406.84823394</v>
      </c>
      <c r="Z30" s="1049">
        <f t="shared" si="3"/>
        <v>265568618.68691915</v>
      </c>
      <c r="AA30" s="1049">
        <f t="shared" si="3"/>
        <v>264444829.86029229</v>
      </c>
      <c r="AB30" s="1049">
        <f t="shared" si="3"/>
        <v>266741549.51688194</v>
      </c>
      <c r="AC30" s="1049">
        <f t="shared" si="3"/>
        <v>267893447.16018745</v>
      </c>
      <c r="AD30" s="1049">
        <f t="shared" si="3"/>
        <v>271089713.68826389</v>
      </c>
      <c r="AE30" s="1049">
        <f t="shared" si="3"/>
        <v>274116540.12120491</v>
      </c>
      <c r="AF30" s="1049">
        <f t="shared" si="3"/>
        <v>274443938.76092619</v>
      </c>
      <c r="AG30" s="1049">
        <f t="shared" si="3"/>
        <v>279503253.7340188</v>
      </c>
      <c r="AH30" s="1049">
        <f t="shared" si="3"/>
        <v>281875592.01300097</v>
      </c>
      <c r="AI30" s="1049">
        <f t="shared" si="3"/>
        <v>289160984.89638489</v>
      </c>
      <c r="AJ30" s="1049">
        <f t="shared" si="3"/>
        <v>277405967.77685815</v>
      </c>
      <c r="AK30" s="1049">
        <f t="shared" si="3"/>
        <v>285517246.41755658</v>
      </c>
      <c r="AL30" s="1049">
        <f t="shared" si="3"/>
        <v>293478768.81998825</v>
      </c>
      <c r="AM30" s="1049">
        <f t="shared" si="3"/>
        <v>278793347.5200237</v>
      </c>
      <c r="AN30" s="1049">
        <f t="shared" si="3"/>
        <v>270897747.58666116</v>
      </c>
      <c r="AO30" s="1049">
        <f t="shared" si="3"/>
        <v>0</v>
      </c>
    </row>
    <row r="31" spans="1:41">
      <c r="A31" s="1020"/>
      <c r="B31" s="1040"/>
      <c r="C31" s="1041"/>
      <c r="D31" s="1020"/>
      <c r="E31" s="1017"/>
      <c r="F31" s="1020"/>
      <c r="G31" s="1044"/>
      <c r="H31" s="1020"/>
      <c r="I31" s="1020"/>
      <c r="J31" s="1020"/>
      <c r="K31" s="1020"/>
      <c r="L31" s="1020"/>
      <c r="M31" s="1020"/>
      <c r="N31" s="1020"/>
      <c r="O31" s="1020"/>
      <c r="P31" s="1020"/>
      <c r="Q31" s="1020"/>
      <c r="R31" s="1020"/>
      <c r="S31" s="1020"/>
      <c r="T31" s="1020"/>
      <c r="U31" s="1020"/>
      <c r="V31" s="1020"/>
      <c r="W31" s="1020"/>
      <c r="X31" s="3881"/>
      <c r="Y31" s="1020"/>
      <c r="Z31" s="1020"/>
      <c r="AA31" s="1020"/>
      <c r="AB31" s="1020"/>
      <c r="AC31" s="1020"/>
      <c r="AD31" s="1020"/>
      <c r="AE31" s="1020"/>
      <c r="AF31" s="1020"/>
      <c r="AG31" s="1020"/>
      <c r="AH31" s="1020"/>
      <c r="AI31" s="1020"/>
      <c r="AJ31" s="1020"/>
      <c r="AK31" s="1020"/>
      <c r="AL31" s="1020"/>
      <c r="AM31" s="1020"/>
      <c r="AN31" s="1020"/>
      <c r="AO31" s="1020"/>
    </row>
    <row r="32" spans="1:41" ht="16.5" thickBot="1">
      <c r="A32" s="1046" t="s">
        <v>1983</v>
      </c>
      <c r="B32" s="1047"/>
      <c r="C32" s="1059">
        <v>513478</v>
      </c>
      <c r="D32" s="1060">
        <v>516189959</v>
      </c>
      <c r="E32" s="1061">
        <v>350557</v>
      </c>
      <c r="F32" s="1060">
        <v>479071306.54000002</v>
      </c>
      <c r="G32" s="1062">
        <v>293605.56245501334</v>
      </c>
      <c r="H32" s="1060">
        <f>H19+H30</f>
        <v>461590421.51999998</v>
      </c>
      <c r="I32" s="1060"/>
      <c r="J32" s="1060">
        <f>J19+J30</f>
        <v>397949350.78533542</v>
      </c>
      <c r="K32" s="1060">
        <f t="shared" ref="K32:AO32" si="4">K19+K30</f>
        <v>376822428.43182027</v>
      </c>
      <c r="L32" s="1060">
        <f t="shared" si="4"/>
        <v>423119380.92386049</v>
      </c>
      <c r="M32" s="1060">
        <f t="shared" si="4"/>
        <v>377402353.61304152</v>
      </c>
      <c r="N32" s="1060">
        <f t="shared" si="4"/>
        <v>397701482.257779</v>
      </c>
      <c r="O32" s="1060">
        <f t="shared" si="4"/>
        <v>408813713.53822744</v>
      </c>
      <c r="P32" s="1060">
        <f t="shared" si="4"/>
        <v>420042067.61025453</v>
      </c>
      <c r="Q32" s="1060">
        <f t="shared" si="4"/>
        <v>424911333.86055541</v>
      </c>
      <c r="R32" s="1060">
        <f t="shared" si="4"/>
        <v>433071944.67444468</v>
      </c>
      <c r="S32" s="1060">
        <f t="shared" si="4"/>
        <v>424571276.93391311</v>
      </c>
      <c r="T32" s="1060">
        <f t="shared" si="4"/>
        <v>436239998.91089487</v>
      </c>
      <c r="U32" s="1060">
        <f t="shared" si="4"/>
        <v>446644454.44722527</v>
      </c>
      <c r="V32" s="1060">
        <f t="shared" si="4"/>
        <v>457151785.77244246</v>
      </c>
      <c r="W32" s="1060">
        <f t="shared" si="4"/>
        <v>467518308.037462</v>
      </c>
      <c r="X32" s="3887">
        <f t="shared" si="4"/>
        <v>474722905.50416672</v>
      </c>
      <c r="Y32" s="1060">
        <f t="shared" si="4"/>
        <v>483129015.48509508</v>
      </c>
      <c r="Z32" s="1060">
        <f t="shared" si="4"/>
        <v>489847652.57413173</v>
      </c>
      <c r="AA32" s="1060">
        <f t="shared" si="4"/>
        <v>498647533.08864945</v>
      </c>
      <c r="AB32" s="1060">
        <f t="shared" si="4"/>
        <v>495307859.915277</v>
      </c>
      <c r="AC32" s="1060">
        <f t="shared" si="4"/>
        <v>495862167.80451798</v>
      </c>
      <c r="AD32" s="1060">
        <f t="shared" si="4"/>
        <v>502491419.83011204</v>
      </c>
      <c r="AE32" s="1060">
        <f t="shared" si="4"/>
        <v>504342580.10574579</v>
      </c>
      <c r="AF32" s="1060">
        <f t="shared" si="4"/>
        <v>534941165.83214641</v>
      </c>
      <c r="AG32" s="1060">
        <f t="shared" si="4"/>
        <v>567782250.33398759</v>
      </c>
      <c r="AH32" s="1060">
        <f t="shared" si="4"/>
        <v>600066103.01504111</v>
      </c>
      <c r="AI32" s="1060">
        <f t="shared" si="4"/>
        <v>635206895.05277753</v>
      </c>
      <c r="AJ32" s="1060">
        <f t="shared" si="4"/>
        <v>661565579.63848126</v>
      </c>
      <c r="AK32" s="1060">
        <f t="shared" si="4"/>
        <v>699273235.57114077</v>
      </c>
      <c r="AL32" s="1060">
        <f t="shared" si="4"/>
        <v>736490144.23682499</v>
      </c>
      <c r="AM32" s="1060">
        <f t="shared" si="4"/>
        <v>764013984.49585986</v>
      </c>
      <c r="AN32" s="1060">
        <f t="shared" si="4"/>
        <v>805178259.70753932</v>
      </c>
      <c r="AO32" s="1060">
        <f t="shared" si="4"/>
        <v>0</v>
      </c>
    </row>
    <row r="33" spans="1:41" ht="16.5" thickTop="1">
      <c r="A33" s="1063" t="s">
        <v>1984</v>
      </c>
      <c r="B33" s="1040"/>
      <c r="C33" s="1041"/>
      <c r="D33" s="1020"/>
      <c r="E33" s="1017"/>
      <c r="F33" s="1020"/>
      <c r="G33" s="1044"/>
      <c r="H33" s="1020"/>
      <c r="I33" s="1020"/>
      <c r="J33" s="1020"/>
      <c r="K33" s="1020"/>
      <c r="L33" s="1020"/>
      <c r="M33" s="1020"/>
      <c r="N33" s="1020"/>
      <c r="O33" s="1020"/>
      <c r="P33" s="1020"/>
      <c r="Q33" s="1020"/>
      <c r="R33" s="1020"/>
      <c r="S33" s="1020"/>
      <c r="T33" s="1020"/>
      <c r="U33" s="1020"/>
      <c r="V33" s="1020"/>
      <c r="W33" s="1020"/>
      <c r="X33" s="3881"/>
      <c r="Y33" s="1020"/>
      <c r="Z33" s="1020"/>
      <c r="AA33" s="1020"/>
      <c r="AB33" s="1020"/>
      <c r="AC33" s="1020"/>
      <c r="AD33" s="1020"/>
      <c r="AE33" s="1020"/>
      <c r="AF33" s="1020"/>
      <c r="AG33" s="1020"/>
      <c r="AH33" s="1020"/>
      <c r="AI33" s="1020"/>
      <c r="AJ33" s="1020"/>
      <c r="AK33" s="1020"/>
      <c r="AL33" s="1020"/>
      <c r="AM33" s="1020"/>
      <c r="AN33" s="1020"/>
      <c r="AO33" s="1020"/>
    </row>
    <row r="34" spans="1:41">
      <c r="A34" s="1063"/>
      <c r="B34" s="1040"/>
      <c r="C34" s="1041"/>
      <c r="D34" s="1020"/>
      <c r="E34" s="1017"/>
      <c r="F34" s="1020"/>
      <c r="G34" s="1044"/>
      <c r="H34" s="1020"/>
      <c r="I34" s="1020"/>
      <c r="J34" s="1020"/>
      <c r="K34" s="1020"/>
      <c r="L34" s="1020"/>
      <c r="M34" s="1020"/>
      <c r="N34" s="1020"/>
      <c r="O34" s="1020"/>
      <c r="P34" s="1020"/>
      <c r="Q34" s="1020"/>
      <c r="R34" s="1020"/>
      <c r="S34" s="1020"/>
      <c r="T34" s="1020"/>
      <c r="U34" s="1020"/>
      <c r="V34" s="1020"/>
      <c r="W34" s="1020"/>
      <c r="X34" s="3881"/>
      <c r="Y34" s="1020"/>
      <c r="Z34" s="1020"/>
      <c r="AA34" s="1020"/>
      <c r="AB34" s="1020"/>
      <c r="AC34" s="1020"/>
      <c r="AD34" s="1020"/>
      <c r="AE34" s="1020"/>
      <c r="AF34" s="1020"/>
      <c r="AG34" s="1020"/>
      <c r="AH34" s="1020"/>
      <c r="AI34" s="1020"/>
      <c r="AJ34" s="1020"/>
      <c r="AK34" s="1020"/>
      <c r="AL34" s="1020"/>
      <c r="AM34" s="1020"/>
      <c r="AN34" s="1020"/>
      <c r="AO34" s="1020"/>
    </row>
    <row r="35" spans="1:41">
      <c r="A35" s="1046" t="s">
        <v>1985</v>
      </c>
      <c r="B35" s="1053"/>
      <c r="C35" s="1034"/>
      <c r="D35" s="1034"/>
      <c r="E35" s="1034"/>
      <c r="F35" s="1034"/>
      <c r="G35" s="1064"/>
      <c r="H35" s="1034"/>
      <c r="I35" s="1034"/>
      <c r="J35" s="1033"/>
      <c r="K35" s="1034"/>
      <c r="L35" s="1034"/>
      <c r="M35" s="1020"/>
      <c r="N35" s="1020"/>
      <c r="O35" s="1020"/>
      <c r="P35" s="1020"/>
      <c r="Q35" s="1020"/>
      <c r="R35" s="1020"/>
      <c r="S35" s="1020"/>
      <c r="T35" s="1020"/>
      <c r="U35" s="1020"/>
      <c r="V35" s="1020"/>
      <c r="W35" s="1020"/>
      <c r="X35" s="3881"/>
      <c r="Y35" s="1020"/>
      <c r="Z35" s="1020"/>
      <c r="AA35" s="1020"/>
      <c r="AB35" s="1020"/>
      <c r="AC35" s="1020"/>
      <c r="AD35" s="1020"/>
      <c r="AE35" s="1020"/>
      <c r="AF35" s="1020"/>
      <c r="AG35" s="1020"/>
      <c r="AH35" s="1020"/>
      <c r="AI35" s="1020"/>
      <c r="AJ35" s="1020"/>
      <c r="AK35" s="1020"/>
      <c r="AL35" s="1020"/>
      <c r="AM35" s="1020"/>
      <c r="AN35" s="1020"/>
      <c r="AO35" s="1020"/>
    </row>
    <row r="36" spans="1:41">
      <c r="A36" s="1065" t="s">
        <v>1986</v>
      </c>
      <c r="B36" s="1066"/>
      <c r="C36" s="1041"/>
      <c r="D36" s="1058">
        <v>474851488.71243984</v>
      </c>
      <c r="E36" s="1067">
        <v>474887261.82883406</v>
      </c>
      <c r="F36" s="1058">
        <v>495033544.43725985</v>
      </c>
      <c r="G36" s="1044">
        <v>530283.41437317932</v>
      </c>
      <c r="H36" s="2053">
        <v>534790060.37</v>
      </c>
      <c r="I36" s="2053"/>
      <c r="J36" s="2053">
        <v>557905957.84147286</v>
      </c>
      <c r="K36" s="2053">
        <v>594415302.02981937</v>
      </c>
      <c r="L36" s="2053">
        <v>628818758.90823519</v>
      </c>
      <c r="M36" s="2053">
        <v>654424115.93572533</v>
      </c>
      <c r="N36" s="2053">
        <v>663797786.81055653</v>
      </c>
      <c r="O36" s="2053">
        <v>671701313.48568892</v>
      </c>
      <c r="P36" s="2053">
        <v>670741500.54598022</v>
      </c>
      <c r="Q36" s="2053">
        <v>668022522.09073114</v>
      </c>
      <c r="R36" s="2053">
        <v>665658339.63932872</v>
      </c>
      <c r="S36" s="2053">
        <v>662911745.68942463</v>
      </c>
      <c r="T36" s="2053">
        <v>660021803.15826201</v>
      </c>
      <c r="U36" s="2053">
        <v>656554987.6354053</v>
      </c>
      <c r="V36" s="2053">
        <v>681784919.8211453</v>
      </c>
      <c r="W36" s="2053">
        <v>706178895.51060677</v>
      </c>
      <c r="X36" s="3886">
        <v>729685200.43284929</v>
      </c>
      <c r="Y36" s="2053">
        <v>752251634.31184661</v>
      </c>
      <c r="Z36" s="2053">
        <v>773825453.66941166</v>
      </c>
      <c r="AA36" s="2053">
        <v>794353314.61688757</v>
      </c>
      <c r="AB36" s="2053">
        <v>813781215.56707823</v>
      </c>
      <c r="AC36" s="2053">
        <v>832054439.79856753</v>
      </c>
      <c r="AD36" s="2053">
        <v>849117497.80515671</v>
      </c>
      <c r="AE36" s="2053">
        <v>853860668.60746968</v>
      </c>
      <c r="AF36" s="2053">
        <v>857501211.75636971</v>
      </c>
      <c r="AG36" s="2053">
        <v>859987602.38033998</v>
      </c>
      <c r="AH36" s="2053">
        <v>861267507.70339489</v>
      </c>
      <c r="AI36" s="2053">
        <v>861287733.29427862</v>
      </c>
      <c r="AJ36" s="2053">
        <v>859994168.88368702</v>
      </c>
      <c r="AK36" s="2053">
        <v>857331733.68932998</v>
      </c>
      <c r="AL36" s="2053">
        <v>853244321.18873906</v>
      </c>
      <c r="AM36" s="2053">
        <v>847674743.2797296</v>
      </c>
      <c r="AN36" s="2053">
        <v>840564673.76837146</v>
      </c>
      <c r="AO36" s="2053">
        <v>831854591.12418354</v>
      </c>
    </row>
    <row r="37" spans="1:41">
      <c r="A37" s="1039" t="s">
        <v>1987</v>
      </c>
      <c r="B37" s="1040"/>
      <c r="C37" s="1041">
        <v>96118</v>
      </c>
      <c r="D37" s="1058">
        <v>933182965.40755939</v>
      </c>
      <c r="E37" s="1067">
        <v>933286453.6249963</v>
      </c>
      <c r="F37" s="1058">
        <v>1020505352.0100001</v>
      </c>
      <c r="G37" s="1044">
        <v>1122813.8020211735</v>
      </c>
      <c r="H37" s="2053">
        <v>1154570958.9000001</v>
      </c>
      <c r="I37" s="2053"/>
      <c r="J37" s="2053">
        <v>1253242697.7498426</v>
      </c>
      <c r="K37" s="2053">
        <v>1292072403.5137403</v>
      </c>
      <c r="L37" s="2053">
        <v>1357354982.9123921</v>
      </c>
      <c r="M37" s="2053">
        <v>1417923706.0203483</v>
      </c>
      <c r="N37" s="2053">
        <v>1441881623.8779311</v>
      </c>
      <c r="O37" s="2053">
        <v>1462474031.0692866</v>
      </c>
      <c r="P37" s="2053">
        <v>1484479740.6192513</v>
      </c>
      <c r="Q37" s="2053">
        <v>1515789970.517988</v>
      </c>
      <c r="R37" s="2053">
        <v>1545774809.4921975</v>
      </c>
      <c r="S37" s="2053">
        <v>1574469079.7451375</v>
      </c>
      <c r="T37" s="2053">
        <v>1637777537.6582298</v>
      </c>
      <c r="U37" s="2053">
        <v>1682914656.8876433</v>
      </c>
      <c r="V37" s="2053">
        <v>1680983780.9263668</v>
      </c>
      <c r="W37" s="2053">
        <v>1680289663.3770139</v>
      </c>
      <c r="X37" s="3886">
        <v>1680811902.8143933</v>
      </c>
      <c r="Y37" s="2053">
        <v>1682531785.937659</v>
      </c>
      <c r="Z37" s="2053">
        <v>1685432246.2073584</v>
      </c>
      <c r="AA37" s="2053">
        <v>1689497824.9218557</v>
      </c>
      <c r="AB37" s="2053">
        <v>1694714634.6591077</v>
      </c>
      <c r="AC37" s="2053">
        <v>1701070325.0134254</v>
      </c>
      <c r="AD37" s="2053">
        <v>1708554050.5604038</v>
      </c>
      <c r="AE37" s="2053">
        <v>1717156440.9866228</v>
      </c>
      <c r="AF37" s="2053">
        <v>1726869573.3240271</v>
      </c>
      <c r="AG37" s="2053">
        <v>1737686946.2320974</v>
      </c>
      <c r="AH37" s="2053">
        <v>1749603456.274013</v>
      </c>
      <c r="AI37" s="2053">
        <v>1799205670.0522933</v>
      </c>
      <c r="AJ37" s="2053">
        <v>1850266825.5137446</v>
      </c>
      <c r="AK37" s="2053">
        <v>1902796866.8730173</v>
      </c>
      <c r="AL37" s="2053">
        <v>1956807389.6326346</v>
      </c>
      <c r="AM37" s="2053">
        <v>2012311636.0031724</v>
      </c>
      <c r="AN37" s="2053">
        <v>2069324492.350781</v>
      </c>
      <c r="AO37" s="2053">
        <v>2127862488.6462822</v>
      </c>
    </row>
    <row r="38" spans="1:41">
      <c r="A38" s="1046" t="s">
        <v>1988</v>
      </c>
      <c r="B38" s="1047"/>
      <c r="C38" s="1048">
        <v>136120</v>
      </c>
      <c r="D38" s="1049">
        <v>1408034454.1199992</v>
      </c>
      <c r="E38" s="1068">
        <v>1408173715.4538302</v>
      </c>
      <c r="F38" s="1049">
        <v>1515538896.4472599</v>
      </c>
      <c r="G38" s="1051">
        <v>1653097.2163943527</v>
      </c>
      <c r="H38" s="1049">
        <f>SUM(H36:H37)</f>
        <v>1689361019.27</v>
      </c>
      <c r="I38" s="1049"/>
      <c r="J38" s="1049">
        <f>SUM(J36:J37)</f>
        <v>1811148655.5913155</v>
      </c>
      <c r="K38" s="1049">
        <f t="shared" ref="K38:AO38" si="5">SUM(K36:K37)</f>
        <v>1886487705.5435596</v>
      </c>
      <c r="L38" s="1049">
        <f t="shared" si="5"/>
        <v>1986173741.8206272</v>
      </c>
      <c r="M38" s="1049">
        <f t="shared" si="5"/>
        <v>2072347821.9560738</v>
      </c>
      <c r="N38" s="1049">
        <f t="shared" si="5"/>
        <v>2105679410.6884875</v>
      </c>
      <c r="O38" s="1049">
        <f t="shared" si="5"/>
        <v>2134175344.5549755</v>
      </c>
      <c r="P38" s="1049">
        <f t="shared" si="5"/>
        <v>2155221241.1652317</v>
      </c>
      <c r="Q38" s="1049">
        <f t="shared" si="5"/>
        <v>2183812492.6087189</v>
      </c>
      <c r="R38" s="1049">
        <f t="shared" si="5"/>
        <v>2211433149.131526</v>
      </c>
      <c r="S38" s="1049">
        <f t="shared" si="5"/>
        <v>2237380825.4345622</v>
      </c>
      <c r="T38" s="1049">
        <f t="shared" si="5"/>
        <v>2297799340.8164921</v>
      </c>
      <c r="U38" s="1049">
        <f t="shared" si="5"/>
        <v>2339469644.5230484</v>
      </c>
      <c r="V38" s="1049">
        <f t="shared" si="5"/>
        <v>2362768700.7475119</v>
      </c>
      <c r="W38" s="1049">
        <f t="shared" si="5"/>
        <v>2386468558.8876209</v>
      </c>
      <c r="X38" s="3885">
        <f t="shared" si="5"/>
        <v>2410497103.2472425</v>
      </c>
      <c r="Y38" s="1049">
        <f t="shared" si="5"/>
        <v>2434783420.2495055</v>
      </c>
      <c r="Z38" s="1049">
        <f t="shared" si="5"/>
        <v>2459257699.87677</v>
      </c>
      <c r="AA38" s="1049">
        <f t="shared" si="5"/>
        <v>2483851139.538743</v>
      </c>
      <c r="AB38" s="1049">
        <f t="shared" si="5"/>
        <v>2508495850.2261858</v>
      </c>
      <c r="AC38" s="1049">
        <f t="shared" si="5"/>
        <v>2533124764.8119926</v>
      </c>
      <c r="AD38" s="1049">
        <f t="shared" si="5"/>
        <v>2557671548.3655605</v>
      </c>
      <c r="AE38" s="1049">
        <f t="shared" si="5"/>
        <v>2571017109.5940924</v>
      </c>
      <c r="AF38" s="1049">
        <f t="shared" si="5"/>
        <v>2584370785.0803967</v>
      </c>
      <c r="AG38" s="1049">
        <f t="shared" si="5"/>
        <v>2597674548.6124372</v>
      </c>
      <c r="AH38" s="1049">
        <f t="shared" si="5"/>
        <v>2610870963.9774079</v>
      </c>
      <c r="AI38" s="1049">
        <f t="shared" si="5"/>
        <v>2660493403.3465719</v>
      </c>
      <c r="AJ38" s="1049">
        <f t="shared" si="5"/>
        <v>2710260994.3974314</v>
      </c>
      <c r="AK38" s="1049">
        <f t="shared" si="5"/>
        <v>2760128600.5623474</v>
      </c>
      <c r="AL38" s="1049">
        <f t="shared" si="5"/>
        <v>2810051710.8213739</v>
      </c>
      <c r="AM38" s="1049">
        <f t="shared" si="5"/>
        <v>2859986379.2829018</v>
      </c>
      <c r="AN38" s="1049">
        <f t="shared" si="5"/>
        <v>2909889166.1191525</v>
      </c>
      <c r="AO38" s="1049">
        <f t="shared" si="5"/>
        <v>2959717079.7704659</v>
      </c>
    </row>
    <row r="39" spans="1:41">
      <c r="A39" s="1063"/>
      <c r="B39" s="1040"/>
      <c r="C39" s="1041"/>
      <c r="D39" s="1020"/>
      <c r="E39" s="1017"/>
      <c r="F39" s="1020"/>
      <c r="G39" s="1044"/>
      <c r="H39" s="1020"/>
      <c r="I39" s="1020"/>
      <c r="J39" s="1020"/>
      <c r="K39" s="1020"/>
      <c r="L39" s="1020"/>
      <c r="M39" s="1020"/>
      <c r="N39" s="1020"/>
      <c r="O39" s="1020"/>
      <c r="P39" s="1020"/>
      <c r="Q39" s="1020"/>
      <c r="R39" s="1020"/>
      <c r="S39" s="1020"/>
      <c r="T39" s="1020"/>
      <c r="U39" s="1020"/>
      <c r="V39" s="1020"/>
      <c r="W39" s="1020"/>
      <c r="X39" s="3881"/>
      <c r="Y39" s="1020"/>
      <c r="Z39" s="1020"/>
      <c r="AA39" s="1020"/>
      <c r="AB39" s="1020"/>
      <c r="AC39" s="1020"/>
      <c r="AD39" s="1020"/>
      <c r="AE39" s="1020"/>
      <c r="AF39" s="1020"/>
      <c r="AG39" s="1020"/>
      <c r="AH39" s="1020"/>
      <c r="AI39" s="1020"/>
      <c r="AJ39" s="1020"/>
      <c r="AK39" s="1020"/>
      <c r="AL39" s="1020"/>
      <c r="AM39" s="1020"/>
      <c r="AN39" s="1020"/>
      <c r="AO39" s="1020"/>
    </row>
    <row r="40" spans="1:41">
      <c r="A40" s="1020"/>
      <c r="B40" s="1040"/>
      <c r="C40" s="1041"/>
      <c r="D40" s="1020"/>
      <c r="E40" s="1017"/>
      <c r="F40" s="1020"/>
      <c r="G40" s="1044"/>
      <c r="H40" s="1020"/>
      <c r="I40" s="1020"/>
      <c r="J40" s="1020"/>
      <c r="K40" s="1020"/>
      <c r="L40" s="1020"/>
      <c r="M40" s="1020"/>
      <c r="N40" s="1020"/>
      <c r="O40" s="1020"/>
      <c r="P40" s="1020"/>
      <c r="Q40" s="1020"/>
      <c r="R40" s="1020"/>
      <c r="S40" s="1020"/>
      <c r="T40" s="1020"/>
      <c r="U40" s="1020"/>
      <c r="V40" s="1020"/>
      <c r="W40" s="1020"/>
      <c r="X40" s="3881"/>
      <c r="Y40" s="1020"/>
      <c r="Z40" s="1020"/>
      <c r="AA40" s="1020"/>
      <c r="AB40" s="1020"/>
      <c r="AC40" s="1020"/>
      <c r="AD40" s="1020"/>
      <c r="AE40" s="1020"/>
      <c r="AF40" s="1020"/>
      <c r="AG40" s="1020"/>
      <c r="AH40" s="1020"/>
      <c r="AI40" s="1020"/>
      <c r="AJ40" s="1020"/>
      <c r="AK40" s="1020"/>
      <c r="AL40" s="1020"/>
      <c r="AM40" s="1020"/>
      <c r="AN40" s="1020"/>
      <c r="AO40" s="1020"/>
    </row>
    <row r="41" spans="1:41">
      <c r="A41" s="1046" t="s">
        <v>1989</v>
      </c>
      <c r="B41" s="1053"/>
      <c r="C41" s="1052"/>
      <c r="D41" s="1052"/>
      <c r="E41" s="1069"/>
      <c r="F41" s="1052"/>
      <c r="G41" s="1070"/>
      <c r="H41" s="1052"/>
      <c r="I41" s="1052"/>
      <c r="J41" s="1052"/>
      <c r="K41" s="1052"/>
      <c r="L41" s="1052"/>
      <c r="M41" s="1052"/>
      <c r="N41" s="1052"/>
      <c r="O41" s="1052"/>
      <c r="P41" s="1052"/>
      <c r="Q41" s="1052"/>
      <c r="R41" s="1052"/>
      <c r="S41" s="1052"/>
      <c r="T41" s="1052"/>
      <c r="U41" s="1052"/>
      <c r="V41" s="1052"/>
      <c r="W41" s="1052"/>
      <c r="X41" s="3888"/>
      <c r="Y41" s="1052"/>
      <c r="Z41" s="1052"/>
      <c r="AA41" s="1052"/>
      <c r="AB41" s="1052"/>
      <c r="AC41" s="1052"/>
      <c r="AD41" s="1052"/>
      <c r="AE41" s="1052"/>
      <c r="AF41" s="1052"/>
      <c r="AG41" s="1052"/>
      <c r="AH41" s="1052"/>
      <c r="AI41" s="1052"/>
      <c r="AJ41" s="1052"/>
      <c r="AK41" s="1052"/>
      <c r="AL41" s="1052"/>
      <c r="AM41" s="1052"/>
      <c r="AN41" s="1052"/>
      <c r="AO41" s="1052"/>
    </row>
    <row r="42" spans="1:41">
      <c r="A42" s="1020" t="s">
        <v>717</v>
      </c>
      <c r="B42" s="1040"/>
      <c r="C42" s="1041">
        <v>127225</v>
      </c>
      <c r="D42" s="1058">
        <v>156070000</v>
      </c>
      <c r="E42" s="1043">
        <v>151735</v>
      </c>
      <c r="F42" s="1058">
        <v>151735000</v>
      </c>
      <c r="G42" s="1044">
        <v>140480</v>
      </c>
      <c r="H42" s="2053">
        <v>151340000</v>
      </c>
      <c r="I42" s="2053"/>
      <c r="J42" s="2053">
        <v>145745000</v>
      </c>
      <c r="K42" s="2053">
        <v>144795000</v>
      </c>
      <c r="L42" s="2053">
        <v>144795000</v>
      </c>
      <c r="M42" s="2053">
        <v>144795000</v>
      </c>
      <c r="N42" s="2053">
        <v>144795000</v>
      </c>
      <c r="O42" s="2053">
        <v>130380000</v>
      </c>
      <c r="P42" s="2053">
        <v>115250000</v>
      </c>
      <c r="Q42" s="2053">
        <v>99380000</v>
      </c>
      <c r="R42" s="2053">
        <v>82735000</v>
      </c>
      <c r="S42" s="2053">
        <v>67625000</v>
      </c>
      <c r="T42" s="2053">
        <v>65220000</v>
      </c>
      <c r="U42" s="2053">
        <v>62695000</v>
      </c>
      <c r="V42" s="2053">
        <v>60045000</v>
      </c>
      <c r="W42" s="2053">
        <v>57260000</v>
      </c>
      <c r="X42" s="3886">
        <v>54340000</v>
      </c>
      <c r="Y42" s="2053">
        <v>51270000</v>
      </c>
      <c r="Z42" s="2053">
        <v>48050000</v>
      </c>
      <c r="AA42" s="2053">
        <v>44665000</v>
      </c>
      <c r="AB42" s="2053">
        <v>41115000</v>
      </c>
      <c r="AC42" s="2053">
        <v>37385000</v>
      </c>
      <c r="AD42" s="2053">
        <v>33470000</v>
      </c>
      <c r="AE42" s="2053">
        <v>29360000</v>
      </c>
      <c r="AF42" s="2053">
        <v>25045000</v>
      </c>
      <c r="AG42" s="2053">
        <v>20510000</v>
      </c>
      <c r="AH42" s="2053">
        <v>15750000</v>
      </c>
      <c r="AI42" s="2053">
        <v>10755000</v>
      </c>
      <c r="AJ42" s="2053">
        <v>5510000</v>
      </c>
      <c r="AK42" s="2053">
        <v>0</v>
      </c>
      <c r="AL42" s="2053">
        <v>0</v>
      </c>
      <c r="AM42" s="2053">
        <v>0</v>
      </c>
      <c r="AN42" s="2053">
        <v>0</v>
      </c>
      <c r="AO42" s="2053">
        <v>0</v>
      </c>
    </row>
    <row r="43" spans="1:41">
      <c r="A43" s="1020" t="s">
        <v>1990</v>
      </c>
      <c r="B43" s="1040"/>
      <c r="C43" s="1041">
        <v>941460</v>
      </c>
      <c r="D43" s="1058">
        <v>917060000</v>
      </c>
      <c r="E43" s="1043">
        <v>889900</v>
      </c>
      <c r="F43" s="1058">
        <v>928940000</v>
      </c>
      <c r="G43" s="1044">
        <v>888728.20288</v>
      </c>
      <c r="H43" s="2053">
        <v>1001400000</v>
      </c>
      <c r="I43" s="2053"/>
      <c r="J43" s="2053">
        <v>971705000</v>
      </c>
      <c r="K43" s="2053">
        <v>1045266484.4256692</v>
      </c>
      <c r="L43" s="2053">
        <v>1078149983.156276</v>
      </c>
      <c r="M43" s="2053">
        <v>1105638654.7413373</v>
      </c>
      <c r="N43" s="2053">
        <v>1095810648.3950679</v>
      </c>
      <c r="O43" s="2053">
        <v>1090572709.8080866</v>
      </c>
      <c r="P43" s="2053">
        <v>1090950240.2508426</v>
      </c>
      <c r="Q43" s="2053">
        <v>1087615533.0739686</v>
      </c>
      <c r="R43" s="2053">
        <v>1095390665.3652909</v>
      </c>
      <c r="S43" s="2053">
        <v>1073906567.7636478</v>
      </c>
      <c r="T43" s="2053">
        <v>1098694002.602819</v>
      </c>
      <c r="U43" s="2053">
        <v>1108578219.3282444</v>
      </c>
      <c r="V43" s="2053">
        <v>1083698502.461355</v>
      </c>
      <c r="W43" s="2053">
        <v>1073780629.860369</v>
      </c>
      <c r="X43" s="3886">
        <v>1058658145.1627873</v>
      </c>
      <c r="Y43" s="2053">
        <v>1046395878.8168797</v>
      </c>
      <c r="Z43" s="2053">
        <v>1032609628.1038948</v>
      </c>
      <c r="AA43" s="2053">
        <v>1018105823.0010651</v>
      </c>
      <c r="AB43" s="2053">
        <v>991305634.95582104</v>
      </c>
      <c r="AC43" s="2053">
        <v>968493553.51431108</v>
      </c>
      <c r="AD43" s="2053">
        <v>951757823.38544178</v>
      </c>
      <c r="AE43" s="2053">
        <v>917833327.48994303</v>
      </c>
      <c r="AF43" s="2053">
        <v>915082422.19882905</v>
      </c>
      <c r="AG43" s="2053">
        <v>914313597.48237824</v>
      </c>
      <c r="AH43" s="2053">
        <v>911524017.98469996</v>
      </c>
      <c r="AI43" s="2053">
        <v>948585315.35920155</v>
      </c>
      <c r="AJ43" s="2053">
        <v>983972875.39991081</v>
      </c>
      <c r="AK43" s="2053">
        <v>1034336861.3172101</v>
      </c>
      <c r="AL43" s="2053">
        <v>1083364449.0453265</v>
      </c>
      <c r="AM43" s="2053">
        <v>1130874374.1301997</v>
      </c>
      <c r="AN43" s="2053">
        <v>1196666455.3100157</v>
      </c>
      <c r="AO43" s="2053">
        <v>1272629483.5796831</v>
      </c>
    </row>
    <row r="44" spans="1:41" ht="16.5" thickBot="1">
      <c r="A44" s="1046" t="s">
        <v>1991</v>
      </c>
      <c r="B44" s="1047"/>
      <c r="C44" s="1059">
        <v>1068685</v>
      </c>
      <c r="D44" s="1060">
        <v>1073130000</v>
      </c>
      <c r="E44" s="1061">
        <v>1041635</v>
      </c>
      <c r="F44" s="1060">
        <v>1080675000</v>
      </c>
      <c r="G44" s="1062">
        <v>1029208.20288</v>
      </c>
      <c r="H44" s="1060">
        <f>SUM(H42:H43)</f>
        <v>1152740000</v>
      </c>
      <c r="I44" s="1060"/>
      <c r="J44" s="1049">
        <f t="shared" ref="J44:AO44" si="6">SUM(J42:J43)</f>
        <v>1117450000</v>
      </c>
      <c r="K44" s="1049">
        <f t="shared" si="6"/>
        <v>1190061484.4256692</v>
      </c>
      <c r="L44" s="1049">
        <f t="shared" si="6"/>
        <v>1222944983.156276</v>
      </c>
      <c r="M44" s="1049">
        <f t="shared" si="6"/>
        <v>1250433654.7413373</v>
      </c>
      <c r="N44" s="1049">
        <f t="shared" si="6"/>
        <v>1240605648.3950679</v>
      </c>
      <c r="O44" s="1049">
        <f t="shared" si="6"/>
        <v>1220952709.8080866</v>
      </c>
      <c r="P44" s="1049">
        <f t="shared" si="6"/>
        <v>1206200240.2508426</v>
      </c>
      <c r="Q44" s="1049">
        <f t="shared" si="6"/>
        <v>1186995533.0739686</v>
      </c>
      <c r="R44" s="1049">
        <f t="shared" si="6"/>
        <v>1178125665.3652909</v>
      </c>
      <c r="S44" s="1049">
        <f t="shared" si="6"/>
        <v>1141531567.7636478</v>
      </c>
      <c r="T44" s="1049">
        <f t="shared" si="6"/>
        <v>1163914002.602819</v>
      </c>
      <c r="U44" s="1049">
        <f t="shared" si="6"/>
        <v>1171273219.3282444</v>
      </c>
      <c r="V44" s="1049">
        <f t="shared" si="6"/>
        <v>1143743502.461355</v>
      </c>
      <c r="W44" s="1049">
        <f t="shared" si="6"/>
        <v>1131040629.860369</v>
      </c>
      <c r="X44" s="3885">
        <f t="shared" si="6"/>
        <v>1112998145.1627874</v>
      </c>
      <c r="Y44" s="1049">
        <f t="shared" si="6"/>
        <v>1097665878.8168797</v>
      </c>
      <c r="Z44" s="1049">
        <f t="shared" si="6"/>
        <v>1080659628.1038947</v>
      </c>
      <c r="AA44" s="1049">
        <f t="shared" si="6"/>
        <v>1062770823.0010651</v>
      </c>
      <c r="AB44" s="1049">
        <f t="shared" si="6"/>
        <v>1032420634.955821</v>
      </c>
      <c r="AC44" s="1049">
        <f t="shared" si="6"/>
        <v>1005878553.5143111</v>
      </c>
      <c r="AD44" s="1049">
        <f t="shared" si="6"/>
        <v>985227823.38544178</v>
      </c>
      <c r="AE44" s="1049">
        <f t="shared" si="6"/>
        <v>947193327.48994303</v>
      </c>
      <c r="AF44" s="1049">
        <f t="shared" si="6"/>
        <v>940127422.19882905</v>
      </c>
      <c r="AG44" s="1049">
        <f t="shared" si="6"/>
        <v>934823597.48237824</v>
      </c>
      <c r="AH44" s="1049">
        <f t="shared" si="6"/>
        <v>927274017.98469996</v>
      </c>
      <c r="AI44" s="1049">
        <f t="shared" si="6"/>
        <v>959340315.35920155</v>
      </c>
      <c r="AJ44" s="1049">
        <f t="shared" si="6"/>
        <v>989482875.39991081</v>
      </c>
      <c r="AK44" s="1049">
        <f t="shared" si="6"/>
        <v>1034336861.3172101</v>
      </c>
      <c r="AL44" s="1049">
        <f t="shared" si="6"/>
        <v>1083364449.0453265</v>
      </c>
      <c r="AM44" s="1049">
        <f t="shared" si="6"/>
        <v>1130874374.1301997</v>
      </c>
      <c r="AN44" s="1049">
        <f t="shared" si="6"/>
        <v>1196666455.3100157</v>
      </c>
      <c r="AO44" s="1049">
        <f t="shared" si="6"/>
        <v>1272629483.5796831</v>
      </c>
    </row>
    <row r="45" spans="1:41" ht="16.5" thickTop="1">
      <c r="A45" s="1052"/>
      <c r="B45" s="1053"/>
      <c r="C45" s="1054"/>
      <c r="D45" s="1054"/>
      <c r="E45" s="1055"/>
      <c r="F45" s="1054"/>
      <c r="G45" s="1056"/>
      <c r="H45" s="1054"/>
      <c r="I45" s="1054"/>
      <c r="J45" s="1054"/>
      <c r="K45" s="1054"/>
      <c r="L45" s="1054"/>
      <c r="M45" s="1054"/>
      <c r="N45" s="1054"/>
      <c r="O45" s="1054"/>
      <c r="P45" s="1054"/>
      <c r="Q45" s="1054"/>
      <c r="R45" s="1054"/>
      <c r="S45" s="1054"/>
      <c r="T45" s="1054"/>
      <c r="U45" s="1054"/>
      <c r="V45" s="1054"/>
      <c r="W45" s="1054"/>
      <c r="X45" s="3889"/>
      <c r="Y45" s="1054"/>
      <c r="Z45" s="1054"/>
      <c r="AA45" s="1054"/>
      <c r="AB45" s="1054"/>
      <c r="AC45" s="1054"/>
      <c r="AD45" s="1054"/>
      <c r="AE45" s="1054"/>
      <c r="AF45" s="1054"/>
      <c r="AG45" s="1054"/>
      <c r="AH45" s="1054"/>
      <c r="AI45" s="1054"/>
      <c r="AJ45" s="1054"/>
      <c r="AK45" s="1054"/>
      <c r="AL45" s="1054"/>
      <c r="AM45" s="1054"/>
      <c r="AN45" s="1054"/>
      <c r="AO45" s="1054"/>
    </row>
    <row r="46" spans="1:41">
      <c r="A46" s="1063"/>
      <c r="B46" s="1071"/>
      <c r="C46" s="1072"/>
      <c r="D46" s="1072"/>
      <c r="E46" s="1073"/>
      <c r="F46" s="1020"/>
      <c r="G46" s="1044"/>
      <c r="H46" s="1072"/>
      <c r="I46" s="1072"/>
      <c r="J46" s="1072"/>
      <c r="K46" s="1072"/>
      <c r="L46" s="1072"/>
      <c r="M46" s="1072"/>
      <c r="N46" s="1072"/>
      <c r="O46" s="1072"/>
      <c r="P46" s="1072"/>
      <c r="Q46" s="1072"/>
      <c r="R46" s="1072"/>
      <c r="S46" s="1072"/>
      <c r="T46" s="1072"/>
      <c r="U46" s="1072"/>
      <c r="V46" s="1072"/>
      <c r="W46" s="1072"/>
      <c r="X46" s="3889"/>
      <c r="Y46" s="1072"/>
      <c r="Z46" s="1072"/>
      <c r="AA46" s="1072"/>
      <c r="AB46" s="1072"/>
      <c r="AC46" s="1072"/>
      <c r="AD46" s="1072"/>
      <c r="AE46" s="1072"/>
      <c r="AF46" s="1072"/>
      <c r="AG46" s="1072"/>
      <c r="AH46" s="1072"/>
      <c r="AI46" s="1072"/>
      <c r="AJ46" s="1072"/>
      <c r="AK46" s="1072"/>
      <c r="AL46" s="1072"/>
      <c r="AM46" s="1072"/>
      <c r="AN46" s="1072"/>
      <c r="AO46" s="1072"/>
    </row>
    <row r="47" spans="1:41">
      <c r="A47" s="1020"/>
      <c r="B47" s="1040"/>
      <c r="C47" s="1041"/>
      <c r="D47" s="1020"/>
      <c r="E47" s="1017"/>
      <c r="F47" s="1020"/>
      <c r="G47" s="1044"/>
      <c r="H47" s="1020"/>
      <c r="I47" s="1020"/>
      <c r="J47" s="1020"/>
      <c r="K47" s="1020"/>
      <c r="L47" s="1020"/>
      <c r="M47" s="1020"/>
      <c r="N47" s="1020"/>
      <c r="O47" s="1020"/>
      <c r="P47" s="1020"/>
      <c r="Q47" s="1020"/>
      <c r="R47" s="1020"/>
      <c r="S47" s="1020"/>
      <c r="T47" s="1020"/>
      <c r="U47" s="1020"/>
      <c r="V47" s="1020"/>
      <c r="W47" s="1020"/>
      <c r="X47" s="3881"/>
      <c r="Y47" s="1020"/>
      <c r="Z47" s="1020"/>
      <c r="AA47" s="1020"/>
      <c r="AB47" s="1020"/>
      <c r="AC47" s="1020"/>
      <c r="AD47" s="1020"/>
      <c r="AE47" s="1020"/>
      <c r="AF47" s="1020"/>
      <c r="AG47" s="1020"/>
      <c r="AH47" s="1020"/>
      <c r="AI47" s="1020"/>
      <c r="AJ47" s="1020"/>
      <c r="AK47" s="1020"/>
      <c r="AL47" s="1020"/>
      <c r="AM47" s="1020"/>
      <c r="AN47" s="1020"/>
      <c r="AO47" s="1020"/>
    </row>
    <row r="48" spans="1:41">
      <c r="A48" s="1074" t="s">
        <v>1589</v>
      </c>
      <c r="B48" s="1040"/>
      <c r="C48" s="1020"/>
      <c r="D48" s="1020"/>
      <c r="E48" s="1075"/>
      <c r="F48" s="1076"/>
      <c r="G48" s="1044"/>
      <c r="H48" s="1209"/>
      <c r="I48" s="1076"/>
      <c r="J48" s="1542">
        <f>J49/J82</f>
        <v>0.38796213453169354</v>
      </c>
      <c r="K48" s="1209"/>
      <c r="L48" s="1209"/>
      <c r="M48" s="1209"/>
      <c r="N48" s="1209"/>
      <c r="O48" s="1209"/>
      <c r="P48" s="1209"/>
      <c r="Q48" s="1209"/>
      <c r="R48" s="1209"/>
      <c r="S48" s="1209"/>
      <c r="T48" s="1209"/>
      <c r="U48" s="1209"/>
      <c r="V48" s="1209"/>
      <c r="W48" s="1209"/>
      <c r="X48" s="3890"/>
      <c r="Y48" s="1209"/>
      <c r="Z48" s="1209"/>
      <c r="AA48" s="1209"/>
      <c r="AB48" s="1209"/>
      <c r="AC48" s="1209"/>
      <c r="AD48" s="1209"/>
      <c r="AE48" s="1209"/>
      <c r="AF48" s="1209"/>
      <c r="AG48" s="1209"/>
      <c r="AH48" s="1209"/>
      <c r="AI48" s="1209"/>
      <c r="AJ48" s="1209"/>
      <c r="AK48" s="1209"/>
      <c r="AL48" s="1209"/>
      <c r="AM48" s="1209"/>
      <c r="AN48" s="1209"/>
      <c r="AO48" s="1209"/>
    </row>
    <row r="49" spans="1:73">
      <c r="A49" s="1076" t="s">
        <v>1992</v>
      </c>
      <c r="B49" s="1077"/>
      <c r="C49" s="1076">
        <v>54247</v>
      </c>
      <c r="D49" s="1078">
        <v>53005073.622378826</v>
      </c>
      <c r="E49" s="1045">
        <v>54918</v>
      </c>
      <c r="F49" s="1078">
        <v>45772445.50927861</v>
      </c>
      <c r="G49" s="1044">
        <v>53210.859151169832</v>
      </c>
      <c r="H49" s="2054">
        <v>55640876.630000003</v>
      </c>
      <c r="I49" s="2054"/>
      <c r="J49" s="2054">
        <v>64012023.615486041</v>
      </c>
      <c r="K49" s="2054">
        <v>50287769.335042104</v>
      </c>
      <c r="L49" s="2054">
        <v>47696710.041316852</v>
      </c>
      <c r="M49" s="2054">
        <v>45797856.155507594</v>
      </c>
      <c r="N49" s="2054">
        <v>42826114.727333158</v>
      </c>
      <c r="O49" s="2054">
        <v>41695282.308202237</v>
      </c>
      <c r="P49" s="2054">
        <v>40950608.385145001</v>
      </c>
      <c r="Q49" s="2054">
        <v>39043621.87753465</v>
      </c>
      <c r="R49" s="2054">
        <v>38407408.823920503</v>
      </c>
      <c r="S49" s="2054">
        <v>36221942.401171982</v>
      </c>
      <c r="T49" s="2054">
        <v>35845277.633717775</v>
      </c>
      <c r="U49" s="2054">
        <v>34986823.657224029</v>
      </c>
      <c r="V49" s="2054">
        <v>34133384.406057969</v>
      </c>
      <c r="W49" s="2054">
        <v>32539916.926344834</v>
      </c>
      <c r="X49" s="3891">
        <v>32312778.622354425</v>
      </c>
      <c r="Y49" s="2054">
        <v>31391193.371294621</v>
      </c>
      <c r="Z49" s="2054">
        <v>30492209.579666588</v>
      </c>
      <c r="AA49" s="2054">
        <v>28897022.551562566</v>
      </c>
      <c r="AB49" s="2054">
        <v>27500592.801006179</v>
      </c>
      <c r="AC49" s="2054">
        <v>26331281.299959905</v>
      </c>
      <c r="AD49" s="2054">
        <v>25319532.069376234</v>
      </c>
      <c r="AE49" s="2054">
        <v>24188159.218491159</v>
      </c>
      <c r="AF49" s="2054">
        <v>22821809.725038674</v>
      </c>
      <c r="AG49" s="2054">
        <v>21814900.662838683</v>
      </c>
      <c r="AH49" s="2054">
        <v>20243451.358009625</v>
      </c>
      <c r="AI49" s="2054">
        <v>19288898.599923927</v>
      </c>
      <c r="AJ49" s="2054">
        <v>16996498.905332286</v>
      </c>
      <c r="AK49" s="2054">
        <v>15997644.631638967</v>
      </c>
      <c r="AL49" s="2054">
        <v>14772109.639298294</v>
      </c>
      <c r="AM49" s="2054">
        <v>12797389.223112917</v>
      </c>
      <c r="AN49" s="2054">
        <v>10592967.043421675</v>
      </c>
      <c r="AO49" s="2054">
        <v>3491780.152839493</v>
      </c>
    </row>
    <row r="50" spans="1:73">
      <c r="A50" s="1079" t="s">
        <v>282</v>
      </c>
      <c r="B50" s="1080"/>
      <c r="C50" s="1081"/>
      <c r="D50" s="1081"/>
      <c r="E50" s="1082"/>
      <c r="F50" s="1081"/>
      <c r="G50" s="1083"/>
      <c r="H50" s="2055"/>
      <c r="I50" s="2055"/>
      <c r="J50" s="2055"/>
      <c r="K50" s="2055"/>
      <c r="L50" s="2055"/>
      <c r="M50" s="2055"/>
      <c r="N50" s="2055"/>
      <c r="O50" s="2055"/>
      <c r="P50" s="2055"/>
      <c r="Q50" s="2055"/>
      <c r="R50" s="2055"/>
      <c r="S50" s="2055"/>
      <c r="T50" s="2055"/>
      <c r="U50" s="2055"/>
      <c r="V50" s="2055"/>
      <c r="W50" s="2055"/>
      <c r="X50" s="3892"/>
      <c r="Y50" s="2055"/>
      <c r="Z50" s="2055"/>
      <c r="AA50" s="2055"/>
      <c r="AB50" s="2055"/>
      <c r="AC50" s="2055"/>
      <c r="AD50" s="2055"/>
      <c r="AE50" s="2055"/>
      <c r="AF50" s="2055"/>
      <c r="AG50" s="2055"/>
      <c r="AH50" s="2055"/>
      <c r="AI50" s="2055"/>
      <c r="AJ50" s="2055"/>
      <c r="AK50" s="2055"/>
      <c r="AL50" s="2055"/>
      <c r="AM50" s="2055"/>
      <c r="AN50" s="2055"/>
      <c r="AO50" s="2055"/>
    </row>
    <row r="51" spans="1:73">
      <c r="A51" s="1084" t="s">
        <v>1993</v>
      </c>
      <c r="B51" s="1080"/>
      <c r="C51" s="1081">
        <v>31252</v>
      </c>
      <c r="D51" s="1085">
        <v>34341848.549999997</v>
      </c>
      <c r="E51" s="1082">
        <v>36934</v>
      </c>
      <c r="F51" s="1085">
        <v>35898392.670000002</v>
      </c>
      <c r="G51" s="1083">
        <v>40431.166010515422</v>
      </c>
      <c r="H51" s="2056">
        <v>39491315.259999998</v>
      </c>
      <c r="I51" s="2057"/>
      <c r="J51" s="2056">
        <v>41328082.147113733</v>
      </c>
      <c r="K51" s="2056">
        <v>42734923.382579401</v>
      </c>
      <c r="L51" s="2056">
        <v>43775270.935511634</v>
      </c>
      <c r="M51" s="2056">
        <v>45248113.475033872</v>
      </c>
      <c r="N51" s="2056">
        <v>46790612.755929999</v>
      </c>
      <c r="O51" s="2056">
        <v>48386514.047147676</v>
      </c>
      <c r="P51" s="2056">
        <v>49567717.198843069</v>
      </c>
      <c r="Q51" s="2056">
        <v>50233911.990448274</v>
      </c>
      <c r="R51" s="2056">
        <v>50930994.681754649</v>
      </c>
      <c r="S51" s="2056">
        <v>51638631.637464046</v>
      </c>
      <c r="T51" s="2056">
        <v>52378653.961636782</v>
      </c>
      <c r="U51" s="2056">
        <v>53085847.656503923</v>
      </c>
      <c r="V51" s="2056">
        <v>53825682.24302125</v>
      </c>
      <c r="W51" s="2056">
        <v>54576726.180922829</v>
      </c>
      <c r="X51" s="3884">
        <v>55915695.651690915</v>
      </c>
      <c r="Y51" s="2056">
        <v>57321975.397330932</v>
      </c>
      <c r="Z51" s="2056">
        <v>58763623.078573801</v>
      </c>
      <c r="AA51" s="2056">
        <v>60837978.973247461</v>
      </c>
      <c r="AB51" s="2056">
        <v>62368054.144424632</v>
      </c>
      <c r="AC51" s="2056">
        <v>63936610.706156902</v>
      </c>
      <c r="AD51" s="2056">
        <v>65544616.465416744</v>
      </c>
      <c r="AE51" s="2056">
        <v>67193063.569521964</v>
      </c>
      <c r="AF51" s="2056">
        <v>68882969.118295431</v>
      </c>
      <c r="AG51" s="2056">
        <v>70615375.791620567</v>
      </c>
      <c r="AH51" s="2056">
        <v>73108098.557064772</v>
      </c>
      <c r="AI51" s="2056">
        <v>75688814.436129138</v>
      </c>
      <c r="AJ51" s="2056">
        <v>77592388.119197771</v>
      </c>
      <c r="AK51" s="2056">
        <v>79543836.680395603</v>
      </c>
      <c r="AL51" s="2056">
        <v>81544364.172907546</v>
      </c>
      <c r="AM51" s="2056">
        <v>83595204.931856155</v>
      </c>
      <c r="AN51" s="2056">
        <v>85697624.335892335</v>
      </c>
      <c r="AO51" s="2056">
        <v>87852919.587940007</v>
      </c>
    </row>
    <row r="52" spans="1:73">
      <c r="A52" s="1084" t="s">
        <v>1994</v>
      </c>
      <c r="B52" s="1080"/>
      <c r="C52" s="1081">
        <v>16295</v>
      </c>
      <c r="D52" s="1085">
        <v>17270611.02</v>
      </c>
      <c r="E52" s="1082">
        <v>19305</v>
      </c>
      <c r="F52" s="1085">
        <v>19500592.379999999</v>
      </c>
      <c r="G52" s="1083">
        <v>20730.84152050432</v>
      </c>
      <c r="H52" s="2056">
        <v>20872915.789999999</v>
      </c>
      <c r="I52" s="2057"/>
      <c r="J52" s="2056">
        <v>20957610.121258549</v>
      </c>
      <c r="K52" s="2056">
        <v>21484476.259591561</v>
      </c>
      <c r="L52" s="2056">
        <v>21806933.049901936</v>
      </c>
      <c r="M52" s="2056">
        <v>22354773.510102764</v>
      </c>
      <c r="N52" s="2056">
        <v>22916182.429069698</v>
      </c>
      <c r="O52" s="2056">
        <v>23491492.887070097</v>
      </c>
      <c r="P52" s="2056">
        <v>23844957.410862595</v>
      </c>
      <c r="Q52" s="2056">
        <v>23963901.887780041</v>
      </c>
      <c r="R52" s="2056">
        <v>24083243.221103113</v>
      </c>
      <c r="S52" s="2056">
        <v>24204632.278271861</v>
      </c>
      <c r="T52" s="2056">
        <v>24324773.287173674</v>
      </c>
      <c r="U52" s="2056">
        <v>24446966.018299058</v>
      </c>
      <c r="V52" s="2056">
        <v>24569563.602685317</v>
      </c>
      <c r="W52" s="2056">
        <v>24692568.06459875</v>
      </c>
      <c r="X52" s="3884">
        <v>25064141.252811268</v>
      </c>
      <c r="Y52" s="2056">
        <v>25441356.578666076</v>
      </c>
      <c r="Z52" s="2056">
        <v>25824248.995174997</v>
      </c>
      <c r="AA52" s="2056">
        <v>26472437.644953884</v>
      </c>
      <c r="AB52" s="2056">
        <v>26870847.83151044</v>
      </c>
      <c r="AC52" s="2056">
        <v>27275254.091374669</v>
      </c>
      <c r="AD52" s="2056">
        <v>27685746.665449854</v>
      </c>
      <c r="AE52" s="2056">
        <v>28102417.152764872</v>
      </c>
      <c r="AF52" s="2056">
        <v>28525358.530913983</v>
      </c>
      <c r="AG52" s="2056">
        <v>28954665.176804233</v>
      </c>
      <c r="AH52" s="2056">
        <v>29681427.272742018</v>
      </c>
      <c r="AI52" s="2056">
        <v>30426431.097287837</v>
      </c>
      <c r="AJ52" s="2056">
        <v>30884348.885302018</v>
      </c>
      <c r="AK52" s="2056">
        <v>31349158.336025812</v>
      </c>
      <c r="AL52" s="2056">
        <v>31820963.168983001</v>
      </c>
      <c r="AM52" s="2056">
        <v>32299868.664676193</v>
      </c>
      <c r="AN52" s="2056">
        <v>32785981.688079569</v>
      </c>
      <c r="AO52" s="2056">
        <v>33279410.712485161</v>
      </c>
    </row>
    <row r="53" spans="1:73">
      <c r="A53" s="1084" t="s">
        <v>1995</v>
      </c>
      <c r="B53" s="1080"/>
      <c r="C53" s="1081">
        <v>74372</v>
      </c>
      <c r="D53" s="1085">
        <v>82185151.390000001</v>
      </c>
      <c r="E53" s="1082">
        <v>95795</v>
      </c>
      <c r="F53" s="1085">
        <v>87492420.109999999</v>
      </c>
      <c r="G53" s="1083">
        <v>88571.728334636064</v>
      </c>
      <c r="H53" s="2056">
        <v>88107396.670000002</v>
      </c>
      <c r="I53" s="2057"/>
      <c r="J53" s="2056">
        <v>98326945.051108122</v>
      </c>
      <c r="K53" s="2056">
        <v>103577588.7930845</v>
      </c>
      <c r="L53" s="2056">
        <v>111476383.22295658</v>
      </c>
      <c r="M53" s="2056">
        <v>118826214.9701964</v>
      </c>
      <c r="N53" s="2056">
        <v>125867240.94195192</v>
      </c>
      <c r="O53" s="2056">
        <v>130773490.21671863</v>
      </c>
      <c r="P53" s="2056">
        <v>134730176.24539846</v>
      </c>
      <c r="Q53" s="2056">
        <v>136909243.29487965</v>
      </c>
      <c r="R53" s="2056">
        <v>139021473.09206095</v>
      </c>
      <c r="S53" s="2056">
        <v>141232069.84772232</v>
      </c>
      <c r="T53" s="2056">
        <v>143583440.9944759</v>
      </c>
      <c r="U53" s="2056">
        <v>145774980.40018505</v>
      </c>
      <c r="V53" s="2056">
        <v>147909779.38125011</v>
      </c>
      <c r="W53" s="2056">
        <v>150151235.6464459</v>
      </c>
      <c r="X53" s="3884">
        <v>153863015.79878303</v>
      </c>
      <c r="Y53" s="2056">
        <v>157980524.65240738</v>
      </c>
      <c r="Z53" s="2056">
        <v>162211700.09886771</v>
      </c>
      <c r="AA53" s="2056">
        <v>168208856.08985078</v>
      </c>
      <c r="AB53" s="2056">
        <v>172721319.04892635</v>
      </c>
      <c r="AC53" s="2056">
        <v>177358573.07313308</v>
      </c>
      <c r="AD53" s="2056">
        <v>182124144.13039434</v>
      </c>
      <c r="AE53" s="2056">
        <v>187021659.34723881</v>
      </c>
      <c r="AF53" s="2056">
        <v>192054849.94327173</v>
      </c>
      <c r="AG53" s="2056">
        <v>197227554.25147158</v>
      </c>
      <c r="AH53" s="2056">
        <v>204549104.20136264</v>
      </c>
      <c r="AI53" s="2056">
        <v>212146761.17684457</v>
      </c>
      <c r="AJ53" s="2056">
        <v>217873901.32204106</v>
      </c>
      <c r="AK53" s="2056">
        <v>223760147.63444862</v>
      </c>
      <c r="AL53" s="2056">
        <v>229810010.50893095</v>
      </c>
      <c r="AM53" s="2056">
        <v>236028130.05563006</v>
      </c>
      <c r="AN53" s="2056">
        <v>242419279.86966634</v>
      </c>
      <c r="AO53" s="2056">
        <v>248988370.9112471</v>
      </c>
    </row>
    <row r="54" spans="1:73">
      <c r="A54" s="1084" t="s">
        <v>1996</v>
      </c>
      <c r="B54" s="1080"/>
      <c r="C54" s="1081">
        <v>981</v>
      </c>
      <c r="D54" s="1085">
        <v>1005697.71</v>
      </c>
      <c r="E54" s="1082">
        <v>862</v>
      </c>
      <c r="F54" s="1085">
        <v>1019343.15</v>
      </c>
      <c r="G54" s="1083">
        <v>969.32438990404444</v>
      </c>
      <c r="H54" s="2056">
        <v>1033363.04</v>
      </c>
      <c r="I54" s="2057"/>
      <c r="J54" s="2056">
        <v>911398.79457242333</v>
      </c>
      <c r="K54" s="2056">
        <v>929626.77046387177</v>
      </c>
      <c r="L54" s="2056">
        <v>938923.03816851054</v>
      </c>
      <c r="M54" s="2056">
        <v>957701.49893188081</v>
      </c>
      <c r="N54" s="2056">
        <v>976855.52891051851</v>
      </c>
      <c r="O54" s="2056">
        <v>996392.63948872883</v>
      </c>
      <c r="P54" s="2056">
        <v>1006356.565883616</v>
      </c>
      <c r="Q54" s="2056">
        <v>1006356.565883616</v>
      </c>
      <c r="R54" s="2056">
        <v>1006356.565883616</v>
      </c>
      <c r="S54" s="2056">
        <v>1006356.565883616</v>
      </c>
      <c r="T54" s="2056">
        <v>1006356.565883616</v>
      </c>
      <c r="U54" s="2056">
        <v>1006356.565883616</v>
      </c>
      <c r="V54" s="2056">
        <v>1006356.565883616</v>
      </c>
      <c r="W54" s="2056">
        <v>1006356.565883616</v>
      </c>
      <c r="X54" s="3884">
        <v>1016420.1315424523</v>
      </c>
      <c r="Y54" s="2056">
        <v>1026584.3328578767</v>
      </c>
      <c r="Z54" s="2056">
        <v>1036850.1761864554</v>
      </c>
      <c r="AA54" s="2056">
        <v>1057587.1797101847</v>
      </c>
      <c r="AB54" s="2056">
        <v>1068163.0515072865</v>
      </c>
      <c r="AC54" s="2056">
        <v>1078844.6820223595</v>
      </c>
      <c r="AD54" s="2056">
        <v>1089633.1288425829</v>
      </c>
      <c r="AE54" s="2056">
        <v>1100529.4601310089</v>
      </c>
      <c r="AF54" s="2056">
        <v>1111534.7547323189</v>
      </c>
      <c r="AG54" s="2056">
        <v>1122650.1022796421</v>
      </c>
      <c r="AH54" s="2056">
        <v>1145103.1043252349</v>
      </c>
      <c r="AI54" s="2056">
        <v>1168005.1664117395</v>
      </c>
      <c r="AJ54" s="2056">
        <v>1179685.218075857</v>
      </c>
      <c r="AK54" s="2056">
        <v>1191482.0702566158</v>
      </c>
      <c r="AL54" s="2056">
        <v>1203396.8909591818</v>
      </c>
      <c r="AM54" s="2056">
        <v>1215430.8598687735</v>
      </c>
      <c r="AN54" s="2056">
        <v>1227585.1684674614</v>
      </c>
      <c r="AO54" s="2056">
        <v>1239861.020152136</v>
      </c>
    </row>
    <row r="55" spans="1:73">
      <c r="A55" s="1084" t="s">
        <v>1997</v>
      </c>
      <c r="B55" s="1080"/>
      <c r="C55" s="1081">
        <v>86385</v>
      </c>
      <c r="D55" s="1085">
        <v>100546899.45999999</v>
      </c>
      <c r="E55" s="1082">
        <v>36996</v>
      </c>
      <c r="F55" s="1085">
        <v>61782022.190000005</v>
      </c>
      <c r="G55" s="1083">
        <v>49706.005549999994</v>
      </c>
      <c r="H55" s="2056">
        <v>79362805.569999993</v>
      </c>
      <c r="I55" s="2056"/>
      <c r="J55" s="2056">
        <v>80148003.079999998</v>
      </c>
      <c r="K55" s="2056">
        <v>86527745.940000013</v>
      </c>
      <c r="L55" s="2056">
        <v>83584974.424999997</v>
      </c>
      <c r="M55" s="2056">
        <v>79687600.680000007</v>
      </c>
      <c r="N55" s="2056">
        <v>76792478.925000012</v>
      </c>
      <c r="O55" s="2056">
        <v>79323573.267146125</v>
      </c>
      <c r="P55" s="2056">
        <v>81939090.217425913</v>
      </c>
      <c r="Q55" s="2056">
        <v>84641845.623769343</v>
      </c>
      <c r="R55" s="2056">
        <v>87434749.254440695</v>
      </c>
      <c r="S55" s="2056">
        <v>90320807.930675119</v>
      </c>
      <c r="T55" s="2056">
        <v>93303128.763802484</v>
      </c>
      <c r="U55" s="2056">
        <v>96384922.500342205</v>
      </c>
      <c r="V55" s="2056">
        <v>99569506.978671491</v>
      </c>
      <c r="W55" s="2056">
        <v>102860310.70098779</v>
      </c>
      <c r="X55" s="3884">
        <v>106260876.52441099</v>
      </c>
      <c r="Y55" s="2056">
        <v>109774865.47519979</v>
      </c>
      <c r="Z55" s="2056">
        <v>113406060.69018765</v>
      </c>
      <c r="AA55" s="2056">
        <v>117158371.48968261</v>
      </c>
      <c r="AB55" s="2056">
        <v>121035837.58621514</v>
      </c>
      <c r="AC55" s="2056">
        <v>125042633.43366539</v>
      </c>
      <c r="AD55" s="2056">
        <v>129183072.72145221</v>
      </c>
      <c r="AE55" s="2056">
        <v>133461613.01862201</v>
      </c>
      <c r="AF55" s="2056">
        <v>137882860.57283768</v>
      </c>
      <c r="AG55" s="2056">
        <v>142451575.26943368</v>
      </c>
      <c r="AH55" s="2056">
        <v>147172675.75587666</v>
      </c>
      <c r="AI55" s="2056">
        <v>152051244.73714805</v>
      </c>
      <c r="AJ55" s="2056">
        <v>157092534.44775015</v>
      </c>
      <c r="AK55" s="2056">
        <v>162301972.30622631</v>
      </c>
      <c r="AL55" s="2056">
        <v>167685166.75828311</v>
      </c>
      <c r="AM55" s="2056">
        <v>173247913.31480551</v>
      </c>
      <c r="AN55" s="2056">
        <v>178996200.79126444</v>
      </c>
      <c r="AO55" s="2056">
        <v>184936217.75523558</v>
      </c>
    </row>
    <row r="56" spans="1:73">
      <c r="A56" s="1020" t="s">
        <v>1998</v>
      </c>
      <c r="B56" s="1040"/>
      <c r="C56" s="1041">
        <v>3027</v>
      </c>
      <c r="D56" s="1042">
        <v>3415104.6</v>
      </c>
      <c r="E56" s="1043">
        <v>3518</v>
      </c>
      <c r="F56" s="1042">
        <v>3832582.0900000003</v>
      </c>
      <c r="G56" s="1044">
        <v>3783.8249999999998</v>
      </c>
      <c r="H56" s="2052">
        <v>4403766.55</v>
      </c>
      <c r="I56" s="2052"/>
      <c r="J56" s="2052">
        <v>4447804.67</v>
      </c>
      <c r="K56" s="2052">
        <v>4492282.7166999998</v>
      </c>
      <c r="L56" s="2052">
        <v>4537205.5438669994</v>
      </c>
      <c r="M56" s="2052">
        <v>4582577.5993056698</v>
      </c>
      <c r="N56" s="2052">
        <v>4628403.3752987264</v>
      </c>
      <c r="O56" s="2052">
        <v>4674687.4090517135</v>
      </c>
      <c r="P56" s="2052">
        <v>4721434.2831422305</v>
      </c>
      <c r="Q56" s="2052">
        <v>4768648.625973653</v>
      </c>
      <c r="R56" s="2052">
        <v>4816335.1122333892</v>
      </c>
      <c r="S56" s="2052">
        <v>4864498.4633557228</v>
      </c>
      <c r="T56" s="2052">
        <v>4913143.4479892803</v>
      </c>
      <c r="U56" s="2052">
        <v>4962274.8824691735</v>
      </c>
      <c r="V56" s="2052">
        <v>5011897.6312938649</v>
      </c>
      <c r="W56" s="2052">
        <v>5062016.607606804</v>
      </c>
      <c r="X56" s="3884">
        <v>5112636.7736828718</v>
      </c>
      <c r="Y56" s="2052">
        <v>5163763.1414197003</v>
      </c>
      <c r="Z56" s="2052">
        <v>5215400.7728338977</v>
      </c>
      <c r="AA56" s="2052">
        <v>5267554.7805622369</v>
      </c>
      <c r="AB56" s="2052">
        <v>5320230.3283678591</v>
      </c>
      <c r="AC56" s="2052">
        <v>5373432.6316515375</v>
      </c>
      <c r="AD56" s="2052">
        <v>5427166.9579680525</v>
      </c>
      <c r="AE56" s="2052">
        <v>5481438.6275477335</v>
      </c>
      <c r="AF56" s="2052">
        <v>5536253.0138232112</v>
      </c>
      <c r="AG56" s="2052">
        <v>5591615.543961443</v>
      </c>
      <c r="AH56" s="2052">
        <v>5647531.6994010573</v>
      </c>
      <c r="AI56" s="2052">
        <v>5704007.0163950678</v>
      </c>
      <c r="AJ56" s="2052">
        <v>5761047.0865590181</v>
      </c>
      <c r="AK56" s="2052">
        <v>5818657.5574246086</v>
      </c>
      <c r="AL56" s="2052">
        <v>5876844.1329988549</v>
      </c>
      <c r="AM56" s="2052">
        <v>5935612.5743288435</v>
      </c>
      <c r="AN56" s="2052">
        <v>5994968.7000721321</v>
      </c>
      <c r="AO56" s="2052">
        <v>6054918.3870728537</v>
      </c>
    </row>
    <row r="57" spans="1:73">
      <c r="A57" s="1020" t="s">
        <v>1999</v>
      </c>
      <c r="B57" s="1040"/>
      <c r="C57" s="1041">
        <v>10786</v>
      </c>
      <c r="D57" s="1042">
        <v>1295149.3700000001</v>
      </c>
      <c r="E57" s="1043">
        <v>1300</v>
      </c>
      <c r="F57" s="1042">
        <v>1373408.47</v>
      </c>
      <c r="G57" s="1044">
        <v>1391.2529999999997</v>
      </c>
      <c r="H57" s="2052">
        <v>1514941.95</v>
      </c>
      <c r="I57" s="2052"/>
      <c r="J57" s="2052">
        <v>1355433.4030124999</v>
      </c>
      <c r="K57" s="2052">
        <v>1375764.9040576871</v>
      </c>
      <c r="L57" s="2052">
        <v>1396401.3776185524</v>
      </c>
      <c r="M57" s="2052">
        <v>1417347.3982828304</v>
      </c>
      <c r="N57" s="2052">
        <v>1438607.6092570729</v>
      </c>
      <c r="O57" s="2052">
        <v>1460186.7233959287</v>
      </c>
      <c r="P57" s="2052">
        <v>1482089.5242468675</v>
      </c>
      <c r="Q57" s="2052">
        <v>1504320.8671105707</v>
      </c>
      <c r="R57" s="2052">
        <v>1526885.6801172288</v>
      </c>
      <c r="S57" s="2052">
        <v>1549788.9653189871</v>
      </c>
      <c r="T57" s="2052">
        <v>1573035.7997987717</v>
      </c>
      <c r="U57" s="2052">
        <v>1596631.3367957533</v>
      </c>
      <c r="V57" s="2052">
        <v>1620580.8068476894</v>
      </c>
      <c r="W57" s="2052">
        <v>1644889.5189504044</v>
      </c>
      <c r="X57" s="3884">
        <v>1669562.8617346606</v>
      </c>
      <c r="Y57" s="2052">
        <v>1694606.3046606802</v>
      </c>
      <c r="Z57" s="2052">
        <v>1720025.3992305901</v>
      </c>
      <c r="AA57" s="2052">
        <v>1745825.7802190492</v>
      </c>
      <c r="AB57" s="2052">
        <v>1772013.1669223346</v>
      </c>
      <c r="AC57" s="2052">
        <v>1798593.3644261695</v>
      </c>
      <c r="AD57" s="2052">
        <v>1825572.2648925618</v>
      </c>
      <c r="AE57" s="2052">
        <v>1852955.84886595</v>
      </c>
      <c r="AF57" s="2052">
        <v>1880750.1865989391</v>
      </c>
      <c r="AG57" s="2052">
        <v>1908961.4393979229</v>
      </c>
      <c r="AH57" s="2052">
        <v>1937595.8609888917</v>
      </c>
      <c r="AI57" s="2052">
        <v>1966659.7989037249</v>
      </c>
      <c r="AJ57" s="2052">
        <v>1996159.6958872806</v>
      </c>
      <c r="AK57" s="2052">
        <v>2026102.0913255897</v>
      </c>
      <c r="AL57" s="2052">
        <v>2056493.622695473</v>
      </c>
      <c r="AM57" s="2052">
        <v>2087341.027035905</v>
      </c>
      <c r="AN57" s="2052">
        <v>2118651.1424414436</v>
      </c>
      <c r="AO57" s="2052">
        <v>2150430.9095780649</v>
      </c>
    </row>
    <row r="58" spans="1:73">
      <c r="A58" s="1020" t="s">
        <v>2000</v>
      </c>
      <c r="B58" s="1040"/>
      <c r="C58" s="1041">
        <v>8871</v>
      </c>
      <c r="D58" s="1042">
        <v>8660241</v>
      </c>
      <c r="E58" s="1043">
        <v>1850</v>
      </c>
      <c r="F58" s="1042">
        <v>3847423.78</v>
      </c>
      <c r="G58" s="1044">
        <v>1850</v>
      </c>
      <c r="H58" s="2052">
        <v>11966255.630000001</v>
      </c>
      <c r="I58" s="2052"/>
      <c r="J58" s="2052">
        <v>26929447.538589526</v>
      </c>
      <c r="K58" s="2052">
        <v>14616855.670935536</v>
      </c>
      <c r="L58" s="2052">
        <v>19803543.492444742</v>
      </c>
      <c r="M58" s="2052">
        <v>11613574.382100558</v>
      </c>
      <c r="N58" s="2052">
        <v>3744649.6412778571</v>
      </c>
      <c r="O58" s="2052">
        <v>2291704.0001661079</v>
      </c>
      <c r="P58" s="2052">
        <v>2302016.6681668554</v>
      </c>
      <c r="Q58" s="2052">
        <v>2312375.7431736062</v>
      </c>
      <c r="R58" s="2052">
        <v>2322781.4340178873</v>
      </c>
      <c r="S58" s="2052">
        <v>2333233.9504709677</v>
      </c>
      <c r="T58" s="2052">
        <v>2343733.5032480871</v>
      </c>
      <c r="U58" s="2052">
        <v>2354280.3040127032</v>
      </c>
      <c r="V58" s="2052">
        <v>2364874.5653807605</v>
      </c>
      <c r="W58" s="2052">
        <v>2375516.5009249737</v>
      </c>
      <c r="X58" s="3884">
        <v>2386206.3251791359</v>
      </c>
      <c r="Y58" s="2052">
        <v>2396944.2536424417</v>
      </c>
      <c r="Z58" s="2052">
        <v>2407730.5027838326</v>
      </c>
      <c r="AA58" s="2052">
        <v>2418565.2900463599</v>
      </c>
      <c r="AB58" s="2052">
        <v>2429448.8338515684</v>
      </c>
      <c r="AC58" s="2052">
        <v>2440381.3536039004</v>
      </c>
      <c r="AD58" s="2052">
        <v>2451363.0696951179</v>
      </c>
      <c r="AE58" s="2052">
        <v>2462394.2035087459</v>
      </c>
      <c r="AF58" s="2052">
        <v>2473474.977424535</v>
      </c>
      <c r="AG58" s="2052">
        <v>2484605.6148229451</v>
      </c>
      <c r="AH58" s="2052">
        <v>2495786.340089648</v>
      </c>
      <c r="AI58" s="2052">
        <v>2507017.3786200513</v>
      </c>
      <c r="AJ58" s="2052">
        <v>2518298.9568238412</v>
      </c>
      <c r="AK58" s="2052">
        <v>2529631.3021295485</v>
      </c>
      <c r="AL58" s="2052">
        <v>2541014.6429891312</v>
      </c>
      <c r="AM58" s="2052">
        <v>2552449.2088825819</v>
      </c>
      <c r="AN58" s="2052">
        <v>2563935.2303225533</v>
      </c>
      <c r="AO58" s="2052">
        <v>2575473.9388590045</v>
      </c>
    </row>
    <row r="59" spans="1:73" ht="16.5" thickBot="1">
      <c r="A59" s="1046" t="s">
        <v>387</v>
      </c>
      <c r="B59" s="1047"/>
      <c r="C59" s="1086">
        <v>286216</v>
      </c>
      <c r="D59" s="1087">
        <v>301725776.72237885</v>
      </c>
      <c r="E59" s="1061">
        <v>251478</v>
      </c>
      <c r="F59" s="1087">
        <v>260518630.34927863</v>
      </c>
      <c r="G59" s="1062">
        <v>260645.0029567297</v>
      </c>
      <c r="H59" s="1087">
        <f>SUM(H49:H58)</f>
        <v>302393637.09000003</v>
      </c>
      <c r="I59" s="1087"/>
      <c r="J59" s="1087">
        <f>SUM(J49:J58)</f>
        <v>338416748.42114091</v>
      </c>
      <c r="K59" s="1087">
        <f t="shared" ref="K59:AO59" si="7">SUM(K49:K58)</f>
        <v>326027033.77245468</v>
      </c>
      <c r="L59" s="1087">
        <f t="shared" si="7"/>
        <v>335016345.12678581</v>
      </c>
      <c r="M59" s="1087">
        <f t="shared" si="7"/>
        <v>330485759.66946161</v>
      </c>
      <c r="N59" s="1087">
        <f t="shared" si="7"/>
        <v>325981145.93402898</v>
      </c>
      <c r="O59" s="1087">
        <f t="shared" si="7"/>
        <v>333093323.49838728</v>
      </c>
      <c r="P59" s="1087">
        <f t="shared" si="7"/>
        <v>340544446.49911457</v>
      </c>
      <c r="Q59" s="1087">
        <f t="shared" si="7"/>
        <v>344384226.47655332</v>
      </c>
      <c r="R59" s="1087">
        <f t="shared" si="7"/>
        <v>349550227.86553204</v>
      </c>
      <c r="S59" s="1087">
        <f t="shared" si="7"/>
        <v>353371962.04033464</v>
      </c>
      <c r="T59" s="1087">
        <f t="shared" si="7"/>
        <v>359271543.95772642</v>
      </c>
      <c r="U59" s="1087">
        <f t="shared" si="7"/>
        <v>364599083.32171553</v>
      </c>
      <c r="V59" s="1087">
        <f t="shared" si="7"/>
        <v>370011626.18109208</v>
      </c>
      <c r="W59" s="1087">
        <f t="shared" si="7"/>
        <v>374909536.71266592</v>
      </c>
      <c r="X59" s="3893">
        <f t="shared" si="7"/>
        <v>383601333.94218987</v>
      </c>
      <c r="Y59" s="1087">
        <f t="shared" si="7"/>
        <v>392191813.50747949</v>
      </c>
      <c r="Z59" s="1087">
        <f t="shared" si="7"/>
        <v>401077849.29350549</v>
      </c>
      <c r="AA59" s="1087">
        <f t="shared" si="7"/>
        <v>412064199.77983516</v>
      </c>
      <c r="AB59" s="1087">
        <f t="shared" si="7"/>
        <v>421086506.79273176</v>
      </c>
      <c r="AC59" s="1087">
        <f t="shared" si="7"/>
        <v>430635604.6359939</v>
      </c>
      <c r="AD59" s="1087">
        <f t="shared" si="7"/>
        <v>440650847.47348768</v>
      </c>
      <c r="AE59" s="1087">
        <f t="shared" si="7"/>
        <v>450864230.44669217</v>
      </c>
      <c r="AF59" s="1087">
        <f t="shared" si="7"/>
        <v>461169860.82293648</v>
      </c>
      <c r="AG59" s="1087">
        <f t="shared" si="7"/>
        <v>472171903.85263073</v>
      </c>
      <c r="AH59" s="1087">
        <f t="shared" si="7"/>
        <v>485980774.14986056</v>
      </c>
      <c r="AI59" s="1087">
        <f t="shared" si="7"/>
        <v>500947839.40766406</v>
      </c>
      <c r="AJ59" s="1087">
        <f t="shared" si="7"/>
        <v>511894862.63696927</v>
      </c>
      <c r="AK59" s="1087">
        <f t="shared" si="7"/>
        <v>524518632.60987163</v>
      </c>
      <c r="AL59" s="1087">
        <f t="shared" si="7"/>
        <v>537310363.53804553</v>
      </c>
      <c r="AM59" s="1087">
        <f t="shared" si="7"/>
        <v>549759339.86019707</v>
      </c>
      <c r="AN59" s="1087">
        <f t="shared" si="7"/>
        <v>562397193.96962798</v>
      </c>
      <c r="AO59" s="1087">
        <f t="shared" si="7"/>
        <v>570569383.37540936</v>
      </c>
    </row>
    <row r="60" spans="1:73" ht="16.5" thickTop="1">
      <c r="A60" s="1052"/>
      <c r="B60" s="1053"/>
      <c r="C60" s="1054"/>
      <c r="D60" s="1054"/>
      <c r="E60" s="1055"/>
      <c r="F60" s="1054"/>
      <c r="G60" s="1056"/>
      <c r="H60" s="1054"/>
      <c r="I60" s="1054"/>
      <c r="J60" s="1054"/>
      <c r="K60" s="1054"/>
      <c r="L60" s="1054"/>
      <c r="M60" s="1054"/>
      <c r="N60" s="1054"/>
      <c r="O60" s="1054"/>
      <c r="P60" s="1054"/>
      <c r="Q60" s="1054"/>
      <c r="R60" s="1054"/>
      <c r="S60" s="1054"/>
      <c r="T60" s="1054"/>
      <c r="U60" s="1054"/>
      <c r="V60" s="1054"/>
      <c r="W60" s="1054"/>
      <c r="X60" s="3889"/>
      <c r="Y60" s="1054"/>
      <c r="Z60" s="1054"/>
      <c r="AA60" s="1054"/>
      <c r="AB60" s="1054"/>
      <c r="AC60" s="1054"/>
      <c r="AD60" s="1054"/>
      <c r="AE60" s="1054"/>
      <c r="AF60" s="1054"/>
      <c r="AG60" s="1054"/>
      <c r="AH60" s="1054"/>
      <c r="AI60" s="1054"/>
      <c r="AJ60" s="1054"/>
      <c r="AK60" s="1054"/>
      <c r="AL60" s="1054"/>
      <c r="AM60" s="1054"/>
      <c r="AN60" s="1054"/>
      <c r="AO60" s="1054"/>
    </row>
    <row r="61" spans="1:73">
      <c r="A61" s="1063"/>
      <c r="B61" s="1071"/>
      <c r="C61" s="1054"/>
      <c r="D61" s="1054"/>
      <c r="E61" s="1055"/>
      <c r="F61" s="1088"/>
      <c r="G61" s="1056"/>
      <c r="H61" s="1054"/>
      <c r="I61" s="1054"/>
      <c r="J61" s="1054"/>
      <c r="K61" s="1054"/>
      <c r="L61" s="1054"/>
      <c r="M61" s="1054"/>
      <c r="N61" s="1054"/>
      <c r="O61" s="1054"/>
      <c r="P61" s="1054"/>
      <c r="Q61" s="1054"/>
      <c r="R61" s="1054"/>
      <c r="S61" s="1054"/>
      <c r="T61" s="1054"/>
      <c r="U61" s="1054"/>
      <c r="V61" s="1054"/>
      <c r="W61" s="1054"/>
      <c r="X61" s="3889"/>
      <c r="Y61" s="1054"/>
      <c r="Z61" s="1054"/>
      <c r="AA61" s="1054"/>
      <c r="AB61" s="1054"/>
      <c r="AC61" s="1054"/>
      <c r="AD61" s="1054"/>
      <c r="AE61" s="1054"/>
      <c r="AF61" s="1054"/>
      <c r="AG61" s="1054"/>
      <c r="AH61" s="1054"/>
      <c r="AI61" s="1054"/>
      <c r="AJ61" s="1054"/>
      <c r="AK61" s="1054"/>
      <c r="AL61" s="1054"/>
      <c r="AM61" s="1054"/>
      <c r="AN61" s="1054"/>
      <c r="AO61" s="1054"/>
    </row>
    <row r="62" spans="1:73">
      <c r="A62" s="1074" t="s">
        <v>2001</v>
      </c>
      <c r="B62" s="1040"/>
      <c r="C62" s="1020"/>
      <c r="D62" s="1089"/>
      <c r="E62" s="1090"/>
      <c r="F62" s="1089"/>
      <c r="G62" s="1044"/>
      <c r="H62" s="1089"/>
      <c r="I62" s="1089"/>
      <c r="J62" s="1089"/>
      <c r="K62" s="1089"/>
      <c r="L62" s="1089"/>
      <c r="M62" s="1089"/>
      <c r="N62" s="1089"/>
      <c r="O62" s="1089"/>
      <c r="P62" s="1089"/>
      <c r="Q62" s="1089"/>
      <c r="R62" s="1089"/>
      <c r="S62" s="1089"/>
      <c r="T62" s="1089"/>
      <c r="U62" s="1089"/>
      <c r="V62" s="1089"/>
      <c r="W62" s="1089"/>
      <c r="X62" s="3894"/>
      <c r="Y62" s="1089"/>
      <c r="Z62" s="1089"/>
      <c r="AA62" s="1089"/>
      <c r="AB62" s="1089"/>
      <c r="AC62" s="1089"/>
      <c r="AD62" s="1089"/>
      <c r="AE62" s="1089"/>
      <c r="AF62" s="1089"/>
      <c r="AG62" s="1089"/>
      <c r="AH62" s="1089"/>
      <c r="AI62" s="1089"/>
      <c r="AJ62" s="1089"/>
      <c r="AK62" s="1089"/>
      <c r="AL62" s="1089"/>
      <c r="AM62" s="1089"/>
      <c r="AN62" s="1089"/>
      <c r="AO62" s="1089"/>
    </row>
    <row r="63" spans="1:73">
      <c r="A63" s="1091" t="s">
        <v>717</v>
      </c>
      <c r="B63" s="1092"/>
      <c r="C63" s="1020"/>
      <c r="D63" s="1020"/>
      <c r="E63" s="1017"/>
      <c r="F63" s="1093"/>
      <c r="G63" s="1044"/>
      <c r="H63" s="1042"/>
      <c r="I63" s="1093"/>
      <c r="J63" s="1093"/>
      <c r="K63" s="1093"/>
      <c r="L63" s="1093"/>
      <c r="M63" s="1093"/>
      <c r="N63" s="1020"/>
      <c r="O63" s="1020"/>
      <c r="P63" s="1020"/>
      <c r="Q63" s="1020"/>
      <c r="R63" s="1020"/>
      <c r="S63" s="1020"/>
      <c r="T63" s="1020"/>
      <c r="U63" s="1020"/>
      <c r="V63" s="1020"/>
      <c r="W63" s="1020"/>
      <c r="X63" s="3881"/>
      <c r="Y63" s="1020"/>
      <c r="Z63" s="1020"/>
      <c r="AA63" s="1020"/>
      <c r="AB63" s="1020"/>
      <c r="AC63" s="1020"/>
      <c r="AD63" s="1020"/>
      <c r="AE63" s="1020"/>
      <c r="AF63" s="1020"/>
      <c r="AG63" s="1020"/>
      <c r="AH63" s="1020"/>
      <c r="AI63" s="1020"/>
      <c r="AJ63" s="1020"/>
      <c r="AK63" s="1020"/>
      <c r="AL63" s="1020"/>
      <c r="AM63" s="1020"/>
      <c r="AN63" s="1020"/>
      <c r="AO63" s="1020"/>
    </row>
    <row r="64" spans="1:73">
      <c r="A64" s="1020" t="s">
        <v>2002</v>
      </c>
      <c r="B64" s="1040"/>
      <c r="C64" s="1041">
        <v>59000</v>
      </c>
      <c r="D64" s="1042">
        <v>46926809.930000007</v>
      </c>
      <c r="E64" s="1043">
        <v>10475.044</v>
      </c>
      <c r="F64" s="1042">
        <v>17074105.260307908</v>
      </c>
      <c r="G64" s="1044">
        <v>16137.767514000003</v>
      </c>
      <c r="H64" s="2052">
        <v>30634411.129999999</v>
      </c>
      <c r="I64" s="2052"/>
      <c r="J64" s="2052">
        <v>46740824.175999999</v>
      </c>
      <c r="K64" s="2052">
        <v>20737954.330329888</v>
      </c>
      <c r="L64" s="2052">
        <v>18168548.047584962</v>
      </c>
      <c r="M64" s="2052">
        <v>19319432.966760218</v>
      </c>
      <c r="N64" s="2052">
        <v>20072933.053828735</v>
      </c>
      <c r="O64" s="2052">
        <v>20846019.069163069</v>
      </c>
      <c r="P64" s="2052">
        <v>21560134.091323059</v>
      </c>
      <c r="Q64" s="2052">
        <v>22471548.20627369</v>
      </c>
      <c r="R64" s="2052">
        <v>23306513.943893317</v>
      </c>
      <c r="S64" s="2052">
        <v>24181620.158013377</v>
      </c>
      <c r="T64" s="2052">
        <v>25083062.139080971</v>
      </c>
      <c r="U64" s="2052">
        <v>26034794.027766712</v>
      </c>
      <c r="V64" s="2052">
        <v>27015418.088504139</v>
      </c>
      <c r="W64" s="2052">
        <v>28042911.938736852</v>
      </c>
      <c r="X64" s="3884">
        <v>29045851.771676511</v>
      </c>
      <c r="Y64" s="2052">
        <v>30156217.93752091</v>
      </c>
      <c r="Z64" s="2052">
        <v>31282393.655658923</v>
      </c>
      <c r="AA64" s="2052">
        <v>32452866.643349841</v>
      </c>
      <c r="AB64" s="2052">
        <v>33669339.822464772</v>
      </c>
      <c r="AC64" s="2052">
        <v>34933580.438224234</v>
      </c>
      <c r="AD64" s="2052">
        <v>36247422.455757983</v>
      </c>
      <c r="AE64" s="2052">
        <v>37612769.044980504</v>
      </c>
      <c r="AF64" s="2052">
        <v>39031595.157007016</v>
      </c>
      <c r="AG64" s="2052">
        <v>40505950.195452079</v>
      </c>
      <c r="AH64" s="2052">
        <v>42037960.786075614</v>
      </c>
      <c r="AI64" s="2052">
        <v>43629833.648364164</v>
      </c>
      <c r="AJ64" s="2052">
        <v>45283858.572765417</v>
      </c>
      <c r="AK64" s="2052">
        <v>47002411.507431276</v>
      </c>
      <c r="AL64" s="2052">
        <v>48787957.758461401</v>
      </c>
      <c r="AM64" s="2052">
        <v>50643055.307785675</v>
      </c>
      <c r="AN64" s="2052">
        <v>52570358.252971858</v>
      </c>
      <c r="AO64" s="2052">
        <v>54572620.37340121</v>
      </c>
      <c r="AR64" s="1541">
        <f>K64/J64-1</f>
        <v>-0.55632031107876356</v>
      </c>
      <c r="AS64" s="1541">
        <f t="shared" ref="AS64:BU64" si="8">L64/K64-1</f>
        <v>-0.12389873378142657</v>
      </c>
      <c r="AT64" s="1541">
        <f t="shared" si="8"/>
        <v>6.3344903299977107E-2</v>
      </c>
      <c r="AU64" s="1541">
        <f t="shared" si="8"/>
        <v>3.9002184399766771E-2</v>
      </c>
      <c r="AV64" s="1541">
        <f t="shared" si="8"/>
        <v>3.8513854116943635E-2</v>
      </c>
      <c r="AW64" s="1541">
        <f t="shared" si="8"/>
        <v>3.4256661657590115E-2</v>
      </c>
      <c r="AX64" s="1541">
        <f t="shared" si="8"/>
        <v>4.2273119039525353E-2</v>
      </c>
      <c r="AY64" s="1541">
        <f t="shared" si="8"/>
        <v>3.715657372403558E-2</v>
      </c>
      <c r="AZ64" s="1541">
        <f t="shared" si="8"/>
        <v>3.7547709461257739E-2</v>
      </c>
      <c r="BA64" s="1541">
        <f t="shared" si="8"/>
        <v>3.7277981176495834E-2</v>
      </c>
      <c r="BB64" s="1541">
        <f t="shared" si="8"/>
        <v>3.7943209780710196E-2</v>
      </c>
      <c r="BC64" s="1541">
        <f t="shared" si="8"/>
        <v>3.7665904316030563E-2</v>
      </c>
      <c r="BD64" s="1541">
        <f t="shared" si="8"/>
        <v>3.8033609062298357E-2</v>
      </c>
      <c r="BE64" s="1541">
        <f t="shared" si="8"/>
        <v>3.5764468223938417E-2</v>
      </c>
      <c r="BF64" s="1541">
        <f t="shared" si="8"/>
        <v>3.8228046282572814E-2</v>
      </c>
      <c r="BG64" s="1541">
        <f t="shared" si="8"/>
        <v>3.7344726731690203E-2</v>
      </c>
      <c r="BH64" s="1541">
        <f t="shared" si="8"/>
        <v>3.7416349930727844E-2</v>
      </c>
      <c r="BI64" s="1541">
        <f t="shared" si="8"/>
        <v>3.7484305854509348E-2</v>
      </c>
      <c r="BJ64" s="1541">
        <f t="shared" si="8"/>
        <v>3.75487200647735E-2</v>
      </c>
      <c r="BK64" s="1541">
        <f t="shared" si="8"/>
        <v>3.7609715381368369E-2</v>
      </c>
      <c r="BL64" s="1541">
        <f t="shared" si="8"/>
        <v>3.7667411824633845E-2</v>
      </c>
      <c r="BM64" s="1541">
        <f t="shared" si="8"/>
        <v>3.772192657046225E-2</v>
      </c>
      <c r="BN64" s="1541">
        <f t="shared" si="8"/>
        <v>3.7773373917063369E-2</v>
      </c>
      <c r="BO64" s="1541">
        <f t="shared" si="8"/>
        <v>3.7821865262539722E-2</v>
      </c>
      <c r="BP64" s="1541">
        <f t="shared" si="8"/>
        <v>3.7867509092301965E-2</v>
      </c>
      <c r="BQ64" s="1541">
        <f t="shared" si="8"/>
        <v>3.7910410975478648E-2</v>
      </c>
      <c r="BR64" s="1541">
        <f t="shared" si="8"/>
        <v>3.7950673569575821E-2</v>
      </c>
      <c r="BS64" s="1541">
        <f t="shared" si="8"/>
        <v>3.7988396632539168E-2</v>
      </c>
      <c r="BT64" s="1541">
        <f t="shared" si="8"/>
        <v>3.8023677041544968E-2</v>
      </c>
      <c r="BU64" s="1541">
        <f t="shared" si="8"/>
        <v>3.8056608817791604E-2</v>
      </c>
    </row>
    <row r="65" spans="1:79">
      <c r="A65" s="1020" t="s">
        <v>2003</v>
      </c>
      <c r="B65" s="1040"/>
      <c r="C65" s="1041">
        <v>452.09999999999854</v>
      </c>
      <c r="D65" s="1042">
        <v>533195.57999999984</v>
      </c>
      <c r="E65" s="1043">
        <v>543.7724839663166</v>
      </c>
      <c r="F65" s="1042">
        <v>141976.04293602495</v>
      </c>
      <c r="G65" s="1044">
        <v>548.89756332683885</v>
      </c>
      <c r="H65" s="2052">
        <v>464652.82</v>
      </c>
      <c r="I65" s="2052"/>
      <c r="J65" s="2052">
        <v>423152.43937616056</v>
      </c>
      <c r="K65" s="2052">
        <v>435901.30951585073</v>
      </c>
      <c r="L65" s="2052">
        <v>448978.34880132636</v>
      </c>
      <c r="M65" s="2052">
        <v>462447.69926536613</v>
      </c>
      <c r="N65" s="2052">
        <v>476321.13024332712</v>
      </c>
      <c r="O65" s="2052">
        <v>490610.76415062696</v>
      </c>
      <c r="P65" s="2052">
        <v>505329.08707514568</v>
      </c>
      <c r="Q65" s="2052">
        <v>520488.95968740014</v>
      </c>
      <c r="R65" s="2052">
        <v>536103.62847802218</v>
      </c>
      <c r="S65" s="2052">
        <v>552186.73733236291</v>
      </c>
      <c r="T65" s="2052">
        <v>568752.33945233375</v>
      </c>
      <c r="U65" s="2052">
        <v>585814.90963590378</v>
      </c>
      <c r="V65" s="2052">
        <v>603389.356924981</v>
      </c>
      <c r="W65" s="2052">
        <v>621491.03763273032</v>
      </c>
      <c r="X65" s="3884">
        <v>640135.76876171236</v>
      </c>
      <c r="Y65" s="2052">
        <v>659339.8418245638</v>
      </c>
      <c r="Z65" s="2052">
        <v>679120.03707930073</v>
      </c>
      <c r="AA65" s="2052">
        <v>699493.63819167973</v>
      </c>
      <c r="AB65" s="2052">
        <v>720478.4473374302</v>
      </c>
      <c r="AC65" s="2052">
        <v>742092.80075755308</v>
      </c>
      <c r="AD65" s="2052">
        <v>764355.58478027966</v>
      </c>
      <c r="AE65" s="2052">
        <v>787286.25232368789</v>
      </c>
      <c r="AF65" s="2052">
        <v>810904.83989339846</v>
      </c>
      <c r="AG65" s="2052">
        <v>835231.98509020044</v>
      </c>
      <c r="AH65" s="2052">
        <v>860288.94464290654</v>
      </c>
      <c r="AI65" s="2052">
        <v>886097.61298219382</v>
      </c>
      <c r="AJ65" s="2052">
        <v>912680.54137165938</v>
      </c>
      <c r="AK65" s="2052">
        <v>940060.95761280938</v>
      </c>
      <c r="AL65" s="2052">
        <v>968262.78634119383</v>
      </c>
      <c r="AM65" s="2052">
        <v>997310.66993142967</v>
      </c>
      <c r="AN65" s="2052">
        <v>1027229.9900293723</v>
      </c>
      <c r="AO65" s="2052">
        <v>921795.87906041893</v>
      </c>
      <c r="AR65" s="1541">
        <f t="shared" ref="AR65:AR70" si="9">K65/J65-1</f>
        <v>3.0128315361918734E-2</v>
      </c>
      <c r="AS65" s="1541">
        <f t="shared" ref="AS65:AS70" si="10">L65/K65-1</f>
        <v>3.0000000000000249E-2</v>
      </c>
      <c r="AT65" s="1541">
        <f t="shared" ref="AT65:AT70" si="11">M65/L65-1</f>
        <v>3.0000000000000027E-2</v>
      </c>
      <c r="AU65" s="1541">
        <f t="shared" ref="AU65:AU70" si="12">N65/M65-1</f>
        <v>3.0000000000000027E-2</v>
      </c>
      <c r="AV65" s="1541">
        <f t="shared" ref="AV65:AV70" si="13">O65/N65-1</f>
        <v>3.0000000000000027E-2</v>
      </c>
      <c r="AW65" s="1541">
        <f t="shared" ref="AW65:AW70" si="14">P65/O65-1</f>
        <v>2.9999999999999805E-2</v>
      </c>
      <c r="AX65" s="1541">
        <f t="shared" ref="AX65:AX70" si="15">Q65/P65-1</f>
        <v>3.0000000000000249E-2</v>
      </c>
      <c r="AY65" s="1541">
        <f t="shared" ref="AY65:AY70" si="16">R65/Q65-1</f>
        <v>3.0000000000000027E-2</v>
      </c>
      <c r="AZ65" s="1541">
        <f t="shared" ref="AZ65:AZ70" si="17">S65/R65-1</f>
        <v>3.0000000000000027E-2</v>
      </c>
      <c r="BA65" s="1541">
        <f t="shared" ref="BA65:BA70" si="18">T65/S65-1</f>
        <v>2.9999999999999805E-2</v>
      </c>
      <c r="BB65" s="1541">
        <f t="shared" ref="BB65:BB70" si="19">U65/T65-1</f>
        <v>3.0000000000000027E-2</v>
      </c>
      <c r="BC65" s="1541">
        <f t="shared" ref="BC65:BC70" si="20">V65/U65-1</f>
        <v>3.0000000000000249E-2</v>
      </c>
      <c r="BD65" s="1541">
        <f t="shared" ref="BD65:BD70" si="21">W65/V65-1</f>
        <v>2.9999999999999805E-2</v>
      </c>
      <c r="BE65" s="1541">
        <f t="shared" ref="BE65:BE70" si="22">X65/W65-1</f>
        <v>3.0000000000000249E-2</v>
      </c>
      <c r="BF65" s="1541">
        <f t="shared" ref="BF65:BF70" si="23">Y65/X65-1</f>
        <v>3.0000000000000027E-2</v>
      </c>
      <c r="BG65" s="1541">
        <f t="shared" ref="BG65:BG70" si="24">Z65/Y65-1</f>
        <v>3.0000000000000027E-2</v>
      </c>
      <c r="BH65" s="1541">
        <f t="shared" ref="BH65:BH70" si="25">AA65/Z65-1</f>
        <v>3.0000000000000027E-2</v>
      </c>
      <c r="BI65" s="1541">
        <f t="shared" ref="BI65:BI70" si="26">AB65/AA65-1</f>
        <v>3.0000000000000027E-2</v>
      </c>
      <c r="BJ65" s="1541">
        <f t="shared" ref="BJ65:BJ70" si="27">AC65/AB65-1</f>
        <v>3.0000000000000027E-2</v>
      </c>
      <c r="BK65" s="1541">
        <f t="shared" ref="BK65:BK70" si="28">AD65/AC65-1</f>
        <v>3.0000000000000027E-2</v>
      </c>
      <c r="BL65" s="1541">
        <f t="shared" ref="BL65:BL70" si="29">AE65/AD65-1</f>
        <v>2.9999999999999805E-2</v>
      </c>
      <c r="BM65" s="1541">
        <f t="shared" ref="BM65:BM70" si="30">AF65/AE65-1</f>
        <v>2.9999999999999805E-2</v>
      </c>
      <c r="BN65" s="1541">
        <f t="shared" ref="BN65:BN70" si="31">AG65/AF65-1</f>
        <v>3.0000000000000027E-2</v>
      </c>
      <c r="BO65" s="1541">
        <f t="shared" ref="BO65:BO70" si="32">AH65/AG65-1</f>
        <v>3.0000000000000027E-2</v>
      </c>
      <c r="BP65" s="1541">
        <f t="shared" ref="BP65:BP70" si="33">AI65/AH65-1</f>
        <v>3.0000000000000027E-2</v>
      </c>
      <c r="BQ65" s="1541">
        <f t="shared" ref="BQ65:BQ70" si="34">AJ65/AI65-1</f>
        <v>2.9999999999999805E-2</v>
      </c>
      <c r="BR65" s="1541">
        <f t="shared" ref="BR65:BR70" si="35">AK65/AJ65-1</f>
        <v>3.0000000000000249E-2</v>
      </c>
      <c r="BS65" s="1541">
        <f t="shared" ref="BS65:BS70" si="36">AL65/AK65-1</f>
        <v>3.0000000000000249E-2</v>
      </c>
      <c r="BT65" s="1541">
        <f t="shared" ref="BT65:BT70" si="37">AM65/AL65-1</f>
        <v>3.0000000000000027E-2</v>
      </c>
      <c r="BU65" s="1541">
        <f t="shared" ref="BU65:BU70" si="38">AN65/AM65-1</f>
        <v>2.9999999999999805E-2</v>
      </c>
    </row>
    <row r="66" spans="1:79">
      <c r="A66" s="1020" t="s">
        <v>600</v>
      </c>
      <c r="B66" s="1040"/>
      <c r="C66" s="1041">
        <v>9198.7999999999993</v>
      </c>
      <c r="D66" s="1042">
        <v>9131433.0251200013</v>
      </c>
      <c r="E66" s="1043">
        <v>7512.4169967581374</v>
      </c>
      <c r="F66" s="1042">
        <v>5728061.9236730076</v>
      </c>
      <c r="G66" s="1044">
        <v>7227.8369283414449</v>
      </c>
      <c r="H66" s="2052">
        <v>6271196.2000000002</v>
      </c>
      <c r="I66" s="2052"/>
      <c r="J66" s="2052">
        <v>4312131.6069477843</v>
      </c>
      <c r="K66" s="2052">
        <v>4521761.3899656693</v>
      </c>
      <c r="L66" s="2052">
        <v>2537814.7116646389</v>
      </c>
      <c r="M66" s="2052">
        <v>2628641.145014578</v>
      </c>
      <c r="N66" s="2052">
        <v>2715755.931365015</v>
      </c>
      <c r="O66" s="2052">
        <v>2805899.6788459662</v>
      </c>
      <c r="P66" s="2052">
        <v>2899182.9946205448</v>
      </c>
      <c r="Q66" s="2052">
        <v>2995720.7428098554</v>
      </c>
      <c r="R66" s="2052">
        <v>3095632.2171452325</v>
      </c>
      <c r="S66" s="2052">
        <v>3199041.3209668198</v>
      </c>
      <c r="T66" s="2052">
        <v>3306076.7548939753</v>
      </c>
      <c r="U66" s="2052">
        <v>3416872.2125079148</v>
      </c>
      <c r="V66" s="2052">
        <v>3531566.5844025658</v>
      </c>
      <c r="W66" s="2052">
        <v>3650304.1709759557</v>
      </c>
      <c r="X66" s="3884">
        <v>3773234.9043515078</v>
      </c>
      <c r="Y66" s="2052">
        <v>3900514.5798365525</v>
      </c>
      <c r="Z66" s="2052">
        <v>4032305.0973440516</v>
      </c>
      <c r="AA66" s="2052">
        <v>4168774.7132231756</v>
      </c>
      <c r="AB66" s="2052">
        <v>4310098.3029648904</v>
      </c>
      <c r="AC66" s="2052">
        <v>4456457.6352702174</v>
      </c>
      <c r="AD66" s="2052">
        <v>4608041.6579913646</v>
      </c>
      <c r="AE66" s="2052">
        <v>4765046.7964794748</v>
      </c>
      <c r="AF66" s="2052">
        <v>4927677.2648974601</v>
      </c>
      <c r="AG66" s="2052">
        <v>5096145.3910822403</v>
      </c>
      <c r="AH66" s="2052">
        <v>5270671.955567766</v>
      </c>
      <c r="AI66" s="2052">
        <v>5451486.5454086252</v>
      </c>
      <c r="AJ66" s="2052">
        <v>5638827.9234736655</v>
      </c>
      <c r="AK66" s="2052">
        <v>5832944.4139102614</v>
      </c>
      <c r="AL66" s="2052">
        <v>6034094.3045123545</v>
      </c>
      <c r="AM66" s="2052">
        <v>6242546.2667596377</v>
      </c>
      <c r="AN66" s="2052">
        <v>6458579.7943309061</v>
      </c>
      <c r="AO66" s="2052">
        <v>3800203.2949849018</v>
      </c>
      <c r="AR66" s="1541">
        <f t="shared" si="9"/>
        <v>4.8613957579616951E-2</v>
      </c>
      <c r="AS66" s="1541">
        <f t="shared" si="10"/>
        <v>-0.4387552785743285</v>
      </c>
      <c r="AT66" s="1541">
        <f t="shared" si="11"/>
        <v>3.5789229581052684E-2</v>
      </c>
      <c r="AU66" s="1541">
        <f t="shared" si="12"/>
        <v>3.3140615833262999E-2</v>
      </c>
      <c r="AV66" s="1541">
        <f t="shared" si="13"/>
        <v>3.3192875118067899E-2</v>
      </c>
      <c r="AW66" s="1541">
        <f t="shared" si="14"/>
        <v>3.3245420881528043E-2</v>
      </c>
      <c r="AX66" s="1541">
        <f t="shared" si="15"/>
        <v>3.3298259671237451E-2</v>
      </c>
      <c r="AY66" s="1541">
        <f t="shared" si="16"/>
        <v>3.3351397848140119E-2</v>
      </c>
      <c r="AZ66" s="1541">
        <f t="shared" si="17"/>
        <v>3.3404841585784384E-2</v>
      </c>
      <c r="BA66" s="1541">
        <f t="shared" si="18"/>
        <v>3.345859686951691E-2</v>
      </c>
      <c r="BB66" s="1541">
        <f t="shared" si="19"/>
        <v>3.3512669495627812E-2</v>
      </c>
      <c r="BC66" s="1541">
        <f t="shared" si="20"/>
        <v>3.3567065070445823E-2</v>
      </c>
      <c r="BD66" s="1541">
        <f t="shared" si="21"/>
        <v>3.3621789009388392E-2</v>
      </c>
      <c r="BE66" s="1541">
        <f t="shared" si="22"/>
        <v>3.3676846535965588E-2</v>
      </c>
      <c r="BF66" s="1541">
        <f t="shared" si="23"/>
        <v>3.3732242680745594E-2</v>
      </c>
      <c r="BG66" s="1541">
        <f t="shared" si="24"/>
        <v>3.3787982280282014E-2</v>
      </c>
      <c r="BH66" s="1541">
        <f t="shared" si="25"/>
        <v>3.384406997600764E-2</v>
      </c>
      <c r="BI66" s="1541">
        <f t="shared" si="26"/>
        <v>3.3900510213095147E-2</v>
      </c>
      <c r="BJ66" s="1541">
        <f t="shared" si="27"/>
        <v>3.3957307239291357E-2</v>
      </c>
      <c r="BK66" s="1541">
        <f t="shared" si="28"/>
        <v>3.4014465103729297E-2</v>
      </c>
      <c r="BL66" s="1541">
        <f t="shared" si="29"/>
        <v>3.4071987655716729E-2</v>
      </c>
      <c r="BM66" s="1541">
        <f t="shared" si="30"/>
        <v>3.4129878543509795E-2</v>
      </c>
      <c r="BN66" s="1541">
        <f t="shared" si="31"/>
        <v>3.4188141213076229E-2</v>
      </c>
      <c r="BO66" s="1541">
        <f t="shared" si="32"/>
        <v>3.4246778906844133E-2</v>
      </c>
      <c r="BP66" s="1541">
        <f t="shared" si="33"/>
        <v>3.4305794662453426E-2</v>
      </c>
      <c r="BQ66" s="1541">
        <f t="shared" si="34"/>
        <v>3.4365191311500842E-2</v>
      </c>
      <c r="BR66" s="1541">
        <f t="shared" si="35"/>
        <v>3.4424971478295374E-2</v>
      </c>
      <c r="BS66" s="1541">
        <f t="shared" si="36"/>
        <v>3.4485137578612157E-2</v>
      </c>
      <c r="BT66" s="1541">
        <f t="shared" si="37"/>
        <v>3.4545691818472335E-2</v>
      </c>
      <c r="BU66" s="1541">
        <f t="shared" si="38"/>
        <v>3.4606636192927587E-2</v>
      </c>
    </row>
    <row r="67" spans="1:79">
      <c r="A67" s="1020" t="s">
        <v>601</v>
      </c>
      <c r="B67" s="1040"/>
      <c r="C67" s="1041">
        <v>10998</v>
      </c>
      <c r="D67" s="1042">
        <v>12381220.220939994</v>
      </c>
      <c r="E67" s="1043">
        <v>12681.530144992937</v>
      </c>
      <c r="F67" s="1042">
        <v>4863497.7834088793</v>
      </c>
      <c r="G67" s="1044">
        <v>12902.070865992428</v>
      </c>
      <c r="H67" s="2052">
        <v>15271748.720000001</v>
      </c>
      <c r="I67" s="2052"/>
      <c r="J67" s="2052">
        <v>12470881.629731176</v>
      </c>
      <c r="K67" s="2052">
        <v>12759905.042329755</v>
      </c>
      <c r="L67" s="2052">
        <v>13142702.193599649</v>
      </c>
      <c r="M67" s="2052">
        <v>13536983.25940764</v>
      </c>
      <c r="N67" s="2052">
        <v>13943092.75718987</v>
      </c>
      <c r="O67" s="2052">
        <v>14361385.539905565</v>
      </c>
      <c r="P67" s="2052">
        <v>14792227.106102731</v>
      </c>
      <c r="Q67" s="2052">
        <v>15235993.919285815</v>
      </c>
      <c r="R67" s="2052">
        <v>15693073.736864388</v>
      </c>
      <c r="S67" s="2052">
        <v>16163865.948970322</v>
      </c>
      <c r="T67" s="2052">
        <v>16648781.927439433</v>
      </c>
      <c r="U67" s="2052">
        <v>17148245.385262616</v>
      </c>
      <c r="V67" s="2052">
        <v>17662692.746820495</v>
      </c>
      <c r="W67" s="2052">
        <v>18192573.529225107</v>
      </c>
      <c r="X67" s="3884">
        <v>18738350.735101864</v>
      </c>
      <c r="Y67" s="2052">
        <v>19300501.257154923</v>
      </c>
      <c r="Z67" s="2052">
        <v>19879516.294869572</v>
      </c>
      <c r="AA67" s="2052">
        <v>20475901.783715658</v>
      </c>
      <c r="AB67" s="2052">
        <v>21090178.837227128</v>
      </c>
      <c r="AC67" s="2052">
        <v>21722884.202343944</v>
      </c>
      <c r="AD67" s="2052">
        <v>22374570.72841426</v>
      </c>
      <c r="AE67" s="2052">
        <v>23045807.850266688</v>
      </c>
      <c r="AF67" s="2052">
        <v>23737182.085774682</v>
      </c>
      <c r="AG67" s="2052">
        <v>24449297.548347924</v>
      </c>
      <c r="AH67" s="2052">
        <v>25182776.474798366</v>
      </c>
      <c r="AI67" s="2052">
        <v>25938259.769042317</v>
      </c>
      <c r="AJ67" s="2052">
        <v>26716407.562113583</v>
      </c>
      <c r="AK67" s="2052">
        <v>27517899.788976993</v>
      </c>
      <c r="AL67" s="2052">
        <v>28343436.78264631</v>
      </c>
      <c r="AM67" s="2052">
        <v>29193739.886125695</v>
      </c>
      <c r="AN67" s="2052">
        <v>30069552.082709461</v>
      </c>
      <c r="AO67" s="2052">
        <v>24209069.744826123</v>
      </c>
      <c r="AR67" s="1541">
        <f t="shared" si="9"/>
        <v>2.3175860470805221E-2</v>
      </c>
      <c r="AS67" s="1541">
        <f t="shared" si="10"/>
        <v>3.0000000000000027E-2</v>
      </c>
      <c r="AT67" s="1541">
        <f t="shared" si="11"/>
        <v>3.0000000000000027E-2</v>
      </c>
      <c r="AU67" s="1541">
        <f t="shared" si="12"/>
        <v>3.0000000000000027E-2</v>
      </c>
      <c r="AV67" s="1541">
        <f t="shared" si="13"/>
        <v>3.0000000000000027E-2</v>
      </c>
      <c r="AW67" s="1541">
        <f t="shared" si="14"/>
        <v>3.0000000000000027E-2</v>
      </c>
      <c r="AX67" s="1541">
        <f t="shared" si="15"/>
        <v>3.0000000000000249E-2</v>
      </c>
      <c r="AY67" s="1541">
        <f t="shared" si="16"/>
        <v>2.9999999999999805E-2</v>
      </c>
      <c r="AZ67" s="1541">
        <f t="shared" si="17"/>
        <v>3.0000000000000027E-2</v>
      </c>
      <c r="BA67" s="1541">
        <f t="shared" si="18"/>
        <v>3.0000000000000027E-2</v>
      </c>
      <c r="BB67" s="1541">
        <f t="shared" si="19"/>
        <v>3.0000000000000027E-2</v>
      </c>
      <c r="BC67" s="1541">
        <f t="shared" si="20"/>
        <v>3.0000000000000027E-2</v>
      </c>
      <c r="BD67" s="1541">
        <f t="shared" si="21"/>
        <v>2.9999999999999805E-2</v>
      </c>
      <c r="BE67" s="1541">
        <f t="shared" si="22"/>
        <v>3.0000000000000249E-2</v>
      </c>
      <c r="BF67" s="1541">
        <f t="shared" si="23"/>
        <v>3.0000000000000249E-2</v>
      </c>
      <c r="BG67" s="1541">
        <f t="shared" si="24"/>
        <v>3.0000000000000027E-2</v>
      </c>
      <c r="BH67" s="1541">
        <f t="shared" si="25"/>
        <v>3.0000000000000027E-2</v>
      </c>
      <c r="BI67" s="1541">
        <f t="shared" si="26"/>
        <v>3.0000000000000027E-2</v>
      </c>
      <c r="BJ67" s="1541">
        <f t="shared" si="27"/>
        <v>3.0000000000000027E-2</v>
      </c>
      <c r="BK67" s="1541">
        <f t="shared" si="28"/>
        <v>2.9999999999999805E-2</v>
      </c>
      <c r="BL67" s="1541">
        <f t="shared" si="29"/>
        <v>3.0000000000000027E-2</v>
      </c>
      <c r="BM67" s="1541">
        <f t="shared" si="30"/>
        <v>2.9999999999999805E-2</v>
      </c>
      <c r="BN67" s="1541">
        <f t="shared" si="31"/>
        <v>3.0000000000000027E-2</v>
      </c>
      <c r="BO67" s="1541">
        <f t="shared" si="32"/>
        <v>3.0000000000000249E-2</v>
      </c>
      <c r="BP67" s="1541">
        <f t="shared" si="33"/>
        <v>3.0000000000000027E-2</v>
      </c>
      <c r="BQ67" s="1541">
        <f t="shared" si="34"/>
        <v>2.9999999999999805E-2</v>
      </c>
      <c r="BR67" s="1541">
        <f t="shared" si="35"/>
        <v>3.0000000000000027E-2</v>
      </c>
      <c r="BS67" s="1541">
        <f t="shared" si="36"/>
        <v>3.0000000000000249E-2</v>
      </c>
      <c r="BT67" s="1541">
        <f t="shared" si="37"/>
        <v>2.9999999999999805E-2</v>
      </c>
      <c r="BU67" s="1541">
        <f t="shared" si="38"/>
        <v>2.9999999999999805E-2</v>
      </c>
    </row>
    <row r="68" spans="1:79">
      <c r="A68" s="1020" t="s">
        <v>2004</v>
      </c>
      <c r="B68" s="1040"/>
      <c r="C68" s="1041">
        <v>6367</v>
      </c>
      <c r="D68" s="1042">
        <v>4659385.8999999985</v>
      </c>
      <c r="E68" s="1043">
        <v>6863.0835488462726</v>
      </c>
      <c r="F68" s="1042">
        <v>2212021.3721886924</v>
      </c>
      <c r="G68" s="1044">
        <v>7746.3237194629546</v>
      </c>
      <c r="H68" s="2052">
        <v>7318047.2800000003</v>
      </c>
      <c r="I68" s="2052"/>
      <c r="J68" s="2052">
        <v>7555750.9139225325</v>
      </c>
      <c r="K68" s="2052">
        <v>7557440.2339339983</v>
      </c>
      <c r="L68" s="2052">
        <v>7784163.4409520188</v>
      </c>
      <c r="M68" s="2052">
        <v>8017688.3441805793</v>
      </c>
      <c r="N68" s="2052">
        <v>8258218.9945059977</v>
      </c>
      <c r="O68" s="2052">
        <v>8505965.5643411763</v>
      </c>
      <c r="P68" s="2052">
        <v>8761144.5312714111</v>
      </c>
      <c r="Q68" s="2052">
        <v>9023978.8672095556</v>
      </c>
      <c r="R68" s="2052">
        <v>9294698.2332258411</v>
      </c>
      <c r="S68" s="2052">
        <v>9573539.1802226175</v>
      </c>
      <c r="T68" s="2052">
        <v>9860745.355629297</v>
      </c>
      <c r="U68" s="2052">
        <v>10156567.716298176</v>
      </c>
      <c r="V68" s="2052">
        <v>10461264.747787122</v>
      </c>
      <c r="W68" s="2052">
        <v>10775102.690220734</v>
      </c>
      <c r="X68" s="3884">
        <v>11098355.770927358</v>
      </c>
      <c r="Y68" s="2052">
        <v>11431306.444055181</v>
      </c>
      <c r="Z68" s="2052">
        <v>11774245.637376837</v>
      </c>
      <c r="AA68" s="2052">
        <v>12127473.006498139</v>
      </c>
      <c r="AB68" s="2052">
        <v>12491297.196693085</v>
      </c>
      <c r="AC68" s="2052">
        <v>12866036.112593878</v>
      </c>
      <c r="AD68" s="2052">
        <v>13252017.195971694</v>
      </c>
      <c r="AE68" s="2052">
        <v>13649577.711850844</v>
      </c>
      <c r="AF68" s="2052">
        <v>14059065.043206368</v>
      </c>
      <c r="AG68" s="2052">
        <v>14480836.994502559</v>
      </c>
      <c r="AH68" s="2052">
        <v>14915262.104337636</v>
      </c>
      <c r="AI68" s="2052">
        <v>15362719.967467768</v>
      </c>
      <c r="AJ68" s="2052">
        <v>15823601.566491801</v>
      </c>
      <c r="AK68" s="2052">
        <v>16298309.613486556</v>
      </c>
      <c r="AL68" s="2052">
        <v>16787258.901891157</v>
      </c>
      <c r="AM68" s="2052">
        <v>17290876.66894789</v>
      </c>
      <c r="AN68" s="2052">
        <v>17809602.969016325</v>
      </c>
      <c r="AO68" s="2052">
        <v>8752031.1610146482</v>
      </c>
      <c r="AR68" s="1541">
        <f t="shared" si="9"/>
        <v>2.2358069114658541E-4</v>
      </c>
      <c r="AS68" s="1541">
        <f t="shared" si="10"/>
        <v>3.0000000000000027E-2</v>
      </c>
      <c r="AT68" s="1541">
        <f t="shared" si="11"/>
        <v>3.0000000000000027E-2</v>
      </c>
      <c r="AU68" s="1541">
        <f t="shared" si="12"/>
        <v>3.0000000000000027E-2</v>
      </c>
      <c r="AV68" s="1541">
        <f t="shared" si="13"/>
        <v>2.9999999999999805E-2</v>
      </c>
      <c r="AW68" s="1541">
        <f t="shared" si="14"/>
        <v>3.0000000000000027E-2</v>
      </c>
      <c r="AX68" s="1541">
        <f t="shared" si="15"/>
        <v>3.0000000000000249E-2</v>
      </c>
      <c r="AY68" s="1541">
        <f t="shared" si="16"/>
        <v>2.9999999999999805E-2</v>
      </c>
      <c r="AZ68" s="1541">
        <f t="shared" si="17"/>
        <v>3.0000000000000027E-2</v>
      </c>
      <c r="BA68" s="1541">
        <f t="shared" si="18"/>
        <v>3.0000000000000027E-2</v>
      </c>
      <c r="BB68" s="1541">
        <f t="shared" si="19"/>
        <v>3.0000000000000027E-2</v>
      </c>
      <c r="BC68" s="1541">
        <f t="shared" si="20"/>
        <v>3.0000000000000027E-2</v>
      </c>
      <c r="BD68" s="1541">
        <f t="shared" si="21"/>
        <v>2.9999999999999805E-2</v>
      </c>
      <c r="BE68" s="1541">
        <f t="shared" si="22"/>
        <v>3.0000000000000249E-2</v>
      </c>
      <c r="BF68" s="1541">
        <f t="shared" si="23"/>
        <v>3.0000000000000249E-2</v>
      </c>
      <c r="BG68" s="1541">
        <f t="shared" si="24"/>
        <v>3.0000000000000027E-2</v>
      </c>
      <c r="BH68" s="1541">
        <f t="shared" si="25"/>
        <v>2.9999999999999805E-2</v>
      </c>
      <c r="BI68" s="1541">
        <f t="shared" si="26"/>
        <v>3.0000000000000027E-2</v>
      </c>
      <c r="BJ68" s="1541">
        <f t="shared" si="27"/>
        <v>3.0000000000000027E-2</v>
      </c>
      <c r="BK68" s="1541">
        <f t="shared" si="28"/>
        <v>3.0000000000000027E-2</v>
      </c>
      <c r="BL68" s="1541">
        <f t="shared" si="29"/>
        <v>3.0000000000000027E-2</v>
      </c>
      <c r="BM68" s="1541">
        <f t="shared" si="30"/>
        <v>2.9999999999999805E-2</v>
      </c>
      <c r="BN68" s="1541">
        <f t="shared" si="31"/>
        <v>3.0000000000000027E-2</v>
      </c>
      <c r="BO68" s="1541">
        <f t="shared" si="32"/>
        <v>3.0000000000000027E-2</v>
      </c>
      <c r="BP68" s="1541">
        <f t="shared" si="33"/>
        <v>3.0000000000000249E-2</v>
      </c>
      <c r="BQ68" s="1541">
        <f t="shared" si="34"/>
        <v>3.0000000000000027E-2</v>
      </c>
      <c r="BR68" s="1541">
        <f t="shared" si="35"/>
        <v>3.0000000000000027E-2</v>
      </c>
      <c r="BS68" s="1541">
        <f t="shared" si="36"/>
        <v>3.0000000000000249E-2</v>
      </c>
      <c r="BT68" s="1541">
        <f t="shared" si="37"/>
        <v>3.0000000000000027E-2</v>
      </c>
      <c r="BU68" s="1541">
        <f t="shared" si="38"/>
        <v>2.9999999999999805E-2</v>
      </c>
    </row>
    <row r="69" spans="1:79">
      <c r="A69" s="1020" t="s">
        <v>2005</v>
      </c>
      <c r="B69" s="1040"/>
      <c r="C69" s="1041">
        <v>1451</v>
      </c>
      <c r="D69" s="1042">
        <v>1214101.9100000001</v>
      </c>
      <c r="E69" s="1043">
        <v>1580.3170035622686</v>
      </c>
      <c r="F69" s="1042">
        <v>397096.25213642447</v>
      </c>
      <c r="G69" s="1044">
        <v>1632.8984603568319</v>
      </c>
      <c r="H69" s="2052">
        <v>1469716</v>
      </c>
      <c r="I69" s="2052"/>
      <c r="J69" s="2052">
        <v>1488303.1033382325</v>
      </c>
      <c r="K69" s="2052">
        <v>1501754.4258222533</v>
      </c>
      <c r="L69" s="2052">
        <v>1546807.0585969209</v>
      </c>
      <c r="M69" s="2052">
        <v>1593211.2703548283</v>
      </c>
      <c r="N69" s="2052">
        <v>1641007.6084654734</v>
      </c>
      <c r="O69" s="2052">
        <v>1690237.8367194375</v>
      </c>
      <c r="P69" s="2052">
        <v>1740944.9718210206</v>
      </c>
      <c r="Q69" s="2052">
        <v>1793173.3209756515</v>
      </c>
      <c r="R69" s="2052">
        <v>1846968.520604921</v>
      </c>
      <c r="S69" s="2052">
        <v>1902377.5762230689</v>
      </c>
      <c r="T69" s="2052">
        <v>1959448.903509761</v>
      </c>
      <c r="U69" s="2052">
        <v>2018232.3706150539</v>
      </c>
      <c r="V69" s="2052">
        <v>2078779.3417335055</v>
      </c>
      <c r="W69" s="2052">
        <v>2141142.7219855106</v>
      </c>
      <c r="X69" s="3884">
        <v>2205377.0036450764</v>
      </c>
      <c r="Y69" s="2052">
        <v>2271538.3137544291</v>
      </c>
      <c r="Z69" s="2052">
        <v>2339684.4631670616</v>
      </c>
      <c r="AA69" s="2052">
        <v>2409874.9970620731</v>
      </c>
      <c r="AB69" s="2052">
        <v>2482171.2469739355</v>
      </c>
      <c r="AC69" s="2052">
        <v>2556636.3843831541</v>
      </c>
      <c r="AD69" s="2052">
        <v>2633335.4759146487</v>
      </c>
      <c r="AE69" s="2052">
        <v>2712335.5401920876</v>
      </c>
      <c r="AF69" s="2052">
        <v>2793705.6063978504</v>
      </c>
      <c r="AG69" s="2052">
        <v>2877516.7745897858</v>
      </c>
      <c r="AH69" s="2052">
        <v>2963842.2778274799</v>
      </c>
      <c r="AI69" s="2052">
        <v>3052757.5461623045</v>
      </c>
      <c r="AJ69" s="2052">
        <v>3144340.2725471733</v>
      </c>
      <c r="AK69" s="2052">
        <v>3238670.4807235887</v>
      </c>
      <c r="AL69" s="2052">
        <v>3335830.5951452963</v>
      </c>
      <c r="AM69" s="2052">
        <v>3435905.5129996557</v>
      </c>
      <c r="AN69" s="2052">
        <v>3538982.6783896452</v>
      </c>
      <c r="AO69" s="2052">
        <v>2171426.5960450536</v>
      </c>
      <c r="AR69" s="1541">
        <f t="shared" si="9"/>
        <v>9.0380262285618684E-3</v>
      </c>
      <c r="AS69" s="1541">
        <f t="shared" si="10"/>
        <v>3.0000000000000027E-2</v>
      </c>
      <c r="AT69" s="1541">
        <f t="shared" si="11"/>
        <v>2.9999999999999805E-2</v>
      </c>
      <c r="AU69" s="1541">
        <f t="shared" si="12"/>
        <v>3.0000000000000027E-2</v>
      </c>
      <c r="AV69" s="1541">
        <f t="shared" si="13"/>
        <v>3.0000000000000027E-2</v>
      </c>
      <c r="AW69" s="1541">
        <f t="shared" si="14"/>
        <v>3.0000000000000027E-2</v>
      </c>
      <c r="AX69" s="1541">
        <f t="shared" si="15"/>
        <v>3.0000000000000249E-2</v>
      </c>
      <c r="AY69" s="1541">
        <f t="shared" si="16"/>
        <v>3.0000000000000027E-2</v>
      </c>
      <c r="AZ69" s="1541">
        <f t="shared" si="17"/>
        <v>3.0000000000000027E-2</v>
      </c>
      <c r="BA69" s="1541">
        <f t="shared" si="18"/>
        <v>3.0000000000000027E-2</v>
      </c>
      <c r="BB69" s="1541">
        <f t="shared" si="19"/>
        <v>3.0000000000000027E-2</v>
      </c>
      <c r="BC69" s="1541">
        <f t="shared" si="20"/>
        <v>3.0000000000000027E-2</v>
      </c>
      <c r="BD69" s="1541">
        <f t="shared" si="21"/>
        <v>3.0000000000000027E-2</v>
      </c>
      <c r="BE69" s="1541">
        <f t="shared" si="22"/>
        <v>3.0000000000000249E-2</v>
      </c>
      <c r="BF69" s="1541">
        <f t="shared" si="23"/>
        <v>3.0000000000000249E-2</v>
      </c>
      <c r="BG69" s="1541">
        <f t="shared" si="24"/>
        <v>2.9999999999999805E-2</v>
      </c>
      <c r="BH69" s="1541">
        <f t="shared" si="25"/>
        <v>2.9999999999999805E-2</v>
      </c>
      <c r="BI69" s="1541">
        <f t="shared" si="26"/>
        <v>3.0000000000000027E-2</v>
      </c>
      <c r="BJ69" s="1541">
        <f t="shared" si="27"/>
        <v>3.0000000000000249E-2</v>
      </c>
      <c r="BK69" s="1541">
        <f t="shared" si="28"/>
        <v>3.0000000000000027E-2</v>
      </c>
      <c r="BL69" s="1541">
        <f t="shared" si="29"/>
        <v>2.9999999999999805E-2</v>
      </c>
      <c r="BM69" s="1541">
        <f t="shared" si="30"/>
        <v>3.0000000000000027E-2</v>
      </c>
      <c r="BN69" s="1541">
        <f t="shared" si="31"/>
        <v>3.0000000000000027E-2</v>
      </c>
      <c r="BO69" s="1541">
        <f t="shared" si="32"/>
        <v>3.0000000000000249E-2</v>
      </c>
      <c r="BP69" s="1541">
        <f t="shared" si="33"/>
        <v>3.0000000000000027E-2</v>
      </c>
      <c r="BQ69" s="1541">
        <f t="shared" si="34"/>
        <v>2.9999999999999805E-2</v>
      </c>
      <c r="BR69" s="1541">
        <f t="shared" si="35"/>
        <v>3.0000000000000027E-2</v>
      </c>
      <c r="BS69" s="1541">
        <f t="shared" si="36"/>
        <v>3.0000000000000027E-2</v>
      </c>
      <c r="BT69" s="1541">
        <f t="shared" si="37"/>
        <v>3.0000000000000249E-2</v>
      </c>
      <c r="BU69" s="1541">
        <f t="shared" si="38"/>
        <v>3.0000000000000027E-2</v>
      </c>
    </row>
    <row r="70" spans="1:79">
      <c r="A70" s="1020" t="s">
        <v>377</v>
      </c>
      <c r="B70" s="1040"/>
      <c r="C70" s="1041">
        <v>12306.2</v>
      </c>
      <c r="D70" s="1042">
        <v>10745466.132479932</v>
      </c>
      <c r="E70" s="1043">
        <v>12455.935371874069</v>
      </c>
      <c r="F70" s="1042">
        <v>1301819.0127127541</v>
      </c>
      <c r="G70" s="1044">
        <v>12144.44339683838</v>
      </c>
      <c r="H70" s="2052">
        <v>11819895.35</v>
      </c>
      <c r="I70" s="2052"/>
      <c r="J70" s="2052">
        <v>15077228.304941282</v>
      </c>
      <c r="K70" s="2052">
        <v>15241544.407174619</v>
      </c>
      <c r="L70" s="2052">
        <v>15698790.739389859</v>
      </c>
      <c r="M70" s="2052">
        <v>16169754.461571552</v>
      </c>
      <c r="N70" s="2052">
        <v>16654847.095418703</v>
      </c>
      <c r="O70" s="2052">
        <v>17154492.508281261</v>
      </c>
      <c r="P70" s="2052">
        <v>17669127.283529699</v>
      </c>
      <c r="Q70" s="2052">
        <v>18199201.102035593</v>
      </c>
      <c r="R70" s="2052">
        <v>18745177.135096658</v>
      </c>
      <c r="S70" s="2052">
        <v>19307532.44914956</v>
      </c>
      <c r="T70" s="2052">
        <v>19886758.422624048</v>
      </c>
      <c r="U70" s="2052">
        <v>20483361.17530277</v>
      </c>
      <c r="V70" s="2052">
        <v>21097862.010561854</v>
      </c>
      <c r="W70" s="2052">
        <v>21730797.870878711</v>
      </c>
      <c r="X70" s="3884">
        <v>22382721.807005074</v>
      </c>
      <c r="Y70" s="2052">
        <v>23054203.461215228</v>
      </c>
      <c r="Z70" s="2052">
        <v>23745829.56505169</v>
      </c>
      <c r="AA70" s="2052">
        <v>24458204.452003233</v>
      </c>
      <c r="AB70" s="2052">
        <v>25191950.585563332</v>
      </c>
      <c r="AC70" s="2052">
        <v>25947709.103130236</v>
      </c>
      <c r="AD70" s="2052">
        <v>26726140.376224142</v>
      </c>
      <c r="AE70" s="2052">
        <v>27527924.587510861</v>
      </c>
      <c r="AF70" s="2052">
        <v>28353762.325136185</v>
      </c>
      <c r="AG70" s="2052">
        <v>29204375.194890276</v>
      </c>
      <c r="AH70" s="2052">
        <v>30080506.450736985</v>
      </c>
      <c r="AI70" s="2052">
        <v>30982921.644259095</v>
      </c>
      <c r="AJ70" s="2052">
        <v>31912409.293586865</v>
      </c>
      <c r="AK70" s="2052">
        <v>32869781.572394475</v>
      </c>
      <c r="AL70" s="2052">
        <v>33855875.019566312</v>
      </c>
      <c r="AM70" s="2052">
        <v>34871551.270153306</v>
      </c>
      <c r="AN70" s="2052">
        <v>35917697.808257893</v>
      </c>
      <c r="AO70" s="2052">
        <v>22954328.759105124</v>
      </c>
      <c r="AR70" s="1541">
        <f t="shared" si="9"/>
        <v>1.0898296351955272E-2</v>
      </c>
      <c r="AS70" s="1541">
        <f t="shared" si="10"/>
        <v>3.0000000000000027E-2</v>
      </c>
      <c r="AT70" s="1541">
        <f t="shared" si="11"/>
        <v>2.9999999999999805E-2</v>
      </c>
      <c r="AU70" s="1541">
        <f t="shared" si="12"/>
        <v>3.0000000000000249E-2</v>
      </c>
      <c r="AV70" s="1541">
        <f t="shared" si="13"/>
        <v>2.9999999999999805E-2</v>
      </c>
      <c r="AW70" s="1541">
        <f t="shared" si="14"/>
        <v>3.0000000000000027E-2</v>
      </c>
      <c r="AX70" s="1541">
        <f t="shared" si="15"/>
        <v>3.0000000000000249E-2</v>
      </c>
      <c r="AY70" s="1541">
        <f t="shared" si="16"/>
        <v>2.9999999999999805E-2</v>
      </c>
      <c r="AZ70" s="1541">
        <f t="shared" si="17"/>
        <v>3.0000000000000027E-2</v>
      </c>
      <c r="BA70" s="1541">
        <f t="shared" si="18"/>
        <v>3.0000000000000027E-2</v>
      </c>
      <c r="BB70" s="1541">
        <f t="shared" si="19"/>
        <v>3.0000000000000027E-2</v>
      </c>
      <c r="BC70" s="1541">
        <f t="shared" si="20"/>
        <v>3.0000000000000027E-2</v>
      </c>
      <c r="BD70" s="1541">
        <f t="shared" si="21"/>
        <v>3.0000000000000027E-2</v>
      </c>
      <c r="BE70" s="1541">
        <f t="shared" si="22"/>
        <v>3.0000000000000027E-2</v>
      </c>
      <c r="BF70" s="1541">
        <f t="shared" si="23"/>
        <v>3.0000000000000027E-2</v>
      </c>
      <c r="BG70" s="1541">
        <f t="shared" si="24"/>
        <v>3.0000000000000249E-2</v>
      </c>
      <c r="BH70" s="1541">
        <f t="shared" si="25"/>
        <v>2.9999999999999583E-2</v>
      </c>
      <c r="BI70" s="1541">
        <f t="shared" si="26"/>
        <v>3.0000000000000027E-2</v>
      </c>
      <c r="BJ70" s="1541">
        <f t="shared" si="27"/>
        <v>3.0000000000000249E-2</v>
      </c>
      <c r="BK70" s="1541">
        <f t="shared" si="28"/>
        <v>3.0000000000000027E-2</v>
      </c>
      <c r="BL70" s="1541">
        <f t="shared" si="29"/>
        <v>2.9999999999999805E-2</v>
      </c>
      <c r="BM70" s="1541">
        <f t="shared" si="30"/>
        <v>2.9999999999999805E-2</v>
      </c>
      <c r="BN70" s="1541">
        <f t="shared" si="31"/>
        <v>3.0000000000000249E-2</v>
      </c>
      <c r="BO70" s="1541">
        <f t="shared" si="32"/>
        <v>3.0000000000000027E-2</v>
      </c>
      <c r="BP70" s="1541">
        <f t="shared" si="33"/>
        <v>3.0000000000000027E-2</v>
      </c>
      <c r="BQ70" s="1541">
        <f t="shared" si="34"/>
        <v>2.9999999999999805E-2</v>
      </c>
      <c r="BR70" s="1541">
        <f t="shared" si="35"/>
        <v>3.0000000000000027E-2</v>
      </c>
      <c r="BS70" s="1541">
        <f t="shared" si="36"/>
        <v>3.0000000000000027E-2</v>
      </c>
      <c r="BT70" s="1541">
        <f t="shared" si="37"/>
        <v>3.0000000000000027E-2</v>
      </c>
      <c r="BU70" s="1541">
        <f t="shared" si="38"/>
        <v>2.9999999999999583E-2</v>
      </c>
    </row>
    <row r="71" spans="1:79">
      <c r="A71" s="1020" t="s">
        <v>843</v>
      </c>
      <c r="B71" s="1040"/>
      <c r="C71" s="1041">
        <v>8982</v>
      </c>
      <c r="D71" s="1042">
        <v>10153338.390000001</v>
      </c>
      <c r="E71" s="1043">
        <v>7698</v>
      </c>
      <c r="F71" s="1042">
        <v>10442675.130000001</v>
      </c>
      <c r="G71" s="1044">
        <v>11312.896595096359</v>
      </c>
      <c r="H71" s="2052">
        <v>11776457.59</v>
      </c>
      <c r="I71" s="2052"/>
      <c r="J71" s="2052">
        <v>12483949.01617533</v>
      </c>
      <c r="K71" s="2052">
        <v>12877458.751147339</v>
      </c>
      <c r="L71" s="2052">
        <v>13519737.664411109</v>
      </c>
      <c r="M71" s="2052">
        <v>14169492.642555257</v>
      </c>
      <c r="N71" s="2052">
        <v>14682932.035784008</v>
      </c>
      <c r="O71" s="2052">
        <v>15263019.435938204</v>
      </c>
      <c r="P71" s="2052">
        <v>15661347.569991736</v>
      </c>
      <c r="Q71" s="2052">
        <v>15877238.63001821</v>
      </c>
      <c r="R71" s="2052">
        <v>16092469.175575206</v>
      </c>
      <c r="S71" s="2052">
        <v>16314972.600168625</v>
      </c>
      <c r="T71" s="2052">
        <v>16549366.539215157</v>
      </c>
      <c r="U71" s="2052">
        <v>16770997.683060635</v>
      </c>
      <c r="V71" s="2052">
        <v>16992562.131911658</v>
      </c>
      <c r="W71" s="2052">
        <v>17221861.178476162</v>
      </c>
      <c r="X71" s="3884">
        <v>17624113.126907885</v>
      </c>
      <c r="Y71" s="2052">
        <v>18061228.999027699</v>
      </c>
      <c r="Z71" s="2052">
        <v>18509708.253091447</v>
      </c>
      <c r="AA71" s="2052">
        <v>19155605.62042506</v>
      </c>
      <c r="AB71" s="2052">
        <v>19632401.1503844</v>
      </c>
      <c r="AC71" s="2052">
        <v>20121617.26417518</v>
      </c>
      <c r="AD71" s="2052">
        <v>20623586.190526202</v>
      </c>
      <c r="AE71" s="2052">
        <v>21138649.220032733</v>
      </c>
      <c r="AF71" s="2052">
        <v>21667156.956087757</v>
      </c>
      <c r="AG71" s="2052">
        <v>22209469.57284686</v>
      </c>
      <c r="AH71" s="2052">
        <v>22989267.044248749</v>
      </c>
      <c r="AI71" s="2052">
        <v>23797186.413356673</v>
      </c>
      <c r="AJ71" s="2052">
        <v>24394827.69670577</v>
      </c>
      <c r="AK71" s="2052">
        <v>25008121.015466131</v>
      </c>
      <c r="AL71" s="2052">
        <v>25637486.728873692</v>
      </c>
      <c r="AM71" s="2052">
        <v>26283356.698409386</v>
      </c>
      <c r="AN71" s="2052">
        <v>26946174.607138265</v>
      </c>
      <c r="AO71" s="2052">
        <v>0</v>
      </c>
      <c r="AR71" s="1541"/>
      <c r="AS71" s="1541"/>
      <c r="AT71" s="1541"/>
      <c r="AU71" s="1541"/>
      <c r="AV71" s="1541"/>
      <c r="AW71" s="1541"/>
      <c r="AX71" s="1541"/>
      <c r="AY71" s="1541"/>
      <c r="AZ71" s="1541"/>
      <c r="BA71" s="1541"/>
      <c r="BB71" s="1541"/>
      <c r="BC71" s="1541"/>
      <c r="BD71" s="1541"/>
      <c r="BE71" s="1541"/>
      <c r="BF71" s="1541"/>
      <c r="BG71" s="1541"/>
      <c r="BH71" s="1541"/>
      <c r="BI71" s="1541"/>
      <c r="BJ71" s="1541"/>
      <c r="BK71" s="1541"/>
      <c r="BL71" s="1541"/>
      <c r="BM71" s="1541"/>
      <c r="BN71" s="1541"/>
      <c r="BO71" s="1541"/>
      <c r="BP71" s="1541"/>
      <c r="BQ71" s="1541"/>
      <c r="BR71" s="1541"/>
      <c r="BS71" s="1541"/>
      <c r="BT71" s="1541"/>
      <c r="BU71" s="1541"/>
    </row>
    <row r="72" spans="1:79">
      <c r="A72" s="1020" t="s">
        <v>2006</v>
      </c>
      <c r="B72" s="1040"/>
      <c r="C72" s="1041">
        <v>17634</v>
      </c>
      <c r="D72" s="1042">
        <v>10516213.109999999</v>
      </c>
      <c r="E72" s="1043">
        <v>18176</v>
      </c>
      <c r="F72" s="1042">
        <v>18176206.259999998</v>
      </c>
      <c r="G72" s="1044">
        <v>18178.556259999998</v>
      </c>
      <c r="H72" s="2052">
        <v>11857657</v>
      </c>
      <c r="I72" s="2052"/>
      <c r="J72" s="2052">
        <v>8122331.2599999802</v>
      </c>
      <c r="K72" s="2052">
        <v>7143831.2599999802</v>
      </c>
      <c r="L72" s="2052">
        <v>7143831.2599999802</v>
      </c>
      <c r="M72" s="2052">
        <v>7143831.2599999802</v>
      </c>
      <c r="N72" s="2052">
        <v>21558831.259999979</v>
      </c>
      <c r="O72" s="2052">
        <v>21558081.259999979</v>
      </c>
      <c r="P72" s="2052">
        <v>21554581.259999979</v>
      </c>
      <c r="Q72" s="2052">
        <v>21556331.259999979</v>
      </c>
      <c r="R72" s="2052">
        <v>19212531.259999998</v>
      </c>
      <c r="S72" s="2052">
        <v>5786250</v>
      </c>
      <c r="T72" s="2052">
        <v>5786000</v>
      </c>
      <c r="U72" s="2052">
        <v>5784750</v>
      </c>
      <c r="V72" s="2052">
        <v>5787250</v>
      </c>
      <c r="W72" s="2052">
        <v>5783000</v>
      </c>
      <c r="X72" s="3884">
        <v>5787000</v>
      </c>
      <c r="Y72" s="2052">
        <v>5783500</v>
      </c>
      <c r="Z72" s="2052">
        <v>5787500</v>
      </c>
      <c r="AA72" s="2052">
        <v>5783250</v>
      </c>
      <c r="AB72" s="2052">
        <v>5785750</v>
      </c>
      <c r="AC72" s="2052">
        <v>5784250</v>
      </c>
      <c r="AD72" s="2052">
        <v>5783500</v>
      </c>
      <c r="AE72" s="2052">
        <v>5783000</v>
      </c>
      <c r="AF72" s="2052">
        <v>5787250</v>
      </c>
      <c r="AG72" s="2052">
        <v>5785500</v>
      </c>
      <c r="AH72" s="2052">
        <v>5782500</v>
      </c>
      <c r="AI72" s="2052">
        <v>5782750</v>
      </c>
      <c r="AJ72" s="2052">
        <v>5785500</v>
      </c>
      <c r="AK72" s="2052">
        <v>0</v>
      </c>
      <c r="AL72" s="2052">
        <v>0</v>
      </c>
      <c r="AM72" s="2052">
        <v>0</v>
      </c>
      <c r="AN72" s="2052">
        <v>0</v>
      </c>
      <c r="AO72" s="2052">
        <v>0</v>
      </c>
      <c r="AR72" s="1541"/>
      <c r="AS72" s="1541"/>
      <c r="AT72" s="1541"/>
      <c r="AU72" s="1541"/>
      <c r="AV72" s="1541"/>
      <c r="AW72" s="1541"/>
      <c r="AX72" s="1541"/>
      <c r="AY72" s="1541"/>
      <c r="AZ72" s="1541"/>
      <c r="BA72" s="1541"/>
      <c r="BB72" s="1541"/>
      <c r="BC72" s="1541"/>
      <c r="BD72" s="1541"/>
      <c r="BE72" s="1541"/>
      <c r="BF72" s="1541"/>
      <c r="BG72" s="1541"/>
      <c r="BH72" s="1541"/>
      <c r="BI72" s="1541"/>
      <c r="BJ72" s="1541"/>
      <c r="BK72" s="1541"/>
      <c r="BL72" s="1541"/>
      <c r="BM72" s="1541"/>
      <c r="BN72" s="1541"/>
      <c r="BO72" s="1541"/>
      <c r="BP72" s="1541"/>
      <c r="BQ72" s="1541"/>
      <c r="BR72" s="1541"/>
      <c r="BS72" s="1541"/>
      <c r="BT72" s="1541"/>
      <c r="BU72" s="1541"/>
    </row>
    <row r="73" spans="1:79">
      <c r="A73" s="1046" t="s">
        <v>2007</v>
      </c>
      <c r="B73" s="1047"/>
      <c r="C73" s="1048">
        <f t="shared" ref="C73:H73" si="39">SUM(C64:C72)</f>
        <v>126389.09999999999</v>
      </c>
      <c r="D73" s="1094">
        <f t="shared" si="39"/>
        <v>106261164.19853994</v>
      </c>
      <c r="E73" s="1050">
        <f t="shared" si="39"/>
        <v>77986.099549999999</v>
      </c>
      <c r="F73" s="1094">
        <f t="shared" si="39"/>
        <v>60337459.037363686</v>
      </c>
      <c r="G73" s="1051">
        <f t="shared" si="39"/>
        <v>87831.691303415239</v>
      </c>
      <c r="H73" s="1094">
        <f t="shared" si="39"/>
        <v>96883782.090000004</v>
      </c>
      <c r="I73" s="1094"/>
      <c r="J73" s="1094">
        <f>SUM(J64:J72)</f>
        <v>108674552.45043246</v>
      </c>
      <c r="K73" s="1094">
        <f t="shared" ref="K73:AO73" si="40">SUM(K64:K72)</f>
        <v>82777551.150219351</v>
      </c>
      <c r="L73" s="1094">
        <f t="shared" si="40"/>
        <v>79991373.465000466</v>
      </c>
      <c r="M73" s="1094">
        <f t="shared" si="40"/>
        <v>83041483.049109995</v>
      </c>
      <c r="N73" s="1094">
        <f t="shared" si="40"/>
        <v>100003939.8668011</v>
      </c>
      <c r="O73" s="1094">
        <f t="shared" si="40"/>
        <v>102675711.65734528</v>
      </c>
      <c r="P73" s="1094">
        <f t="shared" si="40"/>
        <v>105144018.89573531</v>
      </c>
      <c r="Q73" s="1094">
        <f t="shared" si="40"/>
        <v>107673675.00829574</v>
      </c>
      <c r="R73" s="1094">
        <f t="shared" si="40"/>
        <v>107823167.85088357</v>
      </c>
      <c r="S73" s="1094">
        <f t="shared" si="40"/>
        <v>96981385.971046761</v>
      </c>
      <c r="T73" s="1094">
        <f t="shared" si="40"/>
        <v>99648992.381844968</v>
      </c>
      <c r="U73" s="1094">
        <f t="shared" si="40"/>
        <v>102399635.48044978</v>
      </c>
      <c r="V73" s="1094">
        <f t="shared" si="40"/>
        <v>105230785.00864634</v>
      </c>
      <c r="W73" s="1094">
        <f t="shared" si="40"/>
        <v>108159185.13813177</v>
      </c>
      <c r="X73" s="3895">
        <f t="shared" si="40"/>
        <v>111295140.888377</v>
      </c>
      <c r="Y73" s="1094">
        <f t="shared" si="40"/>
        <v>114618350.83438949</v>
      </c>
      <c r="Z73" s="1094">
        <f t="shared" si="40"/>
        <v>118030303.00363889</v>
      </c>
      <c r="AA73" s="1094">
        <f t="shared" si="40"/>
        <v>121731444.85446887</v>
      </c>
      <c r="AB73" s="1094">
        <f t="shared" si="40"/>
        <v>125373665.58960897</v>
      </c>
      <c r="AC73" s="1094">
        <f t="shared" si="40"/>
        <v>129131263.94087839</v>
      </c>
      <c r="AD73" s="1094">
        <f t="shared" si="40"/>
        <v>133012969.66558057</v>
      </c>
      <c r="AE73" s="1094">
        <f t="shared" si="40"/>
        <v>137022397.0036369</v>
      </c>
      <c r="AF73" s="1094">
        <f t="shared" si="40"/>
        <v>141168299.27840072</v>
      </c>
      <c r="AG73" s="1094">
        <f t="shared" si="40"/>
        <v>145444323.65680194</v>
      </c>
      <c r="AH73" s="1094">
        <f t="shared" si="40"/>
        <v>150083076.03823552</v>
      </c>
      <c r="AI73" s="1094">
        <f t="shared" si="40"/>
        <v>154884013.14704314</v>
      </c>
      <c r="AJ73" s="1094">
        <f t="shared" si="40"/>
        <v>159612453.42905593</v>
      </c>
      <c r="AK73" s="1094">
        <f t="shared" si="40"/>
        <v>158708199.35000211</v>
      </c>
      <c r="AL73" s="1094">
        <f t="shared" si="40"/>
        <v>163750202.87743774</v>
      </c>
      <c r="AM73" s="1094">
        <f t="shared" si="40"/>
        <v>168958342.28111267</v>
      </c>
      <c r="AN73" s="1094">
        <f t="shared" si="40"/>
        <v>174338178.18284374</v>
      </c>
      <c r="AO73" s="1094">
        <f t="shared" si="40"/>
        <v>117381475.80843747</v>
      </c>
    </row>
    <row r="74" spans="1:79">
      <c r="A74" s="1052"/>
      <c r="B74" s="1053"/>
      <c r="C74" s="1054"/>
      <c r="D74" s="1095"/>
      <c r="E74" s="1055"/>
      <c r="F74" s="1095"/>
      <c r="G74" s="1056">
        <v>1632.8984603568319</v>
      </c>
      <c r="H74" s="1095"/>
      <c r="I74" s="1095"/>
      <c r="J74" s="1095"/>
      <c r="K74" s="1095"/>
      <c r="L74" s="1095"/>
      <c r="M74" s="1095"/>
      <c r="N74" s="1095"/>
      <c r="O74" s="1095"/>
      <c r="P74" s="1095"/>
      <c r="Q74" s="1095"/>
      <c r="R74" s="1095"/>
      <c r="S74" s="1095"/>
      <c r="T74" s="1095"/>
      <c r="U74" s="1095"/>
      <c r="V74" s="1095"/>
      <c r="W74" s="1095"/>
      <c r="X74" s="3896"/>
      <c r="Y74" s="1095"/>
      <c r="Z74" s="1095"/>
      <c r="AA74" s="1095"/>
      <c r="AB74" s="1095"/>
      <c r="AC74" s="1095"/>
      <c r="AD74" s="1095"/>
      <c r="AE74" s="1095"/>
      <c r="AF74" s="1095"/>
      <c r="AG74" s="1095"/>
      <c r="AH74" s="1095"/>
      <c r="AI74" s="1095"/>
      <c r="AJ74" s="1095"/>
      <c r="AK74" s="1095"/>
      <c r="AL74" s="1095"/>
      <c r="AM74" s="1095"/>
      <c r="AN74" s="1095"/>
      <c r="AO74" s="1095"/>
    </row>
    <row r="75" spans="1:79">
      <c r="A75" s="1091" t="s">
        <v>1977</v>
      </c>
      <c r="B75" s="1092"/>
      <c r="C75" s="1041"/>
      <c r="D75" s="1041"/>
      <c r="E75" s="1043"/>
      <c r="F75" s="1041"/>
      <c r="G75" s="1044"/>
      <c r="H75" s="1041"/>
      <c r="I75" s="1041"/>
      <c r="J75" s="1041"/>
      <c r="K75" s="1041"/>
      <c r="L75" s="1041"/>
      <c r="M75" s="1041"/>
      <c r="N75" s="1041"/>
      <c r="O75" s="1041"/>
      <c r="P75" s="1041"/>
      <c r="Q75" s="1041"/>
      <c r="R75" s="1041"/>
      <c r="S75" s="1041"/>
      <c r="T75" s="1041"/>
      <c r="U75" s="1041"/>
      <c r="V75" s="1041"/>
      <c r="W75" s="1041"/>
      <c r="X75" s="3897"/>
      <c r="Y75" s="1041"/>
      <c r="Z75" s="1041"/>
      <c r="AA75" s="1041"/>
      <c r="AB75" s="1041"/>
      <c r="AC75" s="1041"/>
      <c r="AD75" s="1041"/>
      <c r="AE75" s="1041"/>
      <c r="AF75" s="1041"/>
      <c r="AG75" s="1041"/>
      <c r="AH75" s="1041"/>
      <c r="AI75" s="1041"/>
      <c r="AJ75" s="1041"/>
      <c r="AK75" s="1041"/>
      <c r="AL75" s="1041"/>
      <c r="AM75" s="1041"/>
      <c r="AN75" s="1041"/>
      <c r="AO75" s="1041"/>
    </row>
    <row r="76" spans="1:79">
      <c r="A76" s="1020" t="s">
        <v>753</v>
      </c>
      <c r="B76" s="1040"/>
      <c r="C76" s="1041">
        <v>21965.9</v>
      </c>
      <c r="D76" s="1042">
        <v>22276854.087657429</v>
      </c>
      <c r="E76" s="1043">
        <v>24741.046710041821</v>
      </c>
      <c r="F76" s="1042">
        <v>23461843.25</v>
      </c>
      <c r="G76" s="1044">
        <v>24878.319504358675</v>
      </c>
      <c r="H76" s="2052">
        <v>22919312.75</v>
      </c>
      <c r="I76" s="2052"/>
      <c r="J76" s="2052">
        <v>35367514.007077843</v>
      </c>
      <c r="K76" s="2052">
        <v>29366218.799278229</v>
      </c>
      <c r="L76" s="2052">
        <v>30159695.363256574</v>
      </c>
      <c r="M76" s="2052">
        <v>30976976.224154275</v>
      </c>
      <c r="N76" s="2052">
        <v>31818775.510878898</v>
      </c>
      <c r="O76" s="2052">
        <v>32685828.776205271</v>
      </c>
      <c r="P76" s="2052">
        <v>33578893.639491424</v>
      </c>
      <c r="Q76" s="2052">
        <v>34498750.448676169</v>
      </c>
      <c r="R76" s="2052">
        <v>35446202.962136455</v>
      </c>
      <c r="S76" s="2052">
        <v>36422079.05100055</v>
      </c>
      <c r="T76" s="2052">
        <v>37427231.422530569</v>
      </c>
      <c r="U76" s="2052">
        <v>38462538.36520648</v>
      </c>
      <c r="V76" s="2052">
        <v>39528904.516162679</v>
      </c>
      <c r="W76" s="2052">
        <v>40627261.65164756</v>
      </c>
      <c r="X76" s="3884">
        <v>41758569.501196995</v>
      </c>
      <c r="Y76" s="2052">
        <v>42923816.586232901</v>
      </c>
      <c r="Z76" s="2052">
        <v>44124021.083819896</v>
      </c>
      <c r="AA76" s="2052">
        <v>45360231.716334492</v>
      </c>
      <c r="AB76" s="2052">
        <v>46633528.667824522</v>
      </c>
      <c r="AC76" s="2052">
        <v>47945024.527859271</v>
      </c>
      <c r="AD76" s="2052">
        <v>49295865.263695046</v>
      </c>
      <c r="AE76" s="2052">
        <v>50687231.221605897</v>
      </c>
      <c r="AF76" s="2052">
        <v>52120338.158254072</v>
      </c>
      <c r="AG76" s="2052">
        <v>53596438.303001702</v>
      </c>
      <c r="AH76" s="2052">
        <v>55116821.452091753</v>
      </c>
      <c r="AI76" s="2052">
        <v>56682816.09565451</v>
      </c>
      <c r="AJ76" s="2052">
        <v>58295790.578524143</v>
      </c>
      <c r="AK76" s="2052">
        <v>59957154.295879886</v>
      </c>
      <c r="AL76" s="2052">
        <v>61668358.924756274</v>
      </c>
      <c r="AM76" s="2052">
        <v>63430899.692498967</v>
      </c>
      <c r="AN76" s="2052">
        <v>65246316.683273926</v>
      </c>
      <c r="AO76" s="2052">
        <v>34421630.46665445</v>
      </c>
      <c r="AR76" s="1541">
        <f>K76/J76-1</f>
        <v>-0.16968382925072478</v>
      </c>
      <c r="AS76" s="1541">
        <f t="shared" ref="AS76:BU79" si="41">L76/K76-1</f>
        <v>2.7020045358983946E-2</v>
      </c>
      <c r="AT76" s="1541">
        <f t="shared" si="41"/>
        <v>2.7098445493364931E-2</v>
      </c>
      <c r="AU76" s="1541">
        <f t="shared" si="41"/>
        <v>2.7174998638770598E-2</v>
      </c>
      <c r="AV76" s="1541">
        <f t="shared" si="41"/>
        <v>2.7249737031204369E-2</v>
      </c>
      <c r="AW76" s="1541">
        <f t="shared" si="41"/>
        <v>2.7322692944420357E-2</v>
      </c>
      <c r="AX76" s="1541">
        <f t="shared" si="41"/>
        <v>2.7393898651351556E-2</v>
      </c>
      <c r="AY76" s="1541">
        <f t="shared" si="41"/>
        <v>2.7463386387568178E-2</v>
      </c>
      <c r="AZ76" s="1541">
        <f t="shared" si="41"/>
        <v>2.7531188316743727E-2</v>
      </c>
      <c r="BA76" s="1541">
        <f t="shared" si="41"/>
        <v>2.759733649807683E-2</v>
      </c>
      <c r="BB76" s="1541">
        <f t="shared" si="41"/>
        <v>2.7661862855628438E-2</v>
      </c>
      <c r="BC76" s="1541">
        <f t="shared" si="41"/>
        <v>2.7724799149523749E-2</v>
      </c>
      <c r="BD76" s="1541">
        <f t="shared" si="41"/>
        <v>2.7786176948966013E-2</v>
      </c>
      <c r="BE76" s="1541">
        <f t="shared" si="41"/>
        <v>2.7846027607020707E-2</v>
      </c>
      <c r="BF76" s="1541">
        <f t="shared" si="41"/>
        <v>2.7904382237099901E-2</v>
      </c>
      <c r="BG76" s="1541">
        <f t="shared" si="41"/>
        <v>2.7961271691109069E-2</v>
      </c>
      <c r="BH76" s="1541">
        <f t="shared" si="41"/>
        <v>2.8016726539184633E-2</v>
      </c>
      <c r="BI76" s="1541">
        <f t="shared" si="41"/>
        <v>2.8070777050980267E-2</v>
      </c>
      <c r="BJ76" s="1541">
        <f t="shared" si="41"/>
        <v>2.8123453178434454E-2</v>
      </c>
      <c r="BK76" s="1541">
        <f t="shared" si="41"/>
        <v>2.8174784539965136E-2</v>
      </c>
      <c r="BL76" s="1541">
        <f t="shared" si="41"/>
        <v>2.8224800406040362E-2</v>
      </c>
      <c r="BM76" s="1541">
        <f t="shared" si="41"/>
        <v>2.8273529686058341E-2</v>
      </c>
      <c r="BN76" s="1541">
        <f t="shared" si="41"/>
        <v>2.8321000916488925E-2</v>
      </c>
      <c r="BO76" s="1541">
        <f t="shared" si="41"/>
        <v>2.8367242250216806E-2</v>
      </c>
      <c r="BP76" s="1541">
        <f t="shared" si="41"/>
        <v>2.8412281447034005E-2</v>
      </c>
      <c r="BQ76" s="1541">
        <f t="shared" si="41"/>
        <v>2.845614586522438E-2</v>
      </c>
      <c r="BR76" s="1541">
        <f t="shared" si="41"/>
        <v>2.8498862454191976E-2</v>
      </c>
      <c r="BS76" s="1541">
        <f t="shared" si="41"/>
        <v>2.8540457748075232E-2</v>
      </c>
      <c r="BT76" s="1541">
        <f t="shared" si="41"/>
        <v>2.8580957860306233E-2</v>
      </c>
      <c r="BU76" s="1541">
        <f t="shared" si="41"/>
        <v>2.8620388479049685E-2</v>
      </c>
      <c r="BV76" s="1541"/>
      <c r="BW76" s="1541"/>
      <c r="BX76" s="1541"/>
      <c r="BY76" s="1541"/>
      <c r="BZ76" s="1541"/>
      <c r="CA76" s="1541"/>
    </row>
    <row r="77" spans="1:79">
      <c r="A77" s="1020" t="s">
        <v>600</v>
      </c>
      <c r="B77" s="1040"/>
      <c r="C77" s="1041">
        <v>1985.2</v>
      </c>
      <c r="D77" s="1042">
        <v>2231609.0168799995</v>
      </c>
      <c r="E77" s="1043">
        <v>2227.7457344526506</v>
      </c>
      <c r="F77" s="1042">
        <v>771734.33819918835</v>
      </c>
      <c r="G77" s="1044">
        <v>1992.2116344158155</v>
      </c>
      <c r="H77" s="2052">
        <v>1652966.02</v>
      </c>
      <c r="I77" s="2052"/>
      <c r="J77" s="2052">
        <v>3075491.7402407555</v>
      </c>
      <c r="K77" s="2052">
        <v>3050154.0977639407</v>
      </c>
      <c r="L77" s="2052">
        <v>3141658.7206968595</v>
      </c>
      <c r="M77" s="2052">
        <v>3235908.4823177657</v>
      </c>
      <c r="N77" s="2052">
        <v>3332985.7367872982</v>
      </c>
      <c r="O77" s="2052">
        <v>3432975.3088909178</v>
      </c>
      <c r="P77" s="2052">
        <v>3535964.5681576454</v>
      </c>
      <c r="Q77" s="2052">
        <v>3642043.5052023744</v>
      </c>
      <c r="R77" s="2052">
        <v>3751304.8103584456</v>
      </c>
      <c r="S77" s="2052">
        <v>3863843.954669199</v>
      </c>
      <c r="T77" s="2052">
        <v>3979759.273309275</v>
      </c>
      <c r="U77" s="2052">
        <v>4099152.0515085533</v>
      </c>
      <c r="V77" s="2052">
        <v>4222126.6130538099</v>
      </c>
      <c r="W77" s="2052">
        <v>4348790.4114454249</v>
      </c>
      <c r="X77" s="3884">
        <v>4479254.123788788</v>
      </c>
      <c r="Y77" s="2052">
        <v>4613631.7475024518</v>
      </c>
      <c r="Z77" s="2052">
        <v>4752040.6999275256</v>
      </c>
      <c r="AA77" s="2052">
        <v>4894601.9209253509</v>
      </c>
      <c r="AB77" s="2052">
        <v>5041439.9785531117</v>
      </c>
      <c r="AC77" s="2052">
        <v>5192683.1779097058</v>
      </c>
      <c r="AD77" s="2052">
        <v>5348463.6732469965</v>
      </c>
      <c r="AE77" s="2052">
        <v>5508917.5834444072</v>
      </c>
      <c r="AF77" s="2052">
        <v>5674185.1109477393</v>
      </c>
      <c r="AG77" s="2052">
        <v>5844410.6642761705</v>
      </c>
      <c r="AH77" s="2052">
        <v>6019742.9842044571</v>
      </c>
      <c r="AI77" s="2052">
        <v>6200335.2737305909</v>
      </c>
      <c r="AJ77" s="2052">
        <v>6386345.3319425089</v>
      </c>
      <c r="AK77" s="2052">
        <v>6577935.6919007851</v>
      </c>
      <c r="AL77" s="2052">
        <v>6775273.7626578081</v>
      </c>
      <c r="AM77" s="2052">
        <v>6978531.9755375423</v>
      </c>
      <c r="AN77" s="2052">
        <v>7187887.9348036675</v>
      </c>
      <c r="AO77" s="2052">
        <v>5389121.3127484862</v>
      </c>
      <c r="AR77" s="1541">
        <f>K77/J77-1</f>
        <v>-8.2385662576454077E-3</v>
      </c>
      <c r="AS77" s="1541">
        <f t="shared" si="41"/>
        <v>3.0000000000000249E-2</v>
      </c>
      <c r="AT77" s="1541">
        <f t="shared" si="41"/>
        <v>3.0000000000000027E-2</v>
      </c>
      <c r="AU77" s="1541">
        <f t="shared" si="41"/>
        <v>2.9999999999999805E-2</v>
      </c>
      <c r="AV77" s="1541">
        <f t="shared" si="41"/>
        <v>3.0000000000000249E-2</v>
      </c>
      <c r="AW77" s="1541">
        <f t="shared" si="41"/>
        <v>3.0000000000000027E-2</v>
      </c>
      <c r="AX77" s="1541">
        <f t="shared" si="41"/>
        <v>2.9999999999999805E-2</v>
      </c>
      <c r="AY77" s="1541">
        <f t="shared" si="41"/>
        <v>3.0000000000000027E-2</v>
      </c>
      <c r="AZ77" s="1541">
        <f t="shared" si="41"/>
        <v>3.0000000000000027E-2</v>
      </c>
      <c r="BA77" s="1541">
        <f t="shared" si="41"/>
        <v>3.0000000000000027E-2</v>
      </c>
      <c r="BB77" s="1541">
        <f t="shared" si="41"/>
        <v>3.0000000000000027E-2</v>
      </c>
      <c r="BC77" s="1541">
        <f t="shared" si="41"/>
        <v>3.0000000000000027E-2</v>
      </c>
      <c r="BD77" s="1541">
        <f t="shared" si="41"/>
        <v>3.0000000000000249E-2</v>
      </c>
      <c r="BE77" s="1541">
        <f t="shared" si="41"/>
        <v>3.0000000000000027E-2</v>
      </c>
      <c r="BF77" s="1541">
        <f t="shared" si="41"/>
        <v>3.0000000000000027E-2</v>
      </c>
      <c r="BG77" s="1541">
        <f t="shared" si="41"/>
        <v>3.0000000000000027E-2</v>
      </c>
      <c r="BH77" s="1541">
        <f t="shared" si="41"/>
        <v>2.9999999999999805E-2</v>
      </c>
      <c r="BI77" s="1541">
        <f t="shared" si="41"/>
        <v>3.0000000000000027E-2</v>
      </c>
      <c r="BJ77" s="1541">
        <f t="shared" si="41"/>
        <v>3.0000000000000249E-2</v>
      </c>
      <c r="BK77" s="1541">
        <f t="shared" si="41"/>
        <v>2.9999999999999805E-2</v>
      </c>
      <c r="BL77" s="1541">
        <f t="shared" si="41"/>
        <v>3.0000000000000249E-2</v>
      </c>
      <c r="BM77" s="1541">
        <f t="shared" si="41"/>
        <v>3.0000000000000027E-2</v>
      </c>
      <c r="BN77" s="1541">
        <f t="shared" si="41"/>
        <v>2.9999999999999805E-2</v>
      </c>
      <c r="BO77" s="1541">
        <f t="shared" si="41"/>
        <v>3.0000000000000249E-2</v>
      </c>
      <c r="BP77" s="1541">
        <f t="shared" si="41"/>
        <v>3.0000000000000027E-2</v>
      </c>
      <c r="BQ77" s="1541">
        <f t="shared" si="41"/>
        <v>3.0000000000000027E-2</v>
      </c>
      <c r="BR77" s="1541">
        <f t="shared" si="41"/>
        <v>3.0000000000000249E-2</v>
      </c>
      <c r="BS77" s="1541">
        <f t="shared" si="41"/>
        <v>3.0000000000000027E-2</v>
      </c>
      <c r="BT77" s="1541">
        <f t="shared" si="41"/>
        <v>3.0000000000000027E-2</v>
      </c>
      <c r="BU77" s="1541">
        <f t="shared" si="41"/>
        <v>2.9999999999999805E-2</v>
      </c>
      <c r="BV77" s="1541"/>
      <c r="BW77" s="1541"/>
      <c r="BX77" s="1541"/>
      <c r="BY77" s="1541"/>
      <c r="BZ77" s="1541"/>
      <c r="CA77" s="1541"/>
    </row>
    <row r="78" spans="1:79">
      <c r="A78" s="1020" t="s">
        <v>377</v>
      </c>
      <c r="B78" s="1040"/>
      <c r="C78" s="1041">
        <v>15710.8</v>
      </c>
      <c r="D78" s="1042">
        <v>14981385.472820001</v>
      </c>
      <c r="E78" s="1043">
        <v>17399.979698229745</v>
      </c>
      <c r="F78" s="1042">
        <v>6001360.9436718235</v>
      </c>
      <c r="G78" s="1044">
        <v>15484.776219663625</v>
      </c>
      <c r="H78" s="2052">
        <v>18771334.510000002</v>
      </c>
      <c r="I78" s="2052"/>
      <c r="J78" s="2052">
        <v>25605506.621733658</v>
      </c>
      <c r="K78" s="2052">
        <v>21820294.264416888</v>
      </c>
      <c r="L78" s="2052">
        <v>22474903.092349395</v>
      </c>
      <c r="M78" s="2052">
        <v>23149150.185119882</v>
      </c>
      <c r="N78" s="2052">
        <v>23843624.69067347</v>
      </c>
      <c r="O78" s="2052">
        <v>24558933.431393683</v>
      </c>
      <c r="P78" s="2052">
        <v>25295701.434335493</v>
      </c>
      <c r="Q78" s="2052">
        <v>26054572.477365557</v>
      </c>
      <c r="R78" s="2052">
        <v>26836209.651686519</v>
      </c>
      <c r="S78" s="2052">
        <v>27641295.941237118</v>
      </c>
      <c r="T78" s="2052">
        <v>28470534.819474235</v>
      </c>
      <c r="U78" s="2052">
        <v>29324650.864058457</v>
      </c>
      <c r="V78" s="2052">
        <v>30204390.389980212</v>
      </c>
      <c r="W78" s="2052">
        <v>31110522.101679623</v>
      </c>
      <c r="X78" s="3884">
        <v>32043837.764730014</v>
      </c>
      <c r="Y78" s="2052">
        <v>33005152.897671916</v>
      </c>
      <c r="Z78" s="2052">
        <v>33995307.484602079</v>
      </c>
      <c r="AA78" s="2052">
        <v>35015166.709140137</v>
      </c>
      <c r="AB78" s="2052">
        <v>36065621.710414343</v>
      </c>
      <c r="AC78" s="2052">
        <v>37147590.361726776</v>
      </c>
      <c r="AD78" s="2052">
        <v>38262018.072578579</v>
      </c>
      <c r="AE78" s="2052">
        <v>39409878.614755936</v>
      </c>
      <c r="AF78" s="2052">
        <v>40592174.973198622</v>
      </c>
      <c r="AG78" s="2052">
        <v>41809940.222394571</v>
      </c>
      <c r="AH78" s="2052">
        <v>43064238.42906642</v>
      </c>
      <c r="AI78" s="2052">
        <v>44356165.581938416</v>
      </c>
      <c r="AJ78" s="2052">
        <v>45686850.54939656</v>
      </c>
      <c r="AK78" s="2052">
        <v>47057456.065878466</v>
      </c>
      <c r="AL78" s="2052">
        <v>48469179.747854821</v>
      </c>
      <c r="AM78" s="2052">
        <v>49923255.140290469</v>
      </c>
      <c r="AN78" s="2052">
        <v>51420952.794499174</v>
      </c>
      <c r="AO78" s="2052">
        <v>27263384.431113049</v>
      </c>
      <c r="AR78" s="1541">
        <f>K78/J78-1</f>
        <v>-0.14782805953559708</v>
      </c>
      <c r="AS78" s="1541">
        <f t="shared" si="41"/>
        <v>3.0000000000000027E-2</v>
      </c>
      <c r="AT78" s="1541">
        <f t="shared" si="41"/>
        <v>3.0000000000000249E-2</v>
      </c>
      <c r="AU78" s="1541">
        <f t="shared" si="41"/>
        <v>2.9999999999999583E-2</v>
      </c>
      <c r="AV78" s="1541">
        <f t="shared" si="41"/>
        <v>3.0000000000000249E-2</v>
      </c>
      <c r="AW78" s="1541">
        <f t="shared" si="41"/>
        <v>3.0000000000000027E-2</v>
      </c>
      <c r="AX78" s="1541">
        <f t="shared" si="41"/>
        <v>3.0000000000000027E-2</v>
      </c>
      <c r="AY78" s="1541">
        <f t="shared" si="41"/>
        <v>2.9999999999999805E-2</v>
      </c>
      <c r="AZ78" s="1541">
        <f t="shared" si="41"/>
        <v>3.0000000000000027E-2</v>
      </c>
      <c r="BA78" s="1541">
        <f t="shared" si="41"/>
        <v>3.0000000000000027E-2</v>
      </c>
      <c r="BB78" s="1541">
        <f t="shared" si="41"/>
        <v>2.9999999999999805E-2</v>
      </c>
      <c r="BC78" s="1541">
        <f t="shared" si="41"/>
        <v>3.0000000000000027E-2</v>
      </c>
      <c r="BD78" s="1541">
        <f t="shared" si="41"/>
        <v>3.0000000000000249E-2</v>
      </c>
      <c r="BE78" s="1541">
        <f t="shared" si="41"/>
        <v>3.0000000000000027E-2</v>
      </c>
      <c r="BF78" s="1541">
        <f t="shared" si="41"/>
        <v>3.0000000000000027E-2</v>
      </c>
      <c r="BG78" s="1541">
        <f t="shared" si="41"/>
        <v>3.0000000000000249E-2</v>
      </c>
      <c r="BH78" s="1541">
        <f t="shared" si="41"/>
        <v>2.9999999999999805E-2</v>
      </c>
      <c r="BI78" s="1541">
        <f t="shared" si="41"/>
        <v>3.0000000000000027E-2</v>
      </c>
      <c r="BJ78" s="1541">
        <f t="shared" si="41"/>
        <v>3.0000000000000027E-2</v>
      </c>
      <c r="BK78" s="1541">
        <f t="shared" si="41"/>
        <v>3.0000000000000027E-2</v>
      </c>
      <c r="BL78" s="1541">
        <f t="shared" si="41"/>
        <v>3.0000000000000027E-2</v>
      </c>
      <c r="BM78" s="1541">
        <f t="shared" si="41"/>
        <v>3.0000000000000249E-2</v>
      </c>
      <c r="BN78" s="1541">
        <f t="shared" si="41"/>
        <v>2.9999999999999805E-2</v>
      </c>
      <c r="BO78" s="1541">
        <f t="shared" si="41"/>
        <v>3.0000000000000249E-2</v>
      </c>
      <c r="BP78" s="1541">
        <f t="shared" si="41"/>
        <v>3.0000000000000027E-2</v>
      </c>
      <c r="BQ78" s="1541">
        <f t="shared" si="41"/>
        <v>2.9999999999999805E-2</v>
      </c>
      <c r="BR78" s="1541">
        <f t="shared" si="41"/>
        <v>3.0000000000000249E-2</v>
      </c>
      <c r="BS78" s="1541">
        <f t="shared" si="41"/>
        <v>3.0000000000000027E-2</v>
      </c>
      <c r="BT78" s="1541">
        <f t="shared" si="41"/>
        <v>3.0000000000000027E-2</v>
      </c>
      <c r="BU78" s="1541">
        <f t="shared" si="41"/>
        <v>2.9999999999999805E-2</v>
      </c>
      <c r="BV78" s="1541"/>
      <c r="BW78" s="1541"/>
      <c r="BX78" s="1541"/>
      <c r="BY78" s="1541"/>
      <c r="BZ78" s="1541"/>
      <c r="CA78" s="1541"/>
    </row>
    <row r="79" spans="1:79">
      <c r="A79" s="1020" t="s">
        <v>2008</v>
      </c>
      <c r="B79" s="1040"/>
      <c r="C79" s="1041">
        <v>24515.4</v>
      </c>
      <c r="D79" s="1042">
        <v>22069391.901576702</v>
      </c>
      <c r="E79" s="1043">
        <v>25350.100857275782</v>
      </c>
      <c r="F79" s="1042">
        <v>10760621.464892805</v>
      </c>
      <c r="G79" s="1044">
        <v>23615.132230481198</v>
      </c>
      <c r="H79" s="2052">
        <v>20711320.289999999</v>
      </c>
      <c r="I79" s="2052"/>
      <c r="J79" s="2052">
        <v>22402617.84224458</v>
      </c>
      <c r="K79" s="2052">
        <v>14523387.158869177</v>
      </c>
      <c r="L79" s="2052">
        <v>14135608.641664401</v>
      </c>
      <c r="M79" s="2052">
        <v>14621871.121822285</v>
      </c>
      <c r="N79" s="2052">
        <v>15146636.907566944</v>
      </c>
      <c r="O79" s="2052">
        <v>13867803.334485095</v>
      </c>
      <c r="P79" s="2052">
        <v>14283837.434519649</v>
      </c>
      <c r="Q79" s="2052">
        <v>14712352.55755524</v>
      </c>
      <c r="R79" s="2052">
        <v>15153723.134281896</v>
      </c>
      <c r="S79" s="2052">
        <v>15608334.828310352</v>
      </c>
      <c r="T79" s="2052">
        <v>16076584.873159662</v>
      </c>
      <c r="U79" s="2052">
        <v>16558882.419354454</v>
      </c>
      <c r="V79" s="2052">
        <v>17055648.891935088</v>
      </c>
      <c r="W79" s="2052">
        <v>17567318.358693141</v>
      </c>
      <c r="X79" s="3884">
        <v>18094337.909453936</v>
      </c>
      <c r="Y79" s="2052">
        <v>18637168.046737555</v>
      </c>
      <c r="Z79" s="2052">
        <v>19196283.088139687</v>
      </c>
      <c r="AA79" s="2052">
        <v>19772171.580783874</v>
      </c>
      <c r="AB79" s="2052">
        <v>20365336.728207387</v>
      </c>
      <c r="AC79" s="2052">
        <v>20976296.830053613</v>
      </c>
      <c r="AD79" s="2052">
        <v>21605585.734955221</v>
      </c>
      <c r="AE79" s="2052">
        <v>22253753.307003878</v>
      </c>
      <c r="AF79" s="2052">
        <v>22921365.906213999</v>
      </c>
      <c r="AG79" s="2052">
        <v>23609006.883400418</v>
      </c>
      <c r="AH79" s="2052">
        <v>24317277.089902431</v>
      </c>
      <c r="AI79" s="2052">
        <v>25046795.402599506</v>
      </c>
      <c r="AJ79" s="2052">
        <v>25798199.264677487</v>
      </c>
      <c r="AK79" s="2052">
        <v>26572145.242617823</v>
      </c>
      <c r="AL79" s="2052">
        <v>27369309.599896356</v>
      </c>
      <c r="AM79" s="2052">
        <v>28190388.887893248</v>
      </c>
      <c r="AN79" s="2052">
        <v>29036100.554530039</v>
      </c>
      <c r="AO79" s="2052">
        <v>9562987.757598171</v>
      </c>
      <c r="AR79" s="1541">
        <f>K79/J79-1</f>
        <v>-0.3517102661331637</v>
      </c>
      <c r="AS79" s="1541">
        <f t="shared" si="41"/>
        <v>-2.6700280930538112E-2</v>
      </c>
      <c r="AT79" s="1541">
        <f t="shared" si="41"/>
        <v>3.4399826175481207E-2</v>
      </c>
      <c r="AU79" s="1541">
        <f t="shared" si="41"/>
        <v>3.5889099375351341E-2</v>
      </c>
      <c r="AV79" s="1541">
        <f t="shared" si="41"/>
        <v>-8.4430199316586907E-2</v>
      </c>
      <c r="AW79" s="1541">
        <f t="shared" si="41"/>
        <v>3.0000000000000027E-2</v>
      </c>
      <c r="AX79" s="1541">
        <f t="shared" si="41"/>
        <v>3.0000000000000027E-2</v>
      </c>
      <c r="AY79" s="1541">
        <f t="shared" si="41"/>
        <v>3.0000000000000027E-2</v>
      </c>
      <c r="AZ79" s="1541">
        <f t="shared" si="41"/>
        <v>3.0000000000000027E-2</v>
      </c>
      <c r="BA79" s="1541">
        <f t="shared" si="41"/>
        <v>3.0000000000000027E-2</v>
      </c>
      <c r="BB79" s="1541">
        <f t="shared" si="41"/>
        <v>3.0000000000000027E-2</v>
      </c>
      <c r="BC79" s="1541">
        <f t="shared" si="41"/>
        <v>3.0000000000000027E-2</v>
      </c>
      <c r="BD79" s="1541">
        <f t="shared" si="41"/>
        <v>3.0000000000000027E-2</v>
      </c>
      <c r="BE79" s="1541">
        <f t="shared" si="41"/>
        <v>3.0000000000000027E-2</v>
      </c>
      <c r="BF79" s="1541">
        <f t="shared" si="41"/>
        <v>3.0000000000000027E-2</v>
      </c>
      <c r="BG79" s="1541">
        <f t="shared" si="41"/>
        <v>3.0000000000000249E-2</v>
      </c>
      <c r="BH79" s="1541">
        <f t="shared" si="41"/>
        <v>2.9999999999999805E-2</v>
      </c>
      <c r="BI79" s="1541">
        <f t="shared" si="41"/>
        <v>2.9999999999999805E-2</v>
      </c>
      <c r="BJ79" s="1541">
        <f t="shared" si="41"/>
        <v>3.0000000000000249E-2</v>
      </c>
      <c r="BK79" s="1541">
        <f t="shared" si="41"/>
        <v>3.0000000000000027E-2</v>
      </c>
      <c r="BL79" s="1541">
        <f t="shared" si="41"/>
        <v>3.0000000000000027E-2</v>
      </c>
      <c r="BM79" s="1541">
        <f t="shared" si="41"/>
        <v>3.0000000000000249E-2</v>
      </c>
      <c r="BN79" s="1541">
        <f t="shared" si="41"/>
        <v>3.0000000000000027E-2</v>
      </c>
      <c r="BO79" s="1541">
        <f t="shared" si="41"/>
        <v>3.0000000000000027E-2</v>
      </c>
      <c r="BP79" s="1541">
        <f t="shared" si="41"/>
        <v>3.0000000000000027E-2</v>
      </c>
      <c r="BQ79" s="1541">
        <f t="shared" si="41"/>
        <v>2.9999999999999805E-2</v>
      </c>
      <c r="BR79" s="1541">
        <f t="shared" si="41"/>
        <v>3.0000000000000471E-2</v>
      </c>
      <c r="BS79" s="1541">
        <f t="shared" si="41"/>
        <v>3.0000000000000027E-2</v>
      </c>
      <c r="BT79" s="1541">
        <f t="shared" si="41"/>
        <v>3.0000000000000027E-2</v>
      </c>
      <c r="BU79" s="1541">
        <f t="shared" si="41"/>
        <v>2.9999999999999805E-2</v>
      </c>
      <c r="BV79" s="1541"/>
      <c r="BW79" s="1541"/>
      <c r="BX79" s="1541"/>
      <c r="BY79" s="1541"/>
      <c r="BZ79" s="1541"/>
      <c r="CA79" s="1541"/>
    </row>
    <row r="80" spans="1:79">
      <c r="A80" s="1020" t="s">
        <v>843</v>
      </c>
      <c r="B80" s="1040"/>
      <c r="C80" s="1041">
        <v>1398</v>
      </c>
      <c r="D80" s="1042">
        <v>2064953.24</v>
      </c>
      <c r="E80" s="1043">
        <v>1513</v>
      </c>
      <c r="F80" s="1042">
        <v>1826646.16</v>
      </c>
      <c r="G80" s="1044">
        <v>1894.962</v>
      </c>
      <c r="H80" s="2052">
        <v>1954509.94</v>
      </c>
      <c r="I80" s="2052"/>
      <c r="J80" s="2052">
        <v>1894962</v>
      </c>
      <c r="K80" s="2052">
        <v>1894962</v>
      </c>
      <c r="L80" s="2052">
        <v>1894962</v>
      </c>
      <c r="M80" s="2052">
        <v>1894962</v>
      </c>
      <c r="N80" s="2052">
        <v>1894962</v>
      </c>
      <c r="O80" s="2052">
        <v>1894962</v>
      </c>
      <c r="P80" s="2052">
        <v>1894962</v>
      </c>
      <c r="Q80" s="2052">
        <v>1894962</v>
      </c>
      <c r="R80" s="2052">
        <v>1894962</v>
      </c>
      <c r="S80" s="2052">
        <v>1894962</v>
      </c>
      <c r="T80" s="2052">
        <v>1894962</v>
      </c>
      <c r="U80" s="2052">
        <v>1894962</v>
      </c>
      <c r="V80" s="2052">
        <v>1894962</v>
      </c>
      <c r="W80" s="2052">
        <v>1894962</v>
      </c>
      <c r="X80" s="3884">
        <v>1894962</v>
      </c>
      <c r="Y80" s="2052">
        <v>1894962</v>
      </c>
      <c r="Z80" s="2052">
        <v>1894962</v>
      </c>
      <c r="AA80" s="2052">
        <v>1894962</v>
      </c>
      <c r="AB80" s="2052">
        <v>1894962</v>
      </c>
      <c r="AC80" s="2052">
        <v>1894962</v>
      </c>
      <c r="AD80" s="2052">
        <v>1894962</v>
      </c>
      <c r="AE80" s="2052">
        <v>1894962</v>
      </c>
      <c r="AF80" s="2052">
        <v>1894962</v>
      </c>
      <c r="AG80" s="2052">
        <v>1894962</v>
      </c>
      <c r="AH80" s="2052">
        <v>1894962</v>
      </c>
      <c r="AI80" s="2052">
        <v>1894962</v>
      </c>
      <c r="AJ80" s="2052">
        <v>1894962</v>
      </c>
      <c r="AK80" s="2052">
        <v>1894962</v>
      </c>
      <c r="AL80" s="2052">
        <v>1894962</v>
      </c>
      <c r="AM80" s="2052">
        <v>1894962</v>
      </c>
      <c r="AN80" s="2052">
        <v>1894962</v>
      </c>
      <c r="AO80" s="2052">
        <v>0</v>
      </c>
      <c r="AR80" s="1541"/>
      <c r="AS80" s="1541"/>
      <c r="AT80" s="1541"/>
      <c r="AU80" s="1541"/>
      <c r="AV80" s="1541"/>
      <c r="AW80" s="1541"/>
      <c r="AX80" s="1541"/>
      <c r="AY80" s="1541"/>
      <c r="AZ80" s="1541"/>
      <c r="BA80" s="1541"/>
      <c r="BB80" s="1541"/>
      <c r="BC80" s="1541"/>
      <c r="BD80" s="1541"/>
      <c r="BE80" s="1541"/>
      <c r="BF80" s="1541"/>
      <c r="BG80" s="1541"/>
      <c r="BH80" s="1541"/>
      <c r="BI80" s="1541"/>
      <c r="BJ80" s="1541"/>
      <c r="BK80" s="1541"/>
      <c r="BL80" s="1541"/>
      <c r="BM80" s="1541"/>
      <c r="BN80" s="1541"/>
      <c r="BO80" s="1541"/>
      <c r="BP80" s="1541"/>
      <c r="BQ80" s="1541"/>
      <c r="BR80" s="1541"/>
      <c r="BS80" s="1541"/>
      <c r="BT80" s="1541"/>
      <c r="BU80" s="1541"/>
      <c r="BV80" s="1541"/>
      <c r="BW80" s="1541"/>
      <c r="BX80" s="1541"/>
      <c r="BY80" s="1541"/>
      <c r="BZ80" s="1541"/>
      <c r="CA80" s="1541"/>
    </row>
    <row r="81" spans="1:79">
      <c r="A81" s="1020" t="s">
        <v>2009</v>
      </c>
      <c r="B81" s="1040" t="s">
        <v>2010</v>
      </c>
      <c r="C81" s="1041">
        <v>66998.517999999996</v>
      </c>
      <c r="D81" s="1042">
        <v>72664805.400000006</v>
      </c>
      <c r="E81" s="1043">
        <v>72617</v>
      </c>
      <c r="F81" s="1042">
        <v>74080309.959999993</v>
      </c>
      <c r="G81" s="1044">
        <v>74106.570733</v>
      </c>
      <c r="H81" s="2052">
        <v>76420927</v>
      </c>
      <c r="I81" s="2052"/>
      <c r="J81" s="2052">
        <v>76649452.245005623</v>
      </c>
      <c r="K81" s="2052">
        <v>87932963.382880524</v>
      </c>
      <c r="L81" s="2052">
        <v>91885525.945107684</v>
      </c>
      <c r="M81" s="2052">
        <v>92551889.486745894</v>
      </c>
      <c r="N81" s="2052">
        <v>90317272.095253155</v>
      </c>
      <c r="O81" s="2052">
        <v>92295230.200655043</v>
      </c>
      <c r="P81" s="2052">
        <v>94463964.313190609</v>
      </c>
      <c r="Q81" s="2052">
        <v>91022925.509864733</v>
      </c>
      <c r="R81" s="2052">
        <v>92500606.016243309</v>
      </c>
      <c r="S81" s="2052">
        <v>88627813.569959953</v>
      </c>
      <c r="T81" s="2052">
        <v>91574205.867480159</v>
      </c>
      <c r="U81" s="2052">
        <v>93039005.108765304</v>
      </c>
      <c r="V81" s="2052">
        <v>88741092.368251309</v>
      </c>
      <c r="W81" s="2052">
        <v>93241815.796586946</v>
      </c>
      <c r="X81" s="3884">
        <v>97474608.426668555</v>
      </c>
      <c r="Y81" s="2052">
        <v>99713362.263926104</v>
      </c>
      <c r="Z81" s="2052">
        <v>101120342.62989309</v>
      </c>
      <c r="AA81" s="2052">
        <v>95779701.822886229</v>
      </c>
      <c r="AB81" s="2052">
        <v>96471769.416596085</v>
      </c>
      <c r="AC81" s="2052">
        <v>96964596.804066196</v>
      </c>
      <c r="AD81" s="2052">
        <v>98645538.029757082</v>
      </c>
      <c r="AE81" s="2052">
        <v>99860687.763399154</v>
      </c>
      <c r="AF81" s="2052">
        <v>99358209.874911666</v>
      </c>
      <c r="AG81" s="2052">
        <v>102931017.03815824</v>
      </c>
      <c r="AH81" s="2052">
        <v>104198695.21984355</v>
      </c>
      <c r="AI81" s="2052">
        <v>110447420.35268918</v>
      </c>
      <c r="AJ81" s="2052">
        <v>100345862.88693985</v>
      </c>
      <c r="AK81" s="2052">
        <v>110257318.55095154</v>
      </c>
      <c r="AL81" s="2052">
        <v>117428727.85644065</v>
      </c>
      <c r="AM81" s="2052">
        <v>105093340.73066017</v>
      </c>
      <c r="AN81" s="2052">
        <v>98630762.777578145</v>
      </c>
      <c r="AO81" s="2052">
        <v>25172680.608302861</v>
      </c>
      <c r="AR81" s="1541"/>
      <c r="AS81" s="1541"/>
      <c r="AT81" s="1541"/>
      <c r="AU81" s="1541"/>
      <c r="AV81" s="1541"/>
      <c r="AW81" s="1541"/>
      <c r="AX81" s="1541"/>
      <c r="AY81" s="1541"/>
      <c r="AZ81" s="1541"/>
      <c r="BA81" s="1541"/>
      <c r="BB81" s="1541"/>
      <c r="BC81" s="1541"/>
      <c r="BD81" s="1541"/>
      <c r="BE81" s="1541"/>
      <c r="BF81" s="1541"/>
      <c r="BG81" s="1541"/>
      <c r="BH81" s="1541"/>
      <c r="BI81" s="1541"/>
      <c r="BJ81" s="1541"/>
      <c r="BK81" s="1541"/>
      <c r="BL81" s="1541"/>
      <c r="BM81" s="1541"/>
      <c r="BN81" s="1541"/>
      <c r="BO81" s="1541"/>
      <c r="BP81" s="1541"/>
      <c r="BQ81" s="1541"/>
      <c r="BR81" s="1541"/>
      <c r="BS81" s="1541"/>
      <c r="BT81" s="1541"/>
      <c r="BU81" s="1541"/>
      <c r="BV81" s="1541"/>
      <c r="BW81" s="1541"/>
      <c r="BX81" s="1541"/>
      <c r="BY81" s="1541"/>
      <c r="BZ81" s="1541"/>
      <c r="CA81" s="1541"/>
    </row>
    <row r="82" spans="1:79">
      <c r="A82" s="1046" t="s">
        <v>2011</v>
      </c>
      <c r="B82" s="1047"/>
      <c r="C82" s="1048">
        <f t="shared" ref="C82:H82" si="42">SUM(C76:C81)</f>
        <v>132573.818</v>
      </c>
      <c r="D82" s="1094">
        <f t="shared" si="42"/>
        <v>136288999.11893412</v>
      </c>
      <c r="E82" s="1050">
        <f t="shared" si="42"/>
        <v>143848.87300000002</v>
      </c>
      <c r="F82" s="1094">
        <f t="shared" si="42"/>
        <v>116902516.1167638</v>
      </c>
      <c r="G82" s="1051">
        <f t="shared" si="42"/>
        <v>141971.97232191931</v>
      </c>
      <c r="H82" s="1094">
        <f t="shared" si="42"/>
        <v>142430370.50999999</v>
      </c>
      <c r="I82" s="1094"/>
      <c r="J82" s="1094">
        <f>SUM(J76:J81)</f>
        <v>164995544.45630246</v>
      </c>
      <c r="K82" s="1094">
        <f t="shared" ref="K82:AO82" si="43">SUM(K76:K81)</f>
        <v>158587979.70320874</v>
      </c>
      <c r="L82" s="1094">
        <f t="shared" si="43"/>
        <v>163692353.76307493</v>
      </c>
      <c r="M82" s="1094">
        <f t="shared" si="43"/>
        <v>166430757.5001601</v>
      </c>
      <c r="N82" s="1094">
        <f t="shared" si="43"/>
        <v>166354256.94115978</v>
      </c>
      <c r="O82" s="1094">
        <f t="shared" si="43"/>
        <v>168735733.05163002</v>
      </c>
      <c r="P82" s="1094">
        <f t="shared" si="43"/>
        <v>173053323.38969481</v>
      </c>
      <c r="Q82" s="1094">
        <f t="shared" si="43"/>
        <v>171825606.49866408</v>
      </c>
      <c r="R82" s="1094">
        <f t="shared" si="43"/>
        <v>175583008.57470661</v>
      </c>
      <c r="S82" s="1094">
        <f t="shared" si="43"/>
        <v>174058329.34517717</v>
      </c>
      <c r="T82" s="1094">
        <f t="shared" si="43"/>
        <v>179423278.25595391</v>
      </c>
      <c r="U82" s="1094">
        <f t="shared" si="43"/>
        <v>183379190.80889326</v>
      </c>
      <c r="V82" s="1094">
        <f t="shared" si="43"/>
        <v>181647124.77938312</v>
      </c>
      <c r="W82" s="1094">
        <f t="shared" si="43"/>
        <v>188790670.32005268</v>
      </c>
      <c r="X82" s="3895">
        <f t="shared" si="43"/>
        <v>195745569.72583827</v>
      </c>
      <c r="Y82" s="1094">
        <f t="shared" si="43"/>
        <v>200788093.54207093</v>
      </c>
      <c r="Z82" s="1094">
        <f t="shared" si="43"/>
        <v>205082956.98638228</v>
      </c>
      <c r="AA82" s="1094">
        <f t="shared" si="43"/>
        <v>202716835.7500701</v>
      </c>
      <c r="AB82" s="1094">
        <f t="shared" si="43"/>
        <v>206472658.50159544</v>
      </c>
      <c r="AC82" s="1094">
        <f t="shared" si="43"/>
        <v>210121153.70161557</v>
      </c>
      <c r="AD82" s="1094">
        <f t="shared" si="43"/>
        <v>215052432.77423292</v>
      </c>
      <c r="AE82" s="1094">
        <f t="shared" si="43"/>
        <v>219615430.49020928</v>
      </c>
      <c r="AF82" s="1094">
        <f t="shared" si="43"/>
        <v>222561236.0235261</v>
      </c>
      <c r="AG82" s="1094">
        <f t="shared" si="43"/>
        <v>229685775.11123109</v>
      </c>
      <c r="AH82" s="1094">
        <f t="shared" si="43"/>
        <v>234611737.17510861</v>
      </c>
      <c r="AI82" s="1094">
        <f t="shared" si="43"/>
        <v>244628494.7066122</v>
      </c>
      <c r="AJ82" s="1094">
        <f t="shared" si="43"/>
        <v>238408010.61148056</v>
      </c>
      <c r="AK82" s="1094">
        <f t="shared" si="43"/>
        <v>252316971.8472285</v>
      </c>
      <c r="AL82" s="1094">
        <f t="shared" si="43"/>
        <v>263605811.89160591</v>
      </c>
      <c r="AM82" s="1094">
        <f t="shared" si="43"/>
        <v>255511378.42688039</v>
      </c>
      <c r="AN82" s="1094">
        <f t="shared" si="43"/>
        <v>253416982.74468496</v>
      </c>
      <c r="AO82" s="1094">
        <f t="shared" si="43"/>
        <v>101809804.57641701</v>
      </c>
    </row>
    <row r="83" spans="1:79">
      <c r="A83" s="1052"/>
      <c r="B83" s="1053"/>
      <c r="C83" s="1096"/>
      <c r="D83" s="1096"/>
      <c r="E83" s="1097"/>
      <c r="F83" s="1096"/>
      <c r="G83" s="1056"/>
      <c r="H83" s="1096"/>
      <c r="I83" s="1096"/>
      <c r="J83" s="1096"/>
      <c r="K83" s="1096"/>
      <c r="L83" s="1096"/>
      <c r="M83" s="1096"/>
      <c r="N83" s="1096"/>
      <c r="O83" s="1096"/>
      <c r="P83" s="1096"/>
      <c r="Q83" s="1096"/>
      <c r="R83" s="1096"/>
      <c r="S83" s="1096"/>
      <c r="T83" s="1096"/>
      <c r="U83" s="1096"/>
      <c r="V83" s="1096"/>
      <c r="W83" s="1096"/>
      <c r="X83" s="3898"/>
      <c r="Y83" s="1096"/>
      <c r="Z83" s="1096"/>
      <c r="AA83" s="1096"/>
      <c r="AB83" s="1096"/>
      <c r="AC83" s="1096"/>
      <c r="AD83" s="1096"/>
      <c r="AE83" s="1096"/>
      <c r="AF83" s="1096"/>
      <c r="AG83" s="1096"/>
      <c r="AH83" s="1096"/>
      <c r="AI83" s="1096"/>
      <c r="AJ83" s="1096"/>
      <c r="AK83" s="1096"/>
      <c r="AL83" s="1096"/>
      <c r="AM83" s="1096"/>
      <c r="AN83" s="1096"/>
      <c r="AO83" s="1096"/>
    </row>
    <row r="84" spans="1:79" ht="16.5" thickBot="1">
      <c r="A84" s="1046" t="s">
        <v>2012</v>
      </c>
      <c r="B84" s="1047"/>
      <c r="C84" s="1059">
        <f t="shared" ref="C84:H84" si="44">C73+C82</f>
        <v>258962.91800000001</v>
      </c>
      <c r="D84" s="1087">
        <f t="shared" si="44"/>
        <v>242550163.31747407</v>
      </c>
      <c r="E84" s="1059">
        <f t="shared" si="44"/>
        <v>221834.97255000001</v>
      </c>
      <c r="F84" s="1087">
        <f t="shared" si="44"/>
        <v>177239975.15412748</v>
      </c>
      <c r="G84" s="1059">
        <f t="shared" si="44"/>
        <v>229803.66362533456</v>
      </c>
      <c r="H84" s="1087">
        <f t="shared" si="44"/>
        <v>239314152.59999999</v>
      </c>
      <c r="I84" s="1087"/>
      <c r="J84" s="1087">
        <f>J73+J82</f>
        <v>273670096.90673494</v>
      </c>
      <c r="K84" s="1087">
        <f t="shared" ref="K84:AO84" si="45">K73+K82</f>
        <v>241365530.8534281</v>
      </c>
      <c r="L84" s="1087">
        <f t="shared" si="45"/>
        <v>243683727.22807539</v>
      </c>
      <c r="M84" s="1087">
        <f t="shared" si="45"/>
        <v>249472240.54927009</v>
      </c>
      <c r="N84" s="1087">
        <f t="shared" si="45"/>
        <v>266358196.80796087</v>
      </c>
      <c r="O84" s="1087">
        <f t="shared" si="45"/>
        <v>271411444.70897532</v>
      </c>
      <c r="P84" s="1087">
        <f t="shared" si="45"/>
        <v>278197342.28543013</v>
      </c>
      <c r="Q84" s="1087">
        <f t="shared" si="45"/>
        <v>279499281.5069598</v>
      </c>
      <c r="R84" s="1087">
        <f t="shared" si="45"/>
        <v>283406176.42559016</v>
      </c>
      <c r="S84" s="1087">
        <f t="shared" si="45"/>
        <v>271039715.31622392</v>
      </c>
      <c r="T84" s="1087">
        <f t="shared" si="45"/>
        <v>279072270.63779891</v>
      </c>
      <c r="U84" s="1087">
        <f t="shared" si="45"/>
        <v>285778826.28934306</v>
      </c>
      <c r="V84" s="1087">
        <f t="shared" si="45"/>
        <v>286877909.78802943</v>
      </c>
      <c r="W84" s="1087">
        <f t="shared" si="45"/>
        <v>296949855.45818448</v>
      </c>
      <c r="X84" s="3893">
        <f t="shared" si="45"/>
        <v>307040710.61421525</v>
      </c>
      <c r="Y84" s="1087">
        <f t="shared" si="45"/>
        <v>315406444.37646043</v>
      </c>
      <c r="Z84" s="1087">
        <f t="shared" si="45"/>
        <v>323113259.99002117</v>
      </c>
      <c r="AA84" s="1087">
        <f t="shared" si="45"/>
        <v>324448280.60453898</v>
      </c>
      <c r="AB84" s="1087">
        <f t="shared" si="45"/>
        <v>331846324.0912044</v>
      </c>
      <c r="AC84" s="1087">
        <f t="shared" si="45"/>
        <v>339252417.64249396</v>
      </c>
      <c r="AD84" s="1087">
        <f t="shared" si="45"/>
        <v>348065402.43981349</v>
      </c>
      <c r="AE84" s="1087">
        <f t="shared" si="45"/>
        <v>356637827.49384618</v>
      </c>
      <c r="AF84" s="1087">
        <f t="shared" si="45"/>
        <v>363729535.30192685</v>
      </c>
      <c r="AG84" s="1087">
        <f t="shared" si="45"/>
        <v>375130098.76803303</v>
      </c>
      <c r="AH84" s="1087">
        <f t="shared" si="45"/>
        <v>384694813.2133441</v>
      </c>
      <c r="AI84" s="1087">
        <f t="shared" si="45"/>
        <v>399512507.85365534</v>
      </c>
      <c r="AJ84" s="1087">
        <f t="shared" si="45"/>
        <v>398020464.04053652</v>
      </c>
      <c r="AK84" s="1087">
        <f t="shared" si="45"/>
        <v>411025171.19723058</v>
      </c>
      <c r="AL84" s="1087">
        <f t="shared" si="45"/>
        <v>427356014.76904368</v>
      </c>
      <c r="AM84" s="1087">
        <f t="shared" si="45"/>
        <v>424469720.70799303</v>
      </c>
      <c r="AN84" s="1087">
        <f t="shared" si="45"/>
        <v>427755160.92752874</v>
      </c>
      <c r="AO84" s="1087">
        <f t="shared" si="45"/>
        <v>219191280.3848545</v>
      </c>
    </row>
    <row r="85" spans="1:79" ht="16.5" thickTop="1">
      <c r="A85" s="1063"/>
      <c r="B85" s="1071"/>
      <c r="C85" s="1054"/>
      <c r="D85" s="1054"/>
      <c r="E85" s="1055"/>
      <c r="F85" s="1054"/>
      <c r="G85" s="1056"/>
      <c r="H85" s="1098">
        <f>H84-H49-H81-H72</f>
        <v>95394691.969999999</v>
      </c>
      <c r="I85" s="1098"/>
      <c r="J85" s="1098">
        <f>J84-J49-J81-J72</f>
        <v>124886289.78624332</v>
      </c>
      <c r="K85" s="1098">
        <f>K84-K49</f>
        <v>191077761.51838601</v>
      </c>
      <c r="L85" s="1098">
        <f>L84-L49</f>
        <v>195987017.18675852</v>
      </c>
      <c r="M85" s="1098">
        <f>M84-M49</f>
        <v>203674384.3937625</v>
      </c>
      <c r="N85" s="1098">
        <f>N84-N49</f>
        <v>223532082.08062771</v>
      </c>
      <c r="O85" s="1098"/>
      <c r="P85" s="1098"/>
      <c r="Q85" s="1098"/>
      <c r="R85" s="1098"/>
      <c r="S85" s="1098"/>
      <c r="T85" s="1098"/>
      <c r="U85" s="1098"/>
      <c r="V85" s="1098"/>
      <c r="W85" s="1098"/>
      <c r="X85" s="3899"/>
      <c r="Y85" s="1098"/>
      <c r="Z85" s="1098"/>
      <c r="AA85" s="1098"/>
      <c r="AB85" s="1098"/>
      <c r="AC85" s="1098"/>
      <c r="AD85" s="1098"/>
      <c r="AE85" s="1098"/>
      <c r="AF85" s="1098"/>
      <c r="AG85" s="1098"/>
      <c r="AH85" s="1098"/>
      <c r="AI85" s="1098"/>
      <c r="AJ85" s="1098"/>
      <c r="AK85" s="1098"/>
      <c r="AL85" s="1098"/>
      <c r="AM85" s="1098"/>
      <c r="AN85" s="1098"/>
      <c r="AO85" s="1098"/>
    </row>
    <row r="86" spans="1:79">
      <c r="A86" s="1099"/>
      <c r="B86" s="1071"/>
      <c r="C86" s="1054"/>
      <c r="D86" s="1054"/>
      <c r="E86" s="1055"/>
      <c r="F86" s="1020"/>
      <c r="G86" s="1044"/>
      <c r="H86" s="1089"/>
      <c r="I86" s="1089"/>
      <c r="J86" s="1100"/>
      <c r="K86" s="1054"/>
      <c r="L86" s="1054"/>
      <c r="M86" s="1054"/>
      <c r="N86" s="1054"/>
      <c r="O86" s="1054"/>
      <c r="P86" s="1054"/>
      <c r="Q86" s="1054"/>
      <c r="R86" s="1054"/>
      <c r="S86" s="1054"/>
      <c r="T86" s="1054"/>
      <c r="U86" s="1054"/>
      <c r="V86" s="1054"/>
      <c r="W86" s="1054"/>
      <c r="X86" s="3889"/>
      <c r="Y86" s="1054"/>
      <c r="Z86" s="1054"/>
      <c r="AA86" s="1054"/>
      <c r="AB86" s="1054"/>
      <c r="AC86" s="1054"/>
      <c r="AD86" s="1054"/>
      <c r="AE86" s="1054"/>
      <c r="AF86" s="1054"/>
      <c r="AG86" s="1054"/>
      <c r="AH86" s="1054"/>
      <c r="AI86" s="1054"/>
      <c r="AJ86" s="1054"/>
      <c r="AK86" s="1054"/>
      <c r="AL86" s="1054"/>
      <c r="AM86" s="1054"/>
      <c r="AN86" s="1054"/>
      <c r="AO86" s="1054"/>
    </row>
    <row r="87" spans="1:79">
      <c r="A87" s="1063"/>
      <c r="B87" s="1071"/>
      <c r="C87" s="1041"/>
      <c r="D87" s="1041"/>
      <c r="E87" s="1043"/>
      <c r="F87" s="1041"/>
      <c r="G87" s="1044"/>
      <c r="H87" s="1101"/>
      <c r="I87" s="1101"/>
      <c r="J87" s="1041"/>
      <c r="K87" s="1041"/>
      <c r="L87" s="1041"/>
      <c r="M87" s="1041"/>
      <c r="N87" s="1041"/>
      <c r="O87" s="1041"/>
      <c r="P87" s="1041"/>
      <c r="Q87" s="1041"/>
      <c r="R87" s="1041"/>
      <c r="S87" s="1041"/>
      <c r="T87" s="1041"/>
      <c r="U87" s="1041"/>
      <c r="V87" s="1041"/>
      <c r="W87" s="1041"/>
      <c r="X87" s="3897"/>
      <c r="Y87" s="1041"/>
      <c r="Z87" s="1041"/>
      <c r="AA87" s="1041"/>
      <c r="AB87" s="1041"/>
      <c r="AC87" s="1041"/>
      <c r="AD87" s="1041"/>
      <c r="AE87" s="1041"/>
      <c r="AF87" s="1041"/>
      <c r="AG87" s="1041"/>
      <c r="AH87" s="1041"/>
      <c r="AI87" s="1041"/>
      <c r="AJ87" s="1041"/>
      <c r="AK87" s="1041"/>
      <c r="AL87" s="1041"/>
      <c r="AM87" s="1041"/>
      <c r="AN87" s="1041"/>
      <c r="AO87" s="1041"/>
    </row>
    <row r="88" spans="1:79">
      <c r="A88" s="1063"/>
      <c r="B88" s="1071"/>
      <c r="C88" s="1041"/>
      <c r="D88" s="1041"/>
      <c r="E88" s="1043"/>
      <c r="F88" s="1041"/>
      <c r="G88" s="1044"/>
      <c r="H88" s="1041"/>
      <c r="I88" s="1041"/>
      <c r="J88" s="1041"/>
      <c r="K88" s="1041"/>
      <c r="L88" s="1041"/>
      <c r="M88" s="1041"/>
      <c r="N88" s="1041"/>
      <c r="O88" s="1041"/>
      <c r="P88" s="1041"/>
      <c r="Q88" s="1041"/>
      <c r="R88" s="1041"/>
      <c r="S88" s="1041"/>
      <c r="T88" s="1041"/>
      <c r="U88" s="1041"/>
      <c r="V88" s="1041"/>
      <c r="W88" s="1041"/>
      <c r="X88" s="3897"/>
      <c r="Y88" s="1041"/>
      <c r="Z88" s="1041"/>
      <c r="AA88" s="1041"/>
      <c r="AB88" s="1041"/>
      <c r="AC88" s="1041"/>
      <c r="AD88" s="1041"/>
      <c r="AE88" s="1041"/>
      <c r="AF88" s="1041"/>
      <c r="AG88" s="1041"/>
      <c r="AH88" s="1041"/>
      <c r="AI88" s="1041"/>
      <c r="AJ88" s="1041"/>
      <c r="AK88" s="1041"/>
      <c r="AL88" s="1041"/>
      <c r="AM88" s="1041"/>
      <c r="AN88" s="1041"/>
      <c r="AO88" s="1041"/>
    </row>
    <row r="89" spans="1:79">
      <c r="A89" s="1102" t="s">
        <v>2013</v>
      </c>
      <c r="B89" s="1103"/>
      <c r="C89" s="1104"/>
      <c r="D89" s="1104"/>
      <c r="E89" s="1105"/>
      <c r="F89" s="1104"/>
      <c r="G89" s="1106"/>
      <c r="H89" s="1104"/>
      <c r="I89" s="1104"/>
      <c r="J89" s="1104"/>
      <c r="K89" s="1104"/>
      <c r="L89" s="1104"/>
      <c r="M89" s="1104"/>
      <c r="N89" s="1104"/>
      <c r="O89" s="1104"/>
      <c r="P89" s="1104"/>
      <c r="Q89" s="1104"/>
      <c r="R89" s="1104"/>
      <c r="S89" s="1104"/>
      <c r="T89" s="1104"/>
      <c r="U89" s="1104"/>
      <c r="V89" s="1104"/>
      <c r="W89" s="1104"/>
      <c r="X89" s="3900"/>
      <c r="Y89" s="1104"/>
      <c r="Z89" s="1104"/>
      <c r="AA89" s="1104"/>
      <c r="AB89" s="1104"/>
      <c r="AC89" s="1104"/>
      <c r="AD89" s="1104"/>
      <c r="AE89" s="1104"/>
      <c r="AF89" s="1104"/>
      <c r="AG89" s="1104"/>
      <c r="AH89" s="1104"/>
      <c r="AI89" s="1104"/>
      <c r="AJ89" s="1104"/>
      <c r="AK89" s="1104"/>
      <c r="AL89" s="1104"/>
      <c r="AM89" s="1104"/>
      <c r="AN89" s="1104"/>
      <c r="AO89" s="1107"/>
    </row>
    <row r="90" spans="1:79">
      <c r="A90" s="1108" t="s">
        <v>2014</v>
      </c>
      <c r="B90" s="1109"/>
      <c r="C90" s="1110">
        <v>25763.101999999999</v>
      </c>
      <c r="D90" s="1111">
        <v>20859529.07</v>
      </c>
      <c r="E90" s="1112">
        <v>12512</v>
      </c>
      <c r="F90" s="1111">
        <v>18981372.060000002</v>
      </c>
      <c r="G90" s="1113">
        <v>17787.910230000001</v>
      </c>
      <c r="H90" s="2058">
        <v>32749704.450000003</v>
      </c>
      <c r="I90" s="2058"/>
      <c r="J90" s="1111">
        <f>'Net Power'!C14+'Net Power'!C15</f>
        <v>0</v>
      </c>
      <c r="K90" s="1111">
        <f>'Net Power'!D14+'Net Power'!D15</f>
        <v>0</v>
      </c>
      <c r="L90" s="1111">
        <f>'Net Power'!E14+'Net Power'!E15</f>
        <v>21771305.16</v>
      </c>
      <c r="M90" s="1111">
        <f>'Net Power'!F14+'Net Power'!F15</f>
        <v>26510891.359999999</v>
      </c>
      <c r="N90" s="1111">
        <f>'Net Power'!G14+'Net Power'!G15</f>
        <v>28157699.178582095</v>
      </c>
      <c r="O90" s="1111">
        <f>'Net Power'!H14+'Net Power'!H15</f>
        <v>36947114.889413238</v>
      </c>
      <c r="P90" s="1111">
        <f>'Net Power'!I14+'Net Power'!I15</f>
        <v>47350834.905892216</v>
      </c>
      <c r="Q90" s="1111">
        <f>'Net Power'!J14+'Net Power'!J15</f>
        <v>112717916.89019872</v>
      </c>
      <c r="R90" s="1111">
        <f>'Net Power'!K14+'Net Power'!K15</f>
        <v>124787420.04669285</v>
      </c>
      <c r="S90" s="1111">
        <f>'Net Power'!L14+'Net Power'!L15</f>
        <v>132243110.39536577</v>
      </c>
      <c r="T90" s="1111">
        <f>'Net Power'!M14+'Net Power'!M15</f>
        <v>142216139.55369937</v>
      </c>
      <c r="U90" s="1111">
        <f>'Net Power'!N14+'Net Power'!N15</f>
        <v>148679659.5540238</v>
      </c>
      <c r="V90" s="1111">
        <f>'Net Power'!O14+'Net Power'!O15</f>
        <v>158797248.46992144</v>
      </c>
      <c r="W90" s="1111" t="e">
        <f>'Net Power'!#REF!+'Net Power'!#REF!</f>
        <v>#REF!</v>
      </c>
      <c r="X90" s="3901" t="e">
        <f>'Net Power'!#REF!+'Net Power'!#REF!</f>
        <v>#REF!</v>
      </c>
      <c r="Y90" s="1111" t="e">
        <f>'Net Power'!#REF!+'Net Power'!#REF!</f>
        <v>#REF!</v>
      </c>
      <c r="Z90" s="1111" t="e">
        <f>'Net Power'!#REF!+'Net Power'!#REF!</f>
        <v>#REF!</v>
      </c>
      <c r="AA90" s="1111" t="e">
        <f>'Net Power'!#REF!+'Net Power'!#REF!</f>
        <v>#REF!</v>
      </c>
      <c r="AB90" s="1111" t="e">
        <f>'Net Power'!#REF!+'Net Power'!#REF!</f>
        <v>#REF!</v>
      </c>
      <c r="AC90" s="1111" t="e">
        <f>'Net Power'!#REF!+'Net Power'!#REF!</f>
        <v>#REF!</v>
      </c>
      <c r="AD90" s="1111" t="e">
        <f>'Net Power'!#REF!+'Net Power'!#REF!</f>
        <v>#REF!</v>
      </c>
      <c r="AE90" s="1111" t="e">
        <f>'Net Power'!#REF!+'Net Power'!#REF!</f>
        <v>#REF!</v>
      </c>
      <c r="AF90" s="1111" t="e">
        <f>'Net Power'!#REF!+'Net Power'!#REF!</f>
        <v>#REF!</v>
      </c>
      <c r="AG90" s="1111" t="e">
        <f>'Net Power'!#REF!+'Net Power'!#REF!</f>
        <v>#REF!</v>
      </c>
      <c r="AH90" s="1111" t="e">
        <f>'Net Power'!#REF!+'Net Power'!#REF!</f>
        <v>#REF!</v>
      </c>
      <c r="AI90" s="1111" t="e">
        <f>'Net Power'!#REF!+'Net Power'!#REF!</f>
        <v>#REF!</v>
      </c>
      <c r="AJ90" s="1111" t="e">
        <f>'Net Power'!#REF!+'Net Power'!#REF!</f>
        <v>#REF!</v>
      </c>
      <c r="AK90" s="1111" t="e">
        <f>'Net Power'!#REF!+'Net Power'!#REF!</f>
        <v>#REF!</v>
      </c>
      <c r="AL90" s="1111" t="e">
        <f>'Net Power'!#REF!+'Net Power'!#REF!</f>
        <v>#REF!</v>
      </c>
      <c r="AM90" s="1111" t="e">
        <f>'Net Power'!#REF!+'Net Power'!#REF!</f>
        <v>#REF!</v>
      </c>
      <c r="AN90" s="1111" t="e">
        <f>'Net Power'!#REF!+'Net Power'!#REF!</f>
        <v>#REF!</v>
      </c>
      <c r="AO90" s="2511" t="e">
        <f>'Net Power'!#REF!+'Net Power'!#REF!</f>
        <v>#REF!</v>
      </c>
    </row>
    <row r="91" spans="1:79">
      <c r="A91" s="1108" t="s">
        <v>2015</v>
      </c>
      <c r="B91" s="1109"/>
      <c r="C91" s="1110">
        <v>0</v>
      </c>
      <c r="D91" s="1111">
        <v>0</v>
      </c>
      <c r="E91" s="1112">
        <v>0</v>
      </c>
      <c r="F91" s="1111">
        <v>0</v>
      </c>
      <c r="G91" s="1113">
        <v>0</v>
      </c>
      <c r="H91" s="2058">
        <v>0</v>
      </c>
      <c r="I91" s="2058"/>
      <c r="J91" s="1111">
        <f>'Net Power'!C16</f>
        <v>0</v>
      </c>
      <c r="K91" s="1111">
        <f>'Net Power'!D16</f>
        <v>0</v>
      </c>
      <c r="L91" s="1111">
        <f>'Net Power'!E16</f>
        <v>-22331156</v>
      </c>
      <c r="M91" s="1111">
        <f>'Net Power'!F16</f>
        <v>-27158062</v>
      </c>
      <c r="N91" s="1111">
        <f>'Net Power'!G16</f>
        <v>-29268149.043546669</v>
      </c>
      <c r="O91" s="1111">
        <f>'Net Power'!H16</f>
        <v>-38768509.543191545</v>
      </c>
      <c r="P91" s="1111">
        <f>'Net Power'!I16</f>
        <v>-50617381.579403922</v>
      </c>
      <c r="Q91" s="1111">
        <f>'Net Power'!J16</f>
        <v>-59823693.53993424</v>
      </c>
      <c r="R91" s="1111">
        <f>'Net Power'!K16</f>
        <v>-69354432.552820072</v>
      </c>
      <c r="S91" s="1111">
        <f>'Net Power'!L16</f>
        <v>-77056309.364797801</v>
      </c>
      <c r="T91" s="1111">
        <f>'Net Power'!M16</f>
        <v>-86654691.012235552</v>
      </c>
      <c r="U91" s="1111">
        <f>'Net Power'!N16</f>
        <v>-88404604.947769329</v>
      </c>
      <c r="V91" s="1111">
        <f>'Net Power'!O16</f>
        <v>-92946228.790804625</v>
      </c>
      <c r="W91" s="1111" t="e">
        <f>'Net Power'!#REF!</f>
        <v>#REF!</v>
      </c>
      <c r="X91" s="3901" t="e">
        <f>'Net Power'!#REF!</f>
        <v>#REF!</v>
      </c>
      <c r="Y91" s="1111" t="e">
        <f>'Net Power'!#REF!</f>
        <v>#REF!</v>
      </c>
      <c r="Z91" s="1111" t="e">
        <f>'Net Power'!#REF!</f>
        <v>#REF!</v>
      </c>
      <c r="AA91" s="1111" t="e">
        <f>'Net Power'!#REF!</f>
        <v>#REF!</v>
      </c>
      <c r="AB91" s="1111" t="e">
        <f>'Net Power'!#REF!</f>
        <v>#REF!</v>
      </c>
      <c r="AC91" s="1111" t="e">
        <f>'Net Power'!#REF!</f>
        <v>#REF!</v>
      </c>
      <c r="AD91" s="1111" t="e">
        <f>'Net Power'!#REF!</f>
        <v>#REF!</v>
      </c>
      <c r="AE91" s="1111" t="e">
        <f>'Net Power'!#REF!</f>
        <v>#REF!</v>
      </c>
      <c r="AF91" s="1111" t="e">
        <f>'Net Power'!#REF!</f>
        <v>#REF!</v>
      </c>
      <c r="AG91" s="1111" t="e">
        <f>'Net Power'!#REF!</f>
        <v>#REF!</v>
      </c>
      <c r="AH91" s="1111" t="e">
        <f>'Net Power'!#REF!</f>
        <v>#REF!</v>
      </c>
      <c r="AI91" s="1111" t="e">
        <f>'Net Power'!#REF!</f>
        <v>#REF!</v>
      </c>
      <c r="AJ91" s="1111" t="e">
        <f>'Net Power'!#REF!</f>
        <v>#REF!</v>
      </c>
      <c r="AK91" s="1111" t="e">
        <f>'Net Power'!#REF!</f>
        <v>#REF!</v>
      </c>
      <c r="AL91" s="1111" t="e">
        <f>'Net Power'!#REF!</f>
        <v>#REF!</v>
      </c>
      <c r="AM91" s="1111" t="e">
        <f>'Net Power'!#REF!</f>
        <v>#REF!</v>
      </c>
      <c r="AN91" s="1111" t="e">
        <f>'Net Power'!#REF!</f>
        <v>#REF!</v>
      </c>
      <c r="AO91" s="2511" t="e">
        <f>'Net Power'!#REF!</f>
        <v>#REF!</v>
      </c>
    </row>
    <row r="92" spans="1:79">
      <c r="A92" s="1108" t="s">
        <v>2016</v>
      </c>
      <c r="B92" s="1109"/>
      <c r="C92" s="1110">
        <v>40438.561000000002</v>
      </c>
      <c r="D92" s="1111">
        <v>30360109</v>
      </c>
      <c r="E92" s="1112">
        <v>80</v>
      </c>
      <c r="F92" s="1111">
        <v>115446</v>
      </c>
      <c r="G92" s="1113">
        <v>110.24000000000001</v>
      </c>
      <c r="H92" s="2058">
        <v>193335</v>
      </c>
      <c r="I92" s="2058"/>
      <c r="J92" s="1111">
        <f>'Net Power'!C17</f>
        <v>0</v>
      </c>
      <c r="K92" s="1111">
        <f>'Net Power'!D17</f>
        <v>0</v>
      </c>
      <c r="L92" s="1111">
        <f>'Net Power'!E17</f>
        <v>380548</v>
      </c>
      <c r="M92" s="1111">
        <f>'Net Power'!F17</f>
        <v>381095.78080000007</v>
      </c>
      <c r="N92" s="1111">
        <f>'Net Power'!G17</f>
        <v>451643.34248768003</v>
      </c>
      <c r="O92" s="1111">
        <f>'Net Power'!H17</f>
        <v>794143.01386301382</v>
      </c>
      <c r="P92" s="1111">
        <f>'Net Power'!I17</f>
        <v>1892800</v>
      </c>
      <c r="Q92" s="1111">
        <f>'Net Power'!J17</f>
        <v>1892800</v>
      </c>
      <c r="R92" s="1111">
        <f>'Net Power'!K17</f>
        <v>1968512</v>
      </c>
      <c r="S92" s="1111">
        <f>'Net Power'!L17</f>
        <v>1968512</v>
      </c>
      <c r="T92" s="1111">
        <f>'Net Power'!M17</f>
        <v>2047252.48</v>
      </c>
      <c r="U92" s="1111">
        <f>'Net Power'!N17</f>
        <v>2047252.48</v>
      </c>
      <c r="V92" s="1111">
        <f>'Net Power'!O17</f>
        <v>2129142.5792</v>
      </c>
      <c r="W92" s="1111" t="e">
        <f>'Net Power'!#REF!</f>
        <v>#REF!</v>
      </c>
      <c r="X92" s="3901" t="e">
        <f>'Net Power'!#REF!</f>
        <v>#REF!</v>
      </c>
      <c r="Y92" s="1111" t="e">
        <f>'Net Power'!#REF!</f>
        <v>#REF!</v>
      </c>
      <c r="Z92" s="1111" t="e">
        <f>'Net Power'!#REF!</f>
        <v>#REF!</v>
      </c>
      <c r="AA92" s="1111" t="e">
        <f>'Net Power'!#REF!</f>
        <v>#REF!</v>
      </c>
      <c r="AB92" s="1111" t="e">
        <f>'Net Power'!#REF!</f>
        <v>#REF!</v>
      </c>
      <c r="AC92" s="1111" t="e">
        <f>'Net Power'!#REF!</f>
        <v>#REF!</v>
      </c>
      <c r="AD92" s="1111" t="e">
        <f>'Net Power'!#REF!</f>
        <v>#REF!</v>
      </c>
      <c r="AE92" s="1111" t="e">
        <f>'Net Power'!#REF!</f>
        <v>#REF!</v>
      </c>
      <c r="AF92" s="1111" t="e">
        <f>'Net Power'!#REF!</f>
        <v>#REF!</v>
      </c>
      <c r="AG92" s="1111" t="e">
        <f>'Net Power'!#REF!</f>
        <v>#REF!</v>
      </c>
      <c r="AH92" s="1111" t="e">
        <f>'Net Power'!#REF!</f>
        <v>#REF!</v>
      </c>
      <c r="AI92" s="1111" t="e">
        <f>'Net Power'!#REF!</f>
        <v>#REF!</v>
      </c>
      <c r="AJ92" s="1111" t="e">
        <f>'Net Power'!#REF!</f>
        <v>#REF!</v>
      </c>
      <c r="AK92" s="1111" t="e">
        <f>'Net Power'!#REF!</f>
        <v>#REF!</v>
      </c>
      <c r="AL92" s="1111" t="e">
        <f>'Net Power'!#REF!</f>
        <v>#REF!</v>
      </c>
      <c r="AM92" s="1111" t="e">
        <f>'Net Power'!#REF!</f>
        <v>#REF!</v>
      </c>
      <c r="AN92" s="1111" t="e">
        <f>'Net Power'!#REF!</f>
        <v>#REF!</v>
      </c>
      <c r="AO92" s="2511" t="e">
        <f>'Net Power'!#REF!</f>
        <v>#REF!</v>
      </c>
    </row>
    <row r="93" spans="1:79">
      <c r="A93" s="1108" t="s">
        <v>2017</v>
      </c>
      <c r="B93" s="1109"/>
      <c r="C93" s="1110">
        <v>2063.616</v>
      </c>
      <c r="D93" s="1111">
        <v>2119476</v>
      </c>
      <c r="E93" s="1112">
        <v>1813.0439999999999</v>
      </c>
      <c r="F93" s="1111">
        <v>2087688</v>
      </c>
      <c r="G93" s="1113">
        <v>2204.8906000000002</v>
      </c>
      <c r="H93" s="2058">
        <v>2055900</v>
      </c>
      <c r="I93" s="2058"/>
      <c r="J93" s="1111">
        <f>'Net Power'!C18</f>
        <v>0</v>
      </c>
      <c r="K93" s="1111">
        <f>'Net Power'!D18</f>
        <v>0</v>
      </c>
      <c r="L93" s="1111">
        <f>'Net Power'!E18</f>
        <v>2025078</v>
      </c>
      <c r="M93" s="1111">
        <f>'Net Power'!F18</f>
        <v>2097223.59</v>
      </c>
      <c r="N93" s="1111">
        <f>'Net Power'!G18</f>
        <v>2118195.8259000001</v>
      </c>
      <c r="O93" s="1111">
        <f>'Net Power'!H18</f>
        <v>2139377.784159</v>
      </c>
      <c r="P93" s="1111">
        <f>'Net Power'!I18</f>
        <v>2160771.5620005899</v>
      </c>
      <c r="Q93" s="1111">
        <f>'Net Power'!J18</f>
        <v>2182379.2776205959</v>
      </c>
      <c r="R93" s="1111">
        <f>'Net Power'!K18</f>
        <v>2204203.0703968019</v>
      </c>
      <c r="S93" s="1111">
        <f>'Net Power'!L18</f>
        <v>923943.93</v>
      </c>
      <c r="T93" s="1111">
        <f>'Net Power'!M18</f>
        <v>933183.36930000002</v>
      </c>
      <c r="U93" s="1111">
        <f>'Net Power'!N18</f>
        <v>942515.20299300004</v>
      </c>
      <c r="V93" s="1111">
        <f>'Net Power'!O18</f>
        <v>951940.35502293007</v>
      </c>
      <c r="W93" s="1111" t="e">
        <f>'Net Power'!#REF!</f>
        <v>#REF!</v>
      </c>
      <c r="X93" s="3901" t="e">
        <f>'Net Power'!#REF!</f>
        <v>#REF!</v>
      </c>
      <c r="Y93" s="1111" t="e">
        <f>'Net Power'!#REF!</f>
        <v>#REF!</v>
      </c>
      <c r="Z93" s="1111" t="e">
        <f>'Net Power'!#REF!</f>
        <v>#REF!</v>
      </c>
      <c r="AA93" s="1111" t="e">
        <f>'Net Power'!#REF!</f>
        <v>#REF!</v>
      </c>
      <c r="AB93" s="1111" t="e">
        <f>'Net Power'!#REF!</f>
        <v>#REF!</v>
      </c>
      <c r="AC93" s="1111" t="e">
        <f>'Net Power'!#REF!</f>
        <v>#REF!</v>
      </c>
      <c r="AD93" s="1111" t="e">
        <f>'Net Power'!#REF!</f>
        <v>#REF!</v>
      </c>
      <c r="AE93" s="1111" t="e">
        <f>'Net Power'!#REF!</f>
        <v>#REF!</v>
      </c>
      <c r="AF93" s="1111" t="e">
        <f>'Net Power'!#REF!</f>
        <v>#REF!</v>
      </c>
      <c r="AG93" s="1111" t="e">
        <f>'Net Power'!#REF!</f>
        <v>#REF!</v>
      </c>
      <c r="AH93" s="1111" t="e">
        <f>'Net Power'!#REF!</f>
        <v>#REF!</v>
      </c>
      <c r="AI93" s="1111" t="e">
        <f>'Net Power'!#REF!</f>
        <v>#REF!</v>
      </c>
      <c r="AJ93" s="1111" t="e">
        <f>'Net Power'!#REF!</f>
        <v>#REF!</v>
      </c>
      <c r="AK93" s="1111" t="e">
        <f>'Net Power'!#REF!</f>
        <v>#REF!</v>
      </c>
      <c r="AL93" s="1111" t="e">
        <f>'Net Power'!#REF!</f>
        <v>#REF!</v>
      </c>
      <c r="AM93" s="1111" t="e">
        <f>'Net Power'!#REF!</f>
        <v>#REF!</v>
      </c>
      <c r="AN93" s="1111" t="e">
        <f>'Net Power'!#REF!</f>
        <v>#REF!</v>
      </c>
      <c r="AO93" s="2511" t="e">
        <f>'Net Power'!#REF!</f>
        <v>#REF!</v>
      </c>
    </row>
    <row r="94" spans="1:79" ht="14.25" customHeight="1">
      <c r="A94" s="1108" t="s">
        <v>2018</v>
      </c>
      <c r="B94" s="1109"/>
      <c r="C94" s="1110">
        <v>-9555.732</v>
      </c>
      <c r="D94" s="1111">
        <v>-6673655.2500000037</v>
      </c>
      <c r="E94" s="1112">
        <v>-4110</v>
      </c>
      <c r="F94" s="1111">
        <v>-4110400.8</v>
      </c>
      <c r="G94" s="1113">
        <v>-4149.7009959999996</v>
      </c>
      <c r="H94" s="2058">
        <v>-4718395.32</v>
      </c>
      <c r="I94" s="2058"/>
      <c r="J94" s="1111">
        <f>'Net Power'!C19</f>
        <v>0</v>
      </c>
      <c r="K94" s="1111">
        <f>'Net Power'!D19</f>
        <v>0</v>
      </c>
      <c r="L94" s="1111">
        <f>'Net Power'!E19</f>
        <v>-2198034.8555999999</v>
      </c>
      <c r="M94" s="1111">
        <f>'Net Power'!F19</f>
        <v>-2193976.8762559998</v>
      </c>
      <c r="N94" s="1111">
        <f>'Net Power'!G19</f>
        <v>-1833101.7469336165</v>
      </c>
      <c r="O94" s="1111">
        <f>'Net Power'!H19</f>
        <v>-1497050.6505834539</v>
      </c>
      <c r="P94" s="1111">
        <f>'Net Power'!I19</f>
        <v>-1183496.5581636291</v>
      </c>
      <c r="Q94" s="1111">
        <f>'Net Power'!J19</f>
        <v>-777629.05171368131</v>
      </c>
      <c r="R94" s="1111">
        <f>'Net Power'!K19</f>
        <v>-571060.48089506885</v>
      </c>
      <c r="S94" s="1111">
        <f>'Net Power'!L19</f>
        <v>-302385.60408511473</v>
      </c>
      <c r="T94" s="1111">
        <f>'Net Power'!M19</f>
        <v>-764.03775527885557</v>
      </c>
      <c r="U94" s="1111">
        <f>'Net Power'!N19</f>
        <v>0</v>
      </c>
      <c r="V94" s="1111">
        <f>'Net Power'!O19</f>
        <v>0</v>
      </c>
      <c r="W94" s="1111" t="e">
        <f>'Net Power'!#REF!</f>
        <v>#REF!</v>
      </c>
      <c r="X94" s="3901" t="e">
        <f>'Net Power'!#REF!</f>
        <v>#REF!</v>
      </c>
      <c r="Y94" s="1111" t="e">
        <f>'Net Power'!#REF!</f>
        <v>#REF!</v>
      </c>
      <c r="Z94" s="1111" t="e">
        <f>'Net Power'!#REF!</f>
        <v>#REF!</v>
      </c>
      <c r="AA94" s="1111" t="e">
        <f>'Net Power'!#REF!</f>
        <v>#REF!</v>
      </c>
      <c r="AB94" s="1111" t="e">
        <f>'Net Power'!#REF!</f>
        <v>#REF!</v>
      </c>
      <c r="AC94" s="1111" t="e">
        <f>'Net Power'!#REF!</f>
        <v>#REF!</v>
      </c>
      <c r="AD94" s="1111" t="e">
        <f>'Net Power'!#REF!</f>
        <v>#REF!</v>
      </c>
      <c r="AE94" s="1111" t="e">
        <f>'Net Power'!#REF!</f>
        <v>#REF!</v>
      </c>
      <c r="AF94" s="1111" t="e">
        <f>'Net Power'!#REF!</f>
        <v>#REF!</v>
      </c>
      <c r="AG94" s="1111" t="e">
        <f>'Net Power'!#REF!</f>
        <v>#REF!</v>
      </c>
      <c r="AH94" s="1111" t="e">
        <f>'Net Power'!#REF!</f>
        <v>#REF!</v>
      </c>
      <c r="AI94" s="1111" t="e">
        <f>'Net Power'!#REF!</f>
        <v>#REF!</v>
      </c>
      <c r="AJ94" s="1111" t="e">
        <f>'Net Power'!#REF!</f>
        <v>#REF!</v>
      </c>
      <c r="AK94" s="1111" t="e">
        <f>'Net Power'!#REF!</f>
        <v>#REF!</v>
      </c>
      <c r="AL94" s="1111" t="e">
        <f>'Net Power'!#REF!</f>
        <v>#REF!</v>
      </c>
      <c r="AM94" s="1111" t="e">
        <f>'Net Power'!#REF!</f>
        <v>#REF!</v>
      </c>
      <c r="AN94" s="1111" t="e">
        <f>'Net Power'!#REF!</f>
        <v>#REF!</v>
      </c>
      <c r="AO94" s="2511" t="e">
        <f>'Net Power'!#REF!</f>
        <v>#REF!</v>
      </c>
    </row>
    <row r="95" spans="1:79">
      <c r="A95" s="1108" t="s">
        <v>503</v>
      </c>
      <c r="B95" s="1109"/>
      <c r="C95" s="1110">
        <v>290.31150000000002</v>
      </c>
      <c r="D95" s="1111">
        <v>97960.576202302662</v>
      </c>
      <c r="E95" s="1112">
        <v>180</v>
      </c>
      <c r="F95" s="1111">
        <v>3.0792605035038129E-4</v>
      </c>
      <c r="G95" s="1113">
        <v>184.42768000000001</v>
      </c>
      <c r="H95" s="2058">
        <v>353867</v>
      </c>
      <c r="I95" s="2058"/>
      <c r="J95" s="1111">
        <f>'Net Power'!C20</f>
        <v>320000</v>
      </c>
      <c r="K95" s="1111">
        <f>'Net Power'!D20</f>
        <v>342000</v>
      </c>
      <c r="L95" s="1111">
        <f>'Net Power'!E20</f>
        <v>352260</v>
      </c>
      <c r="M95" s="1111">
        <f>'Net Power'!F20</f>
        <v>362827.8</v>
      </c>
      <c r="N95" s="1111">
        <f>'Net Power'!G20</f>
        <v>373712.63400000002</v>
      </c>
      <c r="O95" s="1111">
        <f>'Net Power'!H20</f>
        <v>384924.01302000001</v>
      </c>
      <c r="P95" s="1111">
        <f>'Net Power'!I20</f>
        <v>396471.73341060005</v>
      </c>
      <c r="Q95" s="1111">
        <f>'Net Power'!J20</f>
        <v>408365.88541291805</v>
      </c>
      <c r="R95" s="1111">
        <f>'Net Power'!K20</f>
        <v>420616.8619753056</v>
      </c>
      <c r="S95" s="1111">
        <f>'Net Power'!L20</f>
        <v>433235.36783456476</v>
      </c>
      <c r="T95" s="1111">
        <f>'Net Power'!M20</f>
        <v>446232.42886960175</v>
      </c>
      <c r="U95" s="1111">
        <f>'Net Power'!N20</f>
        <v>459619.40173568978</v>
      </c>
      <c r="V95" s="1111">
        <f>'Net Power'!O20</f>
        <v>473407.98378776049</v>
      </c>
      <c r="W95" s="1111" t="e">
        <f>'Net Power'!#REF!</f>
        <v>#REF!</v>
      </c>
      <c r="X95" s="3901" t="e">
        <f>'Net Power'!#REF!</f>
        <v>#REF!</v>
      </c>
      <c r="Y95" s="1111" t="e">
        <f>'Net Power'!#REF!</f>
        <v>#REF!</v>
      </c>
      <c r="Z95" s="1111" t="e">
        <f>'Net Power'!#REF!</f>
        <v>#REF!</v>
      </c>
      <c r="AA95" s="1111" t="e">
        <f>'Net Power'!#REF!</f>
        <v>#REF!</v>
      </c>
      <c r="AB95" s="1111" t="e">
        <f>'Net Power'!#REF!</f>
        <v>#REF!</v>
      </c>
      <c r="AC95" s="1111" t="e">
        <f>'Net Power'!#REF!</f>
        <v>#REF!</v>
      </c>
      <c r="AD95" s="1111" t="e">
        <f>'Net Power'!#REF!</f>
        <v>#REF!</v>
      </c>
      <c r="AE95" s="1111" t="e">
        <f>'Net Power'!#REF!</f>
        <v>#REF!</v>
      </c>
      <c r="AF95" s="1111" t="e">
        <f>'Net Power'!#REF!</f>
        <v>#REF!</v>
      </c>
      <c r="AG95" s="1111" t="e">
        <f>'Net Power'!#REF!</f>
        <v>#REF!</v>
      </c>
      <c r="AH95" s="1111" t="e">
        <f>'Net Power'!#REF!</f>
        <v>#REF!</v>
      </c>
      <c r="AI95" s="1111" t="e">
        <f>'Net Power'!#REF!</f>
        <v>#REF!</v>
      </c>
      <c r="AJ95" s="1111" t="e">
        <f>'Net Power'!#REF!</f>
        <v>#REF!</v>
      </c>
      <c r="AK95" s="1111" t="e">
        <f>'Net Power'!#REF!</f>
        <v>#REF!</v>
      </c>
      <c r="AL95" s="1111" t="e">
        <f>'Net Power'!#REF!</f>
        <v>#REF!</v>
      </c>
      <c r="AM95" s="1111" t="e">
        <f>'Net Power'!#REF!</f>
        <v>#REF!</v>
      </c>
      <c r="AN95" s="1111" t="e">
        <f>'Net Power'!#REF!</f>
        <v>#REF!</v>
      </c>
      <c r="AO95" s="2511" t="e">
        <f>'Net Power'!#REF!</f>
        <v>#REF!</v>
      </c>
    </row>
    <row r="96" spans="1:79">
      <c r="A96" s="1114" t="s">
        <v>2019</v>
      </c>
      <c r="B96" s="1115"/>
      <c r="C96" s="1116">
        <v>58999.858499999995</v>
      </c>
      <c r="D96" s="1117">
        <v>46763419.396202296</v>
      </c>
      <c r="E96" s="1118">
        <v>10475.044</v>
      </c>
      <c r="F96" s="1117">
        <v>17074105.260307927</v>
      </c>
      <c r="G96" s="1119">
        <v>16137.767514000003</v>
      </c>
      <c r="H96" s="1117">
        <f>SUM(H90:H95)</f>
        <v>30634411.130000003</v>
      </c>
      <c r="I96" s="1117"/>
      <c r="J96" s="1117">
        <f>SUM(J90:J95)</f>
        <v>320000</v>
      </c>
      <c r="K96" s="1117">
        <f t="shared" ref="K96:AO96" si="46">SUM(K90:K95)</f>
        <v>342000</v>
      </c>
      <c r="L96" s="1117">
        <f t="shared" si="46"/>
        <v>0.30440000025555491</v>
      </c>
      <c r="M96" s="1117">
        <f t="shared" si="46"/>
        <v>-0.34545600047567859</v>
      </c>
      <c r="N96" s="1117">
        <f t="shared" si="46"/>
        <v>0.19048948906129226</v>
      </c>
      <c r="O96" s="1117">
        <f t="shared" si="46"/>
        <v>-0.49331974721280858</v>
      </c>
      <c r="P96" s="1117">
        <f t="shared" si="46"/>
        <v>6.3735854520928115E-2</v>
      </c>
      <c r="Q96" s="1117">
        <f t="shared" si="46"/>
        <v>56600139.461584315</v>
      </c>
      <c r="R96" s="1117">
        <f t="shared" si="46"/>
        <v>59455258.945349813</v>
      </c>
      <c r="S96" s="1117">
        <f t="shared" si="46"/>
        <v>58210106.724317424</v>
      </c>
      <c r="T96" s="1117">
        <f t="shared" si="46"/>
        <v>58987352.781878144</v>
      </c>
      <c r="U96" s="1117">
        <f t="shared" si="46"/>
        <v>63724441.690983161</v>
      </c>
      <c r="V96" s="1117">
        <f t="shared" si="46"/>
        <v>69405510.597127512</v>
      </c>
      <c r="W96" s="1117" t="e">
        <f t="shared" si="46"/>
        <v>#REF!</v>
      </c>
      <c r="X96" s="3902" t="e">
        <f t="shared" si="46"/>
        <v>#REF!</v>
      </c>
      <c r="Y96" s="1117" t="e">
        <f t="shared" si="46"/>
        <v>#REF!</v>
      </c>
      <c r="Z96" s="1117" t="e">
        <f t="shared" si="46"/>
        <v>#REF!</v>
      </c>
      <c r="AA96" s="1117" t="e">
        <f t="shared" si="46"/>
        <v>#REF!</v>
      </c>
      <c r="AB96" s="1117" t="e">
        <f t="shared" si="46"/>
        <v>#REF!</v>
      </c>
      <c r="AC96" s="1117" t="e">
        <f t="shared" si="46"/>
        <v>#REF!</v>
      </c>
      <c r="AD96" s="1117" t="e">
        <f t="shared" si="46"/>
        <v>#REF!</v>
      </c>
      <c r="AE96" s="1117" t="e">
        <f t="shared" si="46"/>
        <v>#REF!</v>
      </c>
      <c r="AF96" s="1117" t="e">
        <f t="shared" si="46"/>
        <v>#REF!</v>
      </c>
      <c r="AG96" s="1117" t="e">
        <f t="shared" si="46"/>
        <v>#REF!</v>
      </c>
      <c r="AH96" s="1117" t="e">
        <f t="shared" si="46"/>
        <v>#REF!</v>
      </c>
      <c r="AI96" s="1117" t="e">
        <f t="shared" si="46"/>
        <v>#REF!</v>
      </c>
      <c r="AJ96" s="1117" t="e">
        <f t="shared" si="46"/>
        <v>#REF!</v>
      </c>
      <c r="AK96" s="1117" t="e">
        <f t="shared" si="46"/>
        <v>#REF!</v>
      </c>
      <c r="AL96" s="1117" t="e">
        <f t="shared" si="46"/>
        <v>#REF!</v>
      </c>
      <c r="AM96" s="1117" t="e">
        <f t="shared" si="46"/>
        <v>#REF!</v>
      </c>
      <c r="AN96" s="1117" t="e">
        <f t="shared" si="46"/>
        <v>#REF!</v>
      </c>
      <c r="AO96" s="1117" t="e">
        <f t="shared" si="46"/>
        <v>#REF!</v>
      </c>
    </row>
    <row r="97" spans="1:41">
      <c r="A97" s="1120"/>
      <c r="B97" s="1121"/>
      <c r="C97" s="1041"/>
      <c r="D97" s="1041"/>
      <c r="E97" s="1043"/>
      <c r="F97" s="1041"/>
      <c r="G97" s="1044"/>
      <c r="H97" s="1041">
        <f>H96-H64</f>
        <v>0</v>
      </c>
      <c r="I97" s="1041"/>
      <c r="J97" s="1041">
        <f>J96-J64</f>
        <v>-46420824.175999999</v>
      </c>
      <c r="K97" s="1041">
        <f>K96-K64</f>
        <v>-20395954.330329888</v>
      </c>
      <c r="L97" s="1041">
        <f>L96-L64</f>
        <v>-18168547.743184961</v>
      </c>
      <c r="M97" s="1041">
        <f>M96-M64</f>
        <v>-19319433.312216219</v>
      </c>
      <c r="N97" s="1041">
        <f>N96-N64</f>
        <v>-20072932.863339245</v>
      </c>
      <c r="O97" s="1041"/>
      <c r="P97" s="1041"/>
      <c r="Q97" s="1041"/>
      <c r="R97" s="1041"/>
      <c r="S97" s="1041"/>
      <c r="T97" s="1041"/>
      <c r="U97" s="1041"/>
      <c r="V97" s="1041"/>
      <c r="W97" s="1041"/>
      <c r="X97" s="3897"/>
      <c r="Y97" s="1041"/>
      <c r="Z97" s="1041"/>
      <c r="AA97" s="1041"/>
      <c r="AB97" s="1041"/>
      <c r="AC97" s="1041"/>
      <c r="AD97" s="1041"/>
      <c r="AE97" s="1041"/>
      <c r="AF97" s="1041"/>
      <c r="AG97" s="1041"/>
      <c r="AH97" s="1041"/>
      <c r="AI97" s="1041"/>
      <c r="AJ97" s="1041"/>
      <c r="AK97" s="1041"/>
      <c r="AL97" s="1041"/>
      <c r="AM97" s="1041"/>
      <c r="AN97" s="1041"/>
      <c r="AO97" s="1041"/>
    </row>
    <row r="98" spans="1:41">
      <c r="A98" s="1122"/>
      <c r="B98" s="1122"/>
      <c r="C98" s="1122"/>
      <c r="D98" s="1122"/>
      <c r="E98" s="1122"/>
      <c r="F98" s="1122"/>
      <c r="G98" s="1123"/>
      <c r="H98" s="1122"/>
      <c r="I98" s="1122"/>
      <c r="J98" s="1122"/>
      <c r="K98" s="1122"/>
      <c r="L98" s="1122"/>
      <c r="M98" s="1020"/>
      <c r="N98" s="1020"/>
      <c r="O98" s="1020"/>
      <c r="P98" s="1020"/>
      <c r="Q98" s="1020"/>
      <c r="R98" s="1020"/>
      <c r="S98" s="1020"/>
      <c r="T98" s="1020"/>
      <c r="U98" s="1020"/>
      <c r="V98" s="1020"/>
      <c r="W98" s="1020"/>
      <c r="X98" s="3881"/>
      <c r="Y98" s="1020"/>
      <c r="Z98" s="1020"/>
      <c r="AA98" s="1020"/>
      <c r="AB98" s="1020"/>
      <c r="AC98" s="1020"/>
      <c r="AD98" s="1020"/>
      <c r="AE98" s="1020"/>
      <c r="AF98" s="1020"/>
      <c r="AG98" s="1020"/>
      <c r="AH98" s="1020"/>
      <c r="AI98" s="1020"/>
      <c r="AJ98" s="1020"/>
      <c r="AK98" s="1020"/>
      <c r="AL98" s="1020"/>
      <c r="AM98" s="1020"/>
      <c r="AN98" s="1020"/>
      <c r="AO98" s="1020"/>
    </row>
    <row r="99" spans="1:41">
      <c r="A99" s="1124"/>
      <c r="B99" s="1125"/>
      <c r="C99" s="1126"/>
      <c r="D99" s="1124"/>
      <c r="E99" s="1127"/>
      <c r="F99" s="1124"/>
      <c r="G99" s="1128"/>
      <c r="H99" s="1124"/>
      <c r="I99" s="1124"/>
      <c r="J99" s="1124"/>
      <c r="K99" s="1124"/>
      <c r="L99" s="1124"/>
      <c r="M99" s="1124"/>
      <c r="N99" s="1124"/>
      <c r="O99" s="1124"/>
      <c r="P99" s="1124"/>
      <c r="Q99" s="1124"/>
      <c r="R99" s="1124"/>
      <c r="S99" s="1124"/>
      <c r="T99" s="1124"/>
      <c r="U99" s="1124"/>
      <c r="V99" s="1124"/>
      <c r="W99" s="1124"/>
      <c r="X99" s="3903"/>
      <c r="Y99" s="1124"/>
      <c r="Z99" s="1124"/>
      <c r="AA99" s="1124"/>
      <c r="AB99" s="1124"/>
      <c r="AC99" s="1124"/>
      <c r="AD99" s="1124"/>
      <c r="AE99" s="1124"/>
      <c r="AF99" s="1124"/>
      <c r="AG99" s="1124"/>
      <c r="AH99" s="1124"/>
      <c r="AI99" s="1124"/>
      <c r="AJ99" s="1124"/>
      <c r="AK99" s="1124"/>
      <c r="AL99" s="1124"/>
      <c r="AM99" s="1124"/>
      <c r="AN99" s="1124"/>
      <c r="AO99" s="1124"/>
    </row>
    <row r="100" spans="1:41">
      <c r="A100" s="1129"/>
      <c r="B100" s="1129"/>
      <c r="C100" s="1129"/>
      <c r="D100" s="1129"/>
      <c r="E100" s="1130"/>
      <c r="F100" s="1129"/>
      <c r="G100" s="1131"/>
      <c r="H100" s="1129"/>
      <c r="I100" s="1129"/>
      <c r="J100" s="1122"/>
      <c r="K100" s="1122"/>
      <c r="L100" s="1122"/>
      <c r="M100" s="1020"/>
      <c r="N100" s="1020"/>
      <c r="O100" s="1020"/>
      <c r="P100" s="1020"/>
      <c r="Q100" s="1020"/>
      <c r="R100" s="1020"/>
      <c r="S100" s="1020"/>
      <c r="T100" s="1020"/>
      <c r="U100" s="1020"/>
      <c r="V100" s="1020"/>
      <c r="W100" s="1020"/>
      <c r="X100" s="3881"/>
      <c r="Y100" s="1020"/>
      <c r="Z100" s="1020"/>
      <c r="AA100" s="1020"/>
      <c r="AB100" s="1020"/>
      <c r="AC100" s="1020"/>
      <c r="AD100" s="1020"/>
      <c r="AE100" s="1020"/>
      <c r="AF100" s="1020"/>
      <c r="AG100" s="1020"/>
      <c r="AH100" s="1020"/>
      <c r="AI100" s="1020"/>
      <c r="AJ100" s="1020"/>
      <c r="AK100" s="1020"/>
      <c r="AL100" s="1020"/>
      <c r="AM100" s="1020"/>
      <c r="AN100" s="1020"/>
      <c r="AO100" s="1020"/>
    </row>
    <row r="101" spans="1:41">
      <c r="A101" s="1132" t="s">
        <v>2020</v>
      </c>
      <c r="B101" s="1133"/>
      <c r="C101" s="1134"/>
      <c r="D101" s="1134"/>
      <c r="E101" s="1135"/>
      <c r="F101" s="1036"/>
      <c r="G101" s="1136"/>
      <c r="H101" s="1036"/>
      <c r="I101" s="1036"/>
      <c r="J101" s="1041"/>
      <c r="K101" s="1041"/>
      <c r="L101" s="1041"/>
      <c r="M101" s="1041"/>
      <c r="N101" s="1041"/>
      <c r="O101" s="1041"/>
      <c r="P101" s="1041"/>
      <c r="Q101" s="1041"/>
      <c r="R101" s="1041"/>
      <c r="S101" s="1041"/>
      <c r="T101" s="1041"/>
      <c r="U101" s="1041"/>
      <c r="V101" s="1041"/>
      <c r="W101" s="1041"/>
      <c r="X101" s="3897"/>
      <c r="Y101" s="1041"/>
      <c r="Z101" s="1041"/>
      <c r="AA101" s="1041"/>
      <c r="AB101" s="1041"/>
      <c r="AC101" s="1041"/>
      <c r="AD101" s="1041"/>
      <c r="AE101" s="1041"/>
      <c r="AF101" s="1041"/>
      <c r="AG101" s="1041"/>
      <c r="AH101" s="1041"/>
      <c r="AI101" s="1041"/>
      <c r="AJ101" s="1041"/>
      <c r="AK101" s="1041"/>
      <c r="AL101" s="1041"/>
      <c r="AM101" s="1041"/>
      <c r="AN101" s="1041"/>
      <c r="AO101" s="1041"/>
    </row>
    <row r="102" spans="1:41">
      <c r="A102" s="1137" t="s">
        <v>2021</v>
      </c>
      <c r="B102" s="1138"/>
      <c r="C102" s="1036"/>
      <c r="D102" s="1036"/>
      <c r="E102" s="1135"/>
      <c r="F102" s="1036"/>
      <c r="G102" s="1136"/>
      <c r="H102" s="1042"/>
      <c r="I102" s="1042"/>
      <c r="J102" s="1033"/>
      <c r="K102" s="1042"/>
      <c r="L102" s="1042"/>
      <c r="M102" s="1042"/>
      <c r="N102" s="1041"/>
      <c r="O102" s="1041"/>
      <c r="P102" s="1041"/>
      <c r="Q102" s="1041"/>
      <c r="R102" s="1041"/>
      <c r="S102" s="1041"/>
      <c r="T102" s="1041"/>
      <c r="U102" s="1041"/>
      <c r="V102" s="1041"/>
      <c r="W102" s="1041"/>
      <c r="X102" s="3897"/>
      <c r="Y102" s="1041"/>
      <c r="Z102" s="1041"/>
      <c r="AA102" s="1041"/>
      <c r="AB102" s="1041"/>
      <c r="AC102" s="1041"/>
      <c r="AD102" s="1041"/>
      <c r="AE102" s="1041"/>
      <c r="AF102" s="1041"/>
      <c r="AG102" s="1041"/>
      <c r="AH102" s="1041"/>
      <c r="AI102" s="1041"/>
      <c r="AJ102" s="1041"/>
      <c r="AK102" s="1041"/>
      <c r="AL102" s="1041"/>
      <c r="AM102" s="1041"/>
      <c r="AN102" s="1041"/>
      <c r="AO102" s="1041"/>
    </row>
    <row r="103" spans="1:41">
      <c r="A103" s="1016" t="s">
        <v>2022</v>
      </c>
      <c r="B103" s="1138"/>
      <c r="C103" s="1042">
        <v>26926804.800000001</v>
      </c>
      <c r="D103" s="1042">
        <v>28178484.809999999</v>
      </c>
      <c r="E103" s="1135">
        <v>28281.883605762334</v>
      </c>
      <c r="F103" s="1042">
        <v>28536568.689999998</v>
      </c>
      <c r="G103" s="1136">
        <v>30797.882062275741</v>
      </c>
      <c r="H103" s="2052">
        <v>29611859.079999998</v>
      </c>
      <c r="I103" s="2052"/>
      <c r="J103" s="2052">
        <v>18928124.251187067</v>
      </c>
      <c r="K103" s="2052">
        <v>20541972.647580314</v>
      </c>
      <c r="L103" s="2052">
        <v>23229318.025038853</v>
      </c>
      <c r="M103" s="2052">
        <v>25983827.23333469</v>
      </c>
      <c r="N103" s="2052">
        <v>28246046.341432951</v>
      </c>
      <c r="O103" s="2052">
        <v>29941150.594803028</v>
      </c>
      <c r="P103" s="2052">
        <v>31646536.600877803</v>
      </c>
      <c r="Q103" s="2052">
        <v>32222000.145815887</v>
      </c>
      <c r="R103" s="2052">
        <v>32319533.580447443</v>
      </c>
      <c r="S103" s="2052">
        <v>33294332.253345478</v>
      </c>
      <c r="T103" s="2052">
        <v>34393847.547332309</v>
      </c>
      <c r="U103" s="2052">
        <v>35503059.93002741</v>
      </c>
      <c r="V103" s="2052">
        <v>36655404.396392092</v>
      </c>
      <c r="W103" s="2052">
        <v>39316057.981059611</v>
      </c>
      <c r="X103" s="3884">
        <v>42083166.749319136</v>
      </c>
      <c r="Y103" s="2052">
        <v>44958858.933636352</v>
      </c>
      <c r="Z103" s="2052">
        <v>47945369.2303726</v>
      </c>
      <c r="AA103" s="2052">
        <v>51045040.289024867</v>
      </c>
      <c r="AB103" s="2052">
        <v>54260324.314330071</v>
      </c>
      <c r="AC103" s="2052">
        <v>57593784.781892076</v>
      </c>
      <c r="AD103" s="2052">
        <v>61048098.268118672</v>
      </c>
      <c r="AE103" s="2052">
        <v>64626056.395384282</v>
      </c>
      <c r="AF103" s="2052">
        <v>67777897.855653167</v>
      </c>
      <c r="AG103" s="2052">
        <v>71042740.601644486</v>
      </c>
      <c r="AH103" s="2052">
        <v>74423236.830253333</v>
      </c>
      <c r="AI103" s="2052">
        <v>77922147.817948729</v>
      </c>
      <c r="AJ103" s="2052">
        <v>81542346.012614131</v>
      </c>
      <c r="AK103" s="2052">
        <v>85286817.235365093</v>
      </c>
      <c r="AL103" s="2052">
        <v>89158662.993754327</v>
      </c>
      <c r="AM103" s="2052">
        <v>93161102.907892779</v>
      </c>
      <c r="AN103" s="2052">
        <v>97297477.25113301</v>
      </c>
      <c r="AO103" s="2052">
        <v>101571249.60708098</v>
      </c>
    </row>
    <row r="104" spans="1:41">
      <c r="A104" s="1016" t="s">
        <v>2023</v>
      </c>
      <c r="B104" s="1138"/>
      <c r="C104" s="1042">
        <v>14984063.520000001</v>
      </c>
      <c r="D104" s="1042">
        <v>17061169.350000001</v>
      </c>
      <c r="E104" s="1135">
        <v>17687.782563064717</v>
      </c>
      <c r="F104" s="1042">
        <v>19320685.760000002</v>
      </c>
      <c r="G104" s="1136">
        <v>19411.871130815362</v>
      </c>
      <c r="H104" s="2052">
        <v>20861603.969999999</v>
      </c>
      <c r="I104" s="2052"/>
      <c r="J104" s="2052">
        <v>37162495.307979606</v>
      </c>
      <c r="K104" s="2052">
        <v>39654945.626817465</v>
      </c>
      <c r="L104" s="2052">
        <v>41021223.282911234</v>
      </c>
      <c r="M104" s="2052">
        <v>42997066.073902726</v>
      </c>
      <c r="N104" s="2052">
        <v>44514991.988257885</v>
      </c>
      <c r="O104" s="2052">
        <v>45517357.597892836</v>
      </c>
      <c r="P104" s="2052">
        <v>46470374.246374801</v>
      </c>
      <c r="Q104" s="2052">
        <v>45803974.64569696</v>
      </c>
      <c r="R104" s="2052">
        <v>44406298.91175741</v>
      </c>
      <c r="S104" s="2052">
        <v>44799283.358305968</v>
      </c>
      <c r="T104" s="2052">
        <v>45379623.85699112</v>
      </c>
      <c r="U104" s="2052">
        <v>46581575.642981164</v>
      </c>
      <c r="V104" s="2052">
        <v>47479794.56300991</v>
      </c>
      <c r="W104" s="2052">
        <v>47488846.634738192</v>
      </c>
      <c r="X104" s="3884">
        <v>47555674.446167767</v>
      </c>
      <c r="Y104" s="2052">
        <v>47679711.102387697</v>
      </c>
      <c r="Z104" s="2052">
        <v>47860464.708323807</v>
      </c>
      <c r="AA104" s="2052">
        <v>48097516.93846637</v>
      </c>
      <c r="AB104" s="2052">
        <v>48390521.710900478</v>
      </c>
      <c r="AC104" s="2052">
        <v>48739203.96287936</v>
      </c>
      <c r="AD104" s="2052">
        <v>49143358.525334507</v>
      </c>
      <c r="AE104" s="2052">
        <v>49602849.093863524</v>
      </c>
      <c r="AF104" s="2052">
        <v>50117607.293880619</v>
      </c>
      <c r="AG104" s="2052">
        <v>50687631.837753147</v>
      </c>
      <c r="AH104" s="2052">
        <v>51312987.771882564</v>
      </c>
      <c r="AI104" s="2052">
        <v>51993805.811818965</v>
      </c>
      <c r="AJ104" s="2052">
        <v>53462087.641950965</v>
      </c>
      <c r="AK104" s="2052">
        <v>55008241.962831825</v>
      </c>
      <c r="AL104" s="2052">
        <v>56633251.987750225</v>
      </c>
      <c r="AM104" s="2052">
        <v>58338184.544850826</v>
      </c>
      <c r="AN104" s="2052">
        <v>60124190.420841724</v>
      </c>
      <c r="AO104" s="2052">
        <v>61992504.80160252</v>
      </c>
    </row>
    <row r="105" spans="1:41">
      <c r="A105" s="1027" t="s">
        <v>2011</v>
      </c>
      <c r="B105" s="1139"/>
      <c r="C105" s="1140">
        <v>132573.818</v>
      </c>
      <c r="D105" s="1141">
        <v>45239654.159999996</v>
      </c>
      <c r="E105" s="1118">
        <v>45969</v>
      </c>
      <c r="F105" s="1141">
        <v>47857254.450000003</v>
      </c>
      <c r="G105" s="1119">
        <v>54209.753193091106</v>
      </c>
      <c r="H105" s="1094">
        <f>SUM(H103:H104)</f>
        <v>50473463.049999997</v>
      </c>
      <c r="I105" s="1094"/>
      <c r="J105" s="1094">
        <f>SUM(J103:J104)</f>
        <v>56090619.55916667</v>
      </c>
      <c r="K105" s="1094">
        <f t="shared" ref="K105:AO105" si="47">SUM(K103:K104)</f>
        <v>60196918.274397776</v>
      </c>
      <c r="L105" s="1094">
        <f t="shared" si="47"/>
        <v>64250541.307950087</v>
      </c>
      <c r="M105" s="1094">
        <f t="shared" si="47"/>
        <v>68980893.307237417</v>
      </c>
      <c r="N105" s="1094">
        <f t="shared" si="47"/>
        <v>72761038.329690844</v>
      </c>
      <c r="O105" s="1094">
        <f t="shared" si="47"/>
        <v>75458508.192695856</v>
      </c>
      <c r="P105" s="1094">
        <f t="shared" si="47"/>
        <v>78116910.847252607</v>
      </c>
      <c r="Q105" s="1094">
        <f t="shared" si="47"/>
        <v>78025974.791512847</v>
      </c>
      <c r="R105" s="1094">
        <f t="shared" si="47"/>
        <v>76725832.492204845</v>
      </c>
      <c r="S105" s="1094">
        <f t="shared" si="47"/>
        <v>78093615.61165145</v>
      </c>
      <c r="T105" s="1094">
        <f t="shared" si="47"/>
        <v>79773471.404323429</v>
      </c>
      <c r="U105" s="1094">
        <f t="shared" si="47"/>
        <v>82084635.573008567</v>
      </c>
      <c r="V105" s="1094">
        <f t="shared" si="47"/>
        <v>84135198.959401995</v>
      </c>
      <c r="W105" s="1094">
        <f t="shared" si="47"/>
        <v>86804904.615797803</v>
      </c>
      <c r="X105" s="3895">
        <f t="shared" si="47"/>
        <v>89638841.195486903</v>
      </c>
      <c r="Y105" s="1094">
        <f t="shared" si="47"/>
        <v>92638570.036024049</v>
      </c>
      <c r="Z105" s="1094">
        <f t="shared" si="47"/>
        <v>95805833.938696414</v>
      </c>
      <c r="AA105" s="1094">
        <f t="shared" si="47"/>
        <v>99142557.22749123</v>
      </c>
      <c r="AB105" s="1094">
        <f t="shared" si="47"/>
        <v>102650846.02523056</v>
      </c>
      <c r="AC105" s="1094">
        <f t="shared" si="47"/>
        <v>106332988.74477144</v>
      </c>
      <c r="AD105" s="1094">
        <f t="shared" si="47"/>
        <v>110191456.79345319</v>
      </c>
      <c r="AE105" s="1094">
        <f t="shared" si="47"/>
        <v>114228905.4892478</v>
      </c>
      <c r="AF105" s="1094">
        <f t="shared" si="47"/>
        <v>117895505.14953378</v>
      </c>
      <c r="AG105" s="1094">
        <f t="shared" si="47"/>
        <v>121730372.43939763</v>
      </c>
      <c r="AH105" s="1094">
        <f t="shared" si="47"/>
        <v>125736224.6021359</v>
      </c>
      <c r="AI105" s="1094">
        <f t="shared" si="47"/>
        <v>129915953.62976769</v>
      </c>
      <c r="AJ105" s="1094">
        <f t="shared" si="47"/>
        <v>135004433.6545651</v>
      </c>
      <c r="AK105" s="1094">
        <f t="shared" si="47"/>
        <v>140295059.19819692</v>
      </c>
      <c r="AL105" s="1094">
        <f t="shared" si="47"/>
        <v>145791914.98150456</v>
      </c>
      <c r="AM105" s="1094">
        <f t="shared" si="47"/>
        <v>151499287.45274359</v>
      </c>
      <c r="AN105" s="1094">
        <f t="shared" si="47"/>
        <v>157421667.67197472</v>
      </c>
      <c r="AO105" s="1094">
        <f t="shared" si="47"/>
        <v>163563754.40868351</v>
      </c>
    </row>
    <row r="106" spans="1:41">
      <c r="A106" s="1014"/>
      <c r="B106" s="1015"/>
      <c r="C106" s="1142"/>
      <c r="D106" s="1142"/>
      <c r="E106" s="1143"/>
      <c r="F106" s="1142"/>
      <c r="G106" s="1144"/>
      <c r="H106" s="1145"/>
      <c r="I106" s="1145"/>
      <c r="J106" s="1054"/>
      <c r="K106" s="1054"/>
      <c r="L106" s="1054"/>
      <c r="M106" s="1054"/>
      <c r="N106" s="1054"/>
      <c r="O106" s="1054"/>
      <c r="P106" s="1054"/>
      <c r="Q106" s="1054"/>
      <c r="R106" s="1054"/>
      <c r="S106" s="1054"/>
      <c r="T106" s="1054"/>
      <c r="U106" s="1054"/>
      <c r="V106" s="1054"/>
      <c r="W106" s="1054"/>
      <c r="X106" s="3889"/>
      <c r="Y106" s="1054"/>
      <c r="Z106" s="1054"/>
      <c r="AA106" s="1054"/>
      <c r="AB106" s="1054"/>
      <c r="AC106" s="1054"/>
      <c r="AD106" s="1054"/>
      <c r="AE106" s="1054"/>
      <c r="AF106" s="1054"/>
      <c r="AG106" s="1054"/>
      <c r="AH106" s="1054"/>
      <c r="AI106" s="1054"/>
      <c r="AJ106" s="1054"/>
      <c r="AK106" s="1054"/>
      <c r="AL106" s="1054"/>
      <c r="AM106" s="1054"/>
      <c r="AN106" s="1054"/>
      <c r="AO106" s="1054"/>
    </row>
    <row r="107" spans="1:41">
      <c r="A107" s="1016"/>
      <c r="B107" s="1138"/>
      <c r="C107" s="1016"/>
      <c r="D107" s="1016"/>
      <c r="E107" s="1037"/>
      <c r="F107" s="1146"/>
      <c r="G107" s="1136"/>
      <c r="H107" s="1147"/>
      <c r="I107" s="1147"/>
      <c r="J107" s="1089"/>
      <c r="K107" s="1089"/>
      <c r="L107" s="1089"/>
      <c r="M107" s="1089"/>
      <c r="N107" s="1089"/>
      <c r="O107" s="1089"/>
      <c r="P107" s="1089"/>
      <c r="Q107" s="1089"/>
      <c r="R107" s="1089"/>
      <c r="S107" s="1089"/>
      <c r="T107" s="1089"/>
      <c r="U107" s="1089"/>
      <c r="V107" s="1089"/>
      <c r="W107" s="1089"/>
      <c r="X107" s="3894"/>
      <c r="Y107" s="1089"/>
      <c r="Z107" s="1089"/>
      <c r="AA107" s="1089"/>
      <c r="AB107" s="1089"/>
      <c r="AC107" s="1089"/>
      <c r="AD107" s="1089"/>
      <c r="AE107" s="1089"/>
      <c r="AF107" s="1089"/>
      <c r="AG107" s="1089"/>
      <c r="AH107" s="1089"/>
      <c r="AI107" s="1089"/>
      <c r="AJ107" s="1089"/>
      <c r="AK107" s="1089"/>
      <c r="AL107" s="1089"/>
      <c r="AM107" s="1089"/>
      <c r="AN107" s="1089"/>
      <c r="AO107" s="1089"/>
    </row>
    <row r="108" spans="1:41">
      <c r="A108" s="1124"/>
      <c r="B108" s="1125"/>
      <c r="C108" s="1126"/>
      <c r="D108" s="1124"/>
      <c r="E108" s="1037"/>
      <c r="F108" s="1124"/>
      <c r="G108" s="1136"/>
      <c r="H108" s="1148"/>
      <c r="I108" s="1148"/>
      <c r="J108" s="1124"/>
      <c r="K108" s="1124"/>
      <c r="L108" s="1124"/>
      <c r="M108" s="1124"/>
      <c r="N108" s="1124"/>
      <c r="O108" s="1124"/>
      <c r="P108" s="1124"/>
      <c r="Q108" s="1124"/>
      <c r="R108" s="1124"/>
      <c r="S108" s="1124"/>
      <c r="T108" s="1124"/>
      <c r="U108" s="1124"/>
      <c r="V108" s="1124"/>
      <c r="W108" s="1124"/>
      <c r="X108" s="3903"/>
      <c r="Y108" s="1124"/>
      <c r="Z108" s="1124"/>
      <c r="AA108" s="1124"/>
      <c r="AB108" s="1124"/>
      <c r="AC108" s="1124"/>
      <c r="AD108" s="1124"/>
      <c r="AE108" s="1124"/>
      <c r="AF108" s="1124"/>
      <c r="AG108" s="1124"/>
      <c r="AH108" s="1124"/>
      <c r="AI108" s="1124"/>
      <c r="AJ108" s="1124"/>
      <c r="AK108" s="1124"/>
      <c r="AL108" s="1124"/>
      <c r="AM108" s="1124"/>
      <c r="AN108" s="1124"/>
      <c r="AO108" s="1124"/>
    </row>
    <row r="109" spans="1:41">
      <c r="A109" s="1149"/>
      <c r="B109" s="1133"/>
      <c r="C109" s="1036"/>
      <c r="D109" s="1036"/>
      <c r="E109" s="1135"/>
      <c r="F109" s="1036"/>
      <c r="G109" s="1136"/>
      <c r="H109" s="1150"/>
      <c r="I109" s="1150"/>
      <c r="J109" s="1041"/>
      <c r="K109" s="1041"/>
      <c r="L109" s="1041"/>
      <c r="M109" s="1041"/>
      <c r="N109" s="1041"/>
      <c r="O109" s="1041"/>
      <c r="P109" s="1041"/>
      <c r="Q109" s="1041"/>
      <c r="R109" s="1041"/>
      <c r="S109" s="1041"/>
      <c r="T109" s="1041"/>
      <c r="U109" s="1041"/>
      <c r="V109" s="1041"/>
      <c r="W109" s="1041"/>
      <c r="X109" s="3897"/>
      <c r="Y109" s="1041"/>
      <c r="Z109" s="1041"/>
      <c r="AA109" s="1041"/>
      <c r="AB109" s="1041"/>
      <c r="AC109" s="1041"/>
      <c r="AD109" s="1041"/>
      <c r="AE109" s="1041"/>
      <c r="AF109" s="1041"/>
      <c r="AG109" s="1041"/>
      <c r="AH109" s="1041"/>
      <c r="AI109" s="1041"/>
      <c r="AJ109" s="1041"/>
      <c r="AK109" s="1041"/>
      <c r="AL109" s="1041"/>
      <c r="AM109" s="1041"/>
      <c r="AN109" s="1041"/>
      <c r="AO109" s="1041"/>
    </row>
    <row r="110" spans="1:41">
      <c r="A110" s="1132" t="s">
        <v>2024</v>
      </c>
      <c r="B110" s="1138"/>
      <c r="C110" s="1036"/>
      <c r="D110" s="1036"/>
      <c r="E110" s="1135"/>
      <c r="F110" s="1036"/>
      <c r="G110" s="1136"/>
      <c r="H110" s="1150"/>
      <c r="I110" s="1150"/>
      <c r="J110" s="1033"/>
      <c r="K110" s="1041"/>
      <c r="L110" s="1041"/>
      <c r="M110" s="1041"/>
      <c r="N110" s="1041"/>
      <c r="O110" s="1041"/>
      <c r="P110" s="1041"/>
      <c r="Q110" s="1041"/>
      <c r="R110" s="1041"/>
      <c r="S110" s="1041"/>
      <c r="T110" s="1041"/>
      <c r="U110" s="1041"/>
      <c r="V110" s="1041"/>
      <c r="W110" s="1041"/>
      <c r="X110" s="3897"/>
      <c r="Y110" s="1041"/>
      <c r="Z110" s="1041"/>
      <c r="AA110" s="1041"/>
      <c r="AB110" s="1041"/>
      <c r="AC110" s="1041"/>
      <c r="AD110" s="1041"/>
      <c r="AE110" s="1041"/>
      <c r="AF110" s="1041"/>
      <c r="AG110" s="1041"/>
      <c r="AH110" s="1041"/>
      <c r="AI110" s="1041"/>
      <c r="AJ110" s="1041"/>
      <c r="AK110" s="1041"/>
      <c r="AL110" s="1041"/>
      <c r="AM110" s="1041"/>
      <c r="AN110" s="1041"/>
      <c r="AO110" s="1041"/>
    </row>
    <row r="111" spans="1:41">
      <c r="A111" s="1016" t="s">
        <v>717</v>
      </c>
      <c r="B111" s="1138"/>
      <c r="C111" s="1036">
        <v>33153.928</v>
      </c>
      <c r="D111" s="1151">
        <v>27543921.462439902</v>
      </c>
      <c r="E111" s="1135">
        <v>64055</v>
      </c>
      <c r="F111" s="1151">
        <v>50784988.143320002</v>
      </c>
      <c r="G111" s="1136">
        <v>60978.420195552346</v>
      </c>
      <c r="H111" s="2052">
        <v>67069487</v>
      </c>
      <c r="I111" s="2052"/>
      <c r="J111" s="2052">
        <v>40507713.233493328</v>
      </c>
      <c r="K111" s="2052">
        <v>55859940.056760222</v>
      </c>
      <c r="L111" s="2052">
        <v>56490087.421787985</v>
      </c>
      <c r="M111" s="2052">
        <v>50484163.234991513</v>
      </c>
      <c r="N111" s="2052">
        <v>36557616.913764171</v>
      </c>
      <c r="O111" s="2052">
        <v>36782576.967435479</v>
      </c>
      <c r="P111" s="2052">
        <v>29624623.358669013</v>
      </c>
      <c r="Q111" s="2052">
        <v>28440921.388066828</v>
      </c>
      <c r="R111" s="2052">
        <v>28893250.826545011</v>
      </c>
      <c r="S111" s="2052">
        <v>29485638.000941362</v>
      </c>
      <c r="T111" s="2052">
        <v>30441804.713669606</v>
      </c>
      <c r="U111" s="2052">
        <v>30974144.104670689</v>
      </c>
      <c r="V111" s="2052">
        <v>60823236.279632151</v>
      </c>
      <c r="W111" s="2052">
        <v>62647933.368021116</v>
      </c>
      <c r="X111" s="3884">
        <v>64527371.369061753</v>
      </c>
      <c r="Y111" s="2052">
        <v>66463192.510133609</v>
      </c>
      <c r="Z111" s="2052">
        <v>68457088.285437614</v>
      </c>
      <c r="AA111" s="2052">
        <v>70510800.934000745</v>
      </c>
      <c r="AB111" s="2052">
        <v>72626124.96202077</v>
      </c>
      <c r="AC111" s="2052">
        <v>74804908.710881397</v>
      </c>
      <c r="AD111" s="2052">
        <v>77049055.972207844</v>
      </c>
      <c r="AE111" s="2052">
        <v>68307126.895197272</v>
      </c>
      <c r="AF111" s="2052">
        <v>70356340.702053189</v>
      </c>
      <c r="AG111" s="2052">
        <v>72467030.923114792</v>
      </c>
      <c r="AH111" s="2052">
        <v>74641041.850808233</v>
      </c>
      <c r="AI111" s="2052">
        <v>76880273.106332481</v>
      </c>
      <c r="AJ111" s="2052">
        <v>79186681.29952246</v>
      </c>
      <c r="AK111" s="2052">
        <v>81562281.738508135</v>
      </c>
      <c r="AL111" s="2052">
        <v>84009150.190663397</v>
      </c>
      <c r="AM111" s="2052">
        <v>86529424.696383297</v>
      </c>
      <c r="AN111" s="2052">
        <v>89125307.437274784</v>
      </c>
      <c r="AO111" s="2052">
        <v>91799066.660393029</v>
      </c>
    </row>
    <row r="112" spans="1:41">
      <c r="A112" s="1016" t="s">
        <v>1977</v>
      </c>
      <c r="B112" s="1138"/>
      <c r="C112" s="1036">
        <v>120243.15300000001</v>
      </c>
      <c r="D112" s="1152">
        <v>91299911.187559411</v>
      </c>
      <c r="E112" s="1153">
        <v>121176</v>
      </c>
      <c r="F112" s="1152">
        <v>100658098.2066799</v>
      </c>
      <c r="G112" s="1136">
        <v>124705.23408958293</v>
      </c>
      <c r="H112" s="2052">
        <v>141644212</v>
      </c>
      <c r="I112" s="2052"/>
      <c r="J112" s="2052">
        <v>131812331.67782202</v>
      </c>
      <c r="K112" s="2052">
        <v>74462748.910715029</v>
      </c>
      <c r="L112" s="2052">
        <v>102281900.20156313</v>
      </c>
      <c r="M112" s="2052">
        <v>99543886.701859042</v>
      </c>
      <c r="N112" s="2052">
        <v>64451007.365840778</v>
      </c>
      <c r="O112" s="2052">
        <v>62087862.309248246</v>
      </c>
      <c r="P112" s="2052">
        <v>64454181.316339605</v>
      </c>
      <c r="Q112" s="2052">
        <v>73092302.06443359</v>
      </c>
      <c r="R112" s="2052">
        <v>70369235.405966908</v>
      </c>
      <c r="S112" s="2052">
        <v>69471651.131245911</v>
      </c>
      <c r="T112" s="2052">
        <v>104666179.29008329</v>
      </c>
      <c r="U112" s="2052">
        <v>87696792.392394811</v>
      </c>
      <c r="V112" s="2052">
        <v>41527016.121733375</v>
      </c>
      <c r="W112" s="2052">
        <v>42772826.605385378</v>
      </c>
      <c r="X112" s="3884">
        <v>44056011.403546937</v>
      </c>
      <c r="Y112" s="2052">
        <v>45377691.745653346</v>
      </c>
      <c r="Z112" s="2052">
        <v>46739022.498022951</v>
      </c>
      <c r="AA112" s="2052">
        <v>48141193.172963642</v>
      </c>
      <c r="AB112" s="2052">
        <v>49585428.968152553</v>
      </c>
      <c r="AC112" s="2052">
        <v>51072991.837197132</v>
      </c>
      <c r="AD112" s="2052">
        <v>52605181.592313051</v>
      </c>
      <c r="AE112" s="2052">
        <v>54183337.040082447</v>
      </c>
      <c r="AF112" s="2052">
        <v>55808837.151284926</v>
      </c>
      <c r="AG112" s="2052">
        <v>57483102.265823476</v>
      </c>
      <c r="AH112" s="2052">
        <v>59207595.333798185</v>
      </c>
      <c r="AI112" s="2052">
        <v>97574117.110099405</v>
      </c>
      <c r="AJ112" s="2052">
        <v>100501340.62340239</v>
      </c>
      <c r="AK112" s="2052">
        <v>103516380.84210446</v>
      </c>
      <c r="AL112" s="2052">
        <v>106621872.2673676</v>
      </c>
      <c r="AM112" s="2052">
        <v>109820528.43538862</v>
      </c>
      <c r="AN112" s="2052">
        <v>113115144.28845027</v>
      </c>
      <c r="AO112" s="2052">
        <v>116508598.61710379</v>
      </c>
    </row>
    <row r="113" spans="1:41" ht="16.5" thickBot="1">
      <c r="A113" s="1046" t="s">
        <v>2025</v>
      </c>
      <c r="B113" s="1047"/>
      <c r="C113" s="1059">
        <v>153397.08100000001</v>
      </c>
      <c r="D113" s="1141">
        <v>118843832.64999932</v>
      </c>
      <c r="E113" s="1154">
        <v>185231</v>
      </c>
      <c r="F113" s="1141">
        <v>151443086.3499999</v>
      </c>
      <c r="G113" s="1119">
        <v>185683.65428513527</v>
      </c>
      <c r="H113" s="1094">
        <f>SUM(H111:H112)</f>
        <v>208713699</v>
      </c>
      <c r="I113" s="1094"/>
      <c r="J113" s="1094">
        <f t="shared" ref="J113:AO113" si="48">SUM(J111:J112)</f>
        <v>172320044.91131535</v>
      </c>
      <c r="K113" s="1094">
        <f t="shared" si="48"/>
        <v>130322688.96747525</v>
      </c>
      <c r="L113" s="1094">
        <f t="shared" si="48"/>
        <v>158771987.62335113</v>
      </c>
      <c r="M113" s="1094">
        <f t="shared" si="48"/>
        <v>150028049.93685055</v>
      </c>
      <c r="N113" s="1094">
        <f t="shared" si="48"/>
        <v>101008624.27960494</v>
      </c>
      <c r="O113" s="1094">
        <f t="shared" si="48"/>
        <v>98870439.276683718</v>
      </c>
      <c r="P113" s="1094">
        <f t="shared" si="48"/>
        <v>94078804.675008625</v>
      </c>
      <c r="Q113" s="1094">
        <f t="shared" si="48"/>
        <v>101533223.45250042</v>
      </c>
      <c r="R113" s="1094">
        <f t="shared" si="48"/>
        <v>99262486.232511923</v>
      </c>
      <c r="S113" s="1094">
        <f t="shared" si="48"/>
        <v>98957289.132187277</v>
      </c>
      <c r="T113" s="1094">
        <f t="shared" si="48"/>
        <v>135107984.00375289</v>
      </c>
      <c r="U113" s="1094">
        <f t="shared" si="48"/>
        <v>118670936.4970655</v>
      </c>
      <c r="V113" s="1094">
        <f t="shared" si="48"/>
        <v>102350252.40136552</v>
      </c>
      <c r="W113" s="1094">
        <f t="shared" si="48"/>
        <v>105420759.97340649</v>
      </c>
      <c r="X113" s="3895">
        <f t="shared" si="48"/>
        <v>108583382.7726087</v>
      </c>
      <c r="Y113" s="1094">
        <f t="shared" si="48"/>
        <v>111840884.25578696</v>
      </c>
      <c r="Z113" s="1094">
        <f t="shared" si="48"/>
        <v>115196110.78346056</v>
      </c>
      <c r="AA113" s="1094">
        <f t="shared" si="48"/>
        <v>118651994.10696438</v>
      </c>
      <c r="AB113" s="1094">
        <f t="shared" si="48"/>
        <v>122211553.93017332</v>
      </c>
      <c r="AC113" s="1094">
        <f t="shared" si="48"/>
        <v>125877900.54807854</v>
      </c>
      <c r="AD113" s="1094">
        <f t="shared" si="48"/>
        <v>129654237.5645209</v>
      </c>
      <c r="AE113" s="1094">
        <f t="shared" si="48"/>
        <v>122490463.93527973</v>
      </c>
      <c r="AF113" s="1094">
        <f t="shared" si="48"/>
        <v>126165177.85333812</v>
      </c>
      <c r="AG113" s="1094">
        <f t="shared" si="48"/>
        <v>129950133.18893826</v>
      </c>
      <c r="AH113" s="1094">
        <f t="shared" si="48"/>
        <v>133848637.18460642</v>
      </c>
      <c r="AI113" s="1094">
        <f t="shared" si="48"/>
        <v>174454390.21643189</v>
      </c>
      <c r="AJ113" s="1094">
        <f t="shared" si="48"/>
        <v>179688021.92292485</v>
      </c>
      <c r="AK113" s="1094">
        <f t="shared" si="48"/>
        <v>185078662.5806126</v>
      </c>
      <c r="AL113" s="1094">
        <f t="shared" si="48"/>
        <v>190631022.458031</v>
      </c>
      <c r="AM113" s="1094">
        <f t="shared" si="48"/>
        <v>196349953.13177192</v>
      </c>
      <c r="AN113" s="1094">
        <f t="shared" si="48"/>
        <v>202240451.72572505</v>
      </c>
      <c r="AO113" s="1094">
        <f t="shared" si="48"/>
        <v>208307665.27749681</v>
      </c>
    </row>
    <row r="114" spans="1:41" ht="16.5" thickTop="1">
      <c r="A114" s="1149"/>
      <c r="B114" s="1133"/>
      <c r="C114" s="1036"/>
      <c r="D114" s="1036"/>
      <c r="E114" s="1135"/>
      <c r="F114" s="1036"/>
      <c r="G114" s="1136"/>
      <c r="H114" s="1150"/>
      <c r="I114" s="1150"/>
      <c r="J114" s="1041"/>
      <c r="K114" s="1041"/>
      <c r="L114" s="1041"/>
      <c r="M114" s="1041"/>
      <c r="N114" s="1041"/>
      <c r="O114" s="1041"/>
      <c r="P114" s="1041"/>
      <c r="Q114" s="1041"/>
      <c r="R114" s="1041"/>
      <c r="S114" s="1041"/>
      <c r="T114" s="1041"/>
      <c r="U114" s="1041"/>
      <c r="V114" s="1041"/>
      <c r="W114" s="1041"/>
      <c r="X114" s="3897"/>
      <c r="Y114" s="1041"/>
      <c r="Z114" s="1041"/>
      <c r="AA114" s="1041"/>
      <c r="AB114" s="1041"/>
      <c r="AC114" s="1041"/>
      <c r="AD114" s="1041"/>
      <c r="AE114" s="1041"/>
      <c r="AF114" s="1041"/>
      <c r="AG114" s="1041"/>
      <c r="AH114" s="1041"/>
      <c r="AI114" s="1041"/>
      <c r="AJ114" s="1041"/>
      <c r="AK114" s="1041"/>
      <c r="AL114" s="1041"/>
      <c r="AM114" s="1041"/>
      <c r="AN114" s="1041"/>
      <c r="AO114" s="1041"/>
    </row>
    <row r="115" spans="1:41">
      <c r="A115" s="1124"/>
      <c r="B115" s="1125"/>
      <c r="C115" s="1126"/>
      <c r="D115" s="1124"/>
      <c r="E115" s="1037"/>
      <c r="F115" s="1124"/>
      <c r="G115" s="1136"/>
      <c r="H115" s="1148"/>
      <c r="I115" s="1148"/>
      <c r="J115" s="1124"/>
      <c r="K115" s="1124"/>
      <c r="L115" s="1124"/>
      <c r="M115" s="1124"/>
      <c r="N115" s="1124"/>
      <c r="O115" s="1124"/>
      <c r="P115" s="1124"/>
      <c r="Q115" s="1124"/>
      <c r="R115" s="1124"/>
      <c r="S115" s="1124"/>
      <c r="T115" s="1124"/>
      <c r="U115" s="1124"/>
      <c r="V115" s="1124"/>
      <c r="W115" s="1124"/>
      <c r="X115" s="3903"/>
      <c r="Y115" s="1124"/>
      <c r="Z115" s="1124"/>
      <c r="AA115" s="1124"/>
      <c r="AB115" s="1124"/>
      <c r="AC115" s="1124"/>
      <c r="AD115" s="1124"/>
      <c r="AE115" s="1124"/>
      <c r="AF115" s="1124"/>
      <c r="AG115" s="1124"/>
      <c r="AH115" s="1124"/>
      <c r="AI115" s="1124"/>
      <c r="AJ115" s="1124"/>
      <c r="AK115" s="1124"/>
      <c r="AL115" s="1124"/>
      <c r="AM115" s="1124"/>
      <c r="AN115" s="1124"/>
      <c r="AO115" s="1124"/>
    </row>
    <row r="116" spans="1:41">
      <c r="A116" s="1016"/>
      <c r="B116" s="1138"/>
      <c r="C116" s="1155"/>
      <c r="D116" s="1156"/>
      <c r="E116" s="1157"/>
      <c r="F116" s="1156"/>
      <c r="G116" s="1158"/>
      <c r="H116" s="1159"/>
      <c r="I116" s="1159"/>
      <c r="J116" s="1160"/>
      <c r="K116" s="1160"/>
      <c r="L116" s="1160"/>
      <c r="M116" s="1160"/>
      <c r="N116" s="1160"/>
      <c r="O116" s="1160"/>
      <c r="P116" s="1160"/>
      <c r="Q116" s="1160"/>
      <c r="R116" s="1160"/>
      <c r="S116" s="1160"/>
      <c r="T116" s="1160"/>
      <c r="U116" s="1160"/>
      <c r="V116" s="1160"/>
      <c r="W116" s="1160"/>
      <c r="X116" s="3904"/>
      <c r="Y116" s="1160"/>
      <c r="Z116" s="1160"/>
      <c r="AA116" s="1160"/>
      <c r="AB116" s="1160"/>
      <c r="AC116" s="1160"/>
      <c r="AD116" s="1160"/>
      <c r="AE116" s="1160"/>
      <c r="AF116" s="1160"/>
      <c r="AG116" s="1160"/>
      <c r="AH116" s="1160"/>
      <c r="AI116" s="1160"/>
      <c r="AJ116" s="1160"/>
      <c r="AK116" s="1160"/>
      <c r="AL116" s="1160"/>
      <c r="AM116" s="1160"/>
      <c r="AN116" s="1160"/>
      <c r="AO116" s="1160"/>
    </row>
    <row r="117" spans="1:41">
      <c r="A117" s="1132" t="s">
        <v>2026</v>
      </c>
      <c r="B117" s="1138"/>
      <c r="C117" s="1016"/>
      <c r="D117" s="1016"/>
      <c r="E117" s="1037"/>
      <c r="F117" s="1016"/>
      <c r="G117" s="1136"/>
      <c r="H117" s="1147"/>
      <c r="I117" s="1147"/>
      <c r="J117" s="1020"/>
      <c r="K117" s="1020"/>
      <c r="L117" s="1020"/>
      <c r="M117" s="1020"/>
      <c r="N117" s="1020"/>
      <c r="O117" s="1020"/>
      <c r="P117" s="1020"/>
      <c r="Q117" s="1020"/>
      <c r="R117" s="1020"/>
      <c r="S117" s="1020"/>
      <c r="T117" s="1020"/>
      <c r="U117" s="1020"/>
      <c r="V117" s="1020"/>
      <c r="W117" s="1020"/>
      <c r="X117" s="3881"/>
      <c r="Y117" s="1020"/>
      <c r="Z117" s="1020"/>
      <c r="AA117" s="1020"/>
      <c r="AB117" s="1020"/>
      <c r="AC117" s="1020"/>
      <c r="AD117" s="1020"/>
      <c r="AE117" s="1020"/>
      <c r="AF117" s="1020"/>
      <c r="AG117" s="1020"/>
      <c r="AH117" s="1020"/>
      <c r="AI117" s="1020"/>
      <c r="AJ117" s="1020"/>
      <c r="AK117" s="1020"/>
      <c r="AL117" s="1020"/>
      <c r="AM117" s="1020"/>
      <c r="AN117" s="1020"/>
      <c r="AO117" s="1020"/>
    </row>
    <row r="118" spans="1:41">
      <c r="A118" s="1016" t="s">
        <v>2027</v>
      </c>
      <c r="B118" s="1138"/>
      <c r="C118" s="1161">
        <f>C59</f>
        <v>286216</v>
      </c>
      <c r="D118" s="1162">
        <f>D59</f>
        <v>301725776.72237885</v>
      </c>
      <c r="E118" s="1153">
        <f>E59</f>
        <v>251478</v>
      </c>
      <c r="F118" s="1162">
        <f>F59</f>
        <v>260518630.34927863</v>
      </c>
      <c r="G118" s="1163">
        <v>260645.0029567297</v>
      </c>
      <c r="H118" s="2069">
        <f>H59</f>
        <v>302393637.09000003</v>
      </c>
      <c r="I118" s="2054"/>
      <c r="J118" s="2069">
        <f t="shared" ref="J118:AO118" si="49">J59</f>
        <v>338416748.42114091</v>
      </c>
      <c r="K118" s="2069">
        <f t="shared" si="49"/>
        <v>326027033.77245468</v>
      </c>
      <c r="L118" s="2069">
        <f t="shared" si="49"/>
        <v>335016345.12678581</v>
      </c>
      <c r="M118" s="2069">
        <f t="shared" si="49"/>
        <v>330485759.66946161</v>
      </c>
      <c r="N118" s="2069">
        <f t="shared" si="49"/>
        <v>325981145.93402898</v>
      </c>
      <c r="O118" s="2069">
        <f t="shared" si="49"/>
        <v>333093323.49838728</v>
      </c>
      <c r="P118" s="2069">
        <f t="shared" si="49"/>
        <v>340544446.49911457</v>
      </c>
      <c r="Q118" s="2069">
        <f t="shared" si="49"/>
        <v>344384226.47655332</v>
      </c>
      <c r="R118" s="2069">
        <f t="shared" si="49"/>
        <v>349550227.86553204</v>
      </c>
      <c r="S118" s="2069">
        <f t="shared" si="49"/>
        <v>353371962.04033464</v>
      </c>
      <c r="T118" s="2069">
        <f t="shared" si="49"/>
        <v>359271543.95772642</v>
      </c>
      <c r="U118" s="2069">
        <f t="shared" si="49"/>
        <v>364599083.32171553</v>
      </c>
      <c r="V118" s="2069">
        <f t="shared" si="49"/>
        <v>370011626.18109208</v>
      </c>
      <c r="W118" s="2069">
        <f t="shared" si="49"/>
        <v>374909536.71266592</v>
      </c>
      <c r="X118" s="3905">
        <f t="shared" si="49"/>
        <v>383601333.94218987</v>
      </c>
      <c r="Y118" s="2069">
        <f t="shared" si="49"/>
        <v>392191813.50747949</v>
      </c>
      <c r="Z118" s="2069">
        <f t="shared" si="49"/>
        <v>401077849.29350549</v>
      </c>
      <c r="AA118" s="2069">
        <f t="shared" si="49"/>
        <v>412064199.77983516</v>
      </c>
      <c r="AB118" s="2069">
        <f t="shared" si="49"/>
        <v>421086506.79273176</v>
      </c>
      <c r="AC118" s="2069">
        <f t="shared" si="49"/>
        <v>430635604.6359939</v>
      </c>
      <c r="AD118" s="2069">
        <f t="shared" si="49"/>
        <v>440650847.47348768</v>
      </c>
      <c r="AE118" s="2069">
        <f t="shared" si="49"/>
        <v>450864230.44669217</v>
      </c>
      <c r="AF118" s="2069">
        <f t="shared" si="49"/>
        <v>461169860.82293648</v>
      </c>
      <c r="AG118" s="2069">
        <f t="shared" si="49"/>
        <v>472171903.85263073</v>
      </c>
      <c r="AH118" s="2069">
        <f t="shared" si="49"/>
        <v>485980774.14986056</v>
      </c>
      <c r="AI118" s="2069">
        <f t="shared" si="49"/>
        <v>500947839.40766406</v>
      </c>
      <c r="AJ118" s="2069">
        <f t="shared" si="49"/>
        <v>511894862.63696927</v>
      </c>
      <c r="AK118" s="2069">
        <f t="shared" si="49"/>
        <v>524518632.60987163</v>
      </c>
      <c r="AL118" s="2069">
        <f t="shared" si="49"/>
        <v>537310363.53804553</v>
      </c>
      <c r="AM118" s="2069">
        <f t="shared" si="49"/>
        <v>549759339.86019707</v>
      </c>
      <c r="AN118" s="2069">
        <f t="shared" si="49"/>
        <v>562397193.96962798</v>
      </c>
      <c r="AO118" s="2069">
        <f t="shared" si="49"/>
        <v>570569383.37540936</v>
      </c>
    </row>
    <row r="119" spans="1:41">
      <c r="A119" s="1016" t="s">
        <v>2028</v>
      </c>
      <c r="B119" s="1138"/>
      <c r="C119" s="1161">
        <f>-(C84-C81-C72)</f>
        <v>-174330.40000000002</v>
      </c>
      <c r="D119" s="1162">
        <f>-(D84-D81-D72)</f>
        <v>-159369144.80747408</v>
      </c>
      <c r="E119" s="1153">
        <f>E84-E81-E72</f>
        <v>131041.97255000001</v>
      </c>
      <c r="F119" s="1162">
        <f>-(F84-F81-F72)</f>
        <v>-84983458.93412748</v>
      </c>
      <c r="G119" s="1163">
        <v>137518.53663233458</v>
      </c>
      <c r="H119" s="2069">
        <f>-(H84-H81-H72)</f>
        <v>-151035568.59999999</v>
      </c>
      <c r="I119" s="2054"/>
      <c r="J119" s="2069">
        <f t="shared" ref="J119:AO119" si="50">-(J84-J81-J72)</f>
        <v>-188898313.40172935</v>
      </c>
      <c r="K119" s="2069">
        <f t="shared" si="50"/>
        <v>-146288736.21054757</v>
      </c>
      <c r="L119" s="2069">
        <f t="shared" si="50"/>
        <v>-144654370.0229677</v>
      </c>
      <c r="M119" s="2069">
        <f t="shared" si="50"/>
        <v>-149776519.80252421</v>
      </c>
      <c r="N119" s="2069">
        <f t="shared" si="50"/>
        <v>-154482093.45270771</v>
      </c>
      <c r="O119" s="2069">
        <f t="shared" si="50"/>
        <v>-157558133.24832028</v>
      </c>
      <c r="P119" s="2069">
        <f t="shared" si="50"/>
        <v>-162178796.71223953</v>
      </c>
      <c r="Q119" s="2069">
        <f t="shared" si="50"/>
        <v>-166920024.73709506</v>
      </c>
      <c r="R119" s="2069">
        <f t="shared" si="50"/>
        <v>-171693039.14934686</v>
      </c>
      <c r="S119" s="2069">
        <f t="shared" si="50"/>
        <v>-176625651.74626398</v>
      </c>
      <c r="T119" s="2069">
        <f t="shared" si="50"/>
        <v>-181712064.77031875</v>
      </c>
      <c r="U119" s="2069">
        <f t="shared" si="50"/>
        <v>-186955071.18057775</v>
      </c>
      <c r="V119" s="2069">
        <f t="shared" si="50"/>
        <v>-192349567.41977811</v>
      </c>
      <c r="W119" s="2069">
        <f t="shared" si="50"/>
        <v>-197925039.66159755</v>
      </c>
      <c r="X119" s="3905">
        <f t="shared" si="50"/>
        <v>-203779102.1875467</v>
      </c>
      <c r="Y119" s="2069">
        <f t="shared" si="50"/>
        <v>-209909582.11253434</v>
      </c>
      <c r="Z119" s="2069">
        <f t="shared" si="50"/>
        <v>-216205417.36012807</v>
      </c>
      <c r="AA119" s="2069">
        <f t="shared" si="50"/>
        <v>-222885328.78165275</v>
      </c>
      <c r="AB119" s="2069">
        <f t="shared" si="50"/>
        <v>-229588804.67460832</v>
      </c>
      <c r="AC119" s="2069">
        <f t="shared" si="50"/>
        <v>-236503570.83842778</v>
      </c>
      <c r="AD119" s="2069">
        <f t="shared" si="50"/>
        <v>-243636364.41005641</v>
      </c>
      <c r="AE119" s="2069">
        <f t="shared" si="50"/>
        <v>-250994139.73044702</v>
      </c>
      <c r="AF119" s="2069">
        <f t="shared" si="50"/>
        <v>-258584075.42701519</v>
      </c>
      <c r="AG119" s="2069">
        <f t="shared" si="50"/>
        <v>-266413581.72987479</v>
      </c>
      <c r="AH119" s="2069">
        <f t="shared" si="50"/>
        <v>-274713617.99350053</v>
      </c>
      <c r="AI119" s="2069">
        <f t="shared" si="50"/>
        <v>-283282337.50096619</v>
      </c>
      <c r="AJ119" s="2069">
        <f t="shared" si="50"/>
        <v>-291889101.15359664</v>
      </c>
      <c r="AK119" s="2069">
        <f t="shared" si="50"/>
        <v>-300767852.64627904</v>
      </c>
      <c r="AL119" s="2069">
        <f t="shared" si="50"/>
        <v>-309927286.91260302</v>
      </c>
      <c r="AM119" s="2069">
        <f t="shared" si="50"/>
        <v>-319376379.97733283</v>
      </c>
      <c r="AN119" s="2069">
        <f t="shared" si="50"/>
        <v>-329124398.14995062</v>
      </c>
      <c r="AO119" s="2069">
        <f t="shared" si="50"/>
        <v>-194018599.77655163</v>
      </c>
    </row>
    <row r="120" spans="1:41">
      <c r="A120" s="1016" t="s">
        <v>384</v>
      </c>
      <c r="B120" s="1138"/>
      <c r="C120" s="1161">
        <f>-C105</f>
        <v>-132573.818</v>
      </c>
      <c r="D120" s="1162">
        <f>-D105</f>
        <v>-45239654.159999996</v>
      </c>
      <c r="E120" s="1153">
        <f>E105</f>
        <v>45969</v>
      </c>
      <c r="F120" s="1162">
        <f>-F105</f>
        <v>-47857254.450000003</v>
      </c>
      <c r="G120" s="1163">
        <v>54209.753193091106</v>
      </c>
      <c r="H120" s="2069">
        <f>-H105</f>
        <v>-50473463.049999997</v>
      </c>
      <c r="I120" s="2054"/>
      <c r="J120" s="2069">
        <f t="shared" ref="J120:AO120" si="51">-J105</f>
        <v>-56090619.55916667</v>
      </c>
      <c r="K120" s="2069">
        <f t="shared" si="51"/>
        <v>-60196918.274397776</v>
      </c>
      <c r="L120" s="2069">
        <f t="shared" si="51"/>
        <v>-64250541.307950087</v>
      </c>
      <c r="M120" s="2069">
        <f t="shared" si="51"/>
        <v>-68980893.307237417</v>
      </c>
      <c r="N120" s="2069">
        <f t="shared" si="51"/>
        <v>-72761038.329690844</v>
      </c>
      <c r="O120" s="2069">
        <f t="shared" si="51"/>
        <v>-75458508.192695856</v>
      </c>
      <c r="P120" s="2069">
        <f t="shared" si="51"/>
        <v>-78116910.847252607</v>
      </c>
      <c r="Q120" s="2069">
        <f t="shared" si="51"/>
        <v>-78025974.791512847</v>
      </c>
      <c r="R120" s="2069">
        <f t="shared" si="51"/>
        <v>-76725832.492204845</v>
      </c>
      <c r="S120" s="2069">
        <f t="shared" si="51"/>
        <v>-78093615.61165145</v>
      </c>
      <c r="T120" s="2069">
        <f t="shared" si="51"/>
        <v>-79773471.404323429</v>
      </c>
      <c r="U120" s="2069">
        <f t="shared" si="51"/>
        <v>-82084635.573008567</v>
      </c>
      <c r="V120" s="2069">
        <f t="shared" si="51"/>
        <v>-84135198.959401995</v>
      </c>
      <c r="W120" s="2069">
        <f t="shared" si="51"/>
        <v>-86804904.615797803</v>
      </c>
      <c r="X120" s="3905">
        <f t="shared" si="51"/>
        <v>-89638841.195486903</v>
      </c>
      <c r="Y120" s="2069">
        <f t="shared" si="51"/>
        <v>-92638570.036024049</v>
      </c>
      <c r="Z120" s="2069">
        <f t="shared" si="51"/>
        <v>-95805833.938696414</v>
      </c>
      <c r="AA120" s="2069">
        <f t="shared" si="51"/>
        <v>-99142557.22749123</v>
      </c>
      <c r="AB120" s="2069">
        <f t="shared" si="51"/>
        <v>-102650846.02523056</v>
      </c>
      <c r="AC120" s="2069">
        <f t="shared" si="51"/>
        <v>-106332988.74477144</v>
      </c>
      <c r="AD120" s="2069">
        <f t="shared" si="51"/>
        <v>-110191456.79345319</v>
      </c>
      <c r="AE120" s="2069">
        <f t="shared" si="51"/>
        <v>-114228905.4892478</v>
      </c>
      <c r="AF120" s="2069">
        <f t="shared" si="51"/>
        <v>-117895505.14953378</v>
      </c>
      <c r="AG120" s="2069">
        <f t="shared" si="51"/>
        <v>-121730372.43939763</v>
      </c>
      <c r="AH120" s="2069">
        <f t="shared" si="51"/>
        <v>-125736224.6021359</v>
      </c>
      <c r="AI120" s="2069">
        <f t="shared" si="51"/>
        <v>-129915953.62976769</v>
      </c>
      <c r="AJ120" s="2069">
        <f t="shared" si="51"/>
        <v>-135004433.6545651</v>
      </c>
      <c r="AK120" s="2069">
        <f t="shared" si="51"/>
        <v>-140295059.19819692</v>
      </c>
      <c r="AL120" s="2069">
        <f t="shared" si="51"/>
        <v>-145791914.98150456</v>
      </c>
      <c r="AM120" s="2069">
        <f t="shared" si="51"/>
        <v>-151499287.45274359</v>
      </c>
      <c r="AN120" s="2069">
        <f t="shared" si="51"/>
        <v>-157421667.67197472</v>
      </c>
      <c r="AO120" s="2069">
        <f t="shared" si="51"/>
        <v>-163563754.40868351</v>
      </c>
    </row>
    <row r="121" spans="1:41">
      <c r="A121" s="1020" t="s">
        <v>2029</v>
      </c>
      <c r="B121" s="1040"/>
      <c r="C121" s="2036">
        <f>C177</f>
        <v>0</v>
      </c>
      <c r="D121" s="1164">
        <f>D177</f>
        <v>-39442949.829999991</v>
      </c>
      <c r="E121" s="1045">
        <f>-E177</f>
        <v>46050</v>
      </c>
      <c r="F121" s="1164">
        <f>F177</f>
        <v>-37676773.089999996</v>
      </c>
      <c r="G121" s="2037">
        <v>44670.250932999996</v>
      </c>
      <c r="H121" s="2069">
        <f>H177</f>
        <v>-34168000</v>
      </c>
      <c r="I121" s="2054"/>
      <c r="J121" s="2069">
        <f>J177</f>
        <v>-55462737.769642778</v>
      </c>
      <c r="K121" s="2069">
        <f t="shared" ref="K121:AO121" si="52">K177</f>
        <v>-61303966.972752966</v>
      </c>
      <c r="L121" s="2069">
        <f t="shared" si="52"/>
        <v>-62724295.503375441</v>
      </c>
      <c r="M121" s="2069">
        <f t="shared" si="52"/>
        <v>-62763586.459489964</v>
      </c>
      <c r="N121" s="2069">
        <f t="shared" si="52"/>
        <v>-62362204.983952746</v>
      </c>
      <c r="O121" s="2069">
        <f t="shared" si="52"/>
        <v>-61538395.597177938</v>
      </c>
      <c r="P121" s="2069">
        <f>P177</f>
        <v>-60675236.847951457</v>
      </c>
      <c r="Q121" s="2069">
        <f t="shared" si="52"/>
        <v>-59962753.704248533</v>
      </c>
      <c r="R121" s="2069">
        <f t="shared" si="52"/>
        <v>-58448328.676882535</v>
      </c>
      <c r="S121" s="2069">
        <f t="shared" si="52"/>
        <v>-58102408.22134909</v>
      </c>
      <c r="T121" s="2069">
        <f t="shared" si="52"/>
        <v>-58539326.406656995</v>
      </c>
      <c r="U121" s="2069">
        <f t="shared" si="52"/>
        <v>-57701943.146603674</v>
      </c>
      <c r="V121" s="2069">
        <f t="shared" si="52"/>
        <v>-55630435.811334863</v>
      </c>
      <c r="W121" s="2069">
        <f t="shared" si="52"/>
        <v>-52400227.436596937</v>
      </c>
      <c r="X121" s="3905">
        <f t="shared" si="52"/>
        <v>-50369124.020680405</v>
      </c>
      <c r="Y121" s="2069">
        <f t="shared" si="52"/>
        <v>-49507122.189258136</v>
      </c>
      <c r="Z121" s="2069">
        <f t="shared" si="52"/>
        <v>-48569578.724729948</v>
      </c>
      <c r="AA121" s="2069">
        <f t="shared" si="52"/>
        <v>-46688579.451438643</v>
      </c>
      <c r="AB121" s="2069">
        <f t="shared" si="52"/>
        <v>-44408506.669296488</v>
      </c>
      <c r="AC121" s="2069">
        <f t="shared" si="52"/>
        <v>-42796847.790433638</v>
      </c>
      <c r="AD121" s="2069">
        <f t="shared" si="52"/>
        <v>-41125811.728852145</v>
      </c>
      <c r="AE121" s="2069">
        <f t="shared" si="52"/>
        <v>-40244591.700616769</v>
      </c>
      <c r="AF121" s="2069">
        <f t="shared" si="52"/>
        <v>-39758000.209542386</v>
      </c>
      <c r="AG121" s="2069">
        <f t="shared" si="52"/>
        <v>-39280345.088993967</v>
      </c>
      <c r="AH121" s="2069">
        <f t="shared" si="52"/>
        <v>-40048701.625736199</v>
      </c>
      <c r="AI121" s="2069">
        <f t="shared" si="52"/>
        <v>-41313527.241631217</v>
      </c>
      <c r="AJ121" s="2069">
        <f t="shared" si="52"/>
        <v>-42773921.10381899</v>
      </c>
      <c r="AK121" s="2069">
        <f t="shared" si="52"/>
        <v>-44631198.823535174</v>
      </c>
      <c r="AL121" s="2069">
        <f t="shared" si="52"/>
        <v>-46940750.462114997</v>
      </c>
      <c r="AM121" s="2069">
        <f t="shared" si="52"/>
        <v>-49442998.556901529</v>
      </c>
      <c r="AN121" s="2069">
        <f t="shared" si="52"/>
        <v>-49603511.193063498</v>
      </c>
      <c r="AO121" s="2069" t="e">
        <f t="shared" si="52"/>
        <v>#REF!</v>
      </c>
    </row>
    <row r="122" spans="1:41">
      <c r="A122" s="1020" t="s">
        <v>2030</v>
      </c>
      <c r="B122" s="1040"/>
      <c r="C122" s="1228">
        <f>SUM(C118:C121)</f>
        <v>-20688.218000000023</v>
      </c>
      <c r="D122" s="1167">
        <f>SUM(D118:D121)</f>
        <v>57674027.924904786</v>
      </c>
      <c r="E122" s="1227">
        <f>E118-E119-E120-E121</f>
        <v>28417.027449999994</v>
      </c>
      <c r="F122" s="1167">
        <f>SUM(F118:F121)</f>
        <v>90001143.875151157</v>
      </c>
      <c r="G122" s="2095">
        <v>24246.46219830402</v>
      </c>
      <c r="H122" s="2071">
        <f>SUM(H118:H121)</f>
        <v>66716605.440000042</v>
      </c>
      <c r="I122" s="1167"/>
      <c r="J122" s="2071">
        <f>SUM(J118:J121)</f>
        <v>37965077.690602116</v>
      </c>
      <c r="K122" s="2071">
        <f>SUM(K118:K121)</f>
        <v>58237412.314756371</v>
      </c>
      <c r="L122" s="2071">
        <f>SUM(L118:L121)</f>
        <v>63387138.292492598</v>
      </c>
      <c r="M122" s="2071">
        <f>SUM(M118:M121)</f>
        <v>48964760.100210018</v>
      </c>
      <c r="N122" s="2071">
        <f>SUM(N118:N121)</f>
        <v>36375809.167677686</v>
      </c>
      <c r="O122" s="2071">
        <f t="shared" ref="O122:AO122" si="53">SUM(O118:O121)</f>
        <v>38538286.460193202</v>
      </c>
      <c r="P122" s="2071">
        <f t="shared" si="53"/>
        <v>39573502.091670975</v>
      </c>
      <c r="Q122" s="2071">
        <f t="shared" si="53"/>
        <v>39475473.243696883</v>
      </c>
      <c r="R122" s="2071">
        <f t="shared" si="53"/>
        <v>42683027.547097802</v>
      </c>
      <c r="S122" s="2071">
        <f t="shared" si="53"/>
        <v>40550286.46107012</v>
      </c>
      <c r="T122" s="2071">
        <f t="shared" si="53"/>
        <v>39246681.376427248</v>
      </c>
      <c r="U122" s="2071">
        <f t="shared" si="53"/>
        <v>37857433.421525538</v>
      </c>
      <c r="V122" s="2071">
        <f t="shared" si="53"/>
        <v>37896423.990577117</v>
      </c>
      <c r="W122" s="2071">
        <f t="shared" si="53"/>
        <v>37779364.998673625</v>
      </c>
      <c r="X122" s="3906">
        <f t="shared" si="53"/>
        <v>39814266.538475864</v>
      </c>
      <c r="Y122" s="2071">
        <f t="shared" si="53"/>
        <v>40136539.16966296</v>
      </c>
      <c r="Z122" s="2071">
        <f t="shared" si="53"/>
        <v>40497019.269951053</v>
      </c>
      <c r="AA122" s="2071">
        <f t="shared" si="53"/>
        <v>43347734.319252543</v>
      </c>
      <c r="AB122" s="2071">
        <f t="shared" si="53"/>
        <v>44438349.423596397</v>
      </c>
      <c r="AC122" s="2071">
        <f t="shared" si="53"/>
        <v>45002197.262361042</v>
      </c>
      <c r="AD122" s="2071">
        <f t="shared" si="53"/>
        <v>45697214.541125931</v>
      </c>
      <c r="AE122" s="2071">
        <f t="shared" si="53"/>
        <v>45396593.526380576</v>
      </c>
      <c r="AF122" s="2071">
        <f t="shared" si="53"/>
        <v>44932280.036845125</v>
      </c>
      <c r="AG122" s="2071">
        <f t="shared" si="53"/>
        <v>44747604.594364345</v>
      </c>
      <c r="AH122" s="2071">
        <f t="shared" si="53"/>
        <v>45482229.928487934</v>
      </c>
      <c r="AI122" s="2071">
        <f t="shared" si="53"/>
        <v>46436021.035298966</v>
      </c>
      <c r="AJ122" s="2071">
        <f t="shared" si="53"/>
        <v>42227406.724988542</v>
      </c>
      <c r="AK122" s="2071">
        <f t="shared" si="53"/>
        <v>38824521.941860497</v>
      </c>
      <c r="AL122" s="2071">
        <f t="shared" si="53"/>
        <v>34650411.181822948</v>
      </c>
      <c r="AM122" s="2071">
        <f t="shared" si="53"/>
        <v>29440673.873219118</v>
      </c>
      <c r="AN122" s="2071">
        <f t="shared" si="53"/>
        <v>26247616.954639137</v>
      </c>
      <c r="AO122" s="2071" t="e">
        <f t="shared" si="53"/>
        <v>#REF!</v>
      </c>
    </row>
    <row r="123" spans="1:41" ht="16.5" thickBot="1">
      <c r="A123" s="1074" t="s">
        <v>2031</v>
      </c>
      <c r="B123" s="2032"/>
      <c r="C123" s="2042">
        <f>B123+C122</f>
        <v>-20688.218000000023</v>
      </c>
      <c r="D123" s="1168">
        <f>C123+D122</f>
        <v>57653339.706904784</v>
      </c>
      <c r="E123" s="2043">
        <f>D123+E122</f>
        <v>57681756.734354787</v>
      </c>
      <c r="F123" s="1168">
        <f>D123+F122</f>
        <v>147654483.58205593</v>
      </c>
      <c r="G123" s="2044">
        <v>810475.74933848483</v>
      </c>
      <c r="H123" s="2059">
        <v>849965350.41000009</v>
      </c>
      <c r="I123" s="1168"/>
      <c r="J123" s="2026">
        <f>H123+J122</f>
        <v>887930428.10060215</v>
      </c>
      <c r="K123" s="2026">
        <f>J123+K122</f>
        <v>946167840.41535854</v>
      </c>
      <c r="L123" s="2026">
        <f>K123+L122</f>
        <v>1009554978.7078512</v>
      </c>
      <c r="M123" s="2026">
        <f>L123+M122</f>
        <v>1058519738.8080612</v>
      </c>
      <c r="N123" s="2026">
        <f>M123+N122</f>
        <v>1094895547.975739</v>
      </c>
      <c r="O123" s="2026">
        <f t="shared" ref="O123:AO123" si="54">N123+O122</f>
        <v>1133433834.4359322</v>
      </c>
      <c r="P123" s="2026">
        <f t="shared" si="54"/>
        <v>1173007336.5276031</v>
      </c>
      <c r="Q123" s="2026">
        <f t="shared" si="54"/>
        <v>1212482809.7713001</v>
      </c>
      <c r="R123" s="2026">
        <f t="shared" si="54"/>
        <v>1255165837.318398</v>
      </c>
      <c r="S123" s="2026">
        <f t="shared" si="54"/>
        <v>1295716123.7794681</v>
      </c>
      <c r="T123" s="2026">
        <f t="shared" si="54"/>
        <v>1334962805.1558952</v>
      </c>
      <c r="U123" s="2026">
        <f t="shared" si="54"/>
        <v>1372820238.5774207</v>
      </c>
      <c r="V123" s="2026">
        <f t="shared" si="54"/>
        <v>1410716662.5679979</v>
      </c>
      <c r="W123" s="2026">
        <f t="shared" si="54"/>
        <v>1448496027.5666716</v>
      </c>
      <c r="X123" s="3907">
        <f t="shared" si="54"/>
        <v>1488310294.1051474</v>
      </c>
      <c r="Y123" s="2026">
        <f t="shared" si="54"/>
        <v>1528446833.2748103</v>
      </c>
      <c r="Z123" s="2026">
        <f t="shared" si="54"/>
        <v>1568943852.5447614</v>
      </c>
      <c r="AA123" s="2026">
        <f t="shared" si="54"/>
        <v>1612291586.8640139</v>
      </c>
      <c r="AB123" s="2026">
        <f t="shared" si="54"/>
        <v>1656729936.2876103</v>
      </c>
      <c r="AC123" s="2026">
        <f t="shared" si="54"/>
        <v>1701732133.5499713</v>
      </c>
      <c r="AD123" s="2026">
        <f t="shared" si="54"/>
        <v>1747429348.0910974</v>
      </c>
      <c r="AE123" s="2026">
        <f t="shared" si="54"/>
        <v>1792825941.6174779</v>
      </c>
      <c r="AF123" s="2026">
        <f t="shared" si="54"/>
        <v>1837758221.6543231</v>
      </c>
      <c r="AG123" s="2026">
        <f t="shared" si="54"/>
        <v>1882505826.2486875</v>
      </c>
      <c r="AH123" s="2026">
        <f t="shared" si="54"/>
        <v>1927988056.1771755</v>
      </c>
      <c r="AI123" s="2026">
        <f t="shared" si="54"/>
        <v>1974424077.2124746</v>
      </c>
      <c r="AJ123" s="2026">
        <f t="shared" si="54"/>
        <v>2016651483.937463</v>
      </c>
      <c r="AK123" s="2026">
        <f t="shared" si="54"/>
        <v>2055476005.8793235</v>
      </c>
      <c r="AL123" s="2026">
        <f t="shared" si="54"/>
        <v>2090126417.0611465</v>
      </c>
      <c r="AM123" s="2026">
        <f t="shared" si="54"/>
        <v>2119567090.9343655</v>
      </c>
      <c r="AN123" s="2026">
        <f t="shared" si="54"/>
        <v>2145814707.8890047</v>
      </c>
      <c r="AO123" s="2026" t="e">
        <f t="shared" si="54"/>
        <v>#REF!</v>
      </c>
    </row>
    <row r="124" spans="1:41" ht="16.5" thickTop="1">
      <c r="A124" s="1074"/>
      <c r="B124" s="2032"/>
      <c r="C124" s="2096"/>
      <c r="D124" s="2030"/>
      <c r="E124" s="2097"/>
      <c r="F124" s="2030"/>
      <c r="G124" s="2098"/>
      <c r="H124" s="2030"/>
      <c r="I124" s="2030"/>
      <c r="J124" s="2030"/>
      <c r="K124" s="2030"/>
      <c r="L124" s="2030"/>
      <c r="M124" s="2030"/>
      <c r="N124" s="2030"/>
      <c r="O124" s="2030"/>
      <c r="P124" s="2030"/>
      <c r="Q124" s="2030"/>
      <c r="R124" s="2030"/>
      <c r="S124" s="2030"/>
      <c r="T124" s="2030"/>
      <c r="U124" s="2030"/>
      <c r="V124" s="2030"/>
      <c r="W124" s="2030"/>
      <c r="X124" s="3908"/>
      <c r="Y124" s="2030"/>
      <c r="Z124" s="2030"/>
      <c r="AA124" s="2030"/>
      <c r="AB124" s="2030"/>
      <c r="AC124" s="2030"/>
      <c r="AD124" s="2030"/>
      <c r="AE124" s="2030"/>
      <c r="AF124" s="2030"/>
      <c r="AG124" s="2030"/>
      <c r="AH124" s="2030"/>
      <c r="AI124" s="2030"/>
      <c r="AJ124" s="2030"/>
      <c r="AK124" s="2030"/>
      <c r="AL124" s="2030"/>
      <c r="AM124" s="2030"/>
      <c r="AN124" s="2030"/>
      <c r="AO124" s="2030"/>
    </row>
    <row r="125" spans="1:41">
      <c r="A125" s="1074"/>
      <c r="B125" s="2032"/>
      <c r="C125" s="2096"/>
      <c r="D125" s="2030"/>
      <c r="E125" s="2097"/>
      <c r="F125" s="2030"/>
      <c r="G125" s="2098"/>
      <c r="H125" s="2030"/>
      <c r="I125" s="2030"/>
      <c r="J125" s="2030"/>
      <c r="K125" s="2030"/>
      <c r="L125" s="2030"/>
      <c r="M125" s="2030"/>
      <c r="N125" s="2030"/>
      <c r="O125" s="2030"/>
      <c r="P125" s="2030"/>
      <c r="Q125" s="2030"/>
      <c r="R125" s="2030"/>
      <c r="S125" s="2030"/>
      <c r="T125" s="2030"/>
      <c r="U125" s="2030"/>
      <c r="V125" s="2030"/>
      <c r="W125" s="2030"/>
      <c r="X125" s="3908"/>
      <c r="Y125" s="2030"/>
      <c r="Z125" s="2030"/>
      <c r="AA125" s="2030"/>
      <c r="AB125" s="2030"/>
      <c r="AC125" s="2030"/>
      <c r="AD125" s="2030"/>
      <c r="AE125" s="2030"/>
      <c r="AF125" s="2030"/>
      <c r="AG125" s="2030"/>
      <c r="AH125" s="2030"/>
      <c r="AI125" s="2030"/>
      <c r="AJ125" s="2030"/>
      <c r="AK125" s="2030"/>
      <c r="AL125" s="2030"/>
      <c r="AM125" s="2030"/>
      <c r="AN125" s="2030"/>
      <c r="AO125" s="2030"/>
    </row>
    <row r="126" spans="1:41">
      <c r="A126" s="2031" t="s">
        <v>1961</v>
      </c>
      <c r="B126" s="2032"/>
      <c r="C126" s="2096"/>
      <c r="D126" s="2030"/>
      <c r="E126" s="2097"/>
      <c r="F126" s="2030"/>
      <c r="G126" s="2098"/>
      <c r="H126" s="2030"/>
      <c r="I126" s="2030"/>
      <c r="J126" s="2030"/>
      <c r="K126" s="2030"/>
      <c r="L126" s="2030"/>
      <c r="M126" s="2030"/>
      <c r="N126" s="2030"/>
      <c r="O126" s="2030"/>
      <c r="P126" s="2030"/>
      <c r="Q126" s="2030"/>
      <c r="R126" s="2030"/>
      <c r="S126" s="2030"/>
      <c r="T126" s="2030"/>
      <c r="U126" s="2030"/>
      <c r="V126" s="2030"/>
      <c r="W126" s="2030"/>
      <c r="X126" s="3908"/>
      <c r="Y126" s="2030"/>
      <c r="Z126" s="2030"/>
      <c r="AA126" s="2030"/>
      <c r="AB126" s="2030"/>
      <c r="AC126" s="2030"/>
      <c r="AD126" s="2030"/>
      <c r="AE126" s="2030"/>
      <c r="AF126" s="2030"/>
      <c r="AG126" s="2030"/>
      <c r="AH126" s="2030"/>
      <c r="AI126" s="2030"/>
      <c r="AJ126" s="2030"/>
      <c r="AK126" s="2030"/>
      <c r="AL126" s="2030"/>
      <c r="AM126" s="2030"/>
      <c r="AN126" s="2030"/>
      <c r="AO126" s="2030"/>
    </row>
    <row r="127" spans="1:41">
      <c r="A127" s="2099" t="s">
        <v>2032</v>
      </c>
      <c r="B127" s="2032"/>
      <c r="C127" s="1189"/>
      <c r="D127" s="2100"/>
      <c r="E127" s="1233"/>
      <c r="F127" s="2101"/>
      <c r="G127" s="2102"/>
      <c r="H127" s="1074"/>
      <c r="I127" s="1074"/>
      <c r="J127" s="1170"/>
      <c r="K127" s="1074"/>
      <c r="L127" s="1171"/>
      <c r="M127" s="1171"/>
      <c r="N127" s="1171"/>
      <c r="O127" s="1171"/>
      <c r="P127" s="1171"/>
      <c r="Q127" s="1171"/>
      <c r="R127" s="1171"/>
      <c r="S127" s="1171"/>
      <c r="T127" s="1171"/>
      <c r="U127" s="1171"/>
      <c r="V127" s="1171"/>
      <c r="W127" s="1171"/>
      <c r="X127" s="3909"/>
      <c r="Y127" s="1171"/>
      <c r="Z127" s="1171"/>
      <c r="AA127" s="1171"/>
      <c r="AB127" s="1171"/>
      <c r="AC127" s="1171"/>
      <c r="AD127" s="1171"/>
      <c r="AE127" s="1171"/>
      <c r="AF127" s="1171"/>
      <c r="AG127" s="1171"/>
      <c r="AH127" s="1171"/>
      <c r="AI127" s="1171"/>
      <c r="AJ127" s="1171"/>
      <c r="AK127" s="1171"/>
      <c r="AL127" s="1171"/>
      <c r="AM127" s="1171"/>
      <c r="AN127" s="1171"/>
      <c r="AO127" s="1171"/>
    </row>
    <row r="128" spans="1:41">
      <c r="A128" s="1091" t="s">
        <v>1947</v>
      </c>
      <c r="B128" s="1040"/>
      <c r="C128" s="1201"/>
      <c r="D128" s="1020"/>
      <c r="E128" s="1017"/>
      <c r="F128" s="1020"/>
      <c r="G128" s="1044"/>
      <c r="H128" s="1100"/>
      <c r="I128" s="1100"/>
      <c r="J128" s="1020"/>
      <c r="K128" s="1020"/>
      <c r="L128" s="1020"/>
      <c r="M128" s="1020"/>
      <c r="N128" s="1020"/>
      <c r="O128" s="1020"/>
      <c r="P128" s="1020"/>
      <c r="Q128" s="1020"/>
      <c r="R128" s="1020"/>
      <c r="S128" s="1020"/>
      <c r="T128" s="1020"/>
      <c r="U128" s="1020"/>
      <c r="V128" s="1020"/>
      <c r="W128" s="1020"/>
      <c r="X128" s="3881"/>
      <c r="Y128" s="1020"/>
      <c r="Z128" s="1020"/>
      <c r="AA128" s="1020"/>
      <c r="AB128" s="1020"/>
      <c r="AC128" s="1020"/>
      <c r="AD128" s="1020"/>
      <c r="AE128" s="1020"/>
      <c r="AF128" s="1020"/>
      <c r="AG128" s="1020"/>
      <c r="AH128" s="1020"/>
      <c r="AI128" s="1020"/>
      <c r="AJ128" s="1020"/>
      <c r="AK128" s="1020"/>
      <c r="AL128" s="1020"/>
      <c r="AM128" s="1020"/>
      <c r="AN128" s="1020"/>
      <c r="AO128" s="1020"/>
    </row>
    <row r="129" spans="1:41">
      <c r="A129" s="2103" t="s">
        <v>2003</v>
      </c>
      <c r="B129" s="1040"/>
      <c r="C129" s="2036">
        <f t="shared" ref="C129:F134" si="55">C65</f>
        <v>452.09999999999854</v>
      </c>
      <c r="D129" s="1164">
        <f t="shared" si="55"/>
        <v>533195.57999999984</v>
      </c>
      <c r="E129" s="2104">
        <f t="shared" si="55"/>
        <v>543.7724839663166</v>
      </c>
      <c r="F129" s="1164">
        <f t="shared" si="55"/>
        <v>141976.04293602495</v>
      </c>
      <c r="G129" s="2037">
        <v>548.89756332683885</v>
      </c>
      <c r="H129" s="2069">
        <f t="shared" ref="H129:H134" si="56">H65</f>
        <v>464652.82</v>
      </c>
      <c r="I129" s="2069">
        <v>460000</v>
      </c>
      <c r="J129" s="2069">
        <f t="shared" ref="J129:AO134" si="57">J65</f>
        <v>423152.43937616056</v>
      </c>
      <c r="K129" s="2069">
        <f t="shared" si="57"/>
        <v>435901.30951585073</v>
      </c>
      <c r="L129" s="2069">
        <f t="shared" si="57"/>
        <v>448978.34880132636</v>
      </c>
      <c r="M129" s="2069">
        <f t="shared" si="57"/>
        <v>462447.69926536613</v>
      </c>
      <c r="N129" s="2069">
        <f t="shared" si="57"/>
        <v>476321.13024332712</v>
      </c>
      <c r="O129" s="2069">
        <f t="shared" si="57"/>
        <v>490610.76415062696</v>
      </c>
      <c r="P129" s="2069">
        <f t="shared" si="57"/>
        <v>505329.08707514568</v>
      </c>
      <c r="Q129" s="2069">
        <f t="shared" si="57"/>
        <v>520488.95968740014</v>
      </c>
      <c r="R129" s="2069">
        <f t="shared" si="57"/>
        <v>536103.62847802218</v>
      </c>
      <c r="S129" s="2069">
        <f t="shared" si="57"/>
        <v>552186.73733236291</v>
      </c>
      <c r="T129" s="2069">
        <f t="shared" si="57"/>
        <v>568752.33945233375</v>
      </c>
      <c r="U129" s="2069">
        <f t="shared" si="57"/>
        <v>585814.90963590378</v>
      </c>
      <c r="V129" s="2069">
        <f t="shared" si="57"/>
        <v>603389.356924981</v>
      </c>
      <c r="W129" s="2069">
        <f t="shared" si="57"/>
        <v>621491.03763273032</v>
      </c>
      <c r="X129" s="3905">
        <f t="shared" si="57"/>
        <v>640135.76876171236</v>
      </c>
      <c r="Y129" s="2069">
        <f t="shared" si="57"/>
        <v>659339.8418245638</v>
      </c>
      <c r="Z129" s="2069">
        <f t="shared" si="57"/>
        <v>679120.03707930073</v>
      </c>
      <c r="AA129" s="2069">
        <f t="shared" si="57"/>
        <v>699493.63819167973</v>
      </c>
      <c r="AB129" s="2069">
        <f t="shared" si="57"/>
        <v>720478.4473374302</v>
      </c>
      <c r="AC129" s="2069">
        <f t="shared" si="57"/>
        <v>742092.80075755308</v>
      </c>
      <c r="AD129" s="2069">
        <f t="shared" si="57"/>
        <v>764355.58478027966</v>
      </c>
      <c r="AE129" s="2069">
        <f t="shared" si="57"/>
        <v>787286.25232368789</v>
      </c>
      <c r="AF129" s="2069">
        <f t="shared" si="57"/>
        <v>810904.83989339846</v>
      </c>
      <c r="AG129" s="2069">
        <f t="shared" si="57"/>
        <v>835231.98509020044</v>
      </c>
      <c r="AH129" s="2069">
        <f t="shared" si="57"/>
        <v>860288.94464290654</v>
      </c>
      <c r="AI129" s="2069">
        <f t="shared" si="57"/>
        <v>886097.61298219382</v>
      </c>
      <c r="AJ129" s="2069">
        <f t="shared" si="57"/>
        <v>912680.54137165938</v>
      </c>
      <c r="AK129" s="2069">
        <f t="shared" si="57"/>
        <v>940060.95761280938</v>
      </c>
      <c r="AL129" s="2069">
        <f t="shared" si="57"/>
        <v>968262.78634119383</v>
      </c>
      <c r="AM129" s="2069">
        <f t="shared" si="57"/>
        <v>997310.66993142967</v>
      </c>
      <c r="AN129" s="2069">
        <f t="shared" si="57"/>
        <v>1027229.9900293723</v>
      </c>
      <c r="AO129" s="2069">
        <f t="shared" si="57"/>
        <v>921795.87906041893</v>
      </c>
    </row>
    <row r="130" spans="1:41">
      <c r="A130" s="2103" t="s">
        <v>600</v>
      </c>
      <c r="B130" s="1040"/>
      <c r="C130" s="2036">
        <f t="shared" si="55"/>
        <v>9198.7999999999993</v>
      </c>
      <c r="D130" s="1164">
        <f t="shared" si="55"/>
        <v>9131433.0251200013</v>
      </c>
      <c r="E130" s="2104">
        <f t="shared" si="55"/>
        <v>7512.4169967581374</v>
      </c>
      <c r="F130" s="1164">
        <f t="shared" si="55"/>
        <v>5728061.9236730076</v>
      </c>
      <c r="G130" s="2037">
        <v>7227.8369283414449</v>
      </c>
      <c r="H130" s="2069">
        <f t="shared" si="56"/>
        <v>6271196.2000000002</v>
      </c>
      <c r="I130" s="2069">
        <v>4458000</v>
      </c>
      <c r="J130" s="2069">
        <f t="shared" si="57"/>
        <v>4312131.6069477843</v>
      </c>
      <c r="K130" s="2069">
        <f t="shared" si="57"/>
        <v>4521761.3899656693</v>
      </c>
      <c r="L130" s="2069">
        <f t="shared" si="57"/>
        <v>2537814.7116646389</v>
      </c>
      <c r="M130" s="2069">
        <f t="shared" si="57"/>
        <v>2628641.145014578</v>
      </c>
      <c r="N130" s="2069">
        <f t="shared" si="57"/>
        <v>2715755.931365015</v>
      </c>
      <c r="O130" s="2069">
        <f t="shared" si="57"/>
        <v>2805899.6788459662</v>
      </c>
      <c r="P130" s="2069">
        <f t="shared" si="57"/>
        <v>2899182.9946205448</v>
      </c>
      <c r="Q130" s="2069">
        <f t="shared" si="57"/>
        <v>2995720.7428098554</v>
      </c>
      <c r="R130" s="2069">
        <f t="shared" si="57"/>
        <v>3095632.2171452325</v>
      </c>
      <c r="S130" s="2069">
        <f t="shared" si="57"/>
        <v>3199041.3209668198</v>
      </c>
      <c r="T130" s="2069">
        <f t="shared" si="57"/>
        <v>3306076.7548939753</v>
      </c>
      <c r="U130" s="2069">
        <f t="shared" si="57"/>
        <v>3416872.2125079148</v>
      </c>
      <c r="V130" s="2069">
        <f t="shared" si="57"/>
        <v>3531566.5844025658</v>
      </c>
      <c r="W130" s="2069">
        <f t="shared" si="57"/>
        <v>3650304.1709759557</v>
      </c>
      <c r="X130" s="3905">
        <f t="shared" si="57"/>
        <v>3773234.9043515078</v>
      </c>
      <c r="Y130" s="2069">
        <f t="shared" si="57"/>
        <v>3900514.5798365525</v>
      </c>
      <c r="Z130" s="2069">
        <f t="shared" si="57"/>
        <v>4032305.0973440516</v>
      </c>
      <c r="AA130" s="2069">
        <f t="shared" si="57"/>
        <v>4168774.7132231756</v>
      </c>
      <c r="AB130" s="2069">
        <f t="shared" si="57"/>
        <v>4310098.3029648904</v>
      </c>
      <c r="AC130" s="2069">
        <f t="shared" si="57"/>
        <v>4456457.6352702174</v>
      </c>
      <c r="AD130" s="2069">
        <f t="shared" si="57"/>
        <v>4608041.6579913646</v>
      </c>
      <c r="AE130" s="2069">
        <f t="shared" si="57"/>
        <v>4765046.7964794748</v>
      </c>
      <c r="AF130" s="2069">
        <f t="shared" si="57"/>
        <v>4927677.2648974601</v>
      </c>
      <c r="AG130" s="2069">
        <f t="shared" si="57"/>
        <v>5096145.3910822403</v>
      </c>
      <c r="AH130" s="2069">
        <f t="shared" si="57"/>
        <v>5270671.955567766</v>
      </c>
      <c r="AI130" s="2069">
        <f t="shared" si="57"/>
        <v>5451486.5454086252</v>
      </c>
      <c r="AJ130" s="2069">
        <f t="shared" si="57"/>
        <v>5638827.9234736655</v>
      </c>
      <c r="AK130" s="2069">
        <f t="shared" si="57"/>
        <v>5832944.4139102614</v>
      </c>
      <c r="AL130" s="2069">
        <f t="shared" si="57"/>
        <v>6034094.3045123545</v>
      </c>
      <c r="AM130" s="2069">
        <f t="shared" si="57"/>
        <v>6242546.2667596377</v>
      </c>
      <c r="AN130" s="2069">
        <f t="shared" si="57"/>
        <v>6458579.7943309061</v>
      </c>
      <c r="AO130" s="2069">
        <f t="shared" si="57"/>
        <v>3800203.2949849018</v>
      </c>
    </row>
    <row r="131" spans="1:41">
      <c r="A131" s="2103" t="s">
        <v>601</v>
      </c>
      <c r="B131" s="1040"/>
      <c r="C131" s="2036">
        <f t="shared" si="55"/>
        <v>10998</v>
      </c>
      <c r="D131" s="1164">
        <f t="shared" si="55"/>
        <v>12381220.220939994</v>
      </c>
      <c r="E131" s="2104">
        <f t="shared" si="55"/>
        <v>12681.530144992937</v>
      </c>
      <c r="F131" s="1164">
        <f t="shared" si="55"/>
        <v>4863497.7834088793</v>
      </c>
      <c r="G131" s="2037">
        <v>12902.070865992428</v>
      </c>
      <c r="H131" s="2069">
        <f t="shared" si="56"/>
        <v>15271748.720000001</v>
      </c>
      <c r="I131" s="2069">
        <v>14233000</v>
      </c>
      <c r="J131" s="2069">
        <f t="shared" si="57"/>
        <v>12470881.629731176</v>
      </c>
      <c r="K131" s="2069">
        <f t="shared" si="57"/>
        <v>12759905.042329755</v>
      </c>
      <c r="L131" s="2069">
        <f t="shared" si="57"/>
        <v>13142702.193599649</v>
      </c>
      <c r="M131" s="2069">
        <f t="shared" si="57"/>
        <v>13536983.25940764</v>
      </c>
      <c r="N131" s="2069">
        <f t="shared" si="57"/>
        <v>13943092.75718987</v>
      </c>
      <c r="O131" s="2069">
        <f t="shared" si="57"/>
        <v>14361385.539905565</v>
      </c>
      <c r="P131" s="2069">
        <f t="shared" si="57"/>
        <v>14792227.106102731</v>
      </c>
      <c r="Q131" s="2069">
        <f t="shared" si="57"/>
        <v>15235993.919285815</v>
      </c>
      <c r="R131" s="2069">
        <f t="shared" si="57"/>
        <v>15693073.736864388</v>
      </c>
      <c r="S131" s="2069">
        <f t="shared" si="57"/>
        <v>16163865.948970322</v>
      </c>
      <c r="T131" s="2069">
        <f t="shared" si="57"/>
        <v>16648781.927439433</v>
      </c>
      <c r="U131" s="2069">
        <f t="shared" si="57"/>
        <v>17148245.385262616</v>
      </c>
      <c r="V131" s="2069">
        <f t="shared" si="57"/>
        <v>17662692.746820495</v>
      </c>
      <c r="W131" s="2069">
        <f t="shared" si="57"/>
        <v>18192573.529225107</v>
      </c>
      <c r="X131" s="3905">
        <f t="shared" si="57"/>
        <v>18738350.735101864</v>
      </c>
      <c r="Y131" s="2069">
        <f t="shared" si="57"/>
        <v>19300501.257154923</v>
      </c>
      <c r="Z131" s="2069">
        <f t="shared" si="57"/>
        <v>19879516.294869572</v>
      </c>
      <c r="AA131" s="2069">
        <f t="shared" si="57"/>
        <v>20475901.783715658</v>
      </c>
      <c r="AB131" s="2069">
        <f t="shared" si="57"/>
        <v>21090178.837227128</v>
      </c>
      <c r="AC131" s="2069">
        <f t="shared" si="57"/>
        <v>21722884.202343944</v>
      </c>
      <c r="AD131" s="2069">
        <f t="shared" si="57"/>
        <v>22374570.72841426</v>
      </c>
      <c r="AE131" s="2069">
        <f t="shared" si="57"/>
        <v>23045807.850266688</v>
      </c>
      <c r="AF131" s="2069">
        <f t="shared" si="57"/>
        <v>23737182.085774682</v>
      </c>
      <c r="AG131" s="2069">
        <f t="shared" si="57"/>
        <v>24449297.548347924</v>
      </c>
      <c r="AH131" s="2069">
        <f t="shared" si="57"/>
        <v>25182776.474798366</v>
      </c>
      <c r="AI131" s="2069">
        <f t="shared" si="57"/>
        <v>25938259.769042317</v>
      </c>
      <c r="AJ131" s="2069">
        <f t="shared" si="57"/>
        <v>26716407.562113583</v>
      </c>
      <c r="AK131" s="2069">
        <f t="shared" si="57"/>
        <v>27517899.788976993</v>
      </c>
      <c r="AL131" s="2069">
        <f t="shared" si="57"/>
        <v>28343436.78264631</v>
      </c>
      <c r="AM131" s="2069">
        <f t="shared" si="57"/>
        <v>29193739.886125695</v>
      </c>
      <c r="AN131" s="2069">
        <f t="shared" si="57"/>
        <v>30069552.082709461</v>
      </c>
      <c r="AO131" s="2069">
        <f t="shared" si="57"/>
        <v>24209069.744826123</v>
      </c>
    </row>
    <row r="132" spans="1:41">
      <c r="A132" s="2103" t="s">
        <v>2004</v>
      </c>
      <c r="B132" s="1040"/>
      <c r="C132" s="2036">
        <f t="shared" si="55"/>
        <v>6367</v>
      </c>
      <c r="D132" s="1164">
        <f t="shared" si="55"/>
        <v>4659385.8999999985</v>
      </c>
      <c r="E132" s="2104">
        <f t="shared" si="55"/>
        <v>6863.0835488462726</v>
      </c>
      <c r="F132" s="1164">
        <f t="shared" si="55"/>
        <v>2212021.3721886924</v>
      </c>
      <c r="G132" s="2037">
        <v>7746.3237194629546</v>
      </c>
      <c r="H132" s="2069">
        <f t="shared" si="56"/>
        <v>7318047.2800000003</v>
      </c>
      <c r="I132" s="2069">
        <v>7805000</v>
      </c>
      <c r="J132" s="2069">
        <f t="shared" si="57"/>
        <v>7555750.9139225325</v>
      </c>
      <c r="K132" s="2069">
        <f t="shared" si="57"/>
        <v>7557440.2339339983</v>
      </c>
      <c r="L132" s="2069">
        <f t="shared" si="57"/>
        <v>7784163.4409520188</v>
      </c>
      <c r="M132" s="2069">
        <f t="shared" si="57"/>
        <v>8017688.3441805793</v>
      </c>
      <c r="N132" s="2069">
        <f t="shared" si="57"/>
        <v>8258218.9945059977</v>
      </c>
      <c r="O132" s="2069">
        <f t="shared" si="57"/>
        <v>8505965.5643411763</v>
      </c>
      <c r="P132" s="2069">
        <f t="shared" si="57"/>
        <v>8761144.5312714111</v>
      </c>
      <c r="Q132" s="2069">
        <f t="shared" si="57"/>
        <v>9023978.8672095556</v>
      </c>
      <c r="R132" s="2069">
        <f t="shared" si="57"/>
        <v>9294698.2332258411</v>
      </c>
      <c r="S132" s="2069">
        <f t="shared" si="57"/>
        <v>9573539.1802226175</v>
      </c>
      <c r="T132" s="2069">
        <f t="shared" si="57"/>
        <v>9860745.355629297</v>
      </c>
      <c r="U132" s="2069">
        <f t="shared" si="57"/>
        <v>10156567.716298176</v>
      </c>
      <c r="V132" s="2069">
        <f t="shared" si="57"/>
        <v>10461264.747787122</v>
      </c>
      <c r="W132" s="2069">
        <f t="shared" si="57"/>
        <v>10775102.690220734</v>
      </c>
      <c r="X132" s="3905">
        <f t="shared" si="57"/>
        <v>11098355.770927358</v>
      </c>
      <c r="Y132" s="2069">
        <f t="shared" si="57"/>
        <v>11431306.444055181</v>
      </c>
      <c r="Z132" s="2069">
        <f t="shared" si="57"/>
        <v>11774245.637376837</v>
      </c>
      <c r="AA132" s="2069">
        <f t="shared" si="57"/>
        <v>12127473.006498139</v>
      </c>
      <c r="AB132" s="2069">
        <f t="shared" si="57"/>
        <v>12491297.196693085</v>
      </c>
      <c r="AC132" s="2069">
        <f t="shared" si="57"/>
        <v>12866036.112593878</v>
      </c>
      <c r="AD132" s="2069">
        <f t="shared" si="57"/>
        <v>13252017.195971694</v>
      </c>
      <c r="AE132" s="2069">
        <f t="shared" si="57"/>
        <v>13649577.711850844</v>
      </c>
      <c r="AF132" s="2069">
        <f t="shared" si="57"/>
        <v>14059065.043206368</v>
      </c>
      <c r="AG132" s="2069">
        <f t="shared" si="57"/>
        <v>14480836.994502559</v>
      </c>
      <c r="AH132" s="2069">
        <f t="shared" si="57"/>
        <v>14915262.104337636</v>
      </c>
      <c r="AI132" s="2069">
        <f t="shared" si="57"/>
        <v>15362719.967467768</v>
      </c>
      <c r="AJ132" s="2069">
        <f t="shared" si="57"/>
        <v>15823601.566491801</v>
      </c>
      <c r="AK132" s="2069">
        <f t="shared" si="57"/>
        <v>16298309.613486556</v>
      </c>
      <c r="AL132" s="2069">
        <f t="shared" si="57"/>
        <v>16787258.901891157</v>
      </c>
      <c r="AM132" s="2069">
        <f t="shared" si="57"/>
        <v>17290876.66894789</v>
      </c>
      <c r="AN132" s="2069">
        <f t="shared" si="57"/>
        <v>17809602.969016325</v>
      </c>
      <c r="AO132" s="2069">
        <f t="shared" si="57"/>
        <v>8752031.1610146482</v>
      </c>
    </row>
    <row r="133" spans="1:41">
      <c r="A133" s="2103" t="s">
        <v>2005</v>
      </c>
      <c r="B133" s="1040"/>
      <c r="C133" s="2036">
        <f t="shared" si="55"/>
        <v>1451</v>
      </c>
      <c r="D133" s="1164">
        <f t="shared" si="55"/>
        <v>1214101.9100000001</v>
      </c>
      <c r="E133" s="2104">
        <f t="shared" si="55"/>
        <v>1580.3170035622686</v>
      </c>
      <c r="F133" s="1164">
        <f t="shared" si="55"/>
        <v>397096.25213642447</v>
      </c>
      <c r="G133" s="2037">
        <v>1632.8984603568319</v>
      </c>
      <c r="H133" s="2069">
        <f t="shared" si="56"/>
        <v>1469716</v>
      </c>
      <c r="I133" s="2069">
        <v>1536000</v>
      </c>
      <c r="J133" s="2069">
        <f t="shared" si="57"/>
        <v>1488303.1033382325</v>
      </c>
      <c r="K133" s="2069">
        <f t="shared" si="57"/>
        <v>1501754.4258222533</v>
      </c>
      <c r="L133" s="2069">
        <f t="shared" si="57"/>
        <v>1546807.0585969209</v>
      </c>
      <c r="M133" s="2069">
        <f t="shared" si="57"/>
        <v>1593211.2703548283</v>
      </c>
      <c r="N133" s="2069">
        <f t="shared" si="57"/>
        <v>1641007.6084654734</v>
      </c>
      <c r="O133" s="2069">
        <f t="shared" si="57"/>
        <v>1690237.8367194375</v>
      </c>
      <c r="P133" s="2069">
        <f t="shared" si="57"/>
        <v>1740944.9718210206</v>
      </c>
      <c r="Q133" s="2069">
        <f t="shared" si="57"/>
        <v>1793173.3209756515</v>
      </c>
      <c r="R133" s="2069">
        <f t="shared" si="57"/>
        <v>1846968.520604921</v>
      </c>
      <c r="S133" s="2069">
        <f t="shared" si="57"/>
        <v>1902377.5762230689</v>
      </c>
      <c r="T133" s="2069">
        <f t="shared" si="57"/>
        <v>1959448.903509761</v>
      </c>
      <c r="U133" s="2069">
        <f t="shared" si="57"/>
        <v>2018232.3706150539</v>
      </c>
      <c r="V133" s="2069">
        <f t="shared" si="57"/>
        <v>2078779.3417335055</v>
      </c>
      <c r="W133" s="2069">
        <f t="shared" si="57"/>
        <v>2141142.7219855106</v>
      </c>
      <c r="X133" s="3905">
        <f t="shared" si="57"/>
        <v>2205377.0036450764</v>
      </c>
      <c r="Y133" s="2069">
        <f t="shared" si="57"/>
        <v>2271538.3137544291</v>
      </c>
      <c r="Z133" s="2069">
        <f t="shared" si="57"/>
        <v>2339684.4631670616</v>
      </c>
      <c r="AA133" s="2069">
        <f t="shared" si="57"/>
        <v>2409874.9970620731</v>
      </c>
      <c r="AB133" s="2069">
        <f t="shared" si="57"/>
        <v>2482171.2469739355</v>
      </c>
      <c r="AC133" s="2069">
        <f t="shared" si="57"/>
        <v>2556636.3843831541</v>
      </c>
      <c r="AD133" s="2069">
        <f t="shared" si="57"/>
        <v>2633335.4759146487</v>
      </c>
      <c r="AE133" s="2069">
        <f t="shared" si="57"/>
        <v>2712335.5401920876</v>
      </c>
      <c r="AF133" s="2069">
        <f t="shared" si="57"/>
        <v>2793705.6063978504</v>
      </c>
      <c r="AG133" s="2069">
        <f t="shared" si="57"/>
        <v>2877516.7745897858</v>
      </c>
      <c r="AH133" s="2069">
        <f t="shared" si="57"/>
        <v>2963842.2778274799</v>
      </c>
      <c r="AI133" s="2069">
        <f t="shared" si="57"/>
        <v>3052757.5461623045</v>
      </c>
      <c r="AJ133" s="2069">
        <f t="shared" si="57"/>
        <v>3144340.2725471733</v>
      </c>
      <c r="AK133" s="2069">
        <f t="shared" si="57"/>
        <v>3238670.4807235887</v>
      </c>
      <c r="AL133" s="2069">
        <f t="shared" si="57"/>
        <v>3335830.5951452963</v>
      </c>
      <c r="AM133" s="2069">
        <f t="shared" si="57"/>
        <v>3435905.5129996557</v>
      </c>
      <c r="AN133" s="2069">
        <f t="shared" si="57"/>
        <v>3538982.6783896452</v>
      </c>
      <c r="AO133" s="2069">
        <f t="shared" si="57"/>
        <v>2171426.5960450536</v>
      </c>
    </row>
    <row r="134" spans="1:41">
      <c r="A134" s="2105" t="s">
        <v>377</v>
      </c>
      <c r="B134" s="1080"/>
      <c r="C134" s="2106">
        <f t="shared" si="55"/>
        <v>12306.2</v>
      </c>
      <c r="D134" s="1174">
        <f t="shared" si="55"/>
        <v>10745466.132479932</v>
      </c>
      <c r="E134" s="2107">
        <f t="shared" si="55"/>
        <v>12455.935371874069</v>
      </c>
      <c r="F134" s="1174">
        <f t="shared" si="55"/>
        <v>1301819.0127127541</v>
      </c>
      <c r="G134" s="2108">
        <v>12144.44339683838</v>
      </c>
      <c r="H134" s="2073">
        <f t="shared" si="56"/>
        <v>11819895.35</v>
      </c>
      <c r="I134" s="2073">
        <v>12575000</v>
      </c>
      <c r="J134" s="2073">
        <f t="shared" si="57"/>
        <v>15077228.304941282</v>
      </c>
      <c r="K134" s="2073">
        <f t="shared" si="57"/>
        <v>15241544.407174619</v>
      </c>
      <c r="L134" s="2073">
        <f t="shared" si="57"/>
        <v>15698790.739389859</v>
      </c>
      <c r="M134" s="2073">
        <f t="shared" si="57"/>
        <v>16169754.461571552</v>
      </c>
      <c r="N134" s="2073">
        <f t="shared" si="57"/>
        <v>16654847.095418703</v>
      </c>
      <c r="O134" s="2073">
        <f t="shared" si="57"/>
        <v>17154492.508281261</v>
      </c>
      <c r="P134" s="2073">
        <f t="shared" si="57"/>
        <v>17669127.283529699</v>
      </c>
      <c r="Q134" s="2073">
        <f t="shared" si="57"/>
        <v>18199201.102035593</v>
      </c>
      <c r="R134" s="2073">
        <f t="shared" si="57"/>
        <v>18745177.135096658</v>
      </c>
      <c r="S134" s="2073">
        <f t="shared" si="57"/>
        <v>19307532.44914956</v>
      </c>
      <c r="T134" s="2073">
        <f t="shared" si="57"/>
        <v>19886758.422624048</v>
      </c>
      <c r="U134" s="2073">
        <f t="shared" si="57"/>
        <v>20483361.17530277</v>
      </c>
      <c r="V134" s="2073">
        <f t="shared" si="57"/>
        <v>21097862.010561854</v>
      </c>
      <c r="W134" s="2073">
        <f t="shared" si="57"/>
        <v>21730797.870878711</v>
      </c>
      <c r="X134" s="3905">
        <f t="shared" si="57"/>
        <v>22382721.807005074</v>
      </c>
      <c r="Y134" s="2073">
        <f t="shared" si="57"/>
        <v>23054203.461215228</v>
      </c>
      <c r="Z134" s="2073">
        <f t="shared" si="57"/>
        <v>23745829.56505169</v>
      </c>
      <c r="AA134" s="2073">
        <f t="shared" si="57"/>
        <v>24458204.452003233</v>
      </c>
      <c r="AB134" s="2073">
        <f t="shared" si="57"/>
        <v>25191950.585563332</v>
      </c>
      <c r="AC134" s="2073">
        <f t="shared" si="57"/>
        <v>25947709.103130236</v>
      </c>
      <c r="AD134" s="2073">
        <f t="shared" si="57"/>
        <v>26726140.376224142</v>
      </c>
      <c r="AE134" s="2073">
        <f t="shared" si="57"/>
        <v>27527924.587510861</v>
      </c>
      <c r="AF134" s="2073">
        <f t="shared" si="57"/>
        <v>28353762.325136185</v>
      </c>
      <c r="AG134" s="2073">
        <f t="shared" si="57"/>
        <v>29204375.194890276</v>
      </c>
      <c r="AH134" s="2073">
        <f t="shared" si="57"/>
        <v>30080506.450736985</v>
      </c>
      <c r="AI134" s="2073">
        <f t="shared" si="57"/>
        <v>30982921.644259095</v>
      </c>
      <c r="AJ134" s="2073">
        <f t="shared" si="57"/>
        <v>31912409.293586865</v>
      </c>
      <c r="AK134" s="2073">
        <f t="shared" si="57"/>
        <v>32869781.572394475</v>
      </c>
      <c r="AL134" s="2073">
        <f t="shared" si="57"/>
        <v>33855875.019566312</v>
      </c>
      <c r="AM134" s="2073">
        <f t="shared" si="57"/>
        <v>34871551.270153306</v>
      </c>
      <c r="AN134" s="2073">
        <f t="shared" si="57"/>
        <v>35917697.808257893</v>
      </c>
      <c r="AO134" s="2073">
        <f t="shared" si="57"/>
        <v>22954328.759105124</v>
      </c>
    </row>
    <row r="135" spans="1:41">
      <c r="A135" s="2109" t="s">
        <v>2033</v>
      </c>
      <c r="B135" s="2110"/>
      <c r="C135" s="2111">
        <f>SUM(C129:C134)</f>
        <v>40773.1</v>
      </c>
      <c r="D135" s="1175">
        <f>SUM(D129:D134)</f>
        <v>38664802.768539928</v>
      </c>
      <c r="E135" s="2112">
        <f>SUM(E129:E134)</f>
        <v>41637.055550000005</v>
      </c>
      <c r="F135" s="1175">
        <f>SUM(F129:F134)</f>
        <v>14644472.387055783</v>
      </c>
      <c r="G135" s="2113">
        <v>42202.470934318881</v>
      </c>
      <c r="H135" s="2074">
        <f t="shared" ref="H135:AO135" si="58">SUM(H129:H134)</f>
        <v>42615256.370000005</v>
      </c>
      <c r="I135" s="2074">
        <f>SUM(I129:I134)</f>
        <v>41067000</v>
      </c>
      <c r="J135" s="2074">
        <f t="shared" si="58"/>
        <v>41327447.998257175</v>
      </c>
      <c r="K135" s="2074">
        <f>SUM(K129:K134)</f>
        <v>42018306.808742151</v>
      </c>
      <c r="L135" s="2074">
        <f t="shared" si="58"/>
        <v>41159256.493004411</v>
      </c>
      <c r="M135" s="2074">
        <f t="shared" si="58"/>
        <v>42408726.17979455</v>
      </c>
      <c r="N135" s="2074">
        <f t="shared" si="58"/>
        <v>43689243.517188385</v>
      </c>
      <c r="O135" s="2074">
        <f t="shared" si="58"/>
        <v>45008591.892244034</v>
      </c>
      <c r="P135" s="2074">
        <f t="shared" si="58"/>
        <v>46367955.974420547</v>
      </c>
      <c r="Q135" s="2074">
        <f t="shared" si="58"/>
        <v>47768556.912003867</v>
      </c>
      <c r="R135" s="2074">
        <f t="shared" si="58"/>
        <v>49211653.471415058</v>
      </c>
      <c r="S135" s="2074">
        <f t="shared" si="58"/>
        <v>50698543.212864757</v>
      </c>
      <c r="T135" s="2074">
        <f t="shared" si="58"/>
        <v>52230563.703548849</v>
      </c>
      <c r="U135" s="2074">
        <f t="shared" si="58"/>
        <v>53809093.769622438</v>
      </c>
      <c r="V135" s="2074">
        <f t="shared" si="58"/>
        <v>55435554.788230523</v>
      </c>
      <c r="W135" s="2074">
        <f t="shared" si="58"/>
        <v>57111412.020918749</v>
      </c>
      <c r="X135" s="3910">
        <f t="shared" si="58"/>
        <v>58838175.9897926</v>
      </c>
      <c r="Y135" s="2074">
        <f t="shared" si="58"/>
        <v>60617403.89784088</v>
      </c>
      <c r="Z135" s="2074">
        <f t="shared" si="58"/>
        <v>62450701.094888516</v>
      </c>
      <c r="AA135" s="2074">
        <f t="shared" si="58"/>
        <v>64339722.590693958</v>
      </c>
      <c r="AB135" s="2074">
        <f t="shared" si="58"/>
        <v>66286174.616759807</v>
      </c>
      <c r="AC135" s="2074">
        <f t="shared" si="58"/>
        <v>68291816.238478988</v>
      </c>
      <c r="AD135" s="2074">
        <f t="shared" si="58"/>
        <v>70358461.019296393</v>
      </c>
      <c r="AE135" s="2074">
        <f t="shared" si="58"/>
        <v>72487978.738623649</v>
      </c>
      <c r="AF135" s="2074">
        <f t="shared" si="58"/>
        <v>74682297.165305942</v>
      </c>
      <c r="AG135" s="2074">
        <f t="shared" si="58"/>
        <v>76943403.888502985</v>
      </c>
      <c r="AH135" s="2074">
        <f t="shared" si="58"/>
        <v>79273348.207911134</v>
      </c>
      <c r="AI135" s="2074">
        <f t="shared" si="58"/>
        <v>81674243.085322306</v>
      </c>
      <c r="AJ135" s="2074">
        <f t="shared" si="58"/>
        <v>84148267.159584746</v>
      </c>
      <c r="AK135" s="2074">
        <f t="shared" si="58"/>
        <v>86697666.827104688</v>
      </c>
      <c r="AL135" s="2074">
        <f t="shared" si="58"/>
        <v>89324758.390102625</v>
      </c>
      <c r="AM135" s="2074">
        <f t="shared" si="58"/>
        <v>92031930.274917603</v>
      </c>
      <c r="AN135" s="2074">
        <f t="shared" si="58"/>
        <v>94821645.322733611</v>
      </c>
      <c r="AO135" s="2074">
        <f t="shared" si="58"/>
        <v>62808855.435036272</v>
      </c>
    </row>
    <row r="136" spans="1:41">
      <c r="A136" s="1084"/>
      <c r="B136" s="1080"/>
      <c r="C136" s="2114"/>
      <c r="D136" s="1176"/>
      <c r="E136" s="2107"/>
      <c r="F136" s="1176"/>
      <c r="G136" s="1056"/>
      <c r="H136" s="2115"/>
      <c r="I136" s="2115"/>
      <c r="J136" s="2075"/>
      <c r="K136" s="2075"/>
      <c r="L136" s="2075"/>
      <c r="M136" s="2075"/>
      <c r="N136" s="2075"/>
      <c r="O136" s="2075"/>
      <c r="P136" s="2075"/>
      <c r="Q136" s="2075"/>
      <c r="R136" s="2075"/>
      <c r="S136" s="2075"/>
      <c r="T136" s="2075"/>
      <c r="U136" s="2075"/>
      <c r="V136" s="2075"/>
      <c r="W136" s="2075"/>
      <c r="X136" s="3911"/>
      <c r="Y136" s="2075"/>
      <c r="Z136" s="2075"/>
      <c r="AA136" s="2075"/>
      <c r="AB136" s="2075"/>
      <c r="AC136" s="2075"/>
      <c r="AD136" s="2075"/>
      <c r="AE136" s="2075"/>
      <c r="AF136" s="2075"/>
      <c r="AG136" s="2075"/>
      <c r="AH136" s="2075"/>
      <c r="AI136" s="2075"/>
      <c r="AJ136" s="2075"/>
      <c r="AK136" s="2075"/>
      <c r="AL136" s="2075"/>
      <c r="AM136" s="2075"/>
      <c r="AN136" s="2075"/>
      <c r="AO136" s="2075"/>
    </row>
    <row r="137" spans="1:41">
      <c r="A137" s="1079" t="s">
        <v>1948</v>
      </c>
      <c r="B137" s="1080"/>
      <c r="C137" s="2116"/>
      <c r="D137" s="2117"/>
      <c r="E137" s="2107"/>
      <c r="F137" s="2117"/>
      <c r="G137" s="1056"/>
      <c r="H137" s="2118"/>
      <c r="I137" s="2118"/>
      <c r="J137" s="2076"/>
      <c r="K137" s="2075"/>
      <c r="L137" s="2075"/>
      <c r="M137" s="2075"/>
      <c r="N137" s="2075"/>
      <c r="O137" s="2075"/>
      <c r="P137" s="2075"/>
      <c r="Q137" s="2075"/>
      <c r="R137" s="2075"/>
      <c r="S137" s="2075"/>
      <c r="T137" s="2075"/>
      <c r="U137" s="2075"/>
      <c r="V137" s="2075"/>
      <c r="W137" s="2075"/>
      <c r="X137" s="3911"/>
      <c r="Y137" s="2075"/>
      <c r="Z137" s="2075"/>
      <c r="AA137" s="2075"/>
      <c r="AB137" s="2075"/>
      <c r="AC137" s="2075"/>
      <c r="AD137" s="2075"/>
      <c r="AE137" s="2075"/>
      <c r="AF137" s="2075"/>
      <c r="AG137" s="2075"/>
      <c r="AH137" s="2075"/>
      <c r="AI137" s="2075"/>
      <c r="AJ137" s="2075"/>
      <c r="AK137" s="2075"/>
      <c r="AL137" s="2075"/>
      <c r="AM137" s="2075"/>
      <c r="AN137" s="2075"/>
      <c r="AO137" s="2075"/>
    </row>
    <row r="138" spans="1:41">
      <c r="A138" s="2119" t="str">
        <f>A76</f>
        <v>Generation</v>
      </c>
      <c r="B138" s="1080"/>
      <c r="C138" s="2106">
        <f t="shared" ref="C138:F141" si="59">C76</f>
        <v>21965.9</v>
      </c>
      <c r="D138" s="1174">
        <f t="shared" si="59"/>
        <v>22276854.087657429</v>
      </c>
      <c r="E138" s="2107">
        <f t="shared" si="59"/>
        <v>24741.046710041821</v>
      </c>
      <c r="F138" s="1174">
        <f t="shared" si="59"/>
        <v>23461843.25</v>
      </c>
      <c r="G138" s="2108">
        <v>24878.319504358675</v>
      </c>
      <c r="H138" s="2073">
        <f>H76</f>
        <v>22919312.75</v>
      </c>
      <c r="I138" s="2073">
        <v>25738000</v>
      </c>
      <c r="J138" s="2073">
        <f t="shared" ref="J138:AO141" si="60">J76</f>
        <v>35367514.007077843</v>
      </c>
      <c r="K138" s="2073">
        <f t="shared" si="60"/>
        <v>29366218.799278229</v>
      </c>
      <c r="L138" s="2073">
        <f t="shared" si="60"/>
        <v>30159695.363256574</v>
      </c>
      <c r="M138" s="2073">
        <f t="shared" si="60"/>
        <v>30976976.224154275</v>
      </c>
      <c r="N138" s="2073">
        <f t="shared" si="60"/>
        <v>31818775.510878898</v>
      </c>
      <c r="O138" s="2073">
        <f t="shared" si="60"/>
        <v>32685828.776205271</v>
      </c>
      <c r="P138" s="2073">
        <f t="shared" si="60"/>
        <v>33578893.639491424</v>
      </c>
      <c r="Q138" s="2073">
        <f t="shared" si="60"/>
        <v>34498750.448676169</v>
      </c>
      <c r="R138" s="2073">
        <f t="shared" si="60"/>
        <v>35446202.962136455</v>
      </c>
      <c r="S138" s="2073">
        <f t="shared" si="60"/>
        <v>36422079.05100055</v>
      </c>
      <c r="T138" s="2073">
        <f t="shared" si="60"/>
        <v>37427231.422530569</v>
      </c>
      <c r="U138" s="2073">
        <f t="shared" si="60"/>
        <v>38462538.36520648</v>
      </c>
      <c r="V138" s="2073">
        <f t="shared" si="60"/>
        <v>39528904.516162679</v>
      </c>
      <c r="W138" s="2073">
        <f t="shared" si="60"/>
        <v>40627261.65164756</v>
      </c>
      <c r="X138" s="3905">
        <f t="shared" si="60"/>
        <v>41758569.501196995</v>
      </c>
      <c r="Y138" s="2073">
        <f t="shared" si="60"/>
        <v>42923816.586232901</v>
      </c>
      <c r="Z138" s="2073">
        <f t="shared" si="60"/>
        <v>44124021.083819896</v>
      </c>
      <c r="AA138" s="2073">
        <f t="shared" si="60"/>
        <v>45360231.716334492</v>
      </c>
      <c r="AB138" s="2073">
        <f t="shared" si="60"/>
        <v>46633528.667824522</v>
      </c>
      <c r="AC138" s="2073">
        <f t="shared" si="60"/>
        <v>47945024.527859271</v>
      </c>
      <c r="AD138" s="2073">
        <f t="shared" si="60"/>
        <v>49295865.263695046</v>
      </c>
      <c r="AE138" s="2073">
        <f t="shared" si="60"/>
        <v>50687231.221605897</v>
      </c>
      <c r="AF138" s="2073">
        <f t="shared" si="60"/>
        <v>52120338.158254072</v>
      </c>
      <c r="AG138" s="2073">
        <f t="shared" si="60"/>
        <v>53596438.303001702</v>
      </c>
      <c r="AH138" s="2073">
        <f t="shared" si="60"/>
        <v>55116821.452091753</v>
      </c>
      <c r="AI138" s="2073">
        <f t="shared" si="60"/>
        <v>56682816.09565451</v>
      </c>
      <c r="AJ138" s="2073">
        <f t="shared" si="60"/>
        <v>58295790.578524143</v>
      </c>
      <c r="AK138" s="2073">
        <f t="shared" si="60"/>
        <v>59957154.295879886</v>
      </c>
      <c r="AL138" s="2073">
        <f t="shared" si="60"/>
        <v>61668358.924756274</v>
      </c>
      <c r="AM138" s="2073">
        <f t="shared" si="60"/>
        <v>63430899.692498967</v>
      </c>
      <c r="AN138" s="2073">
        <f t="shared" si="60"/>
        <v>65246316.683273926</v>
      </c>
      <c r="AO138" s="2073">
        <f t="shared" si="60"/>
        <v>34421630.46665445</v>
      </c>
    </row>
    <row r="139" spans="1:41">
      <c r="A139" s="2119" t="str">
        <f>A77</f>
        <v>Transmission</v>
      </c>
      <c r="B139" s="1080"/>
      <c r="C139" s="2106">
        <f t="shared" si="59"/>
        <v>1985.2</v>
      </c>
      <c r="D139" s="1174">
        <f t="shared" si="59"/>
        <v>2231609.0168799995</v>
      </c>
      <c r="E139" s="2107">
        <f t="shared" si="59"/>
        <v>2227.7457344526506</v>
      </c>
      <c r="F139" s="1174">
        <f t="shared" si="59"/>
        <v>771734.33819918835</v>
      </c>
      <c r="G139" s="2108">
        <v>1992.2116344158155</v>
      </c>
      <c r="H139" s="2073">
        <f>H77</f>
        <v>1652966.02</v>
      </c>
      <c r="I139" s="2073">
        <v>1852000</v>
      </c>
      <c r="J139" s="2073">
        <f t="shared" si="60"/>
        <v>3075491.7402407555</v>
      </c>
      <c r="K139" s="2073">
        <f t="shared" si="60"/>
        <v>3050154.0977639407</v>
      </c>
      <c r="L139" s="2073">
        <f t="shared" si="60"/>
        <v>3141658.7206968595</v>
      </c>
      <c r="M139" s="2073">
        <f t="shared" si="60"/>
        <v>3235908.4823177657</v>
      </c>
      <c r="N139" s="2073">
        <f t="shared" si="60"/>
        <v>3332985.7367872982</v>
      </c>
      <c r="O139" s="2073">
        <f t="shared" si="60"/>
        <v>3432975.3088909178</v>
      </c>
      <c r="P139" s="2073">
        <f t="shared" si="60"/>
        <v>3535964.5681576454</v>
      </c>
      <c r="Q139" s="2073">
        <f t="shared" si="60"/>
        <v>3642043.5052023744</v>
      </c>
      <c r="R139" s="2073">
        <f t="shared" si="60"/>
        <v>3751304.8103584456</v>
      </c>
      <c r="S139" s="2073">
        <f t="shared" si="60"/>
        <v>3863843.954669199</v>
      </c>
      <c r="T139" s="2073">
        <f t="shared" si="60"/>
        <v>3979759.273309275</v>
      </c>
      <c r="U139" s="2073">
        <f t="shared" si="60"/>
        <v>4099152.0515085533</v>
      </c>
      <c r="V139" s="2073">
        <f t="shared" si="60"/>
        <v>4222126.6130538099</v>
      </c>
      <c r="W139" s="2073">
        <f t="shared" si="60"/>
        <v>4348790.4114454249</v>
      </c>
      <c r="X139" s="3905">
        <f t="shared" si="60"/>
        <v>4479254.123788788</v>
      </c>
      <c r="Y139" s="2073">
        <f t="shared" si="60"/>
        <v>4613631.7475024518</v>
      </c>
      <c r="Z139" s="2073">
        <f t="shared" si="60"/>
        <v>4752040.6999275256</v>
      </c>
      <c r="AA139" s="2073">
        <f t="shared" si="60"/>
        <v>4894601.9209253509</v>
      </c>
      <c r="AB139" s="2073">
        <f t="shared" si="60"/>
        <v>5041439.9785531117</v>
      </c>
      <c r="AC139" s="2073">
        <f t="shared" si="60"/>
        <v>5192683.1779097058</v>
      </c>
      <c r="AD139" s="2073">
        <f t="shared" si="60"/>
        <v>5348463.6732469965</v>
      </c>
      <c r="AE139" s="2073">
        <f t="shared" si="60"/>
        <v>5508917.5834444072</v>
      </c>
      <c r="AF139" s="2073">
        <f t="shared" si="60"/>
        <v>5674185.1109477393</v>
      </c>
      <c r="AG139" s="2073">
        <f t="shared" si="60"/>
        <v>5844410.6642761705</v>
      </c>
      <c r="AH139" s="2073">
        <f t="shared" si="60"/>
        <v>6019742.9842044571</v>
      </c>
      <c r="AI139" s="2073">
        <f t="shared" si="60"/>
        <v>6200335.2737305909</v>
      </c>
      <c r="AJ139" s="2073">
        <f t="shared" si="60"/>
        <v>6386345.3319425089</v>
      </c>
      <c r="AK139" s="2073">
        <f t="shared" si="60"/>
        <v>6577935.6919007851</v>
      </c>
      <c r="AL139" s="2073">
        <f t="shared" si="60"/>
        <v>6775273.7626578081</v>
      </c>
      <c r="AM139" s="2073">
        <f t="shared" si="60"/>
        <v>6978531.9755375423</v>
      </c>
      <c r="AN139" s="2073">
        <f t="shared" si="60"/>
        <v>7187887.9348036675</v>
      </c>
      <c r="AO139" s="2073">
        <f t="shared" si="60"/>
        <v>5389121.3127484862</v>
      </c>
    </row>
    <row r="140" spans="1:41">
      <c r="A140" s="2119" t="str">
        <f>A78</f>
        <v>Administrative and General</v>
      </c>
      <c r="B140" s="1080"/>
      <c r="C140" s="2106">
        <f t="shared" si="59"/>
        <v>15710.8</v>
      </c>
      <c r="D140" s="1174">
        <f t="shared" si="59"/>
        <v>14981385.472820001</v>
      </c>
      <c r="E140" s="2107">
        <f t="shared" si="59"/>
        <v>17399.979698229745</v>
      </c>
      <c r="F140" s="1174">
        <f t="shared" si="59"/>
        <v>6001360.9436718235</v>
      </c>
      <c r="G140" s="2108">
        <v>15484.776219663625</v>
      </c>
      <c r="H140" s="2073">
        <f>H78</f>
        <v>18771334.510000002</v>
      </c>
      <c r="I140" s="2073">
        <v>16340000</v>
      </c>
      <c r="J140" s="2073">
        <f t="shared" si="60"/>
        <v>25605506.621733658</v>
      </c>
      <c r="K140" s="2073">
        <f t="shared" si="60"/>
        <v>21820294.264416888</v>
      </c>
      <c r="L140" s="2073">
        <f t="shared" si="60"/>
        <v>22474903.092349395</v>
      </c>
      <c r="M140" s="2073">
        <f t="shared" si="60"/>
        <v>23149150.185119882</v>
      </c>
      <c r="N140" s="2073">
        <f t="shared" si="60"/>
        <v>23843624.69067347</v>
      </c>
      <c r="O140" s="2073">
        <f t="shared" si="60"/>
        <v>24558933.431393683</v>
      </c>
      <c r="P140" s="2073">
        <f t="shared" si="60"/>
        <v>25295701.434335493</v>
      </c>
      <c r="Q140" s="2073">
        <f t="shared" si="60"/>
        <v>26054572.477365557</v>
      </c>
      <c r="R140" s="2073">
        <f t="shared" si="60"/>
        <v>26836209.651686519</v>
      </c>
      <c r="S140" s="2073">
        <f t="shared" si="60"/>
        <v>27641295.941237118</v>
      </c>
      <c r="T140" s="2073">
        <f t="shared" si="60"/>
        <v>28470534.819474235</v>
      </c>
      <c r="U140" s="2073">
        <f t="shared" si="60"/>
        <v>29324650.864058457</v>
      </c>
      <c r="V140" s="2073">
        <f t="shared" si="60"/>
        <v>30204390.389980212</v>
      </c>
      <c r="W140" s="2073">
        <f t="shared" si="60"/>
        <v>31110522.101679623</v>
      </c>
      <c r="X140" s="3905">
        <f t="shared" si="60"/>
        <v>32043837.764730014</v>
      </c>
      <c r="Y140" s="2073">
        <f t="shared" si="60"/>
        <v>33005152.897671916</v>
      </c>
      <c r="Z140" s="2073">
        <f t="shared" si="60"/>
        <v>33995307.484602079</v>
      </c>
      <c r="AA140" s="2073">
        <f t="shared" si="60"/>
        <v>35015166.709140137</v>
      </c>
      <c r="AB140" s="2073">
        <f t="shared" si="60"/>
        <v>36065621.710414343</v>
      </c>
      <c r="AC140" s="2073">
        <f t="shared" si="60"/>
        <v>37147590.361726776</v>
      </c>
      <c r="AD140" s="2073">
        <f t="shared" si="60"/>
        <v>38262018.072578579</v>
      </c>
      <c r="AE140" s="2073">
        <f t="shared" si="60"/>
        <v>39409878.614755936</v>
      </c>
      <c r="AF140" s="2073">
        <f t="shared" si="60"/>
        <v>40592174.973198622</v>
      </c>
      <c r="AG140" s="2073">
        <f t="shared" si="60"/>
        <v>41809940.222394571</v>
      </c>
      <c r="AH140" s="2073">
        <f t="shared" si="60"/>
        <v>43064238.42906642</v>
      </c>
      <c r="AI140" s="2073">
        <f t="shared" si="60"/>
        <v>44356165.581938416</v>
      </c>
      <c r="AJ140" s="2073">
        <f t="shared" si="60"/>
        <v>45686850.54939656</v>
      </c>
      <c r="AK140" s="2073">
        <f t="shared" si="60"/>
        <v>47057456.065878466</v>
      </c>
      <c r="AL140" s="2073">
        <f t="shared" si="60"/>
        <v>48469179.747854821</v>
      </c>
      <c r="AM140" s="2073">
        <f t="shared" si="60"/>
        <v>49923255.140290469</v>
      </c>
      <c r="AN140" s="2073">
        <f t="shared" si="60"/>
        <v>51420952.794499174</v>
      </c>
      <c r="AO140" s="2073">
        <f t="shared" si="60"/>
        <v>27263384.431113049</v>
      </c>
    </row>
    <row r="141" spans="1:41">
      <c r="A141" s="2119" t="str">
        <f>A79</f>
        <v xml:space="preserve">License Compliance </v>
      </c>
      <c r="B141" s="1080"/>
      <c r="C141" s="2106">
        <f t="shared" si="59"/>
        <v>24515.4</v>
      </c>
      <c r="D141" s="1174">
        <f t="shared" si="59"/>
        <v>22069391.901576702</v>
      </c>
      <c r="E141" s="2107">
        <f t="shared" si="59"/>
        <v>25350.100857275782</v>
      </c>
      <c r="F141" s="1174">
        <f t="shared" si="59"/>
        <v>10760621.464892805</v>
      </c>
      <c r="G141" s="2108">
        <v>23615.132230481198</v>
      </c>
      <c r="H141" s="2073">
        <f>H79</f>
        <v>20711320.289999999</v>
      </c>
      <c r="I141" s="2073">
        <v>26249000</v>
      </c>
      <c r="J141" s="2073">
        <f t="shared" si="60"/>
        <v>22402617.84224458</v>
      </c>
      <c r="K141" s="2073">
        <f t="shared" si="60"/>
        <v>14523387.158869177</v>
      </c>
      <c r="L141" s="2073">
        <f t="shared" si="60"/>
        <v>14135608.641664401</v>
      </c>
      <c r="M141" s="2073">
        <f t="shared" si="60"/>
        <v>14621871.121822285</v>
      </c>
      <c r="N141" s="2073">
        <f t="shared" si="60"/>
        <v>15146636.907566944</v>
      </c>
      <c r="O141" s="2073">
        <f t="shared" si="60"/>
        <v>13867803.334485095</v>
      </c>
      <c r="P141" s="2073">
        <f t="shared" si="60"/>
        <v>14283837.434519649</v>
      </c>
      <c r="Q141" s="2073">
        <f t="shared" si="60"/>
        <v>14712352.55755524</v>
      </c>
      <c r="R141" s="2073">
        <f t="shared" si="60"/>
        <v>15153723.134281896</v>
      </c>
      <c r="S141" s="2073">
        <f t="shared" si="60"/>
        <v>15608334.828310352</v>
      </c>
      <c r="T141" s="2073">
        <f t="shared" si="60"/>
        <v>16076584.873159662</v>
      </c>
      <c r="U141" s="2073">
        <f t="shared" si="60"/>
        <v>16558882.419354454</v>
      </c>
      <c r="V141" s="2073">
        <f t="shared" si="60"/>
        <v>17055648.891935088</v>
      </c>
      <c r="W141" s="2073">
        <f t="shared" si="60"/>
        <v>17567318.358693141</v>
      </c>
      <c r="X141" s="3905">
        <f t="shared" si="60"/>
        <v>18094337.909453936</v>
      </c>
      <c r="Y141" s="2073">
        <f t="shared" si="60"/>
        <v>18637168.046737555</v>
      </c>
      <c r="Z141" s="2073">
        <f t="shared" si="60"/>
        <v>19196283.088139687</v>
      </c>
      <c r="AA141" s="2073">
        <f t="shared" si="60"/>
        <v>19772171.580783874</v>
      </c>
      <c r="AB141" s="2073">
        <f t="shared" si="60"/>
        <v>20365336.728207387</v>
      </c>
      <c r="AC141" s="2073">
        <f t="shared" si="60"/>
        <v>20976296.830053613</v>
      </c>
      <c r="AD141" s="2073">
        <f t="shared" si="60"/>
        <v>21605585.734955221</v>
      </c>
      <c r="AE141" s="2073">
        <f t="shared" si="60"/>
        <v>22253753.307003878</v>
      </c>
      <c r="AF141" s="2073">
        <f t="shared" si="60"/>
        <v>22921365.906213999</v>
      </c>
      <c r="AG141" s="2073">
        <f t="shared" si="60"/>
        <v>23609006.883400418</v>
      </c>
      <c r="AH141" s="2073">
        <f t="shared" si="60"/>
        <v>24317277.089902431</v>
      </c>
      <c r="AI141" s="2073">
        <f t="shared" si="60"/>
        <v>25046795.402599506</v>
      </c>
      <c r="AJ141" s="2073">
        <f t="shared" si="60"/>
        <v>25798199.264677487</v>
      </c>
      <c r="AK141" s="2073">
        <f t="shared" si="60"/>
        <v>26572145.242617823</v>
      </c>
      <c r="AL141" s="2073">
        <f t="shared" si="60"/>
        <v>27369309.599896356</v>
      </c>
      <c r="AM141" s="2073">
        <f t="shared" si="60"/>
        <v>28190388.887893248</v>
      </c>
      <c r="AN141" s="2073">
        <f t="shared" si="60"/>
        <v>29036100.554530039</v>
      </c>
      <c r="AO141" s="2073">
        <f t="shared" si="60"/>
        <v>9562987.757598171</v>
      </c>
    </row>
    <row r="142" spans="1:41">
      <c r="A142" s="2109" t="s">
        <v>2034</v>
      </c>
      <c r="B142" s="2110"/>
      <c r="C142" s="2111">
        <f>SUM(C138:C141)</f>
        <v>64177.3</v>
      </c>
      <c r="D142" s="1175">
        <f>SUM(D138:D141)</f>
        <v>61559240.478934124</v>
      </c>
      <c r="E142" s="2112">
        <f>SUM(E138:E141)</f>
        <v>69718.873000000007</v>
      </c>
      <c r="F142" s="1175">
        <f>SUM(F138:F141)</f>
        <v>40995559.996763811</v>
      </c>
      <c r="G142" s="2113">
        <v>65970.439588919311</v>
      </c>
      <c r="H142" s="2074">
        <f t="shared" ref="H142:AO142" si="61">SUM(H138:H141)</f>
        <v>64054933.57</v>
      </c>
      <c r="I142" s="2074">
        <f>SUM(I138:I141)</f>
        <v>70179000</v>
      </c>
      <c r="J142" s="2074">
        <f t="shared" si="61"/>
        <v>86451130.211296827</v>
      </c>
      <c r="K142" s="2074">
        <f>SUM(K138:K141)</f>
        <v>68760054.320328236</v>
      </c>
      <c r="L142" s="2074">
        <f t="shared" si="61"/>
        <v>69911865.817967236</v>
      </c>
      <c r="M142" s="2074">
        <f t="shared" si="61"/>
        <v>71983906.013414204</v>
      </c>
      <c r="N142" s="2074">
        <f t="shared" si="61"/>
        <v>74142022.845906615</v>
      </c>
      <c r="O142" s="2074">
        <f t="shared" si="61"/>
        <v>74545540.850974962</v>
      </c>
      <c r="P142" s="2074">
        <f t="shared" si="61"/>
        <v>76694397.076504201</v>
      </c>
      <c r="Q142" s="2074">
        <f t="shared" si="61"/>
        <v>78907718.988799348</v>
      </c>
      <c r="R142" s="2074">
        <f t="shared" si="61"/>
        <v>81187440.558463305</v>
      </c>
      <c r="S142" s="2074">
        <f t="shared" si="61"/>
        <v>83535553.77521722</v>
      </c>
      <c r="T142" s="2074">
        <f t="shared" si="61"/>
        <v>85954110.388473734</v>
      </c>
      <c r="U142" s="2074">
        <f t="shared" si="61"/>
        <v>88445223.700127944</v>
      </c>
      <c r="V142" s="2074">
        <f t="shared" si="61"/>
        <v>91011070.411131799</v>
      </c>
      <c r="W142" s="2074">
        <f t="shared" si="61"/>
        <v>93653892.523465738</v>
      </c>
      <c r="X142" s="3910">
        <f t="shared" si="61"/>
        <v>96375999.299169719</v>
      </c>
      <c r="Y142" s="2074">
        <f t="shared" si="61"/>
        <v>99179769.278144822</v>
      </c>
      <c r="Z142" s="2074">
        <f t="shared" si="61"/>
        <v>102067652.35648918</v>
      </c>
      <c r="AA142" s="2074">
        <f t="shared" si="61"/>
        <v>105042171.92718385</v>
      </c>
      <c r="AB142" s="2074">
        <f t="shared" si="61"/>
        <v>108105927.08499935</v>
      </c>
      <c r="AC142" s="2074">
        <f t="shared" si="61"/>
        <v>111261594.89754936</v>
      </c>
      <c r="AD142" s="2074">
        <f t="shared" si="61"/>
        <v>114511932.74447584</v>
      </c>
      <c r="AE142" s="2074">
        <f t="shared" si="61"/>
        <v>117859780.72681013</v>
      </c>
      <c r="AF142" s="2074">
        <f t="shared" si="61"/>
        <v>121308064.14861444</v>
      </c>
      <c r="AG142" s="2074">
        <f t="shared" si="61"/>
        <v>124859796.07307285</v>
      </c>
      <c r="AH142" s="2074">
        <f t="shared" si="61"/>
        <v>128518079.95526506</v>
      </c>
      <c r="AI142" s="2074">
        <f t="shared" si="61"/>
        <v>132286112.35392302</v>
      </c>
      <c r="AJ142" s="2074">
        <f t="shared" si="61"/>
        <v>136167185.72454071</v>
      </c>
      <c r="AK142" s="2074">
        <f t="shared" si="61"/>
        <v>140164691.29627696</v>
      </c>
      <c r="AL142" s="2074">
        <f t="shared" si="61"/>
        <v>144282122.03516525</v>
      </c>
      <c r="AM142" s="2074">
        <f t="shared" si="61"/>
        <v>148523075.69622022</v>
      </c>
      <c r="AN142" s="2074">
        <f t="shared" si="61"/>
        <v>152891257.96710682</v>
      </c>
      <c r="AO142" s="2074">
        <f t="shared" si="61"/>
        <v>76637123.968114153</v>
      </c>
    </row>
    <row r="143" spans="1:41">
      <c r="A143" s="1084"/>
      <c r="B143" s="1080"/>
      <c r="C143" s="2114"/>
      <c r="D143" s="1176"/>
      <c r="E143" s="2107"/>
      <c r="F143" s="1176"/>
      <c r="G143" s="1056"/>
      <c r="H143" s="1176"/>
      <c r="I143" s="1176"/>
      <c r="J143" s="1176"/>
      <c r="K143" s="1176"/>
      <c r="L143" s="1176"/>
      <c r="M143" s="1176"/>
      <c r="N143" s="1176"/>
      <c r="O143" s="1176"/>
      <c r="P143" s="1176"/>
      <c r="Q143" s="1176"/>
      <c r="R143" s="1176"/>
      <c r="S143" s="1176"/>
      <c r="T143" s="1176"/>
      <c r="U143" s="1176"/>
      <c r="V143" s="1176"/>
      <c r="W143" s="1176"/>
      <c r="X143" s="3912"/>
      <c r="Y143" s="1176"/>
      <c r="Z143" s="1176"/>
      <c r="AA143" s="1176"/>
      <c r="AB143" s="1176"/>
      <c r="AC143" s="1176"/>
      <c r="AD143" s="1176"/>
      <c r="AE143" s="1176"/>
      <c r="AF143" s="1176"/>
      <c r="AG143" s="1176"/>
      <c r="AH143" s="1176"/>
      <c r="AI143" s="1176"/>
      <c r="AJ143" s="1176"/>
      <c r="AK143" s="1176"/>
      <c r="AL143" s="1176"/>
      <c r="AM143" s="1176"/>
      <c r="AN143" s="1176"/>
      <c r="AO143" s="1176"/>
    </row>
    <row r="144" spans="1:41">
      <c r="A144" s="2077" t="s">
        <v>2035</v>
      </c>
      <c r="B144" s="1177"/>
      <c r="C144" s="1178">
        <f>C135+C142</f>
        <v>104950.39999999999</v>
      </c>
      <c r="D144" s="1177">
        <f>D135+D142</f>
        <v>100224043.24747404</v>
      </c>
      <c r="E144" s="1177">
        <f>E135+E142</f>
        <v>111355.92855000001</v>
      </c>
      <c r="F144" s="1177">
        <f>F135+F142</f>
        <v>55640032.383819595</v>
      </c>
      <c r="G144" s="1178">
        <v>108172.91052323818</v>
      </c>
      <c r="H144" s="1177">
        <f>H135+H142</f>
        <v>106670189.94</v>
      </c>
      <c r="I144" s="1177">
        <f t="shared" ref="I144:AO144" si="62">I135+I142</f>
        <v>111246000</v>
      </c>
      <c r="J144" s="1177">
        <f t="shared" si="62"/>
        <v>127778578.209554</v>
      </c>
      <c r="K144" s="1177">
        <f t="shared" si="62"/>
        <v>110778361.12907039</v>
      </c>
      <c r="L144" s="1177">
        <f t="shared" si="62"/>
        <v>111071122.31097165</v>
      </c>
      <c r="M144" s="1177">
        <f t="shared" si="62"/>
        <v>114392632.19320875</v>
      </c>
      <c r="N144" s="1177">
        <f t="shared" si="62"/>
        <v>117831266.363095</v>
      </c>
      <c r="O144" s="1177">
        <f t="shared" si="62"/>
        <v>119554132.74321899</v>
      </c>
      <c r="P144" s="1177">
        <f t="shared" si="62"/>
        <v>123062353.05092475</v>
      </c>
      <c r="Q144" s="1177">
        <f t="shared" si="62"/>
        <v>126676275.90080321</v>
      </c>
      <c r="R144" s="1177">
        <f t="shared" si="62"/>
        <v>130399094.02987836</v>
      </c>
      <c r="S144" s="1177">
        <f t="shared" si="62"/>
        <v>134234096.98808199</v>
      </c>
      <c r="T144" s="1177">
        <f t="shared" si="62"/>
        <v>138184674.0920226</v>
      </c>
      <c r="U144" s="1177">
        <f t="shared" si="62"/>
        <v>142254317.46975037</v>
      </c>
      <c r="V144" s="1177">
        <f t="shared" si="62"/>
        <v>146446625.19936234</v>
      </c>
      <c r="W144" s="1177">
        <f t="shared" si="62"/>
        <v>150765304.54438448</v>
      </c>
      <c r="X144" s="3913">
        <f t="shared" si="62"/>
        <v>155214175.2889623</v>
      </c>
      <c r="Y144" s="1177">
        <f t="shared" si="62"/>
        <v>159797173.17598569</v>
      </c>
      <c r="Z144" s="1177">
        <f t="shared" si="62"/>
        <v>164518353.45137769</v>
      </c>
      <c r="AA144" s="1177">
        <f t="shared" si="62"/>
        <v>169381894.51787782</v>
      </c>
      <c r="AB144" s="1177">
        <f t="shared" si="62"/>
        <v>174392101.70175916</v>
      </c>
      <c r="AC144" s="1177">
        <f t="shared" si="62"/>
        <v>179553411.13602835</v>
      </c>
      <c r="AD144" s="1177">
        <f t="shared" si="62"/>
        <v>184870393.76377225</v>
      </c>
      <c r="AE144" s="1177">
        <f t="shared" si="62"/>
        <v>190347759.46543378</v>
      </c>
      <c r="AF144" s="1177">
        <f t="shared" si="62"/>
        <v>195990361.31392038</v>
      </c>
      <c r="AG144" s="1177">
        <f t="shared" si="62"/>
        <v>201803199.96157584</v>
      </c>
      <c r="AH144" s="1177">
        <f t="shared" si="62"/>
        <v>207791428.16317618</v>
      </c>
      <c r="AI144" s="1177">
        <f t="shared" si="62"/>
        <v>213960355.43924534</v>
      </c>
      <c r="AJ144" s="1177">
        <f t="shared" si="62"/>
        <v>220315452.88412547</v>
      </c>
      <c r="AK144" s="1177">
        <f t="shared" si="62"/>
        <v>226862358.12338164</v>
      </c>
      <c r="AL144" s="1177">
        <f t="shared" si="62"/>
        <v>233606880.42526788</v>
      </c>
      <c r="AM144" s="1177">
        <f t="shared" si="62"/>
        <v>240555005.97113782</v>
      </c>
      <c r="AN144" s="1177">
        <f t="shared" si="62"/>
        <v>247712903.28984043</v>
      </c>
      <c r="AO144" s="1177">
        <f t="shared" si="62"/>
        <v>139445979.40315044</v>
      </c>
    </row>
    <row r="145" spans="1:41">
      <c r="A145" s="2025"/>
      <c r="B145" s="1176"/>
      <c r="C145" s="2114"/>
      <c r="D145" s="1176"/>
      <c r="E145" s="1176"/>
      <c r="F145" s="1176"/>
      <c r="G145" s="2114"/>
      <c r="H145" s="2120"/>
      <c r="I145" s="2120"/>
      <c r="J145" s="1176"/>
      <c r="K145" s="1176"/>
      <c r="L145" s="1176"/>
      <c r="M145" s="1176"/>
      <c r="N145" s="1176"/>
      <c r="O145" s="1176"/>
      <c r="P145" s="1176"/>
      <c r="Q145" s="1176"/>
      <c r="R145" s="1176"/>
      <c r="S145" s="1176"/>
      <c r="T145" s="1176"/>
      <c r="U145" s="1176"/>
      <c r="V145" s="1176"/>
      <c r="W145" s="1176"/>
      <c r="X145" s="3912"/>
      <c r="Y145" s="1176"/>
      <c r="Z145" s="1176"/>
      <c r="AA145" s="1176"/>
      <c r="AB145" s="1176"/>
      <c r="AC145" s="1176"/>
      <c r="AD145" s="1176"/>
      <c r="AE145" s="1176"/>
      <c r="AF145" s="1176"/>
      <c r="AG145" s="1176"/>
      <c r="AH145" s="1176"/>
      <c r="AI145" s="1176"/>
      <c r="AJ145" s="1176"/>
      <c r="AK145" s="1176"/>
      <c r="AL145" s="1176"/>
      <c r="AM145" s="1176"/>
      <c r="AN145" s="1176"/>
      <c r="AO145" s="1176"/>
    </row>
    <row r="146" spans="1:41">
      <c r="A146" s="2077" t="s">
        <v>2036</v>
      </c>
      <c r="B146" s="1179"/>
      <c r="C146" s="1180">
        <f>SUM(C71+C80)</f>
        <v>10380</v>
      </c>
      <c r="D146" s="1179">
        <f>SUM(D71+D80)</f>
        <v>12218291.630000001</v>
      </c>
      <c r="E146" s="1179">
        <f>E71+E80</f>
        <v>9211</v>
      </c>
      <c r="F146" s="1179">
        <f>SUM(F71+F80)</f>
        <v>12269321.290000001</v>
      </c>
      <c r="G146" s="1180">
        <v>13207.858595096359</v>
      </c>
      <c r="H146" s="2077">
        <f>SUM(H71+H80)</f>
        <v>13730967.529999999</v>
      </c>
      <c r="I146" s="2077">
        <v>13744000</v>
      </c>
      <c r="J146" s="2077">
        <f t="shared" ref="J146:AO146" si="63">SUM(J71+J80)</f>
        <v>14378911.01617533</v>
      </c>
      <c r="K146" s="2077">
        <f t="shared" si="63"/>
        <v>14772420.751147339</v>
      </c>
      <c r="L146" s="2077">
        <f t="shared" si="63"/>
        <v>15414699.664411109</v>
      </c>
      <c r="M146" s="2077">
        <f t="shared" si="63"/>
        <v>16064454.642555257</v>
      </c>
      <c r="N146" s="2077">
        <f t="shared" si="63"/>
        <v>16577894.035784008</v>
      </c>
      <c r="O146" s="2077">
        <f t="shared" si="63"/>
        <v>17157981.435938202</v>
      </c>
      <c r="P146" s="2077">
        <f t="shared" si="63"/>
        <v>17556309.569991738</v>
      </c>
      <c r="Q146" s="2077">
        <f t="shared" si="63"/>
        <v>17772200.630018212</v>
      </c>
      <c r="R146" s="2077">
        <f t="shared" si="63"/>
        <v>17987431.175575204</v>
      </c>
      <c r="S146" s="2077">
        <f t="shared" si="63"/>
        <v>18209934.600168623</v>
      </c>
      <c r="T146" s="2077">
        <f t="shared" si="63"/>
        <v>18444328.539215155</v>
      </c>
      <c r="U146" s="2077">
        <f t="shared" si="63"/>
        <v>18665959.683060635</v>
      </c>
      <c r="V146" s="2077">
        <f t="shared" si="63"/>
        <v>18887524.131911658</v>
      </c>
      <c r="W146" s="2077">
        <f t="shared" si="63"/>
        <v>19116823.178476162</v>
      </c>
      <c r="X146" s="3914">
        <f t="shared" si="63"/>
        <v>19519075.126907885</v>
      </c>
      <c r="Y146" s="2077">
        <f t="shared" si="63"/>
        <v>19956190.999027699</v>
      </c>
      <c r="Z146" s="2077">
        <f t="shared" si="63"/>
        <v>20404670.253091447</v>
      </c>
      <c r="AA146" s="2077">
        <f t="shared" si="63"/>
        <v>21050567.62042506</v>
      </c>
      <c r="AB146" s="2077">
        <f t="shared" si="63"/>
        <v>21527363.1503844</v>
      </c>
      <c r="AC146" s="2077">
        <f t="shared" si="63"/>
        <v>22016579.26417518</v>
      </c>
      <c r="AD146" s="2077">
        <f t="shared" si="63"/>
        <v>22518548.190526202</v>
      </c>
      <c r="AE146" s="2077">
        <f t="shared" si="63"/>
        <v>23033611.220032733</v>
      </c>
      <c r="AF146" s="2077">
        <f t="shared" si="63"/>
        <v>23562118.956087757</v>
      </c>
      <c r="AG146" s="2077">
        <f t="shared" si="63"/>
        <v>24104431.57284686</v>
      </c>
      <c r="AH146" s="2077">
        <f t="shared" si="63"/>
        <v>24884229.044248749</v>
      </c>
      <c r="AI146" s="2077">
        <f t="shared" si="63"/>
        <v>25692148.413356673</v>
      </c>
      <c r="AJ146" s="2077">
        <f t="shared" si="63"/>
        <v>26289789.69670577</v>
      </c>
      <c r="AK146" s="2077">
        <f t="shared" si="63"/>
        <v>26903083.015466131</v>
      </c>
      <c r="AL146" s="2077">
        <f t="shared" si="63"/>
        <v>27532448.728873692</v>
      </c>
      <c r="AM146" s="2077">
        <f t="shared" si="63"/>
        <v>28178318.698409386</v>
      </c>
      <c r="AN146" s="2077">
        <f t="shared" si="63"/>
        <v>28841136.607138265</v>
      </c>
      <c r="AO146" s="2077">
        <f t="shared" si="63"/>
        <v>0</v>
      </c>
    </row>
    <row r="147" spans="1:41">
      <c r="A147" s="1078"/>
      <c r="B147" s="1181"/>
      <c r="C147" s="2121"/>
      <c r="D147" s="1181"/>
      <c r="E147" s="1181"/>
      <c r="F147" s="1181"/>
      <c r="G147" s="2121"/>
      <c r="H147" s="1078"/>
      <c r="I147" s="1078"/>
      <c r="J147" s="1078"/>
      <c r="K147" s="1078"/>
      <c r="L147" s="1078"/>
      <c r="M147" s="1078"/>
      <c r="N147" s="1078"/>
      <c r="O147" s="1078"/>
      <c r="P147" s="1078"/>
      <c r="Q147" s="1078"/>
      <c r="R147" s="1078"/>
      <c r="S147" s="1078"/>
      <c r="T147" s="1078"/>
      <c r="U147" s="1078"/>
      <c r="V147" s="1078"/>
      <c r="W147" s="1078"/>
      <c r="X147" s="3915"/>
      <c r="Y147" s="1078"/>
      <c r="Z147" s="1078"/>
      <c r="AA147" s="1078"/>
      <c r="AB147" s="1078"/>
      <c r="AC147" s="1078"/>
      <c r="AD147" s="1078"/>
      <c r="AE147" s="1078"/>
      <c r="AF147" s="1078"/>
      <c r="AG147" s="1078"/>
      <c r="AH147" s="1078"/>
      <c r="AI147" s="1078"/>
      <c r="AJ147" s="1078"/>
      <c r="AK147" s="1078"/>
      <c r="AL147" s="1078"/>
      <c r="AM147" s="1078"/>
      <c r="AN147" s="1078"/>
      <c r="AO147" s="1078"/>
    </row>
    <row r="148" spans="1:41">
      <c r="A148" s="2077" t="s">
        <v>2037</v>
      </c>
      <c r="B148" s="1179"/>
      <c r="C148" s="1180">
        <f>C111</f>
        <v>33153.928</v>
      </c>
      <c r="D148" s="1179">
        <f>D111</f>
        <v>27543921.462439902</v>
      </c>
      <c r="E148" s="1179">
        <f>E111</f>
        <v>64055</v>
      </c>
      <c r="F148" s="1179">
        <f>F111</f>
        <v>50784988.143320002</v>
      </c>
      <c r="G148" s="1180">
        <v>60978.420195552346</v>
      </c>
      <c r="H148" s="2077">
        <f>H111</f>
        <v>67069487</v>
      </c>
      <c r="I148" s="2077">
        <v>40482000</v>
      </c>
      <c r="J148" s="2077">
        <f t="shared" ref="J148:AO148" si="64">J111</f>
        <v>40507713.233493328</v>
      </c>
      <c r="K148" s="2077">
        <f t="shared" si="64"/>
        <v>55859940.056760222</v>
      </c>
      <c r="L148" s="2077">
        <f t="shared" si="64"/>
        <v>56490087.421787985</v>
      </c>
      <c r="M148" s="2077">
        <f t="shared" si="64"/>
        <v>50484163.234991513</v>
      </c>
      <c r="N148" s="2077">
        <f t="shared" si="64"/>
        <v>36557616.913764171</v>
      </c>
      <c r="O148" s="2077">
        <f t="shared" si="64"/>
        <v>36782576.967435479</v>
      </c>
      <c r="P148" s="2077">
        <f t="shared" si="64"/>
        <v>29624623.358669013</v>
      </c>
      <c r="Q148" s="2077">
        <f t="shared" si="64"/>
        <v>28440921.388066828</v>
      </c>
      <c r="R148" s="2077">
        <f t="shared" si="64"/>
        <v>28893250.826545011</v>
      </c>
      <c r="S148" s="2077">
        <f t="shared" si="64"/>
        <v>29485638.000941362</v>
      </c>
      <c r="T148" s="2077">
        <f t="shared" si="64"/>
        <v>30441804.713669606</v>
      </c>
      <c r="U148" s="2077">
        <f t="shared" si="64"/>
        <v>30974144.104670689</v>
      </c>
      <c r="V148" s="2077">
        <f t="shared" si="64"/>
        <v>60823236.279632151</v>
      </c>
      <c r="W148" s="2077">
        <f t="shared" si="64"/>
        <v>62647933.368021116</v>
      </c>
      <c r="X148" s="3914">
        <f t="shared" si="64"/>
        <v>64527371.369061753</v>
      </c>
      <c r="Y148" s="2077">
        <f t="shared" si="64"/>
        <v>66463192.510133609</v>
      </c>
      <c r="Z148" s="2077">
        <f t="shared" si="64"/>
        <v>68457088.285437614</v>
      </c>
      <c r="AA148" s="2077">
        <f t="shared" si="64"/>
        <v>70510800.934000745</v>
      </c>
      <c r="AB148" s="2077">
        <f t="shared" si="64"/>
        <v>72626124.96202077</v>
      </c>
      <c r="AC148" s="2077">
        <f t="shared" si="64"/>
        <v>74804908.710881397</v>
      </c>
      <c r="AD148" s="2077">
        <f t="shared" si="64"/>
        <v>77049055.972207844</v>
      </c>
      <c r="AE148" s="2077">
        <f t="shared" si="64"/>
        <v>68307126.895197272</v>
      </c>
      <c r="AF148" s="2077">
        <f t="shared" si="64"/>
        <v>70356340.702053189</v>
      </c>
      <c r="AG148" s="2077">
        <f t="shared" si="64"/>
        <v>72467030.923114792</v>
      </c>
      <c r="AH148" s="2077">
        <f t="shared" si="64"/>
        <v>74641041.850808233</v>
      </c>
      <c r="AI148" s="2077">
        <f t="shared" si="64"/>
        <v>76880273.106332481</v>
      </c>
      <c r="AJ148" s="2077">
        <f t="shared" si="64"/>
        <v>79186681.29952246</v>
      </c>
      <c r="AK148" s="2077">
        <f t="shared" si="64"/>
        <v>81562281.738508135</v>
      </c>
      <c r="AL148" s="2077">
        <f t="shared" si="64"/>
        <v>84009150.190663397</v>
      </c>
      <c r="AM148" s="2077">
        <f t="shared" si="64"/>
        <v>86529424.696383297</v>
      </c>
      <c r="AN148" s="2077">
        <f t="shared" si="64"/>
        <v>89125307.437274784</v>
      </c>
      <c r="AO148" s="2077">
        <f t="shared" si="64"/>
        <v>91799066.660393029</v>
      </c>
    </row>
    <row r="149" spans="1:41">
      <c r="A149" s="2078"/>
      <c r="B149" s="1182"/>
      <c r="C149" s="2122"/>
      <c r="D149" s="1182"/>
      <c r="E149" s="1182"/>
      <c r="F149" s="1182"/>
      <c r="G149" s="2122"/>
      <c r="H149" s="2078"/>
      <c r="I149" s="2078"/>
      <c r="J149" s="2078"/>
      <c r="K149" s="2078"/>
      <c r="L149" s="2078"/>
      <c r="M149" s="2078"/>
      <c r="N149" s="2078"/>
      <c r="O149" s="2078"/>
      <c r="P149" s="2078"/>
      <c r="Q149" s="2078"/>
      <c r="R149" s="2078"/>
      <c r="S149" s="2078"/>
      <c r="T149" s="2078"/>
      <c r="U149" s="2078"/>
      <c r="V149" s="2078"/>
      <c r="W149" s="2078"/>
      <c r="X149" s="3916"/>
      <c r="Y149" s="2078"/>
      <c r="Z149" s="2078"/>
      <c r="AA149" s="2078"/>
      <c r="AB149" s="2078"/>
      <c r="AC149" s="2078"/>
      <c r="AD149" s="2078"/>
      <c r="AE149" s="2078"/>
      <c r="AF149" s="2078"/>
      <c r="AG149" s="2078"/>
      <c r="AH149" s="2078"/>
      <c r="AI149" s="2078"/>
      <c r="AJ149" s="2078"/>
      <c r="AK149" s="2078"/>
      <c r="AL149" s="2078"/>
      <c r="AM149" s="2078"/>
      <c r="AN149" s="2078"/>
      <c r="AO149" s="2078"/>
    </row>
    <row r="150" spans="1:41">
      <c r="A150" s="2077" t="s">
        <v>2038</v>
      </c>
      <c r="B150" s="1179"/>
      <c r="C150" s="1180">
        <f>C112</f>
        <v>120243.15300000001</v>
      </c>
      <c r="D150" s="1179">
        <f>D112</f>
        <v>91299911.187559411</v>
      </c>
      <c r="E150" s="1179">
        <f>E112</f>
        <v>121176</v>
      </c>
      <c r="F150" s="1179">
        <f>F112</f>
        <v>100658098.2066799</v>
      </c>
      <c r="G150" s="1180">
        <v>124705.23408958293</v>
      </c>
      <c r="H150" s="2077">
        <f>H112</f>
        <v>141644212</v>
      </c>
      <c r="I150" s="2077">
        <v>101702000</v>
      </c>
      <c r="J150" s="2077">
        <f t="shared" ref="J150:AO150" si="65">J112</f>
        <v>131812331.67782202</v>
      </c>
      <c r="K150" s="2077">
        <f t="shared" si="65"/>
        <v>74462748.910715029</v>
      </c>
      <c r="L150" s="2077">
        <f t="shared" si="65"/>
        <v>102281900.20156313</v>
      </c>
      <c r="M150" s="2077">
        <f t="shared" si="65"/>
        <v>99543886.701859042</v>
      </c>
      <c r="N150" s="2077">
        <f t="shared" si="65"/>
        <v>64451007.365840778</v>
      </c>
      <c r="O150" s="2077">
        <f t="shared" si="65"/>
        <v>62087862.309248246</v>
      </c>
      <c r="P150" s="2077">
        <f t="shared" si="65"/>
        <v>64454181.316339605</v>
      </c>
      <c r="Q150" s="2077">
        <f t="shared" si="65"/>
        <v>73092302.06443359</v>
      </c>
      <c r="R150" s="2077">
        <f t="shared" si="65"/>
        <v>70369235.405966908</v>
      </c>
      <c r="S150" s="2077">
        <f t="shared" si="65"/>
        <v>69471651.131245911</v>
      </c>
      <c r="T150" s="2077">
        <f t="shared" si="65"/>
        <v>104666179.29008329</v>
      </c>
      <c r="U150" s="2077">
        <f t="shared" si="65"/>
        <v>87696792.392394811</v>
      </c>
      <c r="V150" s="2077">
        <f t="shared" si="65"/>
        <v>41527016.121733375</v>
      </c>
      <c r="W150" s="2077">
        <f t="shared" si="65"/>
        <v>42772826.605385378</v>
      </c>
      <c r="X150" s="3914">
        <f t="shared" si="65"/>
        <v>44056011.403546937</v>
      </c>
      <c r="Y150" s="2077">
        <f t="shared" si="65"/>
        <v>45377691.745653346</v>
      </c>
      <c r="Z150" s="2077">
        <f t="shared" si="65"/>
        <v>46739022.498022951</v>
      </c>
      <c r="AA150" s="2077">
        <f t="shared" si="65"/>
        <v>48141193.172963642</v>
      </c>
      <c r="AB150" s="2077">
        <f t="shared" si="65"/>
        <v>49585428.968152553</v>
      </c>
      <c r="AC150" s="2077">
        <f t="shared" si="65"/>
        <v>51072991.837197132</v>
      </c>
      <c r="AD150" s="2077">
        <f t="shared" si="65"/>
        <v>52605181.592313051</v>
      </c>
      <c r="AE150" s="2077">
        <f t="shared" si="65"/>
        <v>54183337.040082447</v>
      </c>
      <c r="AF150" s="2077">
        <f t="shared" si="65"/>
        <v>55808837.151284926</v>
      </c>
      <c r="AG150" s="2077">
        <f t="shared" si="65"/>
        <v>57483102.265823476</v>
      </c>
      <c r="AH150" s="2077">
        <f t="shared" si="65"/>
        <v>59207595.333798185</v>
      </c>
      <c r="AI150" s="2077">
        <f t="shared" si="65"/>
        <v>97574117.110099405</v>
      </c>
      <c r="AJ150" s="2077">
        <f t="shared" si="65"/>
        <v>100501340.62340239</v>
      </c>
      <c r="AK150" s="2077">
        <f t="shared" si="65"/>
        <v>103516380.84210446</v>
      </c>
      <c r="AL150" s="2077">
        <f t="shared" si="65"/>
        <v>106621872.2673676</v>
      </c>
      <c r="AM150" s="2077">
        <f t="shared" si="65"/>
        <v>109820528.43538862</v>
      </c>
      <c r="AN150" s="2077">
        <f t="shared" si="65"/>
        <v>113115144.28845027</v>
      </c>
      <c r="AO150" s="2077">
        <f t="shared" si="65"/>
        <v>116508598.61710379</v>
      </c>
    </row>
    <row r="151" spans="1:41">
      <c r="A151" s="2079"/>
      <c r="B151" s="1183"/>
      <c r="C151" s="2125"/>
      <c r="D151" s="1183"/>
      <c r="E151" s="1183"/>
      <c r="F151" s="1183"/>
      <c r="G151" s="2125"/>
      <c r="H151" s="2079"/>
      <c r="I151" s="2079"/>
      <c r="J151" s="2079"/>
      <c r="K151" s="2079"/>
      <c r="L151" s="2079"/>
      <c r="M151" s="2079"/>
      <c r="N151" s="2079"/>
      <c r="O151" s="2079"/>
      <c r="P151" s="2079"/>
      <c r="Q151" s="2079"/>
      <c r="R151" s="2079"/>
      <c r="S151" s="2079"/>
      <c r="T151" s="2079"/>
      <c r="U151" s="2079"/>
      <c r="V151" s="2079"/>
      <c r="W151" s="2079"/>
      <c r="X151" s="3917"/>
      <c r="Y151" s="2079"/>
      <c r="Z151" s="2079"/>
      <c r="AA151" s="2079"/>
      <c r="AB151" s="2079"/>
      <c r="AC151" s="2079"/>
      <c r="AD151" s="2079"/>
      <c r="AE151" s="2079"/>
      <c r="AF151" s="2079"/>
      <c r="AG151" s="2079"/>
      <c r="AH151" s="2079"/>
      <c r="AI151" s="2079"/>
      <c r="AJ151" s="2079"/>
      <c r="AK151" s="2079"/>
      <c r="AL151" s="2079"/>
      <c r="AM151" s="2079"/>
      <c r="AN151" s="2079"/>
      <c r="AO151" s="2079"/>
    </row>
    <row r="152" spans="1:41">
      <c r="A152" s="2077" t="s">
        <v>2039</v>
      </c>
      <c r="B152" s="1179"/>
      <c r="C152" s="1180">
        <f>SUM(C72+C81)</f>
        <v>84632.517999999996</v>
      </c>
      <c r="D152" s="1179">
        <f>SUM(D72+D81)</f>
        <v>83181018.510000005</v>
      </c>
      <c r="E152" s="1179">
        <f>E81+E72</f>
        <v>90793</v>
      </c>
      <c r="F152" s="1179">
        <f>SUM(F72+F81)</f>
        <v>92256516.219999999</v>
      </c>
      <c r="G152" s="1180">
        <v>92285.126992999998</v>
      </c>
      <c r="H152" s="2077">
        <f>SUM(H72+H81)</f>
        <v>88278584</v>
      </c>
      <c r="I152" s="2077">
        <v>84921000</v>
      </c>
      <c r="J152" s="2077">
        <f t="shared" ref="J152:AO152" si="66">SUM(J72+J81)</f>
        <v>84771783.505005598</v>
      </c>
      <c r="K152" s="2077">
        <f t="shared" si="66"/>
        <v>95076794.642880499</v>
      </c>
      <c r="L152" s="2077">
        <f t="shared" si="66"/>
        <v>99029357.205107659</v>
      </c>
      <c r="M152" s="2077">
        <f t="shared" si="66"/>
        <v>99695720.74674587</v>
      </c>
      <c r="N152" s="2077">
        <f t="shared" si="66"/>
        <v>111876103.35525313</v>
      </c>
      <c r="O152" s="2077">
        <f t="shared" si="66"/>
        <v>113853311.46065502</v>
      </c>
      <c r="P152" s="2077">
        <f t="shared" si="66"/>
        <v>116018545.57319058</v>
      </c>
      <c r="Q152" s="2077">
        <f t="shared" si="66"/>
        <v>112579256.76986471</v>
      </c>
      <c r="R152" s="2077">
        <f t="shared" si="66"/>
        <v>111713137.2762433</v>
      </c>
      <c r="S152" s="2077">
        <f t="shared" si="66"/>
        <v>94414063.569959953</v>
      </c>
      <c r="T152" s="2077">
        <f t="shared" si="66"/>
        <v>97360205.867480159</v>
      </c>
      <c r="U152" s="2077">
        <f t="shared" si="66"/>
        <v>98823755.108765304</v>
      </c>
      <c r="V152" s="2077">
        <f t="shared" si="66"/>
        <v>94528342.368251309</v>
      </c>
      <c r="W152" s="2077">
        <f t="shared" si="66"/>
        <v>99024815.796586946</v>
      </c>
      <c r="X152" s="3914">
        <f t="shared" si="66"/>
        <v>103261608.42666855</v>
      </c>
      <c r="Y152" s="2077">
        <f t="shared" si="66"/>
        <v>105496862.2639261</v>
      </c>
      <c r="Z152" s="2077">
        <f t="shared" si="66"/>
        <v>106907842.62989309</v>
      </c>
      <c r="AA152" s="2077">
        <f t="shared" si="66"/>
        <v>101562951.82288623</v>
      </c>
      <c r="AB152" s="2077">
        <f t="shared" si="66"/>
        <v>102257519.41659608</v>
      </c>
      <c r="AC152" s="2077">
        <f t="shared" si="66"/>
        <v>102748846.8040662</v>
      </c>
      <c r="AD152" s="2077">
        <f t="shared" si="66"/>
        <v>104429038.02975708</v>
      </c>
      <c r="AE152" s="2077">
        <f t="shared" si="66"/>
        <v>105643687.76339915</v>
      </c>
      <c r="AF152" s="2077">
        <f t="shared" si="66"/>
        <v>105145459.87491167</v>
      </c>
      <c r="AG152" s="2077">
        <f t="shared" si="66"/>
        <v>108716517.03815824</v>
      </c>
      <c r="AH152" s="2077">
        <f t="shared" si="66"/>
        <v>109981195.21984355</v>
      </c>
      <c r="AI152" s="2077">
        <f t="shared" si="66"/>
        <v>116230170.35268918</v>
      </c>
      <c r="AJ152" s="2077">
        <f t="shared" si="66"/>
        <v>106131362.88693985</v>
      </c>
      <c r="AK152" s="2077">
        <f t="shared" si="66"/>
        <v>110257318.55095154</v>
      </c>
      <c r="AL152" s="2077">
        <f t="shared" si="66"/>
        <v>117428727.85644065</v>
      </c>
      <c r="AM152" s="2077">
        <f t="shared" si="66"/>
        <v>105093340.73066017</v>
      </c>
      <c r="AN152" s="2077">
        <f t="shared" si="66"/>
        <v>98630762.777578145</v>
      </c>
      <c r="AO152" s="2077">
        <f t="shared" si="66"/>
        <v>25172680.608302861</v>
      </c>
    </row>
    <row r="153" spans="1:41">
      <c r="A153" s="2123"/>
      <c r="B153" s="1184"/>
      <c r="C153" s="2124"/>
      <c r="D153" s="1184"/>
      <c r="E153" s="1184"/>
      <c r="F153" s="1184"/>
      <c r="G153" s="2124"/>
      <c r="H153" s="1184"/>
      <c r="I153" s="1184"/>
      <c r="J153" s="1184"/>
      <c r="K153" s="1184"/>
      <c r="L153" s="1184"/>
      <c r="M153" s="1184"/>
      <c r="N153" s="1184"/>
      <c r="O153" s="1184"/>
      <c r="P153" s="1184"/>
      <c r="Q153" s="1184"/>
      <c r="R153" s="1184"/>
      <c r="S153" s="1184"/>
      <c r="T153" s="1184"/>
      <c r="U153" s="1184"/>
      <c r="V153" s="1184"/>
      <c r="W153" s="1184"/>
      <c r="X153" s="3918"/>
      <c r="Y153" s="1184"/>
      <c r="Z153" s="1184"/>
      <c r="AA153" s="1184"/>
      <c r="AB153" s="1184"/>
      <c r="AC153" s="1184"/>
      <c r="AD153" s="1184"/>
      <c r="AE153" s="1184"/>
      <c r="AF153" s="1184"/>
      <c r="AG153" s="1184"/>
      <c r="AH153" s="1184"/>
      <c r="AI153" s="1184"/>
      <c r="AJ153" s="1184"/>
      <c r="AK153" s="1184"/>
      <c r="AL153" s="1184"/>
      <c r="AM153" s="1184"/>
      <c r="AN153" s="1184"/>
      <c r="AO153" s="1184"/>
    </row>
    <row r="154" spans="1:41">
      <c r="A154" s="2080" t="s">
        <v>2040</v>
      </c>
      <c r="B154" s="1185"/>
      <c r="C154" s="1186">
        <f>C144+C146+C148+C150+C152</f>
        <v>353359.99899999995</v>
      </c>
      <c r="D154" s="1185">
        <f>D144+D146+D148+D150+D152</f>
        <v>314467186.03747332</v>
      </c>
      <c r="E154" s="1185">
        <f>E144+E146+E148+E150+E152</f>
        <v>396590.92855000001</v>
      </c>
      <c r="F154" s="1185">
        <f>F144+F146+F148+F150+F152</f>
        <v>311608956.24381948</v>
      </c>
      <c r="G154" s="1187">
        <v>399349.55039646983</v>
      </c>
      <c r="H154" s="1185">
        <f>H144+H146+H148+H150+H152</f>
        <v>417393440.47000003</v>
      </c>
      <c r="I154" s="1185">
        <f>I144+I146+I148+I150+I152</f>
        <v>352095000</v>
      </c>
      <c r="J154" s="1185">
        <f t="shared" ref="J154:AO154" si="67">J144+J146+J148+J150+J152</f>
        <v>399249317.64205027</v>
      </c>
      <c r="K154" s="1185">
        <f t="shared" si="67"/>
        <v>350950265.49057347</v>
      </c>
      <c r="L154" s="1185">
        <f t="shared" si="67"/>
        <v>384287166.80384159</v>
      </c>
      <c r="M154" s="1185">
        <f t="shared" si="67"/>
        <v>380180857.51936042</v>
      </c>
      <c r="N154" s="1185">
        <f t="shared" si="67"/>
        <v>347293888.03373706</v>
      </c>
      <c r="O154" s="1185">
        <f t="shared" si="67"/>
        <v>349435864.91649592</v>
      </c>
      <c r="P154" s="1185">
        <f t="shared" si="67"/>
        <v>350716012.86911571</v>
      </c>
      <c r="Q154" s="1185">
        <f t="shared" si="67"/>
        <v>358560956.75318658</v>
      </c>
      <c r="R154" s="1185">
        <f t="shared" si="67"/>
        <v>359362148.71420878</v>
      </c>
      <c r="S154" s="1185">
        <f t="shared" si="67"/>
        <v>345815384.29039782</v>
      </c>
      <c r="T154" s="1185">
        <f t="shared" si="67"/>
        <v>389097192.50247079</v>
      </c>
      <c r="U154" s="1185">
        <f t="shared" si="67"/>
        <v>378414968.75864178</v>
      </c>
      <c r="V154" s="1185">
        <f t="shared" si="67"/>
        <v>362212744.10089082</v>
      </c>
      <c r="W154" s="1185">
        <f t="shared" si="67"/>
        <v>374327703.49285406</v>
      </c>
      <c r="X154" s="3919">
        <f t="shared" si="67"/>
        <v>386578241.61514747</v>
      </c>
      <c r="Y154" s="1185">
        <f t="shared" si="67"/>
        <v>397091110.69472641</v>
      </c>
      <c r="Z154" s="1185">
        <f t="shared" si="67"/>
        <v>407026977.11782277</v>
      </c>
      <c r="AA154" s="1185">
        <f t="shared" si="67"/>
        <v>410647408.06815344</v>
      </c>
      <c r="AB154" s="1185">
        <f t="shared" si="67"/>
        <v>420388538.19891298</v>
      </c>
      <c r="AC154" s="1185">
        <f t="shared" si="67"/>
        <v>430196737.75234824</v>
      </c>
      <c r="AD154" s="1185">
        <f t="shared" si="67"/>
        <v>441472217.54857641</v>
      </c>
      <c r="AE154" s="1185">
        <f t="shared" si="67"/>
        <v>441515522.38414538</v>
      </c>
      <c r="AF154" s="1185">
        <f t="shared" si="67"/>
        <v>450863117.99825794</v>
      </c>
      <c r="AG154" s="1185">
        <f t="shared" si="67"/>
        <v>464574281.76151919</v>
      </c>
      <c r="AH154" s="1185">
        <f t="shared" si="67"/>
        <v>476505489.61187488</v>
      </c>
      <c r="AI154" s="1185">
        <f t="shared" si="67"/>
        <v>530337064.42172301</v>
      </c>
      <c r="AJ154" s="1185">
        <f t="shared" si="67"/>
        <v>532424627.39069593</v>
      </c>
      <c r="AK154" s="1185">
        <f t="shared" si="67"/>
        <v>549101422.27041197</v>
      </c>
      <c r="AL154" s="1185">
        <f t="shared" si="67"/>
        <v>569199079.46861327</v>
      </c>
      <c r="AM154" s="1185">
        <f t="shared" si="67"/>
        <v>570176618.53197932</v>
      </c>
      <c r="AN154" s="1185">
        <f t="shared" si="67"/>
        <v>577425254.40028179</v>
      </c>
      <c r="AO154" s="1185">
        <f t="shared" si="67"/>
        <v>372926325.28895009</v>
      </c>
    </row>
    <row r="155" spans="1:41">
      <c r="A155" s="1188"/>
      <c r="B155" s="1188"/>
      <c r="C155" s="1189"/>
      <c r="D155" s="1188"/>
      <c r="E155" s="1188"/>
      <c r="F155" s="1188"/>
      <c r="G155" s="1169"/>
      <c r="H155" s="1188"/>
      <c r="I155" s="1188"/>
      <c r="J155" s="1188"/>
      <c r="K155" s="1190"/>
      <c r="L155" s="1190"/>
      <c r="M155" s="1190"/>
      <c r="N155" s="1190"/>
      <c r="O155" s="1190"/>
      <c r="P155" s="1190"/>
      <c r="Q155" s="1190"/>
      <c r="R155" s="1190"/>
      <c r="S155" s="1190"/>
      <c r="T155" s="1190"/>
      <c r="U155" s="1190"/>
      <c r="V155" s="1190"/>
      <c r="W155" s="1190"/>
      <c r="X155" s="3920"/>
      <c r="Y155" s="1190"/>
      <c r="Z155" s="1190"/>
      <c r="AA155" s="1190"/>
      <c r="AB155" s="1190"/>
      <c r="AC155" s="1190"/>
      <c r="AD155" s="1190"/>
      <c r="AE155" s="1190"/>
      <c r="AF155" s="1190"/>
      <c r="AG155" s="1190"/>
      <c r="AH155" s="1190"/>
      <c r="AI155" s="1190"/>
      <c r="AJ155" s="1190"/>
      <c r="AK155" s="1190"/>
      <c r="AL155" s="1190"/>
      <c r="AM155" s="1190"/>
      <c r="AN155" s="1190"/>
      <c r="AO155" s="1190"/>
    </row>
    <row r="156" spans="1:41">
      <c r="A156" s="1191" t="s">
        <v>2041</v>
      </c>
      <c r="B156" s="1191"/>
      <c r="C156" s="1192"/>
      <c r="D156" s="1191"/>
      <c r="E156" s="1191"/>
      <c r="F156" s="1191"/>
      <c r="G156" s="1193"/>
      <c r="H156" s="1191"/>
      <c r="I156" s="1191"/>
      <c r="J156" s="1191"/>
      <c r="K156" s="1078"/>
      <c r="L156" s="1078"/>
      <c r="M156" s="1078"/>
      <c r="N156" s="1078"/>
      <c r="O156" s="1078"/>
      <c r="P156" s="1078"/>
      <c r="Q156" s="1078"/>
      <c r="R156" s="1078"/>
      <c r="S156" s="1078"/>
      <c r="T156" s="1078"/>
      <c r="U156" s="1078"/>
      <c r="V156" s="1078"/>
      <c r="W156" s="1078"/>
      <c r="X156" s="3915"/>
      <c r="Y156" s="1078"/>
      <c r="Z156" s="1078"/>
      <c r="AA156" s="1078"/>
      <c r="AB156" s="1078"/>
      <c r="AC156" s="1078"/>
      <c r="AD156" s="1078"/>
      <c r="AE156" s="1078"/>
      <c r="AF156" s="1078"/>
      <c r="AG156" s="1078"/>
      <c r="AH156" s="1078"/>
      <c r="AI156" s="1078"/>
      <c r="AJ156" s="1078"/>
      <c r="AK156" s="1078"/>
      <c r="AL156" s="1078"/>
      <c r="AM156" s="1078"/>
      <c r="AN156" s="1078"/>
      <c r="AO156" s="1078"/>
    </row>
    <row r="157" spans="1:41">
      <c r="A157" s="2081" t="s">
        <v>2042</v>
      </c>
      <c r="B157" s="1194"/>
      <c r="C157" s="1195">
        <f>-C58</f>
        <v>-8871</v>
      </c>
      <c r="D157" s="1194">
        <f>-D58</f>
        <v>-8660241</v>
      </c>
      <c r="E157" s="1194">
        <v>-1850</v>
      </c>
      <c r="F157" s="1194">
        <f>-F58</f>
        <v>-3847423.78</v>
      </c>
      <c r="G157" s="1195">
        <v>-1850</v>
      </c>
      <c r="H157" s="2081">
        <f>-H58</f>
        <v>-11966255.630000001</v>
      </c>
      <c r="I157" s="2081">
        <v>-2241000</v>
      </c>
      <c r="J157" s="2081">
        <f t="shared" ref="J157:AO157" si="68">-J58</f>
        <v>-26929447.538589526</v>
      </c>
      <c r="K157" s="2081">
        <f t="shared" si="68"/>
        <v>-14616855.670935536</v>
      </c>
      <c r="L157" s="2081">
        <f t="shared" si="68"/>
        <v>-19803543.492444742</v>
      </c>
      <c r="M157" s="2081">
        <f t="shared" si="68"/>
        <v>-11613574.382100558</v>
      </c>
      <c r="N157" s="2081">
        <f t="shared" si="68"/>
        <v>-3744649.6412778571</v>
      </c>
      <c r="O157" s="2081">
        <f t="shared" si="68"/>
        <v>-2291704.0001661079</v>
      </c>
      <c r="P157" s="2081">
        <f t="shared" si="68"/>
        <v>-2302016.6681668554</v>
      </c>
      <c r="Q157" s="2081">
        <f t="shared" si="68"/>
        <v>-2312375.7431736062</v>
      </c>
      <c r="R157" s="2081">
        <f t="shared" si="68"/>
        <v>-2322781.4340178873</v>
      </c>
      <c r="S157" s="2081">
        <f t="shared" si="68"/>
        <v>-2333233.9504709677</v>
      </c>
      <c r="T157" s="2081">
        <f t="shared" si="68"/>
        <v>-2343733.5032480871</v>
      </c>
      <c r="U157" s="2081">
        <f t="shared" si="68"/>
        <v>-2354280.3040127032</v>
      </c>
      <c r="V157" s="2081">
        <f t="shared" si="68"/>
        <v>-2364874.5653807605</v>
      </c>
      <c r="W157" s="2081">
        <f t="shared" si="68"/>
        <v>-2375516.5009249737</v>
      </c>
      <c r="X157" s="3921">
        <f t="shared" si="68"/>
        <v>-2386206.3251791359</v>
      </c>
      <c r="Y157" s="2081">
        <f t="shared" si="68"/>
        <v>-2396944.2536424417</v>
      </c>
      <c r="Z157" s="2081">
        <f t="shared" si="68"/>
        <v>-2407730.5027838326</v>
      </c>
      <c r="AA157" s="2081">
        <f t="shared" si="68"/>
        <v>-2418565.2900463599</v>
      </c>
      <c r="AB157" s="2081">
        <f t="shared" si="68"/>
        <v>-2429448.8338515684</v>
      </c>
      <c r="AC157" s="2081">
        <f t="shared" si="68"/>
        <v>-2440381.3536039004</v>
      </c>
      <c r="AD157" s="2081">
        <f t="shared" si="68"/>
        <v>-2451363.0696951179</v>
      </c>
      <c r="AE157" s="2081">
        <f t="shared" si="68"/>
        <v>-2462394.2035087459</v>
      </c>
      <c r="AF157" s="2081">
        <f t="shared" si="68"/>
        <v>-2473474.977424535</v>
      </c>
      <c r="AG157" s="2081">
        <f t="shared" si="68"/>
        <v>-2484605.6148229451</v>
      </c>
      <c r="AH157" s="2081">
        <f t="shared" si="68"/>
        <v>-2495786.340089648</v>
      </c>
      <c r="AI157" s="2081">
        <f t="shared" si="68"/>
        <v>-2507017.3786200513</v>
      </c>
      <c r="AJ157" s="2081">
        <f t="shared" si="68"/>
        <v>-2518298.9568238412</v>
      </c>
      <c r="AK157" s="2081">
        <f t="shared" si="68"/>
        <v>-2529631.3021295485</v>
      </c>
      <c r="AL157" s="2081">
        <f t="shared" si="68"/>
        <v>-2541014.6429891312</v>
      </c>
      <c r="AM157" s="2081">
        <f t="shared" si="68"/>
        <v>-2552449.2088825819</v>
      </c>
      <c r="AN157" s="2081">
        <f t="shared" si="68"/>
        <v>-2563935.2303225533</v>
      </c>
      <c r="AO157" s="2081">
        <f t="shared" si="68"/>
        <v>-2575473.9388590045</v>
      </c>
    </row>
    <row r="158" spans="1:41">
      <c r="A158" s="2081" t="s">
        <v>2043</v>
      </c>
      <c r="B158" s="1194"/>
      <c r="C158" s="1195">
        <f>-C49</f>
        <v>-54247</v>
      </c>
      <c r="D158" s="1194">
        <f>-D49</f>
        <v>-53005073.622378826</v>
      </c>
      <c r="E158" s="1194">
        <f>-E166</f>
        <v>-54918</v>
      </c>
      <c r="F158" s="1194">
        <f>-F49</f>
        <v>-45772445.50927861</v>
      </c>
      <c r="G158" s="1195">
        <v>-53210.859151169832</v>
      </c>
      <c r="H158" s="2081">
        <f>-H49</f>
        <v>-55640876.630000003</v>
      </c>
      <c r="I158" s="2081">
        <v>-55895000</v>
      </c>
      <c r="J158" s="2081">
        <f t="shared" ref="J158:AO158" si="69">-J49</f>
        <v>-64012023.615486041</v>
      </c>
      <c r="K158" s="2081">
        <f t="shared" si="69"/>
        <v>-50287769.335042104</v>
      </c>
      <c r="L158" s="2081">
        <f t="shared" si="69"/>
        <v>-47696710.041316852</v>
      </c>
      <c r="M158" s="2081">
        <f t="shared" si="69"/>
        <v>-45797856.155507594</v>
      </c>
      <c r="N158" s="2081">
        <f t="shared" si="69"/>
        <v>-42826114.727333158</v>
      </c>
      <c r="O158" s="2081">
        <f t="shared" si="69"/>
        <v>-41695282.308202237</v>
      </c>
      <c r="P158" s="2081">
        <f t="shared" si="69"/>
        <v>-40950608.385145001</v>
      </c>
      <c r="Q158" s="2081">
        <f t="shared" si="69"/>
        <v>-39043621.87753465</v>
      </c>
      <c r="R158" s="2081">
        <f t="shared" si="69"/>
        <v>-38407408.823920503</v>
      </c>
      <c r="S158" s="2081">
        <f t="shared" si="69"/>
        <v>-36221942.401171982</v>
      </c>
      <c r="T158" s="2081">
        <f t="shared" si="69"/>
        <v>-35845277.633717775</v>
      </c>
      <c r="U158" s="2081">
        <f t="shared" si="69"/>
        <v>-34986823.657224029</v>
      </c>
      <c r="V158" s="2081">
        <f t="shared" si="69"/>
        <v>-34133384.406057969</v>
      </c>
      <c r="W158" s="2081">
        <f t="shared" si="69"/>
        <v>-32539916.926344834</v>
      </c>
      <c r="X158" s="3921">
        <f t="shared" si="69"/>
        <v>-32312778.622354425</v>
      </c>
      <c r="Y158" s="2081">
        <f t="shared" si="69"/>
        <v>-31391193.371294621</v>
      </c>
      <c r="Z158" s="2081">
        <f t="shared" si="69"/>
        <v>-30492209.579666588</v>
      </c>
      <c r="AA158" s="2081">
        <f t="shared" si="69"/>
        <v>-28897022.551562566</v>
      </c>
      <c r="AB158" s="2081">
        <f t="shared" si="69"/>
        <v>-27500592.801006179</v>
      </c>
      <c r="AC158" s="2081">
        <f t="shared" si="69"/>
        <v>-26331281.299959905</v>
      </c>
      <c r="AD158" s="2081">
        <f t="shared" si="69"/>
        <v>-25319532.069376234</v>
      </c>
      <c r="AE158" s="2081">
        <f t="shared" si="69"/>
        <v>-24188159.218491159</v>
      </c>
      <c r="AF158" s="2081">
        <f t="shared" si="69"/>
        <v>-22821809.725038674</v>
      </c>
      <c r="AG158" s="2081">
        <f t="shared" si="69"/>
        <v>-21814900.662838683</v>
      </c>
      <c r="AH158" s="2081">
        <f t="shared" si="69"/>
        <v>-20243451.358009625</v>
      </c>
      <c r="AI158" s="2081">
        <f t="shared" si="69"/>
        <v>-19288898.599923927</v>
      </c>
      <c r="AJ158" s="2081">
        <f t="shared" si="69"/>
        <v>-16996498.905332286</v>
      </c>
      <c r="AK158" s="2081">
        <f t="shared" si="69"/>
        <v>-15997644.631638967</v>
      </c>
      <c r="AL158" s="2081">
        <f t="shared" si="69"/>
        <v>-14772109.639298294</v>
      </c>
      <c r="AM158" s="2081">
        <f t="shared" si="69"/>
        <v>-12797389.223112917</v>
      </c>
      <c r="AN158" s="2081">
        <f t="shared" si="69"/>
        <v>-10592967.043421675</v>
      </c>
      <c r="AO158" s="2081">
        <f t="shared" si="69"/>
        <v>-3491780.152839493</v>
      </c>
    </row>
    <row r="159" spans="1:41">
      <c r="A159" s="2081" t="s">
        <v>2044</v>
      </c>
      <c r="B159" s="1194"/>
      <c r="C159" s="1195">
        <f>-C55+C64</f>
        <v>-27385</v>
      </c>
      <c r="D159" s="1194">
        <f>-D55+D64</f>
        <v>-53620089.529999986</v>
      </c>
      <c r="E159" s="1194">
        <f>-E55+E64</f>
        <v>-26520.955999999998</v>
      </c>
      <c r="F159" s="1194">
        <f>-F55+F64</f>
        <v>-44707916.929692097</v>
      </c>
      <c r="G159" s="1195">
        <v>-33568.238035999995</v>
      </c>
      <c r="H159" s="2081">
        <f>-H55+H64</f>
        <v>-48728394.439999998</v>
      </c>
      <c r="I159" s="2081">
        <v>-46646000</v>
      </c>
      <c r="J159" s="2081">
        <f t="shared" ref="J159:AO159" si="70">-J55+J64</f>
        <v>-33407178.903999999</v>
      </c>
      <c r="K159" s="2081">
        <f t="shared" si="70"/>
        <v>-65789791.609670125</v>
      </c>
      <c r="L159" s="2081">
        <f t="shared" si="70"/>
        <v>-65416426.377415031</v>
      </c>
      <c r="M159" s="2081">
        <f t="shared" si="70"/>
        <v>-60368167.713239789</v>
      </c>
      <c r="N159" s="2081">
        <f t="shared" si="70"/>
        <v>-56719545.871171281</v>
      </c>
      <c r="O159" s="2081">
        <f t="shared" si="70"/>
        <v>-58477554.197983056</v>
      </c>
      <c r="P159" s="2081">
        <f t="shared" si="70"/>
        <v>-60378956.12610285</v>
      </c>
      <c r="Q159" s="2081">
        <f t="shared" si="70"/>
        <v>-62170297.417495653</v>
      </c>
      <c r="R159" s="2081">
        <f t="shared" si="70"/>
        <v>-64128235.310547382</v>
      </c>
      <c r="S159" s="2081">
        <f t="shared" si="70"/>
        <v>-66139187.772661746</v>
      </c>
      <c r="T159" s="2081">
        <f t="shared" si="70"/>
        <v>-68220066.624721512</v>
      </c>
      <c r="U159" s="2081">
        <f t="shared" si="70"/>
        <v>-70350128.472575486</v>
      </c>
      <c r="V159" s="2081">
        <f t="shared" si="70"/>
        <v>-72554088.890167356</v>
      </c>
      <c r="W159" s="2081">
        <f t="shared" si="70"/>
        <v>-74817398.76225093</v>
      </c>
      <c r="X159" s="3921">
        <f t="shared" si="70"/>
        <v>-77215024.752734482</v>
      </c>
      <c r="Y159" s="2081">
        <f t="shared" si="70"/>
        <v>-79618647.537678882</v>
      </c>
      <c r="Z159" s="2081">
        <f t="shared" si="70"/>
        <v>-82123667.034528732</v>
      </c>
      <c r="AA159" s="2081">
        <f t="shared" si="70"/>
        <v>-84705504.846332774</v>
      </c>
      <c r="AB159" s="2081">
        <f t="shared" si="70"/>
        <v>-87366497.763750374</v>
      </c>
      <c r="AC159" s="2081">
        <f t="shared" si="70"/>
        <v>-90109052.995441169</v>
      </c>
      <c r="AD159" s="2081">
        <f t="shared" si="70"/>
        <v>-92935650.265694231</v>
      </c>
      <c r="AE159" s="2081">
        <f t="shared" si="70"/>
        <v>-95848843.973641515</v>
      </c>
      <c r="AF159" s="2081">
        <f t="shared" si="70"/>
        <v>-98851265.415830672</v>
      </c>
      <c r="AG159" s="2081">
        <f t="shared" si="70"/>
        <v>-101945625.0739816</v>
      </c>
      <c r="AH159" s="2081">
        <f t="shared" si="70"/>
        <v>-105134714.96980104</v>
      </c>
      <c r="AI159" s="2081">
        <f t="shared" si="70"/>
        <v>-108421411.08878389</v>
      </c>
      <c r="AJ159" s="2081">
        <f t="shared" si="70"/>
        <v>-111808675.87498474</v>
      </c>
      <c r="AK159" s="2081">
        <f t="shared" si="70"/>
        <v>-115299560.79879504</v>
      </c>
      <c r="AL159" s="2081">
        <f t="shared" si="70"/>
        <v>-118897208.99982171</v>
      </c>
      <c r="AM159" s="2081">
        <f t="shared" si="70"/>
        <v>-122604858.00701983</v>
      </c>
      <c r="AN159" s="2081">
        <f t="shared" si="70"/>
        <v>-126425842.53829259</v>
      </c>
      <c r="AO159" s="2081">
        <f t="shared" si="70"/>
        <v>-130363597.38183437</v>
      </c>
    </row>
    <row r="160" spans="1:41">
      <c r="A160" s="2060" t="s">
        <v>2045</v>
      </c>
      <c r="B160" s="1194"/>
      <c r="C160" s="1195">
        <v>124999</v>
      </c>
      <c r="D160" s="1194">
        <v>125000</v>
      </c>
      <c r="E160" s="1194"/>
      <c r="F160" s="1194">
        <v>125000</v>
      </c>
      <c r="G160" s="1195">
        <v>0</v>
      </c>
      <c r="H160" s="2060">
        <v>157622</v>
      </c>
      <c r="I160" s="2060"/>
      <c r="J160" s="2060">
        <v>125000</v>
      </c>
      <c r="K160" s="2060">
        <v>125000</v>
      </c>
      <c r="L160" s="2060">
        <v>125000</v>
      </c>
      <c r="M160" s="2060">
        <v>125000</v>
      </c>
      <c r="N160" s="2060">
        <v>125000</v>
      </c>
      <c r="O160" s="2060">
        <v>125000</v>
      </c>
      <c r="P160" s="2060">
        <v>125000</v>
      </c>
      <c r="Q160" s="2060">
        <v>125000</v>
      </c>
      <c r="R160" s="2060">
        <v>125000</v>
      </c>
      <c r="S160" s="2060">
        <v>125000</v>
      </c>
      <c r="T160" s="2060">
        <v>125000</v>
      </c>
      <c r="U160" s="2060">
        <v>125000</v>
      </c>
      <c r="V160" s="2060">
        <v>125000</v>
      </c>
      <c r="W160" s="2060">
        <v>125000</v>
      </c>
      <c r="X160" s="3922">
        <v>125000</v>
      </c>
      <c r="Y160" s="2060">
        <v>125000</v>
      </c>
      <c r="Z160" s="2060">
        <v>125000</v>
      </c>
      <c r="AA160" s="2060">
        <v>125000</v>
      </c>
      <c r="AB160" s="2060">
        <v>125000</v>
      </c>
      <c r="AC160" s="2060">
        <v>125000</v>
      </c>
      <c r="AD160" s="2060">
        <v>125000</v>
      </c>
      <c r="AE160" s="2060">
        <v>125000</v>
      </c>
      <c r="AF160" s="2060">
        <v>125000</v>
      </c>
      <c r="AG160" s="2060">
        <v>125000</v>
      </c>
      <c r="AH160" s="2060">
        <v>125000</v>
      </c>
      <c r="AI160" s="2060">
        <v>125000</v>
      </c>
      <c r="AJ160" s="2060">
        <v>125000</v>
      </c>
      <c r="AK160" s="2060">
        <v>125000</v>
      </c>
      <c r="AL160" s="2060">
        <v>125000</v>
      </c>
      <c r="AM160" s="2060">
        <v>125000</v>
      </c>
      <c r="AN160" s="2060">
        <v>125000</v>
      </c>
      <c r="AO160" s="2060">
        <v>0</v>
      </c>
    </row>
    <row r="161" spans="1:41">
      <c r="A161" s="1185" t="s">
        <v>2046</v>
      </c>
      <c r="B161" s="1185"/>
      <c r="C161" s="1186">
        <f>SUM(C157:C160)</f>
        <v>34496</v>
      </c>
      <c r="D161" s="1185">
        <f>SUM(D157:D160)</f>
        <v>-115160404.15237881</v>
      </c>
      <c r="E161" s="1185">
        <f>SUM(E157:E159)</f>
        <v>-83288.956000000006</v>
      </c>
      <c r="F161" s="1185">
        <f t="shared" ref="F161:AO161" si="71">SUM(F157:F160)</f>
        <v>-94202786.218970716</v>
      </c>
      <c r="G161" s="1196">
        <f t="shared" si="71"/>
        <v>-88629.097187169828</v>
      </c>
      <c r="H161" s="1185">
        <f t="shared" si="71"/>
        <v>-116177904.7</v>
      </c>
      <c r="I161" s="1185">
        <f t="shared" si="71"/>
        <v>-104782000</v>
      </c>
      <c r="J161" s="1185">
        <f t="shared" si="71"/>
        <v>-124223650.05807556</v>
      </c>
      <c r="K161" s="1185">
        <f t="shared" si="71"/>
        <v>-130569416.61564776</v>
      </c>
      <c r="L161" s="1185">
        <f t="shared" si="71"/>
        <v>-132791679.91117662</v>
      </c>
      <c r="M161" s="1185">
        <f t="shared" si="71"/>
        <v>-117654598.25084794</v>
      </c>
      <c r="N161" s="1185">
        <f t="shared" si="71"/>
        <v>-103165310.2397823</v>
      </c>
      <c r="O161" s="1185">
        <f t="shared" si="71"/>
        <v>-102339540.50635141</v>
      </c>
      <c r="P161" s="1185">
        <f t="shared" si="71"/>
        <v>-103506581.1794147</v>
      </c>
      <c r="Q161" s="1185">
        <f t="shared" si="71"/>
        <v>-103401295.03820391</v>
      </c>
      <c r="R161" s="1185">
        <f t="shared" si="71"/>
        <v>-104733425.56848577</v>
      </c>
      <c r="S161" s="1185">
        <f t="shared" si="71"/>
        <v>-104569364.1243047</v>
      </c>
      <c r="T161" s="1185">
        <f t="shared" si="71"/>
        <v>-106284077.76168737</v>
      </c>
      <c r="U161" s="1185">
        <f t="shared" si="71"/>
        <v>-107566232.43381222</v>
      </c>
      <c r="V161" s="1185">
        <f t="shared" si="71"/>
        <v>-108927347.86160609</v>
      </c>
      <c r="W161" s="1185">
        <f t="shared" si="71"/>
        <v>-109607832.18952075</v>
      </c>
      <c r="X161" s="3919">
        <f t="shared" si="71"/>
        <v>-111789009.70026805</v>
      </c>
      <c r="Y161" s="1185">
        <f t="shared" si="71"/>
        <v>-113281785.16261595</v>
      </c>
      <c r="Z161" s="1185">
        <f t="shared" si="71"/>
        <v>-114898607.11697915</v>
      </c>
      <c r="AA161" s="1185">
        <f t="shared" si="71"/>
        <v>-115896092.6879417</v>
      </c>
      <c r="AB161" s="1185">
        <f t="shared" si="71"/>
        <v>-117171539.39860812</v>
      </c>
      <c r="AC161" s="1185">
        <f t="shared" si="71"/>
        <v>-118755715.64900497</v>
      </c>
      <c r="AD161" s="1185">
        <f t="shared" si="71"/>
        <v>-120581545.40476558</v>
      </c>
      <c r="AE161" s="1185">
        <f t="shared" si="71"/>
        <v>-122374397.39564142</v>
      </c>
      <c r="AF161" s="1185">
        <f t="shared" si="71"/>
        <v>-124021550.11829388</v>
      </c>
      <c r="AG161" s="1185">
        <f t="shared" si="71"/>
        <v>-126120131.35164323</v>
      </c>
      <c r="AH161" s="1185">
        <f t="shared" si="71"/>
        <v>-127748952.66790031</v>
      </c>
      <c r="AI161" s="1185">
        <f t="shared" si="71"/>
        <v>-130092327.06732787</v>
      </c>
      <c r="AJ161" s="1185">
        <f t="shared" si="71"/>
        <v>-131198473.73714086</v>
      </c>
      <c r="AK161" s="1185">
        <f t="shared" si="71"/>
        <v>-133701836.73256356</v>
      </c>
      <c r="AL161" s="1185">
        <f t="shared" si="71"/>
        <v>-136085333.28210914</v>
      </c>
      <c r="AM161" s="1185">
        <f t="shared" si="71"/>
        <v>-137829696.43901533</v>
      </c>
      <c r="AN161" s="1185">
        <f t="shared" si="71"/>
        <v>-139457744.81203681</v>
      </c>
      <c r="AO161" s="1185">
        <f t="shared" si="71"/>
        <v>-136430851.47353286</v>
      </c>
    </row>
    <row r="162" spans="1:41">
      <c r="A162" s="1197" t="s">
        <v>2047</v>
      </c>
      <c r="B162" s="1191"/>
      <c r="C162" s="1192"/>
      <c r="D162" s="1191"/>
      <c r="E162" s="1191"/>
      <c r="F162" s="1191"/>
      <c r="G162" s="1193">
        <v>-5000</v>
      </c>
      <c r="H162" s="1191"/>
      <c r="I162" s="1191"/>
      <c r="J162" s="1191"/>
      <c r="K162" s="1078"/>
      <c r="L162" s="1078"/>
      <c r="M162" s="1078"/>
      <c r="N162" s="1078"/>
      <c r="O162" s="1078"/>
      <c r="P162" s="1078"/>
      <c r="Q162" s="1078"/>
      <c r="R162" s="1078"/>
      <c r="S162" s="1078"/>
      <c r="T162" s="1078"/>
      <c r="U162" s="1078"/>
      <c r="V162" s="1078"/>
      <c r="W162" s="1078"/>
      <c r="X162" s="3915"/>
      <c r="Y162" s="1078"/>
      <c r="Z162" s="1078"/>
      <c r="AA162" s="1078"/>
      <c r="AB162" s="1078"/>
      <c r="AC162" s="1078"/>
      <c r="AD162" s="1078"/>
      <c r="AE162" s="1078"/>
      <c r="AF162" s="1078"/>
      <c r="AG162" s="1078"/>
      <c r="AH162" s="1078"/>
      <c r="AI162" s="1078"/>
      <c r="AJ162" s="1078"/>
      <c r="AK162" s="1078"/>
      <c r="AL162" s="1078"/>
      <c r="AM162" s="1078"/>
      <c r="AN162" s="1078"/>
      <c r="AO162" s="1078"/>
    </row>
    <row r="163" spans="1:41" ht="16.5" thickBot="1">
      <c r="A163" s="1198" t="s">
        <v>2048</v>
      </c>
      <c r="B163" s="1198"/>
      <c r="C163" s="1199">
        <f>C154+C161</f>
        <v>387855.99899999995</v>
      </c>
      <c r="D163" s="1198">
        <f>D154+D161</f>
        <v>199306781.88509452</v>
      </c>
      <c r="E163" s="1198">
        <f>E154+E161</f>
        <v>313301.97255000001</v>
      </c>
      <c r="F163" s="1198">
        <f>F154+F161</f>
        <v>217406170.02484876</v>
      </c>
      <c r="G163" s="1200">
        <f>G154+G161+G162</f>
        <v>305720.4532093</v>
      </c>
      <c r="H163" s="1198">
        <f>H154+H161</f>
        <v>301215535.77000004</v>
      </c>
      <c r="I163" s="1198">
        <f t="shared" ref="I163:AO163" si="72">I154+I161</f>
        <v>247313000</v>
      </c>
      <c r="J163" s="1198">
        <f t="shared" si="72"/>
        <v>275025667.58397472</v>
      </c>
      <c r="K163" s="1198">
        <f t="shared" si="72"/>
        <v>220380848.8749257</v>
      </c>
      <c r="L163" s="1198">
        <f t="shared" si="72"/>
        <v>251495486.89266497</v>
      </c>
      <c r="M163" s="1198">
        <f t="shared" si="72"/>
        <v>262526259.26851249</v>
      </c>
      <c r="N163" s="1198">
        <f t="shared" si="72"/>
        <v>244128577.79395476</v>
      </c>
      <c r="O163" s="1198">
        <f t="shared" si="72"/>
        <v>247096324.41014451</v>
      </c>
      <c r="P163" s="1198">
        <f t="shared" si="72"/>
        <v>247209431.68970102</v>
      </c>
      <c r="Q163" s="1198">
        <f t="shared" si="72"/>
        <v>255159661.71498269</v>
      </c>
      <c r="R163" s="1198">
        <f t="shared" si="72"/>
        <v>254628723.14572302</v>
      </c>
      <c r="S163" s="1198">
        <f t="shared" si="72"/>
        <v>241246020.16609311</v>
      </c>
      <c r="T163" s="1198">
        <f t="shared" si="72"/>
        <v>282813114.74078345</v>
      </c>
      <c r="U163" s="1198">
        <f t="shared" si="72"/>
        <v>270848736.32482958</v>
      </c>
      <c r="V163" s="1198">
        <f t="shared" si="72"/>
        <v>253285396.23928472</v>
      </c>
      <c r="W163" s="1198">
        <f t="shared" si="72"/>
        <v>264719871.30333331</v>
      </c>
      <c r="X163" s="3923">
        <f t="shared" si="72"/>
        <v>274789231.91487944</v>
      </c>
      <c r="Y163" s="1198">
        <f t="shared" si="72"/>
        <v>283809325.53211045</v>
      </c>
      <c r="Z163" s="1198">
        <f t="shared" si="72"/>
        <v>292128370.00084364</v>
      </c>
      <c r="AA163" s="1198">
        <f t="shared" si="72"/>
        <v>294751315.38021171</v>
      </c>
      <c r="AB163" s="1198">
        <f t="shared" si="72"/>
        <v>303216998.80030489</v>
      </c>
      <c r="AC163" s="1198">
        <f t="shared" si="72"/>
        <v>311441022.10334325</v>
      </c>
      <c r="AD163" s="1198">
        <f t="shared" si="72"/>
        <v>320890672.14381087</v>
      </c>
      <c r="AE163" s="1198">
        <f t="shared" si="72"/>
        <v>319141124.98850393</v>
      </c>
      <c r="AF163" s="1198">
        <f t="shared" si="72"/>
        <v>326841567.87996405</v>
      </c>
      <c r="AG163" s="1198">
        <f t="shared" si="72"/>
        <v>338454150.40987599</v>
      </c>
      <c r="AH163" s="1198">
        <f t="shared" si="72"/>
        <v>348756536.94397455</v>
      </c>
      <c r="AI163" s="1198">
        <f t="shared" si="72"/>
        <v>400244737.35439515</v>
      </c>
      <c r="AJ163" s="1198">
        <f t="shared" si="72"/>
        <v>401226153.65355504</v>
      </c>
      <c r="AK163" s="1198">
        <f t="shared" si="72"/>
        <v>415399585.53784841</v>
      </c>
      <c r="AL163" s="1198">
        <f t="shared" si="72"/>
        <v>433113746.18650413</v>
      </c>
      <c r="AM163" s="1198">
        <f t="shared" si="72"/>
        <v>432346922.09296399</v>
      </c>
      <c r="AN163" s="1198">
        <f t="shared" si="72"/>
        <v>437967509.58824497</v>
      </c>
      <c r="AO163" s="1198">
        <f t="shared" si="72"/>
        <v>236495473.81541723</v>
      </c>
    </row>
    <row r="164" spans="1:41" ht="17.25" thickTop="1">
      <c r="A164" s="1202" t="s">
        <v>2049</v>
      </c>
      <c r="B164" s="2032"/>
      <c r="C164" s="2033">
        <v>2010</v>
      </c>
      <c r="D164" s="2034">
        <v>2011</v>
      </c>
      <c r="E164" s="2034">
        <v>2012</v>
      </c>
      <c r="F164" s="2034">
        <v>2012</v>
      </c>
      <c r="G164" s="2034">
        <v>2013</v>
      </c>
      <c r="H164" s="2035"/>
      <c r="I164" s="1030"/>
      <c r="J164" s="1030"/>
      <c r="K164" s="1030"/>
      <c r="L164" s="1030"/>
      <c r="M164" s="1030"/>
      <c r="N164" s="1030"/>
      <c r="O164" s="1030"/>
      <c r="P164" s="1030"/>
      <c r="Q164" s="1030"/>
      <c r="R164" s="1030"/>
      <c r="S164" s="1030"/>
      <c r="T164" s="1030"/>
      <c r="U164" s="1030"/>
      <c r="V164" s="1030"/>
      <c r="W164" s="1030"/>
      <c r="X164" s="3883"/>
      <c r="Y164" s="1030"/>
      <c r="Z164" s="1030"/>
      <c r="AA164" s="1030"/>
      <c r="AB164" s="1030"/>
      <c r="AC164" s="1030"/>
      <c r="AD164" s="1030"/>
      <c r="AE164" s="1030"/>
      <c r="AF164" s="1030"/>
      <c r="AG164" s="1030"/>
      <c r="AH164" s="1030"/>
      <c r="AI164" s="1030"/>
      <c r="AJ164" s="1030"/>
      <c r="AK164" s="1030"/>
      <c r="AL164" s="1030"/>
      <c r="AM164" s="1030"/>
      <c r="AN164" s="1030"/>
      <c r="AO164" s="1030"/>
    </row>
    <row r="165" spans="1:41">
      <c r="A165" s="1074" t="s">
        <v>2050</v>
      </c>
      <c r="B165" s="1040"/>
      <c r="C165" s="1201"/>
      <c r="D165" s="1020"/>
      <c r="E165" s="1017"/>
      <c r="F165" s="1020"/>
      <c r="G165" s="1044"/>
      <c r="H165" s="1020"/>
      <c r="I165" s="1172"/>
      <c r="J165" s="1172"/>
      <c r="K165" s="1020"/>
      <c r="L165" s="1020"/>
      <c r="M165" s="1020"/>
      <c r="N165" s="1020"/>
      <c r="O165" s="1020"/>
      <c r="P165" s="1020"/>
      <c r="Q165" s="1020"/>
      <c r="R165" s="1020"/>
      <c r="S165" s="1020"/>
      <c r="T165" s="1020"/>
      <c r="U165" s="1020"/>
      <c r="V165" s="1020"/>
      <c r="W165" s="1020"/>
      <c r="X165" s="3881"/>
      <c r="Y165" s="1020"/>
      <c r="Z165" s="1020"/>
      <c r="AA165" s="1020"/>
      <c r="AB165" s="1020"/>
      <c r="AC165" s="1020"/>
      <c r="AD165" s="1020"/>
      <c r="AE165" s="1020"/>
      <c r="AF165" s="1020"/>
      <c r="AG165" s="1020"/>
      <c r="AH165" s="1020"/>
      <c r="AI165" s="1020"/>
      <c r="AJ165" s="1020"/>
      <c r="AK165" s="1020"/>
      <c r="AL165" s="1020"/>
      <c r="AM165" s="1020"/>
      <c r="AN165" s="1020"/>
      <c r="AO165" s="1020"/>
    </row>
    <row r="166" spans="1:41">
      <c r="A166" s="1020" t="s">
        <v>2051</v>
      </c>
      <c r="B166" s="1040"/>
      <c r="C166" s="2036">
        <f>C49</f>
        <v>54247</v>
      </c>
      <c r="D166" s="1164">
        <f>D49</f>
        <v>53005073.622378826</v>
      </c>
      <c r="E166" s="1045">
        <v>54918</v>
      </c>
      <c r="F166" s="1164">
        <f>F49</f>
        <v>45772445.50927861</v>
      </c>
      <c r="G166" s="2037">
        <v>53210.859151169832</v>
      </c>
      <c r="H166" s="2069">
        <f>H49</f>
        <v>55640876.630000003</v>
      </c>
      <c r="I166" s="2070">
        <v>55895000</v>
      </c>
      <c r="J166" s="2069">
        <f t="shared" ref="J166:AO166" si="73">J49</f>
        <v>64012023.615486041</v>
      </c>
      <c r="K166" s="2069">
        <f t="shared" si="73"/>
        <v>50287769.335042104</v>
      </c>
      <c r="L166" s="2069">
        <f t="shared" si="73"/>
        <v>47696710.041316852</v>
      </c>
      <c r="M166" s="2069">
        <f t="shared" si="73"/>
        <v>45797856.155507594</v>
      </c>
      <c r="N166" s="2069">
        <f t="shared" si="73"/>
        <v>42826114.727333158</v>
      </c>
      <c r="O166" s="2069">
        <f t="shared" si="73"/>
        <v>41695282.308202237</v>
      </c>
      <c r="P166" s="2069">
        <f t="shared" si="73"/>
        <v>40950608.385145001</v>
      </c>
      <c r="Q166" s="2069">
        <f t="shared" si="73"/>
        <v>39043621.87753465</v>
      </c>
      <c r="R166" s="2069">
        <f t="shared" si="73"/>
        <v>38407408.823920503</v>
      </c>
      <c r="S166" s="2069">
        <f t="shared" si="73"/>
        <v>36221942.401171982</v>
      </c>
      <c r="T166" s="2069">
        <f t="shared" si="73"/>
        <v>35845277.633717775</v>
      </c>
      <c r="U166" s="2069">
        <f t="shared" si="73"/>
        <v>34986823.657224029</v>
      </c>
      <c r="V166" s="2069">
        <f t="shared" si="73"/>
        <v>34133384.406057969</v>
      </c>
      <c r="W166" s="2069">
        <f t="shared" si="73"/>
        <v>32539916.926344834</v>
      </c>
      <c r="X166" s="3905">
        <f t="shared" si="73"/>
        <v>32312778.622354425</v>
      </c>
      <c r="Y166" s="2069">
        <f t="shared" si="73"/>
        <v>31391193.371294621</v>
      </c>
      <c r="Z166" s="2069">
        <f t="shared" si="73"/>
        <v>30492209.579666588</v>
      </c>
      <c r="AA166" s="2069">
        <f t="shared" si="73"/>
        <v>28897022.551562566</v>
      </c>
      <c r="AB166" s="2069">
        <f t="shared" si="73"/>
        <v>27500592.801006179</v>
      </c>
      <c r="AC166" s="2069">
        <f t="shared" si="73"/>
        <v>26331281.299959905</v>
      </c>
      <c r="AD166" s="2069">
        <f t="shared" si="73"/>
        <v>25319532.069376234</v>
      </c>
      <c r="AE166" s="2069">
        <f t="shared" si="73"/>
        <v>24188159.218491159</v>
      </c>
      <c r="AF166" s="2069">
        <f t="shared" si="73"/>
        <v>22821809.725038674</v>
      </c>
      <c r="AG166" s="2069">
        <f t="shared" si="73"/>
        <v>21814900.662838683</v>
      </c>
      <c r="AH166" s="2069">
        <f t="shared" si="73"/>
        <v>20243451.358009625</v>
      </c>
      <c r="AI166" s="2069">
        <f t="shared" si="73"/>
        <v>19288898.599923927</v>
      </c>
      <c r="AJ166" s="2069">
        <f t="shared" si="73"/>
        <v>16996498.905332286</v>
      </c>
      <c r="AK166" s="2069">
        <f t="shared" si="73"/>
        <v>15997644.631638967</v>
      </c>
      <c r="AL166" s="2069">
        <f t="shared" si="73"/>
        <v>14772109.639298294</v>
      </c>
      <c r="AM166" s="2069">
        <f t="shared" si="73"/>
        <v>12797389.223112917</v>
      </c>
      <c r="AN166" s="2069">
        <f t="shared" si="73"/>
        <v>10592967.043421675</v>
      </c>
      <c r="AO166" s="2069">
        <f t="shared" si="73"/>
        <v>3491780.152839493</v>
      </c>
    </row>
    <row r="167" spans="1:41">
      <c r="A167" s="1020" t="s">
        <v>2052</v>
      </c>
      <c r="B167" s="1040"/>
      <c r="C167" s="2036">
        <f>SUM(C51:C54)</f>
        <v>122900</v>
      </c>
      <c r="D167" s="1164">
        <f>SUM(D51:D54)</f>
        <v>134803308.66999999</v>
      </c>
      <c r="E167" s="1045">
        <f>SUM(36934+19305+95795+862)</f>
        <v>152896</v>
      </c>
      <c r="F167" s="1164">
        <f>SUM(F51:F54)</f>
        <v>143910748.31</v>
      </c>
      <c r="G167" s="2037">
        <v>150703.06025555986</v>
      </c>
      <c r="H167" s="2069">
        <f>SUM(H51:H54)</f>
        <v>149504990.75999999</v>
      </c>
      <c r="I167" s="2070">
        <v>155539000</v>
      </c>
      <c r="J167" s="2069">
        <f t="shared" ref="J167:AO167" si="74">SUM(J51:J54)</f>
        <v>161524036.11405283</v>
      </c>
      <c r="K167" s="2069">
        <f t="shared" si="74"/>
        <v>168726615.20571935</v>
      </c>
      <c r="L167" s="2069">
        <f t="shared" si="74"/>
        <v>177997510.24653867</v>
      </c>
      <c r="M167" s="2069">
        <f t="shared" si="74"/>
        <v>187386803.45426491</v>
      </c>
      <c r="N167" s="2069">
        <f t="shared" si="74"/>
        <v>196550891.65586215</v>
      </c>
      <c r="O167" s="2069">
        <f t="shared" si="74"/>
        <v>203647889.79042515</v>
      </c>
      <c r="P167" s="2069">
        <f t="shared" si="74"/>
        <v>209149207.42098773</v>
      </c>
      <c r="Q167" s="2069">
        <f t="shared" si="74"/>
        <v>212113413.73899156</v>
      </c>
      <c r="R167" s="2069">
        <f t="shared" si="74"/>
        <v>215042067.56080231</v>
      </c>
      <c r="S167" s="2069">
        <f t="shared" si="74"/>
        <v>218081690.32934183</v>
      </c>
      <c r="T167" s="2069">
        <f t="shared" si="74"/>
        <v>221293224.80916998</v>
      </c>
      <c r="U167" s="2069">
        <f t="shared" si="74"/>
        <v>224314150.64087164</v>
      </c>
      <c r="V167" s="2069">
        <f t="shared" si="74"/>
        <v>227311381.79284027</v>
      </c>
      <c r="W167" s="2069">
        <f t="shared" si="74"/>
        <v>230426886.45785108</v>
      </c>
      <c r="X167" s="3905">
        <f t="shared" si="74"/>
        <v>235859272.83482766</v>
      </c>
      <c r="Y167" s="2069">
        <f t="shared" si="74"/>
        <v>241770440.96126226</v>
      </c>
      <c r="Z167" s="2069">
        <f t="shared" si="74"/>
        <v>247836422.34880295</v>
      </c>
      <c r="AA167" s="2069">
        <f t="shared" si="74"/>
        <v>256576859.88776231</v>
      </c>
      <c r="AB167" s="2069">
        <f t="shared" si="74"/>
        <v>263028384.07636872</v>
      </c>
      <c r="AC167" s="2069">
        <f t="shared" si="74"/>
        <v>269649282.55268699</v>
      </c>
      <c r="AD167" s="2069">
        <f t="shared" si="74"/>
        <v>276444140.39010352</v>
      </c>
      <c r="AE167" s="2069">
        <f t="shared" si="74"/>
        <v>283417669.52965665</v>
      </c>
      <c r="AF167" s="2069">
        <f t="shared" si="74"/>
        <v>290574712.34721345</v>
      </c>
      <c r="AG167" s="2069">
        <f t="shared" si="74"/>
        <v>297920245.32217604</v>
      </c>
      <c r="AH167" s="2069">
        <f t="shared" si="74"/>
        <v>308483733.13549465</v>
      </c>
      <c r="AI167" s="2069">
        <f t="shared" si="74"/>
        <v>319430011.87667328</v>
      </c>
      <c r="AJ167" s="2069">
        <f t="shared" si="74"/>
        <v>327530323.5446167</v>
      </c>
      <c r="AK167" s="2069">
        <f t="shared" si="74"/>
        <v>335844624.72112662</v>
      </c>
      <c r="AL167" s="2069">
        <f t="shared" si="74"/>
        <v>344378734.7417807</v>
      </c>
      <c r="AM167" s="2069">
        <f t="shared" si="74"/>
        <v>353138634.5120312</v>
      </c>
      <c r="AN167" s="2069">
        <f t="shared" si="74"/>
        <v>362130471.06210572</v>
      </c>
      <c r="AO167" s="2069">
        <f t="shared" si="74"/>
        <v>371360562.23182446</v>
      </c>
    </row>
    <row r="168" spans="1:41">
      <c r="A168" s="1020" t="s">
        <v>2053</v>
      </c>
      <c r="B168" s="1040"/>
      <c r="C168" s="2036">
        <f>SUM(C55-C64)</f>
        <v>27385</v>
      </c>
      <c r="D168" s="1164">
        <f>SUM(D55-D64)</f>
        <v>53620089.529999986</v>
      </c>
      <c r="E168" s="1045">
        <f>36996-9336</f>
        <v>27660</v>
      </c>
      <c r="F168" s="1164">
        <f>SUM(F55-F64)</f>
        <v>44707916.929692097</v>
      </c>
      <c r="G168" s="2037">
        <v>33568.238035999995</v>
      </c>
      <c r="H168" s="2069">
        <f>SUM(H55-H64)</f>
        <v>48728394.439999998</v>
      </c>
      <c r="I168" s="2070">
        <v>46646000</v>
      </c>
      <c r="J168" s="2069">
        <f t="shared" ref="J168:AO168" si="75">SUM(J55-J64)</f>
        <v>33407178.903999999</v>
      </c>
      <c r="K168" s="2069">
        <f t="shared" si="75"/>
        <v>65789791.609670125</v>
      </c>
      <c r="L168" s="2069">
        <f t="shared" si="75"/>
        <v>65416426.377415031</v>
      </c>
      <c r="M168" s="2069">
        <f t="shared" si="75"/>
        <v>60368167.713239789</v>
      </c>
      <c r="N168" s="2069">
        <f t="shared" si="75"/>
        <v>56719545.871171281</v>
      </c>
      <c r="O168" s="2069">
        <f t="shared" si="75"/>
        <v>58477554.197983056</v>
      </c>
      <c r="P168" s="2069">
        <f t="shared" si="75"/>
        <v>60378956.12610285</v>
      </c>
      <c r="Q168" s="2069">
        <f t="shared" si="75"/>
        <v>62170297.417495653</v>
      </c>
      <c r="R168" s="2069">
        <f t="shared" si="75"/>
        <v>64128235.310547382</v>
      </c>
      <c r="S168" s="2069">
        <f t="shared" si="75"/>
        <v>66139187.772661746</v>
      </c>
      <c r="T168" s="2069">
        <f t="shared" si="75"/>
        <v>68220066.624721512</v>
      </c>
      <c r="U168" s="2069">
        <f t="shared" si="75"/>
        <v>70350128.472575486</v>
      </c>
      <c r="V168" s="2069">
        <f t="shared" si="75"/>
        <v>72554088.890167356</v>
      </c>
      <c r="W168" s="2069">
        <f t="shared" si="75"/>
        <v>74817398.76225093</v>
      </c>
      <c r="X168" s="3905">
        <f t="shared" si="75"/>
        <v>77215024.752734482</v>
      </c>
      <c r="Y168" s="2069">
        <f t="shared" si="75"/>
        <v>79618647.537678882</v>
      </c>
      <c r="Z168" s="2069">
        <f t="shared" si="75"/>
        <v>82123667.034528732</v>
      </c>
      <c r="AA168" s="2069">
        <f t="shared" si="75"/>
        <v>84705504.846332774</v>
      </c>
      <c r="AB168" s="2069">
        <f t="shared" si="75"/>
        <v>87366497.763750374</v>
      </c>
      <c r="AC168" s="2069">
        <f t="shared" si="75"/>
        <v>90109052.995441169</v>
      </c>
      <c r="AD168" s="2069">
        <f t="shared" si="75"/>
        <v>92935650.265694231</v>
      </c>
      <c r="AE168" s="2069">
        <f t="shared" si="75"/>
        <v>95848843.973641515</v>
      </c>
      <c r="AF168" s="2069">
        <f t="shared" si="75"/>
        <v>98851265.415830672</v>
      </c>
      <c r="AG168" s="2069">
        <f t="shared" si="75"/>
        <v>101945625.0739816</v>
      </c>
      <c r="AH168" s="2069">
        <f t="shared" si="75"/>
        <v>105134714.96980104</v>
      </c>
      <c r="AI168" s="2069">
        <f t="shared" si="75"/>
        <v>108421411.08878389</v>
      </c>
      <c r="AJ168" s="2069">
        <f t="shared" si="75"/>
        <v>111808675.87498474</v>
      </c>
      <c r="AK168" s="2069">
        <f t="shared" si="75"/>
        <v>115299560.79879504</v>
      </c>
      <c r="AL168" s="2069">
        <f t="shared" si="75"/>
        <v>118897208.99982171</v>
      </c>
      <c r="AM168" s="2069">
        <f t="shared" si="75"/>
        <v>122604858.00701983</v>
      </c>
      <c r="AN168" s="2069">
        <f t="shared" si="75"/>
        <v>126425842.53829259</v>
      </c>
      <c r="AO168" s="2069">
        <f t="shared" si="75"/>
        <v>130363597.38183437</v>
      </c>
    </row>
    <row r="169" spans="1:41">
      <c r="A169" s="1020" t="s">
        <v>2054</v>
      </c>
      <c r="B169" s="1040"/>
      <c r="C169" s="2036">
        <f>C56</f>
        <v>3027</v>
      </c>
      <c r="D169" s="1164">
        <f>D56</f>
        <v>3415104.6</v>
      </c>
      <c r="E169" s="1045">
        <v>3518</v>
      </c>
      <c r="F169" s="1164">
        <f>F56</f>
        <v>3832582.0900000003</v>
      </c>
      <c r="G169" s="2037">
        <v>3783.8249999999998</v>
      </c>
      <c r="H169" s="2069">
        <f>H56</f>
        <v>4403766.55</v>
      </c>
      <c r="I169" s="2070">
        <v>3871000</v>
      </c>
      <c r="J169" s="2069">
        <f t="shared" ref="J169:AO170" si="76">J56</f>
        <v>4447804.67</v>
      </c>
      <c r="K169" s="2069">
        <f t="shared" si="76"/>
        <v>4492282.7166999998</v>
      </c>
      <c r="L169" s="2069">
        <f t="shared" si="76"/>
        <v>4537205.5438669994</v>
      </c>
      <c r="M169" s="2069">
        <f t="shared" si="76"/>
        <v>4582577.5993056698</v>
      </c>
      <c r="N169" s="2069">
        <f t="shared" si="76"/>
        <v>4628403.3752987264</v>
      </c>
      <c r="O169" s="2069">
        <f t="shared" si="76"/>
        <v>4674687.4090517135</v>
      </c>
      <c r="P169" s="2069">
        <f t="shared" si="76"/>
        <v>4721434.2831422305</v>
      </c>
      <c r="Q169" s="2069">
        <f t="shared" si="76"/>
        <v>4768648.625973653</v>
      </c>
      <c r="R169" s="2069">
        <f t="shared" si="76"/>
        <v>4816335.1122333892</v>
      </c>
      <c r="S169" s="2069">
        <f t="shared" si="76"/>
        <v>4864498.4633557228</v>
      </c>
      <c r="T169" s="2069">
        <f t="shared" si="76"/>
        <v>4913143.4479892803</v>
      </c>
      <c r="U169" s="2069">
        <f t="shared" si="76"/>
        <v>4962274.8824691735</v>
      </c>
      <c r="V169" s="2069">
        <f t="shared" si="76"/>
        <v>5011897.6312938649</v>
      </c>
      <c r="W169" s="2069">
        <f t="shared" si="76"/>
        <v>5062016.607606804</v>
      </c>
      <c r="X169" s="3905">
        <f t="shared" si="76"/>
        <v>5112636.7736828718</v>
      </c>
      <c r="Y169" s="2069">
        <f t="shared" si="76"/>
        <v>5163763.1414197003</v>
      </c>
      <c r="Z169" s="2069">
        <f t="shared" si="76"/>
        <v>5215400.7728338977</v>
      </c>
      <c r="AA169" s="2069">
        <f t="shared" si="76"/>
        <v>5267554.7805622369</v>
      </c>
      <c r="AB169" s="2069">
        <f t="shared" si="76"/>
        <v>5320230.3283678591</v>
      </c>
      <c r="AC169" s="2069">
        <f t="shared" si="76"/>
        <v>5373432.6316515375</v>
      </c>
      <c r="AD169" s="2069">
        <f t="shared" si="76"/>
        <v>5427166.9579680525</v>
      </c>
      <c r="AE169" s="2069">
        <f t="shared" si="76"/>
        <v>5481438.6275477335</v>
      </c>
      <c r="AF169" s="2069">
        <f t="shared" si="76"/>
        <v>5536253.0138232112</v>
      </c>
      <c r="AG169" s="2069">
        <f t="shared" si="76"/>
        <v>5591615.543961443</v>
      </c>
      <c r="AH169" s="2069">
        <f t="shared" si="76"/>
        <v>5647531.6994010573</v>
      </c>
      <c r="AI169" s="2069">
        <f t="shared" si="76"/>
        <v>5704007.0163950678</v>
      </c>
      <c r="AJ169" s="2069">
        <f t="shared" si="76"/>
        <v>5761047.0865590181</v>
      </c>
      <c r="AK169" s="2069">
        <f t="shared" si="76"/>
        <v>5818657.5574246086</v>
      </c>
      <c r="AL169" s="2069">
        <f t="shared" si="76"/>
        <v>5876844.1329988549</v>
      </c>
      <c r="AM169" s="2069">
        <f t="shared" si="76"/>
        <v>5935612.5743288435</v>
      </c>
      <c r="AN169" s="2069">
        <f t="shared" si="76"/>
        <v>5994968.7000721321</v>
      </c>
      <c r="AO169" s="2069">
        <f t="shared" si="76"/>
        <v>6054918.3870728537</v>
      </c>
    </row>
    <row r="170" spans="1:41">
      <c r="A170" s="1020" t="s">
        <v>2055</v>
      </c>
      <c r="B170" s="1040"/>
      <c r="C170" s="2036">
        <f>C57</f>
        <v>10786</v>
      </c>
      <c r="D170" s="1164">
        <f>D57</f>
        <v>1295149.3700000001</v>
      </c>
      <c r="E170" s="1045">
        <v>1300</v>
      </c>
      <c r="F170" s="1164">
        <f>F57</f>
        <v>1373408.47</v>
      </c>
      <c r="G170" s="2037">
        <v>1391.2529999999997</v>
      </c>
      <c r="H170" s="2069">
        <f>H57</f>
        <v>1514941.95</v>
      </c>
      <c r="I170" s="2070">
        <v>1355000</v>
      </c>
      <c r="J170" s="2069">
        <f t="shared" si="76"/>
        <v>1355433.4030124999</v>
      </c>
      <c r="K170" s="2069">
        <f t="shared" si="76"/>
        <v>1375764.9040576871</v>
      </c>
      <c r="L170" s="2069">
        <f t="shared" si="76"/>
        <v>1396401.3776185524</v>
      </c>
      <c r="M170" s="2069">
        <f t="shared" si="76"/>
        <v>1417347.3982828304</v>
      </c>
      <c r="N170" s="2069">
        <f t="shared" si="76"/>
        <v>1438607.6092570729</v>
      </c>
      <c r="O170" s="2069">
        <f t="shared" si="76"/>
        <v>1460186.7233959287</v>
      </c>
      <c r="P170" s="2069">
        <f t="shared" si="76"/>
        <v>1482089.5242468675</v>
      </c>
      <c r="Q170" s="2069">
        <f t="shared" si="76"/>
        <v>1504320.8671105707</v>
      </c>
      <c r="R170" s="2069">
        <f t="shared" si="76"/>
        <v>1526885.6801172288</v>
      </c>
      <c r="S170" s="2069">
        <f t="shared" si="76"/>
        <v>1549788.9653189871</v>
      </c>
      <c r="T170" s="2069">
        <f t="shared" si="76"/>
        <v>1573035.7997987717</v>
      </c>
      <c r="U170" s="2069">
        <f t="shared" si="76"/>
        <v>1596631.3367957533</v>
      </c>
      <c r="V170" s="2069">
        <f t="shared" si="76"/>
        <v>1620580.8068476894</v>
      </c>
      <c r="W170" s="2069">
        <f t="shared" si="76"/>
        <v>1644889.5189504044</v>
      </c>
      <c r="X170" s="3905">
        <f t="shared" si="76"/>
        <v>1669562.8617346606</v>
      </c>
      <c r="Y170" s="2069">
        <f t="shared" si="76"/>
        <v>1694606.3046606802</v>
      </c>
      <c r="Z170" s="2069">
        <f t="shared" si="76"/>
        <v>1720025.3992305901</v>
      </c>
      <c r="AA170" s="2069">
        <f t="shared" si="76"/>
        <v>1745825.7802190492</v>
      </c>
      <c r="AB170" s="2069">
        <f t="shared" si="76"/>
        <v>1772013.1669223346</v>
      </c>
      <c r="AC170" s="2069">
        <f t="shared" si="76"/>
        <v>1798593.3644261695</v>
      </c>
      <c r="AD170" s="2069">
        <f t="shared" si="76"/>
        <v>1825572.2648925618</v>
      </c>
      <c r="AE170" s="2069">
        <f t="shared" si="76"/>
        <v>1852955.84886595</v>
      </c>
      <c r="AF170" s="2069">
        <f t="shared" si="76"/>
        <v>1880750.1865989391</v>
      </c>
      <c r="AG170" s="2069">
        <f t="shared" si="76"/>
        <v>1908961.4393979229</v>
      </c>
      <c r="AH170" s="2069">
        <f t="shared" si="76"/>
        <v>1937595.8609888917</v>
      </c>
      <c r="AI170" s="2069">
        <f t="shared" si="76"/>
        <v>1966659.7989037249</v>
      </c>
      <c r="AJ170" s="2069">
        <f t="shared" si="76"/>
        <v>1996159.6958872806</v>
      </c>
      <c r="AK170" s="2069">
        <f t="shared" si="76"/>
        <v>2026102.0913255897</v>
      </c>
      <c r="AL170" s="2069">
        <f t="shared" si="76"/>
        <v>2056493.622695473</v>
      </c>
      <c r="AM170" s="2069">
        <f t="shared" si="76"/>
        <v>2087341.027035905</v>
      </c>
      <c r="AN170" s="2069">
        <f t="shared" si="76"/>
        <v>2118651.1424414436</v>
      </c>
      <c r="AO170" s="2069">
        <f t="shared" si="76"/>
        <v>2150430.9095780649</v>
      </c>
    </row>
    <row r="171" spans="1:41">
      <c r="A171" s="1020" t="s">
        <v>2056</v>
      </c>
      <c r="B171" s="1040"/>
      <c r="C171" s="2036">
        <f>SUM(C84-C72-C71-C81-C80-C64)*-1</f>
        <v>-104950.40000000002</v>
      </c>
      <c r="D171" s="1164">
        <f>SUM(D84-D72-D71-D81-D80-D64)*-1</f>
        <v>-100224043.24747404</v>
      </c>
      <c r="E171" s="1045">
        <f>SUM(E84-E72-E71-E81-E80-E64)*-1</f>
        <v>-111355.92855000001</v>
      </c>
      <c r="F171" s="1164">
        <f>SUM(F84-F72-F71-F81-F80-F64)*-1</f>
        <v>-55640032.383819595</v>
      </c>
      <c r="G171" s="2037">
        <v>-108172.91052323821</v>
      </c>
      <c r="H171" s="2069">
        <f>SUM(H84-H72-H71-H81-H80-H64)*-1</f>
        <v>-106670189.94</v>
      </c>
      <c r="I171" s="2070">
        <v>-111246000</v>
      </c>
      <c r="J171" s="2069">
        <f t="shared" ref="J171:AO171" si="77">SUM(J84-J72-J71-J81-J80-J64)*-1</f>
        <v>-127778578.20955402</v>
      </c>
      <c r="K171" s="2069">
        <f t="shared" si="77"/>
        <v>-110778361.12907037</v>
      </c>
      <c r="L171" s="2069">
        <f t="shared" si="77"/>
        <v>-111071122.31097165</v>
      </c>
      <c r="M171" s="2069">
        <f t="shared" si="77"/>
        <v>-114392632.19320872</v>
      </c>
      <c r="N171" s="2069">
        <f t="shared" si="77"/>
        <v>-117831266.36309497</v>
      </c>
      <c r="O171" s="2069">
        <f t="shared" si="77"/>
        <v>-119554132.743219</v>
      </c>
      <c r="P171" s="2069">
        <f t="shared" si="77"/>
        <v>-123062353.05092473</v>
      </c>
      <c r="Q171" s="2069">
        <f t="shared" si="77"/>
        <v>-126676275.90080319</v>
      </c>
      <c r="R171" s="2069">
        <f t="shared" si="77"/>
        <v>-130399094.02987835</v>
      </c>
      <c r="S171" s="2069">
        <f t="shared" si="77"/>
        <v>-134234096.98808196</v>
      </c>
      <c r="T171" s="2069">
        <f t="shared" si="77"/>
        <v>-138184674.09202263</v>
      </c>
      <c r="U171" s="2069">
        <f t="shared" si="77"/>
        <v>-142254317.4697504</v>
      </c>
      <c r="V171" s="2069">
        <f t="shared" si="77"/>
        <v>-146446625.19936234</v>
      </c>
      <c r="W171" s="2069">
        <f t="shared" si="77"/>
        <v>-150765304.54438454</v>
      </c>
      <c r="X171" s="3905">
        <f t="shared" si="77"/>
        <v>-155214175.2889623</v>
      </c>
      <c r="Y171" s="2069">
        <f t="shared" si="77"/>
        <v>-159797173.17598569</v>
      </c>
      <c r="Z171" s="2069">
        <f t="shared" si="77"/>
        <v>-164518353.45137769</v>
      </c>
      <c r="AA171" s="2069">
        <f t="shared" si="77"/>
        <v>-169381894.51787788</v>
      </c>
      <c r="AB171" s="2069">
        <f t="shared" si="77"/>
        <v>-174392101.70175913</v>
      </c>
      <c r="AC171" s="2069">
        <f t="shared" si="77"/>
        <v>-179553411.13602838</v>
      </c>
      <c r="AD171" s="2069">
        <f t="shared" si="77"/>
        <v>-184870393.76377225</v>
      </c>
      <c r="AE171" s="2069">
        <f t="shared" si="77"/>
        <v>-190347759.46543378</v>
      </c>
      <c r="AF171" s="2069">
        <f t="shared" si="77"/>
        <v>-195990361.31392041</v>
      </c>
      <c r="AG171" s="2069">
        <f t="shared" si="77"/>
        <v>-201803199.96157581</v>
      </c>
      <c r="AH171" s="2069">
        <f t="shared" si="77"/>
        <v>-207791428.16317615</v>
      </c>
      <c r="AI171" s="2069">
        <f t="shared" si="77"/>
        <v>-213960355.43924534</v>
      </c>
      <c r="AJ171" s="2069">
        <f t="shared" si="77"/>
        <v>-220315452.8841255</v>
      </c>
      <c r="AK171" s="2069">
        <f t="shared" si="77"/>
        <v>-226862358.12338161</v>
      </c>
      <c r="AL171" s="2069">
        <f t="shared" si="77"/>
        <v>-233606880.42526793</v>
      </c>
      <c r="AM171" s="2069">
        <f t="shared" si="77"/>
        <v>-240555005.97113782</v>
      </c>
      <c r="AN171" s="2069">
        <f t="shared" si="77"/>
        <v>-247712903.28984049</v>
      </c>
      <c r="AO171" s="2069">
        <f t="shared" si="77"/>
        <v>-139445979.40315044</v>
      </c>
    </row>
    <row r="172" spans="1:41">
      <c r="A172" s="1020" t="s">
        <v>843</v>
      </c>
      <c r="B172" s="1040"/>
      <c r="C172" s="2036">
        <f>SUM(C71+C80)*-1</f>
        <v>-10380</v>
      </c>
      <c r="D172" s="1164">
        <f>SUM(D71+D80)*-1</f>
        <v>-12218291.630000001</v>
      </c>
      <c r="E172" s="1045">
        <f>SUM(E71+E80)*-1</f>
        <v>-9211</v>
      </c>
      <c r="F172" s="1164">
        <f>SUM(F71+F80)*-1</f>
        <v>-12269321.290000001</v>
      </c>
      <c r="G172" s="2037">
        <v>-13207.858595096359</v>
      </c>
      <c r="H172" s="2069">
        <f>SUM(H71+H80)*-1</f>
        <v>-13730967.529999999</v>
      </c>
      <c r="I172" s="2070">
        <v>-13744000</v>
      </c>
      <c r="J172" s="2069">
        <f t="shared" ref="J172:AO172" si="78">SUM(J71+J80)*-1</f>
        <v>-14378911.01617533</v>
      </c>
      <c r="K172" s="2069">
        <f t="shared" si="78"/>
        <v>-14772420.751147339</v>
      </c>
      <c r="L172" s="2069">
        <f t="shared" si="78"/>
        <v>-15414699.664411109</v>
      </c>
      <c r="M172" s="2069">
        <f t="shared" si="78"/>
        <v>-16064454.642555257</v>
      </c>
      <c r="N172" s="2069">
        <f t="shared" si="78"/>
        <v>-16577894.035784008</v>
      </c>
      <c r="O172" s="2069">
        <f t="shared" si="78"/>
        <v>-17157981.435938202</v>
      </c>
      <c r="P172" s="2069">
        <f t="shared" si="78"/>
        <v>-17556309.569991738</v>
      </c>
      <c r="Q172" s="2069">
        <f t="shared" si="78"/>
        <v>-17772200.630018212</v>
      </c>
      <c r="R172" s="2069">
        <f t="shared" si="78"/>
        <v>-17987431.175575204</v>
      </c>
      <c r="S172" s="2069">
        <f t="shared" si="78"/>
        <v>-18209934.600168623</v>
      </c>
      <c r="T172" s="2069">
        <f t="shared" si="78"/>
        <v>-18444328.539215155</v>
      </c>
      <c r="U172" s="2069">
        <f t="shared" si="78"/>
        <v>-18665959.683060635</v>
      </c>
      <c r="V172" s="2069">
        <f t="shared" si="78"/>
        <v>-18887524.131911658</v>
      </c>
      <c r="W172" s="2069">
        <f t="shared" si="78"/>
        <v>-19116823.178476162</v>
      </c>
      <c r="X172" s="3905">
        <f t="shared" si="78"/>
        <v>-19519075.126907885</v>
      </c>
      <c r="Y172" s="2069">
        <f t="shared" si="78"/>
        <v>-19956190.999027699</v>
      </c>
      <c r="Z172" s="2069">
        <f t="shared" si="78"/>
        <v>-20404670.253091447</v>
      </c>
      <c r="AA172" s="2069">
        <f t="shared" si="78"/>
        <v>-21050567.62042506</v>
      </c>
      <c r="AB172" s="2069">
        <f t="shared" si="78"/>
        <v>-21527363.1503844</v>
      </c>
      <c r="AC172" s="2069">
        <f t="shared" si="78"/>
        <v>-22016579.26417518</v>
      </c>
      <c r="AD172" s="2069">
        <f t="shared" si="78"/>
        <v>-22518548.190526202</v>
      </c>
      <c r="AE172" s="2069">
        <f t="shared" si="78"/>
        <v>-23033611.220032733</v>
      </c>
      <c r="AF172" s="2069">
        <f t="shared" si="78"/>
        <v>-23562118.956087757</v>
      </c>
      <c r="AG172" s="2069">
        <f t="shared" si="78"/>
        <v>-24104431.57284686</v>
      </c>
      <c r="AH172" s="2069">
        <f t="shared" si="78"/>
        <v>-24884229.044248749</v>
      </c>
      <c r="AI172" s="2069">
        <f t="shared" si="78"/>
        <v>-25692148.413356673</v>
      </c>
      <c r="AJ172" s="2069">
        <f t="shared" si="78"/>
        <v>-26289789.69670577</v>
      </c>
      <c r="AK172" s="2069">
        <f t="shared" si="78"/>
        <v>-26903083.015466131</v>
      </c>
      <c r="AL172" s="2069">
        <f t="shared" si="78"/>
        <v>-27532448.728873692</v>
      </c>
      <c r="AM172" s="2069">
        <f t="shared" si="78"/>
        <v>-28178318.698409386</v>
      </c>
      <c r="AN172" s="2069">
        <f t="shared" si="78"/>
        <v>-28841136.607138265</v>
      </c>
      <c r="AO172" s="2069">
        <f t="shared" si="78"/>
        <v>0</v>
      </c>
    </row>
    <row r="173" spans="1:41">
      <c r="A173" s="1074" t="s">
        <v>2057</v>
      </c>
      <c r="B173" s="2032"/>
      <c r="C173" s="2038">
        <f>SUM(C166:C172)</f>
        <v>103014.59999999998</v>
      </c>
      <c r="D173" s="1203">
        <f>SUM(D166:D172)</f>
        <v>133696390.91490477</v>
      </c>
      <c r="E173" s="2039">
        <f>SUM(E166:E172)</f>
        <v>119725.07144999999</v>
      </c>
      <c r="F173" s="1203">
        <f>SUM(F166:F172)</f>
        <v>171687747.63515112</v>
      </c>
      <c r="G173" s="1234">
        <v>121276.46632439512</v>
      </c>
      <c r="H173" s="2082">
        <f t="shared" ref="H173:AO173" si="79">SUM(H166:H172)</f>
        <v>139391812.85999998</v>
      </c>
      <c r="I173" s="2083">
        <f t="shared" si="79"/>
        <v>138316000</v>
      </c>
      <c r="J173" s="2082">
        <f t="shared" si="79"/>
        <v>122588987.480822</v>
      </c>
      <c r="K173" s="2082">
        <f t="shared" si="79"/>
        <v>165121441.89097157</v>
      </c>
      <c r="L173" s="2082">
        <f t="shared" si="79"/>
        <v>170558431.61137336</v>
      </c>
      <c r="M173" s="2082">
        <f t="shared" si="79"/>
        <v>169095665.48483682</v>
      </c>
      <c r="N173" s="2082">
        <f t="shared" si="79"/>
        <v>167754402.84004343</v>
      </c>
      <c r="O173" s="2082">
        <f t="shared" si="79"/>
        <v>173243486.24990091</v>
      </c>
      <c r="P173" s="2082">
        <f t="shared" si="79"/>
        <v>176063633.11870822</v>
      </c>
      <c r="Q173" s="2082">
        <f t="shared" si="79"/>
        <v>175151825.99628463</v>
      </c>
      <c r="R173" s="2082">
        <f t="shared" si="79"/>
        <v>175534407.28216729</v>
      </c>
      <c r="S173" s="2082">
        <f t="shared" si="79"/>
        <v>174413076.34359968</v>
      </c>
      <c r="T173" s="2082">
        <f t="shared" si="79"/>
        <v>175215745.68415955</v>
      </c>
      <c r="U173" s="2082">
        <f t="shared" si="79"/>
        <v>175289731.837125</v>
      </c>
      <c r="V173" s="2082">
        <f t="shared" si="79"/>
        <v>175297184.19593319</v>
      </c>
      <c r="W173" s="2082">
        <f t="shared" si="79"/>
        <v>174608980.55014336</v>
      </c>
      <c r="X173" s="3924">
        <f t="shared" si="79"/>
        <v>177436025.42946398</v>
      </c>
      <c r="Y173" s="2082">
        <f t="shared" si="79"/>
        <v>179885287.14130279</v>
      </c>
      <c r="Z173" s="2082">
        <f t="shared" si="79"/>
        <v>182464701.43059361</v>
      </c>
      <c r="AA173" s="2082">
        <f t="shared" si="79"/>
        <v>186760305.70813602</v>
      </c>
      <c r="AB173" s="2082">
        <f t="shared" si="79"/>
        <v>189068253.28427196</v>
      </c>
      <c r="AC173" s="2082">
        <f t="shared" si="79"/>
        <v>191691652.44396219</v>
      </c>
      <c r="AD173" s="2082">
        <f t="shared" si="79"/>
        <v>194563119.99373615</v>
      </c>
      <c r="AE173" s="2082">
        <f t="shared" si="79"/>
        <v>197407696.51273647</v>
      </c>
      <c r="AF173" s="2082">
        <f t="shared" si="79"/>
        <v>200112310.41849676</v>
      </c>
      <c r="AG173" s="2082">
        <f t="shared" si="79"/>
        <v>203273716.50793305</v>
      </c>
      <c r="AH173" s="2082">
        <f t="shared" si="79"/>
        <v>208771369.81627044</v>
      </c>
      <c r="AI173" s="2082">
        <f t="shared" si="79"/>
        <v>215158484.52807784</v>
      </c>
      <c r="AJ173" s="2082">
        <f t="shared" si="79"/>
        <v>217487462.52654871</v>
      </c>
      <c r="AK173" s="2082">
        <f t="shared" si="79"/>
        <v>221221148.66146305</v>
      </c>
      <c r="AL173" s="2082">
        <f t="shared" si="79"/>
        <v>224842061.98245344</v>
      </c>
      <c r="AM173" s="2082">
        <f t="shared" si="79"/>
        <v>227830510.67398149</v>
      </c>
      <c r="AN173" s="2082">
        <f t="shared" si="79"/>
        <v>230708860.58935478</v>
      </c>
      <c r="AO173" s="2082">
        <f t="shared" si="79"/>
        <v>373975309.65999883</v>
      </c>
    </row>
    <row r="174" spans="1:41">
      <c r="A174" s="1020" t="s">
        <v>384</v>
      </c>
      <c r="B174" s="1040"/>
      <c r="C174" s="2040">
        <f>-C105</f>
        <v>-132573.818</v>
      </c>
      <c r="D174" s="2041">
        <f>-D105</f>
        <v>-45239654.159999996</v>
      </c>
      <c r="E174" s="1090">
        <f>-45969</f>
        <v>-45969</v>
      </c>
      <c r="F174" s="2041">
        <f>-F105</f>
        <v>-47857254.450000003</v>
      </c>
      <c r="G174" s="2037">
        <v>-54209.753193091106</v>
      </c>
      <c r="H174" s="2084">
        <f t="shared" ref="H174:AO174" si="80">-H105</f>
        <v>-50473463.049999997</v>
      </c>
      <c r="I174" s="2061"/>
      <c r="J174" s="2084">
        <f t="shared" si="80"/>
        <v>-56090619.55916667</v>
      </c>
      <c r="K174" s="2084">
        <f t="shared" si="80"/>
        <v>-60196918.274397776</v>
      </c>
      <c r="L174" s="2084">
        <f t="shared" si="80"/>
        <v>-64250541.307950087</v>
      </c>
      <c r="M174" s="2084">
        <f t="shared" si="80"/>
        <v>-68980893.307237417</v>
      </c>
      <c r="N174" s="2084">
        <f t="shared" si="80"/>
        <v>-72761038.329690844</v>
      </c>
      <c r="O174" s="2084">
        <f t="shared" si="80"/>
        <v>-75458508.192695856</v>
      </c>
      <c r="P174" s="2084">
        <f t="shared" si="80"/>
        <v>-78116910.847252607</v>
      </c>
      <c r="Q174" s="2084">
        <f t="shared" si="80"/>
        <v>-78025974.791512847</v>
      </c>
      <c r="R174" s="2084">
        <f t="shared" si="80"/>
        <v>-76725832.492204845</v>
      </c>
      <c r="S174" s="2084">
        <f t="shared" si="80"/>
        <v>-78093615.61165145</v>
      </c>
      <c r="T174" s="2084">
        <f t="shared" si="80"/>
        <v>-79773471.404323429</v>
      </c>
      <c r="U174" s="2084">
        <f t="shared" si="80"/>
        <v>-82084635.573008567</v>
      </c>
      <c r="V174" s="2084">
        <f t="shared" si="80"/>
        <v>-84135198.959401995</v>
      </c>
      <c r="W174" s="2084">
        <f t="shared" si="80"/>
        <v>-86804904.615797803</v>
      </c>
      <c r="X174" s="3925">
        <f t="shared" si="80"/>
        <v>-89638841.195486903</v>
      </c>
      <c r="Y174" s="2084">
        <f t="shared" si="80"/>
        <v>-92638570.036024049</v>
      </c>
      <c r="Z174" s="2084">
        <f t="shared" si="80"/>
        <v>-95805833.938696414</v>
      </c>
      <c r="AA174" s="2084">
        <f t="shared" si="80"/>
        <v>-99142557.22749123</v>
      </c>
      <c r="AB174" s="2084">
        <f t="shared" si="80"/>
        <v>-102650846.02523056</v>
      </c>
      <c r="AC174" s="2084">
        <f t="shared" si="80"/>
        <v>-106332988.74477144</v>
      </c>
      <c r="AD174" s="2084">
        <f t="shared" si="80"/>
        <v>-110191456.79345319</v>
      </c>
      <c r="AE174" s="2084">
        <f t="shared" si="80"/>
        <v>-114228905.4892478</v>
      </c>
      <c r="AF174" s="2084">
        <f t="shared" si="80"/>
        <v>-117895505.14953378</v>
      </c>
      <c r="AG174" s="2084">
        <f t="shared" si="80"/>
        <v>-121730372.43939763</v>
      </c>
      <c r="AH174" s="2084">
        <f t="shared" si="80"/>
        <v>-125736224.6021359</v>
      </c>
      <c r="AI174" s="2084">
        <f t="shared" si="80"/>
        <v>-129915953.62976769</v>
      </c>
      <c r="AJ174" s="2084">
        <f t="shared" si="80"/>
        <v>-135004433.6545651</v>
      </c>
      <c r="AK174" s="2084">
        <f t="shared" si="80"/>
        <v>-140295059.19819692</v>
      </c>
      <c r="AL174" s="2084">
        <f t="shared" si="80"/>
        <v>-145791914.98150456</v>
      </c>
      <c r="AM174" s="2084">
        <f t="shared" si="80"/>
        <v>-151499287.45274359</v>
      </c>
      <c r="AN174" s="2084">
        <f t="shared" si="80"/>
        <v>-157421667.67197472</v>
      </c>
      <c r="AO174" s="2084">
        <f t="shared" si="80"/>
        <v>-163563754.40868351</v>
      </c>
    </row>
    <row r="175" spans="1:41" ht="16.5" thickBot="1">
      <c r="A175" s="1074" t="s">
        <v>2058</v>
      </c>
      <c r="B175" s="2032"/>
      <c r="C175" s="2042">
        <f>SUM(C173+C174)</f>
        <v>-29559.218000000023</v>
      </c>
      <c r="D175" s="1168">
        <f>SUM(D173+D174)</f>
        <v>88456736.754904777</v>
      </c>
      <c r="E175" s="2043">
        <f>SUM(E173+E174)</f>
        <v>73756.071449999989</v>
      </c>
      <c r="F175" s="1168">
        <f>SUM(F173+F174)</f>
        <v>123830493.18515112</v>
      </c>
      <c r="G175" s="2044">
        <v>67066.713131304015</v>
      </c>
      <c r="H175" s="2026">
        <f t="shared" ref="H175:AO175" si="81">SUM(H173+H174)</f>
        <v>88918349.809999987</v>
      </c>
      <c r="I175" s="1168">
        <f>I173+I174</f>
        <v>138316000</v>
      </c>
      <c r="J175" s="2026">
        <f t="shared" si="81"/>
        <v>66498367.921655327</v>
      </c>
      <c r="K175" s="2026">
        <f t="shared" si="81"/>
        <v>104924523.6165738</v>
      </c>
      <c r="L175" s="2026">
        <f t="shared" si="81"/>
        <v>106307890.30342329</v>
      </c>
      <c r="M175" s="2026">
        <f t="shared" si="81"/>
        <v>100114772.1775994</v>
      </c>
      <c r="N175" s="2026">
        <f t="shared" si="81"/>
        <v>94993364.510352582</v>
      </c>
      <c r="O175" s="2026">
        <f t="shared" si="81"/>
        <v>97784978.057205051</v>
      </c>
      <c r="P175" s="2026">
        <f t="shared" si="81"/>
        <v>97946722.271455616</v>
      </c>
      <c r="Q175" s="2026">
        <f t="shared" si="81"/>
        <v>97125851.204771787</v>
      </c>
      <c r="R175" s="2026">
        <f t="shared" si="81"/>
        <v>98808574.789962441</v>
      </c>
      <c r="S175" s="2026">
        <f t="shared" si="81"/>
        <v>96319460.731948227</v>
      </c>
      <c r="T175" s="2026">
        <f t="shared" si="81"/>
        <v>95442274.279836118</v>
      </c>
      <c r="U175" s="2026">
        <f t="shared" si="81"/>
        <v>93205096.264116436</v>
      </c>
      <c r="V175" s="2026">
        <f t="shared" si="81"/>
        <v>91161985.236531198</v>
      </c>
      <c r="W175" s="2026">
        <f t="shared" si="81"/>
        <v>87804075.934345558</v>
      </c>
      <c r="X175" s="3907">
        <f t="shared" si="81"/>
        <v>87797184.233977079</v>
      </c>
      <c r="Y175" s="2026">
        <f t="shared" si="81"/>
        <v>87246717.105278745</v>
      </c>
      <c r="Z175" s="2026">
        <f t="shared" si="81"/>
        <v>86658867.491897196</v>
      </c>
      <c r="AA175" s="2026">
        <f t="shared" si="81"/>
        <v>87617748.480644792</v>
      </c>
      <c r="AB175" s="2026">
        <f t="shared" si="81"/>
        <v>86417407.259041399</v>
      </c>
      <c r="AC175" s="2026">
        <f t="shared" si="81"/>
        <v>85358663.699190751</v>
      </c>
      <c r="AD175" s="2026">
        <f t="shared" si="81"/>
        <v>84371663.200282961</v>
      </c>
      <c r="AE175" s="2026">
        <f t="shared" si="81"/>
        <v>83178791.023488671</v>
      </c>
      <c r="AF175" s="2026">
        <f t="shared" si="81"/>
        <v>82216805.268962979</v>
      </c>
      <c r="AG175" s="2026">
        <f t="shared" si="81"/>
        <v>81543344.068535417</v>
      </c>
      <c r="AH175" s="2026">
        <f t="shared" si="81"/>
        <v>83035145.214134544</v>
      </c>
      <c r="AI175" s="2026">
        <f t="shared" si="81"/>
        <v>85242530.898310155</v>
      </c>
      <c r="AJ175" s="2026">
        <f t="shared" si="81"/>
        <v>82483028.871983618</v>
      </c>
      <c r="AK175" s="2026">
        <f t="shared" si="81"/>
        <v>80926089.463266134</v>
      </c>
      <c r="AL175" s="2026">
        <f t="shared" si="81"/>
        <v>79050147.000948876</v>
      </c>
      <c r="AM175" s="2026">
        <f t="shared" si="81"/>
        <v>76331223.221237898</v>
      </c>
      <c r="AN175" s="2026">
        <f t="shared" si="81"/>
        <v>73287192.917380065</v>
      </c>
      <c r="AO175" s="2026">
        <f t="shared" si="81"/>
        <v>210411555.25131533</v>
      </c>
    </row>
    <row r="176" spans="1:41" ht="16.5" thickTop="1">
      <c r="A176" s="1020"/>
      <c r="B176" s="1040"/>
      <c r="C176" s="1201"/>
      <c r="D176" s="1100"/>
      <c r="E176" s="1017"/>
      <c r="F176" s="1100"/>
      <c r="G176" s="1044"/>
      <c r="H176" s="1100"/>
      <c r="I176" s="1173"/>
      <c r="J176" s="1173"/>
      <c r="K176" s="1100"/>
      <c r="L176" s="1100"/>
      <c r="M176" s="1100"/>
      <c r="N176" s="1100"/>
      <c r="O176" s="1100"/>
      <c r="P176" s="1100"/>
      <c r="Q176" s="1100"/>
      <c r="R176" s="1100"/>
      <c r="S176" s="1100"/>
      <c r="T176" s="1100"/>
      <c r="U176" s="1100"/>
      <c r="V176" s="1100"/>
      <c r="W176" s="1100"/>
      <c r="X176" s="3926"/>
      <c r="Y176" s="1100"/>
      <c r="Z176" s="1100"/>
      <c r="AA176" s="1100"/>
      <c r="AB176" s="1100"/>
      <c r="AC176" s="1100"/>
      <c r="AD176" s="1100"/>
      <c r="AE176" s="1100"/>
      <c r="AF176" s="1100"/>
      <c r="AG176" s="1100"/>
      <c r="AH176" s="1100"/>
      <c r="AI176" s="1100"/>
      <c r="AJ176" s="1100"/>
      <c r="AK176" s="1100"/>
      <c r="AL176" s="1100"/>
      <c r="AM176" s="1100"/>
      <c r="AN176" s="1100"/>
      <c r="AO176" s="1100"/>
    </row>
    <row r="177" spans="1:43">
      <c r="A177" s="1539" t="s">
        <v>2059</v>
      </c>
      <c r="B177" s="1040"/>
      <c r="C177" s="1201"/>
      <c r="D177" s="1100">
        <v>-39442949.829999991</v>
      </c>
      <c r="E177" s="1090">
        <v>-46050</v>
      </c>
      <c r="F177" s="1100">
        <v>-37676773.089999996</v>
      </c>
      <c r="G177" s="1044">
        <v>-44670.250932999996</v>
      </c>
      <c r="H177" s="2062">
        <v>-34168000</v>
      </c>
      <c r="I177" s="2062"/>
      <c r="J177" s="2062">
        <v>-55462737.769642778</v>
      </c>
      <c r="K177" s="2062">
        <v>-61303966.972752966</v>
      </c>
      <c r="L177" s="2062">
        <v>-62724295.503375441</v>
      </c>
      <c r="M177" s="2062">
        <v>-62763586.459489964</v>
      </c>
      <c r="N177" s="2062">
        <v>-62362204.983952746</v>
      </c>
      <c r="O177" s="2062">
        <v>-61538395.597177938</v>
      </c>
      <c r="P177" s="2062">
        <v>-60675236.847951457</v>
      </c>
      <c r="Q177" s="2062">
        <v>-59962753.704248533</v>
      </c>
      <c r="R177" s="2062">
        <v>-58448328.676882535</v>
      </c>
      <c r="S177" s="2062">
        <v>-58102408.22134909</v>
      </c>
      <c r="T177" s="2062">
        <v>-58539326.406656995</v>
      </c>
      <c r="U177" s="2062">
        <v>-57701943.146603674</v>
      </c>
      <c r="V177" s="2062">
        <v>-55630435.811334863</v>
      </c>
      <c r="W177" s="2062">
        <v>-52400227.436596937</v>
      </c>
      <c r="X177" s="3927">
        <v>-50369124.020680405</v>
      </c>
      <c r="Y177" s="2062">
        <v>-49507122.189258136</v>
      </c>
      <c r="Z177" s="2062">
        <v>-48569578.724729948</v>
      </c>
      <c r="AA177" s="2062">
        <v>-46688579.451438643</v>
      </c>
      <c r="AB177" s="2062">
        <v>-44408506.669296488</v>
      </c>
      <c r="AC177" s="2062">
        <v>-42796847.790433638</v>
      </c>
      <c r="AD177" s="2062">
        <v>-41125811.728852145</v>
      </c>
      <c r="AE177" s="2062">
        <v>-40244591.700616769</v>
      </c>
      <c r="AF177" s="2062">
        <v>-39758000.209542386</v>
      </c>
      <c r="AG177" s="2062">
        <v>-39280345.088993967</v>
      </c>
      <c r="AH177" s="2062">
        <v>-40048701.625736199</v>
      </c>
      <c r="AI177" s="2062">
        <v>-41313527.241631217</v>
      </c>
      <c r="AJ177" s="2062">
        <v>-42773921.10381899</v>
      </c>
      <c r="AK177" s="2062">
        <v>-44631198.823535174</v>
      </c>
      <c r="AL177" s="2062">
        <v>-46940750.462114997</v>
      </c>
      <c r="AM177" s="2062">
        <v>-49442998.556901529</v>
      </c>
      <c r="AN177" s="2062">
        <v>-49603511.193063498</v>
      </c>
      <c r="AO177" s="2062" t="e">
        <v>#REF!</v>
      </c>
    </row>
    <row r="178" spans="1:43">
      <c r="A178" s="1539" t="s">
        <v>2792</v>
      </c>
      <c r="B178" s="1040"/>
      <c r="C178" s="1201"/>
      <c r="D178" s="1100"/>
      <c r="E178" s="1090"/>
      <c r="F178" s="1100"/>
      <c r="G178" s="1044"/>
      <c r="H178" s="1535">
        <f t="shared" ref="H178:AO178" si="82">-H148</f>
        <v>-67069487</v>
      </c>
      <c r="I178" s="1534">
        <f t="shared" si="82"/>
        <v>-40482000</v>
      </c>
      <c r="J178" s="1535">
        <f t="shared" si="82"/>
        <v>-40507713.233493328</v>
      </c>
      <c r="K178" s="1535">
        <f t="shared" si="82"/>
        <v>-55859940.056760222</v>
      </c>
      <c r="L178" s="1535">
        <f t="shared" si="82"/>
        <v>-56490087.421787985</v>
      </c>
      <c r="M178" s="1535">
        <f t="shared" si="82"/>
        <v>-50484163.234991513</v>
      </c>
      <c r="N178" s="1535">
        <f t="shared" si="82"/>
        <v>-36557616.913764171</v>
      </c>
      <c r="O178" s="1535">
        <f t="shared" si="82"/>
        <v>-36782576.967435479</v>
      </c>
      <c r="P178" s="1535">
        <f t="shared" si="82"/>
        <v>-29624623.358669013</v>
      </c>
      <c r="Q178" s="1535">
        <f t="shared" si="82"/>
        <v>-28440921.388066828</v>
      </c>
      <c r="R178" s="1535">
        <f t="shared" si="82"/>
        <v>-28893250.826545011</v>
      </c>
      <c r="S178" s="1535">
        <f t="shared" si="82"/>
        <v>-29485638.000941362</v>
      </c>
      <c r="T178" s="1535">
        <f t="shared" si="82"/>
        <v>-30441804.713669606</v>
      </c>
      <c r="U178" s="1535">
        <f t="shared" si="82"/>
        <v>-30974144.104670689</v>
      </c>
      <c r="V178" s="1535">
        <f t="shared" si="82"/>
        <v>-60823236.279632151</v>
      </c>
      <c r="W178" s="1535">
        <f t="shared" si="82"/>
        <v>-62647933.368021116</v>
      </c>
      <c r="X178" s="3928">
        <f t="shared" si="82"/>
        <v>-64527371.369061753</v>
      </c>
      <c r="Y178" s="1535">
        <f t="shared" si="82"/>
        <v>-66463192.510133609</v>
      </c>
      <c r="Z178" s="1535">
        <f t="shared" si="82"/>
        <v>-68457088.285437614</v>
      </c>
      <c r="AA178" s="1535">
        <f t="shared" si="82"/>
        <v>-70510800.934000745</v>
      </c>
      <c r="AB178" s="1535">
        <f t="shared" si="82"/>
        <v>-72626124.96202077</v>
      </c>
      <c r="AC178" s="1535">
        <f t="shared" si="82"/>
        <v>-74804908.710881397</v>
      </c>
      <c r="AD178" s="1535">
        <f t="shared" si="82"/>
        <v>-77049055.972207844</v>
      </c>
      <c r="AE178" s="1535">
        <f t="shared" si="82"/>
        <v>-68307126.895197272</v>
      </c>
      <c r="AF178" s="1535">
        <f t="shared" si="82"/>
        <v>-70356340.702053189</v>
      </c>
      <c r="AG178" s="1535">
        <f t="shared" si="82"/>
        <v>-72467030.923114792</v>
      </c>
      <c r="AH178" s="1535">
        <f t="shared" si="82"/>
        <v>-74641041.850808233</v>
      </c>
      <c r="AI178" s="1535">
        <f t="shared" si="82"/>
        <v>-76880273.106332481</v>
      </c>
      <c r="AJ178" s="1535">
        <f t="shared" si="82"/>
        <v>-79186681.29952246</v>
      </c>
      <c r="AK178" s="1535">
        <f t="shared" si="82"/>
        <v>-81562281.738508135</v>
      </c>
      <c r="AL178" s="1535">
        <f t="shared" si="82"/>
        <v>-84009150.190663397</v>
      </c>
      <c r="AM178" s="1535">
        <f t="shared" si="82"/>
        <v>-86529424.696383297</v>
      </c>
      <c r="AN178" s="1535">
        <f t="shared" si="82"/>
        <v>-89125307.437274784</v>
      </c>
      <c r="AO178" s="1535">
        <f t="shared" si="82"/>
        <v>-91799066.660393029</v>
      </c>
    </row>
    <row r="179" spans="1:43">
      <c r="A179" s="1539" t="s">
        <v>2793</v>
      </c>
      <c r="B179" s="1040"/>
      <c r="C179" s="1201"/>
      <c r="D179" s="1100"/>
      <c r="E179" s="1090"/>
      <c r="F179" s="1100"/>
      <c r="G179" s="1044"/>
      <c r="H179" s="2062">
        <v>54988051.590000004</v>
      </c>
      <c r="I179" s="2062"/>
      <c r="J179" s="2062">
        <v>3024397.41</v>
      </c>
      <c r="K179" s="2062">
        <v>0</v>
      </c>
      <c r="L179" s="2062">
        <v>0</v>
      </c>
      <c r="M179" s="2062">
        <v>0</v>
      </c>
      <c r="N179" s="2062">
        <v>0</v>
      </c>
      <c r="O179" s="2062">
        <v>0</v>
      </c>
      <c r="P179" s="2062">
        <v>0</v>
      </c>
      <c r="Q179" s="2062">
        <v>0</v>
      </c>
      <c r="R179" s="2062">
        <v>0</v>
      </c>
      <c r="S179" s="2062">
        <v>0</v>
      </c>
      <c r="T179" s="2062">
        <v>0</v>
      </c>
      <c r="U179" s="2062">
        <v>0</v>
      </c>
      <c r="V179" s="2062">
        <v>0</v>
      </c>
      <c r="W179" s="2062">
        <v>0</v>
      </c>
      <c r="X179" s="3927">
        <v>0</v>
      </c>
      <c r="Y179" s="2062">
        <v>0</v>
      </c>
      <c r="Z179" s="2062">
        <v>0</v>
      </c>
      <c r="AA179" s="2062">
        <v>0</v>
      </c>
      <c r="AB179" s="2062">
        <v>0</v>
      </c>
      <c r="AC179" s="2062">
        <v>0</v>
      </c>
      <c r="AD179" s="2062">
        <v>0</v>
      </c>
      <c r="AE179" s="2062">
        <v>0</v>
      </c>
      <c r="AF179" s="2062">
        <v>0</v>
      </c>
      <c r="AG179" s="2062">
        <v>0</v>
      </c>
      <c r="AH179" s="2062">
        <v>0</v>
      </c>
      <c r="AI179" s="2062">
        <v>0</v>
      </c>
      <c r="AJ179" s="2062">
        <v>0</v>
      </c>
      <c r="AK179" s="2062">
        <v>0</v>
      </c>
      <c r="AL179" s="2062">
        <v>0</v>
      </c>
      <c r="AM179" s="2062">
        <v>0</v>
      </c>
      <c r="AN179" s="2062">
        <v>0</v>
      </c>
      <c r="AO179" s="2062">
        <v>0</v>
      </c>
    </row>
    <row r="180" spans="1:43">
      <c r="A180" s="1539" t="s">
        <v>2042</v>
      </c>
      <c r="B180" s="1040"/>
      <c r="C180" s="1201">
        <v>-1</v>
      </c>
      <c r="D180" s="1100">
        <v>3546963.1899999995</v>
      </c>
      <c r="E180" s="1090">
        <v>-5800</v>
      </c>
      <c r="F180" s="1100">
        <v>-7536223.2300000004</v>
      </c>
      <c r="G180" s="1044">
        <v>-14041.306055656649</v>
      </c>
      <c r="H180" s="1535">
        <f t="shared" ref="H180:AO180" si="83">-H157</f>
        <v>11966255.630000001</v>
      </c>
      <c r="I180" s="1534">
        <f t="shared" si="83"/>
        <v>2241000</v>
      </c>
      <c r="J180" s="1535">
        <f t="shared" si="83"/>
        <v>26929447.538589526</v>
      </c>
      <c r="K180" s="1535">
        <f t="shared" si="83"/>
        <v>14616855.670935536</v>
      </c>
      <c r="L180" s="1535">
        <f t="shared" si="83"/>
        <v>19803543.492444742</v>
      </c>
      <c r="M180" s="1535">
        <f t="shared" si="83"/>
        <v>11613574.382100558</v>
      </c>
      <c r="N180" s="1535">
        <f t="shared" si="83"/>
        <v>3744649.6412778571</v>
      </c>
      <c r="O180" s="1535">
        <f t="shared" si="83"/>
        <v>2291704.0001661079</v>
      </c>
      <c r="P180" s="1535">
        <f t="shared" si="83"/>
        <v>2302016.6681668554</v>
      </c>
      <c r="Q180" s="1535">
        <f t="shared" si="83"/>
        <v>2312375.7431736062</v>
      </c>
      <c r="R180" s="1535">
        <f t="shared" si="83"/>
        <v>2322781.4340178873</v>
      </c>
      <c r="S180" s="1535">
        <f t="shared" si="83"/>
        <v>2333233.9504709677</v>
      </c>
      <c r="T180" s="1535">
        <f t="shared" si="83"/>
        <v>2343733.5032480871</v>
      </c>
      <c r="U180" s="1535">
        <f t="shared" si="83"/>
        <v>2354280.3040127032</v>
      </c>
      <c r="V180" s="1535">
        <f t="shared" si="83"/>
        <v>2364874.5653807605</v>
      </c>
      <c r="W180" s="1535">
        <f t="shared" si="83"/>
        <v>2375516.5009249737</v>
      </c>
      <c r="X180" s="3928">
        <f t="shared" si="83"/>
        <v>2386206.3251791359</v>
      </c>
      <c r="Y180" s="1535">
        <f t="shared" si="83"/>
        <v>2396944.2536424417</v>
      </c>
      <c r="Z180" s="1535">
        <f t="shared" si="83"/>
        <v>2407730.5027838326</v>
      </c>
      <c r="AA180" s="1535">
        <f t="shared" si="83"/>
        <v>2418565.2900463599</v>
      </c>
      <c r="AB180" s="1535">
        <f t="shared" si="83"/>
        <v>2429448.8338515684</v>
      </c>
      <c r="AC180" s="1535">
        <f t="shared" si="83"/>
        <v>2440381.3536039004</v>
      </c>
      <c r="AD180" s="1535">
        <f t="shared" si="83"/>
        <v>2451363.0696951179</v>
      </c>
      <c r="AE180" s="1535">
        <f t="shared" si="83"/>
        <v>2462394.2035087459</v>
      </c>
      <c r="AF180" s="1535">
        <f t="shared" si="83"/>
        <v>2473474.977424535</v>
      </c>
      <c r="AG180" s="1535">
        <f t="shared" si="83"/>
        <v>2484605.6148229451</v>
      </c>
      <c r="AH180" s="1535">
        <f t="shared" si="83"/>
        <v>2495786.340089648</v>
      </c>
      <c r="AI180" s="1535">
        <f t="shared" si="83"/>
        <v>2507017.3786200513</v>
      </c>
      <c r="AJ180" s="1535">
        <f t="shared" si="83"/>
        <v>2518298.9568238412</v>
      </c>
      <c r="AK180" s="1535">
        <f t="shared" si="83"/>
        <v>2529631.3021295485</v>
      </c>
      <c r="AL180" s="1535">
        <f t="shared" si="83"/>
        <v>2541014.6429891312</v>
      </c>
      <c r="AM180" s="1535">
        <f t="shared" si="83"/>
        <v>2552449.2088825819</v>
      </c>
      <c r="AN180" s="1535">
        <f t="shared" si="83"/>
        <v>2563935.2303225533</v>
      </c>
      <c r="AO180" s="1535">
        <f t="shared" si="83"/>
        <v>2575473.9388590045</v>
      </c>
    </row>
    <row r="181" spans="1:43" ht="16.5" thickBot="1">
      <c r="A181" s="1074" t="s">
        <v>2060</v>
      </c>
      <c r="B181" s="2032"/>
      <c r="C181" s="2042">
        <f>C175+C177+C180</f>
        <v>-29560.218000000023</v>
      </c>
      <c r="D181" s="1168">
        <f>D175+D177+D180</f>
        <v>52560750.114904784</v>
      </c>
      <c r="E181" s="2043">
        <f>E175+E177+E180</f>
        <v>21906.071449999989</v>
      </c>
      <c r="F181" s="1168">
        <f>F175+F177+F180</f>
        <v>78617496.865151122</v>
      </c>
      <c r="G181" s="2044">
        <v>8355.1561426473709</v>
      </c>
      <c r="H181" s="2026">
        <f>H175+SUM(H177:H180)</f>
        <v>54635170.029999994</v>
      </c>
      <c r="I181" s="2026">
        <f>I175+SUM(I177:I180)</f>
        <v>100075000</v>
      </c>
      <c r="J181" s="2026">
        <f>J175+SUM(J177:J180)</f>
        <v>481761.86710874736</v>
      </c>
      <c r="K181" s="2026">
        <f t="shared" ref="K181:AO181" si="84">K175+SUM(K177:K180)</f>
        <v>2377472.2579961568</v>
      </c>
      <c r="L181" s="2026">
        <f t="shared" si="84"/>
        <v>6897050.8707046062</v>
      </c>
      <c r="M181" s="2026">
        <f t="shared" si="84"/>
        <v>-1519403.1347815245</v>
      </c>
      <c r="N181" s="2026">
        <f t="shared" si="84"/>
        <v>-181807.74608647823</v>
      </c>
      <c r="O181" s="2026">
        <f t="shared" si="84"/>
        <v>1755709.4927577376</v>
      </c>
      <c r="P181" s="2026">
        <f t="shared" si="84"/>
        <v>9948878.733002007</v>
      </c>
      <c r="Q181" s="2026">
        <f t="shared" si="84"/>
        <v>11034551.855630025</v>
      </c>
      <c r="R181" s="2026">
        <f t="shared" si="84"/>
        <v>13789776.720552772</v>
      </c>
      <c r="S181" s="2026">
        <f t="shared" si="84"/>
        <v>11064648.460128739</v>
      </c>
      <c r="T181" s="2026">
        <f t="shared" si="84"/>
        <v>8804876.6627575904</v>
      </c>
      <c r="U181" s="2026">
        <f t="shared" si="84"/>
        <v>6883289.316854775</v>
      </c>
      <c r="V181" s="2026">
        <f t="shared" si="84"/>
        <v>-22926812.289055049</v>
      </c>
      <c r="W181" s="2026">
        <f t="shared" si="84"/>
        <v>-24868568.369347528</v>
      </c>
      <c r="X181" s="3907">
        <f t="shared" si="84"/>
        <v>-24713104.830585957</v>
      </c>
      <c r="Y181" s="2026">
        <f t="shared" si="84"/>
        <v>-26326653.340470567</v>
      </c>
      <c r="Z181" s="2026">
        <f t="shared" si="84"/>
        <v>-27960069.015486538</v>
      </c>
      <c r="AA181" s="2026">
        <f t="shared" si="84"/>
        <v>-27163066.61474824</v>
      </c>
      <c r="AB181" s="2026">
        <f t="shared" si="84"/>
        <v>-28187775.538424283</v>
      </c>
      <c r="AC181" s="2026">
        <f t="shared" si="84"/>
        <v>-29802711.448520377</v>
      </c>
      <c r="AD181" s="2026">
        <f t="shared" si="84"/>
        <v>-31351841.431081921</v>
      </c>
      <c r="AE181" s="2026">
        <f t="shared" si="84"/>
        <v>-22910533.368816629</v>
      </c>
      <c r="AF181" s="2026">
        <f t="shared" si="84"/>
        <v>-25424060.665208071</v>
      </c>
      <c r="AG181" s="2026">
        <f t="shared" si="84"/>
        <v>-27719426.328750402</v>
      </c>
      <c r="AH181" s="2026">
        <f t="shared" si="84"/>
        <v>-29158811.922320247</v>
      </c>
      <c r="AI181" s="2026">
        <f t="shared" si="84"/>
        <v>-30444252.071033478</v>
      </c>
      <c r="AJ181" s="2026">
        <f t="shared" si="84"/>
        <v>-36959274.574533984</v>
      </c>
      <c r="AK181" s="2026">
        <f t="shared" si="84"/>
        <v>-42737759.796647623</v>
      </c>
      <c r="AL181" s="2026">
        <f t="shared" si="84"/>
        <v>-49358739.008840382</v>
      </c>
      <c r="AM181" s="2026">
        <f t="shared" si="84"/>
        <v>-57088750.823164329</v>
      </c>
      <c r="AN181" s="2026">
        <f t="shared" si="84"/>
        <v>-62877690.482635677</v>
      </c>
      <c r="AO181" s="2026" t="e">
        <f t="shared" si="84"/>
        <v>#REF!</v>
      </c>
    </row>
    <row r="182" spans="1:43" ht="16.5" thickTop="1">
      <c r="A182" s="1020"/>
      <c r="B182" s="1040"/>
      <c r="C182" s="1201"/>
      <c r="D182" s="1020"/>
      <c r="E182" s="1017"/>
      <c r="F182" s="1089"/>
      <c r="G182" s="1044"/>
      <c r="H182" s="1100"/>
      <c r="I182" s="1100"/>
      <c r="J182" s="1020"/>
      <c r="K182" s="1020"/>
      <c r="L182" s="1020"/>
      <c r="M182" s="1020"/>
      <c r="N182" s="1020"/>
      <c r="O182" s="1020"/>
      <c r="P182" s="1020"/>
      <c r="Q182" s="1020"/>
      <c r="R182" s="1020"/>
      <c r="S182" s="1020"/>
      <c r="T182" s="1020"/>
      <c r="U182" s="1020"/>
      <c r="V182" s="1020"/>
      <c r="W182" s="1020"/>
      <c r="X182" s="3881"/>
      <c r="Y182" s="1020"/>
      <c r="Z182" s="1020"/>
      <c r="AA182" s="1020"/>
      <c r="AB182" s="1020"/>
      <c r="AC182" s="1020"/>
      <c r="AD182" s="1020"/>
      <c r="AE182" s="1020"/>
      <c r="AF182" s="1020"/>
      <c r="AG182" s="1020"/>
      <c r="AH182" s="1020"/>
      <c r="AI182" s="1020"/>
      <c r="AJ182" s="1020"/>
      <c r="AK182" s="1020"/>
      <c r="AL182" s="1020"/>
      <c r="AM182" s="1020"/>
      <c r="AN182" s="1020"/>
      <c r="AO182" s="1020"/>
    </row>
    <row r="183" spans="1:43">
      <c r="A183" s="2028" t="s">
        <v>2794</v>
      </c>
      <c r="B183" s="1040"/>
      <c r="C183" s="1201"/>
      <c r="D183" s="1020"/>
      <c r="E183" s="1017"/>
      <c r="F183" s="1089"/>
      <c r="G183" s="1044"/>
      <c r="H183" s="2066">
        <v>0</v>
      </c>
      <c r="I183" s="1044">
        <v>0</v>
      </c>
      <c r="J183" s="2066">
        <v>0</v>
      </c>
      <c r="K183" s="2066">
        <v>0</v>
      </c>
      <c r="L183" s="2066">
        <v>40000000</v>
      </c>
      <c r="M183" s="2066">
        <v>40000000</v>
      </c>
      <c r="N183" s="2066">
        <v>40000000</v>
      </c>
      <c r="O183" s="2066">
        <v>35000000</v>
      </c>
      <c r="P183" s="2066">
        <v>30000000</v>
      </c>
      <c r="Q183" s="2066">
        <v>40000000</v>
      </c>
      <c r="R183" s="2066">
        <v>30000000</v>
      </c>
      <c r="S183" s="2066">
        <v>55000000</v>
      </c>
      <c r="T183" s="2066">
        <v>50000000</v>
      </c>
      <c r="U183" s="2066">
        <v>45000000</v>
      </c>
      <c r="V183" s="2066">
        <v>30000000</v>
      </c>
      <c r="W183" s="2066">
        <v>15000000</v>
      </c>
      <c r="X183" s="3929">
        <v>14000000</v>
      </c>
      <c r="Y183" s="2066">
        <v>10000000</v>
      </c>
      <c r="Z183" s="2066">
        <v>10000000</v>
      </c>
      <c r="AA183" s="2066">
        <v>10000000</v>
      </c>
      <c r="AB183" s="2066">
        <v>25000000</v>
      </c>
      <c r="AC183" s="2066">
        <v>20000000</v>
      </c>
      <c r="AD183" s="2066">
        <v>15000000</v>
      </c>
      <c r="AE183" s="2066">
        <v>30000000</v>
      </c>
      <c r="AF183" s="2066">
        <v>0</v>
      </c>
      <c r="AG183" s="2066">
        <v>0</v>
      </c>
      <c r="AH183" s="2066">
        <v>0</v>
      </c>
      <c r="AI183" s="2066">
        <v>0</v>
      </c>
      <c r="AJ183" s="2066">
        <v>0</v>
      </c>
      <c r="AK183" s="2066">
        <v>0</v>
      </c>
      <c r="AL183" s="2066">
        <v>0</v>
      </c>
      <c r="AM183" s="2066">
        <v>0</v>
      </c>
      <c r="AN183" s="2066">
        <v>0</v>
      </c>
      <c r="AO183" s="2066">
        <v>0</v>
      </c>
      <c r="AP183" s="2085">
        <v>0</v>
      </c>
      <c r="AQ183" s="987">
        <v>0</v>
      </c>
    </row>
    <row r="184" spans="1:43">
      <c r="A184" s="1020"/>
      <c r="B184" s="1040"/>
      <c r="C184" s="1201"/>
      <c r="D184" s="1020"/>
      <c r="E184" s="1017"/>
      <c r="F184" s="1089"/>
      <c r="G184" s="1044"/>
      <c r="H184" s="1100"/>
      <c r="I184" s="1100"/>
      <c r="J184" s="1020"/>
      <c r="K184" s="1020"/>
      <c r="L184" s="1020"/>
      <c r="M184" s="1020"/>
      <c r="N184" s="1020"/>
      <c r="O184" s="1020"/>
      <c r="P184" s="1020"/>
      <c r="Q184" s="1020"/>
      <c r="R184" s="1020"/>
      <c r="S184" s="1020"/>
      <c r="T184" s="1020"/>
      <c r="U184" s="1020"/>
      <c r="V184" s="1020"/>
      <c r="W184" s="1020"/>
      <c r="X184" s="3881"/>
      <c r="Y184" s="1020"/>
      <c r="Z184" s="1020"/>
      <c r="AA184" s="1020"/>
      <c r="AB184" s="1020"/>
      <c r="AC184" s="1020"/>
      <c r="AD184" s="1020"/>
      <c r="AE184" s="1020"/>
      <c r="AF184" s="1020"/>
      <c r="AG184" s="1020"/>
      <c r="AH184" s="1020"/>
      <c r="AI184" s="1020"/>
      <c r="AJ184" s="1020"/>
      <c r="AK184" s="1020"/>
      <c r="AL184" s="1020"/>
      <c r="AM184" s="1020"/>
      <c r="AN184" s="1020"/>
      <c r="AO184" s="1020"/>
    </row>
    <row r="185" spans="1:43">
      <c r="A185" s="1020"/>
      <c r="B185" s="1040"/>
      <c r="C185" s="1201"/>
      <c r="D185" s="1020"/>
      <c r="E185" s="2045"/>
      <c r="F185" s="2046" t="s">
        <v>1959</v>
      </c>
      <c r="G185" s="2046" t="s">
        <v>1960</v>
      </c>
      <c r="H185" s="2047" t="s">
        <v>1956</v>
      </c>
      <c r="I185" s="1018" t="s">
        <v>1957</v>
      </c>
      <c r="J185" s="1019" t="s">
        <v>1958</v>
      </c>
      <c r="K185" s="1020"/>
      <c r="L185" s="1020"/>
      <c r="M185" s="1020"/>
      <c r="N185" s="1020"/>
      <c r="O185" s="1020"/>
      <c r="P185" s="1020"/>
      <c r="Q185" s="1020"/>
      <c r="R185" s="1020"/>
      <c r="S185" s="1020"/>
      <c r="T185" s="1020"/>
      <c r="U185" s="1020"/>
      <c r="V185" s="1020"/>
      <c r="W185" s="1020"/>
      <c r="X185" s="3881"/>
      <c r="Y185" s="1020"/>
      <c r="Z185" s="1020"/>
      <c r="AA185" s="1020"/>
      <c r="AB185" s="1020"/>
      <c r="AC185" s="1020"/>
      <c r="AD185" s="1020"/>
      <c r="AE185" s="1020"/>
      <c r="AF185" s="1020"/>
      <c r="AG185" s="1020"/>
      <c r="AH185" s="1020"/>
      <c r="AI185" s="1020"/>
      <c r="AJ185" s="1020"/>
      <c r="AK185" s="1020"/>
      <c r="AL185" s="1020"/>
      <c r="AM185" s="1020"/>
      <c r="AN185" s="1020"/>
      <c r="AO185" s="1020"/>
    </row>
    <row r="186" spans="1:43">
      <c r="A186" s="1074"/>
      <c r="B186" s="2158" t="s">
        <v>2799</v>
      </c>
      <c r="C186" s="1201"/>
      <c r="D186" s="1020"/>
      <c r="E186" s="2045"/>
      <c r="F186" s="2048">
        <v>2012</v>
      </c>
      <c r="G186" s="2048">
        <v>2013</v>
      </c>
      <c r="H186" s="1026">
        <v>2013</v>
      </c>
      <c r="I186" s="1025">
        <v>2014</v>
      </c>
      <c r="J186" s="1026">
        <v>2014</v>
      </c>
      <c r="K186" s="1026">
        <v>2015</v>
      </c>
      <c r="L186" s="1026">
        <v>2016</v>
      </c>
      <c r="M186" s="1026">
        <f>L186+1</f>
        <v>2017</v>
      </c>
      <c r="N186" s="1026">
        <f>M186+1</f>
        <v>2018</v>
      </c>
      <c r="O186" s="1026"/>
      <c r="P186" s="1026"/>
      <c r="Q186" s="1026"/>
      <c r="R186" s="1026"/>
      <c r="S186" s="1026"/>
      <c r="T186" s="1026"/>
      <c r="U186" s="1026"/>
      <c r="V186" s="1026"/>
      <c r="W186" s="1026"/>
      <c r="X186" s="3930"/>
      <c r="Y186" s="1026"/>
      <c r="Z186" s="1026"/>
      <c r="AA186" s="1026"/>
      <c r="AB186" s="1026"/>
      <c r="AC186" s="1026"/>
      <c r="AD186" s="1026"/>
      <c r="AE186" s="1026"/>
      <c r="AF186" s="1026"/>
      <c r="AG186" s="1026"/>
      <c r="AH186" s="1026"/>
      <c r="AI186" s="1026"/>
      <c r="AJ186" s="1026"/>
      <c r="AK186" s="1026"/>
      <c r="AL186" s="1026"/>
      <c r="AM186" s="1026"/>
      <c r="AN186" s="1026"/>
      <c r="AO186" s="1026"/>
    </row>
    <row r="187" spans="1:43">
      <c r="A187" s="1204" t="s">
        <v>2061</v>
      </c>
      <c r="B187" s="1205"/>
      <c r="C187" s="1206"/>
      <c r="D187" s="1038"/>
      <c r="E187" s="1037"/>
      <c r="F187" s="1038"/>
      <c r="G187" s="1136"/>
      <c r="H187" s="1038"/>
      <c r="I187" s="1038"/>
      <c r="J187" s="1136"/>
      <c r="K187" s="1136"/>
      <c r="L187" s="1136"/>
      <c r="M187" s="1136"/>
      <c r="N187" s="1038"/>
      <c r="O187" s="1038"/>
      <c r="P187" s="1038"/>
      <c r="Q187" s="1038"/>
      <c r="R187" s="1038"/>
      <c r="S187" s="1038"/>
      <c r="T187" s="1038"/>
      <c r="U187" s="1038"/>
      <c r="V187" s="1038"/>
      <c r="W187" s="1038"/>
      <c r="X187" s="1108"/>
      <c r="Y187" s="1038"/>
      <c r="Z187" s="1038"/>
      <c r="AA187" s="1038"/>
      <c r="AB187" s="1038"/>
      <c r="AC187" s="1038"/>
      <c r="AD187" s="1038"/>
      <c r="AE187" s="1038"/>
      <c r="AF187" s="1038"/>
      <c r="AG187" s="1038"/>
      <c r="AH187" s="1038"/>
      <c r="AI187" s="1038"/>
      <c r="AJ187" s="1038"/>
      <c r="AK187" s="1038"/>
      <c r="AL187" s="1038"/>
      <c r="AM187" s="1038"/>
      <c r="AN187" s="1038"/>
      <c r="AO187" s="1038"/>
    </row>
    <row r="188" spans="1:43">
      <c r="A188" s="1017" t="s">
        <v>2062</v>
      </c>
      <c r="B188" s="1040" t="s">
        <v>2800</v>
      </c>
      <c r="C188" s="2086">
        <f>C9+C10</f>
        <v>119586</v>
      </c>
      <c r="D188" s="1042">
        <f>D9+D10</f>
        <v>99881733</v>
      </c>
      <c r="E188" s="1090">
        <f>35041+83274</f>
        <v>118315</v>
      </c>
      <c r="F188" s="1042">
        <f>F9+F10</f>
        <v>130953481</v>
      </c>
      <c r="G188" s="1044">
        <v>152491.71378951668</v>
      </c>
      <c r="H188" s="2027">
        <f>H9+H10</f>
        <v>194295140.38999999</v>
      </c>
      <c r="I188" s="2027">
        <f>155000000+51142000</f>
        <v>206142000</v>
      </c>
      <c r="J188" s="2027">
        <f t="shared" ref="J188:AO188" si="85">J9+J10</f>
        <v>175355036.52682</v>
      </c>
      <c r="K188" s="2027">
        <f t="shared" si="85"/>
        <v>158242823.80000001</v>
      </c>
      <c r="L188" s="2027">
        <f t="shared" si="85"/>
        <v>160212737.0956192</v>
      </c>
      <c r="M188" s="2027">
        <f t="shared" si="85"/>
        <v>162214137.48535559</v>
      </c>
      <c r="N188" s="2027">
        <f t="shared" si="85"/>
        <v>164247528.2589215</v>
      </c>
      <c r="O188" s="2027">
        <f t="shared" si="85"/>
        <v>166313420.75061211</v>
      </c>
      <c r="P188" s="2027">
        <f t="shared" si="85"/>
        <v>168412334.4678899</v>
      </c>
      <c r="Q188" s="2027">
        <f t="shared" si="85"/>
        <v>170544797.22202465</v>
      </c>
      <c r="R188" s="2027">
        <f t="shared" si="85"/>
        <v>172711345.26082149</v>
      </c>
      <c r="S188" s="2027">
        <f t="shared" si="85"/>
        <v>174912523.40347046</v>
      </c>
      <c r="T188" s="2027">
        <f t="shared" si="85"/>
        <v>177148885.17755154</v>
      </c>
      <c r="U188" s="2027">
        <f t="shared" si="85"/>
        <v>179420992.95822951</v>
      </c>
      <c r="V188" s="2027">
        <f t="shared" si="85"/>
        <v>181729418.10967386</v>
      </c>
      <c r="W188" s="2027">
        <f t="shared" si="85"/>
        <v>184074741.12873888</v>
      </c>
      <c r="X188" s="3931">
        <f t="shared" si="85"/>
        <v>165866569.39935869</v>
      </c>
      <c r="Y188" s="2027">
        <f t="shared" si="85"/>
        <v>167825630.44034907</v>
      </c>
      <c r="Z188" s="2027">
        <f t="shared" si="85"/>
        <v>169814077.3969543</v>
      </c>
      <c r="AA188" s="2027">
        <f t="shared" si="85"/>
        <v>171832351.05790862</v>
      </c>
      <c r="AB188" s="2027">
        <f t="shared" si="85"/>
        <v>173880898.82377726</v>
      </c>
      <c r="AC188" s="2027">
        <f t="shared" si="85"/>
        <v>175960174.80613393</v>
      </c>
      <c r="AD188" s="2027">
        <f t="shared" si="85"/>
        <v>178070639.92822593</v>
      </c>
      <c r="AE188" s="2027">
        <f t="shared" si="85"/>
        <v>180212762.02714932</v>
      </c>
      <c r="AF188" s="2027">
        <f t="shared" si="85"/>
        <v>182387015.95755655</v>
      </c>
      <c r="AG188" s="2027">
        <f t="shared" si="85"/>
        <v>184593883.69691989</v>
      </c>
      <c r="AH188" s="2027">
        <f t="shared" si="85"/>
        <v>186833854.45237368</v>
      </c>
      <c r="AI188" s="2027">
        <f t="shared" si="85"/>
        <v>189107424.76915929</v>
      </c>
      <c r="AJ188" s="2027">
        <f t="shared" si="85"/>
        <v>191415098.64069667</v>
      </c>
      <c r="AK188" s="2027">
        <f t="shared" si="85"/>
        <v>193757387.62030712</v>
      </c>
      <c r="AL188" s="2027">
        <f t="shared" si="85"/>
        <v>196134810.93461174</v>
      </c>
      <c r="AM188" s="2027">
        <f t="shared" si="85"/>
        <v>198547895.59863091</v>
      </c>
      <c r="AN188" s="2027">
        <f t="shared" si="85"/>
        <v>200997176.53261036</v>
      </c>
      <c r="AO188" s="2027" t="e">
        <f t="shared" si="85"/>
        <v>#VALUE!</v>
      </c>
    </row>
    <row r="189" spans="1:43">
      <c r="A189" s="1017" t="s">
        <v>1967</v>
      </c>
      <c r="B189" s="1040"/>
      <c r="C189" s="2086"/>
      <c r="D189" s="1042">
        <v>0</v>
      </c>
      <c r="E189" s="1090">
        <v>0</v>
      </c>
      <c r="F189" s="1042">
        <v>0</v>
      </c>
      <c r="G189" s="1044">
        <v>0</v>
      </c>
      <c r="H189" s="2027">
        <f>H11</f>
        <v>0</v>
      </c>
      <c r="I189" s="2027"/>
      <c r="J189" s="2027">
        <f t="shared" ref="J189:AO189" si="86">J11</f>
        <v>0</v>
      </c>
      <c r="K189" s="2027">
        <f t="shared" si="86"/>
        <v>12083702.953720002</v>
      </c>
      <c r="L189" s="2027">
        <f t="shared" si="86"/>
        <v>54037071.547890358</v>
      </c>
      <c r="M189" s="2027">
        <f t="shared" si="86"/>
        <v>0</v>
      </c>
      <c r="N189" s="2027">
        <f t="shared" si="86"/>
        <v>7.4605047702789315E-9</v>
      </c>
      <c r="O189" s="2027">
        <f t="shared" si="86"/>
        <v>-6.714454293251038E-8</v>
      </c>
      <c r="P189" s="2027">
        <f t="shared" si="86"/>
        <v>0</v>
      </c>
      <c r="Q189" s="2027">
        <f t="shared" si="86"/>
        <v>0</v>
      </c>
      <c r="R189" s="2027">
        <f t="shared" si="86"/>
        <v>9.4994902610778809E-8</v>
      </c>
      <c r="S189" s="2027">
        <f t="shared" si="86"/>
        <v>-3.7252902984619141E-8</v>
      </c>
      <c r="T189" s="2027">
        <f t="shared" si="86"/>
        <v>6.7055225372314453E-8</v>
      </c>
      <c r="U189" s="2027">
        <f t="shared" si="86"/>
        <v>8.9406967163085938E-8</v>
      </c>
      <c r="V189" s="2027">
        <f t="shared" si="86"/>
        <v>0</v>
      </c>
      <c r="W189" s="2027">
        <f t="shared" si="86"/>
        <v>0</v>
      </c>
      <c r="X189" s="3931">
        <f t="shared" si="86"/>
        <v>22711681.963359699</v>
      </c>
      <c r="Y189" s="2027">
        <f t="shared" si="86"/>
        <v>23300743.658901785</v>
      </c>
      <c r="Z189" s="2027">
        <f t="shared" si="86"/>
        <v>23069019.684583843</v>
      </c>
      <c r="AA189" s="2027">
        <f t="shared" si="86"/>
        <v>30491895.062688999</v>
      </c>
      <c r="AB189" s="2027">
        <f t="shared" si="86"/>
        <v>22307526.985241886</v>
      </c>
      <c r="AC189" s="2027">
        <f t="shared" si="86"/>
        <v>19124611.104980063</v>
      </c>
      <c r="AD189" s="2027">
        <f t="shared" si="86"/>
        <v>19929491.834407397</v>
      </c>
      <c r="AE189" s="2027">
        <f t="shared" si="86"/>
        <v>16082631.212488482</v>
      </c>
      <c r="AF189" s="2027">
        <f t="shared" si="86"/>
        <v>43634214.667587087</v>
      </c>
      <c r="AG189" s="2027">
        <f t="shared" si="86"/>
        <v>68657768.385281131</v>
      </c>
      <c r="AH189" s="2027">
        <f t="shared" si="86"/>
        <v>95766993.114132166</v>
      </c>
      <c r="AI189" s="2027">
        <f t="shared" si="86"/>
        <v>120770683.25016598</v>
      </c>
      <c r="AJ189" s="2027">
        <f t="shared" si="86"/>
        <v>155983027.17680314</v>
      </c>
      <c r="AK189" s="2027">
        <f t="shared" si="86"/>
        <v>188418159.44849205</v>
      </c>
      <c r="AL189" s="2027">
        <f t="shared" si="86"/>
        <v>214822415.76616803</v>
      </c>
      <c r="AM189" s="2027">
        <f t="shared" si="86"/>
        <v>254137780.43040743</v>
      </c>
      <c r="AN189" s="2027">
        <f t="shared" si="86"/>
        <v>300260350.22726804</v>
      </c>
      <c r="AO189" s="2027" t="str">
        <f t="shared" si="86"/>
        <v>x</v>
      </c>
    </row>
    <row r="190" spans="1:43">
      <c r="A190" s="1045" t="s">
        <v>2063</v>
      </c>
      <c r="B190" s="1077" t="s">
        <v>2801</v>
      </c>
      <c r="C190" s="1192">
        <f>(SUM(C9,+C10,+C13,+C22,+C24,C17)*365/SUM(C84,-C81,-C72))</f>
        <v>329.5921709581346</v>
      </c>
      <c r="D190" s="1076">
        <f>(SUM(D9,+D10,+D12,D13,D17,+D22,D24)*365/SUM(D84,-D81,-D72))</f>
        <v>342.03842736215512</v>
      </c>
      <c r="E190" s="1076">
        <f>(SUM(E9,+E10,+E12,E13,E17,+E22,E24)*365/SUM(E84,-E81,-E72))</f>
        <v>413.69943496016151</v>
      </c>
      <c r="F190" s="1076">
        <f>(SUM(F9,+F10,+F12,F13,F17,+F22,F24)*365/SUM(F84,-F81,-F72))</f>
        <v>726.8405907616542</v>
      </c>
      <c r="G190" s="1076">
        <f>(SUM(G9,+G10,+G12,G13,G17,+G22,G24)*365/SUM(G84,-G81,-G72))</f>
        <v>485.95629884325029</v>
      </c>
      <c r="H190" s="2029">
        <f>(SUM(H9,+H10,+H11,+H12,H13,H17,+H22,H24)*365/SUM(H84,-H81,-H72))</f>
        <v>591.03355326991493</v>
      </c>
      <c r="I190" s="2029">
        <v>628</v>
      </c>
      <c r="J190" s="2029">
        <f t="shared" ref="J190:AO190" si="87">(SUM(J9,+J10,+J11,+J12,J13,J17,+J22,J24)*365/SUM(J84,-J81,-J72))</f>
        <v>398.38513895997761</v>
      </c>
      <c r="K190" s="2029">
        <f t="shared" si="87"/>
        <v>515.52180042899852</v>
      </c>
      <c r="L190" s="2029">
        <f t="shared" si="87"/>
        <v>633.67206500049349</v>
      </c>
      <c r="M190" s="2029">
        <f t="shared" si="87"/>
        <v>485.43588067635528</v>
      </c>
      <c r="N190" s="2029">
        <f t="shared" si="87"/>
        <v>474.66173901632874</v>
      </c>
      <c r="O190" s="2029">
        <f t="shared" si="87"/>
        <v>470.86800002864328</v>
      </c>
      <c r="P190" s="2029">
        <f t="shared" si="87"/>
        <v>462.90838452549082</v>
      </c>
      <c r="Q190" s="2029">
        <f t="shared" si="87"/>
        <v>453.29418648422302</v>
      </c>
      <c r="R190" s="2029">
        <f t="shared" si="87"/>
        <v>445.76978916680872</v>
      </c>
      <c r="S190" s="2029">
        <f t="shared" si="87"/>
        <v>436.66910064368506</v>
      </c>
      <c r="T190" s="2029">
        <f t="shared" si="87"/>
        <v>429.82589858960449</v>
      </c>
      <c r="U190" s="2029">
        <f t="shared" si="87"/>
        <v>422.63666946249191</v>
      </c>
      <c r="V190" s="2029">
        <f t="shared" si="87"/>
        <v>413.94079616957606</v>
      </c>
      <c r="W190" s="2029">
        <f t="shared" si="87"/>
        <v>407.85031913240567</v>
      </c>
      <c r="X190" s="3932">
        <f t="shared" si="87"/>
        <v>401.36795969808895</v>
      </c>
      <c r="Y190" s="2029">
        <f t="shared" si="87"/>
        <v>394.85317821196082</v>
      </c>
      <c r="Z190" s="2029">
        <f t="shared" si="87"/>
        <v>386.86696987841975</v>
      </c>
      <c r="AA190" s="2029">
        <f t="shared" si="87"/>
        <v>389.60842760507495</v>
      </c>
      <c r="AB190" s="2029">
        <f t="shared" si="87"/>
        <v>368.82718257762281</v>
      </c>
      <c r="AC190" s="2029">
        <f t="shared" si="87"/>
        <v>356.63585427048679</v>
      </c>
      <c r="AD190" s="2029">
        <f t="shared" si="87"/>
        <v>351.11891821405982</v>
      </c>
      <c r="AE190" s="2029">
        <f t="shared" si="87"/>
        <v>338.78815206100825</v>
      </c>
      <c r="AF190" s="2029">
        <f t="shared" si="87"/>
        <v>370.87020089778139</v>
      </c>
      <c r="AG190" s="2029">
        <f t="shared" si="87"/>
        <v>398.18309033006989</v>
      </c>
      <c r="AH190" s="2029">
        <f t="shared" si="87"/>
        <v>425.5685219448518</v>
      </c>
      <c r="AI190" s="2029">
        <f t="shared" si="87"/>
        <v>449.21509742951537</v>
      </c>
      <c r="AJ190" s="2029">
        <f t="shared" si="87"/>
        <v>481.15557918339459</v>
      </c>
      <c r="AK190" s="2029">
        <f t="shared" si="87"/>
        <v>511.12116500728177</v>
      </c>
      <c r="AL190" s="2029">
        <f t="shared" si="87"/>
        <v>531.33696097707025</v>
      </c>
      <c r="AM190" s="2029">
        <f t="shared" si="87"/>
        <v>561.34752359192726</v>
      </c>
      <c r="AN190" s="2029">
        <f t="shared" si="87"/>
        <v>597.66636290455597</v>
      </c>
      <c r="AO190" s="2029" t="e">
        <f t="shared" si="87"/>
        <v>#VALUE!</v>
      </c>
    </row>
    <row r="191" spans="1:43">
      <c r="A191" s="1204" t="s">
        <v>2064</v>
      </c>
      <c r="B191" s="1205"/>
      <c r="C191" s="1206"/>
      <c r="D191" s="1038"/>
      <c r="E191" s="1037"/>
      <c r="F191" s="1038"/>
      <c r="G191" s="1136"/>
      <c r="H191" s="1038"/>
      <c r="I191" s="1038"/>
      <c r="J191" s="1136"/>
      <c r="K191" s="1136"/>
      <c r="L191" s="1136"/>
      <c r="M191" s="1136"/>
      <c r="N191" s="1038"/>
      <c r="O191" s="1038"/>
      <c r="P191" s="1038"/>
      <c r="Q191" s="1038"/>
      <c r="R191" s="1038"/>
      <c r="S191" s="1038"/>
      <c r="T191" s="1038"/>
      <c r="U191" s="1038"/>
      <c r="V191" s="1038"/>
      <c r="W191" s="1038"/>
      <c r="X191" s="1108"/>
      <c r="Y191" s="1038"/>
      <c r="Z191" s="1038"/>
      <c r="AA191" s="1038"/>
      <c r="AB191" s="1038"/>
      <c r="AC191" s="1038"/>
      <c r="AD191" s="1038"/>
      <c r="AE191" s="1038"/>
      <c r="AF191" s="1038"/>
      <c r="AG191" s="1038"/>
      <c r="AH191" s="1038"/>
      <c r="AI191" s="1038"/>
      <c r="AJ191" s="1038"/>
      <c r="AK191" s="1038"/>
      <c r="AL191" s="1038"/>
      <c r="AM191" s="1038"/>
      <c r="AN191" s="1038"/>
      <c r="AO191" s="1038"/>
    </row>
    <row r="192" spans="1:43">
      <c r="A192" s="1020" t="s">
        <v>2065</v>
      </c>
      <c r="B192" s="1040" t="s">
        <v>2802</v>
      </c>
      <c r="C192" s="1201"/>
      <c r="D192" s="1237">
        <v>3.4996991236989698</v>
      </c>
      <c r="E192" s="2087">
        <v>1.3061142097959093</v>
      </c>
      <c r="F192" s="1237">
        <v>2.2518275547087141</v>
      </c>
      <c r="G192" s="2088">
        <v>1.3141496390159835</v>
      </c>
      <c r="H192" s="2068">
        <v>1.6486129148748712</v>
      </c>
      <c r="I192" s="2068"/>
      <c r="J192" s="2068">
        <v>1.6250985331700571</v>
      </c>
      <c r="K192" s="2068">
        <v>1.8571369940597027</v>
      </c>
      <c r="L192" s="2068">
        <v>1.9043302267273652</v>
      </c>
      <c r="M192" s="2068">
        <v>1.7468339060011191</v>
      </c>
      <c r="N192" s="2068">
        <v>1.6647008867684971</v>
      </c>
      <c r="O192" s="2068">
        <v>1.5515566959413831</v>
      </c>
      <c r="P192" s="2068">
        <v>1.5475292501129505</v>
      </c>
      <c r="Q192" s="2068">
        <v>1.5144359892956354</v>
      </c>
      <c r="R192" s="2068">
        <v>1.5589780767654748</v>
      </c>
      <c r="S192" s="2068">
        <v>1.5683823025070296</v>
      </c>
      <c r="T192" s="2068">
        <v>1.8209240610563193</v>
      </c>
      <c r="U192" s="2068">
        <v>1.7754656688565247</v>
      </c>
      <c r="V192" s="2068">
        <v>1.7645522569944991</v>
      </c>
      <c r="W192" s="2068">
        <v>1.8493372181895491</v>
      </c>
      <c r="X192" s="3933">
        <v>1.766246316977321</v>
      </c>
      <c r="Y192" s="2068">
        <v>1.755018330112756</v>
      </c>
      <c r="Z192" s="2068">
        <v>1.7434979886755082</v>
      </c>
      <c r="AA192" s="2068">
        <v>1.7607184436889456</v>
      </c>
      <c r="AB192" s="2068">
        <v>1.8854248577672328</v>
      </c>
      <c r="AC192" s="2068">
        <v>1.8843846298312903</v>
      </c>
      <c r="AD192" s="2068">
        <v>1.9144023423493868</v>
      </c>
      <c r="AE192" s="2068">
        <v>1.9177636837518923</v>
      </c>
      <c r="AF192" s="2068">
        <v>1.9090558675658804</v>
      </c>
      <c r="AG192" s="2068">
        <v>1.9469764955209579</v>
      </c>
      <c r="AH192" s="2068">
        <v>1.9341263837526563</v>
      </c>
      <c r="AI192" s="2068">
        <v>1.9541169524273503</v>
      </c>
      <c r="AJ192" s="2068">
        <v>1.8718976960560119</v>
      </c>
      <c r="AK192" s="2068">
        <v>2.0452154441253687</v>
      </c>
      <c r="AL192" s="2068">
        <v>2.05439820944359</v>
      </c>
      <c r="AM192" s="2068">
        <v>1.9559779965925272</v>
      </c>
      <c r="AN192" s="2068">
        <v>2.2057034336128152</v>
      </c>
      <c r="AO192" s="2068">
        <v>3.8325041213377875</v>
      </c>
    </row>
    <row r="193" spans="1:41">
      <c r="A193" s="1020" t="s">
        <v>2066</v>
      </c>
      <c r="B193" s="1040" t="s">
        <v>2803</v>
      </c>
      <c r="C193" s="2089"/>
      <c r="D193" s="2088">
        <v>3.9349443588033362</v>
      </c>
      <c r="E193" s="2087">
        <v>2.57</v>
      </c>
      <c r="F193" s="2088">
        <v>10.781942754453372</v>
      </c>
      <c r="G193" s="2088">
        <v>1.7872176332016321</v>
      </c>
      <c r="H193" s="2090">
        <v>2.8444906425000105</v>
      </c>
      <c r="I193" s="2090"/>
      <c r="J193" s="2090">
        <v>5.996438136334012</v>
      </c>
      <c r="K193" s="2090">
        <v>11.045081820600604</v>
      </c>
      <c r="L193" s="2090">
        <v>13.468320190252953</v>
      </c>
      <c r="M193" s="2090">
        <v>12.022419091357675</v>
      </c>
      <c r="N193" s="2090">
        <v>11.044541784822759</v>
      </c>
      <c r="O193" s="2090">
        <v>3.9262361107013604</v>
      </c>
      <c r="P193" s="2090">
        <v>3.9601800068184394</v>
      </c>
      <c r="Q193" s="2090">
        <v>4.0835910263541724</v>
      </c>
      <c r="R193" s="2090">
        <v>4.0354037487516834</v>
      </c>
      <c r="S193" s="2090">
        <v>4.6742524902984082</v>
      </c>
      <c r="T193" s="2090">
        <v>15.016310911816895</v>
      </c>
      <c r="U193" s="2090">
        <v>14.78365454991984</v>
      </c>
      <c r="V193" s="2090">
        <v>15.549701214140535</v>
      </c>
      <c r="W193" s="2090">
        <v>14.646410223559863</v>
      </c>
      <c r="X193" s="3934">
        <v>14.42165032013566</v>
      </c>
      <c r="Y193" s="2090">
        <v>14.459764306469779</v>
      </c>
      <c r="Z193" s="2090">
        <v>14.685619727070721</v>
      </c>
      <c r="AA193" s="2090">
        <v>16.377558542892171</v>
      </c>
      <c r="AB193" s="2090">
        <v>16.687318061555423</v>
      </c>
      <c r="AC193" s="2090">
        <v>17.069378479314878</v>
      </c>
      <c r="AD193" s="2090">
        <v>17.29906047942216</v>
      </c>
      <c r="AE193" s="2090">
        <v>17.604964653055667</v>
      </c>
      <c r="AF193" s="2090">
        <v>18.189480499726372</v>
      </c>
      <c r="AG193" s="2090">
        <v>18.122941567200144</v>
      </c>
      <c r="AH193" s="2090">
        <v>18.894990017915198</v>
      </c>
      <c r="AI193" s="2090">
        <v>18.951076035263689</v>
      </c>
      <c r="AJ193" s="2090">
        <v>21.172653634385288</v>
      </c>
      <c r="AK193" s="2090">
        <v>20.095340872496312</v>
      </c>
      <c r="AL193" s="2090" t="e">
        <v>#DIV/0!</v>
      </c>
      <c r="AM193" s="2090" t="e">
        <v>#DIV/0!</v>
      </c>
      <c r="AN193" s="2090" t="e">
        <v>#DIV/0!</v>
      </c>
      <c r="AO193" s="2090" t="e">
        <v>#DIV/0!</v>
      </c>
    </row>
    <row r="194" spans="1:41">
      <c r="A194" s="1020" t="s">
        <v>2067</v>
      </c>
      <c r="B194" s="1040" t="s">
        <v>2806</v>
      </c>
      <c r="C194" s="2091"/>
      <c r="D194" s="1207">
        <v>0.76214754323656841</v>
      </c>
      <c r="E194" s="2092">
        <v>7.3970632214527521E-4</v>
      </c>
      <c r="F194" s="1207">
        <v>0.71306318995396833</v>
      </c>
      <c r="G194" s="1209">
        <v>0.62259387570977465</v>
      </c>
      <c r="H194" s="2050">
        <f>H44/H38</f>
        <v>0.68235266876118494</v>
      </c>
      <c r="I194" s="2050">
        <v>0.76</v>
      </c>
      <c r="J194" s="2050">
        <f t="shared" ref="J194:AO194" si="88">J44/J38</f>
        <v>0.61698414238403176</v>
      </c>
      <c r="K194" s="2050">
        <f t="shared" si="88"/>
        <v>0.63083447664599179</v>
      </c>
      <c r="L194" s="2050">
        <f t="shared" si="88"/>
        <v>0.61572910637478417</v>
      </c>
      <c r="M194" s="2050">
        <f t="shared" si="88"/>
        <v>0.60338985641949927</v>
      </c>
      <c r="N194" s="2050">
        <f t="shared" si="88"/>
        <v>0.58917119201418744</v>
      </c>
      <c r="O194" s="2050">
        <f t="shared" si="88"/>
        <v>0.57209578065980482</v>
      </c>
      <c r="P194" s="2050">
        <f t="shared" si="88"/>
        <v>0.55966423177914859</v>
      </c>
      <c r="Q194" s="2050">
        <f t="shared" si="88"/>
        <v>0.54354278908626363</v>
      </c>
      <c r="R194" s="2050">
        <f t="shared" si="88"/>
        <v>0.53274306113570036</v>
      </c>
      <c r="S194" s="2050">
        <f t="shared" si="88"/>
        <v>0.51020888120015528</v>
      </c>
      <c r="T194" s="2050">
        <f t="shared" si="88"/>
        <v>0.50653422251798441</v>
      </c>
      <c r="U194" s="2050">
        <f t="shared" si="88"/>
        <v>0.5006575836836874</v>
      </c>
      <c r="V194" s="2050">
        <f t="shared" si="88"/>
        <v>0.48406917786726544</v>
      </c>
      <c r="W194" s="2050">
        <f t="shared" si="88"/>
        <v>0.47393904505809575</v>
      </c>
      <c r="X194" s="3935">
        <f t="shared" si="88"/>
        <v>0.46172971693823617</v>
      </c>
      <c r="Y194" s="2050">
        <f t="shared" si="88"/>
        <v>0.45082690710305395</v>
      </c>
      <c r="Z194" s="2050">
        <f t="shared" si="88"/>
        <v>0.43942512741061868</v>
      </c>
      <c r="AA194" s="2050">
        <f t="shared" si="88"/>
        <v>0.4278721885074096</v>
      </c>
      <c r="AB194" s="2050">
        <f t="shared" si="88"/>
        <v>0.41156960050889851</v>
      </c>
      <c r="AC194" s="2050">
        <f t="shared" si="88"/>
        <v>0.39709001604939381</v>
      </c>
      <c r="AD194" s="2050">
        <f t="shared" si="88"/>
        <v>0.38520498224841887</v>
      </c>
      <c r="AE194" s="2050">
        <f t="shared" si="88"/>
        <v>0.36841191136199175</v>
      </c>
      <c r="AF194" s="2050">
        <f t="shared" si="88"/>
        <v>0.36377420284511647</v>
      </c>
      <c r="AG194" s="2050">
        <f t="shared" si="88"/>
        <v>0.3598694062663545</v>
      </c>
      <c r="AH194" s="2050">
        <f t="shared" si="88"/>
        <v>0.35515888405763579</v>
      </c>
      <c r="AI194" s="2050">
        <f t="shared" si="88"/>
        <v>0.36058736855068685</v>
      </c>
      <c r="AJ194" s="2050">
        <f t="shared" si="88"/>
        <v>0.36508767142549725</v>
      </c>
      <c r="AK194" s="2050">
        <f t="shared" si="88"/>
        <v>0.3747422714675232</v>
      </c>
      <c r="AL194" s="2050">
        <f t="shared" si="88"/>
        <v>0.38553185511616817</v>
      </c>
      <c r="AM194" s="2050">
        <f t="shared" si="88"/>
        <v>0.39541250347274354</v>
      </c>
      <c r="AN194" s="2050">
        <f t="shared" si="88"/>
        <v>0.41124124906309756</v>
      </c>
      <c r="AO194" s="2050">
        <f t="shared" si="88"/>
        <v>0.42998349142154457</v>
      </c>
    </row>
    <row r="195" spans="1:41">
      <c r="A195" s="1020" t="s">
        <v>2068</v>
      </c>
      <c r="B195" s="1040" t="s">
        <v>2279</v>
      </c>
      <c r="C195" s="2091"/>
      <c r="D195" s="1207">
        <v>0.32867118185347577</v>
      </c>
      <c r="E195" s="2092">
        <v>0.28000000000000003</v>
      </c>
      <c r="F195" s="1207">
        <v>0.30651458210268973</v>
      </c>
      <c r="G195" s="1209">
        <v>0.26491494207122085</v>
      </c>
      <c r="H195" s="2050">
        <f>H42/H36</f>
        <v>0.28298955275139903</v>
      </c>
      <c r="I195" s="2050">
        <v>0.24</v>
      </c>
      <c r="J195" s="2050">
        <f t="shared" ref="J195:AO195" si="89">J42/J36</f>
        <v>0.26123578347125836</v>
      </c>
      <c r="K195" s="2050">
        <f t="shared" si="89"/>
        <v>0.24359231585316124</v>
      </c>
      <c r="L195" s="2050">
        <f t="shared" si="89"/>
        <v>0.23026507709692903</v>
      </c>
      <c r="M195" s="2050">
        <f t="shared" si="89"/>
        <v>0.22125559934930811</v>
      </c>
      <c r="N195" s="2050">
        <f t="shared" si="89"/>
        <v>0.21813118825797401</v>
      </c>
      <c r="O195" s="2050">
        <f t="shared" si="89"/>
        <v>0.19410413137859353</v>
      </c>
      <c r="P195" s="2050">
        <f t="shared" si="89"/>
        <v>0.17182476394585258</v>
      </c>
      <c r="Q195" s="2050">
        <f t="shared" si="89"/>
        <v>0.14876743929077013</v>
      </c>
      <c r="R195" s="2050">
        <f t="shared" si="89"/>
        <v>0.12429048818772107</v>
      </c>
      <c r="S195" s="2050">
        <f t="shared" si="89"/>
        <v>0.10201207089741691</v>
      </c>
      <c r="T195" s="2050">
        <f t="shared" si="89"/>
        <v>9.8814917458660612E-2</v>
      </c>
      <c r="U195" s="2050">
        <f t="shared" si="89"/>
        <v>9.5490859380715665E-2</v>
      </c>
      <c r="V195" s="2050">
        <f t="shared" si="89"/>
        <v>8.8070296444444363E-2</v>
      </c>
      <c r="W195" s="2050">
        <f t="shared" si="89"/>
        <v>8.1084269671635859E-2</v>
      </c>
      <c r="X195" s="3935">
        <f t="shared" si="89"/>
        <v>7.4470470235336428E-2</v>
      </c>
      <c r="Y195" s="2050">
        <f t="shared" si="89"/>
        <v>6.8155385327811693E-2</v>
      </c>
      <c r="Z195" s="2050">
        <f t="shared" si="89"/>
        <v>6.2094106328696171E-2</v>
      </c>
      <c r="AA195" s="2050">
        <f t="shared" si="89"/>
        <v>5.6228128186941215E-2</v>
      </c>
      <c r="AB195" s="2050">
        <f t="shared" si="89"/>
        <v>5.0523407536937646E-2</v>
      </c>
      <c r="AC195" s="2050">
        <f t="shared" si="89"/>
        <v>4.4930954288340257E-2</v>
      </c>
      <c r="AD195" s="2050">
        <f t="shared" si="89"/>
        <v>3.9417395220938213E-2</v>
      </c>
      <c r="AE195" s="2050">
        <f t="shared" si="89"/>
        <v>3.4385001065668191E-2</v>
      </c>
      <c r="AF195" s="2050">
        <f t="shared" si="89"/>
        <v>2.9206955811411375E-2</v>
      </c>
      <c r="AG195" s="2050">
        <f t="shared" si="89"/>
        <v>2.3849181015203988E-2</v>
      </c>
      <c r="AH195" s="2050">
        <f t="shared" si="89"/>
        <v>1.8287001261661457E-2</v>
      </c>
      <c r="AI195" s="2050">
        <f t="shared" si="89"/>
        <v>1.2487116191547231E-2</v>
      </c>
      <c r="AJ195" s="2050">
        <f t="shared" si="89"/>
        <v>6.4070201861394479E-3</v>
      </c>
      <c r="AK195" s="2050">
        <f t="shared" si="89"/>
        <v>0</v>
      </c>
      <c r="AL195" s="2050">
        <f t="shared" si="89"/>
        <v>0</v>
      </c>
      <c r="AM195" s="2050">
        <f t="shared" si="89"/>
        <v>0</v>
      </c>
      <c r="AN195" s="2050">
        <f t="shared" si="89"/>
        <v>0</v>
      </c>
      <c r="AO195" s="2050">
        <f t="shared" si="89"/>
        <v>0</v>
      </c>
    </row>
    <row r="196" spans="1:41">
      <c r="A196" s="1204" t="s">
        <v>2069</v>
      </c>
      <c r="B196" s="1205"/>
      <c r="C196" s="1208"/>
      <c r="D196" s="1038"/>
      <c r="E196" s="1037"/>
      <c r="F196" s="1038"/>
      <c r="G196" s="1136"/>
      <c r="H196" s="1038"/>
      <c r="I196" s="1038"/>
      <c r="J196" s="1136"/>
      <c r="K196" s="1136"/>
      <c r="L196" s="1136"/>
      <c r="M196" s="1136"/>
      <c r="N196" s="1038"/>
      <c r="O196" s="1038"/>
      <c r="P196" s="1038"/>
      <c r="Q196" s="1038"/>
      <c r="R196" s="1038"/>
      <c r="S196" s="1038"/>
      <c r="T196" s="1038"/>
      <c r="U196" s="1038"/>
      <c r="V196" s="1038"/>
      <c r="W196" s="1038"/>
      <c r="X196" s="1108"/>
      <c r="Y196" s="1038"/>
      <c r="Z196" s="1038"/>
      <c r="AA196" s="1038"/>
      <c r="AB196" s="1038"/>
      <c r="AC196" s="1038"/>
      <c r="AD196" s="1038"/>
      <c r="AE196" s="1038"/>
      <c r="AF196" s="1038"/>
      <c r="AG196" s="1038"/>
      <c r="AH196" s="1038"/>
      <c r="AI196" s="1038"/>
      <c r="AJ196" s="1038"/>
      <c r="AK196" s="1038"/>
      <c r="AL196" s="1038"/>
      <c r="AM196" s="1038"/>
      <c r="AN196" s="1038"/>
      <c r="AO196" s="1038"/>
    </row>
    <row r="197" spans="1:41">
      <c r="A197" s="1020" t="s">
        <v>2070</v>
      </c>
      <c r="B197" s="1040" t="s">
        <v>2804</v>
      </c>
      <c r="C197" s="1209">
        <v>-0.15199249191889525</v>
      </c>
      <c r="D197" s="2093">
        <v>4.0960665242350341E-2</v>
      </c>
      <c r="E197" s="2092">
        <v>0.03</v>
      </c>
      <c r="F197" s="1207">
        <v>5.9385571750175899E-2</v>
      </c>
      <c r="G197" s="1209">
        <v>1.4667293585545506E-2</v>
      </c>
      <c r="H197" s="2050">
        <f>H122/H38</f>
        <v>3.949221313797649E-2</v>
      </c>
      <c r="I197" s="2051">
        <v>0.02</v>
      </c>
      <c r="J197" s="2050">
        <f t="shared" ref="J197:AO197" si="90">J122/J38</f>
        <v>2.0961878293864859E-2</v>
      </c>
      <c r="K197" s="2050">
        <f t="shared" si="90"/>
        <v>3.0870814659232696E-2</v>
      </c>
      <c r="L197" s="2050">
        <f t="shared" si="90"/>
        <v>3.191419610370478E-2</v>
      </c>
      <c r="M197" s="2050">
        <f t="shared" si="90"/>
        <v>2.3627674650673527E-2</v>
      </c>
      <c r="N197" s="2050">
        <f t="shared" si="90"/>
        <v>1.7275093721785501E-2</v>
      </c>
      <c r="O197" s="2050">
        <f t="shared" si="90"/>
        <v>1.8057694536916937E-2</v>
      </c>
      <c r="P197" s="2050">
        <f t="shared" si="90"/>
        <v>1.8361688969933943E-2</v>
      </c>
      <c r="Q197" s="2050">
        <f t="shared" si="90"/>
        <v>1.8076402336420664E-2</v>
      </c>
      <c r="R197" s="2050">
        <f t="shared" si="90"/>
        <v>1.9301070694296266E-2</v>
      </c>
      <c r="S197" s="2050">
        <f t="shared" si="90"/>
        <v>1.8123998382436356E-2</v>
      </c>
      <c r="T197" s="2050">
        <f t="shared" si="90"/>
        <v>1.7080116909808787E-2</v>
      </c>
      <c r="U197" s="2050">
        <f t="shared" si="90"/>
        <v>1.6182057976325482E-2</v>
      </c>
      <c r="V197" s="2050">
        <f t="shared" si="90"/>
        <v>1.6038990180709513E-2</v>
      </c>
      <c r="W197" s="2050">
        <f t="shared" si="90"/>
        <v>1.5830656916881115E-2</v>
      </c>
      <c r="X197" s="3935">
        <f t="shared" si="90"/>
        <v>1.6517035629223964E-2</v>
      </c>
      <c r="Y197" s="2050">
        <f t="shared" si="90"/>
        <v>1.648464452150325E-2</v>
      </c>
      <c r="Z197" s="2050">
        <f t="shared" si="90"/>
        <v>1.6467171891738023E-2</v>
      </c>
      <c r="AA197" s="2050">
        <f t="shared" si="90"/>
        <v>1.7451824559543579E-2</v>
      </c>
      <c r="AB197" s="2050">
        <f t="shared" si="90"/>
        <v>1.7715137706761398E-2</v>
      </c>
      <c r="AC197" s="2050">
        <f t="shared" si="90"/>
        <v>1.7765487862063944E-2</v>
      </c>
      <c r="AD197" s="2050">
        <f t="shared" si="90"/>
        <v>1.7866725135339608E-2</v>
      </c>
      <c r="AE197" s="2050">
        <f t="shared" si="90"/>
        <v>1.7657056173207539E-2</v>
      </c>
      <c r="AF197" s="2050">
        <f t="shared" si="90"/>
        <v>1.7386158478589726E-2</v>
      </c>
      <c r="AG197" s="2050">
        <f t="shared" si="90"/>
        <v>1.7226024183155098E-2</v>
      </c>
      <c r="AH197" s="2050">
        <f t="shared" si="90"/>
        <v>1.7420328524853708E-2</v>
      </c>
      <c r="AI197" s="2050">
        <f t="shared" si="90"/>
        <v>1.7453913239133836E-2</v>
      </c>
      <c r="AJ197" s="2050">
        <f t="shared" si="90"/>
        <v>1.558056837045574E-2</v>
      </c>
      <c r="AK197" s="2050">
        <f t="shared" si="90"/>
        <v>1.4066200369776396E-2</v>
      </c>
      <c r="AL197" s="2050">
        <f t="shared" si="90"/>
        <v>1.2330880264012894E-2</v>
      </c>
      <c r="AM197" s="2050">
        <f t="shared" si="90"/>
        <v>1.02939909387264E-2</v>
      </c>
      <c r="AN197" s="2050">
        <f t="shared" si="90"/>
        <v>9.0201431931666784E-3</v>
      </c>
      <c r="AO197" s="2050" t="e">
        <f t="shared" si="90"/>
        <v>#REF!</v>
      </c>
    </row>
    <row r="198" spans="1:41">
      <c r="A198" s="1020" t="s">
        <v>2071</v>
      </c>
      <c r="B198" s="1040" t="s">
        <v>2279</v>
      </c>
      <c r="C198" s="1209"/>
      <c r="D198" s="2094"/>
      <c r="E198" s="2094"/>
      <c r="F198" s="2094"/>
      <c r="G198" s="1209">
        <v>1.0667956281203319</v>
      </c>
      <c r="H198" s="2126">
        <f t="shared" ref="H198:AO199" si="91">H225</f>
        <v>0.97104606465149146</v>
      </c>
      <c r="I198" s="2127">
        <v>0.96</v>
      </c>
      <c r="J198" s="2126">
        <f t="shared" si="91"/>
        <v>1.2529820635030449</v>
      </c>
      <c r="K198" s="2126">
        <f t="shared" si="91"/>
        <v>1.0944078039103113</v>
      </c>
      <c r="L198" s="2126">
        <f t="shared" si="91"/>
        <v>1.0685895407638373</v>
      </c>
      <c r="M198" s="2126">
        <f t="shared" si="91"/>
        <v>1.0565438314689284</v>
      </c>
      <c r="N198" s="2126">
        <f t="shared" si="91"/>
        <v>1.1087003123522654</v>
      </c>
      <c r="O198" s="2126">
        <f t="shared" si="91"/>
        <v>1.103701527832271</v>
      </c>
      <c r="P198" s="2126">
        <f t="shared" si="91"/>
        <v>1.1168341316216595</v>
      </c>
      <c r="Q198" s="2126">
        <f t="shared" si="91"/>
        <v>0.85885133268516145</v>
      </c>
      <c r="R198" s="2126">
        <f t="shared" si="91"/>
        <v>0.85627090001302297</v>
      </c>
      <c r="S198" s="2126">
        <f t="shared" si="91"/>
        <v>0.80015229528124354</v>
      </c>
      <c r="T198" s="2126">
        <f t="shared" si="91"/>
        <v>0.82389162988454401</v>
      </c>
      <c r="U198" s="2126">
        <f t="shared" si="91"/>
        <v>0.82520217221050662</v>
      </c>
      <c r="V198" s="2126">
        <f t="shared" si="91"/>
        <v>0.79888185788815924</v>
      </c>
      <c r="W198" s="2126" t="e">
        <f t="shared" si="91"/>
        <v>#REF!</v>
      </c>
      <c r="X198" s="3936" t="e">
        <f t="shared" si="91"/>
        <v>#REF!</v>
      </c>
      <c r="Y198" s="2126" t="e">
        <f t="shared" si="91"/>
        <v>#REF!</v>
      </c>
      <c r="Z198" s="2126" t="e">
        <f t="shared" si="91"/>
        <v>#REF!</v>
      </c>
      <c r="AA198" s="2126" t="e">
        <f t="shared" si="91"/>
        <v>#REF!</v>
      </c>
      <c r="AB198" s="2126" t="e">
        <f t="shared" si="91"/>
        <v>#REF!</v>
      </c>
      <c r="AC198" s="2126" t="e">
        <f t="shared" si="91"/>
        <v>#REF!</v>
      </c>
      <c r="AD198" s="2126" t="e">
        <f t="shared" si="91"/>
        <v>#REF!</v>
      </c>
      <c r="AE198" s="2126" t="e">
        <f t="shared" si="91"/>
        <v>#REF!</v>
      </c>
      <c r="AF198" s="2126" t="e">
        <f t="shared" si="91"/>
        <v>#REF!</v>
      </c>
      <c r="AG198" s="2126" t="e">
        <f t="shared" si="91"/>
        <v>#REF!</v>
      </c>
      <c r="AH198" s="2126" t="e">
        <f t="shared" si="91"/>
        <v>#REF!</v>
      </c>
      <c r="AI198" s="2126" t="e">
        <f t="shared" si="91"/>
        <v>#REF!</v>
      </c>
      <c r="AJ198" s="2126" t="e">
        <f t="shared" si="91"/>
        <v>#REF!</v>
      </c>
      <c r="AK198" s="2126" t="e">
        <f t="shared" si="91"/>
        <v>#REF!</v>
      </c>
      <c r="AL198" s="2126" t="e">
        <f t="shared" si="91"/>
        <v>#REF!</v>
      </c>
      <c r="AM198" s="2126" t="e">
        <f t="shared" si="91"/>
        <v>#REF!</v>
      </c>
      <c r="AN198" s="2126" t="e">
        <f t="shared" si="91"/>
        <v>#REF!</v>
      </c>
      <c r="AO198" s="2126" t="e">
        <f t="shared" si="91"/>
        <v>#REF!</v>
      </c>
    </row>
    <row r="199" spans="1:41">
      <c r="A199" s="1020" t="s">
        <v>2072</v>
      </c>
      <c r="B199" s="1040" t="s">
        <v>2805</v>
      </c>
      <c r="C199" s="1209">
        <v>1.0734451350284668</v>
      </c>
      <c r="D199" s="1209">
        <v>1.1902741776346886</v>
      </c>
      <c r="E199" s="1209">
        <v>0.75239521278140897</v>
      </c>
      <c r="F199" s="1209">
        <v>1.0128017418199264</v>
      </c>
      <c r="G199" s="1209">
        <v>1.1989501446582866</v>
      </c>
      <c r="H199" s="2126">
        <f t="shared" si="91"/>
        <v>1.0997265689453899</v>
      </c>
      <c r="I199" s="2127">
        <v>1.0900000000000001</v>
      </c>
      <c r="J199" s="2126">
        <f t="shared" si="91"/>
        <v>1.1387361984886624</v>
      </c>
      <c r="K199" s="2126">
        <f t="shared" si="91"/>
        <v>1.1469438248121253</v>
      </c>
      <c r="L199" s="2126">
        <f t="shared" si="91"/>
        <v>1.1363650635755931</v>
      </c>
      <c r="M199" s="2126">
        <f t="shared" si="91"/>
        <v>1.1201081874383523</v>
      </c>
      <c r="N199" s="2126">
        <f t="shared" si="91"/>
        <v>1.1692542441874567</v>
      </c>
      <c r="O199" s="2126">
        <f t="shared" si="91"/>
        <v>1.1603857928512562</v>
      </c>
      <c r="P199" s="2126">
        <f t="shared" si="91"/>
        <v>1.1673444756585358</v>
      </c>
      <c r="Q199" s="2126">
        <f t="shared" si="91"/>
        <v>1.1670038617168508</v>
      </c>
      <c r="R199" s="2126">
        <f t="shared" si="91"/>
        <v>1.173327621047602</v>
      </c>
      <c r="S199" s="2126">
        <f t="shared" si="91"/>
        <v>1.113344107674332</v>
      </c>
      <c r="T199" s="2126">
        <f t="shared" si="91"/>
        <v>1.1358517401800363</v>
      </c>
      <c r="U199" s="2126">
        <f t="shared" si="91"/>
        <v>1.1550515724821599</v>
      </c>
      <c r="V199" s="2126">
        <f t="shared" si="91"/>
        <v>1.1499046293066948</v>
      </c>
      <c r="W199" s="2126">
        <f t="shared" si="91"/>
        <v>1.1853127121485254</v>
      </c>
      <c r="X199" s="3936">
        <f t="shared" si="91"/>
        <v>1.2026132905467406</v>
      </c>
      <c r="Y199" s="2126">
        <f t="shared" si="91"/>
        <v>1.2126853939886624</v>
      </c>
      <c r="Z199" s="2126">
        <f t="shared" si="91"/>
        <v>1.2188985185159156</v>
      </c>
      <c r="AA199" s="2126">
        <f t="shared" si="91"/>
        <v>1.1908918456339754</v>
      </c>
      <c r="AB199" s="2126">
        <f t="shared" si="91"/>
        <v>1.1963095212783177</v>
      </c>
      <c r="AC199" s="2126">
        <f t="shared" si="91"/>
        <v>1.1999766464702113</v>
      </c>
      <c r="AD199" s="2126">
        <f t="shared" si="91"/>
        <v>1.2071677563080807</v>
      </c>
      <c r="AE199" s="2126">
        <f t="shared" si="91"/>
        <v>1.2128878832353158</v>
      </c>
      <c r="AF199" s="2126">
        <f t="shared" si="91"/>
        <v>1.2134373359027111</v>
      </c>
      <c r="AG199" s="2126">
        <f t="shared" si="91"/>
        <v>1.22617350330733</v>
      </c>
      <c r="AH199" s="2126">
        <f t="shared" si="91"/>
        <v>1.2217054689313889</v>
      </c>
      <c r="AI199" s="2126">
        <f t="shared" si="91"/>
        <v>1.230307017779025</v>
      </c>
      <c r="AJ199" s="2126">
        <f t="shared" si="91"/>
        <v>1.2042343069249493</v>
      </c>
      <c r="AK199" s="2126">
        <f t="shared" si="91"/>
        <v>1.2171158577860008</v>
      </c>
      <c r="AL199" s="2126">
        <f t="shared" si="91"/>
        <v>1.2387291126133453</v>
      </c>
      <c r="AM199" s="2126">
        <f t="shared" si="91"/>
        <v>1.2074164164938181</v>
      </c>
      <c r="AN199" s="2126">
        <f t="shared" si="91"/>
        <v>1.1941824815602664</v>
      </c>
      <c r="AO199" s="2126">
        <f t="shared" si="91"/>
        <v>0.43803390786128382</v>
      </c>
    </row>
    <row r="200" spans="1:41">
      <c r="A200" s="1210" t="s">
        <v>2073</v>
      </c>
      <c r="B200" s="1211"/>
      <c r="C200" s="1212"/>
      <c r="D200" s="1213"/>
      <c r="E200" s="1214"/>
      <c r="F200" s="1213"/>
      <c r="G200" s="1212"/>
      <c r="H200" s="2063">
        <v>0.99981245113016559</v>
      </c>
      <c r="I200" s="2063"/>
      <c r="J200" s="2063">
        <v>0.97021899830097724</v>
      </c>
      <c r="K200" s="2063">
        <v>1.0069129522261659</v>
      </c>
      <c r="L200" s="2063">
        <v>0.98132353329656119</v>
      </c>
      <c r="M200" s="2063">
        <v>1.0116030440008079</v>
      </c>
      <c r="N200" s="2063">
        <v>1.0556742844064257</v>
      </c>
      <c r="O200" s="2063">
        <v>1.0556742844064257</v>
      </c>
      <c r="P200" s="2063">
        <v>1.0556742844064257</v>
      </c>
      <c r="Q200" s="2063">
        <v>1.0556742844064257</v>
      </c>
      <c r="R200" s="2063">
        <v>1.0556742844064257</v>
      </c>
      <c r="S200" s="2063">
        <v>1.0556742844064257</v>
      </c>
      <c r="T200" s="2063">
        <v>1.0556742844064257</v>
      </c>
      <c r="U200" s="2063">
        <v>1.0556742844064257</v>
      </c>
      <c r="V200" s="2063">
        <v>1.0556742844064257</v>
      </c>
      <c r="W200" s="2063">
        <v>1.0556742844064257</v>
      </c>
      <c r="X200" s="3937">
        <v>1.0556742844064257</v>
      </c>
      <c r="Y200" s="2063">
        <v>1.0556742844064257</v>
      </c>
      <c r="Z200" s="2063">
        <v>1.0556742844064257</v>
      </c>
      <c r="AA200" s="2063">
        <v>1.0556742844064257</v>
      </c>
      <c r="AB200" s="2063">
        <v>1.0556742844064257</v>
      </c>
      <c r="AC200" s="2063">
        <v>1.0556742844064257</v>
      </c>
      <c r="AD200" s="2063">
        <v>1.0556742844064257</v>
      </c>
      <c r="AE200" s="2063">
        <v>1.0556742844064257</v>
      </c>
      <c r="AF200" s="2063">
        <v>1.0556742844064257</v>
      </c>
      <c r="AG200" s="2063">
        <v>1.0556742844064257</v>
      </c>
      <c r="AH200" s="2063">
        <v>1.0556742844064257</v>
      </c>
      <c r="AI200" s="2063">
        <v>1.0556742844064257</v>
      </c>
      <c r="AJ200" s="2063">
        <v>1.0556742844064257</v>
      </c>
      <c r="AK200" s="2063">
        <v>1.0556742844064257</v>
      </c>
      <c r="AL200" s="2063">
        <v>1.0556742844064257</v>
      </c>
      <c r="AM200" s="2063">
        <v>1.0556742844064257</v>
      </c>
      <c r="AN200" s="2063">
        <v>1.0556742844064257</v>
      </c>
      <c r="AO200" s="2063">
        <v>1.0556742844064257</v>
      </c>
    </row>
    <row r="201" spans="1:41">
      <c r="A201" s="1210"/>
      <c r="B201" s="1211"/>
      <c r="C201" s="1215"/>
      <c r="D201" s="1210"/>
      <c r="E201" s="1216"/>
      <c r="F201" s="1210"/>
      <c r="G201" s="1217"/>
      <c r="H201" s="2064"/>
      <c r="I201" s="2064"/>
      <c r="J201" s="2065">
        <v>0.13356226130790952</v>
      </c>
      <c r="K201" s="2065">
        <v>9.9834765406748516E-2</v>
      </c>
      <c r="L201" s="2065">
        <v>5.9119795932285744E-2</v>
      </c>
      <c r="M201" s="2065">
        <v>6.0734255321014764E-2</v>
      </c>
      <c r="N201" s="2065">
        <v>5.0313196841834947E-2</v>
      </c>
      <c r="O201" s="2065">
        <v>5.0313196841834947E-2</v>
      </c>
      <c r="P201" s="2065">
        <v>5.0313196841834947E-2</v>
      </c>
      <c r="Q201" s="2065">
        <v>5.0313196841834947E-2</v>
      </c>
      <c r="R201" s="2065">
        <v>5.0313196841834947E-2</v>
      </c>
      <c r="S201" s="2065">
        <v>5.0313196841834947E-2</v>
      </c>
      <c r="T201" s="2065">
        <v>5.0313196841834947E-2</v>
      </c>
      <c r="U201" s="2065">
        <v>5.0313196841834947E-2</v>
      </c>
      <c r="V201" s="2065">
        <v>5.0313196841834947E-2</v>
      </c>
      <c r="W201" s="2065">
        <v>5.0313196841834947E-2</v>
      </c>
      <c r="X201" s="3938">
        <v>5.0313196841834947E-2</v>
      </c>
      <c r="Y201" s="2065">
        <v>5.0313196841834947E-2</v>
      </c>
      <c r="Z201" s="2065">
        <v>5.0313196841834947E-2</v>
      </c>
      <c r="AA201" s="2065">
        <v>5.0313196841834947E-2</v>
      </c>
      <c r="AB201" s="2065">
        <v>5.0313196841834947E-2</v>
      </c>
      <c r="AC201" s="2065">
        <v>5.0313196841834947E-2</v>
      </c>
      <c r="AD201" s="2065">
        <v>5.0313196841834947E-2</v>
      </c>
      <c r="AE201" s="2065">
        <v>5.0313196841834947E-2</v>
      </c>
      <c r="AF201" s="2065">
        <v>5.0313196841834947E-2</v>
      </c>
      <c r="AG201" s="2065">
        <v>5.0313196841834947E-2</v>
      </c>
      <c r="AH201" s="2065">
        <v>5.0313196841834947E-2</v>
      </c>
      <c r="AI201" s="2065">
        <v>5.0313196841834947E-2</v>
      </c>
      <c r="AJ201" s="2065">
        <v>5.0313196841834947E-2</v>
      </c>
      <c r="AK201" s="2065">
        <v>5.0313196841834947E-2</v>
      </c>
      <c r="AL201" s="2065">
        <v>5.0313196841834947E-2</v>
      </c>
      <c r="AM201" s="2065">
        <v>5.0313196841834947E-2</v>
      </c>
      <c r="AN201" s="2065">
        <v>5.0313196841834947E-2</v>
      </c>
      <c r="AO201" s="2065">
        <v>5.0313196841834947E-2</v>
      </c>
    </row>
    <row r="202" spans="1:41">
      <c r="A202" s="1016"/>
      <c r="B202" s="1138"/>
      <c r="C202" s="1218"/>
      <c r="D202" s="1016"/>
      <c r="E202" s="1037"/>
      <c r="F202" s="1146"/>
      <c r="G202" s="1219"/>
      <c r="H202" s="1146"/>
      <c r="I202" s="1146"/>
      <c r="J202" s="1089"/>
      <c r="K202" s="1089"/>
      <c r="L202" s="1089"/>
      <c r="M202" s="1089"/>
      <c r="N202" s="1089"/>
      <c r="O202" s="1089"/>
      <c r="P202" s="1089"/>
      <c r="Q202" s="1089"/>
      <c r="R202" s="1089"/>
      <c r="S202" s="1089"/>
      <c r="T202" s="1089"/>
      <c r="U202" s="1089"/>
      <c r="V202" s="1089"/>
      <c r="W202" s="1089"/>
      <c r="X202" s="3894"/>
      <c r="Y202" s="1089"/>
      <c r="Z202" s="1089"/>
      <c r="AA202" s="1089"/>
      <c r="AB202" s="1089"/>
      <c r="AC202" s="1089"/>
      <c r="AD202" s="1089"/>
      <c r="AE202" s="1089"/>
      <c r="AF202" s="1089"/>
      <c r="AG202" s="1089"/>
      <c r="AH202" s="1089"/>
      <c r="AI202" s="1089"/>
      <c r="AJ202" s="1089"/>
      <c r="AK202" s="1089"/>
      <c r="AL202" s="1089"/>
      <c r="AM202" s="1089"/>
      <c r="AN202" s="1089"/>
      <c r="AO202" s="1089"/>
    </row>
    <row r="203" spans="1:41">
      <c r="A203" s="1220" t="s">
        <v>2074</v>
      </c>
      <c r="B203" s="1221"/>
      <c r="C203" s="1222"/>
      <c r="D203" s="1220">
        <v>42978</v>
      </c>
      <c r="E203" s="1153">
        <v>53690</v>
      </c>
      <c r="F203" s="1220">
        <v>53690</v>
      </c>
      <c r="G203" s="1220">
        <f>E209</f>
        <v>55000</v>
      </c>
      <c r="H203" s="2029">
        <f>G209</f>
        <v>55000</v>
      </c>
      <c r="I203" s="2049"/>
      <c r="J203" s="2029">
        <f>H209</f>
        <v>55000</v>
      </c>
      <c r="K203" s="2029">
        <f>J209</f>
        <v>55000</v>
      </c>
      <c r="L203" s="2029">
        <f>K209</f>
        <v>55000</v>
      </c>
      <c r="M203" s="2029">
        <f>L209</f>
        <v>55000</v>
      </c>
      <c r="N203" s="2029">
        <f>M209</f>
        <v>55000</v>
      </c>
      <c r="O203" s="2029">
        <f t="shared" ref="O203:AO203" si="92">N209</f>
        <v>55000</v>
      </c>
      <c r="P203" s="2029">
        <f t="shared" si="92"/>
        <v>55000</v>
      </c>
      <c r="Q203" s="2029">
        <f t="shared" si="92"/>
        <v>55000</v>
      </c>
      <c r="R203" s="2029">
        <f t="shared" si="92"/>
        <v>55000</v>
      </c>
      <c r="S203" s="2029">
        <f t="shared" si="92"/>
        <v>55000</v>
      </c>
      <c r="T203" s="2029">
        <f t="shared" si="92"/>
        <v>55000</v>
      </c>
      <c r="U203" s="2029">
        <f t="shared" si="92"/>
        <v>55000</v>
      </c>
      <c r="V203" s="2029">
        <f t="shared" si="92"/>
        <v>55000</v>
      </c>
      <c r="W203" s="2029">
        <f t="shared" si="92"/>
        <v>55000</v>
      </c>
      <c r="X203" s="3932">
        <f t="shared" si="92"/>
        <v>55000</v>
      </c>
      <c r="Y203" s="2029">
        <f t="shared" si="92"/>
        <v>55000</v>
      </c>
      <c r="Z203" s="2029">
        <f t="shared" si="92"/>
        <v>55000</v>
      </c>
      <c r="AA203" s="2029">
        <f t="shared" si="92"/>
        <v>55000</v>
      </c>
      <c r="AB203" s="2029">
        <f t="shared" si="92"/>
        <v>55000</v>
      </c>
      <c r="AC203" s="2029">
        <f t="shared" si="92"/>
        <v>55000</v>
      </c>
      <c r="AD203" s="2029">
        <f t="shared" si="92"/>
        <v>55000</v>
      </c>
      <c r="AE203" s="2029">
        <f t="shared" si="92"/>
        <v>55000</v>
      </c>
      <c r="AF203" s="2029">
        <f t="shared" si="92"/>
        <v>55000</v>
      </c>
      <c r="AG203" s="2029">
        <f t="shared" si="92"/>
        <v>55000</v>
      </c>
      <c r="AH203" s="2029">
        <f t="shared" si="92"/>
        <v>55000</v>
      </c>
      <c r="AI203" s="2029">
        <f t="shared" si="92"/>
        <v>55000</v>
      </c>
      <c r="AJ203" s="2029">
        <f t="shared" si="92"/>
        <v>55000</v>
      </c>
      <c r="AK203" s="2029">
        <f t="shared" si="92"/>
        <v>55000</v>
      </c>
      <c r="AL203" s="2029">
        <f t="shared" si="92"/>
        <v>55000</v>
      </c>
      <c r="AM203" s="2029">
        <f t="shared" si="92"/>
        <v>55000</v>
      </c>
      <c r="AN203" s="2029">
        <f t="shared" si="92"/>
        <v>55000</v>
      </c>
      <c r="AO203" s="2029">
        <f t="shared" si="92"/>
        <v>55000</v>
      </c>
    </row>
    <row r="204" spans="1:41">
      <c r="A204" s="1220" t="s">
        <v>2075</v>
      </c>
      <c r="B204" s="1221"/>
      <c r="C204" s="1222"/>
      <c r="D204" s="1223">
        <f>D173</f>
        <v>133696390.91490477</v>
      </c>
      <c r="E204" s="1153">
        <f>E173</f>
        <v>119725.07144999999</v>
      </c>
      <c r="F204" s="1223">
        <f>F173</f>
        <v>171687747.63515112</v>
      </c>
      <c r="G204" s="1193">
        <f>G173</f>
        <v>121276.46632439512</v>
      </c>
      <c r="H204" s="2128">
        <f>H173</f>
        <v>139391812.85999998</v>
      </c>
      <c r="I204" s="2129"/>
      <c r="J204" s="2128">
        <f t="shared" ref="J204:AO204" si="93">J173</f>
        <v>122588987.480822</v>
      </c>
      <c r="K204" s="2128">
        <f t="shared" si="93"/>
        <v>165121441.89097157</v>
      </c>
      <c r="L204" s="2128">
        <f t="shared" si="93"/>
        <v>170558431.61137336</v>
      </c>
      <c r="M204" s="2128">
        <f t="shared" si="93"/>
        <v>169095665.48483682</v>
      </c>
      <c r="N204" s="2128">
        <f t="shared" si="93"/>
        <v>167754402.84004343</v>
      </c>
      <c r="O204" s="2128">
        <f t="shared" si="93"/>
        <v>173243486.24990091</v>
      </c>
      <c r="P204" s="2128">
        <f t="shared" si="93"/>
        <v>176063633.11870822</v>
      </c>
      <c r="Q204" s="2128">
        <f t="shared" si="93"/>
        <v>175151825.99628463</v>
      </c>
      <c r="R204" s="2128">
        <f t="shared" si="93"/>
        <v>175534407.28216729</v>
      </c>
      <c r="S204" s="2128">
        <f t="shared" si="93"/>
        <v>174413076.34359968</v>
      </c>
      <c r="T204" s="2128">
        <f t="shared" si="93"/>
        <v>175215745.68415955</v>
      </c>
      <c r="U204" s="2128">
        <f t="shared" si="93"/>
        <v>175289731.837125</v>
      </c>
      <c r="V204" s="2128">
        <f t="shared" si="93"/>
        <v>175297184.19593319</v>
      </c>
      <c r="W204" s="2128">
        <f t="shared" si="93"/>
        <v>174608980.55014336</v>
      </c>
      <c r="X204" s="3939">
        <f t="shared" si="93"/>
        <v>177436025.42946398</v>
      </c>
      <c r="Y204" s="2128">
        <f t="shared" si="93"/>
        <v>179885287.14130279</v>
      </c>
      <c r="Z204" s="2128">
        <f t="shared" si="93"/>
        <v>182464701.43059361</v>
      </c>
      <c r="AA204" s="2128">
        <f t="shared" si="93"/>
        <v>186760305.70813602</v>
      </c>
      <c r="AB204" s="2128">
        <f t="shared" si="93"/>
        <v>189068253.28427196</v>
      </c>
      <c r="AC204" s="2128">
        <f t="shared" si="93"/>
        <v>191691652.44396219</v>
      </c>
      <c r="AD204" s="2128">
        <f t="shared" si="93"/>
        <v>194563119.99373615</v>
      </c>
      <c r="AE204" s="2128">
        <f t="shared" si="93"/>
        <v>197407696.51273647</v>
      </c>
      <c r="AF204" s="2128">
        <f t="shared" si="93"/>
        <v>200112310.41849676</v>
      </c>
      <c r="AG204" s="2128">
        <f t="shared" si="93"/>
        <v>203273716.50793305</v>
      </c>
      <c r="AH204" s="2128">
        <f t="shared" si="93"/>
        <v>208771369.81627044</v>
      </c>
      <c r="AI204" s="2128">
        <f t="shared" si="93"/>
        <v>215158484.52807784</v>
      </c>
      <c r="AJ204" s="2128">
        <f t="shared" si="93"/>
        <v>217487462.52654871</v>
      </c>
      <c r="AK204" s="2128">
        <f t="shared" si="93"/>
        <v>221221148.66146305</v>
      </c>
      <c r="AL204" s="2128">
        <f t="shared" si="93"/>
        <v>224842061.98245344</v>
      </c>
      <c r="AM204" s="2128">
        <f t="shared" si="93"/>
        <v>227830510.67398149</v>
      </c>
      <c r="AN204" s="2128">
        <f t="shared" si="93"/>
        <v>230708860.58935478</v>
      </c>
      <c r="AO204" s="2128">
        <f t="shared" si="93"/>
        <v>373975309.65999883</v>
      </c>
    </row>
    <row r="205" spans="1:41">
      <c r="A205" s="1220" t="s">
        <v>2076</v>
      </c>
      <c r="B205" s="1221"/>
      <c r="C205" s="1222"/>
      <c r="D205" s="1223">
        <f>-D152</f>
        <v>-83181018.510000005</v>
      </c>
      <c r="E205" s="1153">
        <f>-E152</f>
        <v>-90793</v>
      </c>
      <c r="F205" s="1223">
        <f>-F152</f>
        <v>-92256516.219999999</v>
      </c>
      <c r="G205" s="1193">
        <f>-G152</f>
        <v>-92285.126992999998</v>
      </c>
      <c r="H205" s="2128">
        <f>-H152</f>
        <v>-88278584</v>
      </c>
      <c r="I205" s="2129"/>
      <c r="J205" s="2128">
        <f t="shared" ref="J205:AO205" si="94">-J152</f>
        <v>-84771783.505005598</v>
      </c>
      <c r="K205" s="2128">
        <f t="shared" si="94"/>
        <v>-95076794.642880499</v>
      </c>
      <c r="L205" s="2128">
        <f t="shared" si="94"/>
        <v>-99029357.205107659</v>
      </c>
      <c r="M205" s="2128">
        <f t="shared" si="94"/>
        <v>-99695720.74674587</v>
      </c>
      <c r="N205" s="2128">
        <f t="shared" si="94"/>
        <v>-111876103.35525313</v>
      </c>
      <c r="O205" s="2128">
        <f t="shared" si="94"/>
        <v>-113853311.46065502</v>
      </c>
      <c r="P205" s="2128">
        <f t="shared" si="94"/>
        <v>-116018545.57319058</v>
      </c>
      <c r="Q205" s="2128">
        <f t="shared" si="94"/>
        <v>-112579256.76986471</v>
      </c>
      <c r="R205" s="2128">
        <f t="shared" si="94"/>
        <v>-111713137.2762433</v>
      </c>
      <c r="S205" s="2128">
        <f t="shared" si="94"/>
        <v>-94414063.569959953</v>
      </c>
      <c r="T205" s="2128">
        <f t="shared" si="94"/>
        <v>-97360205.867480159</v>
      </c>
      <c r="U205" s="2128">
        <f t="shared" si="94"/>
        <v>-98823755.108765304</v>
      </c>
      <c r="V205" s="2128">
        <f t="shared" si="94"/>
        <v>-94528342.368251309</v>
      </c>
      <c r="W205" s="2128">
        <f t="shared" si="94"/>
        <v>-99024815.796586946</v>
      </c>
      <c r="X205" s="3939">
        <f t="shared" si="94"/>
        <v>-103261608.42666855</v>
      </c>
      <c r="Y205" s="2128">
        <f t="shared" si="94"/>
        <v>-105496862.2639261</v>
      </c>
      <c r="Z205" s="2128">
        <f t="shared" si="94"/>
        <v>-106907842.62989309</v>
      </c>
      <c r="AA205" s="2128">
        <f t="shared" si="94"/>
        <v>-101562951.82288623</v>
      </c>
      <c r="AB205" s="2128">
        <f t="shared" si="94"/>
        <v>-102257519.41659608</v>
      </c>
      <c r="AC205" s="2128">
        <f t="shared" si="94"/>
        <v>-102748846.8040662</v>
      </c>
      <c r="AD205" s="2128">
        <f t="shared" si="94"/>
        <v>-104429038.02975708</v>
      </c>
      <c r="AE205" s="2128">
        <f t="shared" si="94"/>
        <v>-105643687.76339915</v>
      </c>
      <c r="AF205" s="2128">
        <f t="shared" si="94"/>
        <v>-105145459.87491167</v>
      </c>
      <c r="AG205" s="2128">
        <f t="shared" si="94"/>
        <v>-108716517.03815824</v>
      </c>
      <c r="AH205" s="2128">
        <f t="shared" si="94"/>
        <v>-109981195.21984355</v>
      </c>
      <c r="AI205" s="2128">
        <f t="shared" si="94"/>
        <v>-116230170.35268918</v>
      </c>
      <c r="AJ205" s="2128">
        <f t="shared" si="94"/>
        <v>-106131362.88693985</v>
      </c>
      <c r="AK205" s="2128">
        <f t="shared" si="94"/>
        <v>-110257318.55095154</v>
      </c>
      <c r="AL205" s="2128">
        <f t="shared" si="94"/>
        <v>-117428727.85644065</v>
      </c>
      <c r="AM205" s="2128">
        <f t="shared" si="94"/>
        <v>-105093340.73066017</v>
      </c>
      <c r="AN205" s="2128">
        <f t="shared" si="94"/>
        <v>-98630762.777578145</v>
      </c>
      <c r="AO205" s="2128">
        <f t="shared" si="94"/>
        <v>-25172680.608302861</v>
      </c>
    </row>
    <row r="206" spans="1:41">
      <c r="A206" s="1220" t="s">
        <v>2077</v>
      </c>
      <c r="B206" s="1221"/>
      <c r="C206" s="1222"/>
      <c r="D206" s="1223">
        <f>D180</f>
        <v>3546963.1899999995</v>
      </c>
      <c r="E206" s="1153">
        <f>E180</f>
        <v>-5800</v>
      </c>
      <c r="F206" s="1223">
        <f>F180</f>
        <v>-7536223.2300000004</v>
      </c>
      <c r="G206" s="1193">
        <f>G180</f>
        <v>-14041.306055656649</v>
      </c>
      <c r="H206" s="2128">
        <f>H180</f>
        <v>11966255.630000001</v>
      </c>
      <c r="I206" s="2129"/>
      <c r="J206" s="2128">
        <f t="shared" ref="J206:AO206" si="95">J180</f>
        <v>26929447.538589526</v>
      </c>
      <c r="K206" s="2128">
        <f t="shared" si="95"/>
        <v>14616855.670935536</v>
      </c>
      <c r="L206" s="2128">
        <f t="shared" si="95"/>
        <v>19803543.492444742</v>
      </c>
      <c r="M206" s="2128">
        <f t="shared" si="95"/>
        <v>11613574.382100558</v>
      </c>
      <c r="N206" s="2128">
        <f t="shared" si="95"/>
        <v>3744649.6412778571</v>
      </c>
      <c r="O206" s="2128">
        <f t="shared" si="95"/>
        <v>2291704.0001661079</v>
      </c>
      <c r="P206" s="2128">
        <f t="shared" si="95"/>
        <v>2302016.6681668554</v>
      </c>
      <c r="Q206" s="2128">
        <f t="shared" si="95"/>
        <v>2312375.7431736062</v>
      </c>
      <c r="R206" s="2128">
        <f t="shared" si="95"/>
        <v>2322781.4340178873</v>
      </c>
      <c r="S206" s="2128">
        <f t="shared" si="95"/>
        <v>2333233.9504709677</v>
      </c>
      <c r="T206" s="2128">
        <f t="shared" si="95"/>
        <v>2343733.5032480871</v>
      </c>
      <c r="U206" s="2128">
        <f t="shared" si="95"/>
        <v>2354280.3040127032</v>
      </c>
      <c r="V206" s="2128">
        <f t="shared" si="95"/>
        <v>2364874.5653807605</v>
      </c>
      <c r="W206" s="2128">
        <f t="shared" si="95"/>
        <v>2375516.5009249737</v>
      </c>
      <c r="X206" s="3939">
        <f t="shared" si="95"/>
        <v>2386206.3251791359</v>
      </c>
      <c r="Y206" s="2128">
        <f t="shared" si="95"/>
        <v>2396944.2536424417</v>
      </c>
      <c r="Z206" s="2128">
        <f t="shared" si="95"/>
        <v>2407730.5027838326</v>
      </c>
      <c r="AA206" s="2128">
        <f t="shared" si="95"/>
        <v>2418565.2900463599</v>
      </c>
      <c r="AB206" s="2128">
        <f t="shared" si="95"/>
        <v>2429448.8338515684</v>
      </c>
      <c r="AC206" s="2128">
        <f t="shared" si="95"/>
        <v>2440381.3536039004</v>
      </c>
      <c r="AD206" s="2128">
        <f t="shared" si="95"/>
        <v>2451363.0696951179</v>
      </c>
      <c r="AE206" s="2128">
        <f t="shared" si="95"/>
        <v>2462394.2035087459</v>
      </c>
      <c r="AF206" s="2128">
        <f t="shared" si="95"/>
        <v>2473474.977424535</v>
      </c>
      <c r="AG206" s="2128">
        <f t="shared" si="95"/>
        <v>2484605.6148229451</v>
      </c>
      <c r="AH206" s="2128">
        <f t="shared" si="95"/>
        <v>2495786.340089648</v>
      </c>
      <c r="AI206" s="2128">
        <f t="shared" si="95"/>
        <v>2507017.3786200513</v>
      </c>
      <c r="AJ206" s="2128">
        <f t="shared" si="95"/>
        <v>2518298.9568238412</v>
      </c>
      <c r="AK206" s="2128">
        <f t="shared" si="95"/>
        <v>2529631.3021295485</v>
      </c>
      <c r="AL206" s="2128">
        <f t="shared" si="95"/>
        <v>2541014.6429891312</v>
      </c>
      <c r="AM206" s="2128">
        <f t="shared" si="95"/>
        <v>2552449.2088825819</v>
      </c>
      <c r="AN206" s="2128">
        <f t="shared" si="95"/>
        <v>2563935.2303225533</v>
      </c>
      <c r="AO206" s="2128">
        <f t="shared" si="95"/>
        <v>2575473.9388590045</v>
      </c>
    </row>
    <row r="207" spans="1:41">
      <c r="A207" s="1220" t="s">
        <v>2078</v>
      </c>
      <c r="B207" s="1221"/>
      <c r="C207" s="1222"/>
      <c r="D207" s="1224">
        <f>SUM(D203:D206)</f>
        <v>54105313.594904765</v>
      </c>
      <c r="E207" s="1166">
        <f>SUM(E203:E206)</f>
        <v>76822.071449999989</v>
      </c>
      <c r="F207" s="1224">
        <f>SUM(F203:F206)</f>
        <v>71948698.185151115</v>
      </c>
      <c r="G207" s="1165">
        <f>SUM(G203:G206)</f>
        <v>69950.033275738475</v>
      </c>
      <c r="H207" s="2071">
        <f t="shared" ref="H207:N207" si="96">SUM(H203:H206)</f>
        <v>63134484.489999987</v>
      </c>
      <c r="I207" s="2072"/>
      <c r="J207" s="2071">
        <f t="shared" si="96"/>
        <v>64801651.514405921</v>
      </c>
      <c r="K207" s="2071">
        <f t="shared" si="96"/>
        <v>84716502.919026613</v>
      </c>
      <c r="L207" s="2071">
        <f t="shared" si="96"/>
        <v>91387617.898710445</v>
      </c>
      <c r="M207" s="2071">
        <f t="shared" si="96"/>
        <v>81068519.1201915</v>
      </c>
      <c r="N207" s="2071">
        <f t="shared" si="96"/>
        <v>59677949.126068152</v>
      </c>
      <c r="O207" s="2071">
        <f t="shared" ref="O207:AO207" si="97">SUM(O203:O206)</f>
        <v>61736878.789411999</v>
      </c>
      <c r="P207" s="2071">
        <f t="shared" si="97"/>
        <v>62402104.213684492</v>
      </c>
      <c r="Q207" s="2071">
        <f t="shared" si="97"/>
        <v>64939944.969593532</v>
      </c>
      <c r="R207" s="2071">
        <f t="shared" si="97"/>
        <v>66199051.439941876</v>
      </c>
      <c r="S207" s="2071">
        <f t="shared" si="97"/>
        <v>82387246.724110693</v>
      </c>
      <c r="T207" s="2071">
        <f t="shared" si="97"/>
        <v>80254273.319927469</v>
      </c>
      <c r="U207" s="2071">
        <f t="shared" si="97"/>
        <v>78875257.0323724</v>
      </c>
      <c r="V207" s="2071">
        <f t="shared" si="97"/>
        <v>83188716.393062651</v>
      </c>
      <c r="W207" s="2071">
        <f t="shared" si="97"/>
        <v>78014681.25448139</v>
      </c>
      <c r="X207" s="3906">
        <f t="shared" si="97"/>
        <v>76615623.327974558</v>
      </c>
      <c r="Y207" s="2071">
        <f t="shared" si="97"/>
        <v>76840369.13101913</v>
      </c>
      <c r="Z207" s="2071">
        <f t="shared" si="97"/>
        <v>78019589.30348435</v>
      </c>
      <c r="AA207" s="2071">
        <f t="shared" si="97"/>
        <v>87670919.175296158</v>
      </c>
      <c r="AB207" s="2071">
        <f t="shared" si="97"/>
        <v>89295182.701527447</v>
      </c>
      <c r="AC207" s="2071">
        <f t="shared" si="97"/>
        <v>91438186.99349989</v>
      </c>
      <c r="AD207" s="2071">
        <f t="shared" si="97"/>
        <v>92640445.033674181</v>
      </c>
      <c r="AE207" s="2071">
        <f t="shared" si="97"/>
        <v>94281402.952846065</v>
      </c>
      <c r="AF207" s="2071">
        <f t="shared" si="97"/>
        <v>97495325.521009624</v>
      </c>
      <c r="AG207" s="2071">
        <f t="shared" si="97"/>
        <v>97096805.084597751</v>
      </c>
      <c r="AH207" s="2071">
        <f t="shared" si="97"/>
        <v>101340960.93651654</v>
      </c>
      <c r="AI207" s="2071">
        <f t="shared" si="97"/>
        <v>101490331.55400872</v>
      </c>
      <c r="AJ207" s="2071">
        <f t="shared" si="97"/>
        <v>113929398.5964327</v>
      </c>
      <c r="AK207" s="2071">
        <f t="shared" si="97"/>
        <v>113548461.41264106</v>
      </c>
      <c r="AL207" s="2071">
        <f t="shared" si="97"/>
        <v>110009348.76900192</v>
      </c>
      <c r="AM207" s="2071">
        <f t="shared" si="97"/>
        <v>125344619.1522039</v>
      </c>
      <c r="AN207" s="2071">
        <f t="shared" si="97"/>
        <v>134697033.04209918</v>
      </c>
      <c r="AO207" s="2071">
        <f t="shared" si="97"/>
        <v>351433102.99055493</v>
      </c>
    </row>
    <row r="208" spans="1:41">
      <c r="A208" s="1076" t="s">
        <v>2079</v>
      </c>
      <c r="B208" s="1077"/>
      <c r="C208" s="1225"/>
      <c r="D208" s="1226">
        <f>D207-55000</f>
        <v>54050313.594904765</v>
      </c>
      <c r="E208" s="1227">
        <f>E207-55000</f>
        <v>21822.071449999989</v>
      </c>
      <c r="F208" s="1226">
        <f>F207-55000</f>
        <v>71893698.185151115</v>
      </c>
      <c r="G208" s="1228">
        <f>G207-55000</f>
        <v>14950.033275738475</v>
      </c>
      <c r="H208" s="2071">
        <f t="shared" ref="H208:AO208" si="98">H207-55000</f>
        <v>63079484.489999987</v>
      </c>
      <c r="I208" s="2072"/>
      <c r="J208" s="2071">
        <f t="shared" si="98"/>
        <v>64746651.514405921</v>
      </c>
      <c r="K208" s="2071">
        <f t="shared" si="98"/>
        <v>84661502.919026613</v>
      </c>
      <c r="L208" s="2071">
        <f t="shared" si="98"/>
        <v>91332617.898710445</v>
      </c>
      <c r="M208" s="2071">
        <f t="shared" si="98"/>
        <v>81013519.1201915</v>
      </c>
      <c r="N208" s="2071">
        <f t="shared" si="98"/>
        <v>59622949.126068152</v>
      </c>
      <c r="O208" s="2071">
        <f t="shared" si="98"/>
        <v>61681878.789411999</v>
      </c>
      <c r="P208" s="2071">
        <f t="shared" si="98"/>
        <v>62347104.213684492</v>
      </c>
      <c r="Q208" s="2071">
        <f t="shared" si="98"/>
        <v>64884944.969593532</v>
      </c>
      <c r="R208" s="2071">
        <f t="shared" si="98"/>
        <v>66144051.439941876</v>
      </c>
      <c r="S208" s="2071">
        <f t="shared" si="98"/>
        <v>82332246.724110693</v>
      </c>
      <c r="T208" s="2071">
        <f t="shared" si="98"/>
        <v>80199273.319927469</v>
      </c>
      <c r="U208" s="2071">
        <f t="shared" si="98"/>
        <v>78820257.0323724</v>
      </c>
      <c r="V208" s="2071">
        <f t="shared" si="98"/>
        <v>83133716.393062651</v>
      </c>
      <c r="W208" s="2071">
        <f t="shared" si="98"/>
        <v>77959681.25448139</v>
      </c>
      <c r="X208" s="3906">
        <f t="shared" si="98"/>
        <v>76560623.327974558</v>
      </c>
      <c r="Y208" s="2071">
        <f t="shared" si="98"/>
        <v>76785369.13101913</v>
      </c>
      <c r="Z208" s="2071">
        <f t="shared" si="98"/>
        <v>77964589.30348435</v>
      </c>
      <c r="AA208" s="2071">
        <f t="shared" si="98"/>
        <v>87615919.175296158</v>
      </c>
      <c r="AB208" s="2071">
        <f t="shared" si="98"/>
        <v>89240182.701527447</v>
      </c>
      <c r="AC208" s="2071">
        <f t="shared" si="98"/>
        <v>91383186.99349989</v>
      </c>
      <c r="AD208" s="2071">
        <f t="shared" si="98"/>
        <v>92585445.033674181</v>
      </c>
      <c r="AE208" s="2071">
        <f t="shared" si="98"/>
        <v>94226402.952846065</v>
      </c>
      <c r="AF208" s="2071">
        <f t="shared" si="98"/>
        <v>97440325.521009624</v>
      </c>
      <c r="AG208" s="2071">
        <f t="shared" si="98"/>
        <v>97041805.084597751</v>
      </c>
      <c r="AH208" s="2071">
        <f t="shared" si="98"/>
        <v>101285960.93651654</v>
      </c>
      <c r="AI208" s="2071">
        <f t="shared" si="98"/>
        <v>101435331.55400872</v>
      </c>
      <c r="AJ208" s="2071">
        <f t="shared" si="98"/>
        <v>113874398.5964327</v>
      </c>
      <c r="AK208" s="2071">
        <f t="shared" si="98"/>
        <v>113493461.41264106</v>
      </c>
      <c r="AL208" s="2071">
        <f t="shared" si="98"/>
        <v>109954348.76900192</v>
      </c>
      <c r="AM208" s="2071">
        <f t="shared" si="98"/>
        <v>125289619.1522039</v>
      </c>
      <c r="AN208" s="2071">
        <f t="shared" si="98"/>
        <v>134642033.04209918</v>
      </c>
      <c r="AO208" s="2071">
        <f t="shared" si="98"/>
        <v>351378102.99055493</v>
      </c>
    </row>
    <row r="209" spans="1:41">
      <c r="A209" s="1016" t="s">
        <v>2080</v>
      </c>
      <c r="B209" s="1138"/>
      <c r="C209" s="1218"/>
      <c r="D209" s="1229">
        <f>D207-D208</f>
        <v>55000</v>
      </c>
      <c r="E209" s="1230">
        <f>E207-E208</f>
        <v>55000</v>
      </c>
      <c r="F209" s="1229">
        <f>F207-F208</f>
        <v>55000</v>
      </c>
      <c r="G209" s="1229">
        <f>G207-G208</f>
        <v>55000</v>
      </c>
      <c r="H209" s="2130">
        <f t="shared" ref="H209:AO209" si="99">H207-H208</f>
        <v>55000</v>
      </c>
      <c r="I209" s="2131"/>
      <c r="J209" s="2130">
        <f t="shared" si="99"/>
        <v>55000</v>
      </c>
      <c r="K209" s="2130">
        <f t="shared" si="99"/>
        <v>55000</v>
      </c>
      <c r="L209" s="2130">
        <f t="shared" si="99"/>
        <v>55000</v>
      </c>
      <c r="M209" s="2130">
        <f t="shared" si="99"/>
        <v>55000</v>
      </c>
      <c r="N209" s="2130">
        <f t="shared" si="99"/>
        <v>55000</v>
      </c>
      <c r="O209" s="2130">
        <f t="shared" si="99"/>
        <v>55000</v>
      </c>
      <c r="P209" s="2130">
        <f t="shared" si="99"/>
        <v>55000</v>
      </c>
      <c r="Q209" s="2130">
        <f t="shared" si="99"/>
        <v>55000</v>
      </c>
      <c r="R209" s="2130">
        <f t="shared" si="99"/>
        <v>55000</v>
      </c>
      <c r="S209" s="2130">
        <f t="shared" si="99"/>
        <v>55000</v>
      </c>
      <c r="T209" s="2130">
        <f t="shared" si="99"/>
        <v>55000</v>
      </c>
      <c r="U209" s="2130">
        <f t="shared" si="99"/>
        <v>55000</v>
      </c>
      <c r="V209" s="2130">
        <f t="shared" si="99"/>
        <v>55000</v>
      </c>
      <c r="W209" s="2130">
        <f t="shared" si="99"/>
        <v>55000</v>
      </c>
      <c r="X209" s="3940">
        <f t="shared" si="99"/>
        <v>55000</v>
      </c>
      <c r="Y209" s="2130">
        <f t="shared" si="99"/>
        <v>55000</v>
      </c>
      <c r="Z209" s="2130">
        <f t="shared" si="99"/>
        <v>55000</v>
      </c>
      <c r="AA209" s="2130">
        <f t="shared" si="99"/>
        <v>55000</v>
      </c>
      <c r="AB209" s="2130">
        <f t="shared" si="99"/>
        <v>55000</v>
      </c>
      <c r="AC209" s="2130">
        <f t="shared" si="99"/>
        <v>55000</v>
      </c>
      <c r="AD209" s="2130">
        <f t="shared" si="99"/>
        <v>55000</v>
      </c>
      <c r="AE209" s="2130">
        <f t="shared" si="99"/>
        <v>55000</v>
      </c>
      <c r="AF209" s="2130">
        <f t="shared" si="99"/>
        <v>55000</v>
      </c>
      <c r="AG209" s="2130">
        <f t="shared" si="99"/>
        <v>55000</v>
      </c>
      <c r="AH209" s="2130">
        <f t="shared" si="99"/>
        <v>55000</v>
      </c>
      <c r="AI209" s="2130">
        <f t="shared" si="99"/>
        <v>55000</v>
      </c>
      <c r="AJ209" s="2130">
        <f t="shared" si="99"/>
        <v>55000</v>
      </c>
      <c r="AK209" s="2130">
        <f t="shared" si="99"/>
        <v>55000</v>
      </c>
      <c r="AL209" s="2130">
        <f t="shared" si="99"/>
        <v>55000</v>
      </c>
      <c r="AM209" s="2130">
        <f t="shared" si="99"/>
        <v>55000</v>
      </c>
      <c r="AN209" s="2130">
        <f t="shared" si="99"/>
        <v>55000</v>
      </c>
      <c r="AO209" s="2130">
        <f t="shared" si="99"/>
        <v>55000</v>
      </c>
    </row>
    <row r="210" spans="1:41">
      <c r="A210" s="1016" t="s">
        <v>2081</v>
      </c>
      <c r="B210" s="1138"/>
      <c r="C210" s="1218"/>
      <c r="D210" s="1231">
        <v>20000</v>
      </c>
      <c r="E210" s="1166">
        <v>20000</v>
      </c>
      <c r="F210" s="1231">
        <v>20000</v>
      </c>
      <c r="G210" s="1231">
        <v>19999</v>
      </c>
      <c r="H210" s="2132">
        <v>20000</v>
      </c>
      <c r="I210" s="2133"/>
      <c r="J210" s="2132">
        <v>20001</v>
      </c>
      <c r="K210" s="2132">
        <v>20002</v>
      </c>
      <c r="L210" s="2132">
        <v>20003</v>
      </c>
      <c r="M210" s="2132">
        <v>20004</v>
      </c>
      <c r="N210" s="2132">
        <v>20005</v>
      </c>
      <c r="O210" s="2132">
        <v>20005</v>
      </c>
      <c r="P210" s="2132">
        <v>20005</v>
      </c>
      <c r="Q210" s="2132">
        <v>20005</v>
      </c>
      <c r="R210" s="2132">
        <v>20005</v>
      </c>
      <c r="S210" s="2132">
        <v>20005</v>
      </c>
      <c r="T210" s="2132">
        <v>20005</v>
      </c>
      <c r="U210" s="2132">
        <v>20005</v>
      </c>
      <c r="V210" s="2132">
        <v>20005</v>
      </c>
      <c r="W210" s="2132">
        <v>20005</v>
      </c>
      <c r="X210" s="3941">
        <v>20005</v>
      </c>
      <c r="Y210" s="2132">
        <v>20005</v>
      </c>
      <c r="Z210" s="2132">
        <v>20005</v>
      </c>
      <c r="AA210" s="2132">
        <v>20005</v>
      </c>
      <c r="AB210" s="2132">
        <v>20005</v>
      </c>
      <c r="AC210" s="2132">
        <v>20005</v>
      </c>
      <c r="AD210" s="2132">
        <v>20005</v>
      </c>
      <c r="AE210" s="2132">
        <v>20005</v>
      </c>
      <c r="AF210" s="2132">
        <v>20005</v>
      </c>
      <c r="AG210" s="2132">
        <v>20005</v>
      </c>
      <c r="AH210" s="2132">
        <v>20005</v>
      </c>
      <c r="AI210" s="2132">
        <v>20005</v>
      </c>
      <c r="AJ210" s="2132">
        <v>20005</v>
      </c>
      <c r="AK210" s="2132">
        <v>20005</v>
      </c>
      <c r="AL210" s="2132">
        <v>20005</v>
      </c>
      <c r="AM210" s="2132">
        <v>20005</v>
      </c>
      <c r="AN210" s="2132">
        <v>20005</v>
      </c>
      <c r="AO210" s="2132">
        <v>20005</v>
      </c>
    </row>
    <row r="211" spans="1:41">
      <c r="A211" s="1016" t="s">
        <v>2082</v>
      </c>
      <c r="B211" s="1138"/>
      <c r="C211" s="1218"/>
      <c r="D211" s="1229">
        <f>D209-D210</f>
        <v>35000</v>
      </c>
      <c r="E211" s="1230">
        <f>E209-E210</f>
        <v>35000</v>
      </c>
      <c r="F211" s="1229">
        <f>F209-F210</f>
        <v>35000</v>
      </c>
      <c r="G211" s="1229">
        <f>G209-G210</f>
        <v>35001</v>
      </c>
      <c r="H211" s="2130">
        <f t="shared" ref="H211:AO211" si="100">H209-H210</f>
        <v>35000</v>
      </c>
      <c r="I211" s="2131"/>
      <c r="J211" s="2130">
        <f t="shared" si="100"/>
        <v>34999</v>
      </c>
      <c r="K211" s="2130">
        <f t="shared" si="100"/>
        <v>34998</v>
      </c>
      <c r="L211" s="2130">
        <f t="shared" si="100"/>
        <v>34997</v>
      </c>
      <c r="M211" s="2130">
        <f t="shared" si="100"/>
        <v>34996</v>
      </c>
      <c r="N211" s="2130">
        <f t="shared" si="100"/>
        <v>34995</v>
      </c>
      <c r="O211" s="2130">
        <f t="shared" si="100"/>
        <v>34995</v>
      </c>
      <c r="P211" s="2130">
        <f t="shared" si="100"/>
        <v>34995</v>
      </c>
      <c r="Q211" s="2130">
        <f t="shared" si="100"/>
        <v>34995</v>
      </c>
      <c r="R211" s="2130">
        <f t="shared" si="100"/>
        <v>34995</v>
      </c>
      <c r="S211" s="2130">
        <f t="shared" si="100"/>
        <v>34995</v>
      </c>
      <c r="T211" s="2130">
        <f t="shared" si="100"/>
        <v>34995</v>
      </c>
      <c r="U211" s="2130">
        <f t="shared" si="100"/>
        <v>34995</v>
      </c>
      <c r="V211" s="2130">
        <f t="shared" si="100"/>
        <v>34995</v>
      </c>
      <c r="W211" s="2130">
        <f t="shared" si="100"/>
        <v>34995</v>
      </c>
      <c r="X211" s="3940">
        <f t="shared" si="100"/>
        <v>34995</v>
      </c>
      <c r="Y211" s="2130">
        <f t="shared" si="100"/>
        <v>34995</v>
      </c>
      <c r="Z211" s="2130">
        <f t="shared" si="100"/>
        <v>34995</v>
      </c>
      <c r="AA211" s="2130">
        <f t="shared" si="100"/>
        <v>34995</v>
      </c>
      <c r="AB211" s="2130">
        <f t="shared" si="100"/>
        <v>34995</v>
      </c>
      <c r="AC211" s="2130">
        <f t="shared" si="100"/>
        <v>34995</v>
      </c>
      <c r="AD211" s="2130">
        <f t="shared" si="100"/>
        <v>34995</v>
      </c>
      <c r="AE211" s="2130">
        <f t="shared" si="100"/>
        <v>34995</v>
      </c>
      <c r="AF211" s="2130">
        <f t="shared" si="100"/>
        <v>34995</v>
      </c>
      <c r="AG211" s="2130">
        <f t="shared" si="100"/>
        <v>34995</v>
      </c>
      <c r="AH211" s="2130">
        <f t="shared" si="100"/>
        <v>34995</v>
      </c>
      <c r="AI211" s="2130">
        <f t="shared" si="100"/>
        <v>34995</v>
      </c>
      <c r="AJ211" s="2130">
        <f t="shared" si="100"/>
        <v>34995</v>
      </c>
      <c r="AK211" s="2130">
        <f t="shared" si="100"/>
        <v>34995</v>
      </c>
      <c r="AL211" s="2130">
        <f t="shared" si="100"/>
        <v>34995</v>
      </c>
      <c r="AM211" s="2130">
        <f t="shared" si="100"/>
        <v>34995</v>
      </c>
      <c r="AN211" s="2130">
        <f t="shared" si="100"/>
        <v>34995</v>
      </c>
      <c r="AO211" s="2130">
        <f t="shared" si="100"/>
        <v>34995</v>
      </c>
    </row>
    <row r="212" spans="1:41">
      <c r="A212" s="1016"/>
      <c r="B212" s="1138"/>
      <c r="C212" s="1218"/>
      <c r="D212" s="1016"/>
      <c r="E212" s="1017"/>
      <c r="F212" s="1016"/>
      <c r="G212" s="1016"/>
      <c r="H212" s="1016"/>
      <c r="I212" s="1016"/>
      <c r="J212" s="1020"/>
      <c r="K212" s="1020"/>
      <c r="L212" s="1020"/>
      <c r="M212" s="1020"/>
      <c r="N212" s="1020"/>
      <c r="O212" s="1020"/>
      <c r="P212" s="1020"/>
      <c r="Q212" s="1020"/>
      <c r="R212" s="1020"/>
      <c r="S212" s="1020"/>
      <c r="T212" s="1020"/>
      <c r="U212" s="1020"/>
      <c r="V212" s="1020"/>
      <c r="W212" s="1020"/>
      <c r="X212" s="3881"/>
      <c r="Y212" s="1020"/>
      <c r="Z212" s="1020"/>
      <c r="AA212" s="1020"/>
      <c r="AB212" s="1020"/>
      <c r="AC212" s="1020"/>
      <c r="AD212" s="1020"/>
      <c r="AE212" s="1020"/>
      <c r="AF212" s="1020"/>
      <c r="AG212" s="1020"/>
      <c r="AH212" s="1020"/>
      <c r="AI212" s="1020"/>
      <c r="AJ212" s="1020"/>
      <c r="AK212" s="1020"/>
      <c r="AL212" s="1020"/>
      <c r="AM212" s="1020"/>
      <c r="AN212" s="1020"/>
      <c r="AO212" s="1020"/>
    </row>
    <row r="213" spans="1:41">
      <c r="A213" s="1016"/>
      <c r="B213" s="1138"/>
      <c r="C213" s="1016"/>
      <c r="D213" s="1016"/>
      <c r="E213" s="1017"/>
      <c r="F213" s="1016"/>
      <c r="G213" s="1016"/>
      <c r="H213" s="1016"/>
      <c r="I213" s="1016"/>
      <c r="J213" s="1020"/>
      <c r="K213" s="1020"/>
      <c r="L213" s="1020"/>
      <c r="M213" s="1020"/>
      <c r="N213" s="1020"/>
      <c r="O213" s="1020"/>
      <c r="P213" s="1020"/>
      <c r="Q213" s="1020"/>
      <c r="R213" s="1020"/>
      <c r="S213" s="1020"/>
      <c r="T213" s="1020"/>
      <c r="U213" s="1020"/>
      <c r="V213" s="1020"/>
      <c r="W213" s="1020"/>
      <c r="X213" s="3881"/>
      <c r="Y213" s="1020"/>
      <c r="Z213" s="1020"/>
      <c r="AA213" s="1020"/>
      <c r="AB213" s="1020"/>
      <c r="AC213" s="1020"/>
      <c r="AD213" s="1020"/>
      <c r="AE213" s="1020"/>
      <c r="AF213" s="1020"/>
      <c r="AG213" s="1020"/>
      <c r="AH213" s="1020"/>
      <c r="AI213" s="1020"/>
      <c r="AJ213" s="1020"/>
      <c r="AK213" s="1020"/>
      <c r="AL213" s="1020"/>
      <c r="AM213" s="1020"/>
      <c r="AN213" s="1020"/>
      <c r="AO213" s="1020"/>
    </row>
    <row r="214" spans="1:41">
      <c r="A214" s="1232" t="s">
        <v>2083</v>
      </c>
      <c r="B214" s="1138"/>
      <c r="C214" s="1016" t="s">
        <v>2084</v>
      </c>
      <c r="D214" s="1219"/>
      <c r="E214" s="1219"/>
      <c r="F214" s="1219"/>
      <c r="G214" s="1219"/>
      <c r="H214" s="1219"/>
      <c r="I214" s="1219"/>
      <c r="J214" s="1044"/>
      <c r="K214" s="1044"/>
      <c r="L214" s="1044"/>
      <c r="M214" s="1044"/>
      <c r="N214" s="1044"/>
      <c r="O214" s="1044"/>
      <c r="P214" s="1044"/>
      <c r="Q214" s="1044"/>
      <c r="R214" s="1044"/>
      <c r="S214" s="1044"/>
      <c r="T214" s="1044"/>
      <c r="U214" s="1044"/>
      <c r="V214" s="1044"/>
      <c r="W214" s="1044"/>
      <c r="X214" s="3942"/>
      <c r="Y214" s="1044"/>
      <c r="Z214" s="1044"/>
      <c r="AA214" s="1044"/>
      <c r="AB214" s="1044"/>
      <c r="AC214" s="1044"/>
      <c r="AD214" s="1044"/>
      <c r="AE214" s="1044"/>
      <c r="AF214" s="1044"/>
      <c r="AG214" s="1044"/>
      <c r="AH214" s="1044"/>
      <c r="AI214" s="1044"/>
      <c r="AJ214" s="1044"/>
      <c r="AK214" s="1044"/>
      <c r="AL214" s="1044"/>
      <c r="AM214" s="1044"/>
      <c r="AN214" s="1044"/>
      <c r="AO214" s="1044"/>
    </row>
    <row r="215" spans="1:41">
      <c r="A215" s="1016" t="s">
        <v>2085</v>
      </c>
      <c r="B215" s="1138"/>
      <c r="C215" s="1016" t="s">
        <v>2086</v>
      </c>
      <c r="D215" s="1016"/>
      <c r="E215" s="1017"/>
      <c r="F215" s="1146"/>
      <c r="G215" s="1016"/>
      <c r="H215" s="1578">
        <f>H84</f>
        <v>239314152.59999999</v>
      </c>
      <c r="I215" s="2134"/>
      <c r="J215" s="1578">
        <f t="shared" ref="J215:AO215" si="101">J84</f>
        <v>273670096.90673494</v>
      </c>
      <c r="K215" s="1578">
        <f t="shared" si="101"/>
        <v>241365530.8534281</v>
      </c>
      <c r="L215" s="1578">
        <f t="shared" si="101"/>
        <v>243683727.22807539</v>
      </c>
      <c r="M215" s="1578">
        <f t="shared" si="101"/>
        <v>249472240.54927009</v>
      </c>
      <c r="N215" s="1578">
        <f t="shared" si="101"/>
        <v>266358196.80796087</v>
      </c>
      <c r="O215" s="1578">
        <f t="shared" si="101"/>
        <v>271411444.70897532</v>
      </c>
      <c r="P215" s="1578">
        <f t="shared" si="101"/>
        <v>278197342.28543013</v>
      </c>
      <c r="Q215" s="1578">
        <f t="shared" si="101"/>
        <v>279499281.5069598</v>
      </c>
      <c r="R215" s="1578">
        <f t="shared" si="101"/>
        <v>283406176.42559016</v>
      </c>
      <c r="S215" s="1578">
        <f t="shared" si="101"/>
        <v>271039715.31622392</v>
      </c>
      <c r="T215" s="1578">
        <f t="shared" si="101"/>
        <v>279072270.63779891</v>
      </c>
      <c r="U215" s="1578">
        <f t="shared" si="101"/>
        <v>285778826.28934306</v>
      </c>
      <c r="V215" s="1578">
        <f t="shared" si="101"/>
        <v>286877909.78802943</v>
      </c>
      <c r="W215" s="1578">
        <f t="shared" si="101"/>
        <v>296949855.45818448</v>
      </c>
      <c r="X215" s="3689">
        <f t="shared" si="101"/>
        <v>307040710.61421525</v>
      </c>
      <c r="Y215" s="1578">
        <f t="shared" si="101"/>
        <v>315406444.37646043</v>
      </c>
      <c r="Z215" s="1578">
        <f t="shared" si="101"/>
        <v>323113259.99002117</v>
      </c>
      <c r="AA215" s="1578">
        <f t="shared" si="101"/>
        <v>324448280.60453898</v>
      </c>
      <c r="AB215" s="1578">
        <f t="shared" si="101"/>
        <v>331846324.0912044</v>
      </c>
      <c r="AC215" s="1578">
        <f t="shared" si="101"/>
        <v>339252417.64249396</v>
      </c>
      <c r="AD215" s="1578">
        <f t="shared" si="101"/>
        <v>348065402.43981349</v>
      </c>
      <c r="AE215" s="1578">
        <f t="shared" si="101"/>
        <v>356637827.49384618</v>
      </c>
      <c r="AF215" s="1578">
        <f t="shared" si="101"/>
        <v>363729535.30192685</v>
      </c>
      <c r="AG215" s="1578">
        <f t="shared" si="101"/>
        <v>375130098.76803303</v>
      </c>
      <c r="AH215" s="1578">
        <f t="shared" si="101"/>
        <v>384694813.2133441</v>
      </c>
      <c r="AI215" s="1578">
        <f t="shared" si="101"/>
        <v>399512507.85365534</v>
      </c>
      <c r="AJ215" s="1578">
        <f t="shared" si="101"/>
        <v>398020464.04053652</v>
      </c>
      <c r="AK215" s="1578">
        <f t="shared" si="101"/>
        <v>411025171.19723058</v>
      </c>
      <c r="AL215" s="1578">
        <f t="shared" si="101"/>
        <v>427356014.76904368</v>
      </c>
      <c r="AM215" s="1578">
        <f t="shared" si="101"/>
        <v>424469720.70799303</v>
      </c>
      <c r="AN215" s="1578">
        <f t="shared" si="101"/>
        <v>427755160.92752874</v>
      </c>
      <c r="AO215" s="1578">
        <f t="shared" si="101"/>
        <v>219191280.3848545</v>
      </c>
    </row>
    <row r="216" spans="1:41">
      <c r="A216" s="1016" t="s">
        <v>2087</v>
      </c>
      <c r="B216" s="1138"/>
      <c r="C216" s="1016"/>
      <c r="D216" s="1016"/>
      <c r="E216" s="1017"/>
      <c r="F216" s="1016"/>
      <c r="G216" s="1016"/>
      <c r="H216" s="1578">
        <f>-H49</f>
        <v>-55640876.630000003</v>
      </c>
      <c r="I216" s="2134"/>
      <c r="J216" s="1578">
        <f t="shared" ref="J216:AO216" si="102">-J49</f>
        <v>-64012023.615486041</v>
      </c>
      <c r="K216" s="1578">
        <f t="shared" si="102"/>
        <v>-50287769.335042104</v>
      </c>
      <c r="L216" s="1578">
        <f t="shared" si="102"/>
        <v>-47696710.041316852</v>
      </c>
      <c r="M216" s="1578">
        <f t="shared" si="102"/>
        <v>-45797856.155507594</v>
      </c>
      <c r="N216" s="1578">
        <f t="shared" si="102"/>
        <v>-42826114.727333158</v>
      </c>
      <c r="O216" s="1578">
        <f t="shared" si="102"/>
        <v>-41695282.308202237</v>
      </c>
      <c r="P216" s="1578">
        <f t="shared" si="102"/>
        <v>-40950608.385145001</v>
      </c>
      <c r="Q216" s="1578">
        <f t="shared" si="102"/>
        <v>-39043621.87753465</v>
      </c>
      <c r="R216" s="1578">
        <f t="shared" si="102"/>
        <v>-38407408.823920503</v>
      </c>
      <c r="S216" s="1578">
        <f t="shared" si="102"/>
        <v>-36221942.401171982</v>
      </c>
      <c r="T216" s="1578">
        <f t="shared" si="102"/>
        <v>-35845277.633717775</v>
      </c>
      <c r="U216" s="1578">
        <f t="shared" si="102"/>
        <v>-34986823.657224029</v>
      </c>
      <c r="V216" s="1578">
        <f t="shared" si="102"/>
        <v>-34133384.406057969</v>
      </c>
      <c r="W216" s="1578">
        <f t="shared" si="102"/>
        <v>-32539916.926344834</v>
      </c>
      <c r="X216" s="3689">
        <f t="shared" si="102"/>
        <v>-32312778.622354425</v>
      </c>
      <c r="Y216" s="1578">
        <f t="shared" si="102"/>
        <v>-31391193.371294621</v>
      </c>
      <c r="Z216" s="1578">
        <f t="shared" si="102"/>
        <v>-30492209.579666588</v>
      </c>
      <c r="AA216" s="1578">
        <f t="shared" si="102"/>
        <v>-28897022.551562566</v>
      </c>
      <c r="AB216" s="1578">
        <f t="shared" si="102"/>
        <v>-27500592.801006179</v>
      </c>
      <c r="AC216" s="1578">
        <f t="shared" si="102"/>
        <v>-26331281.299959905</v>
      </c>
      <c r="AD216" s="1578">
        <f t="shared" si="102"/>
        <v>-25319532.069376234</v>
      </c>
      <c r="AE216" s="1578">
        <f t="shared" si="102"/>
        <v>-24188159.218491159</v>
      </c>
      <c r="AF216" s="1578">
        <f t="shared" si="102"/>
        <v>-22821809.725038674</v>
      </c>
      <c r="AG216" s="1578">
        <f t="shared" si="102"/>
        <v>-21814900.662838683</v>
      </c>
      <c r="AH216" s="1578">
        <f t="shared" si="102"/>
        <v>-20243451.358009625</v>
      </c>
      <c r="AI216" s="1578">
        <f t="shared" si="102"/>
        <v>-19288898.599923927</v>
      </c>
      <c r="AJ216" s="1578">
        <f t="shared" si="102"/>
        <v>-16996498.905332286</v>
      </c>
      <c r="AK216" s="1578">
        <f t="shared" si="102"/>
        <v>-15997644.631638967</v>
      </c>
      <c r="AL216" s="1578">
        <f t="shared" si="102"/>
        <v>-14772109.639298294</v>
      </c>
      <c r="AM216" s="1578">
        <f t="shared" si="102"/>
        <v>-12797389.223112917</v>
      </c>
      <c r="AN216" s="1578">
        <f t="shared" si="102"/>
        <v>-10592967.043421675</v>
      </c>
      <c r="AO216" s="1578">
        <f t="shared" si="102"/>
        <v>-3491780.152839493</v>
      </c>
    </row>
    <row r="217" spans="1:41">
      <c r="A217" s="1016" t="s">
        <v>2088</v>
      </c>
      <c r="B217" s="1138"/>
      <c r="C217" s="1016"/>
      <c r="D217" s="1016"/>
      <c r="E217" s="1017"/>
      <c r="F217" s="1016"/>
      <c r="G217" s="1016"/>
      <c r="H217" s="1578">
        <f>-H90-H91</f>
        <v>-32749704.450000003</v>
      </c>
      <c r="I217" s="2134"/>
      <c r="J217" s="1578">
        <f t="shared" ref="J217:AO217" si="103">-J90-J91</f>
        <v>0</v>
      </c>
      <c r="K217" s="1578">
        <f t="shared" si="103"/>
        <v>0</v>
      </c>
      <c r="L217" s="1578">
        <f t="shared" si="103"/>
        <v>559850.83999999985</v>
      </c>
      <c r="M217" s="1578">
        <f t="shared" si="103"/>
        <v>647170.6400000006</v>
      </c>
      <c r="N217" s="1578">
        <f t="shared" si="103"/>
        <v>1110449.8649645746</v>
      </c>
      <c r="O217" s="1578">
        <f t="shared" si="103"/>
        <v>1821394.6537783071</v>
      </c>
      <c r="P217" s="1578">
        <f t="shared" si="103"/>
        <v>3266546.6735117063</v>
      </c>
      <c r="Q217" s="1578">
        <f t="shared" si="103"/>
        <v>-52894223.350264482</v>
      </c>
      <c r="R217" s="1578">
        <f t="shared" si="103"/>
        <v>-55432987.493872777</v>
      </c>
      <c r="S217" s="1578">
        <f t="shared" si="103"/>
        <v>-55186801.030567974</v>
      </c>
      <c r="T217" s="1578">
        <f t="shared" si="103"/>
        <v>-55561448.541463822</v>
      </c>
      <c r="U217" s="1578">
        <f t="shared" si="103"/>
        <v>-60275054.606254473</v>
      </c>
      <c r="V217" s="1578">
        <f t="shared" si="103"/>
        <v>-65851019.679116815</v>
      </c>
      <c r="W217" s="1578" t="e">
        <f t="shared" si="103"/>
        <v>#REF!</v>
      </c>
      <c r="X217" s="3689" t="e">
        <f t="shared" si="103"/>
        <v>#REF!</v>
      </c>
      <c r="Y217" s="1578" t="e">
        <f t="shared" si="103"/>
        <v>#REF!</v>
      </c>
      <c r="Z217" s="1578" t="e">
        <f t="shared" si="103"/>
        <v>#REF!</v>
      </c>
      <c r="AA217" s="1578" t="e">
        <f t="shared" si="103"/>
        <v>#REF!</v>
      </c>
      <c r="AB217" s="1578" t="e">
        <f t="shared" si="103"/>
        <v>#REF!</v>
      </c>
      <c r="AC217" s="1578" t="e">
        <f t="shared" si="103"/>
        <v>#REF!</v>
      </c>
      <c r="AD217" s="1578" t="e">
        <f t="shared" si="103"/>
        <v>#REF!</v>
      </c>
      <c r="AE217" s="1578" t="e">
        <f t="shared" si="103"/>
        <v>#REF!</v>
      </c>
      <c r="AF217" s="1578" t="e">
        <f t="shared" si="103"/>
        <v>#REF!</v>
      </c>
      <c r="AG217" s="1578" t="e">
        <f t="shared" si="103"/>
        <v>#REF!</v>
      </c>
      <c r="AH217" s="1578" t="e">
        <f t="shared" si="103"/>
        <v>#REF!</v>
      </c>
      <c r="AI217" s="1578" t="e">
        <f t="shared" si="103"/>
        <v>#REF!</v>
      </c>
      <c r="AJ217" s="1578" t="e">
        <f t="shared" si="103"/>
        <v>#REF!</v>
      </c>
      <c r="AK217" s="1578" t="e">
        <f t="shared" si="103"/>
        <v>#REF!</v>
      </c>
      <c r="AL217" s="1578" t="e">
        <f t="shared" si="103"/>
        <v>#REF!</v>
      </c>
      <c r="AM217" s="1578" t="e">
        <f t="shared" si="103"/>
        <v>#REF!</v>
      </c>
      <c r="AN217" s="1578" t="e">
        <f t="shared" si="103"/>
        <v>#REF!</v>
      </c>
      <c r="AO217" s="1578" t="e">
        <f t="shared" si="103"/>
        <v>#REF!</v>
      </c>
    </row>
    <row r="218" spans="1:41">
      <c r="A218" s="1132" t="s">
        <v>2089</v>
      </c>
      <c r="B218" s="1028"/>
      <c r="C218" s="1132"/>
      <c r="D218" s="1132"/>
      <c r="E218" s="1233"/>
      <c r="F218" s="1132"/>
      <c r="G218" s="1132"/>
      <c r="H218" s="1675">
        <f t="shared" ref="H218:AO218" si="104">SUM(H215:H217)</f>
        <v>150923571.51999998</v>
      </c>
      <c r="I218" s="2135"/>
      <c r="J218" s="1675">
        <f t="shared" si="104"/>
        <v>209658073.29124892</v>
      </c>
      <c r="K218" s="1675">
        <f t="shared" si="104"/>
        <v>191077761.51838601</v>
      </c>
      <c r="L218" s="1675">
        <f t="shared" si="104"/>
        <v>196546868.02675852</v>
      </c>
      <c r="M218" s="1675">
        <f t="shared" si="104"/>
        <v>204321555.03376251</v>
      </c>
      <c r="N218" s="1675">
        <f t="shared" si="104"/>
        <v>224642531.94559228</v>
      </c>
      <c r="O218" s="1675">
        <f t="shared" si="104"/>
        <v>231537557.05455139</v>
      </c>
      <c r="P218" s="1675">
        <f t="shared" si="104"/>
        <v>240513280.57379684</v>
      </c>
      <c r="Q218" s="1675">
        <f t="shared" si="104"/>
        <v>187561436.27916065</v>
      </c>
      <c r="R218" s="1675">
        <f t="shared" si="104"/>
        <v>189565780.10779691</v>
      </c>
      <c r="S218" s="1675">
        <f t="shared" si="104"/>
        <v>179630971.88448396</v>
      </c>
      <c r="T218" s="1675">
        <f t="shared" si="104"/>
        <v>187665544.46261731</v>
      </c>
      <c r="U218" s="1675">
        <f t="shared" si="104"/>
        <v>190516948.02586454</v>
      </c>
      <c r="V218" s="1675">
        <f t="shared" si="104"/>
        <v>186893505.70285466</v>
      </c>
      <c r="W218" s="1675" t="e">
        <f t="shared" si="104"/>
        <v>#REF!</v>
      </c>
      <c r="X218" s="3690" t="e">
        <f t="shared" si="104"/>
        <v>#REF!</v>
      </c>
      <c r="Y218" s="1675" t="e">
        <f t="shared" si="104"/>
        <v>#REF!</v>
      </c>
      <c r="Z218" s="1675" t="e">
        <f t="shared" si="104"/>
        <v>#REF!</v>
      </c>
      <c r="AA218" s="1675" t="e">
        <f t="shared" si="104"/>
        <v>#REF!</v>
      </c>
      <c r="AB218" s="1675" t="e">
        <f t="shared" si="104"/>
        <v>#REF!</v>
      </c>
      <c r="AC218" s="1675" t="e">
        <f t="shared" si="104"/>
        <v>#REF!</v>
      </c>
      <c r="AD218" s="1675" t="e">
        <f t="shared" si="104"/>
        <v>#REF!</v>
      </c>
      <c r="AE218" s="1675" t="e">
        <f t="shared" si="104"/>
        <v>#REF!</v>
      </c>
      <c r="AF218" s="1675" t="e">
        <f t="shared" si="104"/>
        <v>#REF!</v>
      </c>
      <c r="AG218" s="1675" t="e">
        <f t="shared" si="104"/>
        <v>#REF!</v>
      </c>
      <c r="AH218" s="1675" t="e">
        <f t="shared" si="104"/>
        <v>#REF!</v>
      </c>
      <c r="AI218" s="1675" t="e">
        <f t="shared" si="104"/>
        <v>#REF!</v>
      </c>
      <c r="AJ218" s="1675" t="e">
        <f t="shared" si="104"/>
        <v>#REF!</v>
      </c>
      <c r="AK218" s="1675" t="e">
        <f t="shared" si="104"/>
        <v>#REF!</v>
      </c>
      <c r="AL218" s="1675" t="e">
        <f t="shared" si="104"/>
        <v>#REF!</v>
      </c>
      <c r="AM218" s="1675" t="e">
        <f t="shared" si="104"/>
        <v>#REF!</v>
      </c>
      <c r="AN218" s="1675" t="e">
        <f t="shared" si="104"/>
        <v>#REF!</v>
      </c>
      <c r="AO218" s="1675" t="e">
        <f t="shared" si="104"/>
        <v>#REF!</v>
      </c>
    </row>
    <row r="219" spans="1:41">
      <c r="A219" s="1074" t="s">
        <v>2090</v>
      </c>
      <c r="B219" s="2032"/>
      <c r="C219" s="1235"/>
      <c r="D219" s="1235"/>
      <c r="E219" s="1236" t="s">
        <v>2091</v>
      </c>
      <c r="F219" s="1235"/>
      <c r="G219" s="1235"/>
      <c r="H219" s="2067">
        <v>170923571.51999998</v>
      </c>
      <c r="I219" s="2067"/>
      <c r="J219" s="2067">
        <v>190541624.11124891</v>
      </c>
      <c r="K219" s="2067">
        <v>200250270.37398294</v>
      </c>
      <c r="L219" s="2067">
        <v>209012895.65417168</v>
      </c>
      <c r="M219" s="2067">
        <v>216614057.88083845</v>
      </c>
      <c r="N219" s="2067">
        <v>236911842.61066955</v>
      </c>
      <c r="O219" s="2067">
        <v>243428938.84117073</v>
      </c>
      <c r="P219" s="2067">
        <v>251390821.11742312</v>
      </c>
      <c r="Q219" s="2067">
        <v>254857752.57820851</v>
      </c>
      <c r="R219" s="2067">
        <v>259757473.71834233</v>
      </c>
      <c r="S219" s="2067">
        <v>249941274.03347567</v>
      </c>
      <c r="T219" s="2067">
        <v>258723632.47526747</v>
      </c>
      <c r="U219" s="2067">
        <v>266670287.37006396</v>
      </c>
      <c r="V219" s="2067">
        <v>269013127.87748444</v>
      </c>
      <c r="W219" s="2067">
        <v>281077698.83029091</v>
      </c>
      <c r="X219" s="3943">
        <v>291803859.63054806</v>
      </c>
      <c r="Y219" s="2067">
        <v>301508526.90576077</v>
      </c>
      <c r="Z219" s="2067">
        <v>310541028.72164655</v>
      </c>
      <c r="AA219" s="2067">
        <v>313907467.93886948</v>
      </c>
      <c r="AB219" s="2067">
        <v>323147878.65764993</v>
      </c>
      <c r="AC219" s="2067">
        <v>332179105.50384229</v>
      </c>
      <c r="AD219" s="2067">
        <v>342469725.63398564</v>
      </c>
      <c r="AE219" s="2067">
        <v>352649655.45862162</v>
      </c>
      <c r="AF219" s="2067">
        <v>361594273.43520147</v>
      </c>
      <c r="AG219" s="2067">
        <v>374498919.66938388</v>
      </c>
      <c r="AH219" s="2067">
        <v>386143055.67107558</v>
      </c>
      <c r="AI219" s="2067">
        <v>402434260.51501524</v>
      </c>
      <c r="AJ219" s="2067">
        <v>403764746.70398861</v>
      </c>
      <c r="AK219" s="2067">
        <v>418309799.86928517</v>
      </c>
      <c r="AL219" s="2067">
        <v>436419220.92776567</v>
      </c>
      <c r="AM219" s="2067">
        <v>436072430.49509299</v>
      </c>
      <c r="AN219" s="2067">
        <v>442139007.25950325</v>
      </c>
      <c r="AO219" s="2067">
        <v>166262739.51774836</v>
      </c>
    </row>
    <row r="220" spans="1:41">
      <c r="A220" s="1016" t="s">
        <v>387</v>
      </c>
      <c r="B220" s="1138"/>
      <c r="C220" s="1016"/>
      <c r="D220" s="1016"/>
      <c r="E220" s="1017"/>
      <c r="F220" s="1016"/>
      <c r="G220" s="1016"/>
      <c r="H220" s="1578">
        <f>H59</f>
        <v>302393637.09000003</v>
      </c>
      <c r="I220" s="2134"/>
      <c r="J220" s="1578">
        <f t="shared" ref="J220:AO220" si="105">J59</f>
        <v>338416748.42114091</v>
      </c>
      <c r="K220" s="1578">
        <f t="shared" si="105"/>
        <v>326027033.77245468</v>
      </c>
      <c r="L220" s="1578">
        <f t="shared" si="105"/>
        <v>335016345.12678581</v>
      </c>
      <c r="M220" s="1578">
        <f t="shared" si="105"/>
        <v>330485759.66946161</v>
      </c>
      <c r="N220" s="1578">
        <f t="shared" si="105"/>
        <v>325981145.93402898</v>
      </c>
      <c r="O220" s="1578">
        <f t="shared" si="105"/>
        <v>333093323.49838728</v>
      </c>
      <c r="P220" s="1578">
        <f t="shared" si="105"/>
        <v>340544446.49911457</v>
      </c>
      <c r="Q220" s="1578">
        <f t="shared" si="105"/>
        <v>344384226.47655332</v>
      </c>
      <c r="R220" s="1578">
        <f t="shared" si="105"/>
        <v>349550227.86553204</v>
      </c>
      <c r="S220" s="1578">
        <f t="shared" si="105"/>
        <v>353371962.04033464</v>
      </c>
      <c r="T220" s="1578">
        <f t="shared" si="105"/>
        <v>359271543.95772642</v>
      </c>
      <c r="U220" s="1578">
        <f t="shared" si="105"/>
        <v>364599083.32171553</v>
      </c>
      <c r="V220" s="1578">
        <f t="shared" si="105"/>
        <v>370011626.18109208</v>
      </c>
      <c r="W220" s="1578">
        <f t="shared" si="105"/>
        <v>374909536.71266592</v>
      </c>
      <c r="X220" s="3689">
        <f t="shared" si="105"/>
        <v>383601333.94218987</v>
      </c>
      <c r="Y220" s="1578">
        <f t="shared" si="105"/>
        <v>392191813.50747949</v>
      </c>
      <c r="Z220" s="1578">
        <f t="shared" si="105"/>
        <v>401077849.29350549</v>
      </c>
      <c r="AA220" s="1578">
        <f t="shared" si="105"/>
        <v>412064199.77983516</v>
      </c>
      <c r="AB220" s="1578">
        <f t="shared" si="105"/>
        <v>421086506.79273176</v>
      </c>
      <c r="AC220" s="1578">
        <f t="shared" si="105"/>
        <v>430635604.6359939</v>
      </c>
      <c r="AD220" s="1578">
        <f t="shared" si="105"/>
        <v>440650847.47348768</v>
      </c>
      <c r="AE220" s="1578">
        <f t="shared" si="105"/>
        <v>450864230.44669217</v>
      </c>
      <c r="AF220" s="1578">
        <f t="shared" si="105"/>
        <v>461169860.82293648</v>
      </c>
      <c r="AG220" s="1578">
        <f t="shared" si="105"/>
        <v>472171903.85263073</v>
      </c>
      <c r="AH220" s="1578">
        <f t="shared" si="105"/>
        <v>485980774.14986056</v>
      </c>
      <c r="AI220" s="1578">
        <f t="shared" si="105"/>
        <v>500947839.40766406</v>
      </c>
      <c r="AJ220" s="1578">
        <f t="shared" si="105"/>
        <v>511894862.63696927</v>
      </c>
      <c r="AK220" s="1578">
        <f t="shared" si="105"/>
        <v>524518632.60987163</v>
      </c>
      <c r="AL220" s="1578">
        <f t="shared" si="105"/>
        <v>537310363.53804553</v>
      </c>
      <c r="AM220" s="1578">
        <f t="shared" si="105"/>
        <v>549759339.86019707</v>
      </c>
      <c r="AN220" s="1578">
        <f t="shared" si="105"/>
        <v>562397193.96962798</v>
      </c>
      <c r="AO220" s="1578">
        <f t="shared" si="105"/>
        <v>570569383.37540936</v>
      </c>
    </row>
    <row r="221" spans="1:41">
      <c r="A221" s="1016" t="s">
        <v>2087</v>
      </c>
      <c r="B221" s="1138"/>
      <c r="C221" s="1016"/>
      <c r="D221" s="1016"/>
      <c r="E221" s="1017"/>
      <c r="F221" s="1016"/>
      <c r="G221" s="1016"/>
      <c r="H221" s="1578">
        <f>-H49</f>
        <v>-55640876.630000003</v>
      </c>
      <c r="I221" s="2134"/>
      <c r="J221" s="1578">
        <f t="shared" ref="J221:AO221" si="106">-J49</f>
        <v>-64012023.615486041</v>
      </c>
      <c r="K221" s="1578">
        <f t="shared" si="106"/>
        <v>-50287769.335042104</v>
      </c>
      <c r="L221" s="1578">
        <f t="shared" si="106"/>
        <v>-47696710.041316852</v>
      </c>
      <c r="M221" s="1578">
        <f t="shared" si="106"/>
        <v>-45797856.155507594</v>
      </c>
      <c r="N221" s="1578">
        <f t="shared" si="106"/>
        <v>-42826114.727333158</v>
      </c>
      <c r="O221" s="1578">
        <f t="shared" si="106"/>
        <v>-41695282.308202237</v>
      </c>
      <c r="P221" s="1578">
        <f t="shared" si="106"/>
        <v>-40950608.385145001</v>
      </c>
      <c r="Q221" s="1578">
        <f t="shared" si="106"/>
        <v>-39043621.87753465</v>
      </c>
      <c r="R221" s="1578">
        <f t="shared" si="106"/>
        <v>-38407408.823920503</v>
      </c>
      <c r="S221" s="1578">
        <f t="shared" si="106"/>
        <v>-36221942.401171982</v>
      </c>
      <c r="T221" s="1578">
        <f t="shared" si="106"/>
        <v>-35845277.633717775</v>
      </c>
      <c r="U221" s="1578">
        <f t="shared" si="106"/>
        <v>-34986823.657224029</v>
      </c>
      <c r="V221" s="1578">
        <f t="shared" si="106"/>
        <v>-34133384.406057969</v>
      </c>
      <c r="W221" s="1578">
        <f t="shared" si="106"/>
        <v>-32539916.926344834</v>
      </c>
      <c r="X221" s="3689">
        <f t="shared" si="106"/>
        <v>-32312778.622354425</v>
      </c>
      <c r="Y221" s="1578">
        <f t="shared" si="106"/>
        <v>-31391193.371294621</v>
      </c>
      <c r="Z221" s="1578">
        <f t="shared" si="106"/>
        <v>-30492209.579666588</v>
      </c>
      <c r="AA221" s="1578">
        <f t="shared" si="106"/>
        <v>-28897022.551562566</v>
      </c>
      <c r="AB221" s="1578">
        <f t="shared" si="106"/>
        <v>-27500592.801006179</v>
      </c>
      <c r="AC221" s="1578">
        <f t="shared" si="106"/>
        <v>-26331281.299959905</v>
      </c>
      <c r="AD221" s="1578">
        <f t="shared" si="106"/>
        <v>-25319532.069376234</v>
      </c>
      <c r="AE221" s="1578">
        <f t="shared" si="106"/>
        <v>-24188159.218491159</v>
      </c>
      <c r="AF221" s="1578">
        <f t="shared" si="106"/>
        <v>-22821809.725038674</v>
      </c>
      <c r="AG221" s="1578">
        <f t="shared" si="106"/>
        <v>-21814900.662838683</v>
      </c>
      <c r="AH221" s="1578">
        <f t="shared" si="106"/>
        <v>-20243451.358009625</v>
      </c>
      <c r="AI221" s="1578">
        <f t="shared" si="106"/>
        <v>-19288898.599923927</v>
      </c>
      <c r="AJ221" s="1578">
        <f t="shared" si="106"/>
        <v>-16996498.905332286</v>
      </c>
      <c r="AK221" s="1578">
        <f t="shared" si="106"/>
        <v>-15997644.631638967</v>
      </c>
      <c r="AL221" s="1578">
        <f t="shared" si="106"/>
        <v>-14772109.639298294</v>
      </c>
      <c r="AM221" s="1578">
        <f t="shared" si="106"/>
        <v>-12797389.223112917</v>
      </c>
      <c r="AN221" s="1578">
        <f t="shared" si="106"/>
        <v>-10592967.043421675</v>
      </c>
      <c r="AO221" s="1578">
        <f t="shared" si="106"/>
        <v>-3491780.152839493</v>
      </c>
    </row>
    <row r="222" spans="1:41">
      <c r="A222" s="1016" t="s">
        <v>2088</v>
      </c>
      <c r="B222" s="1138"/>
      <c r="C222" s="1016"/>
      <c r="D222" s="1016"/>
      <c r="E222" s="1017"/>
      <c r="F222" s="1016"/>
      <c r="G222" s="1016"/>
      <c r="H222" s="1578">
        <f>-H55</f>
        <v>-79362805.569999993</v>
      </c>
      <c r="I222" s="2134"/>
      <c r="J222" s="1578">
        <f t="shared" ref="J222:AO222" si="107">-J55</f>
        <v>-80148003.079999998</v>
      </c>
      <c r="K222" s="1578">
        <f t="shared" si="107"/>
        <v>-86527745.940000013</v>
      </c>
      <c r="L222" s="1578">
        <f t="shared" si="107"/>
        <v>-83584974.424999997</v>
      </c>
      <c r="M222" s="1578">
        <f t="shared" si="107"/>
        <v>-79687600.680000007</v>
      </c>
      <c r="N222" s="1578">
        <f t="shared" si="107"/>
        <v>-76792478.925000012</v>
      </c>
      <c r="O222" s="1578">
        <f t="shared" si="107"/>
        <v>-79323573.267146125</v>
      </c>
      <c r="P222" s="1578">
        <f t="shared" si="107"/>
        <v>-81939090.217425913</v>
      </c>
      <c r="Q222" s="1578">
        <f t="shared" si="107"/>
        <v>-84641845.623769343</v>
      </c>
      <c r="R222" s="1578">
        <f t="shared" si="107"/>
        <v>-87434749.254440695</v>
      </c>
      <c r="S222" s="1578">
        <f t="shared" si="107"/>
        <v>-90320807.930675119</v>
      </c>
      <c r="T222" s="1578">
        <f t="shared" si="107"/>
        <v>-93303128.763802484</v>
      </c>
      <c r="U222" s="1578">
        <f t="shared" si="107"/>
        <v>-96384922.500342205</v>
      </c>
      <c r="V222" s="1578">
        <f t="shared" si="107"/>
        <v>-99569506.978671491</v>
      </c>
      <c r="W222" s="1578">
        <f t="shared" si="107"/>
        <v>-102860310.70098779</v>
      </c>
      <c r="X222" s="3689">
        <f t="shared" si="107"/>
        <v>-106260876.52441099</v>
      </c>
      <c r="Y222" s="1578">
        <f t="shared" si="107"/>
        <v>-109774865.47519979</v>
      </c>
      <c r="Z222" s="1578">
        <f t="shared" si="107"/>
        <v>-113406060.69018765</v>
      </c>
      <c r="AA222" s="1578">
        <f t="shared" si="107"/>
        <v>-117158371.48968261</v>
      </c>
      <c r="AB222" s="1578">
        <f t="shared" si="107"/>
        <v>-121035837.58621514</v>
      </c>
      <c r="AC222" s="1578">
        <f t="shared" si="107"/>
        <v>-125042633.43366539</v>
      </c>
      <c r="AD222" s="1578">
        <f t="shared" si="107"/>
        <v>-129183072.72145221</v>
      </c>
      <c r="AE222" s="1578">
        <f t="shared" si="107"/>
        <v>-133461613.01862201</v>
      </c>
      <c r="AF222" s="1578">
        <f t="shared" si="107"/>
        <v>-137882860.57283768</v>
      </c>
      <c r="AG222" s="1578">
        <f t="shared" si="107"/>
        <v>-142451575.26943368</v>
      </c>
      <c r="AH222" s="1578">
        <f t="shared" si="107"/>
        <v>-147172675.75587666</v>
      </c>
      <c r="AI222" s="1578">
        <f t="shared" si="107"/>
        <v>-152051244.73714805</v>
      </c>
      <c r="AJ222" s="1578">
        <f t="shared" si="107"/>
        <v>-157092534.44775015</v>
      </c>
      <c r="AK222" s="1578">
        <f t="shared" si="107"/>
        <v>-162301972.30622631</v>
      </c>
      <c r="AL222" s="1578">
        <f t="shared" si="107"/>
        <v>-167685166.75828311</v>
      </c>
      <c r="AM222" s="1578">
        <f t="shared" si="107"/>
        <v>-173247913.31480551</v>
      </c>
      <c r="AN222" s="1578">
        <f t="shared" si="107"/>
        <v>-178996200.79126444</v>
      </c>
      <c r="AO222" s="1578">
        <f t="shared" si="107"/>
        <v>-184936217.75523558</v>
      </c>
    </row>
    <row r="223" spans="1:41">
      <c r="A223" s="1016" t="s">
        <v>2092</v>
      </c>
      <c r="B223" s="1138"/>
      <c r="C223" s="1016"/>
      <c r="D223" s="1016"/>
      <c r="E223" s="1017"/>
      <c r="F223" s="1016"/>
      <c r="G223" s="1016"/>
      <c r="H223" s="1578">
        <f>-H58</f>
        <v>-11966255.630000001</v>
      </c>
      <c r="I223" s="2134"/>
      <c r="J223" s="1578">
        <f t="shared" ref="J223:AO223" si="108">-J58</f>
        <v>-26929447.538589526</v>
      </c>
      <c r="K223" s="1578">
        <f t="shared" si="108"/>
        <v>-14616855.670935536</v>
      </c>
      <c r="L223" s="1578">
        <f t="shared" si="108"/>
        <v>-19803543.492444742</v>
      </c>
      <c r="M223" s="1578">
        <f t="shared" si="108"/>
        <v>-11613574.382100558</v>
      </c>
      <c r="N223" s="1578">
        <f t="shared" si="108"/>
        <v>-3744649.6412778571</v>
      </c>
      <c r="O223" s="1578">
        <f t="shared" si="108"/>
        <v>-2291704.0001661079</v>
      </c>
      <c r="P223" s="1578">
        <f t="shared" si="108"/>
        <v>-2302016.6681668554</v>
      </c>
      <c r="Q223" s="1578">
        <f t="shared" si="108"/>
        <v>-2312375.7431736062</v>
      </c>
      <c r="R223" s="1578">
        <f t="shared" si="108"/>
        <v>-2322781.4340178873</v>
      </c>
      <c r="S223" s="1578">
        <f t="shared" si="108"/>
        <v>-2333233.9504709677</v>
      </c>
      <c r="T223" s="1578">
        <f t="shared" si="108"/>
        <v>-2343733.5032480871</v>
      </c>
      <c r="U223" s="1578">
        <f t="shared" si="108"/>
        <v>-2354280.3040127032</v>
      </c>
      <c r="V223" s="1578">
        <f t="shared" si="108"/>
        <v>-2364874.5653807605</v>
      </c>
      <c r="W223" s="1578">
        <f t="shared" si="108"/>
        <v>-2375516.5009249737</v>
      </c>
      <c r="X223" s="3689">
        <f t="shared" si="108"/>
        <v>-2386206.3251791359</v>
      </c>
      <c r="Y223" s="1578">
        <f t="shared" si="108"/>
        <v>-2396944.2536424417</v>
      </c>
      <c r="Z223" s="1578">
        <f t="shared" si="108"/>
        <v>-2407730.5027838326</v>
      </c>
      <c r="AA223" s="1578">
        <f t="shared" si="108"/>
        <v>-2418565.2900463599</v>
      </c>
      <c r="AB223" s="1578">
        <f t="shared" si="108"/>
        <v>-2429448.8338515684</v>
      </c>
      <c r="AC223" s="1578">
        <f t="shared" si="108"/>
        <v>-2440381.3536039004</v>
      </c>
      <c r="AD223" s="1578">
        <f t="shared" si="108"/>
        <v>-2451363.0696951179</v>
      </c>
      <c r="AE223" s="1578">
        <f t="shared" si="108"/>
        <v>-2462394.2035087459</v>
      </c>
      <c r="AF223" s="1578">
        <f t="shared" si="108"/>
        <v>-2473474.977424535</v>
      </c>
      <c r="AG223" s="1578">
        <f t="shared" si="108"/>
        <v>-2484605.6148229451</v>
      </c>
      <c r="AH223" s="1578">
        <f t="shared" si="108"/>
        <v>-2495786.340089648</v>
      </c>
      <c r="AI223" s="1578">
        <f t="shared" si="108"/>
        <v>-2507017.3786200513</v>
      </c>
      <c r="AJ223" s="1578">
        <f t="shared" si="108"/>
        <v>-2518298.9568238412</v>
      </c>
      <c r="AK223" s="1578">
        <f t="shared" si="108"/>
        <v>-2529631.3021295485</v>
      </c>
      <c r="AL223" s="1578">
        <f t="shared" si="108"/>
        <v>-2541014.6429891312</v>
      </c>
      <c r="AM223" s="1578">
        <f t="shared" si="108"/>
        <v>-2552449.2088825819</v>
      </c>
      <c r="AN223" s="1578">
        <f t="shared" si="108"/>
        <v>-2563935.2303225533</v>
      </c>
      <c r="AO223" s="1578">
        <f t="shared" si="108"/>
        <v>-2575473.9388590045</v>
      </c>
    </row>
    <row r="224" spans="1:41">
      <c r="A224" s="1132" t="s">
        <v>387</v>
      </c>
      <c r="B224" s="1028"/>
      <c r="C224" s="1132"/>
      <c r="D224" s="1132"/>
      <c r="E224" s="1233"/>
      <c r="F224" s="1132"/>
      <c r="G224" s="1132"/>
      <c r="H224" s="2136">
        <f t="shared" ref="H224:N224" si="109">SUM(H220:H223)</f>
        <v>155423699.26000005</v>
      </c>
      <c r="I224" s="2135"/>
      <c r="J224" s="2136">
        <f t="shared" si="109"/>
        <v>167327274.18706536</v>
      </c>
      <c r="K224" s="2136">
        <f t="shared" si="109"/>
        <v>174594662.82647702</v>
      </c>
      <c r="L224" s="2136">
        <f t="shared" si="109"/>
        <v>183931117.16802418</v>
      </c>
      <c r="M224" s="2136">
        <f t="shared" si="109"/>
        <v>193386728.45185348</v>
      </c>
      <c r="N224" s="2136">
        <f t="shared" si="109"/>
        <v>202617902.64041793</v>
      </c>
      <c r="O224" s="2136">
        <f t="shared" ref="O224:AO224" si="110">SUM(O220:O223)</f>
        <v>209782763.92287284</v>
      </c>
      <c r="P224" s="2136">
        <f t="shared" si="110"/>
        <v>215352731.22837681</v>
      </c>
      <c r="Q224" s="2136">
        <f t="shared" si="110"/>
        <v>218386383.23207575</v>
      </c>
      <c r="R224" s="2136">
        <f t="shared" si="110"/>
        <v>221385288.35315296</v>
      </c>
      <c r="S224" s="2136">
        <f t="shared" si="110"/>
        <v>224495977.75801659</v>
      </c>
      <c r="T224" s="2136">
        <f t="shared" si="110"/>
        <v>227779404.05695808</v>
      </c>
      <c r="U224" s="2136">
        <f t="shared" si="110"/>
        <v>230873056.86013663</v>
      </c>
      <c r="V224" s="2136">
        <f t="shared" si="110"/>
        <v>233943860.23098189</v>
      </c>
      <c r="W224" s="2136">
        <f t="shared" si="110"/>
        <v>237133792.58440834</v>
      </c>
      <c r="X224" s="3944">
        <f t="shared" si="110"/>
        <v>242641472.4702453</v>
      </c>
      <c r="Y224" s="2136">
        <f t="shared" si="110"/>
        <v>248628810.40734264</v>
      </c>
      <c r="Z224" s="2136">
        <f t="shared" si="110"/>
        <v>254771848.52086741</v>
      </c>
      <c r="AA224" s="2136">
        <f t="shared" si="110"/>
        <v>263590240.44854364</v>
      </c>
      <c r="AB224" s="2136">
        <f t="shared" si="110"/>
        <v>270120627.57165885</v>
      </c>
      <c r="AC224" s="2136">
        <f t="shared" si="110"/>
        <v>276821308.54876471</v>
      </c>
      <c r="AD224" s="2136">
        <f t="shared" si="110"/>
        <v>283696879.61296415</v>
      </c>
      <c r="AE224" s="2136">
        <f t="shared" si="110"/>
        <v>290752064.00607026</v>
      </c>
      <c r="AF224" s="2136">
        <f t="shared" si="110"/>
        <v>297991715.54763561</v>
      </c>
      <c r="AG224" s="2136">
        <f t="shared" si="110"/>
        <v>305420822.30553544</v>
      </c>
      <c r="AH224" s="2136">
        <f t="shared" si="110"/>
        <v>316068860.69588464</v>
      </c>
      <c r="AI224" s="2136">
        <f t="shared" si="110"/>
        <v>327100678.69197208</v>
      </c>
      <c r="AJ224" s="2136">
        <f t="shared" si="110"/>
        <v>335287530.32706302</v>
      </c>
      <c r="AK224" s="2136">
        <f t="shared" si="110"/>
        <v>343689384.3698768</v>
      </c>
      <c r="AL224" s="2136">
        <f t="shared" si="110"/>
        <v>352312072.49747491</v>
      </c>
      <c r="AM224" s="2136">
        <f t="shared" si="110"/>
        <v>361161588.11339605</v>
      </c>
      <c r="AN224" s="2136">
        <f t="shared" si="110"/>
        <v>370244090.9046194</v>
      </c>
      <c r="AO224" s="2136">
        <f t="shared" si="110"/>
        <v>379565911.52847528</v>
      </c>
    </row>
    <row r="225" spans="1:41">
      <c r="A225" s="1016" t="s">
        <v>2093</v>
      </c>
      <c r="B225" s="1138"/>
      <c r="C225" s="1016"/>
      <c r="D225" s="1016"/>
      <c r="E225" s="1017"/>
      <c r="F225" s="1016"/>
      <c r="G225" s="1016"/>
      <c r="H225" s="2137">
        <f t="shared" ref="H225:AO225" si="111">H218/H224</f>
        <v>0.97104606465149146</v>
      </c>
      <c r="I225" s="2138"/>
      <c r="J225" s="2137">
        <f t="shared" si="111"/>
        <v>1.2529820635030449</v>
      </c>
      <c r="K225" s="2137">
        <f t="shared" si="111"/>
        <v>1.0944078039103113</v>
      </c>
      <c r="L225" s="2137">
        <f t="shared" si="111"/>
        <v>1.0685895407638373</v>
      </c>
      <c r="M225" s="2137">
        <f t="shared" si="111"/>
        <v>1.0565438314689284</v>
      </c>
      <c r="N225" s="2137">
        <f t="shared" si="111"/>
        <v>1.1087003123522654</v>
      </c>
      <c r="O225" s="2137">
        <f t="shared" si="111"/>
        <v>1.103701527832271</v>
      </c>
      <c r="P225" s="2137">
        <f t="shared" si="111"/>
        <v>1.1168341316216595</v>
      </c>
      <c r="Q225" s="2137">
        <f t="shared" si="111"/>
        <v>0.85885133268516145</v>
      </c>
      <c r="R225" s="2137">
        <f t="shared" si="111"/>
        <v>0.85627090001302297</v>
      </c>
      <c r="S225" s="2137">
        <f t="shared" si="111"/>
        <v>0.80015229528124354</v>
      </c>
      <c r="T225" s="2137">
        <f t="shared" si="111"/>
        <v>0.82389162988454401</v>
      </c>
      <c r="U225" s="2137">
        <f t="shared" si="111"/>
        <v>0.82520217221050662</v>
      </c>
      <c r="V225" s="2137">
        <f t="shared" si="111"/>
        <v>0.79888185788815924</v>
      </c>
      <c r="W225" s="2137" t="e">
        <f t="shared" si="111"/>
        <v>#REF!</v>
      </c>
      <c r="X225" s="3945" t="e">
        <f t="shared" si="111"/>
        <v>#REF!</v>
      </c>
      <c r="Y225" s="2137" t="e">
        <f t="shared" si="111"/>
        <v>#REF!</v>
      </c>
      <c r="Z225" s="2137" t="e">
        <f t="shared" si="111"/>
        <v>#REF!</v>
      </c>
      <c r="AA225" s="2137" t="e">
        <f t="shared" si="111"/>
        <v>#REF!</v>
      </c>
      <c r="AB225" s="2137" t="e">
        <f t="shared" si="111"/>
        <v>#REF!</v>
      </c>
      <c r="AC225" s="2137" t="e">
        <f t="shared" si="111"/>
        <v>#REF!</v>
      </c>
      <c r="AD225" s="2137" t="e">
        <f t="shared" si="111"/>
        <v>#REF!</v>
      </c>
      <c r="AE225" s="2137" t="e">
        <f t="shared" si="111"/>
        <v>#REF!</v>
      </c>
      <c r="AF225" s="2137" t="e">
        <f t="shared" si="111"/>
        <v>#REF!</v>
      </c>
      <c r="AG225" s="2137" t="e">
        <f t="shared" si="111"/>
        <v>#REF!</v>
      </c>
      <c r="AH225" s="2137" t="e">
        <f t="shared" si="111"/>
        <v>#REF!</v>
      </c>
      <c r="AI225" s="2137" t="e">
        <f t="shared" si="111"/>
        <v>#REF!</v>
      </c>
      <c r="AJ225" s="2137" t="e">
        <f t="shared" si="111"/>
        <v>#REF!</v>
      </c>
      <c r="AK225" s="2137" t="e">
        <f t="shared" si="111"/>
        <v>#REF!</v>
      </c>
      <c r="AL225" s="2137" t="e">
        <f t="shared" si="111"/>
        <v>#REF!</v>
      </c>
      <c r="AM225" s="2137" t="e">
        <f t="shared" si="111"/>
        <v>#REF!</v>
      </c>
      <c r="AN225" s="2137" t="e">
        <f t="shared" si="111"/>
        <v>#REF!</v>
      </c>
      <c r="AO225" s="2137" t="e">
        <f t="shared" si="111"/>
        <v>#REF!</v>
      </c>
    </row>
    <row r="226" spans="1:41">
      <c r="A226" s="1020" t="s">
        <v>2094</v>
      </c>
      <c r="B226" s="1040"/>
      <c r="C226" s="1020"/>
      <c r="D226" s="1020"/>
      <c r="E226" s="1017"/>
      <c r="F226" s="1020"/>
      <c r="G226" s="1020"/>
      <c r="H226" s="2137">
        <f t="shared" ref="H226:AO226" si="112">H219/H224</f>
        <v>1.0997265689453899</v>
      </c>
      <c r="I226" s="2138"/>
      <c r="J226" s="2137">
        <f t="shared" si="112"/>
        <v>1.1387361984886624</v>
      </c>
      <c r="K226" s="2137">
        <f t="shared" si="112"/>
        <v>1.1469438248121253</v>
      </c>
      <c r="L226" s="2137">
        <f t="shared" si="112"/>
        <v>1.1363650635755931</v>
      </c>
      <c r="M226" s="2137">
        <f t="shared" si="112"/>
        <v>1.1201081874383523</v>
      </c>
      <c r="N226" s="2137">
        <f t="shared" si="112"/>
        <v>1.1692542441874567</v>
      </c>
      <c r="O226" s="2137">
        <f t="shared" si="112"/>
        <v>1.1603857928512562</v>
      </c>
      <c r="P226" s="2137">
        <f t="shared" si="112"/>
        <v>1.1673444756585358</v>
      </c>
      <c r="Q226" s="2137">
        <f t="shared" si="112"/>
        <v>1.1670038617168508</v>
      </c>
      <c r="R226" s="2137">
        <f t="shared" si="112"/>
        <v>1.173327621047602</v>
      </c>
      <c r="S226" s="2137">
        <f t="shared" si="112"/>
        <v>1.113344107674332</v>
      </c>
      <c r="T226" s="2137">
        <f t="shared" si="112"/>
        <v>1.1358517401800363</v>
      </c>
      <c r="U226" s="2137">
        <f t="shared" si="112"/>
        <v>1.1550515724821599</v>
      </c>
      <c r="V226" s="2137">
        <f t="shared" si="112"/>
        <v>1.1499046293066948</v>
      </c>
      <c r="W226" s="2137">
        <f t="shared" si="112"/>
        <v>1.1853127121485254</v>
      </c>
      <c r="X226" s="3945">
        <f t="shared" si="112"/>
        <v>1.2026132905467406</v>
      </c>
      <c r="Y226" s="2137">
        <f t="shared" si="112"/>
        <v>1.2126853939886624</v>
      </c>
      <c r="Z226" s="2137">
        <f t="shared" si="112"/>
        <v>1.2188985185159156</v>
      </c>
      <c r="AA226" s="2137">
        <f t="shared" si="112"/>
        <v>1.1908918456339754</v>
      </c>
      <c r="AB226" s="2137">
        <f t="shared" si="112"/>
        <v>1.1963095212783177</v>
      </c>
      <c r="AC226" s="2137">
        <f t="shared" si="112"/>
        <v>1.1999766464702113</v>
      </c>
      <c r="AD226" s="2137">
        <f t="shared" si="112"/>
        <v>1.2071677563080807</v>
      </c>
      <c r="AE226" s="2137">
        <f t="shared" si="112"/>
        <v>1.2128878832353158</v>
      </c>
      <c r="AF226" s="2137">
        <f t="shared" si="112"/>
        <v>1.2134373359027111</v>
      </c>
      <c r="AG226" s="2137">
        <f t="shared" si="112"/>
        <v>1.22617350330733</v>
      </c>
      <c r="AH226" s="2137">
        <f t="shared" si="112"/>
        <v>1.2217054689313889</v>
      </c>
      <c r="AI226" s="2137">
        <f t="shared" si="112"/>
        <v>1.230307017779025</v>
      </c>
      <c r="AJ226" s="2137">
        <f t="shared" si="112"/>
        <v>1.2042343069249493</v>
      </c>
      <c r="AK226" s="2137">
        <f t="shared" si="112"/>
        <v>1.2171158577860008</v>
      </c>
      <c r="AL226" s="2137">
        <f t="shared" si="112"/>
        <v>1.2387291126133453</v>
      </c>
      <c r="AM226" s="2137">
        <f t="shared" si="112"/>
        <v>1.2074164164938181</v>
      </c>
      <c r="AN226" s="2137">
        <f t="shared" si="112"/>
        <v>1.1941824815602664</v>
      </c>
      <c r="AO226" s="2137">
        <f t="shared" si="112"/>
        <v>0.43803390786128382</v>
      </c>
    </row>
    <row r="228" spans="1:41">
      <c r="A228" s="1533" t="s">
        <v>2198</v>
      </c>
      <c r="H228" s="1535">
        <f>H144</f>
        <v>106670189.94</v>
      </c>
      <c r="I228" s="1534"/>
      <c r="J228" s="1535">
        <f t="shared" ref="J228:AO228" si="113">J144</f>
        <v>127778578.209554</v>
      </c>
      <c r="K228" s="1535">
        <f t="shared" si="113"/>
        <v>110778361.12907039</v>
      </c>
      <c r="L228" s="1535">
        <f t="shared" si="113"/>
        <v>111071122.31097165</v>
      </c>
      <c r="M228" s="1535">
        <f t="shared" si="113"/>
        <v>114392632.19320875</v>
      </c>
      <c r="N228" s="1535">
        <f t="shared" si="113"/>
        <v>117831266.363095</v>
      </c>
      <c r="O228" s="1535">
        <f t="shared" si="113"/>
        <v>119554132.74321899</v>
      </c>
      <c r="P228" s="1535">
        <f t="shared" si="113"/>
        <v>123062353.05092475</v>
      </c>
      <c r="Q228" s="1535">
        <f t="shared" si="113"/>
        <v>126676275.90080321</v>
      </c>
      <c r="R228" s="1535">
        <f t="shared" si="113"/>
        <v>130399094.02987836</v>
      </c>
      <c r="S228" s="1535">
        <f t="shared" si="113"/>
        <v>134234096.98808199</v>
      </c>
      <c r="T228" s="1535">
        <f t="shared" si="113"/>
        <v>138184674.0920226</v>
      </c>
      <c r="U228" s="1535">
        <f t="shared" si="113"/>
        <v>142254317.46975037</v>
      </c>
      <c r="V228" s="1535">
        <f t="shared" si="113"/>
        <v>146446625.19936234</v>
      </c>
      <c r="W228" s="1535">
        <f t="shared" si="113"/>
        <v>150765304.54438448</v>
      </c>
      <c r="X228" s="3928">
        <f t="shared" si="113"/>
        <v>155214175.2889623</v>
      </c>
      <c r="Y228" s="1535">
        <f t="shared" si="113"/>
        <v>159797173.17598569</v>
      </c>
      <c r="Z228" s="1535">
        <f t="shared" si="113"/>
        <v>164518353.45137769</v>
      </c>
      <c r="AA228" s="1535">
        <f t="shared" si="113"/>
        <v>169381894.51787782</v>
      </c>
      <c r="AB228" s="1535">
        <f t="shared" si="113"/>
        <v>174392101.70175916</v>
      </c>
      <c r="AC228" s="1535">
        <f t="shared" si="113"/>
        <v>179553411.13602835</v>
      </c>
      <c r="AD228" s="1535">
        <f t="shared" si="113"/>
        <v>184870393.76377225</v>
      </c>
      <c r="AE228" s="1535">
        <f t="shared" si="113"/>
        <v>190347759.46543378</v>
      </c>
      <c r="AF228" s="1535">
        <f t="shared" si="113"/>
        <v>195990361.31392038</v>
      </c>
      <c r="AG228" s="1535">
        <f t="shared" si="113"/>
        <v>201803199.96157584</v>
      </c>
      <c r="AH228" s="1535">
        <f t="shared" si="113"/>
        <v>207791428.16317618</v>
      </c>
      <c r="AI228" s="1535">
        <f t="shared" si="113"/>
        <v>213960355.43924534</v>
      </c>
      <c r="AJ228" s="1535">
        <f t="shared" si="113"/>
        <v>220315452.88412547</v>
      </c>
      <c r="AK228" s="1535">
        <f t="shared" si="113"/>
        <v>226862358.12338164</v>
      </c>
      <c r="AL228" s="1535">
        <f t="shared" si="113"/>
        <v>233606880.42526788</v>
      </c>
      <c r="AM228" s="1535">
        <f t="shared" si="113"/>
        <v>240555005.97113782</v>
      </c>
      <c r="AN228" s="1535">
        <f t="shared" si="113"/>
        <v>247712903.28984043</v>
      </c>
      <c r="AO228" s="1535">
        <f t="shared" si="113"/>
        <v>139445979.40315044</v>
      </c>
    </row>
    <row r="229" spans="1:41">
      <c r="A229" s="1533" t="s">
        <v>843</v>
      </c>
      <c r="H229" s="1535">
        <f>H146</f>
        <v>13730967.529999999</v>
      </c>
      <c r="I229" s="1534"/>
      <c r="J229" s="1535">
        <f t="shared" ref="J229:AO229" si="114">J146</f>
        <v>14378911.01617533</v>
      </c>
      <c r="K229" s="1535">
        <f t="shared" si="114"/>
        <v>14772420.751147339</v>
      </c>
      <c r="L229" s="1535">
        <f t="shared" si="114"/>
        <v>15414699.664411109</v>
      </c>
      <c r="M229" s="1535">
        <f t="shared" si="114"/>
        <v>16064454.642555257</v>
      </c>
      <c r="N229" s="1535">
        <f t="shared" si="114"/>
        <v>16577894.035784008</v>
      </c>
      <c r="O229" s="1535">
        <f t="shared" si="114"/>
        <v>17157981.435938202</v>
      </c>
      <c r="P229" s="1535">
        <f t="shared" si="114"/>
        <v>17556309.569991738</v>
      </c>
      <c r="Q229" s="1535">
        <f t="shared" si="114"/>
        <v>17772200.630018212</v>
      </c>
      <c r="R229" s="1535">
        <f t="shared" si="114"/>
        <v>17987431.175575204</v>
      </c>
      <c r="S229" s="1535">
        <f t="shared" si="114"/>
        <v>18209934.600168623</v>
      </c>
      <c r="T229" s="1535">
        <f t="shared" si="114"/>
        <v>18444328.539215155</v>
      </c>
      <c r="U229" s="1535">
        <f t="shared" si="114"/>
        <v>18665959.683060635</v>
      </c>
      <c r="V229" s="1535">
        <f t="shared" si="114"/>
        <v>18887524.131911658</v>
      </c>
      <c r="W229" s="1535">
        <f t="shared" si="114"/>
        <v>19116823.178476162</v>
      </c>
      <c r="X229" s="3928">
        <f t="shared" si="114"/>
        <v>19519075.126907885</v>
      </c>
      <c r="Y229" s="1535">
        <f t="shared" si="114"/>
        <v>19956190.999027699</v>
      </c>
      <c r="Z229" s="1535">
        <f t="shared" si="114"/>
        <v>20404670.253091447</v>
      </c>
      <c r="AA229" s="1535">
        <f t="shared" si="114"/>
        <v>21050567.62042506</v>
      </c>
      <c r="AB229" s="1535">
        <f t="shared" si="114"/>
        <v>21527363.1503844</v>
      </c>
      <c r="AC229" s="1535">
        <f t="shared" si="114"/>
        <v>22016579.26417518</v>
      </c>
      <c r="AD229" s="1535">
        <f t="shared" si="114"/>
        <v>22518548.190526202</v>
      </c>
      <c r="AE229" s="1535">
        <f t="shared" si="114"/>
        <v>23033611.220032733</v>
      </c>
      <c r="AF229" s="1535">
        <f t="shared" si="114"/>
        <v>23562118.956087757</v>
      </c>
      <c r="AG229" s="1535">
        <f t="shared" si="114"/>
        <v>24104431.57284686</v>
      </c>
      <c r="AH229" s="1535">
        <f t="shared" si="114"/>
        <v>24884229.044248749</v>
      </c>
      <c r="AI229" s="1535">
        <f t="shared" si="114"/>
        <v>25692148.413356673</v>
      </c>
      <c r="AJ229" s="1535">
        <f t="shared" si="114"/>
        <v>26289789.69670577</v>
      </c>
      <c r="AK229" s="1535">
        <f t="shared" si="114"/>
        <v>26903083.015466131</v>
      </c>
      <c r="AL229" s="1535">
        <f t="shared" si="114"/>
        <v>27532448.728873692</v>
      </c>
      <c r="AM229" s="1535">
        <f t="shared" si="114"/>
        <v>28178318.698409386</v>
      </c>
      <c r="AN229" s="1535">
        <f t="shared" si="114"/>
        <v>28841136.607138265</v>
      </c>
      <c r="AO229" s="1535">
        <f t="shared" si="114"/>
        <v>0</v>
      </c>
    </row>
    <row r="230" spans="1:41">
      <c r="A230" s="1533" t="s">
        <v>614</v>
      </c>
      <c r="H230" s="1535">
        <v>89943529.74720557</v>
      </c>
      <c r="I230" s="1534"/>
      <c r="J230" s="1535">
        <v>85036967.697849035</v>
      </c>
      <c r="K230" s="1535">
        <v>96687809.340349004</v>
      </c>
      <c r="L230" s="1535">
        <v>96424446.212849021</v>
      </c>
      <c r="M230" s="1535">
        <v>104176177.55959903</v>
      </c>
      <c r="N230" s="1535">
        <v>114430526.227624</v>
      </c>
      <c r="O230" s="1535">
        <v>114430526.227624</v>
      </c>
      <c r="P230" s="1535">
        <v>114430526.227624</v>
      </c>
      <c r="Q230" s="1535">
        <v>114430526.227624</v>
      </c>
      <c r="R230" s="1535">
        <v>114430526.227624</v>
      </c>
      <c r="S230" s="1535">
        <v>114430526.227624</v>
      </c>
      <c r="T230" s="1535">
        <v>114430526.227624</v>
      </c>
      <c r="U230" s="1535">
        <v>114430526.227624</v>
      </c>
      <c r="V230" s="1535">
        <v>114430526.227624</v>
      </c>
      <c r="W230" s="1535">
        <v>114430526.227624</v>
      </c>
      <c r="X230" s="3928">
        <v>114430526.227624</v>
      </c>
      <c r="Y230" s="1535">
        <v>114430526.227624</v>
      </c>
      <c r="Z230" s="1535">
        <v>114430526.227624</v>
      </c>
      <c r="AA230" s="1535">
        <v>114430526.227624</v>
      </c>
      <c r="AB230" s="1535">
        <v>114430526.227624</v>
      </c>
      <c r="AC230" s="1535">
        <v>114430526.227624</v>
      </c>
      <c r="AD230" s="1535">
        <v>114430526.227624</v>
      </c>
      <c r="AE230" s="1535">
        <v>114430526.227624</v>
      </c>
      <c r="AF230" s="1535">
        <v>114430526.227624</v>
      </c>
      <c r="AG230" s="1535">
        <v>114430526.227624</v>
      </c>
      <c r="AH230" s="1535">
        <v>114430526.227624</v>
      </c>
      <c r="AI230" s="1535">
        <v>114430526.227624</v>
      </c>
      <c r="AJ230" s="1535">
        <v>114430526.227624</v>
      </c>
      <c r="AK230" s="1535">
        <v>114430526.227624</v>
      </c>
      <c r="AL230" s="1535">
        <v>114430526.227624</v>
      </c>
      <c r="AM230" s="1535">
        <v>114430526.227624</v>
      </c>
      <c r="AN230" s="1535">
        <v>114430526.227624</v>
      </c>
      <c r="AO230" s="1535">
        <v>114430526.227624</v>
      </c>
    </row>
    <row r="231" spans="1:41">
      <c r="A231" s="1533" t="s">
        <v>2199</v>
      </c>
      <c r="H231" s="1535">
        <f>H158</f>
        <v>-55640876.630000003</v>
      </c>
      <c r="I231" s="1534"/>
      <c r="J231" s="1535">
        <f t="shared" ref="J231:AO232" si="115">J158</f>
        <v>-64012023.615486041</v>
      </c>
      <c r="K231" s="1535">
        <f t="shared" si="115"/>
        <v>-50287769.335042104</v>
      </c>
      <c r="L231" s="1535">
        <f t="shared" si="115"/>
        <v>-47696710.041316852</v>
      </c>
      <c r="M231" s="1535">
        <f t="shared" si="115"/>
        <v>-45797856.155507594</v>
      </c>
      <c r="N231" s="1535">
        <f t="shared" si="115"/>
        <v>-42826114.727333158</v>
      </c>
      <c r="O231" s="1535">
        <f t="shared" si="115"/>
        <v>-41695282.308202237</v>
      </c>
      <c r="P231" s="1535">
        <f t="shared" si="115"/>
        <v>-40950608.385145001</v>
      </c>
      <c r="Q231" s="1535">
        <f t="shared" si="115"/>
        <v>-39043621.87753465</v>
      </c>
      <c r="R231" s="1535">
        <f t="shared" si="115"/>
        <v>-38407408.823920503</v>
      </c>
      <c r="S231" s="1535">
        <f t="shared" si="115"/>
        <v>-36221942.401171982</v>
      </c>
      <c r="T231" s="1535">
        <f t="shared" si="115"/>
        <v>-35845277.633717775</v>
      </c>
      <c r="U231" s="1535">
        <f t="shared" si="115"/>
        <v>-34986823.657224029</v>
      </c>
      <c r="V231" s="1535">
        <f t="shared" si="115"/>
        <v>-34133384.406057969</v>
      </c>
      <c r="W231" s="1535">
        <f t="shared" si="115"/>
        <v>-32539916.926344834</v>
      </c>
      <c r="X231" s="3928">
        <f t="shared" si="115"/>
        <v>-32312778.622354425</v>
      </c>
      <c r="Y231" s="1535">
        <f t="shared" si="115"/>
        <v>-31391193.371294621</v>
      </c>
      <c r="Z231" s="1535">
        <f t="shared" si="115"/>
        <v>-30492209.579666588</v>
      </c>
      <c r="AA231" s="1535">
        <f t="shared" si="115"/>
        <v>-28897022.551562566</v>
      </c>
      <c r="AB231" s="1535">
        <f t="shared" si="115"/>
        <v>-27500592.801006179</v>
      </c>
      <c r="AC231" s="1535">
        <f t="shared" si="115"/>
        <v>-26331281.299959905</v>
      </c>
      <c r="AD231" s="1535">
        <f t="shared" si="115"/>
        <v>-25319532.069376234</v>
      </c>
      <c r="AE231" s="1535">
        <f t="shared" si="115"/>
        <v>-24188159.218491159</v>
      </c>
      <c r="AF231" s="1535">
        <f t="shared" si="115"/>
        <v>-22821809.725038674</v>
      </c>
      <c r="AG231" s="1535">
        <f t="shared" si="115"/>
        <v>-21814900.662838683</v>
      </c>
      <c r="AH231" s="1535">
        <f t="shared" si="115"/>
        <v>-20243451.358009625</v>
      </c>
      <c r="AI231" s="1535">
        <f t="shared" si="115"/>
        <v>-19288898.599923927</v>
      </c>
      <c r="AJ231" s="1535">
        <f t="shared" si="115"/>
        <v>-16996498.905332286</v>
      </c>
      <c r="AK231" s="1535">
        <f t="shared" si="115"/>
        <v>-15997644.631638967</v>
      </c>
      <c r="AL231" s="1535">
        <f t="shared" si="115"/>
        <v>-14772109.639298294</v>
      </c>
      <c r="AM231" s="1535">
        <f t="shared" si="115"/>
        <v>-12797389.223112917</v>
      </c>
      <c r="AN231" s="1535">
        <f t="shared" si="115"/>
        <v>-10592967.043421675</v>
      </c>
      <c r="AO231" s="1535">
        <f t="shared" si="115"/>
        <v>-3491780.152839493</v>
      </c>
    </row>
    <row r="232" spans="1:41">
      <c r="A232" s="1533" t="s">
        <v>2200</v>
      </c>
      <c r="H232" s="1535">
        <f>H159</f>
        <v>-48728394.439999998</v>
      </c>
      <c r="I232" s="1534"/>
      <c r="J232" s="1535">
        <f t="shared" si="115"/>
        <v>-33407178.903999999</v>
      </c>
      <c r="K232" s="1535">
        <f t="shared" si="115"/>
        <v>-65789791.609670125</v>
      </c>
      <c r="L232" s="1535">
        <f t="shared" si="115"/>
        <v>-65416426.377415031</v>
      </c>
      <c r="M232" s="1535">
        <f t="shared" si="115"/>
        <v>-60368167.713239789</v>
      </c>
      <c r="N232" s="1535">
        <f t="shared" si="115"/>
        <v>-56719545.871171281</v>
      </c>
      <c r="O232" s="1535">
        <f t="shared" si="115"/>
        <v>-58477554.197983056</v>
      </c>
      <c r="P232" s="1535">
        <f t="shared" si="115"/>
        <v>-60378956.12610285</v>
      </c>
      <c r="Q232" s="1535">
        <f t="shared" si="115"/>
        <v>-62170297.417495653</v>
      </c>
      <c r="R232" s="1535">
        <f t="shared" si="115"/>
        <v>-64128235.310547382</v>
      </c>
      <c r="S232" s="1535">
        <f t="shared" si="115"/>
        <v>-66139187.772661746</v>
      </c>
      <c r="T232" s="1535">
        <f t="shared" si="115"/>
        <v>-68220066.624721512</v>
      </c>
      <c r="U232" s="1535">
        <f t="shared" si="115"/>
        <v>-70350128.472575486</v>
      </c>
      <c r="V232" s="1535">
        <f t="shared" si="115"/>
        <v>-72554088.890167356</v>
      </c>
      <c r="W232" s="1535">
        <f t="shared" si="115"/>
        <v>-74817398.76225093</v>
      </c>
      <c r="X232" s="3928">
        <f t="shared" si="115"/>
        <v>-77215024.752734482</v>
      </c>
      <c r="Y232" s="1535">
        <f t="shared" si="115"/>
        <v>-79618647.537678882</v>
      </c>
      <c r="Z232" s="1535">
        <f t="shared" si="115"/>
        <v>-82123667.034528732</v>
      </c>
      <c r="AA232" s="1535">
        <f t="shared" si="115"/>
        <v>-84705504.846332774</v>
      </c>
      <c r="AB232" s="1535">
        <f t="shared" si="115"/>
        <v>-87366497.763750374</v>
      </c>
      <c r="AC232" s="1535">
        <f t="shared" si="115"/>
        <v>-90109052.995441169</v>
      </c>
      <c r="AD232" s="1535">
        <f t="shared" si="115"/>
        <v>-92935650.265694231</v>
      </c>
      <c r="AE232" s="1535">
        <f t="shared" si="115"/>
        <v>-95848843.973641515</v>
      </c>
      <c r="AF232" s="1535">
        <f t="shared" si="115"/>
        <v>-98851265.415830672</v>
      </c>
      <c r="AG232" s="1535">
        <f t="shared" si="115"/>
        <v>-101945625.0739816</v>
      </c>
      <c r="AH232" s="1535">
        <f t="shared" si="115"/>
        <v>-105134714.96980104</v>
      </c>
      <c r="AI232" s="1535">
        <f t="shared" si="115"/>
        <v>-108421411.08878389</v>
      </c>
      <c r="AJ232" s="1535">
        <f t="shared" si="115"/>
        <v>-111808675.87498474</v>
      </c>
      <c r="AK232" s="1535">
        <f t="shared" si="115"/>
        <v>-115299560.79879504</v>
      </c>
      <c r="AL232" s="1535">
        <f t="shared" si="115"/>
        <v>-118897208.99982171</v>
      </c>
      <c r="AM232" s="1535">
        <f t="shared" si="115"/>
        <v>-122604858.00701983</v>
      </c>
      <c r="AN232" s="1535">
        <f t="shared" si="115"/>
        <v>-126425842.53829259</v>
      </c>
      <c r="AO232" s="1535">
        <f t="shared" si="115"/>
        <v>-130363597.38183437</v>
      </c>
    </row>
    <row r="233" spans="1:41">
      <c r="A233" s="1533" t="s">
        <v>2201</v>
      </c>
      <c r="H233" s="1535">
        <f>-H180</f>
        <v>-11966255.630000001</v>
      </c>
      <c r="I233" s="1534"/>
      <c r="J233" s="1535">
        <f t="shared" ref="J233:AO233" si="116">-J180</f>
        <v>-26929447.538589526</v>
      </c>
      <c r="K233" s="1535">
        <f t="shared" si="116"/>
        <v>-14616855.670935536</v>
      </c>
      <c r="L233" s="1535">
        <f t="shared" si="116"/>
        <v>-19803543.492444742</v>
      </c>
      <c r="M233" s="1535">
        <f t="shared" si="116"/>
        <v>-11613574.382100558</v>
      </c>
      <c r="N233" s="1535">
        <f t="shared" si="116"/>
        <v>-3744649.6412778571</v>
      </c>
      <c r="O233" s="1535">
        <f t="shared" si="116"/>
        <v>-2291704.0001661079</v>
      </c>
      <c r="P233" s="1535">
        <f t="shared" si="116"/>
        <v>-2302016.6681668554</v>
      </c>
      <c r="Q233" s="1535">
        <f t="shared" si="116"/>
        <v>-2312375.7431736062</v>
      </c>
      <c r="R233" s="1535">
        <f t="shared" si="116"/>
        <v>-2322781.4340178873</v>
      </c>
      <c r="S233" s="1535">
        <f t="shared" si="116"/>
        <v>-2333233.9504709677</v>
      </c>
      <c r="T233" s="1535">
        <f t="shared" si="116"/>
        <v>-2343733.5032480871</v>
      </c>
      <c r="U233" s="1535">
        <f t="shared" si="116"/>
        <v>-2354280.3040127032</v>
      </c>
      <c r="V233" s="1535">
        <f t="shared" si="116"/>
        <v>-2364874.5653807605</v>
      </c>
      <c r="W233" s="1535">
        <f t="shared" si="116"/>
        <v>-2375516.5009249737</v>
      </c>
      <c r="X233" s="3928">
        <f t="shared" si="116"/>
        <v>-2386206.3251791359</v>
      </c>
      <c r="Y233" s="1535">
        <f t="shared" si="116"/>
        <v>-2396944.2536424417</v>
      </c>
      <c r="Z233" s="1535">
        <f t="shared" si="116"/>
        <v>-2407730.5027838326</v>
      </c>
      <c r="AA233" s="1535">
        <f t="shared" si="116"/>
        <v>-2418565.2900463599</v>
      </c>
      <c r="AB233" s="1535">
        <f t="shared" si="116"/>
        <v>-2429448.8338515684</v>
      </c>
      <c r="AC233" s="1535">
        <f t="shared" si="116"/>
        <v>-2440381.3536039004</v>
      </c>
      <c r="AD233" s="1535">
        <f t="shared" si="116"/>
        <v>-2451363.0696951179</v>
      </c>
      <c r="AE233" s="1535">
        <f t="shared" si="116"/>
        <v>-2462394.2035087459</v>
      </c>
      <c r="AF233" s="1535">
        <f t="shared" si="116"/>
        <v>-2473474.977424535</v>
      </c>
      <c r="AG233" s="1535">
        <f t="shared" si="116"/>
        <v>-2484605.6148229451</v>
      </c>
      <c r="AH233" s="1535">
        <f t="shared" si="116"/>
        <v>-2495786.340089648</v>
      </c>
      <c r="AI233" s="1535">
        <f t="shared" si="116"/>
        <v>-2507017.3786200513</v>
      </c>
      <c r="AJ233" s="1535">
        <f t="shared" si="116"/>
        <v>-2518298.9568238412</v>
      </c>
      <c r="AK233" s="1535">
        <f t="shared" si="116"/>
        <v>-2529631.3021295485</v>
      </c>
      <c r="AL233" s="1535">
        <f t="shared" si="116"/>
        <v>-2541014.6429891312</v>
      </c>
      <c r="AM233" s="1535">
        <f t="shared" si="116"/>
        <v>-2552449.2088825819</v>
      </c>
      <c r="AN233" s="1535">
        <f t="shared" si="116"/>
        <v>-2563935.2303225533</v>
      </c>
      <c r="AO233" s="1535">
        <f t="shared" si="116"/>
        <v>-2575473.9388590045</v>
      </c>
    </row>
    <row r="234" spans="1:41">
      <c r="A234" s="1536" t="s">
        <v>2202</v>
      </c>
      <c r="H234" s="1535">
        <f>SUM(H228:H233)</f>
        <v>94009160.517205596</v>
      </c>
      <c r="I234" s="1534"/>
      <c r="J234" s="1535">
        <f t="shared" ref="J234:AO234" si="117">SUM(J228:J233)</f>
        <v>102845806.86550283</v>
      </c>
      <c r="K234" s="1535">
        <f t="shared" si="117"/>
        <v>91544174.604918957</v>
      </c>
      <c r="L234" s="1535">
        <f t="shared" si="117"/>
        <v>89993588.277055129</v>
      </c>
      <c r="M234" s="1535">
        <f t="shared" si="117"/>
        <v>116853666.1445151</v>
      </c>
      <c r="N234" s="1535">
        <f t="shared" si="117"/>
        <v>145549376.38672072</v>
      </c>
      <c r="O234" s="1535">
        <f t="shared" si="117"/>
        <v>148678099.90042979</v>
      </c>
      <c r="P234" s="1535">
        <f t="shared" si="117"/>
        <v>151417607.66912577</v>
      </c>
      <c r="Q234" s="1535">
        <f t="shared" si="117"/>
        <v>155352707.72024149</v>
      </c>
      <c r="R234" s="1535">
        <f t="shared" si="117"/>
        <v>157958625.86459181</v>
      </c>
      <c r="S234" s="1535">
        <f t="shared" si="117"/>
        <v>162180193.69156992</v>
      </c>
      <c r="T234" s="1535">
        <f t="shared" si="117"/>
        <v>164650451.09717435</v>
      </c>
      <c r="U234" s="1535">
        <f t="shared" si="117"/>
        <v>167659570.94662276</v>
      </c>
      <c r="V234" s="1535">
        <f t="shared" si="117"/>
        <v>170712327.69729191</v>
      </c>
      <c r="W234" s="1535">
        <f t="shared" si="117"/>
        <v>174579821.76096389</v>
      </c>
      <c r="X234" s="3928">
        <f t="shared" si="117"/>
        <v>177249766.94322616</v>
      </c>
      <c r="Y234" s="1535">
        <f t="shared" si="117"/>
        <v>180777105.24002141</v>
      </c>
      <c r="Z234" s="1535">
        <f t="shared" si="117"/>
        <v>184329942.81511396</v>
      </c>
      <c r="AA234" s="1535">
        <f t="shared" si="117"/>
        <v>188841895.67798516</v>
      </c>
      <c r="AB234" s="1535">
        <f t="shared" si="117"/>
        <v>193053451.68115944</v>
      </c>
      <c r="AC234" s="1535">
        <f t="shared" si="117"/>
        <v>197119800.97882256</v>
      </c>
      <c r="AD234" s="1535">
        <f t="shared" si="117"/>
        <v>201112922.77715686</v>
      </c>
      <c r="AE234" s="1535">
        <f t="shared" si="117"/>
        <v>205312499.51744908</v>
      </c>
      <c r="AF234" s="1535">
        <f t="shared" si="117"/>
        <v>209836456.37933829</v>
      </c>
      <c r="AG234" s="1535">
        <f t="shared" si="117"/>
        <v>214093026.41040346</v>
      </c>
      <c r="AH234" s="1535">
        <f t="shared" si="117"/>
        <v>219232230.76714861</v>
      </c>
      <c r="AI234" s="1535">
        <f t="shared" si="117"/>
        <v>223865703.01289815</v>
      </c>
      <c r="AJ234" s="1535">
        <f t="shared" si="117"/>
        <v>229712295.07131436</v>
      </c>
      <c r="AK234" s="1535">
        <f t="shared" si="117"/>
        <v>234369130.63390824</v>
      </c>
      <c r="AL234" s="1535">
        <f t="shared" si="117"/>
        <v>239359522.09965643</v>
      </c>
      <c r="AM234" s="1535">
        <f t="shared" si="117"/>
        <v>245209154.45815587</v>
      </c>
      <c r="AN234" s="1535">
        <f t="shared" si="117"/>
        <v>251401821.31256586</v>
      </c>
      <c r="AO234" s="1535">
        <f t="shared" si="117"/>
        <v>117445654.15724158</v>
      </c>
    </row>
    <row r="235" spans="1:41">
      <c r="A235" s="1533"/>
      <c r="H235" s="1539"/>
      <c r="I235" s="1538"/>
      <c r="J235" s="1539"/>
      <c r="K235" s="1539"/>
      <c r="L235" s="1539"/>
      <c r="M235" s="1539"/>
      <c r="N235" s="1539"/>
      <c r="O235" s="1539"/>
      <c r="P235" s="1539"/>
      <c r="Q235" s="1539"/>
      <c r="R235" s="1539"/>
      <c r="S235" s="1539"/>
      <c r="T235" s="1539"/>
      <c r="U235" s="1539"/>
      <c r="V235" s="1539"/>
      <c r="W235" s="1539"/>
      <c r="X235" s="3946"/>
      <c r="Y235" s="1539"/>
      <c r="Z235" s="1539"/>
      <c r="AA235" s="1539"/>
      <c r="AB235" s="1539"/>
      <c r="AC235" s="1539"/>
      <c r="AD235" s="1539"/>
      <c r="AE235" s="1539"/>
      <c r="AF235" s="1539"/>
      <c r="AG235" s="1539"/>
      <c r="AH235" s="1539"/>
      <c r="AI235" s="1539"/>
      <c r="AJ235" s="1539"/>
      <c r="AK235" s="1539"/>
      <c r="AL235" s="1539"/>
      <c r="AM235" s="1539"/>
      <c r="AN235" s="1539"/>
      <c r="AO235" s="1539"/>
    </row>
    <row r="236" spans="1:41">
      <c r="A236" s="1533" t="s">
        <v>2203</v>
      </c>
      <c r="H236" s="1535">
        <f>H51+H52+H53+H54</f>
        <v>149504990.75999999</v>
      </c>
      <c r="I236" s="1534"/>
      <c r="J236" s="1535">
        <f t="shared" ref="J236:AO236" si="118">J51+J52+J53+J54</f>
        <v>161524036.11405283</v>
      </c>
      <c r="K236" s="1535">
        <f t="shared" si="118"/>
        <v>168726615.20571935</v>
      </c>
      <c r="L236" s="1535">
        <f t="shared" si="118"/>
        <v>177997510.24653867</v>
      </c>
      <c r="M236" s="1535">
        <f t="shared" si="118"/>
        <v>187386803.45426491</v>
      </c>
      <c r="N236" s="1535">
        <f t="shared" si="118"/>
        <v>196550891.65586215</v>
      </c>
      <c r="O236" s="1535">
        <f t="shared" si="118"/>
        <v>203647889.79042515</v>
      </c>
      <c r="P236" s="1535">
        <f t="shared" si="118"/>
        <v>209149207.42098773</v>
      </c>
      <c r="Q236" s="1535">
        <f t="shared" si="118"/>
        <v>212113413.73899156</v>
      </c>
      <c r="R236" s="1535">
        <f t="shared" si="118"/>
        <v>215042067.56080231</v>
      </c>
      <c r="S236" s="1535">
        <f t="shared" si="118"/>
        <v>218081690.32934183</v>
      </c>
      <c r="T236" s="1535">
        <f t="shared" si="118"/>
        <v>221293224.80916998</v>
      </c>
      <c r="U236" s="1535">
        <f t="shared" si="118"/>
        <v>224314150.64087164</v>
      </c>
      <c r="V236" s="1535">
        <f t="shared" si="118"/>
        <v>227311381.79284027</v>
      </c>
      <c r="W236" s="1535">
        <f t="shared" si="118"/>
        <v>230426886.45785108</v>
      </c>
      <c r="X236" s="3928">
        <f t="shared" si="118"/>
        <v>235859272.83482766</v>
      </c>
      <c r="Y236" s="1535">
        <f t="shared" si="118"/>
        <v>241770440.96126226</v>
      </c>
      <c r="Z236" s="1535">
        <f t="shared" si="118"/>
        <v>247836422.34880295</v>
      </c>
      <c r="AA236" s="1535">
        <f t="shared" si="118"/>
        <v>256576859.88776231</v>
      </c>
      <c r="AB236" s="1535">
        <f t="shared" si="118"/>
        <v>263028384.07636872</v>
      </c>
      <c r="AC236" s="1535">
        <f t="shared" si="118"/>
        <v>269649282.55268699</v>
      </c>
      <c r="AD236" s="1535">
        <f t="shared" si="118"/>
        <v>276444140.39010352</v>
      </c>
      <c r="AE236" s="1535">
        <f t="shared" si="118"/>
        <v>283417669.52965665</v>
      </c>
      <c r="AF236" s="1535">
        <f t="shared" si="118"/>
        <v>290574712.34721345</v>
      </c>
      <c r="AG236" s="1535">
        <f t="shared" si="118"/>
        <v>297920245.32217604</v>
      </c>
      <c r="AH236" s="1535">
        <f t="shared" si="118"/>
        <v>308483733.13549465</v>
      </c>
      <c r="AI236" s="1535">
        <f t="shared" si="118"/>
        <v>319430011.87667328</v>
      </c>
      <c r="AJ236" s="1535">
        <f t="shared" si="118"/>
        <v>327530323.5446167</v>
      </c>
      <c r="AK236" s="1535">
        <f t="shared" si="118"/>
        <v>335844624.72112662</v>
      </c>
      <c r="AL236" s="1535">
        <f t="shared" si="118"/>
        <v>344378734.7417807</v>
      </c>
      <c r="AM236" s="1535">
        <f t="shared" si="118"/>
        <v>353138634.5120312</v>
      </c>
      <c r="AN236" s="1535">
        <f t="shared" si="118"/>
        <v>362130471.06210572</v>
      </c>
      <c r="AO236" s="1535">
        <f t="shared" si="118"/>
        <v>371360562.23182446</v>
      </c>
    </row>
    <row r="237" spans="1:41">
      <c r="A237" s="1533" t="s">
        <v>2204</v>
      </c>
      <c r="H237" s="1535">
        <f>H56+H57</f>
        <v>5918708.5</v>
      </c>
      <c r="I237" s="1534"/>
      <c r="J237" s="1535">
        <f t="shared" ref="J237:AO237" si="119">J56+J57</f>
        <v>5803238.0730125001</v>
      </c>
      <c r="K237" s="1535">
        <f t="shared" si="119"/>
        <v>5868047.6207576869</v>
      </c>
      <c r="L237" s="1535">
        <f t="shared" si="119"/>
        <v>5933606.9214855516</v>
      </c>
      <c r="M237" s="1535">
        <f t="shared" si="119"/>
        <v>5999924.9975885004</v>
      </c>
      <c r="N237" s="1535">
        <f t="shared" si="119"/>
        <v>6067010.9845557995</v>
      </c>
      <c r="O237" s="1535">
        <f t="shared" si="119"/>
        <v>6134874.1324476423</v>
      </c>
      <c r="P237" s="1535">
        <f t="shared" si="119"/>
        <v>6203523.8073890982</v>
      </c>
      <c r="Q237" s="1535">
        <f t="shared" si="119"/>
        <v>6272969.4930842239</v>
      </c>
      <c r="R237" s="1535">
        <f t="shared" si="119"/>
        <v>6343220.7923506182</v>
      </c>
      <c r="S237" s="1535">
        <f t="shared" si="119"/>
        <v>6414287.42867471</v>
      </c>
      <c r="T237" s="1535">
        <f t="shared" si="119"/>
        <v>6486179.2477880521</v>
      </c>
      <c r="U237" s="1535">
        <f t="shared" si="119"/>
        <v>6558906.2192649264</v>
      </c>
      <c r="V237" s="1535">
        <f t="shared" si="119"/>
        <v>6632478.4381415546</v>
      </c>
      <c r="W237" s="1535">
        <f t="shared" si="119"/>
        <v>6706906.1265572086</v>
      </c>
      <c r="X237" s="3928">
        <f t="shared" si="119"/>
        <v>6782199.6354175322</v>
      </c>
      <c r="Y237" s="1535">
        <f t="shared" si="119"/>
        <v>6858369.4460803811</v>
      </c>
      <c r="Z237" s="1535">
        <f t="shared" si="119"/>
        <v>6935426.1720644878</v>
      </c>
      <c r="AA237" s="1535">
        <f t="shared" si="119"/>
        <v>7013380.5607812861</v>
      </c>
      <c r="AB237" s="1535">
        <f t="shared" si="119"/>
        <v>7092243.4952901937</v>
      </c>
      <c r="AC237" s="1535">
        <f t="shared" si="119"/>
        <v>7172025.996077707</v>
      </c>
      <c r="AD237" s="1535">
        <f t="shared" si="119"/>
        <v>7252739.2228606138</v>
      </c>
      <c r="AE237" s="1535">
        <f t="shared" si="119"/>
        <v>7334394.476413684</v>
      </c>
      <c r="AF237" s="1535">
        <f t="shared" si="119"/>
        <v>7417003.2004221501</v>
      </c>
      <c r="AG237" s="1535">
        <f t="shared" si="119"/>
        <v>7500576.9833593657</v>
      </c>
      <c r="AH237" s="1535">
        <f t="shared" si="119"/>
        <v>7585127.560389949</v>
      </c>
      <c r="AI237" s="1535">
        <f t="shared" si="119"/>
        <v>7670666.8152987929</v>
      </c>
      <c r="AJ237" s="1535">
        <f t="shared" si="119"/>
        <v>7757206.7824462987</v>
      </c>
      <c r="AK237" s="1535">
        <f t="shared" si="119"/>
        <v>7844759.6487501981</v>
      </c>
      <c r="AL237" s="1535">
        <f t="shared" si="119"/>
        <v>7933337.7556943279</v>
      </c>
      <c r="AM237" s="1535">
        <f t="shared" si="119"/>
        <v>8022953.6013647486</v>
      </c>
      <c r="AN237" s="1535">
        <f t="shared" si="119"/>
        <v>8113619.8425135761</v>
      </c>
      <c r="AO237" s="1535">
        <f t="shared" si="119"/>
        <v>8205349.2966509182</v>
      </c>
    </row>
    <row r="238" spans="1:41">
      <c r="A238" s="1533" t="s">
        <v>2205</v>
      </c>
      <c r="H238" s="1535">
        <v>0</v>
      </c>
      <c r="I238" s="1534"/>
      <c r="J238" s="1535">
        <v>0</v>
      </c>
      <c r="K238" s="1535">
        <v>3888099.4584735483</v>
      </c>
      <c r="L238" s="1535">
        <v>18000000</v>
      </c>
      <c r="M238" s="1535">
        <v>16143462.099263415</v>
      </c>
      <c r="N238" s="1535">
        <v>16605144.59746021</v>
      </c>
      <c r="O238" s="1535">
        <v>16605144.59746021</v>
      </c>
      <c r="P238" s="1535">
        <v>16605144.59746021</v>
      </c>
      <c r="Q238" s="1535">
        <v>16605144.59746021</v>
      </c>
      <c r="R238" s="1535">
        <v>16605144.59746021</v>
      </c>
      <c r="S238" s="1535">
        <v>16605144.59746021</v>
      </c>
      <c r="T238" s="1535">
        <v>16605144.59746021</v>
      </c>
      <c r="U238" s="1535">
        <v>16605144.59746021</v>
      </c>
      <c r="V238" s="1535">
        <v>16605144.59746021</v>
      </c>
      <c r="W238" s="1535">
        <v>16605144.59746021</v>
      </c>
      <c r="X238" s="3928">
        <v>16605144.59746021</v>
      </c>
      <c r="Y238" s="1535">
        <v>16605144.59746021</v>
      </c>
      <c r="Z238" s="1535">
        <v>16605144.59746021</v>
      </c>
      <c r="AA238" s="1535">
        <v>16605144.59746021</v>
      </c>
      <c r="AB238" s="1535">
        <v>16605144.59746021</v>
      </c>
      <c r="AC238" s="1535">
        <v>16605144.59746021</v>
      </c>
      <c r="AD238" s="1535">
        <v>16605144.59746021</v>
      </c>
      <c r="AE238" s="1535">
        <v>16605144.59746021</v>
      </c>
      <c r="AF238" s="1535">
        <v>16605144.59746021</v>
      </c>
      <c r="AG238" s="1535">
        <v>16605144.59746021</v>
      </c>
      <c r="AH238" s="1535">
        <v>16605144.59746021</v>
      </c>
      <c r="AI238" s="1535">
        <v>16605144.59746021</v>
      </c>
      <c r="AJ238" s="1535">
        <v>16605144.59746021</v>
      </c>
      <c r="AK238" s="1535">
        <v>16605144.59746021</v>
      </c>
      <c r="AL238" s="1535">
        <v>16605144.59746021</v>
      </c>
      <c r="AM238" s="1535">
        <v>16605144.59746021</v>
      </c>
      <c r="AN238" s="1535">
        <v>16605144.59746021</v>
      </c>
      <c r="AO238" s="1535">
        <v>16605144.59746021</v>
      </c>
    </row>
  </sheetData>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pageSetUpPr fitToPage="1"/>
  </sheetPr>
  <dimension ref="A1:AK174"/>
  <sheetViews>
    <sheetView topLeftCell="E4" zoomScale="85" zoomScaleNormal="85" workbookViewId="0">
      <selection activeCell="V10" sqref="V10"/>
    </sheetView>
  </sheetViews>
  <sheetFormatPr defaultRowHeight="15"/>
  <cols>
    <col min="1" max="1" width="16.875" style="3958" customWidth="1"/>
    <col min="2" max="2" width="34.875" style="3959" customWidth="1"/>
    <col min="3" max="3" width="43.75" style="3959" hidden="1" customWidth="1"/>
    <col min="4" max="4" width="7.875" style="4082" customWidth="1"/>
    <col min="5" max="5" width="12.625" style="3959" customWidth="1"/>
    <col min="6" max="6" width="11.25" style="3959" customWidth="1"/>
    <col min="7" max="7" width="11.5" style="3129" customWidth="1"/>
    <col min="8" max="8" width="11.5" style="4192" customWidth="1"/>
    <col min="9" max="9" width="11.5" style="3129" customWidth="1"/>
    <col min="10" max="10" width="11.5" style="4194" customWidth="1"/>
    <col min="11" max="15" width="11.5" style="3129" customWidth="1"/>
    <col min="16" max="21" width="12" style="3129" customWidth="1"/>
    <col min="22" max="22" width="12" style="3957" customWidth="1"/>
    <col min="23" max="23" width="14.75" style="3958" bestFit="1" customWidth="1"/>
    <col min="24" max="24" width="11.875" style="3958" customWidth="1"/>
    <col min="25" max="30" width="9" style="3958"/>
    <col min="31" max="31" width="12" style="3958" bestFit="1" customWidth="1"/>
    <col min="32" max="16384" width="9" style="3958"/>
  </cols>
  <sheetData>
    <row r="1" spans="1:22">
      <c r="A1" s="4042" t="s">
        <v>2181</v>
      </c>
      <c r="B1" s="4224" t="s">
        <v>3971</v>
      </c>
    </row>
    <row r="2" spans="1:22">
      <c r="A2" s="4042" t="s">
        <v>3976</v>
      </c>
      <c r="B2" s="4224" t="s">
        <v>3499</v>
      </c>
    </row>
    <row r="4" spans="1:22" s="3950" customFormat="1" ht="33.75" customHeight="1">
      <c r="A4" s="3695" t="s">
        <v>3830</v>
      </c>
      <c r="B4" s="3695"/>
      <c r="C4" s="3695"/>
      <c r="D4" s="3948"/>
      <c r="E4" s="3948" t="s">
        <v>3885</v>
      </c>
      <c r="F4" s="3948" t="s">
        <v>3831</v>
      </c>
      <c r="G4" s="3948" t="s">
        <v>3886</v>
      </c>
      <c r="H4" s="3948" t="s">
        <v>3887</v>
      </c>
      <c r="I4" s="3948" t="s">
        <v>3888</v>
      </c>
      <c r="J4" s="3695"/>
      <c r="K4" s="3948" t="s">
        <v>3889</v>
      </c>
      <c r="L4" s="3948" t="s">
        <v>3889</v>
      </c>
      <c r="M4" s="3948" t="s">
        <v>3889</v>
      </c>
      <c r="N4" s="3948" t="s">
        <v>3889</v>
      </c>
      <c r="O4" s="3948" t="s">
        <v>3889</v>
      </c>
      <c r="P4" s="3948" t="s">
        <v>3889</v>
      </c>
      <c r="Q4" s="3948" t="s">
        <v>3889</v>
      </c>
      <c r="R4" s="3948" t="s">
        <v>3889</v>
      </c>
      <c r="S4" s="3948" t="s">
        <v>3889</v>
      </c>
      <c r="T4" s="3948" t="s">
        <v>3889</v>
      </c>
      <c r="U4" s="3948" t="s">
        <v>3889</v>
      </c>
      <c r="V4" s="3949"/>
    </row>
    <row r="5" spans="1:22" ht="15.75" customHeight="1">
      <c r="A5" s="3695"/>
      <c r="B5" s="3951"/>
      <c r="C5" s="3951"/>
      <c r="D5" s="3952"/>
      <c r="E5" s="3953" t="s">
        <v>1959</v>
      </c>
      <c r="F5" s="3953" t="s">
        <v>1959</v>
      </c>
      <c r="G5" s="3954" t="s">
        <v>1959</v>
      </c>
      <c r="H5" s="3955" t="s">
        <v>1960</v>
      </c>
      <c r="I5" s="3954" t="s">
        <v>1956</v>
      </c>
      <c r="J5" s="3956" t="s">
        <v>1960</v>
      </c>
    </row>
    <row r="6" spans="1:22" ht="15.75" customHeight="1">
      <c r="A6" s="3695"/>
      <c r="D6" s="3952"/>
      <c r="E6" s="3954">
        <v>2012</v>
      </c>
      <c r="F6" s="3954">
        <v>2013</v>
      </c>
      <c r="G6" s="3954">
        <v>2014</v>
      </c>
      <c r="H6" s="3955">
        <v>2015</v>
      </c>
      <c r="I6" s="3954">
        <v>2015</v>
      </c>
      <c r="J6" s="3956">
        <v>2016</v>
      </c>
      <c r="K6" s="3490">
        <v>2016</v>
      </c>
      <c r="L6" s="3490">
        <f>K6+1</f>
        <v>2017</v>
      </c>
      <c r="M6" s="3490">
        <f>L6+1</f>
        <v>2018</v>
      </c>
      <c r="N6" s="3490">
        <f t="shared" ref="N6:V6" si="0">M6+1</f>
        <v>2019</v>
      </c>
      <c r="O6" s="3490">
        <f t="shared" si="0"/>
        <v>2020</v>
      </c>
      <c r="P6" s="3490">
        <f t="shared" si="0"/>
        <v>2021</v>
      </c>
      <c r="Q6" s="3490">
        <f t="shared" si="0"/>
        <v>2022</v>
      </c>
      <c r="R6" s="3490">
        <f t="shared" si="0"/>
        <v>2023</v>
      </c>
      <c r="S6" s="3490">
        <f t="shared" si="0"/>
        <v>2024</v>
      </c>
      <c r="T6" s="3490">
        <f t="shared" si="0"/>
        <v>2025</v>
      </c>
      <c r="U6" s="3490">
        <f t="shared" si="0"/>
        <v>2026</v>
      </c>
      <c r="V6" s="3960">
        <f t="shared" si="0"/>
        <v>2027</v>
      </c>
    </row>
    <row r="7" spans="1:22" ht="24" customHeight="1">
      <c r="A7" s="3695"/>
      <c r="B7" s="3961" t="s">
        <v>1962</v>
      </c>
      <c r="C7" s="3961"/>
      <c r="D7" s="3952"/>
      <c r="E7" s="3962"/>
      <c r="F7" s="3963"/>
      <c r="G7" s="3964"/>
      <c r="H7" s="3965"/>
      <c r="I7" s="3964"/>
      <c r="J7" s="3966"/>
      <c r="K7" s="3967"/>
    </row>
    <row r="8" spans="1:22" ht="15.75" customHeight="1">
      <c r="A8" s="3695"/>
      <c r="B8" s="3968" t="s">
        <v>717</v>
      </c>
      <c r="C8" s="3968"/>
      <c r="D8" s="3952" t="s">
        <v>1963</v>
      </c>
      <c r="E8" s="3969"/>
      <c r="F8" s="3969"/>
      <c r="G8" s="3969"/>
      <c r="H8" s="3970"/>
      <c r="I8" s="3969"/>
      <c r="J8" s="3971"/>
    </row>
    <row r="9" spans="1:22" ht="15.75" customHeight="1">
      <c r="A9" s="3695" t="s">
        <v>3890</v>
      </c>
      <c r="B9" s="3972" t="s">
        <v>1964</v>
      </c>
      <c r="C9" s="3972"/>
      <c r="D9" s="3973" t="s">
        <v>1965</v>
      </c>
      <c r="E9" s="3947">
        <v>72070265</v>
      </c>
      <c r="F9" s="3947">
        <v>120111176</v>
      </c>
      <c r="G9" s="3947">
        <v>121783447.86</v>
      </c>
      <c r="H9" s="3974">
        <v>120366417.23763707</v>
      </c>
      <c r="I9" s="3947">
        <v>123242823.8</v>
      </c>
      <c r="J9" s="3975">
        <v>125707735.3618919</v>
      </c>
      <c r="K9" s="3976">
        <v>125212737.0956192</v>
      </c>
      <c r="L9" s="3976">
        <v>127214137.48535559</v>
      </c>
      <c r="M9" s="3976">
        <v>129247528.2589215</v>
      </c>
      <c r="N9" s="3976">
        <v>131313420.75061211</v>
      </c>
      <c r="O9" s="3976">
        <v>133412334.46788989</v>
      </c>
      <c r="P9" s="3976">
        <v>135544797.22202465</v>
      </c>
      <c r="Q9" s="3976">
        <v>137711345.26082149</v>
      </c>
      <c r="R9" s="3976">
        <v>139912523.40347046</v>
      </c>
      <c r="S9" s="3976">
        <v>142148885.17755154</v>
      </c>
      <c r="T9" s="3976">
        <v>144420992.95822951</v>
      </c>
      <c r="U9" s="3976">
        <v>146729418.10967386</v>
      </c>
      <c r="V9" s="3977">
        <v>149074741.12873888</v>
      </c>
    </row>
    <row r="10" spans="1:22" ht="15.75" customHeight="1">
      <c r="A10" s="3695" t="s">
        <v>3890</v>
      </c>
      <c r="B10" s="3129" t="s">
        <v>1966</v>
      </c>
      <c r="C10" s="3129"/>
      <c r="D10" s="3973" t="s">
        <v>1965</v>
      </c>
      <c r="E10" s="3947">
        <v>58883216.000000007</v>
      </c>
      <c r="F10" s="3947">
        <v>74183964.389999986</v>
      </c>
      <c r="G10" s="3947">
        <v>53571588.666819997</v>
      </c>
      <c r="H10" s="3974">
        <v>35000000</v>
      </c>
      <c r="I10" s="3947">
        <v>35000000</v>
      </c>
      <c r="J10" s="3975">
        <v>35000000</v>
      </c>
      <c r="K10" s="3976">
        <v>35000000</v>
      </c>
      <c r="L10" s="3976">
        <v>35000000</v>
      </c>
      <c r="M10" s="3976">
        <v>35000000</v>
      </c>
      <c r="N10" s="3976">
        <v>35000000</v>
      </c>
      <c r="O10" s="3976">
        <v>35000000</v>
      </c>
      <c r="P10" s="3976">
        <v>35000000</v>
      </c>
      <c r="Q10" s="3976">
        <v>35000000</v>
      </c>
      <c r="R10" s="3976">
        <v>35000000</v>
      </c>
      <c r="S10" s="3976">
        <v>35000000</v>
      </c>
      <c r="T10" s="3976">
        <v>35000000</v>
      </c>
      <c r="U10" s="3976">
        <v>35000000</v>
      </c>
      <c r="V10" s="3977">
        <v>35000000</v>
      </c>
    </row>
    <row r="11" spans="1:22" ht="15.75" customHeight="1">
      <c r="A11" s="3695" t="s">
        <v>3890</v>
      </c>
      <c r="B11" s="3129" t="s">
        <v>3891</v>
      </c>
      <c r="C11" s="3129"/>
      <c r="D11" s="3973" t="s">
        <v>1968</v>
      </c>
      <c r="E11" s="3947">
        <v>0</v>
      </c>
      <c r="F11" s="3947"/>
      <c r="G11" s="3947">
        <v>0</v>
      </c>
      <c r="H11" s="3974">
        <v>15281986.80274754</v>
      </c>
      <c r="I11" s="3947">
        <v>12083702.953720002</v>
      </c>
      <c r="J11" s="3975">
        <v>0</v>
      </c>
      <c r="K11" s="3976">
        <v>54037071.547890358</v>
      </c>
      <c r="L11" s="3976">
        <v>0</v>
      </c>
      <c r="M11" s="3976">
        <v>7.4605047702789315E-9</v>
      </c>
      <c r="N11" s="3976">
        <v>-6.714454293251038E-8</v>
      </c>
      <c r="O11" s="3976">
        <v>0</v>
      </c>
      <c r="P11" s="3976">
        <v>0</v>
      </c>
      <c r="Q11" s="3976">
        <v>9.4994902610778809E-8</v>
      </c>
      <c r="R11" s="3976">
        <v>-3.7252902984619141E-8</v>
      </c>
      <c r="S11" s="3976">
        <v>6.7055225372314453E-8</v>
      </c>
      <c r="T11" s="3976">
        <v>8.9406967163085938E-8</v>
      </c>
      <c r="U11" s="3976">
        <v>0</v>
      </c>
      <c r="V11" s="3977">
        <v>0</v>
      </c>
    </row>
    <row r="12" spans="1:22" ht="15.75" customHeight="1">
      <c r="A12" s="3695" t="s">
        <v>3890</v>
      </c>
      <c r="B12" s="3129" t="s">
        <v>1969</v>
      </c>
      <c r="C12" s="3129"/>
      <c r="D12" s="3973" t="s">
        <v>1965</v>
      </c>
      <c r="E12" s="3947">
        <v>3863822</v>
      </c>
      <c r="F12" s="3947">
        <v>3979371</v>
      </c>
      <c r="G12" s="3947">
        <v>3006716.03</v>
      </c>
      <c r="H12" s="3974">
        <v>3987821.9757650476</v>
      </c>
      <c r="I12" s="3947">
        <v>7228862.8499999996</v>
      </c>
      <c r="J12" s="3975">
        <v>9969539.2716433201</v>
      </c>
      <c r="K12" s="3976">
        <v>7228862.8499999996</v>
      </c>
      <c r="L12" s="3976">
        <v>7228862.8499999996</v>
      </c>
      <c r="M12" s="3976">
        <v>7228862.8499999996</v>
      </c>
      <c r="N12" s="3976">
        <v>7228862.8499999996</v>
      </c>
      <c r="O12" s="3976">
        <v>7228862.8499999996</v>
      </c>
      <c r="P12" s="3976">
        <v>7228862.8499999996</v>
      </c>
      <c r="Q12" s="3976">
        <v>7228862.8499999996</v>
      </c>
      <c r="R12" s="3976">
        <v>7228862.8499999996</v>
      </c>
      <c r="S12" s="3976">
        <v>7228862.8499999996</v>
      </c>
      <c r="T12" s="3976">
        <v>7228862.8499999996</v>
      </c>
      <c r="U12" s="3976">
        <v>7228862.8499999996</v>
      </c>
      <c r="V12" s="3977">
        <v>7228862.8499999996</v>
      </c>
    </row>
    <row r="13" spans="1:22" ht="15.75" customHeight="1">
      <c r="A13" s="3695" t="s">
        <v>3890</v>
      </c>
      <c r="B13" s="3129" t="s">
        <v>1970</v>
      </c>
      <c r="C13" s="3129"/>
      <c r="D13" s="3973" t="s">
        <v>1968</v>
      </c>
      <c r="E13" s="3947">
        <v>1713852.21</v>
      </c>
      <c r="F13" s="3947">
        <v>1710284</v>
      </c>
      <c r="G13" s="3947">
        <v>1730438.41</v>
      </c>
      <c r="H13" s="3974">
        <v>1713916.0702845447</v>
      </c>
      <c r="I13" s="3947">
        <v>1741606.64</v>
      </c>
      <c r="J13" s="3975">
        <v>1758097.73754544</v>
      </c>
      <c r="K13" s="3976">
        <v>1741606.64</v>
      </c>
      <c r="L13" s="3976">
        <v>1741606.64</v>
      </c>
      <c r="M13" s="3976">
        <v>1741606.64</v>
      </c>
      <c r="N13" s="3976">
        <v>1741606.64</v>
      </c>
      <c r="O13" s="3976">
        <v>1741606.64</v>
      </c>
      <c r="P13" s="3976">
        <v>1741606.64</v>
      </c>
      <c r="Q13" s="3976">
        <v>1741606.64</v>
      </c>
      <c r="R13" s="3976">
        <v>1741606.64</v>
      </c>
      <c r="S13" s="3976">
        <v>1741606.64</v>
      </c>
      <c r="T13" s="3976">
        <v>1741606.64</v>
      </c>
      <c r="U13" s="3976">
        <v>1741606.64</v>
      </c>
      <c r="V13" s="3977">
        <v>1741606.64</v>
      </c>
    </row>
    <row r="14" spans="1:22" ht="15.75" customHeight="1">
      <c r="A14" s="3695" t="s">
        <v>3890</v>
      </c>
      <c r="B14" s="3129" t="s">
        <v>1971</v>
      </c>
      <c r="C14" s="3129"/>
      <c r="D14" s="3973" t="s">
        <v>1972</v>
      </c>
      <c r="E14" s="3947">
        <v>11645991</v>
      </c>
      <c r="F14" s="3947">
        <v>17141782</v>
      </c>
      <c r="G14" s="3947">
        <v>17916758.449999999</v>
      </c>
      <c r="H14" s="3974">
        <v>17178188.767024752</v>
      </c>
      <c r="I14" s="3947">
        <v>18259254.27</v>
      </c>
      <c r="J14" s="3975">
        <v>18203139.917064801</v>
      </c>
      <c r="K14" s="3976">
        <v>18259254.27</v>
      </c>
      <c r="L14" s="3976">
        <v>18259254.27</v>
      </c>
      <c r="M14" s="3976">
        <v>18259254.27</v>
      </c>
      <c r="N14" s="3976">
        <v>18259254.27</v>
      </c>
      <c r="O14" s="3976">
        <v>18259254.27</v>
      </c>
      <c r="P14" s="3976">
        <v>18259254.27</v>
      </c>
      <c r="Q14" s="3976">
        <v>18259254.27</v>
      </c>
      <c r="R14" s="3976">
        <v>18259254.27</v>
      </c>
      <c r="S14" s="3976">
        <v>18259254.27</v>
      </c>
      <c r="T14" s="3976">
        <v>18259254.27</v>
      </c>
      <c r="U14" s="3976">
        <v>18259254.27</v>
      </c>
      <c r="V14" s="3977">
        <v>18259254.27</v>
      </c>
    </row>
    <row r="15" spans="1:22" ht="15.75" customHeight="1">
      <c r="A15" s="3695" t="s">
        <v>3890</v>
      </c>
      <c r="B15" s="3129" t="s">
        <v>3892</v>
      </c>
      <c r="C15" s="3129"/>
      <c r="D15" s="3973" t="s">
        <v>1972</v>
      </c>
      <c r="E15" s="3947">
        <v>58012449</v>
      </c>
      <c r="F15" s="3947">
        <v>3024397</v>
      </c>
      <c r="G15" s="3947">
        <v>38985010.82</v>
      </c>
      <c r="H15" s="3974">
        <v>42972517.778555177</v>
      </c>
      <c r="I15" s="3947">
        <v>7314225.9400000004</v>
      </c>
      <c r="J15" s="3975">
        <v>42446461.920058936</v>
      </c>
      <c r="K15" s="3976">
        <v>1045373.2348897986</v>
      </c>
      <c r="L15" s="3976">
        <v>1046765.6720386711</v>
      </c>
      <c r="M15" s="3976">
        <v>1048159.9639138266</v>
      </c>
      <c r="N15" s="3976">
        <v>1049556.1129857597</v>
      </c>
      <c r="O15" s="3976">
        <v>1050954.1217282568</v>
      </c>
      <c r="P15" s="3976">
        <v>1052353.9926183987</v>
      </c>
      <c r="Q15" s="3976">
        <v>1053755.7281365665</v>
      </c>
      <c r="R15" s="3976">
        <v>1055159.3307664443</v>
      </c>
      <c r="S15" s="3976">
        <v>1056564.8029950252</v>
      </c>
      <c r="T15" s="3976">
        <v>1057972.1473126146</v>
      </c>
      <c r="U15" s="3976">
        <v>1059381.3662128351</v>
      </c>
      <c r="V15" s="3977">
        <v>1060792.4621926306</v>
      </c>
    </row>
    <row r="16" spans="1:22" ht="15.75" customHeight="1">
      <c r="A16" s="3695" t="s">
        <v>3890</v>
      </c>
      <c r="B16" s="3129" t="s">
        <v>1974</v>
      </c>
      <c r="C16" s="3129"/>
      <c r="D16" s="3973" t="s">
        <v>1972</v>
      </c>
      <c r="E16" s="3947">
        <v>14735876</v>
      </c>
      <c r="F16" s="3947">
        <v>8565879</v>
      </c>
      <c r="G16" s="3947">
        <v>4586435.46</v>
      </c>
      <c r="H16" s="3974">
        <v>3571915.6299999901</v>
      </c>
      <c r="I16" s="3947">
        <v>3639720.2399999998</v>
      </c>
      <c r="J16" s="3975">
        <v>3571915.6299999901</v>
      </c>
      <c r="K16" s="3976">
        <v>3571915.6299999901</v>
      </c>
      <c r="L16" s="3976">
        <v>3571915.6299999901</v>
      </c>
      <c r="M16" s="3976">
        <v>17986915.629999992</v>
      </c>
      <c r="N16" s="3976">
        <v>18344040.629999992</v>
      </c>
      <c r="O16" s="3976">
        <v>18712290.629999992</v>
      </c>
      <c r="P16" s="3976">
        <v>19100665.629999992</v>
      </c>
      <c r="Q16" s="3976">
        <v>17161265.629999999</v>
      </c>
      <c r="R16" s="3976">
        <v>4095625</v>
      </c>
      <c r="S16" s="3976">
        <v>4155500</v>
      </c>
      <c r="T16" s="3976">
        <v>4217375</v>
      </c>
      <c r="U16" s="3976">
        <v>4286125</v>
      </c>
      <c r="V16" s="3977">
        <v>4351500</v>
      </c>
    </row>
    <row r="17" spans="1:22" ht="15.75" customHeight="1">
      <c r="A17" s="3695" t="s">
        <v>3890</v>
      </c>
      <c r="B17" s="3129" t="s">
        <v>1975</v>
      </c>
      <c r="C17" s="3129"/>
      <c r="D17" s="3973" t="s">
        <v>1965</v>
      </c>
      <c r="E17" s="3947">
        <v>1109662</v>
      </c>
      <c r="F17" s="3947">
        <v>1100970</v>
      </c>
      <c r="G17" s="3947">
        <v>1086503.07</v>
      </c>
      <c r="H17" s="3974">
        <v>1103308.177641762</v>
      </c>
      <c r="I17" s="3947">
        <v>629587.12211999996</v>
      </c>
      <c r="J17" s="3975">
        <v>1103869.73507088</v>
      </c>
      <c r="K17" s="3976">
        <v>629587.12211999996</v>
      </c>
      <c r="L17" s="3976">
        <v>629587.12211999996</v>
      </c>
      <c r="M17" s="3976">
        <v>629587.12211999996</v>
      </c>
      <c r="N17" s="3976">
        <v>629587.12211999996</v>
      </c>
      <c r="O17" s="3976">
        <v>629587.12211999996</v>
      </c>
      <c r="P17" s="3976">
        <v>629587.12211999996</v>
      </c>
      <c r="Q17" s="3976">
        <v>629587.12211999996</v>
      </c>
      <c r="R17" s="3976">
        <v>629587.12211999996</v>
      </c>
      <c r="S17" s="3976">
        <v>629587.12211999996</v>
      </c>
      <c r="T17" s="3976">
        <v>629587.12211999996</v>
      </c>
      <c r="U17" s="3976">
        <v>629587.12211999996</v>
      </c>
      <c r="V17" s="3977">
        <v>629587.12211999996</v>
      </c>
    </row>
    <row r="18" spans="1:22" ht="15.75" customHeight="1">
      <c r="A18" s="3695"/>
      <c r="B18" s="3129" t="s">
        <v>3884</v>
      </c>
      <c r="C18" s="3129"/>
      <c r="D18" s="3973" t="s">
        <v>1972</v>
      </c>
      <c r="E18" s="3947"/>
      <c r="F18" s="3947"/>
      <c r="G18" s="3947"/>
      <c r="H18" s="3974"/>
      <c r="I18" s="3947">
        <v>1248238.8686800001</v>
      </c>
      <c r="J18" s="3975"/>
      <c r="K18" s="3976"/>
      <c r="L18" s="3976"/>
      <c r="M18" s="3976"/>
      <c r="N18" s="3976"/>
      <c r="O18" s="3976"/>
      <c r="P18" s="3976"/>
      <c r="Q18" s="3976"/>
      <c r="R18" s="3976"/>
      <c r="S18" s="3976"/>
      <c r="T18" s="3976"/>
      <c r="U18" s="3976"/>
      <c r="V18" s="3977"/>
    </row>
    <row r="19" spans="1:22" s="3985" customFormat="1" ht="15.75" customHeight="1">
      <c r="A19" s="3695" t="s">
        <v>3893</v>
      </c>
      <c r="B19" s="3978" t="s">
        <v>1976</v>
      </c>
      <c r="C19" s="3978"/>
      <c r="D19" s="3979"/>
      <c r="E19" s="3980">
        <f>SUM(E9:E18)</f>
        <v>222035133.21000001</v>
      </c>
      <c r="F19" s="3980">
        <f t="shared" ref="F19:V19" si="1">SUM(F9:F18)</f>
        <v>229817823.38999999</v>
      </c>
      <c r="G19" s="3980">
        <v>242666898.76681998</v>
      </c>
      <c r="H19" s="3981">
        <v>241176072.4396559</v>
      </c>
      <c r="I19" s="3980">
        <f t="shared" si="1"/>
        <v>210388022.68452001</v>
      </c>
      <c r="J19" s="3982">
        <f>SUM(J9:J18)</f>
        <v>237760759.57327524</v>
      </c>
      <c r="K19" s="3983">
        <f t="shared" si="1"/>
        <v>246726408.39051935</v>
      </c>
      <c r="L19" s="3983">
        <f t="shared" si="1"/>
        <v>194692129.66951424</v>
      </c>
      <c r="M19" s="3983">
        <f t="shared" si="1"/>
        <v>211141914.73495531</v>
      </c>
      <c r="N19" s="3983">
        <f t="shared" si="1"/>
        <v>213566328.37571779</v>
      </c>
      <c r="O19" s="3983">
        <f t="shared" si="1"/>
        <v>216034890.10173815</v>
      </c>
      <c r="P19" s="3983">
        <f t="shared" si="1"/>
        <v>218557127.72676304</v>
      </c>
      <c r="Q19" s="3983">
        <f t="shared" si="1"/>
        <v>218785677.50107813</v>
      </c>
      <c r="R19" s="3983">
        <f t="shared" si="1"/>
        <v>207922618.61635685</v>
      </c>
      <c r="S19" s="3983">
        <f t="shared" si="1"/>
        <v>210220260.86266661</v>
      </c>
      <c r="T19" s="3983">
        <f t="shared" si="1"/>
        <v>212555650.9876622</v>
      </c>
      <c r="U19" s="3983">
        <f t="shared" si="1"/>
        <v>214934235.35800669</v>
      </c>
      <c r="V19" s="3984">
        <f t="shared" si="1"/>
        <v>217346344.47305149</v>
      </c>
    </row>
    <row r="20" spans="1:22" ht="24" customHeight="1">
      <c r="A20" s="3695"/>
      <c r="B20" s="3986" t="s">
        <v>1977</v>
      </c>
      <c r="C20" s="3986"/>
      <c r="D20" s="3987" t="s">
        <v>1963</v>
      </c>
      <c r="E20" s="3988"/>
      <c r="F20" s="3988"/>
      <c r="G20" s="3988"/>
      <c r="H20" s="3989"/>
      <c r="I20" s="3988"/>
      <c r="J20" s="3971"/>
      <c r="K20" s="3990"/>
      <c r="L20" s="3990"/>
      <c r="M20" s="3990"/>
      <c r="N20" s="3990"/>
      <c r="O20" s="3990"/>
      <c r="P20" s="3990"/>
      <c r="Q20" s="3990"/>
      <c r="R20" s="3990"/>
      <c r="S20" s="3990"/>
      <c r="T20" s="3990"/>
      <c r="U20" s="3990"/>
      <c r="V20" s="3991"/>
    </row>
    <row r="21" spans="1:22" ht="15.75" customHeight="1">
      <c r="A21" s="3695" t="s">
        <v>3890</v>
      </c>
      <c r="B21" s="3129" t="s">
        <v>1978</v>
      </c>
      <c r="C21" s="3129"/>
      <c r="D21" s="3973" t="s">
        <v>1968</v>
      </c>
      <c r="E21" s="3947">
        <v>7307224</v>
      </c>
      <c r="F21" s="3947">
        <v>18855958.129999999</v>
      </c>
      <c r="G21" s="3947">
        <v>10960158.873180002</v>
      </c>
      <c r="H21" s="3974">
        <v>4500000</v>
      </c>
      <c r="I21" s="3947">
        <v>21233209.899999999</v>
      </c>
      <c r="J21" s="3992">
        <v>4500000</v>
      </c>
      <c r="K21" s="3976">
        <v>4500000</v>
      </c>
      <c r="L21" s="3976">
        <v>4500000</v>
      </c>
      <c r="M21" s="3976">
        <v>4500000</v>
      </c>
      <c r="N21" s="3976">
        <v>4500000</v>
      </c>
      <c r="O21" s="3976">
        <v>4500000</v>
      </c>
      <c r="P21" s="3976">
        <v>4500000</v>
      </c>
      <c r="Q21" s="3976">
        <v>4500000</v>
      </c>
      <c r="R21" s="3976">
        <v>4500000</v>
      </c>
      <c r="S21" s="3976">
        <v>4500000</v>
      </c>
      <c r="T21" s="3976">
        <v>4500000</v>
      </c>
      <c r="U21" s="3976">
        <v>4500000</v>
      </c>
      <c r="V21" s="3977">
        <v>4500000</v>
      </c>
    </row>
    <row r="22" spans="1:22" ht="15.75" customHeight="1">
      <c r="A22" s="3695" t="s">
        <v>3890</v>
      </c>
      <c r="B22" s="3129" t="s">
        <v>1979</v>
      </c>
      <c r="C22" s="3129"/>
      <c r="D22" s="3973" t="s">
        <v>1972</v>
      </c>
      <c r="E22" s="3947">
        <v>118886827</v>
      </c>
      <c r="F22" s="3947">
        <v>67797565</v>
      </c>
      <c r="G22" s="3947">
        <v>95773666.480000004</v>
      </c>
      <c r="H22" s="3974">
        <v>104999477.19760987</v>
      </c>
      <c r="I22" s="3947">
        <v>124519646.04000001</v>
      </c>
      <c r="J22" s="3975">
        <v>112039651.95702724</v>
      </c>
      <c r="K22" s="3976">
        <v>2395970.9837005883</v>
      </c>
      <c r="L22" s="3976">
        <v>48125745.300241888</v>
      </c>
      <c r="M22" s="3976">
        <v>35224517.1956992</v>
      </c>
      <c r="N22" s="3976">
        <v>29590422.413400382</v>
      </c>
      <c r="O22" s="3976">
        <v>30125282.262037739</v>
      </c>
      <c r="P22" s="3976">
        <v>31463733.122096859</v>
      </c>
      <c r="Q22" s="3976">
        <v>30068187.052298546</v>
      </c>
      <c r="R22" s="3976">
        <v>29898534.027976409</v>
      </c>
      <c r="S22" s="3976">
        <v>46679113.848120421</v>
      </c>
      <c r="T22" s="3976">
        <v>28160628.919630587</v>
      </c>
      <c r="U22" s="3976">
        <v>30172793.863713391</v>
      </c>
      <c r="V22" s="3977">
        <v>35244809.122837551</v>
      </c>
    </row>
    <row r="23" spans="1:22" ht="15.75" customHeight="1">
      <c r="A23" s="3695" t="s">
        <v>3890</v>
      </c>
      <c r="B23" s="3129" t="s">
        <v>1980</v>
      </c>
      <c r="C23" s="3129"/>
      <c r="D23" s="3973" t="s">
        <v>1968</v>
      </c>
      <c r="E23" s="3947">
        <v>24283267</v>
      </c>
      <c r="F23" s="3947">
        <v>24625643</v>
      </c>
      <c r="G23" s="3947">
        <v>11951985.800000001</v>
      </c>
      <c r="H23" s="3974">
        <v>25220393.12477611</v>
      </c>
      <c r="I23" s="3947">
        <v>12015914.65</v>
      </c>
      <c r="J23" s="3975">
        <v>25670186.950231917</v>
      </c>
      <c r="K23" s="3976">
        <v>24686894.701499999</v>
      </c>
      <c r="L23" s="3976">
        <v>24436179.597649112</v>
      </c>
      <c r="M23" s="3976">
        <v>24137936.180060707</v>
      </c>
      <c r="N23" s="3976">
        <v>24537310.374384612</v>
      </c>
      <c r="O23" s="3976">
        <v>24765474.015150249</v>
      </c>
      <c r="P23" s="3976">
        <v>23974049.937069729</v>
      </c>
      <c r="Q23" s="3976">
        <v>24009164.350682706</v>
      </c>
      <c r="R23" s="3976">
        <v>23654792.972460374</v>
      </c>
      <c r="S23" s="3976">
        <v>23664160.007525526</v>
      </c>
      <c r="T23" s="3976">
        <v>23664899.603161402</v>
      </c>
      <c r="U23" s="3976">
        <v>23008874.467706837</v>
      </c>
      <c r="V23" s="3977">
        <v>23549781.781314835</v>
      </c>
    </row>
    <row r="24" spans="1:22" ht="15.75" customHeight="1">
      <c r="A24" s="3695" t="s">
        <v>3890</v>
      </c>
      <c r="B24" s="3129" t="s">
        <v>1974</v>
      </c>
      <c r="C24" s="3129"/>
      <c r="D24" s="3973" t="s">
        <v>1972</v>
      </c>
      <c r="E24" s="3947">
        <v>68417664</v>
      </c>
      <c r="F24" s="3947">
        <v>77241138</v>
      </c>
      <c r="G24" s="3947">
        <v>96007516.080000013</v>
      </c>
      <c r="H24" s="3974">
        <v>97365833.775174171</v>
      </c>
      <c r="I24" s="3947">
        <v>109913801.12</v>
      </c>
      <c r="J24" s="3975">
        <v>104396104.88496287</v>
      </c>
      <c r="K24" s="3976">
        <v>67992308.090000004</v>
      </c>
      <c r="L24" s="3976">
        <v>80141932.721598566</v>
      </c>
      <c r="M24" s="3976">
        <v>87999791.090393424</v>
      </c>
      <c r="N24" s="3976">
        <v>99456594.664687574</v>
      </c>
      <c r="O24" s="3976">
        <v>111213266.43577157</v>
      </c>
      <c r="P24" s="3976">
        <v>117363283.96581092</v>
      </c>
      <c r="Q24" s="3976">
        <v>129555677.2539714</v>
      </c>
      <c r="R24" s="3976">
        <v>139371497.82825807</v>
      </c>
      <c r="S24" s="3976">
        <v>152134196.39803529</v>
      </c>
      <c r="T24" s="3976">
        <v>164922613.82430804</v>
      </c>
      <c r="U24" s="3976">
        <v>177142391.41782171</v>
      </c>
      <c r="V24" s="3977">
        <v>188006954.76199663</v>
      </c>
    </row>
    <row r="25" spans="1:22" ht="15.75" customHeight="1">
      <c r="A25" s="3695" t="s">
        <v>3890</v>
      </c>
      <c r="B25" s="3129" t="s">
        <v>1971</v>
      </c>
      <c r="C25" s="3129"/>
      <c r="D25" s="3973" t="s">
        <v>1972</v>
      </c>
      <c r="E25" s="3947">
        <v>26003253.000000004</v>
      </c>
      <c r="F25" s="3947">
        <v>30755765</v>
      </c>
      <c r="G25" s="3947">
        <v>41054145.979999997</v>
      </c>
      <c r="H25" s="3974">
        <v>54336772.957885332</v>
      </c>
      <c r="I25" s="3947">
        <v>41559813.199999996</v>
      </c>
      <c r="J25" s="3975">
        <v>45119246.521969862</v>
      </c>
      <c r="K25" s="3976">
        <v>41559813.199999996</v>
      </c>
      <c r="L25" s="3976">
        <v>42494998.166921884</v>
      </c>
      <c r="M25" s="3976">
        <v>46341337.456662461</v>
      </c>
      <c r="N25" s="3976">
        <v>49018187.896330103</v>
      </c>
      <c r="O25" s="3976">
        <v>50710705.258178726</v>
      </c>
      <c r="P25" s="3976">
        <v>51917471.959790163</v>
      </c>
      <c r="Q25" s="3976">
        <v>52747320.831595451</v>
      </c>
      <c r="R25" s="3976">
        <v>53590434.00776767</v>
      </c>
      <c r="S25" s="3976">
        <v>54447023.504947826</v>
      </c>
      <c r="T25" s="3976">
        <v>55317304.728650913</v>
      </c>
      <c r="U25" s="3976">
        <v>56201496.527433671</v>
      </c>
      <c r="V25" s="3977">
        <v>57099821.247928172</v>
      </c>
    </row>
    <row r="26" spans="1:22" ht="15.75" customHeight="1">
      <c r="A26" s="3695" t="s">
        <v>3890</v>
      </c>
      <c r="B26" s="3129" t="s">
        <v>1981</v>
      </c>
      <c r="C26" s="3129"/>
      <c r="D26" s="3973" t="s">
        <v>1972</v>
      </c>
      <c r="E26" s="3947">
        <v>12137938.33</v>
      </c>
      <c r="F26" s="3947">
        <v>12496529</v>
      </c>
      <c r="G26" s="3947">
        <v>12585650.960000001</v>
      </c>
      <c r="H26" s="3974">
        <v>12523070.135211417</v>
      </c>
      <c r="I26" s="3947">
        <v>11732036.640000001</v>
      </c>
      <c r="J26" s="3975">
        <v>12786820.004944641</v>
      </c>
      <c r="K26" s="3976">
        <v>11732036.640000001</v>
      </c>
      <c r="L26" s="3976">
        <v>11732036.640000001</v>
      </c>
      <c r="M26" s="3976">
        <v>11732036.640000001</v>
      </c>
      <c r="N26" s="3976">
        <v>11732036.640000001</v>
      </c>
      <c r="O26" s="3976">
        <v>11732036.640000001</v>
      </c>
      <c r="P26" s="3976">
        <v>11732036.640000001</v>
      </c>
      <c r="Q26" s="3976">
        <v>11732036.640000001</v>
      </c>
      <c r="R26" s="3976">
        <v>11732036.640000001</v>
      </c>
      <c r="S26" s="3976">
        <v>11732036.640000001</v>
      </c>
      <c r="T26" s="3976">
        <v>11732036.640000001</v>
      </c>
      <c r="U26" s="3976">
        <v>11732036.640000001</v>
      </c>
      <c r="V26" s="3977">
        <v>11732036.640000001</v>
      </c>
    </row>
    <row r="27" spans="1:22" ht="15.75" customHeight="1">
      <c r="A27" s="3695"/>
      <c r="B27" s="3129" t="s">
        <v>1975</v>
      </c>
      <c r="C27" s="3129"/>
      <c r="D27" s="3973" t="s">
        <v>1965</v>
      </c>
      <c r="E27" s="3947"/>
      <c r="F27" s="3947"/>
      <c r="G27" s="3947"/>
      <c r="H27" s="3974"/>
      <c r="I27" s="3947">
        <v>430323.85788000003</v>
      </c>
      <c r="J27" s="3975"/>
      <c r="K27" s="3976"/>
      <c r="L27" s="3976"/>
      <c r="M27" s="3976"/>
      <c r="N27" s="3976"/>
      <c r="O27" s="3976"/>
      <c r="P27" s="3976"/>
      <c r="Q27" s="3976"/>
      <c r="R27" s="3976"/>
      <c r="S27" s="3976"/>
      <c r="T27" s="3976"/>
      <c r="U27" s="3976"/>
      <c r="V27" s="3977"/>
    </row>
    <row r="28" spans="1:22" ht="15.75" customHeight="1">
      <c r="A28" s="3695"/>
      <c r="B28" s="3129" t="s">
        <v>3884</v>
      </c>
      <c r="C28" s="3129"/>
      <c r="D28" s="3973" t="s">
        <v>1972</v>
      </c>
      <c r="E28" s="3947"/>
      <c r="F28" s="3947"/>
      <c r="G28" s="3947"/>
      <c r="H28" s="3974"/>
      <c r="I28" s="3947">
        <v>7044516.3876</v>
      </c>
      <c r="J28" s="3975"/>
      <c r="K28" s="3976"/>
      <c r="L28" s="3976"/>
      <c r="M28" s="3976"/>
      <c r="N28" s="3976"/>
      <c r="O28" s="3976"/>
      <c r="P28" s="3976"/>
      <c r="Q28" s="3976"/>
      <c r="R28" s="3976"/>
      <c r="S28" s="3976"/>
      <c r="T28" s="3976"/>
      <c r="U28" s="3976"/>
      <c r="V28" s="3977"/>
    </row>
    <row r="29" spans="1:22" s="3985" customFormat="1" ht="15.75" customHeight="1">
      <c r="A29" s="3695" t="s">
        <v>3893</v>
      </c>
      <c r="B29" s="3978" t="s">
        <v>1982</v>
      </c>
      <c r="C29" s="3978"/>
      <c r="D29" s="3979"/>
      <c r="E29" s="3980">
        <f>SUM(E21:E28)</f>
        <v>257036173.33000001</v>
      </c>
      <c r="F29" s="3980">
        <f t="shared" ref="F29:V29" si="2">SUM(F21:F28)</f>
        <v>231772598.13</v>
      </c>
      <c r="G29" s="3980">
        <v>268333124.17318001</v>
      </c>
      <c r="H29" s="3981">
        <v>298945547.1906569</v>
      </c>
      <c r="I29" s="3980">
        <f t="shared" si="2"/>
        <v>328449261.79548001</v>
      </c>
      <c r="J29" s="3982">
        <f t="shared" si="2"/>
        <v>304512010.3191365</v>
      </c>
      <c r="K29" s="3983">
        <f t="shared" si="2"/>
        <v>152867023.61520058</v>
      </c>
      <c r="L29" s="3983">
        <f t="shared" si="2"/>
        <v>211430892.42641145</v>
      </c>
      <c r="M29" s="3983">
        <f t="shared" si="2"/>
        <v>209935618.56281579</v>
      </c>
      <c r="N29" s="3983">
        <f t="shared" si="2"/>
        <v>218834551.98880267</v>
      </c>
      <c r="O29" s="3983">
        <f t="shared" si="2"/>
        <v>233046764.61113828</v>
      </c>
      <c r="P29" s="3983">
        <f t="shared" si="2"/>
        <v>240950575.62476766</v>
      </c>
      <c r="Q29" s="3983">
        <f t="shared" si="2"/>
        <v>252612386.12854809</v>
      </c>
      <c r="R29" s="3983">
        <f t="shared" si="2"/>
        <v>262747295.47646254</v>
      </c>
      <c r="S29" s="3983">
        <f t="shared" si="2"/>
        <v>293156530.39862907</v>
      </c>
      <c r="T29" s="3983">
        <f t="shared" si="2"/>
        <v>288297483.71575093</v>
      </c>
      <c r="U29" s="3983">
        <f t="shared" si="2"/>
        <v>302757592.91667563</v>
      </c>
      <c r="V29" s="3984">
        <f t="shared" si="2"/>
        <v>320133403.55407715</v>
      </c>
    </row>
    <row r="30" spans="1:22" s="3985" customFormat="1" ht="24.75" customHeight="1" thickBot="1">
      <c r="A30" s="3695" t="s">
        <v>3893</v>
      </c>
      <c r="B30" s="3978" t="s">
        <v>1983</v>
      </c>
      <c r="C30" s="3978"/>
      <c r="D30" s="3979"/>
      <c r="E30" s="3993">
        <f>+E19+E29</f>
        <v>479071306.54000002</v>
      </c>
      <c r="F30" s="3993">
        <f t="shared" ref="F30:V30" si="3">+F19+F29</f>
        <v>461590421.51999998</v>
      </c>
      <c r="G30" s="3993">
        <v>511000022.94</v>
      </c>
      <c r="H30" s="3994">
        <v>540121619.6303128</v>
      </c>
      <c r="I30" s="3993">
        <f t="shared" si="3"/>
        <v>538837284.48000002</v>
      </c>
      <c r="J30" s="3995">
        <f t="shared" si="3"/>
        <v>542272769.89241171</v>
      </c>
      <c r="K30" s="3996">
        <f t="shared" si="3"/>
        <v>399593432.0057199</v>
      </c>
      <c r="L30" s="3996">
        <f t="shared" si="3"/>
        <v>406123022.09592569</v>
      </c>
      <c r="M30" s="3996">
        <f t="shared" si="3"/>
        <v>421077533.2977711</v>
      </c>
      <c r="N30" s="3996">
        <f t="shared" si="3"/>
        <v>432400880.36452043</v>
      </c>
      <c r="O30" s="3996">
        <f t="shared" si="3"/>
        <v>449081654.71287644</v>
      </c>
      <c r="P30" s="3996">
        <f t="shared" si="3"/>
        <v>459507703.35153067</v>
      </c>
      <c r="Q30" s="3996">
        <f t="shared" si="3"/>
        <v>471398063.62962621</v>
      </c>
      <c r="R30" s="3996">
        <f t="shared" si="3"/>
        <v>470669914.09281939</v>
      </c>
      <c r="S30" s="3996">
        <f t="shared" si="3"/>
        <v>503376791.26129568</v>
      </c>
      <c r="T30" s="3996">
        <f t="shared" si="3"/>
        <v>500853134.70341313</v>
      </c>
      <c r="U30" s="3996">
        <f t="shared" si="3"/>
        <v>517691828.27468228</v>
      </c>
      <c r="V30" s="3997">
        <f t="shared" si="3"/>
        <v>537479748.0271287</v>
      </c>
    </row>
    <row r="31" spans="1:22" s="3985" customFormat="1" ht="15" customHeight="1" thickTop="1">
      <c r="A31" s="3695"/>
      <c r="B31" s="3998" t="s">
        <v>3894</v>
      </c>
      <c r="C31" s="3998"/>
      <c r="D31" s="3979"/>
      <c r="E31" s="3999"/>
      <c r="F31" s="3999"/>
      <c r="G31" s="3999"/>
      <c r="H31" s="4000"/>
      <c r="I31" s="3999"/>
      <c r="J31" s="4001"/>
      <c r="K31" s="4002"/>
      <c r="L31" s="4002"/>
      <c r="M31" s="4002"/>
      <c r="N31" s="4002"/>
      <c r="O31" s="4002"/>
      <c r="P31" s="4002"/>
      <c r="Q31" s="4002"/>
      <c r="R31" s="4002"/>
      <c r="S31" s="4002"/>
      <c r="T31" s="4002"/>
      <c r="U31" s="4002"/>
      <c r="V31" s="4003"/>
    </row>
    <row r="32" spans="1:22" ht="15.75" customHeight="1">
      <c r="A32" s="3695" t="s">
        <v>3893</v>
      </c>
      <c r="B32" s="3725" t="s">
        <v>3895</v>
      </c>
      <c r="C32" s="3725"/>
      <c r="D32" s="3725"/>
      <c r="E32" s="3725">
        <f>5524110.29+101723838.4+9013768.57+69494222.5+35885320.15+10644734.33+246785312.46</f>
        <v>479071306.70000005</v>
      </c>
      <c r="F32" s="3725">
        <f>15226917.45+146767958.06+8442250.07+56941481.93+56227123.46+9359323.34+168626789.28</f>
        <v>461591843.58999991</v>
      </c>
      <c r="G32" s="4004">
        <v>511000022.94</v>
      </c>
      <c r="H32" s="4005"/>
      <c r="I32" s="4004">
        <v>538837284.48000002</v>
      </c>
      <c r="J32" s="4005"/>
      <c r="K32" s="3725"/>
      <c r="L32" s="3725"/>
      <c r="M32" s="3725"/>
      <c r="N32" s="3725"/>
      <c r="O32" s="3725"/>
      <c r="P32" s="3725"/>
      <c r="Q32" s="3725"/>
      <c r="R32" s="3725"/>
      <c r="S32" s="3725"/>
      <c r="T32" s="3725"/>
      <c r="U32" s="3725"/>
      <c r="V32" s="4006"/>
    </row>
    <row r="33" spans="1:22" ht="24" customHeight="1">
      <c r="A33" s="3695"/>
      <c r="B33" s="3978" t="s">
        <v>1985</v>
      </c>
      <c r="C33" s="3978"/>
      <c r="D33" s="3987"/>
      <c r="E33" s="4007"/>
      <c r="F33" s="4007"/>
      <c r="G33" s="4008"/>
      <c r="H33" s="4009"/>
      <c r="I33" s="4008"/>
      <c r="J33" s="4010"/>
      <c r="K33" s="4011"/>
      <c r="L33" s="3990"/>
      <c r="M33" s="3990"/>
      <c r="N33" s="3990"/>
      <c r="O33" s="3990"/>
      <c r="P33" s="3990"/>
      <c r="Q33" s="3990"/>
      <c r="R33" s="3990"/>
      <c r="S33" s="3990"/>
      <c r="T33" s="3990"/>
      <c r="U33" s="3990"/>
      <c r="V33" s="3991"/>
    </row>
    <row r="34" spans="1:22">
      <c r="A34" s="3695" t="s">
        <v>3896</v>
      </c>
      <c r="B34" s="4012" t="s">
        <v>1986</v>
      </c>
      <c r="C34" s="4012"/>
      <c r="D34" s="4013"/>
      <c r="E34" s="3947">
        <v>495033544.43725985</v>
      </c>
      <c r="F34" s="3947">
        <v>534790060.37</v>
      </c>
      <c r="G34" s="3947">
        <v>548474733.95000005</v>
      </c>
      <c r="H34" s="3974">
        <v>596585460.98039663</v>
      </c>
      <c r="I34" s="3947">
        <v>557597950.3499999</v>
      </c>
      <c r="J34" s="3975">
        <v>588997077.16718388</v>
      </c>
      <c r="K34" s="3976">
        <v>583985942.76361597</v>
      </c>
      <c r="L34" s="3976">
        <v>617199636.30174148</v>
      </c>
      <c r="M34" s="3976">
        <v>633815907.41089058</v>
      </c>
      <c r="N34" s="3976">
        <v>644848393.54535782</v>
      </c>
      <c r="O34" s="3976">
        <v>630118804.9652611</v>
      </c>
      <c r="P34" s="3976">
        <v>614101481.29796219</v>
      </c>
      <c r="Q34" s="3976">
        <v>602687409.45008039</v>
      </c>
      <c r="R34" s="3976">
        <v>595467093.42622471</v>
      </c>
      <c r="S34" s="3976">
        <v>582749826.5900805</v>
      </c>
      <c r="T34" s="3976">
        <v>568458967.89306009</v>
      </c>
      <c r="U34" s="3976">
        <v>556848478.10676575</v>
      </c>
      <c r="V34" s="3977">
        <v>542780745.52330899</v>
      </c>
    </row>
    <row r="35" spans="1:22">
      <c r="A35" s="3695" t="s">
        <v>3896</v>
      </c>
      <c r="B35" s="3972" t="s">
        <v>1987</v>
      </c>
      <c r="C35" s="3972"/>
      <c r="D35" s="3973"/>
      <c r="E35" s="3947">
        <v>1020505352.0100001</v>
      </c>
      <c r="F35" s="3947">
        <v>1154570958.9000001</v>
      </c>
      <c r="G35" s="3947">
        <v>1256236319.48</v>
      </c>
      <c r="H35" s="3974">
        <v>1296100210.2497392</v>
      </c>
      <c r="I35" s="3947">
        <v>1323666993.0799997</v>
      </c>
      <c r="J35" s="3975">
        <v>1410563357.3494568</v>
      </c>
      <c r="K35" s="3976">
        <v>1399923936.8902514</v>
      </c>
      <c r="L35" s="3976">
        <v>1486460296.3646095</v>
      </c>
      <c r="M35" s="3976">
        <v>1557110663.3387465</v>
      </c>
      <c r="N35" s="3976">
        <v>1596824896.8831933</v>
      </c>
      <c r="O35" s="3976">
        <v>1624036580.2963233</v>
      </c>
      <c r="P35" s="3976">
        <v>1652316973.7384171</v>
      </c>
      <c r="Q35" s="3976">
        <v>1683798595.4402823</v>
      </c>
      <c r="R35" s="3976">
        <v>1711844049.1481016</v>
      </c>
      <c r="S35" s="3976">
        <v>1738836779.9231486</v>
      </c>
      <c r="T35" s="3976">
        <v>1798733799.1769636</v>
      </c>
      <c r="U35" s="3976">
        <v>1820244191.4114888</v>
      </c>
      <c r="V35" s="3977">
        <v>1845149295.4733446</v>
      </c>
    </row>
    <row r="36" spans="1:22" s="3985" customFormat="1">
      <c r="A36" s="3695" t="s">
        <v>3893</v>
      </c>
      <c r="B36" s="3978" t="s">
        <v>1988</v>
      </c>
      <c r="C36" s="3978"/>
      <c r="D36" s="3979"/>
      <c r="E36" s="3980">
        <f>SUM(E34:E35)</f>
        <v>1515538896.4472599</v>
      </c>
      <c r="F36" s="3980">
        <f>SUM(F34:F35)</f>
        <v>1689361019.27</v>
      </c>
      <c r="G36" s="3980">
        <v>1804711053.4300001</v>
      </c>
      <c r="H36" s="3981">
        <v>1892685671.2301359</v>
      </c>
      <c r="I36" s="3980">
        <f>SUM(I34:I35)</f>
        <v>1881264943.4299996</v>
      </c>
      <c r="J36" s="3982">
        <f>SUM(J34:J35)</f>
        <v>1999560434.5166407</v>
      </c>
      <c r="K36" s="3983">
        <f>SUM(K34:K35)</f>
        <v>1983909879.6538672</v>
      </c>
      <c r="L36" s="3983">
        <f>SUM(L34:L35)</f>
        <v>2103659932.6663508</v>
      </c>
      <c r="M36" s="3983">
        <f>SUM(M34:M35)</f>
        <v>2190926570.7496371</v>
      </c>
      <c r="N36" s="3983">
        <f t="shared" ref="N36:V36" si="4">SUM(N34:N35)</f>
        <v>2241673290.4285512</v>
      </c>
      <c r="O36" s="3983">
        <f t="shared" si="4"/>
        <v>2254155385.2615843</v>
      </c>
      <c r="P36" s="3983">
        <f t="shared" si="4"/>
        <v>2266418455.0363793</v>
      </c>
      <c r="Q36" s="3983">
        <f t="shared" si="4"/>
        <v>2286486004.8903627</v>
      </c>
      <c r="R36" s="3983">
        <f t="shared" si="4"/>
        <v>2307311142.5743265</v>
      </c>
      <c r="S36" s="3983">
        <f t="shared" si="4"/>
        <v>2321586606.5132294</v>
      </c>
      <c r="T36" s="3983">
        <f t="shared" si="4"/>
        <v>2367192767.0700235</v>
      </c>
      <c r="U36" s="3983">
        <f t="shared" si="4"/>
        <v>2377092669.5182543</v>
      </c>
      <c r="V36" s="3984">
        <f t="shared" si="4"/>
        <v>2387930040.9966536</v>
      </c>
    </row>
    <row r="37" spans="1:22" ht="24" customHeight="1">
      <c r="A37" s="3695"/>
      <c r="B37" s="3978" t="s">
        <v>1989</v>
      </c>
      <c r="C37" s="3978"/>
      <c r="D37" s="3987"/>
      <c r="E37" s="3988"/>
      <c r="F37" s="3988"/>
      <c r="G37" s="3988"/>
      <c r="H37" s="3989"/>
      <c r="I37" s="3988"/>
      <c r="J37" s="3992"/>
      <c r="K37" s="3990"/>
      <c r="L37" s="3990"/>
      <c r="M37" s="3990"/>
      <c r="N37" s="3990"/>
      <c r="O37" s="3990"/>
      <c r="P37" s="3990"/>
      <c r="Q37" s="3990"/>
      <c r="R37" s="3990"/>
      <c r="S37" s="3990"/>
      <c r="T37" s="3990"/>
      <c r="U37" s="3990"/>
      <c r="V37" s="3991"/>
    </row>
    <row r="38" spans="1:22">
      <c r="A38" s="3695" t="s">
        <v>614</v>
      </c>
      <c r="B38" s="3129" t="s">
        <v>717</v>
      </c>
      <c r="C38" s="3129"/>
      <c r="D38" s="3973"/>
      <c r="E38" s="3947">
        <v>151735000</v>
      </c>
      <c r="F38" s="3947">
        <v>151340000</v>
      </c>
      <c r="G38" s="3947">
        <v>195745000</v>
      </c>
      <c r="H38" s="3974">
        <v>245795000</v>
      </c>
      <c r="I38" s="3947">
        <v>194795000</v>
      </c>
      <c r="J38" s="3975">
        <v>296745000</v>
      </c>
      <c r="K38" s="3976">
        <v>245295000</v>
      </c>
      <c r="L38" s="3976">
        <v>295795000</v>
      </c>
      <c r="M38" s="3976">
        <v>281380000</v>
      </c>
      <c r="N38" s="3976">
        <v>266250000</v>
      </c>
      <c r="O38" s="3976">
        <v>250380000</v>
      </c>
      <c r="P38" s="3976">
        <v>233735000</v>
      </c>
      <c r="Q38" s="3976">
        <v>216060340.33448204</v>
      </c>
      <c r="R38" s="3976">
        <v>193878534.82589313</v>
      </c>
      <c r="S38" s="3976">
        <v>173788002.09770906</v>
      </c>
      <c r="T38" s="3976">
        <v>152003793.60593352</v>
      </c>
      <c r="U38" s="3976">
        <v>109174239.59601134</v>
      </c>
      <c r="V38" s="3977">
        <v>106254239.59601134</v>
      </c>
    </row>
    <row r="39" spans="1:22">
      <c r="A39" s="3695"/>
      <c r="B39" s="4014" t="s">
        <v>2676</v>
      </c>
      <c r="C39" s="4014"/>
      <c r="D39" s="3973"/>
      <c r="E39" s="3947">
        <v>928940000</v>
      </c>
      <c r="F39" s="3947">
        <v>1001400000</v>
      </c>
      <c r="G39" s="3947">
        <v>1101530000</v>
      </c>
      <c r="H39" s="3974"/>
      <c r="I39" s="3947">
        <v>1191280000</v>
      </c>
      <c r="J39" s="3975">
        <v>1287803533.5444968</v>
      </c>
      <c r="K39" s="3976">
        <v>1194680000</v>
      </c>
      <c r="L39" s="3976">
        <v>1274815631.85798</v>
      </c>
      <c r="M39" s="3976">
        <v>1327209273.9006734</v>
      </c>
      <c r="N39" s="3976">
        <v>1361656484.7196112</v>
      </c>
      <c r="O39" s="3976">
        <v>1387955977.6293612</v>
      </c>
      <c r="P39" s="3976">
        <v>1413266442.5941548</v>
      </c>
      <c r="Q39" s="3976">
        <v>1441332152.8646224</v>
      </c>
      <c r="R39" s="3976">
        <v>1465191695.4082181</v>
      </c>
      <c r="S39" s="3976">
        <v>1505281833.3242211</v>
      </c>
      <c r="T39" s="3976">
        <v>1540655978.6804214</v>
      </c>
      <c r="U39" s="3976">
        <v>1556394780.1230657</v>
      </c>
      <c r="V39" s="3977">
        <v>1576269486.2042563</v>
      </c>
    </row>
    <row r="40" spans="1:22">
      <c r="A40" s="3695"/>
      <c r="B40" s="4014" t="s">
        <v>3897</v>
      </c>
      <c r="C40" s="4014"/>
      <c r="D40" s="3973"/>
      <c r="E40" s="4015"/>
      <c r="F40" s="4015"/>
      <c r="G40" s="4015">
        <v>-45500000</v>
      </c>
      <c r="H40" s="4016"/>
      <c r="I40" s="4015">
        <v>-80055000</v>
      </c>
      <c r="J40" s="4017">
        <v>-204842509.11992079</v>
      </c>
      <c r="K40" s="4018">
        <v>-114370000</v>
      </c>
      <c r="L40" s="4018">
        <v>-219466983.96960938</v>
      </c>
      <c r="M40" s="4018">
        <v>-220302599.99509901</v>
      </c>
      <c r="N40" s="4018">
        <v>-233082023.83780986</v>
      </c>
      <c r="O40" s="4018">
        <v>-266035897.17011046</v>
      </c>
      <c r="P40" s="4018">
        <v>-312881971.86194301</v>
      </c>
      <c r="Q40" s="4018">
        <v>-368477682.13241053</v>
      </c>
      <c r="R40" s="4018">
        <v>-421187224.6760065</v>
      </c>
      <c r="S40" s="4018">
        <v>-489153994.29237533</v>
      </c>
      <c r="T40" s="4018">
        <v>-553676436.61695576</v>
      </c>
      <c r="U40" s="4018">
        <v>-599936666.90671563</v>
      </c>
      <c r="V40" s="4019">
        <v>-651757658.98890626</v>
      </c>
    </row>
    <row r="41" spans="1:22">
      <c r="A41" s="3695" t="s">
        <v>614</v>
      </c>
      <c r="B41" s="3129" t="s">
        <v>1990</v>
      </c>
      <c r="C41" s="3129"/>
      <c r="D41" s="3973"/>
      <c r="E41" s="3947">
        <f>+E39+E40</f>
        <v>928940000</v>
      </c>
      <c r="F41" s="3947">
        <f>+F39+F40</f>
        <v>1001400000</v>
      </c>
      <c r="G41" s="3947">
        <v>1056030000</v>
      </c>
      <c r="H41" s="3974">
        <v>1195273659.5645547</v>
      </c>
      <c r="I41" s="3947">
        <f t="shared" ref="I41:V41" si="5">SUM(I39:I40)</f>
        <v>1111225000</v>
      </c>
      <c r="J41" s="3975">
        <f t="shared" si="5"/>
        <v>1082961024.424576</v>
      </c>
      <c r="K41" s="3976">
        <f>SUM(K39:K40)</f>
        <v>1080310000</v>
      </c>
      <c r="L41" s="3976">
        <f t="shared" si="5"/>
        <v>1055348647.8883706</v>
      </c>
      <c r="M41" s="3976">
        <f t="shared" si="5"/>
        <v>1106906673.9055743</v>
      </c>
      <c r="N41" s="3976">
        <f t="shared" si="5"/>
        <v>1128574460.8818014</v>
      </c>
      <c r="O41" s="3976">
        <f t="shared" si="5"/>
        <v>1121920080.4592507</v>
      </c>
      <c r="P41" s="3976">
        <f t="shared" si="5"/>
        <v>1100384470.7322118</v>
      </c>
      <c r="Q41" s="3976">
        <f t="shared" si="5"/>
        <v>1072854470.7322118</v>
      </c>
      <c r="R41" s="3976">
        <f t="shared" si="5"/>
        <v>1044004470.7322116</v>
      </c>
      <c r="S41" s="3976">
        <f t="shared" si="5"/>
        <v>1016127839.0318458</v>
      </c>
      <c r="T41" s="3976">
        <f t="shared" si="5"/>
        <v>986979542.0634656</v>
      </c>
      <c r="U41" s="3976">
        <f t="shared" si="5"/>
        <v>956458113.21635008</v>
      </c>
      <c r="V41" s="3977">
        <f t="shared" si="5"/>
        <v>924511827.21535003</v>
      </c>
    </row>
    <row r="42" spans="1:22">
      <c r="A42" s="3695"/>
      <c r="B42" s="3129"/>
      <c r="C42" s="3129"/>
      <c r="D42" s="3973"/>
      <c r="E42" s="3947"/>
      <c r="F42" s="3947"/>
      <c r="G42" s="3947"/>
      <c r="H42" s="3974"/>
      <c r="I42" s="3947"/>
      <c r="J42" s="3975"/>
      <c r="K42" s="3976"/>
      <c r="L42" s="3976"/>
      <c r="M42" s="3976"/>
      <c r="N42" s="3976"/>
      <c r="O42" s="3976"/>
      <c r="P42" s="3976"/>
      <c r="Q42" s="3976"/>
      <c r="R42" s="3976"/>
      <c r="S42" s="3976"/>
      <c r="T42" s="3976"/>
      <c r="U42" s="3976"/>
      <c r="V42" s="3977"/>
    </row>
    <row r="43" spans="1:22">
      <c r="A43" s="3695"/>
      <c r="B43" s="3129"/>
      <c r="C43" s="3129"/>
      <c r="D43" s="3973"/>
      <c r="E43" s="3947"/>
      <c r="F43" s="3947"/>
      <c r="G43" s="3947"/>
      <c r="H43" s="3974"/>
      <c r="I43" s="3947"/>
      <c r="J43" s="3971"/>
      <c r="K43" s="3976"/>
      <c r="L43" s="3976"/>
      <c r="M43" s="3976"/>
      <c r="N43" s="3976"/>
      <c r="O43" s="3976"/>
      <c r="P43" s="3976"/>
      <c r="Q43" s="3976"/>
      <c r="R43" s="3976"/>
      <c r="S43" s="3976"/>
      <c r="T43" s="3976"/>
      <c r="U43" s="3976"/>
      <c r="V43" s="3977"/>
    </row>
    <row r="44" spans="1:22" s="3985" customFormat="1" ht="15.75" thickBot="1">
      <c r="A44" s="3695" t="s">
        <v>3893</v>
      </c>
      <c r="B44" s="3978" t="s">
        <v>1991</v>
      </c>
      <c r="C44" s="3978"/>
      <c r="D44" s="3979"/>
      <c r="E44" s="3993">
        <f>+E38+E41</f>
        <v>1080675000</v>
      </c>
      <c r="F44" s="3993">
        <f>+F38+F41</f>
        <v>1152740000</v>
      </c>
      <c r="G44" s="3993">
        <v>1251775000</v>
      </c>
      <c r="H44" s="3994">
        <v>1441068659.5645547</v>
      </c>
      <c r="I44" s="3993">
        <f t="shared" ref="I44:Q44" si="6">+I38+I41+I42</f>
        <v>1306020000</v>
      </c>
      <c r="J44" s="3995">
        <f t="shared" si="6"/>
        <v>1379706024.424576</v>
      </c>
      <c r="K44" s="3996">
        <f t="shared" si="6"/>
        <v>1325605000</v>
      </c>
      <c r="L44" s="3996">
        <f t="shared" si="6"/>
        <v>1351143647.8883705</v>
      </c>
      <c r="M44" s="3996">
        <f t="shared" si="6"/>
        <v>1388286673.9055743</v>
      </c>
      <c r="N44" s="3996">
        <f>+N38+N41+N42</f>
        <v>1394824460.8818014</v>
      </c>
      <c r="O44" s="3996">
        <f t="shared" si="6"/>
        <v>1372300080.4592507</v>
      </c>
      <c r="P44" s="3996">
        <f t="shared" si="6"/>
        <v>1334119470.7322118</v>
      </c>
      <c r="Q44" s="3996">
        <f t="shared" si="6"/>
        <v>1288914811.0666938</v>
      </c>
      <c r="R44" s="3996">
        <f>+R38+R41</f>
        <v>1237883005.5581048</v>
      </c>
      <c r="S44" s="3996">
        <f>+S38+S41</f>
        <v>1189915841.1295547</v>
      </c>
      <c r="T44" s="3996">
        <f>+T38+T41</f>
        <v>1138983335.669399</v>
      </c>
      <c r="U44" s="3996">
        <f>+U38+U41</f>
        <v>1065632352.8123615</v>
      </c>
      <c r="V44" s="3997">
        <f>+V38+V41</f>
        <v>1030766066.8113613</v>
      </c>
    </row>
    <row r="45" spans="1:22" ht="24" customHeight="1" thickTop="1">
      <c r="A45" s="3695"/>
      <c r="B45" s="3130" t="s">
        <v>1589</v>
      </c>
      <c r="C45" s="3130"/>
      <c r="D45" s="3973"/>
      <c r="E45" s="4020"/>
      <c r="F45" s="4021"/>
      <c r="G45" s="4022">
        <v>0</v>
      </c>
      <c r="H45" s="4023"/>
      <c r="I45" s="4022"/>
      <c r="J45" s="3971"/>
      <c r="K45" s="4024"/>
      <c r="L45" s="4024"/>
      <c r="M45" s="4024"/>
      <c r="N45" s="4024"/>
      <c r="O45" s="4024"/>
      <c r="P45" s="4024"/>
      <c r="Q45" s="4024"/>
      <c r="R45" s="4024"/>
      <c r="S45" s="4024"/>
      <c r="T45" s="4024"/>
      <c r="U45" s="4024"/>
      <c r="V45" s="4025"/>
    </row>
    <row r="46" spans="1:22" s="4031" customFormat="1" ht="15" customHeight="1">
      <c r="A46" s="3695" t="s">
        <v>3898</v>
      </c>
      <c r="B46" s="4026" t="s">
        <v>1992</v>
      </c>
      <c r="C46" s="4026"/>
      <c r="D46" s="4027"/>
      <c r="E46" s="4020">
        <v>52353360.310000002</v>
      </c>
      <c r="F46" s="4020">
        <v>55640876.630000003</v>
      </c>
      <c r="G46" s="4020">
        <v>61099098.909999996</v>
      </c>
      <c r="H46" s="4028">
        <v>51632624.07413055</v>
      </c>
      <c r="I46" s="4020">
        <v>51082310.369999997</v>
      </c>
      <c r="J46" s="3975">
        <v>47694471.542054527</v>
      </c>
      <c r="K46" s="4029">
        <v>39278145.865235783</v>
      </c>
      <c r="L46" s="4029">
        <v>40915980.700040989</v>
      </c>
      <c r="M46" s="4029">
        <v>39395696.787638061</v>
      </c>
      <c r="N46" s="4029">
        <v>34422363.37476857</v>
      </c>
      <c r="O46" s="4029">
        <v>29417035.325962219</v>
      </c>
      <c r="P46" s="4029">
        <v>23755028.832793873</v>
      </c>
      <c r="Q46" s="4029">
        <v>20886469.139375698</v>
      </c>
      <c r="R46" s="4029">
        <v>17391507.670925897</v>
      </c>
      <c r="S46" s="4029">
        <v>14555273.492445875</v>
      </c>
      <c r="T46" s="4029">
        <v>15254264.69797747</v>
      </c>
      <c r="U46" s="4029">
        <v>15953497.336456399</v>
      </c>
      <c r="V46" s="4030">
        <v>16605462.787722303</v>
      </c>
    </row>
    <row r="47" spans="1:22" ht="15" customHeight="1">
      <c r="A47" s="3695"/>
      <c r="B47" s="4032" t="s">
        <v>282</v>
      </c>
      <c r="C47" s="4032"/>
      <c r="D47" s="4033"/>
      <c r="E47" s="4022"/>
      <c r="F47" s="4022"/>
      <c r="G47" s="4034"/>
      <c r="H47" s="4035"/>
      <c r="I47" s="4034"/>
      <c r="J47" s="3971"/>
      <c r="K47" s="4036"/>
      <c r="L47" s="4036"/>
      <c r="M47" s="4036"/>
      <c r="N47" s="4036"/>
      <c r="O47" s="4036"/>
      <c r="P47" s="4036"/>
      <c r="Q47" s="4036"/>
      <c r="R47" s="4036"/>
      <c r="S47" s="4036"/>
      <c r="T47" s="4036"/>
      <c r="U47" s="4036"/>
      <c r="V47" s="4037"/>
    </row>
    <row r="48" spans="1:22" ht="15" customHeight="1">
      <c r="A48" s="3695" t="s">
        <v>3899</v>
      </c>
      <c r="B48" s="3958" t="s">
        <v>1993</v>
      </c>
      <c r="C48" s="3958"/>
      <c r="D48" s="4033"/>
      <c r="E48" s="4022">
        <v>35898392.670000002</v>
      </c>
      <c r="F48" s="4022">
        <v>39491315.259999998</v>
      </c>
      <c r="G48" s="4022">
        <v>39844713.32</v>
      </c>
      <c r="H48" s="4023">
        <v>42738411.598555408</v>
      </c>
      <c r="I48" s="4022">
        <v>39127178.289999999</v>
      </c>
      <c r="J48" s="4038">
        <v>44297798.456832893</v>
      </c>
      <c r="K48" s="4024">
        <v>43531453.291868187</v>
      </c>
      <c r="L48" s="4024">
        <v>44989634.477812454</v>
      </c>
      <c r="M48" s="4024">
        <v>46518292.563786894</v>
      </c>
      <c r="N48" s="4024">
        <v>48099603.22360158</v>
      </c>
      <c r="O48" s="4024">
        <v>49757677.430375405</v>
      </c>
      <c r="P48" s="4024">
        <v>51427935.380106501</v>
      </c>
      <c r="Q48" s="4024">
        <v>53178923.209722184</v>
      </c>
      <c r="R48" s="4024">
        <v>54990346.830689944</v>
      </c>
      <c r="S48" s="4024">
        <v>56889753.16899512</v>
      </c>
      <c r="T48" s="4024">
        <v>58803400.062346295</v>
      </c>
      <c r="U48" s="4024">
        <v>60809265.413095213</v>
      </c>
      <c r="V48" s="4025">
        <v>62884806.652610816</v>
      </c>
    </row>
    <row r="49" spans="1:37" ht="15" customHeight="1">
      <c r="A49" s="3695" t="s">
        <v>3899</v>
      </c>
      <c r="B49" s="3958" t="s">
        <v>1994</v>
      </c>
      <c r="C49" s="3958"/>
      <c r="D49" s="4033"/>
      <c r="E49" s="4022">
        <v>19500592.379999999</v>
      </c>
      <c r="F49" s="4022">
        <v>20872915.789999999</v>
      </c>
      <c r="G49" s="4022">
        <v>23026316.329999998</v>
      </c>
      <c r="H49" s="4023">
        <v>21487249.328228328</v>
      </c>
      <c r="I49" s="4022">
        <v>24480559.899999999</v>
      </c>
      <c r="J49" s="4039">
        <v>22637962.345862966</v>
      </c>
      <c r="K49" s="4024">
        <v>24637578.548990082</v>
      </c>
      <c r="L49" s="4024">
        <v>24403898.268059745</v>
      </c>
      <c r="M49" s="4024">
        <v>25146863.10471677</v>
      </c>
      <c r="N49" s="4024">
        <v>25909784.975532852</v>
      </c>
      <c r="O49" s="4024">
        <v>26693164.975939684</v>
      </c>
      <c r="P49" s="4024">
        <v>27497516.262372579</v>
      </c>
      <c r="Q49" s="4024">
        <v>28325257.032834388</v>
      </c>
      <c r="R49" s="4024">
        <v>29173177.875076525</v>
      </c>
      <c r="S49" s="4024">
        <v>30045654.611779064</v>
      </c>
      <c r="T49" s="4024">
        <v>30939352.599944133</v>
      </c>
      <c r="U49" s="4024">
        <v>31858828.963583749</v>
      </c>
      <c r="V49" s="4025">
        <v>32802708.640728962</v>
      </c>
    </row>
    <row r="50" spans="1:37" ht="15" customHeight="1">
      <c r="A50" s="3695" t="s">
        <v>3899</v>
      </c>
      <c r="B50" s="3958" t="s">
        <v>1995</v>
      </c>
      <c r="C50" s="3958"/>
      <c r="D50" s="4033"/>
      <c r="E50" s="4022">
        <v>87492420.109999999</v>
      </c>
      <c r="F50" s="4022">
        <v>88107396.670000002</v>
      </c>
      <c r="G50" s="4022">
        <v>95768874.780000001</v>
      </c>
      <c r="H50" s="4023">
        <v>104311920.2169649</v>
      </c>
      <c r="I50" s="4022">
        <v>108273391.01000001</v>
      </c>
      <c r="J50" s="4040">
        <v>114088816.74064162</v>
      </c>
      <c r="K50" s="4024">
        <v>109428726.95331162</v>
      </c>
      <c r="L50" s="4024">
        <v>122428066.17409201</v>
      </c>
      <c r="M50" s="4024">
        <v>134153215.08020532</v>
      </c>
      <c r="N50" s="4024">
        <v>149245444.22301272</v>
      </c>
      <c r="O50" s="4024">
        <v>160967524.77145281</v>
      </c>
      <c r="P50" s="4024">
        <v>170999157.16280204</v>
      </c>
      <c r="Q50" s="4024">
        <v>179885258.73449206</v>
      </c>
      <c r="R50" s="4024">
        <v>190091202.38155407</v>
      </c>
      <c r="S50" s="4024">
        <v>201361785.30421868</v>
      </c>
      <c r="T50" s="4024">
        <v>208518131.7685532</v>
      </c>
      <c r="U50" s="4024">
        <v>216008142.25112152</v>
      </c>
      <c r="V50" s="4025">
        <v>223655757.33921617</v>
      </c>
    </row>
    <row r="51" spans="1:37" ht="15" customHeight="1">
      <c r="A51" s="3695" t="s">
        <v>3899</v>
      </c>
      <c r="B51" s="3958" t="s">
        <v>1996</v>
      </c>
      <c r="C51" s="3958"/>
      <c r="D51" s="4033"/>
      <c r="E51" s="4022">
        <v>1019343.15</v>
      </c>
      <c r="F51" s="4022">
        <v>1033363.04</v>
      </c>
      <c r="G51" s="4022">
        <v>1034154.75</v>
      </c>
      <c r="H51" s="4023">
        <v>929613.2037372</v>
      </c>
      <c r="I51" s="4022">
        <v>1034084.13</v>
      </c>
      <c r="J51" s="4038">
        <v>946409.53498642414</v>
      </c>
      <c r="K51" s="4024">
        <v>931539.80856738507</v>
      </c>
      <c r="L51" s="4024">
        <v>950170.6047387328</v>
      </c>
      <c r="M51" s="4024">
        <v>969174.01683350746</v>
      </c>
      <c r="N51" s="4024">
        <v>988557.49717017752</v>
      </c>
      <c r="O51" s="4024">
        <v>1008328.6471135811</v>
      </c>
      <c r="P51" s="4024">
        <v>1028495.2200558528</v>
      </c>
      <c r="Q51" s="4024">
        <v>1049065.1244569698</v>
      </c>
      <c r="R51" s="4024">
        <v>1070046.4269461092</v>
      </c>
      <c r="S51" s="4024">
        <v>1091447.3554850316</v>
      </c>
      <c r="T51" s="4024">
        <v>1113276.3025947323</v>
      </c>
      <c r="U51" s="4024">
        <v>1135541.8286466268</v>
      </c>
      <c r="V51" s="4025">
        <v>1158252.6652195593</v>
      </c>
    </row>
    <row r="52" spans="1:37" ht="15" customHeight="1">
      <c r="A52" s="3695" t="s">
        <v>3491</v>
      </c>
      <c r="B52" s="3958" t="s">
        <v>1997</v>
      </c>
      <c r="C52" s="3958"/>
      <c r="D52" s="4033"/>
      <c r="E52" s="4022">
        <v>61782022.190000005</v>
      </c>
      <c r="F52" s="4022">
        <v>79362805.569999993</v>
      </c>
      <c r="G52" s="4022">
        <v>81078094.420000002</v>
      </c>
      <c r="H52" s="4023">
        <v>80207860.13499999</v>
      </c>
      <c r="I52" s="4022">
        <v>82073129.729999989</v>
      </c>
      <c r="J52" s="4038">
        <v>55473027.585478716</v>
      </c>
      <c r="K52" s="4024">
        <v>56515198.579858921</v>
      </c>
      <c r="L52" s="4024">
        <v>49624959.538601264</v>
      </c>
      <c r="M52" s="4024">
        <v>42184476.423588559</v>
      </c>
      <c r="N52" s="4024">
        <v>38806640.701018848</v>
      </c>
      <c r="O52" s="4024">
        <v>44633276.291625708</v>
      </c>
      <c r="P52" s="4024">
        <v>107117376.3092228</v>
      </c>
      <c r="Q52" s="4024">
        <v>115565419.68582402</v>
      </c>
      <c r="R52" s="4024">
        <v>116787151.32321164</v>
      </c>
      <c r="S52" s="4024">
        <v>121107298.90224025</v>
      </c>
      <c r="T52" s="4024">
        <v>120788226.76333712</v>
      </c>
      <c r="U52" s="4024">
        <v>126949775.10137782</v>
      </c>
      <c r="V52" s="4025">
        <v>124784588.95307863</v>
      </c>
    </row>
    <row r="53" spans="1:37" ht="15" customHeight="1">
      <c r="A53" s="3695" t="s">
        <v>3899</v>
      </c>
      <c r="B53" s="3129" t="s">
        <v>1998</v>
      </c>
      <c r="C53" s="3129"/>
      <c r="D53" s="3973"/>
      <c r="E53" s="3947">
        <v>3832582.0900000003</v>
      </c>
      <c r="F53" s="3947">
        <v>4403766.55</v>
      </c>
      <c r="G53" s="3947">
        <v>5100712.32</v>
      </c>
      <c r="H53" s="3974">
        <v>4492282.7166999998</v>
      </c>
      <c r="I53" s="3947">
        <v>5338187.4400000004</v>
      </c>
      <c r="J53" s="4038">
        <v>5203236.6376320003</v>
      </c>
      <c r="K53" s="3976">
        <v>5203236.6376320003</v>
      </c>
      <c r="L53" s="3976">
        <v>5255269.0040083202</v>
      </c>
      <c r="M53" s="3976">
        <v>5307821.6940484038</v>
      </c>
      <c r="N53" s="3976">
        <v>5360899.9109888878</v>
      </c>
      <c r="O53" s="3976">
        <v>5414508.9100987772</v>
      </c>
      <c r="P53" s="3976">
        <v>5468653.9991997648</v>
      </c>
      <c r="Q53" s="3976">
        <v>5523340.5391917629</v>
      </c>
      <c r="R53" s="3976">
        <v>5578573.9445836805</v>
      </c>
      <c r="S53" s="3976">
        <v>5634359.6840295177</v>
      </c>
      <c r="T53" s="3976">
        <v>5690703.2808698127</v>
      </c>
      <c r="U53" s="3976">
        <v>5747610.3136785105</v>
      </c>
      <c r="V53" s="3977">
        <v>5805086.4168152958</v>
      </c>
    </row>
    <row r="54" spans="1:37" ht="15" customHeight="1">
      <c r="A54" s="3695" t="s">
        <v>3900</v>
      </c>
      <c r="B54" s="3129" t="s">
        <v>1999</v>
      </c>
      <c r="C54" s="3129"/>
      <c r="D54" s="3973"/>
      <c r="E54" s="3947">
        <v>1373408.47</v>
      </c>
      <c r="F54" s="3947">
        <v>1514941.95</v>
      </c>
      <c r="G54" s="3947">
        <v>1713108.76</v>
      </c>
      <c r="H54" s="3974">
        <v>1375764.9040576871</v>
      </c>
      <c r="I54" s="3947">
        <v>1759509.1099999999</v>
      </c>
      <c r="J54" s="4038">
        <v>1396401.3776185524</v>
      </c>
      <c r="K54" s="3976">
        <v>1764887.472271</v>
      </c>
      <c r="L54" s="3976">
        <v>1791360.7843550646</v>
      </c>
      <c r="M54" s="3976">
        <v>1818231.1961203904</v>
      </c>
      <c r="N54" s="3976">
        <v>1845504.6640621962</v>
      </c>
      <c r="O54" s="3976">
        <v>1873187.2340231291</v>
      </c>
      <c r="P54" s="3976">
        <v>1901285.0425334757</v>
      </c>
      <c r="Q54" s="3976">
        <v>1929804.3181714774</v>
      </c>
      <c r="R54" s="3976">
        <v>1958751.3829440495</v>
      </c>
      <c r="S54" s="3976">
        <v>1988132.6536882103</v>
      </c>
      <c r="T54" s="3976">
        <v>2017954.6434935331</v>
      </c>
      <c r="U54" s="3976">
        <v>2048223.9631459359</v>
      </c>
      <c r="V54" s="3977">
        <v>2078947.3225931248</v>
      </c>
    </row>
    <row r="55" spans="1:37" ht="15" customHeight="1">
      <c r="A55" s="3695" t="s">
        <v>3900</v>
      </c>
      <c r="B55" s="3129" t="s">
        <v>2000</v>
      </c>
      <c r="C55" s="3129"/>
      <c r="D55" s="3973"/>
      <c r="E55" s="3947">
        <v>3847423.78</v>
      </c>
      <c r="F55" s="3947">
        <v>11966255.630000001</v>
      </c>
      <c r="G55" s="3947">
        <v>22766657.059999999</v>
      </c>
      <c r="H55" s="3974">
        <v>14616855.670935536</v>
      </c>
      <c r="I55" s="3947">
        <v>13222301.92</v>
      </c>
      <c r="J55" s="4038">
        <v>19797974.36389247</v>
      </c>
      <c r="K55" s="3976">
        <v>18881042.1085</v>
      </c>
      <c r="L55" s="3976">
        <v>3771216.7979882499</v>
      </c>
      <c r="M55" s="3976">
        <v>6481437.273579197</v>
      </c>
      <c r="N55" s="3976">
        <v>13491703.741310302</v>
      </c>
      <c r="O55" s="3976">
        <v>2302016.4081461993</v>
      </c>
      <c r="P55" s="3976">
        <v>2312375.481982857</v>
      </c>
      <c r="Q55" s="3976">
        <v>2322781.1716517797</v>
      </c>
      <c r="R55" s="3976">
        <v>2333233.6869242126</v>
      </c>
      <c r="S55" s="3976">
        <v>2343733.2385153715</v>
      </c>
      <c r="T55" s="3976">
        <v>2354280.0380886905</v>
      </c>
      <c r="U55" s="3976">
        <v>2364874.2982600895</v>
      </c>
      <c r="V55" s="3977">
        <v>2375516.2326022596</v>
      </c>
    </row>
    <row r="56" spans="1:37" s="3985" customFormat="1" ht="15" customHeight="1" thickBot="1">
      <c r="A56" s="3695" t="s">
        <v>3893</v>
      </c>
      <c r="B56" s="3978" t="s">
        <v>387</v>
      </c>
      <c r="C56" s="3978"/>
      <c r="D56" s="3979"/>
      <c r="E56" s="3993">
        <f>SUM(E46:E55)</f>
        <v>267099545.15000001</v>
      </c>
      <c r="F56" s="3993">
        <f t="shared" ref="F56:V56" si="7">SUM(F46:F55)</f>
        <v>302393637.09000003</v>
      </c>
      <c r="G56" s="3993">
        <v>331431730.64999998</v>
      </c>
      <c r="H56" s="3994">
        <v>321792581.84830958</v>
      </c>
      <c r="I56" s="3993">
        <f>SUM(I46:I55)</f>
        <v>326390651.89999998</v>
      </c>
      <c r="J56" s="3995">
        <f>SUM(J46:J55)</f>
        <v>311536098.58500022</v>
      </c>
      <c r="K56" s="3996">
        <f t="shared" si="7"/>
        <v>300171809.26623499</v>
      </c>
      <c r="L56" s="3996">
        <f t="shared" si="7"/>
        <v>294130556.34969676</v>
      </c>
      <c r="M56" s="3996">
        <f t="shared" si="7"/>
        <v>301975208.14051712</v>
      </c>
      <c r="N56" s="3996">
        <f t="shared" si="7"/>
        <v>318170502.3114661</v>
      </c>
      <c r="O56" s="3996">
        <f t="shared" si="7"/>
        <v>322066719.99473757</v>
      </c>
      <c r="P56" s="3996">
        <f t="shared" si="7"/>
        <v>391507823.69106972</v>
      </c>
      <c r="Q56" s="3996">
        <f t="shared" si="7"/>
        <v>408666318.95572037</v>
      </c>
      <c r="R56" s="3996">
        <f t="shared" si="7"/>
        <v>419373991.52285606</v>
      </c>
      <c r="S56" s="3996">
        <f t="shared" si="7"/>
        <v>435017438.41139704</v>
      </c>
      <c r="T56" s="3996">
        <f t="shared" si="7"/>
        <v>445479590.15720499</v>
      </c>
      <c r="U56" s="3996">
        <f t="shared" si="7"/>
        <v>462875759.46936578</v>
      </c>
      <c r="V56" s="3997">
        <f t="shared" si="7"/>
        <v>472151127.0105871</v>
      </c>
    </row>
    <row r="57" spans="1:37" s="4042" customFormat="1" ht="15.75" thickTop="1">
      <c r="A57" s="3695" t="s">
        <v>2699</v>
      </c>
      <c r="B57" s="3725" t="s">
        <v>3901</v>
      </c>
      <c r="C57" s="3725"/>
      <c r="D57" s="3725"/>
      <c r="E57" s="3725">
        <f>SUM(E46:E54)</f>
        <v>263252121.37</v>
      </c>
      <c r="F57" s="3725">
        <f>SUM(F46:F54)</f>
        <v>290427381.46000004</v>
      </c>
      <c r="G57" s="4004">
        <v>308665073.58999997</v>
      </c>
      <c r="H57" s="4005"/>
      <c r="I57" s="4004"/>
      <c r="J57" s="4041"/>
      <c r="K57" s="3725"/>
      <c r="L57" s="3725"/>
      <c r="M57" s="3725"/>
      <c r="N57" s="3725"/>
      <c r="O57" s="3725"/>
      <c r="P57" s="3725"/>
      <c r="Q57" s="3725"/>
      <c r="R57" s="3725"/>
      <c r="S57" s="3725"/>
      <c r="T57" s="3725"/>
      <c r="U57" s="3725"/>
      <c r="V57" s="4006"/>
    </row>
    <row r="58" spans="1:37" ht="24" customHeight="1">
      <c r="A58" s="3695"/>
      <c r="B58" s="3130" t="s">
        <v>2001</v>
      </c>
      <c r="C58" s="3130"/>
      <c r="D58" s="3973"/>
      <c r="E58" s="3988"/>
      <c r="F58" s="3988"/>
      <c r="G58" s="3988"/>
      <c r="H58" s="3989"/>
      <c r="I58" s="3988"/>
      <c r="J58" s="3971"/>
      <c r="K58" s="3990"/>
      <c r="L58" s="3990"/>
      <c r="M58" s="3990"/>
      <c r="N58" s="3990"/>
      <c r="O58" s="3990"/>
      <c r="P58" s="3990"/>
      <c r="Q58" s="3990"/>
      <c r="R58" s="3990"/>
      <c r="S58" s="3990"/>
      <c r="T58" s="3990"/>
      <c r="U58" s="3990"/>
      <c r="V58" s="3991"/>
      <c r="W58" s="4043"/>
    </row>
    <row r="59" spans="1:37" ht="15" customHeight="1">
      <c r="A59" s="3695"/>
      <c r="B59" s="4044" t="s">
        <v>717</v>
      </c>
      <c r="C59" s="4044"/>
      <c r="D59" s="4045"/>
      <c r="E59" s="3988"/>
      <c r="F59" s="3988"/>
      <c r="G59" s="3988"/>
      <c r="H59" s="3989"/>
      <c r="I59" s="3988"/>
      <c r="J59" s="3971"/>
      <c r="K59" s="3990"/>
      <c r="L59" s="3990"/>
      <c r="M59" s="3990"/>
      <c r="N59" s="3990"/>
      <c r="O59" s="3990"/>
      <c r="P59" s="3990"/>
      <c r="Q59" s="3990"/>
      <c r="R59" s="3990"/>
      <c r="S59" s="3990"/>
      <c r="T59" s="3990"/>
      <c r="U59" s="3990"/>
      <c r="V59" s="3991"/>
      <c r="W59" s="4043"/>
      <c r="Y59" s="3958">
        <v>2015</v>
      </c>
      <c r="Z59" s="3958">
        <v>2016</v>
      </c>
      <c r="AA59" s="3958">
        <v>2017</v>
      </c>
      <c r="AB59" s="3958">
        <v>2018</v>
      </c>
      <c r="AC59" s="3958">
        <v>2019</v>
      </c>
      <c r="AD59" s="3958">
        <v>2020</v>
      </c>
      <c r="AE59" s="3958">
        <v>2021</v>
      </c>
      <c r="AF59" s="3958">
        <v>2022</v>
      </c>
      <c r="AG59" s="3958">
        <v>2023</v>
      </c>
      <c r="AH59" s="3958">
        <v>2024</v>
      </c>
      <c r="AI59" s="3958">
        <v>2025</v>
      </c>
      <c r="AJ59" s="3958">
        <v>2026</v>
      </c>
      <c r="AK59" s="3958">
        <v>2027</v>
      </c>
    </row>
    <row r="60" spans="1:37" ht="15" customHeight="1">
      <c r="A60" s="3695" t="s">
        <v>3491</v>
      </c>
      <c r="B60" s="3129" t="s">
        <v>2002</v>
      </c>
      <c r="C60" s="3129"/>
      <c r="D60" s="3973"/>
      <c r="E60" s="3947">
        <v>17394708.09</v>
      </c>
      <c r="F60" s="3947">
        <v>30634411.129999999</v>
      </c>
      <c r="G60" s="3947">
        <v>52661572.469999999</v>
      </c>
      <c r="H60" s="3974">
        <v>20973081.087273747</v>
      </c>
      <c r="I60" s="3947">
        <v>27634074.620000001</v>
      </c>
      <c r="J60" s="3975">
        <v>-2002697.6684850585</v>
      </c>
      <c r="K60" s="3976">
        <v>0.30440000025555491</v>
      </c>
      <c r="L60" s="3976">
        <v>-0.34545600047567859</v>
      </c>
      <c r="M60" s="3976">
        <v>0.19048948906129226</v>
      </c>
      <c r="N60" s="3976">
        <v>-0.49331974721280858</v>
      </c>
      <c r="O60" s="3976">
        <v>6.3735854520928115E-2</v>
      </c>
      <c r="P60" s="3976">
        <v>56600139.461584315</v>
      </c>
      <c r="Q60" s="3976">
        <v>59455258.945349813</v>
      </c>
      <c r="R60" s="3976">
        <v>58210106.724317424</v>
      </c>
      <c r="S60" s="3976">
        <v>58987352.781878144</v>
      </c>
      <c r="T60" s="3976">
        <v>63724441.690983161</v>
      </c>
      <c r="U60" s="3976">
        <v>69405510.597127512</v>
      </c>
      <c r="V60" s="3977">
        <v>74977011.753922909</v>
      </c>
      <c r="W60" s="4043"/>
      <c r="X60" s="4046"/>
      <c r="Y60" s="4199">
        <f>(I60/G60)-1</f>
        <v>-0.47525162421341571</v>
      </c>
      <c r="Z60" s="4199">
        <f>K60/I60-1</f>
        <v>-0.99999998898461395</v>
      </c>
      <c r="AA60" s="4199">
        <f>L60/K60-1</f>
        <v>-2.1348751648674629</v>
      </c>
      <c r="AB60" s="4199">
        <f t="shared" ref="AB60:AK68" si="8">M60/L60-1</f>
        <v>-1.5514146195144856</v>
      </c>
      <c r="AC60" s="4199">
        <f t="shared" si="8"/>
        <v>-3.5897478629599195</v>
      </c>
      <c r="AD60" s="4199">
        <f t="shared" si="8"/>
        <v>-1.1291978577403952</v>
      </c>
      <c r="AE60" s="4199">
        <f t="shared" si="8"/>
        <v>888042371.49222517</v>
      </c>
      <c r="AF60" s="4199">
        <f t="shared" si="8"/>
        <v>5.0443682841158521E-2</v>
      </c>
      <c r="AG60" s="4199">
        <f t="shared" si="8"/>
        <v>-2.0942675940187394E-2</v>
      </c>
      <c r="AH60" s="4199">
        <f t="shared" si="8"/>
        <v>1.3352424541012375E-2</v>
      </c>
      <c r="AI60" s="4199">
        <f t="shared" si="8"/>
        <v>8.0306857075307381E-2</v>
      </c>
      <c r="AJ60" s="4199">
        <f t="shared" si="8"/>
        <v>8.915054813180423E-2</v>
      </c>
      <c r="AK60" s="4199">
        <f t="shared" si="8"/>
        <v>8.0274622416306896E-2</v>
      </c>
    </row>
    <row r="61" spans="1:37" ht="15" customHeight="1">
      <c r="A61" s="3695" t="s">
        <v>2198</v>
      </c>
      <c r="B61" s="3129" t="s">
        <v>2003</v>
      </c>
      <c r="C61" s="3129"/>
      <c r="D61" s="3973"/>
      <c r="E61" s="3947">
        <v>461071.88</v>
      </c>
      <c r="F61" s="3947">
        <v>464652.82</v>
      </c>
      <c r="G61" s="3947">
        <v>405417.2</v>
      </c>
      <c r="H61" s="3974">
        <v>435603.30297171272</v>
      </c>
      <c r="I61" s="3947">
        <v>418725.12</v>
      </c>
      <c r="J61" s="3975">
        <v>616851.15745518217</v>
      </c>
      <c r="K61" s="3976">
        <v>455028.15503329912</v>
      </c>
      <c r="L61" s="3976">
        <v>502522.19229343906</v>
      </c>
      <c r="M61" s="3976">
        <v>530303.82626700692</v>
      </c>
      <c r="N61" s="3976">
        <v>543420.22634831502</v>
      </c>
      <c r="O61" s="3976">
        <v>563438.85317375336</v>
      </c>
      <c r="P61" s="3976">
        <v>577492.46389164461</v>
      </c>
      <c r="Q61" s="3976">
        <v>592985.74542125559</v>
      </c>
      <c r="R61" s="3976">
        <v>618120.2517056705</v>
      </c>
      <c r="S61" s="3976">
        <v>635063.69790164474</v>
      </c>
      <c r="T61" s="3976">
        <v>653342.73910223681</v>
      </c>
      <c r="U61" s="3976">
        <v>683409.96548229048</v>
      </c>
      <c r="V61" s="3977">
        <v>711450.46271547675</v>
      </c>
      <c r="W61" s="4043"/>
      <c r="X61" s="4046"/>
      <c r="Y61" s="4199">
        <f t="shared" ref="Y61:Y68" si="9">(I61/G61)-1</f>
        <v>3.2825247670794422E-2</v>
      </c>
      <c r="Z61" s="4199">
        <f t="shared" ref="Z61:Z68" si="10">K61/I61-1</f>
        <v>8.6698966217501061E-2</v>
      </c>
      <c r="AA61" s="4199">
        <f t="shared" ref="AA61:AA68" si="11">L61/K61-1</f>
        <v>0.10437604076755269</v>
      </c>
      <c r="AB61" s="4199">
        <f t="shared" si="8"/>
        <v>5.5284392211170763E-2</v>
      </c>
      <c r="AC61" s="4199">
        <f t="shared" si="8"/>
        <v>2.4733745886087677E-2</v>
      </c>
      <c r="AD61" s="4199">
        <f t="shared" si="8"/>
        <v>3.6838207072195095E-2</v>
      </c>
      <c r="AE61" s="4199">
        <f t="shared" si="8"/>
        <v>2.4942565885774037E-2</v>
      </c>
      <c r="AF61" s="4199">
        <f t="shared" si="8"/>
        <v>2.6828543224969303E-2</v>
      </c>
      <c r="AG61" s="4199">
        <f t="shared" si="8"/>
        <v>4.2386358320568807E-2</v>
      </c>
      <c r="AH61" s="4199">
        <f t="shared" si="8"/>
        <v>2.7411245868776746E-2</v>
      </c>
      <c r="AI61" s="4199">
        <f t="shared" si="8"/>
        <v>2.8783004383637456E-2</v>
      </c>
      <c r="AJ61" s="4199">
        <f t="shared" si="8"/>
        <v>4.6020602327913274E-2</v>
      </c>
      <c r="AK61" s="4199">
        <f t="shared" si="8"/>
        <v>4.1030272675929957E-2</v>
      </c>
    </row>
    <row r="62" spans="1:37" ht="15" customHeight="1">
      <c r="A62" s="3695" t="s">
        <v>2198</v>
      </c>
      <c r="B62" s="3129" t="s">
        <v>600</v>
      </c>
      <c r="C62" s="3129"/>
      <c r="D62" s="3973"/>
      <c r="E62" s="3947">
        <v>6933438.7199999997</v>
      </c>
      <c r="F62" s="3947">
        <v>6271196.5999999996</v>
      </c>
      <c r="G62" s="3947">
        <v>4721334.16</v>
      </c>
      <c r="H62" s="3974">
        <v>4520150.5907117659</v>
      </c>
      <c r="I62" s="3947">
        <v>8075510.46</v>
      </c>
      <c r="J62" s="3975">
        <v>2209557.0778420512</v>
      </c>
      <c r="K62" s="3976">
        <v>2566753.9179197438</v>
      </c>
      <c r="L62" s="3976">
        <v>2751826.7140462874</v>
      </c>
      <c r="M62" s="3976">
        <v>2895166.6470514582</v>
      </c>
      <c r="N62" s="3976">
        <v>2977280.9494048371</v>
      </c>
      <c r="O62" s="3976">
        <v>3091418.9213395799</v>
      </c>
      <c r="P62" s="3976">
        <v>3177710.534435506</v>
      </c>
      <c r="Q62" s="3976">
        <v>3274249.798464187</v>
      </c>
      <c r="R62" s="3976">
        <v>3416477.7732745851</v>
      </c>
      <c r="S62" s="3976">
        <v>3520467.8803847795</v>
      </c>
      <c r="T62" s="3976">
        <v>3632351.8566670055</v>
      </c>
      <c r="U62" s="3976">
        <v>3801447.4401745847</v>
      </c>
      <c r="V62" s="3977">
        <v>3920322.9355704649</v>
      </c>
      <c r="W62" s="4043"/>
      <c r="X62" s="4046"/>
      <c r="Y62" s="4199">
        <f t="shared" si="9"/>
        <v>0.71042976123511647</v>
      </c>
      <c r="Z62" s="4199">
        <f t="shared" si="10"/>
        <v>-0.68215583019382975</v>
      </c>
      <c r="AA62" s="4199">
        <f t="shared" si="11"/>
        <v>7.2103833107825865E-2</v>
      </c>
      <c r="AB62" s="4199">
        <f t="shared" si="8"/>
        <v>5.2089011373250171E-2</v>
      </c>
      <c r="AC62" s="4199">
        <f t="shared" si="8"/>
        <v>2.8362547778383318E-2</v>
      </c>
      <c r="AD62" s="4199">
        <f t="shared" si="8"/>
        <v>3.8336312183624877E-2</v>
      </c>
      <c r="AE62" s="4199">
        <f t="shared" si="8"/>
        <v>2.79132706668348E-2</v>
      </c>
      <c r="AF62" s="4199">
        <f t="shared" si="8"/>
        <v>3.0380131538894295E-2</v>
      </c>
      <c r="AG62" s="4199">
        <f t="shared" si="8"/>
        <v>4.3438339639544798E-2</v>
      </c>
      <c r="AH62" s="4199">
        <f t="shared" si="8"/>
        <v>3.0437811691226946E-2</v>
      </c>
      <c r="AI62" s="4199">
        <f t="shared" si="8"/>
        <v>3.1780996186790089E-2</v>
      </c>
      <c r="AJ62" s="4199">
        <f t="shared" si="8"/>
        <v>4.6552644176585556E-2</v>
      </c>
      <c r="AK62" s="4199">
        <f t="shared" si="8"/>
        <v>3.1271113770922065E-2</v>
      </c>
    </row>
    <row r="63" spans="1:37" ht="15" customHeight="1">
      <c r="A63" s="3695" t="s">
        <v>2198</v>
      </c>
      <c r="B63" s="3129" t="s">
        <v>601</v>
      </c>
      <c r="C63" s="3129"/>
      <c r="D63" s="3973"/>
      <c r="E63" s="3947">
        <v>13420393.34</v>
      </c>
      <c r="F63" s="3947">
        <v>15271748.720000001</v>
      </c>
      <c r="G63" s="3947">
        <v>14625271.01</v>
      </c>
      <c r="H63" s="3974">
        <v>12745105.109955898</v>
      </c>
      <c r="I63" s="3947">
        <v>13903667.529999999</v>
      </c>
      <c r="J63" s="3975">
        <v>10172160.920294028</v>
      </c>
      <c r="K63" s="3976">
        <v>13374530.556853719</v>
      </c>
      <c r="L63" s="3976">
        <v>14732458.858004171</v>
      </c>
      <c r="M63" s="3976">
        <v>15517677.528446738</v>
      </c>
      <c r="N63" s="3976">
        <v>15882420.172470961</v>
      </c>
      <c r="O63" s="3976">
        <v>16471212.033784518</v>
      </c>
      <c r="P63" s="3976">
        <v>16820601.78451601</v>
      </c>
      <c r="Q63" s="3976">
        <v>17262032.579929497</v>
      </c>
      <c r="R63" s="3976">
        <v>18039491.139086608</v>
      </c>
      <c r="S63" s="3976">
        <v>18493525.05253832</v>
      </c>
      <c r="T63" s="3976">
        <v>18998187.845031723</v>
      </c>
      <c r="U63" s="3976">
        <v>19940275.706076343</v>
      </c>
      <c r="V63" s="3977">
        <v>20736459.225123405</v>
      </c>
      <c r="W63" s="4043"/>
      <c r="X63" s="4046"/>
      <c r="Y63" s="4199">
        <f t="shared" si="9"/>
        <v>-4.9339494598534706E-2</v>
      </c>
      <c r="Z63" s="4199">
        <f t="shared" si="10"/>
        <v>-3.8057366662757053E-2</v>
      </c>
      <c r="AA63" s="4199">
        <f t="shared" si="11"/>
        <v>0.10153091320686292</v>
      </c>
      <c r="AB63" s="4199">
        <f t="shared" si="8"/>
        <v>5.3298548328608142E-2</v>
      </c>
      <c r="AC63" s="4199">
        <f t="shared" si="8"/>
        <v>2.3504976395828825E-2</v>
      </c>
      <c r="AD63" s="4199">
        <f t="shared" si="8"/>
        <v>3.7071923228306991E-2</v>
      </c>
      <c r="AE63" s="4199">
        <f t="shared" si="8"/>
        <v>2.1212145773781055E-2</v>
      </c>
      <c r="AF63" s="4199">
        <f t="shared" si="8"/>
        <v>2.624346031542335E-2</v>
      </c>
      <c r="AG63" s="4199">
        <f t="shared" si="8"/>
        <v>4.5038645104925834E-2</v>
      </c>
      <c r="AH63" s="4199">
        <f t="shared" si="8"/>
        <v>2.516888696865438E-2</v>
      </c>
      <c r="AI63" s="4199">
        <f t="shared" si="8"/>
        <v>2.7288620804292618E-2</v>
      </c>
      <c r="AJ63" s="4199">
        <f t="shared" si="8"/>
        <v>4.9588301196368478E-2</v>
      </c>
      <c r="AK63" s="4199">
        <f t="shared" si="8"/>
        <v>3.9928410759358046E-2</v>
      </c>
    </row>
    <row r="64" spans="1:37" ht="15" customHeight="1">
      <c r="A64" s="3695" t="s">
        <v>2198</v>
      </c>
      <c r="B64" s="3129" t="s">
        <v>2004</v>
      </c>
      <c r="C64" s="3129"/>
      <c r="D64" s="3973"/>
      <c r="E64" s="3947">
        <v>6803630.3600000003</v>
      </c>
      <c r="F64" s="3947">
        <v>7318047.2800000003</v>
      </c>
      <c r="G64" s="3947">
        <v>7109752.8799999999</v>
      </c>
      <c r="H64" s="3974">
        <v>7536437.7779155513</v>
      </c>
      <c r="I64" s="3947">
        <v>6850413.0599999996</v>
      </c>
      <c r="J64" s="3975">
        <v>10554174.306392614</v>
      </c>
      <c r="K64" s="3976">
        <v>8031695.6079924935</v>
      </c>
      <c r="L64" s="3976">
        <v>8770846.2548130881</v>
      </c>
      <c r="M64" s="3976">
        <v>9179493.7004864775</v>
      </c>
      <c r="N64" s="3976">
        <v>9356845.7757435385</v>
      </c>
      <c r="O64" s="3976">
        <v>9711208.7877193466</v>
      </c>
      <c r="P64" s="3976">
        <v>9793303.8900526948</v>
      </c>
      <c r="Q64" s="3976">
        <v>10030396.694008406</v>
      </c>
      <c r="R64" s="3976">
        <v>10574863.577084396</v>
      </c>
      <c r="S64" s="3976">
        <v>10759316.518980984</v>
      </c>
      <c r="T64" s="3976">
        <v>10996980.162808452</v>
      </c>
      <c r="U64" s="3976">
        <v>11679705.194819774</v>
      </c>
      <c r="V64" s="3977">
        <v>12101668.102767415</v>
      </c>
      <c r="W64" s="4043"/>
      <c r="X64" s="4046"/>
      <c r="Y64" s="4199">
        <f t="shared" si="9"/>
        <v>-3.6476629269286298E-2</v>
      </c>
      <c r="Z64" s="4199">
        <f t="shared" si="10"/>
        <v>0.17243960877192621</v>
      </c>
      <c r="AA64" s="4199">
        <f t="shared" si="11"/>
        <v>9.2029215609846116E-2</v>
      </c>
      <c r="AB64" s="4199">
        <f t="shared" si="8"/>
        <v>4.6591564120638918E-2</v>
      </c>
      <c r="AC64" s="4199">
        <f t="shared" si="8"/>
        <v>1.9320463747108718E-2</v>
      </c>
      <c r="AD64" s="4199">
        <f t="shared" si="8"/>
        <v>3.7872058647632212E-2</v>
      </c>
      <c r="AE64" s="4199">
        <f t="shared" si="8"/>
        <v>8.4536440445153183E-3</v>
      </c>
      <c r="AF64" s="4199">
        <f t="shared" si="8"/>
        <v>2.4209685170347051E-2</v>
      </c>
      <c r="AG64" s="4199">
        <f t="shared" si="8"/>
        <v>5.428168991573612E-2</v>
      </c>
      <c r="AH64" s="4199">
        <f t="shared" si="8"/>
        <v>1.7442583590042249E-2</v>
      </c>
      <c r="AI64" s="4199">
        <f t="shared" si="8"/>
        <v>2.2089102352198298E-2</v>
      </c>
      <c r="AJ64" s="4199">
        <f t="shared" si="8"/>
        <v>6.2082955675439422E-2</v>
      </c>
      <c r="AK64" s="4199">
        <f t="shared" si="8"/>
        <v>3.6127873170531011E-2</v>
      </c>
    </row>
    <row r="65" spans="1:37" ht="15" customHeight="1">
      <c r="A65" s="3695" t="s">
        <v>2198</v>
      </c>
      <c r="B65" s="3129" t="s">
        <v>2005</v>
      </c>
      <c r="C65" s="3129"/>
      <c r="D65" s="3973"/>
      <c r="E65" s="3947">
        <v>1289583.17</v>
      </c>
      <c r="F65" s="3947">
        <v>1469716</v>
      </c>
      <c r="G65" s="3947">
        <v>1297662.7</v>
      </c>
      <c r="H65" s="3974">
        <v>1498527.8804455695</v>
      </c>
      <c r="I65" s="3947">
        <v>1280121.67</v>
      </c>
      <c r="J65" s="3975">
        <v>912389.48850139917</v>
      </c>
      <c r="K65" s="3976">
        <v>1587465.3423760985</v>
      </c>
      <c r="L65" s="3976">
        <v>1739382.8247952205</v>
      </c>
      <c r="M65" s="3976">
        <v>1824952.0116274948</v>
      </c>
      <c r="N65" s="3976">
        <v>1863186.9450650269</v>
      </c>
      <c r="O65" s="3976">
        <v>1933167.240534679</v>
      </c>
      <c r="P65" s="3976">
        <v>1959140.9308490795</v>
      </c>
      <c r="Q65" s="3976">
        <v>2008138.9780987659</v>
      </c>
      <c r="R65" s="3976">
        <v>2109831.5794569179</v>
      </c>
      <c r="S65" s="3976">
        <v>2153020.4127162546</v>
      </c>
      <c r="T65" s="3976">
        <v>2204985.7331777783</v>
      </c>
      <c r="U65" s="3976">
        <v>2330998.4928866625</v>
      </c>
      <c r="V65" s="3977">
        <v>2418685.7891615308</v>
      </c>
      <c r="W65" s="4043"/>
      <c r="X65" s="4046"/>
      <c r="Y65" s="4199">
        <f t="shared" si="9"/>
        <v>-1.3517403251245508E-2</v>
      </c>
      <c r="Z65" s="4199">
        <f t="shared" si="10"/>
        <v>0.24008942241880704</v>
      </c>
      <c r="AA65" s="4199">
        <f t="shared" si="11"/>
        <v>9.5698141158618188E-2</v>
      </c>
      <c r="AB65" s="4199">
        <f t="shared" si="8"/>
        <v>4.9195143019966636E-2</v>
      </c>
      <c r="AC65" s="4199">
        <f t="shared" si="8"/>
        <v>2.0951199370680573E-2</v>
      </c>
      <c r="AD65" s="4199">
        <f t="shared" si="8"/>
        <v>3.7559459964555453E-2</v>
      </c>
      <c r="AE65" s="4199">
        <f t="shared" si="8"/>
        <v>1.3435821676357707E-2</v>
      </c>
      <c r="AF65" s="4199">
        <f t="shared" si="8"/>
        <v>2.5009965581419991E-2</v>
      </c>
      <c r="AG65" s="4199">
        <f t="shared" si="8"/>
        <v>5.0640220854848872E-2</v>
      </c>
      <c r="AH65" s="4199">
        <f t="shared" si="8"/>
        <v>2.0470275295838336E-2</v>
      </c>
      <c r="AI65" s="4199">
        <f t="shared" si="8"/>
        <v>2.4136009187188501E-2</v>
      </c>
      <c r="AJ65" s="4199">
        <f t="shared" si="8"/>
        <v>5.714901362526148E-2</v>
      </c>
      <c r="AK65" s="4199">
        <f t="shared" si="8"/>
        <v>3.7617912041752577E-2</v>
      </c>
    </row>
    <row r="66" spans="1:37" ht="15" customHeight="1">
      <c r="A66" s="3695" t="s">
        <v>2198</v>
      </c>
      <c r="B66" s="3129" t="s">
        <v>377</v>
      </c>
      <c r="C66" s="3129"/>
      <c r="D66" s="3973"/>
      <c r="E66" s="3947">
        <v>11088641.99</v>
      </c>
      <c r="F66" s="3947">
        <v>11819895.35</v>
      </c>
      <c r="G66" s="3947">
        <v>12903295.09</v>
      </c>
      <c r="H66" s="3974">
        <v>15210804.479343487</v>
      </c>
      <c r="I66" s="3947">
        <v>13760308.119999999</v>
      </c>
      <c r="J66" s="3975">
        <v>16006492.234195625</v>
      </c>
      <c r="K66" s="3976">
        <v>16093361.551131599</v>
      </c>
      <c r="L66" s="3976">
        <v>17645876.315125983</v>
      </c>
      <c r="M66" s="3976">
        <v>18523584.669170365</v>
      </c>
      <c r="N66" s="3976">
        <v>18917980.143920757</v>
      </c>
      <c r="O66" s="3976">
        <v>19627297.458039865</v>
      </c>
      <c r="P66" s="3976">
        <v>19911382.25434259</v>
      </c>
      <c r="Q66" s="3976">
        <v>20412665.865144849</v>
      </c>
      <c r="R66" s="3976">
        <v>21430985.531307399</v>
      </c>
      <c r="S66" s="3976">
        <v>21883167.474369347</v>
      </c>
      <c r="T66" s="3976">
        <v>22420614.671735726</v>
      </c>
      <c r="U66" s="3976">
        <v>23679080.360316493</v>
      </c>
      <c r="V66" s="3977">
        <v>24577167.085370734</v>
      </c>
      <c r="W66" s="4043"/>
      <c r="X66" s="4046"/>
      <c r="Y66" s="4199">
        <f t="shared" si="9"/>
        <v>6.641815319438682E-2</v>
      </c>
      <c r="Z66" s="4199">
        <f t="shared" si="10"/>
        <v>0.16954950505364108</v>
      </c>
      <c r="AA66" s="4199">
        <f t="shared" si="11"/>
        <v>9.6469265234721657E-2</v>
      </c>
      <c r="AB66" s="4199">
        <f t="shared" si="8"/>
        <v>4.9740139756732527E-2</v>
      </c>
      <c r="AC66" s="4199">
        <f t="shared" si="8"/>
        <v>2.129153086696034E-2</v>
      </c>
      <c r="AD66" s="4199">
        <f t="shared" si="8"/>
        <v>3.7494347109093829E-2</v>
      </c>
      <c r="AE66" s="4199">
        <f t="shared" si="8"/>
        <v>1.4473963973392401E-2</v>
      </c>
      <c r="AF66" s="4199">
        <f t="shared" si="8"/>
        <v>2.5175731368068721E-2</v>
      </c>
      <c r="AG66" s="4199">
        <f t="shared" si="8"/>
        <v>4.9886657278868984E-2</v>
      </c>
      <c r="AH66" s="4199">
        <f t="shared" si="8"/>
        <v>2.1099446985365145E-2</v>
      </c>
      <c r="AI66" s="4199">
        <f t="shared" si="8"/>
        <v>2.4559844821178789E-2</v>
      </c>
      <c r="AJ66" s="4199">
        <f t="shared" si="8"/>
        <v>5.6129847776530184E-2</v>
      </c>
      <c r="AK66" s="4199">
        <f t="shared" si="8"/>
        <v>3.7927432627803181E-2</v>
      </c>
    </row>
    <row r="67" spans="1:37" ht="15" customHeight="1">
      <c r="A67" s="3695" t="s">
        <v>843</v>
      </c>
      <c r="B67" s="3129" t="s">
        <v>843</v>
      </c>
      <c r="C67" s="3129"/>
      <c r="D67" s="3973"/>
      <c r="E67" s="3947">
        <v>10442675.130000001</v>
      </c>
      <c r="F67" s="3947">
        <v>11776457.59</v>
      </c>
      <c r="G67" s="3947">
        <v>12192740.140000001</v>
      </c>
      <c r="H67" s="3974">
        <v>12956779.516144635</v>
      </c>
      <c r="I67" s="3947">
        <v>13646063.58</v>
      </c>
      <c r="J67" s="3975">
        <v>13819366.568184474</v>
      </c>
      <c r="K67" s="3976">
        <v>13853898.970478145</v>
      </c>
      <c r="L67" s="3976">
        <v>14491731.085695306</v>
      </c>
      <c r="M67" s="3976">
        <v>15511766.612407675</v>
      </c>
      <c r="N67" s="3976">
        <v>16883543.989898521</v>
      </c>
      <c r="O67" s="3976">
        <v>17618004.815796569</v>
      </c>
      <c r="P67" s="3976">
        <v>18511547.058800917</v>
      </c>
      <c r="Q67" s="3976">
        <v>19319032.121881988</v>
      </c>
      <c r="R67" s="3976">
        <v>20215543.718090769</v>
      </c>
      <c r="S67" s="3976">
        <v>21188602.529563837</v>
      </c>
      <c r="T67" s="3976">
        <v>21913569.070948336</v>
      </c>
      <c r="U67" s="3976">
        <v>22670925.375016257</v>
      </c>
      <c r="V67" s="3977">
        <v>23447501.036012895</v>
      </c>
      <c r="W67" s="4043"/>
      <c r="X67" s="4046"/>
      <c r="Y67" s="4199">
        <f t="shared" si="9"/>
        <v>0.11919580203568581</v>
      </c>
      <c r="Z67" s="4199">
        <f t="shared" si="10"/>
        <v>1.5230428120146966E-2</v>
      </c>
      <c r="AA67" s="4199">
        <f t="shared" si="11"/>
        <v>4.6039899422996022E-2</v>
      </c>
      <c r="AB67" s="4199">
        <f t="shared" si="8"/>
        <v>7.0387417533522845E-2</v>
      </c>
      <c r="AC67" s="4199">
        <f t="shared" si="8"/>
        <v>8.8434632351519493E-2</v>
      </c>
      <c r="AD67" s="4199">
        <f t="shared" si="8"/>
        <v>4.3501579190807105E-2</v>
      </c>
      <c r="AE67" s="4199">
        <f t="shared" si="8"/>
        <v>5.0717561514297183E-2</v>
      </c>
      <c r="AF67" s="4199">
        <f t="shared" si="8"/>
        <v>4.3620614771749722E-2</v>
      </c>
      <c r="AG67" s="4199">
        <f t="shared" si="8"/>
        <v>4.6405616521199011E-2</v>
      </c>
      <c r="AH67" s="4199">
        <f t="shared" si="8"/>
        <v>4.8134189465420363E-2</v>
      </c>
      <c r="AI67" s="4199">
        <f t="shared" si="8"/>
        <v>3.4214929482629941E-2</v>
      </c>
      <c r="AJ67" s="4199">
        <f t="shared" si="8"/>
        <v>3.4561065868178309E-2</v>
      </c>
      <c r="AK67" s="4199">
        <f t="shared" si="8"/>
        <v>3.4254255093285169E-2</v>
      </c>
    </row>
    <row r="68" spans="1:37" ht="15" customHeight="1">
      <c r="A68" s="3695"/>
      <c r="B68" s="3129" t="s">
        <v>3902</v>
      </c>
      <c r="C68" s="3129"/>
      <c r="D68" s="3973"/>
      <c r="E68" s="3947">
        <v>18176206.259999998</v>
      </c>
      <c r="F68" s="3947">
        <v>11857657</v>
      </c>
      <c r="G68" s="3947">
        <v>8143043.5699999994</v>
      </c>
      <c r="H68" s="3974">
        <v>9668831.2599999793</v>
      </c>
      <c r="I68" s="3947">
        <v>7320529.7999999998</v>
      </c>
      <c r="J68" s="3975">
        <v>9668831.2599999793</v>
      </c>
      <c r="K68" s="3976">
        <v>9668831.2599999793</v>
      </c>
      <c r="L68" s="3976">
        <v>10931331.259999979</v>
      </c>
      <c r="M68" s="3976">
        <v>25346331.259999979</v>
      </c>
      <c r="N68" s="3976">
        <v>25345581.259999979</v>
      </c>
      <c r="O68" s="3976">
        <v>25342081.259999979</v>
      </c>
      <c r="P68" s="3976">
        <v>25343831.259999979</v>
      </c>
      <c r="Q68" s="3976">
        <v>22942326.417525847</v>
      </c>
      <c r="R68" s="3976">
        <v>9013362.191108441</v>
      </c>
      <c r="S68" s="3976">
        <v>8172909.5807810491</v>
      </c>
      <c r="T68" s="3976">
        <v>7345915.4033319578</v>
      </c>
      <c r="U68" s="3976">
        <v>6016893.2470437586</v>
      </c>
      <c r="V68" s="3977">
        <v>4447066.9304331029</v>
      </c>
      <c r="W68" s="4043"/>
      <c r="X68" s="4046"/>
      <c r="Y68" s="4199">
        <f t="shared" si="9"/>
        <v>-0.10100815044515343</v>
      </c>
      <c r="Z68" s="4199">
        <f t="shared" si="10"/>
        <v>0.32078299305604618</v>
      </c>
      <c r="AA68" s="4199">
        <f t="shared" si="11"/>
        <v>0.13057420964858202</v>
      </c>
      <c r="AB68" s="4199">
        <f t="shared" si="8"/>
        <v>1.3186865951768829</v>
      </c>
      <c r="AC68" s="4199">
        <f t="shared" si="8"/>
        <v>-2.9590081195851603E-5</v>
      </c>
      <c r="AD68" s="4199">
        <f t="shared" si="8"/>
        <v>-1.3809113170837328E-4</v>
      </c>
      <c r="AE68" s="4199">
        <f t="shared" si="8"/>
        <v>6.9055101751258618E-5</v>
      </c>
      <c r="AF68" s="4199">
        <f t="shared" si="8"/>
        <v>-9.4756977263513176E-2</v>
      </c>
      <c r="AG68" s="4199">
        <f t="shared" si="8"/>
        <v>-0.60712954619009107</v>
      </c>
      <c r="AH68" s="4199">
        <f t="shared" si="8"/>
        <v>-9.32451833741339E-2</v>
      </c>
      <c r="AI68" s="4199">
        <f t="shared" si="8"/>
        <v>-0.10118724173748406</v>
      </c>
      <c r="AJ68" s="4199">
        <f t="shared" si="8"/>
        <v>-0.18091988313469842</v>
      </c>
      <c r="AK68" s="4199">
        <f t="shared" si="8"/>
        <v>-0.26090313591352954</v>
      </c>
    </row>
    <row r="69" spans="1:37" s="3985" customFormat="1" ht="15" customHeight="1">
      <c r="A69" s="3695" t="s">
        <v>3893</v>
      </c>
      <c r="B69" s="3978" t="s">
        <v>2007</v>
      </c>
      <c r="C69" s="3978"/>
      <c r="D69" s="3979"/>
      <c r="E69" s="3980">
        <f>SUM(E60:E68)</f>
        <v>86010348.939999998</v>
      </c>
      <c r="F69" s="3980">
        <f>SUM(F60:F68)</f>
        <v>96883782.489999995</v>
      </c>
      <c r="G69" s="3980">
        <v>114060089.22</v>
      </c>
      <c r="H69" s="3981">
        <v>85545321.004762352</v>
      </c>
      <c r="I69" s="3980">
        <f t="shared" ref="I69:V69" si="12">SUM(I60:I68)</f>
        <v>92889413.960000008</v>
      </c>
      <c r="J69" s="3982">
        <f t="shared" si="12"/>
        <v>61957125.344380289</v>
      </c>
      <c r="K69" s="3983">
        <f t="shared" si="12"/>
        <v>65631565.666185081</v>
      </c>
      <c r="L69" s="3983">
        <f t="shared" si="12"/>
        <v>71565975.159317479</v>
      </c>
      <c r="M69" s="3983">
        <f t="shared" si="12"/>
        <v>89329276.445946693</v>
      </c>
      <c r="N69" s="3983">
        <f t="shared" si="12"/>
        <v>91770258.969532177</v>
      </c>
      <c r="O69" s="3983">
        <f t="shared" si="12"/>
        <v>94357829.434124142</v>
      </c>
      <c r="P69" s="3983">
        <f t="shared" si="12"/>
        <v>152695149.63847274</v>
      </c>
      <c r="Q69" s="3983">
        <f t="shared" si="12"/>
        <v>155297087.14582461</v>
      </c>
      <c r="R69" s="3983">
        <f t="shared" si="12"/>
        <v>143628782.48543221</v>
      </c>
      <c r="S69" s="3983">
        <f t="shared" si="12"/>
        <v>145793425.92911434</v>
      </c>
      <c r="T69" s="3983">
        <f t="shared" si="12"/>
        <v>151890389.17378637</v>
      </c>
      <c r="U69" s="3983">
        <f t="shared" si="12"/>
        <v>160208246.37894365</v>
      </c>
      <c r="V69" s="3984">
        <f t="shared" si="12"/>
        <v>167337333.32107794</v>
      </c>
      <c r="W69" s="4048"/>
      <c r="X69" s="4046"/>
    </row>
    <row r="70" spans="1:37" ht="24" customHeight="1">
      <c r="A70" s="3695"/>
      <c r="B70" s="4044" t="s">
        <v>1977</v>
      </c>
      <c r="C70" s="4044"/>
      <c r="D70" s="4045"/>
      <c r="E70" s="3947"/>
      <c r="F70" s="3947"/>
      <c r="G70" s="3947"/>
      <c r="H70" s="3974"/>
      <c r="I70" s="3947"/>
      <c r="J70" s="3971"/>
      <c r="K70" s="3976"/>
      <c r="L70" s="3976"/>
      <c r="M70" s="3976"/>
      <c r="N70" s="3976"/>
      <c r="O70" s="3976"/>
      <c r="P70" s="3976"/>
      <c r="Q70" s="3976"/>
      <c r="R70" s="3976"/>
      <c r="S70" s="3976"/>
      <c r="T70" s="3976"/>
      <c r="U70" s="3976"/>
      <c r="V70" s="3977"/>
      <c r="W70" s="4043"/>
      <c r="Y70" s="3958">
        <v>2015</v>
      </c>
      <c r="Z70" s="3958">
        <v>2016</v>
      </c>
      <c r="AA70" s="3958">
        <v>2017</v>
      </c>
      <c r="AB70" s="3958">
        <v>2018</v>
      </c>
      <c r="AC70" s="3958">
        <v>2019</v>
      </c>
      <c r="AD70" s="3958">
        <v>2020</v>
      </c>
      <c r="AE70" s="3958">
        <v>2021</v>
      </c>
      <c r="AF70" s="3958">
        <v>2022</v>
      </c>
      <c r="AG70" s="3958">
        <v>2023</v>
      </c>
      <c r="AH70" s="3958">
        <v>2024</v>
      </c>
      <c r="AI70" s="3958">
        <v>2025</v>
      </c>
      <c r="AJ70" s="3958">
        <v>2026</v>
      </c>
      <c r="AK70" s="3958">
        <v>2027</v>
      </c>
    </row>
    <row r="71" spans="1:37" ht="15" customHeight="1">
      <c r="A71" s="3695" t="s">
        <v>2198</v>
      </c>
      <c r="B71" s="3129" t="s">
        <v>753</v>
      </c>
      <c r="C71" s="3129"/>
      <c r="D71" s="3973"/>
      <c r="E71" s="3947">
        <v>23182503.020000007</v>
      </c>
      <c r="F71" s="3947">
        <v>22919312.75</v>
      </c>
      <c r="G71" s="3947">
        <v>32569622.900000002</v>
      </c>
      <c r="H71" s="3974">
        <v>32998150.220968291</v>
      </c>
      <c r="I71" s="3947">
        <v>27753757.829999998</v>
      </c>
      <c r="J71" s="3975">
        <v>21055236.045870684</v>
      </c>
      <c r="K71" s="3976">
        <v>29157426.357729092</v>
      </c>
      <c r="L71" s="3976">
        <v>28366026.76749314</v>
      </c>
      <c r="M71" s="3976">
        <v>29607066.269383427</v>
      </c>
      <c r="N71" s="3976">
        <v>29909573.184843592</v>
      </c>
      <c r="O71" s="3976">
        <v>30984564.99192597</v>
      </c>
      <c r="P71" s="3976">
        <v>32193549.351190224</v>
      </c>
      <c r="Q71" s="3976">
        <v>31590768.477236837</v>
      </c>
      <c r="R71" s="3976">
        <v>33441750.524913386</v>
      </c>
      <c r="S71" s="3976">
        <v>34932394.176444799</v>
      </c>
      <c r="T71" s="3976">
        <v>37049000.596623875</v>
      </c>
      <c r="U71" s="3976">
        <v>39255190.100388505</v>
      </c>
      <c r="V71" s="3977">
        <v>40697659.420329489</v>
      </c>
      <c r="W71" s="4043"/>
      <c r="X71" s="4046"/>
      <c r="Y71" s="4199">
        <f t="shared" ref="Y71:Y76" si="13">(I71/G71)-1</f>
        <v>-0.14786370369673529</v>
      </c>
      <c r="Z71" s="4199">
        <f t="shared" ref="Z71:Z76" si="14">K71/I71-1</f>
        <v>5.057580080964108E-2</v>
      </c>
      <c r="AA71" s="4199">
        <f t="shared" ref="AA71:AA76" si="15">L71/K71-1</f>
        <v>-2.7142299204544362E-2</v>
      </c>
      <c r="AB71" s="4199">
        <f t="shared" ref="AB71:AB76" si="16">M71/L71-1</f>
        <v>4.3750910624976713E-2</v>
      </c>
      <c r="AC71" s="4199">
        <f t="shared" ref="AC71:AC76" si="17">N71/M71-1</f>
        <v>1.0217389075559469E-2</v>
      </c>
      <c r="AD71" s="4199">
        <f t="shared" ref="AD71:AD76" si="18">O71/N71-1</f>
        <v>3.5941395767797868E-2</v>
      </c>
      <c r="AE71" s="4199">
        <f t="shared" ref="AE71:AE76" si="19">P71/O71-1</f>
        <v>3.9018923117987825E-2</v>
      </c>
      <c r="AF71" s="4199">
        <f t="shared" ref="AF71:AF76" si="20">Q71/P71-1</f>
        <v>-1.8723653840644339E-2</v>
      </c>
      <c r="AG71" s="4199">
        <f t="shared" ref="AG71:AG76" si="21">R71/Q71-1</f>
        <v>5.859249828032187E-2</v>
      </c>
      <c r="AH71" s="4199">
        <f t="shared" ref="AH71:AH76" si="22">S71/R71-1</f>
        <v>4.4574330832978237E-2</v>
      </c>
      <c r="AI71" s="4199">
        <f t="shared" ref="AI71:AI76" si="23">T71/S71-1</f>
        <v>6.0591507398205291E-2</v>
      </c>
      <c r="AJ71" s="4199">
        <f t="shared" ref="AJ71:AJ76" si="24">U71/T71-1</f>
        <v>5.9547881676615955E-2</v>
      </c>
      <c r="AK71" s="4199">
        <f t="shared" ref="AK71:AK76" si="25">V71/U71-1</f>
        <v>3.6745951713699876E-2</v>
      </c>
    </row>
    <row r="72" spans="1:37" ht="15" customHeight="1">
      <c r="A72" s="3695" t="s">
        <v>2198</v>
      </c>
      <c r="B72" s="3129" t="s">
        <v>600</v>
      </c>
      <c r="C72" s="3129"/>
      <c r="D72" s="3973"/>
      <c r="E72" s="3947">
        <v>1515866.54</v>
      </c>
      <c r="F72" s="3947">
        <v>1652966.02</v>
      </c>
      <c r="G72" s="3947">
        <v>2184113.13</v>
      </c>
      <c r="H72" s="3974">
        <v>3051944.7332566036</v>
      </c>
      <c r="I72" s="3947">
        <v>2766607.75</v>
      </c>
      <c r="J72" s="3975">
        <v>2100045.865217546</v>
      </c>
      <c r="K72" s="3976">
        <v>3000287.0161054581</v>
      </c>
      <c r="L72" s="3976">
        <v>3163645.7658412405</v>
      </c>
      <c r="M72" s="3976">
        <v>3395500.4463553238</v>
      </c>
      <c r="N72" s="3976">
        <v>3554384.3960699355</v>
      </c>
      <c r="O72" s="3976">
        <v>3703069.4424492037</v>
      </c>
      <c r="P72" s="3976">
        <v>3829833.4052451486</v>
      </c>
      <c r="Q72" s="3976">
        <v>3835042.0424758019</v>
      </c>
      <c r="R72" s="3976">
        <v>4028715.469929989</v>
      </c>
      <c r="S72" s="3976">
        <v>4182408.522726465</v>
      </c>
      <c r="T72" s="3976">
        <v>4384395.8689606721</v>
      </c>
      <c r="U72" s="3976">
        <v>4582700.3956712727</v>
      </c>
      <c r="V72" s="3977">
        <v>4763407.192466069</v>
      </c>
      <c r="W72" s="4043"/>
      <c r="X72" s="4046"/>
      <c r="Y72" s="4199">
        <f t="shared" si="13"/>
        <v>0.26669617612710383</v>
      </c>
      <c r="Z72" s="4199">
        <f t="shared" si="14"/>
        <v>8.4464184019385602E-2</v>
      </c>
      <c r="AA72" s="4199">
        <f t="shared" si="15"/>
        <v>5.4447707455612449E-2</v>
      </c>
      <c r="AB72" s="4199">
        <f t="shared" si="16"/>
        <v>7.3287181206405094E-2</v>
      </c>
      <c r="AC72" s="4199">
        <f t="shared" si="17"/>
        <v>4.6792498550590755E-2</v>
      </c>
      <c r="AD72" s="4199">
        <f t="shared" si="18"/>
        <v>4.1831448096516732E-2</v>
      </c>
      <c r="AE72" s="4199">
        <f t="shared" si="19"/>
        <v>3.4232132225990197E-2</v>
      </c>
      <c r="AF72" s="4199">
        <f t="shared" si="20"/>
        <v>1.3600166585627793E-3</v>
      </c>
      <c r="AG72" s="4199">
        <f t="shared" si="21"/>
        <v>5.0500991986298205E-2</v>
      </c>
      <c r="AH72" s="4199">
        <f t="shared" si="22"/>
        <v>3.8149393756801375E-2</v>
      </c>
      <c r="AI72" s="4199">
        <f t="shared" si="23"/>
        <v>4.8294504263905358E-2</v>
      </c>
      <c r="AJ72" s="4199">
        <f t="shared" si="24"/>
        <v>4.5229612616528803E-2</v>
      </c>
      <c r="AK72" s="4199">
        <f t="shared" si="25"/>
        <v>3.9432382916738007E-2</v>
      </c>
    </row>
    <row r="73" spans="1:37" ht="15" customHeight="1">
      <c r="A73" s="3695" t="s">
        <v>2198</v>
      </c>
      <c r="B73" s="3129" t="s">
        <v>377</v>
      </c>
      <c r="C73" s="3129"/>
      <c r="D73" s="3973"/>
      <c r="E73" s="3947">
        <v>15495162.170000002</v>
      </c>
      <c r="F73" s="3947">
        <v>18771334.510000002</v>
      </c>
      <c r="G73" s="3947">
        <v>20534081.82</v>
      </c>
      <c r="H73" s="3974">
        <v>21843120.786171645</v>
      </c>
      <c r="I73" s="3947">
        <v>21459642.059999999</v>
      </c>
      <c r="J73" s="3975">
        <v>19680187.152108692</v>
      </c>
      <c r="K73" s="3976">
        <v>22090719.305608302</v>
      </c>
      <c r="L73" s="3976">
        <v>22094165.05369518</v>
      </c>
      <c r="M73" s="3976">
        <v>23558199.69014509</v>
      </c>
      <c r="N73" s="3976">
        <v>24521321.725630924</v>
      </c>
      <c r="O73" s="3976">
        <v>25388432.70186729</v>
      </c>
      <c r="P73" s="3976">
        <v>26487653.679572832</v>
      </c>
      <c r="Q73" s="3976">
        <v>25930673.581373665</v>
      </c>
      <c r="R73" s="3976">
        <v>27290093.823522687</v>
      </c>
      <c r="S73" s="3976">
        <v>28350981.50409691</v>
      </c>
      <c r="T73" s="3976">
        <v>30130790.89918457</v>
      </c>
      <c r="U73" s="3976">
        <v>31995700.324354652</v>
      </c>
      <c r="V73" s="3977">
        <v>33174249.133924343</v>
      </c>
      <c r="W73" s="4043"/>
      <c r="X73" s="4046"/>
      <c r="Y73" s="4199">
        <f t="shared" si="13"/>
        <v>4.5074342652054344E-2</v>
      </c>
      <c r="Z73" s="4199">
        <f t="shared" si="14"/>
        <v>2.9407631490024233E-2</v>
      </c>
      <c r="AA73" s="4199">
        <f t="shared" si="15"/>
        <v>1.5598170612762807E-4</v>
      </c>
      <c r="AB73" s="4199">
        <f t="shared" si="16"/>
        <v>6.6263406328860297E-2</v>
      </c>
      <c r="AC73" s="4199">
        <f t="shared" si="17"/>
        <v>4.0882667103324E-2</v>
      </c>
      <c r="AD73" s="4199">
        <f t="shared" si="18"/>
        <v>3.5361510522902151E-2</v>
      </c>
      <c r="AE73" s="4199">
        <f t="shared" si="19"/>
        <v>4.3296133739862297E-2</v>
      </c>
      <c r="AF73" s="4199">
        <f t="shared" si="20"/>
        <v>-2.1027913794746889E-2</v>
      </c>
      <c r="AG73" s="4199">
        <f t="shared" si="21"/>
        <v>5.2425180467564392E-2</v>
      </c>
      <c r="AH73" s="4199">
        <f t="shared" si="22"/>
        <v>3.8874460726836757E-2</v>
      </c>
      <c r="AI73" s="4199">
        <f t="shared" si="23"/>
        <v>6.277769941864153E-2</v>
      </c>
      <c r="AJ73" s="4199">
        <f t="shared" si="24"/>
        <v>6.18938092733754E-2</v>
      </c>
      <c r="AK73" s="4199">
        <f t="shared" si="25"/>
        <v>3.6834599575012117E-2</v>
      </c>
    </row>
    <row r="74" spans="1:37" ht="15" customHeight="1">
      <c r="A74" s="3695" t="s">
        <v>2198</v>
      </c>
      <c r="B74" s="3129" t="s">
        <v>2008</v>
      </c>
      <c r="C74" s="3129"/>
      <c r="D74" s="3973"/>
      <c r="E74" s="3947">
        <v>18555225.16</v>
      </c>
      <c r="F74" s="3947">
        <v>20711320.289999999</v>
      </c>
      <c r="G74" s="3947">
        <v>33228211.909999996</v>
      </c>
      <c r="H74" s="3974">
        <v>15061451.117585592</v>
      </c>
      <c r="I74" s="3947">
        <v>25000471.859999999</v>
      </c>
      <c r="J74" s="3975">
        <v>23170623.733422954</v>
      </c>
      <c r="K74" s="3976">
        <v>13021358.215000195</v>
      </c>
      <c r="L74" s="3976">
        <v>12869310.099137427</v>
      </c>
      <c r="M74" s="3976">
        <v>13388859.190690089</v>
      </c>
      <c r="N74" s="3976">
        <v>13875351.006627321</v>
      </c>
      <c r="O74" s="3976">
        <v>14394705.78758193</v>
      </c>
      <c r="P74" s="3976">
        <v>15164931.604000604</v>
      </c>
      <c r="Q74" s="3976">
        <v>14708264.600651238</v>
      </c>
      <c r="R74" s="3976">
        <v>15547055.999787565</v>
      </c>
      <c r="S74" s="3976">
        <v>16252281.10125982</v>
      </c>
      <c r="T74" s="3976">
        <v>17428902.127743255</v>
      </c>
      <c r="U74" s="3976">
        <v>18737217.167352997</v>
      </c>
      <c r="V74" s="3977">
        <v>19310306.186129015</v>
      </c>
      <c r="W74" s="4043"/>
      <c r="X74" s="4046"/>
      <c r="Y74" s="4199">
        <f t="shared" si="13"/>
        <v>-0.24761308469697907</v>
      </c>
      <c r="Z74" s="4199">
        <f>K74/I74-1</f>
        <v>-0.47915550202738466</v>
      </c>
      <c r="AA74" s="4199">
        <f t="shared" si="15"/>
        <v>-1.1676824594811785E-2</v>
      </c>
      <c r="AB74" s="4199">
        <f t="shared" si="16"/>
        <v>4.0371168893310383E-2</v>
      </c>
      <c r="AC74" s="4199">
        <f t="shared" si="17"/>
        <v>3.6335568924013462E-2</v>
      </c>
      <c r="AD74" s="4199">
        <f t="shared" si="18"/>
        <v>3.7430028307503527E-2</v>
      </c>
      <c r="AE74" s="4199">
        <f t="shared" si="19"/>
        <v>5.3507576173118743E-2</v>
      </c>
      <c r="AF74" s="4199">
        <f t="shared" si="20"/>
        <v>-3.0113357268877761E-2</v>
      </c>
      <c r="AG74" s="4199">
        <f t="shared" si="21"/>
        <v>5.7028576919889495E-2</v>
      </c>
      <c r="AH74" s="4199">
        <f t="shared" si="22"/>
        <v>4.5360684458967127E-2</v>
      </c>
      <c r="AI74" s="4199">
        <f t="shared" si="23"/>
        <v>7.2397284981258858E-2</v>
      </c>
      <c r="AJ74" s="4199">
        <f t="shared" si="24"/>
        <v>7.5065832031219637E-2</v>
      </c>
      <c r="AK74" s="4199">
        <f t="shared" si="25"/>
        <v>3.0585599433332389E-2</v>
      </c>
    </row>
    <row r="75" spans="1:37" ht="15" customHeight="1">
      <c r="A75" s="3695" t="s">
        <v>843</v>
      </c>
      <c r="B75" s="3129" t="s">
        <v>843</v>
      </c>
      <c r="C75" s="3129"/>
      <c r="D75" s="3973"/>
      <c r="E75" s="3947">
        <v>1826646.16</v>
      </c>
      <c r="F75" s="3947">
        <v>1954509.94</v>
      </c>
      <c r="G75" s="3947">
        <v>1586597.48</v>
      </c>
      <c r="H75" s="3974">
        <v>1894962</v>
      </c>
      <c r="I75" s="3947">
        <v>1901936.34</v>
      </c>
      <c r="J75" s="3975">
        <v>1894962</v>
      </c>
      <c r="K75" s="3976">
        <v>1894962</v>
      </c>
      <c r="L75" s="3976">
        <v>1894962</v>
      </c>
      <c r="M75" s="3976">
        <v>1894962</v>
      </c>
      <c r="N75" s="3976">
        <v>1894962</v>
      </c>
      <c r="O75" s="3976">
        <v>1894962</v>
      </c>
      <c r="P75" s="3976">
        <v>1894962</v>
      </c>
      <c r="Q75" s="3976">
        <v>1894962</v>
      </c>
      <c r="R75" s="3976">
        <v>1894962</v>
      </c>
      <c r="S75" s="3976">
        <v>1894962</v>
      </c>
      <c r="T75" s="3976">
        <v>1894962</v>
      </c>
      <c r="U75" s="3976">
        <v>1894962</v>
      </c>
      <c r="V75" s="3977">
        <v>1894962</v>
      </c>
      <c r="W75" s="4043"/>
      <c r="X75" s="4046"/>
      <c r="Y75" s="4199">
        <f t="shared" si="13"/>
        <v>0.19875164556545255</v>
      </c>
      <c r="Z75" s="4199">
        <f t="shared" si="14"/>
        <v>-3.6669681594074799E-3</v>
      </c>
      <c r="AA75" s="4199">
        <f t="shared" si="15"/>
        <v>0</v>
      </c>
      <c r="AB75" s="4199">
        <f t="shared" si="16"/>
        <v>0</v>
      </c>
      <c r="AC75" s="4199">
        <f t="shared" si="17"/>
        <v>0</v>
      </c>
      <c r="AD75" s="4199">
        <f t="shared" si="18"/>
        <v>0</v>
      </c>
      <c r="AE75" s="4199">
        <f t="shared" si="19"/>
        <v>0</v>
      </c>
      <c r="AF75" s="4199">
        <f t="shared" si="20"/>
        <v>0</v>
      </c>
      <c r="AG75" s="4199">
        <f t="shared" si="21"/>
        <v>0</v>
      </c>
      <c r="AH75" s="4199">
        <f t="shared" si="22"/>
        <v>0</v>
      </c>
      <c r="AI75" s="4199">
        <f t="shared" si="23"/>
        <v>0</v>
      </c>
      <c r="AJ75" s="4199">
        <f t="shared" si="24"/>
        <v>0</v>
      </c>
      <c r="AK75" s="4199">
        <f t="shared" si="25"/>
        <v>0</v>
      </c>
    </row>
    <row r="76" spans="1:37" ht="15" customHeight="1">
      <c r="A76" s="3695"/>
      <c r="B76" s="3129" t="s">
        <v>3902</v>
      </c>
      <c r="C76" s="3129"/>
      <c r="D76" s="3973"/>
      <c r="E76" s="3947">
        <v>74080309.959999993</v>
      </c>
      <c r="F76" s="3947">
        <v>76420927</v>
      </c>
      <c r="G76" s="3947">
        <v>78776545.049999997</v>
      </c>
      <c r="H76" s="3974">
        <v>88135954.165174067</v>
      </c>
      <c r="I76" s="3947">
        <v>85094099.370000005</v>
      </c>
      <c r="J76" s="3975">
        <v>91134579.668212786</v>
      </c>
      <c r="K76" s="3976">
        <v>84579298.010000005</v>
      </c>
      <c r="L76" s="3976">
        <v>82907863.984327406</v>
      </c>
      <c r="M76" s="3976">
        <v>80919574.533738032</v>
      </c>
      <c r="N76" s="3976">
        <v>83582069.162564084</v>
      </c>
      <c r="O76" s="3976">
        <v>85103160.10100168</v>
      </c>
      <c r="P76" s="3976">
        <v>79826999.580464855</v>
      </c>
      <c r="Q76" s="3976">
        <v>80061095.671218053</v>
      </c>
      <c r="R76" s="3976">
        <v>77698619.816402495</v>
      </c>
      <c r="S76" s="3976">
        <v>77761066.716836855</v>
      </c>
      <c r="T76" s="3976">
        <v>77765997.354409337</v>
      </c>
      <c r="U76" s="3976">
        <v>73392496.451378897</v>
      </c>
      <c r="V76" s="3977">
        <v>76998545.208765566</v>
      </c>
      <c r="W76" s="4043"/>
      <c r="X76" s="4046"/>
      <c r="Y76" s="4199">
        <f t="shared" si="13"/>
        <v>8.0195879572913631E-2</v>
      </c>
      <c r="Z76" s="4199">
        <f t="shared" si="14"/>
        <v>-6.0497891606041687E-3</v>
      </c>
      <c r="AA76" s="4199">
        <f t="shared" si="15"/>
        <v>-1.976173916074575E-2</v>
      </c>
      <c r="AB76" s="4199">
        <f t="shared" si="16"/>
        <v>-2.3981916250613189E-2</v>
      </c>
      <c r="AC76" s="4199">
        <f t="shared" si="17"/>
        <v>3.2902973652141121E-2</v>
      </c>
      <c r="AD76" s="4199">
        <f t="shared" si="18"/>
        <v>1.8198771024430238E-2</v>
      </c>
      <c r="AE76" s="4199">
        <f t="shared" si="19"/>
        <v>-6.1997233877978175E-2</v>
      </c>
      <c r="AF76" s="4199">
        <f t="shared" si="20"/>
        <v>2.9325427735416021E-3</v>
      </c>
      <c r="AG76" s="4199">
        <f t="shared" si="21"/>
        <v>-2.9508412731664269E-2</v>
      </c>
      <c r="AH76" s="4199">
        <f t="shared" si="22"/>
        <v>8.0370668850893168E-4</v>
      </c>
      <c r="AI76" s="4199">
        <f t="shared" si="23"/>
        <v>6.3407535167092632E-5</v>
      </c>
      <c r="AJ76" s="4199">
        <f t="shared" si="24"/>
        <v>-5.6239244037451619E-2</v>
      </c>
      <c r="AK76" s="4199">
        <f t="shared" si="25"/>
        <v>4.9133752518905061E-2</v>
      </c>
    </row>
    <row r="77" spans="1:37" s="3985" customFormat="1" ht="15" customHeight="1">
      <c r="A77" s="3695" t="s">
        <v>3893</v>
      </c>
      <c r="B77" s="3978" t="s">
        <v>2011</v>
      </c>
      <c r="C77" s="3978"/>
      <c r="D77" s="3979"/>
      <c r="E77" s="3980">
        <f>SUM(E71:E76)</f>
        <v>134655713.00999999</v>
      </c>
      <c r="F77" s="3980">
        <f>SUM(F71:F76)</f>
        <v>142430370.50999999</v>
      </c>
      <c r="G77" s="3980">
        <v>168879172.28999999</v>
      </c>
      <c r="H77" s="3981">
        <v>162985583.0231562</v>
      </c>
      <c r="I77" s="3980">
        <f t="shared" ref="I77:V77" si="26">SUM(I71:I76)</f>
        <v>163976515.21000001</v>
      </c>
      <c r="J77" s="3982">
        <f t="shared" si="26"/>
        <v>159035634.46483266</v>
      </c>
      <c r="K77" s="3983">
        <f t="shared" si="26"/>
        <v>153744050.90444306</v>
      </c>
      <c r="L77" s="3983">
        <f t="shared" si="26"/>
        <v>151295973.67049438</v>
      </c>
      <c r="M77" s="3983">
        <f t="shared" si="26"/>
        <v>152764162.13031197</v>
      </c>
      <c r="N77" s="3983">
        <f t="shared" si="26"/>
        <v>157337661.47573584</v>
      </c>
      <c r="O77" s="3983">
        <f t="shared" si="26"/>
        <v>161468895.02482608</v>
      </c>
      <c r="P77" s="3983">
        <f t="shared" si="26"/>
        <v>159397929.62047365</v>
      </c>
      <c r="Q77" s="3983">
        <f t="shared" si="26"/>
        <v>158020806.37295559</v>
      </c>
      <c r="R77" s="3983">
        <f t="shared" si="26"/>
        <v>159901197.63455611</v>
      </c>
      <c r="S77" s="3983">
        <f t="shared" si="26"/>
        <v>163374094.02136487</v>
      </c>
      <c r="T77" s="3983">
        <f t="shared" si="26"/>
        <v>168654048.84692171</v>
      </c>
      <c r="U77" s="3983">
        <f t="shared" si="26"/>
        <v>169858266.43914634</v>
      </c>
      <c r="V77" s="3984">
        <f t="shared" si="26"/>
        <v>176839129.1416145</v>
      </c>
      <c r="W77" s="4048"/>
      <c r="X77" s="4046"/>
    </row>
    <row r="78" spans="1:37" s="3985" customFormat="1" ht="24" customHeight="1" thickBot="1">
      <c r="A78" s="3695" t="s">
        <v>3893</v>
      </c>
      <c r="B78" s="3978" t="s">
        <v>2085</v>
      </c>
      <c r="C78" s="3978"/>
      <c r="D78" s="3979"/>
      <c r="E78" s="3993">
        <f>E69+E77</f>
        <v>220666061.94999999</v>
      </c>
      <c r="F78" s="3993">
        <f>F69+F77</f>
        <v>239314153</v>
      </c>
      <c r="G78" s="3993">
        <v>282939261.50999999</v>
      </c>
      <c r="H78" s="3994">
        <v>248530904.02791855</v>
      </c>
      <c r="I78" s="3993">
        <f t="shared" ref="I78:V78" si="27">I69+I77</f>
        <v>256865929.17000002</v>
      </c>
      <c r="J78" s="3995">
        <f t="shared" si="27"/>
        <v>220992759.80921295</v>
      </c>
      <c r="K78" s="3996">
        <f t="shared" si="27"/>
        <v>219375616.57062814</v>
      </c>
      <c r="L78" s="3996">
        <f t="shared" si="27"/>
        <v>222861948.82981187</v>
      </c>
      <c r="M78" s="3996">
        <f t="shared" si="27"/>
        <v>242093438.57625866</v>
      </c>
      <c r="N78" s="3996">
        <f t="shared" si="27"/>
        <v>249107920.44526803</v>
      </c>
      <c r="O78" s="3996">
        <f t="shared" si="27"/>
        <v>255826724.45895022</v>
      </c>
      <c r="P78" s="3996">
        <f t="shared" si="27"/>
        <v>312093079.25894642</v>
      </c>
      <c r="Q78" s="3996">
        <f t="shared" si="27"/>
        <v>313317893.51878023</v>
      </c>
      <c r="R78" s="3996">
        <f t="shared" si="27"/>
        <v>303529980.11998832</v>
      </c>
      <c r="S78" s="3996">
        <f t="shared" si="27"/>
        <v>309167519.95047921</v>
      </c>
      <c r="T78" s="3996">
        <f t="shared" si="27"/>
        <v>320544438.02070808</v>
      </c>
      <c r="U78" s="3996">
        <f t="shared" si="27"/>
        <v>330066512.81808996</v>
      </c>
      <c r="V78" s="3997">
        <f t="shared" si="27"/>
        <v>344176462.46269244</v>
      </c>
      <c r="W78" s="4048"/>
      <c r="X78" s="4046"/>
    </row>
    <row r="79" spans="1:37" s="4049" customFormat="1" ht="15" customHeight="1" thickTop="1">
      <c r="A79" s="3695"/>
      <c r="B79" s="3725" t="s">
        <v>3903</v>
      </c>
      <c r="C79" s="3725"/>
      <c r="D79" s="3725"/>
      <c r="E79" s="4004">
        <f>+E78-E76-E68+E94</f>
        <v>176266800.18000001</v>
      </c>
      <c r="F79" s="4004">
        <f>+F78-F76-F68+F94</f>
        <v>201509032.05000001</v>
      </c>
      <c r="G79" s="4004">
        <v>228647031.12999997</v>
      </c>
      <c r="H79" s="4005"/>
      <c r="I79" s="4004">
        <v>217077721.28999999</v>
      </c>
      <c r="J79" s="4005"/>
      <c r="K79" s="3725">
        <f>+I78-I68-I76</f>
        <v>164451300</v>
      </c>
      <c r="L79" s="3725"/>
      <c r="M79" s="3725"/>
      <c r="N79" s="3725"/>
      <c r="O79" s="3725"/>
      <c r="P79" s="3725"/>
      <c r="Q79" s="3725"/>
      <c r="R79" s="3725"/>
      <c r="S79" s="3725"/>
      <c r="T79" s="3725"/>
      <c r="U79" s="3725"/>
      <c r="V79" s="4006"/>
    </row>
    <row r="80" spans="1:37" s="4049" customFormat="1" ht="15" customHeight="1">
      <c r="A80" s="3695"/>
      <c r="B80" s="4050"/>
      <c r="C80" s="4050"/>
      <c r="D80" s="4051"/>
      <c r="E80" s="4052"/>
      <c r="F80" s="4052"/>
      <c r="G80" s="4052"/>
      <c r="H80" s="4053"/>
      <c r="I80" s="4052"/>
      <c r="J80" s="4054"/>
      <c r="K80" s="4055"/>
      <c r="L80" s="4055"/>
      <c r="M80" s="4055"/>
      <c r="N80" s="4055"/>
      <c r="O80" s="4055"/>
      <c r="P80" s="4055"/>
      <c r="Q80" s="4055"/>
      <c r="R80" s="4055"/>
      <c r="S80" s="4055"/>
      <c r="T80" s="4055"/>
      <c r="U80" s="4055"/>
      <c r="V80" s="4056"/>
    </row>
    <row r="81" spans="1:22" ht="15" customHeight="1">
      <c r="A81" s="3695"/>
      <c r="B81" s="4057" t="s">
        <v>2013</v>
      </c>
      <c r="C81" s="4058"/>
      <c r="D81" s="4059"/>
      <c r="E81" s="4060"/>
      <c r="F81" s="4060"/>
      <c r="G81" s="4060"/>
      <c r="H81" s="4061"/>
      <c r="I81" s="4060"/>
      <c r="J81" s="4062"/>
      <c r="K81" s="4063"/>
      <c r="L81" s="4063"/>
      <c r="M81" s="4063"/>
      <c r="N81" s="4063"/>
      <c r="O81" s="4063"/>
      <c r="P81" s="4063"/>
      <c r="Q81" s="4063"/>
      <c r="R81" s="4063"/>
      <c r="S81" s="4063"/>
      <c r="T81" s="4063"/>
      <c r="U81" s="4063"/>
      <c r="V81" s="4064"/>
    </row>
    <row r="82" spans="1:22" ht="15" customHeight="1">
      <c r="A82" s="3695" t="s">
        <v>3491</v>
      </c>
      <c r="B82" s="4065" t="s">
        <v>2014</v>
      </c>
      <c r="C82" s="4066"/>
      <c r="D82" s="4067"/>
      <c r="E82" s="4004">
        <f>17833129.68+320602.83+1068455.8+18242.28+61544.3</f>
        <v>19301974.890000001</v>
      </c>
      <c r="F82" s="4004">
        <v>32749704.450000003</v>
      </c>
      <c r="G82" s="4004">
        <v>55826053.230000004</v>
      </c>
      <c r="H82" s="4068">
        <v>36606555.335000001</v>
      </c>
      <c r="I82" s="4004">
        <v>44710203.310000002</v>
      </c>
      <c r="J82" s="4005">
        <v>16263010.225802206</v>
      </c>
      <c r="K82" s="3725">
        <f>'Net Power'!E14</f>
        <v>13332459.16</v>
      </c>
      <c r="L82" s="3725">
        <f>'Net Power'!F14</f>
        <v>12878309.359999999</v>
      </c>
      <c r="M82" s="3725">
        <f>'Net Power'!G14</f>
        <v>10615986.178582095</v>
      </c>
      <c r="N82" s="3725">
        <f>'Net Power'!H14</f>
        <v>21054529.889413234</v>
      </c>
      <c r="O82" s="3725">
        <f>'Net Power'!I14</f>
        <v>45889950.905892216</v>
      </c>
      <c r="P82" s="3725">
        <f>'Net Power'!J14</f>
        <v>112717916.89019872</v>
      </c>
      <c r="Q82" s="3725">
        <f>'Net Power'!K14</f>
        <v>124787420.04669285</v>
      </c>
      <c r="R82" s="3725">
        <f>'Net Power'!L14</f>
        <v>132243110.39536577</v>
      </c>
      <c r="S82" s="3725">
        <f>'Net Power'!M14</f>
        <v>142216139.55369937</v>
      </c>
      <c r="T82" s="3725">
        <f>'Net Power'!N14</f>
        <v>148679659.5540238</v>
      </c>
      <c r="U82" s="3725">
        <f>'Net Power'!O14</f>
        <v>158797248.46992144</v>
      </c>
      <c r="V82" s="4195" t="e">
        <f>'Net Power'!#REF!</f>
        <v>#REF!</v>
      </c>
    </row>
    <row r="83" spans="1:22" ht="15" customHeight="1">
      <c r="A83" s="3695" t="s">
        <v>3491</v>
      </c>
      <c r="B83" s="4065" t="s">
        <v>2015</v>
      </c>
      <c r="C83" s="4066"/>
      <c r="D83" s="4067"/>
      <c r="E83" s="4004">
        <v>0</v>
      </c>
      <c r="F83" s="4004">
        <v>0</v>
      </c>
      <c r="G83" s="4004">
        <v>0</v>
      </c>
      <c r="H83" s="4068">
        <v>-15109889.592255671</v>
      </c>
      <c r="I83" s="4004">
        <v>0</v>
      </c>
      <c r="J83" s="4005">
        <v>-18426047.82481125</v>
      </c>
      <c r="K83" s="3725">
        <f>'Net Power'!E16+'Net Power'!E15</f>
        <v>-13892310</v>
      </c>
      <c r="L83" s="3725">
        <f>'Net Power'!F16+'Net Power'!F15</f>
        <v>-13525480</v>
      </c>
      <c r="M83" s="3725">
        <f>'Net Power'!G16+'Net Power'!G15</f>
        <v>-11726436.043546669</v>
      </c>
      <c r="N83" s="3725">
        <f>'Net Power'!H16+'Net Power'!H15</f>
        <v>-22875924.543191545</v>
      </c>
      <c r="O83" s="3725">
        <f>'Net Power'!I16+'Net Power'!I15</f>
        <v>-49156497.579403922</v>
      </c>
      <c r="P83" s="3725">
        <f>'Net Power'!J16+'Net Power'!J15</f>
        <v>-59823693.53993424</v>
      </c>
      <c r="Q83" s="3725">
        <f>'Net Power'!K16+'Net Power'!K15</f>
        <v>-69354432.552820072</v>
      </c>
      <c r="R83" s="3725">
        <f>'Net Power'!L16+'Net Power'!L15</f>
        <v>-77056309.364797801</v>
      </c>
      <c r="S83" s="3725">
        <f>'Net Power'!M16+'Net Power'!M15</f>
        <v>-86654691.012235552</v>
      </c>
      <c r="T83" s="3725">
        <f>'Net Power'!N16+'Net Power'!N15</f>
        <v>-88404604.947769329</v>
      </c>
      <c r="U83" s="3725">
        <f>'Net Power'!O16+'Net Power'!O15</f>
        <v>-92946228.790804625</v>
      </c>
      <c r="V83" s="4195" t="e">
        <f>'Net Power'!#REF!+'Net Power'!#REF!</f>
        <v>#REF!</v>
      </c>
    </row>
    <row r="84" spans="1:22" ht="15" customHeight="1">
      <c r="A84" s="3695" t="s">
        <v>3491</v>
      </c>
      <c r="B84" s="4065" t="s">
        <v>2016</v>
      </c>
      <c r="C84" s="4066"/>
      <c r="D84" s="4067"/>
      <c r="E84" s="4004">
        <v>115446</v>
      </c>
      <c r="F84" s="4004">
        <v>193335</v>
      </c>
      <c r="G84" s="4004">
        <v>265099</v>
      </c>
      <c r="H84" s="4068">
        <v>321495</v>
      </c>
      <c r="I84" s="4004">
        <v>234998</v>
      </c>
      <c r="J84" s="4005">
        <v>344748</v>
      </c>
      <c r="K84" s="3725">
        <f>'Net Power'!E17</f>
        <v>380548</v>
      </c>
      <c r="L84" s="3725">
        <f>'Net Power'!F17</f>
        <v>381095.78080000007</v>
      </c>
      <c r="M84" s="3725">
        <f>'Net Power'!G17</f>
        <v>451643.34248768003</v>
      </c>
      <c r="N84" s="3725">
        <f>'Net Power'!H17</f>
        <v>794143.01386301382</v>
      </c>
      <c r="O84" s="3725">
        <f>'Net Power'!I17</f>
        <v>1892800</v>
      </c>
      <c r="P84" s="3725">
        <f>'Net Power'!J17</f>
        <v>1892800</v>
      </c>
      <c r="Q84" s="3725">
        <f>'Net Power'!K17</f>
        <v>1968512</v>
      </c>
      <c r="R84" s="3725">
        <f>'Net Power'!L17</f>
        <v>1968512</v>
      </c>
      <c r="S84" s="3725">
        <f>'Net Power'!M17</f>
        <v>2047252.48</v>
      </c>
      <c r="T84" s="3725">
        <f>'Net Power'!N17</f>
        <v>2047252.48</v>
      </c>
      <c r="U84" s="3725">
        <f>'Net Power'!O17</f>
        <v>2129142.5792</v>
      </c>
      <c r="V84" s="4195" t="e">
        <f>'Net Power'!#REF!</f>
        <v>#REF!</v>
      </c>
    </row>
    <row r="85" spans="1:22" ht="15" customHeight="1">
      <c r="A85" s="3695" t="s">
        <v>3491</v>
      </c>
      <c r="B85" s="4065" t="s">
        <v>2017</v>
      </c>
      <c r="C85" s="4066"/>
      <c r="D85" s="4067"/>
      <c r="E85" s="4004">
        <v>2087688</v>
      </c>
      <c r="F85" s="4004">
        <v>2055900</v>
      </c>
      <c r="G85" s="4004">
        <v>2055900</v>
      </c>
      <c r="H85" s="4068">
        <v>2076459</v>
      </c>
      <c r="I85" s="4004">
        <v>2055900</v>
      </c>
      <c r="J85" s="4005">
        <v>2056051</v>
      </c>
      <c r="K85" s="3725">
        <f>'Net Power'!E18</f>
        <v>2025078</v>
      </c>
      <c r="L85" s="3725">
        <f>'Net Power'!F18</f>
        <v>2097223.59</v>
      </c>
      <c r="M85" s="3725">
        <f>'Net Power'!G18</f>
        <v>2118195.8259000001</v>
      </c>
      <c r="N85" s="3725">
        <f>'Net Power'!H18</f>
        <v>2139377.784159</v>
      </c>
      <c r="O85" s="3725">
        <f>'Net Power'!I18</f>
        <v>2160771.5620005899</v>
      </c>
      <c r="P85" s="3725">
        <f>'Net Power'!J18</f>
        <v>2182379.2776205959</v>
      </c>
      <c r="Q85" s="3725">
        <f>'Net Power'!K18</f>
        <v>2204203.0703968019</v>
      </c>
      <c r="R85" s="3725">
        <f>'Net Power'!L18</f>
        <v>923943.93</v>
      </c>
      <c r="S85" s="3725">
        <f>'Net Power'!M18</f>
        <v>933183.36930000002</v>
      </c>
      <c r="T85" s="3725">
        <f>'Net Power'!N18</f>
        <v>942515.20299300004</v>
      </c>
      <c r="U85" s="3725">
        <f>'Net Power'!O18</f>
        <v>951940.35502293007</v>
      </c>
      <c r="V85" s="4195" t="e">
        <f>'Net Power'!#REF!</f>
        <v>#REF!</v>
      </c>
    </row>
    <row r="86" spans="1:22" ht="15" customHeight="1">
      <c r="A86" s="3695" t="s">
        <v>3491</v>
      </c>
      <c r="B86" s="4065" t="s">
        <v>2018</v>
      </c>
      <c r="C86" s="4066"/>
      <c r="D86" s="4067"/>
      <c r="E86" s="4004">
        <v>-4110400.8</v>
      </c>
      <c r="F86" s="4004">
        <v>-4718395.32</v>
      </c>
      <c r="G86" s="4004">
        <v>-5832284.7599999998</v>
      </c>
      <c r="H86" s="4068">
        <v>-3263538.6554705845</v>
      </c>
      <c r="I86" s="4004">
        <v>-19734509.690000001</v>
      </c>
      <c r="J86" s="4005">
        <v>-2592719.069476014</v>
      </c>
      <c r="K86" s="3725">
        <f>'Net Power'!E19</f>
        <v>-2198034.8555999999</v>
      </c>
      <c r="L86" s="3725">
        <f>'Net Power'!F19</f>
        <v>-2193976.8762559998</v>
      </c>
      <c r="M86" s="3725">
        <f>'Net Power'!G19</f>
        <v>-1833101.7469336165</v>
      </c>
      <c r="N86" s="3725">
        <f>'Net Power'!H19</f>
        <v>-1497050.6505834539</v>
      </c>
      <c r="O86" s="3725">
        <f>'Net Power'!I19</f>
        <v>-1183496.5581636291</v>
      </c>
      <c r="P86" s="3725">
        <f>'Net Power'!J19</f>
        <v>-777629.05171368131</v>
      </c>
      <c r="Q86" s="3725">
        <f>'Net Power'!K19</f>
        <v>-571060.48089506885</v>
      </c>
      <c r="R86" s="3725">
        <f>'Net Power'!L19</f>
        <v>-302385.60408511473</v>
      </c>
      <c r="S86" s="3725">
        <f>'Net Power'!M19</f>
        <v>-764.03775527885557</v>
      </c>
      <c r="T86" s="3725">
        <f>'Net Power'!N19</f>
        <v>0</v>
      </c>
      <c r="U86" s="3725">
        <f>'Net Power'!O19</f>
        <v>0</v>
      </c>
      <c r="V86" s="4195" t="e">
        <f>'Net Power'!#REF!</f>
        <v>#REF!</v>
      </c>
    </row>
    <row r="87" spans="1:22" ht="15" customHeight="1">
      <c r="A87" s="3695" t="s">
        <v>3491</v>
      </c>
      <c r="B87" s="4065" t="s">
        <v>503</v>
      </c>
      <c r="C87" s="4066"/>
      <c r="D87" s="4067"/>
      <c r="E87" s="4004">
        <v>3.0792605035038129E-4</v>
      </c>
      <c r="F87" s="4004">
        <v>353867</v>
      </c>
      <c r="G87" s="4004">
        <v>346805</v>
      </c>
      <c r="H87" s="4068">
        <v>342000</v>
      </c>
      <c r="I87" s="4004">
        <v>367483</v>
      </c>
      <c r="J87" s="4005">
        <v>352260</v>
      </c>
      <c r="K87" s="4074">
        <f>'Net Power'!E20</f>
        <v>352260</v>
      </c>
      <c r="L87" s="4074">
        <f>'Net Power'!F20</f>
        <v>362827.8</v>
      </c>
      <c r="M87" s="4074">
        <f>'Net Power'!G20</f>
        <v>373712.63400000002</v>
      </c>
      <c r="N87" s="4074">
        <f>'Net Power'!H20</f>
        <v>384924.01302000001</v>
      </c>
      <c r="O87" s="4074">
        <f>'Net Power'!I20</f>
        <v>396471.73341060005</v>
      </c>
      <c r="P87" s="4074">
        <f>'Net Power'!J20</f>
        <v>408365.88541291805</v>
      </c>
      <c r="Q87" s="4074">
        <f>'Net Power'!K20</f>
        <v>420616.8619753056</v>
      </c>
      <c r="R87" s="4074">
        <f>'Net Power'!L20</f>
        <v>433235.36783456476</v>
      </c>
      <c r="S87" s="4074">
        <f>'Net Power'!M20</f>
        <v>446232.42886960175</v>
      </c>
      <c r="T87" s="4074">
        <f>'Net Power'!N20</f>
        <v>459619.40173568978</v>
      </c>
      <c r="U87" s="4074">
        <f>'Net Power'!O20</f>
        <v>473407.98378776049</v>
      </c>
      <c r="V87" s="4196" t="e">
        <f>'Net Power'!#REF!</f>
        <v>#REF!</v>
      </c>
    </row>
    <row r="88" spans="1:22" s="3985" customFormat="1" ht="15" customHeight="1">
      <c r="A88" s="3695" t="s">
        <v>3491</v>
      </c>
      <c r="B88" s="4065" t="s">
        <v>2019</v>
      </c>
      <c r="C88" s="4066"/>
      <c r="D88" s="4067"/>
      <c r="E88" s="4069">
        <f t="shared" ref="E88:M88" si="28">SUM(E82:E87)</f>
        <v>17394708.090307925</v>
      </c>
      <c r="F88" s="4069">
        <f t="shared" si="28"/>
        <v>30634411.130000003</v>
      </c>
      <c r="G88" s="4069">
        <v>52661572.470000006</v>
      </c>
      <c r="H88" s="4070">
        <v>20973081.087273747</v>
      </c>
      <c r="I88" s="4069">
        <f>SUM(I82:I87)</f>
        <v>27634074.620000001</v>
      </c>
      <c r="J88" s="4071">
        <f>SUM(J82:J87)</f>
        <v>-2002697.6684850585</v>
      </c>
      <c r="K88" s="4072">
        <f t="shared" si="28"/>
        <v>0.30440000025555491</v>
      </c>
      <c r="L88" s="4072">
        <f t="shared" si="28"/>
        <v>-0.34545600047567859</v>
      </c>
      <c r="M88" s="4072">
        <f t="shared" si="28"/>
        <v>0.19048948906129226</v>
      </c>
      <c r="N88" s="4072">
        <f t="shared" ref="N88:V88" si="29">SUM(N82:N87)</f>
        <v>-0.49331975093809888</v>
      </c>
      <c r="O88" s="4072">
        <f t="shared" si="29"/>
        <v>6.3735854520928115E-2</v>
      </c>
      <c r="P88" s="4072">
        <f t="shared" si="29"/>
        <v>56600139.461584315</v>
      </c>
      <c r="Q88" s="4072">
        <f t="shared" si="29"/>
        <v>59455258.945349813</v>
      </c>
      <c r="R88" s="4072">
        <f t="shared" si="29"/>
        <v>58210106.724317424</v>
      </c>
      <c r="S88" s="4072">
        <f t="shared" si="29"/>
        <v>58987352.781878144</v>
      </c>
      <c r="T88" s="4072">
        <f t="shared" si="29"/>
        <v>63724441.690983161</v>
      </c>
      <c r="U88" s="4072">
        <f t="shared" si="29"/>
        <v>69405510.597127512</v>
      </c>
      <c r="V88" s="4073" t="e">
        <f t="shared" si="29"/>
        <v>#REF!</v>
      </c>
    </row>
    <row r="89" spans="1:22" ht="15" customHeight="1">
      <c r="A89" s="3695"/>
      <c r="B89" s="4074" t="s">
        <v>3904</v>
      </c>
      <c r="C89" s="4074"/>
      <c r="D89" s="4074"/>
      <c r="E89" s="4075">
        <f>+E88-E60</f>
        <v>3.0792504549026489E-4</v>
      </c>
      <c r="F89" s="4075">
        <f>+F88-F60</f>
        <v>0</v>
      </c>
      <c r="G89" s="4075">
        <v>0</v>
      </c>
      <c r="H89" s="4076">
        <v>0</v>
      </c>
      <c r="I89" s="4075">
        <f>+I88-I60</f>
        <v>0</v>
      </c>
      <c r="J89" s="4005">
        <v>0</v>
      </c>
      <c r="K89" s="4074">
        <f t="shared" ref="K89:V89" si="30">+K88-K60</f>
        <v>0</v>
      </c>
      <c r="L89" s="4074">
        <f t="shared" si="30"/>
        <v>0</v>
      </c>
      <c r="M89" s="4074">
        <f t="shared" si="30"/>
        <v>0</v>
      </c>
      <c r="N89" s="4074">
        <f t="shared" si="30"/>
        <v>-3.7252902984619141E-9</v>
      </c>
      <c r="O89" s="4074">
        <f t="shared" si="30"/>
        <v>0</v>
      </c>
      <c r="P89" s="4074">
        <f t="shared" si="30"/>
        <v>0</v>
      </c>
      <c r="Q89" s="4074">
        <f t="shared" si="30"/>
        <v>0</v>
      </c>
      <c r="R89" s="4074">
        <f t="shared" si="30"/>
        <v>0</v>
      </c>
      <c r="S89" s="4074">
        <f t="shared" si="30"/>
        <v>0</v>
      </c>
      <c r="T89" s="4074">
        <f t="shared" si="30"/>
        <v>0</v>
      </c>
      <c r="U89" s="4074">
        <f t="shared" si="30"/>
        <v>0</v>
      </c>
      <c r="V89" s="4077" t="e">
        <f t="shared" si="30"/>
        <v>#REF!</v>
      </c>
    </row>
    <row r="90" spans="1:22" ht="24" customHeight="1">
      <c r="A90" s="3695"/>
      <c r="B90" s="4078" t="s">
        <v>2020</v>
      </c>
      <c r="C90" s="4078"/>
      <c r="D90" s="4079"/>
      <c r="E90" s="3947"/>
      <c r="F90" s="3947"/>
      <c r="G90" s="3947"/>
      <c r="H90" s="3974"/>
      <c r="I90" s="3947"/>
      <c r="J90" s="4080"/>
      <c r="K90" s="3976"/>
      <c r="L90" s="3976"/>
      <c r="M90" s="3976"/>
      <c r="N90" s="3976"/>
      <c r="O90" s="3976"/>
      <c r="P90" s="3976"/>
      <c r="Q90" s="3976"/>
      <c r="R90" s="3976"/>
      <c r="S90" s="3976"/>
      <c r="T90" s="3976"/>
      <c r="U90" s="3976"/>
      <c r="V90" s="3977"/>
    </row>
    <row r="91" spans="1:22" ht="24" customHeight="1">
      <c r="A91" s="3695"/>
      <c r="B91" s="4081" t="s">
        <v>2021</v>
      </c>
      <c r="C91" s="4081"/>
      <c r="E91" s="3947"/>
      <c r="F91" s="3947"/>
      <c r="G91" s="4008"/>
      <c r="H91" s="4009"/>
      <c r="I91" s="4008"/>
      <c r="J91" s="4083"/>
      <c r="K91" s="3976"/>
      <c r="L91" s="3976"/>
      <c r="M91" s="3976"/>
      <c r="N91" s="3976"/>
      <c r="O91" s="3976"/>
      <c r="P91" s="3976"/>
      <c r="Q91" s="3976"/>
      <c r="R91" s="3976"/>
      <c r="S91" s="3976"/>
      <c r="T91" s="3976"/>
      <c r="U91" s="3976"/>
      <c r="V91" s="3977"/>
    </row>
    <row r="92" spans="1:22" ht="15" customHeight="1">
      <c r="A92" s="3695" t="s">
        <v>3896</v>
      </c>
      <c r="B92" s="3959" t="s">
        <v>204</v>
      </c>
      <c r="E92" s="3947">
        <v>28536568.689999998</v>
      </c>
      <c r="F92" s="3947">
        <v>29611859.079999998</v>
      </c>
      <c r="G92" s="3947">
        <v>30713083.699999999</v>
      </c>
      <c r="H92" s="3974">
        <v>20631252.046361051</v>
      </c>
      <c r="I92" s="3947">
        <v>32242338.59</v>
      </c>
      <c r="J92" s="3975">
        <v>34862394.259457871</v>
      </c>
      <c r="K92" s="3976">
        <v>34753917.620746456</v>
      </c>
      <c r="L92" s="3976">
        <v>37190865.386608787</v>
      </c>
      <c r="M92" s="3976">
        <v>40206925.973828778</v>
      </c>
      <c r="N92" s="3976">
        <v>42748908.228497393</v>
      </c>
      <c r="O92" s="3976">
        <v>45137009.612629361</v>
      </c>
      <c r="P92" s="3976">
        <v>44925632.027356319</v>
      </c>
      <c r="Q92" s="3976">
        <v>43863245.850368671</v>
      </c>
      <c r="R92" s="3976">
        <v>44561808.875802666</v>
      </c>
      <c r="S92" s="3976">
        <v>45681229.971239023</v>
      </c>
      <c r="T92" s="3976">
        <v>46511143.659667529</v>
      </c>
      <c r="U92" s="3976">
        <v>47334480.6176017</v>
      </c>
      <c r="V92" s="3977">
        <v>48362385.759971805</v>
      </c>
    </row>
    <row r="93" spans="1:22" ht="15" customHeight="1">
      <c r="A93" s="3695" t="s">
        <v>3896</v>
      </c>
      <c r="B93" s="3959" t="s">
        <v>1951</v>
      </c>
      <c r="E93" s="3947">
        <v>19320685.760000002</v>
      </c>
      <c r="F93" s="3947">
        <v>20861603.969999999</v>
      </c>
      <c r="G93" s="3947">
        <v>23182793.129999999</v>
      </c>
      <c r="H93" s="3974">
        <v>39295654.667383999</v>
      </c>
      <c r="I93" s="3947">
        <v>24742727.190000001</v>
      </c>
      <c r="J93" s="3975">
        <v>29378962.763574112</v>
      </c>
      <c r="K93" s="3976">
        <v>29095569.021214548</v>
      </c>
      <c r="L93" s="3976">
        <v>30955346.70987042</v>
      </c>
      <c r="M93" s="3976">
        <v>32938718.218346704</v>
      </c>
      <c r="N93" s="3976">
        <v>34756703.326951668</v>
      </c>
      <c r="O93" s="3976">
        <v>35991063.893670887</v>
      </c>
      <c r="P93" s="3976">
        <v>35992073.561981581</v>
      </c>
      <c r="Q93" s="3976">
        <v>35467747.0223286</v>
      </c>
      <c r="R93" s="3976">
        <v>36112822.876777835</v>
      </c>
      <c r="S93" s="3976">
        <v>36826239.760905758</v>
      </c>
      <c r="T93" s="3976">
        <v>37483110.922426045</v>
      </c>
      <c r="U93" s="3976">
        <v>38832768.084736049</v>
      </c>
      <c r="V93" s="3977">
        <v>39462386.145571046</v>
      </c>
    </row>
    <row r="94" spans="1:22" s="3985" customFormat="1" ht="15" customHeight="1">
      <c r="A94" s="3695" t="s">
        <v>3893</v>
      </c>
      <c r="B94" s="3961" t="s">
        <v>3905</v>
      </c>
      <c r="C94" s="3961"/>
      <c r="D94" s="4084"/>
      <c r="E94" s="3980">
        <f t="shared" ref="E94:V94" si="31">SUM(E92:E93)</f>
        <v>47857254.450000003</v>
      </c>
      <c r="F94" s="3980">
        <f t="shared" si="31"/>
        <v>50473463.049999997</v>
      </c>
      <c r="G94" s="3980">
        <v>53895876.829999998</v>
      </c>
      <c r="H94" s="3981">
        <v>59926906.71374505</v>
      </c>
      <c r="I94" s="3980">
        <f>SUM(I92:I93)</f>
        <v>56985065.780000001</v>
      </c>
      <c r="J94" s="3982">
        <f t="shared" si="31"/>
        <v>64241357.02303198</v>
      </c>
      <c r="K94" s="3983">
        <f t="shared" si="31"/>
        <v>63849486.641961008</v>
      </c>
      <c r="L94" s="3983">
        <f t="shared" si="31"/>
        <v>68146212.096479207</v>
      </c>
      <c r="M94" s="3983">
        <f t="shared" si="31"/>
        <v>73145644.192175478</v>
      </c>
      <c r="N94" s="3983">
        <f t="shared" si="31"/>
        <v>77505611.555449069</v>
      </c>
      <c r="O94" s="3983">
        <f t="shared" si="31"/>
        <v>81128073.506300241</v>
      </c>
      <c r="P94" s="3983">
        <f t="shared" si="31"/>
        <v>80917705.5893379</v>
      </c>
      <c r="Q94" s="3983">
        <f t="shared" si="31"/>
        <v>79330992.872697264</v>
      </c>
      <c r="R94" s="3983">
        <f t="shared" si="31"/>
        <v>80674631.752580494</v>
      </c>
      <c r="S94" s="3983">
        <f t="shared" si="31"/>
        <v>82507469.732144773</v>
      </c>
      <c r="T94" s="3983">
        <f t="shared" si="31"/>
        <v>83994254.582093567</v>
      </c>
      <c r="U94" s="3983">
        <f t="shared" si="31"/>
        <v>86167248.702337742</v>
      </c>
      <c r="V94" s="3984">
        <f t="shared" si="31"/>
        <v>87824771.90554285</v>
      </c>
    </row>
    <row r="95" spans="1:22" ht="24" customHeight="1">
      <c r="A95" s="3695"/>
      <c r="B95" s="4081" t="s">
        <v>267</v>
      </c>
      <c r="C95" s="4081"/>
      <c r="E95" s="3947"/>
      <c r="F95" s="3947"/>
      <c r="G95" s="4008"/>
      <c r="H95" s="4009"/>
      <c r="I95" s="4008"/>
      <c r="J95" s="3975"/>
      <c r="K95" s="3976"/>
      <c r="L95" s="3976"/>
      <c r="M95" s="3976"/>
      <c r="N95" s="3976"/>
      <c r="O95" s="3976"/>
      <c r="P95" s="3976"/>
      <c r="Q95" s="3976"/>
      <c r="R95" s="3976"/>
      <c r="S95" s="3976"/>
      <c r="T95" s="3976"/>
      <c r="U95" s="3976"/>
      <c r="V95" s="3977"/>
    </row>
    <row r="96" spans="1:22">
      <c r="A96" s="3695" t="s">
        <v>3896</v>
      </c>
      <c r="B96" s="3959" t="s">
        <v>717</v>
      </c>
      <c r="E96" s="3947">
        <v>50784988.143320002</v>
      </c>
      <c r="F96" s="3947">
        <v>67069487</v>
      </c>
      <c r="G96" s="3947">
        <v>43454998.460000001</v>
      </c>
      <c r="H96" s="3974">
        <v>56333790.430503413</v>
      </c>
      <c r="I96" s="3947">
        <v>36659184.746062398</v>
      </c>
      <c r="J96" s="3975">
        <v>57552431.924483344</v>
      </c>
      <c r="K96" s="3976">
        <v>59999222.552695818</v>
      </c>
      <c r="L96" s="3976">
        <v>69299537.898900956</v>
      </c>
      <c r="M96" s="3976">
        <v>55761096.780477867</v>
      </c>
      <c r="N96" s="3976">
        <v>52719294.060464561</v>
      </c>
      <c r="O96" s="3976">
        <v>29345320.730032656</v>
      </c>
      <c r="P96" s="3976">
        <v>27846208.057557296</v>
      </c>
      <c r="Q96" s="3976">
        <v>31387073.699986964</v>
      </c>
      <c r="R96" s="3976">
        <v>36279392.549446926</v>
      </c>
      <c r="S96" s="3976">
        <v>31901862.832594763</v>
      </c>
      <c r="T96" s="3976">
        <v>31158184.660147019</v>
      </c>
      <c r="U96" s="3976">
        <v>34661890.528807357</v>
      </c>
      <c r="V96" s="3977">
        <v>33232552.874015097</v>
      </c>
    </row>
    <row r="97" spans="1:22">
      <c r="A97" s="3695" t="s">
        <v>3896</v>
      </c>
      <c r="B97" s="3959" t="s">
        <v>1977</v>
      </c>
      <c r="E97" s="3947">
        <v>100658098.2066799</v>
      </c>
      <c r="F97" s="3947">
        <v>141644212</v>
      </c>
      <c r="G97" s="3947">
        <v>111886305</v>
      </c>
      <c r="H97" s="3974">
        <v>96095812.658953875</v>
      </c>
      <c r="I97" s="3947">
        <v>80012760.567582503</v>
      </c>
      <c r="J97" s="3975">
        <v>102052609.44050707</v>
      </c>
      <c r="K97" s="3976">
        <v>101330610.35146607</v>
      </c>
      <c r="L97" s="3976">
        <v>113469803.70422849</v>
      </c>
      <c r="M97" s="3976">
        <v>99567182.712483793</v>
      </c>
      <c r="N97" s="3976">
        <v>70449034.3913984</v>
      </c>
      <c r="O97" s="3976">
        <v>59180844.826800779</v>
      </c>
      <c r="P97" s="3976">
        <v>60250564.524075486</v>
      </c>
      <c r="Q97" s="3976">
        <v>62927466.244193703</v>
      </c>
      <c r="R97" s="3976">
        <v>60136374.104597077</v>
      </c>
      <c r="S97" s="3976">
        <v>59797068.055952802</v>
      </c>
      <c r="T97" s="3976">
        <v>93358227.696240857</v>
      </c>
      <c r="U97" s="3976">
        <v>56321257.839261182</v>
      </c>
      <c r="V97" s="3977">
        <v>60345587.727426775</v>
      </c>
    </row>
    <row r="98" spans="1:22" s="3985" customFormat="1">
      <c r="A98" s="3695" t="s">
        <v>3893</v>
      </c>
      <c r="B98" s="3978" t="s">
        <v>2025</v>
      </c>
      <c r="C98" s="3978"/>
      <c r="D98" s="3979"/>
      <c r="E98" s="3980">
        <f t="shared" ref="E98:M98" si="32">SUM(E96:E97)</f>
        <v>151443086.3499999</v>
      </c>
      <c r="F98" s="3980">
        <f t="shared" si="32"/>
        <v>208713699</v>
      </c>
      <c r="G98" s="3980">
        <v>155341303.46000001</v>
      </c>
      <c r="H98" s="3981">
        <v>152429603.08945727</v>
      </c>
      <c r="I98" s="3980">
        <f>SUM(I96:I97)</f>
        <v>116671945.3136449</v>
      </c>
      <c r="J98" s="3982">
        <f>SUM(J96:J97)</f>
        <v>159605041.36499041</v>
      </c>
      <c r="K98" s="3983">
        <f t="shared" si="32"/>
        <v>161329832.9041619</v>
      </c>
      <c r="L98" s="3983">
        <f t="shared" si="32"/>
        <v>182769341.60312945</v>
      </c>
      <c r="M98" s="3983">
        <f t="shared" si="32"/>
        <v>155328279.49296165</v>
      </c>
      <c r="N98" s="3983">
        <f t="shared" ref="N98:V98" si="33">SUM(N96:N97)</f>
        <v>123168328.45186296</v>
      </c>
      <c r="O98" s="3983">
        <f t="shared" si="33"/>
        <v>88526165.556833431</v>
      </c>
      <c r="P98" s="3983">
        <f t="shared" si="33"/>
        <v>88096772.581632778</v>
      </c>
      <c r="Q98" s="3983">
        <f t="shared" si="33"/>
        <v>94314539.944180667</v>
      </c>
      <c r="R98" s="3983">
        <f t="shared" si="33"/>
        <v>96415766.654044002</v>
      </c>
      <c r="S98" s="3983">
        <f t="shared" si="33"/>
        <v>91698930.88854757</v>
      </c>
      <c r="T98" s="3983">
        <f t="shared" si="33"/>
        <v>124516412.35638788</v>
      </c>
      <c r="U98" s="3983">
        <f t="shared" si="33"/>
        <v>90983148.368068546</v>
      </c>
      <c r="V98" s="3984">
        <f t="shared" si="33"/>
        <v>93578140.601441875</v>
      </c>
    </row>
    <row r="99" spans="1:22" ht="23.25" customHeight="1">
      <c r="A99" s="3695"/>
      <c r="B99" s="4078" t="s">
        <v>2026</v>
      </c>
      <c r="C99" s="4078"/>
      <c r="E99" s="3988"/>
      <c r="F99" s="3988"/>
      <c r="G99" s="3988"/>
      <c r="H99" s="3989"/>
      <c r="I99" s="3988"/>
      <c r="J99" s="3992"/>
      <c r="K99" s="3990"/>
      <c r="L99" s="3990"/>
      <c r="M99" s="3990"/>
      <c r="N99" s="3990"/>
      <c r="O99" s="3990"/>
      <c r="P99" s="3990"/>
      <c r="Q99" s="3990"/>
      <c r="R99" s="3990"/>
      <c r="S99" s="3990"/>
      <c r="T99" s="3990"/>
      <c r="U99" s="3990"/>
      <c r="V99" s="3991"/>
    </row>
    <row r="100" spans="1:22">
      <c r="A100" s="3695"/>
      <c r="B100" s="3959" t="s">
        <v>2027</v>
      </c>
      <c r="E100" s="4020">
        <v>267099545.15000001</v>
      </c>
      <c r="F100" s="4020">
        <v>302393637.09000003</v>
      </c>
      <c r="G100" s="4020">
        <v>331431730.64999998</v>
      </c>
      <c r="H100" s="4028">
        <v>321792581.84830958</v>
      </c>
      <c r="I100" s="4020">
        <v>326390651.89999998</v>
      </c>
      <c r="J100" s="4039">
        <v>311536098.58500022</v>
      </c>
      <c r="K100" s="4029">
        <v>300171809.26623499</v>
      </c>
      <c r="L100" s="4029">
        <v>294130556.34969676</v>
      </c>
      <c r="M100" s="4029">
        <v>301975208.14051712</v>
      </c>
      <c r="N100" s="4029">
        <v>318170502.3114661</v>
      </c>
      <c r="O100" s="4029">
        <v>322066719.99473757</v>
      </c>
      <c r="P100" s="4029">
        <v>391507823.69106972</v>
      </c>
      <c r="Q100" s="4029">
        <v>408666318.95572037</v>
      </c>
      <c r="R100" s="4029">
        <v>419373991.52285606</v>
      </c>
      <c r="S100" s="4029">
        <v>435017438.41139704</v>
      </c>
      <c r="T100" s="4029">
        <v>445479590.15720499</v>
      </c>
      <c r="U100" s="4029">
        <v>462875759.46936578</v>
      </c>
      <c r="V100" s="4030">
        <v>472151127.0105871</v>
      </c>
    </row>
    <row r="101" spans="1:22">
      <c r="A101" s="3695"/>
      <c r="B101" s="3959" t="s">
        <v>2028</v>
      </c>
      <c r="E101" s="4020">
        <v>-128409545.73000002</v>
      </c>
      <c r="F101" s="4020">
        <v>-151035569</v>
      </c>
      <c r="G101" s="4020">
        <v>-196019672.88999999</v>
      </c>
      <c r="H101" s="4028">
        <v>-150726118.60274449</v>
      </c>
      <c r="I101" s="4020">
        <v>-164451300</v>
      </c>
      <c r="J101" s="4039">
        <v>-120189348.88100019</v>
      </c>
      <c r="K101" s="4029">
        <v>-125127487.30062814</v>
      </c>
      <c r="L101" s="4029">
        <v>-129022753.58548449</v>
      </c>
      <c r="M101" s="4029">
        <v>-135827532.78252065</v>
      </c>
      <c r="N101" s="4029">
        <v>-140180270.02270395</v>
      </c>
      <c r="O101" s="4029">
        <v>-145381483.09794855</v>
      </c>
      <c r="P101" s="4029">
        <v>-206922248.41848159</v>
      </c>
      <c r="Q101" s="4029">
        <v>-210314471.43003634</v>
      </c>
      <c r="R101" s="4029">
        <v>-216817998.11247739</v>
      </c>
      <c r="S101" s="4029">
        <v>-223233543.6528613</v>
      </c>
      <c r="T101" s="4029">
        <v>-235432525.26296678</v>
      </c>
      <c r="U101" s="4029">
        <v>-250657123.11966732</v>
      </c>
      <c r="V101" s="4030">
        <v>-262730850.32349378</v>
      </c>
    </row>
    <row r="102" spans="1:22">
      <c r="A102" s="3695"/>
      <c r="B102" s="3959" t="s">
        <v>3906</v>
      </c>
      <c r="E102" s="4020">
        <v>-47857254.450000003</v>
      </c>
      <c r="F102" s="4020">
        <v>-50473463.049999997</v>
      </c>
      <c r="G102" s="4020">
        <v>-53895876.829999998</v>
      </c>
      <c r="H102" s="4028">
        <v>-59926906.71374505</v>
      </c>
      <c r="I102" s="4020">
        <v>-56985065.780000001</v>
      </c>
      <c r="J102" s="4039">
        <v>-64241357.02303198</v>
      </c>
      <c r="K102" s="4029">
        <v>-63849486.641961008</v>
      </c>
      <c r="L102" s="4029">
        <v>-68146212.096479207</v>
      </c>
      <c r="M102" s="4029">
        <v>-73145644.192175478</v>
      </c>
      <c r="N102" s="4029">
        <v>-77505611.555449069</v>
      </c>
      <c r="O102" s="4029">
        <v>-81128073.506300241</v>
      </c>
      <c r="P102" s="4029">
        <v>-80917705.5893379</v>
      </c>
      <c r="Q102" s="4029">
        <v>-79330992.872697264</v>
      </c>
      <c r="R102" s="4029">
        <v>-80674631.752580494</v>
      </c>
      <c r="S102" s="4029">
        <v>-82507469.732144773</v>
      </c>
      <c r="T102" s="4029">
        <v>-83994254.582093567</v>
      </c>
      <c r="U102" s="4029">
        <v>-86167248.702337742</v>
      </c>
      <c r="V102" s="4030">
        <v>-87824771.90554285</v>
      </c>
    </row>
    <row r="103" spans="1:22">
      <c r="A103" s="3695"/>
      <c r="B103" s="3959" t="s">
        <v>3907</v>
      </c>
      <c r="E103" s="4020">
        <v>-37531000</v>
      </c>
      <c r="F103" s="4020">
        <v>-34169221.82</v>
      </c>
      <c r="G103" s="4020">
        <v>-29659987.68</v>
      </c>
      <c r="H103" s="4028">
        <v>-63361101.17212148</v>
      </c>
      <c r="I103" s="4020">
        <v>-31567438.960000001</v>
      </c>
      <c r="J103" s="4039">
        <v>-39243835.643182896</v>
      </c>
      <c r="K103" s="4029">
        <v>-29284242.445895731</v>
      </c>
      <c r="L103" s="4029">
        <v>-42728856.889334276</v>
      </c>
      <c r="M103" s="4029">
        <v>-42605501.517846406</v>
      </c>
      <c r="N103" s="4029">
        <v>-43003175.658256829</v>
      </c>
      <c r="O103" s="4029">
        <v>-42383737.386557333</v>
      </c>
      <c r="P103" s="4029">
        <v>-45805755.39642445</v>
      </c>
      <c r="Q103" s="4029">
        <v>-43839022.096179523</v>
      </c>
      <c r="R103" s="4029">
        <v>-41096877.96943821</v>
      </c>
      <c r="S103" s="4029">
        <v>-39114143.486110806</v>
      </c>
      <c r="T103" s="4029">
        <v>-36669853.803837925</v>
      </c>
      <c r="U103" s="4029">
        <v>-33350203.073292077</v>
      </c>
      <c r="V103" s="4030">
        <v>-28579118.664007921</v>
      </c>
    </row>
    <row r="104" spans="1:22">
      <c r="A104" s="3695"/>
      <c r="B104" s="3959" t="s">
        <v>2030</v>
      </c>
      <c r="E104" s="4085">
        <f t="shared" ref="E104:M104" si="34">SUM(E100:E103)</f>
        <v>53301744.969999984</v>
      </c>
      <c r="F104" s="4085">
        <f t="shared" si="34"/>
        <v>66715383.220000036</v>
      </c>
      <c r="G104" s="4085">
        <v>51856193.249999993</v>
      </c>
      <c r="H104" s="4086">
        <v>47778455.359698549</v>
      </c>
      <c r="I104" s="4085">
        <f>SUM(I100:I103)</f>
        <v>73386847.159999967</v>
      </c>
      <c r="J104" s="4087">
        <f>SUM(J100:J103)</f>
        <v>87861557.037785143</v>
      </c>
      <c r="K104" s="4088">
        <f t="shared" si="34"/>
        <v>81910592.877750129</v>
      </c>
      <c r="L104" s="4088">
        <f t="shared" si="34"/>
        <v>54232733.778398767</v>
      </c>
      <c r="M104" s="4088">
        <f t="shared" si="34"/>
        <v>50396529.647974581</v>
      </c>
      <c r="N104" s="4088">
        <f t="shared" ref="N104:V104" si="35">SUM(N100:N103)</f>
        <v>57481445.075056255</v>
      </c>
      <c r="O104" s="4088">
        <f t="shared" si="35"/>
        <v>53173426.00393144</v>
      </c>
      <c r="P104" s="4088">
        <f t="shared" si="35"/>
        <v>57862114.286825784</v>
      </c>
      <c r="Q104" s="4088">
        <f t="shared" si="35"/>
        <v>75181832.55680725</v>
      </c>
      <c r="R104" s="4088">
        <f t="shared" si="35"/>
        <v>80784483.688359961</v>
      </c>
      <c r="S104" s="4088">
        <f t="shared" si="35"/>
        <v>90162281.540280163</v>
      </c>
      <c r="T104" s="4088">
        <f t="shared" si="35"/>
        <v>89382956.508306712</v>
      </c>
      <c r="U104" s="4088">
        <f t="shared" si="35"/>
        <v>92701184.574068636</v>
      </c>
      <c r="V104" s="4089">
        <f t="shared" si="35"/>
        <v>93016386.11754255</v>
      </c>
    </row>
    <row r="105" spans="1:22" s="3985" customFormat="1" ht="15.75" thickBot="1">
      <c r="A105" s="3695"/>
      <c r="B105" s="4078" t="s">
        <v>2031</v>
      </c>
      <c r="C105" s="4078"/>
      <c r="D105" s="4090"/>
      <c r="E105" s="4091">
        <v>783248914.49000001</v>
      </c>
      <c r="F105" s="4091">
        <f>+E105+F104</f>
        <v>849964297.71000004</v>
      </c>
      <c r="G105" s="4091">
        <v>901820490.96000004</v>
      </c>
      <c r="H105" s="4092">
        <v>878390401.04460359</v>
      </c>
      <c r="I105" s="4091">
        <f>G105+I104</f>
        <v>975207338.12</v>
      </c>
      <c r="J105" s="4092">
        <f>932645169.210882+J104</f>
        <v>1020506726.2486671</v>
      </c>
      <c r="K105" s="4093">
        <f>I105+K104</f>
        <v>1057117930.9977502</v>
      </c>
      <c r="L105" s="4093">
        <f>K105+L104</f>
        <v>1111350664.776149</v>
      </c>
      <c r="M105" s="4093">
        <f>L105+M104</f>
        <v>1161747194.4241235</v>
      </c>
      <c r="N105" s="4093">
        <f t="shared" ref="N105:V105" si="36">M105+N104</f>
        <v>1219228639.4991798</v>
      </c>
      <c r="O105" s="4093">
        <f t="shared" si="36"/>
        <v>1272402065.5031114</v>
      </c>
      <c r="P105" s="4093">
        <f t="shared" si="36"/>
        <v>1330264179.7899373</v>
      </c>
      <c r="Q105" s="4093">
        <f t="shared" si="36"/>
        <v>1405446012.3467445</v>
      </c>
      <c r="R105" s="4093">
        <f t="shared" si="36"/>
        <v>1486230496.0351045</v>
      </c>
      <c r="S105" s="4093">
        <f t="shared" si="36"/>
        <v>1576392777.5753846</v>
      </c>
      <c r="T105" s="4093">
        <f t="shared" si="36"/>
        <v>1665775734.0836914</v>
      </c>
      <c r="U105" s="4093">
        <f t="shared" si="36"/>
        <v>1758476918.6577599</v>
      </c>
      <c r="V105" s="4094">
        <f t="shared" si="36"/>
        <v>1851493304.7753024</v>
      </c>
    </row>
    <row r="106" spans="1:22" s="3985" customFormat="1" ht="15.75" thickTop="1">
      <c r="A106" s="3695"/>
      <c r="B106" s="4096"/>
      <c r="C106" s="4096"/>
      <c r="D106" s="4097"/>
      <c r="E106" s="4098"/>
      <c r="F106" s="4098"/>
      <c r="G106" s="4098"/>
      <c r="H106" s="4099"/>
      <c r="I106" s="4098"/>
      <c r="J106" s="4099"/>
      <c r="K106" s="4100"/>
      <c r="L106" s="4100"/>
      <c r="M106" s="4100"/>
      <c r="N106" s="4100"/>
      <c r="O106" s="4100"/>
      <c r="P106" s="4100"/>
      <c r="Q106" s="4100"/>
      <c r="R106" s="4100"/>
      <c r="S106" s="4100"/>
      <c r="T106" s="4100"/>
      <c r="U106" s="4100"/>
      <c r="V106" s="4101"/>
    </row>
    <row r="107" spans="1:22" s="4103" customFormat="1" ht="15" customHeight="1">
      <c r="A107" s="3695"/>
      <c r="B107" s="3961" t="s">
        <v>3908</v>
      </c>
      <c r="C107" s="3961"/>
      <c r="D107" s="4102"/>
      <c r="E107" s="3953" t="str">
        <f>+E5</f>
        <v>Actual</v>
      </c>
      <c r="F107" s="3953" t="str">
        <f>+F5</f>
        <v>Actual</v>
      </c>
      <c r="G107" s="3954" t="s">
        <v>1959</v>
      </c>
      <c r="H107" s="3955" t="s">
        <v>1960</v>
      </c>
      <c r="I107" s="3954" t="str">
        <f>+I5</f>
        <v>Actuals</v>
      </c>
      <c r="J107" s="3956" t="s">
        <v>1960</v>
      </c>
      <c r="K107" s="3129"/>
      <c r="L107" s="3129"/>
      <c r="M107" s="3129"/>
      <c r="N107" s="3129"/>
      <c r="O107" s="3129"/>
      <c r="P107" s="3129"/>
      <c r="Q107" s="3129"/>
      <c r="R107" s="3129"/>
      <c r="S107" s="3129"/>
      <c r="T107" s="3129"/>
      <c r="U107" s="3129"/>
      <c r="V107" s="3129"/>
    </row>
    <row r="108" spans="1:22" ht="15" customHeight="1">
      <c r="A108" s="3695"/>
      <c r="B108" s="4044"/>
      <c r="C108" s="4044"/>
      <c r="D108" s="3973"/>
      <c r="E108" s="3954">
        <f>+E6</f>
        <v>2012</v>
      </c>
      <c r="F108" s="3954">
        <f>+F6</f>
        <v>2013</v>
      </c>
      <c r="G108" s="3954">
        <v>2014</v>
      </c>
      <c r="H108" s="3955">
        <v>2015</v>
      </c>
      <c r="I108" s="3954">
        <f>+I6</f>
        <v>2015</v>
      </c>
      <c r="J108" s="3956">
        <v>2016</v>
      </c>
      <c r="K108" s="3490">
        <f t="shared" ref="K108:V108" si="37">+K6</f>
        <v>2016</v>
      </c>
      <c r="L108" s="3490">
        <f t="shared" si="37"/>
        <v>2017</v>
      </c>
      <c r="M108" s="3490">
        <f t="shared" si="37"/>
        <v>2018</v>
      </c>
      <c r="N108" s="3490">
        <f t="shared" si="37"/>
        <v>2019</v>
      </c>
      <c r="O108" s="3490">
        <f t="shared" si="37"/>
        <v>2020</v>
      </c>
      <c r="P108" s="3490">
        <f t="shared" si="37"/>
        <v>2021</v>
      </c>
      <c r="Q108" s="3490">
        <f t="shared" si="37"/>
        <v>2022</v>
      </c>
      <c r="R108" s="3490">
        <f t="shared" si="37"/>
        <v>2023</v>
      </c>
      <c r="S108" s="3490">
        <f t="shared" si="37"/>
        <v>2024</v>
      </c>
      <c r="T108" s="3490">
        <f t="shared" si="37"/>
        <v>2025</v>
      </c>
      <c r="U108" s="3490">
        <f t="shared" si="37"/>
        <v>2026</v>
      </c>
      <c r="V108" s="3490">
        <f t="shared" si="37"/>
        <v>2027</v>
      </c>
    </row>
    <row r="109" spans="1:22" hidden="1">
      <c r="A109" s="3695"/>
      <c r="B109" s="4104" t="s">
        <v>2003</v>
      </c>
      <c r="C109" s="4104"/>
      <c r="D109" s="3973"/>
      <c r="E109" s="4020">
        <f t="shared" ref="E109:F114" si="38">E61</f>
        <v>461071.88</v>
      </c>
      <c r="F109" s="4020">
        <f t="shared" si="38"/>
        <v>464652.82</v>
      </c>
      <c r="G109" s="4020">
        <v>405417.2</v>
      </c>
      <c r="H109" s="4028">
        <v>435603.30297171272</v>
      </c>
      <c r="I109" s="4020">
        <f t="shared" ref="I109:I114" si="39">I61</f>
        <v>418725.12</v>
      </c>
      <c r="J109" s="4039">
        <v>616851.15745518217</v>
      </c>
      <c r="K109" s="4029">
        <f t="shared" ref="K109:V114" si="40">K61</f>
        <v>455028.15503329912</v>
      </c>
      <c r="L109" s="4029">
        <f t="shared" si="40"/>
        <v>502522.19229343906</v>
      </c>
      <c r="M109" s="4029">
        <f t="shared" si="40"/>
        <v>530303.82626700692</v>
      </c>
      <c r="N109" s="4029">
        <f t="shared" si="40"/>
        <v>543420.22634831502</v>
      </c>
      <c r="O109" s="4029">
        <f t="shared" si="40"/>
        <v>563438.85317375336</v>
      </c>
      <c r="P109" s="4029">
        <f t="shared" si="40"/>
        <v>577492.46389164461</v>
      </c>
      <c r="Q109" s="4029">
        <f t="shared" si="40"/>
        <v>592985.74542125559</v>
      </c>
      <c r="R109" s="4029">
        <f t="shared" si="40"/>
        <v>618120.2517056705</v>
      </c>
      <c r="S109" s="4029">
        <f t="shared" si="40"/>
        <v>635063.69790164474</v>
      </c>
      <c r="T109" s="4029">
        <f t="shared" si="40"/>
        <v>653342.73910223681</v>
      </c>
      <c r="U109" s="4029">
        <f t="shared" si="40"/>
        <v>683409.96548229048</v>
      </c>
      <c r="V109" s="4029">
        <f t="shared" si="40"/>
        <v>711450.46271547675</v>
      </c>
    </row>
    <row r="110" spans="1:22" hidden="1">
      <c r="A110" s="3695"/>
      <c r="B110" s="4104" t="s">
        <v>600</v>
      </c>
      <c r="C110" s="4104"/>
      <c r="D110" s="3973"/>
      <c r="E110" s="4020">
        <f t="shared" si="38"/>
        <v>6933438.7199999997</v>
      </c>
      <c r="F110" s="4020">
        <f t="shared" si="38"/>
        <v>6271196.5999999996</v>
      </c>
      <c r="G110" s="4020">
        <v>4721334.16</v>
      </c>
      <c r="H110" s="4028">
        <v>4520150.5907117659</v>
      </c>
      <c r="I110" s="4020">
        <f t="shared" si="39"/>
        <v>8075510.46</v>
      </c>
      <c r="J110" s="4039">
        <v>2209557.0778420512</v>
      </c>
      <c r="K110" s="4029">
        <f t="shared" si="40"/>
        <v>2566753.9179197438</v>
      </c>
      <c r="L110" s="4029">
        <f t="shared" si="40"/>
        <v>2751826.7140462874</v>
      </c>
      <c r="M110" s="4029">
        <f t="shared" si="40"/>
        <v>2895166.6470514582</v>
      </c>
      <c r="N110" s="4029">
        <f t="shared" si="40"/>
        <v>2977280.9494048371</v>
      </c>
      <c r="O110" s="4029">
        <f t="shared" si="40"/>
        <v>3091418.9213395799</v>
      </c>
      <c r="P110" s="4029">
        <f t="shared" si="40"/>
        <v>3177710.534435506</v>
      </c>
      <c r="Q110" s="4029">
        <f t="shared" si="40"/>
        <v>3274249.798464187</v>
      </c>
      <c r="R110" s="4029">
        <f t="shared" si="40"/>
        <v>3416477.7732745851</v>
      </c>
      <c r="S110" s="4029">
        <f t="shared" si="40"/>
        <v>3520467.8803847795</v>
      </c>
      <c r="T110" s="4029">
        <f t="shared" si="40"/>
        <v>3632351.8566670055</v>
      </c>
      <c r="U110" s="4029">
        <f t="shared" si="40"/>
        <v>3801447.4401745847</v>
      </c>
      <c r="V110" s="4029">
        <f t="shared" si="40"/>
        <v>3920322.9355704649</v>
      </c>
    </row>
    <row r="111" spans="1:22" hidden="1">
      <c r="A111" s="3695"/>
      <c r="B111" s="4104" t="s">
        <v>601</v>
      </c>
      <c r="C111" s="4104"/>
      <c r="D111" s="3973"/>
      <c r="E111" s="4020">
        <f t="shared" si="38"/>
        <v>13420393.34</v>
      </c>
      <c r="F111" s="4020">
        <f t="shared" si="38"/>
        <v>15271748.720000001</v>
      </c>
      <c r="G111" s="4020">
        <v>14625271.01</v>
      </c>
      <c r="H111" s="4028">
        <v>12745105.109955898</v>
      </c>
      <c r="I111" s="4020">
        <f t="shared" si="39"/>
        <v>13903667.529999999</v>
      </c>
      <c r="J111" s="4039">
        <v>10172160.920294028</v>
      </c>
      <c r="K111" s="4029">
        <f t="shared" si="40"/>
        <v>13374530.556853719</v>
      </c>
      <c r="L111" s="4029">
        <f t="shared" si="40"/>
        <v>14732458.858004171</v>
      </c>
      <c r="M111" s="4029">
        <f t="shared" si="40"/>
        <v>15517677.528446738</v>
      </c>
      <c r="N111" s="4029">
        <f t="shared" si="40"/>
        <v>15882420.172470961</v>
      </c>
      <c r="O111" s="4029">
        <f t="shared" si="40"/>
        <v>16471212.033784518</v>
      </c>
      <c r="P111" s="4029">
        <f t="shared" si="40"/>
        <v>16820601.78451601</v>
      </c>
      <c r="Q111" s="4029">
        <f t="shared" si="40"/>
        <v>17262032.579929497</v>
      </c>
      <c r="R111" s="4029">
        <f t="shared" si="40"/>
        <v>18039491.139086608</v>
      </c>
      <c r="S111" s="4029">
        <f t="shared" si="40"/>
        <v>18493525.05253832</v>
      </c>
      <c r="T111" s="4029">
        <f t="shared" si="40"/>
        <v>18998187.845031723</v>
      </c>
      <c r="U111" s="4029">
        <f t="shared" si="40"/>
        <v>19940275.706076343</v>
      </c>
      <c r="V111" s="4029">
        <f t="shared" si="40"/>
        <v>20736459.225123405</v>
      </c>
    </row>
    <row r="112" spans="1:22" hidden="1">
      <c r="A112" s="3695"/>
      <c r="B112" s="4104" t="s">
        <v>2004</v>
      </c>
      <c r="C112" s="4104"/>
      <c r="D112" s="3973"/>
      <c r="E112" s="4020">
        <f t="shared" si="38"/>
        <v>6803630.3600000003</v>
      </c>
      <c r="F112" s="4020">
        <f t="shared" si="38"/>
        <v>7318047.2800000003</v>
      </c>
      <c r="G112" s="4020">
        <v>7109752.8799999999</v>
      </c>
      <c r="H112" s="4028">
        <v>7536437.7779155513</v>
      </c>
      <c r="I112" s="4020">
        <f t="shared" si="39"/>
        <v>6850413.0599999996</v>
      </c>
      <c r="J112" s="4039">
        <v>10554174.306392614</v>
      </c>
      <c r="K112" s="4029">
        <f t="shared" si="40"/>
        <v>8031695.6079924935</v>
      </c>
      <c r="L112" s="4029">
        <f t="shared" si="40"/>
        <v>8770846.2548130881</v>
      </c>
      <c r="M112" s="4029">
        <f t="shared" si="40"/>
        <v>9179493.7004864775</v>
      </c>
      <c r="N112" s="4029">
        <f t="shared" si="40"/>
        <v>9356845.7757435385</v>
      </c>
      <c r="O112" s="4029">
        <f t="shared" si="40"/>
        <v>9711208.7877193466</v>
      </c>
      <c r="P112" s="4029">
        <f t="shared" si="40"/>
        <v>9793303.8900526948</v>
      </c>
      <c r="Q112" s="4029">
        <f t="shared" si="40"/>
        <v>10030396.694008406</v>
      </c>
      <c r="R112" s="4029">
        <f t="shared" si="40"/>
        <v>10574863.577084396</v>
      </c>
      <c r="S112" s="4029">
        <f t="shared" si="40"/>
        <v>10759316.518980984</v>
      </c>
      <c r="T112" s="4029">
        <f t="shared" si="40"/>
        <v>10996980.162808452</v>
      </c>
      <c r="U112" s="4029">
        <f t="shared" si="40"/>
        <v>11679705.194819774</v>
      </c>
      <c r="V112" s="4029">
        <f t="shared" si="40"/>
        <v>12101668.102767415</v>
      </c>
    </row>
    <row r="113" spans="1:22" hidden="1">
      <c r="A113" s="3695"/>
      <c r="B113" s="4104" t="s">
        <v>2005</v>
      </c>
      <c r="C113" s="4104"/>
      <c r="D113" s="3973"/>
      <c r="E113" s="4020">
        <f t="shared" si="38"/>
        <v>1289583.17</v>
      </c>
      <c r="F113" s="4020">
        <f t="shared" si="38"/>
        <v>1469716</v>
      </c>
      <c r="G113" s="4020">
        <v>1297662.7</v>
      </c>
      <c r="H113" s="4028">
        <v>1498527.8804455695</v>
      </c>
      <c r="I113" s="4020">
        <f t="shared" si="39"/>
        <v>1280121.67</v>
      </c>
      <c r="J113" s="4039">
        <v>912389.48850139917</v>
      </c>
      <c r="K113" s="4029">
        <f t="shared" si="40"/>
        <v>1587465.3423760985</v>
      </c>
      <c r="L113" s="4029">
        <f t="shared" si="40"/>
        <v>1739382.8247952205</v>
      </c>
      <c r="M113" s="4029">
        <f t="shared" si="40"/>
        <v>1824952.0116274948</v>
      </c>
      <c r="N113" s="4029">
        <f t="shared" si="40"/>
        <v>1863186.9450650269</v>
      </c>
      <c r="O113" s="4029">
        <f t="shared" si="40"/>
        <v>1933167.240534679</v>
      </c>
      <c r="P113" s="4029">
        <f t="shared" si="40"/>
        <v>1959140.9308490795</v>
      </c>
      <c r="Q113" s="4029">
        <f t="shared" si="40"/>
        <v>2008138.9780987659</v>
      </c>
      <c r="R113" s="4029">
        <f t="shared" si="40"/>
        <v>2109831.5794569179</v>
      </c>
      <c r="S113" s="4029">
        <f t="shared" si="40"/>
        <v>2153020.4127162546</v>
      </c>
      <c r="T113" s="4029">
        <f t="shared" si="40"/>
        <v>2204985.7331777783</v>
      </c>
      <c r="U113" s="4029">
        <f t="shared" si="40"/>
        <v>2330998.4928866625</v>
      </c>
      <c r="V113" s="4029">
        <f t="shared" si="40"/>
        <v>2418685.7891615308</v>
      </c>
    </row>
    <row r="114" spans="1:22" hidden="1">
      <c r="A114" s="3695"/>
      <c r="B114" s="4105" t="s">
        <v>377</v>
      </c>
      <c r="C114" s="4105"/>
      <c r="D114" s="4033"/>
      <c r="E114" s="4106">
        <f t="shared" si="38"/>
        <v>11088641.99</v>
      </c>
      <c r="F114" s="4106">
        <f t="shared" si="38"/>
        <v>11819895.35</v>
      </c>
      <c r="G114" s="4106">
        <v>12903295.09</v>
      </c>
      <c r="H114" s="4107">
        <v>15210804.479343487</v>
      </c>
      <c r="I114" s="4106">
        <f t="shared" si="39"/>
        <v>13760308.119999999</v>
      </c>
      <c r="J114" s="4108">
        <v>16006492.234195625</v>
      </c>
      <c r="K114" s="4109">
        <f t="shared" si="40"/>
        <v>16093361.551131599</v>
      </c>
      <c r="L114" s="4109">
        <f t="shared" si="40"/>
        <v>17645876.315125983</v>
      </c>
      <c r="M114" s="4109">
        <f t="shared" si="40"/>
        <v>18523584.669170365</v>
      </c>
      <c r="N114" s="4109">
        <f t="shared" si="40"/>
        <v>18917980.143920757</v>
      </c>
      <c r="O114" s="4109">
        <f t="shared" si="40"/>
        <v>19627297.458039865</v>
      </c>
      <c r="P114" s="4109">
        <f t="shared" si="40"/>
        <v>19911382.25434259</v>
      </c>
      <c r="Q114" s="4109">
        <f t="shared" si="40"/>
        <v>20412665.865144849</v>
      </c>
      <c r="R114" s="4109">
        <f t="shared" si="40"/>
        <v>21430985.531307399</v>
      </c>
      <c r="S114" s="4109">
        <f t="shared" si="40"/>
        <v>21883167.474369347</v>
      </c>
      <c r="T114" s="4109">
        <f t="shared" si="40"/>
        <v>22420614.671735726</v>
      </c>
      <c r="U114" s="4109">
        <f t="shared" si="40"/>
        <v>23679080.360316493</v>
      </c>
      <c r="V114" s="4109">
        <f t="shared" si="40"/>
        <v>24577167.085370734</v>
      </c>
    </row>
    <row r="115" spans="1:22" s="3985" customFormat="1">
      <c r="A115" s="3695"/>
      <c r="B115" s="3985" t="s">
        <v>1947</v>
      </c>
      <c r="D115" s="4110"/>
      <c r="E115" s="4111">
        <f>SUM(E109:E114)</f>
        <v>39996759.460000001</v>
      </c>
      <c r="F115" s="4111">
        <f t="shared" ref="F115:V115" si="41">SUM(F109:F114)</f>
        <v>42615256.770000003</v>
      </c>
      <c r="G115" s="4111">
        <v>41062733.039999999</v>
      </c>
      <c r="H115" s="4112">
        <v>41946627.141343988</v>
      </c>
      <c r="I115" s="4111">
        <f>SUM(I109:I114)</f>
        <v>44288745.959999993</v>
      </c>
      <c r="J115" s="4112">
        <f>SUM(J109:J114)</f>
        <v>40471625.184680901</v>
      </c>
      <c r="K115" s="4113">
        <f t="shared" si="41"/>
        <v>42108835.131306954</v>
      </c>
      <c r="L115" s="4113">
        <f t="shared" si="41"/>
        <v>46142913.159078188</v>
      </c>
      <c r="M115" s="4113">
        <f t="shared" si="41"/>
        <v>48471178.38304954</v>
      </c>
      <c r="N115" s="4113">
        <f t="shared" si="41"/>
        <v>49541134.212953433</v>
      </c>
      <c r="O115" s="4113">
        <f t="shared" si="41"/>
        <v>51397743.29459174</v>
      </c>
      <c r="P115" s="4113">
        <f t="shared" si="41"/>
        <v>52239631.858087525</v>
      </c>
      <c r="Q115" s="4113">
        <f t="shared" si="41"/>
        <v>53580469.661066964</v>
      </c>
      <c r="R115" s="4113">
        <f t="shared" si="41"/>
        <v>56189769.851915576</v>
      </c>
      <c r="S115" s="4113">
        <f t="shared" si="41"/>
        <v>57444561.036891326</v>
      </c>
      <c r="T115" s="4113">
        <f t="shared" si="41"/>
        <v>58906463.00852292</v>
      </c>
      <c r="U115" s="4113">
        <f t="shared" si="41"/>
        <v>62114917.159756146</v>
      </c>
      <c r="V115" s="4113">
        <f t="shared" si="41"/>
        <v>64465753.600709029</v>
      </c>
    </row>
    <row r="116" spans="1:22" ht="24" hidden="1" customHeight="1">
      <c r="A116" s="3695"/>
      <c r="B116" s="4114" t="s">
        <v>1948</v>
      </c>
      <c r="C116" s="4114"/>
      <c r="D116" s="4033"/>
      <c r="E116" s="4115"/>
      <c r="F116" s="4115"/>
      <c r="G116" s="4115"/>
      <c r="H116" s="4116"/>
      <c r="I116" s="4115"/>
      <c r="J116" s="4039"/>
      <c r="K116" s="4109"/>
      <c r="L116" s="4109"/>
      <c r="M116" s="4109"/>
      <c r="N116" s="4109"/>
      <c r="O116" s="4109"/>
      <c r="P116" s="4109"/>
      <c r="Q116" s="4109"/>
      <c r="R116" s="4109"/>
      <c r="S116" s="4109"/>
      <c r="T116" s="4109"/>
      <c r="U116" s="4109"/>
      <c r="V116" s="4109"/>
    </row>
    <row r="117" spans="1:22" hidden="1">
      <c r="A117" s="3695"/>
      <c r="B117" s="4104" t="s">
        <v>753</v>
      </c>
      <c r="C117" s="4104"/>
      <c r="D117" s="4033"/>
      <c r="E117" s="4106">
        <f t="shared" ref="E117:F120" si="42">E71</f>
        <v>23182503.020000007</v>
      </c>
      <c r="F117" s="4106">
        <f t="shared" si="42"/>
        <v>22919312.75</v>
      </c>
      <c r="G117" s="4106">
        <v>32569622.900000002</v>
      </c>
      <c r="H117" s="4107">
        <v>32998150.220968291</v>
      </c>
      <c r="I117" s="4106">
        <f>I71</f>
        <v>27753757.829999998</v>
      </c>
      <c r="J117" s="4108">
        <v>21055236.045870684</v>
      </c>
      <c r="K117" s="4109">
        <f t="shared" ref="K117:V118" si="43">K71</f>
        <v>29157426.357729092</v>
      </c>
      <c r="L117" s="4109">
        <f t="shared" si="43"/>
        <v>28366026.76749314</v>
      </c>
      <c r="M117" s="4109">
        <f t="shared" si="43"/>
        <v>29607066.269383427</v>
      </c>
      <c r="N117" s="4109">
        <f t="shared" si="43"/>
        <v>29909573.184843592</v>
      </c>
      <c r="O117" s="4109">
        <f t="shared" si="43"/>
        <v>30984564.99192597</v>
      </c>
      <c r="P117" s="4109">
        <f t="shared" si="43"/>
        <v>32193549.351190224</v>
      </c>
      <c r="Q117" s="4109">
        <f t="shared" si="43"/>
        <v>31590768.477236837</v>
      </c>
      <c r="R117" s="4109">
        <f t="shared" si="43"/>
        <v>33441750.524913386</v>
      </c>
      <c r="S117" s="4109">
        <f t="shared" si="43"/>
        <v>34932394.176444799</v>
      </c>
      <c r="T117" s="4109">
        <f t="shared" si="43"/>
        <v>37049000.596623875</v>
      </c>
      <c r="U117" s="4109">
        <f t="shared" si="43"/>
        <v>39255190.100388505</v>
      </c>
      <c r="V117" s="4109">
        <f t="shared" si="43"/>
        <v>40697659.420329489</v>
      </c>
    </row>
    <row r="118" spans="1:22" hidden="1">
      <c r="A118" s="3695"/>
      <c r="B118" s="4104" t="s">
        <v>600</v>
      </c>
      <c r="C118" s="4104"/>
      <c r="D118" s="4033"/>
      <c r="E118" s="4106">
        <f t="shared" si="42"/>
        <v>1515866.54</v>
      </c>
      <c r="F118" s="4106">
        <f t="shared" si="42"/>
        <v>1652966.02</v>
      </c>
      <c r="G118" s="4106">
        <v>2184113.13</v>
      </c>
      <c r="H118" s="4107">
        <v>3051944.7332566036</v>
      </c>
      <c r="I118" s="4106">
        <f>I72</f>
        <v>2766607.75</v>
      </c>
      <c r="J118" s="4108">
        <v>2100045.865217546</v>
      </c>
      <c r="K118" s="4109">
        <f t="shared" si="43"/>
        <v>3000287.0161054581</v>
      </c>
      <c r="L118" s="4109">
        <f t="shared" si="43"/>
        <v>3163645.7658412405</v>
      </c>
      <c r="M118" s="4109">
        <f t="shared" si="43"/>
        <v>3395500.4463553238</v>
      </c>
      <c r="N118" s="4109">
        <f t="shared" si="43"/>
        <v>3554384.3960699355</v>
      </c>
      <c r="O118" s="4109">
        <f t="shared" si="43"/>
        <v>3703069.4424492037</v>
      </c>
      <c r="P118" s="4109">
        <f t="shared" si="43"/>
        <v>3829833.4052451486</v>
      </c>
      <c r="Q118" s="4109">
        <f t="shared" si="43"/>
        <v>3835042.0424758019</v>
      </c>
      <c r="R118" s="4109">
        <f t="shared" si="43"/>
        <v>4028715.469929989</v>
      </c>
      <c r="S118" s="4109">
        <f t="shared" si="43"/>
        <v>4182408.522726465</v>
      </c>
      <c r="T118" s="4109">
        <f t="shared" si="43"/>
        <v>4384395.8689606721</v>
      </c>
      <c r="U118" s="4109">
        <f t="shared" si="43"/>
        <v>4582700.3956712727</v>
      </c>
      <c r="V118" s="4109">
        <f t="shared" si="43"/>
        <v>4763407.192466069</v>
      </c>
    </row>
    <row r="119" spans="1:22" hidden="1">
      <c r="A119" s="3695"/>
      <c r="B119" s="4104" t="s">
        <v>377</v>
      </c>
      <c r="C119" s="4104"/>
      <c r="D119" s="4033"/>
      <c r="E119" s="4106">
        <f t="shared" si="42"/>
        <v>15495162.170000002</v>
      </c>
      <c r="F119" s="4106">
        <f t="shared" si="42"/>
        <v>18771334.510000002</v>
      </c>
      <c r="G119" s="4106">
        <v>20534081.82</v>
      </c>
      <c r="H119" s="4107">
        <v>21843120.786171645</v>
      </c>
      <c r="I119" s="4106">
        <f t="shared" ref="I119:V120" si="44">I73</f>
        <v>21459642.059999999</v>
      </c>
      <c r="J119" s="4108">
        <v>19680187.152108692</v>
      </c>
      <c r="K119" s="4109">
        <f t="shared" si="44"/>
        <v>22090719.305608302</v>
      </c>
      <c r="L119" s="4109">
        <f t="shared" si="44"/>
        <v>22094165.05369518</v>
      </c>
      <c r="M119" s="4109">
        <f t="shared" si="44"/>
        <v>23558199.69014509</v>
      </c>
      <c r="N119" s="4109">
        <f t="shared" si="44"/>
        <v>24521321.725630924</v>
      </c>
      <c r="O119" s="4109">
        <f t="shared" si="44"/>
        <v>25388432.70186729</v>
      </c>
      <c r="P119" s="4109">
        <f t="shared" si="44"/>
        <v>26487653.679572832</v>
      </c>
      <c r="Q119" s="4109">
        <f t="shared" si="44"/>
        <v>25930673.581373665</v>
      </c>
      <c r="R119" s="4109">
        <f t="shared" si="44"/>
        <v>27290093.823522687</v>
      </c>
      <c r="S119" s="4109">
        <f t="shared" si="44"/>
        <v>28350981.50409691</v>
      </c>
      <c r="T119" s="4109">
        <f t="shared" si="44"/>
        <v>30130790.89918457</v>
      </c>
      <c r="U119" s="4109">
        <f t="shared" si="44"/>
        <v>31995700.324354652</v>
      </c>
      <c r="V119" s="4109">
        <f t="shared" si="44"/>
        <v>33174249.133924343</v>
      </c>
    </row>
    <row r="120" spans="1:22" hidden="1">
      <c r="A120" s="3695"/>
      <c r="B120" s="4104" t="s">
        <v>2008</v>
      </c>
      <c r="C120" s="4104"/>
      <c r="D120" s="4033"/>
      <c r="E120" s="4106">
        <f t="shared" si="42"/>
        <v>18555225.16</v>
      </c>
      <c r="F120" s="4106">
        <f t="shared" si="42"/>
        <v>20711320.289999999</v>
      </c>
      <c r="G120" s="4106">
        <v>33228211.909999996</v>
      </c>
      <c r="H120" s="4107">
        <v>15061451.117585592</v>
      </c>
      <c r="I120" s="4106">
        <f t="shared" si="44"/>
        <v>25000471.859999999</v>
      </c>
      <c r="J120" s="4108">
        <v>23170623.733422954</v>
      </c>
      <c r="K120" s="4109">
        <f t="shared" si="44"/>
        <v>13021358.215000195</v>
      </c>
      <c r="L120" s="4109">
        <f t="shared" si="44"/>
        <v>12869310.099137427</v>
      </c>
      <c r="M120" s="4109">
        <f t="shared" si="44"/>
        <v>13388859.190690089</v>
      </c>
      <c r="N120" s="4109">
        <f t="shared" si="44"/>
        <v>13875351.006627321</v>
      </c>
      <c r="O120" s="4109">
        <f t="shared" si="44"/>
        <v>14394705.78758193</v>
      </c>
      <c r="P120" s="4109">
        <f t="shared" si="44"/>
        <v>15164931.604000604</v>
      </c>
      <c r="Q120" s="4109">
        <f t="shared" si="44"/>
        <v>14708264.600651238</v>
      </c>
      <c r="R120" s="4109">
        <f t="shared" si="44"/>
        <v>15547055.999787565</v>
      </c>
      <c r="S120" s="4109">
        <f t="shared" si="44"/>
        <v>16252281.10125982</v>
      </c>
      <c r="T120" s="4109">
        <f t="shared" si="44"/>
        <v>17428902.127743255</v>
      </c>
      <c r="U120" s="4109">
        <f t="shared" si="44"/>
        <v>18737217.167352997</v>
      </c>
      <c r="V120" s="4109">
        <f t="shared" si="44"/>
        <v>19310306.186129015</v>
      </c>
    </row>
    <row r="121" spans="1:22" s="3985" customFormat="1">
      <c r="A121" s="3695"/>
      <c r="B121" s="3985" t="s">
        <v>1948</v>
      </c>
      <c r="D121" s="4110"/>
      <c r="E121" s="4111">
        <f>SUM(E117:E120)</f>
        <v>58748756.890000001</v>
      </c>
      <c r="F121" s="4111">
        <f t="shared" ref="F121:V121" si="45">SUM(F117:F120)</f>
        <v>64054933.57</v>
      </c>
      <c r="G121" s="4111">
        <v>88516029.75999999</v>
      </c>
      <c r="H121" s="4117">
        <v>72954666.857982129</v>
      </c>
      <c r="I121" s="4118">
        <f>SUM(I117:I120)</f>
        <v>76980479.5</v>
      </c>
      <c r="J121" s="4119">
        <f>SUM(J117:J120)</f>
        <v>66006092.796619877</v>
      </c>
      <c r="K121" s="4120">
        <f t="shared" si="45"/>
        <v>67269790.89444305</v>
      </c>
      <c r="L121" s="4120">
        <f t="shared" si="45"/>
        <v>66493147.686166987</v>
      </c>
      <c r="M121" s="4120">
        <f t="shared" si="45"/>
        <v>69949625.596573934</v>
      </c>
      <c r="N121" s="4120">
        <f t="shared" si="45"/>
        <v>71860630.313171774</v>
      </c>
      <c r="O121" s="4120">
        <f t="shared" si="45"/>
        <v>74470772.9238244</v>
      </c>
      <c r="P121" s="4120">
        <f t="shared" si="45"/>
        <v>77675968.040008798</v>
      </c>
      <c r="Q121" s="4120">
        <f t="shared" si="45"/>
        <v>76064748.701737538</v>
      </c>
      <c r="R121" s="4120">
        <f t="shared" si="45"/>
        <v>80307615.81815362</v>
      </c>
      <c r="S121" s="4120">
        <f t="shared" si="45"/>
        <v>83718065.304527998</v>
      </c>
      <c r="T121" s="4120">
        <f t="shared" si="45"/>
        <v>88993089.492512375</v>
      </c>
      <c r="U121" s="4120">
        <f t="shared" si="45"/>
        <v>94570807.987767428</v>
      </c>
      <c r="V121" s="4120">
        <f t="shared" si="45"/>
        <v>97945621.932848915</v>
      </c>
    </row>
    <row r="122" spans="1:22" ht="15" customHeight="1">
      <c r="A122" s="3695"/>
      <c r="B122" s="4121"/>
      <c r="C122" s="4121"/>
      <c r="D122" s="4122"/>
      <c r="E122" s="4106"/>
      <c r="F122" s="4106"/>
      <c r="G122" s="4106"/>
      <c r="H122" s="4107"/>
      <c r="I122" s="4106"/>
      <c r="J122" s="4108"/>
      <c r="K122" s="4109"/>
      <c r="L122" s="4109"/>
      <c r="M122" s="4109"/>
      <c r="N122" s="4109"/>
      <c r="O122" s="4109"/>
      <c r="P122" s="4109"/>
      <c r="Q122" s="4109"/>
      <c r="R122" s="4109"/>
      <c r="S122" s="4109"/>
      <c r="T122" s="4109"/>
      <c r="U122" s="4109"/>
      <c r="V122" s="4109"/>
    </row>
    <row r="123" spans="1:22" s="3985" customFormat="1" ht="15" customHeight="1">
      <c r="A123" s="3695"/>
      <c r="B123" s="4123" t="s">
        <v>2035</v>
      </c>
      <c r="C123" s="4123"/>
      <c r="D123" s="4124"/>
      <c r="E123" s="4125">
        <f>E115+E121</f>
        <v>98745516.349999994</v>
      </c>
      <c r="F123" s="4125">
        <f>F115+F121</f>
        <v>106670190.34</v>
      </c>
      <c r="G123" s="4125">
        <v>129578762.79999998</v>
      </c>
      <c r="H123" s="4126">
        <v>114901293.99932611</v>
      </c>
      <c r="I123" s="4125">
        <f t="shared" ref="I123:V123" si="46">I115+I121</f>
        <v>121269225.45999999</v>
      </c>
      <c r="J123" s="4127">
        <f t="shared" si="46"/>
        <v>106477717.98130077</v>
      </c>
      <c r="K123" s="4128">
        <f t="shared" si="46"/>
        <v>109378626.02575001</v>
      </c>
      <c r="L123" s="4128">
        <f t="shared" si="46"/>
        <v>112636060.84524518</v>
      </c>
      <c r="M123" s="4128">
        <f t="shared" si="46"/>
        <v>118420803.97962347</v>
      </c>
      <c r="N123" s="4128">
        <f t="shared" si="46"/>
        <v>121401764.52612521</v>
      </c>
      <c r="O123" s="4128">
        <f t="shared" si="46"/>
        <v>125868516.21841614</v>
      </c>
      <c r="P123" s="4128">
        <f t="shared" si="46"/>
        <v>129915599.89809632</v>
      </c>
      <c r="Q123" s="4128">
        <f t="shared" si="46"/>
        <v>129645218.3628045</v>
      </c>
      <c r="R123" s="4128">
        <f t="shared" si="46"/>
        <v>136497385.67006919</v>
      </c>
      <c r="S123" s="4128">
        <f t="shared" si="46"/>
        <v>141162626.34141934</v>
      </c>
      <c r="T123" s="4128">
        <f t="shared" si="46"/>
        <v>147899552.5010353</v>
      </c>
      <c r="U123" s="4128">
        <f t="shared" si="46"/>
        <v>156685725.14752358</v>
      </c>
      <c r="V123" s="4128">
        <f t="shared" si="46"/>
        <v>162411375.53355795</v>
      </c>
    </row>
    <row r="124" spans="1:22" ht="15" customHeight="1">
      <c r="A124" s="3695"/>
      <c r="B124" s="4130"/>
      <c r="C124" s="4130"/>
      <c r="D124" s="4130"/>
      <c r="E124" s="4106"/>
      <c r="F124" s="4131"/>
      <c r="G124" s="4106"/>
      <c r="H124" s="4107"/>
      <c r="I124" s="4106"/>
      <c r="J124" s="4108"/>
      <c r="K124" s="4109"/>
      <c r="L124" s="4109"/>
      <c r="M124" s="4109"/>
      <c r="N124" s="4109"/>
      <c r="O124" s="4109"/>
      <c r="P124" s="4109"/>
      <c r="Q124" s="4109"/>
      <c r="R124" s="4109"/>
      <c r="S124" s="4109"/>
      <c r="T124" s="4109"/>
      <c r="U124" s="4109"/>
      <c r="V124" s="4109"/>
    </row>
    <row r="125" spans="1:22" s="3985" customFormat="1" ht="15" customHeight="1">
      <c r="A125" s="3695"/>
      <c r="B125" s="4123" t="s">
        <v>2036</v>
      </c>
      <c r="C125" s="4123"/>
      <c r="D125" s="4132"/>
      <c r="E125" s="4125">
        <f>SUM(E67+E75)</f>
        <v>12269321.290000001</v>
      </c>
      <c r="F125" s="4125">
        <f>SUM(F67+F75)</f>
        <v>13730967.529999999</v>
      </c>
      <c r="G125" s="4125">
        <v>13779337.620000001</v>
      </c>
      <c r="H125" s="4126">
        <v>14851741.516144635</v>
      </c>
      <c r="I125" s="4125">
        <f t="shared" ref="I125:V125" si="47">SUM(I67+I75)</f>
        <v>15547999.92</v>
      </c>
      <c r="J125" s="4127">
        <f t="shared" si="47"/>
        <v>15714328.568184474</v>
      </c>
      <c r="K125" s="4128">
        <f t="shared" si="47"/>
        <v>15748860.970478145</v>
      </c>
      <c r="L125" s="4128">
        <f t="shared" si="47"/>
        <v>16386693.085695306</v>
      </c>
      <c r="M125" s="4128">
        <f t="shared" si="47"/>
        <v>17406728.612407677</v>
      </c>
      <c r="N125" s="4128">
        <f t="shared" si="47"/>
        <v>18778505.989898521</v>
      </c>
      <c r="O125" s="4128">
        <f t="shared" si="47"/>
        <v>19512966.815796569</v>
      </c>
      <c r="P125" s="4128">
        <f t="shared" si="47"/>
        <v>20406509.058800917</v>
      </c>
      <c r="Q125" s="4128">
        <f t="shared" si="47"/>
        <v>21213994.121881988</v>
      </c>
      <c r="R125" s="4128">
        <f t="shared" si="47"/>
        <v>22110505.718090769</v>
      </c>
      <c r="S125" s="4128">
        <f t="shared" si="47"/>
        <v>23083564.529563837</v>
      </c>
      <c r="T125" s="4128">
        <f t="shared" si="47"/>
        <v>23808531.070948336</v>
      </c>
      <c r="U125" s="4128">
        <f t="shared" si="47"/>
        <v>24565887.375016257</v>
      </c>
      <c r="V125" s="4128">
        <f t="shared" si="47"/>
        <v>25342463.036012895</v>
      </c>
    </row>
    <row r="126" spans="1:22" ht="15" customHeight="1">
      <c r="A126" s="3695"/>
      <c r="B126" s="4133"/>
      <c r="C126" s="4133"/>
      <c r="D126" s="4134"/>
      <c r="E126" s="4020"/>
      <c r="F126" s="4020"/>
      <c r="G126" s="4020"/>
      <c r="H126" s="4028"/>
      <c r="I126" s="4020"/>
      <c r="J126" s="4039"/>
      <c r="K126" s="4029"/>
      <c r="L126" s="4029"/>
      <c r="M126" s="4029"/>
      <c r="N126" s="4029"/>
      <c r="O126" s="4029"/>
      <c r="P126" s="4029"/>
      <c r="Q126" s="4029"/>
      <c r="R126" s="4029"/>
      <c r="S126" s="4029"/>
      <c r="T126" s="4029"/>
      <c r="U126" s="4029"/>
      <c r="V126" s="4029"/>
    </row>
    <row r="127" spans="1:22" s="3985" customFormat="1" ht="15" customHeight="1">
      <c r="A127" s="3695"/>
      <c r="B127" s="4123" t="s">
        <v>2037</v>
      </c>
      <c r="C127" s="4123"/>
      <c r="D127" s="4132"/>
      <c r="E127" s="4125">
        <f>E96</f>
        <v>50784988.143320002</v>
      </c>
      <c r="F127" s="4125">
        <f>F96</f>
        <v>67069487</v>
      </c>
      <c r="G127" s="4125">
        <v>43454998.460000001</v>
      </c>
      <c r="H127" s="4126">
        <v>56333790.430503413</v>
      </c>
      <c r="I127" s="4125">
        <f t="shared" ref="I127:V127" si="48">I96</f>
        <v>36659184.746062398</v>
      </c>
      <c r="J127" s="4127">
        <f t="shared" si="48"/>
        <v>57552431.924483344</v>
      </c>
      <c r="K127" s="4128">
        <f t="shared" si="48"/>
        <v>59999222.552695818</v>
      </c>
      <c r="L127" s="4128">
        <f t="shared" si="48"/>
        <v>69299537.898900956</v>
      </c>
      <c r="M127" s="4128">
        <f t="shared" si="48"/>
        <v>55761096.780477867</v>
      </c>
      <c r="N127" s="4128">
        <f t="shared" si="48"/>
        <v>52719294.060464561</v>
      </c>
      <c r="O127" s="4128">
        <f t="shared" si="48"/>
        <v>29345320.730032656</v>
      </c>
      <c r="P127" s="4128">
        <f t="shared" si="48"/>
        <v>27846208.057557296</v>
      </c>
      <c r="Q127" s="4128">
        <f t="shared" si="48"/>
        <v>31387073.699986964</v>
      </c>
      <c r="R127" s="4128">
        <f t="shared" si="48"/>
        <v>36279392.549446926</v>
      </c>
      <c r="S127" s="4128">
        <f t="shared" si="48"/>
        <v>31901862.832594763</v>
      </c>
      <c r="T127" s="4128">
        <f t="shared" si="48"/>
        <v>31158184.660147019</v>
      </c>
      <c r="U127" s="4128">
        <f t="shared" si="48"/>
        <v>34661890.528807357</v>
      </c>
      <c r="V127" s="4128">
        <f t="shared" si="48"/>
        <v>33232552.874015097</v>
      </c>
    </row>
    <row r="128" spans="1:22" s="3985" customFormat="1" ht="15" customHeight="1">
      <c r="A128" s="3695"/>
      <c r="B128" s="4135"/>
      <c r="C128" s="4135"/>
      <c r="D128" s="4136"/>
      <c r="E128" s="4125"/>
      <c r="F128" s="4125"/>
      <c r="G128" s="4125"/>
      <c r="H128" s="4126"/>
      <c r="I128" s="4125"/>
      <c r="J128" s="4127"/>
      <c r="K128" s="4137"/>
      <c r="L128" s="4137"/>
      <c r="M128" s="4137"/>
      <c r="N128" s="4137"/>
      <c r="O128" s="4137"/>
      <c r="P128" s="4137"/>
      <c r="Q128" s="4137"/>
      <c r="R128" s="4137"/>
      <c r="S128" s="4137"/>
      <c r="T128" s="4137"/>
      <c r="U128" s="4137"/>
      <c r="V128" s="4137"/>
    </row>
    <row r="129" spans="1:22" s="3985" customFormat="1" ht="15" customHeight="1">
      <c r="A129" s="3695"/>
      <c r="B129" s="4123" t="s">
        <v>2038</v>
      </c>
      <c r="C129" s="4123"/>
      <c r="D129" s="4132"/>
      <c r="E129" s="4125">
        <f>E97</f>
        <v>100658098.2066799</v>
      </c>
      <c r="F129" s="4125">
        <f>F97</f>
        <v>141644212</v>
      </c>
      <c r="G129" s="4125">
        <v>117410261.12</v>
      </c>
      <c r="H129" s="4126">
        <v>96095812.658953875</v>
      </c>
      <c r="I129" s="4125">
        <f>I97</f>
        <v>80012760.567582503</v>
      </c>
      <c r="J129" s="4127">
        <f t="shared" ref="J129:V129" si="49">J97</f>
        <v>102052609.44050707</v>
      </c>
      <c r="K129" s="4128">
        <f t="shared" si="49"/>
        <v>101330610.35146607</v>
      </c>
      <c r="L129" s="4128">
        <f t="shared" si="49"/>
        <v>113469803.70422849</v>
      </c>
      <c r="M129" s="4128">
        <f t="shared" si="49"/>
        <v>99567182.712483793</v>
      </c>
      <c r="N129" s="4128">
        <f t="shared" si="49"/>
        <v>70449034.3913984</v>
      </c>
      <c r="O129" s="4128">
        <f t="shared" si="49"/>
        <v>59180844.826800779</v>
      </c>
      <c r="P129" s="4128">
        <f t="shared" si="49"/>
        <v>60250564.524075486</v>
      </c>
      <c r="Q129" s="4128">
        <f t="shared" si="49"/>
        <v>62927466.244193703</v>
      </c>
      <c r="R129" s="4128">
        <f t="shared" si="49"/>
        <v>60136374.104597077</v>
      </c>
      <c r="S129" s="4128">
        <f t="shared" si="49"/>
        <v>59797068.055952802</v>
      </c>
      <c r="T129" s="4128">
        <f t="shared" si="49"/>
        <v>93358227.696240857</v>
      </c>
      <c r="U129" s="4128">
        <f t="shared" si="49"/>
        <v>56321257.839261182</v>
      </c>
      <c r="V129" s="4128">
        <f t="shared" si="49"/>
        <v>60345587.727426775</v>
      </c>
    </row>
    <row r="130" spans="1:22" s="3985" customFormat="1" ht="15" customHeight="1">
      <c r="A130" s="3695"/>
      <c r="B130" s="4138"/>
      <c r="C130" s="4138"/>
      <c r="D130" s="4139"/>
      <c r="E130" s="4140"/>
      <c r="F130" s="4140"/>
      <c r="G130" s="4140"/>
      <c r="H130" s="4141"/>
      <c r="I130" s="4140"/>
      <c r="J130" s="4142"/>
      <c r="K130" s="4143"/>
      <c r="L130" s="4143"/>
      <c r="M130" s="4143"/>
      <c r="N130" s="4143"/>
      <c r="O130" s="4143"/>
      <c r="P130" s="4143"/>
      <c r="Q130" s="4143"/>
      <c r="R130" s="4143"/>
      <c r="S130" s="4143"/>
      <c r="T130" s="4143"/>
      <c r="U130" s="4143"/>
      <c r="V130" s="4143"/>
    </row>
    <row r="131" spans="1:22" s="3985" customFormat="1" ht="15" customHeight="1">
      <c r="A131" s="3695"/>
      <c r="B131" s="4123" t="s">
        <v>2039</v>
      </c>
      <c r="C131" s="4123"/>
      <c r="D131" s="4132"/>
      <c r="E131" s="4125">
        <f>SUM(E68+E76)</f>
        <v>92256516.219999999</v>
      </c>
      <c r="F131" s="4125">
        <f>SUM(F68+F76)</f>
        <v>88278584</v>
      </c>
      <c r="G131" s="4125">
        <v>86919588.61999999</v>
      </c>
      <c r="H131" s="4126">
        <v>97804785.425174043</v>
      </c>
      <c r="I131" s="4125">
        <f t="shared" ref="I131:V131" si="50">SUM(I68+I76)</f>
        <v>92414629.170000002</v>
      </c>
      <c r="J131" s="4127">
        <f t="shared" si="50"/>
        <v>100803410.92821276</v>
      </c>
      <c r="K131" s="4128">
        <f t="shared" si="50"/>
        <v>94248129.269999981</v>
      </c>
      <c r="L131" s="4128">
        <f t="shared" si="50"/>
        <v>93839195.244327381</v>
      </c>
      <c r="M131" s="4128">
        <f t="shared" si="50"/>
        <v>106265905.79373801</v>
      </c>
      <c r="N131" s="4128">
        <f t="shared" si="50"/>
        <v>108927650.42256406</v>
      </c>
      <c r="O131" s="4128">
        <f t="shared" si="50"/>
        <v>110445241.36100166</v>
      </c>
      <c r="P131" s="4128">
        <f t="shared" si="50"/>
        <v>105170830.84046483</v>
      </c>
      <c r="Q131" s="4128">
        <f t="shared" si="50"/>
        <v>103003422.0887439</v>
      </c>
      <c r="R131" s="4128">
        <f t="shared" si="50"/>
        <v>86711982.00751093</v>
      </c>
      <c r="S131" s="4128">
        <f t="shared" si="50"/>
        <v>85933976.297617897</v>
      </c>
      <c r="T131" s="4128">
        <f t="shared" si="50"/>
        <v>85111912.757741302</v>
      </c>
      <c r="U131" s="4128">
        <f t="shared" si="50"/>
        <v>79409389.698422655</v>
      </c>
      <c r="V131" s="4128">
        <f t="shared" si="50"/>
        <v>81445612.139198676</v>
      </c>
    </row>
    <row r="132" spans="1:22" s="3985" customFormat="1" ht="15" customHeight="1">
      <c r="A132" s="3695"/>
      <c r="B132" s="4144"/>
      <c r="C132" s="4144"/>
      <c r="D132" s="4144"/>
      <c r="E132" s="4145"/>
      <c r="F132" s="4145"/>
      <c r="G132" s="4145"/>
      <c r="H132" s="4146"/>
      <c r="I132" s="4145"/>
      <c r="J132" s="4147"/>
      <c r="K132" s="4148"/>
      <c r="L132" s="4148"/>
      <c r="M132" s="4148"/>
      <c r="N132" s="4148"/>
      <c r="O132" s="4148"/>
      <c r="P132" s="4148"/>
      <c r="Q132" s="4148"/>
      <c r="R132" s="4148"/>
      <c r="S132" s="4148"/>
      <c r="T132" s="4148"/>
      <c r="U132" s="4148"/>
      <c r="V132" s="4148"/>
    </row>
    <row r="133" spans="1:22" s="3985" customFormat="1" ht="15" customHeight="1">
      <c r="A133" s="3695"/>
      <c r="B133" s="4149" t="s">
        <v>2040</v>
      </c>
      <c r="C133" s="4149"/>
      <c r="D133" s="4150"/>
      <c r="E133" s="4129">
        <f>E123+E125+E127+E129+E131</f>
        <v>354714440.20999992</v>
      </c>
      <c r="F133" s="4129">
        <f t="shared" ref="F133:V133" si="51">F123+F125+F127+F129+F131</f>
        <v>417393440.87</v>
      </c>
      <c r="G133" s="4129">
        <v>391142948.62</v>
      </c>
      <c r="H133" s="4151">
        <v>379987424.03010207</v>
      </c>
      <c r="I133" s="4129">
        <f>I123+I125+I127+I129+I131</f>
        <v>345903799.8636449</v>
      </c>
      <c r="J133" s="4129">
        <f>J123+J125+J127+J129+J131</f>
        <v>382600498.84268844</v>
      </c>
      <c r="K133" s="4129">
        <f t="shared" si="51"/>
        <v>380705449.17039001</v>
      </c>
      <c r="L133" s="4129">
        <f t="shared" si="51"/>
        <v>405631290.77839726</v>
      </c>
      <c r="M133" s="4129">
        <f t="shared" si="51"/>
        <v>397421717.87873077</v>
      </c>
      <c r="N133" s="4129">
        <f t="shared" si="51"/>
        <v>372276249.39045072</v>
      </c>
      <c r="O133" s="4129">
        <f t="shared" si="51"/>
        <v>344352889.95204782</v>
      </c>
      <c r="P133" s="4129">
        <f t="shared" si="51"/>
        <v>343589712.37899482</v>
      </c>
      <c r="Q133" s="4129">
        <f t="shared" si="51"/>
        <v>348177174.51761103</v>
      </c>
      <c r="R133" s="4129">
        <f t="shared" si="51"/>
        <v>341735640.04971492</v>
      </c>
      <c r="S133" s="4129">
        <f t="shared" si="51"/>
        <v>341879098.05714864</v>
      </c>
      <c r="T133" s="4129">
        <f t="shared" si="51"/>
        <v>381336408.68611276</v>
      </c>
      <c r="U133" s="4129">
        <f t="shared" si="51"/>
        <v>351644150.58903104</v>
      </c>
      <c r="V133" s="4129">
        <f t="shared" si="51"/>
        <v>362777591.31021136</v>
      </c>
    </row>
    <row r="134" spans="1:22" s="3985" customFormat="1" ht="15" customHeight="1">
      <c r="A134" s="3695"/>
      <c r="B134" s="4152"/>
      <c r="C134" s="4152"/>
      <c r="D134" s="4152"/>
      <c r="E134" s="4140"/>
      <c r="F134" s="4140"/>
      <c r="G134" s="4140"/>
      <c r="H134" s="4141"/>
      <c r="I134" s="4140"/>
      <c r="J134" s="4142"/>
      <c r="K134" s="4143"/>
      <c r="L134" s="4143"/>
      <c r="M134" s="4143"/>
      <c r="N134" s="4143"/>
      <c r="O134" s="4143"/>
      <c r="P134" s="4143"/>
      <c r="Q134" s="4143"/>
      <c r="R134" s="4143"/>
      <c r="S134" s="4143"/>
      <c r="T134" s="4143"/>
      <c r="U134" s="4143"/>
      <c r="V134" s="4143"/>
    </row>
    <row r="135" spans="1:22" s="4031" customFormat="1" ht="14.25" customHeight="1">
      <c r="A135" s="3695"/>
      <c r="B135" s="4153" t="s">
        <v>3909</v>
      </c>
      <c r="C135" s="4153"/>
      <c r="D135" s="4154"/>
      <c r="E135" s="4155"/>
      <c r="F135" s="4155"/>
      <c r="G135" s="4155"/>
      <c r="H135" s="4156"/>
      <c r="I135" s="4155"/>
      <c r="J135" s="4157"/>
      <c r="K135" s="4158"/>
      <c r="L135" s="4158"/>
      <c r="M135" s="4158"/>
      <c r="N135" s="4158"/>
      <c r="O135" s="4158"/>
      <c r="P135" s="4158"/>
      <c r="Q135" s="4158"/>
      <c r="R135" s="4158"/>
      <c r="S135" s="4158"/>
      <c r="T135" s="4158"/>
      <c r="U135" s="4158"/>
      <c r="V135" s="4158"/>
    </row>
    <row r="136" spans="1:22" s="4031" customFormat="1" ht="14.25" customHeight="1">
      <c r="A136" s="3695"/>
      <c r="B136" s="4159" t="s">
        <v>2000</v>
      </c>
      <c r="C136" s="4159"/>
      <c r="D136" s="4160"/>
      <c r="E136" s="4106">
        <f>-E55</f>
        <v>-3847423.78</v>
      </c>
      <c r="F136" s="4106">
        <f>-F55</f>
        <v>-11966255.630000001</v>
      </c>
      <c r="G136" s="4106">
        <v>-22766657.059999999</v>
      </c>
      <c r="H136" s="4107">
        <v>-14616855.670935536</v>
      </c>
      <c r="I136" s="4106">
        <f>-I55</f>
        <v>-13222301.92</v>
      </c>
      <c r="J136" s="4108">
        <v>-19797974.36389247</v>
      </c>
      <c r="K136" s="4161">
        <f t="shared" ref="K136:V136" si="52">-K55</f>
        <v>-18881042.1085</v>
      </c>
      <c r="L136" s="4161">
        <f t="shared" si="52"/>
        <v>-3771216.7979882499</v>
      </c>
      <c r="M136" s="4161">
        <f t="shared" si="52"/>
        <v>-6481437.273579197</v>
      </c>
      <c r="N136" s="4161">
        <f t="shared" si="52"/>
        <v>-13491703.741310302</v>
      </c>
      <c r="O136" s="4161">
        <f t="shared" si="52"/>
        <v>-2302016.4081461993</v>
      </c>
      <c r="P136" s="4161">
        <f t="shared" si="52"/>
        <v>-2312375.481982857</v>
      </c>
      <c r="Q136" s="4161">
        <f t="shared" si="52"/>
        <v>-2322781.1716517797</v>
      </c>
      <c r="R136" s="4161">
        <f t="shared" si="52"/>
        <v>-2333233.6869242126</v>
      </c>
      <c r="S136" s="4161">
        <f t="shared" si="52"/>
        <v>-2343733.2385153715</v>
      </c>
      <c r="T136" s="4161">
        <f t="shared" si="52"/>
        <v>-2354280.0380886905</v>
      </c>
      <c r="U136" s="4161">
        <f t="shared" si="52"/>
        <v>-2364874.2982600895</v>
      </c>
      <c r="V136" s="4161">
        <f t="shared" si="52"/>
        <v>-2375516.2326022596</v>
      </c>
    </row>
    <row r="137" spans="1:22" s="4031" customFormat="1" ht="14.25" customHeight="1">
      <c r="A137" s="3695"/>
      <c r="B137" s="4159" t="s">
        <v>2051</v>
      </c>
      <c r="C137" s="4159"/>
      <c r="D137" s="4160"/>
      <c r="E137" s="4106">
        <f>-E46</f>
        <v>-52353360.310000002</v>
      </c>
      <c r="F137" s="4106">
        <f>-F46</f>
        <v>-55640876.630000003</v>
      </c>
      <c r="G137" s="4106">
        <v>-61099098.909999996</v>
      </c>
      <c r="H137" s="4107">
        <v>-51632624.07413055</v>
      </c>
      <c r="I137" s="4106">
        <f>-I46</f>
        <v>-51082310.369999997</v>
      </c>
      <c r="J137" s="4108">
        <v>-47694471.542054527</v>
      </c>
      <c r="K137" s="4161">
        <f t="shared" ref="K137:V137" si="53">-K46</f>
        <v>-39278145.865235783</v>
      </c>
      <c r="L137" s="4161">
        <f t="shared" si="53"/>
        <v>-40915980.700040989</v>
      </c>
      <c r="M137" s="4161">
        <f t="shared" si="53"/>
        <v>-39395696.787638061</v>
      </c>
      <c r="N137" s="4161">
        <f t="shared" si="53"/>
        <v>-34422363.37476857</v>
      </c>
      <c r="O137" s="4161">
        <f t="shared" si="53"/>
        <v>-29417035.325962219</v>
      </c>
      <c r="P137" s="4161">
        <f t="shared" si="53"/>
        <v>-23755028.832793873</v>
      </c>
      <c r="Q137" s="4161">
        <f t="shared" si="53"/>
        <v>-20886469.139375698</v>
      </c>
      <c r="R137" s="4161">
        <f t="shared" si="53"/>
        <v>-17391507.670925897</v>
      </c>
      <c r="S137" s="4161">
        <f t="shared" si="53"/>
        <v>-14555273.492445875</v>
      </c>
      <c r="T137" s="4161">
        <f t="shared" si="53"/>
        <v>-15254264.69797747</v>
      </c>
      <c r="U137" s="4161">
        <f t="shared" si="53"/>
        <v>-15953497.336456399</v>
      </c>
      <c r="V137" s="4161">
        <f t="shared" si="53"/>
        <v>-16605462.787722303</v>
      </c>
    </row>
    <row r="138" spans="1:22" s="4031" customFormat="1" ht="14.25" customHeight="1">
      <c r="A138" s="3695"/>
      <c r="B138" s="4159" t="s">
        <v>2044</v>
      </c>
      <c r="C138" s="4159"/>
      <c r="D138" s="4160"/>
      <c r="E138" s="4106">
        <f>-E52+E60</f>
        <v>-44387314.100000009</v>
      </c>
      <c r="F138" s="4106">
        <f>-F52+F60</f>
        <v>-48728394.439999998</v>
      </c>
      <c r="G138" s="4106">
        <v>-28416521.950000003</v>
      </c>
      <c r="H138" s="4107">
        <v>-59234779.047726244</v>
      </c>
      <c r="I138" s="4106">
        <f>-I52+I60</f>
        <v>-54439055.109999985</v>
      </c>
      <c r="J138" s="4108">
        <v>-57475725.253963776</v>
      </c>
      <c r="K138" s="4161">
        <f t="shared" ref="K138:V138" si="54">-K52+K60</f>
        <v>-56515198.275458924</v>
      </c>
      <c r="L138" s="4161">
        <f t="shared" si="54"/>
        <v>-49624959.884057269</v>
      </c>
      <c r="M138" s="4161">
        <f t="shared" si="54"/>
        <v>-42184476.233099073</v>
      </c>
      <c r="N138" s="4161">
        <f t="shared" si="54"/>
        <v>-38806641.194338597</v>
      </c>
      <c r="O138" s="4161">
        <f t="shared" si="54"/>
        <v>-44633276.227889851</v>
      </c>
      <c r="P138" s="4161">
        <f t="shared" si="54"/>
        <v>-50517236.847638488</v>
      </c>
      <c r="Q138" s="4161">
        <f t="shared" si="54"/>
        <v>-56110160.740474209</v>
      </c>
      <c r="R138" s="4161">
        <f t="shared" si="54"/>
        <v>-58577044.598894216</v>
      </c>
      <c r="S138" s="4161">
        <f t="shared" si="54"/>
        <v>-62119946.120362103</v>
      </c>
      <c r="T138" s="4161">
        <f t="shared" si="54"/>
        <v>-57063785.072353959</v>
      </c>
      <c r="U138" s="4161">
        <f t="shared" si="54"/>
        <v>-57544264.504250303</v>
      </c>
      <c r="V138" s="4161">
        <f t="shared" si="54"/>
        <v>-49807577.199155718</v>
      </c>
    </row>
    <row r="139" spans="1:22" s="4031" customFormat="1" ht="14.25" customHeight="1">
      <c r="A139" s="3695" t="s">
        <v>389</v>
      </c>
      <c r="B139" s="4159" t="s">
        <v>2045</v>
      </c>
      <c r="C139" s="4159"/>
      <c r="D139" s="4160"/>
      <c r="E139" s="4106">
        <v>125000</v>
      </c>
      <c r="F139" s="4106">
        <v>157622</v>
      </c>
      <c r="G139" s="4106">
        <v>-183266.19</v>
      </c>
      <c r="H139" s="4107">
        <v>125000</v>
      </c>
      <c r="I139" s="4106">
        <v>-125000</v>
      </c>
      <c r="J139" s="4108">
        <v>-125000</v>
      </c>
      <c r="K139" s="4161">
        <v>-125000</v>
      </c>
      <c r="L139" s="4161">
        <v>-125000</v>
      </c>
      <c r="M139" s="4161">
        <v>-125000</v>
      </c>
      <c r="N139" s="4161">
        <v>-125000</v>
      </c>
      <c r="O139" s="4161">
        <v>-125000</v>
      </c>
      <c r="P139" s="4161">
        <v>-125000</v>
      </c>
      <c r="Q139" s="4161">
        <v>-125000</v>
      </c>
      <c r="R139" s="4161">
        <v>-125000</v>
      </c>
      <c r="S139" s="4161">
        <v>-125000</v>
      </c>
      <c r="T139" s="4161">
        <v>-125000</v>
      </c>
      <c r="U139" s="4161">
        <v>-125000</v>
      </c>
      <c r="V139" s="4161">
        <v>-125000</v>
      </c>
    </row>
    <row r="140" spans="1:22" s="4164" customFormat="1" ht="14.25" customHeight="1">
      <c r="A140" s="3695"/>
      <c r="B140" s="4162" t="s">
        <v>3910</v>
      </c>
      <c r="C140" s="4162"/>
      <c r="D140" s="4163"/>
      <c r="E140" s="4125">
        <f>SUM(E136:E139)</f>
        <v>-100463098.19000001</v>
      </c>
      <c r="F140" s="4125">
        <f>SUM(F136:F139)</f>
        <v>-116177904.7</v>
      </c>
      <c r="G140" s="4125">
        <v>-112465544.11</v>
      </c>
      <c r="H140" s="4126">
        <v>-125359258.79279232</v>
      </c>
      <c r="I140" s="4125">
        <f>SUM(I136:I139)</f>
        <v>-118868667.39999998</v>
      </c>
      <c r="J140" s="4127">
        <f>SUM(J136:J139)</f>
        <v>-125093171.15991077</v>
      </c>
      <c r="K140" s="4128">
        <f>SUM(K136:K139)</f>
        <v>-114799386.24919471</v>
      </c>
      <c r="L140" s="4128">
        <f>SUM(L136:L139)</f>
        <v>-94437157.382086515</v>
      </c>
      <c r="M140" s="4128">
        <f>SUM(M136:M139)</f>
        <v>-88186610.294316322</v>
      </c>
      <c r="N140" s="4128">
        <f t="shared" ref="N140:V140" si="55">SUM(N136:N139)</f>
        <v>-86845708.310417473</v>
      </c>
      <c r="O140" s="4128">
        <f t="shared" si="55"/>
        <v>-76477327.961998269</v>
      </c>
      <c r="P140" s="4128">
        <f t="shared" si="55"/>
        <v>-76709641.162415221</v>
      </c>
      <c r="Q140" s="4128">
        <f t="shared" si="55"/>
        <v>-79444411.051501691</v>
      </c>
      <c r="R140" s="4128">
        <f t="shared" si="55"/>
        <v>-78426785.956744328</v>
      </c>
      <c r="S140" s="4128">
        <f t="shared" si="55"/>
        <v>-79143952.851323351</v>
      </c>
      <c r="T140" s="4128">
        <f t="shared" si="55"/>
        <v>-74797329.808420122</v>
      </c>
      <c r="U140" s="4128">
        <f t="shared" si="55"/>
        <v>-75987636.138966799</v>
      </c>
      <c r="V140" s="4128">
        <f t="shared" si="55"/>
        <v>-68913556.219480276</v>
      </c>
    </row>
    <row r="141" spans="1:22" s="4164" customFormat="1" ht="14.25" customHeight="1">
      <c r="A141" s="3695"/>
      <c r="B141" s="4165"/>
      <c r="C141" s="4165"/>
      <c r="D141" s="4166"/>
      <c r="E141" s="4111"/>
      <c r="F141" s="4111"/>
      <c r="G141" s="4111"/>
      <c r="H141" s="4117"/>
      <c r="I141" s="4111"/>
      <c r="J141" s="4112"/>
      <c r="K141" s="4113"/>
      <c r="L141" s="4113"/>
      <c r="M141" s="4113"/>
      <c r="N141" s="4113"/>
      <c r="O141" s="4113"/>
      <c r="P141" s="4113"/>
      <c r="Q141" s="4113"/>
      <c r="R141" s="4113"/>
      <c r="S141" s="4113"/>
      <c r="T141" s="4113"/>
      <c r="U141" s="4113"/>
      <c r="V141" s="4113"/>
    </row>
    <row r="142" spans="1:22" s="4169" customFormat="1" ht="15.75" thickBot="1">
      <c r="A142" s="3695"/>
      <c r="B142" s="4167" t="s">
        <v>3911</v>
      </c>
      <c r="C142" s="4167"/>
      <c r="D142" s="4167"/>
      <c r="E142" s="4091">
        <f>E133+E140</f>
        <v>254251342.01999992</v>
      </c>
      <c r="F142" s="4091">
        <f>F133+F140</f>
        <v>301215536.17000002</v>
      </c>
      <c r="G142" s="4095">
        <v>278677404.50999999</v>
      </c>
      <c r="H142" s="4168">
        <v>254628165.23730975</v>
      </c>
      <c r="I142" s="4095">
        <f t="shared" ref="I142:V142" si="56">I133+I140</f>
        <v>227035132.46364492</v>
      </c>
      <c r="J142" s="4092">
        <f t="shared" si="56"/>
        <v>257507327.68277767</v>
      </c>
      <c r="K142" s="4095">
        <f t="shared" si="56"/>
        <v>265906062.9211953</v>
      </c>
      <c r="L142" s="4095">
        <f t="shared" si="56"/>
        <v>311194133.39631075</v>
      </c>
      <c r="M142" s="4095">
        <f t="shared" si="56"/>
        <v>309235107.58441448</v>
      </c>
      <c r="N142" s="4095">
        <f t="shared" si="56"/>
        <v>285430541.08003324</v>
      </c>
      <c r="O142" s="4095">
        <f t="shared" si="56"/>
        <v>267875561.99004954</v>
      </c>
      <c r="P142" s="4095">
        <f t="shared" si="56"/>
        <v>266880071.21657962</v>
      </c>
      <c r="Q142" s="4095">
        <f t="shared" si="56"/>
        <v>268732763.46610934</v>
      </c>
      <c r="R142" s="4095">
        <f t="shared" si="56"/>
        <v>263308854.09297061</v>
      </c>
      <c r="S142" s="4095">
        <f t="shared" si="56"/>
        <v>262735145.20582527</v>
      </c>
      <c r="T142" s="4095">
        <f t="shared" si="56"/>
        <v>306539078.87769264</v>
      </c>
      <c r="U142" s="4095">
        <f t="shared" si="56"/>
        <v>275656514.45006424</v>
      </c>
      <c r="V142" s="4095">
        <f t="shared" si="56"/>
        <v>293864035.09073108</v>
      </c>
    </row>
    <row r="143" spans="1:22" s="3985" customFormat="1" ht="15.75" thickTop="1">
      <c r="A143" s="3695"/>
      <c r="B143" s="4096"/>
      <c r="C143" s="4096"/>
      <c r="D143" s="4097"/>
      <c r="E143" s="4098"/>
      <c r="F143" s="4098"/>
      <c r="G143" s="4098"/>
      <c r="H143" s="4099"/>
      <c r="I143" s="4098"/>
      <c r="J143" s="4099"/>
      <c r="K143" s="4100"/>
      <c r="L143" s="4100"/>
      <c r="M143" s="4100"/>
      <c r="N143" s="4100"/>
      <c r="O143" s="4100"/>
      <c r="P143" s="4100"/>
      <c r="Q143" s="4100"/>
      <c r="R143" s="4100"/>
      <c r="S143" s="4100"/>
      <c r="T143" s="4100"/>
      <c r="U143" s="4100"/>
      <c r="V143" s="4100"/>
    </row>
    <row r="144" spans="1:22" s="4103" customFormat="1" ht="15" customHeight="1">
      <c r="A144" s="3695"/>
      <c r="B144" s="3130" t="s">
        <v>3912</v>
      </c>
      <c r="C144" s="3130"/>
      <c r="D144" s="4102"/>
      <c r="E144" s="3953" t="str">
        <f>+E5</f>
        <v>Actual</v>
      </c>
      <c r="F144" s="3953" t="str">
        <f>+F5</f>
        <v>Actual</v>
      </c>
      <c r="G144" s="3954" t="s">
        <v>1959</v>
      </c>
      <c r="H144" s="3955" t="s">
        <v>1960</v>
      </c>
      <c r="I144" s="3954" t="str">
        <f>+I5</f>
        <v>Actuals</v>
      </c>
      <c r="J144" s="3956" t="s">
        <v>1960</v>
      </c>
      <c r="K144" s="3129"/>
      <c r="L144" s="3129"/>
      <c r="M144" s="3129"/>
      <c r="N144" s="3129"/>
      <c r="O144" s="3129"/>
      <c r="P144" s="3129"/>
      <c r="Q144" s="3129"/>
      <c r="R144" s="3129"/>
      <c r="S144" s="3129"/>
      <c r="T144" s="3129"/>
      <c r="U144" s="3129"/>
      <c r="V144" s="3129"/>
    </row>
    <row r="145" spans="1:22" ht="15" customHeight="1">
      <c r="A145" s="3695"/>
      <c r="B145" s="3130"/>
      <c r="C145" s="3130"/>
      <c r="D145" s="3973"/>
      <c r="E145" s="3954">
        <f>+E6</f>
        <v>2012</v>
      </c>
      <c r="F145" s="3954">
        <f>+F6</f>
        <v>2013</v>
      </c>
      <c r="G145" s="3954">
        <v>2014</v>
      </c>
      <c r="H145" s="3955">
        <v>2015</v>
      </c>
      <c r="I145" s="3954">
        <f>+I6</f>
        <v>2015</v>
      </c>
      <c r="J145" s="3956">
        <v>2016</v>
      </c>
      <c r="K145" s="3490">
        <f t="shared" ref="K145:V145" si="57">+K6</f>
        <v>2016</v>
      </c>
      <c r="L145" s="3490">
        <f t="shared" si="57"/>
        <v>2017</v>
      </c>
      <c r="M145" s="3490">
        <f t="shared" si="57"/>
        <v>2018</v>
      </c>
      <c r="N145" s="3490">
        <f t="shared" si="57"/>
        <v>2019</v>
      </c>
      <c r="O145" s="3490">
        <f t="shared" si="57"/>
        <v>2020</v>
      </c>
      <c r="P145" s="3490">
        <f t="shared" si="57"/>
        <v>2021</v>
      </c>
      <c r="Q145" s="3490">
        <f t="shared" si="57"/>
        <v>2022</v>
      </c>
      <c r="R145" s="3490">
        <f t="shared" si="57"/>
        <v>2023</v>
      </c>
      <c r="S145" s="3490">
        <f t="shared" si="57"/>
        <v>2024</v>
      </c>
      <c r="T145" s="3490">
        <f t="shared" si="57"/>
        <v>2025</v>
      </c>
      <c r="U145" s="3490">
        <f t="shared" si="57"/>
        <v>2026</v>
      </c>
      <c r="V145" s="3490">
        <f t="shared" si="57"/>
        <v>2027</v>
      </c>
    </row>
    <row r="146" spans="1:22" ht="15" customHeight="1">
      <c r="A146" s="3695"/>
      <c r="B146" s="3129" t="s">
        <v>2051</v>
      </c>
      <c r="C146" s="3129"/>
      <c r="D146" s="3973"/>
      <c r="E146" s="4020">
        <f>E46</f>
        <v>52353360.310000002</v>
      </c>
      <c r="F146" s="4020">
        <f>F46</f>
        <v>55640876.630000003</v>
      </c>
      <c r="G146" s="4020">
        <v>61099098.909999996</v>
      </c>
      <c r="H146" s="4028">
        <v>51632624.07413055</v>
      </c>
      <c r="I146" s="4020">
        <f>I46</f>
        <v>51082310.369999997</v>
      </c>
      <c r="J146" s="4039">
        <v>47694471.542054527</v>
      </c>
      <c r="K146" s="4029">
        <f t="shared" ref="K146:V146" si="58">K46</f>
        <v>39278145.865235783</v>
      </c>
      <c r="L146" s="4029">
        <f t="shared" si="58"/>
        <v>40915980.700040989</v>
      </c>
      <c r="M146" s="4029">
        <f t="shared" si="58"/>
        <v>39395696.787638061</v>
      </c>
      <c r="N146" s="4029">
        <f t="shared" si="58"/>
        <v>34422363.37476857</v>
      </c>
      <c r="O146" s="4029">
        <f t="shared" si="58"/>
        <v>29417035.325962219</v>
      </c>
      <c r="P146" s="4029">
        <f t="shared" si="58"/>
        <v>23755028.832793873</v>
      </c>
      <c r="Q146" s="4029">
        <f t="shared" si="58"/>
        <v>20886469.139375698</v>
      </c>
      <c r="R146" s="4029">
        <f t="shared" si="58"/>
        <v>17391507.670925897</v>
      </c>
      <c r="S146" s="4029">
        <f t="shared" si="58"/>
        <v>14555273.492445875</v>
      </c>
      <c r="T146" s="4029">
        <f t="shared" si="58"/>
        <v>15254264.69797747</v>
      </c>
      <c r="U146" s="4029">
        <f t="shared" si="58"/>
        <v>15953497.336456399</v>
      </c>
      <c r="V146" s="4029">
        <f t="shared" si="58"/>
        <v>16605462.787722303</v>
      </c>
    </row>
    <row r="147" spans="1:22" ht="15" customHeight="1">
      <c r="A147" s="3695"/>
      <c r="B147" s="3129" t="s">
        <v>282</v>
      </c>
      <c r="C147" s="3129"/>
      <c r="D147" s="3973"/>
      <c r="E147" s="4020">
        <f>SUM(E48:E51)</f>
        <v>143910748.31</v>
      </c>
      <c r="F147" s="4020">
        <f>SUM(F48:F51)</f>
        <v>149504990.75999999</v>
      </c>
      <c r="G147" s="4020">
        <v>159674059.18000001</v>
      </c>
      <c r="H147" s="4028">
        <v>169467194.34748584</v>
      </c>
      <c r="I147" s="4020">
        <f>SUM(I48:I51)</f>
        <v>172915213.32999998</v>
      </c>
      <c r="J147" s="4039">
        <v>181970987.0783239</v>
      </c>
      <c r="K147" s="4029">
        <f t="shared" ref="K147:V147" si="59">SUM(K48:K51)</f>
        <v>178529298.60273728</v>
      </c>
      <c r="L147" s="4029">
        <f t="shared" si="59"/>
        <v>192771769.52470294</v>
      </c>
      <c r="M147" s="4029">
        <f t="shared" si="59"/>
        <v>206787544.76554251</v>
      </c>
      <c r="N147" s="4029">
        <f t="shared" si="59"/>
        <v>224243389.91931733</v>
      </c>
      <c r="O147" s="4029">
        <f t="shared" si="59"/>
        <v>238426695.82488149</v>
      </c>
      <c r="P147" s="4029">
        <f t="shared" si="59"/>
        <v>250953104.02533695</v>
      </c>
      <c r="Q147" s="4029">
        <f t="shared" si="59"/>
        <v>262438504.10150561</v>
      </c>
      <c r="R147" s="4029">
        <f t="shared" si="59"/>
        <v>275324773.51426667</v>
      </c>
      <c r="S147" s="4029">
        <f t="shared" si="59"/>
        <v>289388640.44047791</v>
      </c>
      <c r="T147" s="4029">
        <f t="shared" si="59"/>
        <v>299374160.73343831</v>
      </c>
      <c r="U147" s="4029">
        <f t="shared" si="59"/>
        <v>309811778.45644706</v>
      </c>
      <c r="V147" s="4029">
        <f t="shared" si="59"/>
        <v>320501525.29777551</v>
      </c>
    </row>
    <row r="148" spans="1:22" ht="15" customHeight="1">
      <c r="A148" s="3695"/>
      <c r="B148" s="3129" t="s">
        <v>3913</v>
      </c>
      <c r="C148" s="3129"/>
      <c r="D148" s="3973"/>
      <c r="E148" s="4020">
        <f>SUM(E52-E60)</f>
        <v>44387314.100000009</v>
      </c>
      <c r="F148" s="4020">
        <f>SUM(F52-F60)</f>
        <v>48728394.439999998</v>
      </c>
      <c r="G148" s="4020">
        <v>28416521.950000003</v>
      </c>
      <c r="H148" s="4028">
        <v>59234779.047726244</v>
      </c>
      <c r="I148" s="4020">
        <f>SUM(I52-I60)</f>
        <v>54439055.109999985</v>
      </c>
      <c r="J148" s="4039">
        <v>57475725.253963776</v>
      </c>
      <c r="K148" s="4029">
        <f t="shared" ref="K148:V148" si="60">SUM(K52-K60)</f>
        <v>56515198.275458924</v>
      </c>
      <c r="L148" s="4029">
        <f t="shared" si="60"/>
        <v>49624959.884057269</v>
      </c>
      <c r="M148" s="4029">
        <f t="shared" si="60"/>
        <v>42184476.233099073</v>
      </c>
      <c r="N148" s="4029">
        <f t="shared" si="60"/>
        <v>38806641.194338597</v>
      </c>
      <c r="O148" s="4029">
        <f t="shared" si="60"/>
        <v>44633276.227889851</v>
      </c>
      <c r="P148" s="4029">
        <f t="shared" si="60"/>
        <v>50517236.847638488</v>
      </c>
      <c r="Q148" s="4029">
        <f t="shared" si="60"/>
        <v>56110160.740474209</v>
      </c>
      <c r="R148" s="4029">
        <f t="shared" si="60"/>
        <v>58577044.598894216</v>
      </c>
      <c r="S148" s="4029">
        <f t="shared" si="60"/>
        <v>62119946.120362103</v>
      </c>
      <c r="T148" s="4029">
        <f t="shared" si="60"/>
        <v>57063785.072353959</v>
      </c>
      <c r="U148" s="4029">
        <f t="shared" si="60"/>
        <v>57544264.504250303</v>
      </c>
      <c r="V148" s="4029">
        <f t="shared" si="60"/>
        <v>49807577.199155718</v>
      </c>
    </row>
    <row r="149" spans="1:22" ht="15" customHeight="1">
      <c r="A149" s="3695"/>
      <c r="B149" s="3129" t="s">
        <v>2771</v>
      </c>
      <c r="C149" s="3129"/>
      <c r="D149" s="3973"/>
      <c r="E149" s="4020">
        <f>E53</f>
        <v>3832582.0900000003</v>
      </c>
      <c r="F149" s="4020">
        <f>F53</f>
        <v>4403766.55</v>
      </c>
      <c r="G149" s="4020">
        <v>5100712.32</v>
      </c>
      <c r="H149" s="4028">
        <v>4492282.7166999998</v>
      </c>
      <c r="I149" s="4020">
        <f>I53</f>
        <v>5338187.4400000004</v>
      </c>
      <c r="J149" s="4039">
        <v>5203236.6376320003</v>
      </c>
      <c r="K149" s="4029">
        <f t="shared" ref="K149:V150" si="61">K53</f>
        <v>5203236.6376320003</v>
      </c>
      <c r="L149" s="4029">
        <f t="shared" si="61"/>
        <v>5255269.0040083202</v>
      </c>
      <c r="M149" s="4029">
        <f t="shared" si="61"/>
        <v>5307821.6940484038</v>
      </c>
      <c r="N149" s="4029">
        <f t="shared" si="61"/>
        <v>5360899.9109888878</v>
      </c>
      <c r="O149" s="4029">
        <f t="shared" si="61"/>
        <v>5414508.9100987772</v>
      </c>
      <c r="P149" s="4029">
        <f t="shared" si="61"/>
        <v>5468653.9991997648</v>
      </c>
      <c r="Q149" s="4029">
        <f t="shared" si="61"/>
        <v>5523340.5391917629</v>
      </c>
      <c r="R149" s="4029">
        <f t="shared" si="61"/>
        <v>5578573.9445836805</v>
      </c>
      <c r="S149" s="4029">
        <f t="shared" si="61"/>
        <v>5634359.6840295177</v>
      </c>
      <c r="T149" s="4029">
        <f t="shared" si="61"/>
        <v>5690703.2808698127</v>
      </c>
      <c r="U149" s="4029">
        <f t="shared" si="61"/>
        <v>5747610.3136785105</v>
      </c>
      <c r="V149" s="4029">
        <f t="shared" si="61"/>
        <v>5805086.4168152958</v>
      </c>
    </row>
    <row r="150" spans="1:22" ht="15" customHeight="1">
      <c r="A150" s="3695"/>
      <c r="B150" s="3129" t="s">
        <v>3914</v>
      </c>
      <c r="C150" s="3129"/>
      <c r="D150" s="3973"/>
      <c r="E150" s="4020">
        <f>E54</f>
        <v>1373408.47</v>
      </c>
      <c r="F150" s="4020">
        <f>F54</f>
        <v>1514941.95</v>
      </c>
      <c r="G150" s="4020">
        <v>1713108.76</v>
      </c>
      <c r="H150" s="4028">
        <v>1375764.9040576871</v>
      </c>
      <c r="I150" s="4020">
        <f>I54</f>
        <v>1759509.1099999999</v>
      </c>
      <c r="J150" s="4039">
        <v>1396401.3776185524</v>
      </c>
      <c r="K150" s="4029">
        <f t="shared" si="61"/>
        <v>1764887.472271</v>
      </c>
      <c r="L150" s="4029">
        <f t="shared" si="61"/>
        <v>1791360.7843550646</v>
      </c>
      <c r="M150" s="4029">
        <f t="shared" si="61"/>
        <v>1818231.1961203904</v>
      </c>
      <c r="N150" s="4029">
        <f t="shared" si="61"/>
        <v>1845504.6640621962</v>
      </c>
      <c r="O150" s="4029">
        <f t="shared" si="61"/>
        <v>1873187.2340231291</v>
      </c>
      <c r="P150" s="4029">
        <f t="shared" si="61"/>
        <v>1901285.0425334757</v>
      </c>
      <c r="Q150" s="4029">
        <f t="shared" si="61"/>
        <v>1929804.3181714774</v>
      </c>
      <c r="R150" s="4029">
        <f t="shared" si="61"/>
        <v>1958751.3829440495</v>
      </c>
      <c r="S150" s="4029">
        <f t="shared" si="61"/>
        <v>1988132.6536882103</v>
      </c>
      <c r="T150" s="4029">
        <f t="shared" si="61"/>
        <v>2017954.6434935331</v>
      </c>
      <c r="U150" s="4029">
        <f t="shared" si="61"/>
        <v>2048223.9631459359</v>
      </c>
      <c r="V150" s="4029">
        <f t="shared" si="61"/>
        <v>2078947.3225931248</v>
      </c>
    </row>
    <row r="151" spans="1:22" ht="15" customHeight="1">
      <c r="A151" s="3695"/>
      <c r="B151" s="3129" t="s">
        <v>2028</v>
      </c>
      <c r="C151" s="3129"/>
      <c r="D151" s="3973"/>
      <c r="E151" s="4020">
        <f>SUM(E78-E68-E67-E76-E75-E60)*-1</f>
        <v>-98745516.350000009</v>
      </c>
      <c r="F151" s="4020">
        <f>SUM(F78-F68-F67-F76-F75-F60)*-1</f>
        <v>-106670190.34</v>
      </c>
      <c r="G151" s="4020">
        <v>-129578762.80000001</v>
      </c>
      <c r="H151" s="4028">
        <v>-114901295.99932611</v>
      </c>
      <c r="I151" s="4020">
        <f>SUM(I78-I68-I67-I76-I75-I60)*-1</f>
        <v>-121269225.45999998</v>
      </c>
      <c r="J151" s="4039">
        <v>-106477717.98130077</v>
      </c>
      <c r="K151" s="4029">
        <f t="shared" ref="K151:V151" si="62">SUM(K78-K68-K67-K76-K75-K60)*-1</f>
        <v>-109378626.02575</v>
      </c>
      <c r="L151" s="4029">
        <f t="shared" si="62"/>
        <v>-112636060.84524518</v>
      </c>
      <c r="M151" s="4029">
        <f t="shared" si="62"/>
        <v>-118420803.97962347</v>
      </c>
      <c r="N151" s="4029">
        <f t="shared" si="62"/>
        <v>-121401764.52612518</v>
      </c>
      <c r="O151" s="4029">
        <f t="shared" si="62"/>
        <v>-125868516.21841614</v>
      </c>
      <c r="P151" s="4029">
        <f t="shared" si="62"/>
        <v>-129915599.89809634</v>
      </c>
      <c r="Q151" s="4029">
        <f t="shared" si="62"/>
        <v>-129645218.36280459</v>
      </c>
      <c r="R151" s="4029">
        <f t="shared" si="62"/>
        <v>-136497385.67006916</v>
      </c>
      <c r="S151" s="4029">
        <f t="shared" si="62"/>
        <v>-141162626.34141931</v>
      </c>
      <c r="T151" s="4029">
        <f t="shared" si="62"/>
        <v>-147899552.50103527</v>
      </c>
      <c r="U151" s="4029">
        <f t="shared" si="62"/>
        <v>-156685725.14752358</v>
      </c>
      <c r="V151" s="4029">
        <f t="shared" si="62"/>
        <v>-162411375.53355798</v>
      </c>
    </row>
    <row r="152" spans="1:22" ht="15" customHeight="1">
      <c r="A152" s="3695"/>
      <c r="B152" s="3129" t="s">
        <v>843</v>
      </c>
      <c r="C152" s="3129"/>
      <c r="D152" s="4170"/>
      <c r="E152" s="4020">
        <f>SUM(E67+E75)*-1</f>
        <v>-12269321.290000001</v>
      </c>
      <c r="F152" s="4020">
        <f>SUM(F67+F75)*-1</f>
        <v>-13730967.529999999</v>
      </c>
      <c r="G152" s="4020">
        <v>-13779337.620000001</v>
      </c>
      <c r="H152" s="4028">
        <v>-14851741.516144635</v>
      </c>
      <c r="I152" s="4020">
        <f>SUM(I67+I75)*-1</f>
        <v>-15547999.92</v>
      </c>
      <c r="J152" s="4039">
        <v>-15714328.568184474</v>
      </c>
      <c r="K152" s="4029">
        <f t="shared" ref="K152:V152" si="63">SUM(K67+K75)*-1</f>
        <v>-15748860.970478145</v>
      </c>
      <c r="L152" s="4029">
        <f t="shared" si="63"/>
        <v>-16386693.085695306</v>
      </c>
      <c r="M152" s="4029">
        <f t="shared" si="63"/>
        <v>-17406728.612407677</v>
      </c>
      <c r="N152" s="4029">
        <f t="shared" si="63"/>
        <v>-18778505.989898521</v>
      </c>
      <c r="O152" s="4029">
        <f t="shared" si="63"/>
        <v>-19512966.815796569</v>
      </c>
      <c r="P152" s="4029">
        <f t="shared" si="63"/>
        <v>-20406509.058800917</v>
      </c>
      <c r="Q152" s="4029">
        <f t="shared" si="63"/>
        <v>-21213994.121881988</v>
      </c>
      <c r="R152" s="4029">
        <f t="shared" si="63"/>
        <v>-22110505.718090769</v>
      </c>
      <c r="S152" s="4029">
        <f t="shared" si="63"/>
        <v>-23083564.529563837</v>
      </c>
      <c r="T152" s="4029">
        <f t="shared" si="63"/>
        <v>-23808531.070948336</v>
      </c>
      <c r="U152" s="4029">
        <f t="shared" si="63"/>
        <v>-24565887.375016257</v>
      </c>
      <c r="V152" s="4029">
        <f t="shared" si="63"/>
        <v>-25342463.036012895</v>
      </c>
    </row>
    <row r="153" spans="1:22" s="3985" customFormat="1" ht="15" customHeight="1">
      <c r="A153" s="3695"/>
      <c r="B153" s="3130" t="s">
        <v>3915</v>
      </c>
      <c r="C153" s="3130"/>
      <c r="D153" s="4102"/>
      <c r="E153" s="4171">
        <f>SUM(E146:E152)</f>
        <v>134842575.64000002</v>
      </c>
      <c r="F153" s="4171">
        <f t="shared" ref="F153:V153" si="64">SUM(F146:F152)</f>
        <v>139391812.45999998</v>
      </c>
      <c r="G153" s="4171">
        <v>112645400.69999999</v>
      </c>
      <c r="H153" s="4172">
        <v>156449607.57462955</v>
      </c>
      <c r="I153" s="4171">
        <f t="shared" si="64"/>
        <v>148717049.97999999</v>
      </c>
      <c r="J153" s="4173">
        <f>SUM(J146:J152)</f>
        <v>171548775.34010753</v>
      </c>
      <c r="K153" s="4174">
        <f t="shared" si="64"/>
        <v>156163279.85710689</v>
      </c>
      <c r="L153" s="4174">
        <f t="shared" si="64"/>
        <v>161336585.96622404</v>
      </c>
      <c r="M153" s="4174">
        <f t="shared" si="64"/>
        <v>159666238.08441731</v>
      </c>
      <c r="N153" s="4174">
        <f t="shared" si="64"/>
        <v>164498528.54745188</v>
      </c>
      <c r="O153" s="4174">
        <f t="shared" si="64"/>
        <v>174383220.48864281</v>
      </c>
      <c r="P153" s="4174">
        <f t="shared" si="64"/>
        <v>182273199.79060528</v>
      </c>
      <c r="Q153" s="4174">
        <f t="shared" si="64"/>
        <v>196029066.35403225</v>
      </c>
      <c r="R153" s="4174">
        <f t="shared" si="64"/>
        <v>200222759.72345459</v>
      </c>
      <c r="S153" s="4174">
        <f t="shared" si="64"/>
        <v>209440161.52002046</v>
      </c>
      <c r="T153" s="4174">
        <f t="shared" si="64"/>
        <v>207692784.85614952</v>
      </c>
      <c r="U153" s="4174">
        <f t="shared" si="64"/>
        <v>209853762.05143833</v>
      </c>
      <c r="V153" s="4174">
        <f t="shared" si="64"/>
        <v>207044760.45449111</v>
      </c>
    </row>
    <row r="154" spans="1:22" ht="24" customHeight="1">
      <c r="A154" s="3695"/>
      <c r="B154" s="3129" t="s">
        <v>3906</v>
      </c>
      <c r="C154" s="3129"/>
      <c r="D154" s="3973"/>
      <c r="E154" s="3988">
        <f>-E94</f>
        <v>-47857254.450000003</v>
      </c>
      <c r="F154" s="4175">
        <v>-50473463.049999997</v>
      </c>
      <c r="G154" s="4175">
        <v>-53895876.829999998</v>
      </c>
      <c r="H154" s="4176">
        <v>-59926906.71374505</v>
      </c>
      <c r="I154" s="4175">
        <f t="shared" ref="I154:V154" si="65">-I94</f>
        <v>-56985065.780000001</v>
      </c>
      <c r="J154" s="4177">
        <v>-64241357.02303198</v>
      </c>
      <c r="K154" s="4178">
        <f t="shared" si="65"/>
        <v>-63849486.641961008</v>
      </c>
      <c r="L154" s="4178">
        <f t="shared" si="65"/>
        <v>-68146212.096479207</v>
      </c>
      <c r="M154" s="4178">
        <f t="shared" si="65"/>
        <v>-73145644.192175478</v>
      </c>
      <c r="N154" s="4178">
        <f t="shared" si="65"/>
        <v>-77505611.555449069</v>
      </c>
      <c r="O154" s="4178">
        <f t="shared" si="65"/>
        <v>-81128073.506300241</v>
      </c>
      <c r="P154" s="4178">
        <f t="shared" si="65"/>
        <v>-80917705.5893379</v>
      </c>
      <c r="Q154" s="4178">
        <f t="shared" si="65"/>
        <v>-79330992.872697264</v>
      </c>
      <c r="R154" s="4178">
        <f t="shared" si="65"/>
        <v>-80674631.752580494</v>
      </c>
      <c r="S154" s="4178">
        <f t="shared" si="65"/>
        <v>-82507469.732144773</v>
      </c>
      <c r="T154" s="4178">
        <f t="shared" si="65"/>
        <v>-83994254.582093567</v>
      </c>
      <c r="U154" s="4178">
        <f t="shared" si="65"/>
        <v>-86167248.702337742</v>
      </c>
      <c r="V154" s="4178">
        <f t="shared" si="65"/>
        <v>-87824771.90554285</v>
      </c>
    </row>
    <row r="155" spans="1:22" s="3985" customFormat="1" ht="15" customHeight="1" thickBot="1">
      <c r="A155" s="3695"/>
      <c r="B155" s="3130" t="s">
        <v>3916</v>
      </c>
      <c r="C155" s="3130"/>
      <c r="D155" s="4102"/>
      <c r="E155" s="4091">
        <f>SUM(E153+E154)</f>
        <v>86985321.190000013</v>
      </c>
      <c r="F155" s="4091">
        <f t="shared" ref="F155:V155" si="66">SUM(F153+F154)</f>
        <v>88918349.409999982</v>
      </c>
      <c r="G155" s="4091">
        <v>58749523.86999999</v>
      </c>
      <c r="H155" s="4179">
        <v>96522700.860884488</v>
      </c>
      <c r="I155" s="4091">
        <f t="shared" si="66"/>
        <v>91731984.199999988</v>
      </c>
      <c r="J155" s="4092">
        <f t="shared" si="66"/>
        <v>107307418.31707555</v>
      </c>
      <c r="K155" s="4093">
        <f t="shared" si="66"/>
        <v>92313793.215145886</v>
      </c>
      <c r="L155" s="4093">
        <f t="shared" si="66"/>
        <v>93190373.869744837</v>
      </c>
      <c r="M155" s="4093">
        <f t="shared" si="66"/>
        <v>86520593.892241836</v>
      </c>
      <c r="N155" s="4093">
        <f t="shared" si="66"/>
        <v>86992916.992002815</v>
      </c>
      <c r="O155" s="4093">
        <f t="shared" si="66"/>
        <v>93255146.982342571</v>
      </c>
      <c r="P155" s="4093">
        <f t="shared" si="66"/>
        <v>101355494.20126738</v>
      </c>
      <c r="Q155" s="4093">
        <f t="shared" si="66"/>
        <v>116698073.48133498</v>
      </c>
      <c r="R155" s="4093">
        <f t="shared" si="66"/>
        <v>119548127.9708741</v>
      </c>
      <c r="S155" s="4093">
        <f t="shared" si="66"/>
        <v>126932691.78787568</v>
      </c>
      <c r="T155" s="4093">
        <f t="shared" si="66"/>
        <v>123698530.27405596</v>
      </c>
      <c r="U155" s="4093">
        <f t="shared" si="66"/>
        <v>123686513.34910059</v>
      </c>
      <c r="V155" s="4093">
        <f t="shared" si="66"/>
        <v>119219988.54894826</v>
      </c>
    </row>
    <row r="156" spans="1:22" ht="24.75" customHeight="1" thickTop="1">
      <c r="A156" s="3695"/>
      <c r="B156" s="3130" t="s">
        <v>3917</v>
      </c>
      <c r="C156" s="3130"/>
      <c r="D156" s="3973"/>
      <c r="E156" s="3988"/>
      <c r="F156" s="3988"/>
      <c r="G156" s="3988"/>
      <c r="H156" s="3989"/>
      <c r="I156" s="3988"/>
      <c r="J156" s="3992"/>
      <c r="K156" s="3990"/>
      <c r="L156" s="3990"/>
      <c r="M156" s="3990"/>
      <c r="N156" s="3990"/>
      <c r="O156" s="3990"/>
      <c r="P156" s="3990"/>
      <c r="Q156" s="3990"/>
      <c r="R156" s="3990"/>
      <c r="S156" s="3990"/>
      <c r="T156" s="3990"/>
      <c r="U156" s="3990"/>
      <c r="V156" s="3990"/>
    </row>
    <row r="157" spans="1:22" ht="15" customHeight="1">
      <c r="A157" s="3695"/>
      <c r="B157" s="3129" t="s">
        <v>3918</v>
      </c>
      <c r="C157" s="3129"/>
      <c r="D157" s="3973"/>
      <c r="E157" s="3988">
        <v>-37531000</v>
      </c>
      <c r="F157" s="3988">
        <v>-34169221.82</v>
      </c>
      <c r="G157" s="3988">
        <v>-29659987.68</v>
      </c>
      <c r="H157" s="3989">
        <v>-50594760.172121502</v>
      </c>
      <c r="I157" s="3988">
        <v>-31567438.960000001</v>
      </c>
      <c r="J157" s="3992">
        <v>-39243835.643182896</v>
      </c>
      <c r="K157" s="3990">
        <v>-29284242.445895731</v>
      </c>
      <c r="L157" s="3990">
        <v>-42728856.889334276</v>
      </c>
      <c r="M157" s="3990">
        <v>-42605501.517846406</v>
      </c>
      <c r="N157" s="3990">
        <v>-43003175.658256829</v>
      </c>
      <c r="O157" s="3990">
        <v>-42383737.386557333</v>
      </c>
      <c r="P157" s="3990">
        <v>-45805755.39642445</v>
      </c>
      <c r="Q157" s="3990">
        <v>-43839022.096179523</v>
      </c>
      <c r="R157" s="3990">
        <v>-41096877.96943821</v>
      </c>
      <c r="S157" s="3990">
        <v>-39114143.486110806</v>
      </c>
      <c r="T157" s="3990">
        <v>-36669853.803837925</v>
      </c>
      <c r="U157" s="3990">
        <v>-33350203.073292077</v>
      </c>
      <c r="V157" s="3990">
        <v>-28579118.664007921</v>
      </c>
    </row>
    <row r="158" spans="1:22" ht="15" customHeight="1">
      <c r="A158" s="3695"/>
      <c r="B158" s="3129" t="s">
        <v>2042</v>
      </c>
      <c r="C158" s="3129"/>
      <c r="D158" s="3973"/>
      <c r="E158" s="3988">
        <v>-7536223.2300000004</v>
      </c>
      <c r="F158" s="3988">
        <f>-F136</f>
        <v>11966255.630000001</v>
      </c>
      <c r="G158" s="3988">
        <v>22766657.059999999</v>
      </c>
      <c r="H158" s="3989">
        <v>14616855.670935536</v>
      </c>
      <c r="I158" s="3988">
        <f t="shared" ref="I158:V158" si="67">-I136</f>
        <v>13222301.92</v>
      </c>
      <c r="J158" s="3992">
        <v>19797974.36389247</v>
      </c>
      <c r="K158" s="3990">
        <f t="shared" si="67"/>
        <v>18881042.1085</v>
      </c>
      <c r="L158" s="3990">
        <f t="shared" si="67"/>
        <v>3771216.7979882499</v>
      </c>
      <c r="M158" s="3990">
        <f t="shared" si="67"/>
        <v>6481437.273579197</v>
      </c>
      <c r="N158" s="3990">
        <f t="shared" si="67"/>
        <v>13491703.741310302</v>
      </c>
      <c r="O158" s="3990">
        <f t="shared" si="67"/>
        <v>2302016.4081461993</v>
      </c>
      <c r="P158" s="3990">
        <f t="shared" si="67"/>
        <v>2312375.481982857</v>
      </c>
      <c r="Q158" s="3990">
        <f t="shared" si="67"/>
        <v>2322781.1716517797</v>
      </c>
      <c r="R158" s="3990">
        <f t="shared" si="67"/>
        <v>2333233.6869242126</v>
      </c>
      <c r="S158" s="3990">
        <f t="shared" si="67"/>
        <v>2343733.2385153715</v>
      </c>
      <c r="T158" s="3990">
        <f t="shared" si="67"/>
        <v>2354280.0380886905</v>
      </c>
      <c r="U158" s="3990">
        <f t="shared" si="67"/>
        <v>2364874.2982600895</v>
      </c>
      <c r="V158" s="3990">
        <f t="shared" si="67"/>
        <v>2375516.2326022596</v>
      </c>
    </row>
    <row r="159" spans="1:22" s="3985" customFormat="1" ht="15" customHeight="1" thickBot="1">
      <c r="A159" s="3695"/>
      <c r="B159" s="3130" t="s">
        <v>3919</v>
      </c>
      <c r="C159" s="3130"/>
      <c r="D159" s="4102"/>
      <c r="E159" s="4091">
        <f t="shared" ref="E159:V159" si="68">+E155+E157+E158</f>
        <v>41918097.960000008</v>
      </c>
      <c r="F159" s="4091">
        <f t="shared" si="68"/>
        <v>66715383.219999984</v>
      </c>
      <c r="G159" s="4091">
        <v>51856193.249999985</v>
      </c>
      <c r="H159" s="4092">
        <v>60544796.359698519</v>
      </c>
      <c r="I159" s="4091">
        <f t="shared" si="68"/>
        <v>73386847.159999982</v>
      </c>
      <c r="J159" s="4092">
        <f t="shared" si="68"/>
        <v>87861557.037785113</v>
      </c>
      <c r="K159" s="4093">
        <f t="shared" si="68"/>
        <v>81910592.877750158</v>
      </c>
      <c r="L159" s="4093">
        <f t="shared" si="68"/>
        <v>54232733.778398812</v>
      </c>
      <c r="M159" s="4093">
        <f t="shared" si="68"/>
        <v>50396529.647974625</v>
      </c>
      <c r="N159" s="4093">
        <f t="shared" si="68"/>
        <v>57481445.075056285</v>
      </c>
      <c r="O159" s="4093">
        <f t="shared" si="68"/>
        <v>53173426.00393144</v>
      </c>
      <c r="P159" s="4093">
        <f t="shared" si="68"/>
        <v>57862114.286825784</v>
      </c>
      <c r="Q159" s="4093">
        <f t="shared" si="68"/>
        <v>75181832.55680725</v>
      </c>
      <c r="R159" s="4093">
        <f t="shared" si="68"/>
        <v>80784483.68836011</v>
      </c>
      <c r="S159" s="4093">
        <f t="shared" si="68"/>
        <v>90162281.540280253</v>
      </c>
      <c r="T159" s="4093">
        <f t="shared" si="68"/>
        <v>89382956.508306727</v>
      </c>
      <c r="U159" s="4093">
        <f t="shared" si="68"/>
        <v>92701184.574068606</v>
      </c>
      <c r="V159" s="4093">
        <f t="shared" si="68"/>
        <v>93016386.117542595</v>
      </c>
    </row>
    <row r="160" spans="1:22" s="3985" customFormat="1" ht="15" hidden="1" customHeight="1" thickTop="1">
      <c r="A160" s="3695"/>
      <c r="B160" s="3130"/>
      <c r="C160" s="3130"/>
      <c r="D160" s="4102"/>
      <c r="E160" s="4180"/>
      <c r="F160" s="4180"/>
      <c r="G160" s="4180"/>
      <c r="H160" s="4181"/>
      <c r="I160" s="4182"/>
      <c r="J160" s="4047"/>
      <c r="K160" s="4047"/>
      <c r="L160" s="4047"/>
      <c r="M160" s="4047"/>
      <c r="N160" s="4047"/>
      <c r="O160" s="4047"/>
      <c r="P160" s="4047"/>
      <c r="Q160" s="4047"/>
      <c r="R160" s="4047"/>
      <c r="S160" s="4047"/>
      <c r="T160" s="4047"/>
      <c r="U160" s="4047"/>
      <c r="V160" s="4047"/>
    </row>
    <row r="161" spans="1:22" s="3985" customFormat="1" ht="15" hidden="1" customHeight="1">
      <c r="A161" s="3695"/>
      <c r="B161" s="3985" t="s">
        <v>3920</v>
      </c>
      <c r="D161" s="4033"/>
      <c r="E161" s="4183"/>
      <c r="F161" s="4183"/>
      <c r="G161" s="3988"/>
      <c r="H161" s="3989"/>
      <c r="I161" s="3988"/>
      <c r="J161" s="4184"/>
      <c r="K161" s="4185"/>
      <c r="L161" s="4185"/>
      <c r="M161" s="4185"/>
      <c r="N161" s="4185"/>
      <c r="O161" s="4185"/>
      <c r="P161" s="4047"/>
      <c r="Q161" s="4047"/>
      <c r="R161" s="4047"/>
      <c r="S161" s="4047"/>
      <c r="T161" s="4047"/>
      <c r="U161" s="4047"/>
      <c r="V161" s="4047"/>
    </row>
    <row r="162" spans="1:22" s="3985" customFormat="1" ht="15" hidden="1" customHeight="1">
      <c r="A162" s="3695"/>
      <c r="B162" s="3985" t="s">
        <v>3921</v>
      </c>
      <c r="D162" s="3958"/>
      <c r="E162" s="3958"/>
      <c r="F162" s="3958"/>
      <c r="G162" s="3988">
        <v>194295139.85012001</v>
      </c>
      <c r="H162" s="3989">
        <v>159502391</v>
      </c>
      <c r="I162" s="3988">
        <v>162854141.08000001</v>
      </c>
      <c r="J162" s="4001">
        <v>177251387.69327298</v>
      </c>
      <c r="K162" s="4002">
        <v>207775734.01999998</v>
      </c>
      <c r="L162" s="4002">
        <v>265966289.91653779</v>
      </c>
      <c r="M162" s="4002">
        <v>218554722.86586004</v>
      </c>
      <c r="N162" s="4002">
        <v>230071826.57938433</v>
      </c>
      <c r="O162" s="4002">
        <v>241688142.4769392</v>
      </c>
      <c r="P162" s="4047"/>
      <c r="Q162" s="4047"/>
      <c r="R162" s="4047"/>
      <c r="S162" s="4047"/>
      <c r="T162" s="4047"/>
      <c r="U162" s="4047"/>
      <c r="V162" s="4047"/>
    </row>
    <row r="163" spans="1:22" s="3985" customFormat="1" ht="15" hidden="1" customHeight="1">
      <c r="A163" s="3695"/>
      <c r="B163" s="4186" t="s">
        <v>3928</v>
      </c>
      <c r="C163" s="4186"/>
      <c r="D163" s="3958"/>
      <c r="E163" s="3958"/>
      <c r="F163" s="3958"/>
      <c r="G163" s="3988">
        <v>51856193.249999985</v>
      </c>
      <c r="H163" s="3989">
        <v>60544796.359698519</v>
      </c>
      <c r="I163" s="3988">
        <v>73386847.159999982</v>
      </c>
      <c r="J163" s="4038">
        <v>87861557.037785113</v>
      </c>
      <c r="K163" s="4024">
        <v>81910592.877750158</v>
      </c>
      <c r="L163" s="4024">
        <v>54232733.778398812</v>
      </c>
      <c r="M163" s="4024">
        <v>50396529.647974625</v>
      </c>
      <c r="N163" s="4024">
        <v>57481445.075056285</v>
      </c>
      <c r="O163" s="4024">
        <v>53173426.00393144</v>
      </c>
      <c r="P163" s="4047"/>
      <c r="Q163" s="4047"/>
      <c r="R163" s="4047"/>
      <c r="S163" s="4047"/>
      <c r="T163" s="4047"/>
      <c r="U163" s="4047"/>
      <c r="V163" s="4047"/>
    </row>
    <row r="164" spans="1:22" s="3985" customFormat="1" ht="15" hidden="1" customHeight="1">
      <c r="A164" s="3695"/>
      <c r="B164" s="4186" t="s">
        <v>3922</v>
      </c>
      <c r="C164" s="4186"/>
      <c r="D164" s="3958"/>
      <c r="E164" s="3958"/>
      <c r="F164" s="3958"/>
      <c r="G164" s="3988">
        <v>-1916061</v>
      </c>
      <c r="H164" s="3989">
        <v>-1000000</v>
      </c>
      <c r="I164" s="3988">
        <v>0</v>
      </c>
      <c r="J164" s="4038">
        <v>-2041374.6360628144</v>
      </c>
      <c r="K164" s="4024">
        <v>-1346163.4404775053</v>
      </c>
      <c r="L164" s="4024">
        <v>-1437196.763748236</v>
      </c>
      <c r="M164" s="4024">
        <v>-1490237.0676641085</v>
      </c>
      <c r="N164" s="4024">
        <v>-1550257.274510982</v>
      </c>
      <c r="O164" s="4024">
        <v>-1600473.1982036843</v>
      </c>
      <c r="P164" s="4047"/>
      <c r="Q164" s="4047"/>
      <c r="R164" s="4047"/>
      <c r="S164" s="4047"/>
      <c r="T164" s="4047"/>
      <c r="U164" s="4047"/>
      <c r="V164" s="4047"/>
    </row>
    <row r="165" spans="1:22" s="3985" customFormat="1" ht="15" hidden="1" customHeight="1">
      <c r="A165" s="3695"/>
      <c r="B165" s="4186" t="s">
        <v>3923</v>
      </c>
      <c r="C165" s="4186"/>
      <c r="D165" s="3958"/>
      <c r="E165" s="3958"/>
      <c r="F165" s="4036"/>
      <c r="G165" s="3988">
        <v>48267384.229999997</v>
      </c>
      <c r="H165" s="3989">
        <v>54659906.71374505</v>
      </c>
      <c r="I165" s="3988">
        <v>56985065.780000001</v>
      </c>
      <c r="J165" s="4038">
        <v>54880438.459376901</v>
      </c>
      <c r="K165" s="4024">
        <v>54479431.961961009</v>
      </c>
      <c r="L165" s="4024">
        <v>58846589.573789805</v>
      </c>
      <c r="M165" s="4024">
        <v>66135089.99432601</v>
      </c>
      <c r="N165" s="4024">
        <v>70175005.485906765</v>
      </c>
      <c r="O165" s="4024">
        <v>73530416.274393797</v>
      </c>
      <c r="P165" s="4047"/>
      <c r="Q165" s="4047"/>
      <c r="R165" s="4047"/>
      <c r="S165" s="4047"/>
      <c r="T165" s="4047"/>
      <c r="U165" s="4047"/>
      <c r="V165" s="4047"/>
    </row>
    <row r="166" spans="1:22" s="3985" customFormat="1" ht="15" hidden="1" customHeight="1">
      <c r="A166" s="3695"/>
      <c r="B166" s="4186" t="s">
        <v>614</v>
      </c>
      <c r="C166" s="4186"/>
      <c r="D166" s="3958"/>
      <c r="E166" s="3958"/>
      <c r="F166" s="4036"/>
      <c r="G166" s="3988">
        <v>-41885530</v>
      </c>
      <c r="H166" s="3989">
        <v>-40750418.165174067</v>
      </c>
      <c r="I166" s="3988">
        <v>-40895320.000000007</v>
      </c>
      <c r="J166" s="4038">
        <v>-43777404.634073041</v>
      </c>
      <c r="K166" s="4024">
        <v>-37789326.240000017</v>
      </c>
      <c r="L166" s="4024">
        <v>-33632171.770607799</v>
      </c>
      <c r="M166" s="4024">
        <v>-43590400.560705826</v>
      </c>
      <c r="N166" s="4024">
        <v>-45358906.263341814</v>
      </c>
      <c r="O166" s="4024">
        <v>-46576161.319841594</v>
      </c>
      <c r="P166" s="4047"/>
      <c r="Q166" s="4047"/>
      <c r="R166" s="4047"/>
      <c r="S166" s="4047"/>
      <c r="T166" s="4047"/>
      <c r="U166" s="4047"/>
      <c r="V166" s="4047"/>
    </row>
    <row r="167" spans="1:22" s="3985" customFormat="1" ht="15" hidden="1" customHeight="1">
      <c r="A167" s="3695"/>
      <c r="B167" s="4186" t="s">
        <v>3924</v>
      </c>
      <c r="C167" s="4186"/>
      <c r="D167" s="3958"/>
      <c r="E167" s="3958"/>
      <c r="F167" s="4036"/>
      <c r="G167" s="3988">
        <v>-29761614</v>
      </c>
      <c r="H167" s="3989">
        <v>-12307963</v>
      </c>
      <c r="I167" s="3988">
        <v>-10000000</v>
      </c>
      <c r="J167" s="4038">
        <v>-4046828.9147420079</v>
      </c>
      <c r="K167" s="4024">
        <v>-3728979.2626958187</v>
      </c>
      <c r="L167" s="4024">
        <v>-19299537.898900956</v>
      </c>
      <c r="M167" s="4024">
        <v>-55761096.780477867</v>
      </c>
      <c r="N167" s="4024">
        <v>-52719294.060464561</v>
      </c>
      <c r="O167" s="4024">
        <v>-29345320.730032656</v>
      </c>
      <c r="P167" s="4047"/>
      <c r="Q167" s="4047"/>
      <c r="R167" s="4047"/>
      <c r="S167" s="4047"/>
      <c r="T167" s="4047"/>
      <c r="U167" s="4047"/>
      <c r="V167" s="4047"/>
    </row>
    <row r="168" spans="1:22" s="3985" customFormat="1" ht="15" hidden="1" customHeight="1">
      <c r="A168" s="3695"/>
      <c r="B168" s="4186" t="s">
        <v>3925</v>
      </c>
      <c r="C168" s="4186"/>
      <c r="D168" s="3958"/>
      <c r="E168" s="3958"/>
      <c r="F168" s="3958"/>
      <c r="G168" s="4187">
        <v>-45500000</v>
      </c>
      <c r="H168" s="4188">
        <v>-50000000</v>
      </c>
      <c r="I168" s="4187">
        <v>-34555000</v>
      </c>
      <c r="J168" s="4017">
        <v>-109420039.64366516</v>
      </c>
      <c r="K168" s="4018">
        <v>-35335000</v>
      </c>
      <c r="L168" s="4018">
        <v>-106121983.96960936</v>
      </c>
      <c r="M168" s="4018">
        <v>-4172781.5199285746</v>
      </c>
      <c r="N168" s="4018">
        <v>-16411677.065090813</v>
      </c>
      <c r="O168" s="4018">
        <v>-36990438.512595937</v>
      </c>
      <c r="P168" s="4047"/>
      <c r="Q168" s="4047"/>
      <c r="R168" s="4047"/>
      <c r="S168" s="4047"/>
      <c r="T168" s="4047"/>
      <c r="U168" s="4047"/>
      <c r="V168" s="4047"/>
    </row>
    <row r="169" spans="1:22" s="3985" customFormat="1" ht="15" hidden="1" customHeight="1">
      <c r="A169" s="3695"/>
      <c r="B169" s="4186" t="s">
        <v>3929</v>
      </c>
      <c r="C169" s="4186"/>
      <c r="D169" s="3958"/>
      <c r="E169" s="3958"/>
      <c r="F169" s="3958"/>
      <c r="G169" s="4189">
        <v>-18939627.520000011</v>
      </c>
      <c r="H169" s="4190">
        <v>11146321.908269495</v>
      </c>
      <c r="I169" s="4189">
        <f>SUM(I163:I168)</f>
        <v>44921592.939999968</v>
      </c>
      <c r="J169" s="4001">
        <f t="shared" ref="J169:O169" si="69">SUM(J163:J168)</f>
        <v>-16543652.331381038</v>
      </c>
      <c r="K169" s="4002">
        <f t="shared" si="69"/>
        <v>58190555.89653784</v>
      </c>
      <c r="L169" s="4002">
        <f t="shared" si="69"/>
        <v>-47411567.050677732</v>
      </c>
      <c r="M169" s="4002">
        <f t="shared" si="69"/>
        <v>11517103.713524252</v>
      </c>
      <c r="N169" s="4002">
        <f t="shared" si="69"/>
        <v>11616315.897554882</v>
      </c>
      <c r="O169" s="4002">
        <f t="shared" si="69"/>
        <v>12191448.517651364</v>
      </c>
      <c r="P169" s="4047"/>
      <c r="Q169" s="4047"/>
      <c r="R169" s="4047"/>
      <c r="S169" s="4047"/>
      <c r="T169" s="4047"/>
      <c r="U169" s="4047"/>
      <c r="V169" s="4047"/>
    </row>
    <row r="170" spans="1:22" s="3985" customFormat="1" ht="15" hidden="1" customHeight="1" thickBot="1">
      <c r="A170" s="3695"/>
      <c r="B170" s="3985" t="s">
        <v>3930</v>
      </c>
      <c r="D170" s="3958"/>
      <c r="E170" s="3958"/>
      <c r="F170" s="3958"/>
      <c r="G170" s="4091">
        <v>175355512.33012</v>
      </c>
      <c r="H170" s="4179">
        <v>170648712.90826949</v>
      </c>
      <c r="I170" s="4091">
        <f t="shared" ref="I170:O170" si="70">+I162+I169</f>
        <v>207775734.01999998</v>
      </c>
      <c r="J170" s="3995">
        <f t="shared" si="70"/>
        <v>160707735.36189193</v>
      </c>
      <c r="K170" s="3996">
        <f t="shared" si="70"/>
        <v>265966289.91653782</v>
      </c>
      <c r="L170" s="3996">
        <f t="shared" si="70"/>
        <v>218554722.86586004</v>
      </c>
      <c r="M170" s="3996">
        <f t="shared" si="70"/>
        <v>230071826.5793843</v>
      </c>
      <c r="N170" s="3996">
        <f t="shared" si="70"/>
        <v>241688142.4769392</v>
      </c>
      <c r="O170" s="3996">
        <f t="shared" si="70"/>
        <v>253879590.99459058</v>
      </c>
      <c r="P170" s="4047"/>
      <c r="Q170" s="4047"/>
      <c r="R170" s="4047"/>
      <c r="S170" s="4047"/>
      <c r="T170" s="4047"/>
      <c r="U170" s="4047"/>
      <c r="V170" s="4047"/>
    </row>
    <row r="171" spans="1:22" s="3985" customFormat="1" ht="15" hidden="1" customHeight="1" thickTop="1">
      <c r="A171" s="3695"/>
      <c r="B171" s="4191" t="s">
        <v>3926</v>
      </c>
      <c r="C171" s="4191"/>
      <c r="D171" s="4082"/>
      <c r="E171" s="3959"/>
      <c r="F171" s="3959"/>
      <c r="G171" s="3129"/>
      <c r="H171" s="4192"/>
      <c r="I171" s="3129"/>
      <c r="J171" s="3129"/>
      <c r="K171" s="3990"/>
      <c r="L171" s="3129"/>
      <c r="M171" s="3129"/>
      <c r="N171" s="3129"/>
      <c r="O171" s="3129"/>
      <c r="P171" s="4047"/>
      <c r="Q171" s="4047"/>
      <c r="R171" s="4047"/>
      <c r="S171" s="4047"/>
      <c r="T171" s="4047"/>
      <c r="U171" s="4047"/>
      <c r="V171" s="4047"/>
    </row>
    <row r="172" spans="1:22" s="3985" customFormat="1" ht="15" customHeight="1" thickTop="1">
      <c r="A172" s="3695"/>
      <c r="B172" s="3130"/>
      <c r="C172" s="3130"/>
      <c r="D172" s="4102"/>
      <c r="E172" s="4182"/>
      <c r="F172" s="4182"/>
      <c r="G172" s="4182"/>
      <c r="H172" s="4047"/>
      <c r="I172" s="4047"/>
      <c r="J172" s="4047"/>
      <c r="K172" s="4047"/>
      <c r="L172" s="4047"/>
      <c r="M172" s="4047"/>
      <c r="N172" s="4047"/>
      <c r="O172" s="4047"/>
      <c r="P172" s="4047"/>
      <c r="Q172" s="4047"/>
      <c r="R172" s="4047"/>
      <c r="S172" s="4047"/>
      <c r="T172" s="4047"/>
      <c r="U172" s="4047"/>
      <c r="V172" s="4047"/>
    </row>
    <row r="173" spans="1:22" ht="15" customHeight="1">
      <c r="B173" s="4198" t="s">
        <v>2794</v>
      </c>
      <c r="C173" s="3958"/>
      <c r="D173" s="3958"/>
      <c r="E173" s="3958"/>
      <c r="F173" s="3958"/>
      <c r="G173" s="4197">
        <f>F40-G40</f>
        <v>45500000</v>
      </c>
      <c r="H173" s="3958"/>
      <c r="I173" s="4197">
        <f>G40-I40</f>
        <v>34555000</v>
      </c>
      <c r="J173" s="4193"/>
      <c r="K173" s="4197">
        <f>I40-K40</f>
        <v>34315000</v>
      </c>
      <c r="L173" s="4197">
        <f>K40-L40</f>
        <v>105096983.96960938</v>
      </c>
      <c r="M173" s="4197">
        <f t="shared" ref="M173:V173" si="71">L40-M40</f>
        <v>835616.02548962831</v>
      </c>
      <c r="N173" s="4197">
        <f t="shared" si="71"/>
        <v>12779423.842710853</v>
      </c>
      <c r="O173" s="4197">
        <f t="shared" si="71"/>
        <v>32953873.332300603</v>
      </c>
      <c r="P173" s="4197">
        <f t="shared" si="71"/>
        <v>46846074.691832542</v>
      </c>
      <c r="Q173" s="4197">
        <f t="shared" si="71"/>
        <v>55595710.27046752</v>
      </c>
      <c r="R173" s="4197">
        <f t="shared" si="71"/>
        <v>52709542.54359597</v>
      </c>
      <c r="S173" s="4197">
        <f t="shared" si="71"/>
        <v>67966769.61636883</v>
      </c>
      <c r="T173" s="4197">
        <f t="shared" si="71"/>
        <v>64522442.324580431</v>
      </c>
      <c r="U173" s="4197">
        <f t="shared" si="71"/>
        <v>46260230.289759874</v>
      </c>
      <c r="V173" s="4197">
        <f t="shared" si="71"/>
        <v>51820992.082190633</v>
      </c>
    </row>
    <row r="174" spans="1:22">
      <c r="B174" s="4198" t="s">
        <v>3931</v>
      </c>
      <c r="C174" s="3958"/>
      <c r="D174" s="3958"/>
      <c r="E174" s="3958"/>
      <c r="F174" s="3958"/>
      <c r="G174" s="3958"/>
      <c r="H174" s="3958"/>
      <c r="I174" s="3958"/>
      <c r="J174" s="4193"/>
      <c r="K174" s="4197">
        <v>35335000</v>
      </c>
      <c r="L174" s="4197">
        <v>106121983.96960936</v>
      </c>
      <c r="M174" s="4197">
        <v>4172781.5199285746</v>
      </c>
      <c r="N174" s="4197">
        <v>16411677.065090813</v>
      </c>
      <c r="O174" s="4197">
        <v>36990438.512595937</v>
      </c>
      <c r="P174" s="4197">
        <v>51683845.665016912</v>
      </c>
      <c r="Q174" s="4197">
        <v>61531920.174395382</v>
      </c>
      <c r="R174" s="4197">
        <v>59966721.080274932</v>
      </c>
      <c r="S174" s="4197">
        <v>76577647.876096815</v>
      </c>
      <c r="T174" s="4197">
        <v>74839742.767751023</v>
      </c>
      <c r="U174" s="4197">
        <v>58333422.783343986</v>
      </c>
      <c r="V174" s="4197">
        <v>65417602.986550935</v>
      </c>
    </row>
  </sheetData>
  <dataConsolidate link="1"/>
  <conditionalFormatting sqref="E88">
    <cfRule type="expression" dxfId="47" priority="56">
      <formula>$E$88-$E$60=0</formula>
    </cfRule>
  </conditionalFormatting>
  <printOptions horizontalCentered="1"/>
  <pageMargins left="0.25" right="0.25" top="0.75" bottom="0.25" header="0.3" footer="0.05"/>
  <pageSetup scale="15" orientation="landscape" r:id="rId1"/>
  <headerFooter>
    <oddHeader xml:space="preserve">&amp;L&amp;D&amp;C&amp;15Grant PUD
Summary of Consolidated Forecasted Financial Results&amp;Rdollars are in thousands 
($000)
</oddHeader>
    <oddFooter>&amp;C&amp;Z&amp;F</oddFooter>
  </headerFooter>
  <rowBreaks count="2" manualBreakCount="2">
    <brk id="78" max="16383" man="1"/>
    <brk id="143" min="1" max="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Q91"/>
  <sheetViews>
    <sheetView zoomScale="85" zoomScaleNormal="85" workbookViewId="0">
      <pane xSplit="1" ySplit="4" topLeftCell="B5" activePane="bottomRight" state="frozen"/>
      <selection activeCell="A23" sqref="A23"/>
      <selection pane="topRight" activeCell="A23" sqref="A23"/>
      <selection pane="bottomLeft" activeCell="A23" sqref="A23"/>
      <selection pane="bottomRight" activeCell="P1" sqref="P1:P1048576"/>
    </sheetView>
  </sheetViews>
  <sheetFormatPr defaultRowHeight="15"/>
  <cols>
    <col min="1" max="1" width="40.125" style="1520" customWidth="1"/>
    <col min="2" max="2" width="16.625" style="1520" customWidth="1"/>
    <col min="3" max="3" width="12.25" style="1520" customWidth="1"/>
    <col min="4" max="15" width="11.875" style="1520" customWidth="1"/>
    <col min="16" max="16" width="8.75" style="1520" bestFit="1" customWidth="1"/>
    <col min="17" max="17" width="11.75" style="1520" bestFit="1" customWidth="1"/>
    <col min="18" max="16384" width="9" style="1520"/>
  </cols>
  <sheetData>
    <row r="1" spans="1:17">
      <c r="A1" s="3142" t="s">
        <v>2181</v>
      </c>
      <c r="B1" s="3142" t="s">
        <v>3971</v>
      </c>
    </row>
    <row r="2" spans="1:17">
      <c r="A2" s="3142" t="s">
        <v>3490</v>
      </c>
      <c r="B2" s="3142" t="s">
        <v>3491</v>
      </c>
    </row>
    <row r="4" spans="1:17">
      <c r="B4" s="2159">
        <v>2013</v>
      </c>
      <c r="C4" s="2159">
        <v>2014</v>
      </c>
      <c r="D4" s="2159">
        <v>2015</v>
      </c>
      <c r="E4" s="2159">
        <v>2016</v>
      </c>
      <c r="F4" s="2159">
        <v>2017</v>
      </c>
      <c r="G4" s="2159">
        <v>2018</v>
      </c>
      <c r="H4" s="2159">
        <v>2019</v>
      </c>
      <c r="I4" s="2159">
        <v>2020</v>
      </c>
      <c r="J4" s="2159">
        <v>2021</v>
      </c>
      <c r="K4" s="2159">
        <v>2022</v>
      </c>
      <c r="L4" s="2159">
        <v>2023</v>
      </c>
      <c r="M4" s="2159">
        <v>2024</v>
      </c>
      <c r="N4" s="2159">
        <v>2025</v>
      </c>
      <c r="O4" s="2159">
        <v>2026</v>
      </c>
    </row>
    <row r="5" spans="1:17" ht="30" customHeight="1">
      <c r="A5" s="1647" t="s">
        <v>861</v>
      </c>
      <c r="B5" s="1647"/>
    </row>
    <row r="6" spans="1:17">
      <c r="A6" s="1520" t="s">
        <v>2051</v>
      </c>
    </row>
    <row r="7" spans="1:17">
      <c r="A7" s="1520" t="s">
        <v>2903</v>
      </c>
      <c r="B7" s="2433">
        <v>79362805.569999993</v>
      </c>
      <c r="C7" s="2460">
        <f>C54</f>
        <v>0</v>
      </c>
      <c r="D7" s="2460">
        <f>D38</f>
        <v>0</v>
      </c>
      <c r="E7" s="2460">
        <f>E38</f>
        <v>47969852.579858921</v>
      </c>
      <c r="F7" s="2460">
        <f>F38</f>
        <v>35594377.538601264</v>
      </c>
      <c r="G7" s="2460">
        <f>G38</f>
        <v>23944763.423588555</v>
      </c>
      <c r="H7" s="2460">
        <f t="shared" ref="H7:O7" si="0">H38</f>
        <v>22216055.701018848</v>
      </c>
      <c r="I7" s="2460">
        <f t="shared" si="0"/>
        <v>42141059.291625708</v>
      </c>
      <c r="J7" s="2460">
        <f t="shared" si="0"/>
        <v>105419376.3092228</v>
      </c>
      <c r="K7" s="2460">
        <f t="shared" si="0"/>
        <v>113867419.68582402</v>
      </c>
      <c r="L7" s="2460">
        <f t="shared" si="0"/>
        <v>115089151.32321164</v>
      </c>
      <c r="M7" s="2460">
        <f t="shared" si="0"/>
        <v>119409298.90224025</v>
      </c>
      <c r="N7" s="2460">
        <f t="shared" si="0"/>
        <v>119090226.76333712</v>
      </c>
      <c r="O7" s="2460">
        <f t="shared" si="0"/>
        <v>125251775.10137782</v>
      </c>
    </row>
    <row r="8" spans="1:17">
      <c r="A8" s="1520" t="s">
        <v>2904</v>
      </c>
      <c r="B8" s="1523"/>
      <c r="C8" s="2461">
        <f>+C73</f>
        <v>0</v>
      </c>
      <c r="D8" s="2461">
        <f t="shared" ref="D8:O8" si="1">+D73</f>
        <v>0</v>
      </c>
      <c r="E8" s="2461">
        <f t="shared" si="1"/>
        <v>106500</v>
      </c>
      <c r="F8" s="2461">
        <f t="shared" si="1"/>
        <v>398000</v>
      </c>
      <c r="G8" s="2461">
        <f t="shared" si="1"/>
        <v>698000</v>
      </c>
      <c r="H8" s="2461">
        <f t="shared" si="1"/>
        <v>698000</v>
      </c>
      <c r="I8" s="2461">
        <f t="shared" si="1"/>
        <v>1031333</v>
      </c>
      <c r="J8" s="2461">
        <f t="shared" si="1"/>
        <v>1698000</v>
      </c>
      <c r="K8" s="2461">
        <f t="shared" si="1"/>
        <v>1698000</v>
      </c>
      <c r="L8" s="2461">
        <f t="shared" si="1"/>
        <v>1698000</v>
      </c>
      <c r="M8" s="2461">
        <f t="shared" si="1"/>
        <v>1698000</v>
      </c>
      <c r="N8" s="2461">
        <f t="shared" si="1"/>
        <v>1698000</v>
      </c>
      <c r="O8" s="2461">
        <f t="shared" si="1"/>
        <v>1698000</v>
      </c>
    </row>
    <row r="9" spans="1:17">
      <c r="A9" s="4300" t="s">
        <v>3927</v>
      </c>
      <c r="B9" s="1578"/>
      <c r="C9" s="2419">
        <v>0</v>
      </c>
      <c r="D9" s="2419"/>
      <c r="E9" s="2419">
        <v>8438846</v>
      </c>
      <c r="F9" s="2419">
        <v>13632582</v>
      </c>
      <c r="G9" s="2419">
        <v>17541713</v>
      </c>
      <c r="H9" s="2419">
        <v>15892585</v>
      </c>
      <c r="I9" s="2419">
        <v>1460884</v>
      </c>
      <c r="J9" s="2419"/>
      <c r="K9" s="2419"/>
      <c r="L9" s="2419"/>
      <c r="M9" s="2419"/>
      <c r="N9" s="2419"/>
      <c r="O9" s="2419"/>
      <c r="P9" s="2462"/>
      <c r="Q9" s="1584"/>
    </row>
    <row r="10" spans="1:17">
      <c r="A10" s="2517" t="s">
        <v>1997</v>
      </c>
      <c r="B10" s="1584"/>
      <c r="C10" s="2518">
        <f>SUM(C7:C9)</f>
        <v>0</v>
      </c>
      <c r="D10" s="2518">
        <f t="shared" ref="D10:O10" si="2">SUM(D7:D9)</f>
        <v>0</v>
      </c>
      <c r="E10" s="2518">
        <f t="shared" si="2"/>
        <v>56515198.579858921</v>
      </c>
      <c r="F10" s="2518">
        <f t="shared" si="2"/>
        <v>49624959.538601264</v>
      </c>
      <c r="G10" s="2518">
        <f t="shared" si="2"/>
        <v>42184476.423588559</v>
      </c>
      <c r="H10" s="2518">
        <f t="shared" si="2"/>
        <v>38806640.701018848</v>
      </c>
      <c r="I10" s="2518">
        <f t="shared" si="2"/>
        <v>44633276.291625708</v>
      </c>
      <c r="J10" s="2518">
        <f t="shared" si="2"/>
        <v>107117376.3092228</v>
      </c>
      <c r="K10" s="2518">
        <f t="shared" si="2"/>
        <v>115565419.68582402</v>
      </c>
      <c r="L10" s="2518">
        <f t="shared" si="2"/>
        <v>116787151.32321164</v>
      </c>
      <c r="M10" s="2518">
        <f t="shared" si="2"/>
        <v>121107298.90224025</v>
      </c>
      <c r="N10" s="2518">
        <f t="shared" si="2"/>
        <v>120788226.76333712</v>
      </c>
      <c r="O10" s="2518">
        <f t="shared" si="2"/>
        <v>126949775.10137782</v>
      </c>
      <c r="P10" s="1584"/>
      <c r="Q10" s="2447"/>
    </row>
    <row r="11" spans="1:17" ht="30" customHeight="1">
      <c r="A11" s="1647" t="s">
        <v>2905</v>
      </c>
      <c r="B11" s="1647"/>
    </row>
    <row r="12" spans="1:17">
      <c r="A12" s="1520" t="s">
        <v>2906</v>
      </c>
      <c r="C12" s="2413">
        <f>C21</f>
        <v>320000</v>
      </c>
      <c r="D12" s="2413">
        <f>D21</f>
        <v>342000</v>
      </c>
      <c r="E12" s="2413">
        <f>E21</f>
        <v>0.30440000025555491</v>
      </c>
      <c r="F12" s="2413">
        <f>F21</f>
        <v>-0.34545600047567859</v>
      </c>
      <c r="G12" s="2413">
        <f>G21</f>
        <v>0.19048948906129226</v>
      </c>
      <c r="H12" s="2413">
        <f t="shared" ref="H12:O12" si="3">H21</f>
        <v>-0.49331974721280858</v>
      </c>
      <c r="I12" s="2413">
        <f t="shared" si="3"/>
        <v>6.3735854520928115E-2</v>
      </c>
      <c r="J12" s="2413">
        <f t="shared" si="3"/>
        <v>56600139.461584315</v>
      </c>
      <c r="K12" s="2413">
        <f t="shared" si="3"/>
        <v>59455258.945349813</v>
      </c>
      <c r="L12" s="2413">
        <f t="shared" si="3"/>
        <v>58210106.724317424</v>
      </c>
      <c r="M12" s="2413">
        <f t="shared" si="3"/>
        <v>58987352.781878144</v>
      </c>
      <c r="N12" s="2413">
        <f t="shared" si="3"/>
        <v>63724441.690983161</v>
      </c>
      <c r="O12" s="2413">
        <f t="shared" si="3"/>
        <v>69405510.597127512</v>
      </c>
    </row>
    <row r="13" spans="1:17" ht="30" customHeight="1">
      <c r="A13" s="1647" t="s">
        <v>2906</v>
      </c>
      <c r="B13" s="1647"/>
    </row>
    <row r="14" spans="1:17">
      <c r="A14" s="1520" t="s">
        <v>2907</v>
      </c>
      <c r="C14" s="2460">
        <f>C53</f>
        <v>0</v>
      </c>
      <c r="D14" s="2460">
        <f>D37</f>
        <v>0</v>
      </c>
      <c r="E14" s="2460">
        <f>E37</f>
        <v>13332459.16</v>
      </c>
      <c r="F14" s="2460">
        <f t="shared" ref="F14:O14" si="4">F37</f>
        <v>12878309.359999999</v>
      </c>
      <c r="G14" s="2460">
        <f t="shared" si="4"/>
        <v>10615986.178582095</v>
      </c>
      <c r="H14" s="2460">
        <f t="shared" si="4"/>
        <v>21054529.889413234</v>
      </c>
      <c r="I14" s="2460">
        <f t="shared" si="4"/>
        <v>45889950.905892216</v>
      </c>
      <c r="J14" s="2460">
        <f t="shared" si="4"/>
        <v>112717916.89019872</v>
      </c>
      <c r="K14" s="2460">
        <f t="shared" si="4"/>
        <v>124787420.04669285</v>
      </c>
      <c r="L14" s="2460">
        <f t="shared" si="4"/>
        <v>132243110.39536577</v>
      </c>
      <c r="M14" s="2460">
        <f t="shared" si="4"/>
        <v>142216139.55369937</v>
      </c>
      <c r="N14" s="2460">
        <f t="shared" si="4"/>
        <v>148679659.5540238</v>
      </c>
      <c r="O14" s="2460">
        <f t="shared" si="4"/>
        <v>158797248.46992144</v>
      </c>
    </row>
    <row r="15" spans="1:17">
      <c r="A15" s="4300" t="s">
        <v>3927</v>
      </c>
      <c r="B15" s="1584"/>
      <c r="C15" s="4301"/>
      <c r="D15" s="1578"/>
      <c r="E15" s="1578">
        <v>8438846</v>
      </c>
      <c r="F15" s="1578">
        <v>13632582</v>
      </c>
      <c r="G15" s="1578">
        <v>17541713</v>
      </c>
      <c r="H15" s="1578">
        <v>15892585</v>
      </c>
      <c r="I15" s="1578">
        <v>1460884</v>
      </c>
      <c r="J15" s="1578"/>
      <c r="K15" s="1578"/>
      <c r="L15" s="1578"/>
      <c r="M15" s="1578"/>
      <c r="N15" s="1578"/>
      <c r="O15" s="1578"/>
    </row>
    <row r="16" spans="1:17">
      <c r="A16" s="1520" t="s">
        <v>2908</v>
      </c>
      <c r="C16" s="2463">
        <f>-C57</f>
        <v>0</v>
      </c>
      <c r="D16" s="2463">
        <f>-D57</f>
        <v>0</v>
      </c>
      <c r="E16" s="2463">
        <f t="shared" ref="E16:O16" si="5">-E57</f>
        <v>-22331156</v>
      </c>
      <c r="F16" s="2463">
        <f t="shared" si="5"/>
        <v>-27158062</v>
      </c>
      <c r="G16" s="2463">
        <f t="shared" si="5"/>
        <v>-29268149.043546669</v>
      </c>
      <c r="H16" s="2463">
        <f t="shared" si="5"/>
        <v>-38768509.543191545</v>
      </c>
      <c r="I16" s="2463">
        <f t="shared" si="5"/>
        <v>-50617381.579403922</v>
      </c>
      <c r="J16" s="2463">
        <f t="shared" si="5"/>
        <v>-59823693.53993424</v>
      </c>
      <c r="K16" s="2463">
        <f t="shared" si="5"/>
        <v>-69354432.552820072</v>
      </c>
      <c r="L16" s="2463">
        <f t="shared" si="5"/>
        <v>-77056309.364797801</v>
      </c>
      <c r="M16" s="2463">
        <f t="shared" si="5"/>
        <v>-86654691.012235552</v>
      </c>
      <c r="N16" s="2463">
        <f t="shared" si="5"/>
        <v>-88404604.947769329</v>
      </c>
      <c r="O16" s="2463">
        <f t="shared" si="5"/>
        <v>-92946228.790804625</v>
      </c>
    </row>
    <row r="17" spans="1:15">
      <c r="A17" s="1520" t="s">
        <v>2909</v>
      </c>
      <c r="C17" s="2464">
        <f>C25</f>
        <v>0</v>
      </c>
      <c r="D17" s="2464">
        <f t="shared" ref="D17:O17" si="6">D25</f>
        <v>0</v>
      </c>
      <c r="E17" s="2464">
        <f t="shared" si="6"/>
        <v>380548</v>
      </c>
      <c r="F17" s="2464">
        <f t="shared" si="6"/>
        <v>381095.78080000007</v>
      </c>
      <c r="G17" s="2464">
        <f t="shared" si="6"/>
        <v>451643.34248768003</v>
      </c>
      <c r="H17" s="2464">
        <f t="shared" si="6"/>
        <v>794143.01386301382</v>
      </c>
      <c r="I17" s="2464">
        <f t="shared" si="6"/>
        <v>1892800</v>
      </c>
      <c r="J17" s="2464">
        <f t="shared" si="6"/>
        <v>1892800</v>
      </c>
      <c r="K17" s="2464">
        <f t="shared" si="6"/>
        <v>1968512</v>
      </c>
      <c r="L17" s="2464">
        <f t="shared" si="6"/>
        <v>1968512</v>
      </c>
      <c r="M17" s="2464">
        <f t="shared" si="6"/>
        <v>2047252.48</v>
      </c>
      <c r="N17" s="2464">
        <f t="shared" si="6"/>
        <v>2047252.48</v>
      </c>
      <c r="O17" s="2464">
        <f t="shared" si="6"/>
        <v>2129142.5792</v>
      </c>
    </row>
    <row r="18" spans="1:15">
      <c r="A18" s="1520" t="s">
        <v>2910</v>
      </c>
      <c r="C18" s="2465"/>
      <c r="D18" s="2465"/>
      <c r="E18" s="2465">
        <v>2025078</v>
      </c>
      <c r="F18" s="2465">
        <v>2097223.59</v>
      </c>
      <c r="G18" s="2465">
        <v>2118195.8259000001</v>
      </c>
      <c r="H18" s="2465">
        <v>2139377.784159</v>
      </c>
      <c r="I18" s="2465">
        <v>2160771.5620005899</v>
      </c>
      <c r="J18" s="2465">
        <v>2182379.2776205959</v>
      </c>
      <c r="K18" s="2465">
        <v>2204203.0703968019</v>
      </c>
      <c r="L18" s="2465">
        <v>923943.93</v>
      </c>
      <c r="M18" s="2465">
        <v>933183.36930000002</v>
      </c>
      <c r="N18" s="2465">
        <v>942515.20299300004</v>
      </c>
      <c r="O18" s="2465">
        <v>951940.35502293007</v>
      </c>
    </row>
    <row r="19" spans="1:15">
      <c r="A19" s="1520" t="s">
        <v>2911</v>
      </c>
      <c r="C19" s="2466">
        <f>-C30</f>
        <v>0</v>
      </c>
      <c r="D19" s="2464">
        <f>-D30</f>
        <v>0</v>
      </c>
      <c r="E19" s="2464">
        <f t="shared" ref="E19:O19" si="7">-E30</f>
        <v>-2198034.8555999999</v>
      </c>
      <c r="F19" s="2464">
        <f t="shared" si="7"/>
        <v>-2193976.8762559998</v>
      </c>
      <c r="G19" s="2464">
        <f t="shared" si="7"/>
        <v>-1833101.7469336165</v>
      </c>
      <c r="H19" s="2464">
        <f t="shared" si="7"/>
        <v>-1497050.6505834539</v>
      </c>
      <c r="I19" s="2464">
        <f t="shared" si="7"/>
        <v>-1183496.5581636291</v>
      </c>
      <c r="J19" s="2464">
        <f t="shared" si="7"/>
        <v>-777629.05171368131</v>
      </c>
      <c r="K19" s="2464">
        <f t="shared" si="7"/>
        <v>-571060.48089506885</v>
      </c>
      <c r="L19" s="2464">
        <f t="shared" si="7"/>
        <v>-302385.60408511473</v>
      </c>
      <c r="M19" s="2464">
        <f t="shared" si="7"/>
        <v>-764.03775527885557</v>
      </c>
      <c r="N19" s="2464">
        <f t="shared" si="7"/>
        <v>0</v>
      </c>
      <c r="O19" s="2464">
        <f t="shared" si="7"/>
        <v>0</v>
      </c>
    </row>
    <row r="20" spans="1:15">
      <c r="A20" s="2364" t="s">
        <v>2912</v>
      </c>
      <c r="B20" s="2417" t="s">
        <v>2913</v>
      </c>
      <c r="C20" s="2148">
        <v>320000</v>
      </c>
      <c r="D20" s="2148">
        <v>342000</v>
      </c>
      <c r="E20" s="2148">
        <v>352260</v>
      </c>
      <c r="F20" s="2148">
        <v>362827.8</v>
      </c>
      <c r="G20" s="2148">
        <v>373712.63400000002</v>
      </c>
      <c r="H20" s="2148">
        <v>384924.01302000001</v>
      </c>
      <c r="I20" s="2148">
        <v>396471.73341060005</v>
      </c>
      <c r="J20" s="2148">
        <v>408365.88541291805</v>
      </c>
      <c r="K20" s="2148">
        <v>420616.8619753056</v>
      </c>
      <c r="L20" s="2148">
        <v>433235.36783456476</v>
      </c>
      <c r="M20" s="2148">
        <v>446232.42886960175</v>
      </c>
      <c r="N20" s="2148">
        <v>459619.40173568978</v>
      </c>
      <c r="O20" s="2148">
        <v>473407.98378776049</v>
      </c>
    </row>
    <row r="21" spans="1:15" s="1461" customFormat="1">
      <c r="A21" s="1461" t="s">
        <v>2914</v>
      </c>
      <c r="C21" s="2448">
        <f>SUM(C14:C20)</f>
        <v>320000</v>
      </c>
      <c r="D21" s="2448">
        <f>SUM(D14:D20)</f>
        <v>342000</v>
      </c>
      <c r="E21" s="2448">
        <f>SUM(E14:E20)</f>
        <v>0.30440000025555491</v>
      </c>
      <c r="F21" s="2448">
        <f>SUM(F14:F20)</f>
        <v>-0.34545600047567859</v>
      </c>
      <c r="G21" s="2448">
        <f>SUM(G14:G20)</f>
        <v>0.19048948906129226</v>
      </c>
      <c r="H21" s="2448">
        <f t="shared" ref="H21:O21" si="8">SUM(H14:H20)</f>
        <v>-0.49331974721280858</v>
      </c>
      <c r="I21" s="2448">
        <f t="shared" si="8"/>
        <v>6.3735854520928115E-2</v>
      </c>
      <c r="J21" s="2448">
        <f t="shared" si="8"/>
        <v>56600139.461584315</v>
      </c>
      <c r="K21" s="2448">
        <f t="shared" si="8"/>
        <v>59455258.945349813</v>
      </c>
      <c r="L21" s="2448">
        <f t="shared" si="8"/>
        <v>58210106.724317424</v>
      </c>
      <c r="M21" s="2448">
        <f t="shared" si="8"/>
        <v>58987352.781878144</v>
      </c>
      <c r="N21" s="2448">
        <f t="shared" si="8"/>
        <v>63724441.690983161</v>
      </c>
      <c r="O21" s="2448">
        <f t="shared" si="8"/>
        <v>69405510.597127512</v>
      </c>
    </row>
    <row r="22" spans="1:15" ht="30" customHeight="1">
      <c r="A22" s="1647" t="s">
        <v>2915</v>
      </c>
    </row>
    <row r="23" spans="1:15">
      <c r="A23" s="1520" t="s">
        <v>2916</v>
      </c>
      <c r="C23" s="2465"/>
      <c r="D23" s="2467"/>
      <c r="E23" s="2467">
        <v>1750000</v>
      </c>
      <c r="F23" s="2467">
        <v>1750000</v>
      </c>
      <c r="G23" s="2467">
        <v>1820000</v>
      </c>
      <c r="H23" s="2467">
        <v>1820000</v>
      </c>
      <c r="I23" s="2467">
        <v>1892800</v>
      </c>
      <c r="J23" s="2467">
        <v>1892800</v>
      </c>
      <c r="K23" s="2467">
        <v>1968512</v>
      </c>
      <c r="L23" s="2467">
        <v>1968512</v>
      </c>
      <c r="M23" s="2467">
        <v>2047252.48</v>
      </c>
      <c r="N23" s="2467">
        <v>2047252.48</v>
      </c>
      <c r="O23" s="2467">
        <v>2129142.5792</v>
      </c>
    </row>
    <row r="24" spans="1:15">
      <c r="A24" s="1520" t="s">
        <v>2917</v>
      </c>
      <c r="C24" s="2465"/>
      <c r="D24" s="2465"/>
      <c r="E24" s="2465">
        <v>-1369452</v>
      </c>
      <c r="F24" s="2465">
        <v>-1368904.2191999999</v>
      </c>
      <c r="G24" s="2465">
        <v>-1368356.65751232</v>
      </c>
      <c r="H24" s="2465">
        <v>-1025856.9861369862</v>
      </c>
      <c r="I24" s="2465">
        <v>0</v>
      </c>
      <c r="J24" s="2465">
        <v>0</v>
      </c>
      <c r="K24" s="2465">
        <v>0</v>
      </c>
      <c r="L24" s="2465">
        <v>0</v>
      </c>
      <c r="M24" s="2465">
        <v>0</v>
      </c>
      <c r="N24" s="2465">
        <v>0</v>
      </c>
      <c r="O24" s="2465">
        <v>0</v>
      </c>
    </row>
    <row r="25" spans="1:15" s="1461" customFormat="1">
      <c r="A25" s="1461" t="s">
        <v>2918</v>
      </c>
      <c r="C25" s="2449">
        <f>SUM(C23:C24)</f>
        <v>0</v>
      </c>
      <c r="D25" s="2449">
        <f t="shared" ref="D25:O25" si="9">SUM(D23:D24)</f>
        <v>0</v>
      </c>
      <c r="E25" s="2449">
        <f t="shared" si="9"/>
        <v>380548</v>
      </c>
      <c r="F25" s="2449">
        <f t="shared" si="9"/>
        <v>381095.78080000007</v>
      </c>
      <c r="G25" s="2449">
        <f t="shared" si="9"/>
        <v>451643.34248768003</v>
      </c>
      <c r="H25" s="2449">
        <f t="shared" si="9"/>
        <v>794143.01386301382</v>
      </c>
      <c r="I25" s="2449">
        <f t="shared" si="9"/>
        <v>1892800</v>
      </c>
      <c r="J25" s="2449">
        <f t="shared" si="9"/>
        <v>1892800</v>
      </c>
      <c r="K25" s="2449">
        <f t="shared" si="9"/>
        <v>1968512</v>
      </c>
      <c r="L25" s="2449">
        <f t="shared" si="9"/>
        <v>1968512</v>
      </c>
      <c r="M25" s="2449">
        <f t="shared" si="9"/>
        <v>2047252.48</v>
      </c>
      <c r="N25" s="2449">
        <f t="shared" si="9"/>
        <v>2047252.48</v>
      </c>
      <c r="O25" s="2449">
        <f t="shared" si="9"/>
        <v>2129142.5792</v>
      </c>
    </row>
    <row r="26" spans="1:15" ht="29.25" customHeight="1">
      <c r="A26" s="1647" t="s">
        <v>2919</v>
      </c>
    </row>
    <row r="27" spans="1:15">
      <c r="A27" s="1520" t="s">
        <v>2920</v>
      </c>
      <c r="C27" s="2148"/>
      <c r="D27" s="2463">
        <f>D60</f>
        <v>0</v>
      </c>
      <c r="E27" s="2463">
        <f t="shared" ref="E27:O27" si="10">E60</f>
        <v>61864157</v>
      </c>
      <c r="F27" s="2463">
        <f t="shared" si="10"/>
        <v>66618077.759999998</v>
      </c>
      <c r="G27" s="2463">
        <f t="shared" si="10"/>
        <v>62237604.923647687</v>
      </c>
      <c r="H27" s="2463">
        <f t="shared" si="10"/>
        <v>65693880.956563018</v>
      </c>
      <c r="I27" s="2463">
        <f t="shared" si="10"/>
        <v>71903290.898893654</v>
      </c>
      <c r="J27" s="2463">
        <f t="shared" si="10"/>
        <v>73809827.563561603</v>
      </c>
      <c r="K27" s="2463">
        <f t="shared" si="10"/>
        <v>79625304.511364475</v>
      </c>
      <c r="L27" s="2463">
        <f t="shared" si="10"/>
        <v>82494899.366328642</v>
      </c>
      <c r="M27" s="2463">
        <f t="shared" si="10"/>
        <v>86668432.698481575</v>
      </c>
      <c r="N27" s="2463">
        <f t="shared" si="10"/>
        <v>88404604.947769329</v>
      </c>
      <c r="O27" s="2463">
        <f t="shared" si="10"/>
        <v>92946228.790804625</v>
      </c>
    </row>
    <row r="28" spans="1:15">
      <c r="A28" s="1520" t="s">
        <v>2921</v>
      </c>
      <c r="C28" s="2468"/>
      <c r="D28" s="2463">
        <f t="shared" ref="D28:O28" si="11">-D57</f>
        <v>0</v>
      </c>
      <c r="E28" s="2463">
        <f t="shared" si="11"/>
        <v>-22331156</v>
      </c>
      <c r="F28" s="2463">
        <f t="shared" si="11"/>
        <v>-27158062</v>
      </c>
      <c r="G28" s="2463">
        <f t="shared" si="11"/>
        <v>-29268149.043546669</v>
      </c>
      <c r="H28" s="2463">
        <f t="shared" si="11"/>
        <v>-38768509.543191545</v>
      </c>
      <c r="I28" s="2463">
        <f t="shared" si="11"/>
        <v>-50617381.579403922</v>
      </c>
      <c r="J28" s="2463">
        <f t="shared" si="11"/>
        <v>-59823693.53993424</v>
      </c>
      <c r="K28" s="2463">
        <f t="shared" si="11"/>
        <v>-69354432.552820072</v>
      </c>
      <c r="L28" s="2463">
        <f t="shared" si="11"/>
        <v>-77056309.364797801</v>
      </c>
      <c r="M28" s="2463">
        <f t="shared" si="11"/>
        <v>-86654691.012235552</v>
      </c>
      <c r="N28" s="2463">
        <f t="shared" si="11"/>
        <v>-88404604.947769329</v>
      </c>
      <c r="O28" s="2463">
        <f t="shared" si="11"/>
        <v>-92946228.790804625</v>
      </c>
    </row>
    <row r="29" spans="1:15">
      <c r="A29" s="1520" t="s">
        <v>2922</v>
      </c>
      <c r="C29" s="2469">
        <f>C27+C28</f>
        <v>0</v>
      </c>
      <c r="D29" s="2469">
        <f t="shared" ref="D29:O29" si="12">D27+D28</f>
        <v>0</v>
      </c>
      <c r="E29" s="2469">
        <f t="shared" si="12"/>
        <v>39533001</v>
      </c>
      <c r="F29" s="2469">
        <f t="shared" si="12"/>
        <v>39460015.759999998</v>
      </c>
      <c r="G29" s="2469">
        <f t="shared" si="12"/>
        <v>32969455.880101018</v>
      </c>
      <c r="H29" s="2469">
        <f t="shared" si="12"/>
        <v>26925371.413371474</v>
      </c>
      <c r="I29" s="2469">
        <f t="shared" si="12"/>
        <v>21285909.319489732</v>
      </c>
      <c r="J29" s="2469">
        <f t="shared" si="12"/>
        <v>13986134.023627363</v>
      </c>
      <c r="K29" s="2469">
        <f t="shared" si="12"/>
        <v>10270871.958544403</v>
      </c>
      <c r="L29" s="2469">
        <f t="shared" si="12"/>
        <v>5438590.001530841</v>
      </c>
      <c r="M29" s="2469">
        <f t="shared" si="12"/>
        <v>13741.686246022582</v>
      </c>
      <c r="N29" s="2469">
        <f t="shared" si="12"/>
        <v>0</v>
      </c>
      <c r="O29" s="2469">
        <f t="shared" si="12"/>
        <v>0</v>
      </c>
    </row>
    <row r="30" spans="1:15" s="1461" customFormat="1" ht="15.75" thickBot="1">
      <c r="A30" s="1461" t="s">
        <v>2923</v>
      </c>
      <c r="B30" s="2450">
        <v>5.5599999999999997E-2</v>
      </c>
      <c r="C30" s="2451">
        <f>C29*$B$30</f>
        <v>0</v>
      </c>
      <c r="D30" s="2451">
        <f>D29*$B$30</f>
        <v>0</v>
      </c>
      <c r="E30" s="2451">
        <f t="shared" ref="E30:O30" si="13">E29*$B$30</f>
        <v>2198034.8555999999</v>
      </c>
      <c r="F30" s="2451">
        <f t="shared" si="13"/>
        <v>2193976.8762559998</v>
      </c>
      <c r="G30" s="2451">
        <f t="shared" si="13"/>
        <v>1833101.7469336165</v>
      </c>
      <c r="H30" s="2451">
        <f t="shared" si="13"/>
        <v>1497050.6505834539</v>
      </c>
      <c r="I30" s="2451">
        <f t="shared" si="13"/>
        <v>1183496.5581636291</v>
      </c>
      <c r="J30" s="2451">
        <f t="shared" si="13"/>
        <v>777629.05171368131</v>
      </c>
      <c r="K30" s="2451">
        <f t="shared" si="13"/>
        <v>571060.48089506885</v>
      </c>
      <c r="L30" s="2451">
        <f t="shared" si="13"/>
        <v>302385.60408511473</v>
      </c>
      <c r="M30" s="2451">
        <f t="shared" si="13"/>
        <v>764.03775527885557</v>
      </c>
      <c r="N30" s="2451">
        <f t="shared" si="13"/>
        <v>0</v>
      </c>
      <c r="O30" s="2451">
        <f t="shared" si="13"/>
        <v>0</v>
      </c>
    </row>
    <row r="31" spans="1:15">
      <c r="C31" s="2452"/>
    </row>
    <row r="32" spans="1:15" ht="30" customHeight="1">
      <c r="A32" s="2470" t="s">
        <v>2924</v>
      </c>
    </row>
    <row r="33" spans="1:16" s="2472" customFormat="1">
      <c r="A33" s="2471" t="s">
        <v>2925</v>
      </c>
      <c r="B33" s="4390"/>
      <c r="C33" s="4391"/>
      <c r="D33" s="4391"/>
      <c r="E33" s="4391"/>
    </row>
    <row r="34" spans="1:16" s="2472" customFormat="1" ht="60">
      <c r="A34" s="3064"/>
      <c r="B34" s="3064"/>
      <c r="C34" s="2928" t="str">
        <f>INDEX(Dashboard!$G$14:$S$14,1,MATCH(C$4,Dashboard!$G$7:$S$7,0))</f>
        <v>Budget Water (100% Water, 50% Exceedance)</v>
      </c>
      <c r="D34" s="2928" t="str">
        <f>INDEX(Dashboard!$G$14:$S$14,1,MATCH(D$4,Dashboard!$G$7:$S$7,0))</f>
        <v>Budget Water (100% Water, 50% Exceedance)</v>
      </c>
      <c r="E34" s="2928" t="str">
        <f>INDEX(Dashboard!$G$14:$S$14,1,MATCH(E$4,Dashboard!$G$7:$S$7,0))</f>
        <v>Budget Water (100% Water, 50% Exceedance)</v>
      </c>
      <c r="F34" s="2928" t="str">
        <f>INDEX(Dashboard!$G$14:$S$14,1,MATCH(F$4,Dashboard!$G$7:$S$7,0))</f>
        <v>Budget Water (100% Water, 50% Exceedance)</v>
      </c>
      <c r="G34" s="2928" t="str">
        <f>INDEX(Dashboard!$G$14:$S$14,1,MATCH(G$4,Dashboard!$G$7:$S$7,0))</f>
        <v>Budget Water (100% Water, 50% Exceedance)</v>
      </c>
      <c r="H34" s="2928" t="str">
        <f>INDEX(Dashboard!$G$14:$S$14,1,MATCH(H$4,Dashboard!$G$7:$S$7,0))</f>
        <v>Budget Water (100% Water, 50% Exceedance)</v>
      </c>
      <c r="I34" s="2928" t="str">
        <f>INDEX(Dashboard!$G$14:$S$14,1,MATCH(I$4,Dashboard!$G$7:$S$7,0))</f>
        <v>Budget Water (100% Water, 50% Exceedance)</v>
      </c>
      <c r="J34" s="2928" t="str">
        <f>INDEX(Dashboard!$G$14:$S$14,1,MATCH(J$4,Dashboard!$G$7:$S$7,0))</f>
        <v>Budget Water (100% Water, 50% Exceedance)</v>
      </c>
      <c r="K34" s="2928" t="str">
        <f>INDEX(Dashboard!$G$14:$S$14,1,MATCH(K$4,Dashboard!$G$7:$S$7,0))</f>
        <v>Budget Water (100% Water, 50% Exceedance)</v>
      </c>
      <c r="L34" s="2928" t="str">
        <f>INDEX(Dashboard!$G$14:$S$14,1,MATCH(L$4,Dashboard!$G$7:$S$7,0))</f>
        <v>Budget Water (100% Water, 50% Exceedance)</v>
      </c>
      <c r="M34" s="2928" t="str">
        <f>INDEX(Dashboard!$G$14:$S$14,1,MATCH(M$4,Dashboard!$G$7:$S$7,0))</f>
        <v>Budget Water (100% Water, 50% Exceedance)</v>
      </c>
      <c r="N34" s="2928" t="str">
        <f>INDEX(Dashboard!$G$14:$S$14,1,MATCH(N$4,Dashboard!$G$7:$S$7,0))</f>
        <v>Budget Water (100% Water, 50% Exceedance)</v>
      </c>
      <c r="O34" s="2928" t="str">
        <f>INDEX(Dashboard!$G$14:$S$14,1,MATCH(O$4,Dashboard!$G$7:$S$7,0))</f>
        <v>Budget Water (100% Water, 50% Exceedance)</v>
      </c>
    </row>
    <row r="35" spans="1:16" s="2472" customFormat="1">
      <c r="A35" s="3064"/>
      <c r="B35" s="3064"/>
      <c r="C35" s="3069">
        <f>INDEX($B$42:$B$52,MATCH(C$34,$A$42:$A$52,0),1)</f>
        <v>1</v>
      </c>
      <c r="D35" s="3069">
        <f t="shared" ref="D35:O35" si="14">INDEX($B$42:$B$52,MATCH(D$34,$A$42:$A$52,0),1)</f>
        <v>1</v>
      </c>
      <c r="E35" s="3069">
        <f t="shared" si="14"/>
        <v>1</v>
      </c>
      <c r="F35" s="3069">
        <f t="shared" si="14"/>
        <v>1</v>
      </c>
      <c r="G35" s="3069">
        <f t="shared" si="14"/>
        <v>1</v>
      </c>
      <c r="H35" s="3069">
        <f t="shared" si="14"/>
        <v>1</v>
      </c>
      <c r="I35" s="3069">
        <f t="shared" si="14"/>
        <v>1</v>
      </c>
      <c r="J35" s="3069">
        <f t="shared" si="14"/>
        <v>1</v>
      </c>
      <c r="K35" s="3069">
        <f t="shared" si="14"/>
        <v>1</v>
      </c>
      <c r="L35" s="3069">
        <f t="shared" si="14"/>
        <v>1</v>
      </c>
      <c r="M35" s="3069">
        <f t="shared" si="14"/>
        <v>1</v>
      </c>
      <c r="N35" s="3069">
        <f t="shared" si="14"/>
        <v>1</v>
      </c>
      <c r="O35" s="3069">
        <f t="shared" si="14"/>
        <v>1</v>
      </c>
    </row>
    <row r="36" spans="1:16" s="2472" customFormat="1">
      <c r="A36" s="3065" t="s">
        <v>2952</v>
      </c>
      <c r="B36" s="3066"/>
      <c r="C36" s="3068">
        <v>2014</v>
      </c>
      <c r="D36" s="3068">
        <v>2015</v>
      </c>
      <c r="E36" s="3068">
        <v>2016</v>
      </c>
      <c r="F36" s="3068">
        <v>2017</v>
      </c>
      <c r="G36" s="3068">
        <v>2018</v>
      </c>
      <c r="H36" s="3068">
        <v>2019</v>
      </c>
      <c r="I36" s="3068">
        <v>2020</v>
      </c>
      <c r="J36" s="3068">
        <v>2021</v>
      </c>
      <c r="K36" s="3068">
        <v>2022</v>
      </c>
      <c r="L36" s="3068">
        <v>2023</v>
      </c>
      <c r="M36" s="3068">
        <v>2024</v>
      </c>
      <c r="N36" s="3068">
        <v>2025</v>
      </c>
      <c r="O36" s="3068">
        <v>2026</v>
      </c>
    </row>
    <row r="37" spans="1:16" s="2472" customFormat="1" ht="12.75" customHeight="1">
      <c r="A37" s="4392" t="s">
        <v>2926</v>
      </c>
      <c r="B37" s="4393"/>
      <c r="C37" s="3070">
        <f>CHOOSE(C$35,C43,C48,C53)</f>
        <v>0</v>
      </c>
      <c r="D37" s="3070">
        <f t="shared" ref="D37:O37" si="15">CHOOSE(D$35,D43,D48,D53)</f>
        <v>0</v>
      </c>
      <c r="E37" s="3070">
        <f t="shared" si="15"/>
        <v>13332459.16</v>
      </c>
      <c r="F37" s="3070">
        <f t="shared" si="15"/>
        <v>12878309.359999999</v>
      </c>
      <c r="G37" s="3070">
        <f t="shared" si="15"/>
        <v>10615986.178582095</v>
      </c>
      <c r="H37" s="3070">
        <f t="shared" si="15"/>
        <v>21054529.889413234</v>
      </c>
      <c r="I37" s="3070">
        <f t="shared" si="15"/>
        <v>45889950.905892216</v>
      </c>
      <c r="J37" s="3070">
        <f t="shared" si="15"/>
        <v>112717916.89019872</v>
      </c>
      <c r="K37" s="3070">
        <f t="shared" si="15"/>
        <v>124787420.04669285</v>
      </c>
      <c r="L37" s="3070">
        <f t="shared" si="15"/>
        <v>132243110.39536577</v>
      </c>
      <c r="M37" s="3070">
        <f t="shared" si="15"/>
        <v>142216139.55369937</v>
      </c>
      <c r="N37" s="3070">
        <f t="shared" si="15"/>
        <v>148679659.5540238</v>
      </c>
      <c r="O37" s="3070">
        <f t="shared" si="15"/>
        <v>158797248.46992144</v>
      </c>
      <c r="P37" s="2475"/>
    </row>
    <row r="38" spans="1:16" s="2472" customFormat="1">
      <c r="A38" s="4392" t="s">
        <v>2927</v>
      </c>
      <c r="B38" s="4393"/>
      <c r="C38" s="3071">
        <f>CHOOSE(C$35,C44,C49,C54)</f>
        <v>0</v>
      </c>
      <c r="D38" s="3071">
        <f t="shared" ref="D38:O38" si="16">CHOOSE(D$35,D44,D49,D54)</f>
        <v>0</v>
      </c>
      <c r="E38" s="3071">
        <f t="shared" si="16"/>
        <v>47969852.579858921</v>
      </c>
      <c r="F38" s="3071">
        <f t="shared" si="16"/>
        <v>35594377.538601264</v>
      </c>
      <c r="G38" s="3071">
        <f t="shared" si="16"/>
        <v>23944763.423588555</v>
      </c>
      <c r="H38" s="3071">
        <f t="shared" si="16"/>
        <v>22216055.701018848</v>
      </c>
      <c r="I38" s="3071">
        <f t="shared" si="16"/>
        <v>42141059.291625708</v>
      </c>
      <c r="J38" s="3071">
        <f t="shared" si="16"/>
        <v>105419376.3092228</v>
      </c>
      <c r="K38" s="3071">
        <f t="shared" si="16"/>
        <v>113867419.68582402</v>
      </c>
      <c r="L38" s="3071">
        <f t="shared" si="16"/>
        <v>115089151.32321164</v>
      </c>
      <c r="M38" s="3071">
        <f t="shared" si="16"/>
        <v>119409298.90224025</v>
      </c>
      <c r="N38" s="3071">
        <f t="shared" si="16"/>
        <v>119090226.76333712</v>
      </c>
      <c r="O38" s="3071">
        <f t="shared" si="16"/>
        <v>125251775.10137782</v>
      </c>
      <c r="P38" s="2475"/>
    </row>
    <row r="39" spans="1:16" s="2472" customFormat="1">
      <c r="A39" s="4394" t="s">
        <v>2928</v>
      </c>
      <c r="B39" s="4395"/>
      <c r="C39" s="3072">
        <f>C38-C37</f>
        <v>0</v>
      </c>
      <c r="D39" s="3072">
        <f t="shared" ref="D39:O39" si="17">D38-D37</f>
        <v>0</v>
      </c>
      <c r="E39" s="3072">
        <f t="shared" si="17"/>
        <v>34637393.419858918</v>
      </c>
      <c r="F39" s="3072">
        <f t="shared" si="17"/>
        <v>22716068.178601265</v>
      </c>
      <c r="G39" s="3072">
        <f t="shared" si="17"/>
        <v>13328777.245006461</v>
      </c>
      <c r="H39" s="3072">
        <f t="shared" si="17"/>
        <v>1161525.8116056137</v>
      </c>
      <c r="I39" s="3072">
        <f t="shared" si="17"/>
        <v>-3748891.6142665073</v>
      </c>
      <c r="J39" s="3072">
        <f t="shared" si="17"/>
        <v>-7298540.58097592</v>
      </c>
      <c r="K39" s="3072">
        <f t="shared" si="17"/>
        <v>-10920000.360868827</v>
      </c>
      <c r="L39" s="3072">
        <f t="shared" si="17"/>
        <v>-17153959.072154135</v>
      </c>
      <c r="M39" s="3072">
        <f t="shared" si="17"/>
        <v>-22806840.651459128</v>
      </c>
      <c r="N39" s="3072">
        <f t="shared" si="17"/>
        <v>-29589432.790686682</v>
      </c>
      <c r="O39" s="3072">
        <f t="shared" si="17"/>
        <v>-33545473.368543625</v>
      </c>
    </row>
    <row r="40" spans="1:16" s="2472" customFormat="1">
      <c r="A40" s="3067"/>
      <c r="B40" s="3068"/>
      <c r="C40" s="3070">
        <f>CHOOSE(C$35,C46,C51,C56)</f>
        <v>0</v>
      </c>
      <c r="D40" s="3070">
        <f t="shared" ref="D40:O40" si="18">CHOOSE(D$35,D46,D51,D56)</f>
        <v>0</v>
      </c>
      <c r="E40" s="3070">
        <f t="shared" si="18"/>
        <v>56968549.419858918</v>
      </c>
      <c r="F40" s="3070">
        <f t="shared" si="18"/>
        <v>49874130.178601265</v>
      </c>
      <c r="G40" s="3070">
        <f t="shared" si="18"/>
        <v>42596926.288553134</v>
      </c>
      <c r="H40" s="3070">
        <f t="shared" si="18"/>
        <v>39930035.354797155</v>
      </c>
      <c r="I40" s="3070">
        <f t="shared" si="18"/>
        <v>46868489.965137415</v>
      </c>
      <c r="J40" s="3070">
        <f t="shared" si="18"/>
        <v>52525152.95895832</v>
      </c>
      <c r="K40" s="3070">
        <f t="shared" si="18"/>
        <v>58434432.191951245</v>
      </c>
      <c r="L40" s="3070">
        <f t="shared" si="18"/>
        <v>59902350.292643666</v>
      </c>
      <c r="M40" s="3070">
        <f t="shared" si="18"/>
        <v>63847850.360776424</v>
      </c>
      <c r="N40" s="3070">
        <f t="shared" si="18"/>
        <v>58815172.157082647</v>
      </c>
      <c r="O40" s="3070">
        <f t="shared" si="18"/>
        <v>59400755.422261</v>
      </c>
    </row>
    <row r="41" spans="1:16" s="2472" customFormat="1">
      <c r="A41" s="2481"/>
      <c r="B41" s="2514"/>
      <c r="C41" s="2479"/>
      <c r="D41" s="2479"/>
      <c r="E41" s="2479"/>
      <c r="F41" s="2479"/>
      <c r="G41" s="2479"/>
      <c r="H41" s="2479"/>
      <c r="I41" s="2479"/>
      <c r="J41" s="2479"/>
      <c r="K41" s="2479"/>
      <c r="L41" s="2479"/>
      <c r="M41" s="2479"/>
      <c r="N41" s="2479"/>
      <c r="O41" s="2479"/>
    </row>
    <row r="42" spans="1:16" s="2472" customFormat="1">
      <c r="A42" s="3691" t="s">
        <v>3786</v>
      </c>
      <c r="B42" s="2520">
        <v>1</v>
      </c>
      <c r="C42" s="2478"/>
      <c r="D42" s="2478"/>
      <c r="E42" s="2478"/>
      <c r="F42" s="2478"/>
      <c r="G42" s="2478"/>
      <c r="H42" s="2478"/>
      <c r="I42" s="2478"/>
      <c r="J42" s="2478"/>
      <c r="K42" s="2478"/>
      <c r="L42" s="2478"/>
      <c r="M42" s="2478"/>
      <c r="N42" s="2478"/>
      <c r="O42" s="2478"/>
    </row>
    <row r="43" spans="1:16" s="2472" customFormat="1" ht="12.75" customHeight="1">
      <c r="A43" s="2526" t="s">
        <v>2926</v>
      </c>
      <c r="B43" s="2524"/>
      <c r="C43" s="2513"/>
      <c r="D43" s="4302"/>
      <c r="E43" s="4302">
        <v>13332459.16</v>
      </c>
      <c r="F43" s="4302">
        <v>12878309.359999999</v>
      </c>
      <c r="G43" s="4302">
        <v>10615986.178582095</v>
      </c>
      <c r="H43" s="4302">
        <v>21054529.889413234</v>
      </c>
      <c r="I43" s="4302">
        <v>45889950.905892216</v>
      </c>
      <c r="J43" s="4302">
        <v>112717916.89019872</v>
      </c>
      <c r="K43" s="4302">
        <v>124787420.04669285</v>
      </c>
      <c r="L43" s="4302">
        <v>132243110.39536577</v>
      </c>
      <c r="M43" s="4302">
        <v>142216139.55369937</v>
      </c>
      <c r="N43" s="4302">
        <v>148679659.5540238</v>
      </c>
      <c r="O43" s="4302">
        <v>158797248.46992144</v>
      </c>
      <c r="P43" s="2475"/>
    </row>
    <row r="44" spans="1:16" s="2472" customFormat="1">
      <c r="A44" s="2527" t="s">
        <v>2927</v>
      </c>
      <c r="B44" s="2525"/>
      <c r="C44" s="2513"/>
      <c r="D44" s="4303"/>
      <c r="E44" s="4303">
        <v>47969852.579858921</v>
      </c>
      <c r="F44" s="4303">
        <v>35594377.538601264</v>
      </c>
      <c r="G44" s="4303">
        <v>23944763.423588555</v>
      </c>
      <c r="H44" s="4303">
        <v>22216055.701018848</v>
      </c>
      <c r="I44" s="4303">
        <v>42141059.291625708</v>
      </c>
      <c r="J44" s="4303">
        <v>105419376.3092228</v>
      </c>
      <c r="K44" s="4303">
        <v>113867419.68582402</v>
      </c>
      <c r="L44" s="4303">
        <v>115089151.32321164</v>
      </c>
      <c r="M44" s="4303">
        <v>119409298.90224025</v>
      </c>
      <c r="N44" s="4303">
        <v>119090226.76333712</v>
      </c>
      <c r="O44" s="4303">
        <v>125251775.10137782</v>
      </c>
      <c r="P44" s="2475"/>
    </row>
    <row r="45" spans="1:16" s="2472" customFormat="1">
      <c r="A45" s="2522" t="s">
        <v>2928</v>
      </c>
      <c r="B45" s="2523"/>
      <c r="C45" s="2495">
        <f>C44-C43</f>
        <v>0</v>
      </c>
      <c r="D45" s="2495">
        <f t="shared" ref="D45:O45" si="19">D44-D43</f>
        <v>0</v>
      </c>
      <c r="E45" s="2495">
        <f t="shared" si="19"/>
        <v>34637393.419858918</v>
      </c>
      <c r="F45" s="2495">
        <f t="shared" si="19"/>
        <v>22716068.178601265</v>
      </c>
      <c r="G45" s="2495">
        <f t="shared" si="19"/>
        <v>13328777.245006461</v>
      </c>
      <c r="H45" s="2495">
        <f t="shared" si="19"/>
        <v>1161525.8116056137</v>
      </c>
      <c r="I45" s="2495">
        <f t="shared" si="19"/>
        <v>-3748891.6142665073</v>
      </c>
      <c r="J45" s="2495">
        <f t="shared" si="19"/>
        <v>-7298540.58097592</v>
      </c>
      <c r="K45" s="2495">
        <f t="shared" si="19"/>
        <v>-10920000.360868827</v>
      </c>
      <c r="L45" s="2495">
        <f t="shared" si="19"/>
        <v>-17153959.072154135</v>
      </c>
      <c r="M45" s="2495">
        <f t="shared" si="19"/>
        <v>-22806840.651459128</v>
      </c>
      <c r="N45" s="2495">
        <f t="shared" si="19"/>
        <v>-29589432.790686682</v>
      </c>
      <c r="O45" s="2495">
        <f t="shared" si="19"/>
        <v>-33545473.368543625</v>
      </c>
    </row>
    <row r="46" spans="1:16" s="2472" customFormat="1">
      <c r="A46" s="2481"/>
      <c r="B46" s="2514"/>
      <c r="C46" s="2480">
        <f>C45+C57</f>
        <v>0</v>
      </c>
      <c r="D46" s="2480">
        <f t="shared" ref="D46:O46" si="20">D45+D57</f>
        <v>0</v>
      </c>
      <c r="E46" s="2480">
        <f t="shared" si="20"/>
        <v>56968549.419858918</v>
      </c>
      <c r="F46" s="2480">
        <f t="shared" si="20"/>
        <v>49874130.178601265</v>
      </c>
      <c r="G46" s="2480">
        <f t="shared" si="20"/>
        <v>42596926.288553134</v>
      </c>
      <c r="H46" s="2480">
        <f t="shared" si="20"/>
        <v>39930035.354797155</v>
      </c>
      <c r="I46" s="2480">
        <f t="shared" si="20"/>
        <v>46868489.965137415</v>
      </c>
      <c r="J46" s="2480">
        <f t="shared" si="20"/>
        <v>52525152.95895832</v>
      </c>
      <c r="K46" s="2480">
        <f t="shared" si="20"/>
        <v>58434432.191951245</v>
      </c>
      <c r="L46" s="2480">
        <f t="shared" si="20"/>
        <v>59902350.292643666</v>
      </c>
      <c r="M46" s="2480">
        <f t="shared" si="20"/>
        <v>63847850.360776424</v>
      </c>
      <c r="N46" s="2480">
        <f t="shared" si="20"/>
        <v>58815172.157082647</v>
      </c>
      <c r="O46" s="2480">
        <f t="shared" si="20"/>
        <v>59400755.422261</v>
      </c>
    </row>
    <row r="47" spans="1:16" s="2472" customFormat="1">
      <c r="A47" s="2519" t="s">
        <v>2929</v>
      </c>
      <c r="B47" s="2521">
        <v>2</v>
      </c>
      <c r="C47" s="2480"/>
      <c r="D47" s="2480"/>
      <c r="E47" s="2480"/>
      <c r="F47" s="2480"/>
      <c r="G47" s="2480"/>
      <c r="H47" s="2480"/>
      <c r="I47" s="2480"/>
      <c r="J47" s="2480"/>
      <c r="K47" s="2480"/>
      <c r="L47" s="2480"/>
      <c r="M47" s="2480"/>
      <c r="N47" s="2480"/>
      <c r="O47" s="2480"/>
    </row>
    <row r="48" spans="1:16" s="2472" customFormat="1">
      <c r="A48" s="2526" t="s">
        <v>2926</v>
      </c>
      <c r="B48" s="2524"/>
      <c r="C48" s="2513"/>
      <c r="D48" s="2513"/>
      <c r="E48" s="2513"/>
      <c r="F48" s="2513"/>
      <c r="G48" s="2513"/>
      <c r="H48" s="2513"/>
      <c r="I48" s="2513"/>
      <c r="J48" s="2513"/>
      <c r="K48" s="2513"/>
      <c r="L48" s="2513"/>
      <c r="M48" s="2513"/>
      <c r="N48" s="2513"/>
      <c r="O48" s="2513"/>
    </row>
    <row r="49" spans="1:16" s="2472" customFormat="1">
      <c r="A49" s="2527" t="s">
        <v>2927</v>
      </c>
      <c r="B49" s="2525"/>
      <c r="C49" s="2513"/>
      <c r="D49" s="2513"/>
      <c r="E49" s="2513"/>
      <c r="F49" s="2513"/>
      <c r="G49" s="2513"/>
      <c r="H49" s="2513"/>
      <c r="I49" s="2513"/>
      <c r="J49" s="2513"/>
      <c r="K49" s="2513"/>
      <c r="L49" s="2513"/>
      <c r="M49" s="2513"/>
      <c r="N49" s="2513"/>
      <c r="O49" s="2513"/>
    </row>
    <row r="50" spans="1:16" s="2472" customFormat="1">
      <c r="A50" s="2522" t="s">
        <v>2928</v>
      </c>
      <c r="B50" s="2523"/>
      <c r="C50" s="2495"/>
      <c r="D50" s="2495"/>
      <c r="E50" s="2495"/>
      <c r="F50" s="2495"/>
      <c r="G50" s="2495"/>
      <c r="H50" s="2495"/>
      <c r="I50" s="2495"/>
      <c r="J50" s="2495"/>
      <c r="K50" s="2495"/>
      <c r="L50" s="2495"/>
      <c r="M50" s="2495"/>
      <c r="N50" s="2495"/>
      <c r="O50" s="2495"/>
    </row>
    <row r="51" spans="1:16" s="2472" customFormat="1">
      <c r="A51" s="2515"/>
      <c r="B51" s="2516"/>
      <c r="C51" s="2496">
        <f>C50+C57</f>
        <v>0</v>
      </c>
      <c r="D51" s="2496">
        <f>D50+D57</f>
        <v>0</v>
      </c>
      <c r="E51" s="2496">
        <f t="shared" ref="E51:O51" si="21">E50+E57</f>
        <v>22331156</v>
      </c>
      <c r="F51" s="2496">
        <f t="shared" si="21"/>
        <v>27158062</v>
      </c>
      <c r="G51" s="2496">
        <f t="shared" si="21"/>
        <v>29268149.043546669</v>
      </c>
      <c r="H51" s="2496">
        <f t="shared" si="21"/>
        <v>38768509.543191545</v>
      </c>
      <c r="I51" s="2496">
        <f t="shared" si="21"/>
        <v>50617381.579403922</v>
      </c>
      <c r="J51" s="2496">
        <f t="shared" si="21"/>
        <v>59823693.53993424</v>
      </c>
      <c r="K51" s="2496">
        <f t="shared" si="21"/>
        <v>69354432.552820072</v>
      </c>
      <c r="L51" s="2496">
        <f t="shared" si="21"/>
        <v>77056309.364797801</v>
      </c>
      <c r="M51" s="2496">
        <f t="shared" si="21"/>
        <v>86654691.012235552</v>
      </c>
      <c r="N51" s="2496">
        <f t="shared" si="21"/>
        <v>88404604.947769329</v>
      </c>
      <c r="O51" s="2496">
        <f t="shared" si="21"/>
        <v>92946228.790804625</v>
      </c>
    </row>
    <row r="52" spans="1:16" s="2472" customFormat="1">
      <c r="A52" s="2519" t="s">
        <v>2930</v>
      </c>
      <c r="B52" s="2521">
        <v>3</v>
      </c>
      <c r="C52" s="2479"/>
      <c r="D52" s="2479"/>
      <c r="E52" s="2479"/>
      <c r="F52" s="2479"/>
      <c r="G52" s="2479"/>
      <c r="H52" s="2479"/>
      <c r="I52" s="2479"/>
      <c r="J52" s="2479"/>
      <c r="K52" s="2479"/>
      <c r="L52" s="2479"/>
      <c r="M52" s="2479"/>
      <c r="N52" s="2479"/>
      <c r="O52" s="2479"/>
    </row>
    <row r="53" spans="1:16" s="2472" customFormat="1">
      <c r="A53" s="2526" t="s">
        <v>2926</v>
      </c>
      <c r="B53" s="2524"/>
      <c r="C53" s="2474"/>
      <c r="D53" s="2513"/>
      <c r="E53" s="2513"/>
      <c r="F53" s="2513"/>
      <c r="G53" s="2513"/>
      <c r="H53" s="2513"/>
      <c r="I53" s="2513"/>
      <c r="J53" s="2513"/>
      <c r="K53" s="2513"/>
      <c r="L53" s="2513"/>
      <c r="M53" s="2513"/>
      <c r="N53" s="2513"/>
      <c r="O53" s="2513"/>
    </row>
    <row r="54" spans="1:16" s="2472" customFormat="1">
      <c r="A54" s="2527" t="s">
        <v>2927</v>
      </c>
      <c r="B54" s="2525"/>
      <c r="C54" s="2512"/>
      <c r="D54" s="2513"/>
      <c r="E54" s="2513"/>
      <c r="F54" s="2513"/>
      <c r="G54" s="2513"/>
      <c r="H54" s="2513"/>
      <c r="I54" s="2513"/>
      <c r="J54" s="2513"/>
      <c r="K54" s="2513"/>
      <c r="L54" s="2513"/>
      <c r="M54" s="2513"/>
      <c r="N54" s="2513"/>
      <c r="O54" s="2513"/>
    </row>
    <row r="55" spans="1:16" s="2472" customFormat="1">
      <c r="A55" s="2522" t="s">
        <v>2931</v>
      </c>
      <c r="B55" s="2523"/>
      <c r="C55" s="2495"/>
      <c r="D55" s="2495"/>
      <c r="E55" s="2495"/>
      <c r="F55" s="2495"/>
      <c r="G55" s="2495"/>
      <c r="H55" s="2495"/>
      <c r="I55" s="2495"/>
      <c r="J55" s="2495"/>
      <c r="K55" s="2495"/>
      <c r="L55" s="2495"/>
      <c r="M55" s="2495"/>
      <c r="N55" s="2495"/>
      <c r="O55" s="2495"/>
    </row>
    <row r="56" spans="1:16" s="2472" customFormat="1">
      <c r="A56" s="2476"/>
      <c r="B56" s="2477"/>
      <c r="C56" s="2496">
        <f>C55+C57</f>
        <v>0</v>
      </c>
      <c r="D56" s="2496">
        <f t="shared" ref="D56:O56" si="22">D55+D57</f>
        <v>0</v>
      </c>
      <c r="E56" s="2496">
        <f t="shared" si="22"/>
        <v>22331156</v>
      </c>
      <c r="F56" s="2496">
        <f t="shared" si="22"/>
        <v>27158062</v>
      </c>
      <c r="G56" s="2496">
        <f t="shared" si="22"/>
        <v>29268149.043546669</v>
      </c>
      <c r="H56" s="2496">
        <f t="shared" si="22"/>
        <v>38768509.543191545</v>
      </c>
      <c r="I56" s="2496">
        <f t="shared" si="22"/>
        <v>50617381.579403922</v>
      </c>
      <c r="J56" s="2496">
        <f t="shared" si="22"/>
        <v>59823693.53993424</v>
      </c>
      <c r="K56" s="2496">
        <f t="shared" si="22"/>
        <v>69354432.552820072</v>
      </c>
      <c r="L56" s="2496">
        <f t="shared" si="22"/>
        <v>77056309.364797801</v>
      </c>
      <c r="M56" s="2496">
        <f t="shared" si="22"/>
        <v>86654691.012235552</v>
      </c>
      <c r="N56" s="2496">
        <f t="shared" si="22"/>
        <v>88404604.947769329</v>
      </c>
      <c r="O56" s="2496">
        <f t="shared" si="22"/>
        <v>92946228.790804625</v>
      </c>
    </row>
    <row r="57" spans="1:16" s="2472" customFormat="1">
      <c r="A57" s="4388" t="s">
        <v>265</v>
      </c>
      <c r="B57" s="4389"/>
      <c r="C57" s="2482"/>
      <c r="D57" s="2482"/>
      <c r="E57" s="2482">
        <v>22331156</v>
      </c>
      <c r="F57" s="2482">
        <v>27158062</v>
      </c>
      <c r="G57" s="2482">
        <v>29268149.043546669</v>
      </c>
      <c r="H57" s="2482">
        <v>38768509.543191545</v>
      </c>
      <c r="I57" s="2482">
        <v>50617381.579403922</v>
      </c>
      <c r="J57" s="2482">
        <v>59823693.53993424</v>
      </c>
      <c r="K57" s="2482">
        <v>69354432.552820072</v>
      </c>
      <c r="L57" s="2482">
        <v>77056309.364797801</v>
      </c>
      <c r="M57" s="2482">
        <v>86654691.012235552</v>
      </c>
      <c r="N57" s="2482">
        <v>88404604.947769329</v>
      </c>
      <c r="O57" s="2482">
        <v>92946228.790804625</v>
      </c>
      <c r="P57" s="2483"/>
    </row>
    <row r="58" spans="1:16" s="2472" customFormat="1">
      <c r="A58" s="2480"/>
      <c r="B58" s="2480"/>
      <c r="C58" s="2484"/>
      <c r="D58" s="2484"/>
      <c r="E58" s="2484"/>
      <c r="F58" s="2484"/>
      <c r="G58" s="2485"/>
      <c r="H58" s="2486"/>
      <c r="I58" s="2486"/>
      <c r="J58" s="2486"/>
      <c r="K58" s="2486"/>
      <c r="L58" s="2486"/>
      <c r="M58" s="2486"/>
      <c r="N58" s="2486"/>
      <c r="O58" s="2486"/>
    </row>
    <row r="59" spans="1:16" s="2491" customFormat="1">
      <c r="A59" s="2487"/>
      <c r="B59" s="2488"/>
      <c r="C59" s="2489"/>
      <c r="D59" s="2489"/>
      <c r="E59" s="2489"/>
      <c r="F59" s="2489"/>
      <c r="G59" s="2490"/>
      <c r="H59" s="2490"/>
      <c r="I59" s="2490"/>
      <c r="J59" s="2490"/>
      <c r="K59" s="2490"/>
      <c r="L59" s="2490"/>
      <c r="M59" s="2490"/>
      <c r="N59" s="2490"/>
      <c r="O59" s="2490"/>
    </row>
    <row r="60" spans="1:16" s="2492" customFormat="1">
      <c r="A60" s="2492" t="s">
        <v>2932</v>
      </c>
      <c r="C60" s="2493"/>
      <c r="D60" s="2494"/>
      <c r="E60" s="4304">
        <v>61864157</v>
      </c>
      <c r="F60" s="4304">
        <v>66618077.759999998</v>
      </c>
      <c r="G60" s="4304">
        <v>62237604.923647687</v>
      </c>
      <c r="H60" s="4304">
        <v>65693880.956563018</v>
      </c>
      <c r="I60" s="4304">
        <v>71903290.898893654</v>
      </c>
      <c r="J60" s="4304">
        <v>73809827.563561603</v>
      </c>
      <c r="K60" s="4304">
        <v>79625304.511364475</v>
      </c>
      <c r="L60" s="4304">
        <v>82494899.366328642</v>
      </c>
      <c r="M60" s="4304">
        <v>86668432.698481575</v>
      </c>
      <c r="N60" s="4304">
        <v>88404604.947769329</v>
      </c>
      <c r="O60" s="4304">
        <v>92946228.790804625</v>
      </c>
      <c r="P60" s="2475"/>
    </row>
    <row r="61" spans="1:16" s="2492" customFormat="1">
      <c r="A61" s="2492" t="s">
        <v>2933</v>
      </c>
      <c r="C61" s="2493"/>
      <c r="D61" s="2493"/>
      <c r="E61" s="4304">
        <v>20.582233121484396</v>
      </c>
      <c r="F61" s="4304">
        <v>24.082760369930366</v>
      </c>
      <c r="G61" s="4304">
        <v>23.431624122625049</v>
      </c>
      <c r="H61" s="4304">
        <v>24.542207304263986</v>
      </c>
      <c r="I61" s="4304">
        <v>26.602956994733688</v>
      </c>
      <c r="J61" s="4304">
        <v>27.775236773868965</v>
      </c>
      <c r="K61" s="4304">
        <v>29.605111397274687</v>
      </c>
      <c r="L61" s="4304">
        <v>30.880608896924603</v>
      </c>
      <c r="M61" s="4304">
        <v>32.120920886819313</v>
      </c>
      <c r="N61" s="4304">
        <v>33.090715016037912</v>
      </c>
      <c r="O61" s="4304">
        <v>34.439763896504637</v>
      </c>
    </row>
    <row r="62" spans="1:16" s="2492" customFormat="1">
      <c r="A62" s="2492" t="s">
        <v>2934</v>
      </c>
      <c r="C62" s="2493"/>
      <c r="D62" s="2493"/>
      <c r="E62" s="4304">
        <v>605.39452694608224</v>
      </c>
      <c r="F62" s="4304">
        <v>630.20516747198155</v>
      </c>
      <c r="G62" s="4304">
        <v>657.01477352150778</v>
      </c>
      <c r="H62" s="4304">
        <v>694.51667401319833</v>
      </c>
      <c r="I62" s="4304">
        <v>730.42574268142596</v>
      </c>
      <c r="J62" s="4304">
        <v>759.9563882652285</v>
      </c>
      <c r="K62" s="4304">
        <v>781.212659937269</v>
      </c>
      <c r="L62" s="4304">
        <v>798.81675875665235</v>
      </c>
      <c r="M62" s="4304">
        <v>820.84546153876545</v>
      </c>
      <c r="N62" s="4304">
        <v>837.3837298872636</v>
      </c>
      <c r="O62" s="4304">
        <v>853.66019223218484</v>
      </c>
    </row>
    <row r="63" spans="1:16" s="2492" customFormat="1">
      <c r="A63" s="2492" t="s">
        <v>2935</v>
      </c>
      <c r="C63" s="2493"/>
      <c r="D63" s="2493"/>
      <c r="E63" s="4304">
        <v>523.6162340351085</v>
      </c>
      <c r="F63" s="4304">
        <v>567.86314497488411</v>
      </c>
      <c r="G63" s="4304">
        <v>598.76090717166335</v>
      </c>
      <c r="H63" s="4304">
        <v>640.48748396616509</v>
      </c>
      <c r="I63" s="4304">
        <v>669.9676471736949</v>
      </c>
      <c r="J63" s="4304">
        <v>694.15645912554953</v>
      </c>
      <c r="K63" s="4304">
        <v>712.56397920374388</v>
      </c>
      <c r="L63" s="4304">
        <v>733.47716778105871</v>
      </c>
      <c r="M63" s="4304">
        <v>755.2155681819446</v>
      </c>
      <c r="N63" s="4304">
        <v>772.04413891166996</v>
      </c>
      <c r="O63" s="4304">
        <v>788.32060125659132</v>
      </c>
    </row>
    <row r="67" spans="1:15">
      <c r="C67" s="2473">
        <v>2014</v>
      </c>
      <c r="D67" s="2473">
        <v>2015</v>
      </c>
      <c r="E67" s="2473">
        <v>2016</v>
      </c>
      <c r="F67" s="2473">
        <v>2017</v>
      </c>
      <c r="G67" s="2473">
        <v>2018</v>
      </c>
      <c r="H67" s="2473">
        <v>2019</v>
      </c>
      <c r="I67" s="2473">
        <v>2020</v>
      </c>
      <c r="J67" s="2473">
        <v>2021</v>
      </c>
      <c r="K67" s="2473">
        <v>2022</v>
      </c>
      <c r="L67" s="2473">
        <v>2023</v>
      </c>
      <c r="M67" s="2473">
        <v>2024</v>
      </c>
      <c r="N67" s="2473">
        <v>2025</v>
      </c>
      <c r="O67" s="2473">
        <v>2026</v>
      </c>
    </row>
    <row r="68" spans="1:15">
      <c r="A68" s="2497" t="s">
        <v>3787</v>
      </c>
      <c r="B68" s="2498" t="s">
        <v>3788</v>
      </c>
      <c r="C68" s="2459"/>
      <c r="D68" s="2459"/>
      <c r="E68" s="2459">
        <v>6000</v>
      </c>
      <c r="F68" s="2459">
        <v>6000</v>
      </c>
      <c r="G68" s="2459">
        <v>6000</v>
      </c>
      <c r="H68" s="2459">
        <v>6000</v>
      </c>
      <c r="I68" s="2459">
        <v>6000</v>
      </c>
      <c r="J68" s="2459">
        <v>6000</v>
      </c>
      <c r="K68" s="2459">
        <v>6000</v>
      </c>
      <c r="L68" s="2459">
        <v>6000</v>
      </c>
      <c r="M68" s="2459">
        <v>6000</v>
      </c>
      <c r="N68" s="2459">
        <v>6000</v>
      </c>
      <c r="O68" s="2459">
        <v>6000</v>
      </c>
    </row>
    <row r="69" spans="1:15">
      <c r="A69" s="2497" t="s">
        <v>2936</v>
      </c>
      <c r="B69" s="2498" t="s">
        <v>2937</v>
      </c>
      <c r="C69" s="2459"/>
      <c r="D69" s="2459"/>
      <c r="E69" s="2459"/>
      <c r="F69" s="2459"/>
      <c r="G69" s="2459"/>
      <c r="H69" s="2459"/>
      <c r="I69" s="2459"/>
      <c r="J69" s="2459">
        <v>0</v>
      </c>
      <c r="K69" s="2459">
        <v>0</v>
      </c>
      <c r="L69" s="2459">
        <v>0</v>
      </c>
      <c r="M69" s="2459">
        <v>0</v>
      </c>
      <c r="N69" s="2459">
        <v>0</v>
      </c>
      <c r="O69" s="2459">
        <v>0</v>
      </c>
    </row>
    <row r="70" spans="1:15">
      <c r="A70" s="2497" t="s">
        <v>2938</v>
      </c>
      <c r="B70" s="2498" t="s">
        <v>2939</v>
      </c>
      <c r="C70" s="2459"/>
      <c r="D70" s="2459"/>
      <c r="E70" s="2459"/>
      <c r="F70" s="2459"/>
      <c r="G70" s="2459"/>
      <c r="H70" s="2459"/>
      <c r="I70" s="2459"/>
      <c r="J70" s="2459"/>
      <c r="K70" s="2459"/>
      <c r="L70" s="2459"/>
      <c r="M70" s="2459"/>
      <c r="N70" s="2459"/>
      <c r="O70" s="2459"/>
    </row>
    <row r="71" spans="1:15">
      <c r="A71" s="2497" t="s">
        <v>2940</v>
      </c>
      <c r="B71" s="2498" t="s">
        <v>2941</v>
      </c>
      <c r="C71" s="2459"/>
      <c r="D71" s="2459"/>
      <c r="E71" s="2459"/>
      <c r="F71" s="2459"/>
      <c r="G71" s="2459"/>
      <c r="H71" s="2459"/>
      <c r="I71" s="2459">
        <v>333333</v>
      </c>
      <c r="J71" s="2459">
        <v>1000000</v>
      </c>
      <c r="K71" s="2459">
        <v>1000000</v>
      </c>
      <c r="L71" s="2459">
        <v>1000000</v>
      </c>
      <c r="M71" s="2459">
        <v>1000000</v>
      </c>
      <c r="N71" s="2459">
        <v>1000000</v>
      </c>
      <c r="O71" s="2459">
        <v>1000000</v>
      </c>
    </row>
    <row r="72" spans="1:15">
      <c r="A72" s="2497" t="s">
        <v>2942</v>
      </c>
      <c r="B72" s="2498" t="s">
        <v>2943</v>
      </c>
      <c r="C72" s="2499"/>
      <c r="D72" s="2499"/>
      <c r="E72" s="2499">
        <v>100500</v>
      </c>
      <c r="F72" s="2499">
        <v>392000</v>
      </c>
      <c r="G72" s="2499">
        <v>692000</v>
      </c>
      <c r="H72" s="2499">
        <v>692000</v>
      </c>
      <c r="I72" s="2499">
        <v>692000</v>
      </c>
      <c r="J72" s="2499">
        <v>692000</v>
      </c>
      <c r="K72" s="2499">
        <v>692000</v>
      </c>
      <c r="L72" s="2499">
        <v>692000</v>
      </c>
      <c r="M72" s="2499">
        <v>692000</v>
      </c>
      <c r="N72" s="2499">
        <v>692000</v>
      </c>
      <c r="O72" s="2499">
        <v>692000</v>
      </c>
    </row>
    <row r="73" spans="1:15">
      <c r="A73" s="2500"/>
      <c r="B73" s="2501" t="s">
        <v>888</v>
      </c>
      <c r="C73" s="2502">
        <f>SUM(C68:C72)</f>
        <v>0</v>
      </c>
      <c r="D73" s="2502">
        <f t="shared" ref="D73:O73" si="23">SUM(D68:D72)</f>
        <v>0</v>
      </c>
      <c r="E73" s="2502">
        <f t="shared" si="23"/>
        <v>106500</v>
      </c>
      <c r="F73" s="2502">
        <f t="shared" si="23"/>
        <v>398000</v>
      </c>
      <c r="G73" s="2502">
        <f t="shared" si="23"/>
        <v>698000</v>
      </c>
      <c r="H73" s="2502">
        <f t="shared" si="23"/>
        <v>698000</v>
      </c>
      <c r="I73" s="2502">
        <f t="shared" si="23"/>
        <v>1031333</v>
      </c>
      <c r="J73" s="2502">
        <f t="shared" si="23"/>
        <v>1698000</v>
      </c>
      <c r="K73" s="2502">
        <f t="shared" si="23"/>
        <v>1698000</v>
      </c>
      <c r="L73" s="2502">
        <f t="shared" si="23"/>
        <v>1698000</v>
      </c>
      <c r="M73" s="2502">
        <f t="shared" si="23"/>
        <v>1698000</v>
      </c>
      <c r="N73" s="2502">
        <f t="shared" si="23"/>
        <v>1698000</v>
      </c>
      <c r="O73" s="2502">
        <f t="shared" si="23"/>
        <v>1698000</v>
      </c>
    </row>
    <row r="78" spans="1:15">
      <c r="A78" s="1584"/>
      <c r="B78" s="2453" t="s">
        <v>2944</v>
      </c>
      <c r="C78" s="2453"/>
      <c r="D78" s="2453"/>
      <c r="E78" s="2453"/>
      <c r="F78" s="2453"/>
      <c r="G78" s="2453"/>
      <c r="H78" s="2453"/>
      <c r="I78" s="2453"/>
      <c r="J78" s="2454"/>
      <c r="K78" s="2454"/>
      <c r="L78" s="2454"/>
      <c r="M78" s="2454"/>
      <c r="N78" s="1584"/>
    </row>
    <row r="79" spans="1:15">
      <c r="A79" s="2454"/>
      <c r="B79" s="2455" t="s">
        <v>2945</v>
      </c>
      <c r="C79" s="2453"/>
      <c r="D79" s="2453"/>
      <c r="E79" s="2453"/>
      <c r="F79" s="2453"/>
      <c r="G79" s="2453"/>
      <c r="H79" s="2453"/>
      <c r="I79" s="2453"/>
      <c r="J79" s="2454"/>
      <c r="K79" s="2454"/>
      <c r="L79" s="2454"/>
      <c r="M79" s="2454"/>
      <c r="N79" s="1584"/>
    </row>
    <row r="80" spans="1:15">
      <c r="A80" s="2454"/>
      <c r="B80" s="2455"/>
      <c r="C80" s="2453"/>
      <c r="D80" s="2456"/>
      <c r="E80" s="2456"/>
      <c r="F80" s="2456"/>
      <c r="G80" s="2456"/>
      <c r="H80" s="2456"/>
      <c r="I80" s="2456"/>
      <c r="J80" s="2457"/>
      <c r="K80" s="2457"/>
      <c r="L80" s="2457"/>
      <c r="M80" s="2457"/>
      <c r="N80" s="1529"/>
    </row>
    <row r="81" spans="1:14">
      <c r="A81" s="2454"/>
      <c r="B81" s="2455" t="s">
        <v>2946</v>
      </c>
      <c r="C81" s="2453"/>
      <c r="D81" s="2453"/>
      <c r="E81" s="2453"/>
      <c r="F81" s="2453"/>
      <c r="G81" s="2453"/>
      <c r="H81" s="2453"/>
      <c r="I81" s="2453"/>
      <c r="J81" s="2454"/>
      <c r="K81" s="2454"/>
      <c r="L81" s="2454"/>
      <c r="M81" s="2454"/>
      <c r="N81" s="1584"/>
    </row>
    <row r="82" spans="1:14">
      <c r="A82" s="2454"/>
      <c r="B82" s="2455"/>
      <c r="C82" s="2453"/>
      <c r="D82" s="2453"/>
      <c r="E82" s="2453"/>
      <c r="F82" s="2453"/>
      <c r="G82" s="2453"/>
      <c r="H82" s="2453"/>
      <c r="I82" s="2453"/>
      <c r="J82" s="2454"/>
      <c r="K82" s="2454"/>
      <c r="L82" s="2454"/>
      <c r="M82" s="2454"/>
      <c r="N82" s="1584"/>
    </row>
    <row r="83" spans="1:14">
      <c r="A83" s="2454"/>
      <c r="B83" s="2455" t="s">
        <v>2947</v>
      </c>
      <c r="C83" s="2453"/>
      <c r="D83" s="2453"/>
      <c r="E83" s="2453"/>
      <c r="F83" s="2453"/>
      <c r="G83" s="2453"/>
      <c r="H83" s="2453"/>
      <c r="I83" s="2453"/>
      <c r="J83" s="2454"/>
      <c r="K83" s="2454"/>
      <c r="L83" s="2454"/>
      <c r="M83" s="2454"/>
      <c r="N83" s="1584"/>
    </row>
    <row r="84" spans="1:14">
      <c r="A84" s="2454"/>
      <c r="B84" s="2455"/>
      <c r="C84" s="2453"/>
      <c r="D84" s="2453"/>
      <c r="E84" s="2453"/>
      <c r="F84" s="2453"/>
      <c r="G84" s="2453"/>
      <c r="H84" s="2453"/>
      <c r="I84" s="2453"/>
      <c r="J84" s="2454"/>
      <c r="K84" s="2454"/>
      <c r="L84" s="2454"/>
      <c r="M84" s="2454"/>
      <c r="N84" s="1584"/>
    </row>
    <row r="85" spans="1:14">
      <c r="A85" s="2454"/>
      <c r="B85" s="2455" t="s">
        <v>2948</v>
      </c>
      <c r="C85" s="2453"/>
      <c r="D85" s="2453"/>
      <c r="E85" s="2453"/>
      <c r="F85" s="2453"/>
      <c r="G85" s="2453"/>
      <c r="H85" s="2453"/>
      <c r="I85" s="2453"/>
      <c r="J85" s="2454"/>
      <c r="K85" s="2454"/>
      <c r="L85" s="2454"/>
      <c r="M85" s="2454"/>
      <c r="N85" s="1584"/>
    </row>
    <row r="86" spans="1:14">
      <c r="A86" s="2454"/>
      <c r="B86" s="2455"/>
      <c r="C86" s="2453"/>
      <c r="D86" s="2456"/>
      <c r="E86" s="2456"/>
      <c r="F86" s="2456"/>
      <c r="G86" s="2456"/>
      <c r="H86" s="2456"/>
      <c r="I86" s="2456"/>
      <c r="J86" s="2457"/>
      <c r="K86" s="2457"/>
      <c r="L86" s="2457"/>
      <c r="M86" s="2457"/>
      <c r="N86" s="1529"/>
    </row>
    <row r="87" spans="1:14">
      <c r="A87" s="1584"/>
      <c r="B87" s="2458" t="s">
        <v>2949</v>
      </c>
      <c r="C87" s="2503"/>
      <c r="D87" s="2503"/>
      <c r="E87" s="2503"/>
      <c r="F87" s="2503"/>
      <c r="G87" s="2503"/>
      <c r="H87" s="2503"/>
      <c r="I87" s="2503"/>
      <c r="J87" s="1584"/>
      <c r="K87" s="1584"/>
      <c r="L87" s="1584"/>
      <c r="M87" s="1584"/>
      <c r="N87" s="1584"/>
    </row>
    <row r="89" spans="1:14">
      <c r="A89" s="3691" t="s">
        <v>3786</v>
      </c>
    </row>
    <row r="90" spans="1:14">
      <c r="A90" s="2519" t="s">
        <v>2929</v>
      </c>
    </row>
    <row r="91" spans="1:14">
      <c r="A91" s="2519" t="s">
        <v>2930</v>
      </c>
    </row>
  </sheetData>
  <mergeCells count="5">
    <mergeCell ref="A57:B57"/>
    <mergeCell ref="B33:E33"/>
    <mergeCell ref="A37:B37"/>
    <mergeCell ref="A38:B38"/>
    <mergeCell ref="A39:B39"/>
  </mergeCells>
  <conditionalFormatting sqref="C34:O34">
    <cfRule type="cellIs" dxfId="46" priority="4" stopIfTrue="1" operator="equal">
      <formula>$A$91</formula>
    </cfRule>
    <cfRule type="cellIs" dxfId="45" priority="5" stopIfTrue="1" operator="equal">
      <formula>$A$90</formula>
    </cfRule>
    <cfRule type="cellIs" dxfId="44" priority="6" stopIfTrue="1" operator="equal">
      <formula>$A$89</formula>
    </cfRule>
  </conditionalFormatting>
  <dataValidations disablePrompts="1" count="1">
    <dataValidation type="list" allowBlank="1" showInputMessage="1" showErrorMessage="1" sqref="C34:O34">
      <formula1>NetPowerScenario</formula1>
    </dataValidation>
  </dataValidations>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3399"/>
    <pageSetUpPr fitToPage="1"/>
  </sheetPr>
  <dimension ref="A1:AF4831"/>
  <sheetViews>
    <sheetView showGridLines="0" zoomScale="85" zoomScaleNormal="85" zoomScaleSheetLayoutView="50" workbookViewId="0">
      <pane xSplit="5" ySplit="7" topLeftCell="F56" activePane="bottomRight" state="frozen"/>
      <selection pane="topRight" activeCell="F1" sqref="F1"/>
      <selection pane="bottomLeft" activeCell="A8" sqref="A8"/>
      <selection pane="bottomRight" activeCell="K34" sqref="K34"/>
    </sheetView>
  </sheetViews>
  <sheetFormatPr defaultRowHeight="15.75" zeroHeight="1"/>
  <cols>
    <col min="1" max="1" width="22.5" style="1361" customWidth="1"/>
    <col min="2" max="2" width="2.625" style="1361" customWidth="1"/>
    <col min="3" max="3" width="6.625" style="1361" customWidth="1"/>
    <col min="4" max="4" width="5.5" style="1361" customWidth="1"/>
    <col min="5" max="5" width="33.5" style="1361" customWidth="1"/>
    <col min="6" max="6" width="16.125" style="1361" customWidth="1"/>
    <col min="7" max="7" width="15.5" style="1361" customWidth="1"/>
    <col min="8" max="8" width="18.5" style="1361" customWidth="1"/>
    <col min="9" max="9" width="14.625" style="1361" customWidth="1"/>
    <col min="10" max="10" width="16" style="1361" bestFit="1" customWidth="1"/>
    <col min="11" max="11" width="15.375" style="1361" bestFit="1" customWidth="1"/>
    <col min="12" max="20" width="14.625" style="1361" customWidth="1"/>
    <col min="21" max="21" width="15.75" style="1361" bestFit="1" customWidth="1"/>
    <col min="22" max="23" width="14.625" style="1361" customWidth="1"/>
    <col min="24" max="24" width="2.625" style="1361" customWidth="1"/>
    <col min="25" max="25" width="26.5" style="1361" bestFit="1" customWidth="1"/>
    <col min="26" max="26" width="2.625" style="1361" customWidth="1"/>
    <col min="27" max="27" width="9" style="1361" customWidth="1"/>
    <col min="28" max="28" width="2.625" style="1361" customWidth="1"/>
    <col min="29" max="16384" width="9" style="1361"/>
  </cols>
  <sheetData>
    <row r="1" spans="1:32" ht="23.25">
      <c r="A1" s="1360"/>
      <c r="C1" s="4396" t="s">
        <v>167</v>
      </c>
      <c r="D1" s="4396"/>
      <c r="E1" s="4396"/>
      <c r="F1" s="4396"/>
      <c r="G1" s="4396"/>
      <c r="H1" s="4396"/>
      <c r="I1" s="4396"/>
      <c r="J1" s="4396"/>
      <c r="K1" s="4396"/>
      <c r="L1" s="1362"/>
      <c r="M1" s="1362"/>
      <c r="N1" s="1362"/>
      <c r="O1" s="1362"/>
      <c r="P1" s="1362"/>
      <c r="Q1" s="1362"/>
      <c r="R1" s="1362"/>
      <c r="S1" s="1362"/>
      <c r="T1" s="1362"/>
      <c r="U1" s="1362"/>
      <c r="V1" s="1362"/>
      <c r="W1" s="1362"/>
      <c r="Y1" s="1362"/>
      <c r="AC1" s="1622" t="s">
        <v>2538</v>
      </c>
    </row>
    <row r="2" spans="1:32" ht="23.25">
      <c r="A2" s="1360"/>
      <c r="C2" s="4396" t="s">
        <v>717</v>
      </c>
      <c r="D2" s="4396"/>
      <c r="E2" s="4396"/>
      <c r="F2" s="4396"/>
      <c r="G2" s="4396"/>
      <c r="H2" s="4396"/>
      <c r="I2" s="4396"/>
      <c r="J2" s="4396"/>
      <c r="K2" s="4396"/>
      <c r="L2" s="1362"/>
      <c r="M2" s="1362"/>
      <c r="N2" s="1362"/>
      <c r="O2" s="1362"/>
      <c r="P2" s="1362"/>
      <c r="Q2" s="1362"/>
      <c r="R2" s="1362"/>
      <c r="S2" s="1362"/>
      <c r="T2" s="1362"/>
      <c r="U2" s="1362"/>
      <c r="V2" s="1362"/>
      <c r="W2" s="1362"/>
      <c r="Y2" s="1362"/>
      <c r="AC2" s="4225" t="s">
        <v>3977</v>
      </c>
      <c r="AF2" s="4226" t="s">
        <v>3980</v>
      </c>
    </row>
    <row r="3" spans="1:32" ht="23.25">
      <c r="A3" s="1360"/>
      <c r="C3" s="4396" t="s">
        <v>866</v>
      </c>
      <c r="D3" s="4396"/>
      <c r="E3" s="4396"/>
      <c r="F3" s="4396"/>
      <c r="G3" s="4396"/>
      <c r="H3" s="4396"/>
      <c r="I3" s="4396"/>
      <c r="J3" s="4396"/>
      <c r="K3" s="4396"/>
      <c r="L3" s="1362"/>
      <c r="M3" s="1362"/>
      <c r="N3" s="1362"/>
      <c r="O3" s="1362"/>
      <c r="P3" s="1362"/>
      <c r="Q3" s="1362"/>
      <c r="R3" s="1362"/>
      <c r="S3" s="1362"/>
      <c r="T3" s="1362"/>
      <c r="U3" s="1362"/>
      <c r="V3" s="1362"/>
      <c r="W3" s="1362"/>
      <c r="Y3" s="1362"/>
      <c r="AC3" s="4225" t="s">
        <v>3978</v>
      </c>
      <c r="AF3" s="4226" t="s">
        <v>3980</v>
      </c>
    </row>
    <row r="4" spans="1:32">
      <c r="A4" s="1360"/>
      <c r="C4" s="1363"/>
      <c r="D4" s="1364"/>
      <c r="E4" s="1365"/>
      <c r="F4" s="1366"/>
      <c r="G4" s="1366"/>
      <c r="H4" s="1364"/>
      <c r="I4" s="1364"/>
      <c r="J4" s="1364"/>
      <c r="K4" s="1364"/>
      <c r="L4" s="1364"/>
      <c r="M4" s="1364"/>
      <c r="N4" s="1364"/>
      <c r="O4" s="1364"/>
      <c r="P4" s="1364"/>
      <c r="Q4" s="1364"/>
      <c r="R4" s="1364"/>
      <c r="S4" s="1364"/>
      <c r="T4" s="1364"/>
      <c r="U4" s="1364"/>
      <c r="V4" s="1364"/>
      <c r="W4" s="1364"/>
      <c r="Y4" s="1364"/>
      <c r="AC4" s="4225" t="s">
        <v>3979</v>
      </c>
      <c r="AF4" s="4226" t="s">
        <v>3981</v>
      </c>
    </row>
    <row r="5" spans="1:32" ht="16.5" thickBot="1">
      <c r="A5" s="1360"/>
      <c r="C5" s="1367"/>
      <c r="D5" s="1364"/>
      <c r="E5" s="1365"/>
      <c r="F5" s="1366"/>
      <c r="G5" s="1366"/>
      <c r="H5" s="1364"/>
      <c r="I5" s="1364"/>
      <c r="J5" s="1364"/>
      <c r="K5" s="1364"/>
      <c r="L5" s="1364"/>
      <c r="M5" s="1364"/>
      <c r="N5" s="1364"/>
      <c r="O5" s="1364"/>
      <c r="P5" s="1364"/>
      <c r="Q5" s="1364"/>
      <c r="R5" s="1364"/>
      <c r="S5" s="1364"/>
      <c r="T5" s="1364"/>
      <c r="U5" s="1364"/>
      <c r="V5" s="1364"/>
      <c r="W5" s="1364"/>
      <c r="Y5" s="1364"/>
      <c r="AC5" s="1622"/>
    </row>
    <row r="6" spans="1:32" ht="16.5" thickBot="1">
      <c r="A6" s="1360"/>
      <c r="C6" s="1368" t="s">
        <v>867</v>
      </c>
      <c r="D6" s="1368" t="s">
        <v>115</v>
      </c>
      <c r="E6" s="4397" t="s">
        <v>399</v>
      </c>
      <c r="F6" s="1369" t="s">
        <v>112</v>
      </c>
      <c r="G6" s="1369"/>
      <c r="H6" s="1369"/>
      <c r="I6" s="1369"/>
      <c r="J6" s="1369"/>
      <c r="K6" s="1369"/>
      <c r="L6" s="1369"/>
      <c r="M6" s="1369"/>
      <c r="N6" s="1369"/>
      <c r="O6" s="1369"/>
      <c r="P6" s="1369"/>
      <c r="Q6" s="1369"/>
      <c r="R6" s="1369"/>
      <c r="S6" s="1369"/>
      <c r="T6" s="1369"/>
      <c r="U6" s="1369"/>
      <c r="V6" s="1369"/>
      <c r="W6" s="1369"/>
      <c r="X6" s="1370"/>
      <c r="Y6" s="1371"/>
      <c r="AA6" s="1372" t="s">
        <v>611</v>
      </c>
      <c r="AC6" s="1622"/>
    </row>
    <row r="7" spans="1:32">
      <c r="A7" s="1360"/>
      <c r="C7" s="1373" t="s">
        <v>398</v>
      </c>
      <c r="D7" s="1373" t="s">
        <v>604</v>
      </c>
      <c r="E7" s="4398"/>
      <c r="F7" s="1374">
        <v>2009</v>
      </c>
      <c r="G7" s="1374">
        <v>2010</v>
      </c>
      <c r="H7" s="1374">
        <f>+G7+1</f>
        <v>2011</v>
      </c>
      <c r="I7" s="1374">
        <f>+H7+1</f>
        <v>2012</v>
      </c>
      <c r="J7" s="1374">
        <f>Dashboard!F$7</f>
        <v>2013</v>
      </c>
      <c r="K7" s="1374">
        <f>Dashboard!G$7</f>
        <v>2014</v>
      </c>
      <c r="L7" s="1374">
        <f>Dashboard!H$7</f>
        <v>2015</v>
      </c>
      <c r="M7" s="1374">
        <f>Dashboard!I$7</f>
        <v>2016</v>
      </c>
      <c r="N7" s="1374">
        <f>Dashboard!J$7</f>
        <v>2017</v>
      </c>
      <c r="O7" s="1374">
        <f>Dashboard!K$7</f>
        <v>2018</v>
      </c>
      <c r="P7" s="1374">
        <f>Dashboard!L$7</f>
        <v>2019</v>
      </c>
      <c r="Q7" s="1374">
        <f>Dashboard!M$7</f>
        <v>2020</v>
      </c>
      <c r="R7" s="1374">
        <f>Dashboard!N$7</f>
        <v>2021</v>
      </c>
      <c r="S7" s="1374">
        <f>Dashboard!O$7</f>
        <v>2022</v>
      </c>
      <c r="T7" s="1374">
        <f>Dashboard!P$7</f>
        <v>2023</v>
      </c>
      <c r="U7" s="1374">
        <f>Dashboard!Q$7</f>
        <v>2024</v>
      </c>
      <c r="V7" s="1374">
        <f>Dashboard!R$7</f>
        <v>2025</v>
      </c>
      <c r="W7" s="1374">
        <f>Dashboard!S$7</f>
        <v>2026</v>
      </c>
      <c r="Y7" s="1375" t="s">
        <v>114</v>
      </c>
      <c r="AA7" s="1376">
        <v>0</v>
      </c>
      <c r="AC7" s="1622"/>
    </row>
    <row r="8" spans="1:32">
      <c r="A8" s="1360"/>
      <c r="C8" s="1367"/>
      <c r="D8" s="1366"/>
      <c r="E8" s="1377"/>
      <c r="F8" s="1366"/>
      <c r="G8" s="1366"/>
      <c r="H8" s="1366"/>
      <c r="I8" s="1366"/>
      <c r="J8" s="1366"/>
      <c r="K8" s="1366"/>
      <c r="L8" s="1366"/>
      <c r="M8" s="1366"/>
      <c r="N8" s="1366"/>
      <c r="O8" s="1366"/>
      <c r="P8" s="1366"/>
      <c r="Q8" s="1366"/>
      <c r="R8" s="1366"/>
      <c r="S8" s="1366"/>
      <c r="T8" s="1366"/>
      <c r="U8" s="1366"/>
      <c r="V8" s="1366"/>
      <c r="W8" s="1366"/>
      <c r="Y8" s="1366"/>
      <c r="AC8" s="1621"/>
    </row>
    <row r="9" spans="1:32">
      <c r="A9" s="1360"/>
      <c r="C9" s="1378"/>
      <c r="D9" s="1379"/>
      <c r="E9" s="1375" t="s">
        <v>620</v>
      </c>
      <c r="F9" s="1380"/>
      <c r="G9" s="1380"/>
      <c r="H9" s="1380"/>
      <c r="I9" s="1380"/>
      <c r="J9" s="1380"/>
      <c r="K9" s="1380"/>
      <c r="L9" s="1380"/>
      <c r="M9" s="1380"/>
      <c r="N9" s="1380"/>
      <c r="O9" s="1380"/>
      <c r="P9" s="1380"/>
      <c r="Q9" s="1380"/>
      <c r="R9" s="1380"/>
      <c r="S9" s="1380"/>
      <c r="T9" s="1380"/>
      <c r="U9" s="1380"/>
      <c r="V9" s="1380"/>
      <c r="W9" s="1380"/>
      <c r="Y9" s="1379"/>
      <c r="AC9" s="1621"/>
    </row>
    <row r="10" spans="1:32">
      <c r="A10" s="1360"/>
      <c r="C10" s="1367"/>
      <c r="D10" s="1366"/>
      <c r="E10" s="1381"/>
      <c r="F10" s="1366"/>
      <c r="G10" s="1366"/>
      <c r="H10" s="1366"/>
      <c r="I10" s="1366"/>
      <c r="J10" s="1366"/>
      <c r="K10" s="1366"/>
      <c r="L10" s="1366"/>
      <c r="M10" s="1366"/>
      <c r="N10" s="1366"/>
      <c r="O10" s="1366"/>
      <c r="P10" s="1366"/>
      <c r="Q10" s="1366"/>
      <c r="R10" s="1366"/>
      <c r="S10" s="1366"/>
      <c r="T10" s="1366"/>
      <c r="U10" s="1366"/>
      <c r="V10" s="1366"/>
      <c r="W10" s="1366"/>
      <c r="Y10" s="1366"/>
      <c r="AC10" s="1621"/>
    </row>
    <row r="11" spans="1:32" ht="16.5" thickBot="1">
      <c r="A11" s="1360"/>
      <c r="C11" s="1378"/>
      <c r="D11" s="1379"/>
      <c r="E11" s="1382" t="s">
        <v>13</v>
      </c>
      <c r="F11" s="1380"/>
      <c r="G11" s="1380"/>
      <c r="H11" s="1380"/>
      <c r="I11" s="1380"/>
      <c r="J11" s="1380"/>
      <c r="K11" s="1380"/>
      <c r="L11" s="1380"/>
      <c r="M11" s="1380"/>
      <c r="N11" s="4205"/>
      <c r="O11" s="4205"/>
      <c r="P11" s="4205"/>
      <c r="Q11" s="4205"/>
      <c r="R11" s="4205"/>
      <c r="S11" s="4205"/>
      <c r="T11" s="4205"/>
      <c r="U11" s="4205"/>
      <c r="V11" s="4205"/>
      <c r="W11" s="4205"/>
      <c r="Y11" s="1379"/>
      <c r="AC11" s="1621"/>
    </row>
    <row r="12" spans="1:32">
      <c r="A12" s="1360"/>
      <c r="C12" s="1367">
        <f>MAX(C11:C$11)+1</f>
        <v>1</v>
      </c>
      <c r="D12" s="1367">
        <f>Cust_Esca!C10</f>
        <v>1</v>
      </c>
      <c r="E12" s="1377" t="s">
        <v>606</v>
      </c>
      <c r="F12" s="1383">
        <v>17629</v>
      </c>
      <c r="G12" s="1384">
        <f>ROUND((1+INDEX(Cust_Esca!$E$10:$U$56,MATCH($D12,Cust_Esca!$C$10:$C$56,0),MATCH(G$7,Cust_Esca!$E$7:$U$7,0)))*F12,$AA$7)</f>
        <v>17629</v>
      </c>
      <c r="H12" s="1384">
        <f>ROUND((1+INDEX(Cust_Esca!$E$10:$U$56,MATCH($D12,Cust_Esca!$C$10:$C$56,0),MATCH(H$7,Cust_Esca!$E$7:$U$7,0)))*G12,$AA$7)</f>
        <v>17629</v>
      </c>
      <c r="I12" s="2894">
        <v>18067</v>
      </c>
      <c r="J12" s="2895">
        <v>18237</v>
      </c>
      <c r="K12" s="2894">
        <v>18517</v>
      </c>
      <c r="L12" s="2895">
        <v>18763</v>
      </c>
      <c r="M12" s="2895">
        <f>ROUND(37167*(L12/(L12+L16)),0)</f>
        <v>19186</v>
      </c>
      <c r="N12" s="2895">
        <f>ROUND(37675*(L12/(L12+L16)),0)</f>
        <v>19448</v>
      </c>
      <c r="O12" s="1385">
        <f>ROUND((1+INDEX(Cust_Esca!$E$10:$U$56,MATCH($D12,Cust_Esca!$C$10:$C$56,0),MATCH(O$7,Cust_Esca!$E$7:$U$7,0)))*N12,$AA$7)</f>
        <v>19715</v>
      </c>
      <c r="P12" s="1385">
        <f>ROUND((1+INDEX(Cust_Esca!$E$10:$U$56,MATCH($D12,Cust_Esca!$C$10:$C$56,0),MATCH(P$7,Cust_Esca!$E$7:$U$7,0)))*O12,$AA$7)</f>
        <v>19985</v>
      </c>
      <c r="Q12" s="1385">
        <f>ROUND((1+INDEX(Cust_Esca!$E$10:$U$56,MATCH($D12,Cust_Esca!$C$10:$C$56,0),MATCH(Q$7,Cust_Esca!$E$7:$U$7,0)))*P12,$AA$7)</f>
        <v>20260</v>
      </c>
      <c r="R12" s="1385">
        <f>ROUND((1+INDEX(Cust_Esca!$E$10:$U$56,MATCH($D12,Cust_Esca!$C$10:$C$56,0),MATCH(R$7,Cust_Esca!$E$7:$U$7,0)))*Q12,$AA$7)</f>
        <v>20538</v>
      </c>
      <c r="S12" s="1385">
        <f>ROUND((1+INDEX(Cust_Esca!$E$10:$U$56,MATCH($D12,Cust_Esca!$C$10:$C$56,0),MATCH(S$7,Cust_Esca!$E$7:$U$7,0)))*R12,$AA$7)</f>
        <v>20821</v>
      </c>
      <c r="T12" s="1385">
        <f>ROUND((1+INDEX(Cust_Esca!$E$10:$U$56,MATCH($D12,Cust_Esca!$C$10:$C$56,0),MATCH(T$7,Cust_Esca!$E$7:$U$7,0)))*S12,$AA$7)</f>
        <v>21108</v>
      </c>
      <c r="U12" s="1385">
        <f>ROUND((1+INDEX(Cust_Esca!$E$10:$U$56,MATCH($D12,Cust_Esca!$C$10:$C$56,0),MATCH(U$7,Cust_Esca!$E$7:$U$7,0)))*T12,$AA$7)</f>
        <v>21400</v>
      </c>
      <c r="V12" s="1385">
        <f>ROUND((1+INDEX(Cust_Esca!$E$10:$U$56,MATCH($D12,Cust_Esca!$C$10:$C$56,0),MATCH(V$7,Cust_Esca!$E$7:$U$7,0)))*U12,$AA$7)</f>
        <v>21696</v>
      </c>
      <c r="W12" s="1385">
        <f>ROUND((1+INDEX(Cust_Esca!$E$10:$U$56,MATCH($D12,Cust_Esca!$C$10:$C$56,0),MATCH(W$7,Cust_Esca!$E$7:$U$7,0)))*V12,$AA$7)</f>
        <v>21996</v>
      </c>
      <c r="Y12" s="1385">
        <f>SUMIF($F$7:$W$7,TY_Units!$H$5,$F12:$W12)</f>
        <v>21400</v>
      </c>
    </row>
    <row r="13" spans="1:32" ht="16.5" thickBot="1">
      <c r="A13" s="1360"/>
      <c r="C13" s="1367">
        <f>MAX(C$12:C12)+1</f>
        <v>2</v>
      </c>
      <c r="D13" s="1367">
        <f>Cust_Esca!C11</f>
        <v>2</v>
      </c>
      <c r="E13" s="1377" t="s">
        <v>902</v>
      </c>
      <c r="F13" s="1386">
        <v>368156438.74840677</v>
      </c>
      <c r="G13" s="1387">
        <f>ROUND((1+INDEX(Cust_Esca!$E$10:$U$56,MATCH($D13,Cust_Esca!$C$10:$C$56,0),MATCH(G$7,Cust_Esca!$E$7:$U$7,0)))*F13,$AA$7)</f>
        <v>368156439</v>
      </c>
      <c r="H13" s="1387">
        <f>ROUND((1+INDEX(Cust_Esca!$E$10:$U$56,MATCH($D13,Cust_Esca!$C$10:$C$56,0),MATCH(H$7,Cust_Esca!$E$7:$U$7,0)))*G13,$AA$7)</f>
        <v>368156439</v>
      </c>
      <c r="I13" s="1388">
        <v>337201713</v>
      </c>
      <c r="J13" s="1389">
        <v>353397643</v>
      </c>
      <c r="K13" s="1388">
        <v>346893491</v>
      </c>
      <c r="L13" s="1389">
        <v>321336012</v>
      </c>
      <c r="M13" s="1389">
        <f>795252550*(L13/(L13+L17))</f>
        <v>331120363.99830925</v>
      </c>
      <c r="N13" s="1389">
        <f>806135000*(L13/(L13+L17))</f>
        <v>335651504.20677936</v>
      </c>
      <c r="O13" s="1385">
        <f>ROUND((1+INDEX(Cust_Esca!$E$10:$U$56,MATCH($D13,Cust_Esca!$C$10:$C$56,0),MATCH(O$7,Cust_Esca!$E$7:$U$7,0)))*N13,$AA$7)</f>
        <v>340250599</v>
      </c>
      <c r="P13" s="1385">
        <f>ROUND((1+INDEX(Cust_Esca!$E$10:$U$56,MATCH($D13,Cust_Esca!$C$10:$C$56,0),MATCH(P$7,Cust_Esca!$E$7:$U$7,0)))*O13,$AA$7)</f>
        <v>344918680</v>
      </c>
      <c r="Q13" s="1385">
        <f>ROUND((1+INDEX(Cust_Esca!$E$10:$U$56,MATCH($D13,Cust_Esca!$C$10:$C$56,0),MATCH(Q$7,Cust_Esca!$E$7:$U$7,0)))*P13,$AA$7)</f>
        <v>349656782</v>
      </c>
      <c r="R13" s="1385">
        <f>ROUND((1+INDEX(Cust_Esca!$E$10:$U$56,MATCH($D13,Cust_Esca!$C$10:$C$56,0),MATCH(R$7,Cust_Esca!$E$7:$U$7,0)))*Q13,$AA$7)</f>
        <v>354465955</v>
      </c>
      <c r="S13" s="1385">
        <f>ROUND((1+INDEX(Cust_Esca!$E$10:$U$56,MATCH($D13,Cust_Esca!$C$10:$C$56,0),MATCH(S$7,Cust_Esca!$E$7:$U$7,0)))*R13,$AA$7)</f>
        <v>359347266</v>
      </c>
      <c r="T13" s="1385">
        <f>ROUND((1+INDEX(Cust_Esca!$E$10:$U$56,MATCH($D13,Cust_Esca!$C$10:$C$56,0),MATCH(T$7,Cust_Esca!$E$7:$U$7,0)))*S13,$AA$7)</f>
        <v>364301797</v>
      </c>
      <c r="U13" s="1385">
        <f>ROUND((1+INDEX(Cust_Esca!$E$10:$U$56,MATCH($D13,Cust_Esca!$C$10:$C$56,0),MATCH(U$7,Cust_Esca!$E$7:$U$7,0)))*T13,$AA$7)</f>
        <v>369330646</v>
      </c>
      <c r="V13" s="1385">
        <f>ROUND((1+INDEX(Cust_Esca!$E$10:$U$56,MATCH($D13,Cust_Esca!$C$10:$C$56,0),MATCH(V$7,Cust_Esca!$E$7:$U$7,0)))*U13,$AA$7)</f>
        <v>374434927</v>
      </c>
      <c r="W13" s="1385">
        <f>ROUND((1+INDEX(Cust_Esca!$E$10:$U$56,MATCH($D13,Cust_Esca!$C$10:$C$56,0),MATCH(W$7,Cust_Esca!$E$7:$U$7,0)))*V13,$AA$7)</f>
        <v>379615773</v>
      </c>
      <c r="Y13" s="1385">
        <f>SUMIF($F$7:$W$7,TY_Units!$H$5,$F13:$W13)</f>
        <v>369330646</v>
      </c>
    </row>
    <row r="14" spans="1:32">
      <c r="A14" s="1360"/>
      <c r="C14" s="1367">
        <f>MAX(C$12:C13)+1</f>
        <v>3</v>
      </c>
      <c r="D14" s="1367"/>
      <c r="E14" s="1390"/>
      <c r="F14" s="1391"/>
      <c r="G14" s="1391"/>
      <c r="H14" s="1391"/>
      <c r="I14" s="1391"/>
      <c r="J14" s="1391"/>
      <c r="K14" s="1391"/>
      <c r="L14" s="1391"/>
      <c r="M14" s="1391"/>
      <c r="N14" s="1391"/>
      <c r="O14" s="1391"/>
      <c r="P14" s="1391"/>
      <c r="Q14" s="1391"/>
      <c r="R14" s="1391"/>
      <c r="S14" s="1391"/>
      <c r="T14" s="1391"/>
      <c r="U14" s="1391"/>
      <c r="V14" s="1391"/>
      <c r="W14" s="1391"/>
      <c r="Y14" s="1391"/>
    </row>
    <row r="15" spans="1:32" ht="16.5" thickBot="1">
      <c r="A15" s="1360"/>
      <c r="C15" s="1367">
        <f>MAX(C$12:C14)+1</f>
        <v>4</v>
      </c>
      <c r="D15" s="1367"/>
      <c r="E15" s="1382" t="s">
        <v>14</v>
      </c>
      <c r="F15" s="1380"/>
      <c r="G15" s="1380"/>
      <c r="H15" s="1380"/>
      <c r="I15" s="1380"/>
      <c r="J15" s="1380"/>
      <c r="K15" s="1380"/>
      <c r="L15" s="1380"/>
      <c r="M15" s="1380"/>
      <c r="N15" s="1380"/>
      <c r="O15" s="1380"/>
      <c r="P15" s="1380"/>
      <c r="Q15" s="1380"/>
      <c r="R15" s="1380"/>
      <c r="S15" s="1380"/>
      <c r="T15" s="1380"/>
      <c r="U15" s="1380"/>
      <c r="V15" s="1380"/>
      <c r="W15" s="1380"/>
      <c r="Y15" s="1379"/>
    </row>
    <row r="16" spans="1:32">
      <c r="A16" s="1360"/>
      <c r="C16" s="1367">
        <f>MAX(C$12:C15)+1</f>
        <v>5</v>
      </c>
      <c r="D16" s="1367">
        <f>Cust_Esca!C13</f>
        <v>3</v>
      </c>
      <c r="E16" s="1377" t="s">
        <v>606</v>
      </c>
      <c r="F16" s="1383">
        <v>17440</v>
      </c>
      <c r="G16" s="1384">
        <f>ROUND((1+INDEX(Cust_Esca!$E$10:$U$56,MATCH($D16,Cust_Esca!$C$10:$C$56,0),MATCH(G$7,Cust_Esca!$E$7:$U$7,0)))*F16,$AA$7)</f>
        <v>17440</v>
      </c>
      <c r="H16" s="1384">
        <f>ROUND((1+INDEX(Cust_Esca!$E$10:$U$56,MATCH($D16,Cust_Esca!$C$10:$C$56,0),MATCH(H$7,Cust_Esca!$E$7:$U$7,0)))*G16,$AA$7)</f>
        <v>17440</v>
      </c>
      <c r="I16" s="2894">
        <v>17480</v>
      </c>
      <c r="J16" s="2895">
        <v>17443</v>
      </c>
      <c r="K16" s="2894">
        <v>17481</v>
      </c>
      <c r="L16" s="2895">
        <v>17584.5</v>
      </c>
      <c r="M16" s="2895">
        <f>37167-M12</f>
        <v>17981</v>
      </c>
      <c r="N16" s="2895">
        <f>37675-N12</f>
        <v>18227</v>
      </c>
      <c r="O16" s="1385">
        <f>ROUND((1+INDEX(Cust_Esca!$E$10:$U$56,MATCH($D16,Cust_Esca!$C$10:$C$56,0),MATCH(O$7,Cust_Esca!$E$7:$U$7,0)))*N16,$AA$7)</f>
        <v>18477</v>
      </c>
      <c r="P16" s="1385">
        <f>ROUND((1+INDEX(Cust_Esca!$E$10:$U$56,MATCH($D16,Cust_Esca!$C$10:$C$56,0),MATCH(P$7,Cust_Esca!$E$7:$U$7,0)))*O16,$AA$7)</f>
        <v>18730</v>
      </c>
      <c r="Q16" s="1385">
        <f>ROUND((1+INDEX(Cust_Esca!$E$10:$U$56,MATCH($D16,Cust_Esca!$C$10:$C$56,0),MATCH(Q$7,Cust_Esca!$E$7:$U$7,0)))*P16,$AA$7)</f>
        <v>18987</v>
      </c>
      <c r="R16" s="1385">
        <f>ROUND((1+INDEX(Cust_Esca!$E$10:$U$56,MATCH($D16,Cust_Esca!$C$10:$C$56,0),MATCH(R$7,Cust_Esca!$E$7:$U$7,0)))*Q16,$AA$7)</f>
        <v>19248</v>
      </c>
      <c r="S16" s="1385">
        <f>ROUND((1+INDEX(Cust_Esca!$E$10:$U$56,MATCH($D16,Cust_Esca!$C$10:$C$56,0),MATCH(S$7,Cust_Esca!$E$7:$U$7,0)))*R16,$AA$7)</f>
        <v>19513</v>
      </c>
      <c r="T16" s="1385">
        <f>ROUND((1+INDEX(Cust_Esca!$E$10:$U$56,MATCH($D16,Cust_Esca!$C$10:$C$56,0),MATCH(T$7,Cust_Esca!$E$7:$U$7,0)))*S16,$AA$7)</f>
        <v>19782</v>
      </c>
      <c r="U16" s="1385">
        <f>ROUND((1+INDEX(Cust_Esca!$E$10:$U$56,MATCH($D16,Cust_Esca!$C$10:$C$56,0),MATCH(U$7,Cust_Esca!$E$7:$U$7,0)))*T16,$AA$7)</f>
        <v>20055</v>
      </c>
      <c r="V16" s="1385">
        <f>ROUND((1+INDEX(Cust_Esca!$E$10:$U$56,MATCH($D16,Cust_Esca!$C$10:$C$56,0),MATCH(V$7,Cust_Esca!$E$7:$U$7,0)))*U16,$AA$7)</f>
        <v>20332</v>
      </c>
      <c r="W16" s="1385">
        <f>ROUND((1+INDEX(Cust_Esca!$E$10:$U$56,MATCH($D16,Cust_Esca!$C$10:$C$56,0),MATCH(W$7,Cust_Esca!$E$7:$U$7,0)))*V16,$AA$7)</f>
        <v>20613</v>
      </c>
      <c r="Y16" s="1385">
        <f>SUMIF($F$7:$W$7,TY_Units!$H$5,$F16:$W16)</f>
        <v>20055</v>
      </c>
    </row>
    <row r="17" spans="1:25" ht="16.5" thickBot="1">
      <c r="A17" s="1360"/>
      <c r="C17" s="1367">
        <f>MAX(C$12:C16)+1</f>
        <v>6</v>
      </c>
      <c r="D17" s="1367">
        <f>Cust_Esca!C14</f>
        <v>4</v>
      </c>
      <c r="E17" s="1377" t="s">
        <v>902</v>
      </c>
      <c r="F17" s="1386">
        <v>451291829.69159329</v>
      </c>
      <c r="G17" s="1387">
        <f>ROUND((1+INDEX(Cust_Esca!$E$10:$U$56,MATCH($D17,Cust_Esca!$C$10:$C$56,0),MATCH(G$7,Cust_Esca!$E$7:$U$7,0)))*F17,$AA$7)</f>
        <v>451291830</v>
      </c>
      <c r="H17" s="1387">
        <f>ROUND((1+INDEX(Cust_Esca!$E$10:$U$56,MATCH($D17,Cust_Esca!$C$10:$C$56,0),MATCH(H$7,Cust_Esca!$E$7:$U$7,0)))*G17,$AA$7)</f>
        <v>451291830</v>
      </c>
      <c r="I17" s="1388">
        <v>406210059.32000005</v>
      </c>
      <c r="J17" s="1389">
        <v>421219559.83999997</v>
      </c>
      <c r="K17" s="1388">
        <v>417396310</v>
      </c>
      <c r="L17" s="1389">
        <v>450417437</v>
      </c>
      <c r="M17" s="1389">
        <f>795252550-M13</f>
        <v>464132186.00169075</v>
      </c>
      <c r="N17" s="1389">
        <f>806135000-N13</f>
        <v>470483495.79322064</v>
      </c>
      <c r="O17" s="1385">
        <f>ROUND((1+INDEX(Cust_Esca!$E$10:$U$56,MATCH($D17,Cust_Esca!$C$10:$C$56,0),MATCH(O$7,Cust_Esca!$E$7:$U$7,0)))*N17,$AA$7)</f>
        <v>476930057</v>
      </c>
      <c r="P17" s="1385">
        <f>ROUND((1+INDEX(Cust_Esca!$E$10:$U$56,MATCH($D17,Cust_Esca!$C$10:$C$56,0),MATCH(P$7,Cust_Esca!$E$7:$U$7,0)))*O17,$AA$7)</f>
        <v>483473317</v>
      </c>
      <c r="Q17" s="1385">
        <f>ROUND((1+INDEX(Cust_Esca!$E$10:$U$56,MATCH($D17,Cust_Esca!$C$10:$C$56,0),MATCH(Q$7,Cust_Esca!$E$7:$U$7,0)))*P17,$AA$7)</f>
        <v>490114726</v>
      </c>
      <c r="R17" s="1385">
        <f>ROUND((1+INDEX(Cust_Esca!$E$10:$U$56,MATCH($D17,Cust_Esca!$C$10:$C$56,0),MATCH(R$7,Cust_Esca!$E$7:$U$7,0)))*Q17,$AA$7)</f>
        <v>496855756</v>
      </c>
      <c r="S17" s="1385">
        <f>ROUND((1+INDEX(Cust_Esca!$E$10:$U$56,MATCH($D17,Cust_Esca!$C$10:$C$56,0),MATCH(S$7,Cust_Esca!$E$7:$U$7,0)))*R17,$AA$7)</f>
        <v>503697901</v>
      </c>
      <c r="T17" s="1385">
        <f>ROUND((1+INDEX(Cust_Esca!$E$10:$U$56,MATCH($D17,Cust_Esca!$C$10:$C$56,0),MATCH(T$7,Cust_Esca!$E$7:$U$7,0)))*S17,$AA$7)</f>
        <v>510642678</v>
      </c>
      <c r="U17" s="1385">
        <f>ROUND((1+INDEX(Cust_Esca!$E$10:$U$56,MATCH($D17,Cust_Esca!$C$10:$C$56,0),MATCH(U$7,Cust_Esca!$E$7:$U$7,0)))*T17,$AA$7)</f>
        <v>517691627</v>
      </c>
      <c r="V17" s="1385">
        <f>ROUND((1+INDEX(Cust_Esca!$E$10:$U$56,MATCH($D17,Cust_Esca!$C$10:$C$56,0),MATCH(V$7,Cust_Esca!$E$7:$U$7,0)))*U17,$AA$7)</f>
        <v>524846310</v>
      </c>
      <c r="W17" s="1385">
        <f>ROUND((1+INDEX(Cust_Esca!$E$10:$U$56,MATCH($D17,Cust_Esca!$C$10:$C$56,0),MATCH(W$7,Cust_Esca!$E$7:$U$7,0)))*V17,$AA$7)</f>
        <v>532108313</v>
      </c>
      <c r="Y17" s="1385">
        <f>SUMIF($F$7:$W$7,TY_Units!$H$5,$F17:$W17)</f>
        <v>517691627</v>
      </c>
    </row>
    <row r="18" spans="1:25">
      <c r="A18" s="1360"/>
      <c r="C18" s="1367">
        <f>MAX(C$12:C17)+1</f>
        <v>7</v>
      </c>
      <c r="D18" s="1367"/>
      <c r="E18" s="1390"/>
      <c r="F18" s="1392"/>
      <c r="G18" s="1392"/>
      <c r="H18" s="1392"/>
      <c r="I18" s="1392"/>
      <c r="J18" s="1392"/>
      <c r="K18" s="1392"/>
      <c r="L18" s="1392"/>
      <c r="M18" s="1392"/>
      <c r="N18" s="1392"/>
      <c r="O18" s="1392"/>
      <c r="P18" s="1392"/>
      <c r="Q18" s="1392"/>
      <c r="R18" s="1392"/>
      <c r="S18" s="1392"/>
      <c r="T18" s="1392"/>
      <c r="U18" s="1392"/>
      <c r="V18" s="1392"/>
      <c r="W18" s="1392"/>
      <c r="Y18" s="1392"/>
    </row>
    <row r="19" spans="1:25" ht="16.5" thickBot="1">
      <c r="A19" s="1360"/>
      <c r="C19" s="1367">
        <f>MAX(C$12:C18)+1</f>
        <v>8</v>
      </c>
      <c r="D19" s="1367"/>
      <c r="E19" s="1382" t="s">
        <v>214</v>
      </c>
      <c r="F19" s="1380"/>
      <c r="G19" s="1380"/>
      <c r="H19" s="1380"/>
      <c r="I19" s="1380"/>
      <c r="J19" s="1380"/>
      <c r="K19" s="1380"/>
      <c r="L19" s="1380"/>
      <c r="M19" s="1392"/>
      <c r="N19" s="1392"/>
      <c r="O19" s="1392"/>
      <c r="P19" s="1392"/>
      <c r="Q19" s="1392"/>
      <c r="R19" s="1380"/>
      <c r="S19" s="1380"/>
      <c r="T19" s="1380"/>
      <c r="U19" s="1380"/>
      <c r="V19" s="1380"/>
      <c r="W19" s="1380"/>
      <c r="Y19" s="1379"/>
    </row>
    <row r="20" spans="1:25">
      <c r="A20" s="1360"/>
      <c r="C20" s="1367">
        <f>MAX(C$12:C19)+1</f>
        <v>9</v>
      </c>
      <c r="D20" s="1367">
        <f>Cust_Esca!C16</f>
        <v>5</v>
      </c>
      <c r="E20" s="1377" t="s">
        <v>606</v>
      </c>
      <c r="F20" s="1383">
        <v>105</v>
      </c>
      <c r="G20" s="1384">
        <f>ROUND((1+INDEX(Cust_Esca!$E$10:$U$56,MATCH($D20,Cust_Esca!$C$10:$C$56,0),MATCH(G$7,Cust_Esca!$E$7:$U$7,0)))*F20,$AA$7)</f>
        <v>105</v>
      </c>
      <c r="H20" s="1384">
        <f>ROUND((1+INDEX(Cust_Esca!$E$10:$U$56,MATCH($D20,Cust_Esca!$C$10:$C$56,0),MATCH(H$7,Cust_Esca!$E$7:$U$7,0)))*G20,$AA$7)</f>
        <v>105</v>
      </c>
      <c r="I20" s="1393">
        <v>78.571428571428569</v>
      </c>
      <c r="J20" s="1394">
        <v>78.142857142857139</v>
      </c>
      <c r="K20" s="1394">
        <f>4708-K33</f>
        <v>64</v>
      </c>
      <c r="L20" s="1394">
        <f>4521-L33</f>
        <v>61</v>
      </c>
      <c r="M20" s="1394">
        <f>4544-M33</f>
        <v>61</v>
      </c>
      <c r="N20" s="1394">
        <f>4566-N33</f>
        <v>62</v>
      </c>
      <c r="O20" s="1385">
        <f>ROUND((1+INDEX(Cust_Esca!$E$10:$U$56,MATCH($D20,Cust_Esca!$C$10:$C$56,0),MATCH(O$7,Cust_Esca!$E$7:$U$7,0)))*N20,$AA$7)</f>
        <v>62</v>
      </c>
      <c r="P20" s="1385">
        <f>ROUND((1+INDEX(Cust_Esca!$E$10:$U$56,MATCH($D20,Cust_Esca!$C$10:$C$56,0),MATCH(P$7,Cust_Esca!$E$7:$U$7,0)))*O20,$AA$7)</f>
        <v>62</v>
      </c>
      <c r="Q20" s="1385">
        <f>ROUND((1+INDEX(Cust_Esca!$E$10:$U$56,MATCH($D20,Cust_Esca!$C$10:$C$56,0),MATCH(Q$7,Cust_Esca!$E$7:$U$7,0)))*P20,$AA$7)</f>
        <v>62</v>
      </c>
      <c r="R20" s="1385">
        <f>ROUND((1+INDEX(Cust_Esca!$E$10:$U$56,MATCH($D20,Cust_Esca!$C$10:$C$56,0),MATCH(R$7,Cust_Esca!$E$7:$U$7,0)))*Q20,$AA$7)</f>
        <v>62</v>
      </c>
      <c r="S20" s="1385">
        <f>ROUND((1+INDEX(Cust_Esca!$E$10:$U$56,MATCH($D20,Cust_Esca!$C$10:$C$56,0),MATCH(S$7,Cust_Esca!$E$7:$U$7,0)))*R20,$AA$7)</f>
        <v>62</v>
      </c>
      <c r="T20" s="1385">
        <f>ROUND((1+INDEX(Cust_Esca!$E$10:$U$56,MATCH($D20,Cust_Esca!$C$10:$C$56,0),MATCH(T$7,Cust_Esca!$E$7:$U$7,0)))*S20,$AA$7)</f>
        <v>62</v>
      </c>
      <c r="U20" s="1385">
        <f>ROUND((1+INDEX(Cust_Esca!$E$10:$U$56,MATCH($D20,Cust_Esca!$C$10:$C$56,0),MATCH(U$7,Cust_Esca!$E$7:$U$7,0)))*T20,$AA$7)</f>
        <v>62</v>
      </c>
      <c r="V20" s="1385">
        <f>ROUND((1+INDEX(Cust_Esca!$E$10:$U$56,MATCH($D20,Cust_Esca!$C$10:$C$56,0),MATCH(V$7,Cust_Esca!$E$7:$U$7,0)))*U20,$AA$7)</f>
        <v>62</v>
      </c>
      <c r="W20" s="1385">
        <f>ROUND((1+INDEX(Cust_Esca!$E$10:$U$56,MATCH($D20,Cust_Esca!$C$10:$C$56,0),MATCH(W$7,Cust_Esca!$E$7:$U$7,0)))*V20,$AA$7)</f>
        <v>62</v>
      </c>
      <c r="Y20" s="1385">
        <f>SUMIF($F$7:$W$7,TY_Units!$H$5,$F20:$W20)</f>
        <v>62</v>
      </c>
    </row>
    <row r="21" spans="1:25">
      <c r="A21" s="1360"/>
      <c r="C21" s="1367">
        <f>MAX(C$12:C20)+1</f>
        <v>10</v>
      </c>
      <c r="D21" s="1367">
        <f>Cust_Esca!C17</f>
        <v>6</v>
      </c>
      <c r="E21" s="1377" t="s">
        <v>2099</v>
      </c>
      <c r="F21" s="1395">
        <f>4185*Rates!F35</f>
        <v>1986.2050798050275</v>
      </c>
      <c r="G21" s="1396">
        <f>4185*Rates!G35</f>
        <v>2070.4010561024566</v>
      </c>
      <c r="H21" s="1396">
        <f>ROUND((1+INDEX(Cust_Esca!$E$10:$U$56,MATCH($D21,Cust_Esca!$C$10:$C$56,0),MATCH(H$7,Cust_Esca!$E$7:$U$7,0)))*G21,$AA$7)</f>
        <v>2070</v>
      </c>
      <c r="I21" s="2896">
        <v>1213.7714285714285</v>
      </c>
      <c r="J21" s="2897">
        <v>1309.9142857142856</v>
      </c>
      <c r="K21" s="2897">
        <v>1121.4809099999902</v>
      </c>
      <c r="L21" s="2897">
        <v>1076.9361075000138</v>
      </c>
      <c r="M21" s="2897">
        <v>1082.4148799999982</v>
      </c>
      <c r="N21" s="2897">
        <v>1087.6554449999812</v>
      </c>
      <c r="O21" s="1385">
        <v>1093.1342174999832</v>
      </c>
      <c r="P21" s="1385">
        <v>1098.6129899999848</v>
      </c>
      <c r="Q21" s="1385">
        <v>1104.091762499987</v>
      </c>
      <c r="R21" s="1385">
        <v>1109.5705349999889</v>
      </c>
      <c r="S21" s="1385">
        <v>1115.2875149999909</v>
      </c>
      <c r="T21" s="1385">
        <v>1120.7662874999921</v>
      </c>
      <c r="U21" s="1385">
        <v>1126.4832674999941</v>
      </c>
      <c r="V21" s="1385">
        <v>1131.9620399999956</v>
      </c>
      <c r="W21" s="1385">
        <v>1137.6790199999973</v>
      </c>
      <c r="Y21" s="1385">
        <f>SUMIF($F$7:$W$7,TY_Units!$H$5,$F21:$W21)</f>
        <v>1126.4832674999941</v>
      </c>
    </row>
    <row r="22" spans="1:25">
      <c r="A22" s="1360"/>
      <c r="C22" s="1367">
        <f>MAX(C$12:C21)+1</f>
        <v>11</v>
      </c>
      <c r="D22" s="1367">
        <f>D21</f>
        <v>6</v>
      </c>
      <c r="E22" s="1377" t="s">
        <v>2100</v>
      </c>
      <c r="F22" s="1395">
        <f>4185*Rates!F36</f>
        <v>245.98824428940082</v>
      </c>
      <c r="G22" s="1396">
        <f>4185*Rates!G36</f>
        <v>280.98657172894974</v>
      </c>
      <c r="H22" s="1396">
        <f>ROUND((1+INDEX(Cust_Esca!$E$10:$U$56,MATCH($D22,Cust_Esca!$C$10:$C$56,0),MATCH(H$7,Cust_Esca!$E$7:$U$7,0)))*G22,$AA$7)</f>
        <v>281</v>
      </c>
      <c r="I22" s="2896">
        <v>1281.2</v>
      </c>
      <c r="J22" s="2897">
        <v>1315.2</v>
      </c>
      <c r="K22" s="2897">
        <v>1559.6057959077257</v>
      </c>
      <c r="L22" s="2897">
        <v>397.67521048958821</v>
      </c>
      <c r="M22" s="2897">
        <v>882.70176262675272</v>
      </c>
      <c r="N22" s="2897">
        <v>886.99355916684533</v>
      </c>
      <c r="O22" s="1385">
        <v>891.4535060733574</v>
      </c>
      <c r="P22" s="1385">
        <v>895.91345297986709</v>
      </c>
      <c r="Q22" s="1385">
        <v>900.37339988637939</v>
      </c>
      <c r="R22" s="1385">
        <v>904.83334679288976</v>
      </c>
      <c r="S22" s="1385">
        <v>909.48720443446848</v>
      </c>
      <c r="T22" s="1385">
        <v>913.94715134097999</v>
      </c>
      <c r="U22" s="1385">
        <v>918.60100898255746</v>
      </c>
      <c r="V22" s="1385">
        <v>923.06095588906578</v>
      </c>
      <c r="W22" s="1385">
        <v>927.71481353064394</v>
      </c>
      <c r="Y22" s="1385">
        <f>SUMIF($F$7:$W$7,TY_Units!$H$5,$F22:$W22)</f>
        <v>918.60100898255746</v>
      </c>
    </row>
    <row r="23" spans="1:25" ht="16.5" thickBot="1">
      <c r="A23" s="1360"/>
      <c r="C23" s="1367">
        <f>MAX(C$12:C22)+1</f>
        <v>12</v>
      </c>
      <c r="D23" s="1367">
        <f>D21</f>
        <v>6</v>
      </c>
      <c r="E23" s="1377" t="s">
        <v>2101</v>
      </c>
      <c r="F23" s="1386">
        <f>4185*Rates!F37</f>
        <v>1243.6405667590561</v>
      </c>
      <c r="G23" s="1387">
        <f>4185*Rates!G37</f>
        <v>1833.6123721685947</v>
      </c>
      <c r="H23" s="1387">
        <f>ROUND((1+INDEX(Cust_Esca!$E$10:$U$56,MATCH($D23,Cust_Esca!$C$10:$C$56,0),MATCH(H$7,Cust_Esca!$E$7:$U$7,0)))*G23,$AA$7)</f>
        <v>1834</v>
      </c>
      <c r="I23" s="1388">
        <v>0</v>
      </c>
      <c r="J23" s="1389">
        <v>0</v>
      </c>
      <c r="K23" s="1389">
        <v>0</v>
      </c>
      <c r="L23" s="1389">
        <v>0</v>
      </c>
      <c r="M23" s="1389">
        <v>0</v>
      </c>
      <c r="N23" s="1389">
        <v>0</v>
      </c>
      <c r="O23" s="1385">
        <f>ROUND((1+INDEX(Cust_Esca!$E$10:$U$56,MATCH($D23,Cust_Esca!$C$10:$C$56,0),MATCH(O$7,Cust_Esca!$E$7:$U$7,0)))*N23,$AA$7)</f>
        <v>0</v>
      </c>
      <c r="P23" s="1385">
        <f>ROUND((1+INDEX(Cust_Esca!$E$10:$U$56,MATCH($D23,Cust_Esca!$C$10:$C$56,0),MATCH(P$7,Cust_Esca!$E$7:$U$7,0)))*O23,$AA$7)</f>
        <v>0</v>
      </c>
      <c r="Q23" s="1385">
        <f>ROUND((1+INDEX(Cust_Esca!$E$10:$U$56,MATCH($D23,Cust_Esca!$C$10:$C$56,0),MATCH(Q$7,Cust_Esca!$E$7:$U$7,0)))*P23,$AA$7)</f>
        <v>0</v>
      </c>
      <c r="R23" s="1385">
        <f>ROUND((1+INDEX(Cust_Esca!$E$10:$U$56,MATCH($D23,Cust_Esca!$C$10:$C$56,0),MATCH(R$7,Cust_Esca!$E$7:$U$7,0)))*Q23,$AA$7)</f>
        <v>0</v>
      </c>
      <c r="S23" s="1385">
        <f>ROUND((1+INDEX(Cust_Esca!$E$10:$U$56,MATCH($D23,Cust_Esca!$C$10:$C$56,0),MATCH(S$7,Cust_Esca!$E$7:$U$7,0)))*R23,$AA$7)</f>
        <v>0</v>
      </c>
      <c r="T23" s="1385">
        <f>ROUND((1+INDEX(Cust_Esca!$E$10:$U$56,MATCH($D23,Cust_Esca!$C$10:$C$56,0),MATCH(T$7,Cust_Esca!$E$7:$U$7,0)))*S23,$AA$7)</f>
        <v>0</v>
      </c>
      <c r="U23" s="1385">
        <f>ROUND((1+INDEX(Cust_Esca!$E$10:$U$56,MATCH($D23,Cust_Esca!$C$10:$C$56,0),MATCH(U$7,Cust_Esca!$E$7:$U$7,0)))*T23,$AA$7)</f>
        <v>0</v>
      </c>
      <c r="V23" s="1385">
        <f>ROUND((1+INDEX(Cust_Esca!$E$10:$U$56,MATCH($D23,Cust_Esca!$C$10:$C$56,0),MATCH(V$7,Cust_Esca!$E$7:$U$7,0)))*U23,$AA$7)</f>
        <v>0</v>
      </c>
      <c r="W23" s="1385">
        <f>ROUND((1+INDEX(Cust_Esca!$E$10:$U$56,MATCH($D23,Cust_Esca!$C$10:$C$56,0),MATCH(W$7,Cust_Esca!$E$7:$U$7,0)))*V23,$AA$7)</f>
        <v>0</v>
      </c>
      <c r="Y23" s="1385">
        <f>SUMIF($F$7:$W$7,TY_Units!$H$5,$F23:$W23)</f>
        <v>0</v>
      </c>
    </row>
    <row r="24" spans="1:25">
      <c r="A24" s="1360"/>
      <c r="C24" s="1367">
        <f>MAX(C$12:C23)+1</f>
        <v>13</v>
      </c>
      <c r="D24" s="1367">
        <f>D21</f>
        <v>6</v>
      </c>
      <c r="E24" s="1377" t="s">
        <v>2102</v>
      </c>
      <c r="F24" s="1395">
        <f>4185*Rates!F43</f>
        <v>84.19597629742907</v>
      </c>
      <c r="G24" s="1396">
        <v>0</v>
      </c>
      <c r="H24" s="1396">
        <v>0</v>
      </c>
      <c r="I24" s="1397">
        <v>0</v>
      </c>
      <c r="J24" s="1398">
        <v>0</v>
      </c>
      <c r="K24" s="1398">
        <v>0</v>
      </c>
      <c r="L24" s="1398">
        <v>0</v>
      </c>
      <c r="M24" s="1398">
        <v>0</v>
      </c>
      <c r="N24" s="1398">
        <v>0</v>
      </c>
      <c r="O24" s="1385">
        <f>ROUND((1+INDEX(Cust_Esca!$E$10:$U$56,MATCH($D24,Cust_Esca!$C$10:$C$56,0),MATCH(O$7,Cust_Esca!$E$7:$U$7,0)))*N24,$AA$7)</f>
        <v>0</v>
      </c>
      <c r="P24" s="1385">
        <f>ROUND((1+INDEX(Cust_Esca!$E$10:$U$56,MATCH($D24,Cust_Esca!$C$10:$C$56,0),MATCH(P$7,Cust_Esca!$E$7:$U$7,0)))*O24,$AA$7)</f>
        <v>0</v>
      </c>
      <c r="Q24" s="1385">
        <f>ROUND((1+INDEX(Cust_Esca!$E$10:$U$56,MATCH($D24,Cust_Esca!$C$10:$C$56,0),MATCH(Q$7,Cust_Esca!$E$7:$U$7,0)))*P24,$AA$7)</f>
        <v>0</v>
      </c>
      <c r="R24" s="1385">
        <f>ROUND((1+INDEX(Cust_Esca!$E$10:$U$56,MATCH($D24,Cust_Esca!$C$10:$C$56,0),MATCH(R$7,Cust_Esca!$E$7:$U$7,0)))*Q24,$AA$7)</f>
        <v>0</v>
      </c>
      <c r="S24" s="1385">
        <f>ROUND((1+INDEX(Cust_Esca!$E$10:$U$56,MATCH($D24,Cust_Esca!$C$10:$C$56,0),MATCH(S$7,Cust_Esca!$E$7:$U$7,0)))*R24,$AA$7)</f>
        <v>0</v>
      </c>
      <c r="T24" s="1385">
        <f>ROUND((1+INDEX(Cust_Esca!$E$10:$U$56,MATCH($D24,Cust_Esca!$C$10:$C$56,0),MATCH(T$7,Cust_Esca!$E$7:$U$7,0)))*S24,$AA$7)</f>
        <v>0</v>
      </c>
      <c r="U24" s="1385">
        <f>ROUND((1+INDEX(Cust_Esca!$E$10:$U$56,MATCH($D24,Cust_Esca!$C$10:$C$56,0),MATCH(U$7,Cust_Esca!$E$7:$U$7,0)))*T24,$AA$7)</f>
        <v>0</v>
      </c>
      <c r="V24" s="1385">
        <f>ROUND((1+INDEX(Cust_Esca!$E$10:$U$56,MATCH($D24,Cust_Esca!$C$10:$C$56,0),MATCH(V$7,Cust_Esca!$E$7:$U$7,0)))*U24,$AA$7)</f>
        <v>0</v>
      </c>
      <c r="W24" s="1385">
        <f>ROUND((1+INDEX(Cust_Esca!$E$10:$U$56,MATCH($D24,Cust_Esca!$C$10:$C$56,0),MATCH(W$7,Cust_Esca!$E$7:$U$7,0)))*V24,$AA$7)</f>
        <v>0</v>
      </c>
      <c r="Y24" s="1385">
        <f>SUMIF($F$7:$W$7,TY_Units!$H$5,$F24:$W24)</f>
        <v>0</v>
      </c>
    </row>
    <row r="25" spans="1:25">
      <c r="A25" s="1360"/>
      <c r="C25" s="1367">
        <f>MAX(C$12:C24)+1</f>
        <v>14</v>
      </c>
      <c r="D25" s="1367">
        <f>D24</f>
        <v>6</v>
      </c>
      <c r="E25" s="1377" t="s">
        <v>2103</v>
      </c>
      <c r="F25" s="1395">
        <f>4185*Rates!F44</f>
        <v>34.998327439548895</v>
      </c>
      <c r="G25" s="1396">
        <v>0</v>
      </c>
      <c r="H25" s="1396">
        <v>0</v>
      </c>
      <c r="I25" s="1397">
        <v>0</v>
      </c>
      <c r="J25" s="1398">
        <v>0</v>
      </c>
      <c r="K25" s="1398">
        <v>0</v>
      </c>
      <c r="L25" s="1398">
        <v>0</v>
      </c>
      <c r="M25" s="1398">
        <v>0</v>
      </c>
      <c r="N25" s="1398">
        <v>0</v>
      </c>
      <c r="O25" s="1385">
        <f>ROUND((1+INDEX(Cust_Esca!$E$10:$U$56,MATCH($D25,Cust_Esca!$C$10:$C$56,0),MATCH(O$7,Cust_Esca!$E$7:$U$7,0)))*N25,$AA$7)</f>
        <v>0</v>
      </c>
      <c r="P25" s="1385">
        <f>ROUND((1+INDEX(Cust_Esca!$E$10:$U$56,MATCH($D25,Cust_Esca!$C$10:$C$56,0),MATCH(P$7,Cust_Esca!$E$7:$U$7,0)))*O25,$AA$7)</f>
        <v>0</v>
      </c>
      <c r="Q25" s="1385">
        <f>ROUND((1+INDEX(Cust_Esca!$E$10:$U$56,MATCH($D25,Cust_Esca!$C$10:$C$56,0),MATCH(Q$7,Cust_Esca!$E$7:$U$7,0)))*P25,$AA$7)</f>
        <v>0</v>
      </c>
      <c r="R25" s="1385">
        <f>ROUND((1+INDEX(Cust_Esca!$E$10:$U$56,MATCH($D25,Cust_Esca!$C$10:$C$56,0),MATCH(R$7,Cust_Esca!$E$7:$U$7,0)))*Q25,$AA$7)</f>
        <v>0</v>
      </c>
      <c r="S25" s="1385">
        <f>ROUND((1+INDEX(Cust_Esca!$E$10:$U$56,MATCH($D25,Cust_Esca!$C$10:$C$56,0),MATCH(S$7,Cust_Esca!$E$7:$U$7,0)))*R25,$AA$7)</f>
        <v>0</v>
      </c>
      <c r="T25" s="1385">
        <f>ROUND((1+INDEX(Cust_Esca!$E$10:$U$56,MATCH($D25,Cust_Esca!$C$10:$C$56,0),MATCH(T$7,Cust_Esca!$E$7:$U$7,0)))*S25,$AA$7)</f>
        <v>0</v>
      </c>
      <c r="U25" s="1385">
        <f>ROUND((1+INDEX(Cust_Esca!$E$10:$U$56,MATCH($D25,Cust_Esca!$C$10:$C$56,0),MATCH(U$7,Cust_Esca!$E$7:$U$7,0)))*T25,$AA$7)</f>
        <v>0</v>
      </c>
      <c r="V25" s="1385">
        <f>ROUND((1+INDEX(Cust_Esca!$E$10:$U$56,MATCH($D25,Cust_Esca!$C$10:$C$56,0),MATCH(V$7,Cust_Esca!$E$7:$U$7,0)))*U25,$AA$7)</f>
        <v>0</v>
      </c>
      <c r="W25" s="1385">
        <f>ROUND((1+INDEX(Cust_Esca!$E$10:$U$56,MATCH($D25,Cust_Esca!$C$10:$C$56,0),MATCH(W$7,Cust_Esca!$E$7:$U$7,0)))*V25,$AA$7)</f>
        <v>0</v>
      </c>
      <c r="Y25" s="1385">
        <f>SUMIF($F$7:$W$7,TY_Units!$H$5,$F25:$W25)</f>
        <v>0</v>
      </c>
    </row>
    <row r="26" spans="1:25" ht="16.5" thickBot="1">
      <c r="A26" s="1360"/>
      <c r="C26" s="1367">
        <f>MAX(C$12:C25)+1</f>
        <v>15</v>
      </c>
      <c r="D26" s="1367">
        <f>D25</f>
        <v>6</v>
      </c>
      <c r="E26" s="1377" t="s">
        <v>2104</v>
      </c>
      <c r="F26" s="1386">
        <f>4185*Rates!F45</f>
        <v>589.97180540953843</v>
      </c>
      <c r="G26" s="1387">
        <v>0</v>
      </c>
      <c r="H26" s="1387">
        <v>0</v>
      </c>
      <c r="I26" s="1388">
        <v>0</v>
      </c>
      <c r="J26" s="1389">
        <v>0</v>
      </c>
      <c r="K26" s="1389">
        <v>0</v>
      </c>
      <c r="L26" s="1389">
        <v>0</v>
      </c>
      <c r="M26" s="1389">
        <v>0</v>
      </c>
      <c r="N26" s="1389">
        <v>0</v>
      </c>
      <c r="O26" s="1385">
        <f>ROUND((1+INDEX(Cust_Esca!$E$10:$U$56,MATCH($D26,Cust_Esca!$C$10:$C$56,0),MATCH(O$7,Cust_Esca!$E$7:$U$7,0)))*N26,$AA$7)</f>
        <v>0</v>
      </c>
      <c r="P26" s="1385">
        <f>ROUND((1+INDEX(Cust_Esca!$E$10:$U$56,MATCH($D26,Cust_Esca!$C$10:$C$56,0),MATCH(P$7,Cust_Esca!$E$7:$U$7,0)))*O26,$AA$7)</f>
        <v>0</v>
      </c>
      <c r="Q26" s="1385">
        <f>ROUND((1+INDEX(Cust_Esca!$E$10:$U$56,MATCH($D26,Cust_Esca!$C$10:$C$56,0),MATCH(Q$7,Cust_Esca!$E$7:$U$7,0)))*P26,$AA$7)</f>
        <v>0</v>
      </c>
      <c r="R26" s="1385">
        <f>ROUND((1+INDEX(Cust_Esca!$E$10:$U$56,MATCH($D26,Cust_Esca!$C$10:$C$56,0),MATCH(R$7,Cust_Esca!$E$7:$U$7,0)))*Q26,$AA$7)</f>
        <v>0</v>
      </c>
      <c r="S26" s="1385">
        <f>ROUND((1+INDEX(Cust_Esca!$E$10:$U$56,MATCH($D26,Cust_Esca!$C$10:$C$56,0),MATCH(S$7,Cust_Esca!$E$7:$U$7,0)))*R26,$AA$7)</f>
        <v>0</v>
      </c>
      <c r="T26" s="1385">
        <f>ROUND((1+INDEX(Cust_Esca!$E$10:$U$56,MATCH($D26,Cust_Esca!$C$10:$C$56,0),MATCH(T$7,Cust_Esca!$E$7:$U$7,0)))*S26,$AA$7)</f>
        <v>0</v>
      </c>
      <c r="U26" s="1385">
        <f>ROUND((1+INDEX(Cust_Esca!$E$10:$U$56,MATCH($D26,Cust_Esca!$C$10:$C$56,0),MATCH(U$7,Cust_Esca!$E$7:$U$7,0)))*T26,$AA$7)</f>
        <v>0</v>
      </c>
      <c r="V26" s="1385">
        <f>ROUND((1+INDEX(Cust_Esca!$E$10:$U$56,MATCH($D26,Cust_Esca!$C$10:$C$56,0),MATCH(V$7,Cust_Esca!$E$7:$U$7,0)))*U26,$AA$7)</f>
        <v>0</v>
      </c>
      <c r="W26" s="1385">
        <f>ROUND((1+INDEX(Cust_Esca!$E$10:$U$56,MATCH($D26,Cust_Esca!$C$10:$C$56,0),MATCH(W$7,Cust_Esca!$E$7:$U$7,0)))*V26,$AA$7)</f>
        <v>0</v>
      </c>
      <c r="Y26" s="1385">
        <f>SUMIF($F$7:$W$7,TY_Units!$H$5,$F26:$W26)</f>
        <v>0</v>
      </c>
    </row>
    <row r="27" spans="1:25">
      <c r="A27" s="1360"/>
      <c r="C27" s="1367">
        <f>MAX(C$12:C26)+1</f>
        <v>16</v>
      </c>
      <c r="D27" s="1367">
        <f>D23</f>
        <v>6</v>
      </c>
      <c r="E27" s="1377" t="s">
        <v>242</v>
      </c>
      <c r="F27" s="1395">
        <v>836714</v>
      </c>
      <c r="G27" s="1396">
        <v>836714</v>
      </c>
      <c r="H27" s="1396">
        <v>836714</v>
      </c>
      <c r="I27" s="1397">
        <v>2604427</v>
      </c>
      <c r="J27" s="1398">
        <v>2738609</v>
      </c>
      <c r="K27" s="1398">
        <v>2709080.2749999762</v>
      </c>
      <c r="L27" s="1398">
        <v>3000151.0850000381</v>
      </c>
      <c r="M27" s="1398">
        <v>3096657.5049999952</v>
      </c>
      <c r="N27" s="1398">
        <v>2960198.0045287609</v>
      </c>
      <c r="O27" s="1385">
        <v>2997781.6245287657</v>
      </c>
      <c r="P27" s="1385">
        <v>3035365.2445287704</v>
      </c>
      <c r="Q27" s="1385">
        <v>3072948.8645287752</v>
      </c>
      <c r="R27" s="1385">
        <v>3110532.48452878</v>
      </c>
      <c r="S27" s="1385">
        <v>3148116.1045287848</v>
      </c>
      <c r="T27" s="1385">
        <v>3185699.7245287895</v>
      </c>
      <c r="U27" s="1385">
        <v>3223283.3445287943</v>
      </c>
      <c r="V27" s="1385">
        <v>3260866.9645287991</v>
      </c>
      <c r="W27" s="1385">
        <v>3298450.5845288038</v>
      </c>
      <c r="Y27" s="1385">
        <f>SUMIF($F$7:$W$7,TY_Units!$H$5,$F27:$W27)</f>
        <v>3223283.3445287943</v>
      </c>
    </row>
    <row r="28" spans="1:25">
      <c r="A28" s="1360"/>
      <c r="C28" s="1367">
        <f>MAX(C$12:C27)+1</f>
        <v>17</v>
      </c>
      <c r="D28" s="1367">
        <f>D23</f>
        <v>6</v>
      </c>
      <c r="E28" s="1377" t="s">
        <v>243</v>
      </c>
      <c r="F28" s="1395">
        <v>889680</v>
      </c>
      <c r="G28" s="1396">
        <v>889680</v>
      </c>
      <c r="H28" s="1396">
        <v>889680</v>
      </c>
      <c r="I28" s="1397">
        <v>0</v>
      </c>
      <c r="J28" s="1398">
        <v>0</v>
      </c>
      <c r="K28" s="1398">
        <v>0</v>
      </c>
      <c r="L28" s="1398">
        <v>0</v>
      </c>
      <c r="M28" s="1398">
        <v>0</v>
      </c>
      <c r="N28" s="1398">
        <v>0</v>
      </c>
      <c r="O28" s="1385">
        <f>ROUND((1+INDEX(Cust_Esca!$E$10:$U$56,MATCH($D28,Cust_Esca!$C$10:$C$56,0),MATCH(O$7,Cust_Esca!$E$7:$U$7,0)))*N28,$AA$7)</f>
        <v>0</v>
      </c>
      <c r="P28" s="1385">
        <f>ROUND((1+INDEX(Cust_Esca!$E$10:$U$56,MATCH($D28,Cust_Esca!$C$10:$C$56,0),MATCH(P$7,Cust_Esca!$E$7:$U$7,0)))*O28,$AA$7)</f>
        <v>0</v>
      </c>
      <c r="Q28" s="1385">
        <f>ROUND((1+INDEX(Cust_Esca!$E$10:$U$56,MATCH($D28,Cust_Esca!$C$10:$C$56,0),MATCH(Q$7,Cust_Esca!$E$7:$U$7,0)))*P28,$AA$7)</f>
        <v>0</v>
      </c>
      <c r="R28" s="1385">
        <f>ROUND((1+INDEX(Cust_Esca!$E$10:$U$56,MATCH($D28,Cust_Esca!$C$10:$C$56,0),MATCH(R$7,Cust_Esca!$E$7:$U$7,0)))*Q28,$AA$7)</f>
        <v>0</v>
      </c>
      <c r="S28" s="1385">
        <f>ROUND((1+INDEX(Cust_Esca!$E$10:$U$56,MATCH($D28,Cust_Esca!$C$10:$C$56,0),MATCH(S$7,Cust_Esca!$E$7:$U$7,0)))*R28,$AA$7)</f>
        <v>0</v>
      </c>
      <c r="T28" s="1385">
        <f>ROUND((1+INDEX(Cust_Esca!$E$10:$U$56,MATCH($D28,Cust_Esca!$C$10:$C$56,0),MATCH(T$7,Cust_Esca!$E$7:$U$7,0)))*S28,$AA$7)</f>
        <v>0</v>
      </c>
      <c r="U28" s="1385">
        <f>ROUND((1+INDEX(Cust_Esca!$E$10:$U$56,MATCH($D28,Cust_Esca!$C$10:$C$56,0),MATCH(U$7,Cust_Esca!$E$7:$U$7,0)))*T28,$AA$7)</f>
        <v>0</v>
      </c>
      <c r="V28" s="1385">
        <f>ROUND((1+INDEX(Cust_Esca!$E$10:$U$56,MATCH($D28,Cust_Esca!$C$10:$C$56,0),MATCH(V$7,Cust_Esca!$E$7:$U$7,0)))*U28,$AA$7)</f>
        <v>0</v>
      </c>
      <c r="W28" s="1385">
        <f>ROUND((1+INDEX(Cust_Esca!$E$10:$U$56,MATCH($D28,Cust_Esca!$C$10:$C$56,0),MATCH(W$7,Cust_Esca!$E$7:$U$7,0)))*V28,$AA$7)</f>
        <v>0</v>
      </c>
      <c r="Y28" s="1385">
        <f>SUMIF($F$7:$W$7,TY_Units!$H$5,$F28:$W28)</f>
        <v>0</v>
      </c>
    </row>
    <row r="29" spans="1:25" ht="16.5" thickBot="1">
      <c r="A29" s="1360"/>
      <c r="C29" s="1367">
        <f>MAX(C$12:C28)+1</f>
        <v>18</v>
      </c>
      <c r="D29" s="1367">
        <f>D23</f>
        <v>6</v>
      </c>
      <c r="E29" s="1377" t="s">
        <v>909</v>
      </c>
      <c r="F29" s="1386">
        <v>2321320</v>
      </c>
      <c r="G29" s="1387">
        <v>2321320</v>
      </c>
      <c r="H29" s="1387">
        <v>2321320</v>
      </c>
      <c r="I29" s="1388">
        <v>0</v>
      </c>
      <c r="J29" s="1389">
        <v>0</v>
      </c>
      <c r="K29" s="1389">
        <v>0</v>
      </c>
      <c r="L29" s="1389">
        <v>0</v>
      </c>
      <c r="M29" s="1389">
        <v>0</v>
      </c>
      <c r="N29" s="1389">
        <v>0</v>
      </c>
      <c r="O29" s="1399">
        <f>ROUND((1+INDEX(Cust_Esca!$E$10:$U$56,MATCH($D29,Cust_Esca!$C$10:$C$56,0),MATCH(O$7,Cust_Esca!$E$7:$U$7,0)))*N29,$AA$7)</f>
        <v>0</v>
      </c>
      <c r="P29" s="1399">
        <f>ROUND((1+INDEX(Cust_Esca!$E$10:$U$56,MATCH($D29,Cust_Esca!$C$10:$C$56,0),MATCH(P$7,Cust_Esca!$E$7:$U$7,0)))*O29,$AA$7)</f>
        <v>0</v>
      </c>
      <c r="Q29" s="1399">
        <f>ROUND((1+INDEX(Cust_Esca!$E$10:$U$56,MATCH($D29,Cust_Esca!$C$10:$C$56,0),MATCH(Q$7,Cust_Esca!$E$7:$U$7,0)))*P29,$AA$7)</f>
        <v>0</v>
      </c>
      <c r="R29" s="1399">
        <f>ROUND((1+INDEX(Cust_Esca!$E$10:$U$56,MATCH($D29,Cust_Esca!$C$10:$C$56,0),MATCH(R$7,Cust_Esca!$E$7:$U$7,0)))*Q29,$AA$7)</f>
        <v>0</v>
      </c>
      <c r="S29" s="1399">
        <f>ROUND((1+INDEX(Cust_Esca!$E$10:$U$56,MATCH($D29,Cust_Esca!$C$10:$C$56,0),MATCH(S$7,Cust_Esca!$E$7:$U$7,0)))*R29,$AA$7)</f>
        <v>0</v>
      </c>
      <c r="T29" s="1399">
        <f>ROUND((1+INDEX(Cust_Esca!$E$10:$U$56,MATCH($D29,Cust_Esca!$C$10:$C$56,0),MATCH(T$7,Cust_Esca!$E$7:$U$7,0)))*S29,$AA$7)</f>
        <v>0</v>
      </c>
      <c r="U29" s="1399">
        <f>ROUND((1+INDEX(Cust_Esca!$E$10:$U$56,MATCH($D29,Cust_Esca!$C$10:$C$56,0),MATCH(U$7,Cust_Esca!$E$7:$U$7,0)))*T29,$AA$7)</f>
        <v>0</v>
      </c>
      <c r="V29" s="1399">
        <f>ROUND((1+INDEX(Cust_Esca!$E$10:$U$56,MATCH($D29,Cust_Esca!$C$10:$C$56,0),MATCH(V$7,Cust_Esca!$E$7:$U$7,0)))*U29,$AA$7)</f>
        <v>0</v>
      </c>
      <c r="W29" s="1399">
        <f>ROUND((1+INDEX(Cust_Esca!$E$10:$U$56,MATCH($D29,Cust_Esca!$C$10:$C$56,0),MATCH(W$7,Cust_Esca!$E$7:$U$7,0)))*V29,$AA$7)</f>
        <v>0</v>
      </c>
      <c r="X29" s="1400"/>
      <c r="Y29" s="1399">
        <f>SUMIF($F$7:$W$7,TY_Units!$H$5,$F29:$W29)</f>
        <v>0</v>
      </c>
    </row>
    <row r="30" spans="1:25">
      <c r="A30" s="1360"/>
      <c r="C30" s="1367">
        <f>MAX(C$12:C29)+1</f>
        <v>19</v>
      </c>
      <c r="D30" s="1367">
        <f>D23</f>
        <v>6</v>
      </c>
      <c r="E30" s="1401" t="s">
        <v>912</v>
      </c>
      <c r="F30" s="1385">
        <f t="shared" ref="F30:L30" si="0">SUM(F27:F29)</f>
        <v>4047714</v>
      </c>
      <c r="G30" s="1385">
        <f t="shared" si="0"/>
        <v>4047714</v>
      </c>
      <c r="H30" s="1385">
        <f t="shared" si="0"/>
        <v>4047714</v>
      </c>
      <c r="I30" s="1385">
        <f t="shared" si="0"/>
        <v>2604427</v>
      </c>
      <c r="J30" s="1385">
        <f t="shared" si="0"/>
        <v>2738609</v>
      </c>
      <c r="K30" s="1385">
        <f t="shared" si="0"/>
        <v>2709080.2749999762</v>
      </c>
      <c r="L30" s="1385">
        <f t="shared" si="0"/>
        <v>3000151.0850000381</v>
      </c>
      <c r="M30" s="1385">
        <f t="shared" ref="M30:Y30" si="1">SUM(M27:M29)</f>
        <v>3096657.5049999952</v>
      </c>
      <c r="N30" s="1385">
        <f t="shared" si="1"/>
        <v>2960198.0045287609</v>
      </c>
      <c r="O30" s="1385">
        <f t="shared" si="1"/>
        <v>2997781.6245287657</v>
      </c>
      <c r="P30" s="1385">
        <f t="shared" si="1"/>
        <v>3035365.2445287704</v>
      </c>
      <c r="Q30" s="1385">
        <f t="shared" si="1"/>
        <v>3072948.8645287752</v>
      </c>
      <c r="R30" s="1385">
        <f t="shared" si="1"/>
        <v>3110532.48452878</v>
      </c>
      <c r="S30" s="1385">
        <f t="shared" si="1"/>
        <v>3148116.1045287848</v>
      </c>
      <c r="T30" s="1385">
        <f t="shared" si="1"/>
        <v>3185699.7245287895</v>
      </c>
      <c r="U30" s="1385">
        <f t="shared" si="1"/>
        <v>3223283.3445287943</v>
      </c>
      <c r="V30" s="1385">
        <f t="shared" si="1"/>
        <v>3260866.9645287991</v>
      </c>
      <c r="W30" s="1385">
        <f t="shared" si="1"/>
        <v>3298450.5845288038</v>
      </c>
      <c r="X30" s="1385">
        <f t="shared" si="1"/>
        <v>0</v>
      </c>
      <c r="Y30" s="1385">
        <f t="shared" si="1"/>
        <v>3223283.3445287943</v>
      </c>
    </row>
    <row r="31" spans="1:25">
      <c r="A31" s="1360"/>
      <c r="C31" s="1367">
        <f>MAX(C$12:C30)+1</f>
        <v>20</v>
      </c>
      <c r="D31" s="1367"/>
      <c r="E31" s="1390"/>
      <c r="F31" s="1392"/>
      <c r="G31" s="1392"/>
      <c r="H31" s="1392"/>
      <c r="I31" s="1392"/>
      <c r="J31" s="1392"/>
      <c r="K31" s="1392"/>
      <c r="L31" s="1392"/>
      <c r="M31" s="1392"/>
      <c r="N31" s="1392"/>
      <c r="O31" s="1392"/>
      <c r="P31" s="1392"/>
      <c r="Q31" s="1392"/>
      <c r="R31" s="1392"/>
      <c r="S31" s="1392"/>
      <c r="T31" s="1392"/>
      <c r="U31" s="1392"/>
      <c r="V31" s="1392"/>
      <c r="W31" s="1392"/>
      <c r="Y31" s="1392"/>
    </row>
    <row r="32" spans="1:25" ht="16.5" thickBot="1">
      <c r="A32" s="1360"/>
      <c r="C32" s="1367">
        <f>MAX(C$12:C31)+1</f>
        <v>21</v>
      </c>
      <c r="D32" s="1367"/>
      <c r="E32" s="1382" t="s">
        <v>904</v>
      </c>
      <c r="F32" s="1380"/>
      <c r="G32" s="1380"/>
      <c r="H32" s="1380"/>
      <c r="I32" s="1380"/>
      <c r="J32" s="1380"/>
      <c r="K32" s="1380"/>
      <c r="L32" s="1380"/>
      <c r="M32" s="1380"/>
      <c r="N32" s="1380"/>
      <c r="O32" s="1380"/>
      <c r="P32" s="1380"/>
      <c r="Q32" s="1380"/>
      <c r="R32" s="1380"/>
      <c r="S32" s="1380"/>
      <c r="T32" s="1380"/>
      <c r="U32" s="1380"/>
      <c r="V32" s="1380"/>
      <c r="W32" s="1380"/>
      <c r="Y32" s="1379"/>
    </row>
    <row r="33" spans="1:25">
      <c r="A33" s="1360"/>
      <c r="C33" s="1367">
        <f>MAX(C$12:C32)+1</f>
        <v>22</v>
      </c>
      <c r="D33" s="1367">
        <f>Cust_Esca!C19</f>
        <v>7</v>
      </c>
      <c r="E33" s="1377" t="s">
        <v>606</v>
      </c>
      <c r="F33" s="1383">
        <v>4474</v>
      </c>
      <c r="G33" s="1384">
        <f>ROUND((1+INDEX(Cust_Esca!$E$10:$U$56,MATCH($D33,Cust_Esca!$C$10:$C$56,0),MATCH(G$7,Cust_Esca!$E$7:$U$7,0)))*F33,$AA$7)</f>
        <v>4474</v>
      </c>
      <c r="H33" s="1384">
        <f>ROUND((1+INDEX(Cust_Esca!$E$10:$U$56,MATCH($D33,Cust_Esca!$C$10:$C$56,0),MATCH(H$7,Cust_Esca!$E$7:$U$7,0)))*G33,$AA$7)</f>
        <v>4474</v>
      </c>
      <c r="I33" s="1393">
        <v>4620.8571428571431</v>
      </c>
      <c r="J33" s="1394">
        <v>4631.2857142857147</v>
      </c>
      <c r="K33" s="4643">
        <v>4644</v>
      </c>
      <c r="L33" s="2895">
        <v>4460</v>
      </c>
      <c r="M33" s="1394">
        <v>4483</v>
      </c>
      <c r="N33" s="1394">
        <v>4504</v>
      </c>
      <c r="O33" s="1385">
        <f>ROUND((1+INDEX(Cust_Esca!$E$10:$U$56,MATCH($D33,Cust_Esca!$C$10:$C$56,0),MATCH(O$7,Cust_Esca!$E$7:$U$7,0)))*N33,$AA$7)</f>
        <v>4527</v>
      </c>
      <c r="P33" s="1385">
        <f>ROUND((1+INDEX(Cust_Esca!$E$10:$U$56,MATCH($D33,Cust_Esca!$C$10:$C$56,0),MATCH(P$7,Cust_Esca!$E$7:$U$7,0)))*O33,$AA$7)</f>
        <v>4550</v>
      </c>
      <c r="Q33" s="1385">
        <f>ROUND((1+INDEX(Cust_Esca!$E$10:$U$56,MATCH($D33,Cust_Esca!$C$10:$C$56,0),MATCH(Q$7,Cust_Esca!$E$7:$U$7,0)))*P33,$AA$7)</f>
        <v>4573</v>
      </c>
      <c r="R33" s="1385">
        <f>ROUND((1+INDEX(Cust_Esca!$E$10:$U$56,MATCH($D33,Cust_Esca!$C$10:$C$56,0),MATCH(R$7,Cust_Esca!$E$7:$U$7,0)))*Q33,$AA$7)</f>
        <v>4596</v>
      </c>
      <c r="S33" s="1385">
        <f>ROUND((1+INDEX(Cust_Esca!$E$10:$U$56,MATCH($D33,Cust_Esca!$C$10:$C$56,0),MATCH(S$7,Cust_Esca!$E$7:$U$7,0)))*R33,$AA$7)</f>
        <v>4620</v>
      </c>
      <c r="T33" s="1385">
        <f>ROUND((1+INDEX(Cust_Esca!$E$10:$U$56,MATCH($D33,Cust_Esca!$C$10:$C$56,0),MATCH(T$7,Cust_Esca!$E$7:$U$7,0)))*S33,$AA$7)</f>
        <v>4643</v>
      </c>
      <c r="U33" s="1385">
        <f>ROUND((1+INDEX(Cust_Esca!$E$10:$U$56,MATCH($D33,Cust_Esca!$C$10:$C$56,0),MATCH(U$7,Cust_Esca!$E$7:$U$7,0)))*T33,$AA$7)</f>
        <v>4667</v>
      </c>
      <c r="V33" s="1385">
        <f>ROUND((1+INDEX(Cust_Esca!$E$10:$U$56,MATCH($D33,Cust_Esca!$C$10:$C$56,0),MATCH(V$7,Cust_Esca!$E$7:$U$7,0)))*U33,$AA$7)</f>
        <v>4690</v>
      </c>
      <c r="W33" s="1385">
        <f>ROUND((1+INDEX(Cust_Esca!$E$10:$U$56,MATCH($D33,Cust_Esca!$C$10:$C$56,0),MATCH(W$7,Cust_Esca!$E$7:$U$7,0)))*V33,$AA$7)</f>
        <v>4714</v>
      </c>
      <c r="Y33" s="1385">
        <f>SUMIF($F$7:$W$7,TY_Units!$H$5,$F33:$W33)</f>
        <v>4667</v>
      </c>
    </row>
    <row r="34" spans="1:25">
      <c r="A34" s="1360"/>
      <c r="C34" s="1367">
        <f>MAX(C$12:C33)+1</f>
        <v>23</v>
      </c>
      <c r="D34" s="1367">
        <f>Cust_Esca!C20</f>
        <v>8</v>
      </c>
      <c r="E34" s="1377" t="s">
        <v>2099</v>
      </c>
      <c r="F34" s="1395">
        <f>382606.429999998*Rates!F62</f>
        <v>213945.96000000119</v>
      </c>
      <c r="G34" s="1396">
        <f>382606.429999998*Rates!G62</f>
        <v>215424.06000000119</v>
      </c>
      <c r="H34" s="1396">
        <f>ROUND((1+INDEX(Cust_Esca!$E$10:$U$56,MATCH($D34,Cust_Esca!$C$10:$C$56,0),MATCH(H$7,Cust_Esca!$E$7:$U$7,0)))*G34,$AA$7)</f>
        <v>215424</v>
      </c>
      <c r="I34" s="2896">
        <v>224750.64571428631</v>
      </c>
      <c r="J34" s="2897">
        <v>226467.34571428716</v>
      </c>
      <c r="K34" s="4644">
        <v>223174.70109000002</v>
      </c>
      <c r="L34" s="2897">
        <v>214310.28539249999</v>
      </c>
      <c r="M34" s="2897">
        <v>215400.56112000003</v>
      </c>
      <c r="N34" s="2897">
        <v>216443.43355500005</v>
      </c>
      <c r="O34" s="1385">
        <v>217533.70928250003</v>
      </c>
      <c r="P34" s="1385">
        <v>218623.98501</v>
      </c>
      <c r="Q34" s="1385">
        <v>219714.26073750001</v>
      </c>
      <c r="R34" s="1385">
        <v>220804.53646500004</v>
      </c>
      <c r="S34" s="1385">
        <v>221942.21548500002</v>
      </c>
      <c r="T34" s="1385">
        <v>223032.49121250003</v>
      </c>
      <c r="U34" s="1385">
        <v>224170.17023250001</v>
      </c>
      <c r="V34" s="1385">
        <v>225260.44596000004</v>
      </c>
      <c r="W34" s="1385">
        <v>226398.12497999999</v>
      </c>
      <c r="Y34" s="1385">
        <f>SUMIF($F$7:$W$7,TY_Units!$H$5,$F34:$W34)</f>
        <v>224170.17023250001</v>
      </c>
    </row>
    <row r="35" spans="1:25">
      <c r="A35" s="1360"/>
      <c r="C35" s="1367">
        <f>MAX(C$12:C34)+1</f>
        <v>24</v>
      </c>
      <c r="D35" s="1367">
        <f>D34</f>
        <v>8</v>
      </c>
      <c r="E35" s="1377" t="s">
        <v>2100</v>
      </c>
      <c r="F35" s="1395">
        <f>382606.429999998*Rates!F63</f>
        <v>36603.870000000024</v>
      </c>
      <c r="G35" s="1396">
        <f>382606.429999998*Rates!G63</f>
        <v>36743.870000000024</v>
      </c>
      <c r="H35" s="1396">
        <f>ROUND((1+INDEX(Cust_Esca!$E$10:$U$56,MATCH($D35,Cust_Esca!$C$10:$C$56,0),MATCH(H$7,Cust_Esca!$E$7:$U$7,0)))*G35,$AA$7)</f>
        <v>36744</v>
      </c>
      <c r="I35" s="2896">
        <v>185658.01285714289</v>
      </c>
      <c r="J35" s="2897">
        <v>187316.06285714329</v>
      </c>
      <c r="K35" s="4644">
        <v>310361.55338564009</v>
      </c>
      <c r="L35" s="2897">
        <v>79137.366887427037</v>
      </c>
      <c r="M35" s="2897">
        <v>175657.65076272408</v>
      </c>
      <c r="N35" s="2897">
        <v>176511.71827420531</v>
      </c>
      <c r="O35" s="1385">
        <v>177399.24770860089</v>
      </c>
      <c r="P35" s="1385">
        <v>178286.777142996</v>
      </c>
      <c r="Q35" s="1385">
        <v>179174.3065773916</v>
      </c>
      <c r="R35" s="1385">
        <v>180061.83601178686</v>
      </c>
      <c r="S35" s="1385">
        <v>180987.95368246073</v>
      </c>
      <c r="T35" s="1385">
        <v>181875.48311685631</v>
      </c>
      <c r="U35" s="1385">
        <v>182801.60078752993</v>
      </c>
      <c r="V35" s="1385">
        <v>183689.13022192483</v>
      </c>
      <c r="W35" s="1385">
        <v>184615.24789259859</v>
      </c>
      <c r="Y35" s="1385">
        <f>SUMIF($F$7:$W$7,TY_Units!$H$5,$F35:$W35)</f>
        <v>182801.60078752993</v>
      </c>
    </row>
    <row r="36" spans="1:25" ht="16.5" thickBot="1">
      <c r="A36" s="1360"/>
      <c r="C36" s="1367">
        <f>MAX(C$12:C35)+1</f>
        <v>25</v>
      </c>
      <c r="D36" s="1367">
        <f>D34</f>
        <v>8</v>
      </c>
      <c r="E36" s="1377" t="s">
        <v>2101</v>
      </c>
      <c r="F36" s="1386">
        <f>382606.429999998*Rates!F64</f>
        <v>129428.50000000022</v>
      </c>
      <c r="G36" s="1387">
        <f>382606.429999998*Rates!G64</f>
        <v>130438.50000000022</v>
      </c>
      <c r="H36" s="1387">
        <f>ROUND((1+INDEX(Cust_Esca!$E$10:$U$56,MATCH($D36,Cust_Esca!$C$10:$C$56,0),MATCH(H$7,Cust_Esca!$E$7:$U$7,0)))*G36,$AA$7)</f>
        <v>130439</v>
      </c>
      <c r="I36" s="1388">
        <v>0</v>
      </c>
      <c r="J36" s="1389">
        <v>0</v>
      </c>
      <c r="K36" s="4645">
        <v>0</v>
      </c>
      <c r="L36" s="1389">
        <v>0</v>
      </c>
      <c r="M36" s="1389">
        <v>0</v>
      </c>
      <c r="N36" s="1389">
        <v>0</v>
      </c>
      <c r="O36" s="1385">
        <f>ROUND((1+INDEX(Cust_Esca!$E$10:$U$56,MATCH($D36,Cust_Esca!$C$10:$C$56,0),MATCH(O$7,Cust_Esca!$E$7:$U$7,0)))*N36,$AA$7)</f>
        <v>0</v>
      </c>
      <c r="P36" s="1385">
        <f>ROUND((1+INDEX(Cust_Esca!$E$10:$U$56,MATCH($D36,Cust_Esca!$C$10:$C$56,0),MATCH(P$7,Cust_Esca!$E$7:$U$7,0)))*O36,$AA$7)</f>
        <v>0</v>
      </c>
      <c r="Q36" s="1385">
        <f>ROUND((1+INDEX(Cust_Esca!$E$10:$U$56,MATCH($D36,Cust_Esca!$C$10:$C$56,0),MATCH(Q$7,Cust_Esca!$E$7:$U$7,0)))*P36,$AA$7)</f>
        <v>0</v>
      </c>
      <c r="R36" s="1385">
        <f>ROUND((1+INDEX(Cust_Esca!$E$10:$U$56,MATCH($D36,Cust_Esca!$C$10:$C$56,0),MATCH(R$7,Cust_Esca!$E$7:$U$7,0)))*Q36,$AA$7)</f>
        <v>0</v>
      </c>
      <c r="S36" s="1385">
        <f>ROUND((1+INDEX(Cust_Esca!$E$10:$U$56,MATCH($D36,Cust_Esca!$C$10:$C$56,0),MATCH(S$7,Cust_Esca!$E$7:$U$7,0)))*R36,$AA$7)</f>
        <v>0</v>
      </c>
      <c r="T36" s="1385">
        <f>ROUND((1+INDEX(Cust_Esca!$E$10:$U$56,MATCH($D36,Cust_Esca!$C$10:$C$56,0),MATCH(T$7,Cust_Esca!$E$7:$U$7,0)))*S36,$AA$7)</f>
        <v>0</v>
      </c>
      <c r="U36" s="1385">
        <f>ROUND((1+INDEX(Cust_Esca!$E$10:$U$56,MATCH($D36,Cust_Esca!$C$10:$C$56,0),MATCH(U$7,Cust_Esca!$E$7:$U$7,0)))*T36,$AA$7)</f>
        <v>0</v>
      </c>
      <c r="V36" s="1385">
        <f>ROUND((1+INDEX(Cust_Esca!$E$10:$U$56,MATCH($D36,Cust_Esca!$C$10:$C$56,0),MATCH(V$7,Cust_Esca!$E$7:$U$7,0)))*U36,$AA$7)</f>
        <v>0</v>
      </c>
      <c r="W36" s="1385">
        <f>ROUND((1+INDEX(Cust_Esca!$E$10:$U$56,MATCH($D36,Cust_Esca!$C$10:$C$56,0),MATCH(W$7,Cust_Esca!$E$7:$U$7,0)))*V36,$AA$7)</f>
        <v>0</v>
      </c>
      <c r="Y36" s="1385">
        <f>SUMIF($F$7:$W$7,TY_Units!$H$5,$F36:$W36)</f>
        <v>0</v>
      </c>
    </row>
    <row r="37" spans="1:25">
      <c r="A37" s="1360"/>
      <c r="C37" s="1367">
        <f>MAX(C$12:C36)+1</f>
        <v>26</v>
      </c>
      <c r="D37" s="1367">
        <f>D34</f>
        <v>8</v>
      </c>
      <c r="E37" s="1377" t="s">
        <v>2102</v>
      </c>
      <c r="F37" s="1395">
        <f>382606.429999998*Rates!F70</f>
        <v>1478.1000000000017</v>
      </c>
      <c r="G37" s="1396">
        <v>0</v>
      </c>
      <c r="H37" s="1396">
        <v>0</v>
      </c>
      <c r="I37" s="1397">
        <v>0</v>
      </c>
      <c r="J37" s="1398">
        <v>0</v>
      </c>
      <c r="K37" s="1398">
        <v>0</v>
      </c>
      <c r="L37" s="1398">
        <v>0</v>
      </c>
      <c r="M37" s="1398">
        <v>0</v>
      </c>
      <c r="N37" s="1398">
        <v>0</v>
      </c>
      <c r="O37" s="1385">
        <f>ROUND((1+INDEX(Cust_Esca!$E$10:$U$56,MATCH($D37,Cust_Esca!$C$10:$C$56,0),MATCH(O$7,Cust_Esca!$E$7:$U$7,0)))*N37,$AA$7)</f>
        <v>0</v>
      </c>
      <c r="P37" s="1385">
        <f>ROUND((1+INDEX(Cust_Esca!$E$10:$U$56,MATCH($D37,Cust_Esca!$C$10:$C$56,0),MATCH(P$7,Cust_Esca!$E$7:$U$7,0)))*O37,$AA$7)</f>
        <v>0</v>
      </c>
      <c r="Q37" s="1385">
        <f>ROUND((1+INDEX(Cust_Esca!$E$10:$U$56,MATCH($D37,Cust_Esca!$C$10:$C$56,0),MATCH(Q$7,Cust_Esca!$E$7:$U$7,0)))*P37,$AA$7)</f>
        <v>0</v>
      </c>
      <c r="R37" s="1385">
        <f>ROUND((1+INDEX(Cust_Esca!$E$10:$U$56,MATCH($D37,Cust_Esca!$C$10:$C$56,0),MATCH(R$7,Cust_Esca!$E$7:$U$7,0)))*Q37,$AA$7)</f>
        <v>0</v>
      </c>
      <c r="S37" s="1385">
        <f>ROUND((1+INDEX(Cust_Esca!$E$10:$U$56,MATCH($D37,Cust_Esca!$C$10:$C$56,0),MATCH(S$7,Cust_Esca!$E$7:$U$7,0)))*R37,$AA$7)</f>
        <v>0</v>
      </c>
      <c r="T37" s="1385">
        <f>ROUND((1+INDEX(Cust_Esca!$E$10:$U$56,MATCH($D37,Cust_Esca!$C$10:$C$56,0),MATCH(T$7,Cust_Esca!$E$7:$U$7,0)))*S37,$AA$7)</f>
        <v>0</v>
      </c>
      <c r="U37" s="1385">
        <f>ROUND((1+INDEX(Cust_Esca!$E$10:$U$56,MATCH($D37,Cust_Esca!$C$10:$C$56,0),MATCH(U$7,Cust_Esca!$E$7:$U$7,0)))*T37,$AA$7)</f>
        <v>0</v>
      </c>
      <c r="V37" s="1385">
        <f>ROUND((1+INDEX(Cust_Esca!$E$10:$U$56,MATCH($D37,Cust_Esca!$C$10:$C$56,0),MATCH(V$7,Cust_Esca!$E$7:$U$7,0)))*U37,$AA$7)</f>
        <v>0</v>
      </c>
      <c r="W37" s="1385">
        <f>ROUND((1+INDEX(Cust_Esca!$E$10:$U$56,MATCH($D37,Cust_Esca!$C$10:$C$56,0),MATCH(W$7,Cust_Esca!$E$7:$U$7,0)))*V37,$AA$7)</f>
        <v>0</v>
      </c>
      <c r="Y37" s="1385">
        <f>SUMIF($F$7:$W$7,TY_Units!$H$5,$F37:$W37)</f>
        <v>0</v>
      </c>
    </row>
    <row r="38" spans="1:25">
      <c r="A38" s="1360"/>
      <c r="C38" s="1367">
        <f>MAX(C$12:C37)+1</f>
        <v>27</v>
      </c>
      <c r="D38" s="1367">
        <f>D34</f>
        <v>8</v>
      </c>
      <c r="E38" s="1377" t="s">
        <v>2103</v>
      </c>
      <c r="F38" s="1395">
        <f>382606.429999998*Rates!F71</f>
        <v>140.00000000000017</v>
      </c>
      <c r="G38" s="1396">
        <v>0</v>
      </c>
      <c r="H38" s="1396">
        <v>0</v>
      </c>
      <c r="I38" s="1397">
        <v>0</v>
      </c>
      <c r="J38" s="1398">
        <v>0</v>
      </c>
      <c r="K38" s="1398">
        <v>0</v>
      </c>
      <c r="L38" s="1398">
        <v>0</v>
      </c>
      <c r="M38" s="1398">
        <v>0</v>
      </c>
      <c r="N38" s="1398">
        <v>0</v>
      </c>
      <c r="O38" s="1385">
        <f>ROUND((1+INDEX(Cust_Esca!$E$10:$U$56,MATCH($D38,Cust_Esca!$C$10:$C$56,0),MATCH(O$7,Cust_Esca!$E$7:$U$7,0)))*N38,$AA$7)</f>
        <v>0</v>
      </c>
      <c r="P38" s="1385">
        <f>ROUND((1+INDEX(Cust_Esca!$E$10:$U$56,MATCH($D38,Cust_Esca!$C$10:$C$56,0),MATCH(P$7,Cust_Esca!$E$7:$U$7,0)))*O38,$AA$7)</f>
        <v>0</v>
      </c>
      <c r="Q38" s="1385">
        <f>ROUND((1+INDEX(Cust_Esca!$E$10:$U$56,MATCH($D38,Cust_Esca!$C$10:$C$56,0),MATCH(Q$7,Cust_Esca!$E$7:$U$7,0)))*P38,$AA$7)</f>
        <v>0</v>
      </c>
      <c r="R38" s="1385">
        <f>ROUND((1+INDEX(Cust_Esca!$E$10:$U$56,MATCH($D38,Cust_Esca!$C$10:$C$56,0),MATCH(R$7,Cust_Esca!$E$7:$U$7,0)))*Q38,$AA$7)</f>
        <v>0</v>
      </c>
      <c r="S38" s="1385">
        <f>ROUND((1+INDEX(Cust_Esca!$E$10:$U$56,MATCH($D38,Cust_Esca!$C$10:$C$56,0),MATCH(S$7,Cust_Esca!$E$7:$U$7,0)))*R38,$AA$7)</f>
        <v>0</v>
      </c>
      <c r="T38" s="1385">
        <f>ROUND((1+INDEX(Cust_Esca!$E$10:$U$56,MATCH($D38,Cust_Esca!$C$10:$C$56,0),MATCH(T$7,Cust_Esca!$E$7:$U$7,0)))*S38,$AA$7)</f>
        <v>0</v>
      </c>
      <c r="U38" s="1385">
        <f>ROUND((1+INDEX(Cust_Esca!$E$10:$U$56,MATCH($D38,Cust_Esca!$C$10:$C$56,0),MATCH(U$7,Cust_Esca!$E$7:$U$7,0)))*T38,$AA$7)</f>
        <v>0</v>
      </c>
      <c r="V38" s="1385">
        <f>ROUND((1+INDEX(Cust_Esca!$E$10:$U$56,MATCH($D38,Cust_Esca!$C$10:$C$56,0),MATCH(V$7,Cust_Esca!$E$7:$U$7,0)))*U38,$AA$7)</f>
        <v>0</v>
      </c>
      <c r="W38" s="1385">
        <f>ROUND((1+INDEX(Cust_Esca!$E$10:$U$56,MATCH($D38,Cust_Esca!$C$10:$C$56,0),MATCH(W$7,Cust_Esca!$E$7:$U$7,0)))*V38,$AA$7)</f>
        <v>0</v>
      </c>
      <c r="Y38" s="1385">
        <f>SUMIF($F$7:$W$7,TY_Units!$H$5,$F38:$W38)</f>
        <v>0</v>
      </c>
    </row>
    <row r="39" spans="1:25" ht="16.5" thickBot="1">
      <c r="A39" s="1360"/>
      <c r="C39" s="1367">
        <f>MAX(C$12:C38)+1</f>
        <v>28</v>
      </c>
      <c r="D39" s="1367">
        <f>D34</f>
        <v>8</v>
      </c>
      <c r="E39" s="1377" t="s">
        <v>2104</v>
      </c>
      <c r="F39" s="1386">
        <f>382606.429999998*Rates!F72</f>
        <v>1010.0000000000011</v>
      </c>
      <c r="G39" s="1387">
        <v>0</v>
      </c>
      <c r="H39" s="1387">
        <v>0</v>
      </c>
      <c r="I39" s="1388">
        <v>0</v>
      </c>
      <c r="J39" s="1389">
        <v>0</v>
      </c>
      <c r="K39" s="1389">
        <v>0</v>
      </c>
      <c r="L39" s="1389">
        <v>0</v>
      </c>
      <c r="M39" s="1389">
        <v>0</v>
      </c>
      <c r="N39" s="1389">
        <v>0</v>
      </c>
      <c r="O39" s="1385">
        <f>ROUND((1+INDEX(Cust_Esca!$E$10:$U$56,MATCH($D39,Cust_Esca!$C$10:$C$56,0),MATCH(O$7,Cust_Esca!$E$7:$U$7,0)))*N39,$AA$7)</f>
        <v>0</v>
      </c>
      <c r="P39" s="1385">
        <f>ROUND((1+INDEX(Cust_Esca!$E$10:$U$56,MATCH($D39,Cust_Esca!$C$10:$C$56,0),MATCH(P$7,Cust_Esca!$E$7:$U$7,0)))*O39,$AA$7)</f>
        <v>0</v>
      </c>
      <c r="Q39" s="1385">
        <f>ROUND((1+INDEX(Cust_Esca!$E$10:$U$56,MATCH($D39,Cust_Esca!$C$10:$C$56,0),MATCH(Q$7,Cust_Esca!$E$7:$U$7,0)))*P39,$AA$7)</f>
        <v>0</v>
      </c>
      <c r="R39" s="1385">
        <f>ROUND((1+INDEX(Cust_Esca!$E$10:$U$56,MATCH($D39,Cust_Esca!$C$10:$C$56,0),MATCH(R$7,Cust_Esca!$E$7:$U$7,0)))*Q39,$AA$7)</f>
        <v>0</v>
      </c>
      <c r="S39" s="1385">
        <f>ROUND((1+INDEX(Cust_Esca!$E$10:$U$56,MATCH($D39,Cust_Esca!$C$10:$C$56,0),MATCH(S$7,Cust_Esca!$E$7:$U$7,0)))*R39,$AA$7)</f>
        <v>0</v>
      </c>
      <c r="T39" s="1385">
        <f>ROUND((1+INDEX(Cust_Esca!$E$10:$U$56,MATCH($D39,Cust_Esca!$C$10:$C$56,0),MATCH(T$7,Cust_Esca!$E$7:$U$7,0)))*S39,$AA$7)</f>
        <v>0</v>
      </c>
      <c r="U39" s="1385">
        <f>ROUND((1+INDEX(Cust_Esca!$E$10:$U$56,MATCH($D39,Cust_Esca!$C$10:$C$56,0),MATCH(U$7,Cust_Esca!$E$7:$U$7,0)))*T39,$AA$7)</f>
        <v>0</v>
      </c>
      <c r="V39" s="1385">
        <f>ROUND((1+INDEX(Cust_Esca!$E$10:$U$56,MATCH($D39,Cust_Esca!$C$10:$C$56,0),MATCH(V$7,Cust_Esca!$E$7:$U$7,0)))*U39,$AA$7)</f>
        <v>0</v>
      </c>
      <c r="W39" s="1385">
        <f>ROUND((1+INDEX(Cust_Esca!$E$10:$U$56,MATCH($D39,Cust_Esca!$C$10:$C$56,0),MATCH(W$7,Cust_Esca!$E$7:$U$7,0)))*V39,$AA$7)</f>
        <v>0</v>
      </c>
      <c r="Y39" s="1385">
        <f>SUMIF($F$7:$W$7,TY_Units!$H$5,$F39:$W39)</f>
        <v>0</v>
      </c>
    </row>
    <row r="40" spans="1:25">
      <c r="A40" s="1360"/>
      <c r="C40" s="1367">
        <f>MAX(C$12:C39)+1</f>
        <v>29</v>
      </c>
      <c r="D40" s="1367">
        <f>D34</f>
        <v>8</v>
      </c>
      <c r="E40" s="1377" t="s">
        <v>242</v>
      </c>
      <c r="F40" s="1395">
        <v>72350702</v>
      </c>
      <c r="G40" s="1396">
        <v>72350702</v>
      </c>
      <c r="H40" s="1396">
        <v>72350702</v>
      </c>
      <c r="I40" s="1397">
        <v>533776545</v>
      </c>
      <c r="J40" s="1398">
        <v>539077446</v>
      </c>
      <c r="K40" s="1398">
        <v>539106974.7249999</v>
      </c>
      <c r="L40" s="1398">
        <v>597030065.91499984</v>
      </c>
      <c r="M40" s="1398">
        <v>616234843.49500012</v>
      </c>
      <c r="N40" s="1398">
        <v>589079402.90123379</v>
      </c>
      <c r="O40" s="1385">
        <v>596558543.28123367</v>
      </c>
      <c r="P40" s="1385">
        <v>604037683.66123366</v>
      </c>
      <c r="Q40" s="1385">
        <v>611516824.04123354</v>
      </c>
      <c r="R40" s="1385">
        <v>618995964.42123342</v>
      </c>
      <c r="S40" s="1385">
        <v>626475104.80123341</v>
      </c>
      <c r="T40" s="1385">
        <v>633954245.18123364</v>
      </c>
      <c r="U40" s="1385">
        <v>641433385.56123352</v>
      </c>
      <c r="V40" s="1385">
        <v>648912525.94123363</v>
      </c>
      <c r="W40" s="1385">
        <v>656391666.32123351</v>
      </c>
      <c r="Y40" s="1385">
        <f>SUMIF($F$7:$W$7,TY_Units!$H$5,$F40:$W40)</f>
        <v>641433385.56123352</v>
      </c>
    </row>
    <row r="41" spans="1:25">
      <c r="A41" s="1360"/>
      <c r="C41" s="1367">
        <f>MAX(C$12:C40)+1</f>
        <v>30</v>
      </c>
      <c r="D41" s="1367">
        <f>D34</f>
        <v>8</v>
      </c>
      <c r="E41" s="1377" t="s">
        <v>243</v>
      </c>
      <c r="F41" s="1395">
        <v>114299651</v>
      </c>
      <c r="G41" s="1396">
        <v>114299651</v>
      </c>
      <c r="H41" s="1396">
        <v>114299651</v>
      </c>
      <c r="I41" s="1397">
        <v>0</v>
      </c>
      <c r="J41" s="1398">
        <v>0</v>
      </c>
      <c r="K41" s="1398">
        <v>0</v>
      </c>
      <c r="L41" s="1398">
        <v>0</v>
      </c>
      <c r="M41" s="1398">
        <v>0</v>
      </c>
      <c r="N41" s="1398">
        <v>0</v>
      </c>
      <c r="O41" s="1385">
        <f>ROUND((1+INDEX(Cust_Esca!$E$10:$U$56,MATCH($D41,Cust_Esca!$C$10:$C$56,0),MATCH(O$7,Cust_Esca!$E$7:$U$7,0)))*N41,$AA$7)</f>
        <v>0</v>
      </c>
      <c r="P41" s="1385">
        <f>ROUND((1+INDEX(Cust_Esca!$E$10:$U$56,MATCH($D41,Cust_Esca!$C$10:$C$56,0),MATCH(P$7,Cust_Esca!$E$7:$U$7,0)))*O41,$AA$7)</f>
        <v>0</v>
      </c>
      <c r="Q41" s="1385">
        <f>ROUND((1+INDEX(Cust_Esca!$E$10:$U$56,MATCH($D41,Cust_Esca!$C$10:$C$56,0),MATCH(Q$7,Cust_Esca!$E$7:$U$7,0)))*P41,$AA$7)</f>
        <v>0</v>
      </c>
      <c r="R41" s="1385">
        <f>ROUND((1+INDEX(Cust_Esca!$E$10:$U$56,MATCH($D41,Cust_Esca!$C$10:$C$56,0),MATCH(R$7,Cust_Esca!$E$7:$U$7,0)))*Q41,$AA$7)</f>
        <v>0</v>
      </c>
      <c r="S41" s="1385">
        <f>ROUND((1+INDEX(Cust_Esca!$E$10:$U$56,MATCH($D41,Cust_Esca!$C$10:$C$56,0),MATCH(S$7,Cust_Esca!$E$7:$U$7,0)))*R41,$AA$7)</f>
        <v>0</v>
      </c>
      <c r="T41" s="1385">
        <f>ROUND((1+INDEX(Cust_Esca!$E$10:$U$56,MATCH($D41,Cust_Esca!$C$10:$C$56,0),MATCH(T$7,Cust_Esca!$E$7:$U$7,0)))*S41,$AA$7)</f>
        <v>0</v>
      </c>
      <c r="U41" s="1385">
        <f>ROUND((1+INDEX(Cust_Esca!$E$10:$U$56,MATCH($D41,Cust_Esca!$C$10:$C$56,0),MATCH(U$7,Cust_Esca!$E$7:$U$7,0)))*T41,$AA$7)</f>
        <v>0</v>
      </c>
      <c r="V41" s="1385">
        <f>ROUND((1+INDEX(Cust_Esca!$E$10:$U$56,MATCH($D41,Cust_Esca!$C$10:$C$56,0),MATCH(V$7,Cust_Esca!$E$7:$U$7,0)))*U41,$AA$7)</f>
        <v>0</v>
      </c>
      <c r="W41" s="1385">
        <f>ROUND((1+INDEX(Cust_Esca!$E$10:$U$56,MATCH($D41,Cust_Esca!$C$10:$C$56,0),MATCH(W$7,Cust_Esca!$E$7:$U$7,0)))*V41,$AA$7)</f>
        <v>0</v>
      </c>
      <c r="Y41" s="1385">
        <f>SUMIF($F$7:$W$7,TY_Units!$H$5,$F41:$W41)</f>
        <v>0</v>
      </c>
    </row>
    <row r="42" spans="1:25" ht="16.5" thickBot="1">
      <c r="A42" s="1360"/>
      <c r="C42" s="1367">
        <f>MAX(C$12:C41)+1</f>
        <v>31</v>
      </c>
      <c r="D42" s="1367">
        <f>D34</f>
        <v>8</v>
      </c>
      <c r="E42" s="1377" t="s">
        <v>909</v>
      </c>
      <c r="F42" s="1386">
        <v>351231710</v>
      </c>
      <c r="G42" s="1387">
        <v>351231710</v>
      </c>
      <c r="H42" s="1387">
        <v>351231710</v>
      </c>
      <c r="I42" s="1388">
        <v>0</v>
      </c>
      <c r="J42" s="1389">
        <v>0</v>
      </c>
      <c r="K42" s="1389">
        <v>0</v>
      </c>
      <c r="L42" s="1389">
        <v>0</v>
      </c>
      <c r="M42" s="1389">
        <v>0</v>
      </c>
      <c r="N42" s="1389">
        <v>0</v>
      </c>
      <c r="O42" s="1399">
        <f>ROUND((1+INDEX(Cust_Esca!$E$10:$U$56,MATCH($D42,Cust_Esca!$C$10:$C$56,0),MATCH(O$7,Cust_Esca!$E$7:$U$7,0)))*N42,$AA$7)</f>
        <v>0</v>
      </c>
      <c r="P42" s="1399">
        <f>ROUND((1+INDEX(Cust_Esca!$E$10:$U$56,MATCH($D42,Cust_Esca!$C$10:$C$56,0),MATCH(P$7,Cust_Esca!$E$7:$U$7,0)))*O42,$AA$7)</f>
        <v>0</v>
      </c>
      <c r="Q42" s="1399">
        <f>ROUND((1+INDEX(Cust_Esca!$E$10:$U$56,MATCH($D42,Cust_Esca!$C$10:$C$56,0),MATCH(Q$7,Cust_Esca!$E$7:$U$7,0)))*P42,$AA$7)</f>
        <v>0</v>
      </c>
      <c r="R42" s="1399">
        <f>ROUND((1+INDEX(Cust_Esca!$E$10:$U$56,MATCH($D42,Cust_Esca!$C$10:$C$56,0),MATCH(R$7,Cust_Esca!$E$7:$U$7,0)))*Q42,$AA$7)</f>
        <v>0</v>
      </c>
      <c r="S42" s="1399">
        <f>ROUND((1+INDEX(Cust_Esca!$E$10:$U$56,MATCH($D42,Cust_Esca!$C$10:$C$56,0),MATCH(S$7,Cust_Esca!$E$7:$U$7,0)))*R42,$AA$7)</f>
        <v>0</v>
      </c>
      <c r="T42" s="1399">
        <f>ROUND((1+INDEX(Cust_Esca!$E$10:$U$56,MATCH($D42,Cust_Esca!$C$10:$C$56,0),MATCH(T$7,Cust_Esca!$E$7:$U$7,0)))*S42,$AA$7)</f>
        <v>0</v>
      </c>
      <c r="U42" s="1399">
        <f>ROUND((1+INDEX(Cust_Esca!$E$10:$U$56,MATCH($D42,Cust_Esca!$C$10:$C$56,0),MATCH(U$7,Cust_Esca!$E$7:$U$7,0)))*T42,$AA$7)</f>
        <v>0</v>
      </c>
      <c r="V42" s="1399">
        <f>ROUND((1+INDEX(Cust_Esca!$E$10:$U$56,MATCH($D42,Cust_Esca!$C$10:$C$56,0),MATCH(V$7,Cust_Esca!$E$7:$U$7,0)))*U42,$AA$7)</f>
        <v>0</v>
      </c>
      <c r="W42" s="1399">
        <f>ROUND((1+INDEX(Cust_Esca!$E$10:$U$56,MATCH($D42,Cust_Esca!$C$10:$C$56,0),MATCH(W$7,Cust_Esca!$E$7:$U$7,0)))*V42,$AA$7)</f>
        <v>0</v>
      </c>
      <c r="X42" s="1400"/>
      <c r="Y42" s="1399">
        <f>SUMIF($F$7:$W$7,TY_Units!$H$5,$F42:$W42)</f>
        <v>0</v>
      </c>
    </row>
    <row r="43" spans="1:25">
      <c r="A43" s="1360"/>
      <c r="C43" s="1367">
        <f>MAX(C$12:C42)+1</f>
        <v>32</v>
      </c>
      <c r="D43" s="1367">
        <f>D34</f>
        <v>8</v>
      </c>
      <c r="E43" s="1377" t="s">
        <v>902</v>
      </c>
      <c r="F43" s="1385">
        <f t="shared" ref="F43:L43" si="2">SUM(F40:F42)</f>
        <v>537882063</v>
      </c>
      <c r="G43" s="1385">
        <f t="shared" si="2"/>
        <v>537882063</v>
      </c>
      <c r="H43" s="1385">
        <f t="shared" si="2"/>
        <v>537882063</v>
      </c>
      <c r="I43" s="1385">
        <f t="shared" si="2"/>
        <v>533776545</v>
      </c>
      <c r="J43" s="1385">
        <f t="shared" si="2"/>
        <v>539077446</v>
      </c>
      <c r="K43" s="1385">
        <f t="shared" si="2"/>
        <v>539106974.7249999</v>
      </c>
      <c r="L43" s="1385">
        <f t="shared" si="2"/>
        <v>597030065.91499984</v>
      </c>
      <c r="M43" s="1385">
        <f t="shared" ref="M43:Y43" si="3">SUM(M40:M42)</f>
        <v>616234843.49500012</v>
      </c>
      <c r="N43" s="1385">
        <f t="shared" si="3"/>
        <v>589079402.90123379</v>
      </c>
      <c r="O43" s="1385">
        <f t="shared" si="3"/>
        <v>596558543.28123367</v>
      </c>
      <c r="P43" s="1385">
        <f t="shared" si="3"/>
        <v>604037683.66123366</v>
      </c>
      <c r="Q43" s="1385">
        <f t="shared" si="3"/>
        <v>611516824.04123354</v>
      </c>
      <c r="R43" s="1385">
        <f t="shared" si="3"/>
        <v>618995964.42123342</v>
      </c>
      <c r="S43" s="1385">
        <f t="shared" si="3"/>
        <v>626475104.80123341</v>
      </c>
      <c r="T43" s="1385">
        <f t="shared" si="3"/>
        <v>633954245.18123364</v>
      </c>
      <c r="U43" s="1385">
        <f t="shared" si="3"/>
        <v>641433385.56123352</v>
      </c>
      <c r="V43" s="1385">
        <f t="shared" si="3"/>
        <v>648912525.94123363</v>
      </c>
      <c r="W43" s="1385">
        <f t="shared" si="3"/>
        <v>656391666.32123351</v>
      </c>
      <c r="Y43" s="1385">
        <f t="shared" si="3"/>
        <v>641433385.56123352</v>
      </c>
    </row>
    <row r="44" spans="1:25">
      <c r="A44" s="1360"/>
      <c r="C44" s="1367">
        <f>MAX(C$12:C43)+1</f>
        <v>33</v>
      </c>
      <c r="D44" s="1367"/>
      <c r="E44" s="1390"/>
      <c r="F44" s="1392"/>
      <c r="G44" s="1392"/>
      <c r="H44" s="1392"/>
      <c r="I44" s="1392"/>
      <c r="J44" s="1392"/>
      <c r="K44" s="1392"/>
      <c r="L44" s="1392"/>
      <c r="M44" s="1392"/>
      <c r="N44" s="1392"/>
      <c r="O44" s="1392"/>
      <c r="P44" s="1392"/>
      <c r="Q44" s="1392"/>
      <c r="R44" s="1392"/>
      <c r="S44" s="1392"/>
      <c r="T44" s="1392"/>
      <c r="U44" s="1392"/>
      <c r="V44" s="1392"/>
      <c r="W44" s="1392"/>
      <c r="Y44" s="1392"/>
    </row>
    <row r="45" spans="1:25" ht="16.5" thickBot="1">
      <c r="A45" s="1360"/>
      <c r="C45" s="1367">
        <f>MAX(C$12:C44)+1</f>
        <v>34</v>
      </c>
      <c r="D45" s="1367"/>
      <c r="E45" s="1382" t="s">
        <v>905</v>
      </c>
      <c r="F45" s="1380"/>
      <c r="G45" s="1380"/>
      <c r="H45" s="1380"/>
      <c r="I45" s="1380"/>
      <c r="J45" s="1380"/>
      <c r="K45" s="1380"/>
      <c r="L45" s="1380"/>
      <c r="M45" s="1380"/>
      <c r="N45" s="1380"/>
      <c r="O45" s="1380"/>
      <c r="P45" s="1380"/>
      <c r="Q45" s="1380"/>
      <c r="R45" s="1380"/>
      <c r="S45" s="1380"/>
      <c r="T45" s="1380"/>
      <c r="U45" s="1380"/>
      <c r="V45" s="1380"/>
      <c r="W45" s="1380"/>
      <c r="Y45" s="1379"/>
    </row>
    <row r="46" spans="1:25" ht="16.5" thickBot="1">
      <c r="A46" s="1360"/>
      <c r="C46" s="1367">
        <f>MAX(C$12:C45)+1</f>
        <v>35</v>
      </c>
      <c r="D46" s="1367">
        <f>Cust_Esca!C22</f>
        <v>9</v>
      </c>
      <c r="E46" s="1377" t="s">
        <v>606</v>
      </c>
      <c r="F46" s="1402">
        <v>3396</v>
      </c>
      <c r="G46" s="1403">
        <f>ROUND((1+INDEX(Cust_Esca!$E$10:$U$56,MATCH($D46,Cust_Esca!$C$10:$C$56,0),MATCH(G$7,Cust_Esca!$E$7:$U$7,0)))*F46,$AA$7)</f>
        <v>3396</v>
      </c>
      <c r="H46" s="1403">
        <f>ROUND((1+INDEX(Cust_Esca!$E$10:$U$56,MATCH($D46,Cust_Esca!$C$10:$C$56,0),MATCH(H$7,Cust_Esca!$E$7:$U$7,0)))*G46,$AA$7)</f>
        <v>3396</v>
      </c>
      <c r="I46" s="1404">
        <v>3572.3333333333335</v>
      </c>
      <c r="J46" s="1405">
        <v>3734.4166666666665</v>
      </c>
      <c r="K46" s="1405">
        <f>6337*0.583</f>
        <v>3694.4709999999995</v>
      </c>
      <c r="L46" s="1405">
        <f>6118*0.604</f>
        <v>3695.2719999999999</v>
      </c>
      <c r="M46" s="1405">
        <v>3823</v>
      </c>
      <c r="N46" s="1385">
        <f>ROUND((1+INDEX(Cust_Esca!$E$10:$U$56,MATCH($D46,Cust_Esca!$C$10:$C$56,0),MATCH(N$7,Cust_Esca!$E$7:$U$7,0)))*M46,$AA$7)</f>
        <v>3937</v>
      </c>
      <c r="O46" s="1385">
        <f>ROUND((1+INDEX(Cust_Esca!$E$10:$U$56,MATCH($D46,Cust_Esca!$C$10:$C$56,0),MATCH(O$7,Cust_Esca!$E$7:$U$7,0)))*N46,$AA$7)</f>
        <v>4053</v>
      </c>
      <c r="P46" s="1385">
        <f>ROUND((1+INDEX(Cust_Esca!$E$10:$U$56,MATCH($D46,Cust_Esca!$C$10:$C$56,0),MATCH(P$7,Cust_Esca!$E$7:$U$7,0)))*O46,$AA$7)</f>
        <v>4170</v>
      </c>
      <c r="Q46" s="1385">
        <f>ROUND((1+INDEX(Cust_Esca!$E$10:$U$56,MATCH($D46,Cust_Esca!$C$10:$C$56,0),MATCH(Q$7,Cust_Esca!$E$7:$U$7,0)))*P46,$AA$7)</f>
        <v>4290</v>
      </c>
      <c r="R46" s="1385">
        <f>ROUND((1+INDEX(Cust_Esca!$E$10:$U$56,MATCH($D46,Cust_Esca!$C$10:$C$56,0),MATCH(R$7,Cust_Esca!$E$7:$U$7,0)))*Q46,$AA$7)</f>
        <v>4411</v>
      </c>
      <c r="S46" s="1385">
        <f>ROUND((1+INDEX(Cust_Esca!$E$10:$U$56,MATCH($D46,Cust_Esca!$C$10:$C$56,0),MATCH(S$7,Cust_Esca!$E$7:$U$7,0)))*R46,$AA$7)</f>
        <v>4534</v>
      </c>
      <c r="T46" s="1385">
        <f>ROUND((1+INDEX(Cust_Esca!$E$10:$U$56,MATCH($D46,Cust_Esca!$C$10:$C$56,0),MATCH(T$7,Cust_Esca!$E$7:$U$7,0)))*S46,$AA$7)</f>
        <v>4659</v>
      </c>
      <c r="U46" s="1385">
        <f>ROUND((1+INDEX(Cust_Esca!$E$10:$U$56,MATCH($D46,Cust_Esca!$C$10:$C$56,0),MATCH(U$7,Cust_Esca!$E$7:$U$7,0)))*T46,$AA$7)</f>
        <v>4785</v>
      </c>
      <c r="V46" s="1385">
        <f>ROUND((1+INDEX(Cust_Esca!$E$10:$U$56,MATCH($D46,Cust_Esca!$C$10:$C$56,0),MATCH(V$7,Cust_Esca!$E$7:$U$7,0)))*U46,$AA$7)</f>
        <v>4914</v>
      </c>
      <c r="W46" s="1385">
        <f>ROUND((1+INDEX(Cust_Esca!$E$10:$U$56,MATCH($D46,Cust_Esca!$C$10:$C$56,0),MATCH(W$7,Cust_Esca!$E$7:$U$7,0)))*V46,$AA$7)</f>
        <v>5044</v>
      </c>
      <c r="Y46" s="1385">
        <f>SUMIF($F$7:$W$7,TY_Units!$H$5,$F46:$W46)</f>
        <v>4785</v>
      </c>
    </row>
    <row r="47" spans="1:25" ht="16.5" thickBot="1">
      <c r="A47" s="1360"/>
      <c r="C47" s="1367">
        <f>MAX(C$12:C46)+1</f>
        <v>36</v>
      </c>
      <c r="D47" s="1367">
        <f>Cust_Esca!C23</f>
        <v>10</v>
      </c>
      <c r="E47" s="1377" t="s">
        <v>907</v>
      </c>
      <c r="F47" s="1406">
        <f>ROUND(SUM(F48:F49)/Rates!F86,$AA$7)</f>
        <v>101436</v>
      </c>
      <c r="G47" s="1406">
        <f>ROUND(SUM(G48:G49)/Rates!G86,$AA$7)</f>
        <v>101436</v>
      </c>
      <c r="H47" s="1406">
        <f>ROUND(SUM(H48:H49)/Rates!H86,$AA$7)</f>
        <v>101436</v>
      </c>
      <c r="I47" s="1406">
        <f>ROUND(SUM(I48:I49)/Rates!I86,$AA$7)</f>
        <v>94673</v>
      </c>
      <c r="J47" s="1406">
        <f>ROUND(SUM(J48:J49)/Rates!J86,$AA$7)</f>
        <v>99749</v>
      </c>
      <c r="K47" s="1406">
        <f>ROUND(SUM(K48:K49)/Rates!K86,$AA$7)</f>
        <v>101735</v>
      </c>
      <c r="L47" s="1406">
        <f>ROUND(SUM(L48:L49)/Rates!L86,$AA$7)</f>
        <v>98122</v>
      </c>
      <c r="M47" s="1406">
        <f>ROUND(SUM(M48:M49)/Rates!M86,$AA$7)</f>
        <v>103865</v>
      </c>
      <c r="N47" s="1406">
        <f>ROUND(SUM(N48:N49)/Rates!N86,$AA$7)</f>
        <v>105577</v>
      </c>
      <c r="O47" s="1406">
        <f>ROUND(SUM(O48:O49)/Rates!O86,$AA$7)</f>
        <v>107294</v>
      </c>
      <c r="P47" s="1406">
        <f>ROUND(SUM(P48:P49)/Rates!P86,$AA$7)</f>
        <v>109011</v>
      </c>
      <c r="Q47" s="1406">
        <f>ROUND(SUM(Q48:Q49)/Rates!Q86,$AA$7)</f>
        <v>110726</v>
      </c>
      <c r="R47" s="1406">
        <f>ROUND(SUM(R48:R49)/Rates!R86,$AA$7)</f>
        <v>112443</v>
      </c>
      <c r="S47" s="1406">
        <f>ROUND(SUM(S48:S49)/Rates!S86,$AA$7)</f>
        <v>114159</v>
      </c>
      <c r="T47" s="1406">
        <f>ROUND(SUM(T48:T49)/Rates!T86,$AA$7)</f>
        <v>115875</v>
      </c>
      <c r="U47" s="1406">
        <f>ROUND(SUM(U48:U49)/Rates!U86,$AA$7)</f>
        <v>117591</v>
      </c>
      <c r="V47" s="1406">
        <f>ROUND(SUM(V48:V49)/Rates!V86,$AA$7)</f>
        <v>119307</v>
      </c>
      <c r="W47" s="1406">
        <f>ROUND(SUM(W48:W49)/Rates!W86,$AA$7)</f>
        <v>121023</v>
      </c>
      <c r="X47" s="1406"/>
      <c r="Y47" s="1385">
        <f>SUMIF($F$7:$W$7,TY_Units!$H$5,$F47:$W47)</f>
        <v>117591</v>
      </c>
    </row>
    <row r="48" spans="1:25">
      <c r="A48" s="1360"/>
      <c r="C48" s="1367">
        <f>MAX(C$12:C47)+1</f>
        <v>37</v>
      </c>
      <c r="D48" s="1367">
        <f>D47</f>
        <v>10</v>
      </c>
      <c r="E48" s="1377" t="s">
        <v>1014</v>
      </c>
      <c r="F48" s="1408">
        <v>105461482.36</v>
      </c>
      <c r="G48" s="1384">
        <v>105461482</v>
      </c>
      <c r="H48" s="1384">
        <v>105461482</v>
      </c>
      <c r="I48" s="1393">
        <v>84255777.359999999</v>
      </c>
      <c r="J48" s="1394">
        <v>88000686.519999996</v>
      </c>
      <c r="K48" s="1394">
        <f>105772593-K49</f>
        <v>89060523.305999994</v>
      </c>
      <c r="L48" s="1394">
        <f>102015740-L49</f>
        <v>86917410.480000004</v>
      </c>
      <c r="M48" s="1394">
        <f>(505167093*(L50/(L50+L57)))*(L48/L50)</f>
        <v>92004987.94365485</v>
      </c>
      <c r="N48" s="1385">
        <f>ROUND((1+INDEX(Cust_Esca!$E$10:$U$56,MATCH($D48,Cust_Esca!$C$10:$C$56,0),MATCH(N$7,Cust_Esca!$E$7:$U$7,0)))*M48,$AA$7)</f>
        <v>93520858</v>
      </c>
      <c r="O48" s="1385">
        <f>ROUND((1+INDEX(Cust_Esca!$E$10:$U$56,MATCH($D48,Cust_Esca!$C$10:$C$56,0),MATCH(O$7,Cust_Esca!$E$7:$U$7,0)))*N48,$AA$7)</f>
        <v>95041763</v>
      </c>
      <c r="P48" s="1385">
        <f>ROUND((1+INDEX(Cust_Esca!$E$10:$U$56,MATCH($D48,Cust_Esca!$C$10:$C$56,0),MATCH(P$7,Cust_Esca!$E$7:$U$7,0)))*O48,$AA$7)</f>
        <v>96562910</v>
      </c>
      <c r="Q48" s="1385">
        <f>ROUND((1+INDEX(Cust_Esca!$E$10:$U$56,MATCH($D48,Cust_Esca!$C$10:$C$56,0),MATCH(Q$7,Cust_Esca!$E$7:$U$7,0)))*P48,$AA$7)</f>
        <v>98082214</v>
      </c>
      <c r="R48" s="1385">
        <f>ROUND((1+INDEX(Cust_Esca!$E$10:$U$56,MATCH($D48,Cust_Esca!$C$10:$C$56,0),MATCH(R$7,Cust_Esca!$E$7:$U$7,0)))*Q48,$AA$7)</f>
        <v>99602667</v>
      </c>
      <c r="S48" s="1385">
        <f>ROUND((1+INDEX(Cust_Esca!$E$10:$U$56,MATCH($D48,Cust_Esca!$C$10:$C$56,0),MATCH(S$7,Cust_Esca!$E$7:$U$7,0)))*R48,$AA$7)</f>
        <v>101122969</v>
      </c>
      <c r="T48" s="1385">
        <f>ROUND((1+INDEX(Cust_Esca!$E$10:$U$56,MATCH($D48,Cust_Esca!$C$10:$C$56,0),MATCH(T$7,Cust_Esca!$E$7:$U$7,0)))*S48,$AA$7)</f>
        <v>102642989</v>
      </c>
      <c r="U48" s="1385">
        <f>ROUND((1+INDEX(Cust_Esca!$E$10:$U$56,MATCH($D48,Cust_Esca!$C$10:$C$56,0),MATCH(U$7,Cust_Esca!$E$7:$U$7,0)))*T48,$AA$7)</f>
        <v>104163248</v>
      </c>
      <c r="V48" s="1385">
        <f>ROUND((1+INDEX(Cust_Esca!$E$10:$U$56,MATCH($D48,Cust_Esca!$C$10:$C$56,0),MATCH(V$7,Cust_Esca!$E$7:$U$7,0)))*U48,$AA$7)</f>
        <v>105683442</v>
      </c>
      <c r="W48" s="1385">
        <f>ROUND((1+INDEX(Cust_Esca!$E$10:$U$56,MATCH($D48,Cust_Esca!$C$10:$C$56,0),MATCH(W$7,Cust_Esca!$E$7:$U$7,0)))*V48,$AA$7)</f>
        <v>107203600</v>
      </c>
      <c r="Y48" s="1385">
        <f>SUMIF($F$7:$W$7,TY_Units!$H$5,$F48:$W48)</f>
        <v>104163248</v>
      </c>
    </row>
    <row r="49" spans="1:25" ht="16.5" thickBot="1">
      <c r="A49" s="1360"/>
      <c r="C49" s="1367">
        <f>MAX(C$12:C48)+1</f>
        <v>38</v>
      </c>
      <c r="D49" s="1367">
        <f>D47</f>
        <v>10</v>
      </c>
      <c r="E49" s="1377" t="s">
        <v>1010</v>
      </c>
      <c r="F49" s="1409">
        <v>0</v>
      </c>
      <c r="G49" s="1387">
        <v>0</v>
      </c>
      <c r="H49" s="1387">
        <v>0</v>
      </c>
      <c r="I49" s="1388">
        <v>14174044</v>
      </c>
      <c r="J49" s="1389">
        <v>15706266</v>
      </c>
      <c r="K49" s="1389">
        <f>105772593*0.158</f>
        <v>16712069.694</v>
      </c>
      <c r="L49" s="1389">
        <f>102015740*0.148</f>
        <v>15098329.52</v>
      </c>
      <c r="M49" s="1389">
        <f>(505167093*(L50/(L50+L57)))-M48</f>
        <v>15982087.107583225</v>
      </c>
      <c r="N49" s="1385">
        <f>ROUND((1+INDEX(Cust_Esca!$E$10:$U$56,MATCH($D49,Cust_Esca!$C$10:$C$56,0),MATCH(N$7,Cust_Esca!$E$7:$U$7,0)))*M49,$AA$7)</f>
        <v>16245407</v>
      </c>
      <c r="O49" s="1385">
        <f>ROUND((1+INDEX(Cust_Esca!$E$10:$U$56,MATCH($D49,Cust_Esca!$C$10:$C$56,0),MATCH(O$7,Cust_Esca!$E$7:$U$7,0)))*N49,$AA$7)</f>
        <v>16509602</v>
      </c>
      <c r="P49" s="1385">
        <f>ROUND((1+INDEX(Cust_Esca!$E$10:$U$56,MATCH($D49,Cust_Esca!$C$10:$C$56,0),MATCH(P$7,Cust_Esca!$E$7:$U$7,0)))*O49,$AA$7)</f>
        <v>16773839</v>
      </c>
      <c r="Q49" s="1385">
        <f>ROUND((1+INDEX(Cust_Esca!$E$10:$U$56,MATCH($D49,Cust_Esca!$C$10:$C$56,0),MATCH(Q$7,Cust_Esca!$E$7:$U$7,0)))*P49,$AA$7)</f>
        <v>17037756</v>
      </c>
      <c r="R49" s="1385">
        <f>ROUND((1+INDEX(Cust_Esca!$E$10:$U$56,MATCH($D49,Cust_Esca!$C$10:$C$56,0),MATCH(R$7,Cust_Esca!$E$7:$U$7,0)))*Q49,$AA$7)</f>
        <v>17301872</v>
      </c>
      <c r="S49" s="1385">
        <f>ROUND((1+INDEX(Cust_Esca!$E$10:$U$56,MATCH($D49,Cust_Esca!$C$10:$C$56,0),MATCH(S$7,Cust_Esca!$E$7:$U$7,0)))*R49,$AA$7)</f>
        <v>17565962</v>
      </c>
      <c r="T49" s="1385">
        <f>ROUND((1+INDEX(Cust_Esca!$E$10:$U$56,MATCH($D49,Cust_Esca!$C$10:$C$56,0),MATCH(T$7,Cust_Esca!$E$7:$U$7,0)))*S49,$AA$7)</f>
        <v>17830003</v>
      </c>
      <c r="U49" s="1385">
        <f>ROUND((1+INDEX(Cust_Esca!$E$10:$U$56,MATCH($D49,Cust_Esca!$C$10:$C$56,0),MATCH(U$7,Cust_Esca!$E$7:$U$7,0)))*T49,$AA$7)</f>
        <v>18094086</v>
      </c>
      <c r="V49" s="1385">
        <f>ROUND((1+INDEX(Cust_Esca!$E$10:$U$56,MATCH($D49,Cust_Esca!$C$10:$C$56,0),MATCH(V$7,Cust_Esca!$E$7:$U$7,0)))*U49,$AA$7)</f>
        <v>18358157</v>
      </c>
      <c r="W49" s="1385">
        <f>ROUND((1+INDEX(Cust_Esca!$E$10:$U$56,MATCH($D49,Cust_Esca!$C$10:$C$56,0),MATCH(W$7,Cust_Esca!$E$7:$U$7,0)))*V49,$AA$7)</f>
        <v>18622222</v>
      </c>
      <c r="Y49" s="1385">
        <f>SUMIF($F$7:$W$7,TY_Units!$H$5,$F49:$W49)</f>
        <v>18094086</v>
      </c>
    </row>
    <row r="50" spans="1:25">
      <c r="A50" s="1360"/>
      <c r="C50" s="1367">
        <f>MAX(C$12:C49)+1</f>
        <v>39</v>
      </c>
      <c r="D50" s="1367">
        <f>D47</f>
        <v>10</v>
      </c>
      <c r="E50" s="1401" t="s">
        <v>912</v>
      </c>
      <c r="F50" s="1385">
        <f>SUM(F48:F49)</f>
        <v>105461482.36</v>
      </c>
      <c r="G50" s="1385">
        <f t="shared" ref="G50:W50" si="4">SUM(G48:G49)</f>
        <v>105461482</v>
      </c>
      <c r="H50" s="1385">
        <f t="shared" si="4"/>
        <v>105461482</v>
      </c>
      <c r="I50" s="1385">
        <f t="shared" si="4"/>
        <v>98429821.359999999</v>
      </c>
      <c r="J50" s="1385">
        <f t="shared" si="4"/>
        <v>103706952.52</v>
      </c>
      <c r="K50" s="1385">
        <f>SUM(K48:K49)</f>
        <v>105772593</v>
      </c>
      <c r="L50" s="1385">
        <f>SUM(L48:L49)</f>
        <v>102015740</v>
      </c>
      <c r="M50" s="1385">
        <f t="shared" si="4"/>
        <v>107987075.05123807</v>
      </c>
      <c r="N50" s="1385">
        <f t="shared" si="4"/>
        <v>109766265</v>
      </c>
      <c r="O50" s="1385">
        <f t="shared" si="4"/>
        <v>111551365</v>
      </c>
      <c r="P50" s="1385">
        <f t="shared" si="4"/>
        <v>113336749</v>
      </c>
      <c r="Q50" s="1385">
        <f t="shared" si="4"/>
        <v>115119970</v>
      </c>
      <c r="R50" s="1385">
        <f t="shared" si="4"/>
        <v>116904539</v>
      </c>
      <c r="S50" s="1385">
        <f t="shared" si="4"/>
        <v>118688931</v>
      </c>
      <c r="T50" s="1385">
        <f t="shared" si="4"/>
        <v>120472992</v>
      </c>
      <c r="U50" s="1385">
        <f t="shared" si="4"/>
        <v>122257334</v>
      </c>
      <c r="V50" s="1385">
        <f t="shared" si="4"/>
        <v>124041599</v>
      </c>
      <c r="W50" s="1385">
        <f t="shared" si="4"/>
        <v>125825822</v>
      </c>
      <c r="Y50" s="1385">
        <f>SUMIF($F$7:$W$7,TY_Units!$H$5,$F50:$W50)</f>
        <v>122257334</v>
      </c>
    </row>
    <row r="51" spans="1:25">
      <c r="A51" s="1360"/>
      <c r="C51" s="1367">
        <f>MAX(C$12:C50)+1</f>
        <v>40</v>
      </c>
      <c r="D51" s="1367"/>
      <c r="E51" s="1401"/>
      <c r="F51" s="1385"/>
      <c r="G51" s="1392"/>
      <c r="H51" s="1392"/>
      <c r="I51" s="1392"/>
      <c r="J51" s="1392"/>
      <c r="K51" s="1392"/>
      <c r="L51" s="1392"/>
      <c r="M51" s="1392"/>
      <c r="N51" s="1392"/>
      <c r="O51" s="1392"/>
      <c r="P51" s="1392"/>
      <c r="Q51" s="1392"/>
      <c r="R51" s="1392"/>
      <c r="S51" s="1392"/>
      <c r="T51" s="1392"/>
      <c r="U51" s="1392"/>
      <c r="V51" s="1392"/>
      <c r="W51" s="1392"/>
      <c r="Y51" s="1392"/>
    </row>
    <row r="52" spans="1:25" ht="16.5" thickBot="1">
      <c r="A52" s="1360"/>
      <c r="C52" s="1367">
        <f>MAX(C$12:C51)+1</f>
        <v>41</v>
      </c>
      <c r="D52" s="1367"/>
      <c r="E52" s="1382" t="s">
        <v>906</v>
      </c>
      <c r="F52" s="1380"/>
      <c r="G52" s="1380"/>
      <c r="H52" s="1380"/>
      <c r="I52" s="1380"/>
      <c r="J52" s="1380"/>
      <c r="K52" s="1380"/>
      <c r="L52" s="1380"/>
      <c r="M52" s="1380"/>
      <c r="N52" s="1380"/>
      <c r="O52" s="1380"/>
      <c r="P52" s="1380"/>
      <c r="Q52" s="1380"/>
      <c r="R52" s="1380"/>
      <c r="S52" s="1380"/>
      <c r="T52" s="1380"/>
      <c r="U52" s="1380"/>
      <c r="V52" s="1380"/>
      <c r="W52" s="1380"/>
      <c r="Y52" s="1379"/>
    </row>
    <row r="53" spans="1:25" ht="16.5" thickBot="1">
      <c r="A53" s="1360"/>
      <c r="C53" s="1367">
        <f>MAX(C$12:C52)+1</f>
        <v>42</v>
      </c>
      <c r="D53" s="1367">
        <f>Cust_Esca!C25</f>
        <v>11</v>
      </c>
      <c r="E53" s="1377" t="s">
        <v>606</v>
      </c>
      <c r="F53" s="1402">
        <v>2564</v>
      </c>
      <c r="G53" s="1403">
        <f>ROUND((1+INDEX(Cust_Esca!$E$10:$U$56,MATCH($D53,Cust_Esca!$C$10:$C$56,0),MATCH(G$7,Cust_Esca!$E$7:$U$7,0)))*F53,$AA$7)</f>
        <v>2564</v>
      </c>
      <c r="H53" s="1403">
        <f>ROUND((1+INDEX(Cust_Esca!$E$10:$U$56,MATCH($D53,Cust_Esca!$C$10:$C$56,0),MATCH(H$7,Cust_Esca!$E$7:$U$7,0)))*G53,$AA$7)</f>
        <v>2564</v>
      </c>
      <c r="I53" s="1404">
        <v>2568.75</v>
      </c>
      <c r="J53" s="1405">
        <v>2607.25</v>
      </c>
      <c r="K53" s="1405">
        <f>6337-K46</f>
        <v>2642.5290000000005</v>
      </c>
      <c r="L53" s="1405">
        <f>6118-L46</f>
        <v>2422.7280000000001</v>
      </c>
      <c r="M53" s="1405">
        <v>2583</v>
      </c>
      <c r="N53" s="1385">
        <f>ROUND((1+INDEX(Cust_Esca!$E$10:$U$56,MATCH($D53,Cust_Esca!$C$10:$C$56,0),MATCH(N$7,Cust_Esca!$E$7:$U$7,0)))*M53,$AA$7)</f>
        <v>2660</v>
      </c>
      <c r="O53" s="1385">
        <f>ROUND((1+INDEX(Cust_Esca!$E$10:$U$56,MATCH($D53,Cust_Esca!$C$10:$C$56,0),MATCH(O$7,Cust_Esca!$E$7:$U$7,0)))*N53,$AA$7)</f>
        <v>2738</v>
      </c>
      <c r="P53" s="1385">
        <f>ROUND((1+INDEX(Cust_Esca!$E$10:$U$56,MATCH($D53,Cust_Esca!$C$10:$C$56,0),MATCH(P$7,Cust_Esca!$E$7:$U$7,0)))*O53,$AA$7)</f>
        <v>2817</v>
      </c>
      <c r="Q53" s="1385">
        <f>ROUND((1+INDEX(Cust_Esca!$E$10:$U$56,MATCH($D53,Cust_Esca!$C$10:$C$56,0),MATCH(Q$7,Cust_Esca!$E$7:$U$7,0)))*P53,$AA$7)</f>
        <v>2898</v>
      </c>
      <c r="R53" s="1385">
        <f>ROUND((1+INDEX(Cust_Esca!$E$10:$U$56,MATCH($D53,Cust_Esca!$C$10:$C$56,0),MATCH(R$7,Cust_Esca!$E$7:$U$7,0)))*Q53,$AA$7)</f>
        <v>2980</v>
      </c>
      <c r="S53" s="1385">
        <f>ROUND((1+INDEX(Cust_Esca!$E$10:$U$56,MATCH($D53,Cust_Esca!$C$10:$C$56,0),MATCH(S$7,Cust_Esca!$E$7:$U$7,0)))*R53,$AA$7)</f>
        <v>3063</v>
      </c>
      <c r="T53" s="1385">
        <f>ROUND((1+INDEX(Cust_Esca!$E$10:$U$56,MATCH($D53,Cust_Esca!$C$10:$C$56,0),MATCH(T$7,Cust_Esca!$E$7:$U$7,0)))*S53,$AA$7)</f>
        <v>3147</v>
      </c>
      <c r="U53" s="1385">
        <f>ROUND((1+INDEX(Cust_Esca!$E$10:$U$56,MATCH($D53,Cust_Esca!$C$10:$C$56,0),MATCH(U$7,Cust_Esca!$E$7:$U$7,0)))*T53,$AA$7)</f>
        <v>3232</v>
      </c>
      <c r="V53" s="1385">
        <f>ROUND((1+INDEX(Cust_Esca!$E$10:$U$56,MATCH($D53,Cust_Esca!$C$10:$C$56,0),MATCH(V$7,Cust_Esca!$E$7:$U$7,0)))*U53,$AA$7)</f>
        <v>3319</v>
      </c>
      <c r="W53" s="1385">
        <f>ROUND((1+INDEX(Cust_Esca!$E$10:$U$56,MATCH($D53,Cust_Esca!$C$10:$C$56,0),MATCH(W$7,Cust_Esca!$E$7:$U$7,0)))*V53,$AA$7)</f>
        <v>3407</v>
      </c>
      <c r="Y53" s="1385">
        <f>SUMIF($F$7:$W$7,TY_Units!$H$5,$F53:$W53)</f>
        <v>3232</v>
      </c>
    </row>
    <row r="54" spans="1:25" ht="16.5" thickBot="1">
      <c r="A54" s="1360"/>
      <c r="C54" s="1367">
        <f>MAX(C$12:C53)+1</f>
        <v>43</v>
      </c>
      <c r="D54" s="1367">
        <f>Cust_Esca!C26</f>
        <v>12</v>
      </c>
      <c r="E54" s="1377" t="s">
        <v>907</v>
      </c>
      <c r="F54" s="1406">
        <f>ROUND(SUM(F55:F56)/Rates!F101,$AA$7)</f>
        <v>1080604</v>
      </c>
      <c r="G54" s="1406">
        <f>ROUND(SUM(G55:G56)/Rates!G101,$AA$7)</f>
        <v>1080604</v>
      </c>
      <c r="H54" s="1406">
        <f>ROUND(SUM(H55:H56)/Rates!H101,$AA$7)</f>
        <v>1080604</v>
      </c>
      <c r="I54" s="1406">
        <f>ROUND(SUM(I55:I56)/Rates!I101,$AA$7)</f>
        <v>1072671</v>
      </c>
      <c r="J54" s="1406">
        <f>ROUND(SUM(J55:J56)/Rates!J101,$AA$7)</f>
        <v>1099063</v>
      </c>
      <c r="K54" s="1406">
        <f>ROUND(SUM(K55:K56)/Rates!K101,$AA$7)</f>
        <v>1103442</v>
      </c>
      <c r="L54" s="1406">
        <f>ROUND(SUM(L55:L56)/Rates!L101,$AA$7)</f>
        <v>1121456</v>
      </c>
      <c r="M54" s="1406">
        <f>ROUND(SUM(M55:M56)/Rates!M101,$AA$7)</f>
        <v>1187098</v>
      </c>
      <c r="N54" s="1406">
        <f>ROUND(SUM(N55:N56)/Rates!N101,$AA$7)</f>
        <v>1206657</v>
      </c>
      <c r="O54" s="1406">
        <f>ROUND(SUM(O55:O56)/Rates!O101,$AA$7)</f>
        <v>1226280</v>
      </c>
      <c r="P54" s="1406">
        <f>ROUND(SUM(P55:P56)/Rates!P101,$AA$7)</f>
        <v>1245907</v>
      </c>
      <c r="Q54" s="1406">
        <f>ROUND(SUM(Q55:Q56)/Rates!Q101,$AA$7)</f>
        <v>1265510</v>
      </c>
      <c r="R54" s="1406">
        <f>ROUND(SUM(R55:R56)/Rates!R101,$AA$7)</f>
        <v>1285128</v>
      </c>
      <c r="S54" s="1406">
        <f>ROUND(SUM(S55:S56)/Rates!S101,$AA$7)</f>
        <v>1304743</v>
      </c>
      <c r="T54" s="1406">
        <f>ROUND(SUM(T55:T56)/Rates!T101,$AA$7)</f>
        <v>1324355</v>
      </c>
      <c r="U54" s="1406">
        <f>ROUND(SUM(U55:U56)/Rates!U101,$AA$7)</f>
        <v>1343971</v>
      </c>
      <c r="V54" s="1406">
        <f>ROUND(SUM(V55:V56)/Rates!V101,$AA$7)</f>
        <v>1363585</v>
      </c>
      <c r="W54" s="1406">
        <f>ROUND(SUM(W55:W56)/Rates!W101,$AA$7)</f>
        <v>1383199</v>
      </c>
      <c r="Y54" s="1385">
        <f>SUMIF($F$7:$W$7,TY_Units!$H$5,$F54:$W54)</f>
        <v>1343971</v>
      </c>
    </row>
    <row r="55" spans="1:25">
      <c r="A55" s="1360"/>
      <c r="C55" s="1367">
        <f>MAX(C$12:C54)+1</f>
        <v>44</v>
      </c>
      <c r="D55" s="1367">
        <f>D54</f>
        <v>12</v>
      </c>
      <c r="E55" s="1377" t="s">
        <v>1014</v>
      </c>
      <c r="F55" s="1408">
        <v>361549253</v>
      </c>
      <c r="G55" s="1384">
        <v>361549253</v>
      </c>
      <c r="H55" s="1384">
        <v>361549253</v>
      </c>
      <c r="I55" s="1393">
        <v>143312615</v>
      </c>
      <c r="J55" s="1394">
        <v>146436877</v>
      </c>
      <c r="K55" s="1394">
        <f>474962988-K50-K56</f>
        <v>145091825.23500001</v>
      </c>
      <c r="L55" s="1394">
        <f>477232991-L56-L50</f>
        <v>145584293.38800001</v>
      </c>
      <c r="M55" s="1394">
        <f>247349472-M48</f>
        <v>155344484.05634516</v>
      </c>
      <c r="N55" s="1385">
        <f>ROUND((1+INDEX(Cust_Esca!$E$10:$U$56,MATCH($D55,Cust_Esca!$C$10:$C$56,0),MATCH(N$7,Cust_Esca!$E$7:$U$7,0)))*M55,$AA$7)</f>
        <v>157903933</v>
      </c>
      <c r="O55" s="1385">
        <f>ROUND((1+INDEX(Cust_Esca!$E$10:$U$56,MATCH($D55,Cust_Esca!$C$10:$C$56,0),MATCH(O$7,Cust_Esca!$E$7:$U$7,0)))*N55,$AA$7)</f>
        <v>160471882</v>
      </c>
      <c r="P55" s="1385">
        <f>ROUND((1+INDEX(Cust_Esca!$E$10:$U$56,MATCH($D55,Cust_Esca!$C$10:$C$56,0),MATCH(P$7,Cust_Esca!$E$7:$U$7,0)))*O55,$AA$7)</f>
        <v>163040240</v>
      </c>
      <c r="Q55" s="1385">
        <f>ROUND((1+INDEX(Cust_Esca!$E$10:$U$56,MATCH($D55,Cust_Esca!$C$10:$C$56,0),MATCH(Q$7,Cust_Esca!$E$7:$U$7,0)))*P55,$AA$7)</f>
        <v>165605487</v>
      </c>
      <c r="R55" s="1385">
        <f>ROUND((1+INDEX(Cust_Esca!$E$10:$U$56,MATCH($D55,Cust_Esca!$C$10:$C$56,0),MATCH(R$7,Cust_Esca!$E$7:$U$7,0)))*Q55,$AA$7)</f>
        <v>168172674</v>
      </c>
      <c r="S55" s="1385">
        <f>ROUND((1+INDEX(Cust_Esca!$E$10:$U$56,MATCH($D55,Cust_Esca!$C$10:$C$56,0),MATCH(S$7,Cust_Esca!$E$7:$U$7,0)))*R55,$AA$7)</f>
        <v>170739606</v>
      </c>
      <c r="T55" s="1385">
        <f>ROUND((1+INDEX(Cust_Esca!$E$10:$U$56,MATCH($D55,Cust_Esca!$C$10:$C$56,0),MATCH(T$7,Cust_Esca!$E$7:$U$7,0)))*S55,$AA$7)</f>
        <v>173306061</v>
      </c>
      <c r="U55" s="1385">
        <f>ROUND((1+INDEX(Cust_Esca!$E$10:$U$56,MATCH($D55,Cust_Esca!$C$10:$C$56,0),MATCH(U$7,Cust_Esca!$E$7:$U$7,0)))*T55,$AA$7)</f>
        <v>175872921</v>
      </c>
      <c r="V55" s="1385">
        <f>ROUND((1+INDEX(Cust_Esca!$E$10:$U$56,MATCH($D55,Cust_Esca!$C$10:$C$56,0),MATCH(V$7,Cust_Esca!$E$7:$U$7,0)))*U55,$AA$7)</f>
        <v>178439671</v>
      </c>
      <c r="W55" s="1385">
        <f>ROUND((1+INDEX(Cust_Esca!$E$10:$U$56,MATCH($D55,Cust_Esca!$C$10:$C$56,0),MATCH(W$7,Cust_Esca!$E$7:$U$7,0)))*V55,$AA$7)</f>
        <v>181006360</v>
      </c>
      <c r="Y55" s="1385">
        <f>SUMIF($F$7:$W$7,TY_Units!$H$5,$F55:$W55)</f>
        <v>175872921</v>
      </c>
    </row>
    <row r="56" spans="1:25" ht="16.5" thickBot="1">
      <c r="A56" s="1360"/>
      <c r="C56" s="1367">
        <f>MAX(C$12:C55)+1</f>
        <v>45</v>
      </c>
      <c r="D56" s="1367">
        <f>D54</f>
        <v>12</v>
      </c>
      <c r="E56" s="1377" t="s">
        <v>1010</v>
      </c>
      <c r="F56" s="1409">
        <v>0</v>
      </c>
      <c r="G56" s="1387">
        <v>0</v>
      </c>
      <c r="H56" s="1387">
        <v>0</v>
      </c>
      <c r="I56" s="1388">
        <v>215582253</v>
      </c>
      <c r="J56" s="1389">
        <v>221288338</v>
      </c>
      <c r="K56" s="1389">
        <f>(474962988-K50)*0.607</f>
        <v>224098569.76499999</v>
      </c>
      <c r="L56" s="1389">
        <f>(477232991-L50)*0.612</f>
        <v>229632957.61199999</v>
      </c>
      <c r="M56" s="1389">
        <f>257817621-M49</f>
        <v>241835533.89241678</v>
      </c>
      <c r="N56" s="1385">
        <f>ROUND((1+INDEX(Cust_Esca!$E$10:$U$56,MATCH($D56,Cust_Esca!$C$10:$C$56,0),MATCH(N$7,Cust_Esca!$E$7:$U$7,0)))*M56,$AA$7)</f>
        <v>245820006</v>
      </c>
      <c r="O56" s="1385">
        <f>ROUND((1+INDEX(Cust_Esca!$E$10:$U$56,MATCH($D56,Cust_Esca!$C$10:$C$56,0),MATCH(O$7,Cust_Esca!$E$7:$U$7,0)))*N56,$AA$7)</f>
        <v>249817711</v>
      </c>
      <c r="P56" s="1385">
        <f>ROUND((1+INDEX(Cust_Esca!$E$10:$U$56,MATCH($D56,Cust_Esca!$C$10:$C$56,0),MATCH(P$7,Cust_Esca!$E$7:$U$7,0)))*O56,$AA$7)</f>
        <v>253816052</v>
      </c>
      <c r="Q56" s="1385">
        <f>ROUND((1+INDEX(Cust_Esca!$E$10:$U$56,MATCH($D56,Cust_Esca!$C$10:$C$56,0),MATCH(Q$7,Cust_Esca!$E$7:$U$7,0)))*P56,$AA$7)</f>
        <v>257809550</v>
      </c>
      <c r="R56" s="1385">
        <f>ROUND((1+INDEX(Cust_Esca!$E$10:$U$56,MATCH($D56,Cust_Esca!$C$10:$C$56,0),MATCH(R$7,Cust_Esca!$E$7:$U$7,0)))*Q56,$AA$7)</f>
        <v>261806069</v>
      </c>
      <c r="S56" s="1385">
        <f>ROUND((1+INDEX(Cust_Esca!$E$10:$U$56,MATCH($D56,Cust_Esca!$C$10:$C$56,0),MATCH(S$7,Cust_Esca!$E$7:$U$7,0)))*R56,$AA$7)</f>
        <v>265802191</v>
      </c>
      <c r="T56" s="1385">
        <f>ROUND((1+INDEX(Cust_Esca!$E$10:$U$56,MATCH($D56,Cust_Esca!$C$10:$C$56,0),MATCH(T$7,Cust_Esca!$E$7:$U$7,0)))*S56,$AA$7)</f>
        <v>269797570</v>
      </c>
      <c r="U56" s="1385">
        <f>ROUND((1+INDEX(Cust_Esca!$E$10:$U$56,MATCH($D56,Cust_Esca!$C$10:$C$56,0),MATCH(U$7,Cust_Esca!$E$7:$U$7,0)))*T56,$AA$7)</f>
        <v>273793579</v>
      </c>
      <c r="V56" s="1385">
        <f>ROUND((1+INDEX(Cust_Esca!$E$10:$U$56,MATCH($D56,Cust_Esca!$C$10:$C$56,0),MATCH(V$7,Cust_Esca!$E$7:$U$7,0)))*U56,$AA$7)</f>
        <v>277789417</v>
      </c>
      <c r="W56" s="1385">
        <f>ROUND((1+INDEX(Cust_Esca!$E$10:$U$56,MATCH($D56,Cust_Esca!$C$10:$C$56,0),MATCH(W$7,Cust_Esca!$E$7:$U$7,0)))*V56,$AA$7)</f>
        <v>281785160</v>
      </c>
      <c r="Y56" s="1385">
        <f>SUMIF($F$7:$W$7,TY_Units!$H$5,$F56:$W56)</f>
        <v>273793579</v>
      </c>
    </row>
    <row r="57" spans="1:25">
      <c r="A57" s="1360"/>
      <c r="C57" s="1367">
        <f>MAX(C$12:C56)+1</f>
        <v>46</v>
      </c>
      <c r="D57" s="1367">
        <f>D54</f>
        <v>12</v>
      </c>
      <c r="E57" s="1401" t="s">
        <v>912</v>
      </c>
      <c r="F57" s="1385">
        <f t="shared" ref="F57:W57" si="5">SUM(F55:F56)</f>
        <v>361549253</v>
      </c>
      <c r="G57" s="1385">
        <f t="shared" si="5"/>
        <v>361549253</v>
      </c>
      <c r="H57" s="1385">
        <f t="shared" si="5"/>
        <v>361549253</v>
      </c>
      <c r="I57" s="1385">
        <f t="shared" si="5"/>
        <v>358894868</v>
      </c>
      <c r="J57" s="1385">
        <f t="shared" si="5"/>
        <v>367725215</v>
      </c>
      <c r="K57" s="1385">
        <f>SUM(K55:K56)</f>
        <v>369190395</v>
      </c>
      <c r="L57" s="1385">
        <f>SUM(L55:L56)</f>
        <v>375217251</v>
      </c>
      <c r="M57" s="1385">
        <f t="shared" si="5"/>
        <v>397180017.94876194</v>
      </c>
      <c r="N57" s="1385">
        <f t="shared" si="5"/>
        <v>403723939</v>
      </c>
      <c r="O57" s="1385">
        <f t="shared" si="5"/>
        <v>410289593</v>
      </c>
      <c r="P57" s="1385">
        <f t="shared" si="5"/>
        <v>416856292</v>
      </c>
      <c r="Q57" s="1385">
        <f t="shared" si="5"/>
        <v>423415037</v>
      </c>
      <c r="R57" s="1385">
        <f t="shared" si="5"/>
        <v>429978743</v>
      </c>
      <c r="S57" s="1385">
        <f t="shared" si="5"/>
        <v>436541797</v>
      </c>
      <c r="T57" s="1385">
        <f t="shared" si="5"/>
        <v>443103631</v>
      </c>
      <c r="U57" s="1385">
        <f t="shared" si="5"/>
        <v>449666500</v>
      </c>
      <c r="V57" s="1385">
        <f t="shared" si="5"/>
        <v>456229088</v>
      </c>
      <c r="W57" s="1385">
        <f t="shared" si="5"/>
        <v>462791520</v>
      </c>
      <c r="Y57" s="1385">
        <f>SUMIF($F$7:$W$7,TY_Units!$H$5,$F57:$W57)</f>
        <v>449666500</v>
      </c>
    </row>
    <row r="58" spans="1:25">
      <c r="A58" s="1360"/>
      <c r="C58" s="1367">
        <f>MAX(C$12:C57)+1</f>
        <v>47</v>
      </c>
      <c r="D58" s="1367"/>
      <c r="E58" s="1390"/>
      <c r="F58" s="1392"/>
      <c r="G58" s="1392"/>
      <c r="H58" s="1392"/>
      <c r="I58" s="1392"/>
      <c r="J58" s="1392"/>
      <c r="K58" s="1392"/>
      <c r="L58" s="1392"/>
      <c r="M58" s="1392"/>
      <c r="N58" s="1392"/>
      <c r="O58" s="1392"/>
      <c r="P58" s="1392"/>
      <c r="Q58" s="1392"/>
      <c r="R58" s="1392"/>
      <c r="S58" s="1392"/>
      <c r="T58" s="1392"/>
      <c r="U58" s="1392"/>
      <c r="V58" s="1392"/>
      <c r="W58" s="1392"/>
      <c r="Y58" s="1392"/>
    </row>
    <row r="59" spans="1:25" ht="16.5" thickBot="1">
      <c r="A59" s="1360"/>
      <c r="C59" s="1367">
        <f>MAX(C$12:C58)+1</f>
        <v>48</v>
      </c>
      <c r="D59" s="1367"/>
      <c r="E59" s="1382" t="s">
        <v>2145</v>
      </c>
      <c r="F59" s="1380"/>
      <c r="G59" s="1380"/>
      <c r="H59" s="1380"/>
      <c r="I59" s="1380"/>
      <c r="J59" s="1380"/>
      <c r="K59" s="1380"/>
      <c r="L59" s="1380"/>
      <c r="M59" s="1380"/>
      <c r="N59" s="1380"/>
      <c r="O59" s="1380"/>
      <c r="P59" s="1380"/>
      <c r="Q59" s="1380"/>
      <c r="R59" s="1380"/>
      <c r="S59" s="1380"/>
      <c r="T59" s="1380"/>
      <c r="U59" s="1380"/>
      <c r="V59" s="1380"/>
      <c r="W59" s="1380"/>
      <c r="Y59" s="1379"/>
    </row>
    <row r="60" spans="1:25" ht="16.5" thickBot="1">
      <c r="A60" s="1360"/>
      <c r="C60" s="1367">
        <f>MAX(C$12:C59)+1</f>
        <v>49</v>
      </c>
      <c r="D60" s="1367">
        <f>D53</f>
        <v>11</v>
      </c>
      <c r="E60" s="1377" t="s">
        <v>606</v>
      </c>
      <c r="F60" s="1402"/>
      <c r="G60" s="1403"/>
      <c r="H60" s="1403"/>
      <c r="I60" s="1404"/>
      <c r="J60" s="1405"/>
      <c r="K60" s="1405"/>
      <c r="L60" s="1405">
        <v>1</v>
      </c>
      <c r="M60" s="1385">
        <f>ROUND((1+INDEX(Cust_Esca!$E$10:$U$56,MATCH($D60,Cust_Esca!$C$10:$C$56,0),MATCH(M$7,Cust_Esca!$E$7:$U$7,0)))*L60,$AA$7)</f>
        <v>1</v>
      </c>
      <c r="N60" s="1385">
        <f>ROUND((1+INDEX(Cust_Esca!$E$10:$U$56,MATCH($D60,Cust_Esca!$C$10:$C$56,0),MATCH(N$7,Cust_Esca!$E$7:$U$7,0)))*M60,$AA$7)</f>
        <v>1</v>
      </c>
      <c r="O60" s="1385">
        <f>ROUND((1+INDEX(Cust_Esca!$E$10:$U$56,MATCH($D60,Cust_Esca!$C$10:$C$56,0),MATCH(O$7,Cust_Esca!$E$7:$U$7,0)))*N60,$AA$7)</f>
        <v>1</v>
      </c>
      <c r="P60" s="1385">
        <f>ROUND((1+INDEX(Cust_Esca!$E$10:$U$56,MATCH($D60,Cust_Esca!$C$10:$C$56,0),MATCH(P$7,Cust_Esca!$E$7:$U$7,0)))*O60,$AA$7)</f>
        <v>1</v>
      </c>
      <c r="Q60" s="1385">
        <f>ROUND((1+INDEX(Cust_Esca!$E$10:$U$56,MATCH($D60,Cust_Esca!$C$10:$C$56,0),MATCH(Q$7,Cust_Esca!$E$7:$U$7,0)))*P60,$AA$7)</f>
        <v>1</v>
      </c>
      <c r="R60" s="1385">
        <f>ROUND((1+INDEX(Cust_Esca!$E$10:$U$56,MATCH($D60,Cust_Esca!$C$10:$C$56,0),MATCH(R$7,Cust_Esca!$E$7:$U$7,0)))*Q60,$AA$7)</f>
        <v>1</v>
      </c>
      <c r="S60" s="1385">
        <f>ROUND((1+INDEX(Cust_Esca!$E$10:$U$56,MATCH($D60,Cust_Esca!$C$10:$C$56,0),MATCH(S$7,Cust_Esca!$E$7:$U$7,0)))*R60,$AA$7)</f>
        <v>1</v>
      </c>
      <c r="T60" s="1385">
        <f>ROUND((1+INDEX(Cust_Esca!$E$10:$U$56,MATCH($D60,Cust_Esca!$C$10:$C$56,0),MATCH(T$7,Cust_Esca!$E$7:$U$7,0)))*S60,$AA$7)</f>
        <v>1</v>
      </c>
      <c r="U60" s="1385">
        <f>ROUND((1+INDEX(Cust_Esca!$E$10:$U$56,MATCH($D60,Cust_Esca!$C$10:$C$56,0),MATCH(U$7,Cust_Esca!$E$7:$U$7,0)))*T60,$AA$7)</f>
        <v>1</v>
      </c>
      <c r="V60" s="1385">
        <f>ROUND((1+INDEX(Cust_Esca!$E$10:$U$56,MATCH($D60,Cust_Esca!$C$10:$C$56,0),MATCH(V$7,Cust_Esca!$E$7:$U$7,0)))*U60,$AA$7)</f>
        <v>1</v>
      </c>
      <c r="W60" s="1385">
        <f>ROUND((1+INDEX(Cust_Esca!$E$10:$U$56,MATCH($D60,Cust_Esca!$C$10:$C$56,0),MATCH(W$7,Cust_Esca!$E$7:$U$7,0)))*V60,$AA$7)</f>
        <v>1</v>
      </c>
      <c r="Y60" s="1385">
        <f>SUMIF($F$7:$W$7,TY_Units!$H$5,$F60:$W60)</f>
        <v>1</v>
      </c>
    </row>
    <row r="61" spans="1:25" ht="16.5" thickBot="1">
      <c r="A61" s="1360"/>
      <c r="C61" s="1367">
        <f>MAX(C$12:C60)+1</f>
        <v>50</v>
      </c>
      <c r="D61" s="1367">
        <f>D54</f>
        <v>12</v>
      </c>
      <c r="E61" s="1377" t="s">
        <v>907</v>
      </c>
      <c r="F61" s="1406"/>
      <c r="G61" s="1406"/>
      <c r="H61" s="1406"/>
      <c r="I61" s="1395"/>
      <c r="J61" s="1407"/>
      <c r="K61" s="1407"/>
      <c r="L61" s="1407"/>
      <c r="M61" s="1406"/>
      <c r="N61" s="1406"/>
      <c r="O61" s="1406"/>
      <c r="P61" s="1406"/>
      <c r="Q61" s="1406"/>
      <c r="R61" s="1406"/>
      <c r="S61" s="1406"/>
      <c r="T61" s="1406"/>
      <c r="U61" s="1406"/>
      <c r="V61" s="1406"/>
      <c r="W61" s="1406"/>
      <c r="Y61" s="1385">
        <f>SUMIF($F$7:$W$7,TY_Units!$H$5,$F61:$W61)</f>
        <v>0</v>
      </c>
    </row>
    <row r="62" spans="1:25">
      <c r="A62" s="1360"/>
      <c r="C62" s="1367">
        <f>MAX(C$12:C61)+1</f>
        <v>51</v>
      </c>
      <c r="D62" s="1367">
        <f>D55</f>
        <v>12</v>
      </c>
      <c r="E62" s="1377" t="s">
        <v>1014</v>
      </c>
      <c r="F62" s="1408">
        <v>16353</v>
      </c>
      <c r="G62" s="1384">
        <v>17578</v>
      </c>
      <c r="H62" s="1384">
        <v>15689</v>
      </c>
      <c r="I62" s="1393">
        <v>9792</v>
      </c>
      <c r="J62" s="1394">
        <v>9629</v>
      </c>
      <c r="K62" s="1394">
        <v>10900</v>
      </c>
      <c r="L62" s="1394">
        <v>17641</v>
      </c>
      <c r="M62" s="1385">
        <f>ROUND((1+INDEX(Cust_Esca!$E$10:$U$56,MATCH($D62,Cust_Esca!$C$10:$C$56,0),MATCH(M$7,Cust_Esca!$E$7:$U$7,0)))*L62,$AA$7)</f>
        <v>18589</v>
      </c>
      <c r="N62" s="1385">
        <f>ROUND((1+INDEX(Cust_Esca!$E$10:$U$56,MATCH($D62,Cust_Esca!$C$10:$C$56,0),MATCH(N$7,Cust_Esca!$E$7:$U$7,0)))*M62,$AA$7)</f>
        <v>18895</v>
      </c>
      <c r="O62" s="1385">
        <f>ROUND((1+INDEX(Cust_Esca!$E$10:$U$56,MATCH($D62,Cust_Esca!$C$10:$C$56,0),MATCH(O$7,Cust_Esca!$E$7:$U$7,0)))*N62,$AA$7)</f>
        <v>19202</v>
      </c>
      <c r="P62" s="1385">
        <f>ROUND((1+INDEX(Cust_Esca!$E$10:$U$56,MATCH($D62,Cust_Esca!$C$10:$C$56,0),MATCH(P$7,Cust_Esca!$E$7:$U$7,0)))*O62,$AA$7)</f>
        <v>19509</v>
      </c>
      <c r="Q62" s="1385">
        <f>ROUND((1+INDEX(Cust_Esca!$E$10:$U$56,MATCH($D62,Cust_Esca!$C$10:$C$56,0),MATCH(Q$7,Cust_Esca!$E$7:$U$7,0)))*P62,$AA$7)</f>
        <v>19816</v>
      </c>
      <c r="R62" s="1385">
        <f>ROUND((1+INDEX(Cust_Esca!$E$10:$U$56,MATCH($D62,Cust_Esca!$C$10:$C$56,0),MATCH(R$7,Cust_Esca!$E$7:$U$7,0)))*Q62,$AA$7)</f>
        <v>20123</v>
      </c>
      <c r="S62" s="1385">
        <f>ROUND((1+INDEX(Cust_Esca!$E$10:$U$56,MATCH($D62,Cust_Esca!$C$10:$C$56,0),MATCH(S$7,Cust_Esca!$E$7:$U$7,0)))*R62,$AA$7)</f>
        <v>20430</v>
      </c>
      <c r="T62" s="1385">
        <f>ROUND((1+INDEX(Cust_Esca!$E$10:$U$56,MATCH($D62,Cust_Esca!$C$10:$C$56,0),MATCH(T$7,Cust_Esca!$E$7:$U$7,0)))*S62,$AA$7)</f>
        <v>20737</v>
      </c>
      <c r="U62" s="1385">
        <f>ROUND((1+INDEX(Cust_Esca!$E$10:$U$56,MATCH($D62,Cust_Esca!$C$10:$C$56,0),MATCH(U$7,Cust_Esca!$E$7:$U$7,0)))*T62,$AA$7)</f>
        <v>21044</v>
      </c>
      <c r="V62" s="1385">
        <f>ROUND((1+INDEX(Cust_Esca!$E$10:$U$56,MATCH($D62,Cust_Esca!$C$10:$C$56,0),MATCH(V$7,Cust_Esca!$E$7:$U$7,0)))*U62,$AA$7)</f>
        <v>21351</v>
      </c>
      <c r="W62" s="1385">
        <f>ROUND((1+INDEX(Cust_Esca!$E$10:$U$56,MATCH($D62,Cust_Esca!$C$10:$C$56,0),MATCH(W$7,Cust_Esca!$E$7:$U$7,0)))*V62,$AA$7)</f>
        <v>21658</v>
      </c>
      <c r="Y62" s="1385">
        <f>SUMIF($F$7:$W$7,TY_Units!$H$5,$F62:$W62)</f>
        <v>21044</v>
      </c>
    </row>
    <row r="63" spans="1:25" ht="16.5" thickBot="1">
      <c r="A63" s="1360"/>
      <c r="C63" s="1367">
        <f>MAX(C$12:C62)+1</f>
        <v>52</v>
      </c>
      <c r="D63" s="1367">
        <f>D56</f>
        <v>12</v>
      </c>
      <c r="E63" s="1377" t="s">
        <v>1010</v>
      </c>
      <c r="F63" s="1409"/>
      <c r="G63" s="1387"/>
      <c r="H63" s="1387"/>
      <c r="I63" s="1388"/>
      <c r="J63" s="1389"/>
      <c r="K63" s="1389"/>
      <c r="L63" s="1389"/>
      <c r="M63" s="1385">
        <f>ROUND((1+INDEX(Cust_Esca!$E$10:$U$56,MATCH($D63,Cust_Esca!$C$10:$C$56,0),MATCH(M$7,Cust_Esca!$E$7:$U$7,0)))*L63,$AA$7)</f>
        <v>0</v>
      </c>
      <c r="N63" s="1385">
        <f>ROUND((1+INDEX(Cust_Esca!$E$10:$U$56,MATCH($D63,Cust_Esca!$C$10:$C$56,0),MATCH(N$7,Cust_Esca!$E$7:$U$7,0)))*M63,$AA$7)</f>
        <v>0</v>
      </c>
      <c r="O63" s="1385">
        <f>ROUND((1+INDEX(Cust_Esca!$E$10:$U$56,MATCH($D63,Cust_Esca!$C$10:$C$56,0),MATCH(O$7,Cust_Esca!$E$7:$U$7,0)))*N63,$AA$7)</f>
        <v>0</v>
      </c>
      <c r="P63" s="1385">
        <f>ROUND((1+INDEX(Cust_Esca!$E$10:$U$56,MATCH($D63,Cust_Esca!$C$10:$C$56,0),MATCH(P$7,Cust_Esca!$E$7:$U$7,0)))*O63,$AA$7)</f>
        <v>0</v>
      </c>
      <c r="Q63" s="1385">
        <f>ROUND((1+INDEX(Cust_Esca!$E$10:$U$56,MATCH($D63,Cust_Esca!$C$10:$C$56,0),MATCH(Q$7,Cust_Esca!$E$7:$U$7,0)))*P63,$AA$7)</f>
        <v>0</v>
      </c>
      <c r="R63" s="1385">
        <f>ROUND((1+INDEX(Cust_Esca!$E$10:$U$56,MATCH($D63,Cust_Esca!$C$10:$C$56,0),MATCH(R$7,Cust_Esca!$E$7:$U$7,0)))*Q63,$AA$7)</f>
        <v>0</v>
      </c>
      <c r="S63" s="1385">
        <f>ROUND((1+INDEX(Cust_Esca!$E$10:$U$56,MATCH($D63,Cust_Esca!$C$10:$C$56,0),MATCH(S$7,Cust_Esca!$E$7:$U$7,0)))*R63,$AA$7)</f>
        <v>0</v>
      </c>
      <c r="T63" s="1385">
        <f>ROUND((1+INDEX(Cust_Esca!$E$10:$U$56,MATCH($D63,Cust_Esca!$C$10:$C$56,0),MATCH(T$7,Cust_Esca!$E$7:$U$7,0)))*S63,$AA$7)</f>
        <v>0</v>
      </c>
      <c r="U63" s="1385">
        <f>ROUND((1+INDEX(Cust_Esca!$E$10:$U$56,MATCH($D63,Cust_Esca!$C$10:$C$56,0),MATCH(U$7,Cust_Esca!$E$7:$U$7,0)))*T63,$AA$7)</f>
        <v>0</v>
      </c>
      <c r="V63" s="1385">
        <f>ROUND((1+INDEX(Cust_Esca!$E$10:$U$56,MATCH($D63,Cust_Esca!$C$10:$C$56,0),MATCH(V$7,Cust_Esca!$E$7:$U$7,0)))*U63,$AA$7)</f>
        <v>0</v>
      </c>
      <c r="W63" s="1385">
        <f>ROUND((1+INDEX(Cust_Esca!$E$10:$U$56,MATCH($D63,Cust_Esca!$C$10:$C$56,0),MATCH(W$7,Cust_Esca!$E$7:$U$7,0)))*V63,$AA$7)</f>
        <v>0</v>
      </c>
      <c r="Y63" s="1385">
        <f>SUMIF($F$7:$W$7,TY_Units!$H$5,$F63:$W63)</f>
        <v>0</v>
      </c>
    </row>
    <row r="64" spans="1:25">
      <c r="A64" s="1360"/>
      <c r="C64" s="1367">
        <f>MAX(C$12:C63)+1</f>
        <v>53</v>
      </c>
      <c r="D64" s="1367">
        <f>D57</f>
        <v>12</v>
      </c>
      <c r="E64" s="1401" t="s">
        <v>912</v>
      </c>
      <c r="F64" s="1385">
        <f t="shared" ref="F64:L64" si="6">SUM(F62:F63)</f>
        <v>16353</v>
      </c>
      <c r="G64" s="1385">
        <f t="shared" si="6"/>
        <v>17578</v>
      </c>
      <c r="H64" s="1385">
        <f t="shared" si="6"/>
        <v>15689</v>
      </c>
      <c r="I64" s="1385">
        <f t="shared" si="6"/>
        <v>9792</v>
      </c>
      <c r="J64" s="1385">
        <f t="shared" si="6"/>
        <v>9629</v>
      </c>
      <c r="K64" s="1385">
        <f t="shared" si="6"/>
        <v>10900</v>
      </c>
      <c r="L64" s="1385">
        <f t="shared" si="6"/>
        <v>17641</v>
      </c>
      <c r="M64" s="1385">
        <f t="shared" ref="M64:W64" si="7">SUM(M62:M63)</f>
        <v>18589</v>
      </c>
      <c r="N64" s="1385">
        <f t="shared" si="7"/>
        <v>18895</v>
      </c>
      <c r="O64" s="1385">
        <f t="shared" si="7"/>
        <v>19202</v>
      </c>
      <c r="P64" s="1385">
        <f t="shared" si="7"/>
        <v>19509</v>
      </c>
      <c r="Q64" s="1385">
        <f t="shared" si="7"/>
        <v>19816</v>
      </c>
      <c r="R64" s="1385">
        <f t="shared" si="7"/>
        <v>20123</v>
      </c>
      <c r="S64" s="1385">
        <f t="shared" si="7"/>
        <v>20430</v>
      </c>
      <c r="T64" s="1385">
        <f t="shared" si="7"/>
        <v>20737</v>
      </c>
      <c r="U64" s="1385">
        <f t="shared" si="7"/>
        <v>21044</v>
      </c>
      <c r="V64" s="1385">
        <f t="shared" si="7"/>
        <v>21351</v>
      </c>
      <c r="W64" s="1385">
        <f t="shared" si="7"/>
        <v>21658</v>
      </c>
      <c r="Y64" s="1385">
        <f>SUMIF($F$7:$W$7,TY_Units!$H$5,$F64:$W64)</f>
        <v>21044</v>
      </c>
    </row>
    <row r="65" spans="1:25">
      <c r="A65" s="1360"/>
      <c r="C65" s="1367">
        <f>MAX(C$12:C64)+1</f>
        <v>54</v>
      </c>
      <c r="D65" s="1367"/>
      <c r="E65" s="1390"/>
      <c r="F65" s="1392"/>
      <c r="G65" s="1392"/>
      <c r="H65" s="1392"/>
      <c r="I65" s="1392"/>
      <c r="J65" s="1392"/>
      <c r="K65" s="1392"/>
      <c r="L65" s="1392"/>
      <c r="M65" s="1392"/>
      <c r="N65" s="1392"/>
      <c r="O65" s="1392"/>
      <c r="P65" s="1392"/>
      <c r="Q65" s="1392"/>
      <c r="R65" s="1392"/>
      <c r="S65" s="1392"/>
      <c r="T65" s="1392"/>
      <c r="U65" s="1392"/>
      <c r="V65" s="1392"/>
      <c r="W65" s="1392"/>
      <c r="Y65" s="1392"/>
    </row>
    <row r="66" spans="1:25" ht="16.5" thickBot="1">
      <c r="A66" s="1360"/>
      <c r="C66" s="1367">
        <f>MAX(C$12:C65)+1</f>
        <v>55</v>
      </c>
      <c r="D66" s="1367"/>
      <c r="E66" s="1382" t="s">
        <v>2146</v>
      </c>
      <c r="F66" s="1380"/>
      <c r="G66" s="1380"/>
      <c r="H66" s="1380"/>
      <c r="I66" s="1380"/>
      <c r="J66" s="1380"/>
      <c r="K66" s="1380"/>
      <c r="L66" s="1380"/>
      <c r="M66" s="1380"/>
      <c r="N66" s="1380"/>
      <c r="O66" s="1380"/>
      <c r="P66" s="1380"/>
      <c r="Q66" s="1380"/>
      <c r="R66" s="1380"/>
      <c r="S66" s="1380"/>
      <c r="T66" s="1380"/>
      <c r="U66" s="1380"/>
      <c r="V66" s="1380"/>
      <c r="W66" s="1380"/>
      <c r="Y66" s="1379"/>
    </row>
    <row r="67" spans="1:25" ht="16.5" thickBot="1">
      <c r="A67" s="1360"/>
      <c r="C67" s="1367">
        <f>MAX(C$12:C66)+1</f>
        <v>56</v>
      </c>
      <c r="D67" s="1367">
        <f>D60</f>
        <v>11</v>
      </c>
      <c r="E67" s="1377" t="s">
        <v>606</v>
      </c>
      <c r="F67" s="1402">
        <v>139</v>
      </c>
      <c r="G67" s="1403">
        <v>142</v>
      </c>
      <c r="H67" s="1403">
        <v>134</v>
      </c>
      <c r="I67" s="1404">
        <v>135</v>
      </c>
      <c r="J67" s="1405">
        <v>134</v>
      </c>
      <c r="K67" s="1405">
        <v>139</v>
      </c>
      <c r="L67" s="1405">
        <v>141</v>
      </c>
      <c r="M67" s="1385">
        <f>ROUND((1+INDEX(Cust_Esca!$E$10:$U$56,MATCH($D67,Cust_Esca!$C$10:$C$56,0),MATCH(M$7,Cust_Esca!$E$7:$U$7,0)))*L67,$AA$7)</f>
        <v>143</v>
      </c>
      <c r="N67" s="1385">
        <f>ROUND((1+INDEX(Cust_Esca!$E$10:$U$56,MATCH($D67,Cust_Esca!$C$10:$C$56,0),MATCH(N$7,Cust_Esca!$E$7:$U$7,0)))*M67,$AA$7)</f>
        <v>147</v>
      </c>
      <c r="O67" s="1385">
        <f>ROUND((1+INDEX(Cust_Esca!$E$10:$U$56,MATCH($D67,Cust_Esca!$C$10:$C$56,0),MATCH(O$7,Cust_Esca!$E$7:$U$7,0)))*N67,$AA$7)</f>
        <v>151</v>
      </c>
      <c r="P67" s="1385">
        <f>ROUND((1+INDEX(Cust_Esca!$E$10:$U$56,MATCH($D67,Cust_Esca!$C$10:$C$56,0),MATCH(P$7,Cust_Esca!$E$7:$U$7,0)))*O67,$AA$7)</f>
        <v>155</v>
      </c>
      <c r="Q67" s="1385">
        <f>ROUND((1+INDEX(Cust_Esca!$E$10:$U$56,MATCH($D67,Cust_Esca!$C$10:$C$56,0),MATCH(Q$7,Cust_Esca!$E$7:$U$7,0)))*P67,$AA$7)</f>
        <v>159</v>
      </c>
      <c r="R67" s="1385">
        <f>ROUND((1+INDEX(Cust_Esca!$E$10:$U$56,MATCH($D67,Cust_Esca!$C$10:$C$56,0),MATCH(R$7,Cust_Esca!$E$7:$U$7,0)))*Q67,$AA$7)</f>
        <v>163</v>
      </c>
      <c r="S67" s="1385">
        <f>ROUND((1+INDEX(Cust_Esca!$E$10:$U$56,MATCH($D67,Cust_Esca!$C$10:$C$56,0),MATCH(S$7,Cust_Esca!$E$7:$U$7,0)))*R67,$AA$7)</f>
        <v>168</v>
      </c>
      <c r="T67" s="1385">
        <f>ROUND((1+INDEX(Cust_Esca!$E$10:$U$56,MATCH($D67,Cust_Esca!$C$10:$C$56,0),MATCH(T$7,Cust_Esca!$E$7:$U$7,0)))*S67,$AA$7)</f>
        <v>173</v>
      </c>
      <c r="U67" s="1385">
        <f>ROUND((1+INDEX(Cust_Esca!$E$10:$U$56,MATCH($D67,Cust_Esca!$C$10:$C$56,0),MATCH(U$7,Cust_Esca!$E$7:$U$7,0)))*T67,$AA$7)</f>
        <v>178</v>
      </c>
      <c r="V67" s="1385">
        <f>ROUND((1+INDEX(Cust_Esca!$E$10:$U$56,MATCH($D67,Cust_Esca!$C$10:$C$56,0),MATCH(V$7,Cust_Esca!$E$7:$U$7,0)))*U67,$AA$7)</f>
        <v>183</v>
      </c>
      <c r="W67" s="1385">
        <f>ROUND((1+INDEX(Cust_Esca!$E$10:$U$56,MATCH($D67,Cust_Esca!$C$10:$C$56,0),MATCH(W$7,Cust_Esca!$E$7:$U$7,0)))*V67,$AA$7)</f>
        <v>188</v>
      </c>
      <c r="Y67" s="1385">
        <f>SUMIF($F$7:$W$7,TY_Units!$H$5,$F67:$W67)</f>
        <v>178</v>
      </c>
    </row>
    <row r="68" spans="1:25" ht="16.5" thickBot="1">
      <c r="A68" s="1360"/>
      <c r="C68" s="1367">
        <f>MAX(C$12:C67)+1</f>
        <v>57</v>
      </c>
      <c r="D68" s="1367">
        <f>D61</f>
        <v>12</v>
      </c>
      <c r="E68" s="1377" t="s">
        <v>907</v>
      </c>
      <c r="F68" s="1406"/>
      <c r="G68" s="1406"/>
      <c r="H68" s="1406"/>
      <c r="I68" s="1395"/>
      <c r="J68" s="1407"/>
      <c r="K68" s="1407"/>
      <c r="L68" s="1407"/>
      <c r="M68" s="1406"/>
      <c r="N68" s="1406"/>
      <c r="O68" s="1406"/>
      <c r="P68" s="1406"/>
      <c r="Q68" s="1406"/>
      <c r="R68" s="1406"/>
      <c r="S68" s="1406"/>
      <c r="T68" s="1406"/>
      <c r="U68" s="1406"/>
      <c r="V68" s="1406"/>
      <c r="W68" s="1406"/>
      <c r="Y68" s="1385">
        <f>SUMIF($F$7:$W$7,TY_Units!$H$5,$F68:$W68)</f>
        <v>0</v>
      </c>
    </row>
    <row r="69" spans="1:25">
      <c r="A69" s="1360"/>
      <c r="C69" s="1367">
        <f>MAX(C$12:C68)+1</f>
        <v>58</v>
      </c>
      <c r="D69" s="1367">
        <f>D62</f>
        <v>12</v>
      </c>
      <c r="E69" s="1377" t="s">
        <v>1014</v>
      </c>
      <c r="F69" s="1408">
        <v>520218</v>
      </c>
      <c r="G69" s="1384">
        <v>539572</v>
      </c>
      <c r="H69" s="1384">
        <v>516671</v>
      </c>
      <c r="I69" s="1393">
        <v>516827</v>
      </c>
      <c r="J69" s="1394">
        <v>512104</v>
      </c>
      <c r="K69" s="1394">
        <v>525637</v>
      </c>
      <c r="L69" s="1394">
        <v>536064</v>
      </c>
      <c r="M69" s="1385">
        <f>ROUND((1+INDEX(Cust_Esca!$E$10:$U$56,MATCH($D69,Cust_Esca!$C$10:$C$56,0),MATCH(M$7,Cust_Esca!$E$7:$U$7,0)))*L69,$AA$7)</f>
        <v>564867</v>
      </c>
      <c r="N69" s="1385">
        <f>ROUND((1+INDEX(Cust_Esca!$E$10:$U$56,MATCH($D69,Cust_Esca!$C$10:$C$56,0),MATCH(N$7,Cust_Esca!$E$7:$U$7,0)))*M69,$AA$7)</f>
        <v>574174</v>
      </c>
      <c r="O69" s="1385">
        <f>ROUND((1+INDEX(Cust_Esca!$E$10:$U$56,MATCH($D69,Cust_Esca!$C$10:$C$56,0),MATCH(O$7,Cust_Esca!$E$7:$U$7,0)))*N69,$AA$7)</f>
        <v>583512</v>
      </c>
      <c r="P69" s="1385">
        <f>ROUND((1+INDEX(Cust_Esca!$E$10:$U$56,MATCH($D69,Cust_Esca!$C$10:$C$56,0),MATCH(P$7,Cust_Esca!$E$7:$U$7,0)))*O69,$AA$7)</f>
        <v>592851</v>
      </c>
      <c r="Q69" s="1385">
        <f>ROUND((1+INDEX(Cust_Esca!$E$10:$U$56,MATCH($D69,Cust_Esca!$C$10:$C$56,0),MATCH(Q$7,Cust_Esca!$E$7:$U$7,0)))*P69,$AA$7)</f>
        <v>602179</v>
      </c>
      <c r="R69" s="1385">
        <f>ROUND((1+INDEX(Cust_Esca!$E$10:$U$56,MATCH($D69,Cust_Esca!$C$10:$C$56,0),MATCH(R$7,Cust_Esca!$E$7:$U$7,0)))*Q69,$AA$7)</f>
        <v>611514</v>
      </c>
      <c r="S69" s="1385">
        <f>ROUND((1+INDEX(Cust_Esca!$E$10:$U$56,MATCH($D69,Cust_Esca!$C$10:$C$56,0),MATCH(S$7,Cust_Esca!$E$7:$U$7,0)))*R69,$AA$7)</f>
        <v>620848</v>
      </c>
      <c r="T69" s="1385">
        <f>ROUND((1+INDEX(Cust_Esca!$E$10:$U$56,MATCH($D69,Cust_Esca!$C$10:$C$56,0),MATCH(T$7,Cust_Esca!$E$7:$U$7,0)))*S69,$AA$7)</f>
        <v>630180</v>
      </c>
      <c r="U69" s="1385">
        <f>ROUND((1+INDEX(Cust_Esca!$E$10:$U$56,MATCH($D69,Cust_Esca!$C$10:$C$56,0),MATCH(U$7,Cust_Esca!$E$7:$U$7,0)))*T69,$AA$7)</f>
        <v>639514</v>
      </c>
      <c r="V69" s="1385">
        <f>ROUND((1+INDEX(Cust_Esca!$E$10:$U$56,MATCH($D69,Cust_Esca!$C$10:$C$56,0),MATCH(V$7,Cust_Esca!$E$7:$U$7,0)))*U69,$AA$7)</f>
        <v>648847</v>
      </c>
      <c r="W69" s="1385">
        <f>ROUND((1+INDEX(Cust_Esca!$E$10:$U$56,MATCH($D69,Cust_Esca!$C$10:$C$56,0),MATCH(W$7,Cust_Esca!$E$7:$U$7,0)))*V69,$AA$7)</f>
        <v>658180</v>
      </c>
      <c r="Y69" s="1385">
        <f>SUMIF($F$7:$W$7,TY_Units!$H$5,$F69:$W69)</f>
        <v>639514</v>
      </c>
    </row>
    <row r="70" spans="1:25" ht="16.5" thickBot="1">
      <c r="A70" s="1360"/>
      <c r="C70" s="1367">
        <f>MAX(C$12:C69)+1</f>
        <v>59</v>
      </c>
      <c r="D70" s="1367">
        <f>D63</f>
        <v>12</v>
      </c>
      <c r="E70" s="1377" t="s">
        <v>1010</v>
      </c>
      <c r="F70" s="1409"/>
      <c r="G70" s="1387"/>
      <c r="H70" s="1387"/>
      <c r="I70" s="1388"/>
      <c r="J70" s="1389"/>
      <c r="K70" s="1389">
        <v>0</v>
      </c>
      <c r="L70" s="1389">
        <v>0</v>
      </c>
      <c r="M70" s="1385">
        <f>ROUND((1+INDEX(Cust_Esca!$E$10:$U$56,MATCH($D70,Cust_Esca!$C$10:$C$56,0),MATCH(M$7,Cust_Esca!$E$7:$U$7,0)))*L70,$AA$7)</f>
        <v>0</v>
      </c>
      <c r="N70" s="1385">
        <f>ROUND((1+INDEX(Cust_Esca!$E$10:$U$56,MATCH($D70,Cust_Esca!$C$10:$C$56,0),MATCH(N$7,Cust_Esca!$E$7:$U$7,0)))*M70,$AA$7)</f>
        <v>0</v>
      </c>
      <c r="O70" s="1385">
        <f>ROUND((1+INDEX(Cust_Esca!$E$10:$U$56,MATCH($D70,Cust_Esca!$C$10:$C$56,0),MATCH(O$7,Cust_Esca!$E$7:$U$7,0)))*N70,$AA$7)</f>
        <v>0</v>
      </c>
      <c r="P70" s="1385">
        <f>ROUND((1+INDEX(Cust_Esca!$E$10:$U$56,MATCH($D70,Cust_Esca!$C$10:$C$56,0),MATCH(P$7,Cust_Esca!$E$7:$U$7,0)))*O70,$AA$7)</f>
        <v>0</v>
      </c>
      <c r="Q70" s="1385">
        <f>ROUND((1+INDEX(Cust_Esca!$E$10:$U$56,MATCH($D70,Cust_Esca!$C$10:$C$56,0),MATCH(Q$7,Cust_Esca!$E$7:$U$7,0)))*P70,$AA$7)</f>
        <v>0</v>
      </c>
      <c r="R70" s="1385">
        <f>ROUND((1+INDEX(Cust_Esca!$E$10:$U$56,MATCH($D70,Cust_Esca!$C$10:$C$56,0),MATCH(R$7,Cust_Esca!$E$7:$U$7,0)))*Q70,$AA$7)</f>
        <v>0</v>
      </c>
      <c r="S70" s="1385">
        <f>ROUND((1+INDEX(Cust_Esca!$E$10:$U$56,MATCH($D70,Cust_Esca!$C$10:$C$56,0),MATCH(S$7,Cust_Esca!$E$7:$U$7,0)))*R70,$AA$7)</f>
        <v>0</v>
      </c>
      <c r="T70" s="1385">
        <f>ROUND((1+INDEX(Cust_Esca!$E$10:$U$56,MATCH($D70,Cust_Esca!$C$10:$C$56,0),MATCH(T$7,Cust_Esca!$E$7:$U$7,0)))*S70,$AA$7)</f>
        <v>0</v>
      </c>
      <c r="U70" s="1385">
        <f>ROUND((1+INDEX(Cust_Esca!$E$10:$U$56,MATCH($D70,Cust_Esca!$C$10:$C$56,0),MATCH(U$7,Cust_Esca!$E$7:$U$7,0)))*T70,$AA$7)</f>
        <v>0</v>
      </c>
      <c r="V70" s="1385">
        <f>ROUND((1+INDEX(Cust_Esca!$E$10:$U$56,MATCH($D70,Cust_Esca!$C$10:$C$56,0),MATCH(V$7,Cust_Esca!$E$7:$U$7,0)))*U70,$AA$7)</f>
        <v>0</v>
      </c>
      <c r="W70" s="1385">
        <f>ROUND((1+INDEX(Cust_Esca!$E$10:$U$56,MATCH($D70,Cust_Esca!$C$10:$C$56,0),MATCH(W$7,Cust_Esca!$E$7:$U$7,0)))*V70,$AA$7)</f>
        <v>0</v>
      </c>
      <c r="Y70" s="1385">
        <f>SUMIF($F$7:$W$7,TY_Units!$H$5,$F70:$W70)</f>
        <v>0</v>
      </c>
    </row>
    <row r="71" spans="1:25">
      <c r="A71" s="1360"/>
      <c r="C71" s="1367">
        <f>MAX(C$12:C70)+1</f>
        <v>60</v>
      </c>
      <c r="D71" s="1367">
        <f>D64</f>
        <v>12</v>
      </c>
      <c r="E71" s="1401" t="s">
        <v>912</v>
      </c>
      <c r="F71" s="1385">
        <f t="shared" ref="F71:L71" si="8">SUM(F69:F70)</f>
        <v>520218</v>
      </c>
      <c r="G71" s="1385">
        <f t="shared" si="8"/>
        <v>539572</v>
      </c>
      <c r="H71" s="1385">
        <f t="shared" si="8"/>
        <v>516671</v>
      </c>
      <c r="I71" s="1385">
        <f t="shared" si="8"/>
        <v>516827</v>
      </c>
      <c r="J71" s="1385">
        <f t="shared" si="8"/>
        <v>512104</v>
      </c>
      <c r="K71" s="1385">
        <f t="shared" si="8"/>
        <v>525637</v>
      </c>
      <c r="L71" s="1385">
        <f t="shared" si="8"/>
        <v>536064</v>
      </c>
      <c r="M71" s="1385">
        <f t="shared" ref="M71:W71" si="9">SUM(M69:M70)</f>
        <v>564867</v>
      </c>
      <c r="N71" s="1385">
        <f t="shared" si="9"/>
        <v>574174</v>
      </c>
      <c r="O71" s="1385">
        <f t="shared" si="9"/>
        <v>583512</v>
      </c>
      <c r="P71" s="1385">
        <f t="shared" si="9"/>
        <v>592851</v>
      </c>
      <c r="Q71" s="1385">
        <f t="shared" si="9"/>
        <v>602179</v>
      </c>
      <c r="R71" s="1385">
        <f t="shared" si="9"/>
        <v>611514</v>
      </c>
      <c r="S71" s="1385">
        <f t="shared" si="9"/>
        <v>620848</v>
      </c>
      <c r="T71" s="1385">
        <f t="shared" si="9"/>
        <v>630180</v>
      </c>
      <c r="U71" s="1385">
        <f t="shared" si="9"/>
        <v>639514</v>
      </c>
      <c r="V71" s="1385">
        <f t="shared" si="9"/>
        <v>648847</v>
      </c>
      <c r="W71" s="1385">
        <f t="shared" si="9"/>
        <v>658180</v>
      </c>
      <c r="Y71" s="1385">
        <f>SUMIF($F$7:$W$7,TY_Units!$H$5,$F71:$W71)</f>
        <v>639514</v>
      </c>
    </row>
    <row r="72" spans="1:25">
      <c r="A72" s="1360"/>
      <c r="C72" s="1367">
        <f>MAX(C$12:C71)+1</f>
        <v>61</v>
      </c>
      <c r="D72" s="1367"/>
      <c r="E72" s="1390"/>
      <c r="F72" s="1392"/>
      <c r="G72" s="1392"/>
      <c r="H72" s="1392"/>
      <c r="I72" s="1392"/>
      <c r="J72" s="1392"/>
      <c r="K72" s="1392"/>
      <c r="L72" s="1392"/>
      <c r="M72" s="1392"/>
      <c r="N72" s="1392"/>
      <c r="O72" s="1392"/>
      <c r="P72" s="1392"/>
      <c r="Q72" s="1392"/>
      <c r="R72" s="1392"/>
      <c r="S72" s="1392"/>
      <c r="T72" s="1392"/>
      <c r="U72" s="1392"/>
      <c r="V72" s="1392"/>
      <c r="W72" s="1392"/>
      <c r="Y72" s="1392"/>
    </row>
    <row r="73" spans="1:25" ht="16.5" thickBot="1">
      <c r="A73" s="1360"/>
      <c r="C73" s="1367">
        <f>MAX(C$12:C72)+1</f>
        <v>62</v>
      </c>
      <c r="D73" s="1367"/>
      <c r="E73" s="1382" t="s">
        <v>22</v>
      </c>
      <c r="F73" s="1380"/>
      <c r="G73" s="1380"/>
      <c r="H73" s="1380"/>
      <c r="I73" s="1380"/>
      <c r="J73" s="1380"/>
      <c r="K73" s="1380"/>
      <c r="L73" s="1380"/>
      <c r="M73" s="1380"/>
      <c r="N73" s="1380"/>
      <c r="O73" s="1380"/>
      <c r="P73" s="1380"/>
      <c r="Q73" s="1380"/>
      <c r="R73" s="1380"/>
      <c r="S73" s="1380"/>
      <c r="T73" s="1380"/>
      <c r="U73" s="1380"/>
      <c r="V73" s="1380"/>
      <c r="W73" s="1380"/>
      <c r="Y73" s="1379"/>
    </row>
    <row r="74" spans="1:25" ht="16.5" thickBot="1">
      <c r="A74" s="1360"/>
      <c r="C74" s="1367">
        <f>MAX(C$12:C73)+1</f>
        <v>63</v>
      </c>
      <c r="D74" s="1367">
        <f>Cust_Esca!C28</f>
        <v>13</v>
      </c>
      <c r="E74" s="1377" t="s">
        <v>606</v>
      </c>
      <c r="F74" s="1402">
        <v>91</v>
      </c>
      <c r="G74" s="1403">
        <f>ROUND((1+INDEX(Cust_Esca!$E$10:$U$56,MATCH($D74,Cust_Esca!$C$10:$C$56,0),MATCH(G$7,Cust_Esca!$E$7:$U$7,0)))*F74,$AA$7)</f>
        <v>91</v>
      </c>
      <c r="H74" s="1403">
        <f>ROUND((1+INDEX(Cust_Esca!$E$10:$U$56,MATCH($D74,Cust_Esca!$C$10:$C$56,0),MATCH(H$7,Cust_Esca!$E$7:$U$7,0)))*G74,$AA$7)</f>
        <v>91</v>
      </c>
      <c r="I74" s="1404">
        <v>93.333333333333329</v>
      </c>
      <c r="J74" s="1405">
        <v>95.25</v>
      </c>
      <c r="K74" s="1404">
        <v>93</v>
      </c>
      <c r="L74" s="1405">
        <v>98</v>
      </c>
      <c r="M74" s="1405">
        <v>101</v>
      </c>
      <c r="N74" s="1405">
        <v>103</v>
      </c>
      <c r="O74" s="1385">
        <f>ROUND((1+INDEX(Cust_Esca!$E$10:$U$56,MATCH($D74,Cust_Esca!$C$10:$C$56,0),MATCH(O$7,Cust_Esca!$E$7:$U$7,0)))*N74,$AA$7)</f>
        <v>105</v>
      </c>
      <c r="P74" s="1385">
        <f>ROUND((1+INDEX(Cust_Esca!$E$10:$U$56,MATCH($D74,Cust_Esca!$C$10:$C$56,0),MATCH(P$7,Cust_Esca!$E$7:$U$7,0)))*O74,$AA$7)</f>
        <v>107</v>
      </c>
      <c r="Q74" s="1385">
        <f>ROUND((1+INDEX(Cust_Esca!$E$10:$U$56,MATCH($D74,Cust_Esca!$C$10:$C$56,0),MATCH(Q$7,Cust_Esca!$E$7:$U$7,0)))*P74,$AA$7)</f>
        <v>109</v>
      </c>
      <c r="R74" s="1385">
        <f>ROUND((1+INDEX(Cust_Esca!$E$10:$U$56,MATCH($D74,Cust_Esca!$C$10:$C$56,0),MATCH(R$7,Cust_Esca!$E$7:$U$7,0)))*Q74,$AA$7)</f>
        <v>112</v>
      </c>
      <c r="S74" s="1385">
        <f>ROUND((1+INDEX(Cust_Esca!$E$10:$U$56,MATCH($D74,Cust_Esca!$C$10:$C$56,0),MATCH(S$7,Cust_Esca!$E$7:$U$7,0)))*R74,$AA$7)</f>
        <v>114</v>
      </c>
      <c r="T74" s="1385">
        <f>ROUND((1+INDEX(Cust_Esca!$E$10:$U$56,MATCH($D74,Cust_Esca!$C$10:$C$56,0),MATCH(T$7,Cust_Esca!$E$7:$U$7,0)))*S74,$AA$7)</f>
        <v>116</v>
      </c>
      <c r="U74" s="1385">
        <f>ROUND((1+INDEX(Cust_Esca!$E$10:$U$56,MATCH($D74,Cust_Esca!$C$10:$C$56,0),MATCH(U$7,Cust_Esca!$E$7:$U$7,0)))*T74,$AA$7)</f>
        <v>119</v>
      </c>
      <c r="V74" s="1385">
        <f>ROUND((1+INDEX(Cust_Esca!$E$10:$U$56,MATCH($D74,Cust_Esca!$C$10:$C$56,0),MATCH(V$7,Cust_Esca!$E$7:$U$7,0)))*U74,$AA$7)</f>
        <v>121</v>
      </c>
      <c r="W74" s="1385">
        <f>ROUND((1+INDEX(Cust_Esca!$E$10:$U$56,MATCH($D74,Cust_Esca!$C$10:$C$56,0),MATCH(W$7,Cust_Esca!$E$7:$U$7,0)))*V74,$AA$7)</f>
        <v>124</v>
      </c>
      <c r="Y74" s="1385">
        <f>SUMIF($F$7:$W$7,TY_Units!$H$5,$F74:$W74)</f>
        <v>119</v>
      </c>
    </row>
    <row r="75" spans="1:25" ht="16.5" thickBot="1">
      <c r="A75" s="1360"/>
      <c r="C75" s="1367">
        <f>MAX(C$12:C74)+1</f>
        <v>64</v>
      </c>
      <c r="D75" s="1367">
        <f>Cust_Esca!C29</f>
        <v>14</v>
      </c>
      <c r="E75" s="1377" t="s">
        <v>907</v>
      </c>
      <c r="F75" s="1406">
        <f>ROUND(F78/Rates!F117,$AA$7)</f>
        <v>702832</v>
      </c>
      <c r="G75" s="1406">
        <f>ROUND(G78/Rates!G117,$AA$7)</f>
        <v>702832</v>
      </c>
      <c r="H75" s="1406">
        <f>ROUND(H78/Rates!H117,$AA$7)</f>
        <v>702832</v>
      </c>
      <c r="I75" s="1395">
        <v>667972.73957454273</v>
      </c>
      <c r="J75" s="1407">
        <v>679780.59870076727</v>
      </c>
      <c r="K75" s="1407">
        <v>541079.07721548656</v>
      </c>
      <c r="L75" s="1407">
        <v>699527.00755906687</v>
      </c>
      <c r="M75" s="1407">
        <v>634041.51384614524</v>
      </c>
      <c r="N75" s="1407">
        <v>648745.40204098658</v>
      </c>
      <c r="O75" s="1406">
        <v>661342.40013887</v>
      </c>
      <c r="P75" s="1406">
        <v>673939.39823675295</v>
      </c>
      <c r="Q75" s="1406">
        <v>684262.62385376077</v>
      </c>
      <c r="R75" s="1406">
        <v>705431.89348146121</v>
      </c>
      <c r="S75" s="1406">
        <v>718028.8915793444</v>
      </c>
      <c r="T75" s="1406">
        <v>730625.88967722759</v>
      </c>
      <c r="U75" s="1406">
        <v>747039.01136328001</v>
      </c>
      <c r="V75" s="1406">
        <v>762118.38492193574</v>
      </c>
      <c r="W75" s="1406">
        <v>781013.88206876058</v>
      </c>
      <c r="Y75" s="1385">
        <f>SUMIF($F$7:$W$7,TY_Units!$H$5,$F75:$W75)</f>
        <v>747039.01136328001</v>
      </c>
    </row>
    <row r="76" spans="1:25">
      <c r="A76" s="1360"/>
      <c r="C76" s="1367">
        <f>MAX(C$12:C75)+1</f>
        <v>65</v>
      </c>
      <c r="D76" s="1367">
        <f>+D75</f>
        <v>14</v>
      </c>
      <c r="E76" s="1377" t="s">
        <v>908</v>
      </c>
      <c r="F76" s="1408">
        <v>46849874</v>
      </c>
      <c r="G76" s="1384">
        <v>46849874</v>
      </c>
      <c r="H76" s="1384">
        <v>46849874</v>
      </c>
      <c r="I76" s="1393">
        <v>43095200</v>
      </c>
      <c r="J76" s="1394">
        <v>44011226</v>
      </c>
      <c r="K76" s="1394">
        <v>32516983.679850999</v>
      </c>
      <c r="L76" s="1394">
        <v>46576734.611794099</v>
      </c>
      <c r="M76" s="1394">
        <v>42356785.462171599</v>
      </c>
      <c r="N76" s="1394">
        <v>43195533.689145297</v>
      </c>
      <c r="O76" s="1385">
        <v>44034281.916119002</v>
      </c>
      <c r="P76" s="1385">
        <v>44873030.143092699</v>
      </c>
      <c r="Q76" s="1385">
        <v>45711778.370066397</v>
      </c>
      <c r="R76" s="1385">
        <v>46969900.710526899</v>
      </c>
      <c r="S76" s="1385">
        <v>47808648.937500603</v>
      </c>
      <c r="T76" s="1385">
        <v>48647397.164474301</v>
      </c>
      <c r="U76" s="1385">
        <v>49905519.5049349</v>
      </c>
      <c r="V76" s="1385">
        <v>50744267.731908597</v>
      </c>
      <c r="W76" s="1385">
        <v>52002390.072369099</v>
      </c>
      <c r="Y76" s="1385">
        <f>SUMIF($F$7:$W$7,TY_Units!$H$5,$F76:$W76)</f>
        <v>49905519.5049349</v>
      </c>
    </row>
    <row r="77" spans="1:25" ht="16.5" thickBot="1">
      <c r="A77" s="1360"/>
      <c r="C77" s="1367">
        <f>MAX(C$12:C76)+1</f>
        <v>66</v>
      </c>
      <c r="D77" s="1367">
        <f>+D76</f>
        <v>14</v>
      </c>
      <c r="E77" s="1377" t="s">
        <v>909</v>
      </c>
      <c r="F77" s="1409">
        <v>237529348</v>
      </c>
      <c r="G77" s="1387">
        <v>237529348</v>
      </c>
      <c r="H77" s="1387">
        <v>237529348</v>
      </c>
      <c r="I77" s="1388">
        <v>216487416</v>
      </c>
      <c r="J77" s="1389">
        <v>228735051</v>
      </c>
      <c r="K77" s="1389">
        <v>183888830.320149</v>
      </c>
      <c r="L77" s="1389">
        <v>233200691.38820601</v>
      </c>
      <c r="M77" s="1389">
        <v>212072223.11928999</v>
      </c>
      <c r="N77" s="1389">
        <v>216271673.082048</v>
      </c>
      <c r="O77" s="1399">
        <v>220471123.044806</v>
      </c>
      <c r="P77" s="1399">
        <v>224670573.00756401</v>
      </c>
      <c r="Q77" s="1399">
        <v>228870022.97032201</v>
      </c>
      <c r="R77" s="1399">
        <v>235169197.91446</v>
      </c>
      <c r="S77" s="1399">
        <v>239368647.87721801</v>
      </c>
      <c r="T77" s="1399">
        <v>243568097.83997601</v>
      </c>
      <c r="U77" s="1399">
        <v>249867272.78411299</v>
      </c>
      <c r="V77" s="1399">
        <v>254066722.74687201</v>
      </c>
      <c r="W77" s="1399">
        <v>260365897.69100901</v>
      </c>
      <c r="X77" s="1400"/>
      <c r="Y77" s="1399">
        <f>SUMIF($F$7:$W$7,TY_Units!$H$5,$F77:$W77)</f>
        <v>249867272.78411299</v>
      </c>
    </row>
    <row r="78" spans="1:25">
      <c r="A78" s="1360"/>
      <c r="C78" s="1367">
        <f>MAX(C$12:C77)+1</f>
        <v>67</v>
      </c>
      <c r="D78" s="1367">
        <f>+D77</f>
        <v>14</v>
      </c>
      <c r="E78" s="1401" t="s">
        <v>912</v>
      </c>
      <c r="F78" s="1385">
        <f>SUM(F76:F77)</f>
        <v>284379222</v>
      </c>
      <c r="G78" s="1385">
        <f t="shared" ref="G78:W78" si="10">SUM(G76:G77)</f>
        <v>284379222</v>
      </c>
      <c r="H78" s="1385">
        <f t="shared" si="10"/>
        <v>284379222</v>
      </c>
      <c r="I78" s="1385">
        <f t="shared" si="10"/>
        <v>259582616</v>
      </c>
      <c r="J78" s="1385">
        <f t="shared" si="10"/>
        <v>272746277</v>
      </c>
      <c r="K78" s="1385">
        <f>SUM(K76:K77)</f>
        <v>216405814</v>
      </c>
      <c r="L78" s="1385">
        <f>SUM(L76:L77)</f>
        <v>279777426.00000012</v>
      </c>
      <c r="M78" s="1385">
        <f t="shared" si="10"/>
        <v>254429008.58146161</v>
      </c>
      <c r="N78" s="1385">
        <f t="shared" si="10"/>
        <v>259467206.7711933</v>
      </c>
      <c r="O78" s="1385">
        <f t="shared" si="10"/>
        <v>264505404.96092501</v>
      </c>
      <c r="P78" s="1385">
        <f t="shared" si="10"/>
        <v>269543603.1506567</v>
      </c>
      <c r="Q78" s="1385">
        <f t="shared" si="10"/>
        <v>274581801.34038842</v>
      </c>
      <c r="R78" s="1385">
        <f t="shared" si="10"/>
        <v>282139098.62498689</v>
      </c>
      <c r="S78" s="1385">
        <f t="shared" si="10"/>
        <v>287177296.8147186</v>
      </c>
      <c r="T78" s="1385">
        <f t="shared" si="10"/>
        <v>292215495.00445032</v>
      </c>
      <c r="U78" s="1385">
        <f t="shared" si="10"/>
        <v>299772792.2890479</v>
      </c>
      <c r="V78" s="1385">
        <f t="shared" si="10"/>
        <v>304810990.47878063</v>
      </c>
      <c r="W78" s="1385">
        <f t="shared" si="10"/>
        <v>312368287.76337814</v>
      </c>
      <c r="Y78" s="1385">
        <f>SUMIF($F$7:$W$7,TY_Units!$H$5,$F78:$W78)</f>
        <v>299772792.2890479</v>
      </c>
    </row>
    <row r="79" spans="1:25">
      <c r="A79" s="1360"/>
      <c r="C79" s="1367">
        <f>MAX(C$12:C78)+1</f>
        <v>68</v>
      </c>
      <c r="D79" s="1367"/>
      <c r="E79" s="1390"/>
      <c r="F79" s="1391"/>
      <c r="G79" s="1391"/>
      <c r="H79" s="1391"/>
      <c r="I79" s="1391"/>
      <c r="J79" s="1391"/>
      <c r="K79" s="1391"/>
      <c r="L79" s="1391"/>
      <c r="M79" s="1391"/>
      <c r="N79" s="1391"/>
      <c r="O79" s="1391"/>
      <c r="P79" s="1391"/>
      <c r="Q79" s="1391"/>
      <c r="R79" s="1391"/>
      <c r="S79" s="1391"/>
      <c r="T79" s="1391"/>
      <c r="U79" s="1391"/>
      <c r="V79" s="1391"/>
      <c r="W79" s="1391"/>
      <c r="Y79" s="1391"/>
    </row>
    <row r="80" spans="1:25" ht="16.5" thickBot="1">
      <c r="A80" s="1360"/>
      <c r="C80" s="1367">
        <f>MAX(C$12:C79)+1</f>
        <v>69</v>
      </c>
      <c r="D80" s="1367"/>
      <c r="E80" s="1382" t="s">
        <v>16</v>
      </c>
      <c r="F80" s="1380"/>
      <c r="G80" s="1380"/>
      <c r="H80" s="1380"/>
      <c r="I80" s="1380"/>
      <c r="J80" s="1380"/>
      <c r="K80" s="1380"/>
      <c r="L80" s="1380"/>
      <c r="M80" s="1380"/>
      <c r="N80" s="1380"/>
      <c r="O80" s="1380"/>
      <c r="P80" s="1380"/>
      <c r="Q80" s="1380"/>
      <c r="R80" s="1380"/>
      <c r="S80" s="1380"/>
      <c r="T80" s="1380"/>
      <c r="U80" s="1380"/>
      <c r="V80" s="1380"/>
      <c r="W80" s="1380"/>
      <c r="Y80" s="1379"/>
    </row>
    <row r="81" spans="1:25" ht="16.5" thickBot="1">
      <c r="A81" s="1360"/>
      <c r="C81" s="1367">
        <f>MAX(C$12:C80)+1</f>
        <v>70</v>
      </c>
      <c r="D81" s="1367">
        <f>Cust_Esca!C31</f>
        <v>15</v>
      </c>
      <c r="E81" s="1377" t="s">
        <v>606</v>
      </c>
      <c r="F81" s="1402">
        <v>3</v>
      </c>
      <c r="G81" s="1403">
        <f>ROUND((1+INDEX(Cust_Esca!$E$10:$U$56,MATCH($D81,Cust_Esca!$C$10:$C$56,0),MATCH(G$7,Cust_Esca!$E$7:$U$7,0)))*F81,$AA$7)</f>
        <v>3</v>
      </c>
      <c r="H81" s="1403">
        <f>ROUND((1+INDEX(Cust_Esca!$E$10:$U$56,MATCH($D81,Cust_Esca!$C$10:$C$56,0),MATCH(H$7,Cust_Esca!$E$7:$U$7,0)))*G81,$AA$7)</f>
        <v>3</v>
      </c>
      <c r="I81" s="1404">
        <v>7</v>
      </c>
      <c r="J81" s="1405">
        <v>7.583333333333333</v>
      </c>
      <c r="K81" s="1404">
        <v>12</v>
      </c>
      <c r="L81" s="1405">
        <v>13</v>
      </c>
      <c r="M81" s="1405">
        <v>13</v>
      </c>
      <c r="N81" s="1405">
        <v>13</v>
      </c>
      <c r="O81" s="1385">
        <f>ROUND((1+INDEX(Cust_Esca!$E$10:$U$56,MATCH($D81,Cust_Esca!$C$10:$C$56,0),MATCH(O$7,Cust_Esca!$E$7:$U$7,0)))*N81,$AA$7)</f>
        <v>13</v>
      </c>
      <c r="P81" s="1385">
        <f>ROUND((1+INDEX(Cust_Esca!$E$10:$U$56,MATCH($D81,Cust_Esca!$C$10:$C$56,0),MATCH(P$7,Cust_Esca!$E$7:$U$7,0)))*O81,$AA$7)</f>
        <v>13</v>
      </c>
      <c r="Q81" s="1385">
        <f>ROUND((1+INDEX(Cust_Esca!$E$10:$U$56,MATCH($D81,Cust_Esca!$C$10:$C$56,0),MATCH(Q$7,Cust_Esca!$E$7:$U$7,0)))*P81,$AA$7)</f>
        <v>13</v>
      </c>
      <c r="R81" s="1385">
        <f>ROUND((1+INDEX(Cust_Esca!$E$10:$U$56,MATCH($D81,Cust_Esca!$C$10:$C$56,0),MATCH(R$7,Cust_Esca!$E$7:$U$7,0)))*Q81,$AA$7)</f>
        <v>13</v>
      </c>
      <c r="S81" s="1385">
        <f>ROUND((1+INDEX(Cust_Esca!$E$10:$U$56,MATCH($D81,Cust_Esca!$C$10:$C$56,0),MATCH(S$7,Cust_Esca!$E$7:$U$7,0)))*R81,$AA$7)</f>
        <v>13</v>
      </c>
      <c r="T81" s="1385">
        <f>ROUND((1+INDEX(Cust_Esca!$E$10:$U$56,MATCH($D81,Cust_Esca!$C$10:$C$56,0),MATCH(T$7,Cust_Esca!$E$7:$U$7,0)))*S81,$AA$7)</f>
        <v>13</v>
      </c>
      <c r="U81" s="1385">
        <f>ROUND((1+INDEX(Cust_Esca!$E$10:$U$56,MATCH($D81,Cust_Esca!$C$10:$C$56,0),MATCH(U$7,Cust_Esca!$E$7:$U$7,0)))*T81,$AA$7)</f>
        <v>13</v>
      </c>
      <c r="V81" s="1385">
        <f>ROUND((1+INDEX(Cust_Esca!$E$10:$U$56,MATCH($D81,Cust_Esca!$C$10:$C$56,0),MATCH(V$7,Cust_Esca!$E$7:$U$7,0)))*U81,$AA$7)</f>
        <v>13</v>
      </c>
      <c r="W81" s="1385">
        <f>ROUND((1+INDEX(Cust_Esca!$E$10:$U$56,MATCH($D81,Cust_Esca!$C$10:$C$56,0),MATCH(W$7,Cust_Esca!$E$7:$U$7,0)))*V81,$AA$7)</f>
        <v>13</v>
      </c>
      <c r="Y81" s="1385">
        <f>SUMIF($F$7:$W$7,TY_Units!$H$5,$F81:$W81)</f>
        <v>13</v>
      </c>
    </row>
    <row r="82" spans="1:25" ht="16.5" thickBot="1">
      <c r="A82" s="1360"/>
      <c r="C82" s="1367">
        <f>MAX(C$12:C81)+1</f>
        <v>71</v>
      </c>
      <c r="D82" s="1367">
        <f>Cust_Esca!C32</f>
        <v>16</v>
      </c>
      <c r="E82" s="1377" t="s">
        <v>907</v>
      </c>
      <c r="F82" s="1406">
        <f>ROUND(F85/Rates!F137,$AA$7)</f>
        <v>246782</v>
      </c>
      <c r="G82" s="1406">
        <f>ROUND(G85/Rates!G137,$AA$7)</f>
        <v>246782</v>
      </c>
      <c r="H82" s="1406">
        <f>ROUND(H85/Rates!H137,$AA$7)</f>
        <v>246782</v>
      </c>
      <c r="I82" s="1395">
        <v>367293.74025981111</v>
      </c>
      <c r="J82" s="1407">
        <v>474677.95672482433</v>
      </c>
      <c r="K82" s="1407">
        <v>659329.09548709926</v>
      </c>
      <c r="L82" s="1407">
        <v>720243.59283365193</v>
      </c>
      <c r="M82" s="1407">
        <v>721467.76022510976</v>
      </c>
      <c r="N82" s="1407">
        <v>891462.69235676341</v>
      </c>
      <c r="O82" s="1406">
        <v>998230.13654712716</v>
      </c>
      <c r="P82" s="1406">
        <v>1133815.4433686126</v>
      </c>
      <c r="Q82" s="1406">
        <v>1298215.1674596898</v>
      </c>
      <c r="R82" s="1406">
        <v>1389837.1481527861</v>
      </c>
      <c r="S82" s="1406">
        <v>1476293.3862253428</v>
      </c>
      <c r="T82" s="1406">
        <v>1530723.8894111773</v>
      </c>
      <c r="U82" s="1406">
        <v>1585555.6584887304</v>
      </c>
      <c r="V82" s="1406">
        <v>1639914.9214364674</v>
      </c>
      <c r="W82" s="1406">
        <v>1683556.5933459238</v>
      </c>
      <c r="Y82" s="1385">
        <f>SUMIF($F$7:$W$7,TY_Units!$H$5,$F82:$W82)</f>
        <v>1585555.6584887304</v>
      </c>
    </row>
    <row r="83" spans="1:25">
      <c r="A83" s="1360"/>
      <c r="C83" s="1367">
        <f>MAX(C$12:C82)+1</f>
        <v>72</v>
      </c>
      <c r="D83" s="1367">
        <f>+D82</f>
        <v>16</v>
      </c>
      <c r="E83" s="1377" t="s">
        <v>910</v>
      </c>
      <c r="F83" s="1408">
        <v>110543000</v>
      </c>
      <c r="G83" s="1384">
        <v>110543000</v>
      </c>
      <c r="H83" s="1384">
        <v>110543000</v>
      </c>
      <c r="I83" s="1393">
        <v>205143000</v>
      </c>
      <c r="J83" s="1394">
        <v>258246000</v>
      </c>
      <c r="K83" s="1394">
        <v>385400544</v>
      </c>
      <c r="L83" s="1394">
        <v>422959000</v>
      </c>
      <c r="M83" s="1394">
        <v>426975866.44766545</v>
      </c>
      <c r="N83" s="1394">
        <v>525038334.67648542</v>
      </c>
      <c r="O83" s="1385">
        <v>570704731.93497407</v>
      </c>
      <c r="P83" s="1385">
        <v>633292910.53171778</v>
      </c>
      <c r="Q83" s="1385">
        <v>709787096.79294002</v>
      </c>
      <c r="R83" s="1385">
        <v>742841561.87284648</v>
      </c>
      <c r="S83" s="1385">
        <v>772959435.96712339</v>
      </c>
      <c r="T83" s="1385">
        <v>799624440.77286744</v>
      </c>
      <c r="U83" s="1385">
        <v>825110823.88054132</v>
      </c>
      <c r="V83" s="1385">
        <v>841214347.25566709</v>
      </c>
      <c r="W83" s="1385">
        <v>858298143.89664114</v>
      </c>
      <c r="Y83" s="1385">
        <f>SUMIF($F$7:$W$7,TY_Units!$H$5,$F83:$W83)</f>
        <v>825110823.88054132</v>
      </c>
    </row>
    <row r="84" spans="1:25" ht="16.5" thickBot="1">
      <c r="A84" s="1360"/>
      <c r="C84" s="1367">
        <f>MAX(C$12:C83)+1</f>
        <v>73</v>
      </c>
      <c r="D84" s="1367">
        <f>+D83</f>
        <v>16</v>
      </c>
      <c r="E84" s="1377" t="s">
        <v>909</v>
      </c>
      <c r="F84" s="1409">
        <v>13309000</v>
      </c>
      <c r="G84" s="1387">
        <v>13309000</v>
      </c>
      <c r="H84" s="1387">
        <v>13309000</v>
      </c>
      <c r="I84" s="1388">
        <v>0</v>
      </c>
      <c r="J84" s="1389">
        <v>2534000</v>
      </c>
      <c r="K84" s="1389">
        <v>2593200</v>
      </c>
      <c r="L84" s="1389">
        <v>836000</v>
      </c>
      <c r="M84" s="1389">
        <v>0</v>
      </c>
      <c r="N84" s="1389">
        <v>583620.72622826789</v>
      </c>
      <c r="O84" s="1399">
        <v>17633255.65632673</v>
      </c>
      <c r="P84" s="1399">
        <v>35153255.656326726</v>
      </c>
      <c r="Q84" s="1399">
        <v>57520790.058561996</v>
      </c>
      <c r="R84" s="1399">
        <v>76544079.461322725</v>
      </c>
      <c r="S84" s="1399">
        <v>97374839.025666699</v>
      </c>
      <c r="T84" s="1399">
        <v>102813739.89173436</v>
      </c>
      <c r="U84" s="1399">
        <v>112005881.62730074</v>
      </c>
      <c r="V84" s="1399">
        <v>125631860.42760193</v>
      </c>
      <c r="W84" s="1399">
        <v>134291390.15030196</v>
      </c>
      <c r="Y84" s="1385">
        <f>SUMIF($F$7:$W$7,TY_Units!$H$5,$F84:$W84)</f>
        <v>112005881.62730074</v>
      </c>
    </row>
    <row r="85" spans="1:25">
      <c r="A85" s="1360"/>
      <c r="C85" s="1367">
        <f>MAX(C$12:C84)+1</f>
        <v>74</v>
      </c>
      <c r="D85" s="1367">
        <f>+D84</f>
        <v>16</v>
      </c>
      <c r="E85" s="1401" t="s">
        <v>912</v>
      </c>
      <c r="F85" s="1385">
        <f t="shared" ref="F85:L85" si="11">SUM(F83:F84)</f>
        <v>123852000</v>
      </c>
      <c r="G85" s="1385">
        <f t="shared" si="11"/>
        <v>123852000</v>
      </c>
      <c r="H85" s="1385">
        <f t="shared" si="11"/>
        <v>123852000</v>
      </c>
      <c r="I85" s="1385">
        <f t="shared" si="11"/>
        <v>205143000</v>
      </c>
      <c r="J85" s="1385">
        <f t="shared" si="11"/>
        <v>260780000</v>
      </c>
      <c r="K85" s="1385">
        <f t="shared" si="11"/>
        <v>387993744</v>
      </c>
      <c r="L85" s="1385">
        <f t="shared" si="11"/>
        <v>423795000</v>
      </c>
      <c r="M85" s="1385">
        <f t="shared" ref="M85:W85" si="12">SUM(M83:M84)</f>
        <v>426975866.44766545</v>
      </c>
      <c r="N85" s="1385">
        <f t="shared" si="12"/>
        <v>525621955.40271372</v>
      </c>
      <c r="O85" s="1385">
        <f t="shared" si="12"/>
        <v>588337987.59130085</v>
      </c>
      <c r="P85" s="1385">
        <f t="shared" si="12"/>
        <v>668446166.18804455</v>
      </c>
      <c r="Q85" s="1385">
        <f t="shared" si="12"/>
        <v>767307886.85150206</v>
      </c>
      <c r="R85" s="1385">
        <f t="shared" si="12"/>
        <v>819385641.33416915</v>
      </c>
      <c r="S85" s="1385">
        <f t="shared" si="12"/>
        <v>870334274.9927901</v>
      </c>
      <c r="T85" s="1385">
        <f t="shared" si="12"/>
        <v>902438180.6646018</v>
      </c>
      <c r="U85" s="1385">
        <f t="shared" si="12"/>
        <v>937116705.50784206</v>
      </c>
      <c r="V85" s="1385">
        <f t="shared" si="12"/>
        <v>966846207.68326902</v>
      </c>
      <c r="W85" s="1385">
        <f t="shared" si="12"/>
        <v>992589534.04694307</v>
      </c>
      <c r="Y85" s="1385">
        <f>SUMIF($F$7:$W$7,TY_Units!$H$5,$F85:$W85)</f>
        <v>937116705.50784206</v>
      </c>
    </row>
    <row r="86" spans="1:25">
      <c r="A86" s="1360"/>
      <c r="C86" s="1367">
        <f>MAX(C$12:C85)+1</f>
        <v>75</v>
      </c>
      <c r="D86" s="1367"/>
      <c r="E86" s="1377"/>
      <c r="F86" s="1366"/>
      <c r="G86" s="1366"/>
      <c r="H86" s="1366"/>
      <c r="I86" s="1366"/>
      <c r="J86" s="1366"/>
      <c r="K86" s="1366"/>
      <c r="L86" s="1366"/>
      <c r="M86" s="1366"/>
      <c r="N86" s="1366"/>
      <c r="O86" s="1366"/>
      <c r="P86" s="1366"/>
      <c r="Q86" s="1366"/>
      <c r="R86" s="1366"/>
      <c r="S86" s="1366"/>
      <c r="T86" s="1366"/>
      <c r="U86" s="1366"/>
      <c r="V86" s="1366"/>
      <c r="W86" s="1366"/>
      <c r="Y86" s="1366"/>
    </row>
    <row r="87" spans="1:25" ht="16.5" thickBot="1">
      <c r="A87" s="1360"/>
      <c r="C87" s="1367">
        <f>MAX(C$12:C86)+1</f>
        <v>76</v>
      </c>
      <c r="D87" s="1367"/>
      <c r="E87" s="1382" t="s">
        <v>17</v>
      </c>
      <c r="F87" s="1380"/>
      <c r="G87" s="1380"/>
      <c r="H87" s="1380"/>
      <c r="I87" s="1380"/>
      <c r="J87" s="1380"/>
      <c r="K87" s="1380"/>
      <c r="L87" s="1380"/>
      <c r="M87" s="1380"/>
      <c r="N87" s="1380"/>
      <c r="O87" s="1380"/>
      <c r="P87" s="1380"/>
      <c r="Q87" s="1380"/>
      <c r="R87" s="1380"/>
      <c r="S87" s="1380"/>
      <c r="T87" s="1380"/>
      <c r="U87" s="1380"/>
      <c r="V87" s="1380"/>
      <c r="W87" s="1380"/>
      <c r="Y87" s="1379"/>
    </row>
    <row r="88" spans="1:25" ht="16.5" thickBot="1">
      <c r="A88" s="1360"/>
      <c r="C88" s="1367">
        <f>MAX(C$12:C87)+1</f>
        <v>77</v>
      </c>
      <c r="D88" s="1367">
        <f>Cust_Esca!C34</f>
        <v>17</v>
      </c>
      <c r="E88" s="1377" t="s">
        <v>606</v>
      </c>
      <c r="F88" s="1402">
        <v>7</v>
      </c>
      <c r="G88" s="1403">
        <f>ROUND((1+INDEX(Cust_Esca!$E$10:$U$56,MATCH($D88,Cust_Esca!$C$10:$C$56,0),MATCH(G$7,Cust_Esca!$E$7:$U$7,0)))*F88,$AA$7)</f>
        <v>7</v>
      </c>
      <c r="H88" s="1403">
        <f>ROUND((1+INDEX(Cust_Esca!$E$10:$U$56,MATCH($D88,Cust_Esca!$C$10:$C$56,0),MATCH(H$7,Cust_Esca!$E$7:$U$7,0)))*G88,$AA$7)</f>
        <v>7</v>
      </c>
      <c r="I88" s="1404">
        <v>7</v>
      </c>
      <c r="J88" s="1405">
        <v>7.25</v>
      </c>
      <c r="K88" s="1404">
        <v>7</v>
      </c>
      <c r="L88" s="1405">
        <v>7</v>
      </c>
      <c r="M88" s="1405">
        <v>7</v>
      </c>
      <c r="N88" s="1405">
        <v>7</v>
      </c>
      <c r="O88" s="1385">
        <f>ROUND((1+INDEX(Cust_Esca!$E$10:$U$56,MATCH($D88,Cust_Esca!$C$10:$C$56,0),MATCH(O$7,Cust_Esca!$E$7:$U$7,0)))*N88,$AA$7)</f>
        <v>7</v>
      </c>
      <c r="P88" s="1385">
        <f>ROUND((1+INDEX(Cust_Esca!$E$10:$U$56,MATCH($D88,Cust_Esca!$C$10:$C$56,0),MATCH(P$7,Cust_Esca!$E$7:$U$7,0)))*O88,$AA$7)</f>
        <v>7</v>
      </c>
      <c r="Q88" s="1385">
        <f>ROUND((1+INDEX(Cust_Esca!$E$10:$U$56,MATCH($D88,Cust_Esca!$C$10:$C$56,0),MATCH(Q$7,Cust_Esca!$E$7:$U$7,0)))*P88,$AA$7)</f>
        <v>7</v>
      </c>
      <c r="R88" s="1385">
        <f>ROUND((1+INDEX(Cust_Esca!$E$10:$U$56,MATCH($D88,Cust_Esca!$C$10:$C$56,0),MATCH(R$7,Cust_Esca!$E$7:$U$7,0)))*Q88,$AA$7)</f>
        <v>7</v>
      </c>
      <c r="S88" s="1385">
        <f>ROUND((1+INDEX(Cust_Esca!$E$10:$U$56,MATCH($D88,Cust_Esca!$C$10:$C$56,0),MATCH(S$7,Cust_Esca!$E$7:$U$7,0)))*R88,$AA$7)</f>
        <v>7</v>
      </c>
      <c r="T88" s="1385">
        <f>ROUND((1+INDEX(Cust_Esca!$E$10:$U$56,MATCH($D88,Cust_Esca!$C$10:$C$56,0),MATCH(T$7,Cust_Esca!$E$7:$U$7,0)))*S88,$AA$7)</f>
        <v>7</v>
      </c>
      <c r="U88" s="1385">
        <f>ROUND((1+INDEX(Cust_Esca!$E$10:$U$56,MATCH($D88,Cust_Esca!$C$10:$C$56,0),MATCH(U$7,Cust_Esca!$E$7:$U$7,0)))*T88,$AA$7)</f>
        <v>7</v>
      </c>
      <c r="V88" s="1385">
        <f>ROUND((1+INDEX(Cust_Esca!$E$10:$U$56,MATCH($D88,Cust_Esca!$C$10:$C$56,0),MATCH(V$7,Cust_Esca!$E$7:$U$7,0)))*U88,$AA$7)</f>
        <v>7</v>
      </c>
      <c r="W88" s="1385">
        <f>ROUND((1+INDEX(Cust_Esca!$E$10:$U$56,MATCH($D88,Cust_Esca!$C$10:$C$56,0),MATCH(W$7,Cust_Esca!$E$7:$U$7,0)))*V88,$AA$7)</f>
        <v>7</v>
      </c>
      <c r="Y88" s="1385">
        <f>SUMIF($F$7:$W$7,TY_Units!$H$5,$F88:$W88)</f>
        <v>7</v>
      </c>
    </row>
    <row r="89" spans="1:25" ht="16.5" thickBot="1">
      <c r="A89" s="1360"/>
      <c r="C89" s="1367">
        <f>MAX(C$12:C88)+1</f>
        <v>78</v>
      </c>
      <c r="D89" s="1367">
        <f>Cust_Esca!C35</f>
        <v>18</v>
      </c>
      <c r="E89" s="1377" t="s">
        <v>487</v>
      </c>
      <c r="F89" s="1406">
        <f>ROUND(F95/Rates!F155,$AA$7)</f>
        <v>1929959</v>
      </c>
      <c r="G89" s="1406">
        <f>ROUND(G95/Rates!G155,$AA$7)</f>
        <v>1929959</v>
      </c>
      <c r="H89" s="1406">
        <f>ROUND(H95/Rates!H155,$AA$7)</f>
        <v>1929959</v>
      </c>
      <c r="I89" s="1395">
        <v>2431945.1702912361</v>
      </c>
      <c r="J89" s="1407">
        <v>2047500.1702100476</v>
      </c>
      <c r="K89" s="1407">
        <v>2207007.6133004064</v>
      </c>
      <c r="L89" s="1407">
        <v>2520800.5996927968</v>
      </c>
      <c r="M89" s="1407">
        <v>2421516.9394235145</v>
      </c>
      <c r="N89" s="1407">
        <v>2608987.5679051429</v>
      </c>
      <c r="O89" s="1406">
        <v>2808921.3873802307</v>
      </c>
      <c r="P89" s="1406">
        <v>3062292.7218088447</v>
      </c>
      <c r="Q89" s="1406">
        <v>3350995.3986928752</v>
      </c>
      <c r="R89" s="1406">
        <v>3688264.2954365038</v>
      </c>
      <c r="S89" s="1406">
        <v>3840039.9596928307</v>
      </c>
      <c r="T89" s="1406">
        <v>4015093.6266776007</v>
      </c>
      <c r="U89" s="1406">
        <v>4199125.9893269576</v>
      </c>
      <c r="V89" s="1406">
        <v>4316301.6027199998</v>
      </c>
      <c r="W89" s="1406">
        <v>4434306.0187897738</v>
      </c>
      <c r="Y89" s="1385">
        <f>SUMIF($F$7:$W$7,TY_Units!$H$5,$F89:$W89)</f>
        <v>4199125.9893269576</v>
      </c>
    </row>
    <row r="90" spans="1:25">
      <c r="A90" s="1360"/>
      <c r="C90" s="1367">
        <f>MAX(C$12:C89)+1</f>
        <v>79</v>
      </c>
      <c r="D90" s="1367">
        <f t="shared" ref="D90:D95" si="13">D89</f>
        <v>18</v>
      </c>
      <c r="E90" s="1377" t="s">
        <v>1014</v>
      </c>
      <c r="F90" s="1383">
        <v>720238000</v>
      </c>
      <c r="G90" s="1410">
        <v>720238000</v>
      </c>
      <c r="H90" s="1410">
        <v>720238000</v>
      </c>
      <c r="I90" s="1383">
        <v>904506000</v>
      </c>
      <c r="J90" s="1411">
        <v>859906000</v>
      </c>
      <c r="K90" s="1411">
        <v>892740240</v>
      </c>
      <c r="L90" s="1411">
        <v>919800000</v>
      </c>
      <c r="M90" s="1411">
        <v>866834850.14202118</v>
      </c>
      <c r="N90" s="1411">
        <v>889143021.82090187</v>
      </c>
      <c r="O90" s="1385">
        <v>888784323.62803245</v>
      </c>
      <c r="P90" s="1385">
        <v>927945706.02137959</v>
      </c>
      <c r="Q90" s="1385">
        <v>971198964.10489213</v>
      </c>
      <c r="R90" s="1385">
        <v>1038490909.2213919</v>
      </c>
      <c r="S90" s="1385">
        <v>1049001253.0137799</v>
      </c>
      <c r="T90" s="1385">
        <v>1050694443.8379771</v>
      </c>
      <c r="U90" s="1385">
        <v>1051200000</v>
      </c>
      <c r="V90" s="1385">
        <v>1050694443.8379771</v>
      </c>
      <c r="W90" s="1385">
        <v>1050694443.8379771</v>
      </c>
      <c r="Y90" s="1385">
        <f>SUMIF($F$7:$W$7,TY_Units!$H$5,$F90:$W90)</f>
        <v>1051200000</v>
      </c>
    </row>
    <row r="91" spans="1:25">
      <c r="A91" s="1360"/>
      <c r="C91" s="1367">
        <f>MAX(C$12:C90)+1</f>
        <v>80</v>
      </c>
      <c r="D91" s="1367">
        <f t="shared" si="13"/>
        <v>18</v>
      </c>
      <c r="E91" s="1377" t="s">
        <v>1010</v>
      </c>
      <c r="F91" s="1395">
        <v>503632998</v>
      </c>
      <c r="G91" s="1412">
        <v>503632998</v>
      </c>
      <c r="H91" s="1412">
        <v>503632998</v>
      </c>
      <c r="I91" s="1395">
        <v>441203000</v>
      </c>
      <c r="J91" s="1407">
        <v>378022000</v>
      </c>
      <c r="K91" s="1407">
        <v>373987080</v>
      </c>
      <c r="L91" s="1407">
        <v>455378000</v>
      </c>
      <c r="M91" s="1407">
        <v>363743722.10179341</v>
      </c>
      <c r="N91" s="1407">
        <v>395304067.17192709</v>
      </c>
      <c r="O91" s="1385">
        <v>426317149.30784082</v>
      </c>
      <c r="P91" s="1385">
        <v>450402300.51153213</v>
      </c>
      <c r="Q91" s="1385">
        <v>482689915.17970634</v>
      </c>
      <c r="R91" s="1385">
        <v>507005592.06614351</v>
      </c>
      <c r="S91" s="1385">
        <v>543690056.07334852</v>
      </c>
      <c r="T91" s="1385">
        <v>628282154.90848446</v>
      </c>
      <c r="U91" s="1385">
        <v>707176045.52690363</v>
      </c>
      <c r="V91" s="1385">
        <v>716571242.78175092</v>
      </c>
      <c r="W91" s="1385">
        <v>718067180.37837398</v>
      </c>
      <c r="Y91" s="1385">
        <f>SUMIF($F$7:$W$7,TY_Units!$H$5,$F91:$W91)</f>
        <v>707176045.52690363</v>
      </c>
    </row>
    <row r="92" spans="1:25">
      <c r="A92" s="1360"/>
      <c r="C92" s="1367">
        <f>MAX(C$12:C91)+1</f>
        <v>81</v>
      </c>
      <c r="D92" s="1367">
        <f t="shared" si="13"/>
        <v>18</v>
      </c>
      <c r="E92" s="1377" t="s">
        <v>1011</v>
      </c>
      <c r="F92" s="1395">
        <v>0</v>
      </c>
      <c r="G92" s="1412">
        <v>0</v>
      </c>
      <c r="H92" s="1412">
        <v>0</v>
      </c>
      <c r="I92" s="1395">
        <v>112237000</v>
      </c>
      <c r="J92" s="1407">
        <v>68901000</v>
      </c>
      <c r="K92" s="1407">
        <f>164352720-K116</f>
        <v>131709789.78080718</v>
      </c>
      <c r="L92" s="1407">
        <f>221865000-L116</f>
        <v>221865000</v>
      </c>
      <c r="M92" s="1407">
        <f>337500780.340891-M116</f>
        <v>311030136.32502401</v>
      </c>
      <c r="N92" s="1407">
        <f>378362568.29803</f>
        <v>378362568.29803002</v>
      </c>
      <c r="O92" s="1385">
        <f>478604094.467184</f>
        <v>478604094.46718401</v>
      </c>
      <c r="P92" s="1385">
        <f>581243117.177272</f>
        <v>581243117.17727196</v>
      </c>
      <c r="Q92" s="1385">
        <f>686050093.716799</f>
        <v>686050093.71679902</v>
      </c>
      <c r="R92" s="1385">
        <f>797226177.996228</f>
        <v>797226177.99622798</v>
      </c>
      <c r="S92" s="1385">
        <f>846160442.486436</f>
        <v>846160442.48643601</v>
      </c>
      <c r="T92" s="1385">
        <f>871054191.749824</f>
        <v>871054191.74982405</v>
      </c>
      <c r="U92" s="1385">
        <f>914830507.423785</f>
        <v>914830507.42378497</v>
      </c>
      <c r="V92" s="1385">
        <f>974066644.812714</f>
        <v>974066644.81271398</v>
      </c>
      <c r="W92" s="1385">
        <f>1047517119.74464</f>
        <v>1047517119.74464</v>
      </c>
      <c r="Y92" s="1385">
        <f>SUMIF($F$7:$W$7,TY_Units!$H$5,$F92:$W92)</f>
        <v>914830507.42378497</v>
      </c>
    </row>
    <row r="93" spans="1:25">
      <c r="A93" s="1360"/>
      <c r="C93" s="1367">
        <f>MAX(C$12:C92)+1</f>
        <v>82</v>
      </c>
      <c r="D93" s="1367">
        <f t="shared" si="13"/>
        <v>18</v>
      </c>
      <c r="E93" s="1377" t="s">
        <v>1012</v>
      </c>
      <c r="F93" s="1395">
        <v>0</v>
      </c>
      <c r="G93" s="1412">
        <v>0</v>
      </c>
      <c r="H93" s="1412">
        <v>0</v>
      </c>
      <c r="I93" s="1395">
        <v>36258000</v>
      </c>
      <c r="J93" s="1407">
        <v>2278000</v>
      </c>
      <c r="K93" s="1407">
        <v>0</v>
      </c>
      <c r="L93" s="1407">
        <v>0</v>
      </c>
      <c r="M93" s="1407">
        <v>0</v>
      </c>
      <c r="N93" s="1407">
        <v>0</v>
      </c>
      <c r="O93" s="1385">
        <f>ROUND((1+INDEX(Cust_Esca!$E$10:$U$56,MATCH($D93,Cust_Esca!$C$10:$C$56,0),MATCH(O$7,Cust_Esca!$E$7:$U$7,0)))*N93,$AA$7)</f>
        <v>0</v>
      </c>
      <c r="P93" s="1385">
        <f>ROUND((1+INDEX(Cust_Esca!$E$10:$U$56,MATCH($D93,Cust_Esca!$C$10:$C$56,0),MATCH(P$7,Cust_Esca!$E$7:$U$7,0)))*O93,$AA$7)</f>
        <v>0</v>
      </c>
      <c r="Q93" s="1385">
        <f>ROUND((1+INDEX(Cust_Esca!$E$10:$U$56,MATCH($D93,Cust_Esca!$C$10:$C$56,0),MATCH(Q$7,Cust_Esca!$E$7:$U$7,0)))*P93,$AA$7)</f>
        <v>0</v>
      </c>
      <c r="R93" s="1385">
        <f>ROUND((1+INDEX(Cust_Esca!$E$10:$U$56,MATCH($D93,Cust_Esca!$C$10:$C$56,0),MATCH(R$7,Cust_Esca!$E$7:$U$7,0)))*Q93,$AA$7)</f>
        <v>0</v>
      </c>
      <c r="S93" s="1385">
        <f>ROUND((1+INDEX(Cust_Esca!$E$10:$U$56,MATCH($D93,Cust_Esca!$C$10:$C$56,0),MATCH(S$7,Cust_Esca!$E$7:$U$7,0)))*R93,$AA$7)</f>
        <v>0</v>
      </c>
      <c r="T93" s="1385">
        <f>ROUND((1+INDEX(Cust_Esca!$E$10:$U$56,MATCH($D93,Cust_Esca!$C$10:$C$56,0),MATCH(T$7,Cust_Esca!$E$7:$U$7,0)))*S93,$AA$7)</f>
        <v>0</v>
      </c>
      <c r="U93" s="1385">
        <f>ROUND((1+INDEX(Cust_Esca!$E$10:$U$56,MATCH($D93,Cust_Esca!$C$10:$C$56,0),MATCH(U$7,Cust_Esca!$E$7:$U$7,0)))*T93,$AA$7)</f>
        <v>0</v>
      </c>
      <c r="V93" s="1385">
        <f>ROUND((1+INDEX(Cust_Esca!$E$10:$U$56,MATCH($D93,Cust_Esca!$C$10:$C$56,0),MATCH(V$7,Cust_Esca!$E$7:$U$7,0)))*U93,$AA$7)</f>
        <v>0</v>
      </c>
      <c r="W93" s="1385">
        <f>ROUND((1+INDEX(Cust_Esca!$E$10:$U$56,MATCH($D93,Cust_Esca!$C$10:$C$56,0),MATCH(W$7,Cust_Esca!$E$7:$U$7,0)))*V93,$AA$7)</f>
        <v>0</v>
      </c>
      <c r="Y93" s="1385">
        <f>SUMIF($F$7:$W$7,TY_Units!$H$5,$F93:$W93)</f>
        <v>0</v>
      </c>
    </row>
    <row r="94" spans="1:25" ht="16.5" thickBot="1">
      <c r="A94" s="1360"/>
      <c r="C94" s="1367">
        <f>MAX(C$12:C93)+1</f>
        <v>83</v>
      </c>
      <c r="D94" s="1367">
        <f t="shared" si="13"/>
        <v>18</v>
      </c>
      <c r="E94" s="1377" t="s">
        <v>1013</v>
      </c>
      <c r="F94" s="1386">
        <v>0</v>
      </c>
      <c r="G94" s="1413">
        <v>0</v>
      </c>
      <c r="H94" s="1413">
        <v>0</v>
      </c>
      <c r="I94" s="1386">
        <v>0</v>
      </c>
      <c r="J94" s="1414">
        <v>0</v>
      </c>
      <c r="K94" s="1414">
        <v>0</v>
      </c>
      <c r="L94" s="1414">
        <v>0</v>
      </c>
      <c r="M94" s="1414">
        <v>0</v>
      </c>
      <c r="N94" s="1414">
        <v>0</v>
      </c>
      <c r="O94" s="1415">
        <f>ROUND((1+INDEX(Cust_Esca!$E$10:$U$56,MATCH($D94,Cust_Esca!$C$10:$C$56,0),MATCH(O$7,Cust_Esca!$E$7:$U$7,0)))*N94,$AA$7)</f>
        <v>0</v>
      </c>
      <c r="P94" s="1415">
        <f>ROUND((1+INDEX(Cust_Esca!$E$10:$U$56,MATCH($D94,Cust_Esca!$C$10:$C$56,0),MATCH(P$7,Cust_Esca!$E$7:$U$7,0)))*O94,$AA$7)</f>
        <v>0</v>
      </c>
      <c r="Q94" s="1415">
        <f>ROUND((1+INDEX(Cust_Esca!$E$10:$U$56,MATCH($D94,Cust_Esca!$C$10:$C$56,0),MATCH(Q$7,Cust_Esca!$E$7:$U$7,0)))*P94,$AA$7)</f>
        <v>0</v>
      </c>
      <c r="R94" s="1415">
        <f>ROUND((1+INDEX(Cust_Esca!$E$10:$U$56,MATCH($D94,Cust_Esca!$C$10:$C$56,0),MATCH(R$7,Cust_Esca!$E$7:$U$7,0)))*Q94,$AA$7)</f>
        <v>0</v>
      </c>
      <c r="S94" s="1415">
        <f>ROUND((1+INDEX(Cust_Esca!$E$10:$U$56,MATCH($D94,Cust_Esca!$C$10:$C$56,0),MATCH(S$7,Cust_Esca!$E$7:$U$7,0)))*R94,$AA$7)</f>
        <v>0</v>
      </c>
      <c r="T94" s="1415">
        <f>ROUND((1+INDEX(Cust_Esca!$E$10:$U$56,MATCH($D94,Cust_Esca!$C$10:$C$56,0),MATCH(T$7,Cust_Esca!$E$7:$U$7,0)))*S94,$AA$7)</f>
        <v>0</v>
      </c>
      <c r="U94" s="1415">
        <f>ROUND((1+INDEX(Cust_Esca!$E$10:$U$56,MATCH($D94,Cust_Esca!$C$10:$C$56,0),MATCH(U$7,Cust_Esca!$E$7:$U$7,0)))*T94,$AA$7)</f>
        <v>0</v>
      </c>
      <c r="V94" s="1415">
        <f>ROUND((1+INDEX(Cust_Esca!$E$10:$U$56,MATCH($D94,Cust_Esca!$C$10:$C$56,0),MATCH(V$7,Cust_Esca!$E$7:$U$7,0)))*U94,$AA$7)</f>
        <v>0</v>
      </c>
      <c r="W94" s="1415">
        <f>ROUND((1+INDEX(Cust_Esca!$E$10:$U$56,MATCH($D94,Cust_Esca!$C$10:$C$56,0),MATCH(W$7,Cust_Esca!$E$7:$U$7,0)))*V94,$AA$7)</f>
        <v>0</v>
      </c>
      <c r="Y94" s="1385">
        <f>SUMIF($F$7:$W$7,TY_Units!$H$5,$F94:$W94)</f>
        <v>0</v>
      </c>
    </row>
    <row r="95" spans="1:25">
      <c r="A95" s="1360"/>
      <c r="C95" s="1367">
        <f>MAX(C$12:C94)+1</f>
        <v>84</v>
      </c>
      <c r="D95" s="1367">
        <f t="shared" si="13"/>
        <v>18</v>
      </c>
      <c r="E95" s="1401" t="s">
        <v>912</v>
      </c>
      <c r="F95" s="1385">
        <f t="shared" ref="F95:W95" si="14">SUM(F90:F94)</f>
        <v>1223870998</v>
      </c>
      <c r="G95" s="1385">
        <f t="shared" si="14"/>
        <v>1223870998</v>
      </c>
      <c r="H95" s="1385">
        <f t="shared" si="14"/>
        <v>1223870998</v>
      </c>
      <c r="I95" s="1385">
        <f t="shared" si="14"/>
        <v>1494204000</v>
      </c>
      <c r="J95" s="1385">
        <f t="shared" si="14"/>
        <v>1309107000</v>
      </c>
      <c r="K95" s="1385">
        <f t="shared" si="14"/>
        <v>1398437109.7808073</v>
      </c>
      <c r="L95" s="1385">
        <f t="shared" si="14"/>
        <v>1597043000</v>
      </c>
      <c r="M95" s="1385">
        <f t="shared" si="14"/>
        <v>1541608708.5688386</v>
      </c>
      <c r="N95" s="1385">
        <f t="shared" si="14"/>
        <v>1662809657.2908587</v>
      </c>
      <c r="O95" s="1385">
        <f t="shared" si="14"/>
        <v>1793705567.4030573</v>
      </c>
      <c r="P95" s="1385">
        <f t="shared" si="14"/>
        <v>1959591123.7101836</v>
      </c>
      <c r="Q95" s="1385">
        <f t="shared" si="14"/>
        <v>2139938973.0013974</v>
      </c>
      <c r="R95" s="1385">
        <f t="shared" si="14"/>
        <v>2342722679.2837634</v>
      </c>
      <c r="S95" s="1385">
        <f t="shared" si="14"/>
        <v>2438851751.5735645</v>
      </c>
      <c r="T95" s="1385">
        <f t="shared" si="14"/>
        <v>2550030790.4962854</v>
      </c>
      <c r="U95" s="1385">
        <f t="shared" si="14"/>
        <v>2673206552.9506884</v>
      </c>
      <c r="V95" s="1385">
        <f t="shared" si="14"/>
        <v>2741332331.4324422</v>
      </c>
      <c r="W95" s="1385">
        <f t="shared" si="14"/>
        <v>2816278743.9609909</v>
      </c>
      <c r="Y95" s="1385">
        <f>SUMIF($F$7:$W$7,TY_Units!$H$5,$F95:$W95)</f>
        <v>2673206552.9506884</v>
      </c>
    </row>
    <row r="96" spans="1:25">
      <c r="A96" s="1360"/>
      <c r="C96" s="1367">
        <f>MAX(C$12:C95)+1</f>
        <v>85</v>
      </c>
      <c r="D96" s="1367"/>
      <c r="E96" s="1377"/>
      <c r="F96" s="1366"/>
      <c r="G96" s="1366"/>
      <c r="H96" s="1366"/>
      <c r="I96" s="1366"/>
      <c r="J96" s="1366"/>
      <c r="K96" s="1366"/>
      <c r="L96" s="1366"/>
      <c r="M96" s="1366"/>
      <c r="N96" s="4228"/>
      <c r="O96" s="4228"/>
      <c r="P96" s="4228"/>
      <c r="Q96" s="4228"/>
      <c r="R96" s="4228"/>
      <c r="S96" s="1366"/>
      <c r="T96" s="1366"/>
      <c r="U96" s="1366"/>
      <c r="V96" s="1366"/>
      <c r="W96" s="1366"/>
      <c r="Y96" s="1366"/>
    </row>
    <row r="97" spans="1:25" ht="16.5" thickBot="1">
      <c r="A97" s="1360"/>
      <c r="C97" s="1367">
        <f>MAX(C$12:C96)+1</f>
        <v>86</v>
      </c>
      <c r="D97" s="1367"/>
      <c r="E97" s="1382" t="s">
        <v>18</v>
      </c>
      <c r="F97" s="1380"/>
      <c r="G97" s="1380"/>
      <c r="H97" s="1380"/>
      <c r="I97" s="1380"/>
      <c r="J97" s="1380"/>
      <c r="K97" s="1380"/>
      <c r="L97" s="1380"/>
      <c r="M97" s="1380"/>
      <c r="N97" s="1380"/>
      <c r="O97" s="1380"/>
      <c r="P97" s="1380"/>
      <c r="Q97" s="1380"/>
      <c r="R97" s="1380"/>
      <c r="S97" s="1380"/>
      <c r="T97" s="1380"/>
      <c r="U97" s="1380"/>
      <c r="V97" s="1380"/>
      <c r="W97" s="1380"/>
      <c r="Y97" s="1379"/>
    </row>
    <row r="98" spans="1:25" ht="16.5" thickBot="1">
      <c r="A98" s="1360"/>
      <c r="C98" s="1367">
        <f>MAX(C$12:C97)+1</f>
        <v>87</v>
      </c>
      <c r="D98" s="1367">
        <f>Cust_Esca!C37</f>
        <v>19</v>
      </c>
      <c r="E98" s="1377" t="s">
        <v>606</v>
      </c>
      <c r="F98" s="1402">
        <v>10</v>
      </c>
      <c r="G98" s="1403">
        <f>ROUND((1+INDEX(Cust_Esca!$E$10:$U$56,MATCH($D98,Cust_Esca!$C$10:$C$56,0),MATCH(G$7,Cust_Esca!$E$7:$U$7,0)))*F98,$AA$7)</f>
        <v>10</v>
      </c>
      <c r="H98" s="1403">
        <f>ROUND((1+INDEX(Cust_Esca!$E$10:$U$56,MATCH($D98,Cust_Esca!$C$10:$C$56,0),MATCH(H$7,Cust_Esca!$E$7:$U$7,0)))*G98,$AA$7)</f>
        <v>10</v>
      </c>
      <c r="I98" s="1404">
        <v>9.25</v>
      </c>
      <c r="J98" s="1405">
        <v>10</v>
      </c>
      <c r="K98" s="1404">
        <v>11</v>
      </c>
      <c r="L98" s="1405">
        <v>11</v>
      </c>
      <c r="M98" s="1405">
        <v>11</v>
      </c>
      <c r="N98" s="1405">
        <v>11</v>
      </c>
      <c r="O98" s="1385">
        <f>ROUND((1+INDEX(Cust_Esca!$E$10:$U$56,MATCH($D98,Cust_Esca!$C$10:$C$56,0),MATCH(O$7,Cust_Esca!$E$7:$U$7,0)))*N98,$AA$7)</f>
        <v>11</v>
      </c>
      <c r="P98" s="1385">
        <f>ROUND((1+INDEX(Cust_Esca!$E$10:$U$56,MATCH($D98,Cust_Esca!$C$10:$C$56,0),MATCH(P$7,Cust_Esca!$E$7:$U$7,0)))*O98,$AA$7)</f>
        <v>11</v>
      </c>
      <c r="Q98" s="1385">
        <f>ROUND((1+INDEX(Cust_Esca!$E$10:$U$56,MATCH($D98,Cust_Esca!$C$10:$C$56,0),MATCH(Q$7,Cust_Esca!$E$7:$U$7,0)))*P98,$AA$7)</f>
        <v>11</v>
      </c>
      <c r="R98" s="1385">
        <f>ROUND((1+INDEX(Cust_Esca!$E$10:$U$56,MATCH($D98,Cust_Esca!$C$10:$C$56,0),MATCH(R$7,Cust_Esca!$E$7:$U$7,0)))*Q98,$AA$7)</f>
        <v>11</v>
      </c>
      <c r="S98" s="1385">
        <f>ROUND((1+INDEX(Cust_Esca!$E$10:$U$56,MATCH($D98,Cust_Esca!$C$10:$C$56,0),MATCH(S$7,Cust_Esca!$E$7:$U$7,0)))*R98,$AA$7)</f>
        <v>11</v>
      </c>
      <c r="T98" s="1385">
        <f>ROUND((1+INDEX(Cust_Esca!$E$10:$U$56,MATCH($D98,Cust_Esca!$C$10:$C$56,0),MATCH(T$7,Cust_Esca!$E$7:$U$7,0)))*S98,$AA$7)</f>
        <v>11</v>
      </c>
      <c r="U98" s="1385">
        <f>ROUND((1+INDEX(Cust_Esca!$E$10:$U$56,MATCH($D98,Cust_Esca!$C$10:$C$56,0),MATCH(U$7,Cust_Esca!$E$7:$U$7,0)))*T98,$AA$7)</f>
        <v>11</v>
      </c>
      <c r="V98" s="1385">
        <f>ROUND((1+INDEX(Cust_Esca!$E$10:$U$56,MATCH($D98,Cust_Esca!$C$10:$C$56,0),MATCH(V$7,Cust_Esca!$E$7:$U$7,0)))*U98,$AA$7)</f>
        <v>11</v>
      </c>
      <c r="W98" s="1385">
        <f>ROUND((1+INDEX(Cust_Esca!$E$10:$U$56,MATCH($D98,Cust_Esca!$C$10:$C$56,0),MATCH(W$7,Cust_Esca!$E$7:$U$7,0)))*V98,$AA$7)</f>
        <v>11</v>
      </c>
      <c r="Y98" s="1385">
        <f>SUMIF($F$7:$W$7,TY_Units!$H$5,$F98:$W98)</f>
        <v>11</v>
      </c>
    </row>
    <row r="99" spans="1:25" ht="16.5" thickBot="1">
      <c r="A99" s="1360"/>
      <c r="C99" s="1367">
        <f>MAX(C$12:C98)+1</f>
        <v>88</v>
      </c>
      <c r="D99" s="1367">
        <f>Cust_Esca!C38</f>
        <v>20</v>
      </c>
      <c r="E99" s="1377" t="s">
        <v>487</v>
      </c>
      <c r="F99" s="1406">
        <f>ROUND(F102/Rates!F181,$AA$7)</f>
        <v>481097</v>
      </c>
      <c r="G99" s="1406">
        <f>ROUND(G102/Rates!G181,$AA$7)</f>
        <v>481097</v>
      </c>
      <c r="H99" s="1406">
        <f>ROUND(H102/Rates!H181,$AA$7)</f>
        <v>481097</v>
      </c>
      <c r="I99" s="1395">
        <v>478878.8334184633</v>
      </c>
      <c r="J99" s="1407">
        <v>586758.83275788138</v>
      </c>
      <c r="K99" s="1407">
        <v>594714.51960328897</v>
      </c>
      <c r="L99" s="1407">
        <v>658483.16489694826</v>
      </c>
      <c r="M99" s="1407">
        <v>668637.80947941949</v>
      </c>
      <c r="N99" s="1407">
        <v>707702.91052573873</v>
      </c>
      <c r="O99" s="1406">
        <v>715113.65928127733</v>
      </c>
      <c r="P99" s="1406">
        <v>793573.85533331335</v>
      </c>
      <c r="Q99" s="1406">
        <v>797541.72460997954</v>
      </c>
      <c r="R99" s="1406">
        <v>801529.43323302967</v>
      </c>
      <c r="S99" s="1406">
        <v>805537.08039919497</v>
      </c>
      <c r="T99" s="1406">
        <v>809564.76580119075</v>
      </c>
      <c r="U99" s="1406">
        <v>813612.58963019704</v>
      </c>
      <c r="V99" s="1406">
        <v>817680.65257834783</v>
      </c>
      <c r="W99" s="1406">
        <v>821769.05584123952</v>
      </c>
      <c r="Y99" s="1385">
        <f>SUMIF($F$7:$W$7,TY_Units!$H$5,$F99:$W99)</f>
        <v>813612.58963019704</v>
      </c>
    </row>
    <row r="100" spans="1:25">
      <c r="A100" s="1360"/>
      <c r="C100" s="1367">
        <f>MAX(C$12:C99)+1</f>
        <v>89</v>
      </c>
      <c r="D100" s="1367">
        <f>D99</f>
        <v>20</v>
      </c>
      <c r="E100" s="1377" t="s">
        <v>910</v>
      </c>
      <c r="F100" s="1408">
        <v>234200560</v>
      </c>
      <c r="G100" s="1384">
        <v>234200560</v>
      </c>
      <c r="H100" s="1384">
        <v>234200560</v>
      </c>
      <c r="I100" s="1393">
        <v>234209000</v>
      </c>
      <c r="J100" s="1394">
        <v>267654000</v>
      </c>
      <c r="K100" s="1394">
        <v>306673400</v>
      </c>
      <c r="L100" s="1394">
        <v>339666056</v>
      </c>
      <c r="M100" s="1394">
        <v>345675709.04028434</v>
      </c>
      <c r="N100" s="1394">
        <v>363477025.280756</v>
      </c>
      <c r="O100" s="1385">
        <v>367305814.05429423</v>
      </c>
      <c r="P100" s="1385">
        <v>405180271.53029215</v>
      </c>
      <c r="Q100" s="1385">
        <v>408195380.64962608</v>
      </c>
      <c r="R100" s="1385">
        <v>409266856.425062</v>
      </c>
      <c r="S100" s="1385">
        <v>411325486.30453348</v>
      </c>
      <c r="T100" s="1385">
        <v>413394409.33340216</v>
      </c>
      <c r="U100" s="1385">
        <v>416470274.41092974</v>
      </c>
      <c r="V100" s="1385">
        <v>417563340.95964819</v>
      </c>
      <c r="W100" s="1385">
        <v>419663453.26179254</v>
      </c>
      <c r="Y100" s="1385">
        <f>SUMIF($F$7:$W$7,TY_Units!$H$5,$F100:$W100)</f>
        <v>416470274.41092974</v>
      </c>
    </row>
    <row r="101" spans="1:25" ht="16.5" thickBot="1">
      <c r="A101" s="1360"/>
      <c r="C101" s="1367">
        <f>MAX(C$12:C100)+1</f>
        <v>90</v>
      </c>
      <c r="D101" s="1367">
        <f>+D100</f>
        <v>20</v>
      </c>
      <c r="E101" s="1377" t="s">
        <v>909</v>
      </c>
      <c r="F101" s="1409">
        <v>0</v>
      </c>
      <c r="G101" s="1387">
        <v>0</v>
      </c>
      <c r="H101" s="1387">
        <v>0</v>
      </c>
      <c r="I101" s="1388">
        <v>0</v>
      </c>
      <c r="J101" s="1389">
        <v>0</v>
      </c>
      <c r="K101" s="1389">
        <v>0</v>
      </c>
      <c r="L101" s="1389">
        <v>0</v>
      </c>
      <c r="M101" s="1389">
        <v>0</v>
      </c>
      <c r="N101" s="1389">
        <v>0</v>
      </c>
      <c r="O101" s="1399">
        <v>0</v>
      </c>
      <c r="P101" s="1399">
        <v>2459119.4692015164</v>
      </c>
      <c r="Q101" s="1399">
        <v>2459119.4692015164</v>
      </c>
      <c r="R101" s="1399">
        <v>2459119.4692015164</v>
      </c>
      <c r="S101" s="1399">
        <v>2459119.4692015164</v>
      </c>
      <c r="T101" s="1399">
        <v>2459119.4692015164</v>
      </c>
      <c r="U101" s="1399">
        <v>2459119.4692015164</v>
      </c>
      <c r="V101" s="1399">
        <v>2459119.4692015164</v>
      </c>
      <c r="W101" s="1399">
        <v>2459119.4692015164</v>
      </c>
      <c r="Y101" s="1385">
        <f>SUMIF($F$7:$W$7,TY_Units!$H$5,$F101:$W101)</f>
        <v>2459119.4692015164</v>
      </c>
    </row>
    <row r="102" spans="1:25">
      <c r="A102" s="1360"/>
      <c r="C102" s="1367">
        <f>MAX(C$12:C101)+1</f>
        <v>91</v>
      </c>
      <c r="D102" s="1367">
        <f>+D101</f>
        <v>20</v>
      </c>
      <c r="E102" s="1401" t="s">
        <v>912</v>
      </c>
      <c r="F102" s="1385">
        <f t="shared" ref="F102:L102" si="15">SUM(F100:F101)</f>
        <v>234200560</v>
      </c>
      <c r="G102" s="1385">
        <f t="shared" si="15"/>
        <v>234200560</v>
      </c>
      <c r="H102" s="1385">
        <f t="shared" si="15"/>
        <v>234200560</v>
      </c>
      <c r="I102" s="1385">
        <f t="shared" si="15"/>
        <v>234209000</v>
      </c>
      <c r="J102" s="1385">
        <f t="shared" si="15"/>
        <v>267654000</v>
      </c>
      <c r="K102" s="1385">
        <f t="shared" si="15"/>
        <v>306673400</v>
      </c>
      <c r="L102" s="1385">
        <f t="shared" si="15"/>
        <v>339666056</v>
      </c>
      <c r="M102" s="1385">
        <f t="shared" ref="M102:W102" si="16">SUM(M100:M101)</f>
        <v>345675709.04028434</v>
      </c>
      <c r="N102" s="1385">
        <f t="shared" si="16"/>
        <v>363477025.280756</v>
      </c>
      <c r="O102" s="1385">
        <f t="shared" si="16"/>
        <v>367305814.05429423</v>
      </c>
      <c r="P102" s="1385">
        <f t="shared" si="16"/>
        <v>407639390.99949366</v>
      </c>
      <c r="Q102" s="1385">
        <f t="shared" si="16"/>
        <v>410654500.11882758</v>
      </c>
      <c r="R102" s="1385">
        <f t="shared" si="16"/>
        <v>411725975.89426351</v>
      </c>
      <c r="S102" s="1385">
        <f t="shared" si="16"/>
        <v>413784605.77373499</v>
      </c>
      <c r="T102" s="1385">
        <f t="shared" si="16"/>
        <v>415853528.80260366</v>
      </c>
      <c r="U102" s="1385">
        <f t="shared" si="16"/>
        <v>418929393.88013124</v>
      </c>
      <c r="V102" s="1385">
        <f t="shared" si="16"/>
        <v>420022460.4288497</v>
      </c>
      <c r="W102" s="1385">
        <f t="shared" si="16"/>
        <v>422122572.73099405</v>
      </c>
      <c r="Y102" s="1385">
        <f>SUMIF($F$7:$W$7,TY_Units!$H$5,$F102:$W102)</f>
        <v>418929393.88013124</v>
      </c>
    </row>
    <row r="103" spans="1:25">
      <c r="A103" s="1360"/>
      <c r="C103" s="1367">
        <f>MAX(C$12:C102)+1</f>
        <v>92</v>
      </c>
      <c r="D103" s="1367"/>
      <c r="E103" s="1390"/>
      <c r="F103" s="1392"/>
      <c r="G103" s="1392"/>
      <c r="H103" s="1392"/>
      <c r="I103" s="1392"/>
      <c r="J103" s="1392"/>
      <c r="K103" s="1392"/>
      <c r="L103" s="1392"/>
      <c r="M103" s="1392"/>
      <c r="N103" s="1392"/>
      <c r="O103" s="1392"/>
      <c r="P103" s="1392"/>
      <c r="Q103" s="1392"/>
      <c r="R103" s="1392"/>
      <c r="S103" s="1392"/>
      <c r="T103" s="1392"/>
      <c r="U103" s="1392"/>
      <c r="V103" s="1392"/>
      <c r="W103" s="1392"/>
      <c r="Y103" s="1392"/>
    </row>
    <row r="104" spans="1:25" ht="16.5" thickBot="1">
      <c r="A104" s="1360"/>
      <c r="C104" s="1367">
        <f>MAX(C$12:C103)+1</f>
        <v>93</v>
      </c>
      <c r="D104" s="1367"/>
      <c r="E104" s="1382" t="s">
        <v>19</v>
      </c>
      <c r="F104" s="1380"/>
      <c r="G104" s="1380"/>
      <c r="H104" s="1380"/>
      <c r="I104" s="1380"/>
      <c r="J104" s="1380"/>
      <c r="K104" s="1380"/>
      <c r="L104" s="1380"/>
      <c r="M104" s="1380"/>
      <c r="N104" s="1380"/>
      <c r="O104" s="1380"/>
      <c r="P104" s="1380"/>
      <c r="Q104" s="1380"/>
      <c r="R104" s="1380"/>
      <c r="S104" s="1380"/>
      <c r="T104" s="1380"/>
      <c r="U104" s="1380"/>
      <c r="V104" s="1380"/>
      <c r="W104" s="1380"/>
      <c r="Y104" s="1379"/>
    </row>
    <row r="105" spans="1:25" ht="16.5" thickBot="1">
      <c r="A105" s="1360"/>
      <c r="C105" s="1367">
        <f>MAX(C$12:C104)+1</f>
        <v>94</v>
      </c>
      <c r="D105" s="1367">
        <f>Cust_Esca!C40</f>
        <v>21</v>
      </c>
      <c r="E105" s="1377" t="s">
        <v>606</v>
      </c>
      <c r="F105" s="1402">
        <v>1</v>
      </c>
      <c r="G105" s="1403">
        <f>ROUND((1+INDEX(Cust_Esca!$E$10:$U$56,MATCH($D105,Cust_Esca!$C$10:$C$56,0),MATCH(G$7,Cust_Esca!$E$7:$U$7,0)))*F105,$AA$7)</f>
        <v>1</v>
      </c>
      <c r="H105" s="1403">
        <f>ROUND((1+INDEX(Cust_Esca!$E$10:$U$56,MATCH($D105,Cust_Esca!$C$10:$C$56,0),MATCH(H$7,Cust_Esca!$E$7:$U$7,0)))*G105,$AA$7)</f>
        <v>1</v>
      </c>
      <c r="I105" s="1404">
        <v>1</v>
      </c>
      <c r="J105" s="1405">
        <v>1</v>
      </c>
      <c r="K105" s="1404">
        <v>1</v>
      </c>
      <c r="L105" s="1405">
        <v>1</v>
      </c>
      <c r="M105" s="1405">
        <v>1</v>
      </c>
      <c r="N105" s="1405">
        <v>1</v>
      </c>
      <c r="O105" s="1385">
        <f>ROUND((1+INDEX(Cust_Esca!$E$10:$U$56,MATCH($D105,Cust_Esca!$C$10:$C$56,0),MATCH(O$7,Cust_Esca!$E$7:$U$7,0)))*N105,$AA$7)</f>
        <v>1</v>
      </c>
      <c r="P105" s="1385">
        <f>ROUND((1+INDEX(Cust_Esca!$E$10:$U$56,MATCH($D105,Cust_Esca!$C$10:$C$56,0),MATCH(P$7,Cust_Esca!$E$7:$U$7,0)))*O105,$AA$7)</f>
        <v>1</v>
      </c>
      <c r="Q105" s="1385">
        <f>ROUND((1+INDEX(Cust_Esca!$E$10:$U$56,MATCH($D105,Cust_Esca!$C$10:$C$56,0),MATCH(Q$7,Cust_Esca!$E$7:$U$7,0)))*P105,$AA$7)</f>
        <v>1</v>
      </c>
      <c r="R105" s="1385">
        <f>ROUND((1+INDEX(Cust_Esca!$E$10:$U$56,MATCH($D105,Cust_Esca!$C$10:$C$56,0),MATCH(R$7,Cust_Esca!$E$7:$U$7,0)))*Q105,$AA$7)</f>
        <v>1</v>
      </c>
      <c r="S105" s="1385">
        <f>ROUND((1+INDEX(Cust_Esca!$E$10:$U$56,MATCH($D105,Cust_Esca!$C$10:$C$56,0),MATCH(S$7,Cust_Esca!$E$7:$U$7,0)))*R105,$AA$7)</f>
        <v>1</v>
      </c>
      <c r="T105" s="1385">
        <f>ROUND((1+INDEX(Cust_Esca!$E$10:$U$56,MATCH($D105,Cust_Esca!$C$10:$C$56,0),MATCH(T$7,Cust_Esca!$E$7:$U$7,0)))*S105,$AA$7)</f>
        <v>1</v>
      </c>
      <c r="U105" s="1385">
        <f>ROUND((1+INDEX(Cust_Esca!$E$10:$U$56,MATCH($D105,Cust_Esca!$C$10:$C$56,0),MATCH(U$7,Cust_Esca!$E$7:$U$7,0)))*T105,$AA$7)</f>
        <v>1</v>
      </c>
      <c r="V105" s="1385">
        <f>ROUND((1+INDEX(Cust_Esca!$E$10:$U$56,MATCH($D105,Cust_Esca!$C$10:$C$56,0),MATCH(V$7,Cust_Esca!$E$7:$U$7,0)))*U105,$AA$7)</f>
        <v>1</v>
      </c>
      <c r="W105" s="1385">
        <f>ROUND((1+INDEX(Cust_Esca!$E$10:$U$56,MATCH($D105,Cust_Esca!$C$10:$C$56,0),MATCH(W$7,Cust_Esca!$E$7:$U$7,0)))*V105,$AA$7)</f>
        <v>1</v>
      </c>
      <c r="Y105" s="1385">
        <f>SUMIF($F$7:$W$7,TY_Units!$H$5,$F105:$W105)</f>
        <v>1</v>
      </c>
    </row>
    <row r="106" spans="1:25" ht="16.5" thickBot="1">
      <c r="A106" s="1360"/>
      <c r="C106" s="1367">
        <f>MAX(C$12:C105)+1</f>
        <v>95</v>
      </c>
      <c r="D106" s="1367">
        <f>Cust_Esca!C41</f>
        <v>22</v>
      </c>
      <c r="E106" s="1377" t="s">
        <v>487</v>
      </c>
      <c r="F106" s="1406">
        <f>ROUND(F109/Rates!F201,$AA$7)</f>
        <v>20219</v>
      </c>
      <c r="G106" s="1406">
        <f>ROUND(G109/Rates!G201,$AA$7)</f>
        <v>20219</v>
      </c>
      <c r="H106" s="1406">
        <f>ROUND(H109/Rates!H201,$AA$7)</f>
        <v>20219</v>
      </c>
      <c r="I106" s="1395">
        <v>0</v>
      </c>
      <c r="J106" s="1407">
        <v>0</v>
      </c>
      <c r="K106" s="1395">
        <v>0</v>
      </c>
      <c r="L106" s="1407">
        <v>0</v>
      </c>
      <c r="M106" s="1407">
        <v>0</v>
      </c>
      <c r="N106" s="1407">
        <v>0</v>
      </c>
      <c r="O106" s="1406">
        <f>ROUND(O109/Rates!O201,$AA$7)</f>
        <v>0</v>
      </c>
      <c r="P106" s="1406">
        <f>ROUND(P109/Rates!P201,$AA$7)</f>
        <v>0</v>
      </c>
      <c r="Q106" s="1406">
        <f>ROUND(Q109/Rates!Q201,$AA$7)</f>
        <v>0</v>
      </c>
      <c r="R106" s="1406">
        <f>ROUND(R109/Rates!R201,$AA$7)</f>
        <v>0</v>
      </c>
      <c r="S106" s="1406">
        <f>ROUND(S109/Rates!S201,$AA$7)</f>
        <v>0</v>
      </c>
      <c r="T106" s="1406">
        <f>ROUND(T109/Rates!T201,$AA$7)</f>
        <v>0</v>
      </c>
      <c r="U106" s="1406">
        <f>ROUND(U109/Rates!U201,$AA$7)</f>
        <v>0</v>
      </c>
      <c r="V106" s="1406">
        <f>ROUND(V109/Rates!V201,$AA$7)</f>
        <v>0</v>
      </c>
      <c r="W106" s="1406">
        <f>ROUND(W109/Rates!W201,$AA$7)</f>
        <v>0</v>
      </c>
      <c r="Y106" s="1385">
        <f>SUMIF($F$7:$W$7,TY_Units!$H$5,$F106:$W106)</f>
        <v>0</v>
      </c>
    </row>
    <row r="107" spans="1:25">
      <c r="A107" s="1360"/>
      <c r="C107" s="1367">
        <f>MAX(C$12:C106)+1</f>
        <v>96</v>
      </c>
      <c r="D107" s="1367">
        <f>D106</f>
        <v>22</v>
      </c>
      <c r="E107" s="1377" t="s">
        <v>621</v>
      </c>
      <c r="F107" s="1408">
        <v>7785000</v>
      </c>
      <c r="G107" s="1384">
        <v>7785000</v>
      </c>
      <c r="H107" s="1384">
        <v>7785000</v>
      </c>
      <c r="I107" s="1393">
        <v>0</v>
      </c>
      <c r="J107" s="1394">
        <v>0</v>
      </c>
      <c r="K107" s="1393">
        <v>0</v>
      </c>
      <c r="L107" s="1394">
        <v>0</v>
      </c>
      <c r="M107" s="1394">
        <v>0</v>
      </c>
      <c r="N107" s="1394">
        <v>0</v>
      </c>
      <c r="O107" s="1385">
        <f>ROUND((1+INDEX(Cust_Esca!$E$10:$U$56,MATCH($D107,Cust_Esca!$C$10:$C$56,0),MATCH(O$7,Cust_Esca!$E$7:$U$7,0)))*N107,$AA$7)</f>
        <v>0</v>
      </c>
      <c r="P107" s="1385">
        <f>ROUND((1+INDEX(Cust_Esca!$E$10:$U$56,MATCH($D107,Cust_Esca!$C$10:$C$56,0),MATCH(P$7,Cust_Esca!$E$7:$U$7,0)))*O107,$AA$7)</f>
        <v>0</v>
      </c>
      <c r="Q107" s="1385">
        <f>ROUND((1+INDEX(Cust_Esca!$E$10:$U$56,MATCH($D107,Cust_Esca!$C$10:$C$56,0),MATCH(Q$7,Cust_Esca!$E$7:$U$7,0)))*P107,$AA$7)</f>
        <v>0</v>
      </c>
      <c r="R107" s="1385">
        <f>ROUND((1+INDEX(Cust_Esca!$E$10:$U$56,MATCH($D107,Cust_Esca!$C$10:$C$56,0),MATCH(R$7,Cust_Esca!$E$7:$U$7,0)))*Q107,$AA$7)</f>
        <v>0</v>
      </c>
      <c r="S107" s="1385">
        <f>ROUND((1+INDEX(Cust_Esca!$E$10:$U$56,MATCH($D107,Cust_Esca!$C$10:$C$56,0),MATCH(S$7,Cust_Esca!$E$7:$U$7,0)))*R107,$AA$7)</f>
        <v>0</v>
      </c>
      <c r="T107" s="1385">
        <f>ROUND((1+INDEX(Cust_Esca!$E$10:$U$56,MATCH($D107,Cust_Esca!$C$10:$C$56,0),MATCH(T$7,Cust_Esca!$E$7:$U$7,0)))*S107,$AA$7)</f>
        <v>0</v>
      </c>
      <c r="U107" s="1385">
        <f>ROUND((1+INDEX(Cust_Esca!$E$10:$U$56,MATCH($D107,Cust_Esca!$C$10:$C$56,0),MATCH(U$7,Cust_Esca!$E$7:$U$7,0)))*T107,$AA$7)</f>
        <v>0</v>
      </c>
      <c r="V107" s="1385">
        <f>ROUND((1+INDEX(Cust_Esca!$E$10:$U$56,MATCH($D107,Cust_Esca!$C$10:$C$56,0),MATCH(V$7,Cust_Esca!$E$7:$U$7,0)))*U107,$AA$7)</f>
        <v>0</v>
      </c>
      <c r="W107" s="1385">
        <f>ROUND((1+INDEX(Cust_Esca!$E$10:$U$56,MATCH($D107,Cust_Esca!$C$10:$C$56,0),MATCH(W$7,Cust_Esca!$E$7:$U$7,0)))*V107,$AA$7)</f>
        <v>0</v>
      </c>
      <c r="Y107" s="1385">
        <f>SUMIF($F$7:$W$7,TY_Units!$H$5,$F107:$W107)</f>
        <v>0</v>
      </c>
    </row>
    <row r="108" spans="1:25" ht="16.5" thickBot="1">
      <c r="A108" s="1360"/>
      <c r="C108" s="1367">
        <f>MAX(C$12:C107)+1</f>
        <v>97</v>
      </c>
      <c r="D108" s="1367">
        <f>+D107</f>
        <v>22</v>
      </c>
      <c r="E108" s="1377" t="s">
        <v>909</v>
      </c>
      <c r="F108" s="1409">
        <v>0</v>
      </c>
      <c r="G108" s="1387">
        <v>0</v>
      </c>
      <c r="H108" s="1387">
        <v>0</v>
      </c>
      <c r="I108" s="1388">
        <v>0</v>
      </c>
      <c r="J108" s="1389">
        <v>0</v>
      </c>
      <c r="K108" s="1388">
        <v>0</v>
      </c>
      <c r="L108" s="1389">
        <v>0</v>
      </c>
      <c r="M108" s="1389">
        <v>0</v>
      </c>
      <c r="N108" s="1389">
        <v>0</v>
      </c>
      <c r="O108" s="1399">
        <f>ROUND((1+INDEX(Cust_Esca!$E$10:$U$56,MATCH($D108,Cust_Esca!$C$10:$C$56,0),MATCH(O$7,Cust_Esca!$E$7:$U$7,0)))*N108,$AA$7)</f>
        <v>0</v>
      </c>
      <c r="P108" s="1399">
        <f>ROUND((1+INDEX(Cust_Esca!$E$10:$U$56,MATCH($D108,Cust_Esca!$C$10:$C$56,0),MATCH(P$7,Cust_Esca!$E$7:$U$7,0)))*O108,$AA$7)</f>
        <v>0</v>
      </c>
      <c r="Q108" s="1399">
        <f>ROUND((1+INDEX(Cust_Esca!$E$10:$U$56,MATCH($D108,Cust_Esca!$C$10:$C$56,0),MATCH(Q$7,Cust_Esca!$E$7:$U$7,0)))*P108,$AA$7)</f>
        <v>0</v>
      </c>
      <c r="R108" s="1399">
        <f>ROUND((1+INDEX(Cust_Esca!$E$10:$U$56,MATCH($D108,Cust_Esca!$C$10:$C$56,0),MATCH(R$7,Cust_Esca!$E$7:$U$7,0)))*Q108,$AA$7)</f>
        <v>0</v>
      </c>
      <c r="S108" s="1399">
        <f>ROUND((1+INDEX(Cust_Esca!$E$10:$U$56,MATCH($D108,Cust_Esca!$C$10:$C$56,0),MATCH(S$7,Cust_Esca!$E$7:$U$7,0)))*R108,$AA$7)</f>
        <v>0</v>
      </c>
      <c r="T108" s="1399">
        <f>ROUND((1+INDEX(Cust_Esca!$E$10:$U$56,MATCH($D108,Cust_Esca!$C$10:$C$56,0),MATCH(T$7,Cust_Esca!$E$7:$U$7,0)))*S108,$AA$7)</f>
        <v>0</v>
      </c>
      <c r="U108" s="1399">
        <f>ROUND((1+INDEX(Cust_Esca!$E$10:$U$56,MATCH($D108,Cust_Esca!$C$10:$C$56,0),MATCH(U$7,Cust_Esca!$E$7:$U$7,0)))*T108,$AA$7)</f>
        <v>0</v>
      </c>
      <c r="V108" s="1399">
        <f>ROUND((1+INDEX(Cust_Esca!$E$10:$U$56,MATCH($D108,Cust_Esca!$C$10:$C$56,0),MATCH(V$7,Cust_Esca!$E$7:$U$7,0)))*U108,$AA$7)</f>
        <v>0</v>
      </c>
      <c r="W108" s="1399">
        <f>ROUND((1+INDEX(Cust_Esca!$E$10:$U$56,MATCH($D108,Cust_Esca!$C$10:$C$56,0),MATCH(W$7,Cust_Esca!$E$7:$U$7,0)))*V108,$AA$7)</f>
        <v>0</v>
      </c>
      <c r="Y108" s="1385">
        <f>SUMIF($F$7:$W$7,TY_Units!$H$5,$F108:$W108)</f>
        <v>0</v>
      </c>
    </row>
    <row r="109" spans="1:25">
      <c r="A109" s="1360"/>
      <c r="C109" s="1367">
        <f>MAX(C$12:C108)+1</f>
        <v>98</v>
      </c>
      <c r="D109" s="1367">
        <f>+D108</f>
        <v>22</v>
      </c>
      <c r="E109" s="1401" t="s">
        <v>912</v>
      </c>
      <c r="F109" s="1385">
        <f>SUM(F107:F108)</f>
        <v>7785000</v>
      </c>
      <c r="G109" s="1385">
        <f t="shared" ref="G109:W109" si="17">SUM(G107:G108)</f>
        <v>7785000</v>
      </c>
      <c r="H109" s="1385">
        <f t="shared" si="17"/>
        <v>7785000</v>
      </c>
      <c r="I109" s="1385">
        <f t="shared" si="17"/>
        <v>0</v>
      </c>
      <c r="J109" s="1385">
        <f t="shared" si="17"/>
        <v>0</v>
      </c>
      <c r="K109" s="1385">
        <f>SUM(K107:K108)</f>
        <v>0</v>
      </c>
      <c r="L109" s="1385">
        <f>SUM(L107:L108)</f>
        <v>0</v>
      </c>
      <c r="M109" s="1385">
        <f t="shared" si="17"/>
        <v>0</v>
      </c>
      <c r="N109" s="1385">
        <f t="shared" si="17"/>
        <v>0</v>
      </c>
      <c r="O109" s="1385">
        <f t="shared" si="17"/>
        <v>0</v>
      </c>
      <c r="P109" s="1385">
        <f t="shared" si="17"/>
        <v>0</v>
      </c>
      <c r="Q109" s="1385">
        <f t="shared" si="17"/>
        <v>0</v>
      </c>
      <c r="R109" s="1385">
        <f t="shared" si="17"/>
        <v>0</v>
      </c>
      <c r="S109" s="1385">
        <f t="shared" si="17"/>
        <v>0</v>
      </c>
      <c r="T109" s="1385">
        <f t="shared" si="17"/>
        <v>0</v>
      </c>
      <c r="U109" s="1385">
        <f t="shared" si="17"/>
        <v>0</v>
      </c>
      <c r="V109" s="1385">
        <f t="shared" si="17"/>
        <v>0</v>
      </c>
      <c r="W109" s="1385">
        <f t="shared" si="17"/>
        <v>0</v>
      </c>
      <c r="Y109" s="1385">
        <f>SUMIF($F$7:$W$7,TY_Units!$H$5,$F109:$W109)</f>
        <v>0</v>
      </c>
    </row>
    <row r="110" spans="1:25">
      <c r="A110" s="1360"/>
      <c r="C110" s="1367">
        <f>MAX(C$12:C109)+1</f>
        <v>99</v>
      </c>
      <c r="D110" s="1367"/>
      <c r="E110" s="1390"/>
      <c r="F110" s="1392"/>
      <c r="G110" s="1392"/>
      <c r="H110" s="1392"/>
      <c r="I110" s="1392"/>
      <c r="J110" s="1392"/>
      <c r="K110" s="1392"/>
      <c r="L110" s="1392"/>
      <c r="M110" s="1392"/>
      <c r="N110" s="1392"/>
      <c r="O110" s="1392"/>
      <c r="P110" s="1392"/>
      <c r="Q110" s="1392"/>
      <c r="R110" s="1392"/>
      <c r="S110" s="1392"/>
      <c r="T110" s="1392"/>
      <c r="U110" s="1392"/>
      <c r="V110" s="1392"/>
      <c r="W110" s="1392"/>
      <c r="Y110" s="1392"/>
    </row>
    <row r="111" spans="1:25" ht="16.5" thickBot="1">
      <c r="A111" s="1360"/>
      <c r="C111" s="1367">
        <f>MAX(C$12:C110)+1</f>
        <v>100</v>
      </c>
      <c r="D111" s="1367"/>
      <c r="E111" s="1382" t="s">
        <v>20</v>
      </c>
      <c r="F111" s="1380"/>
      <c r="G111" s="1380"/>
      <c r="H111" s="1380"/>
      <c r="I111" s="1380"/>
      <c r="J111" s="1380"/>
      <c r="K111" s="1380"/>
      <c r="L111" s="1380"/>
      <c r="M111" s="1380"/>
      <c r="N111" s="1380"/>
      <c r="O111" s="1380"/>
      <c r="P111" s="1380"/>
      <c r="Q111" s="1380"/>
      <c r="R111" s="1380"/>
      <c r="S111" s="1380"/>
      <c r="T111" s="1380"/>
      <c r="U111" s="1380"/>
      <c r="V111" s="1380"/>
      <c r="W111" s="1380"/>
      <c r="Y111" s="1379"/>
    </row>
    <row r="112" spans="1:25" ht="16.5" thickBot="1">
      <c r="A112" s="1360"/>
      <c r="C112" s="1367">
        <f>MAX(C$12:C111)+1</f>
        <v>101</v>
      </c>
      <c r="D112" s="1367">
        <f>Cust_Esca!C43</f>
        <v>23</v>
      </c>
      <c r="E112" s="1377" t="s">
        <v>606</v>
      </c>
      <c r="F112" s="1416">
        <v>1</v>
      </c>
      <c r="G112" s="1403">
        <f>ROUND((1+INDEX(Cust_Esca!$E$10:$U$56,MATCH($D112,Cust_Esca!$C$10:$C$56,0),MATCH(G$7,Cust_Esca!$E$7:$U$7,0)))*F112,$AA$7)</f>
        <v>1</v>
      </c>
      <c r="H112" s="1403">
        <f>ROUND((1+INDEX(Cust_Esca!$E$10:$U$56,MATCH($D112,Cust_Esca!$C$10:$C$56,0),MATCH(H$7,Cust_Esca!$E$7:$U$7,0)))*G112,$AA$7)</f>
        <v>1</v>
      </c>
      <c r="I112" s="1404">
        <v>0</v>
      </c>
      <c r="J112" s="3477">
        <v>1</v>
      </c>
      <c r="K112" s="3477">
        <v>1</v>
      </c>
      <c r="L112" s="3477">
        <v>0</v>
      </c>
      <c r="M112" s="3478">
        <v>1</v>
      </c>
      <c r="N112" s="3478">
        <v>1</v>
      </c>
      <c r="O112" s="1385">
        <f>ROUND((1+INDEX(Cust_Esca!$E$10:$U$56,MATCH($D112,Cust_Esca!$C$10:$C$56,0),MATCH(O$7,Cust_Esca!$E$7:$U$7,0)))*N112,$AA$7)</f>
        <v>1</v>
      </c>
      <c r="P112" s="1385">
        <f>ROUND((1+INDEX(Cust_Esca!$E$10:$U$56,MATCH($D112,Cust_Esca!$C$10:$C$56,0),MATCH(P$7,Cust_Esca!$E$7:$U$7,0)))*O112,$AA$7)</f>
        <v>1</v>
      </c>
      <c r="Q112" s="1385">
        <f>ROUND((1+INDEX(Cust_Esca!$E$10:$U$56,MATCH($D112,Cust_Esca!$C$10:$C$56,0),MATCH(Q$7,Cust_Esca!$E$7:$U$7,0)))*P112,$AA$7)</f>
        <v>1</v>
      </c>
      <c r="R112" s="1385">
        <f>ROUND((1+INDEX(Cust_Esca!$E$10:$U$56,MATCH($D112,Cust_Esca!$C$10:$C$56,0),MATCH(R$7,Cust_Esca!$E$7:$U$7,0)))*Q112,$AA$7)</f>
        <v>1</v>
      </c>
      <c r="S112" s="1385">
        <v>0</v>
      </c>
      <c r="T112" s="1385">
        <f>ROUND((1+INDEX(Cust_Esca!$E$10:$U$56,MATCH($D112,Cust_Esca!$C$10:$C$56,0),MATCH(T$7,Cust_Esca!$E$7:$U$7,0)))*S112,$AA$7)</f>
        <v>0</v>
      </c>
      <c r="U112" s="1385">
        <f>ROUND((1+INDEX(Cust_Esca!$E$10:$U$56,MATCH($D112,Cust_Esca!$C$10:$C$56,0),MATCH(U$7,Cust_Esca!$E$7:$U$7,0)))*T112,$AA$7)</f>
        <v>0</v>
      </c>
      <c r="V112" s="1385">
        <f>ROUND((1+INDEX(Cust_Esca!$E$10:$U$56,MATCH($D112,Cust_Esca!$C$10:$C$56,0),MATCH(V$7,Cust_Esca!$E$7:$U$7,0)))*U112,$AA$7)</f>
        <v>0</v>
      </c>
      <c r="W112" s="1385">
        <f>ROUND((1+INDEX(Cust_Esca!$E$10:$U$56,MATCH($D112,Cust_Esca!$C$10:$C$56,0),MATCH(W$7,Cust_Esca!$E$7:$U$7,0)))*V112,$AA$7)</f>
        <v>0</v>
      </c>
      <c r="Y112" s="1385">
        <f>SUMIF($F$7:$W$7,TY_Units!$H$5,$F112:$W112)</f>
        <v>0</v>
      </c>
    </row>
    <row r="113" spans="1:25" ht="16.5" thickBot="1">
      <c r="A113" s="1360"/>
      <c r="C113" s="1367">
        <f>MAX(C$12:C112)+1</f>
        <v>102</v>
      </c>
      <c r="D113" s="1367">
        <f>Cust_Esca!C44</f>
        <v>24</v>
      </c>
      <c r="E113" s="1377" t="s">
        <v>487</v>
      </c>
      <c r="F113" s="1417">
        <v>28829.151999999998</v>
      </c>
      <c r="G113" s="1418">
        <f>ROUND((1+INDEX(Cust_Esca!$E$10:$U$56,MATCH($D113,Cust_Esca!$C$10:$C$56,0),MATCH(G$7,Cust_Esca!$E$7:$U$7,0)))*F113,$AA$7)</f>
        <v>28829</v>
      </c>
      <c r="H113" s="1418">
        <f>ROUND((1+INDEX(Cust_Esca!$E$10:$U$56,MATCH($D113,Cust_Esca!$C$10:$C$56,0),MATCH(H$7,Cust_Esca!$E$7:$U$7,0)))*G113,$AA$7)</f>
        <v>28829</v>
      </c>
      <c r="I113" s="1419"/>
      <c r="J113" s="1418">
        <v>12095.669618672991</v>
      </c>
      <c r="K113" s="1418">
        <v>51517.049005627865</v>
      </c>
      <c r="L113" s="1418">
        <v>0</v>
      </c>
      <c r="M113" s="1418">
        <v>41579.934875163308</v>
      </c>
      <c r="N113" s="1418">
        <v>171126.14001576439</v>
      </c>
      <c r="O113" s="1385">
        <v>230752.43677922722</v>
      </c>
      <c r="P113" s="1385">
        <v>296857.83281776245</v>
      </c>
      <c r="Q113" s="1385">
        <v>198058.48463724041</v>
      </c>
      <c r="R113" s="1385">
        <v>39711.000703125166</v>
      </c>
      <c r="S113" s="1385">
        <v>0</v>
      </c>
      <c r="T113" s="1385">
        <f>ROUND((1+INDEX(Cust_Esca!$E$10:$U$56,MATCH($D113,Cust_Esca!$C$10:$C$56,0),MATCH(T$7,Cust_Esca!$E$7:$U$7,0)))*S113,$AA$7)</f>
        <v>0</v>
      </c>
      <c r="U113" s="1385">
        <f>ROUND((1+INDEX(Cust_Esca!$E$10:$U$56,MATCH($D113,Cust_Esca!$C$10:$C$56,0),MATCH(U$7,Cust_Esca!$E$7:$U$7,0)))*T113,$AA$7)</f>
        <v>0</v>
      </c>
      <c r="V113" s="1385">
        <f>ROUND((1+INDEX(Cust_Esca!$E$10:$U$56,MATCH($D113,Cust_Esca!$C$10:$C$56,0),MATCH(V$7,Cust_Esca!$E$7:$U$7,0)))*U113,$AA$7)</f>
        <v>0</v>
      </c>
      <c r="W113" s="1385">
        <f>ROUND((1+INDEX(Cust_Esca!$E$10:$U$56,MATCH($D113,Cust_Esca!$C$10:$C$56,0),MATCH(W$7,Cust_Esca!$E$7:$U$7,0)))*V113,$AA$7)</f>
        <v>0</v>
      </c>
      <c r="Y113" s="1385">
        <f>SUMIF($F$7:$W$7,TY_Units!$H$5,$F113:$W113)</f>
        <v>0</v>
      </c>
    </row>
    <row r="114" spans="1:25">
      <c r="A114" s="1360"/>
      <c r="C114" s="1367">
        <f>MAX(C$12:C113)+1</f>
        <v>103</v>
      </c>
      <c r="D114" s="1367">
        <f>D113</f>
        <v>24</v>
      </c>
      <c r="E114" s="1377" t="s">
        <v>911</v>
      </c>
      <c r="F114" s="1383">
        <v>7170002</v>
      </c>
      <c r="G114" s="1384">
        <v>7170002</v>
      </c>
      <c r="H114" s="1384">
        <v>7170002</v>
      </c>
      <c r="I114" s="1393">
        <v>0</v>
      </c>
      <c r="J114" s="3475">
        <v>7660976.3121954184</v>
      </c>
      <c r="K114" s="3475">
        <v>32642930.219192822</v>
      </c>
      <c r="L114" s="3475">
        <v>0</v>
      </c>
      <c r="M114" s="3476">
        <v>26470644.015867002</v>
      </c>
      <c r="N114" s="3476">
        <v>102351609.95582332</v>
      </c>
      <c r="O114" s="1385">
        <v>136166560.78458539</v>
      </c>
      <c r="P114" s="1385">
        <v>173174725.19721323</v>
      </c>
      <c r="Q114" s="1385">
        <v>119421424.45330869</v>
      </c>
      <c r="R114" s="1385">
        <v>24955063.9620924</v>
      </c>
      <c r="S114" s="1385">
        <v>0</v>
      </c>
      <c r="T114" s="1385">
        <v>0</v>
      </c>
      <c r="U114" s="1385">
        <f>ROUND((1+INDEX(Cust_Esca!$E$10:$U$56,MATCH($D114,Cust_Esca!$C$10:$C$56,0),MATCH(U$7,Cust_Esca!$E$7:$U$7,0)))*T114,$AA$7)</f>
        <v>0</v>
      </c>
      <c r="V114" s="1385">
        <f>ROUND((1+INDEX(Cust_Esca!$E$10:$U$56,MATCH($D114,Cust_Esca!$C$10:$C$56,0),MATCH(V$7,Cust_Esca!$E$7:$U$7,0)))*U114,$AA$7)</f>
        <v>0</v>
      </c>
      <c r="W114" s="1385">
        <f>ROUND((1+INDEX(Cust_Esca!$E$10:$U$56,MATCH($D114,Cust_Esca!$C$10:$C$56,0),MATCH(W$7,Cust_Esca!$E$7:$U$7,0)))*V114,$AA$7)</f>
        <v>0</v>
      </c>
      <c r="Y114" s="1385">
        <f>SUMIF($F$7:$W$7,TY_Units!$H$5,$F114:$W114)</f>
        <v>0</v>
      </c>
    </row>
    <row r="115" spans="1:25" ht="16.5" thickBot="1">
      <c r="A115" s="1360"/>
      <c r="C115" s="1367">
        <f>MAX(C$12:C114)+1</f>
        <v>104</v>
      </c>
      <c r="D115" s="1367">
        <f>D114</f>
        <v>24</v>
      </c>
      <c r="E115" s="1377" t="s">
        <v>909</v>
      </c>
      <c r="F115" s="1386">
        <v>0</v>
      </c>
      <c r="G115" s="1387">
        <v>0</v>
      </c>
      <c r="H115" s="1387">
        <v>0</v>
      </c>
      <c r="I115" s="1388">
        <v>0</v>
      </c>
      <c r="J115" s="1388">
        <v>0</v>
      </c>
      <c r="K115" s="1388">
        <v>0</v>
      </c>
      <c r="L115" s="1388">
        <v>0</v>
      </c>
      <c r="M115" s="1389">
        <v>0</v>
      </c>
      <c r="N115" s="1389">
        <v>0</v>
      </c>
      <c r="O115" s="1399">
        <f>ROUND((1+INDEX(Cust_Esca!$E$10:$U$56,MATCH($D115,Cust_Esca!$C$10:$C$56,0),MATCH(O$7,Cust_Esca!$E$7:$U$7,0)))*N115,$AA$7)</f>
        <v>0</v>
      </c>
      <c r="P115" s="1399">
        <f>ROUND((1+INDEX(Cust_Esca!$E$10:$U$56,MATCH($D115,Cust_Esca!$C$10:$C$56,0),MATCH(P$7,Cust_Esca!$E$7:$U$7,0)))*O115,$AA$7)</f>
        <v>0</v>
      </c>
      <c r="Q115" s="1399">
        <f>ROUND((1+INDEX(Cust_Esca!$E$10:$U$56,MATCH($D115,Cust_Esca!$C$10:$C$56,0),MATCH(Q$7,Cust_Esca!$E$7:$U$7,0)))*P115,$AA$7)</f>
        <v>0</v>
      </c>
      <c r="R115" s="1399">
        <f>ROUND((1+INDEX(Cust_Esca!$E$10:$U$56,MATCH($D115,Cust_Esca!$C$10:$C$56,0),MATCH(R$7,Cust_Esca!$E$7:$U$7,0)))*Q115,$AA$7)</f>
        <v>0</v>
      </c>
      <c r="S115" s="1399">
        <f>ROUND((1+INDEX(Cust_Esca!$E$10:$U$56,MATCH($D115,Cust_Esca!$C$10:$C$56,0),MATCH(S$7,Cust_Esca!$E$7:$U$7,0)))*R115,$AA$7)</f>
        <v>0</v>
      </c>
      <c r="T115" s="1399">
        <f>ROUND((1+INDEX(Cust_Esca!$E$10:$U$56,MATCH($D115,Cust_Esca!$C$10:$C$56,0),MATCH(T$7,Cust_Esca!$E$7:$U$7,0)))*S115,$AA$7)</f>
        <v>0</v>
      </c>
      <c r="U115" s="1399">
        <f>ROUND((1+INDEX(Cust_Esca!$E$10:$U$56,MATCH($D115,Cust_Esca!$C$10:$C$56,0),MATCH(U$7,Cust_Esca!$E$7:$U$7,0)))*T115,$AA$7)</f>
        <v>0</v>
      </c>
      <c r="V115" s="1399">
        <f>ROUND((1+INDEX(Cust_Esca!$E$10:$U$56,MATCH($D115,Cust_Esca!$C$10:$C$56,0),MATCH(V$7,Cust_Esca!$E$7:$U$7,0)))*U115,$AA$7)</f>
        <v>0</v>
      </c>
      <c r="W115" s="1399">
        <f>ROUND((1+INDEX(Cust_Esca!$E$10:$U$56,MATCH($D115,Cust_Esca!$C$10:$C$56,0),MATCH(W$7,Cust_Esca!$E$7:$U$7,0)))*V115,$AA$7)</f>
        <v>0</v>
      </c>
      <c r="Y115" s="1385">
        <f>SUMIF($F$7:$W$7,TY_Units!$H$5,$F115:$W115)</f>
        <v>0</v>
      </c>
    </row>
    <row r="116" spans="1:25">
      <c r="A116" s="1360"/>
      <c r="C116" s="1367">
        <f>MAX(C$12:C115)+1</f>
        <v>105</v>
      </c>
      <c r="D116" s="1367">
        <f>D115</f>
        <v>24</v>
      </c>
      <c r="E116" s="1401" t="s">
        <v>912</v>
      </c>
      <c r="F116" s="1391">
        <f>SUM(F114:F115)</f>
        <v>7170002</v>
      </c>
      <c r="G116" s="1391">
        <f t="shared" ref="G116:W116" si="18">SUM(G114:G115)</f>
        <v>7170002</v>
      </c>
      <c r="H116" s="1391">
        <f t="shared" si="18"/>
        <v>7170002</v>
      </c>
      <c r="I116" s="1391">
        <f t="shared" si="18"/>
        <v>0</v>
      </c>
      <c r="J116" s="1391">
        <f t="shared" si="18"/>
        <v>7660976.3121954184</v>
      </c>
      <c r="K116" s="1391">
        <f>SUM(K114:K115)</f>
        <v>32642930.219192822</v>
      </c>
      <c r="L116" s="1391">
        <f>SUM(L114:L115)</f>
        <v>0</v>
      </c>
      <c r="M116" s="1391">
        <f t="shared" si="18"/>
        <v>26470644.015867002</v>
      </c>
      <c r="N116" s="1391">
        <f t="shared" si="18"/>
        <v>102351609.95582332</v>
      </c>
      <c r="O116" s="1391">
        <f t="shared" si="18"/>
        <v>136166560.78458539</v>
      </c>
      <c r="P116" s="1391">
        <f t="shared" si="18"/>
        <v>173174725.19721323</v>
      </c>
      <c r="Q116" s="1391">
        <f t="shared" si="18"/>
        <v>119421424.45330869</v>
      </c>
      <c r="R116" s="1391">
        <f t="shared" si="18"/>
        <v>24955063.9620924</v>
      </c>
      <c r="S116" s="1391">
        <f t="shared" si="18"/>
        <v>0</v>
      </c>
      <c r="T116" s="1391">
        <f t="shared" si="18"/>
        <v>0</v>
      </c>
      <c r="U116" s="1391">
        <f t="shared" si="18"/>
        <v>0</v>
      </c>
      <c r="V116" s="1391">
        <f t="shared" si="18"/>
        <v>0</v>
      </c>
      <c r="W116" s="1391">
        <f t="shared" si="18"/>
        <v>0</v>
      </c>
      <c r="Y116" s="1385">
        <f>SUMIF($F$7:$W$7,TY_Units!$H$5,$F116:$W116)</f>
        <v>0</v>
      </c>
    </row>
    <row r="117" spans="1:25">
      <c r="A117" s="1360"/>
      <c r="C117" s="1367">
        <f>MAX(C$12:C116)+1</f>
        <v>106</v>
      </c>
      <c r="D117" s="1367"/>
      <c r="E117" s="1390"/>
      <c r="F117" s="1392"/>
      <c r="G117" s="1392"/>
      <c r="H117" s="1392"/>
      <c r="I117" s="1392"/>
      <c r="J117" s="1392"/>
      <c r="K117" s="1392"/>
      <c r="L117" s="1392"/>
      <c r="M117" s="1392"/>
      <c r="N117" s="4228"/>
      <c r="O117" s="4228"/>
      <c r="P117" s="4228"/>
      <c r="Q117" s="4228"/>
      <c r="R117" s="4228"/>
      <c r="S117" s="1392"/>
      <c r="T117" s="1392"/>
      <c r="U117" s="1392"/>
      <c r="V117" s="1392"/>
      <c r="W117" s="1392"/>
      <c r="Y117" s="1392"/>
    </row>
    <row r="118" spans="1:25" ht="16.5" thickBot="1">
      <c r="A118" s="1360"/>
      <c r="C118" s="1367">
        <f>MAX(C$12:C117)+1</f>
        <v>107</v>
      </c>
      <c r="D118" s="1367"/>
      <c r="E118" s="1382" t="s">
        <v>4</v>
      </c>
      <c r="F118" s="1380"/>
      <c r="G118" s="1380"/>
      <c r="H118" s="1380"/>
      <c r="I118" s="1380"/>
      <c r="J118" s="1380"/>
      <c r="K118" s="1380"/>
      <c r="L118" s="1380"/>
      <c r="M118" s="1380"/>
      <c r="N118" s="1380"/>
      <c r="O118" s="1380"/>
      <c r="P118" s="1380"/>
      <c r="Q118" s="1380"/>
      <c r="R118" s="1380"/>
      <c r="S118" s="1380"/>
      <c r="T118" s="1380"/>
      <c r="U118" s="1380"/>
      <c r="V118" s="1380"/>
      <c r="W118" s="1380"/>
      <c r="Y118" s="1379"/>
    </row>
    <row r="119" spans="1:25">
      <c r="A119" s="1360"/>
      <c r="C119" s="1367">
        <f>MAX(C$12:C118)+1</f>
        <v>108</v>
      </c>
      <c r="D119" s="1367">
        <f>Cust_Esca!C46</f>
        <v>25</v>
      </c>
      <c r="E119" s="1377" t="s">
        <v>606</v>
      </c>
      <c r="F119" s="1383">
        <v>64</v>
      </c>
      <c r="G119" s="1384">
        <f>ROUND((1+INDEX(Cust_Esca!$E$10:$U$56,MATCH($D119,Cust_Esca!$C$10:$C$56,0),MATCH(G$7,Cust_Esca!$E$7:$U$7,0)))*F119,$AA$7)</f>
        <v>64</v>
      </c>
      <c r="H119" s="1384">
        <f>ROUND((1+INDEX(Cust_Esca!$E$10:$U$56,MATCH($D119,Cust_Esca!$C$10:$C$56,0),MATCH(H$7,Cust_Esca!$E$7:$U$7,0)))*G119,$AA$7)</f>
        <v>64</v>
      </c>
      <c r="I119" s="2894">
        <v>64.666666666666671</v>
      </c>
      <c r="J119" s="2895">
        <v>64.75</v>
      </c>
      <c r="K119" s="2894">
        <v>66</v>
      </c>
      <c r="L119" s="2895">
        <v>66</v>
      </c>
      <c r="M119" s="2895">
        <v>66</v>
      </c>
      <c r="N119" s="2895">
        <v>66</v>
      </c>
      <c r="O119" s="1385">
        <f>ROUND((1+INDEX(Cust_Esca!$E$10:$U$56,MATCH($D119,Cust_Esca!$C$10:$C$56,0),MATCH(O$7,Cust_Esca!$E$7:$U$7,0)))*N119,$AA$7)</f>
        <v>66</v>
      </c>
      <c r="P119" s="1385">
        <f>ROUND((1+INDEX(Cust_Esca!$E$10:$U$56,MATCH($D119,Cust_Esca!$C$10:$C$56,0),MATCH(P$7,Cust_Esca!$E$7:$U$7,0)))*O119,$AA$7)</f>
        <v>66</v>
      </c>
      <c r="Q119" s="1385">
        <f>ROUND((1+INDEX(Cust_Esca!$E$10:$U$56,MATCH($D119,Cust_Esca!$C$10:$C$56,0),MATCH(Q$7,Cust_Esca!$E$7:$U$7,0)))*P119,$AA$7)</f>
        <v>66</v>
      </c>
      <c r="R119" s="1385">
        <f>ROUND((1+INDEX(Cust_Esca!$E$10:$U$56,MATCH($D119,Cust_Esca!$C$10:$C$56,0),MATCH(R$7,Cust_Esca!$E$7:$U$7,0)))*Q119,$AA$7)</f>
        <v>66</v>
      </c>
      <c r="S119" s="1385">
        <f>ROUND((1+INDEX(Cust_Esca!$E$10:$U$56,MATCH($D119,Cust_Esca!$C$10:$C$56,0),MATCH(S$7,Cust_Esca!$E$7:$U$7,0)))*R119,$AA$7)</f>
        <v>66</v>
      </c>
      <c r="T119" s="1385">
        <f>ROUND((1+INDEX(Cust_Esca!$E$10:$U$56,MATCH($D119,Cust_Esca!$C$10:$C$56,0),MATCH(T$7,Cust_Esca!$E$7:$U$7,0)))*S119,$AA$7)</f>
        <v>66</v>
      </c>
      <c r="U119" s="1385">
        <f>ROUND((1+INDEX(Cust_Esca!$E$10:$U$56,MATCH($D119,Cust_Esca!$C$10:$C$56,0),MATCH(U$7,Cust_Esca!$E$7:$U$7,0)))*T119,$AA$7)</f>
        <v>66</v>
      </c>
      <c r="V119" s="1385">
        <f>ROUND((1+INDEX(Cust_Esca!$E$10:$U$56,MATCH($D119,Cust_Esca!$C$10:$C$56,0),MATCH(V$7,Cust_Esca!$E$7:$U$7,0)))*U119,$AA$7)</f>
        <v>66</v>
      </c>
      <c r="W119" s="1385">
        <f>ROUND((1+INDEX(Cust_Esca!$E$10:$U$56,MATCH($D119,Cust_Esca!$C$10:$C$56,0),MATCH(W$7,Cust_Esca!$E$7:$U$7,0)))*V119,$AA$7)</f>
        <v>66</v>
      </c>
      <c r="Y119" s="1385">
        <f>SUMIF($F$7:$W$7,TY_Units!$H$5,$F119:$W119)</f>
        <v>66</v>
      </c>
    </row>
    <row r="120" spans="1:25" ht="16.5" thickBot="1">
      <c r="A120" s="1360"/>
      <c r="C120" s="1367">
        <f>MAX(C$12:C119)+1</f>
        <v>109</v>
      </c>
      <c r="D120" s="1367">
        <f>Cust_Esca!C47</f>
        <v>26</v>
      </c>
      <c r="E120" s="1377" t="s">
        <v>702</v>
      </c>
      <c r="F120" s="1386">
        <v>4213797</v>
      </c>
      <c r="G120" s="1387">
        <f>ROUND((1+INDEX(Cust_Esca!$E$10:$U$56,MATCH($D120,Cust_Esca!$C$10:$C$56,0),MATCH(G$7,Cust_Esca!$E$7:$U$7,0)))*F120,$AA$7)</f>
        <v>4213797</v>
      </c>
      <c r="H120" s="1387">
        <f>ROUND((1+INDEX(Cust_Esca!$E$10:$U$56,MATCH($D120,Cust_Esca!$C$10:$C$56,0),MATCH(H$7,Cust_Esca!$E$7:$U$7,0)))*G120,$AA$7)</f>
        <v>4213797</v>
      </c>
      <c r="I120" s="2898">
        <v>4478243</v>
      </c>
      <c r="J120" s="2899">
        <v>4467488</v>
      </c>
      <c r="K120" s="2898">
        <v>4508876</v>
      </c>
      <c r="L120" s="2899">
        <v>4515848</v>
      </c>
      <c r="M120" s="2899">
        <v>4515848</v>
      </c>
      <c r="N120" s="2899">
        <v>4515848</v>
      </c>
      <c r="O120" s="1385">
        <f>ROUND((1+INDEX(Cust_Esca!$E$10:$U$56,MATCH($D120,Cust_Esca!$C$10:$C$56,0),MATCH(O$7,Cust_Esca!$E$7:$U$7,0)))*N120,$AA$7)</f>
        <v>4515848</v>
      </c>
      <c r="P120" s="1385">
        <f>ROUND((1+INDEX(Cust_Esca!$E$10:$U$56,MATCH($D120,Cust_Esca!$C$10:$C$56,0),MATCH(P$7,Cust_Esca!$E$7:$U$7,0)))*O120,$AA$7)</f>
        <v>4515848</v>
      </c>
      <c r="Q120" s="1385">
        <f>ROUND((1+INDEX(Cust_Esca!$E$10:$U$56,MATCH($D120,Cust_Esca!$C$10:$C$56,0),MATCH(Q$7,Cust_Esca!$E$7:$U$7,0)))*P120,$AA$7)</f>
        <v>4515848</v>
      </c>
      <c r="R120" s="1385">
        <f>ROUND((1+INDEX(Cust_Esca!$E$10:$U$56,MATCH($D120,Cust_Esca!$C$10:$C$56,0),MATCH(R$7,Cust_Esca!$E$7:$U$7,0)))*Q120,$AA$7)</f>
        <v>4515848</v>
      </c>
      <c r="S120" s="1385">
        <f>ROUND((1+INDEX(Cust_Esca!$E$10:$U$56,MATCH($D120,Cust_Esca!$C$10:$C$56,0),MATCH(S$7,Cust_Esca!$E$7:$U$7,0)))*R120,$AA$7)</f>
        <v>4515848</v>
      </c>
      <c r="T120" s="1385">
        <f>ROUND((1+INDEX(Cust_Esca!$E$10:$U$56,MATCH($D120,Cust_Esca!$C$10:$C$56,0),MATCH(T$7,Cust_Esca!$E$7:$U$7,0)))*S120,$AA$7)</f>
        <v>4515848</v>
      </c>
      <c r="U120" s="1385">
        <f>ROUND((1+INDEX(Cust_Esca!$E$10:$U$56,MATCH($D120,Cust_Esca!$C$10:$C$56,0),MATCH(U$7,Cust_Esca!$E$7:$U$7,0)))*T120,$AA$7)</f>
        <v>4515848</v>
      </c>
      <c r="V120" s="1385">
        <f>ROUND((1+INDEX(Cust_Esca!$E$10:$U$56,MATCH($D120,Cust_Esca!$C$10:$C$56,0),MATCH(V$7,Cust_Esca!$E$7:$U$7,0)))*U120,$AA$7)</f>
        <v>4515848</v>
      </c>
      <c r="W120" s="1385">
        <f>ROUND((1+INDEX(Cust_Esca!$E$10:$U$56,MATCH($D120,Cust_Esca!$C$10:$C$56,0),MATCH(W$7,Cust_Esca!$E$7:$U$7,0)))*V120,$AA$7)</f>
        <v>4515848</v>
      </c>
      <c r="Y120" s="1385">
        <f>SUMIF($F$7:$W$7,TY_Units!$H$5,$F120:$W120)</f>
        <v>4515848</v>
      </c>
    </row>
    <row r="121" spans="1:25">
      <c r="A121" s="1360"/>
      <c r="C121" s="1367">
        <f>MAX(C$12:C120)+1</f>
        <v>110</v>
      </c>
      <c r="D121" s="1367"/>
      <c r="E121" s="1377"/>
      <c r="F121" s="1366"/>
      <c r="G121" s="1366"/>
      <c r="H121" s="1366"/>
      <c r="I121" s="1366"/>
      <c r="J121" s="1366"/>
      <c r="K121" s="1366"/>
      <c r="L121" s="1366"/>
      <c r="M121" s="1366"/>
      <c r="N121" s="1366"/>
      <c r="O121" s="1366"/>
      <c r="P121" s="1366"/>
      <c r="Q121" s="1366"/>
      <c r="R121" s="1366"/>
      <c r="S121" s="1366"/>
      <c r="T121" s="1366"/>
      <c r="U121" s="1366"/>
      <c r="V121" s="1366"/>
      <c r="W121" s="1366"/>
      <c r="Y121" s="1366"/>
    </row>
    <row r="122" spans="1:25" ht="16.5" thickBot="1">
      <c r="A122" s="1360"/>
      <c r="C122" s="1367">
        <f>MAX(C$12:C121)+1</f>
        <v>111</v>
      </c>
      <c r="D122" s="1367"/>
      <c r="E122" s="1382" t="s">
        <v>2140</v>
      </c>
      <c r="F122" s="1380"/>
      <c r="G122" s="1380"/>
      <c r="H122" s="1380"/>
      <c r="I122" s="1380"/>
      <c r="J122" s="1380"/>
      <c r="K122" s="1380"/>
      <c r="L122" s="1380"/>
      <c r="M122" s="1380"/>
      <c r="N122" s="1380"/>
      <c r="O122" s="1380"/>
      <c r="P122" s="1380"/>
      <c r="Q122" s="1380"/>
      <c r="R122" s="1380"/>
      <c r="S122" s="1380"/>
      <c r="T122" s="1380"/>
      <c r="U122" s="1380"/>
      <c r="V122" s="1380"/>
      <c r="W122" s="1380"/>
      <c r="Y122" s="1379"/>
    </row>
    <row r="123" spans="1:25">
      <c r="A123" s="1360"/>
      <c r="C123" s="1367">
        <f>MAX(C$12:C122)+1</f>
        <v>112</v>
      </c>
      <c r="D123" s="1367">
        <f>Cust_Esca!C49</f>
        <v>27</v>
      </c>
      <c r="E123" s="1377" t="s">
        <v>606</v>
      </c>
      <c r="F123" s="1383">
        <v>41</v>
      </c>
      <c r="G123" s="1384">
        <f>ROUND((1+INDEX(Cust_Esca!$E$10:$U$56,MATCH($D123,Cust_Esca!$C$10:$C$56,0),MATCH(G$7,Cust_Esca!$E$7:$U$7,0)))*F123,$AA$7)</f>
        <v>41</v>
      </c>
      <c r="H123" s="1384">
        <f>ROUND((1+INDEX(Cust_Esca!$E$10:$U$56,MATCH($D123,Cust_Esca!$C$10:$C$56,0),MATCH(H$7,Cust_Esca!$E$7:$U$7,0)))*G123,$AA$7)</f>
        <v>41</v>
      </c>
      <c r="I123" s="1393">
        <v>39</v>
      </c>
      <c r="J123" s="1394">
        <v>38.916666666666664</v>
      </c>
      <c r="K123" s="1394">
        <v>39</v>
      </c>
      <c r="L123" s="1394">
        <v>41</v>
      </c>
      <c r="M123" s="1385">
        <f>ROUND((1+INDEX(Cust_Esca!$E$10:$U$56,MATCH($D123,Cust_Esca!$C$10:$C$56,0),MATCH(M$7,Cust_Esca!$E$7:$U$7,0)))*L123,$AA$7)</f>
        <v>41</v>
      </c>
      <c r="N123" s="1385">
        <f>ROUND((1+INDEX(Cust_Esca!$E$10:$U$56,MATCH($D123,Cust_Esca!$C$10:$C$56,0),MATCH(N$7,Cust_Esca!$E$7:$U$7,0)))*M123,$AA$7)</f>
        <v>41</v>
      </c>
      <c r="O123" s="1385">
        <f>ROUND((1+INDEX(Cust_Esca!$E$10:$U$56,MATCH($D123,Cust_Esca!$C$10:$C$56,0),MATCH(O$7,Cust_Esca!$E$7:$U$7,0)))*N123,$AA$7)</f>
        <v>41</v>
      </c>
      <c r="P123" s="1385">
        <f>ROUND((1+INDEX(Cust_Esca!$E$10:$U$56,MATCH($D123,Cust_Esca!$C$10:$C$56,0),MATCH(P$7,Cust_Esca!$E$7:$U$7,0)))*O123,$AA$7)</f>
        <v>41</v>
      </c>
      <c r="Q123" s="1385">
        <f>ROUND((1+INDEX(Cust_Esca!$E$10:$U$56,MATCH($D123,Cust_Esca!$C$10:$C$56,0),MATCH(Q$7,Cust_Esca!$E$7:$U$7,0)))*P123,$AA$7)</f>
        <v>41</v>
      </c>
      <c r="R123" s="1385">
        <f>ROUND((1+INDEX(Cust_Esca!$E$10:$U$56,MATCH($D123,Cust_Esca!$C$10:$C$56,0),MATCH(R$7,Cust_Esca!$E$7:$U$7,0)))*Q123,$AA$7)</f>
        <v>41</v>
      </c>
      <c r="S123" s="1385">
        <f>ROUND((1+INDEX(Cust_Esca!$E$10:$U$56,MATCH($D123,Cust_Esca!$C$10:$C$56,0),MATCH(S$7,Cust_Esca!$E$7:$U$7,0)))*R123,$AA$7)</f>
        <v>41</v>
      </c>
      <c r="T123" s="1385">
        <f>ROUND((1+INDEX(Cust_Esca!$E$10:$U$56,MATCH($D123,Cust_Esca!$C$10:$C$56,0),MATCH(T$7,Cust_Esca!$E$7:$U$7,0)))*S123,$AA$7)</f>
        <v>41</v>
      </c>
      <c r="U123" s="1385">
        <f>ROUND((1+INDEX(Cust_Esca!$E$10:$U$56,MATCH($D123,Cust_Esca!$C$10:$C$56,0),MATCH(U$7,Cust_Esca!$E$7:$U$7,0)))*T123,$AA$7)</f>
        <v>41</v>
      </c>
      <c r="V123" s="1385">
        <f>ROUND((1+INDEX(Cust_Esca!$E$10:$U$56,MATCH($D123,Cust_Esca!$C$10:$C$56,0),MATCH(V$7,Cust_Esca!$E$7:$U$7,0)))*U123,$AA$7)</f>
        <v>41</v>
      </c>
      <c r="W123" s="1385">
        <f>ROUND((1+INDEX(Cust_Esca!$E$10:$U$56,MATCH($D123,Cust_Esca!$C$10:$C$56,0),MATCH(W$7,Cust_Esca!$E$7:$U$7,0)))*V123,$AA$7)</f>
        <v>41</v>
      </c>
      <c r="Y123" s="1385">
        <f>SUMIF($F$7:$W$7,TY_Units!$H$5,$F123:$W123)</f>
        <v>41</v>
      </c>
    </row>
    <row r="124" spans="1:25" ht="16.5" thickBot="1">
      <c r="A124" s="1360"/>
      <c r="C124" s="1367">
        <f>MAX(C$12:C123)+1</f>
        <v>113</v>
      </c>
      <c r="D124" s="1367">
        <f>Cust_Esca!C50</f>
        <v>28</v>
      </c>
      <c r="E124" s="1377" t="s">
        <v>702</v>
      </c>
      <c r="F124" s="1386">
        <v>407995</v>
      </c>
      <c r="G124" s="1387">
        <f>ROUND((1+INDEX(Cust_Esca!$E$10:$U$56,MATCH($D124,Cust_Esca!$C$10:$C$56,0),MATCH(G$7,Cust_Esca!$E$7:$U$7,0)))*F124,$AA$7)</f>
        <v>407995</v>
      </c>
      <c r="H124" s="1387">
        <f>ROUND((1+INDEX(Cust_Esca!$E$10:$U$56,MATCH($D124,Cust_Esca!$C$10:$C$56,0),MATCH(H$7,Cust_Esca!$E$7:$U$7,0)))*G124,$AA$7)</f>
        <v>407995</v>
      </c>
      <c r="I124" s="1388">
        <v>332020</v>
      </c>
      <c r="J124" s="1389">
        <v>345055</v>
      </c>
      <c r="K124" s="1389">
        <v>310742</v>
      </c>
      <c r="L124" s="1389">
        <v>379119</v>
      </c>
      <c r="M124" s="1385">
        <f>ROUND((1+INDEX(Cust_Esca!$E$10:$U$56,MATCH($D124,Cust_Esca!$C$10:$C$56,0),MATCH(M$7,Cust_Esca!$E$7:$U$7,0)))*L124,$AA$7)</f>
        <v>379119</v>
      </c>
      <c r="N124" s="1385">
        <f>ROUND((1+INDEX(Cust_Esca!$E$10:$U$56,MATCH($D124,Cust_Esca!$C$10:$C$56,0),MATCH(N$7,Cust_Esca!$E$7:$U$7,0)))*M124,$AA$7)</f>
        <v>379119</v>
      </c>
      <c r="O124" s="1385">
        <f>ROUND((1+INDEX(Cust_Esca!$E$10:$U$56,MATCH($D124,Cust_Esca!$C$10:$C$56,0),MATCH(O$7,Cust_Esca!$E$7:$U$7,0)))*N124,$AA$7)</f>
        <v>379119</v>
      </c>
      <c r="P124" s="1385">
        <f>ROUND((1+INDEX(Cust_Esca!$E$10:$U$56,MATCH($D124,Cust_Esca!$C$10:$C$56,0),MATCH(P$7,Cust_Esca!$E$7:$U$7,0)))*O124,$AA$7)</f>
        <v>379119</v>
      </c>
      <c r="Q124" s="1385">
        <f>ROUND((1+INDEX(Cust_Esca!$E$10:$U$56,MATCH($D124,Cust_Esca!$C$10:$C$56,0),MATCH(Q$7,Cust_Esca!$E$7:$U$7,0)))*P124,$AA$7)</f>
        <v>379119</v>
      </c>
      <c r="R124" s="1385">
        <f>ROUND((1+INDEX(Cust_Esca!$E$10:$U$56,MATCH($D124,Cust_Esca!$C$10:$C$56,0),MATCH(R$7,Cust_Esca!$E$7:$U$7,0)))*Q124,$AA$7)</f>
        <v>379119</v>
      </c>
      <c r="S124" s="1385">
        <f>ROUND((1+INDEX(Cust_Esca!$E$10:$U$56,MATCH($D124,Cust_Esca!$C$10:$C$56,0),MATCH(S$7,Cust_Esca!$E$7:$U$7,0)))*R124,$AA$7)</f>
        <v>379119</v>
      </c>
      <c r="T124" s="1385">
        <f>ROUND((1+INDEX(Cust_Esca!$E$10:$U$56,MATCH($D124,Cust_Esca!$C$10:$C$56,0),MATCH(T$7,Cust_Esca!$E$7:$U$7,0)))*S124,$AA$7)</f>
        <v>379119</v>
      </c>
      <c r="U124" s="1385">
        <f>ROUND((1+INDEX(Cust_Esca!$E$10:$U$56,MATCH($D124,Cust_Esca!$C$10:$C$56,0),MATCH(U$7,Cust_Esca!$E$7:$U$7,0)))*T124,$AA$7)</f>
        <v>379119</v>
      </c>
      <c r="V124" s="1385">
        <f>ROUND((1+INDEX(Cust_Esca!$E$10:$U$56,MATCH($D124,Cust_Esca!$C$10:$C$56,0),MATCH(V$7,Cust_Esca!$E$7:$U$7,0)))*U124,$AA$7)</f>
        <v>379119</v>
      </c>
      <c r="W124" s="1385">
        <f>ROUND((1+INDEX(Cust_Esca!$E$10:$U$56,MATCH($D124,Cust_Esca!$C$10:$C$56,0),MATCH(W$7,Cust_Esca!$E$7:$U$7,0)))*V124,$AA$7)</f>
        <v>379119</v>
      </c>
      <c r="Y124" s="1385">
        <f>SUMIF($F$7:$W$7,TY_Units!$H$5,$F124:$W124)</f>
        <v>379119</v>
      </c>
    </row>
    <row r="125" spans="1:25">
      <c r="A125" s="1360"/>
      <c r="C125" s="1367">
        <f>MAX(C$12:C124)+1</f>
        <v>114</v>
      </c>
      <c r="D125" s="1367"/>
      <c r="E125" s="1390"/>
      <c r="F125" s="1392"/>
      <c r="G125" s="1392"/>
      <c r="H125" s="1392"/>
      <c r="I125" s="1392"/>
      <c r="J125" s="1392"/>
      <c r="K125" s="1392"/>
      <c r="L125" s="1392"/>
      <c r="M125" s="1392"/>
      <c r="N125" s="1392"/>
      <c r="O125" s="1392"/>
      <c r="P125" s="1392"/>
      <c r="Q125" s="1392"/>
      <c r="R125" s="1392"/>
      <c r="S125" s="1392"/>
      <c r="T125" s="1392"/>
      <c r="U125" s="1392"/>
      <c r="V125" s="1392"/>
      <c r="W125" s="1392"/>
      <c r="Y125" s="1392"/>
    </row>
    <row r="126" spans="1:25" ht="16.5" thickBot="1">
      <c r="A126" s="1360"/>
      <c r="C126" s="1367">
        <f>MAX(C$12:C125)+1</f>
        <v>115</v>
      </c>
      <c r="D126" s="1367"/>
      <c r="E126" s="1382" t="s">
        <v>2141</v>
      </c>
      <c r="F126" s="1380"/>
      <c r="G126" s="1380"/>
      <c r="H126" s="1380"/>
      <c r="I126" s="1380"/>
      <c r="J126" s="1380"/>
      <c r="K126" s="1380"/>
      <c r="L126" s="1380"/>
      <c r="M126" s="1380"/>
      <c r="N126" s="1380"/>
      <c r="O126" s="1380"/>
      <c r="P126" s="1380"/>
      <c r="Q126" s="1380"/>
      <c r="R126" s="1380"/>
      <c r="S126" s="1380"/>
      <c r="T126" s="1380"/>
      <c r="U126" s="1380"/>
      <c r="V126" s="1380"/>
      <c r="W126" s="1380"/>
      <c r="Y126" s="1379"/>
    </row>
    <row r="127" spans="1:25">
      <c r="A127" s="1360"/>
      <c r="C127" s="1367">
        <f>MAX(C$12:C126)+1</f>
        <v>116</v>
      </c>
      <c r="D127" s="1367">
        <f>Cust_Esca!C52</f>
        <v>29</v>
      </c>
      <c r="E127" s="1377" t="s">
        <v>606</v>
      </c>
      <c r="F127" s="1383"/>
      <c r="G127" s="1384"/>
      <c r="H127" s="1384"/>
      <c r="I127" s="1393">
        <v>2</v>
      </c>
      <c r="J127" s="1394">
        <v>2</v>
      </c>
      <c r="K127" s="1394">
        <v>2</v>
      </c>
      <c r="L127" s="1394">
        <v>2</v>
      </c>
      <c r="M127" s="1385">
        <f>ROUND((1+INDEX(Cust_Esca!$E$10:$U$56,MATCH($D127,Cust_Esca!$C$10:$C$56,0),MATCH(M$7,Cust_Esca!$E$7:$U$7,0)))*L127,$AA$7)</f>
        <v>2</v>
      </c>
      <c r="N127" s="1385">
        <f>ROUND((1+INDEX(Cust_Esca!$E$10:$U$56,MATCH($D127,Cust_Esca!$C$10:$C$56,0),MATCH(N$7,Cust_Esca!$E$7:$U$7,0)))*M127,$AA$7)</f>
        <v>2</v>
      </c>
      <c r="O127" s="1385">
        <f>ROUND((1+INDEX(Cust_Esca!$E$10:$U$56,MATCH($D127,Cust_Esca!$C$10:$C$56,0),MATCH(O$7,Cust_Esca!$E$7:$U$7,0)))*N127,$AA$7)</f>
        <v>2</v>
      </c>
      <c r="P127" s="1385">
        <f>ROUND((1+INDEX(Cust_Esca!$E$10:$U$56,MATCH($D127,Cust_Esca!$C$10:$C$56,0),MATCH(P$7,Cust_Esca!$E$7:$U$7,0)))*O127,$AA$7)</f>
        <v>2</v>
      </c>
      <c r="Q127" s="1385">
        <f>ROUND((1+INDEX(Cust_Esca!$E$10:$U$56,MATCH($D127,Cust_Esca!$C$10:$C$56,0),MATCH(Q$7,Cust_Esca!$E$7:$U$7,0)))*P127,$AA$7)</f>
        <v>2</v>
      </c>
      <c r="R127" s="1385">
        <f>ROUND((1+INDEX(Cust_Esca!$E$10:$U$56,MATCH($D127,Cust_Esca!$C$10:$C$56,0),MATCH(R$7,Cust_Esca!$E$7:$U$7,0)))*Q127,$AA$7)</f>
        <v>2</v>
      </c>
      <c r="S127" s="1385">
        <f>ROUND((1+INDEX(Cust_Esca!$E$10:$U$56,MATCH($D127,Cust_Esca!$C$10:$C$56,0),MATCH(S$7,Cust_Esca!$E$7:$U$7,0)))*R127,$AA$7)</f>
        <v>2</v>
      </c>
      <c r="T127" s="1385">
        <f>ROUND((1+INDEX(Cust_Esca!$E$10:$U$56,MATCH($D127,Cust_Esca!$C$10:$C$56,0),MATCH(T$7,Cust_Esca!$E$7:$U$7,0)))*S127,$AA$7)</f>
        <v>2</v>
      </c>
      <c r="U127" s="1385">
        <f>ROUND((1+INDEX(Cust_Esca!$E$10:$U$56,MATCH($D127,Cust_Esca!$C$10:$C$56,0),MATCH(U$7,Cust_Esca!$E$7:$U$7,0)))*T127,$AA$7)</f>
        <v>2</v>
      </c>
      <c r="V127" s="1385">
        <f>ROUND((1+INDEX(Cust_Esca!$E$10:$U$56,MATCH($D127,Cust_Esca!$C$10:$C$56,0),MATCH(V$7,Cust_Esca!$E$7:$U$7,0)))*U127,$AA$7)</f>
        <v>2</v>
      </c>
      <c r="W127" s="1385">
        <f>ROUND((1+INDEX(Cust_Esca!$E$10:$U$56,MATCH($D127,Cust_Esca!$C$10:$C$56,0),MATCH(W$7,Cust_Esca!$E$7:$U$7,0)))*V127,$AA$7)</f>
        <v>2</v>
      </c>
      <c r="Y127" s="1385">
        <f>SUMIF($F$7:$W$7,TY_Units!$H$5,$F127:$W127)</f>
        <v>2</v>
      </c>
    </row>
    <row r="128" spans="1:25" ht="16.5" thickBot="1">
      <c r="A128" s="1360"/>
      <c r="C128" s="1367">
        <f>MAX(C$12:C127)+1</f>
        <v>117</v>
      </c>
      <c r="D128" s="1367">
        <f>Cust_Esca!C53</f>
        <v>30</v>
      </c>
      <c r="E128" s="1377" t="s">
        <v>702</v>
      </c>
      <c r="F128" s="1386"/>
      <c r="G128" s="1387"/>
      <c r="H128" s="1387"/>
      <c r="I128" s="1388">
        <v>51010</v>
      </c>
      <c r="J128" s="1389">
        <v>51381</v>
      </c>
      <c r="K128" s="1389">
        <v>47515</v>
      </c>
      <c r="L128" s="1389">
        <v>52119</v>
      </c>
      <c r="M128" s="1385">
        <f>ROUND((1+INDEX(Cust_Esca!$E$10:$U$56,MATCH($D128,Cust_Esca!$C$10:$C$56,0),MATCH(M$7,Cust_Esca!$E$7:$U$7,0)))*L128,$AA$7)</f>
        <v>52119</v>
      </c>
      <c r="N128" s="1385">
        <f>ROUND((1+INDEX(Cust_Esca!$E$10:$U$56,MATCH($D128,Cust_Esca!$C$10:$C$56,0),MATCH(N$7,Cust_Esca!$E$7:$U$7,0)))*M128,$AA$7)</f>
        <v>52119</v>
      </c>
      <c r="O128" s="1385">
        <f>ROUND((1+INDEX(Cust_Esca!$E$10:$U$56,MATCH($D128,Cust_Esca!$C$10:$C$56,0),MATCH(O$7,Cust_Esca!$E$7:$U$7,0)))*N128,$AA$7)</f>
        <v>52119</v>
      </c>
      <c r="P128" s="1385">
        <f>ROUND((1+INDEX(Cust_Esca!$E$10:$U$56,MATCH($D128,Cust_Esca!$C$10:$C$56,0),MATCH(P$7,Cust_Esca!$E$7:$U$7,0)))*O128,$AA$7)</f>
        <v>52119</v>
      </c>
      <c r="Q128" s="1385">
        <f>ROUND((1+INDEX(Cust_Esca!$E$10:$U$56,MATCH($D128,Cust_Esca!$C$10:$C$56,0),MATCH(Q$7,Cust_Esca!$E$7:$U$7,0)))*P128,$AA$7)</f>
        <v>52119</v>
      </c>
      <c r="R128" s="1385">
        <f>ROUND((1+INDEX(Cust_Esca!$E$10:$U$56,MATCH($D128,Cust_Esca!$C$10:$C$56,0),MATCH(R$7,Cust_Esca!$E$7:$U$7,0)))*Q128,$AA$7)</f>
        <v>52119</v>
      </c>
      <c r="S128" s="1385">
        <f>ROUND((1+INDEX(Cust_Esca!$E$10:$U$56,MATCH($D128,Cust_Esca!$C$10:$C$56,0),MATCH(S$7,Cust_Esca!$E$7:$U$7,0)))*R128,$AA$7)</f>
        <v>52119</v>
      </c>
      <c r="T128" s="1385">
        <f>ROUND((1+INDEX(Cust_Esca!$E$10:$U$56,MATCH($D128,Cust_Esca!$C$10:$C$56,0),MATCH(T$7,Cust_Esca!$E$7:$U$7,0)))*S128,$AA$7)</f>
        <v>52119</v>
      </c>
      <c r="U128" s="1385">
        <f>ROUND((1+INDEX(Cust_Esca!$E$10:$U$56,MATCH($D128,Cust_Esca!$C$10:$C$56,0),MATCH(U$7,Cust_Esca!$E$7:$U$7,0)))*T128,$AA$7)</f>
        <v>52119</v>
      </c>
      <c r="V128" s="1385">
        <f>ROUND((1+INDEX(Cust_Esca!$E$10:$U$56,MATCH($D128,Cust_Esca!$C$10:$C$56,0),MATCH(V$7,Cust_Esca!$E$7:$U$7,0)))*U128,$AA$7)</f>
        <v>52119</v>
      </c>
      <c r="W128" s="1385">
        <f>ROUND((1+INDEX(Cust_Esca!$E$10:$U$56,MATCH($D128,Cust_Esca!$C$10:$C$56,0),MATCH(W$7,Cust_Esca!$E$7:$U$7,0)))*V128,$AA$7)</f>
        <v>52119</v>
      </c>
      <c r="Y128" s="1385">
        <f>SUMIF($F$7:$W$7,TY_Units!$H$5,$F128:$W128)</f>
        <v>52119</v>
      </c>
    </row>
    <row r="129" spans="1:25">
      <c r="A129" s="1360"/>
      <c r="C129" s="1367">
        <f>MAX(C$12:C128)+1</f>
        <v>118</v>
      </c>
      <c r="D129" s="1367"/>
      <c r="E129" s="1390"/>
      <c r="F129" s="1392"/>
      <c r="G129" s="1392"/>
      <c r="H129" s="1392"/>
      <c r="I129" s="1392"/>
      <c r="J129" s="1392"/>
      <c r="K129" s="1392"/>
      <c r="L129" s="1392"/>
      <c r="M129" s="1392"/>
      <c r="N129" s="1392"/>
      <c r="O129" s="1392"/>
      <c r="P129" s="1392"/>
      <c r="Q129" s="1392"/>
      <c r="R129" s="1392"/>
      <c r="S129" s="1392"/>
      <c r="T129" s="1392"/>
      <c r="U129" s="1392"/>
      <c r="V129" s="1392"/>
      <c r="W129" s="1392"/>
      <c r="Y129" s="1392"/>
    </row>
    <row r="130" spans="1:25" ht="16.5" thickBot="1">
      <c r="A130" s="1360"/>
      <c r="C130" s="1367">
        <f>MAX(C$12:C129)+1</f>
        <v>119</v>
      </c>
      <c r="D130" s="1367"/>
      <c r="E130" s="1382" t="s">
        <v>23</v>
      </c>
      <c r="F130" s="1380"/>
      <c r="G130" s="1380"/>
      <c r="H130" s="1380"/>
      <c r="I130" s="1380"/>
      <c r="J130" s="1380"/>
      <c r="K130" s="1380"/>
      <c r="L130" s="1380"/>
      <c r="M130" s="1380"/>
      <c r="N130" s="1380"/>
      <c r="O130" s="1380"/>
      <c r="P130" s="1380"/>
      <c r="Q130" s="1380"/>
      <c r="R130" s="1380"/>
      <c r="S130" s="1380"/>
      <c r="T130" s="1380"/>
      <c r="U130" s="1380"/>
      <c r="V130" s="1380"/>
      <c r="W130" s="1380"/>
      <c r="Y130" s="1379"/>
    </row>
    <row r="131" spans="1:25">
      <c r="A131" s="1360"/>
      <c r="C131" s="1367">
        <f>MAX(C$12:C130)+1</f>
        <v>120</v>
      </c>
      <c r="D131" s="1367">
        <f>Cust_Esca!C52</f>
        <v>29</v>
      </c>
      <c r="E131" s="1377" t="s">
        <v>606</v>
      </c>
      <c r="F131" s="1383">
        <v>13</v>
      </c>
      <c r="G131" s="1384">
        <f>ROUND((1+INDEX(Cust_Esca!$E$10:$U$56,MATCH($D131,Cust_Esca!$C$10:$C$56,0),MATCH(G$7,Cust_Esca!$E$7:$U$7,0)))*F131,$AA$7)</f>
        <v>13</v>
      </c>
      <c r="H131" s="1384">
        <f>ROUND((1+INDEX(Cust_Esca!$E$10:$U$56,MATCH($D131,Cust_Esca!$C$10:$C$56,0),MATCH(H$7,Cust_Esca!$E$7:$U$7,0)))*G131,$AA$7)</f>
        <v>13</v>
      </c>
      <c r="I131" s="1393">
        <v>11.25</v>
      </c>
      <c r="J131" s="1394">
        <v>11.083333333333334</v>
      </c>
      <c r="K131" s="1393">
        <v>12</v>
      </c>
      <c r="L131" s="1394">
        <v>11</v>
      </c>
      <c r="M131" s="1394">
        <v>11</v>
      </c>
      <c r="N131" s="1394">
        <v>11</v>
      </c>
      <c r="O131" s="1385">
        <f>ROUND((1+INDEX(Cust_Esca!$E$10:$U$56,MATCH($D131,Cust_Esca!$C$10:$C$56,0),MATCH(O$7,Cust_Esca!$E$7:$U$7,0)))*N131,$AA$7)</f>
        <v>11</v>
      </c>
      <c r="P131" s="1385">
        <f>ROUND((1+INDEX(Cust_Esca!$E$10:$U$56,MATCH($D131,Cust_Esca!$C$10:$C$56,0),MATCH(P$7,Cust_Esca!$E$7:$U$7,0)))*O131,$AA$7)</f>
        <v>11</v>
      </c>
      <c r="Q131" s="1385">
        <f>ROUND((1+INDEX(Cust_Esca!$E$10:$U$56,MATCH($D131,Cust_Esca!$C$10:$C$56,0),MATCH(Q$7,Cust_Esca!$E$7:$U$7,0)))*P131,$AA$7)</f>
        <v>11</v>
      </c>
      <c r="R131" s="1385">
        <f>ROUND((1+INDEX(Cust_Esca!$E$10:$U$56,MATCH($D131,Cust_Esca!$C$10:$C$56,0),MATCH(R$7,Cust_Esca!$E$7:$U$7,0)))*Q131,$AA$7)</f>
        <v>11</v>
      </c>
      <c r="S131" s="1385">
        <f>ROUND((1+INDEX(Cust_Esca!$E$10:$U$56,MATCH($D131,Cust_Esca!$C$10:$C$56,0),MATCH(S$7,Cust_Esca!$E$7:$U$7,0)))*R131,$AA$7)</f>
        <v>11</v>
      </c>
      <c r="T131" s="1385">
        <f>ROUND((1+INDEX(Cust_Esca!$E$10:$U$56,MATCH($D131,Cust_Esca!$C$10:$C$56,0),MATCH(T$7,Cust_Esca!$E$7:$U$7,0)))*S131,$AA$7)</f>
        <v>11</v>
      </c>
      <c r="U131" s="1385">
        <f>ROUND((1+INDEX(Cust_Esca!$E$10:$U$56,MATCH($D131,Cust_Esca!$C$10:$C$56,0),MATCH(U$7,Cust_Esca!$E$7:$U$7,0)))*T131,$AA$7)</f>
        <v>11</v>
      </c>
      <c r="V131" s="1385">
        <f>ROUND((1+INDEX(Cust_Esca!$E$10:$U$56,MATCH($D131,Cust_Esca!$C$10:$C$56,0),MATCH(V$7,Cust_Esca!$E$7:$U$7,0)))*U131,$AA$7)</f>
        <v>11</v>
      </c>
      <c r="W131" s="1385">
        <f>ROUND((1+INDEX(Cust_Esca!$E$10:$U$56,MATCH($D131,Cust_Esca!$C$10:$C$56,0),MATCH(W$7,Cust_Esca!$E$7:$U$7,0)))*V131,$AA$7)</f>
        <v>11</v>
      </c>
      <c r="Y131" s="1385">
        <f>SUMIF($F$7:$W$7,TY_Units!$H$5,$F131:$W131)</f>
        <v>11</v>
      </c>
    </row>
    <row r="132" spans="1:25" ht="16.5" thickBot="1">
      <c r="A132" s="1360"/>
      <c r="C132" s="1367">
        <f>MAX(C$12:C131)+1</f>
        <v>121</v>
      </c>
      <c r="D132" s="1367">
        <f>Cust_Esca!C53</f>
        <v>30</v>
      </c>
      <c r="E132" s="1377" t="s">
        <v>702</v>
      </c>
      <c r="F132" s="1386">
        <v>1274189</v>
      </c>
      <c r="G132" s="1387">
        <f>ROUND((1+INDEX(Cust_Esca!$E$10:$U$56,MATCH($D132,Cust_Esca!$C$10:$C$56,0),MATCH(G$7,Cust_Esca!$E$7:$U$7,0)))*F132,$AA$7)</f>
        <v>1274189</v>
      </c>
      <c r="H132" s="1387">
        <f>ROUND((1+INDEX(Cust_Esca!$E$10:$U$56,MATCH($D132,Cust_Esca!$C$10:$C$56,0),MATCH(H$7,Cust_Esca!$E$7:$U$7,0)))*G132,$AA$7)</f>
        <v>1274189</v>
      </c>
      <c r="I132" s="1388">
        <v>1504943</v>
      </c>
      <c r="J132" s="1389">
        <v>1492664</v>
      </c>
      <c r="K132" s="1388">
        <v>1359716</v>
      </c>
      <c r="L132" s="1389">
        <v>1190607</v>
      </c>
      <c r="M132" s="1389">
        <v>1190607</v>
      </c>
      <c r="N132" s="1389">
        <v>1190607</v>
      </c>
      <c r="O132" s="1385">
        <f>ROUND((1+INDEX(Cust_Esca!$E$10:$U$56,MATCH($D132,Cust_Esca!$C$10:$C$56,0),MATCH(O$7,Cust_Esca!$E$7:$U$7,0)))*N132,$AA$7)</f>
        <v>1190607</v>
      </c>
      <c r="P132" s="1385">
        <f>ROUND((1+INDEX(Cust_Esca!$E$10:$U$56,MATCH($D132,Cust_Esca!$C$10:$C$56,0),MATCH(P$7,Cust_Esca!$E$7:$U$7,0)))*O132,$AA$7)</f>
        <v>1190607</v>
      </c>
      <c r="Q132" s="1385">
        <f>ROUND((1+INDEX(Cust_Esca!$E$10:$U$56,MATCH($D132,Cust_Esca!$C$10:$C$56,0),MATCH(Q$7,Cust_Esca!$E$7:$U$7,0)))*P132,$AA$7)</f>
        <v>1190607</v>
      </c>
      <c r="R132" s="1385">
        <f>ROUND((1+INDEX(Cust_Esca!$E$10:$U$56,MATCH($D132,Cust_Esca!$C$10:$C$56,0),MATCH(R$7,Cust_Esca!$E$7:$U$7,0)))*Q132,$AA$7)</f>
        <v>1190607</v>
      </c>
      <c r="S132" s="1385">
        <f>ROUND((1+INDEX(Cust_Esca!$E$10:$U$56,MATCH($D132,Cust_Esca!$C$10:$C$56,0),MATCH(S$7,Cust_Esca!$E$7:$U$7,0)))*R132,$AA$7)</f>
        <v>1190607</v>
      </c>
      <c r="T132" s="1385">
        <f>ROUND((1+INDEX(Cust_Esca!$E$10:$U$56,MATCH($D132,Cust_Esca!$C$10:$C$56,0),MATCH(T$7,Cust_Esca!$E$7:$U$7,0)))*S132,$AA$7)</f>
        <v>1190607</v>
      </c>
      <c r="U132" s="1385">
        <f>ROUND((1+INDEX(Cust_Esca!$E$10:$U$56,MATCH($D132,Cust_Esca!$C$10:$C$56,0),MATCH(U$7,Cust_Esca!$E$7:$U$7,0)))*T132,$AA$7)</f>
        <v>1190607</v>
      </c>
      <c r="V132" s="1385">
        <f>ROUND((1+INDEX(Cust_Esca!$E$10:$U$56,MATCH($D132,Cust_Esca!$C$10:$C$56,0),MATCH(V$7,Cust_Esca!$E$7:$U$7,0)))*U132,$AA$7)</f>
        <v>1190607</v>
      </c>
      <c r="W132" s="1385">
        <f>ROUND((1+INDEX(Cust_Esca!$E$10:$U$56,MATCH($D132,Cust_Esca!$C$10:$C$56,0),MATCH(W$7,Cust_Esca!$E$7:$U$7,0)))*V132,$AA$7)</f>
        <v>1190607</v>
      </c>
      <c r="Y132" s="1385">
        <f>SUMIF($F$7:$W$7,TY_Units!$H$5,$F132:$W132)</f>
        <v>1190607</v>
      </c>
    </row>
    <row r="133" spans="1:25">
      <c r="A133" s="1360"/>
      <c r="C133" s="1367">
        <f>MAX(C$12:C132)+1</f>
        <v>122</v>
      </c>
      <c r="D133" s="1367"/>
      <c r="E133" s="1390"/>
      <c r="F133" s="1392"/>
      <c r="G133" s="1392"/>
      <c r="H133" s="1392"/>
      <c r="I133" s="1392"/>
      <c r="J133" s="1392"/>
      <c r="K133" s="1392"/>
      <c r="L133" s="1392"/>
      <c r="M133" s="1392"/>
      <c r="N133" s="1392"/>
      <c r="O133" s="1392"/>
      <c r="P133" s="1392"/>
      <c r="Q133" s="1392"/>
      <c r="R133" s="1392"/>
      <c r="S133" s="1392"/>
      <c r="T133" s="1392"/>
      <c r="U133" s="1392"/>
      <c r="V133" s="1392"/>
      <c r="W133" s="1392"/>
      <c r="Y133" s="1392"/>
    </row>
    <row r="134" spans="1:25" ht="16.5" thickBot="1">
      <c r="A134" s="1360"/>
      <c r="C134" s="1367">
        <f>MAX(C$12:C133)+1</f>
        <v>123</v>
      </c>
      <c r="D134" s="1367"/>
      <c r="E134" s="1382" t="s">
        <v>66</v>
      </c>
      <c r="F134" s="1380"/>
      <c r="G134" s="1380"/>
      <c r="H134" s="1380"/>
      <c r="I134" s="1380"/>
      <c r="J134" s="1380"/>
      <c r="K134" s="1380"/>
      <c r="L134" s="1380"/>
      <c r="M134" s="1380"/>
      <c r="N134" s="1380"/>
      <c r="O134" s="1380"/>
      <c r="P134" s="1380"/>
      <c r="Q134" s="1380"/>
      <c r="R134" s="1380"/>
      <c r="S134" s="1380"/>
      <c r="T134" s="1380"/>
      <c r="U134" s="1380"/>
      <c r="V134" s="1380"/>
      <c r="W134" s="1380"/>
      <c r="Y134" s="1379"/>
    </row>
    <row r="135" spans="1:25">
      <c r="A135" s="1360"/>
      <c r="C135" s="1367">
        <f>MAX(C$12:C134)+1</f>
        <v>124</v>
      </c>
      <c r="D135" s="1367">
        <f>Cust_Esca!C55</f>
        <v>31</v>
      </c>
      <c r="E135" s="1377" t="s">
        <v>606</v>
      </c>
      <c r="F135" s="1383">
        <v>0</v>
      </c>
      <c r="G135" s="1384">
        <f>ROUND((1+INDEX(Cust_Esca!$E$10:$U$56,MATCH($D135,Cust_Esca!$C$10:$C$56,0),MATCH(G$7,Cust_Esca!$E$7:$U$7,0)))*F135,$AA$7)</f>
        <v>0</v>
      </c>
      <c r="H135" s="1384">
        <f>ROUND((1+INDEX(Cust_Esca!$E$10:$U$56,MATCH($D135,Cust_Esca!$C$10:$C$56,0),MATCH(H$7,Cust_Esca!$E$7:$U$7,0)))*G135,$AA$7)</f>
        <v>0</v>
      </c>
      <c r="I135" s="1393">
        <v>0</v>
      </c>
      <c r="J135" s="1394">
        <v>0</v>
      </c>
      <c r="K135" s="1393">
        <v>0</v>
      </c>
      <c r="L135" s="1394">
        <v>0</v>
      </c>
      <c r="M135" s="1394">
        <v>0</v>
      </c>
      <c r="N135" s="1394">
        <v>0</v>
      </c>
      <c r="O135" s="1385">
        <f>ROUND((1+INDEX(Cust_Esca!$E$10:$U$56,MATCH($D135,Cust_Esca!$C$10:$C$56,0),MATCH(O$7,Cust_Esca!$E$7:$U$7,0)))*N135,$AA$7)</f>
        <v>0</v>
      </c>
      <c r="P135" s="1385">
        <f>ROUND((1+INDEX(Cust_Esca!$E$10:$U$56,MATCH($D135,Cust_Esca!$C$10:$C$56,0),MATCH(P$7,Cust_Esca!$E$7:$U$7,0)))*O135,$AA$7)</f>
        <v>0</v>
      </c>
      <c r="Q135" s="1385">
        <f>ROUND((1+INDEX(Cust_Esca!$E$10:$U$56,MATCH($D135,Cust_Esca!$C$10:$C$56,0),MATCH(Q$7,Cust_Esca!$E$7:$U$7,0)))*P135,$AA$7)</f>
        <v>0</v>
      </c>
      <c r="R135" s="1385">
        <f>ROUND((1+INDEX(Cust_Esca!$E$10:$U$56,MATCH($D135,Cust_Esca!$C$10:$C$56,0),MATCH(R$7,Cust_Esca!$E$7:$U$7,0)))*Q135,$AA$7)</f>
        <v>0</v>
      </c>
      <c r="S135" s="1385">
        <f>ROUND((1+INDEX(Cust_Esca!$E$10:$U$56,MATCH($D135,Cust_Esca!$C$10:$C$56,0),MATCH(S$7,Cust_Esca!$E$7:$U$7,0)))*R135,$AA$7)</f>
        <v>0</v>
      </c>
      <c r="T135" s="1385">
        <f>ROUND((1+INDEX(Cust_Esca!$E$10:$U$56,MATCH($D135,Cust_Esca!$C$10:$C$56,0),MATCH(T$7,Cust_Esca!$E$7:$U$7,0)))*S135,$AA$7)</f>
        <v>0</v>
      </c>
      <c r="U135" s="1385">
        <f>ROUND((1+INDEX(Cust_Esca!$E$10:$U$56,MATCH($D135,Cust_Esca!$C$10:$C$56,0),MATCH(U$7,Cust_Esca!$E$7:$U$7,0)))*T135,$AA$7)</f>
        <v>0</v>
      </c>
      <c r="V135" s="1385">
        <f>ROUND((1+INDEX(Cust_Esca!$E$10:$U$56,MATCH($D135,Cust_Esca!$C$10:$C$56,0),MATCH(V$7,Cust_Esca!$E$7:$U$7,0)))*U135,$AA$7)</f>
        <v>0</v>
      </c>
      <c r="W135" s="1385">
        <f>ROUND((1+INDEX(Cust_Esca!$E$10:$U$56,MATCH($D135,Cust_Esca!$C$10:$C$56,0),MATCH(W$7,Cust_Esca!$E$7:$U$7,0)))*V135,$AA$7)</f>
        <v>0</v>
      </c>
      <c r="Y135" s="1385">
        <f>SUMIF($F$7:$W$7,TY_Units!$H$5,$F135:$W135)</f>
        <v>0</v>
      </c>
    </row>
    <row r="136" spans="1:25" ht="16.5" thickBot="1">
      <c r="A136" s="1360"/>
      <c r="C136" s="1367">
        <f>MAX(C$12:C135)+1</f>
        <v>125</v>
      </c>
      <c r="D136" s="1367">
        <f>Cust_Esca!C56</f>
        <v>32</v>
      </c>
      <c r="E136" s="1377" t="s">
        <v>702</v>
      </c>
      <c r="F136" s="1386">
        <v>0</v>
      </c>
      <c r="G136" s="1387">
        <f>ROUND((1+INDEX(Cust_Esca!$E$10:$U$56,MATCH($D136,Cust_Esca!$C$10:$C$56,0),MATCH(G$7,Cust_Esca!$E$7:$U$7,0)))*F136,$AA$7)</f>
        <v>0</v>
      </c>
      <c r="H136" s="1387">
        <f>ROUND((1+INDEX(Cust_Esca!$E$10:$U$56,MATCH($D136,Cust_Esca!$C$10:$C$56,0),MATCH(H$7,Cust_Esca!$E$7:$U$7,0)))*G136,$AA$7)</f>
        <v>0</v>
      </c>
      <c r="I136" s="1388">
        <v>0</v>
      </c>
      <c r="J136" s="1389">
        <v>0</v>
      </c>
      <c r="K136" s="1388">
        <v>0</v>
      </c>
      <c r="L136" s="1389">
        <v>0</v>
      </c>
      <c r="M136" s="1389">
        <v>0</v>
      </c>
      <c r="N136" s="1389">
        <v>0</v>
      </c>
      <c r="O136" s="1385">
        <f>ROUND((1+INDEX(Cust_Esca!$E$10:$U$56,MATCH($D136,Cust_Esca!$C$10:$C$56,0),MATCH(O$7,Cust_Esca!$E$7:$U$7,0)))*N136,$AA$7)</f>
        <v>0</v>
      </c>
      <c r="P136" s="1385">
        <f>ROUND((1+INDEX(Cust_Esca!$E$10:$U$56,MATCH($D136,Cust_Esca!$C$10:$C$56,0),MATCH(P$7,Cust_Esca!$E$7:$U$7,0)))*O136,$AA$7)</f>
        <v>0</v>
      </c>
      <c r="Q136" s="1385">
        <f>ROUND((1+INDEX(Cust_Esca!$E$10:$U$56,MATCH($D136,Cust_Esca!$C$10:$C$56,0),MATCH(Q$7,Cust_Esca!$E$7:$U$7,0)))*P136,$AA$7)</f>
        <v>0</v>
      </c>
      <c r="R136" s="1385">
        <f>ROUND((1+INDEX(Cust_Esca!$E$10:$U$56,MATCH($D136,Cust_Esca!$C$10:$C$56,0),MATCH(R$7,Cust_Esca!$E$7:$U$7,0)))*Q136,$AA$7)</f>
        <v>0</v>
      </c>
      <c r="S136" s="1385">
        <f>ROUND((1+INDEX(Cust_Esca!$E$10:$U$56,MATCH($D136,Cust_Esca!$C$10:$C$56,0),MATCH(S$7,Cust_Esca!$E$7:$U$7,0)))*R136,$AA$7)</f>
        <v>0</v>
      </c>
      <c r="T136" s="1385">
        <f>ROUND((1+INDEX(Cust_Esca!$E$10:$U$56,MATCH($D136,Cust_Esca!$C$10:$C$56,0),MATCH(T$7,Cust_Esca!$E$7:$U$7,0)))*S136,$AA$7)</f>
        <v>0</v>
      </c>
      <c r="U136" s="1385">
        <f>ROUND((1+INDEX(Cust_Esca!$E$10:$U$56,MATCH($D136,Cust_Esca!$C$10:$C$56,0),MATCH(U$7,Cust_Esca!$E$7:$U$7,0)))*T136,$AA$7)</f>
        <v>0</v>
      </c>
      <c r="V136" s="1385">
        <f>ROUND((1+INDEX(Cust_Esca!$E$10:$U$56,MATCH($D136,Cust_Esca!$C$10:$C$56,0),MATCH(V$7,Cust_Esca!$E$7:$U$7,0)))*U136,$AA$7)</f>
        <v>0</v>
      </c>
      <c r="W136" s="1385">
        <f>ROUND((1+INDEX(Cust_Esca!$E$10:$U$56,MATCH($D136,Cust_Esca!$C$10:$C$56,0),MATCH(W$7,Cust_Esca!$E$7:$U$7,0)))*V136,$AA$7)</f>
        <v>0</v>
      </c>
      <c r="Y136" s="1385">
        <f>SUMIF($F$7:$W$7,TY_Units!$H$5,$F136:$W136)</f>
        <v>0</v>
      </c>
    </row>
    <row r="137" spans="1:25">
      <c r="A137" s="1360"/>
      <c r="C137" s="1367">
        <f>MAX(C$12:C136)+1</f>
        <v>126</v>
      </c>
      <c r="D137" s="1366"/>
      <c r="E137" s="1377"/>
      <c r="F137" s="1366"/>
      <c r="G137" s="1366"/>
      <c r="H137" s="1366"/>
      <c r="I137" s="1366"/>
      <c r="J137" s="1366"/>
      <c r="K137" s="1366"/>
      <c r="L137" s="1366"/>
      <c r="M137" s="1366"/>
      <c r="N137" s="1366"/>
      <c r="O137" s="1366"/>
      <c r="P137" s="1366"/>
      <c r="Q137" s="1366"/>
      <c r="R137" s="1366"/>
      <c r="S137" s="1366"/>
      <c r="T137" s="1366"/>
      <c r="U137" s="1366"/>
      <c r="V137" s="1366"/>
      <c r="W137" s="1366"/>
      <c r="Y137" s="1366"/>
    </row>
    <row r="138" spans="1:25">
      <c r="A138" s="1360"/>
      <c r="C138" s="1367"/>
      <c r="D138" s="1366"/>
      <c r="E138" s="1377"/>
      <c r="F138" s="1366"/>
      <c r="G138" s="1366"/>
      <c r="H138" s="1366"/>
      <c r="I138" s="1366"/>
      <c r="J138" s="1366"/>
      <c r="K138" s="1366"/>
      <c r="L138" s="1366"/>
      <c r="M138" s="1366"/>
      <c r="N138" s="1366"/>
      <c r="O138" s="1366"/>
      <c r="P138" s="1366"/>
      <c r="Q138" s="1366"/>
      <c r="R138" s="1366"/>
      <c r="S138" s="1366"/>
      <c r="T138" s="1366"/>
      <c r="U138" s="1366"/>
      <c r="V138" s="1366"/>
      <c r="W138" s="1366"/>
      <c r="Y138" s="1366"/>
    </row>
    <row r="139" spans="1:25">
      <c r="A139" s="1360"/>
      <c r="C139" s="1367"/>
      <c r="D139" s="1366"/>
      <c r="E139" s="1377"/>
      <c r="F139" s="1366"/>
      <c r="G139" s="1366"/>
      <c r="H139" s="1366"/>
      <c r="I139" s="1366"/>
      <c r="J139" s="1366"/>
      <c r="K139" s="1366"/>
      <c r="L139" s="1366"/>
      <c r="M139" s="1366"/>
      <c r="N139" s="1366"/>
      <c r="O139" s="1366"/>
      <c r="P139" s="1366"/>
      <c r="Q139" s="1366"/>
      <c r="R139" s="1366"/>
      <c r="S139" s="1366"/>
      <c r="T139" s="1366"/>
      <c r="U139" s="1366"/>
      <c r="V139" s="1366"/>
      <c r="W139" s="1366"/>
      <c r="Y139" s="1366"/>
    </row>
    <row r="140" spans="1:25">
      <c r="A140" s="1360"/>
      <c r="C140" s="1367"/>
      <c r="D140" s="1366"/>
      <c r="E140" s="1377"/>
      <c r="F140" s="1366"/>
      <c r="G140" s="1366"/>
      <c r="H140" s="1366"/>
      <c r="I140" s="1366"/>
      <c r="J140" s="1366"/>
      <c r="K140" s="1366"/>
      <c r="L140" s="1366"/>
      <c r="M140" s="1366"/>
      <c r="N140" s="1366"/>
      <c r="O140" s="1366"/>
      <c r="P140" s="1366"/>
      <c r="Q140" s="1366"/>
      <c r="R140" s="1366"/>
      <c r="S140" s="1366"/>
      <c r="T140" s="1366"/>
      <c r="U140" s="1366"/>
      <c r="V140" s="1366"/>
      <c r="W140" s="1366"/>
      <c r="Y140" s="1366"/>
    </row>
    <row r="141" spans="1:25" ht="16.5" thickBot="1">
      <c r="A141" s="1360"/>
      <c r="C141" s="1367"/>
      <c r="D141" s="1366"/>
      <c r="E141" s="1420" t="s">
        <v>3018</v>
      </c>
      <c r="F141" s="1420"/>
      <c r="G141" s="1420"/>
      <c r="H141" s="1379"/>
      <c r="I141" s="1379"/>
      <c r="J141" s="1379"/>
      <c r="K141" s="1379"/>
      <c r="L141" s="1379"/>
      <c r="M141" s="1379"/>
      <c r="N141" s="1379"/>
      <c r="O141" s="1379"/>
      <c r="P141" s="1379"/>
      <c r="Q141" s="1379"/>
      <c r="R141" s="1379"/>
      <c r="S141" s="1379"/>
      <c r="T141" s="1379"/>
      <c r="U141" s="1379"/>
      <c r="V141" s="1379"/>
      <c r="W141" s="1379"/>
      <c r="Y141" s="1379"/>
    </row>
    <row r="142" spans="1:25">
      <c r="A142" s="1360"/>
      <c r="C142" s="1367"/>
      <c r="D142" s="1366"/>
      <c r="E142" s="1421" t="s">
        <v>13</v>
      </c>
      <c r="F142" s="1423">
        <f>F12</f>
        <v>17629</v>
      </c>
      <c r="G142" s="1423">
        <f>G12</f>
        <v>17629</v>
      </c>
      <c r="H142" s="1423">
        <f>H12</f>
        <v>17629</v>
      </c>
      <c r="I142" s="1423">
        <f>I12</f>
        <v>18067</v>
      </c>
      <c r="J142" s="1423">
        <f>J12</f>
        <v>18237</v>
      </c>
      <c r="K142" s="1423">
        <f t="shared" ref="K142:W142" si="19">K12</f>
        <v>18517</v>
      </c>
      <c r="L142" s="1423">
        <f>L12</f>
        <v>18763</v>
      </c>
      <c r="M142" s="1423">
        <f t="shared" si="19"/>
        <v>19186</v>
      </c>
      <c r="N142" s="1423">
        <f t="shared" si="19"/>
        <v>19448</v>
      </c>
      <c r="O142" s="1423">
        <f t="shared" si="19"/>
        <v>19715</v>
      </c>
      <c r="P142" s="1423">
        <f t="shared" si="19"/>
        <v>19985</v>
      </c>
      <c r="Q142" s="1423">
        <f t="shared" si="19"/>
        <v>20260</v>
      </c>
      <c r="R142" s="1423">
        <f t="shared" si="19"/>
        <v>20538</v>
      </c>
      <c r="S142" s="1423">
        <f t="shared" si="19"/>
        <v>20821</v>
      </c>
      <c r="T142" s="1423">
        <f t="shared" si="19"/>
        <v>21108</v>
      </c>
      <c r="U142" s="1423">
        <f t="shared" si="19"/>
        <v>21400</v>
      </c>
      <c r="V142" s="1423">
        <f t="shared" si="19"/>
        <v>21696</v>
      </c>
      <c r="W142" s="1423">
        <f t="shared" si="19"/>
        <v>21996</v>
      </c>
      <c r="Y142" s="1385">
        <f>SUMIF($F$7:$W$7,TY_Units!$H$5,$F142:$W142)</f>
        <v>21400</v>
      </c>
    </row>
    <row r="143" spans="1:25">
      <c r="A143" s="1360"/>
      <c r="C143" s="1367"/>
      <c r="D143" s="1366"/>
      <c r="E143" s="1424" t="s">
        <v>14</v>
      </c>
      <c r="F143" s="1391">
        <f>F16</f>
        <v>17440</v>
      </c>
      <c r="G143" s="1391">
        <f>G16</f>
        <v>17440</v>
      </c>
      <c r="H143" s="1391">
        <f>H16</f>
        <v>17440</v>
      </c>
      <c r="I143" s="1391">
        <f>I16</f>
        <v>17480</v>
      </c>
      <c r="J143" s="1391">
        <f>J16</f>
        <v>17443</v>
      </c>
      <c r="K143" s="1391">
        <f t="shared" ref="K143:W143" si="20">K16</f>
        <v>17481</v>
      </c>
      <c r="L143" s="1391">
        <f t="shared" si="20"/>
        <v>17584.5</v>
      </c>
      <c r="M143" s="1391">
        <f t="shared" si="20"/>
        <v>17981</v>
      </c>
      <c r="N143" s="1391">
        <f t="shared" si="20"/>
        <v>18227</v>
      </c>
      <c r="O143" s="1391">
        <f t="shared" si="20"/>
        <v>18477</v>
      </c>
      <c r="P143" s="1391">
        <f t="shared" si="20"/>
        <v>18730</v>
      </c>
      <c r="Q143" s="1391">
        <f t="shared" si="20"/>
        <v>18987</v>
      </c>
      <c r="R143" s="1391">
        <f t="shared" si="20"/>
        <v>19248</v>
      </c>
      <c r="S143" s="1391">
        <f t="shared" si="20"/>
        <v>19513</v>
      </c>
      <c r="T143" s="1391">
        <f t="shared" si="20"/>
        <v>19782</v>
      </c>
      <c r="U143" s="1391">
        <f t="shared" si="20"/>
        <v>20055</v>
      </c>
      <c r="V143" s="1391">
        <f t="shared" si="20"/>
        <v>20332</v>
      </c>
      <c r="W143" s="1391">
        <f t="shared" si="20"/>
        <v>20613</v>
      </c>
      <c r="Y143" s="1385">
        <f>SUMIF($F$7:$W$7,TY_Units!$H$5,$F143:$W143)</f>
        <v>20055</v>
      </c>
    </row>
    <row r="144" spans="1:25">
      <c r="A144" s="1360"/>
      <c r="C144" s="1367"/>
      <c r="D144" s="1366"/>
      <c r="E144" s="1424" t="s">
        <v>15</v>
      </c>
      <c r="F144" s="1391">
        <f>F20+F33</f>
        <v>4579</v>
      </c>
      <c r="G144" s="1391">
        <f>G20+G33</f>
        <v>4579</v>
      </c>
      <c r="H144" s="1391">
        <f>H20+H33</f>
        <v>4579</v>
      </c>
      <c r="I144" s="1391">
        <f>I20+I33</f>
        <v>4699.4285714285716</v>
      </c>
      <c r="J144" s="1391">
        <f>J20+J33</f>
        <v>4709.4285714285716</v>
      </c>
      <c r="K144" s="1391">
        <f t="shared" ref="K144:W144" si="21">K20+K33</f>
        <v>4708</v>
      </c>
      <c r="L144" s="1391">
        <f>L20+L33</f>
        <v>4521</v>
      </c>
      <c r="M144" s="1391">
        <f t="shared" si="21"/>
        <v>4544</v>
      </c>
      <c r="N144" s="1391">
        <f t="shared" si="21"/>
        <v>4566</v>
      </c>
      <c r="O144" s="1391">
        <f t="shared" si="21"/>
        <v>4589</v>
      </c>
      <c r="P144" s="1391">
        <f t="shared" si="21"/>
        <v>4612</v>
      </c>
      <c r="Q144" s="1391">
        <f t="shared" si="21"/>
        <v>4635</v>
      </c>
      <c r="R144" s="1391">
        <f t="shared" si="21"/>
        <v>4658</v>
      </c>
      <c r="S144" s="1391">
        <f t="shared" si="21"/>
        <v>4682</v>
      </c>
      <c r="T144" s="1391">
        <f t="shared" si="21"/>
        <v>4705</v>
      </c>
      <c r="U144" s="1391">
        <f t="shared" si="21"/>
        <v>4729</v>
      </c>
      <c r="V144" s="1391">
        <f t="shared" si="21"/>
        <v>4752</v>
      </c>
      <c r="W144" s="1391">
        <f t="shared" si="21"/>
        <v>4776</v>
      </c>
      <c r="Y144" s="1385">
        <f>SUMIF($F$7:$W$7,TY_Units!$H$5,$F144:$W144)</f>
        <v>4729</v>
      </c>
    </row>
    <row r="145" spans="1:25">
      <c r="A145" s="1360"/>
      <c r="C145" s="1367"/>
      <c r="D145" s="1366"/>
      <c r="E145" s="1424" t="s">
        <v>21</v>
      </c>
      <c r="F145" s="1391">
        <f t="shared" ref="F145:K145" si="22">F46+F53</f>
        <v>5960</v>
      </c>
      <c r="G145" s="1391">
        <f t="shared" si="22"/>
        <v>5960</v>
      </c>
      <c r="H145" s="1391">
        <f t="shared" si="22"/>
        <v>5960</v>
      </c>
      <c r="I145" s="1391">
        <f t="shared" si="22"/>
        <v>6141.0833333333339</v>
      </c>
      <c r="J145" s="1391">
        <f t="shared" si="22"/>
        <v>6341.6666666666661</v>
      </c>
      <c r="K145" s="1391">
        <f t="shared" si="22"/>
        <v>6337</v>
      </c>
      <c r="L145" s="1391">
        <f>L46+L53+L60+L67</f>
        <v>6260</v>
      </c>
      <c r="M145" s="1391">
        <f t="shared" ref="M145:W145" si="23">M46+M53+M60+M67</f>
        <v>6550</v>
      </c>
      <c r="N145" s="1391">
        <f t="shared" si="23"/>
        <v>6745</v>
      </c>
      <c r="O145" s="1391">
        <f t="shared" si="23"/>
        <v>6943</v>
      </c>
      <c r="P145" s="1391">
        <f t="shared" si="23"/>
        <v>7143</v>
      </c>
      <c r="Q145" s="1391">
        <f t="shared" si="23"/>
        <v>7348</v>
      </c>
      <c r="R145" s="1391">
        <f t="shared" si="23"/>
        <v>7555</v>
      </c>
      <c r="S145" s="1391">
        <f t="shared" si="23"/>
        <v>7766</v>
      </c>
      <c r="T145" s="1391">
        <f t="shared" si="23"/>
        <v>7980</v>
      </c>
      <c r="U145" s="1391">
        <f t="shared" si="23"/>
        <v>8196</v>
      </c>
      <c r="V145" s="1391">
        <f t="shared" si="23"/>
        <v>8417</v>
      </c>
      <c r="W145" s="1391">
        <f t="shared" si="23"/>
        <v>8640</v>
      </c>
      <c r="Y145" s="1385">
        <f>SUMIF($F$7:$W$7,TY_Units!$H$5,$F145:$W145)</f>
        <v>8196</v>
      </c>
    </row>
    <row r="146" spans="1:25">
      <c r="A146" s="1360"/>
      <c r="C146" s="1367"/>
      <c r="D146" s="1366"/>
      <c r="E146" s="1424" t="s">
        <v>22</v>
      </c>
      <c r="F146" s="1391">
        <f>F74</f>
        <v>91</v>
      </c>
      <c r="G146" s="1391">
        <f>G74</f>
        <v>91</v>
      </c>
      <c r="H146" s="1391">
        <f>H74</f>
        <v>91</v>
      </c>
      <c r="I146" s="1391">
        <f>I74</f>
        <v>93.333333333333329</v>
      </c>
      <c r="J146" s="1391">
        <f>J74</f>
        <v>95.25</v>
      </c>
      <c r="K146" s="1391">
        <f t="shared" ref="K146:W146" si="24">K74</f>
        <v>93</v>
      </c>
      <c r="L146" s="1391">
        <f>L74</f>
        <v>98</v>
      </c>
      <c r="M146" s="1391">
        <f t="shared" si="24"/>
        <v>101</v>
      </c>
      <c r="N146" s="1391">
        <f t="shared" si="24"/>
        <v>103</v>
      </c>
      <c r="O146" s="1391">
        <f t="shared" si="24"/>
        <v>105</v>
      </c>
      <c r="P146" s="1391">
        <f t="shared" si="24"/>
        <v>107</v>
      </c>
      <c r="Q146" s="1391">
        <f t="shared" si="24"/>
        <v>109</v>
      </c>
      <c r="R146" s="1391">
        <f t="shared" si="24"/>
        <v>112</v>
      </c>
      <c r="S146" s="1391">
        <f t="shared" si="24"/>
        <v>114</v>
      </c>
      <c r="T146" s="1391">
        <f t="shared" si="24"/>
        <v>116</v>
      </c>
      <c r="U146" s="1391">
        <f t="shared" si="24"/>
        <v>119</v>
      </c>
      <c r="V146" s="1391">
        <f t="shared" si="24"/>
        <v>121</v>
      </c>
      <c r="W146" s="1391">
        <f t="shared" si="24"/>
        <v>124</v>
      </c>
      <c r="Y146" s="1385">
        <f>SUMIF($F$7:$W$7,TY_Units!$H$5,$F146:$W146)</f>
        <v>119</v>
      </c>
    </row>
    <row r="147" spans="1:25">
      <c r="A147" s="1360"/>
      <c r="C147" s="1367"/>
      <c r="D147" s="1366"/>
      <c r="E147" s="1424" t="s">
        <v>16</v>
      </c>
      <c r="F147" s="1391">
        <f>F81</f>
        <v>3</v>
      </c>
      <c r="G147" s="1391">
        <f>G81</f>
        <v>3</v>
      </c>
      <c r="H147" s="1391">
        <f>H81</f>
        <v>3</v>
      </c>
      <c r="I147" s="1391">
        <f>I81</f>
        <v>7</v>
      </c>
      <c r="J147" s="1391">
        <f>J81</f>
        <v>7.583333333333333</v>
      </c>
      <c r="K147" s="1391">
        <f t="shared" ref="K147:W147" si="25">K81</f>
        <v>12</v>
      </c>
      <c r="L147" s="1391">
        <f t="shared" si="25"/>
        <v>13</v>
      </c>
      <c r="M147" s="1391">
        <f t="shared" si="25"/>
        <v>13</v>
      </c>
      <c r="N147" s="1391">
        <f t="shared" si="25"/>
        <v>13</v>
      </c>
      <c r="O147" s="1391">
        <f t="shared" si="25"/>
        <v>13</v>
      </c>
      <c r="P147" s="1391">
        <f t="shared" si="25"/>
        <v>13</v>
      </c>
      <c r="Q147" s="1391">
        <f t="shared" si="25"/>
        <v>13</v>
      </c>
      <c r="R147" s="1391">
        <f t="shared" si="25"/>
        <v>13</v>
      </c>
      <c r="S147" s="1391">
        <f t="shared" si="25"/>
        <v>13</v>
      </c>
      <c r="T147" s="1391">
        <f t="shared" si="25"/>
        <v>13</v>
      </c>
      <c r="U147" s="1391">
        <f t="shared" si="25"/>
        <v>13</v>
      </c>
      <c r="V147" s="1391">
        <f t="shared" si="25"/>
        <v>13</v>
      </c>
      <c r="W147" s="1391">
        <f t="shared" si="25"/>
        <v>13</v>
      </c>
      <c r="Y147" s="1385">
        <f>SUMIF($F$7:$W$7,TY_Units!$H$5,$F147:$W147)</f>
        <v>13</v>
      </c>
    </row>
    <row r="148" spans="1:25">
      <c r="A148" s="1360"/>
      <c r="C148" s="1367"/>
      <c r="D148" s="1366"/>
      <c r="E148" s="1424" t="s">
        <v>17</v>
      </c>
      <c r="F148" s="1391">
        <f>F88</f>
        <v>7</v>
      </c>
      <c r="G148" s="1391">
        <f>G88</f>
        <v>7</v>
      </c>
      <c r="H148" s="1391">
        <f>H88</f>
        <v>7</v>
      </c>
      <c r="I148" s="1391">
        <f>I88</f>
        <v>7</v>
      </c>
      <c r="J148" s="1391">
        <f>J88</f>
        <v>7.25</v>
      </c>
      <c r="K148" s="1391">
        <f t="shared" ref="K148:W148" si="26">K88</f>
        <v>7</v>
      </c>
      <c r="L148" s="1391">
        <f t="shared" si="26"/>
        <v>7</v>
      </c>
      <c r="M148" s="1391">
        <f t="shared" si="26"/>
        <v>7</v>
      </c>
      <c r="N148" s="1391">
        <f t="shared" si="26"/>
        <v>7</v>
      </c>
      <c r="O148" s="1391">
        <f t="shared" si="26"/>
        <v>7</v>
      </c>
      <c r="P148" s="1391">
        <f t="shared" si="26"/>
        <v>7</v>
      </c>
      <c r="Q148" s="1391">
        <f t="shared" si="26"/>
        <v>7</v>
      </c>
      <c r="R148" s="1391">
        <f t="shared" si="26"/>
        <v>7</v>
      </c>
      <c r="S148" s="1391">
        <f t="shared" si="26"/>
        <v>7</v>
      </c>
      <c r="T148" s="1391">
        <f t="shared" si="26"/>
        <v>7</v>
      </c>
      <c r="U148" s="1391">
        <f t="shared" si="26"/>
        <v>7</v>
      </c>
      <c r="V148" s="1391">
        <f t="shared" si="26"/>
        <v>7</v>
      </c>
      <c r="W148" s="1391">
        <f t="shared" si="26"/>
        <v>7</v>
      </c>
      <c r="Y148" s="1385">
        <f>SUMIF($F$7:$W$7,TY_Units!$H$5,$F148:$W148)</f>
        <v>7</v>
      </c>
    </row>
    <row r="149" spans="1:25">
      <c r="A149" s="1360"/>
      <c r="C149" s="1367"/>
      <c r="D149" s="1366"/>
      <c r="E149" s="1424" t="s">
        <v>18</v>
      </c>
      <c r="F149" s="1391">
        <f>F98</f>
        <v>10</v>
      </c>
      <c r="G149" s="1391">
        <f>G98</f>
        <v>10</v>
      </c>
      <c r="H149" s="1391">
        <f>H98</f>
        <v>10</v>
      </c>
      <c r="I149" s="1391">
        <f>I98</f>
        <v>9.25</v>
      </c>
      <c r="J149" s="1391">
        <f>J98</f>
        <v>10</v>
      </c>
      <c r="K149" s="1391">
        <f t="shared" ref="K149:W149" si="27">K98</f>
        <v>11</v>
      </c>
      <c r="L149" s="1391">
        <f t="shared" si="27"/>
        <v>11</v>
      </c>
      <c r="M149" s="1391">
        <f t="shared" si="27"/>
        <v>11</v>
      </c>
      <c r="N149" s="1391">
        <f t="shared" si="27"/>
        <v>11</v>
      </c>
      <c r="O149" s="1391">
        <f t="shared" si="27"/>
        <v>11</v>
      </c>
      <c r="P149" s="1391">
        <f t="shared" si="27"/>
        <v>11</v>
      </c>
      <c r="Q149" s="1391">
        <f t="shared" si="27"/>
        <v>11</v>
      </c>
      <c r="R149" s="1391">
        <f t="shared" si="27"/>
        <v>11</v>
      </c>
      <c r="S149" s="1391">
        <f t="shared" si="27"/>
        <v>11</v>
      </c>
      <c r="T149" s="1391">
        <f t="shared" si="27"/>
        <v>11</v>
      </c>
      <c r="U149" s="1391">
        <f t="shared" si="27"/>
        <v>11</v>
      </c>
      <c r="V149" s="1391">
        <f t="shared" si="27"/>
        <v>11</v>
      </c>
      <c r="W149" s="1391">
        <f t="shared" si="27"/>
        <v>11</v>
      </c>
      <c r="Y149" s="1385">
        <f>SUMIF($F$7:$W$7,TY_Units!$H$5,$F149:$W149)</f>
        <v>11</v>
      </c>
    </row>
    <row r="150" spans="1:25">
      <c r="A150" s="1360"/>
      <c r="C150" s="1367"/>
      <c r="D150" s="1366"/>
      <c r="E150" s="1424" t="s">
        <v>19</v>
      </c>
      <c r="F150" s="1391">
        <f>F105</f>
        <v>1</v>
      </c>
      <c r="G150" s="1391">
        <f>G105</f>
        <v>1</v>
      </c>
      <c r="H150" s="1391">
        <f>H105</f>
        <v>1</v>
      </c>
      <c r="I150" s="1391">
        <f>I105</f>
        <v>1</v>
      </c>
      <c r="J150" s="1391">
        <f>J105</f>
        <v>1</v>
      </c>
      <c r="K150" s="1391">
        <f t="shared" ref="K150:W150" si="28">K105</f>
        <v>1</v>
      </c>
      <c r="L150" s="1391">
        <f t="shared" si="28"/>
        <v>1</v>
      </c>
      <c r="M150" s="1391">
        <f t="shared" si="28"/>
        <v>1</v>
      </c>
      <c r="N150" s="1391">
        <f t="shared" si="28"/>
        <v>1</v>
      </c>
      <c r="O150" s="1391">
        <f t="shared" si="28"/>
        <v>1</v>
      </c>
      <c r="P150" s="1391">
        <f t="shared" si="28"/>
        <v>1</v>
      </c>
      <c r="Q150" s="1391">
        <f t="shared" si="28"/>
        <v>1</v>
      </c>
      <c r="R150" s="1391">
        <f t="shared" si="28"/>
        <v>1</v>
      </c>
      <c r="S150" s="1391">
        <f t="shared" si="28"/>
        <v>1</v>
      </c>
      <c r="T150" s="1391">
        <f t="shared" si="28"/>
        <v>1</v>
      </c>
      <c r="U150" s="1391">
        <f t="shared" si="28"/>
        <v>1</v>
      </c>
      <c r="V150" s="1391">
        <f t="shared" si="28"/>
        <v>1</v>
      </c>
      <c r="W150" s="1391">
        <f t="shared" si="28"/>
        <v>1</v>
      </c>
      <c r="Y150" s="1385">
        <f>SUMIF($F$7:$W$7,TY_Units!$H$5,$F150:$W150)</f>
        <v>1</v>
      </c>
    </row>
    <row r="151" spans="1:25">
      <c r="A151" s="1360"/>
      <c r="C151" s="1367"/>
      <c r="D151" s="1366"/>
      <c r="E151" s="1424" t="s">
        <v>20</v>
      </c>
      <c r="F151" s="1391">
        <f>F112</f>
        <v>1</v>
      </c>
      <c r="G151" s="1391">
        <f>G112</f>
        <v>1</v>
      </c>
      <c r="H151" s="1391">
        <f>H112</f>
        <v>1</v>
      </c>
      <c r="I151" s="1391">
        <f>I112</f>
        <v>0</v>
      </c>
      <c r="J151" s="1391">
        <f>J112</f>
        <v>1</v>
      </c>
      <c r="K151" s="1391">
        <f t="shared" ref="K151:W151" si="29">K112</f>
        <v>1</v>
      </c>
      <c r="L151" s="1391">
        <f t="shared" si="29"/>
        <v>0</v>
      </c>
      <c r="M151" s="1391">
        <f t="shared" si="29"/>
        <v>1</v>
      </c>
      <c r="N151" s="1391">
        <f t="shared" si="29"/>
        <v>1</v>
      </c>
      <c r="O151" s="1391">
        <f t="shared" si="29"/>
        <v>1</v>
      </c>
      <c r="P151" s="1391">
        <f t="shared" si="29"/>
        <v>1</v>
      </c>
      <c r="Q151" s="1391">
        <f t="shared" si="29"/>
        <v>1</v>
      </c>
      <c r="R151" s="1391">
        <f t="shared" si="29"/>
        <v>1</v>
      </c>
      <c r="S151" s="1391">
        <f t="shared" si="29"/>
        <v>0</v>
      </c>
      <c r="T151" s="1391">
        <f t="shared" si="29"/>
        <v>0</v>
      </c>
      <c r="U151" s="1391">
        <f t="shared" si="29"/>
        <v>0</v>
      </c>
      <c r="V151" s="1391">
        <f t="shared" si="29"/>
        <v>0</v>
      </c>
      <c r="W151" s="1391">
        <f t="shared" si="29"/>
        <v>0</v>
      </c>
      <c r="Y151" s="1385">
        <f>SUMIF($F$7:$W$7,TY_Units!$H$5,$F151:$W151)</f>
        <v>0</v>
      </c>
    </row>
    <row r="152" spans="1:25">
      <c r="A152" s="1360"/>
      <c r="C152" s="1367"/>
      <c r="D152" s="1366"/>
      <c r="E152" s="1424" t="s">
        <v>4</v>
      </c>
      <c r="F152" s="1391">
        <f>F119</f>
        <v>64</v>
      </c>
      <c r="G152" s="1391">
        <f>G119</f>
        <v>64</v>
      </c>
      <c r="H152" s="1391">
        <f>H119</f>
        <v>64</v>
      </c>
      <c r="I152" s="1391">
        <f>I119</f>
        <v>64.666666666666671</v>
      </c>
      <c r="J152" s="1391">
        <f>J119</f>
        <v>64.75</v>
      </c>
      <c r="K152" s="1391">
        <f t="shared" ref="K152:W152" si="30">K119</f>
        <v>66</v>
      </c>
      <c r="L152" s="1391">
        <f t="shared" si="30"/>
        <v>66</v>
      </c>
      <c r="M152" s="1391">
        <f t="shared" si="30"/>
        <v>66</v>
      </c>
      <c r="N152" s="1391">
        <f t="shared" si="30"/>
        <v>66</v>
      </c>
      <c r="O152" s="1391">
        <f t="shared" si="30"/>
        <v>66</v>
      </c>
      <c r="P152" s="1391">
        <f t="shared" si="30"/>
        <v>66</v>
      </c>
      <c r="Q152" s="1391">
        <f t="shared" si="30"/>
        <v>66</v>
      </c>
      <c r="R152" s="1391">
        <f t="shared" si="30"/>
        <v>66</v>
      </c>
      <c r="S152" s="1391">
        <f t="shared" si="30"/>
        <v>66</v>
      </c>
      <c r="T152" s="1391">
        <f t="shared" si="30"/>
        <v>66</v>
      </c>
      <c r="U152" s="1391">
        <f t="shared" si="30"/>
        <v>66</v>
      </c>
      <c r="V152" s="1391">
        <f t="shared" si="30"/>
        <v>66</v>
      </c>
      <c r="W152" s="1391">
        <f t="shared" si="30"/>
        <v>66</v>
      </c>
      <c r="Y152" s="1385">
        <f>SUMIF($F$7:$W$7,TY_Units!$H$5,$F152:$W152)</f>
        <v>66</v>
      </c>
    </row>
    <row r="153" spans="1:25">
      <c r="A153" s="1360"/>
      <c r="C153" s="1367"/>
      <c r="D153" s="1366"/>
      <c r="E153" s="1424" t="s">
        <v>5</v>
      </c>
      <c r="F153" s="1391">
        <f>F123+F127</f>
        <v>41</v>
      </c>
      <c r="G153" s="1391">
        <f>G123+G127</f>
        <v>41</v>
      </c>
      <c r="H153" s="1391">
        <f>H123+H127</f>
        <v>41</v>
      </c>
      <c r="I153" s="1391">
        <f>I123+I127</f>
        <v>41</v>
      </c>
      <c r="J153" s="1391">
        <f>J123+J127</f>
        <v>40.916666666666664</v>
      </c>
      <c r="K153" s="1391">
        <f t="shared" ref="K153:W153" si="31">K123+K127</f>
        <v>41</v>
      </c>
      <c r="L153" s="1391">
        <f t="shared" si="31"/>
        <v>43</v>
      </c>
      <c r="M153" s="1391">
        <f t="shared" si="31"/>
        <v>43</v>
      </c>
      <c r="N153" s="1391">
        <f t="shared" si="31"/>
        <v>43</v>
      </c>
      <c r="O153" s="1391">
        <f t="shared" si="31"/>
        <v>43</v>
      </c>
      <c r="P153" s="1391">
        <f t="shared" si="31"/>
        <v>43</v>
      </c>
      <c r="Q153" s="1391">
        <f t="shared" si="31"/>
        <v>43</v>
      </c>
      <c r="R153" s="1391">
        <f t="shared" si="31"/>
        <v>43</v>
      </c>
      <c r="S153" s="1391">
        <f t="shared" si="31"/>
        <v>43</v>
      </c>
      <c r="T153" s="1391">
        <f t="shared" si="31"/>
        <v>43</v>
      </c>
      <c r="U153" s="1391">
        <f t="shared" si="31"/>
        <v>43</v>
      </c>
      <c r="V153" s="1391">
        <f t="shared" si="31"/>
        <v>43</v>
      </c>
      <c r="W153" s="1391">
        <f t="shared" si="31"/>
        <v>43</v>
      </c>
      <c r="Y153" s="1385">
        <f>SUMIF($F$7:$W$7,TY_Units!$H$5,$F153:$W153)</f>
        <v>43</v>
      </c>
    </row>
    <row r="154" spans="1:25">
      <c r="A154" s="1360"/>
      <c r="C154" s="1367"/>
      <c r="D154" s="1366"/>
      <c r="E154" s="1424" t="s">
        <v>23</v>
      </c>
      <c r="F154" s="1391">
        <f>F131</f>
        <v>13</v>
      </c>
      <c r="G154" s="1391">
        <f>G131</f>
        <v>13</v>
      </c>
      <c r="H154" s="1391">
        <f>H131</f>
        <v>13</v>
      </c>
      <c r="I154" s="1391">
        <f>I131</f>
        <v>11.25</v>
      </c>
      <c r="J154" s="1391">
        <f>J131</f>
        <v>11.083333333333334</v>
      </c>
      <c r="K154" s="1391">
        <f t="shared" ref="K154:W154" si="32">K131</f>
        <v>12</v>
      </c>
      <c r="L154" s="1391">
        <f t="shared" si="32"/>
        <v>11</v>
      </c>
      <c r="M154" s="1391">
        <f t="shared" si="32"/>
        <v>11</v>
      </c>
      <c r="N154" s="1391">
        <f t="shared" si="32"/>
        <v>11</v>
      </c>
      <c r="O154" s="1391">
        <f t="shared" si="32"/>
        <v>11</v>
      </c>
      <c r="P154" s="1391">
        <f t="shared" si="32"/>
        <v>11</v>
      </c>
      <c r="Q154" s="1391">
        <f t="shared" si="32"/>
        <v>11</v>
      </c>
      <c r="R154" s="1391">
        <f t="shared" si="32"/>
        <v>11</v>
      </c>
      <c r="S154" s="1391">
        <f t="shared" si="32"/>
        <v>11</v>
      </c>
      <c r="T154" s="1391">
        <f t="shared" si="32"/>
        <v>11</v>
      </c>
      <c r="U154" s="1391">
        <f t="shared" si="32"/>
        <v>11</v>
      </c>
      <c r="V154" s="1391">
        <f t="shared" si="32"/>
        <v>11</v>
      </c>
      <c r="W154" s="1391">
        <f t="shared" si="32"/>
        <v>11</v>
      </c>
      <c r="Y154" s="1385">
        <f>SUMIF($F$7:$W$7,TY_Units!$H$5,$F154:$W154)</f>
        <v>11</v>
      </c>
    </row>
    <row r="155" spans="1:25">
      <c r="A155" s="1360"/>
      <c r="C155" s="1367"/>
      <c r="D155" s="1366"/>
      <c r="E155" s="1424" t="s">
        <v>66</v>
      </c>
      <c r="F155" s="1391">
        <f>F135</f>
        <v>0</v>
      </c>
      <c r="G155" s="1391">
        <f>G135</f>
        <v>0</v>
      </c>
      <c r="H155" s="1391">
        <f>H135</f>
        <v>0</v>
      </c>
      <c r="I155" s="1391">
        <f>I135</f>
        <v>0</v>
      </c>
      <c r="J155" s="1391">
        <f>J135</f>
        <v>0</v>
      </c>
      <c r="K155" s="1391">
        <f t="shared" ref="K155:W155" si="33">K135</f>
        <v>0</v>
      </c>
      <c r="L155" s="1391">
        <f t="shared" si="33"/>
        <v>0</v>
      </c>
      <c r="M155" s="1391">
        <f t="shared" si="33"/>
        <v>0</v>
      </c>
      <c r="N155" s="1391">
        <f t="shared" si="33"/>
        <v>0</v>
      </c>
      <c r="O155" s="1391">
        <f t="shared" si="33"/>
        <v>0</v>
      </c>
      <c r="P155" s="1391">
        <f t="shared" si="33"/>
        <v>0</v>
      </c>
      <c r="Q155" s="1391">
        <f t="shared" si="33"/>
        <v>0</v>
      </c>
      <c r="R155" s="1391">
        <f t="shared" si="33"/>
        <v>0</v>
      </c>
      <c r="S155" s="1391">
        <f t="shared" si="33"/>
        <v>0</v>
      </c>
      <c r="T155" s="1391">
        <f t="shared" si="33"/>
        <v>0</v>
      </c>
      <c r="U155" s="1391">
        <f t="shared" si="33"/>
        <v>0</v>
      </c>
      <c r="V155" s="1391">
        <f t="shared" si="33"/>
        <v>0</v>
      </c>
      <c r="W155" s="1391">
        <f t="shared" si="33"/>
        <v>0</v>
      </c>
      <c r="Y155" s="1385">
        <f>SUMIF($F$7:$W$7,TY_Units!$H$5,$F155:$W155)</f>
        <v>0</v>
      </c>
    </row>
    <row r="156" spans="1:25">
      <c r="A156" s="1360"/>
      <c r="C156" s="1367"/>
      <c r="D156" s="1366"/>
      <c r="E156" s="1429"/>
      <c r="F156" s="1379"/>
      <c r="G156" s="1379"/>
      <c r="H156" s="1379"/>
      <c r="I156" s="1379"/>
      <c r="J156" s="1379"/>
      <c r="K156" s="1379"/>
      <c r="L156" s="1379"/>
      <c r="M156" s="1379"/>
      <c r="N156" s="1379"/>
      <c r="O156" s="1379"/>
      <c r="P156" s="1379"/>
      <c r="Q156" s="1379"/>
      <c r="R156" s="1379"/>
      <c r="S156" s="1379"/>
      <c r="T156" s="1379"/>
      <c r="U156" s="1379"/>
      <c r="V156" s="1379"/>
      <c r="W156" s="1379"/>
      <c r="Y156" s="1385">
        <f>SUMIF($F$7:$W$7,TY_Units!$H$5,$F156:$W156)</f>
        <v>0</v>
      </c>
    </row>
    <row r="157" spans="1:25" ht="16.5" thickBot="1">
      <c r="A157" s="1360"/>
      <c r="C157" s="1367"/>
      <c r="D157" s="1366"/>
      <c r="E157" s="1430" t="s">
        <v>3019</v>
      </c>
      <c r="F157" s="1431">
        <f>SUM(F142:F155)</f>
        <v>45839</v>
      </c>
      <c r="G157" s="1431">
        <f>SUM(G142:G155)</f>
        <v>45839</v>
      </c>
      <c r="H157" s="1431">
        <f>SUM(H142:H155)</f>
        <v>45839</v>
      </c>
      <c r="I157" s="1431">
        <f>SUM(I142:I155)</f>
        <v>46622.011904761908</v>
      </c>
      <c r="J157" s="1431">
        <f>SUM(J142:J155)</f>
        <v>46969.928571428572</v>
      </c>
      <c r="K157" s="1431">
        <f t="shared" ref="K157:W157" si="34">SUM(K142:K155)</f>
        <v>47287</v>
      </c>
      <c r="L157" s="1431">
        <f t="shared" si="34"/>
        <v>47378.5</v>
      </c>
      <c r="M157" s="1431">
        <f t="shared" si="34"/>
        <v>48515</v>
      </c>
      <c r="N157" s="1431">
        <f t="shared" si="34"/>
        <v>49242</v>
      </c>
      <c r="O157" s="1431">
        <f t="shared" si="34"/>
        <v>49982</v>
      </c>
      <c r="P157" s="1431">
        <f t="shared" si="34"/>
        <v>50730</v>
      </c>
      <c r="Q157" s="1431">
        <f t="shared" si="34"/>
        <v>51492</v>
      </c>
      <c r="R157" s="1431">
        <f t="shared" si="34"/>
        <v>52264</v>
      </c>
      <c r="S157" s="1431">
        <f t="shared" si="34"/>
        <v>53048</v>
      </c>
      <c r="T157" s="1431">
        <f t="shared" si="34"/>
        <v>53843</v>
      </c>
      <c r="U157" s="1431">
        <f t="shared" si="34"/>
        <v>54651</v>
      </c>
      <c r="V157" s="1431">
        <f t="shared" si="34"/>
        <v>55470</v>
      </c>
      <c r="W157" s="1431">
        <f t="shared" si="34"/>
        <v>56301</v>
      </c>
      <c r="Y157" s="1385">
        <f>SUMIF($F$7:$W$7,TY_Units!$H$5,$F157:$W157)</f>
        <v>54651</v>
      </c>
    </row>
    <row r="158" spans="1:25">
      <c r="A158" s="1360"/>
      <c r="C158" s="1367"/>
      <c r="D158" s="1366"/>
      <c r="E158" s="1432"/>
      <c r="F158" s="1433"/>
      <c r="G158" s="1433"/>
      <c r="H158" s="1433"/>
      <c r="I158" s="1433"/>
      <c r="J158" s="1433"/>
      <c r="K158" s="2587">
        <f>K157/J157-1</f>
        <v>6.7505197094188674E-3</v>
      </c>
      <c r="L158" s="2587">
        <f t="shared" ref="L158:W158" si="35">L157/K157-1</f>
        <v>1.934992704125893E-3</v>
      </c>
      <c r="M158" s="2587">
        <f t="shared" si="35"/>
        <v>2.3987673733866677E-2</v>
      </c>
      <c r="N158" s="2587">
        <f t="shared" si="35"/>
        <v>1.4985056168195454E-2</v>
      </c>
      <c r="O158" s="2587">
        <f t="shared" si="35"/>
        <v>1.5027821778156758E-2</v>
      </c>
      <c r="P158" s="2587">
        <f t="shared" si="35"/>
        <v>1.4965387539514152E-2</v>
      </c>
      <c r="Q158" s="2587">
        <f t="shared" si="35"/>
        <v>1.5020697811945594E-2</v>
      </c>
      <c r="R158" s="2587">
        <f t="shared" si="35"/>
        <v>1.4992620212848529E-2</v>
      </c>
      <c r="S158" s="2587">
        <f t="shared" si="35"/>
        <v>1.5000765345170697E-2</v>
      </c>
      <c r="T158" s="2587">
        <f t="shared" si="35"/>
        <v>1.4986427386517898E-2</v>
      </c>
      <c r="U158" s="2587">
        <f t="shared" si="35"/>
        <v>1.5006593243318544E-2</v>
      </c>
      <c r="V158" s="2587">
        <f t="shared" si="35"/>
        <v>1.4986002085963568E-2</v>
      </c>
      <c r="W158" s="2587">
        <f t="shared" si="35"/>
        <v>1.4981070849107603E-2</v>
      </c>
      <c r="Y158" s="1434"/>
    </row>
    <row r="159" spans="1:25" ht="16.5" thickBot="1">
      <c r="A159" s="1360"/>
      <c r="C159" s="1367"/>
      <c r="D159" s="1366"/>
      <c r="E159" s="1420" t="s">
        <v>3</v>
      </c>
      <c r="F159" s="1420"/>
      <c r="G159" s="1420"/>
      <c r="H159" s="1379"/>
      <c r="I159" s="1379"/>
      <c r="J159" s="1379"/>
      <c r="K159" s="1379"/>
      <c r="L159" s="1379"/>
      <c r="M159" s="1379"/>
      <c r="N159" s="1379"/>
      <c r="O159" s="1379"/>
      <c r="P159" s="1379"/>
      <c r="Q159" s="1379"/>
      <c r="R159" s="1379"/>
      <c r="S159" s="1379"/>
      <c r="T159" s="1379"/>
      <c r="U159" s="1379"/>
      <c r="V159" s="1379"/>
      <c r="W159" s="1379"/>
      <c r="Y159" s="1379"/>
    </row>
    <row r="160" spans="1:25">
      <c r="A160" s="1360"/>
      <c r="C160" s="1367"/>
      <c r="D160" s="1366"/>
      <c r="E160" s="1421" t="s">
        <v>13</v>
      </c>
      <c r="F160" s="1422">
        <f>F13</f>
        <v>368156438.74840677</v>
      </c>
      <c r="G160" s="1422">
        <f t="shared" ref="G160:W160" si="36">G13</f>
        <v>368156439</v>
      </c>
      <c r="H160" s="1423">
        <f t="shared" si="36"/>
        <v>368156439</v>
      </c>
      <c r="I160" s="1423">
        <f t="shared" si="36"/>
        <v>337201713</v>
      </c>
      <c r="J160" s="1423">
        <f t="shared" si="36"/>
        <v>353397643</v>
      </c>
      <c r="K160" s="1423">
        <f t="shared" si="36"/>
        <v>346893491</v>
      </c>
      <c r="L160" s="1423">
        <f t="shared" si="36"/>
        <v>321336012</v>
      </c>
      <c r="M160" s="1423">
        <f t="shared" si="36"/>
        <v>331120363.99830925</v>
      </c>
      <c r="N160" s="1423">
        <f t="shared" si="36"/>
        <v>335651504.20677936</v>
      </c>
      <c r="O160" s="1423">
        <f t="shared" si="36"/>
        <v>340250599</v>
      </c>
      <c r="P160" s="1423">
        <f t="shared" si="36"/>
        <v>344918680</v>
      </c>
      <c r="Q160" s="1423">
        <f t="shared" si="36"/>
        <v>349656782</v>
      </c>
      <c r="R160" s="1423">
        <f t="shared" si="36"/>
        <v>354465955</v>
      </c>
      <c r="S160" s="1423">
        <f t="shared" si="36"/>
        <v>359347266</v>
      </c>
      <c r="T160" s="1423">
        <f t="shared" si="36"/>
        <v>364301797</v>
      </c>
      <c r="U160" s="1423">
        <f t="shared" si="36"/>
        <v>369330646</v>
      </c>
      <c r="V160" s="1423">
        <f t="shared" si="36"/>
        <v>374434927</v>
      </c>
      <c r="W160" s="1423">
        <f t="shared" si="36"/>
        <v>379615773</v>
      </c>
      <c r="Y160" s="1385">
        <f>SUMIF($F$7:$W$7,TY_Units!$H$5,$F160:$W160)</f>
        <v>369330646</v>
      </c>
    </row>
    <row r="161" spans="1:25">
      <c r="A161" s="1360"/>
      <c r="C161" s="1367"/>
      <c r="D161" s="1366"/>
      <c r="E161" s="1424" t="s">
        <v>14</v>
      </c>
      <c r="F161" s="1425">
        <f>F17</f>
        <v>451291829.69159329</v>
      </c>
      <c r="G161" s="1425">
        <f t="shared" ref="G161:W161" si="37">G17</f>
        <v>451291830</v>
      </c>
      <c r="H161" s="1391">
        <f t="shared" si="37"/>
        <v>451291830</v>
      </c>
      <c r="I161" s="1391">
        <f t="shared" si="37"/>
        <v>406210059.32000005</v>
      </c>
      <c r="J161" s="1391">
        <f t="shared" si="37"/>
        <v>421219559.83999997</v>
      </c>
      <c r="K161" s="1391">
        <f t="shared" si="37"/>
        <v>417396310</v>
      </c>
      <c r="L161" s="1391">
        <f t="shared" si="37"/>
        <v>450417437</v>
      </c>
      <c r="M161" s="1391">
        <f t="shared" si="37"/>
        <v>464132186.00169075</v>
      </c>
      <c r="N161" s="1391">
        <f t="shared" si="37"/>
        <v>470483495.79322064</v>
      </c>
      <c r="O161" s="1391">
        <f t="shared" si="37"/>
        <v>476930057</v>
      </c>
      <c r="P161" s="1391">
        <f t="shared" si="37"/>
        <v>483473317</v>
      </c>
      <c r="Q161" s="1391">
        <f t="shared" si="37"/>
        <v>490114726</v>
      </c>
      <c r="R161" s="1391">
        <f t="shared" si="37"/>
        <v>496855756</v>
      </c>
      <c r="S161" s="1391">
        <f t="shared" si="37"/>
        <v>503697901</v>
      </c>
      <c r="T161" s="1391">
        <f t="shared" si="37"/>
        <v>510642678</v>
      </c>
      <c r="U161" s="1391">
        <f t="shared" si="37"/>
        <v>517691627</v>
      </c>
      <c r="V161" s="1391">
        <f t="shared" si="37"/>
        <v>524846310</v>
      </c>
      <c r="W161" s="1391">
        <f t="shared" si="37"/>
        <v>532108313</v>
      </c>
      <c r="Y161" s="1385">
        <f>SUMIF($F$7:$W$7,TY_Units!$H$5,$F161:$W161)</f>
        <v>517691627</v>
      </c>
    </row>
    <row r="162" spans="1:25">
      <c r="A162" s="1360"/>
      <c r="C162" s="1367"/>
      <c r="D162" s="1366"/>
      <c r="E162" s="1424" t="s">
        <v>15</v>
      </c>
      <c r="F162" s="1426">
        <f>F30+F43</f>
        <v>541929777</v>
      </c>
      <c r="G162" s="1426">
        <f t="shared" ref="G162:W162" si="38">G30+G43</f>
        <v>541929777</v>
      </c>
      <c r="H162" s="1391">
        <f t="shared" si="38"/>
        <v>541929777</v>
      </c>
      <c r="I162" s="1391">
        <f t="shared" si="38"/>
        <v>536380972</v>
      </c>
      <c r="J162" s="1391">
        <f t="shared" si="38"/>
        <v>541816055</v>
      </c>
      <c r="K162" s="1391">
        <f t="shared" si="38"/>
        <v>541816054.99999988</v>
      </c>
      <c r="L162" s="1391">
        <f t="shared" si="38"/>
        <v>600030216.99999988</v>
      </c>
      <c r="M162" s="1391">
        <f t="shared" si="38"/>
        <v>619331501.00000012</v>
      </c>
      <c r="N162" s="1391">
        <f t="shared" si="38"/>
        <v>592039600.90576255</v>
      </c>
      <c r="O162" s="1391">
        <f t="shared" si="38"/>
        <v>599556324.90576243</v>
      </c>
      <c r="P162" s="1391">
        <f t="shared" si="38"/>
        <v>607073048.90576243</v>
      </c>
      <c r="Q162" s="1391">
        <f t="shared" si="38"/>
        <v>614589772.90576231</v>
      </c>
      <c r="R162" s="1391">
        <f t="shared" si="38"/>
        <v>622106496.9057622</v>
      </c>
      <c r="S162" s="1391">
        <f t="shared" si="38"/>
        <v>629623220.9057622</v>
      </c>
      <c r="T162" s="1391">
        <f t="shared" si="38"/>
        <v>637139944.90576243</v>
      </c>
      <c r="U162" s="1391">
        <f t="shared" si="38"/>
        <v>644656668.90576231</v>
      </c>
      <c r="V162" s="1391">
        <f t="shared" si="38"/>
        <v>652173392.90576243</v>
      </c>
      <c r="W162" s="1391">
        <f t="shared" si="38"/>
        <v>659690116.90576231</v>
      </c>
      <c r="Y162" s="1385">
        <f>SUMIF($F$7:$W$7,TY_Units!$H$5,$F162:$W162)</f>
        <v>644656668.90576231</v>
      </c>
    </row>
    <row r="163" spans="1:25">
      <c r="A163" s="1360"/>
      <c r="C163" s="1367"/>
      <c r="D163" s="1366"/>
      <c r="E163" s="1424" t="s">
        <v>21</v>
      </c>
      <c r="F163" s="1426">
        <f>F50+F57+F64+F71</f>
        <v>467547306.36000001</v>
      </c>
      <c r="G163" s="1426">
        <f t="shared" ref="G163:W163" si="39">G50+G57+G64+G71</f>
        <v>467567885</v>
      </c>
      <c r="H163" s="1391">
        <f t="shared" si="39"/>
        <v>467543095</v>
      </c>
      <c r="I163" s="1391">
        <f t="shared" si="39"/>
        <v>457851308.36000001</v>
      </c>
      <c r="J163" s="1391">
        <f t="shared" si="39"/>
        <v>471953900.51999998</v>
      </c>
      <c r="K163" s="1391">
        <f t="shared" si="39"/>
        <v>475499525</v>
      </c>
      <c r="L163" s="1391">
        <f t="shared" si="39"/>
        <v>477786696</v>
      </c>
      <c r="M163" s="1391">
        <f t="shared" si="39"/>
        <v>505750549</v>
      </c>
      <c r="N163" s="1391">
        <f t="shared" si="39"/>
        <v>514083273</v>
      </c>
      <c r="O163" s="1391">
        <f t="shared" si="39"/>
        <v>522443672</v>
      </c>
      <c r="P163" s="1391">
        <f t="shared" si="39"/>
        <v>530805401</v>
      </c>
      <c r="Q163" s="1391">
        <f t="shared" si="39"/>
        <v>539157002</v>
      </c>
      <c r="R163" s="1391">
        <f t="shared" si="39"/>
        <v>547514919</v>
      </c>
      <c r="S163" s="1391">
        <f t="shared" si="39"/>
        <v>555872006</v>
      </c>
      <c r="T163" s="1391">
        <f t="shared" si="39"/>
        <v>564227540</v>
      </c>
      <c r="U163" s="1391">
        <f t="shared" si="39"/>
        <v>572584392</v>
      </c>
      <c r="V163" s="1391">
        <f t="shared" si="39"/>
        <v>580940885</v>
      </c>
      <c r="W163" s="1391">
        <f t="shared" si="39"/>
        <v>589297180</v>
      </c>
      <c r="Y163" s="1385">
        <f>SUMIF($F$7:$W$7,TY_Units!$H$5,$F163:$W163)</f>
        <v>572584392</v>
      </c>
    </row>
    <row r="164" spans="1:25">
      <c r="A164" s="1360"/>
      <c r="C164" s="1367"/>
      <c r="D164" s="1366"/>
      <c r="E164" s="1424" t="s">
        <v>22</v>
      </c>
      <c r="F164" s="1425">
        <f>F78</f>
        <v>284379222</v>
      </c>
      <c r="G164" s="1425">
        <f t="shared" ref="G164:W164" si="40">G78</f>
        <v>284379222</v>
      </c>
      <c r="H164" s="1391">
        <f t="shared" si="40"/>
        <v>284379222</v>
      </c>
      <c r="I164" s="1391">
        <f t="shared" si="40"/>
        <v>259582616</v>
      </c>
      <c r="J164" s="1391">
        <f t="shared" si="40"/>
        <v>272746277</v>
      </c>
      <c r="K164" s="1391">
        <f t="shared" si="40"/>
        <v>216405814</v>
      </c>
      <c r="L164" s="1391">
        <f t="shared" si="40"/>
        <v>279777426.00000012</v>
      </c>
      <c r="M164" s="1391">
        <f t="shared" si="40"/>
        <v>254429008.58146161</v>
      </c>
      <c r="N164" s="1391">
        <f t="shared" si="40"/>
        <v>259467206.7711933</v>
      </c>
      <c r="O164" s="1391">
        <f t="shared" si="40"/>
        <v>264505404.96092501</v>
      </c>
      <c r="P164" s="1391">
        <f t="shared" si="40"/>
        <v>269543603.1506567</v>
      </c>
      <c r="Q164" s="1391">
        <f t="shared" si="40"/>
        <v>274581801.34038842</v>
      </c>
      <c r="R164" s="1391">
        <f t="shared" si="40"/>
        <v>282139098.62498689</v>
      </c>
      <c r="S164" s="1391">
        <f t="shared" si="40"/>
        <v>287177296.8147186</v>
      </c>
      <c r="T164" s="1391">
        <f t="shared" si="40"/>
        <v>292215495.00445032</v>
      </c>
      <c r="U164" s="1391">
        <f t="shared" si="40"/>
        <v>299772792.2890479</v>
      </c>
      <c r="V164" s="1391">
        <f t="shared" si="40"/>
        <v>304810990.47878063</v>
      </c>
      <c r="W164" s="1391">
        <f t="shared" si="40"/>
        <v>312368287.76337814</v>
      </c>
      <c r="Y164" s="1385">
        <f>SUMIF($F$7:$W$7,TY_Units!$H$5,$F164:$W164)</f>
        <v>299772792.2890479</v>
      </c>
    </row>
    <row r="165" spans="1:25">
      <c r="A165" s="1360"/>
      <c r="C165" s="1367"/>
      <c r="D165" s="1366"/>
      <c r="E165" s="1424" t="s">
        <v>16</v>
      </c>
      <c r="F165" s="1425">
        <f>F85</f>
        <v>123852000</v>
      </c>
      <c r="G165" s="1425">
        <f t="shared" ref="G165:W165" si="41">G85</f>
        <v>123852000</v>
      </c>
      <c r="H165" s="1391">
        <f t="shared" si="41"/>
        <v>123852000</v>
      </c>
      <c r="I165" s="1391">
        <f t="shared" si="41"/>
        <v>205143000</v>
      </c>
      <c r="J165" s="1391">
        <f t="shared" si="41"/>
        <v>260780000</v>
      </c>
      <c r="K165" s="1391">
        <f t="shared" si="41"/>
        <v>387993744</v>
      </c>
      <c r="L165" s="1391">
        <f t="shared" si="41"/>
        <v>423795000</v>
      </c>
      <c r="M165" s="1391">
        <f t="shared" si="41"/>
        <v>426975866.44766545</v>
      </c>
      <c r="N165" s="1391">
        <f t="shared" si="41"/>
        <v>525621955.40271372</v>
      </c>
      <c r="O165" s="1391">
        <f t="shared" si="41"/>
        <v>588337987.59130085</v>
      </c>
      <c r="P165" s="1391">
        <f t="shared" si="41"/>
        <v>668446166.18804455</v>
      </c>
      <c r="Q165" s="1391">
        <f t="shared" si="41"/>
        <v>767307886.85150206</v>
      </c>
      <c r="R165" s="1391">
        <f t="shared" si="41"/>
        <v>819385641.33416915</v>
      </c>
      <c r="S165" s="1391">
        <f t="shared" si="41"/>
        <v>870334274.9927901</v>
      </c>
      <c r="T165" s="1391">
        <f t="shared" si="41"/>
        <v>902438180.6646018</v>
      </c>
      <c r="U165" s="1391">
        <f t="shared" si="41"/>
        <v>937116705.50784206</v>
      </c>
      <c r="V165" s="1391">
        <f t="shared" si="41"/>
        <v>966846207.68326902</v>
      </c>
      <c r="W165" s="1391">
        <f t="shared" si="41"/>
        <v>992589534.04694307</v>
      </c>
      <c r="Y165" s="1385">
        <f>SUMIF($F$7:$W$7,TY_Units!$H$5,$F165:$W165)</f>
        <v>937116705.50784206</v>
      </c>
    </row>
    <row r="166" spans="1:25">
      <c r="A166" s="1360"/>
      <c r="C166" s="1367"/>
      <c r="D166" s="1366"/>
      <c r="E166" s="1424" t="s">
        <v>17</v>
      </c>
      <c r="F166" s="1427">
        <f>F95</f>
        <v>1223870998</v>
      </c>
      <c r="G166" s="1427">
        <f t="shared" ref="G166:W166" si="42">G95</f>
        <v>1223870998</v>
      </c>
      <c r="H166" s="1391">
        <f t="shared" si="42"/>
        <v>1223870998</v>
      </c>
      <c r="I166" s="1391">
        <f t="shared" si="42"/>
        <v>1494204000</v>
      </c>
      <c r="J166" s="1391">
        <f t="shared" si="42"/>
        <v>1309107000</v>
      </c>
      <c r="K166" s="1391">
        <f t="shared" si="42"/>
        <v>1398437109.7808073</v>
      </c>
      <c r="L166" s="1391">
        <f t="shared" si="42"/>
        <v>1597043000</v>
      </c>
      <c r="M166" s="1391">
        <f t="shared" si="42"/>
        <v>1541608708.5688386</v>
      </c>
      <c r="N166" s="1391">
        <f t="shared" si="42"/>
        <v>1662809657.2908587</v>
      </c>
      <c r="O166" s="1391">
        <f t="shared" si="42"/>
        <v>1793705567.4030573</v>
      </c>
      <c r="P166" s="1391">
        <f t="shared" si="42"/>
        <v>1959591123.7101836</v>
      </c>
      <c r="Q166" s="1391">
        <f t="shared" si="42"/>
        <v>2139938973.0013974</v>
      </c>
      <c r="R166" s="1391">
        <f t="shared" si="42"/>
        <v>2342722679.2837634</v>
      </c>
      <c r="S166" s="1391">
        <f t="shared" si="42"/>
        <v>2438851751.5735645</v>
      </c>
      <c r="T166" s="1391">
        <f t="shared" si="42"/>
        <v>2550030790.4962854</v>
      </c>
      <c r="U166" s="1391">
        <f t="shared" si="42"/>
        <v>2673206552.9506884</v>
      </c>
      <c r="V166" s="1391">
        <f t="shared" si="42"/>
        <v>2741332331.4324422</v>
      </c>
      <c r="W166" s="1391">
        <f t="shared" si="42"/>
        <v>2816278743.9609909</v>
      </c>
      <c r="Y166" s="1385">
        <f>SUMIF($F$7:$W$7,TY_Units!$H$5,$F166:$W166)</f>
        <v>2673206552.9506884</v>
      </c>
    </row>
    <row r="167" spans="1:25">
      <c r="A167" s="1360"/>
      <c r="C167" s="1367"/>
      <c r="D167" s="1366"/>
      <c r="E167" s="1424" t="s">
        <v>18</v>
      </c>
      <c r="F167" s="1427">
        <f>F102</f>
        <v>234200560</v>
      </c>
      <c r="G167" s="1427">
        <f t="shared" ref="G167:W167" si="43">G102</f>
        <v>234200560</v>
      </c>
      <c r="H167" s="1391">
        <f t="shared" si="43"/>
        <v>234200560</v>
      </c>
      <c r="I167" s="1391">
        <f t="shared" si="43"/>
        <v>234209000</v>
      </c>
      <c r="J167" s="1391">
        <f t="shared" si="43"/>
        <v>267654000</v>
      </c>
      <c r="K167" s="1391">
        <f t="shared" si="43"/>
        <v>306673400</v>
      </c>
      <c r="L167" s="1391">
        <f t="shared" si="43"/>
        <v>339666056</v>
      </c>
      <c r="M167" s="1391">
        <f t="shared" si="43"/>
        <v>345675709.04028434</v>
      </c>
      <c r="N167" s="1391">
        <f t="shared" si="43"/>
        <v>363477025.280756</v>
      </c>
      <c r="O167" s="1391">
        <f t="shared" si="43"/>
        <v>367305814.05429423</v>
      </c>
      <c r="P167" s="1391">
        <f t="shared" si="43"/>
        <v>407639390.99949366</v>
      </c>
      <c r="Q167" s="1391">
        <f t="shared" si="43"/>
        <v>410654500.11882758</v>
      </c>
      <c r="R167" s="1391">
        <f t="shared" si="43"/>
        <v>411725975.89426351</v>
      </c>
      <c r="S167" s="1391">
        <f t="shared" si="43"/>
        <v>413784605.77373499</v>
      </c>
      <c r="T167" s="1391">
        <f t="shared" si="43"/>
        <v>415853528.80260366</v>
      </c>
      <c r="U167" s="1391">
        <f t="shared" si="43"/>
        <v>418929393.88013124</v>
      </c>
      <c r="V167" s="1391">
        <f t="shared" si="43"/>
        <v>420022460.4288497</v>
      </c>
      <c r="W167" s="1391">
        <f t="shared" si="43"/>
        <v>422122572.73099405</v>
      </c>
      <c r="Y167" s="1385">
        <f>SUMIF($F$7:$W$7,TY_Units!$H$5,$F167:$W167)</f>
        <v>418929393.88013124</v>
      </c>
    </row>
    <row r="168" spans="1:25">
      <c r="A168" s="1360"/>
      <c r="C168" s="1367"/>
      <c r="D168" s="1366"/>
      <c r="E168" s="1424" t="s">
        <v>19</v>
      </c>
      <c r="F168" s="1427">
        <f>F109</f>
        <v>7785000</v>
      </c>
      <c r="G168" s="1427">
        <f t="shared" ref="G168:W168" si="44">G109</f>
        <v>7785000</v>
      </c>
      <c r="H168" s="1391">
        <f t="shared" si="44"/>
        <v>7785000</v>
      </c>
      <c r="I168" s="1391">
        <f t="shared" si="44"/>
        <v>0</v>
      </c>
      <c r="J168" s="1391">
        <f t="shared" si="44"/>
        <v>0</v>
      </c>
      <c r="K168" s="1391">
        <f t="shared" si="44"/>
        <v>0</v>
      </c>
      <c r="L168" s="1391">
        <f t="shared" si="44"/>
        <v>0</v>
      </c>
      <c r="M168" s="1391">
        <f t="shared" si="44"/>
        <v>0</v>
      </c>
      <c r="N168" s="1391">
        <f t="shared" si="44"/>
        <v>0</v>
      </c>
      <c r="O168" s="1391">
        <f t="shared" si="44"/>
        <v>0</v>
      </c>
      <c r="P168" s="1391">
        <f t="shared" si="44"/>
        <v>0</v>
      </c>
      <c r="Q168" s="1391">
        <f t="shared" si="44"/>
        <v>0</v>
      </c>
      <c r="R168" s="1391">
        <f t="shared" si="44"/>
        <v>0</v>
      </c>
      <c r="S168" s="1391">
        <f t="shared" si="44"/>
        <v>0</v>
      </c>
      <c r="T168" s="1391">
        <f t="shared" si="44"/>
        <v>0</v>
      </c>
      <c r="U168" s="1391">
        <f t="shared" si="44"/>
        <v>0</v>
      </c>
      <c r="V168" s="1391">
        <f t="shared" si="44"/>
        <v>0</v>
      </c>
      <c r="W168" s="1391">
        <f t="shared" si="44"/>
        <v>0</v>
      </c>
      <c r="Y168" s="1385">
        <f>SUMIF($F$7:$W$7,TY_Units!$H$5,$F168:$W168)</f>
        <v>0</v>
      </c>
    </row>
    <row r="169" spans="1:25">
      <c r="A169" s="1360"/>
      <c r="C169" s="1367"/>
      <c r="D169" s="1366"/>
      <c r="E169" s="1424" t="s">
        <v>20</v>
      </c>
      <c r="F169" s="1427">
        <f>F116</f>
        <v>7170002</v>
      </c>
      <c r="G169" s="1427">
        <f t="shared" ref="G169:W169" si="45">G116</f>
        <v>7170002</v>
      </c>
      <c r="H169" s="1391">
        <f t="shared" si="45"/>
        <v>7170002</v>
      </c>
      <c r="I169" s="1391">
        <f t="shared" si="45"/>
        <v>0</v>
      </c>
      <c r="J169" s="1391">
        <f t="shared" si="45"/>
        <v>7660976.3121954184</v>
      </c>
      <c r="K169" s="1391">
        <f t="shared" si="45"/>
        <v>32642930.219192822</v>
      </c>
      <c r="L169" s="1391">
        <f t="shared" si="45"/>
        <v>0</v>
      </c>
      <c r="M169" s="1391">
        <f t="shared" si="45"/>
        <v>26470644.015867002</v>
      </c>
      <c r="N169" s="1391">
        <f t="shared" si="45"/>
        <v>102351609.95582332</v>
      </c>
      <c r="O169" s="1391">
        <f t="shared" si="45"/>
        <v>136166560.78458539</v>
      </c>
      <c r="P169" s="1391">
        <f t="shared" si="45"/>
        <v>173174725.19721323</v>
      </c>
      <c r="Q169" s="1391">
        <f t="shared" si="45"/>
        <v>119421424.45330869</v>
      </c>
      <c r="R169" s="1391">
        <f t="shared" si="45"/>
        <v>24955063.9620924</v>
      </c>
      <c r="S169" s="1391">
        <f t="shared" si="45"/>
        <v>0</v>
      </c>
      <c r="T169" s="1391">
        <f t="shared" si="45"/>
        <v>0</v>
      </c>
      <c r="U169" s="1391">
        <f t="shared" si="45"/>
        <v>0</v>
      </c>
      <c r="V169" s="1391">
        <f t="shared" si="45"/>
        <v>0</v>
      </c>
      <c r="W169" s="1391">
        <f t="shared" si="45"/>
        <v>0</v>
      </c>
      <c r="Y169" s="1385">
        <f>SUMIF($F$7:$W$7,TY_Units!$H$5,$F169:$W169)</f>
        <v>0</v>
      </c>
    </row>
    <row r="170" spans="1:25">
      <c r="A170" s="1360"/>
      <c r="C170" s="1367"/>
      <c r="D170" s="1366"/>
      <c r="E170" s="1424" t="s">
        <v>4</v>
      </c>
      <c r="F170" s="1428">
        <f>F120</f>
        <v>4213797</v>
      </c>
      <c r="G170" s="1428">
        <f t="shared" ref="G170:W170" si="46">G120</f>
        <v>4213797</v>
      </c>
      <c r="H170" s="1391">
        <f t="shared" si="46"/>
        <v>4213797</v>
      </c>
      <c r="I170" s="1391">
        <f t="shared" si="46"/>
        <v>4478243</v>
      </c>
      <c r="J170" s="1391">
        <f t="shared" si="46"/>
        <v>4467488</v>
      </c>
      <c r="K170" s="1391">
        <f t="shared" si="46"/>
        <v>4508876</v>
      </c>
      <c r="L170" s="1391">
        <f t="shared" si="46"/>
        <v>4515848</v>
      </c>
      <c r="M170" s="1391">
        <f t="shared" si="46"/>
        <v>4515848</v>
      </c>
      <c r="N170" s="1391">
        <f t="shared" si="46"/>
        <v>4515848</v>
      </c>
      <c r="O170" s="1391">
        <f t="shared" si="46"/>
        <v>4515848</v>
      </c>
      <c r="P170" s="1391">
        <f t="shared" si="46"/>
        <v>4515848</v>
      </c>
      <c r="Q170" s="1391">
        <f t="shared" si="46"/>
        <v>4515848</v>
      </c>
      <c r="R170" s="1391">
        <f t="shared" si="46"/>
        <v>4515848</v>
      </c>
      <c r="S170" s="1391">
        <f t="shared" si="46"/>
        <v>4515848</v>
      </c>
      <c r="T170" s="1391">
        <f t="shared" si="46"/>
        <v>4515848</v>
      </c>
      <c r="U170" s="1391">
        <f t="shared" si="46"/>
        <v>4515848</v>
      </c>
      <c r="V170" s="1391">
        <f t="shared" si="46"/>
        <v>4515848</v>
      </c>
      <c r="W170" s="1391">
        <f t="shared" si="46"/>
        <v>4515848</v>
      </c>
      <c r="Y170" s="1385">
        <f>SUMIF($F$7:$W$7,TY_Units!$H$5,$F170:$W170)</f>
        <v>4515848</v>
      </c>
    </row>
    <row r="171" spans="1:25">
      <c r="A171" s="1360"/>
      <c r="C171" s="1367"/>
      <c r="D171" s="1366"/>
      <c r="E171" s="1424" t="s">
        <v>5</v>
      </c>
      <c r="F171" s="1428">
        <f>F124+F128</f>
        <v>407995</v>
      </c>
      <c r="G171" s="1428">
        <f t="shared" ref="G171:W171" si="47">G124+G128</f>
        <v>407995</v>
      </c>
      <c r="H171" s="1391">
        <f t="shared" si="47"/>
        <v>407995</v>
      </c>
      <c r="I171" s="1391">
        <f t="shared" si="47"/>
        <v>383030</v>
      </c>
      <c r="J171" s="1391">
        <f t="shared" si="47"/>
        <v>396436</v>
      </c>
      <c r="K171" s="1391">
        <f t="shared" si="47"/>
        <v>358257</v>
      </c>
      <c r="L171" s="1391">
        <f t="shared" si="47"/>
        <v>431238</v>
      </c>
      <c r="M171" s="1391">
        <f t="shared" si="47"/>
        <v>431238</v>
      </c>
      <c r="N171" s="1391">
        <f t="shared" si="47"/>
        <v>431238</v>
      </c>
      <c r="O171" s="1391">
        <f t="shared" si="47"/>
        <v>431238</v>
      </c>
      <c r="P171" s="1391">
        <f t="shared" si="47"/>
        <v>431238</v>
      </c>
      <c r="Q171" s="1391">
        <f t="shared" si="47"/>
        <v>431238</v>
      </c>
      <c r="R171" s="1391">
        <f t="shared" si="47"/>
        <v>431238</v>
      </c>
      <c r="S171" s="1391">
        <f t="shared" si="47"/>
        <v>431238</v>
      </c>
      <c r="T171" s="1391">
        <f t="shared" si="47"/>
        <v>431238</v>
      </c>
      <c r="U171" s="1391">
        <f t="shared" si="47"/>
        <v>431238</v>
      </c>
      <c r="V171" s="1391">
        <f t="shared" si="47"/>
        <v>431238</v>
      </c>
      <c r="W171" s="1391">
        <f t="shared" si="47"/>
        <v>431238</v>
      </c>
      <c r="Y171" s="1385">
        <f>SUMIF($F$7:$W$7,TY_Units!$H$5,$F171:$W171)</f>
        <v>431238</v>
      </c>
    </row>
    <row r="172" spans="1:25">
      <c r="A172" s="1360"/>
      <c r="C172" s="1367"/>
      <c r="D172" s="1366"/>
      <c r="E172" s="1424" t="s">
        <v>23</v>
      </c>
      <c r="F172" s="1428">
        <f>F132</f>
        <v>1274189</v>
      </c>
      <c r="G172" s="1428">
        <f t="shared" ref="G172:W172" si="48">G132</f>
        <v>1274189</v>
      </c>
      <c r="H172" s="1391">
        <f t="shared" si="48"/>
        <v>1274189</v>
      </c>
      <c r="I172" s="1391">
        <f t="shared" si="48"/>
        <v>1504943</v>
      </c>
      <c r="J172" s="1391">
        <f t="shared" si="48"/>
        <v>1492664</v>
      </c>
      <c r="K172" s="1391">
        <f t="shared" si="48"/>
        <v>1359716</v>
      </c>
      <c r="L172" s="1391">
        <f t="shared" si="48"/>
        <v>1190607</v>
      </c>
      <c r="M172" s="1391">
        <f t="shared" si="48"/>
        <v>1190607</v>
      </c>
      <c r="N172" s="1391">
        <f t="shared" si="48"/>
        <v>1190607</v>
      </c>
      <c r="O172" s="1391">
        <f t="shared" si="48"/>
        <v>1190607</v>
      </c>
      <c r="P172" s="1391">
        <f t="shared" si="48"/>
        <v>1190607</v>
      </c>
      <c r="Q172" s="1391">
        <f t="shared" si="48"/>
        <v>1190607</v>
      </c>
      <c r="R172" s="1391">
        <f t="shared" si="48"/>
        <v>1190607</v>
      </c>
      <c r="S172" s="1391">
        <f t="shared" si="48"/>
        <v>1190607</v>
      </c>
      <c r="T172" s="1391">
        <f t="shared" si="48"/>
        <v>1190607</v>
      </c>
      <c r="U172" s="1391">
        <f t="shared" si="48"/>
        <v>1190607</v>
      </c>
      <c r="V172" s="1391">
        <f t="shared" si="48"/>
        <v>1190607</v>
      </c>
      <c r="W172" s="1391">
        <f t="shared" si="48"/>
        <v>1190607</v>
      </c>
      <c r="Y172" s="1385">
        <f>SUMIF($F$7:$W$7,TY_Units!$H$5,$F172:$W172)</f>
        <v>1190607</v>
      </c>
    </row>
    <row r="173" spans="1:25">
      <c r="A173" s="1360"/>
      <c r="C173" s="1367"/>
      <c r="D173" s="1366"/>
      <c r="E173" s="1424" t="s">
        <v>66</v>
      </c>
      <c r="F173" s="1428">
        <f>F136</f>
        <v>0</v>
      </c>
      <c r="G173" s="1428">
        <f t="shared" ref="G173:W173" si="49">G136</f>
        <v>0</v>
      </c>
      <c r="H173" s="1391">
        <f t="shared" si="49"/>
        <v>0</v>
      </c>
      <c r="I173" s="1391">
        <f t="shared" si="49"/>
        <v>0</v>
      </c>
      <c r="J173" s="1391">
        <f t="shared" si="49"/>
        <v>0</v>
      </c>
      <c r="K173" s="1391">
        <f t="shared" si="49"/>
        <v>0</v>
      </c>
      <c r="L173" s="1391">
        <f t="shared" si="49"/>
        <v>0</v>
      </c>
      <c r="M173" s="1391">
        <f t="shared" si="49"/>
        <v>0</v>
      </c>
      <c r="N173" s="1391">
        <f t="shared" si="49"/>
        <v>0</v>
      </c>
      <c r="O173" s="1391">
        <f t="shared" si="49"/>
        <v>0</v>
      </c>
      <c r="P173" s="1391">
        <f t="shared" si="49"/>
        <v>0</v>
      </c>
      <c r="Q173" s="1391">
        <f t="shared" si="49"/>
        <v>0</v>
      </c>
      <c r="R173" s="1391">
        <f t="shared" si="49"/>
        <v>0</v>
      </c>
      <c r="S173" s="1391">
        <f t="shared" si="49"/>
        <v>0</v>
      </c>
      <c r="T173" s="1391">
        <f t="shared" si="49"/>
        <v>0</v>
      </c>
      <c r="U173" s="1391">
        <f t="shared" si="49"/>
        <v>0</v>
      </c>
      <c r="V173" s="1391">
        <f t="shared" si="49"/>
        <v>0</v>
      </c>
      <c r="W173" s="1391">
        <f t="shared" si="49"/>
        <v>0</v>
      </c>
      <c r="Y173" s="1385">
        <f>SUMIF($F$7:$W$7,TY_Units!$H$5,$F173:$W173)</f>
        <v>0</v>
      </c>
    </row>
    <row r="174" spans="1:25">
      <c r="A174" s="1360"/>
      <c r="C174" s="1367"/>
      <c r="D174" s="1366"/>
      <c r="E174" s="1429"/>
      <c r="F174" s="1379"/>
      <c r="G174" s="1379"/>
      <c r="H174" s="1379"/>
      <c r="I174" s="1379"/>
      <c r="J174" s="1379"/>
      <c r="K174" s="1379"/>
      <c r="L174" s="1379"/>
      <c r="M174" s="1379"/>
      <c r="N174" s="1379"/>
      <c r="O174" s="1379"/>
      <c r="P174" s="1379"/>
      <c r="Q174" s="1379"/>
      <c r="R174" s="1379"/>
      <c r="S174" s="1379"/>
      <c r="T174" s="1379"/>
      <c r="U174" s="1379"/>
      <c r="V174" s="1379"/>
      <c r="W174" s="1379"/>
      <c r="Y174" s="1385">
        <f>SUMIF($F$7:$W$7,TY_Units!$H$5,$F174:$W174)</f>
        <v>0</v>
      </c>
    </row>
    <row r="175" spans="1:25" ht="16.5" thickBot="1">
      <c r="A175" s="1360"/>
      <c r="C175" s="1367"/>
      <c r="D175" s="1366"/>
      <c r="E175" s="1430" t="s">
        <v>592</v>
      </c>
      <c r="F175" s="1431">
        <f>SUM(F160:F173)</f>
        <v>3716079114.8000002</v>
      </c>
      <c r="G175" s="1431">
        <f t="shared" ref="G175:W175" si="50">SUM(G160:G173)</f>
        <v>3716099694</v>
      </c>
      <c r="H175" s="1431">
        <f t="shared" si="50"/>
        <v>3716074904</v>
      </c>
      <c r="I175" s="1431">
        <f t="shared" si="50"/>
        <v>3937148884.6800003</v>
      </c>
      <c r="J175" s="1431">
        <f t="shared" si="50"/>
        <v>3912691999.672195</v>
      </c>
      <c r="K175" s="1431">
        <f t="shared" si="50"/>
        <v>4129985228.0000005</v>
      </c>
      <c r="L175" s="1431">
        <f t="shared" si="50"/>
        <v>4495989537</v>
      </c>
      <c r="M175" s="1431">
        <f t="shared" si="50"/>
        <v>4521632229.6541176</v>
      </c>
      <c r="N175" s="1431">
        <f t="shared" si="50"/>
        <v>4832123021.6071081</v>
      </c>
      <c r="O175" s="1431">
        <f t="shared" si="50"/>
        <v>5095339680.6999254</v>
      </c>
      <c r="P175" s="1431">
        <f t="shared" si="50"/>
        <v>5450803149.1513538</v>
      </c>
      <c r="Q175" s="1431">
        <f t="shared" si="50"/>
        <v>5711560561.6711864</v>
      </c>
      <c r="R175" s="1431">
        <f t="shared" si="50"/>
        <v>5908009279.0050373</v>
      </c>
      <c r="S175" s="1431">
        <f t="shared" si="50"/>
        <v>6064826016.0605707</v>
      </c>
      <c r="T175" s="1431">
        <f t="shared" si="50"/>
        <v>6242987647.873704</v>
      </c>
      <c r="U175" s="1431">
        <f t="shared" si="50"/>
        <v>6439426471.5334721</v>
      </c>
      <c r="V175" s="1431">
        <f t="shared" si="50"/>
        <v>6571545197.9291039</v>
      </c>
      <c r="W175" s="1431">
        <f t="shared" si="50"/>
        <v>6710208214.4080687</v>
      </c>
      <c r="Y175" s="1385">
        <f>SUMIF($F$7:$W$7,TY_Units!$H$5,$F175:$W175)</f>
        <v>6439426471.5334721</v>
      </c>
    </row>
    <row r="176" spans="1:25">
      <c r="A176" s="1360"/>
      <c r="C176" s="1367"/>
      <c r="D176" s="1366"/>
      <c r="E176" s="1432" t="s">
        <v>1031</v>
      </c>
      <c r="F176" s="1433">
        <v>3715665511</v>
      </c>
      <c r="G176" s="1433">
        <v>3878154340</v>
      </c>
      <c r="H176" s="1433">
        <v>4038607740</v>
      </c>
      <c r="I176" s="1433">
        <v>3936622263</v>
      </c>
      <c r="J176" s="1433">
        <v>3904509286</v>
      </c>
      <c r="K176" s="1434"/>
      <c r="L176" s="1434">
        <f>L175/K175</f>
        <v>1.0886212150393675</v>
      </c>
      <c r="M176" s="1434">
        <f t="shared" ref="M176:W176" si="51">M175/L175</f>
        <v>1.0057034591480005</v>
      </c>
      <c r="N176" s="1434">
        <f t="shared" si="51"/>
        <v>1.068667856248172</v>
      </c>
      <c r="O176" s="1434">
        <f t="shared" si="51"/>
        <v>1.0544722594842535</v>
      </c>
      <c r="P176" s="1434">
        <f t="shared" si="51"/>
        <v>1.0697624674166177</v>
      </c>
      <c r="Q176" s="1434">
        <f t="shared" si="51"/>
        <v>1.0478383470077122</v>
      </c>
      <c r="R176" s="1434">
        <f t="shared" si="51"/>
        <v>1.0343949285335723</v>
      </c>
      <c r="S176" s="1434">
        <f t="shared" si="51"/>
        <v>1.0265430756198715</v>
      </c>
      <c r="T176" s="1434">
        <f t="shared" si="51"/>
        <v>1.0293762148067125</v>
      </c>
      <c r="U176" s="1434">
        <f t="shared" si="51"/>
        <v>1.0314655153493173</v>
      </c>
      <c r="V176" s="1434">
        <f t="shared" si="51"/>
        <v>1.0205171573865599</v>
      </c>
      <c r="W176" s="1434">
        <f t="shared" si="51"/>
        <v>1.0211005193303184</v>
      </c>
      <c r="Y176" s="1434"/>
    </row>
    <row r="177" spans="1:25">
      <c r="A177" s="1360"/>
      <c r="C177" s="1367"/>
      <c r="D177" s="1366"/>
      <c r="E177" s="1377"/>
      <c r="F177" s="1366"/>
      <c r="G177" s="1366"/>
      <c r="H177" s="1435"/>
      <c r="I177" s="2900">
        <f>I175/I176-1</f>
        <v>1.3377500933975384E-4</v>
      </c>
      <c r="J177" s="2900">
        <f>J175/J176-1</f>
        <v>2.0957085955806143E-3</v>
      </c>
      <c r="K177" s="1435"/>
      <c r="L177" s="1435"/>
      <c r="M177" s="1435"/>
      <c r="N177" s="1435"/>
      <c r="O177" s="1435"/>
      <c r="P177" s="1435"/>
      <c r="Q177" s="1435"/>
      <c r="R177" s="1435"/>
      <c r="S177" s="1435"/>
      <c r="T177" s="1435"/>
      <c r="U177" s="1435"/>
      <c r="V177" s="1435"/>
      <c r="W177" s="1435"/>
      <c r="Y177" s="1435"/>
    </row>
    <row r="178" spans="1:25">
      <c r="A178" s="1360"/>
      <c r="C178" s="1367"/>
      <c r="D178" s="1366"/>
      <c r="E178" s="1377"/>
      <c r="F178" s="1366"/>
      <c r="G178" s="1366"/>
      <c r="H178" s="1435"/>
      <c r="I178" s="1458"/>
      <c r="J178" s="1435"/>
      <c r="K178" s="2587"/>
      <c r="L178" s="2587"/>
      <c r="M178" s="1435"/>
      <c r="N178" s="1435"/>
      <c r="O178" s="1435"/>
      <c r="P178" s="1435"/>
      <c r="Q178" s="1435"/>
      <c r="R178" s="1435"/>
      <c r="S178" s="1435"/>
      <c r="T178" s="1435"/>
      <c r="U178" s="1435"/>
      <c r="V178" s="1435"/>
      <c r="W178" s="1435"/>
      <c r="Y178" s="1435"/>
    </row>
    <row r="179" spans="1:25">
      <c r="A179" s="1360"/>
      <c r="C179" s="1367"/>
      <c r="D179" s="1366"/>
      <c r="E179" s="1377"/>
      <c r="F179" s="1366"/>
      <c r="G179" s="1366"/>
      <c r="H179" s="1435"/>
      <c r="I179" s="1458"/>
      <c r="J179" s="1435"/>
      <c r="K179" s="2587"/>
      <c r="L179" s="2587"/>
      <c r="M179" s="1435"/>
      <c r="N179" s="1435"/>
      <c r="O179" s="1435"/>
      <c r="P179" s="1435"/>
      <c r="Q179" s="1435"/>
      <c r="R179" s="1435"/>
      <c r="S179" s="1435"/>
      <c r="T179" s="1435"/>
      <c r="U179" s="1435"/>
      <c r="V179" s="1435"/>
      <c r="W179" s="1435"/>
      <c r="Y179" s="1435"/>
    </row>
    <row r="180" spans="1:25" ht="23.25">
      <c r="A180" s="1360"/>
      <c r="C180" s="1367"/>
      <c r="D180" s="4396" t="s">
        <v>914</v>
      </c>
      <c r="E180" s="4396"/>
      <c r="F180" s="4396"/>
      <c r="G180" s="4396"/>
      <c r="H180" s="4396"/>
      <c r="I180" s="4396"/>
      <c r="J180" s="4396"/>
      <c r="K180" s="4396"/>
      <c r="L180" s="1362"/>
      <c r="M180" s="1362"/>
      <c r="N180" s="1362"/>
      <c r="O180" s="1362"/>
      <c r="P180" s="1362"/>
      <c r="Q180" s="1362"/>
      <c r="R180" s="1362"/>
      <c r="S180" s="1362"/>
      <c r="T180" s="1362"/>
      <c r="U180" s="1362"/>
      <c r="V180" s="1362"/>
      <c r="W180" s="1362"/>
      <c r="Y180" s="1362"/>
    </row>
    <row r="181" spans="1:25" ht="23.25" hidden="1">
      <c r="A181" s="1360"/>
      <c r="C181" s="1367"/>
      <c r="D181" s="1366"/>
      <c r="E181" s="1377"/>
      <c r="F181" s="4396"/>
      <c r="G181" s="4396"/>
      <c r="H181" s="4396"/>
      <c r="I181" s="4396"/>
      <c r="J181" s="4396"/>
      <c r="K181" s="4396"/>
      <c r="L181" s="1362"/>
      <c r="M181" s="1362"/>
      <c r="N181" s="1362"/>
      <c r="O181" s="1362"/>
      <c r="P181" s="1362"/>
      <c r="Q181" s="1362"/>
      <c r="R181" s="1362"/>
      <c r="S181" s="1362"/>
      <c r="T181" s="1362"/>
      <c r="U181" s="1362"/>
      <c r="V181" s="1362"/>
      <c r="W181" s="1362"/>
      <c r="Y181" s="1362"/>
    </row>
    <row r="182" spans="1:25" ht="23.25">
      <c r="A182" s="1360"/>
      <c r="C182" s="1367"/>
      <c r="D182" s="4396" t="s">
        <v>717</v>
      </c>
      <c r="E182" s="4396"/>
      <c r="F182" s="4396"/>
      <c r="G182" s="4396"/>
      <c r="H182" s="4396"/>
      <c r="I182" s="4396"/>
      <c r="J182" s="4396"/>
      <c r="K182" s="4396"/>
      <c r="L182" s="1362"/>
      <c r="M182" s="2588"/>
      <c r="N182" s="1362"/>
      <c r="O182" s="1362"/>
      <c r="P182" s="1362"/>
      <c r="Q182" s="1362"/>
      <c r="R182" s="1362"/>
      <c r="S182" s="1362"/>
      <c r="T182" s="1362"/>
      <c r="U182" s="1362"/>
      <c r="V182" s="1362"/>
      <c r="W182" s="1362"/>
      <c r="Y182" s="1362"/>
    </row>
    <row r="183" spans="1:25" ht="23.25">
      <c r="A183" s="1360"/>
      <c r="C183" s="1367"/>
      <c r="D183" s="4396" t="s">
        <v>522</v>
      </c>
      <c r="E183" s="4396"/>
      <c r="F183" s="4396"/>
      <c r="G183" s="4396"/>
      <c r="H183" s="4396"/>
      <c r="I183" s="4396"/>
      <c r="J183" s="4396"/>
      <c r="K183" s="4396"/>
      <c r="L183" s="1362"/>
      <c r="M183" s="1362"/>
      <c r="N183" s="1362"/>
      <c r="O183" s="1362"/>
      <c r="P183" s="1362"/>
      <c r="Q183" s="1362"/>
      <c r="R183" s="1362"/>
      <c r="S183" s="1362"/>
      <c r="T183" s="1362"/>
      <c r="U183" s="1362"/>
      <c r="V183" s="1362"/>
      <c r="W183" s="1362"/>
      <c r="Y183" s="1362"/>
    </row>
    <row r="184" spans="1:25">
      <c r="A184" s="1360"/>
      <c r="C184" s="1367"/>
      <c r="D184" s="1366"/>
      <c r="E184" s="1377"/>
      <c r="F184" s="1366"/>
      <c r="G184" s="1366"/>
      <c r="H184" s="1366"/>
      <c r="I184" s="1366"/>
      <c r="J184" s="1366"/>
      <c r="K184" s="1366"/>
      <c r="L184" s="1366"/>
      <c r="M184" s="1366"/>
      <c r="N184" s="1366"/>
      <c r="O184" s="1366"/>
      <c r="P184" s="1366"/>
      <c r="Q184" s="1366"/>
      <c r="R184" s="1366"/>
      <c r="S184" s="1366"/>
      <c r="T184" s="1366"/>
      <c r="U184" s="1366"/>
      <c r="V184" s="1366"/>
      <c r="W184" s="1366"/>
      <c r="Y184" s="1366"/>
    </row>
    <row r="185" spans="1:25" ht="15.75" customHeight="1">
      <c r="A185" s="1360"/>
      <c r="C185" s="1367"/>
      <c r="D185" s="1436" t="s">
        <v>867</v>
      </c>
      <c r="E185" s="1377"/>
      <c r="F185" s="1437"/>
      <c r="G185" s="1438"/>
      <c r="H185" s="1439"/>
      <c r="I185" s="1439"/>
      <c r="J185" s="1439"/>
      <c r="K185" s="1439"/>
      <c r="L185" s="1440"/>
      <c r="M185" s="1440"/>
      <c r="N185" s="1440"/>
      <c r="O185" s="1440"/>
      <c r="P185" s="1440"/>
      <c r="Q185" s="1440"/>
      <c r="R185" s="1440"/>
      <c r="S185" s="1440"/>
      <c r="T185" s="1440"/>
      <c r="U185" s="1440"/>
      <c r="V185" s="1440"/>
      <c r="W185" s="1440"/>
      <c r="Y185" s="1440"/>
    </row>
    <row r="186" spans="1:25" ht="15.75" customHeight="1">
      <c r="A186" s="1360"/>
      <c r="C186" s="1367" t="s">
        <v>871</v>
      </c>
      <c r="D186" s="1441" t="s">
        <v>219</v>
      </c>
      <c r="E186" s="1441" t="s">
        <v>399</v>
      </c>
      <c r="F186" s="1442">
        <f t="shared" ref="F186:W186" si="52">F7</f>
        <v>2009</v>
      </c>
      <c r="G186" s="1442">
        <f t="shared" si="52"/>
        <v>2010</v>
      </c>
      <c r="H186" s="1442">
        <f t="shared" si="52"/>
        <v>2011</v>
      </c>
      <c r="I186" s="1442">
        <f t="shared" si="52"/>
        <v>2012</v>
      </c>
      <c r="J186" s="1442">
        <f t="shared" si="52"/>
        <v>2013</v>
      </c>
      <c r="K186" s="1442">
        <f t="shared" si="52"/>
        <v>2014</v>
      </c>
      <c r="L186" s="1442">
        <f t="shared" si="52"/>
        <v>2015</v>
      </c>
      <c r="M186" s="1442">
        <f t="shared" si="52"/>
        <v>2016</v>
      </c>
      <c r="N186" s="1442">
        <f t="shared" si="52"/>
        <v>2017</v>
      </c>
      <c r="O186" s="1442">
        <f t="shared" si="52"/>
        <v>2018</v>
      </c>
      <c r="P186" s="1442">
        <f t="shared" si="52"/>
        <v>2019</v>
      </c>
      <c r="Q186" s="1442">
        <f t="shared" si="52"/>
        <v>2020</v>
      </c>
      <c r="R186" s="1442">
        <f t="shared" si="52"/>
        <v>2021</v>
      </c>
      <c r="S186" s="1442">
        <f t="shared" si="52"/>
        <v>2022</v>
      </c>
      <c r="T186" s="1442">
        <f t="shared" si="52"/>
        <v>2023</v>
      </c>
      <c r="U186" s="1442">
        <f t="shared" si="52"/>
        <v>2024</v>
      </c>
      <c r="V186" s="1442">
        <f t="shared" si="52"/>
        <v>2025</v>
      </c>
      <c r="W186" s="1442">
        <f t="shared" si="52"/>
        <v>2026</v>
      </c>
      <c r="Y186" s="1440"/>
    </row>
    <row r="187" spans="1:25" ht="6" customHeight="1">
      <c r="A187" s="1360"/>
      <c r="C187" s="1367"/>
      <c r="D187" s="1443"/>
      <c r="E187" s="1444"/>
      <c r="F187" s="1443"/>
      <c r="G187" s="1445"/>
      <c r="H187" s="1443"/>
      <c r="I187" s="1443"/>
      <c r="J187" s="1446"/>
      <c r="K187" s="1444"/>
      <c r="L187" s="1444"/>
      <c r="M187" s="1444"/>
      <c r="N187" s="1444"/>
      <c r="O187" s="1444"/>
      <c r="P187" s="1444"/>
      <c r="Q187" s="1444"/>
      <c r="R187" s="1444"/>
      <c r="S187" s="1444"/>
      <c r="T187" s="1444"/>
      <c r="U187" s="1444"/>
      <c r="V187" s="1444"/>
      <c r="W187" s="1444"/>
      <c r="Y187" s="1366"/>
    </row>
    <row r="188" spans="1:25" ht="19.5" customHeight="1">
      <c r="A188" s="1360"/>
      <c r="C188" s="1367"/>
      <c r="D188" s="1366"/>
      <c r="E188" s="1447" t="s">
        <v>913</v>
      </c>
      <c r="F188" s="1366"/>
      <c r="G188" s="1366"/>
      <c r="H188" s="1366"/>
      <c r="I188" s="1366"/>
      <c r="J188" s="1366"/>
      <c r="K188" s="1366"/>
      <c r="L188" s="1366"/>
      <c r="M188" s="1366"/>
      <c r="N188" s="1366"/>
      <c r="O188" s="1366"/>
      <c r="P188" s="1366"/>
      <c r="Q188" s="1366"/>
      <c r="R188" s="1366"/>
      <c r="S188" s="1366"/>
      <c r="T188" s="1366"/>
      <c r="U188" s="1366"/>
      <c r="V188" s="1366"/>
      <c r="W188" s="1366"/>
      <c r="Y188" s="1366"/>
    </row>
    <row r="189" spans="1:25" ht="20.100000000000001" customHeight="1">
      <c r="A189" s="1360"/>
      <c r="C189" s="1367"/>
      <c r="D189" s="1367">
        <v>1</v>
      </c>
      <c r="E189" s="1401" t="str">
        <f t="shared" ref="E189:E202" si="53">E160</f>
        <v>Residential-Urban (1)</v>
      </c>
      <c r="F189" s="1392">
        <f t="shared" ref="F189:K199" si="54">ROUND(F160/1000,-2)</f>
        <v>368200</v>
      </c>
      <c r="G189" s="1392">
        <f t="shared" si="54"/>
        <v>368200</v>
      </c>
      <c r="H189" s="1392">
        <f t="shared" si="54"/>
        <v>368200</v>
      </c>
      <c r="I189" s="1392">
        <f t="shared" si="54"/>
        <v>337200</v>
      </c>
      <c r="J189" s="1392">
        <f t="shared" si="54"/>
        <v>353400</v>
      </c>
      <c r="K189" s="1392">
        <f t="shared" si="54"/>
        <v>346900</v>
      </c>
      <c r="L189" s="1392">
        <f t="shared" ref="L189:W189" si="55">ROUND(L160/1000,-2)</f>
        <v>321300</v>
      </c>
      <c r="M189" s="1392">
        <f t="shared" si="55"/>
        <v>331100</v>
      </c>
      <c r="N189" s="1392">
        <f t="shared" si="55"/>
        <v>335700</v>
      </c>
      <c r="O189" s="1392">
        <f t="shared" si="55"/>
        <v>340300</v>
      </c>
      <c r="P189" s="1392">
        <f t="shared" si="55"/>
        <v>344900</v>
      </c>
      <c r="Q189" s="1392">
        <f t="shared" si="55"/>
        <v>349700</v>
      </c>
      <c r="R189" s="1392">
        <f t="shared" si="55"/>
        <v>354500</v>
      </c>
      <c r="S189" s="1392">
        <f t="shared" si="55"/>
        <v>359300</v>
      </c>
      <c r="T189" s="1392">
        <f t="shared" si="55"/>
        <v>364300</v>
      </c>
      <c r="U189" s="1392">
        <f t="shared" si="55"/>
        <v>369300</v>
      </c>
      <c r="V189" s="1392">
        <f t="shared" si="55"/>
        <v>374400</v>
      </c>
      <c r="W189" s="1392">
        <f t="shared" si="55"/>
        <v>379600</v>
      </c>
      <c r="Y189" s="1392"/>
    </row>
    <row r="190" spans="1:25" ht="20.100000000000001" customHeight="1">
      <c r="A190" s="1360"/>
      <c r="C190" s="1367"/>
      <c r="D190" s="1367">
        <f t="shared" ref="D190:D203" si="56">D189+1</f>
        <v>2</v>
      </c>
      <c r="E190" s="1401" t="str">
        <f t="shared" si="53"/>
        <v>Residential-Rural (1)</v>
      </c>
      <c r="F190" s="1392">
        <f t="shared" si="54"/>
        <v>451300</v>
      </c>
      <c r="G190" s="1392">
        <f t="shared" si="54"/>
        <v>451300</v>
      </c>
      <c r="H190" s="1392">
        <f t="shared" si="54"/>
        <v>451300</v>
      </c>
      <c r="I190" s="1392">
        <f t="shared" si="54"/>
        <v>406200</v>
      </c>
      <c r="J190" s="1392">
        <f t="shared" si="54"/>
        <v>421200</v>
      </c>
      <c r="K190" s="1392">
        <f t="shared" si="54"/>
        <v>417400</v>
      </c>
      <c r="L190" s="1392">
        <f t="shared" ref="L190:W190" si="57">ROUND(L161/1000,-2)</f>
        <v>450400</v>
      </c>
      <c r="M190" s="1392">
        <f t="shared" si="57"/>
        <v>464100</v>
      </c>
      <c r="N190" s="1392">
        <f t="shared" si="57"/>
        <v>470500</v>
      </c>
      <c r="O190" s="1392">
        <f t="shared" si="57"/>
        <v>476900</v>
      </c>
      <c r="P190" s="1392">
        <f t="shared" si="57"/>
        <v>483500</v>
      </c>
      <c r="Q190" s="1392">
        <f t="shared" si="57"/>
        <v>490100</v>
      </c>
      <c r="R190" s="1392">
        <f t="shared" si="57"/>
        <v>496900</v>
      </c>
      <c r="S190" s="1392">
        <f t="shared" si="57"/>
        <v>503700</v>
      </c>
      <c r="T190" s="1392">
        <f t="shared" si="57"/>
        <v>510600</v>
      </c>
      <c r="U190" s="1392">
        <f t="shared" si="57"/>
        <v>517700</v>
      </c>
      <c r="V190" s="1392">
        <f t="shared" si="57"/>
        <v>524800</v>
      </c>
      <c r="W190" s="1392">
        <f t="shared" si="57"/>
        <v>532100</v>
      </c>
      <c r="Y190" s="1392"/>
    </row>
    <row r="191" spans="1:25" ht="20.100000000000001" customHeight="1">
      <c r="A191" s="1360"/>
      <c r="C191" s="1367"/>
      <c r="D191" s="1367">
        <f t="shared" si="56"/>
        <v>3</v>
      </c>
      <c r="E191" s="1401" t="str">
        <f t="shared" si="53"/>
        <v>Irrigation (3)</v>
      </c>
      <c r="F191" s="1392">
        <f t="shared" si="54"/>
        <v>541900</v>
      </c>
      <c r="G191" s="1392">
        <f t="shared" si="54"/>
        <v>541900</v>
      </c>
      <c r="H191" s="1392">
        <f t="shared" si="54"/>
        <v>541900</v>
      </c>
      <c r="I191" s="1392">
        <f t="shared" si="54"/>
        <v>536400</v>
      </c>
      <c r="J191" s="1392">
        <f t="shared" si="54"/>
        <v>541800</v>
      </c>
      <c r="K191" s="1392">
        <f t="shared" si="54"/>
        <v>541800</v>
      </c>
      <c r="L191" s="1392">
        <f t="shared" ref="L191:W191" si="58">ROUND(L162/1000,-2)</f>
        <v>600000</v>
      </c>
      <c r="M191" s="1392">
        <f t="shared" si="58"/>
        <v>619300</v>
      </c>
      <c r="N191" s="1392">
        <f t="shared" si="58"/>
        <v>592000</v>
      </c>
      <c r="O191" s="1392">
        <f t="shared" si="58"/>
        <v>599600</v>
      </c>
      <c r="P191" s="1392">
        <f t="shared" si="58"/>
        <v>607100</v>
      </c>
      <c r="Q191" s="1392">
        <f t="shared" si="58"/>
        <v>614600</v>
      </c>
      <c r="R191" s="1392">
        <f t="shared" si="58"/>
        <v>622100</v>
      </c>
      <c r="S191" s="1392">
        <f t="shared" si="58"/>
        <v>629600</v>
      </c>
      <c r="T191" s="1392">
        <f t="shared" si="58"/>
        <v>637100</v>
      </c>
      <c r="U191" s="1392">
        <f t="shared" si="58"/>
        <v>644700</v>
      </c>
      <c r="V191" s="1392">
        <f t="shared" si="58"/>
        <v>652200</v>
      </c>
      <c r="W191" s="1392">
        <f t="shared" si="58"/>
        <v>659700</v>
      </c>
      <c r="Y191" s="1392"/>
    </row>
    <row r="192" spans="1:25" ht="20.100000000000001" customHeight="1">
      <c r="A192" s="1360"/>
      <c r="C192" s="1367"/>
      <c r="D192" s="1367">
        <f t="shared" si="56"/>
        <v>4</v>
      </c>
      <c r="E192" s="1401" t="str">
        <f t="shared" si="53"/>
        <v>General Service (2)</v>
      </c>
      <c r="F192" s="1392">
        <f t="shared" si="54"/>
        <v>467500</v>
      </c>
      <c r="G192" s="1392">
        <f t="shared" si="54"/>
        <v>467600</v>
      </c>
      <c r="H192" s="1392">
        <f t="shared" si="54"/>
        <v>467500</v>
      </c>
      <c r="I192" s="1392">
        <f t="shared" si="54"/>
        <v>457900</v>
      </c>
      <c r="J192" s="1392">
        <f t="shared" si="54"/>
        <v>472000</v>
      </c>
      <c r="K192" s="1392">
        <f t="shared" si="54"/>
        <v>475500</v>
      </c>
      <c r="L192" s="1392">
        <f t="shared" ref="L192:W192" si="59">ROUND(L163/1000,-2)</f>
        <v>477800</v>
      </c>
      <c r="M192" s="1392">
        <f t="shared" si="59"/>
        <v>505800</v>
      </c>
      <c r="N192" s="1392">
        <f t="shared" si="59"/>
        <v>514100</v>
      </c>
      <c r="O192" s="1392">
        <f t="shared" si="59"/>
        <v>522400</v>
      </c>
      <c r="P192" s="1392">
        <f t="shared" si="59"/>
        <v>530800</v>
      </c>
      <c r="Q192" s="1392">
        <f t="shared" si="59"/>
        <v>539200</v>
      </c>
      <c r="R192" s="1392">
        <f t="shared" si="59"/>
        <v>547500</v>
      </c>
      <c r="S192" s="1392">
        <f t="shared" si="59"/>
        <v>555900</v>
      </c>
      <c r="T192" s="1392">
        <f t="shared" si="59"/>
        <v>564200</v>
      </c>
      <c r="U192" s="1392">
        <f t="shared" si="59"/>
        <v>572600</v>
      </c>
      <c r="V192" s="1392">
        <f t="shared" si="59"/>
        <v>580900</v>
      </c>
      <c r="W192" s="1392">
        <f t="shared" si="59"/>
        <v>589300</v>
      </c>
      <c r="Y192" s="1392"/>
    </row>
    <row r="193" spans="1:25" ht="20.100000000000001" customHeight="1">
      <c r="A193" s="1360"/>
      <c r="C193" s="1367"/>
      <c r="D193" s="1367">
        <f t="shared" si="56"/>
        <v>5</v>
      </c>
      <c r="E193" s="1401" t="str">
        <f t="shared" si="53"/>
        <v>Large General Service (7)</v>
      </c>
      <c r="F193" s="1392">
        <f t="shared" si="54"/>
        <v>284400</v>
      </c>
      <c r="G193" s="1392">
        <f t="shared" si="54"/>
        <v>284400</v>
      </c>
      <c r="H193" s="1392">
        <f t="shared" si="54"/>
        <v>284400</v>
      </c>
      <c r="I193" s="1392">
        <f t="shared" si="54"/>
        <v>259600</v>
      </c>
      <c r="J193" s="1392">
        <f t="shared" si="54"/>
        <v>272700</v>
      </c>
      <c r="K193" s="1392">
        <f t="shared" si="54"/>
        <v>216400</v>
      </c>
      <c r="L193" s="1392">
        <f t="shared" ref="L193:W193" si="60">ROUND(L164/1000,-2)</f>
        <v>279800</v>
      </c>
      <c r="M193" s="1392">
        <f t="shared" si="60"/>
        <v>254400</v>
      </c>
      <c r="N193" s="1392">
        <f t="shared" si="60"/>
        <v>259500</v>
      </c>
      <c r="O193" s="1392">
        <f t="shared" si="60"/>
        <v>264500</v>
      </c>
      <c r="P193" s="1392">
        <f t="shared" si="60"/>
        <v>269500</v>
      </c>
      <c r="Q193" s="1392">
        <f t="shared" si="60"/>
        <v>274600</v>
      </c>
      <c r="R193" s="1392">
        <f t="shared" si="60"/>
        <v>282100</v>
      </c>
      <c r="S193" s="1392">
        <f t="shared" si="60"/>
        <v>287200</v>
      </c>
      <c r="T193" s="1392">
        <f t="shared" si="60"/>
        <v>292200</v>
      </c>
      <c r="U193" s="1392">
        <f t="shared" si="60"/>
        <v>299800</v>
      </c>
      <c r="V193" s="1392">
        <f t="shared" si="60"/>
        <v>304800</v>
      </c>
      <c r="W193" s="1392">
        <f t="shared" si="60"/>
        <v>312400</v>
      </c>
      <c r="Y193" s="1392"/>
    </row>
    <row r="194" spans="1:25" ht="20.100000000000001" customHeight="1">
      <c r="A194" s="1360"/>
      <c r="C194" s="1367"/>
      <c r="D194" s="1367">
        <f t="shared" si="56"/>
        <v>6</v>
      </c>
      <c r="E194" s="1401" t="str">
        <f t="shared" si="53"/>
        <v>Industrial (14)</v>
      </c>
      <c r="F194" s="1392">
        <f t="shared" si="54"/>
        <v>123900</v>
      </c>
      <c r="G194" s="1392">
        <f t="shared" si="54"/>
        <v>123900</v>
      </c>
      <c r="H194" s="1392">
        <f t="shared" si="54"/>
        <v>123900</v>
      </c>
      <c r="I194" s="1392">
        <f t="shared" si="54"/>
        <v>205100</v>
      </c>
      <c r="J194" s="1392">
        <f t="shared" si="54"/>
        <v>260800</v>
      </c>
      <c r="K194" s="1392">
        <f t="shared" si="54"/>
        <v>388000</v>
      </c>
      <c r="L194" s="1392">
        <f t="shared" ref="L194:W194" si="61">ROUND(L165/1000,-2)</f>
        <v>423800</v>
      </c>
      <c r="M194" s="1392">
        <f t="shared" si="61"/>
        <v>427000</v>
      </c>
      <c r="N194" s="1392">
        <f t="shared" si="61"/>
        <v>525600</v>
      </c>
      <c r="O194" s="1392">
        <f t="shared" si="61"/>
        <v>588300</v>
      </c>
      <c r="P194" s="1392">
        <f t="shared" si="61"/>
        <v>668400</v>
      </c>
      <c r="Q194" s="1392">
        <f t="shared" si="61"/>
        <v>767300</v>
      </c>
      <c r="R194" s="1392">
        <f t="shared" si="61"/>
        <v>819400</v>
      </c>
      <c r="S194" s="1392">
        <f t="shared" si="61"/>
        <v>870300</v>
      </c>
      <c r="T194" s="1392">
        <f t="shared" si="61"/>
        <v>902400</v>
      </c>
      <c r="U194" s="1392">
        <f t="shared" si="61"/>
        <v>937100</v>
      </c>
      <c r="V194" s="1392">
        <f t="shared" si="61"/>
        <v>966800</v>
      </c>
      <c r="W194" s="1392">
        <f t="shared" si="61"/>
        <v>992600</v>
      </c>
      <c r="Y194" s="1392"/>
    </row>
    <row r="195" spans="1:25" ht="20.100000000000001" customHeight="1">
      <c r="A195" s="1360"/>
      <c r="C195" s="1367"/>
      <c r="D195" s="1367">
        <f t="shared" si="56"/>
        <v>7</v>
      </c>
      <c r="E195" s="1401" t="str">
        <f t="shared" si="53"/>
        <v>Large Industrial (15)</v>
      </c>
      <c r="F195" s="1392">
        <f t="shared" si="54"/>
        <v>1223900</v>
      </c>
      <c r="G195" s="1392">
        <f t="shared" si="54"/>
        <v>1223900</v>
      </c>
      <c r="H195" s="1392">
        <f t="shared" si="54"/>
        <v>1223900</v>
      </c>
      <c r="I195" s="1392">
        <f t="shared" si="54"/>
        <v>1494200</v>
      </c>
      <c r="J195" s="1392">
        <f t="shared" si="54"/>
        <v>1309100</v>
      </c>
      <c r="K195" s="1392">
        <f t="shared" si="54"/>
        <v>1398400</v>
      </c>
      <c r="L195" s="1392">
        <f t="shared" ref="L195:W195" si="62">ROUND(L166/1000,-2)</f>
        <v>1597000</v>
      </c>
      <c r="M195" s="1392">
        <f t="shared" si="62"/>
        <v>1541600</v>
      </c>
      <c r="N195" s="1392">
        <f t="shared" si="62"/>
        <v>1662800</v>
      </c>
      <c r="O195" s="1392">
        <f t="shared" si="62"/>
        <v>1793700</v>
      </c>
      <c r="P195" s="1392">
        <f t="shared" si="62"/>
        <v>1959600</v>
      </c>
      <c r="Q195" s="1392">
        <f t="shared" si="62"/>
        <v>2139900</v>
      </c>
      <c r="R195" s="1392">
        <f t="shared" si="62"/>
        <v>2342700</v>
      </c>
      <c r="S195" s="1392">
        <f t="shared" si="62"/>
        <v>2438900</v>
      </c>
      <c r="T195" s="1392">
        <f t="shared" si="62"/>
        <v>2550000</v>
      </c>
      <c r="U195" s="1392">
        <f t="shared" si="62"/>
        <v>2673200</v>
      </c>
      <c r="V195" s="1392">
        <f t="shared" si="62"/>
        <v>2741300</v>
      </c>
      <c r="W195" s="1392">
        <f t="shared" si="62"/>
        <v>2816300</v>
      </c>
      <c r="Y195" s="1392"/>
    </row>
    <row r="196" spans="1:25" ht="20.100000000000001" customHeight="1">
      <c r="A196" s="1360"/>
      <c r="C196" s="1367"/>
      <c r="D196" s="1367">
        <f t="shared" si="56"/>
        <v>8</v>
      </c>
      <c r="E196" s="1401" t="str">
        <f t="shared" si="53"/>
        <v>Agricultural Processing (16)</v>
      </c>
      <c r="F196" s="1392">
        <f t="shared" si="54"/>
        <v>234200</v>
      </c>
      <c r="G196" s="1392">
        <f t="shared" si="54"/>
        <v>234200</v>
      </c>
      <c r="H196" s="1392">
        <f t="shared" si="54"/>
        <v>234200</v>
      </c>
      <c r="I196" s="1392">
        <f t="shared" si="54"/>
        <v>234200</v>
      </c>
      <c r="J196" s="1392">
        <f t="shared" si="54"/>
        <v>267700</v>
      </c>
      <c r="K196" s="1392">
        <f t="shared" si="54"/>
        <v>306700</v>
      </c>
      <c r="L196" s="1392">
        <f t="shared" ref="L196:W196" si="63">ROUND(L167/1000,-2)</f>
        <v>339700</v>
      </c>
      <c r="M196" s="1392">
        <f t="shared" si="63"/>
        <v>345700</v>
      </c>
      <c r="N196" s="1392">
        <f t="shared" si="63"/>
        <v>363500</v>
      </c>
      <c r="O196" s="1392">
        <f t="shared" si="63"/>
        <v>367300</v>
      </c>
      <c r="P196" s="1392">
        <f t="shared" si="63"/>
        <v>407600</v>
      </c>
      <c r="Q196" s="1392">
        <f t="shared" si="63"/>
        <v>410700</v>
      </c>
      <c r="R196" s="1392">
        <f t="shared" si="63"/>
        <v>411700</v>
      </c>
      <c r="S196" s="1392">
        <f t="shared" si="63"/>
        <v>413800</v>
      </c>
      <c r="T196" s="1392">
        <f t="shared" si="63"/>
        <v>415900</v>
      </c>
      <c r="U196" s="1392">
        <f t="shared" si="63"/>
        <v>418900</v>
      </c>
      <c r="V196" s="1392">
        <f t="shared" si="63"/>
        <v>420000</v>
      </c>
      <c r="W196" s="1392">
        <f t="shared" si="63"/>
        <v>422100</v>
      </c>
      <c r="Y196" s="1392"/>
    </row>
    <row r="197" spans="1:25" ht="20.100000000000001" customHeight="1">
      <c r="A197" s="1360"/>
      <c r="C197" s="1367"/>
      <c r="D197" s="1367">
        <f t="shared" si="56"/>
        <v>9</v>
      </c>
      <c r="E197" s="1401" t="str">
        <f t="shared" si="53"/>
        <v>Agricultural Boiler (85)</v>
      </c>
      <c r="F197" s="1392">
        <f t="shared" si="54"/>
        <v>7800</v>
      </c>
      <c r="G197" s="1392">
        <f t="shared" si="54"/>
        <v>7800</v>
      </c>
      <c r="H197" s="1392">
        <f t="shared" si="54"/>
        <v>7800</v>
      </c>
      <c r="I197" s="1392">
        <f t="shared" si="54"/>
        <v>0</v>
      </c>
      <c r="J197" s="1392">
        <f t="shared" si="54"/>
        <v>0</v>
      </c>
      <c r="K197" s="1392">
        <f t="shared" si="54"/>
        <v>0</v>
      </c>
      <c r="L197" s="1392">
        <f t="shared" ref="L197:W197" si="64">ROUND(L168/1000,-2)</f>
        <v>0</v>
      </c>
      <c r="M197" s="1392">
        <f t="shared" si="64"/>
        <v>0</v>
      </c>
      <c r="N197" s="1392">
        <f t="shared" si="64"/>
        <v>0</v>
      </c>
      <c r="O197" s="1392">
        <f t="shared" si="64"/>
        <v>0</v>
      </c>
      <c r="P197" s="1392">
        <f t="shared" si="64"/>
        <v>0</v>
      </c>
      <c r="Q197" s="1392">
        <f t="shared" si="64"/>
        <v>0</v>
      </c>
      <c r="R197" s="1392">
        <f t="shared" si="64"/>
        <v>0</v>
      </c>
      <c r="S197" s="1392">
        <f t="shared" si="64"/>
        <v>0</v>
      </c>
      <c r="T197" s="1392">
        <f t="shared" si="64"/>
        <v>0</v>
      </c>
      <c r="U197" s="1392">
        <f t="shared" si="64"/>
        <v>0</v>
      </c>
      <c r="V197" s="1392">
        <f t="shared" si="64"/>
        <v>0</v>
      </c>
      <c r="W197" s="1392">
        <f t="shared" si="64"/>
        <v>0</v>
      </c>
      <c r="Y197" s="1392"/>
    </row>
    <row r="198" spans="1:25" ht="20.100000000000001" customHeight="1">
      <c r="A198" s="1360"/>
      <c r="C198" s="1367"/>
      <c r="D198" s="1367">
        <f t="shared" si="56"/>
        <v>10</v>
      </c>
      <c r="E198" s="1401" t="str">
        <f t="shared" si="53"/>
        <v>Industrial (94)</v>
      </c>
      <c r="F198" s="1392">
        <f t="shared" si="54"/>
        <v>7200</v>
      </c>
      <c r="G198" s="1392">
        <f t="shared" si="54"/>
        <v>7200</v>
      </c>
      <c r="H198" s="1392">
        <f t="shared" si="54"/>
        <v>7200</v>
      </c>
      <c r="I198" s="1392">
        <f t="shared" si="54"/>
        <v>0</v>
      </c>
      <c r="J198" s="1392">
        <f t="shared" si="54"/>
        <v>7700</v>
      </c>
      <c r="K198" s="1392">
        <f t="shared" si="54"/>
        <v>32600</v>
      </c>
      <c r="L198" s="1392">
        <f t="shared" ref="L198:W198" si="65">ROUND(L169/1000,-2)</f>
        <v>0</v>
      </c>
      <c r="M198" s="1392">
        <f t="shared" si="65"/>
        <v>26500</v>
      </c>
      <c r="N198" s="1392">
        <f t="shared" si="65"/>
        <v>102400</v>
      </c>
      <c r="O198" s="1392">
        <f t="shared" si="65"/>
        <v>136200</v>
      </c>
      <c r="P198" s="1392">
        <f t="shared" si="65"/>
        <v>173200</v>
      </c>
      <c r="Q198" s="1392">
        <f t="shared" si="65"/>
        <v>119400</v>
      </c>
      <c r="R198" s="1392">
        <f t="shared" si="65"/>
        <v>25000</v>
      </c>
      <c r="S198" s="1392">
        <f t="shared" si="65"/>
        <v>0</v>
      </c>
      <c r="T198" s="1392">
        <f t="shared" si="65"/>
        <v>0</v>
      </c>
      <c r="U198" s="1392">
        <f t="shared" si="65"/>
        <v>0</v>
      </c>
      <c r="V198" s="1392">
        <f t="shared" si="65"/>
        <v>0</v>
      </c>
      <c r="W198" s="1392">
        <f t="shared" si="65"/>
        <v>0</v>
      </c>
      <c r="Y198" s="1392"/>
    </row>
    <row r="199" spans="1:25" ht="20.100000000000001" customHeight="1">
      <c r="A199" s="1360"/>
      <c r="C199" s="1367"/>
      <c r="D199" s="1367">
        <f t="shared" si="56"/>
        <v>11</v>
      </c>
      <c r="E199" s="1401" t="str">
        <f t="shared" si="53"/>
        <v>Street Lights (6)</v>
      </c>
      <c r="F199" s="1392">
        <f t="shared" si="54"/>
        <v>4200</v>
      </c>
      <c r="G199" s="1392">
        <f t="shared" si="54"/>
        <v>4200</v>
      </c>
      <c r="H199" s="1392">
        <f t="shared" si="54"/>
        <v>4200</v>
      </c>
      <c r="I199" s="1392">
        <f t="shared" si="54"/>
        <v>4500</v>
      </c>
      <c r="J199" s="1392">
        <f t="shared" si="54"/>
        <v>4500</v>
      </c>
      <c r="K199" s="1392">
        <f t="shared" si="54"/>
        <v>4500</v>
      </c>
      <c r="L199" s="1392">
        <f t="shared" ref="L199:W199" si="66">ROUND(L170/1000,-2)</f>
        <v>4500</v>
      </c>
      <c r="M199" s="1392">
        <f t="shared" si="66"/>
        <v>4500</v>
      </c>
      <c r="N199" s="1392">
        <f t="shared" si="66"/>
        <v>4500</v>
      </c>
      <c r="O199" s="1392">
        <f t="shared" si="66"/>
        <v>4500</v>
      </c>
      <c r="P199" s="1392">
        <f t="shared" si="66"/>
        <v>4500</v>
      </c>
      <c r="Q199" s="1392">
        <f t="shared" si="66"/>
        <v>4500</v>
      </c>
      <c r="R199" s="1392">
        <f t="shared" si="66"/>
        <v>4500</v>
      </c>
      <c r="S199" s="1392">
        <f t="shared" si="66"/>
        <v>4500</v>
      </c>
      <c r="T199" s="1392">
        <f t="shared" si="66"/>
        <v>4500</v>
      </c>
      <c r="U199" s="1392">
        <f t="shared" si="66"/>
        <v>4500</v>
      </c>
      <c r="V199" s="1392">
        <f t="shared" si="66"/>
        <v>4500</v>
      </c>
      <c r="W199" s="1392">
        <f t="shared" si="66"/>
        <v>4500</v>
      </c>
      <c r="Y199" s="1392"/>
    </row>
    <row r="200" spans="1:25" ht="20.100000000000001" customHeight="1">
      <c r="A200" s="1360"/>
      <c r="C200" s="1367"/>
      <c r="D200" s="1367">
        <f t="shared" si="56"/>
        <v>12</v>
      </c>
      <c r="E200" s="1401" t="str">
        <f t="shared" si="53"/>
        <v>Street Lights (2)</v>
      </c>
      <c r="F200" s="1392">
        <f t="shared" ref="F200:K200" si="67">ROUND(F171/1000,-2)</f>
        <v>400</v>
      </c>
      <c r="G200" s="1392">
        <f t="shared" si="67"/>
        <v>400</v>
      </c>
      <c r="H200" s="1392">
        <f t="shared" si="67"/>
        <v>400</v>
      </c>
      <c r="I200" s="1392">
        <f t="shared" si="67"/>
        <v>400</v>
      </c>
      <c r="J200" s="1392">
        <f t="shared" si="67"/>
        <v>400</v>
      </c>
      <c r="K200" s="1392">
        <f t="shared" si="67"/>
        <v>400</v>
      </c>
      <c r="L200" s="1392">
        <f t="shared" ref="L200:W200" si="68">ROUND(L171/1000,-2)</f>
        <v>400</v>
      </c>
      <c r="M200" s="1392">
        <f t="shared" si="68"/>
        <v>400</v>
      </c>
      <c r="N200" s="1392">
        <f t="shared" si="68"/>
        <v>400</v>
      </c>
      <c r="O200" s="1392">
        <f t="shared" si="68"/>
        <v>400</v>
      </c>
      <c r="P200" s="1392">
        <f t="shared" si="68"/>
        <v>400</v>
      </c>
      <c r="Q200" s="1392">
        <f t="shared" si="68"/>
        <v>400</v>
      </c>
      <c r="R200" s="1392">
        <f t="shared" si="68"/>
        <v>400</v>
      </c>
      <c r="S200" s="1392">
        <f t="shared" si="68"/>
        <v>400</v>
      </c>
      <c r="T200" s="1392">
        <f t="shared" si="68"/>
        <v>400</v>
      </c>
      <c r="U200" s="1392">
        <f t="shared" si="68"/>
        <v>400</v>
      </c>
      <c r="V200" s="1392">
        <f t="shared" si="68"/>
        <v>400</v>
      </c>
      <c r="W200" s="1392">
        <f t="shared" si="68"/>
        <v>400</v>
      </c>
      <c r="Y200" s="1392"/>
    </row>
    <row r="201" spans="1:25" ht="20.100000000000001" customHeight="1">
      <c r="A201" s="1360"/>
      <c r="C201" s="1367"/>
      <c r="D201" s="1367">
        <f t="shared" si="56"/>
        <v>13</v>
      </c>
      <c r="E201" s="1401" t="str">
        <f t="shared" si="53"/>
        <v>Other Sales (PA)</v>
      </c>
      <c r="F201" s="1392">
        <f t="shared" ref="F201:K202" si="69">ROUND(F172/1000,-2)</f>
        <v>1300</v>
      </c>
      <c r="G201" s="1392">
        <f t="shared" si="69"/>
        <v>1300</v>
      </c>
      <c r="H201" s="1392">
        <f t="shared" si="69"/>
        <v>1300</v>
      </c>
      <c r="I201" s="1392">
        <f t="shared" si="69"/>
        <v>1500</v>
      </c>
      <c r="J201" s="1392">
        <f t="shared" si="69"/>
        <v>1500</v>
      </c>
      <c r="K201" s="1392">
        <f t="shared" si="69"/>
        <v>1400</v>
      </c>
      <c r="L201" s="1392">
        <f t="shared" ref="L201:W201" si="70">ROUND(L172/1000,-2)</f>
        <v>1200</v>
      </c>
      <c r="M201" s="1392">
        <f t="shared" si="70"/>
        <v>1200</v>
      </c>
      <c r="N201" s="1392">
        <f t="shared" si="70"/>
        <v>1200</v>
      </c>
      <c r="O201" s="1392">
        <f t="shared" si="70"/>
        <v>1200</v>
      </c>
      <c r="P201" s="1392">
        <f t="shared" si="70"/>
        <v>1200</v>
      </c>
      <c r="Q201" s="1392">
        <f t="shared" si="70"/>
        <v>1200</v>
      </c>
      <c r="R201" s="1392">
        <f t="shared" si="70"/>
        <v>1200</v>
      </c>
      <c r="S201" s="1392">
        <f t="shared" si="70"/>
        <v>1200</v>
      </c>
      <c r="T201" s="1392">
        <f t="shared" si="70"/>
        <v>1200</v>
      </c>
      <c r="U201" s="1392">
        <f t="shared" si="70"/>
        <v>1200</v>
      </c>
      <c r="V201" s="1392">
        <f t="shared" si="70"/>
        <v>1200</v>
      </c>
      <c r="W201" s="1392">
        <f t="shared" si="70"/>
        <v>1200</v>
      </c>
      <c r="Y201" s="1392"/>
    </row>
    <row r="202" spans="1:25" ht="20.100000000000001" customHeight="1">
      <c r="A202" s="1360"/>
      <c r="C202" s="1367"/>
      <c r="D202" s="1367">
        <f t="shared" si="56"/>
        <v>14</v>
      </c>
      <c r="E202" s="1401" t="str">
        <f t="shared" si="53"/>
        <v>Alternate Power Sales</v>
      </c>
      <c r="F202" s="1448">
        <f t="shared" si="69"/>
        <v>0</v>
      </c>
      <c r="G202" s="1448">
        <f t="shared" si="69"/>
        <v>0</v>
      </c>
      <c r="H202" s="1448">
        <f t="shared" si="69"/>
        <v>0</v>
      </c>
      <c r="I202" s="1448">
        <f t="shared" si="69"/>
        <v>0</v>
      </c>
      <c r="J202" s="1448">
        <f t="shared" si="69"/>
        <v>0</v>
      </c>
      <c r="K202" s="1448">
        <f t="shared" si="69"/>
        <v>0</v>
      </c>
      <c r="L202" s="1448">
        <f t="shared" ref="L202:W202" si="71">ROUND(L173/1000,-2)</f>
        <v>0</v>
      </c>
      <c r="M202" s="1448">
        <f t="shared" si="71"/>
        <v>0</v>
      </c>
      <c r="N202" s="1448">
        <f t="shared" si="71"/>
        <v>0</v>
      </c>
      <c r="O202" s="1448">
        <f t="shared" si="71"/>
        <v>0</v>
      </c>
      <c r="P202" s="1448">
        <f t="shared" si="71"/>
        <v>0</v>
      </c>
      <c r="Q202" s="1448">
        <f t="shared" si="71"/>
        <v>0</v>
      </c>
      <c r="R202" s="1448">
        <f t="shared" si="71"/>
        <v>0</v>
      </c>
      <c r="S202" s="1448">
        <f t="shared" si="71"/>
        <v>0</v>
      </c>
      <c r="T202" s="1448">
        <f t="shared" si="71"/>
        <v>0</v>
      </c>
      <c r="U202" s="1448">
        <f t="shared" si="71"/>
        <v>0</v>
      </c>
      <c r="V202" s="1448">
        <f t="shared" si="71"/>
        <v>0</v>
      </c>
      <c r="W202" s="1448">
        <f t="shared" si="71"/>
        <v>0</v>
      </c>
      <c r="Y202" s="1448"/>
    </row>
    <row r="203" spans="1:25" ht="20.100000000000001" customHeight="1">
      <c r="A203" s="1360"/>
      <c r="C203" s="1367"/>
      <c r="D203" s="1367">
        <f t="shared" si="56"/>
        <v>15</v>
      </c>
      <c r="E203" s="1379" t="s">
        <v>523</v>
      </c>
      <c r="F203" s="1392">
        <f t="shared" ref="F203:K203" si="72">SUM(F189:F202)</f>
        <v>3716200</v>
      </c>
      <c r="G203" s="1392">
        <f t="shared" si="72"/>
        <v>3716300</v>
      </c>
      <c r="H203" s="1392">
        <f t="shared" si="72"/>
        <v>3716200</v>
      </c>
      <c r="I203" s="1392">
        <f t="shared" si="72"/>
        <v>3937200</v>
      </c>
      <c r="J203" s="1392">
        <f t="shared" si="72"/>
        <v>3912800</v>
      </c>
      <c r="K203" s="1392">
        <f t="shared" si="72"/>
        <v>4130000</v>
      </c>
      <c r="L203" s="1392">
        <f t="shared" ref="L203:W203" si="73">SUM(L189:L202)</f>
        <v>4495900</v>
      </c>
      <c r="M203" s="1392">
        <f t="shared" si="73"/>
        <v>4521600</v>
      </c>
      <c r="N203" s="1392">
        <f t="shared" si="73"/>
        <v>4832200</v>
      </c>
      <c r="O203" s="1392">
        <f t="shared" si="73"/>
        <v>5095300</v>
      </c>
      <c r="P203" s="1392">
        <f t="shared" si="73"/>
        <v>5450700</v>
      </c>
      <c r="Q203" s="1392">
        <f t="shared" si="73"/>
        <v>5711600</v>
      </c>
      <c r="R203" s="1392">
        <f t="shared" si="73"/>
        <v>5908000</v>
      </c>
      <c r="S203" s="1392">
        <f t="shared" si="73"/>
        <v>6064800</v>
      </c>
      <c r="T203" s="1392">
        <f t="shared" si="73"/>
        <v>6242800</v>
      </c>
      <c r="U203" s="1392">
        <f t="shared" si="73"/>
        <v>6439400</v>
      </c>
      <c r="V203" s="1392">
        <f t="shared" si="73"/>
        <v>6571300</v>
      </c>
      <c r="W203" s="1392">
        <f t="shared" si="73"/>
        <v>6710200</v>
      </c>
      <c r="Y203" s="1392"/>
    </row>
    <row r="204" spans="1:25">
      <c r="A204" s="1360"/>
      <c r="C204" s="1367"/>
      <c r="D204" s="1366"/>
      <c r="E204" s="1377"/>
      <c r="F204" s="1366"/>
      <c r="G204" s="1366"/>
      <c r="H204" s="1435"/>
      <c r="I204" s="1435"/>
      <c r="J204" s="1435"/>
      <c r="K204" s="1435"/>
      <c r="L204" s="1435"/>
      <c r="M204" s="1435"/>
      <c r="N204" s="1435"/>
      <c r="O204" s="1435"/>
      <c r="P204" s="1435"/>
      <c r="Q204" s="1435"/>
      <c r="R204" s="1435"/>
      <c r="S204" s="1435"/>
      <c r="T204" s="1435"/>
      <c r="U204" s="1435"/>
      <c r="V204" s="1435"/>
      <c r="W204" s="1435"/>
      <c r="Y204" s="1435"/>
    </row>
    <row r="205" spans="1:25">
      <c r="A205" s="1360"/>
      <c r="C205" s="1367"/>
      <c r="D205" s="1366"/>
      <c r="E205" s="1377"/>
      <c r="F205" s="1366"/>
      <c r="G205" s="1366"/>
      <c r="H205" s="1392"/>
      <c r="I205" s="1392"/>
      <c r="J205" s="1392"/>
      <c r="K205" s="1392"/>
      <c r="L205" s="1392"/>
      <c r="M205" s="1392"/>
      <c r="N205" s="1392"/>
      <c r="O205" s="1392"/>
      <c r="P205" s="1392"/>
      <c r="Q205" s="1392"/>
      <c r="R205" s="1392"/>
      <c r="S205" s="1392"/>
      <c r="T205" s="1392"/>
      <c r="U205" s="1392"/>
      <c r="V205" s="1392"/>
      <c r="W205" s="1392"/>
      <c r="Y205" s="1392"/>
    </row>
    <row r="206" spans="1:25">
      <c r="A206" s="1360"/>
      <c r="C206" s="1367"/>
      <c r="D206" s="1366"/>
      <c r="E206" s="1377"/>
      <c r="F206" s="1366"/>
      <c r="G206" s="1366"/>
      <c r="H206" s="1366"/>
      <c r="I206" s="1366"/>
      <c r="J206" s="1366"/>
      <c r="K206" s="1434"/>
      <c r="L206" s="1434"/>
      <c r="M206" s="1434"/>
      <c r="N206" s="1366"/>
      <c r="O206" s="1366"/>
      <c r="P206" s="1366"/>
      <c r="Q206" s="1366"/>
      <c r="R206" s="1366"/>
      <c r="S206" s="1366"/>
      <c r="T206" s="1366"/>
      <c r="U206" s="1366"/>
      <c r="V206" s="1366"/>
      <c r="W206" s="1366"/>
      <c r="Y206" s="1366"/>
    </row>
    <row r="207" spans="1:25">
      <c r="A207" s="1360"/>
      <c r="C207" s="1367"/>
      <c r="D207" s="1366"/>
      <c r="F207" s="1366"/>
      <c r="G207" s="1366"/>
      <c r="H207" s="1366"/>
      <c r="I207" s="1366"/>
      <c r="J207" s="1366"/>
      <c r="K207" s="1366"/>
      <c r="L207" s="1366"/>
      <c r="M207" s="1366"/>
      <c r="N207" s="1366"/>
      <c r="O207" s="1366"/>
      <c r="P207" s="1366"/>
      <c r="Q207" s="1366"/>
      <c r="R207" s="1366"/>
      <c r="S207" s="1366"/>
      <c r="T207" s="1366"/>
      <c r="U207" s="1366"/>
      <c r="V207" s="1366"/>
      <c r="W207" s="1366"/>
      <c r="Y207" s="1366"/>
    </row>
    <row r="208" spans="1:25">
      <c r="A208" s="1360"/>
      <c r="C208" s="1367"/>
      <c r="D208" s="1366"/>
      <c r="F208" s="1366"/>
      <c r="G208" s="1366"/>
      <c r="H208" s="1366"/>
      <c r="I208" s="1366"/>
      <c r="J208" s="1366"/>
      <c r="K208" s="1366"/>
      <c r="L208" s="1366"/>
      <c r="M208" s="1366"/>
      <c r="N208" s="1366"/>
      <c r="O208" s="1366"/>
      <c r="P208" s="1366"/>
      <c r="Q208" s="1366"/>
      <c r="R208" s="1366"/>
      <c r="S208" s="1366"/>
      <c r="T208" s="1366"/>
      <c r="U208" s="1366"/>
      <c r="V208" s="1366"/>
      <c r="W208" s="1366"/>
      <c r="Y208" s="1366"/>
    </row>
    <row r="209" spans="1:25">
      <c r="A209" s="1360"/>
      <c r="C209" s="1367"/>
      <c r="D209" s="1366"/>
      <c r="F209" s="1366"/>
      <c r="G209" s="1366"/>
      <c r="H209" s="1366"/>
      <c r="I209" s="1366"/>
      <c r="J209" s="1366"/>
      <c r="K209" s="1366"/>
      <c r="L209" s="1366"/>
      <c r="M209" s="1366"/>
      <c r="N209" s="1366"/>
      <c r="O209" s="1366"/>
      <c r="P209" s="1366"/>
      <c r="Q209" s="1366"/>
      <c r="R209" s="1366"/>
      <c r="S209" s="1366"/>
      <c r="T209" s="1366"/>
      <c r="U209" s="1366"/>
      <c r="V209" s="1366"/>
      <c r="W209" s="1366"/>
      <c r="Y209" s="1366"/>
    </row>
    <row r="210" spans="1:25">
      <c r="A210" s="1360"/>
      <c r="C210" s="1367"/>
      <c r="D210" s="1366"/>
      <c r="F210" s="1366"/>
      <c r="G210" s="1366"/>
      <c r="H210" s="1366"/>
      <c r="I210" s="1366"/>
      <c r="J210" s="1366"/>
      <c r="K210" s="1366"/>
      <c r="L210" s="1366"/>
      <c r="M210" s="1366"/>
      <c r="N210" s="1366"/>
      <c r="O210" s="1366"/>
      <c r="P210" s="1366"/>
      <c r="Q210" s="1366"/>
      <c r="R210" s="1366"/>
      <c r="S210" s="1366"/>
      <c r="T210" s="1366"/>
      <c r="U210" s="1366"/>
      <c r="V210" s="1366"/>
      <c r="W210" s="1366"/>
      <c r="Y210" s="1366"/>
    </row>
    <row r="211" spans="1:25">
      <c r="A211" s="1360"/>
      <c r="C211" s="1367"/>
      <c r="D211" s="1366"/>
      <c r="F211" s="1366"/>
      <c r="G211" s="1366"/>
      <c r="H211" s="1366"/>
      <c r="I211" s="1366"/>
      <c r="J211" s="1366"/>
      <c r="K211" s="1366"/>
      <c r="L211" s="1366"/>
      <c r="M211" s="1366"/>
      <c r="N211" s="1366"/>
      <c r="O211" s="1366"/>
      <c r="P211" s="1366"/>
      <c r="Q211" s="1366"/>
      <c r="R211" s="1366"/>
      <c r="S211" s="1366"/>
      <c r="T211" s="1366"/>
      <c r="U211" s="1366"/>
      <c r="V211" s="1366"/>
      <c r="W211" s="1366"/>
      <c r="Y211" s="1366"/>
    </row>
    <row r="212" spans="1:25">
      <c r="A212" s="1360"/>
      <c r="C212" s="1367"/>
      <c r="D212" s="1366"/>
      <c r="F212" s="1366"/>
      <c r="G212" s="1366"/>
      <c r="H212" s="1366"/>
      <c r="I212" s="1366"/>
      <c r="J212" s="1366"/>
      <c r="K212" s="1366"/>
      <c r="L212" s="1366"/>
      <c r="M212" s="1366"/>
      <c r="N212" s="1366"/>
      <c r="O212" s="1366"/>
      <c r="P212" s="1366"/>
      <c r="Q212" s="1366"/>
      <c r="R212" s="1366"/>
      <c r="S212" s="1366"/>
      <c r="T212" s="1366"/>
      <c r="U212" s="1366"/>
      <c r="V212" s="1366"/>
      <c r="W212" s="1366"/>
      <c r="Y212" s="1366"/>
    </row>
    <row r="213" spans="1:25">
      <c r="A213" s="1360"/>
      <c r="C213" s="1367"/>
      <c r="D213" s="1366"/>
      <c r="F213" s="1366"/>
      <c r="G213" s="1366"/>
      <c r="H213" s="1366"/>
      <c r="I213" s="1366"/>
      <c r="J213" s="1366"/>
      <c r="K213" s="1366"/>
      <c r="L213" s="1366"/>
      <c r="M213" s="1366"/>
      <c r="N213" s="1366"/>
      <c r="O213" s="1366"/>
      <c r="P213" s="1366"/>
      <c r="Q213" s="1366"/>
      <c r="R213" s="1366"/>
      <c r="S213" s="1366"/>
      <c r="T213" s="1366"/>
      <c r="U213" s="1366"/>
      <c r="V213" s="1366"/>
      <c r="W213" s="1366"/>
      <c r="Y213" s="1366"/>
    </row>
    <row r="214" spans="1:25"/>
    <row r="215" spans="1:25"/>
    <row r="216" spans="1:25"/>
    <row r="217" spans="1:25"/>
    <row r="218" spans="1:25"/>
    <row r="219" spans="1:25"/>
    <row r="220" spans="1:25"/>
    <row r="221" spans="1:25"/>
    <row r="222" spans="1:25"/>
    <row r="223" spans="1:25"/>
    <row r="224" spans="1:25"/>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sheetData>
  <mergeCells count="8">
    <mergeCell ref="D183:K183"/>
    <mergeCell ref="C3:K3"/>
    <mergeCell ref="C2:K2"/>
    <mergeCell ref="C1:K1"/>
    <mergeCell ref="F181:K181"/>
    <mergeCell ref="E6:E7"/>
    <mergeCell ref="D180:K180"/>
    <mergeCell ref="D182:K182"/>
  </mergeCells>
  <phoneticPr fontId="8" type="noConversion"/>
  <printOptions horizontalCentered="1"/>
  <pageMargins left="0.5" right="0.5" top="0.5" bottom="0.5" header="0.5" footer="0.25"/>
  <pageSetup scale="27" fitToHeight="0" orientation="landscape" r:id="rId1"/>
  <headerFooter alignWithMargins="0">
    <oddFooter>&amp;L&amp;"Times New Roman,Bold Italic"&amp;F: &amp;A&amp;C&amp;"Times New Roman,Bold Italic"Date: &amp;D&amp;R&amp;"Times New Roman,Bold Italic"Page: &amp;P of &amp;N</oddFooter>
  </headerFooter>
  <ignoredErrors>
    <ignoredError sqref="F116 G30:J30"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3399"/>
    <pageSetUpPr fitToPage="1"/>
  </sheetPr>
  <dimension ref="A1:AD306"/>
  <sheetViews>
    <sheetView showGridLines="0" zoomScaleNormal="100" workbookViewId="0">
      <pane xSplit="4" ySplit="7" topLeftCell="E47" activePane="bottomRight" state="frozen"/>
      <selection activeCell="D11" sqref="D11"/>
      <selection pane="topRight" activeCell="D11" sqref="D11"/>
      <selection pane="bottomLeft" activeCell="D11" sqref="D11"/>
      <selection pane="bottomRight" activeCell="V1" sqref="V1:Y1048576"/>
    </sheetView>
  </sheetViews>
  <sheetFormatPr defaultColWidth="0" defaultRowHeight="15.75" zeroHeight="1"/>
  <cols>
    <col min="1" max="1" width="22.5" style="1361" customWidth="1"/>
    <col min="2" max="2" width="2.625" style="1361" customWidth="1"/>
    <col min="3" max="3" width="12.625" style="1449" customWidth="1"/>
    <col min="4" max="4" width="25" style="1361" bestFit="1" customWidth="1"/>
    <col min="5" max="21" width="10.625" style="1361" customWidth="1"/>
    <col min="22" max="22" width="2.625" style="1361" customWidth="1"/>
    <col min="23" max="23" width="4.875" style="1361" hidden="1" customWidth="1"/>
    <col min="24" max="25" width="0" style="1361" hidden="1" customWidth="1"/>
    <col min="26" max="26" width="14.75" style="1361" hidden="1" customWidth="1"/>
    <col min="27" max="27" width="4.875" style="1361" hidden="1" customWidth="1"/>
    <col min="28" max="29" width="0" style="1361" hidden="1" customWidth="1"/>
    <col min="30" max="30" width="14.75" style="1361" hidden="1" customWidth="1"/>
    <col min="31" max="16384" width="0" style="1361" hidden="1"/>
  </cols>
  <sheetData>
    <row r="1" spans="1:22" ht="23.25">
      <c r="A1" s="1360"/>
      <c r="C1" s="4396" t="s">
        <v>391</v>
      </c>
      <c r="D1" s="4396"/>
      <c r="E1" s="4396"/>
      <c r="F1" s="4396"/>
      <c r="G1" s="4396"/>
      <c r="H1" s="4396"/>
      <c r="I1" s="4396"/>
      <c r="J1" s="4396"/>
      <c r="K1" s="3143" t="s">
        <v>2540</v>
      </c>
      <c r="L1" s="3143" t="s">
        <v>3965</v>
      </c>
      <c r="M1" s="1625"/>
      <c r="N1" s="1362"/>
      <c r="O1" s="1362"/>
      <c r="P1" s="1362"/>
      <c r="Q1" s="1362"/>
      <c r="R1" s="1362"/>
      <c r="S1" s="1362"/>
      <c r="T1" s="1362"/>
      <c r="U1" s="1362"/>
    </row>
    <row r="2" spans="1:22" ht="23.25">
      <c r="A2" s="1360"/>
      <c r="C2" s="4396" t="s">
        <v>717</v>
      </c>
      <c r="D2" s="4396"/>
      <c r="E2" s="4396"/>
      <c r="F2" s="4396"/>
      <c r="G2" s="4396"/>
      <c r="H2" s="4396"/>
      <c r="I2" s="4396"/>
      <c r="J2" s="4396"/>
      <c r="K2" s="3143" t="s">
        <v>3501</v>
      </c>
      <c r="L2" s="3143" t="s">
        <v>3966</v>
      </c>
      <c r="M2" s="1362"/>
      <c r="N2" s="1362"/>
      <c r="O2" s="1362"/>
      <c r="P2" s="1362"/>
      <c r="Q2" s="1362"/>
      <c r="R2" s="1362"/>
      <c r="S2" s="1362"/>
      <c r="T2" s="1362"/>
      <c r="U2" s="1362"/>
    </row>
    <row r="3" spans="1:22" ht="23.25">
      <c r="A3" s="1360"/>
      <c r="C3" s="4396" t="s">
        <v>847</v>
      </c>
      <c r="D3" s="4396"/>
      <c r="E3" s="4396"/>
      <c r="F3" s="4396"/>
      <c r="G3" s="4396"/>
      <c r="H3" s="4396"/>
      <c r="I3" s="4396"/>
      <c r="J3" s="4396"/>
      <c r="K3" s="1362"/>
      <c r="L3" s="1362"/>
      <c r="M3" s="1362"/>
      <c r="N3" s="1362"/>
      <c r="O3" s="1362"/>
      <c r="P3" s="1362"/>
      <c r="Q3" s="1362"/>
      <c r="R3" s="1362"/>
      <c r="S3" s="1362"/>
      <c r="T3" s="1362"/>
      <c r="U3" s="1362"/>
    </row>
    <row r="4" spans="1:22">
      <c r="A4" s="1360"/>
    </row>
    <row r="5" spans="1:22">
      <c r="A5" s="1360"/>
      <c r="E5" s="1450">
        <v>5</v>
      </c>
      <c r="F5" s="1450">
        <f>E5+1</f>
        <v>6</v>
      </c>
      <c r="G5" s="1450">
        <f t="shared" ref="G5:U5" si="0">F5+1</f>
        <v>7</v>
      </c>
      <c r="H5" s="1450">
        <f t="shared" si="0"/>
        <v>8</v>
      </c>
      <c r="I5" s="1450">
        <f t="shared" si="0"/>
        <v>9</v>
      </c>
      <c r="J5" s="1450">
        <f t="shared" si="0"/>
        <v>10</v>
      </c>
      <c r="K5" s="1450">
        <f t="shared" si="0"/>
        <v>11</v>
      </c>
      <c r="L5" s="1450">
        <f t="shared" si="0"/>
        <v>12</v>
      </c>
      <c r="M5" s="1450">
        <f t="shared" si="0"/>
        <v>13</v>
      </c>
      <c r="N5" s="1450">
        <f t="shared" si="0"/>
        <v>14</v>
      </c>
      <c r="O5" s="1450">
        <f t="shared" si="0"/>
        <v>15</v>
      </c>
      <c r="P5" s="1450">
        <f t="shared" si="0"/>
        <v>16</v>
      </c>
      <c r="Q5" s="1450">
        <f t="shared" si="0"/>
        <v>17</v>
      </c>
      <c r="R5" s="1450">
        <f t="shared" si="0"/>
        <v>18</v>
      </c>
      <c r="S5" s="1450">
        <f t="shared" si="0"/>
        <v>19</v>
      </c>
      <c r="T5" s="1450">
        <f t="shared" si="0"/>
        <v>20</v>
      </c>
      <c r="U5" s="1450">
        <f t="shared" si="0"/>
        <v>21</v>
      </c>
    </row>
    <row r="6" spans="1:22">
      <c r="A6" s="1360"/>
      <c r="C6" s="1368" t="s">
        <v>400</v>
      </c>
      <c r="D6" s="4397" t="s">
        <v>399</v>
      </c>
      <c r="E6" s="1369"/>
      <c r="F6" s="1369"/>
      <c r="G6" s="1369"/>
      <c r="H6" s="1369"/>
      <c r="I6" s="1369"/>
      <c r="J6" s="1369"/>
      <c r="K6" s="1369"/>
      <c r="L6" s="1369"/>
      <c r="M6" s="1369"/>
      <c r="N6" s="1369"/>
      <c r="O6" s="1369"/>
      <c r="P6" s="1369"/>
      <c r="Q6" s="1369"/>
      <c r="R6" s="1369"/>
      <c r="S6" s="1369"/>
      <c r="T6" s="1369"/>
      <c r="U6" s="1369"/>
    </row>
    <row r="7" spans="1:22">
      <c r="A7" s="1360"/>
      <c r="C7" s="1373" t="s">
        <v>401</v>
      </c>
      <c r="D7" s="4398"/>
      <c r="E7" s="1374">
        <f>+Cust_Detail!G7</f>
        <v>2010</v>
      </c>
      <c r="F7" s="1374">
        <f>+Cust_Detail!H7</f>
        <v>2011</v>
      </c>
      <c r="G7" s="1374">
        <f>+Cust_Detail!I7</f>
        <v>2012</v>
      </c>
      <c r="H7" s="1374">
        <f>Dashboard!F$7</f>
        <v>2013</v>
      </c>
      <c r="I7" s="1374">
        <f>Dashboard!G$7</f>
        <v>2014</v>
      </c>
      <c r="J7" s="1374">
        <f>Dashboard!H$7</f>
        <v>2015</v>
      </c>
      <c r="K7" s="1374">
        <f>Dashboard!I$7</f>
        <v>2016</v>
      </c>
      <c r="L7" s="1374">
        <f>Dashboard!J$7</f>
        <v>2017</v>
      </c>
      <c r="M7" s="1374">
        <f>Dashboard!K$7</f>
        <v>2018</v>
      </c>
      <c r="N7" s="1374">
        <f>Dashboard!L$7</f>
        <v>2019</v>
      </c>
      <c r="O7" s="1374">
        <f>Dashboard!M$7</f>
        <v>2020</v>
      </c>
      <c r="P7" s="1374">
        <f>Dashboard!N$7</f>
        <v>2021</v>
      </c>
      <c r="Q7" s="1374">
        <f>Dashboard!O$7</f>
        <v>2022</v>
      </c>
      <c r="R7" s="1374">
        <f>Dashboard!P$7</f>
        <v>2023</v>
      </c>
      <c r="S7" s="1374">
        <f>Dashboard!Q$7</f>
        <v>2024</v>
      </c>
      <c r="T7" s="1374">
        <f>Dashboard!R$7</f>
        <v>2025</v>
      </c>
      <c r="U7" s="1374">
        <f>Dashboard!S$7</f>
        <v>2026</v>
      </c>
    </row>
    <row r="8" spans="1:22" s="1452" customFormat="1">
      <c r="A8" s="1360"/>
      <c r="B8" s="1361"/>
      <c r="C8" s="1367"/>
      <c r="D8" s="1446"/>
      <c r="E8" s="1451"/>
      <c r="F8" s="1451"/>
      <c r="G8" s="1451"/>
      <c r="H8" s="1451"/>
      <c r="I8" s="1451"/>
      <c r="J8" s="1451"/>
      <c r="K8" s="1451"/>
      <c r="L8" s="1451"/>
      <c r="M8" s="1451"/>
      <c r="N8" s="1451"/>
      <c r="O8" s="1451"/>
      <c r="P8" s="1451"/>
      <c r="Q8" s="1451"/>
      <c r="R8" s="1451"/>
      <c r="S8" s="1451"/>
      <c r="T8" s="1451"/>
      <c r="U8" s="1451"/>
      <c r="V8" s="1446"/>
    </row>
    <row r="9" spans="1:22" s="1452" customFormat="1">
      <c r="A9" s="1360"/>
      <c r="B9" s="1361"/>
      <c r="C9" s="1367"/>
      <c r="D9" s="1453" t="s">
        <v>13</v>
      </c>
      <c r="E9" s="1454"/>
      <c r="F9" s="1454"/>
      <c r="G9" s="1454"/>
      <c r="H9" s="1454"/>
      <c r="I9" s="1454"/>
      <c r="J9" s="1454"/>
      <c r="K9" s="1454"/>
      <c r="L9" s="1454"/>
      <c r="M9" s="1454"/>
      <c r="N9" s="1454"/>
      <c r="O9" s="1454"/>
      <c r="P9" s="1454"/>
      <c r="Q9" s="1454"/>
      <c r="R9" s="1454"/>
      <c r="S9" s="1454"/>
      <c r="T9" s="1454"/>
      <c r="U9" s="1454"/>
      <c r="V9" s="1446"/>
    </row>
    <row r="10" spans="1:22" s="1452" customFormat="1">
      <c r="A10" s="1360"/>
      <c r="B10" s="1361"/>
      <c r="C10" s="1367">
        <v>1</v>
      </c>
      <c r="D10" s="1401" t="s">
        <v>606</v>
      </c>
      <c r="E10" s="1454">
        <v>0</v>
      </c>
      <c r="F10" s="1454">
        <v>0</v>
      </c>
      <c r="G10" s="1454">
        <v>0</v>
      </c>
      <c r="H10" s="1454">
        <v>0</v>
      </c>
      <c r="I10" s="1454">
        <v>0</v>
      </c>
      <c r="J10" s="1454">
        <v>0</v>
      </c>
      <c r="K10" s="2893">
        <v>2.2553288075439104E-2</v>
      </c>
      <c r="L10" s="2893">
        <v>1.3674765248742116E-2</v>
      </c>
      <c r="M10" s="2893">
        <v>1.3713689137209828E-2</v>
      </c>
      <c r="N10" s="2893">
        <v>1.3715816828604677E-2</v>
      </c>
      <c r="O10" s="2893">
        <v>1.374117768608385E-2</v>
      </c>
      <c r="P10" s="2893">
        <v>1.374176438989072E-2</v>
      </c>
      <c r="Q10" s="2893">
        <v>1.3777503167904159E-2</v>
      </c>
      <c r="R10" s="2893">
        <v>1.37844689198654E-2</v>
      </c>
      <c r="S10" s="2893">
        <v>1.3811023140647416E-2</v>
      </c>
      <c r="T10" s="2893">
        <v>1.38218834426862E-2</v>
      </c>
      <c r="U10" s="2893">
        <v>1.3825771094561734E-2</v>
      </c>
      <c r="V10" s="1446"/>
    </row>
    <row r="11" spans="1:22" s="1452" customFormat="1">
      <c r="A11" s="1360"/>
      <c r="B11" s="1361"/>
      <c r="C11" s="1367">
        <f>MAX(C$10:C10)+1</f>
        <v>2</v>
      </c>
      <c r="D11" s="1401" t="s">
        <v>846</v>
      </c>
      <c r="E11" s="1454">
        <v>0</v>
      </c>
      <c r="F11" s="1454">
        <v>0</v>
      </c>
      <c r="G11" s="1454">
        <v>0</v>
      </c>
      <c r="H11" s="1454">
        <v>0</v>
      </c>
      <c r="I11" s="1454">
        <v>0</v>
      </c>
      <c r="J11" s="1454">
        <v>0</v>
      </c>
      <c r="K11" s="2893">
        <v>3.0448974301302112E-2</v>
      </c>
      <c r="L11" s="2893">
        <v>1.3684230042283252E-2</v>
      </c>
      <c r="M11" s="2893">
        <v>1.3701992278540853E-2</v>
      </c>
      <c r="N11" s="2893">
        <v>1.3719537170345353E-2</v>
      </c>
      <c r="O11" s="2893">
        <v>1.3736866773596423E-2</v>
      </c>
      <c r="P11" s="2893">
        <v>1.3753983141183035E-2</v>
      </c>
      <c r="Q11" s="2893">
        <v>1.3770888322474972E-2</v>
      </c>
      <c r="R11" s="2893">
        <v>1.3787584362814798E-2</v>
      </c>
      <c r="S11" s="2893">
        <v>1.3804073303040676E-2</v>
      </c>
      <c r="T11" s="2893">
        <v>1.3820357179012976E-2</v>
      </c>
      <c r="U11" s="2893">
        <v>1.3836438021160857E-2</v>
      </c>
      <c r="V11" s="1446"/>
    </row>
    <row r="12" spans="1:22" s="1452" customFormat="1">
      <c r="A12" s="1360"/>
      <c r="B12" s="1361"/>
      <c r="C12" s="1367"/>
      <c r="D12" s="1453" t="s">
        <v>14</v>
      </c>
      <c r="E12" s="1454"/>
      <c r="F12" s="1454"/>
      <c r="G12" s="1454"/>
      <c r="H12" s="1454"/>
      <c r="I12" s="1454"/>
      <c r="J12" s="1454"/>
      <c r="K12" s="2445"/>
      <c r="L12" s="2445"/>
      <c r="M12" s="2445"/>
      <c r="N12" s="2445"/>
      <c r="O12" s="2445"/>
      <c r="P12" s="2445"/>
      <c r="Q12" s="2445"/>
      <c r="R12" s="2445"/>
      <c r="S12" s="2445"/>
      <c r="T12" s="2445"/>
      <c r="U12" s="2445"/>
      <c r="V12" s="1446"/>
    </row>
    <row r="13" spans="1:22" s="1452" customFormat="1">
      <c r="A13" s="1360"/>
      <c r="B13" s="1361"/>
      <c r="C13" s="1367">
        <f>MAX(C$10:C12)+1</f>
        <v>3</v>
      </c>
      <c r="D13" s="1401" t="s">
        <v>606</v>
      </c>
      <c r="E13" s="1454">
        <v>0</v>
      </c>
      <c r="F13" s="1454">
        <v>0</v>
      </c>
      <c r="G13" s="1454">
        <v>0</v>
      </c>
      <c r="H13" s="1454">
        <v>0</v>
      </c>
      <c r="I13" s="1454">
        <v>0</v>
      </c>
      <c r="J13" s="1454">
        <v>0</v>
      </c>
      <c r="K13" s="2893">
        <v>2.2553288075439104E-2</v>
      </c>
      <c r="L13" s="2893">
        <v>1.3674765248742116E-2</v>
      </c>
      <c r="M13" s="2893">
        <v>1.3713689137209828E-2</v>
      </c>
      <c r="N13" s="2893">
        <v>1.3715816828604677E-2</v>
      </c>
      <c r="O13" s="2893">
        <v>1.374117768608385E-2</v>
      </c>
      <c r="P13" s="2893">
        <v>1.374176438989072E-2</v>
      </c>
      <c r="Q13" s="2893">
        <v>1.3777503167904159E-2</v>
      </c>
      <c r="R13" s="2893">
        <v>1.37844689198654E-2</v>
      </c>
      <c r="S13" s="2893">
        <v>1.3811023140647416E-2</v>
      </c>
      <c r="T13" s="2893">
        <v>1.38218834426862E-2</v>
      </c>
      <c r="U13" s="2893">
        <v>1.3825771094561734E-2</v>
      </c>
      <c r="V13" s="1446"/>
    </row>
    <row r="14" spans="1:22" s="1452" customFormat="1">
      <c r="A14" s="1360"/>
      <c r="B14" s="1361"/>
      <c r="C14" s="1367">
        <f>MAX(C$10:C13)+1</f>
        <v>4</v>
      </c>
      <c r="D14" s="1401" t="s">
        <v>846</v>
      </c>
      <c r="E14" s="1454">
        <v>0</v>
      </c>
      <c r="F14" s="1454">
        <v>0</v>
      </c>
      <c r="G14" s="1454">
        <v>0</v>
      </c>
      <c r="H14" s="1454">
        <v>0</v>
      </c>
      <c r="I14" s="1454">
        <v>0</v>
      </c>
      <c r="J14" s="1454">
        <v>0</v>
      </c>
      <c r="K14" s="2893">
        <v>3.0448974301302112E-2</v>
      </c>
      <c r="L14" s="2893">
        <v>1.3684230042283252E-2</v>
      </c>
      <c r="M14" s="2893">
        <v>1.3701992278540853E-2</v>
      </c>
      <c r="N14" s="2893">
        <v>1.3719537170345353E-2</v>
      </c>
      <c r="O14" s="2893">
        <v>1.3736866773596423E-2</v>
      </c>
      <c r="P14" s="2893">
        <v>1.3753983141183035E-2</v>
      </c>
      <c r="Q14" s="2893">
        <v>1.3770888322474972E-2</v>
      </c>
      <c r="R14" s="2893">
        <v>1.3787584362814798E-2</v>
      </c>
      <c r="S14" s="2893">
        <v>1.3804073303040676E-2</v>
      </c>
      <c r="T14" s="2893">
        <v>1.3820357179012976E-2</v>
      </c>
      <c r="U14" s="2893">
        <v>1.3836438021160857E-2</v>
      </c>
      <c r="V14" s="1446"/>
    </row>
    <row r="15" spans="1:22" s="1452" customFormat="1">
      <c r="A15" s="1360"/>
      <c r="B15" s="1361"/>
      <c r="C15" s="1367"/>
      <c r="D15" s="1453" t="s">
        <v>903</v>
      </c>
      <c r="E15" s="1454"/>
      <c r="F15" s="1454"/>
      <c r="G15" s="1454"/>
      <c r="H15" s="1454"/>
      <c r="I15" s="1454"/>
      <c r="J15" s="1454"/>
      <c r="K15" s="2445"/>
      <c r="L15" s="2445"/>
      <c r="M15" s="2445"/>
      <c r="N15" s="2445"/>
      <c r="O15" s="2445"/>
      <c r="P15" s="2445"/>
      <c r="Q15" s="2445"/>
      <c r="R15" s="2445"/>
      <c r="S15" s="2445"/>
      <c r="T15" s="2445"/>
      <c r="U15" s="2445"/>
      <c r="V15" s="1454"/>
    </row>
    <row r="16" spans="1:22" s="1452" customFormat="1">
      <c r="A16" s="1360"/>
      <c r="B16" s="1361"/>
      <c r="C16" s="1367">
        <f>MAX(C$10:C15)+1</f>
        <v>5</v>
      </c>
      <c r="D16" s="1401" t="s">
        <v>606</v>
      </c>
      <c r="E16" s="1454">
        <v>0</v>
      </c>
      <c r="F16" s="1454">
        <v>0</v>
      </c>
      <c r="G16" s="1454">
        <v>0</v>
      </c>
      <c r="H16" s="1454">
        <v>0</v>
      </c>
      <c r="I16" s="1454">
        <v>0</v>
      </c>
      <c r="J16" s="1454">
        <v>0</v>
      </c>
      <c r="K16" s="2893">
        <v>5.0873700508737851E-3</v>
      </c>
      <c r="L16" s="2893">
        <v>4.8415492957747386E-3</v>
      </c>
      <c r="M16" s="2893">
        <v>5.0372317126587962E-3</v>
      </c>
      <c r="N16" s="2893">
        <v>5.0119851819567796E-3</v>
      </c>
      <c r="O16" s="2893">
        <v>4.9869904596704373E-3</v>
      </c>
      <c r="P16" s="2893">
        <v>4.9622437971952316E-3</v>
      </c>
      <c r="Q16" s="2893">
        <v>5.1524259338771028E-3</v>
      </c>
      <c r="R16" s="2893">
        <v>4.9124305852199512E-3</v>
      </c>
      <c r="S16" s="2893">
        <v>5.1009564293305054E-3</v>
      </c>
      <c r="T16" s="2893">
        <v>4.8636075280186208E-3</v>
      </c>
      <c r="U16" s="2893">
        <v>5.050505050504972E-3</v>
      </c>
      <c r="V16" s="1446"/>
    </row>
    <row r="17" spans="1:22" s="1452" customFormat="1">
      <c r="A17" s="1360"/>
      <c r="B17" s="1361"/>
      <c r="C17" s="1367">
        <f>MAX(C$10:C16)+1</f>
        <v>6</v>
      </c>
      <c r="D17" s="1401" t="s">
        <v>846</v>
      </c>
      <c r="E17" s="1454">
        <v>0</v>
      </c>
      <c r="F17" s="1454">
        <v>0</v>
      </c>
      <c r="G17" s="1454">
        <v>0</v>
      </c>
      <c r="H17" s="1454">
        <v>0</v>
      </c>
      <c r="I17" s="1454">
        <v>0</v>
      </c>
      <c r="J17" s="1454">
        <v>0</v>
      </c>
      <c r="K17" s="2893">
        <v>3.2167186673534465E-2</v>
      </c>
      <c r="L17" s="2893">
        <v>-4.4066707490529544E-2</v>
      </c>
      <c r="M17" s="2893">
        <v>1.2696319618654028E-2</v>
      </c>
      <c r="N17" s="2893">
        <v>1.2537144030932312E-2</v>
      </c>
      <c r="O17" s="2893">
        <v>1.2381910238889127E-2</v>
      </c>
      <c r="P17" s="2893">
        <v>1.2230473612440784E-2</v>
      </c>
      <c r="Q17" s="2893">
        <v>1.2082696511588775E-2</v>
      </c>
      <c r="R17" s="2893">
        <v>1.1938447869166646E-2</v>
      </c>
      <c r="S17" s="2893">
        <v>1.1797602803119922E-2</v>
      </c>
      <c r="T17" s="2893">
        <v>1.1660042255917213E-2</v>
      </c>
      <c r="U17" s="2893">
        <v>1.1525652658887386E-2</v>
      </c>
      <c r="V17" s="1446"/>
    </row>
    <row r="18" spans="1:22" s="1452" customFormat="1">
      <c r="A18" s="1360"/>
      <c r="B18" s="1361"/>
      <c r="C18" s="1367"/>
      <c r="D18" s="1453" t="s">
        <v>904</v>
      </c>
      <c r="E18" s="1454"/>
      <c r="F18" s="1454"/>
      <c r="G18" s="1454"/>
      <c r="H18" s="1454"/>
      <c r="I18" s="1454"/>
      <c r="J18" s="1454"/>
      <c r="K18" s="2445"/>
      <c r="L18" s="2445"/>
      <c r="M18" s="2445"/>
      <c r="N18" s="2445"/>
      <c r="O18" s="2445"/>
      <c r="P18" s="2445"/>
      <c r="Q18" s="2445"/>
      <c r="R18" s="2445"/>
      <c r="S18" s="2445"/>
      <c r="T18" s="2445"/>
      <c r="U18" s="2445"/>
      <c r="V18" s="1454"/>
    </row>
    <row r="19" spans="1:22" s="1452" customFormat="1">
      <c r="A19" s="1360"/>
      <c r="B19" s="1361"/>
      <c r="C19" s="1367">
        <f>MAX(C$10:C18)+1</f>
        <v>7</v>
      </c>
      <c r="D19" s="1401" t="s">
        <v>606</v>
      </c>
      <c r="E19" s="1454">
        <v>0</v>
      </c>
      <c r="F19" s="1454">
        <v>0</v>
      </c>
      <c r="G19" s="1454">
        <v>0</v>
      </c>
      <c r="H19" s="1454">
        <v>0</v>
      </c>
      <c r="I19" s="1454">
        <v>0</v>
      </c>
      <c r="J19" s="1454">
        <v>0</v>
      </c>
      <c r="K19" s="3474">
        <f t="shared" ref="K19:U20" si="1">K16</f>
        <v>5.0873700508737851E-3</v>
      </c>
      <c r="L19" s="3474">
        <f t="shared" si="1"/>
        <v>4.8415492957747386E-3</v>
      </c>
      <c r="M19" s="3474">
        <f t="shared" si="1"/>
        <v>5.0372317126587962E-3</v>
      </c>
      <c r="N19" s="3474">
        <f t="shared" si="1"/>
        <v>5.0119851819567796E-3</v>
      </c>
      <c r="O19" s="3474">
        <f t="shared" si="1"/>
        <v>4.9869904596704373E-3</v>
      </c>
      <c r="P19" s="3474">
        <f t="shared" si="1"/>
        <v>4.9622437971952316E-3</v>
      </c>
      <c r="Q19" s="3474">
        <f t="shared" si="1"/>
        <v>5.1524259338771028E-3</v>
      </c>
      <c r="R19" s="3474">
        <f t="shared" si="1"/>
        <v>4.9124305852199512E-3</v>
      </c>
      <c r="S19" s="3474">
        <f t="shared" si="1"/>
        <v>5.1009564293305054E-3</v>
      </c>
      <c r="T19" s="3474">
        <f t="shared" si="1"/>
        <v>4.8636075280186208E-3</v>
      </c>
      <c r="U19" s="3474">
        <f t="shared" si="1"/>
        <v>5.050505050504972E-3</v>
      </c>
      <c r="V19" s="1446"/>
    </row>
    <row r="20" spans="1:22" s="1452" customFormat="1">
      <c r="A20" s="1360"/>
      <c r="B20" s="1361"/>
      <c r="C20" s="1367">
        <f>MAX(C$10:C19)+1</f>
        <v>8</v>
      </c>
      <c r="D20" s="1401" t="s">
        <v>846</v>
      </c>
      <c r="E20" s="1454">
        <v>0</v>
      </c>
      <c r="F20" s="1454">
        <v>0</v>
      </c>
      <c r="G20" s="1454">
        <v>0</v>
      </c>
      <c r="H20" s="1454">
        <v>0</v>
      </c>
      <c r="I20" s="1454">
        <v>0</v>
      </c>
      <c r="J20" s="1454">
        <v>0</v>
      </c>
      <c r="K20" s="3474">
        <f t="shared" si="1"/>
        <v>3.2167186673534465E-2</v>
      </c>
      <c r="L20" s="3474">
        <f t="shared" si="1"/>
        <v>-4.4066707490529544E-2</v>
      </c>
      <c r="M20" s="3474">
        <f t="shared" si="1"/>
        <v>1.2696319618654028E-2</v>
      </c>
      <c r="N20" s="3474">
        <f t="shared" si="1"/>
        <v>1.2537144030932312E-2</v>
      </c>
      <c r="O20" s="3474">
        <f t="shared" si="1"/>
        <v>1.2381910238889127E-2</v>
      </c>
      <c r="P20" s="3474">
        <f t="shared" si="1"/>
        <v>1.2230473612440784E-2</v>
      </c>
      <c r="Q20" s="3474">
        <f t="shared" si="1"/>
        <v>1.2082696511588775E-2</v>
      </c>
      <c r="R20" s="3474">
        <f t="shared" si="1"/>
        <v>1.1938447869166646E-2</v>
      </c>
      <c r="S20" s="3474">
        <f t="shared" si="1"/>
        <v>1.1797602803119922E-2</v>
      </c>
      <c r="T20" s="3474">
        <f t="shared" si="1"/>
        <v>1.1660042255917213E-2</v>
      </c>
      <c r="U20" s="3474">
        <f t="shared" si="1"/>
        <v>1.1525652658887386E-2</v>
      </c>
      <c r="V20" s="1446"/>
    </row>
    <row r="21" spans="1:22">
      <c r="A21" s="1360"/>
      <c r="C21" s="1367"/>
      <c r="D21" s="1453" t="s">
        <v>905</v>
      </c>
      <c r="E21" s="1454"/>
      <c r="F21" s="1454"/>
      <c r="G21" s="1454"/>
      <c r="H21" s="1454"/>
      <c r="I21" s="1454"/>
      <c r="J21" s="1454"/>
      <c r="K21" s="2445"/>
      <c r="L21" s="2445"/>
      <c r="M21" s="2445"/>
      <c r="N21" s="2445"/>
      <c r="O21" s="2445"/>
      <c r="P21" s="2445"/>
      <c r="Q21" s="2445"/>
      <c r="R21" s="2445"/>
      <c r="S21" s="2445"/>
      <c r="T21" s="2445"/>
      <c r="U21" s="2445"/>
      <c r="V21" s="1454"/>
    </row>
    <row r="22" spans="1:22">
      <c r="A22" s="1360"/>
      <c r="C22" s="1367">
        <f>MAX(C$10:C21)+1</f>
        <v>9</v>
      </c>
      <c r="D22" s="1401" t="s">
        <v>606</v>
      </c>
      <c r="E22" s="1454">
        <v>0</v>
      </c>
      <c r="F22" s="1454">
        <v>0</v>
      </c>
      <c r="G22" s="1454">
        <v>0</v>
      </c>
      <c r="H22" s="1454">
        <v>0</v>
      </c>
      <c r="I22" s="1454">
        <v>0</v>
      </c>
      <c r="J22" s="1454">
        <v>0</v>
      </c>
      <c r="K22" s="2893">
        <v>1.4437569411391404E-2</v>
      </c>
      <c r="L22" s="2893">
        <v>2.987175477009707E-2</v>
      </c>
      <c r="M22" s="2893">
        <v>2.9460895975702339E-2</v>
      </c>
      <c r="N22" s="2893">
        <v>2.891281899985243E-2</v>
      </c>
      <c r="O22" s="2893">
        <v>2.8673835125448077E-2</v>
      </c>
      <c r="P22" s="2893">
        <v>2.8153310104529705E-2</v>
      </c>
      <c r="Q22" s="2893">
        <v>2.7924630608648471E-2</v>
      </c>
      <c r="R22" s="2893">
        <v>2.7561651061585035E-2</v>
      </c>
      <c r="S22" s="2893">
        <v>2.7079055441478372E-2</v>
      </c>
      <c r="T22" s="2893">
        <v>2.6864925652880123E-2</v>
      </c>
      <c r="U22" s="2893">
        <v>2.6527135556096315E-2</v>
      </c>
    </row>
    <row r="23" spans="1:22">
      <c r="A23" s="1360"/>
      <c r="C23" s="1367">
        <f>MAX(C$10:C22)+1</f>
        <v>10</v>
      </c>
      <c r="D23" s="1401" t="s">
        <v>846</v>
      </c>
      <c r="E23" s="1454">
        <v>0</v>
      </c>
      <c r="F23" s="1454">
        <v>0</v>
      </c>
      <c r="G23" s="1454">
        <v>0</v>
      </c>
      <c r="H23" s="1454">
        <v>0</v>
      </c>
      <c r="I23" s="1454">
        <v>0</v>
      </c>
      <c r="J23" s="1454">
        <v>0</v>
      </c>
      <c r="K23" s="2893">
        <v>5.3729856239967955E-2</v>
      </c>
      <c r="L23" s="2893">
        <v>1.6475956246559065E-2</v>
      </c>
      <c r="M23" s="2893">
        <v>1.6262732321328688E-2</v>
      </c>
      <c r="N23" s="2893">
        <v>1.600503497324568E-2</v>
      </c>
      <c r="O23" s="2893">
        <v>1.5733827336898987E-2</v>
      </c>
      <c r="P23" s="2893">
        <v>1.5501825853625695E-2</v>
      </c>
      <c r="Q23" s="2893">
        <v>1.5263671225744124E-2</v>
      </c>
      <c r="R23" s="2893">
        <v>1.5031399746687324E-2</v>
      </c>
      <c r="S23" s="2893">
        <v>1.4811136036682937E-2</v>
      </c>
      <c r="T23" s="2893">
        <v>1.4594344283800131E-2</v>
      </c>
      <c r="U23" s="2893">
        <v>1.4384071027432999E-2</v>
      </c>
    </row>
    <row r="24" spans="1:22">
      <c r="A24" s="1360"/>
      <c r="C24" s="1367"/>
      <c r="D24" s="1453" t="s">
        <v>906</v>
      </c>
      <c r="E24" s="1454"/>
      <c r="F24" s="1454"/>
      <c r="G24" s="1454"/>
      <c r="H24" s="1454"/>
      <c r="I24" s="1454"/>
      <c r="J24" s="1454"/>
      <c r="K24" s="2445"/>
      <c r="L24" s="2445"/>
      <c r="M24" s="2445"/>
      <c r="N24" s="2445"/>
      <c r="O24" s="2445"/>
      <c r="P24" s="2445"/>
      <c r="Q24" s="2445"/>
      <c r="R24" s="2445"/>
      <c r="S24" s="2445"/>
      <c r="T24" s="2445"/>
      <c r="U24" s="2445"/>
      <c r="V24" s="1454"/>
    </row>
    <row r="25" spans="1:22">
      <c r="A25" s="1360"/>
      <c r="C25" s="1367">
        <f>MAX(C$10:C24)+1</f>
        <v>11</v>
      </c>
      <c r="D25" s="1401" t="s">
        <v>606</v>
      </c>
      <c r="E25" s="1454">
        <v>0</v>
      </c>
      <c r="F25" s="1454">
        <v>0</v>
      </c>
      <c r="G25" s="1454">
        <v>0</v>
      </c>
      <c r="H25" s="1454">
        <v>0</v>
      </c>
      <c r="I25" s="1454">
        <v>0</v>
      </c>
      <c r="J25" s="1454">
        <v>0</v>
      </c>
      <c r="K25" s="3474">
        <f t="shared" ref="K25:U26" si="2">K22</f>
        <v>1.4437569411391404E-2</v>
      </c>
      <c r="L25" s="3474">
        <f t="shared" si="2"/>
        <v>2.987175477009707E-2</v>
      </c>
      <c r="M25" s="3474">
        <f t="shared" si="2"/>
        <v>2.9460895975702339E-2</v>
      </c>
      <c r="N25" s="3474">
        <f t="shared" si="2"/>
        <v>2.891281899985243E-2</v>
      </c>
      <c r="O25" s="3474">
        <f t="shared" si="2"/>
        <v>2.8673835125448077E-2</v>
      </c>
      <c r="P25" s="3474">
        <f t="shared" si="2"/>
        <v>2.8153310104529705E-2</v>
      </c>
      <c r="Q25" s="3474">
        <f t="shared" si="2"/>
        <v>2.7924630608648471E-2</v>
      </c>
      <c r="R25" s="3474">
        <f t="shared" si="2"/>
        <v>2.7561651061585035E-2</v>
      </c>
      <c r="S25" s="3474">
        <f t="shared" si="2"/>
        <v>2.7079055441478372E-2</v>
      </c>
      <c r="T25" s="3474">
        <f t="shared" si="2"/>
        <v>2.6864925652880123E-2</v>
      </c>
      <c r="U25" s="3474">
        <f t="shared" si="2"/>
        <v>2.6527135556096315E-2</v>
      </c>
    </row>
    <row r="26" spans="1:22">
      <c r="A26" s="1360"/>
      <c r="C26" s="1367">
        <f>MAX(C$10:C25)+1</f>
        <v>12</v>
      </c>
      <c r="D26" s="1401" t="s">
        <v>846</v>
      </c>
      <c r="E26" s="1454">
        <v>0</v>
      </c>
      <c r="F26" s="1454">
        <v>0</v>
      </c>
      <c r="G26" s="1454">
        <v>0</v>
      </c>
      <c r="H26" s="1454">
        <v>0</v>
      </c>
      <c r="I26" s="1454">
        <v>0</v>
      </c>
      <c r="J26" s="1454">
        <v>0</v>
      </c>
      <c r="K26" s="3474">
        <f t="shared" si="2"/>
        <v>5.3729856239967955E-2</v>
      </c>
      <c r="L26" s="3474">
        <f t="shared" si="2"/>
        <v>1.6475956246559065E-2</v>
      </c>
      <c r="M26" s="3474">
        <f t="shared" si="2"/>
        <v>1.6262732321328688E-2</v>
      </c>
      <c r="N26" s="3474">
        <f t="shared" si="2"/>
        <v>1.600503497324568E-2</v>
      </c>
      <c r="O26" s="3474">
        <f t="shared" si="2"/>
        <v>1.5733827336898987E-2</v>
      </c>
      <c r="P26" s="3474">
        <f t="shared" si="2"/>
        <v>1.5501825853625695E-2</v>
      </c>
      <c r="Q26" s="3474">
        <f t="shared" si="2"/>
        <v>1.5263671225744124E-2</v>
      </c>
      <c r="R26" s="3474">
        <f t="shared" si="2"/>
        <v>1.5031399746687324E-2</v>
      </c>
      <c r="S26" s="3474">
        <f t="shared" si="2"/>
        <v>1.4811136036682937E-2</v>
      </c>
      <c r="T26" s="3474">
        <f t="shared" si="2"/>
        <v>1.4594344283800131E-2</v>
      </c>
      <c r="U26" s="3474">
        <f t="shared" si="2"/>
        <v>1.4384071027432999E-2</v>
      </c>
    </row>
    <row r="27" spans="1:22">
      <c r="A27" s="1360"/>
      <c r="C27" s="1367"/>
      <c r="D27" s="1453" t="s">
        <v>22</v>
      </c>
      <c r="E27" s="1454"/>
      <c r="F27" s="1454"/>
      <c r="G27" s="1454"/>
      <c r="H27" s="1454"/>
      <c r="I27" s="1454"/>
      <c r="J27" s="1454"/>
      <c r="K27" s="2445"/>
      <c r="L27" s="2445"/>
      <c r="M27" s="2445"/>
      <c r="N27" s="2445"/>
      <c r="O27" s="2445"/>
      <c r="P27" s="2445"/>
      <c r="Q27" s="2445"/>
      <c r="R27" s="2445"/>
      <c r="S27" s="2445"/>
      <c r="T27" s="2445"/>
      <c r="U27" s="2445"/>
      <c r="V27" s="1454"/>
    </row>
    <row r="28" spans="1:22">
      <c r="A28" s="1360"/>
      <c r="C28" s="1367">
        <f>MAX(C$10:C27)+1</f>
        <v>13</v>
      </c>
      <c r="D28" s="1401" t="s">
        <v>606</v>
      </c>
      <c r="E28" s="1454">
        <v>0</v>
      </c>
      <c r="F28" s="1454">
        <v>0</v>
      </c>
      <c r="G28" s="1454">
        <v>0</v>
      </c>
      <c r="H28" s="1454">
        <v>0</v>
      </c>
      <c r="I28" s="1454">
        <v>0</v>
      </c>
      <c r="J28" s="1454">
        <v>0</v>
      </c>
      <c r="K28" s="2893">
        <v>2.7989821882951738E-2</v>
      </c>
      <c r="L28" s="2893">
        <v>1.980198019801982E-2</v>
      </c>
      <c r="M28" s="2893">
        <v>1.9417475728155331E-2</v>
      </c>
      <c r="N28" s="2893">
        <v>1.904761904761898E-2</v>
      </c>
      <c r="O28" s="2893">
        <v>1.8691588785046731E-2</v>
      </c>
      <c r="P28" s="2893">
        <v>2.7522935779816571E-2</v>
      </c>
      <c r="Q28" s="2893">
        <v>1.7857142857142794E-2</v>
      </c>
      <c r="R28" s="2893">
        <v>1.7543859649122862E-2</v>
      </c>
      <c r="S28" s="2893">
        <v>2.5862068965517349E-2</v>
      </c>
      <c r="T28" s="2893">
        <v>1.6806722689075571E-2</v>
      </c>
      <c r="U28" s="2893">
        <v>2.4793388429751984E-2</v>
      </c>
    </row>
    <row r="29" spans="1:22">
      <c r="A29" s="1360"/>
      <c r="C29" s="1367">
        <f>MAX(C$10:C28)+1</f>
        <v>14</v>
      </c>
      <c r="D29" s="1401" t="s">
        <v>846</v>
      </c>
      <c r="E29" s="1454">
        <v>0</v>
      </c>
      <c r="F29" s="1454">
        <v>0</v>
      </c>
      <c r="G29" s="1454">
        <v>0</v>
      </c>
      <c r="H29" s="1454">
        <v>0</v>
      </c>
      <c r="I29" s="1454">
        <v>0</v>
      </c>
      <c r="J29" s="1454">
        <v>0</v>
      </c>
      <c r="K29" s="2893">
        <v>-9.0602082451565757E-2</v>
      </c>
      <c r="L29" s="2893">
        <v>1.980198019801982E-2</v>
      </c>
      <c r="M29" s="2893">
        <v>1.9417475728155553E-2</v>
      </c>
      <c r="N29" s="2893">
        <v>1.904761904761898E-2</v>
      </c>
      <c r="O29" s="2893">
        <v>1.8691588785046731E-2</v>
      </c>
      <c r="P29" s="2893">
        <v>2.7522935779816571E-2</v>
      </c>
      <c r="Q29" s="2893">
        <v>1.7857142857143016E-2</v>
      </c>
      <c r="R29" s="2893">
        <v>1.754385964912264E-2</v>
      </c>
      <c r="S29" s="2893">
        <v>2.5862068965517571E-2</v>
      </c>
      <c r="T29" s="2893">
        <v>1.6806722689075571E-2</v>
      </c>
      <c r="U29" s="2893">
        <v>2.4793388429751984E-2</v>
      </c>
    </row>
    <row r="30" spans="1:22">
      <c r="A30" s="1360"/>
      <c r="C30" s="1367"/>
      <c r="D30" s="1453" t="s">
        <v>16</v>
      </c>
      <c r="E30" s="1454"/>
      <c r="F30" s="1454"/>
      <c r="G30" s="1454"/>
      <c r="H30" s="1454"/>
      <c r="I30" s="1454"/>
      <c r="J30" s="1454"/>
      <c r="K30" s="2445"/>
      <c r="L30" s="2445"/>
      <c r="M30" s="2445"/>
      <c r="N30" s="2445"/>
      <c r="O30" s="2445"/>
      <c r="P30" s="2445"/>
      <c r="Q30" s="2445"/>
      <c r="R30" s="2445"/>
      <c r="S30" s="2445"/>
      <c r="T30" s="2445"/>
      <c r="U30" s="2445"/>
      <c r="V30" s="1454"/>
    </row>
    <row r="31" spans="1:22">
      <c r="A31" s="1360"/>
      <c r="C31" s="1367">
        <f>MAX(C$10:C30)+1</f>
        <v>15</v>
      </c>
      <c r="D31" s="1401" t="s">
        <v>606</v>
      </c>
      <c r="E31" s="1454">
        <v>0</v>
      </c>
      <c r="F31" s="1454">
        <v>0</v>
      </c>
      <c r="G31" s="1454">
        <v>0</v>
      </c>
      <c r="H31" s="1454">
        <v>0</v>
      </c>
      <c r="I31" s="1454">
        <v>0</v>
      </c>
      <c r="J31" s="1454">
        <v>0</v>
      </c>
      <c r="K31" s="2893">
        <v>0</v>
      </c>
      <c r="L31" s="2893">
        <v>0</v>
      </c>
      <c r="M31" s="2893">
        <v>0</v>
      </c>
      <c r="N31" s="2893">
        <v>0</v>
      </c>
      <c r="O31" s="2893">
        <v>0</v>
      </c>
      <c r="P31" s="2893">
        <v>0</v>
      </c>
      <c r="Q31" s="2893">
        <v>0</v>
      </c>
      <c r="R31" s="2893">
        <v>0</v>
      </c>
      <c r="S31" s="2893">
        <v>0</v>
      </c>
      <c r="T31" s="2893">
        <v>0</v>
      </c>
      <c r="U31" s="2893">
        <v>0</v>
      </c>
    </row>
    <row r="32" spans="1:22">
      <c r="A32" s="1360"/>
      <c r="C32" s="1367">
        <f>MAX(C$10:C31)+1</f>
        <v>16</v>
      </c>
      <c r="D32" s="1401" t="s">
        <v>846</v>
      </c>
      <c r="E32" s="1454">
        <v>0</v>
      </c>
      <c r="F32" s="1454">
        <v>0</v>
      </c>
      <c r="G32" s="1454">
        <v>0</v>
      </c>
      <c r="H32" s="1454">
        <v>0</v>
      </c>
      <c r="I32" s="1454">
        <v>0</v>
      </c>
      <c r="J32" s="1454">
        <v>0</v>
      </c>
      <c r="K32" s="2893">
        <v>4.8692318286851499E-3</v>
      </c>
      <c r="L32" s="2893">
        <v>0.23426416557845275</v>
      </c>
      <c r="M32" s="2893">
        <v>0.11931775593455995</v>
      </c>
      <c r="N32" s="2893">
        <v>0.13616013292752416</v>
      </c>
      <c r="O32" s="2893">
        <v>0.14503861917288008</v>
      </c>
      <c r="P32" s="2893">
        <v>7.0537236397197889E-2</v>
      </c>
      <c r="Q32" s="2893">
        <v>6.2179065739622841E-2</v>
      </c>
      <c r="R32" s="2893">
        <v>3.6886868177261833E-2</v>
      </c>
      <c r="S32" s="2893">
        <v>3.583711134614842E-2</v>
      </c>
      <c r="T32" s="2893">
        <v>3.4304633381948113E-2</v>
      </c>
      <c r="U32" s="2893">
        <v>2.6626081955019032E-2</v>
      </c>
    </row>
    <row r="33" spans="1:21">
      <c r="A33" s="1360"/>
      <c r="C33" s="1367"/>
      <c r="D33" s="1453" t="s">
        <v>17</v>
      </c>
      <c r="E33" s="1454"/>
      <c r="F33" s="1454"/>
      <c r="G33" s="1454"/>
      <c r="H33" s="1454"/>
      <c r="I33" s="1454"/>
      <c r="J33" s="1454"/>
      <c r="K33" s="2445"/>
      <c r="L33" s="2445"/>
      <c r="M33" s="2445"/>
      <c r="N33" s="2445"/>
      <c r="O33" s="2445"/>
      <c r="P33" s="2445"/>
      <c r="Q33" s="2445"/>
      <c r="R33" s="2445"/>
      <c r="S33" s="2445"/>
      <c r="T33" s="2445"/>
      <c r="U33" s="2445"/>
    </row>
    <row r="34" spans="1:21">
      <c r="A34" s="1360"/>
      <c r="C34" s="1367">
        <f>MAX(C$10:C33)+1</f>
        <v>17</v>
      </c>
      <c r="D34" s="1401" t="s">
        <v>606</v>
      </c>
      <c r="E34" s="1454">
        <v>0</v>
      </c>
      <c r="F34" s="1454">
        <v>0</v>
      </c>
      <c r="G34" s="1454">
        <v>0</v>
      </c>
      <c r="H34" s="1454">
        <v>0</v>
      </c>
      <c r="I34" s="1454">
        <v>0</v>
      </c>
      <c r="J34" s="1454">
        <v>0</v>
      </c>
      <c r="K34" s="2893">
        <v>0</v>
      </c>
      <c r="L34" s="2893">
        <v>0</v>
      </c>
      <c r="M34" s="2893">
        <v>0</v>
      </c>
      <c r="N34" s="2893">
        <v>0</v>
      </c>
      <c r="O34" s="2893">
        <v>0</v>
      </c>
      <c r="P34" s="2893">
        <v>0</v>
      </c>
      <c r="Q34" s="2893">
        <v>0</v>
      </c>
      <c r="R34" s="2893">
        <v>0</v>
      </c>
      <c r="S34" s="2893">
        <v>0</v>
      </c>
      <c r="T34" s="2893">
        <v>0</v>
      </c>
      <c r="U34" s="2893">
        <v>0</v>
      </c>
    </row>
    <row r="35" spans="1:21">
      <c r="A35" s="1360"/>
      <c r="C35" s="1367">
        <f>MAX(C$10:C34)+1</f>
        <v>18</v>
      </c>
      <c r="D35" s="1401" t="s">
        <v>846</v>
      </c>
      <c r="E35" s="1454">
        <v>0</v>
      </c>
      <c r="F35" s="1454">
        <v>0</v>
      </c>
      <c r="G35" s="1454">
        <v>0</v>
      </c>
      <c r="H35" s="1454">
        <v>0</v>
      </c>
      <c r="I35" s="1454">
        <v>0</v>
      </c>
      <c r="J35" s="1454">
        <v>0</v>
      </c>
      <c r="K35" s="2893">
        <v>-3.7358103900592021E-2</v>
      </c>
      <c r="L35" s="2893">
        <v>8.158627970247867E-2</v>
      </c>
      <c r="M35" s="2893">
        <v>7.8719719685451883E-2</v>
      </c>
      <c r="N35" s="2893">
        <v>9.2482043497973399E-2</v>
      </c>
      <c r="O35" s="2893">
        <v>8.9319503846897463E-2</v>
      </c>
      <c r="P35" s="2893">
        <v>9.7488905605914056E-2</v>
      </c>
      <c r="Q35" s="2893">
        <v>4.1033056596861295E-2</v>
      </c>
      <c r="R35" s="2893">
        <v>4.5586632664731175E-2</v>
      </c>
      <c r="S35" s="2893">
        <v>4.583533297900666E-2</v>
      </c>
      <c r="T35" s="2893">
        <v>2.7904941051992482E-2</v>
      </c>
      <c r="U35" s="2893">
        <v>2.7339411449392115E-2</v>
      </c>
    </row>
    <row r="36" spans="1:21">
      <c r="A36" s="1360"/>
      <c r="C36" s="1367"/>
      <c r="D36" s="1453" t="s">
        <v>18</v>
      </c>
      <c r="E36" s="1454"/>
      <c r="F36" s="1454"/>
      <c r="G36" s="1454"/>
      <c r="H36" s="1454"/>
      <c r="I36" s="1454"/>
      <c r="J36" s="1454"/>
      <c r="K36" s="2445"/>
      <c r="L36" s="2445"/>
      <c r="M36" s="2445"/>
      <c r="N36" s="2445"/>
      <c r="O36" s="2445"/>
      <c r="P36" s="2445"/>
      <c r="Q36" s="2445"/>
      <c r="R36" s="2445"/>
      <c r="S36" s="2445"/>
      <c r="T36" s="2445"/>
      <c r="U36" s="2445"/>
    </row>
    <row r="37" spans="1:21">
      <c r="A37" s="1360"/>
      <c r="C37" s="1367">
        <f>MAX(C$10:C36)+1</f>
        <v>19</v>
      </c>
      <c r="D37" s="1401" t="s">
        <v>606</v>
      </c>
      <c r="E37" s="1454">
        <v>0</v>
      </c>
      <c r="F37" s="1454">
        <v>0</v>
      </c>
      <c r="G37" s="1454">
        <v>0</v>
      </c>
      <c r="H37" s="1454">
        <v>0</v>
      </c>
      <c r="I37" s="1454">
        <v>0</v>
      </c>
      <c r="J37" s="1454">
        <v>0</v>
      </c>
      <c r="K37" s="2893">
        <v>0</v>
      </c>
      <c r="L37" s="2893">
        <v>0</v>
      </c>
      <c r="M37" s="2893">
        <v>0</v>
      </c>
      <c r="N37" s="2893">
        <v>0</v>
      </c>
      <c r="O37" s="2893">
        <v>0</v>
      </c>
      <c r="P37" s="2893">
        <v>0</v>
      </c>
      <c r="Q37" s="2893">
        <v>0</v>
      </c>
      <c r="R37" s="2893">
        <v>0</v>
      </c>
      <c r="S37" s="2893">
        <v>0</v>
      </c>
      <c r="T37" s="2893">
        <v>0</v>
      </c>
      <c r="U37" s="2893">
        <v>0</v>
      </c>
    </row>
    <row r="38" spans="1:21">
      <c r="A38" s="1360"/>
      <c r="C38" s="1367">
        <f>MAX(C$10:C37)+1</f>
        <v>20</v>
      </c>
      <c r="D38" s="1401" t="s">
        <v>846</v>
      </c>
      <c r="E38" s="1454">
        <v>0</v>
      </c>
      <c r="F38" s="1454">
        <v>0</v>
      </c>
      <c r="G38" s="1454">
        <v>0</v>
      </c>
      <c r="H38" s="1454">
        <v>0</v>
      </c>
      <c r="I38" s="1454">
        <v>0</v>
      </c>
      <c r="J38" s="1454">
        <v>0</v>
      </c>
      <c r="K38" s="2893">
        <v>1.512002679440716E-2</v>
      </c>
      <c r="L38" s="2893">
        <v>5.4162155050952343E-2</v>
      </c>
      <c r="M38" s="2893">
        <v>1.0533784826099124E-2</v>
      </c>
      <c r="N38" s="2893">
        <v>0.10980925267694652</v>
      </c>
      <c r="O38" s="2893">
        <v>4.9999999999996714E-3</v>
      </c>
      <c r="P38" s="2893">
        <v>5.0000000000003375E-3</v>
      </c>
      <c r="Q38" s="2893">
        <v>4.9999999999996714E-3</v>
      </c>
      <c r="R38" s="2893">
        <v>5.0000000000001155E-3</v>
      </c>
      <c r="S38" s="2893">
        <v>5.0000000000001155E-3</v>
      </c>
      <c r="T38" s="2893">
        <v>4.9999999999996714E-3</v>
      </c>
      <c r="U38" s="2893">
        <v>5.0000000000003375E-3</v>
      </c>
    </row>
    <row r="39" spans="1:21">
      <c r="A39" s="1360"/>
      <c r="C39" s="1367"/>
      <c r="D39" s="1453" t="s">
        <v>19</v>
      </c>
      <c r="E39" s="1454"/>
      <c r="F39" s="1454"/>
      <c r="G39" s="1454"/>
      <c r="H39" s="1454"/>
      <c r="I39" s="1454"/>
      <c r="J39" s="1454"/>
      <c r="K39" s="2445"/>
      <c r="L39" s="2445"/>
      <c r="M39" s="2445"/>
      <c r="N39" s="2445"/>
      <c r="O39" s="2445"/>
      <c r="P39" s="2445"/>
      <c r="Q39" s="2445"/>
      <c r="R39" s="2445"/>
      <c r="S39" s="2445"/>
      <c r="T39" s="2445"/>
      <c r="U39" s="2445"/>
    </row>
    <row r="40" spans="1:21">
      <c r="A40" s="1360"/>
      <c r="C40" s="1367">
        <f>MAX(C$10:C39)+1</f>
        <v>21</v>
      </c>
      <c r="D40" s="1401" t="s">
        <v>606</v>
      </c>
      <c r="E40" s="1454">
        <v>0</v>
      </c>
      <c r="F40" s="1454">
        <v>0</v>
      </c>
      <c r="G40" s="1454">
        <v>0</v>
      </c>
      <c r="H40" s="1454">
        <v>0</v>
      </c>
      <c r="I40" s="1454">
        <v>0</v>
      </c>
      <c r="J40" s="1454">
        <v>0</v>
      </c>
      <c r="K40" s="2893">
        <v>0</v>
      </c>
      <c r="L40" s="2893">
        <v>0</v>
      </c>
      <c r="M40" s="2893">
        <v>0</v>
      </c>
      <c r="N40" s="2893">
        <v>0</v>
      </c>
      <c r="O40" s="2893">
        <v>0</v>
      </c>
      <c r="P40" s="2893">
        <v>0</v>
      </c>
      <c r="Q40" s="2893">
        <v>0</v>
      </c>
      <c r="R40" s="2893">
        <v>0</v>
      </c>
      <c r="S40" s="2893">
        <v>0</v>
      </c>
      <c r="T40" s="2893">
        <v>0</v>
      </c>
      <c r="U40" s="2893">
        <v>0</v>
      </c>
    </row>
    <row r="41" spans="1:21">
      <c r="A41" s="1360"/>
      <c r="C41" s="1367">
        <f>MAX(C$10:C40)+1</f>
        <v>22</v>
      </c>
      <c r="D41" s="1401" t="s">
        <v>846</v>
      </c>
      <c r="E41" s="1454">
        <v>0</v>
      </c>
      <c r="F41" s="1454">
        <v>0</v>
      </c>
      <c r="G41" s="1454">
        <v>0</v>
      </c>
      <c r="H41" s="1454">
        <v>0</v>
      </c>
      <c r="I41" s="1454">
        <v>0</v>
      </c>
      <c r="J41" s="1454">
        <v>0</v>
      </c>
      <c r="K41" s="2893">
        <v>0</v>
      </c>
      <c r="L41" s="2893">
        <v>0</v>
      </c>
      <c r="M41" s="2893">
        <v>0</v>
      </c>
      <c r="N41" s="2893">
        <v>0</v>
      </c>
      <c r="O41" s="2893">
        <v>0</v>
      </c>
      <c r="P41" s="2893">
        <v>0</v>
      </c>
      <c r="Q41" s="2893">
        <v>0</v>
      </c>
      <c r="R41" s="2893">
        <v>0</v>
      </c>
      <c r="S41" s="2893">
        <v>0</v>
      </c>
      <c r="T41" s="2893">
        <v>0</v>
      </c>
      <c r="U41" s="2893">
        <v>0</v>
      </c>
    </row>
    <row r="42" spans="1:21">
      <c r="A42" s="1360"/>
      <c r="C42" s="1367"/>
      <c r="D42" s="1453" t="s">
        <v>20</v>
      </c>
      <c r="E42" s="1454"/>
      <c r="F42" s="1454"/>
      <c r="G42" s="1454"/>
      <c r="H42" s="1454"/>
      <c r="I42" s="1454"/>
      <c r="J42" s="1454"/>
      <c r="K42" s="2445"/>
      <c r="L42" s="2445"/>
      <c r="M42" s="2445"/>
      <c r="N42" s="2445"/>
      <c r="O42" s="2445"/>
      <c r="P42" s="2445"/>
      <c r="Q42" s="2445"/>
      <c r="R42" s="2445"/>
      <c r="S42" s="2445"/>
      <c r="T42" s="2445"/>
      <c r="U42" s="2445"/>
    </row>
    <row r="43" spans="1:21">
      <c r="A43" s="1360"/>
      <c r="C43" s="1367">
        <f>MAX(C$10:C42)+1</f>
        <v>23</v>
      </c>
      <c r="D43" s="1401" t="s">
        <v>606</v>
      </c>
      <c r="E43" s="1454">
        <v>0</v>
      </c>
      <c r="F43" s="1454">
        <v>0</v>
      </c>
      <c r="G43" s="1454">
        <v>0</v>
      </c>
      <c r="H43" s="1454">
        <v>0</v>
      </c>
      <c r="I43" s="1454">
        <v>0</v>
      </c>
      <c r="J43" s="1454">
        <v>0</v>
      </c>
      <c r="K43" s="2893">
        <v>0</v>
      </c>
      <c r="L43" s="2893">
        <v>0</v>
      </c>
      <c r="M43" s="2893">
        <v>0</v>
      </c>
      <c r="N43" s="2893">
        <v>0</v>
      </c>
      <c r="O43" s="2893">
        <v>0</v>
      </c>
      <c r="P43" s="2893">
        <v>0</v>
      </c>
      <c r="Q43" s="2893">
        <v>0</v>
      </c>
      <c r="R43" s="2893">
        <v>0</v>
      </c>
      <c r="S43" s="2893">
        <v>0</v>
      </c>
      <c r="T43" s="2893">
        <v>0</v>
      </c>
      <c r="U43" s="2893">
        <v>0</v>
      </c>
    </row>
    <row r="44" spans="1:21">
      <c r="A44" s="1360"/>
      <c r="C44" s="1367">
        <f>MAX(C$10:C43)+1</f>
        <v>24</v>
      </c>
      <c r="D44" s="1401" t="s">
        <v>846</v>
      </c>
      <c r="E44" s="1454">
        <v>0</v>
      </c>
      <c r="F44" s="1454">
        <v>0</v>
      </c>
      <c r="G44" s="1454">
        <v>0</v>
      </c>
      <c r="H44" s="1454">
        <v>0</v>
      </c>
      <c r="I44" s="1454">
        <v>0</v>
      </c>
      <c r="J44" s="1454">
        <v>0</v>
      </c>
      <c r="K44" s="2893">
        <v>0</v>
      </c>
      <c r="L44" s="2893">
        <v>0</v>
      </c>
      <c r="M44" s="2893">
        <v>0</v>
      </c>
      <c r="N44" s="2893">
        <v>0</v>
      </c>
      <c r="O44" s="2893">
        <v>0</v>
      </c>
      <c r="P44" s="2893">
        <v>0</v>
      </c>
      <c r="Q44" s="2893">
        <v>0</v>
      </c>
      <c r="R44" s="2893">
        <v>0</v>
      </c>
      <c r="S44" s="2893">
        <v>0</v>
      </c>
      <c r="T44" s="2893">
        <v>0</v>
      </c>
      <c r="U44" s="2893">
        <v>0</v>
      </c>
    </row>
    <row r="45" spans="1:21">
      <c r="A45" s="1360"/>
      <c r="C45" s="1367"/>
      <c r="D45" s="1453" t="s">
        <v>4</v>
      </c>
      <c r="E45" s="1454"/>
      <c r="F45" s="1454"/>
      <c r="G45" s="1454"/>
      <c r="H45" s="1454"/>
      <c r="I45" s="1454"/>
      <c r="J45" s="1454"/>
      <c r="K45" s="2445"/>
      <c r="L45" s="2445"/>
      <c r="M45" s="2445"/>
      <c r="N45" s="2445"/>
      <c r="O45" s="2445"/>
      <c r="P45" s="2445"/>
      <c r="Q45" s="2445"/>
      <c r="R45" s="2445"/>
      <c r="S45" s="2445"/>
      <c r="T45" s="2445"/>
      <c r="U45" s="2445"/>
    </row>
    <row r="46" spans="1:21">
      <c r="A46" s="1360"/>
      <c r="C46" s="1367">
        <f>MAX(C$10:C45)+1</f>
        <v>25</v>
      </c>
      <c r="D46" s="1401" t="s">
        <v>606</v>
      </c>
      <c r="E46" s="1454">
        <v>0</v>
      </c>
      <c r="F46" s="1454">
        <v>0</v>
      </c>
      <c r="G46" s="1454">
        <v>0</v>
      </c>
      <c r="H46" s="1454">
        <v>0</v>
      </c>
      <c r="I46" s="1454">
        <v>0</v>
      </c>
      <c r="J46" s="1454">
        <v>0</v>
      </c>
      <c r="K46" s="2893">
        <v>0</v>
      </c>
      <c r="L46" s="2893">
        <v>0</v>
      </c>
      <c r="M46" s="2893">
        <v>0</v>
      </c>
      <c r="N46" s="2893">
        <v>0</v>
      </c>
      <c r="O46" s="2893">
        <v>0</v>
      </c>
      <c r="P46" s="2893">
        <v>0</v>
      </c>
      <c r="Q46" s="2893">
        <v>0</v>
      </c>
      <c r="R46" s="2893">
        <v>0</v>
      </c>
      <c r="S46" s="2893">
        <v>0</v>
      </c>
      <c r="T46" s="2893">
        <v>0</v>
      </c>
      <c r="U46" s="2893">
        <v>0</v>
      </c>
    </row>
    <row r="47" spans="1:21">
      <c r="A47" s="1360"/>
      <c r="C47" s="1367">
        <f>MAX(C$10:C46)+1</f>
        <v>26</v>
      </c>
      <c r="D47" s="1401" t="s">
        <v>846</v>
      </c>
      <c r="E47" s="1454">
        <v>0</v>
      </c>
      <c r="F47" s="1454">
        <v>0</v>
      </c>
      <c r="G47" s="1454">
        <v>0</v>
      </c>
      <c r="H47" s="1454">
        <v>0</v>
      </c>
      <c r="I47" s="1454">
        <v>0</v>
      </c>
      <c r="J47" s="1454">
        <v>0</v>
      </c>
      <c r="K47" s="2893">
        <v>0</v>
      </c>
      <c r="L47" s="2893">
        <v>0</v>
      </c>
      <c r="M47" s="2893">
        <v>0</v>
      </c>
      <c r="N47" s="2893">
        <v>0</v>
      </c>
      <c r="O47" s="2893">
        <v>0</v>
      </c>
      <c r="P47" s="2893">
        <v>0</v>
      </c>
      <c r="Q47" s="2893">
        <v>0</v>
      </c>
      <c r="R47" s="2893">
        <v>0</v>
      </c>
      <c r="S47" s="2893">
        <v>0</v>
      </c>
      <c r="T47" s="2893">
        <v>0</v>
      </c>
      <c r="U47" s="2893">
        <v>0</v>
      </c>
    </row>
    <row r="48" spans="1:21">
      <c r="A48" s="1360"/>
      <c r="C48" s="1367"/>
      <c r="D48" s="1453" t="s">
        <v>5</v>
      </c>
      <c r="E48" s="1454"/>
      <c r="F48" s="1454"/>
      <c r="G48" s="1454"/>
      <c r="H48" s="1454"/>
      <c r="I48" s="1454"/>
      <c r="J48" s="1454"/>
      <c r="K48" s="2445"/>
      <c r="L48" s="2445"/>
      <c r="M48" s="2445"/>
      <c r="N48" s="2445"/>
      <c r="O48" s="2445"/>
      <c r="P48" s="2445"/>
      <c r="Q48" s="2445"/>
      <c r="R48" s="2445"/>
      <c r="S48" s="2445"/>
      <c r="T48" s="2445"/>
      <c r="U48" s="2445"/>
    </row>
    <row r="49" spans="1:22">
      <c r="A49" s="1360"/>
      <c r="C49" s="1367">
        <f>MAX(C$10:C48)+1</f>
        <v>27</v>
      </c>
      <c r="D49" s="1401" t="s">
        <v>606</v>
      </c>
      <c r="E49" s="1454">
        <v>0</v>
      </c>
      <c r="F49" s="1454">
        <v>0</v>
      </c>
      <c r="G49" s="1454">
        <v>0</v>
      </c>
      <c r="H49" s="1454">
        <v>0</v>
      </c>
      <c r="I49" s="1454">
        <v>0</v>
      </c>
      <c r="J49" s="1454">
        <v>0</v>
      </c>
      <c r="K49" s="3474">
        <f t="shared" ref="K49:U50" si="3">K46</f>
        <v>0</v>
      </c>
      <c r="L49" s="3474">
        <f t="shared" si="3"/>
        <v>0</v>
      </c>
      <c r="M49" s="3474">
        <f t="shared" si="3"/>
        <v>0</v>
      </c>
      <c r="N49" s="3474">
        <f t="shared" si="3"/>
        <v>0</v>
      </c>
      <c r="O49" s="3474">
        <f t="shared" si="3"/>
        <v>0</v>
      </c>
      <c r="P49" s="3474">
        <f t="shared" si="3"/>
        <v>0</v>
      </c>
      <c r="Q49" s="3474">
        <f t="shared" si="3"/>
        <v>0</v>
      </c>
      <c r="R49" s="3474">
        <f t="shared" si="3"/>
        <v>0</v>
      </c>
      <c r="S49" s="3474">
        <f t="shared" si="3"/>
        <v>0</v>
      </c>
      <c r="T49" s="3474">
        <f t="shared" si="3"/>
        <v>0</v>
      </c>
      <c r="U49" s="3474">
        <f t="shared" si="3"/>
        <v>0</v>
      </c>
    </row>
    <row r="50" spans="1:22">
      <c r="A50" s="1360"/>
      <c r="C50" s="1367">
        <f>MAX(C$10:C49)+1</f>
        <v>28</v>
      </c>
      <c r="D50" s="1401" t="s">
        <v>846</v>
      </c>
      <c r="E50" s="1454">
        <v>0</v>
      </c>
      <c r="F50" s="1454">
        <v>0</v>
      </c>
      <c r="G50" s="1454">
        <v>0</v>
      </c>
      <c r="H50" s="1454">
        <v>0</v>
      </c>
      <c r="I50" s="1454">
        <v>0</v>
      </c>
      <c r="J50" s="1454">
        <v>0</v>
      </c>
      <c r="K50" s="3474">
        <f t="shared" si="3"/>
        <v>0</v>
      </c>
      <c r="L50" s="3474">
        <f t="shared" si="3"/>
        <v>0</v>
      </c>
      <c r="M50" s="3474">
        <f t="shared" si="3"/>
        <v>0</v>
      </c>
      <c r="N50" s="3474">
        <f t="shared" si="3"/>
        <v>0</v>
      </c>
      <c r="O50" s="3474">
        <f t="shared" si="3"/>
        <v>0</v>
      </c>
      <c r="P50" s="3474">
        <f t="shared" si="3"/>
        <v>0</v>
      </c>
      <c r="Q50" s="3474">
        <f t="shared" si="3"/>
        <v>0</v>
      </c>
      <c r="R50" s="3474">
        <f t="shared" si="3"/>
        <v>0</v>
      </c>
      <c r="S50" s="3474">
        <f t="shared" si="3"/>
        <v>0</v>
      </c>
      <c r="T50" s="3474">
        <f t="shared" si="3"/>
        <v>0</v>
      </c>
      <c r="U50" s="3474">
        <f t="shared" si="3"/>
        <v>0</v>
      </c>
    </row>
    <row r="51" spans="1:22">
      <c r="A51" s="1360"/>
      <c r="C51" s="1367"/>
      <c r="D51" s="1453" t="s">
        <v>23</v>
      </c>
      <c r="E51" s="1454"/>
      <c r="F51" s="1454"/>
      <c r="G51" s="1454"/>
      <c r="H51" s="1454"/>
      <c r="I51" s="1454"/>
      <c r="J51" s="1454"/>
      <c r="K51" s="2445"/>
      <c r="L51" s="2445"/>
      <c r="M51" s="2445"/>
      <c r="N51" s="2445"/>
      <c r="O51" s="2445"/>
      <c r="P51" s="2445"/>
      <c r="Q51" s="2445"/>
      <c r="R51" s="2445"/>
      <c r="S51" s="2445"/>
      <c r="T51" s="2445"/>
      <c r="U51" s="2445"/>
    </row>
    <row r="52" spans="1:22" ht="15" customHeight="1">
      <c r="A52" s="1360"/>
      <c r="C52" s="1367">
        <f>MAX(C$10:C51)+1</f>
        <v>29</v>
      </c>
      <c r="D52" s="1401" t="s">
        <v>606</v>
      </c>
      <c r="E52" s="1454">
        <v>0</v>
      </c>
      <c r="F52" s="1454">
        <v>0</v>
      </c>
      <c r="G52" s="1454">
        <v>0</v>
      </c>
      <c r="H52" s="1454">
        <v>0</v>
      </c>
      <c r="I52" s="1454">
        <v>0</v>
      </c>
      <c r="J52" s="1454">
        <v>0</v>
      </c>
      <c r="K52" s="2893">
        <v>0</v>
      </c>
      <c r="L52" s="2893">
        <v>0</v>
      </c>
      <c r="M52" s="2893">
        <v>0</v>
      </c>
      <c r="N52" s="2893">
        <v>0</v>
      </c>
      <c r="O52" s="2893">
        <v>0</v>
      </c>
      <c r="P52" s="2893">
        <v>0</v>
      </c>
      <c r="Q52" s="2893">
        <v>0</v>
      </c>
      <c r="R52" s="2893">
        <v>0</v>
      </c>
      <c r="S52" s="2893">
        <v>0</v>
      </c>
      <c r="T52" s="2893">
        <v>0</v>
      </c>
      <c r="U52" s="2893">
        <v>0</v>
      </c>
    </row>
    <row r="53" spans="1:22">
      <c r="A53" s="1360"/>
      <c r="C53" s="1367">
        <f>MAX(C$10:C52)+1</f>
        <v>30</v>
      </c>
      <c r="D53" s="1401" t="s">
        <v>846</v>
      </c>
      <c r="E53" s="1454">
        <v>0</v>
      </c>
      <c r="F53" s="1454">
        <v>0</v>
      </c>
      <c r="G53" s="1454">
        <v>0</v>
      </c>
      <c r="H53" s="1454">
        <v>0</v>
      </c>
      <c r="I53" s="1454">
        <v>0</v>
      </c>
      <c r="J53" s="1454">
        <v>0</v>
      </c>
      <c r="K53" s="2893">
        <v>0</v>
      </c>
      <c r="L53" s="2893">
        <v>0</v>
      </c>
      <c r="M53" s="2893">
        <v>0</v>
      </c>
      <c r="N53" s="2893">
        <v>0</v>
      </c>
      <c r="O53" s="2893">
        <v>0</v>
      </c>
      <c r="P53" s="2893">
        <v>0</v>
      </c>
      <c r="Q53" s="2893">
        <v>0</v>
      </c>
      <c r="R53" s="2893">
        <v>0</v>
      </c>
      <c r="S53" s="2893">
        <v>0</v>
      </c>
      <c r="T53" s="2893">
        <v>0</v>
      </c>
      <c r="U53" s="2893">
        <v>0</v>
      </c>
    </row>
    <row r="54" spans="1:22">
      <c r="A54" s="1360"/>
      <c r="C54" s="1367"/>
      <c r="D54" s="1453" t="s">
        <v>66</v>
      </c>
      <c r="E54" s="1454"/>
      <c r="F54" s="1454"/>
      <c r="G54" s="1454"/>
      <c r="H54" s="1454"/>
      <c r="I54" s="1454"/>
      <c r="J54" s="1454"/>
      <c r="K54" s="2445"/>
      <c r="L54" s="2445"/>
      <c r="M54" s="2445"/>
      <c r="N54" s="2445"/>
      <c r="O54" s="2445"/>
      <c r="P54" s="2445"/>
      <c r="Q54" s="2445"/>
      <c r="R54" s="2445"/>
      <c r="S54" s="2445"/>
      <c r="T54" s="2445"/>
      <c r="U54" s="2445"/>
      <c r="V54" s="1454"/>
    </row>
    <row r="55" spans="1:22">
      <c r="A55" s="1360"/>
      <c r="C55" s="1367">
        <f>MAX(C$10:C54)+1</f>
        <v>31</v>
      </c>
      <c r="D55" s="1401" t="s">
        <v>606</v>
      </c>
      <c r="E55" s="1454">
        <v>0</v>
      </c>
      <c r="F55" s="1454">
        <v>0</v>
      </c>
      <c r="G55" s="1454">
        <v>0</v>
      </c>
      <c r="H55" s="1454">
        <v>0</v>
      </c>
      <c r="I55" s="1454">
        <v>0</v>
      </c>
      <c r="J55" s="1454">
        <v>0</v>
      </c>
      <c r="K55" s="2893">
        <v>0</v>
      </c>
      <c r="L55" s="2893">
        <v>0</v>
      </c>
      <c r="M55" s="2893">
        <v>0</v>
      </c>
      <c r="N55" s="2893">
        <v>0</v>
      </c>
      <c r="O55" s="2893">
        <v>0</v>
      </c>
      <c r="P55" s="2893">
        <v>0</v>
      </c>
      <c r="Q55" s="2893">
        <v>0</v>
      </c>
      <c r="R55" s="2893">
        <v>0</v>
      </c>
      <c r="S55" s="2893">
        <v>0</v>
      </c>
      <c r="T55" s="2893">
        <v>0</v>
      </c>
      <c r="U55" s="2893">
        <v>0</v>
      </c>
    </row>
    <row r="56" spans="1:22">
      <c r="A56" s="1360"/>
      <c r="C56" s="1367">
        <f>MAX(C$10:C55)+1</f>
        <v>32</v>
      </c>
      <c r="D56" s="1401" t="s">
        <v>846</v>
      </c>
      <c r="E56" s="1454">
        <v>0</v>
      </c>
      <c r="F56" s="1454">
        <v>0</v>
      </c>
      <c r="G56" s="1454">
        <v>0</v>
      </c>
      <c r="H56" s="1454">
        <v>0</v>
      </c>
      <c r="I56" s="1454">
        <v>0</v>
      </c>
      <c r="J56" s="1454">
        <v>0</v>
      </c>
      <c r="K56" s="2893">
        <v>0</v>
      </c>
      <c r="L56" s="2893">
        <v>0</v>
      </c>
      <c r="M56" s="2893">
        <v>0</v>
      </c>
      <c r="N56" s="2893">
        <v>0</v>
      </c>
      <c r="O56" s="2893">
        <v>0</v>
      </c>
      <c r="P56" s="2893">
        <v>0</v>
      </c>
      <c r="Q56" s="2893">
        <v>0</v>
      </c>
      <c r="R56" s="2893">
        <v>0</v>
      </c>
      <c r="S56" s="2893">
        <v>0</v>
      </c>
      <c r="T56" s="2893">
        <v>0</v>
      </c>
      <c r="U56" s="2893">
        <v>0</v>
      </c>
    </row>
    <row r="57" spans="1:22">
      <c r="A57" s="1360"/>
      <c r="C57" s="1455"/>
      <c r="D57" s="1456"/>
      <c r="E57" s="1457"/>
      <c r="F57" s="1457"/>
      <c r="G57" s="1457"/>
      <c r="H57" s="1457"/>
      <c r="I57" s="1457"/>
      <c r="J57" s="1457"/>
      <c r="K57" s="2446"/>
      <c r="L57" s="2446"/>
      <c r="M57" s="2446"/>
      <c r="N57" s="2446"/>
      <c r="O57" s="2446"/>
      <c r="P57" s="2446"/>
      <c r="Q57" s="2446"/>
      <c r="R57" s="2446"/>
      <c r="S57" s="2446"/>
      <c r="T57" s="2446"/>
      <c r="U57" s="2446"/>
      <c r="V57" s="1457"/>
    </row>
    <row r="58" spans="1:22">
      <c r="D58" s="1924" t="s">
        <v>2754</v>
      </c>
      <c r="E58" s="1925"/>
      <c r="F58" s="1925"/>
      <c r="G58" s="1925"/>
      <c r="H58" s="1925"/>
      <c r="I58" s="1925"/>
      <c r="J58" s="1925"/>
      <c r="K58" s="2901">
        <v>3.8293505063740074E-3</v>
      </c>
      <c r="L58" s="2901">
        <v>7.0171966469559255E-2</v>
      </c>
      <c r="M58" s="2901">
        <v>5.4495256954521003E-2</v>
      </c>
      <c r="N58" s="2901">
        <v>6.9791061654188136E-2</v>
      </c>
      <c r="O58" s="2901">
        <v>4.6350073324197272E-2</v>
      </c>
      <c r="P58" s="2901">
        <v>3.5895706689694551E-2</v>
      </c>
      <c r="Q58" s="2901">
        <v>2.6551577173128837E-2</v>
      </c>
      <c r="R58" s="2901">
        <v>2.9385597085901827E-2</v>
      </c>
      <c r="S58" s="2901">
        <v>2.9932568032350559E-2</v>
      </c>
      <c r="T58" s="2901">
        <v>2.2051710787140077E-2</v>
      </c>
      <c r="U58" s="2901">
        <v>2.1106418030728546E-2</v>
      </c>
    </row>
    <row r="59" spans="1:22"/>
    <row r="60" spans="1:22"/>
    <row r="61" spans="1:22"/>
    <row r="62" spans="1:22"/>
    <row r="63" spans="1:22"/>
    <row r="64" spans="1:2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sheetData>
  <mergeCells count="4">
    <mergeCell ref="D6:D7"/>
    <mergeCell ref="C1:J1"/>
    <mergeCell ref="C2:J2"/>
    <mergeCell ref="C3:J3"/>
  </mergeCells>
  <phoneticPr fontId="8" type="noConversion"/>
  <printOptions horizontalCentered="1"/>
  <pageMargins left="0.5" right="0.5" top="0.5" bottom="0.5" header="0" footer="0.25"/>
  <pageSetup scale="49" fitToHeight="0" orientation="landscape" r:id="rId1"/>
  <headerFooter alignWithMargins="0">
    <oddFooter>&amp;CPage &amp;P of &amp;N&amp;R&amp;D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3399"/>
    <pageSetUpPr fitToPage="1"/>
  </sheetPr>
  <dimension ref="A1:AG964"/>
  <sheetViews>
    <sheetView showGridLines="0" zoomScale="85" zoomScaleNormal="85" workbookViewId="0">
      <pane xSplit="4" ySplit="8" topLeftCell="E219" activePane="bottomRight" state="frozen"/>
      <selection activeCell="D11" sqref="D11"/>
      <selection pane="topRight" activeCell="D11" sqref="D11"/>
      <selection pane="bottomLeft" activeCell="D11" sqref="D11"/>
      <selection pane="bottomRight" activeCell="P198" sqref="P198"/>
    </sheetView>
  </sheetViews>
  <sheetFormatPr defaultColWidth="0" defaultRowHeight="15.75" zeroHeight="1"/>
  <cols>
    <col min="1" max="1" width="22.5" style="760" customWidth="1"/>
    <col min="2" max="2" width="1.75" style="760" customWidth="1"/>
    <col min="3" max="3" width="6.125" style="760" customWidth="1"/>
    <col min="4" max="4" width="49.5" style="760" customWidth="1"/>
    <col min="5" max="5" width="11.125" style="762" customWidth="1"/>
    <col min="6" max="7" width="11.125" style="760" customWidth="1"/>
    <col min="8" max="8" width="12.625" style="762" customWidth="1"/>
    <col min="9" max="23" width="12.625" style="760" customWidth="1"/>
    <col min="24" max="24" width="2.625" style="761" customWidth="1"/>
    <col min="25" max="25" width="14.5" style="761" customWidth="1"/>
    <col min="26" max="26" width="2.625" style="760" customWidth="1"/>
    <col min="27" max="29" width="12.375" style="760" hidden="1" customWidth="1"/>
    <col min="30" max="30" width="0" style="760" hidden="1" customWidth="1"/>
    <col min="31" max="33" width="12.375" style="760" hidden="1" customWidth="1"/>
    <col min="34" max="16384" width="0" style="760" hidden="1"/>
  </cols>
  <sheetData>
    <row r="1" spans="1:25" ht="22.5">
      <c r="A1" s="727"/>
      <c r="C1" s="4399" t="s">
        <v>391</v>
      </c>
      <c r="D1" s="4399"/>
      <c r="E1" s="4399"/>
      <c r="F1" s="4399"/>
      <c r="G1" s="4399"/>
      <c r="H1" s="4399"/>
      <c r="I1" s="4399"/>
      <c r="J1" s="4399"/>
      <c r="K1" s="4399"/>
      <c r="L1" s="822"/>
      <c r="M1" s="822"/>
      <c r="N1" s="822"/>
      <c r="O1" s="822"/>
      <c r="P1" s="822"/>
      <c r="Q1" s="822"/>
      <c r="R1" s="822"/>
      <c r="S1" s="822"/>
      <c r="T1" s="822"/>
      <c r="U1" s="822"/>
      <c r="V1" s="822"/>
      <c r="W1" s="822"/>
      <c r="X1" s="760"/>
      <c r="Y1" s="760"/>
    </row>
    <row r="2" spans="1:25" ht="22.5">
      <c r="A2" s="727"/>
      <c r="C2" s="4399" t="s">
        <v>717</v>
      </c>
      <c r="D2" s="4399"/>
      <c r="E2" s="4399"/>
      <c r="F2" s="4399"/>
      <c r="G2" s="4399"/>
      <c r="H2" s="4399"/>
      <c r="I2" s="4399"/>
      <c r="J2" s="4399"/>
      <c r="K2" s="4399"/>
      <c r="L2" s="822"/>
      <c r="M2" s="822"/>
      <c r="N2" s="822"/>
      <c r="O2" s="822"/>
      <c r="P2" s="822"/>
      <c r="Q2" s="822"/>
      <c r="R2" s="822"/>
      <c r="S2" s="822"/>
      <c r="T2" s="822"/>
      <c r="U2" s="822"/>
      <c r="V2" s="822"/>
      <c r="W2" s="822"/>
      <c r="X2" s="760"/>
      <c r="Y2" s="760"/>
    </row>
    <row r="3" spans="1:25" ht="22.5">
      <c r="A3" s="727"/>
      <c r="C3" s="4399" t="s">
        <v>272</v>
      </c>
      <c r="D3" s="4399"/>
      <c r="E3" s="4399"/>
      <c r="F3" s="4399"/>
      <c r="G3" s="4399"/>
      <c r="H3" s="4399"/>
      <c r="I3" s="4399"/>
      <c r="J3" s="4399"/>
      <c r="K3" s="4399"/>
      <c r="L3" s="822"/>
      <c r="M3" s="822"/>
      <c r="N3" s="822"/>
      <c r="O3" s="822"/>
      <c r="P3" s="822"/>
      <c r="Q3" s="822"/>
      <c r="R3" s="822"/>
      <c r="S3" s="822"/>
      <c r="T3" s="822"/>
      <c r="U3" s="822"/>
      <c r="V3" s="822"/>
      <c r="W3" s="822"/>
      <c r="X3" s="760"/>
      <c r="Y3" s="760"/>
    </row>
    <row r="4" spans="1:25">
      <c r="A4" s="727"/>
      <c r="H4" s="787"/>
      <c r="I4" s="1623" t="s">
        <v>2536</v>
      </c>
      <c r="J4" s="4227" t="s">
        <v>3982</v>
      </c>
      <c r="X4" s="760"/>
      <c r="Y4" s="760"/>
    </row>
    <row r="5" spans="1:25">
      <c r="A5" s="727"/>
      <c r="C5" s="786"/>
      <c r="I5" s="1623" t="s">
        <v>3493</v>
      </c>
      <c r="J5" s="4227" t="s">
        <v>3245</v>
      </c>
      <c r="X5" s="765"/>
      <c r="Y5" s="760"/>
    </row>
    <row r="6" spans="1:25" ht="16.5" thickBot="1">
      <c r="A6" s="727"/>
      <c r="C6" s="754" t="s">
        <v>867</v>
      </c>
      <c r="D6" s="785"/>
      <c r="E6" s="784"/>
      <c r="F6" s="783" t="s">
        <v>3487</v>
      </c>
      <c r="G6" s="781"/>
      <c r="H6" s="781"/>
      <c r="I6" s="781"/>
      <c r="J6" s="782"/>
      <c r="K6" s="781"/>
      <c r="L6" s="781"/>
      <c r="M6" s="781"/>
      <c r="N6" s="781"/>
      <c r="O6" s="781"/>
      <c r="P6" s="781"/>
      <c r="Q6" s="781"/>
      <c r="R6" s="781"/>
      <c r="S6" s="781"/>
      <c r="T6" s="781"/>
      <c r="U6" s="781"/>
      <c r="V6" s="781"/>
      <c r="W6" s="781"/>
      <c r="X6" s="765"/>
      <c r="Y6" s="760"/>
    </row>
    <row r="7" spans="1:25" ht="16.5" thickBot="1">
      <c r="A7" s="727"/>
      <c r="C7" s="753" t="s">
        <v>398</v>
      </c>
      <c r="D7" s="780" t="s">
        <v>399</v>
      </c>
      <c r="E7" s="779"/>
      <c r="F7" s="778">
        <v>2009</v>
      </c>
      <c r="G7" s="778">
        <f>F7+1</f>
        <v>2010</v>
      </c>
      <c r="H7" s="778">
        <f>G7+1</f>
        <v>2011</v>
      </c>
      <c r="I7" s="778">
        <f>H7+1</f>
        <v>2012</v>
      </c>
      <c r="J7" s="778">
        <f>Dashboard!F$7</f>
        <v>2013</v>
      </c>
      <c r="K7" s="778">
        <f>Dashboard!G$7</f>
        <v>2014</v>
      </c>
      <c r="L7" s="778">
        <f>Dashboard!H$7</f>
        <v>2015</v>
      </c>
      <c r="M7" s="778">
        <f>Dashboard!I$7</f>
        <v>2016</v>
      </c>
      <c r="N7" s="778">
        <f>Dashboard!J$7</f>
        <v>2017</v>
      </c>
      <c r="O7" s="778">
        <f>Dashboard!K$7</f>
        <v>2018</v>
      </c>
      <c r="P7" s="778">
        <f>Dashboard!L$7</f>
        <v>2019</v>
      </c>
      <c r="Q7" s="778">
        <f>Dashboard!M$7</f>
        <v>2020</v>
      </c>
      <c r="R7" s="778">
        <f>Dashboard!N$7</f>
        <v>2021</v>
      </c>
      <c r="S7" s="778">
        <f>Dashboard!O$7</f>
        <v>2022</v>
      </c>
      <c r="T7" s="778">
        <f>Dashboard!P$7</f>
        <v>2023</v>
      </c>
      <c r="U7" s="778">
        <f>Dashboard!Q$7</f>
        <v>2024</v>
      </c>
      <c r="V7" s="778">
        <f>Dashboard!R$7</f>
        <v>2025</v>
      </c>
      <c r="W7" s="778">
        <f>Dashboard!S$7</f>
        <v>2026</v>
      </c>
      <c r="X7" s="765"/>
      <c r="Y7" s="777" t="s">
        <v>611</v>
      </c>
    </row>
    <row r="8" spans="1:25">
      <c r="A8" s="727"/>
      <c r="D8" s="776"/>
      <c r="E8" s="760"/>
      <c r="F8" s="4400" t="s">
        <v>707</v>
      </c>
      <c r="G8" s="4401"/>
      <c r="H8" s="4401"/>
      <c r="I8" s="4401"/>
      <c r="J8" s="4401"/>
      <c r="K8" s="4402"/>
      <c r="L8" s="4400" t="s">
        <v>266</v>
      </c>
      <c r="M8" s="4401"/>
      <c r="N8" s="4401"/>
      <c r="O8" s="4401"/>
      <c r="P8" s="4401"/>
      <c r="Q8" s="4401"/>
      <c r="R8" s="4401"/>
      <c r="S8" s="4401"/>
      <c r="T8" s="4401"/>
      <c r="U8" s="4401"/>
      <c r="V8" s="4401"/>
      <c r="W8" s="4401"/>
      <c r="X8" s="765"/>
      <c r="Y8" s="789">
        <v>2</v>
      </c>
    </row>
    <row r="9" spans="1:25" ht="16.5" thickBot="1">
      <c r="A9" s="727"/>
      <c r="D9" s="776"/>
      <c r="E9" s="760"/>
      <c r="H9" s="760"/>
      <c r="X9" s="773"/>
      <c r="Y9" s="790">
        <v>5</v>
      </c>
    </row>
    <row r="10" spans="1:25">
      <c r="A10" s="727"/>
      <c r="D10" s="751" t="s">
        <v>224</v>
      </c>
      <c r="E10" s="760"/>
      <c r="G10" s="1544">
        <v>0</v>
      </c>
      <c r="H10" s="1544">
        <v>0</v>
      </c>
      <c r="I10" s="1544">
        <v>0</v>
      </c>
      <c r="J10" s="1544">
        <v>0</v>
      </c>
      <c r="K10" s="1544">
        <v>0</v>
      </c>
      <c r="L10" s="1544">
        <v>0</v>
      </c>
      <c r="M10" s="1544">
        <v>0</v>
      </c>
      <c r="N10" s="1544">
        <v>0</v>
      </c>
      <c r="O10" s="1544">
        <v>0</v>
      </c>
      <c r="P10" s="1544">
        <v>0</v>
      </c>
      <c r="Q10" s="1544">
        <v>0</v>
      </c>
      <c r="R10" s="1544">
        <v>0</v>
      </c>
      <c r="S10" s="1544">
        <v>0</v>
      </c>
      <c r="T10" s="1544">
        <v>0</v>
      </c>
      <c r="U10" s="1544">
        <v>0</v>
      </c>
      <c r="V10" s="1544">
        <v>0</v>
      </c>
      <c r="W10" s="1544">
        <v>0</v>
      </c>
      <c r="X10" s="773"/>
      <c r="Y10" s="726"/>
    </row>
    <row r="11" spans="1:25">
      <c r="A11" s="727"/>
      <c r="C11" s="732"/>
      <c r="D11" s="763"/>
      <c r="E11" s="765"/>
      <c r="F11" s="775"/>
      <c r="G11" s="775"/>
      <c r="H11" s="774"/>
      <c r="I11" s="774"/>
      <c r="J11" s="774"/>
      <c r="K11" s="774"/>
      <c r="L11" s="774"/>
      <c r="M11" s="774"/>
      <c r="N11" s="774"/>
      <c r="O11" s="774"/>
      <c r="P11" s="774"/>
      <c r="Q11" s="774"/>
      <c r="R11" s="774"/>
      <c r="S11" s="774"/>
      <c r="T11" s="774"/>
      <c r="U11" s="774"/>
      <c r="V11" s="774"/>
      <c r="W11" s="774"/>
      <c r="X11" s="760"/>
      <c r="Y11" s="726"/>
    </row>
    <row r="12" spans="1:25">
      <c r="A12" s="727"/>
      <c r="C12" s="732">
        <f>+MAX(C$11:C11)+1</f>
        <v>1</v>
      </c>
      <c r="D12" s="751" t="s">
        <v>225</v>
      </c>
      <c r="E12" s="760"/>
      <c r="H12" s="760"/>
      <c r="X12" s="773"/>
      <c r="Y12" s="726"/>
    </row>
    <row r="13" spans="1:25" ht="16.5" thickBot="1">
      <c r="A13" s="727"/>
      <c r="C13" s="732">
        <f>+MAX(C$11:C12)+1</f>
        <v>2</v>
      </c>
      <c r="D13" s="766"/>
      <c r="E13" s="760"/>
      <c r="H13" s="760"/>
      <c r="X13" s="773"/>
      <c r="Y13" s="726"/>
    </row>
    <row r="14" spans="1:25" ht="16.5" thickBot="1">
      <c r="A14" s="727"/>
      <c r="C14" s="732">
        <f>+MAX(C$11:C13)+1</f>
        <v>3</v>
      </c>
      <c r="D14" s="738" t="s">
        <v>256</v>
      </c>
      <c r="E14" s="760"/>
      <c r="F14" s="854">
        <v>365</v>
      </c>
      <c r="G14" s="854">
        <f>DATE(G$7,12,31)-DATE(F$7,12,31)</f>
        <v>365</v>
      </c>
      <c r="H14" s="854">
        <f t="shared" ref="H14:W14" si="0">DATE(H$7,12,31)-DATE(G$7,12,31)</f>
        <v>365</v>
      </c>
      <c r="I14" s="856">
        <v>363.28468683895886</v>
      </c>
      <c r="J14" s="856">
        <v>365.45705450222937</v>
      </c>
      <c r="K14" s="854">
        <f t="shared" si="0"/>
        <v>365</v>
      </c>
      <c r="L14" s="854">
        <f t="shared" si="0"/>
        <v>365</v>
      </c>
      <c r="M14" s="854">
        <f t="shared" si="0"/>
        <v>366</v>
      </c>
      <c r="N14" s="854">
        <f t="shared" si="0"/>
        <v>365</v>
      </c>
      <c r="O14" s="854">
        <f t="shared" si="0"/>
        <v>365</v>
      </c>
      <c r="P14" s="854">
        <f t="shared" si="0"/>
        <v>365</v>
      </c>
      <c r="Q14" s="854">
        <f t="shared" si="0"/>
        <v>366</v>
      </c>
      <c r="R14" s="854">
        <f t="shared" si="0"/>
        <v>365</v>
      </c>
      <c r="S14" s="854">
        <f t="shared" si="0"/>
        <v>365</v>
      </c>
      <c r="T14" s="854">
        <f t="shared" si="0"/>
        <v>365</v>
      </c>
      <c r="U14" s="854">
        <f t="shared" si="0"/>
        <v>366</v>
      </c>
      <c r="V14" s="854">
        <f t="shared" si="0"/>
        <v>365</v>
      </c>
      <c r="W14" s="854">
        <f t="shared" si="0"/>
        <v>365</v>
      </c>
      <c r="X14" s="773"/>
      <c r="Y14" s="726"/>
    </row>
    <row r="15" spans="1:25" ht="15.75" customHeight="1" thickBot="1">
      <c r="A15" s="727"/>
      <c r="C15" s="732">
        <f>+MAX(C$11:C14)+1</f>
        <v>4</v>
      </c>
      <c r="D15" s="738"/>
      <c r="E15" s="760"/>
      <c r="H15" s="760"/>
      <c r="X15" s="760"/>
      <c r="Y15" s="760"/>
    </row>
    <row r="16" spans="1:25" ht="15.75" customHeight="1" thickBot="1">
      <c r="A16" s="727"/>
      <c r="C16" s="732">
        <f>+MAX(C$11:C15)+1</f>
        <v>5</v>
      </c>
      <c r="D16" s="738" t="s">
        <v>233</v>
      </c>
      <c r="E16" s="760"/>
      <c r="F16" s="837"/>
      <c r="G16" s="837"/>
      <c r="H16" s="837"/>
      <c r="I16" s="837">
        <v>-3.7528932966439401E-3</v>
      </c>
      <c r="J16" s="837">
        <v>-4.7336826112924398E-3</v>
      </c>
      <c r="K16" s="837">
        <v>-4.7336826112924398E-3</v>
      </c>
      <c r="L16" s="837">
        <v>-4.7336826112924398E-3</v>
      </c>
      <c r="M16" s="791">
        <f t="shared" ref="M16:W16" si="1">L16</f>
        <v>-4.7336826112924398E-3</v>
      </c>
      <c r="N16" s="791">
        <f t="shared" si="1"/>
        <v>-4.7336826112924398E-3</v>
      </c>
      <c r="O16" s="791">
        <f t="shared" si="1"/>
        <v>-4.7336826112924398E-3</v>
      </c>
      <c r="P16" s="791">
        <f t="shared" si="1"/>
        <v>-4.7336826112924398E-3</v>
      </c>
      <c r="Q16" s="791">
        <f t="shared" si="1"/>
        <v>-4.7336826112924398E-3</v>
      </c>
      <c r="R16" s="791">
        <f t="shared" si="1"/>
        <v>-4.7336826112924398E-3</v>
      </c>
      <c r="S16" s="791">
        <f t="shared" si="1"/>
        <v>-4.7336826112924398E-3</v>
      </c>
      <c r="T16" s="791">
        <f t="shared" si="1"/>
        <v>-4.7336826112924398E-3</v>
      </c>
      <c r="U16" s="791">
        <f t="shared" si="1"/>
        <v>-4.7336826112924398E-3</v>
      </c>
      <c r="V16" s="791">
        <f t="shared" si="1"/>
        <v>-4.7336826112924398E-3</v>
      </c>
      <c r="W16" s="791">
        <f t="shared" si="1"/>
        <v>-4.7336826112924398E-3</v>
      </c>
      <c r="X16" s="760"/>
      <c r="Y16" s="760"/>
    </row>
    <row r="17" spans="1:25" ht="15.75" customHeight="1" thickBot="1">
      <c r="A17" s="727"/>
      <c r="C17" s="732">
        <f>+MAX(C$11:C16)+1</f>
        <v>6</v>
      </c>
      <c r="D17" s="738"/>
      <c r="E17" s="760"/>
      <c r="H17" s="760"/>
      <c r="X17" s="760"/>
      <c r="Y17" s="760"/>
    </row>
    <row r="18" spans="1:25" ht="15.75" customHeight="1" thickBot="1">
      <c r="A18" s="727"/>
      <c r="C18" s="732">
        <f>+MAX(C$11:C17)+1</f>
        <v>7</v>
      </c>
      <c r="D18" s="738" t="s">
        <v>215</v>
      </c>
      <c r="E18" s="764"/>
      <c r="F18" s="838">
        <v>0.4</v>
      </c>
      <c r="G18" s="838">
        <v>0.4</v>
      </c>
      <c r="H18" s="838">
        <v>0.4</v>
      </c>
      <c r="I18" s="838">
        <v>0.4</v>
      </c>
      <c r="J18" s="838">
        <v>0.44</v>
      </c>
      <c r="K18" s="838">
        <v>0.46</v>
      </c>
      <c r="L18" s="838">
        <v>0.49</v>
      </c>
      <c r="M18" s="838">
        <v>0.51</v>
      </c>
      <c r="N18" s="764">
        <f t="shared" ref="N18:W18" si="2">ROUND(+M18*(1+N$10),$Y$8)</f>
        <v>0.51</v>
      </c>
      <c r="O18" s="764">
        <f t="shared" si="2"/>
        <v>0.51</v>
      </c>
      <c r="P18" s="764">
        <f t="shared" si="2"/>
        <v>0.51</v>
      </c>
      <c r="Q18" s="764">
        <f t="shared" si="2"/>
        <v>0.51</v>
      </c>
      <c r="R18" s="764">
        <f t="shared" si="2"/>
        <v>0.51</v>
      </c>
      <c r="S18" s="764">
        <f t="shared" si="2"/>
        <v>0.51</v>
      </c>
      <c r="T18" s="764">
        <f t="shared" si="2"/>
        <v>0.51</v>
      </c>
      <c r="U18" s="764">
        <f t="shared" si="2"/>
        <v>0.51</v>
      </c>
      <c r="V18" s="764">
        <f t="shared" si="2"/>
        <v>0.51</v>
      </c>
      <c r="W18" s="764">
        <f t="shared" si="2"/>
        <v>0.51</v>
      </c>
      <c r="X18" s="772"/>
      <c r="Y18" s="726"/>
    </row>
    <row r="19" spans="1:25" ht="15.75" customHeight="1" thickBot="1">
      <c r="A19" s="727"/>
      <c r="C19" s="732">
        <f>+MAX(C$11:C18)+1</f>
        <v>8</v>
      </c>
      <c r="D19" s="738"/>
      <c r="E19" s="764"/>
      <c r="F19" s="769"/>
      <c r="G19" s="769"/>
      <c r="H19" s="769"/>
      <c r="I19" s="769"/>
      <c r="J19" s="769"/>
      <c r="K19" s="769"/>
      <c r="L19" s="769"/>
      <c r="M19" s="769"/>
      <c r="N19" s="764"/>
      <c r="O19" s="764"/>
      <c r="P19" s="764"/>
      <c r="Q19" s="764"/>
      <c r="R19" s="764"/>
      <c r="S19" s="764"/>
      <c r="T19" s="764"/>
      <c r="U19" s="764"/>
      <c r="V19" s="764"/>
      <c r="W19" s="764"/>
      <c r="X19" s="772"/>
      <c r="Y19" s="760"/>
    </row>
    <row r="20" spans="1:25" ht="15.75" customHeight="1" thickBot="1">
      <c r="A20" s="727"/>
      <c r="C20" s="732">
        <f>+MAX(C$11:C19)+1</f>
        <v>9</v>
      </c>
      <c r="D20" s="738" t="s">
        <v>271</v>
      </c>
      <c r="E20" s="767"/>
      <c r="F20" s="839">
        <f>0.035305-0.001155</f>
        <v>3.415E-2</v>
      </c>
      <c r="G20" s="839">
        <v>3.5305000000000003E-2</v>
      </c>
      <c r="H20" s="3363">
        <v>3.7005000000000003E-2</v>
      </c>
      <c r="I20" s="3363">
        <v>4.0280000000000003E-2</v>
      </c>
      <c r="J20" s="3363">
        <v>4.2419999999999999E-2</v>
      </c>
      <c r="K20" s="3363">
        <v>4.3339999999999997E-2</v>
      </c>
      <c r="L20" s="3363">
        <v>4.4060000000000002E-2</v>
      </c>
      <c r="M20" s="3363">
        <v>4.4549999999999999E-2</v>
      </c>
      <c r="N20" s="767">
        <f t="shared" ref="N20:W20" si="3">ROUND(+M20*(1+N$10),$Y$9)</f>
        <v>4.4549999999999999E-2</v>
      </c>
      <c r="O20" s="767">
        <f t="shared" si="3"/>
        <v>4.4549999999999999E-2</v>
      </c>
      <c r="P20" s="767">
        <f t="shared" si="3"/>
        <v>4.4549999999999999E-2</v>
      </c>
      <c r="Q20" s="767">
        <f t="shared" si="3"/>
        <v>4.4549999999999999E-2</v>
      </c>
      <c r="R20" s="767">
        <f t="shared" si="3"/>
        <v>4.4549999999999999E-2</v>
      </c>
      <c r="S20" s="767">
        <f t="shared" si="3"/>
        <v>4.4549999999999999E-2</v>
      </c>
      <c r="T20" s="767">
        <f t="shared" si="3"/>
        <v>4.4549999999999999E-2</v>
      </c>
      <c r="U20" s="767">
        <f t="shared" si="3"/>
        <v>4.4549999999999999E-2</v>
      </c>
      <c r="V20" s="767">
        <f t="shared" si="3"/>
        <v>4.4549999999999999E-2</v>
      </c>
      <c r="W20" s="767">
        <f t="shared" si="3"/>
        <v>4.4549999999999999E-2</v>
      </c>
      <c r="X20" s="760"/>
      <c r="Y20" s="760"/>
    </row>
    <row r="21" spans="1:25" ht="15.75" customHeight="1" thickBot="1">
      <c r="A21" s="727"/>
      <c r="C21" s="732">
        <f>+MAX(C$11:C20)+1</f>
        <v>10</v>
      </c>
      <c r="D21" s="737"/>
      <c r="E21" s="767"/>
      <c r="F21" s="767"/>
      <c r="G21" s="767"/>
      <c r="H21" s="767"/>
      <c r="I21" s="767"/>
      <c r="J21" s="767"/>
      <c r="K21" s="767"/>
      <c r="L21" s="771"/>
      <c r="M21" s="771"/>
      <c r="N21" s="771"/>
      <c r="O21" s="771"/>
      <c r="P21" s="771"/>
      <c r="Q21" s="771"/>
      <c r="R21" s="771"/>
      <c r="S21" s="771"/>
      <c r="T21" s="771"/>
      <c r="U21" s="771"/>
      <c r="V21" s="771"/>
      <c r="W21" s="771"/>
      <c r="X21" s="760"/>
      <c r="Y21" s="760"/>
    </row>
    <row r="22" spans="1:25" ht="15.75" customHeight="1" thickBot="1">
      <c r="A22" s="727"/>
      <c r="C22" s="732">
        <f>+MAX(C$11:C21)+1</f>
        <v>11</v>
      </c>
      <c r="D22" s="738" t="s">
        <v>241</v>
      </c>
      <c r="E22" s="760"/>
      <c r="F22" s="837"/>
      <c r="G22" s="837"/>
      <c r="H22" s="837"/>
      <c r="I22" s="837">
        <v>6.3254106370392912E-3</v>
      </c>
      <c r="J22" s="837">
        <v>3.1044338531907296E-3</v>
      </c>
      <c r="K22" s="837">
        <v>3.1044338531907296E-3</v>
      </c>
      <c r="L22" s="837">
        <v>3.1044338531907296E-3</v>
      </c>
      <c r="M22" s="791">
        <f t="shared" ref="M22:W22" si="4">L22</f>
        <v>3.1044338531907296E-3</v>
      </c>
      <c r="N22" s="791">
        <f t="shared" si="4"/>
        <v>3.1044338531907296E-3</v>
      </c>
      <c r="O22" s="791">
        <f t="shared" si="4"/>
        <v>3.1044338531907296E-3</v>
      </c>
      <c r="P22" s="791">
        <f t="shared" si="4"/>
        <v>3.1044338531907296E-3</v>
      </c>
      <c r="Q22" s="791">
        <f t="shared" si="4"/>
        <v>3.1044338531907296E-3</v>
      </c>
      <c r="R22" s="791">
        <f t="shared" si="4"/>
        <v>3.1044338531907296E-3</v>
      </c>
      <c r="S22" s="791">
        <f t="shared" si="4"/>
        <v>3.1044338531907296E-3</v>
      </c>
      <c r="T22" s="791">
        <f t="shared" si="4"/>
        <v>3.1044338531907296E-3</v>
      </c>
      <c r="U22" s="791">
        <f t="shared" si="4"/>
        <v>3.1044338531907296E-3</v>
      </c>
      <c r="V22" s="791">
        <f t="shared" si="4"/>
        <v>3.1044338531907296E-3</v>
      </c>
      <c r="W22" s="791">
        <f t="shared" si="4"/>
        <v>3.1044338531907296E-3</v>
      </c>
      <c r="X22" s="760"/>
      <c r="Y22" s="760"/>
    </row>
    <row r="23" spans="1:25" ht="15.75" customHeight="1">
      <c r="A23" s="727"/>
      <c r="C23" s="732">
        <f>+MAX(C$11:C22)+1</f>
        <v>12</v>
      </c>
      <c r="D23" s="738"/>
      <c r="E23" s="760"/>
      <c r="H23" s="760"/>
      <c r="X23" s="760"/>
      <c r="Y23" s="760"/>
    </row>
    <row r="24" spans="1:25" ht="15.75" customHeight="1">
      <c r="A24" s="727"/>
      <c r="C24" s="732">
        <f>+MAX(C$11:C23)+1</f>
        <v>13</v>
      </c>
      <c r="D24" s="751" t="s">
        <v>244</v>
      </c>
      <c r="E24" s="760"/>
      <c r="G24" s="792"/>
      <c r="H24" s="792"/>
      <c r="I24" s="792"/>
      <c r="J24" s="792"/>
      <c r="K24" s="792"/>
      <c r="X24" s="760"/>
      <c r="Y24" s="760"/>
    </row>
    <row r="25" spans="1:25" ht="15.75" customHeight="1" thickBot="1">
      <c r="A25" s="727"/>
      <c r="C25" s="732">
        <f>+MAX(C$11:C24)+1</f>
        <v>14</v>
      </c>
      <c r="D25" s="766"/>
      <c r="E25" s="760"/>
      <c r="H25" s="760"/>
      <c r="X25" s="760"/>
      <c r="Y25" s="760"/>
    </row>
    <row r="26" spans="1:25" ht="15.75" customHeight="1" thickBot="1">
      <c r="A26" s="727"/>
      <c r="C26" s="732">
        <f>+MAX(C$11:C25)+1</f>
        <v>15</v>
      </c>
      <c r="D26" s="738" t="s">
        <v>1030</v>
      </c>
      <c r="E26" s="760"/>
      <c r="F26" s="854">
        <v>7</v>
      </c>
      <c r="G26" s="854">
        <v>7</v>
      </c>
      <c r="H26" s="854">
        <v>7</v>
      </c>
      <c r="I26" s="854">
        <v>7</v>
      </c>
      <c r="J26" s="854">
        <v>7</v>
      </c>
      <c r="K26" s="854">
        <v>7</v>
      </c>
      <c r="L26" s="854">
        <v>7</v>
      </c>
      <c r="M26" s="854">
        <v>7</v>
      </c>
      <c r="N26" s="854">
        <v>7</v>
      </c>
      <c r="O26" s="854">
        <v>7</v>
      </c>
      <c r="P26" s="854">
        <v>7</v>
      </c>
      <c r="Q26" s="854">
        <v>7</v>
      </c>
      <c r="R26" s="854">
        <v>7</v>
      </c>
      <c r="S26" s="854">
        <v>7</v>
      </c>
      <c r="T26" s="854">
        <v>7</v>
      </c>
      <c r="U26" s="854">
        <v>7</v>
      </c>
      <c r="V26" s="854">
        <v>7</v>
      </c>
      <c r="W26" s="854">
        <v>7</v>
      </c>
      <c r="X26" s="760"/>
      <c r="Y26" s="760"/>
    </row>
    <row r="27" spans="1:25" ht="15.75" customHeight="1">
      <c r="A27" s="727"/>
      <c r="C27" s="732">
        <f>+MAX(C$11:C26)+1</f>
        <v>16</v>
      </c>
      <c r="D27" s="766"/>
      <c r="E27" s="760"/>
      <c r="H27" s="760"/>
      <c r="X27" s="760"/>
      <c r="Y27" s="760"/>
    </row>
    <row r="28" spans="1:25" ht="15.75" customHeight="1" thickBot="1">
      <c r="A28" s="727"/>
      <c r="C28" s="732">
        <f>+MAX(C$11:C27)+1</f>
        <v>17</v>
      </c>
      <c r="D28" s="743" t="s">
        <v>245</v>
      </c>
      <c r="E28" s="760"/>
      <c r="H28" s="760"/>
      <c r="X28" s="760"/>
      <c r="Y28" s="760"/>
    </row>
    <row r="29" spans="1:25" ht="15.75" customHeight="1" thickBot="1">
      <c r="A29" s="727"/>
      <c r="C29" s="732">
        <f>+MAX(C$11:C28)+1</f>
        <v>18</v>
      </c>
      <c r="D29" s="738" t="s">
        <v>215</v>
      </c>
      <c r="E29" s="764"/>
      <c r="F29" s="838">
        <v>0</v>
      </c>
      <c r="G29" s="838">
        <v>21</v>
      </c>
      <c r="H29" s="838">
        <v>21</v>
      </c>
      <c r="I29" s="838">
        <v>21</v>
      </c>
      <c r="J29" s="838">
        <v>22.68</v>
      </c>
      <c r="K29" s="838">
        <v>23.25</v>
      </c>
      <c r="L29" s="838">
        <v>24.65</v>
      </c>
      <c r="M29" s="838">
        <v>26.13</v>
      </c>
      <c r="N29" s="764">
        <f t="shared" ref="N29:W29" si="5">ROUND(+M29*(1+N$10),$Y$8)</f>
        <v>26.13</v>
      </c>
      <c r="O29" s="764">
        <f t="shared" si="5"/>
        <v>26.13</v>
      </c>
      <c r="P29" s="764">
        <f t="shared" si="5"/>
        <v>26.13</v>
      </c>
      <c r="Q29" s="764">
        <f t="shared" si="5"/>
        <v>26.13</v>
      </c>
      <c r="R29" s="764">
        <f t="shared" si="5"/>
        <v>26.13</v>
      </c>
      <c r="S29" s="764">
        <f t="shared" si="5"/>
        <v>26.13</v>
      </c>
      <c r="T29" s="764">
        <f t="shared" si="5"/>
        <v>26.13</v>
      </c>
      <c r="U29" s="764">
        <f t="shared" si="5"/>
        <v>26.13</v>
      </c>
      <c r="V29" s="764">
        <f t="shared" si="5"/>
        <v>26.13</v>
      </c>
      <c r="W29" s="764">
        <f t="shared" si="5"/>
        <v>26.13</v>
      </c>
      <c r="X29" s="760"/>
      <c r="Y29" s="760"/>
    </row>
    <row r="30" spans="1:25" ht="15.75" customHeight="1">
      <c r="A30" s="727"/>
      <c r="C30" s="732">
        <f>+MAX(C$11:C29)+1</f>
        <v>19</v>
      </c>
      <c r="D30" s="743"/>
      <c r="E30" s="760"/>
      <c r="H30" s="760"/>
      <c r="X30" s="760"/>
      <c r="Y30" s="760"/>
    </row>
    <row r="31" spans="1:25" ht="15.75" customHeight="1" thickBot="1">
      <c r="A31" s="727"/>
      <c r="C31" s="732">
        <f>+MAX(C$11:C30)+1</f>
        <v>20</v>
      </c>
      <c r="D31" s="738" t="s">
        <v>222</v>
      </c>
      <c r="E31" s="764"/>
      <c r="F31" s="769"/>
      <c r="G31" s="764"/>
      <c r="H31" s="764"/>
      <c r="I31" s="764"/>
      <c r="J31" s="764"/>
      <c r="K31" s="764"/>
      <c r="L31" s="764"/>
      <c r="M31" s="764"/>
      <c r="N31" s="764"/>
      <c r="O31" s="764"/>
      <c r="P31" s="764"/>
      <c r="Q31" s="764"/>
      <c r="R31" s="764"/>
      <c r="S31" s="764"/>
      <c r="T31" s="764"/>
      <c r="U31" s="764"/>
      <c r="V31" s="764"/>
      <c r="W31" s="764"/>
      <c r="X31" s="760"/>
      <c r="Y31" s="760"/>
    </row>
    <row r="32" spans="1:25" ht="15.75" customHeight="1">
      <c r="A32" s="727"/>
      <c r="C32" s="732">
        <f>+MAX(C$11:C31)+1</f>
        <v>21</v>
      </c>
      <c r="D32" s="763" t="s">
        <v>216</v>
      </c>
      <c r="E32" s="764"/>
      <c r="F32" s="840">
        <f>15.57/7</f>
        <v>2.2242857142857142</v>
      </c>
      <c r="G32" s="840">
        <f>2.14</f>
        <v>2.14</v>
      </c>
      <c r="H32" s="840">
        <v>2.14</v>
      </c>
      <c r="I32" s="840">
        <v>2.14</v>
      </c>
      <c r="J32" s="840">
        <v>2.31</v>
      </c>
      <c r="K32" s="840">
        <v>2.35</v>
      </c>
      <c r="L32" s="840">
        <v>2.42</v>
      </c>
      <c r="M32" s="840">
        <v>2.4900000000000002</v>
      </c>
      <c r="N32" s="764">
        <f t="shared" ref="N32:W32" si="6">ROUND(+M32*(1+N$10),$Y$8)</f>
        <v>2.4900000000000002</v>
      </c>
      <c r="O32" s="764">
        <f t="shared" si="6"/>
        <v>2.4900000000000002</v>
      </c>
      <c r="P32" s="764">
        <f t="shared" si="6"/>
        <v>2.4900000000000002</v>
      </c>
      <c r="Q32" s="764">
        <f t="shared" si="6"/>
        <v>2.4900000000000002</v>
      </c>
      <c r="R32" s="764">
        <f t="shared" si="6"/>
        <v>2.4900000000000002</v>
      </c>
      <c r="S32" s="764">
        <f t="shared" si="6"/>
        <v>2.4900000000000002</v>
      </c>
      <c r="T32" s="764">
        <f t="shared" si="6"/>
        <v>2.4900000000000002</v>
      </c>
      <c r="U32" s="764">
        <f t="shared" si="6"/>
        <v>2.4900000000000002</v>
      </c>
      <c r="V32" s="764">
        <f t="shared" si="6"/>
        <v>2.4900000000000002</v>
      </c>
      <c r="W32" s="764">
        <f t="shared" si="6"/>
        <v>2.4900000000000002</v>
      </c>
      <c r="X32" s="760"/>
      <c r="Y32" s="760"/>
    </row>
    <row r="33" spans="1:25" ht="15.75" customHeight="1">
      <c r="A33" s="727"/>
      <c r="C33" s="732">
        <f>+MAX(C$11:C32)+1</f>
        <v>22</v>
      </c>
      <c r="D33" s="763" t="s">
        <v>217</v>
      </c>
      <c r="E33" s="764"/>
      <c r="F33" s="841">
        <f>13.19/7</f>
        <v>1.8842857142857141</v>
      </c>
      <c r="G33" s="841">
        <f>1.57</f>
        <v>1.57</v>
      </c>
      <c r="H33" s="841">
        <v>1.57</v>
      </c>
      <c r="I33" s="841">
        <v>1.57</v>
      </c>
      <c r="J33" s="841">
        <v>1.85</v>
      </c>
      <c r="K33" s="841">
        <v>1.92</v>
      </c>
      <c r="L33" s="841">
        <v>2.04</v>
      </c>
      <c r="M33" s="841">
        <v>2.17</v>
      </c>
      <c r="N33" s="764">
        <f t="shared" ref="N33:W33" si="7">ROUND(+M33*(1+N$10),$Y$8)</f>
        <v>2.17</v>
      </c>
      <c r="O33" s="764">
        <f t="shared" si="7"/>
        <v>2.17</v>
      </c>
      <c r="P33" s="764">
        <f t="shared" si="7"/>
        <v>2.17</v>
      </c>
      <c r="Q33" s="764">
        <f t="shared" si="7"/>
        <v>2.17</v>
      </c>
      <c r="R33" s="764">
        <f t="shared" si="7"/>
        <v>2.17</v>
      </c>
      <c r="S33" s="764">
        <f t="shared" si="7"/>
        <v>2.17</v>
      </c>
      <c r="T33" s="764">
        <f t="shared" si="7"/>
        <v>2.17</v>
      </c>
      <c r="U33" s="764">
        <f t="shared" si="7"/>
        <v>2.17</v>
      </c>
      <c r="V33" s="764">
        <f t="shared" si="7"/>
        <v>2.17</v>
      </c>
      <c r="W33" s="764">
        <f t="shared" si="7"/>
        <v>2.17</v>
      </c>
      <c r="X33" s="760"/>
      <c r="Y33" s="760"/>
    </row>
    <row r="34" spans="1:25" ht="15.75" customHeight="1">
      <c r="A34" s="727"/>
      <c r="C34" s="732">
        <f>+MAX(C$11:C33)+1</f>
        <v>23</v>
      </c>
      <c r="D34" s="763" t="s">
        <v>221</v>
      </c>
      <c r="E34" s="764"/>
      <c r="F34" s="841">
        <f>11.34/7</f>
        <v>1.6199999999999999</v>
      </c>
      <c r="G34" s="841">
        <f>1.57</f>
        <v>1.57</v>
      </c>
      <c r="H34" s="841">
        <f t="shared" ref="H34:M34" si="8">H33</f>
        <v>1.57</v>
      </c>
      <c r="I34" s="841">
        <f t="shared" si="8"/>
        <v>1.57</v>
      </c>
      <c r="J34" s="841">
        <f t="shared" si="8"/>
        <v>1.85</v>
      </c>
      <c r="K34" s="841">
        <f t="shared" si="8"/>
        <v>1.92</v>
      </c>
      <c r="L34" s="841">
        <f t="shared" si="8"/>
        <v>2.04</v>
      </c>
      <c r="M34" s="841">
        <f t="shared" si="8"/>
        <v>2.17</v>
      </c>
      <c r="N34" s="764">
        <f t="shared" ref="N34:W34" si="9">ROUND(+M34*(1+N$10),$Y$8)</f>
        <v>2.17</v>
      </c>
      <c r="O34" s="764">
        <f t="shared" si="9"/>
        <v>2.17</v>
      </c>
      <c r="P34" s="764">
        <f t="shared" si="9"/>
        <v>2.17</v>
      </c>
      <c r="Q34" s="764">
        <f t="shared" si="9"/>
        <v>2.17</v>
      </c>
      <c r="R34" s="764">
        <f t="shared" si="9"/>
        <v>2.17</v>
      </c>
      <c r="S34" s="764">
        <f t="shared" si="9"/>
        <v>2.17</v>
      </c>
      <c r="T34" s="764">
        <f t="shared" si="9"/>
        <v>2.17</v>
      </c>
      <c r="U34" s="764">
        <f t="shared" si="9"/>
        <v>2.17</v>
      </c>
      <c r="V34" s="764">
        <f t="shared" si="9"/>
        <v>2.17</v>
      </c>
      <c r="W34" s="764">
        <f t="shared" si="9"/>
        <v>2.17</v>
      </c>
      <c r="X34" s="760"/>
      <c r="Y34" s="760"/>
    </row>
    <row r="35" spans="1:25" ht="15.75" hidden="1" customHeight="1">
      <c r="A35" s="727"/>
      <c r="C35" s="732">
        <f>+MAX(C$11:C34)+1</f>
        <v>24</v>
      </c>
      <c r="D35" s="763" t="s">
        <v>235</v>
      </c>
      <c r="E35" s="764"/>
      <c r="F35" s="842">
        <v>0.47460097486380587</v>
      </c>
      <c r="G35" s="842">
        <f>F35+F43</f>
        <v>0.49471948771862762</v>
      </c>
      <c r="H35" s="842"/>
      <c r="I35" s="842"/>
      <c r="J35" s="842"/>
      <c r="K35" s="842"/>
      <c r="L35" s="842"/>
      <c r="M35" s="842"/>
      <c r="N35" s="791">
        <f t="shared" ref="N35:W35" si="10">M35</f>
        <v>0</v>
      </c>
      <c r="O35" s="791">
        <f t="shared" si="10"/>
        <v>0</v>
      </c>
      <c r="P35" s="791">
        <f t="shared" si="10"/>
        <v>0</v>
      </c>
      <c r="Q35" s="791">
        <f t="shared" si="10"/>
        <v>0</v>
      </c>
      <c r="R35" s="791">
        <f t="shared" si="10"/>
        <v>0</v>
      </c>
      <c r="S35" s="791">
        <f t="shared" si="10"/>
        <v>0</v>
      </c>
      <c r="T35" s="791">
        <f t="shared" si="10"/>
        <v>0</v>
      </c>
      <c r="U35" s="791">
        <f t="shared" si="10"/>
        <v>0</v>
      </c>
      <c r="V35" s="791">
        <f t="shared" si="10"/>
        <v>0</v>
      </c>
      <c r="W35" s="791">
        <f t="shared" si="10"/>
        <v>0</v>
      </c>
      <c r="X35" s="760"/>
      <c r="Y35" s="760"/>
    </row>
    <row r="36" spans="1:25" ht="15.75" hidden="1" customHeight="1">
      <c r="A36" s="727"/>
      <c r="C36" s="732">
        <f>+MAX(C$11:C35)+1</f>
        <v>25</v>
      </c>
      <c r="D36" s="763" t="s">
        <v>236</v>
      </c>
      <c r="E36" s="764"/>
      <c r="F36" s="843">
        <v>5.8778552996272597E-2</v>
      </c>
      <c r="G36" s="843">
        <f>F36+F44</f>
        <v>6.714135525183984E-2</v>
      </c>
      <c r="H36" s="843"/>
      <c r="I36" s="843"/>
      <c r="J36" s="843"/>
      <c r="K36" s="843"/>
      <c r="L36" s="843"/>
      <c r="M36" s="843"/>
      <c r="N36" s="791">
        <f t="shared" ref="N36:W36" si="11">M36</f>
        <v>0</v>
      </c>
      <c r="O36" s="791">
        <f t="shared" si="11"/>
        <v>0</v>
      </c>
      <c r="P36" s="791">
        <f t="shared" si="11"/>
        <v>0</v>
      </c>
      <c r="Q36" s="791">
        <f t="shared" si="11"/>
        <v>0</v>
      </c>
      <c r="R36" s="791">
        <f t="shared" si="11"/>
        <v>0</v>
      </c>
      <c r="S36" s="791">
        <f t="shared" si="11"/>
        <v>0</v>
      </c>
      <c r="T36" s="791">
        <f t="shared" si="11"/>
        <v>0</v>
      </c>
      <c r="U36" s="791">
        <f t="shared" si="11"/>
        <v>0</v>
      </c>
      <c r="V36" s="791">
        <f t="shared" si="11"/>
        <v>0</v>
      </c>
      <c r="W36" s="791">
        <f t="shared" si="11"/>
        <v>0</v>
      </c>
      <c r="X36" s="760"/>
      <c r="Y36" s="760"/>
    </row>
    <row r="37" spans="1:25" ht="15.75" hidden="1" customHeight="1" thickBot="1">
      <c r="A37" s="727"/>
      <c r="C37" s="732">
        <f>+MAX(C$11:C36)+1</f>
        <v>26</v>
      </c>
      <c r="D37" s="763" t="s">
        <v>237</v>
      </c>
      <c r="E37" s="764"/>
      <c r="F37" s="844">
        <v>0.29716620472139932</v>
      </c>
      <c r="G37" s="844">
        <f>F37+F45</f>
        <v>0.43813915702953277</v>
      </c>
      <c r="H37" s="844"/>
      <c r="I37" s="844"/>
      <c r="J37" s="844"/>
      <c r="K37" s="844"/>
      <c r="L37" s="844"/>
      <c r="M37" s="844"/>
      <c r="N37" s="791">
        <f t="shared" ref="N37:W37" si="12">M37</f>
        <v>0</v>
      </c>
      <c r="O37" s="791">
        <f t="shared" si="12"/>
        <v>0</v>
      </c>
      <c r="P37" s="791">
        <f t="shared" si="12"/>
        <v>0</v>
      </c>
      <c r="Q37" s="791">
        <f t="shared" si="12"/>
        <v>0</v>
      </c>
      <c r="R37" s="791">
        <f t="shared" si="12"/>
        <v>0</v>
      </c>
      <c r="S37" s="791">
        <f t="shared" si="12"/>
        <v>0</v>
      </c>
      <c r="T37" s="791">
        <f t="shared" si="12"/>
        <v>0</v>
      </c>
      <c r="U37" s="791">
        <f t="shared" si="12"/>
        <v>0</v>
      </c>
      <c r="V37" s="791">
        <f t="shared" si="12"/>
        <v>0</v>
      </c>
      <c r="W37" s="791">
        <f t="shared" si="12"/>
        <v>0</v>
      </c>
      <c r="X37" s="760"/>
      <c r="Y37" s="760"/>
    </row>
    <row r="38" spans="1:25" ht="15.75" customHeight="1">
      <c r="A38" s="727"/>
      <c r="C38" s="732">
        <f>+MAX(C$11:C37)+1</f>
        <v>27</v>
      </c>
      <c r="D38" s="738"/>
      <c r="E38" s="764"/>
      <c r="F38" s="769"/>
      <c r="G38" s="764"/>
      <c r="H38" s="764"/>
      <c r="I38" s="764"/>
      <c r="J38" s="764"/>
      <c r="K38" s="764"/>
      <c r="L38" s="764"/>
      <c r="M38" s="764"/>
      <c r="N38" s="764"/>
      <c r="O38" s="764"/>
      <c r="P38" s="764"/>
      <c r="Q38" s="764"/>
      <c r="R38" s="764"/>
      <c r="S38" s="764"/>
      <c r="T38" s="764"/>
      <c r="U38" s="764"/>
      <c r="V38" s="764"/>
      <c r="W38" s="764"/>
      <c r="X38" s="760"/>
      <c r="Y38" s="760"/>
    </row>
    <row r="39" spans="1:25" ht="15.75" hidden="1" customHeight="1" thickBot="1">
      <c r="A39" s="727"/>
      <c r="C39" s="732">
        <f>+MAX(C$11:C38)+1</f>
        <v>28</v>
      </c>
      <c r="D39" s="738" t="s">
        <v>223</v>
      </c>
      <c r="E39" s="764"/>
      <c r="F39" s="769"/>
      <c r="G39" s="764"/>
      <c r="H39" s="764"/>
      <c r="I39" s="764"/>
      <c r="J39" s="764"/>
      <c r="K39" s="764"/>
      <c r="L39" s="764"/>
      <c r="M39" s="764"/>
      <c r="N39" s="764"/>
      <c r="O39" s="764"/>
      <c r="P39" s="764"/>
      <c r="Q39" s="764"/>
      <c r="R39" s="764"/>
      <c r="S39" s="764"/>
      <c r="T39" s="764"/>
      <c r="U39" s="764"/>
      <c r="V39" s="764"/>
      <c r="W39" s="764"/>
      <c r="X39" s="760"/>
      <c r="Y39" s="760"/>
    </row>
    <row r="40" spans="1:25" ht="15.75" hidden="1" customHeight="1">
      <c r="A40" s="727"/>
      <c r="C40" s="732">
        <f>+MAX(C$11:C39)+1</f>
        <v>29</v>
      </c>
      <c r="D40" s="763" t="s">
        <v>216</v>
      </c>
      <c r="E40" s="764"/>
      <c r="F40" s="840">
        <v>11.68</v>
      </c>
      <c r="G40" s="840">
        <v>0</v>
      </c>
      <c r="H40" s="840">
        <f t="shared" ref="H40:W40" si="13">ROUND(+G40*(1+H$10),$Y$8)</f>
        <v>0</v>
      </c>
      <c r="I40" s="840">
        <f t="shared" si="13"/>
        <v>0</v>
      </c>
      <c r="J40" s="840">
        <f t="shared" si="13"/>
        <v>0</v>
      </c>
      <c r="K40" s="840">
        <f t="shared" si="13"/>
        <v>0</v>
      </c>
      <c r="L40" s="840">
        <f t="shared" si="13"/>
        <v>0</v>
      </c>
      <c r="M40" s="840">
        <f t="shared" si="13"/>
        <v>0</v>
      </c>
      <c r="N40" s="764">
        <f t="shared" si="13"/>
        <v>0</v>
      </c>
      <c r="O40" s="764">
        <f t="shared" si="13"/>
        <v>0</v>
      </c>
      <c r="P40" s="764">
        <f t="shared" si="13"/>
        <v>0</v>
      </c>
      <c r="Q40" s="764">
        <f t="shared" si="13"/>
        <v>0</v>
      </c>
      <c r="R40" s="764">
        <f t="shared" si="13"/>
        <v>0</v>
      </c>
      <c r="S40" s="764">
        <f t="shared" si="13"/>
        <v>0</v>
      </c>
      <c r="T40" s="764">
        <f t="shared" si="13"/>
        <v>0</v>
      </c>
      <c r="U40" s="764">
        <f t="shared" si="13"/>
        <v>0</v>
      </c>
      <c r="V40" s="764">
        <f t="shared" si="13"/>
        <v>0</v>
      </c>
      <c r="W40" s="764">
        <f t="shared" si="13"/>
        <v>0</v>
      </c>
      <c r="X40" s="760"/>
      <c r="Y40" s="760"/>
    </row>
    <row r="41" spans="1:25" ht="15.75" hidden="1" customHeight="1">
      <c r="A41" s="727"/>
      <c r="C41" s="732">
        <f>+MAX(C$11:C40)+1</f>
        <v>30</v>
      </c>
      <c r="D41" s="763" t="s">
        <v>217</v>
      </c>
      <c r="E41" s="764"/>
      <c r="F41" s="841">
        <v>9.89</v>
      </c>
      <c r="G41" s="841">
        <v>0</v>
      </c>
      <c r="H41" s="841">
        <f t="shared" ref="H41:W41" si="14">ROUND(+G41*(1+H$10),$Y$8)</f>
        <v>0</v>
      </c>
      <c r="I41" s="841">
        <f t="shared" si="14"/>
        <v>0</v>
      </c>
      <c r="J41" s="841">
        <f t="shared" si="14"/>
        <v>0</v>
      </c>
      <c r="K41" s="841">
        <f t="shared" si="14"/>
        <v>0</v>
      </c>
      <c r="L41" s="841">
        <f t="shared" si="14"/>
        <v>0</v>
      </c>
      <c r="M41" s="841">
        <f t="shared" si="14"/>
        <v>0</v>
      </c>
      <c r="N41" s="764">
        <f t="shared" si="14"/>
        <v>0</v>
      </c>
      <c r="O41" s="764">
        <f t="shared" si="14"/>
        <v>0</v>
      </c>
      <c r="P41" s="764">
        <f t="shared" si="14"/>
        <v>0</v>
      </c>
      <c r="Q41" s="764">
        <f t="shared" si="14"/>
        <v>0</v>
      </c>
      <c r="R41" s="764">
        <f t="shared" si="14"/>
        <v>0</v>
      </c>
      <c r="S41" s="764">
        <f t="shared" si="14"/>
        <v>0</v>
      </c>
      <c r="T41" s="764">
        <f t="shared" si="14"/>
        <v>0</v>
      </c>
      <c r="U41" s="764">
        <f t="shared" si="14"/>
        <v>0</v>
      </c>
      <c r="V41" s="764">
        <f t="shared" si="14"/>
        <v>0</v>
      </c>
      <c r="W41" s="764">
        <f t="shared" si="14"/>
        <v>0</v>
      </c>
      <c r="X41" s="760"/>
      <c r="Y41" s="760"/>
    </row>
    <row r="42" spans="1:25" ht="15.75" hidden="1" customHeight="1">
      <c r="A42" s="727"/>
      <c r="C42" s="732">
        <f>+MAX(C$11:C41)+1</f>
        <v>31</v>
      </c>
      <c r="D42" s="763" t="s">
        <v>221</v>
      </c>
      <c r="E42" s="764"/>
      <c r="F42" s="841">
        <v>8.51</v>
      </c>
      <c r="G42" s="841">
        <v>0</v>
      </c>
      <c r="H42" s="841">
        <f t="shared" ref="H42:W42" si="15">ROUND(+G42*(1+H$10),$Y$8)</f>
        <v>0</v>
      </c>
      <c r="I42" s="841">
        <f t="shared" si="15"/>
        <v>0</v>
      </c>
      <c r="J42" s="841">
        <f t="shared" si="15"/>
        <v>0</v>
      </c>
      <c r="K42" s="841">
        <f t="shared" si="15"/>
        <v>0</v>
      </c>
      <c r="L42" s="841">
        <f t="shared" si="15"/>
        <v>0</v>
      </c>
      <c r="M42" s="841">
        <f t="shared" si="15"/>
        <v>0</v>
      </c>
      <c r="N42" s="764">
        <f t="shared" si="15"/>
        <v>0</v>
      </c>
      <c r="O42" s="764">
        <f t="shared" si="15"/>
        <v>0</v>
      </c>
      <c r="P42" s="764">
        <f t="shared" si="15"/>
        <v>0</v>
      </c>
      <c r="Q42" s="764">
        <f t="shared" si="15"/>
        <v>0</v>
      </c>
      <c r="R42" s="764">
        <f t="shared" si="15"/>
        <v>0</v>
      </c>
      <c r="S42" s="764">
        <f t="shared" si="15"/>
        <v>0</v>
      </c>
      <c r="T42" s="764">
        <f t="shared" si="15"/>
        <v>0</v>
      </c>
      <c r="U42" s="764">
        <f t="shared" si="15"/>
        <v>0</v>
      </c>
      <c r="V42" s="764">
        <f t="shared" si="15"/>
        <v>0</v>
      </c>
      <c r="W42" s="764">
        <f t="shared" si="15"/>
        <v>0</v>
      </c>
      <c r="X42" s="760"/>
      <c r="Y42" s="760"/>
    </row>
    <row r="43" spans="1:25" ht="15.75" hidden="1" customHeight="1">
      <c r="A43" s="727"/>
      <c r="C43" s="732">
        <f>+MAX(C$11:C42)+1</f>
        <v>32</v>
      </c>
      <c r="D43" s="763" t="s">
        <v>235</v>
      </c>
      <c r="E43" s="764"/>
      <c r="F43" s="842">
        <v>2.011851285482176E-2</v>
      </c>
      <c r="G43" s="842"/>
      <c r="H43" s="842"/>
      <c r="I43" s="842"/>
      <c r="J43" s="842"/>
      <c r="K43" s="842"/>
      <c r="L43" s="842"/>
      <c r="M43" s="842"/>
      <c r="N43" s="791">
        <f t="shared" ref="N43:W43" si="16">M43</f>
        <v>0</v>
      </c>
      <c r="O43" s="791">
        <f t="shared" si="16"/>
        <v>0</v>
      </c>
      <c r="P43" s="791">
        <f t="shared" si="16"/>
        <v>0</v>
      </c>
      <c r="Q43" s="791">
        <f t="shared" si="16"/>
        <v>0</v>
      </c>
      <c r="R43" s="791">
        <f t="shared" si="16"/>
        <v>0</v>
      </c>
      <c r="S43" s="791">
        <f t="shared" si="16"/>
        <v>0</v>
      </c>
      <c r="T43" s="791">
        <f t="shared" si="16"/>
        <v>0</v>
      </c>
      <c r="U43" s="791">
        <f t="shared" si="16"/>
        <v>0</v>
      </c>
      <c r="V43" s="791">
        <f t="shared" si="16"/>
        <v>0</v>
      </c>
      <c r="W43" s="791">
        <f t="shared" si="16"/>
        <v>0</v>
      </c>
      <c r="X43" s="760"/>
      <c r="Y43" s="760"/>
    </row>
    <row r="44" spans="1:25" ht="15.75" hidden="1" customHeight="1">
      <c r="A44" s="727"/>
      <c r="C44" s="732">
        <f>+MAX(C$11:C43)+1</f>
        <v>33</v>
      </c>
      <c r="D44" s="763" t="s">
        <v>236</v>
      </c>
      <c r="E44" s="764"/>
      <c r="F44" s="843">
        <v>8.3628022555672383E-3</v>
      </c>
      <c r="G44" s="843"/>
      <c r="H44" s="843"/>
      <c r="I44" s="843"/>
      <c r="J44" s="843"/>
      <c r="K44" s="843"/>
      <c r="L44" s="843"/>
      <c r="M44" s="843"/>
      <c r="N44" s="791">
        <f t="shared" ref="N44:W44" si="17">M44</f>
        <v>0</v>
      </c>
      <c r="O44" s="791">
        <f t="shared" si="17"/>
        <v>0</v>
      </c>
      <c r="P44" s="791">
        <f t="shared" si="17"/>
        <v>0</v>
      </c>
      <c r="Q44" s="791">
        <f t="shared" si="17"/>
        <v>0</v>
      </c>
      <c r="R44" s="791">
        <f t="shared" si="17"/>
        <v>0</v>
      </c>
      <c r="S44" s="791">
        <f t="shared" si="17"/>
        <v>0</v>
      </c>
      <c r="T44" s="791">
        <f t="shared" si="17"/>
        <v>0</v>
      </c>
      <c r="U44" s="791">
        <f t="shared" si="17"/>
        <v>0</v>
      </c>
      <c r="V44" s="791">
        <f t="shared" si="17"/>
        <v>0</v>
      </c>
      <c r="W44" s="791">
        <f t="shared" si="17"/>
        <v>0</v>
      </c>
      <c r="X44" s="760"/>
      <c r="Y44" s="760"/>
    </row>
    <row r="45" spans="1:25" ht="15.75" hidden="1" customHeight="1" thickBot="1">
      <c r="A45" s="727"/>
      <c r="C45" s="732">
        <f>+MAX(C$11:C44)+1</f>
        <v>34</v>
      </c>
      <c r="D45" s="763" t="s">
        <v>237</v>
      </c>
      <c r="E45" s="764"/>
      <c r="F45" s="844">
        <v>0.14097295230813345</v>
      </c>
      <c r="G45" s="844"/>
      <c r="H45" s="844"/>
      <c r="I45" s="844"/>
      <c r="J45" s="844"/>
      <c r="K45" s="844"/>
      <c r="L45" s="844"/>
      <c r="M45" s="844"/>
      <c r="N45" s="791">
        <f t="shared" ref="N45:W45" si="18">M45</f>
        <v>0</v>
      </c>
      <c r="O45" s="791">
        <f t="shared" si="18"/>
        <v>0</v>
      </c>
      <c r="P45" s="791">
        <f t="shared" si="18"/>
        <v>0</v>
      </c>
      <c r="Q45" s="791">
        <f t="shared" si="18"/>
        <v>0</v>
      </c>
      <c r="R45" s="791">
        <f t="shared" si="18"/>
        <v>0</v>
      </c>
      <c r="S45" s="791">
        <f t="shared" si="18"/>
        <v>0</v>
      </c>
      <c r="T45" s="791">
        <f t="shared" si="18"/>
        <v>0</v>
      </c>
      <c r="U45" s="791">
        <f t="shared" si="18"/>
        <v>0</v>
      </c>
      <c r="V45" s="791">
        <f t="shared" si="18"/>
        <v>0</v>
      </c>
      <c r="W45" s="791">
        <f t="shared" si="18"/>
        <v>0</v>
      </c>
      <c r="X45" s="760"/>
      <c r="Y45" s="760"/>
    </row>
    <row r="46" spans="1:25" ht="15.75" hidden="1" customHeight="1">
      <c r="A46" s="727"/>
      <c r="C46" s="732">
        <f>+MAX(C$11:C45)+1</f>
        <v>35</v>
      </c>
      <c r="D46" s="738"/>
      <c r="E46" s="764"/>
      <c r="F46" s="769"/>
      <c r="G46" s="764"/>
      <c r="H46" s="764"/>
      <c r="I46" s="764"/>
      <c r="J46" s="764"/>
      <c r="K46" s="764"/>
      <c r="L46" s="764"/>
      <c r="M46" s="764"/>
      <c r="N46" s="764"/>
      <c r="O46" s="764"/>
      <c r="P46" s="764"/>
      <c r="Q46" s="764"/>
      <c r="R46" s="764"/>
      <c r="S46" s="764"/>
      <c r="T46" s="764"/>
      <c r="U46" s="764"/>
      <c r="V46" s="764"/>
      <c r="W46" s="764"/>
      <c r="X46" s="760"/>
      <c r="Y46" s="760"/>
    </row>
    <row r="47" spans="1:25" ht="15.75" customHeight="1" thickBot="1">
      <c r="A47" s="727"/>
      <c r="C47" s="732">
        <f>+MAX(C$11:C46)+1</f>
        <v>36</v>
      </c>
      <c r="D47" s="738" t="s">
        <v>271</v>
      </c>
      <c r="E47" s="767"/>
      <c r="F47" s="768"/>
      <c r="G47" s="764"/>
      <c r="H47" s="764"/>
      <c r="I47" s="764"/>
      <c r="J47" s="764"/>
      <c r="K47" s="764"/>
      <c r="L47" s="764"/>
      <c r="M47" s="764"/>
      <c r="N47" s="764"/>
      <c r="O47" s="764"/>
      <c r="P47" s="764"/>
      <c r="Q47" s="764"/>
      <c r="R47" s="764"/>
      <c r="S47" s="764"/>
      <c r="T47" s="764"/>
      <c r="U47" s="764"/>
      <c r="V47" s="764"/>
      <c r="W47" s="764"/>
      <c r="X47" s="760"/>
      <c r="Y47" s="760"/>
    </row>
    <row r="48" spans="1:25" ht="15.75" customHeight="1">
      <c r="A48" s="727"/>
      <c r="C48" s="732">
        <f>+MAX(C$11:C47)+1</f>
        <v>37</v>
      </c>
      <c r="D48" s="763" t="s">
        <v>216</v>
      </c>
      <c r="E48" s="767"/>
      <c r="F48" s="845">
        <v>3.85E-2</v>
      </c>
      <c r="G48" s="3364">
        <v>2.0055E-2</v>
      </c>
      <c r="H48" s="3364">
        <v>2.1755E-2</v>
      </c>
      <c r="I48" s="3364">
        <v>2.4400000000000002E-2</v>
      </c>
      <c r="J48" s="3364">
        <v>2.53E-2</v>
      </c>
      <c r="K48" s="3364">
        <v>2.5940000000000001E-2</v>
      </c>
      <c r="L48" s="3364">
        <v>2.6720000000000001E-2</v>
      </c>
      <c r="M48" s="3364">
        <v>2.7449999999999999E-2</v>
      </c>
      <c r="N48" s="767">
        <f t="shared" ref="N48:W48" si="19">ROUND(+M48*(1+N$10),$Y$9)</f>
        <v>2.7449999999999999E-2</v>
      </c>
      <c r="O48" s="767">
        <f t="shared" si="19"/>
        <v>2.7449999999999999E-2</v>
      </c>
      <c r="P48" s="767">
        <f t="shared" si="19"/>
        <v>2.7449999999999999E-2</v>
      </c>
      <c r="Q48" s="767">
        <f t="shared" si="19"/>
        <v>2.7449999999999999E-2</v>
      </c>
      <c r="R48" s="767">
        <f t="shared" si="19"/>
        <v>2.7449999999999999E-2</v>
      </c>
      <c r="S48" s="767">
        <f t="shared" si="19"/>
        <v>2.7449999999999999E-2</v>
      </c>
      <c r="T48" s="767">
        <f t="shared" si="19"/>
        <v>2.7449999999999999E-2</v>
      </c>
      <c r="U48" s="767">
        <f t="shared" si="19"/>
        <v>2.7449999999999999E-2</v>
      </c>
      <c r="V48" s="767">
        <f t="shared" si="19"/>
        <v>2.7449999999999999E-2</v>
      </c>
      <c r="W48" s="767">
        <f t="shared" si="19"/>
        <v>2.7449999999999999E-2</v>
      </c>
      <c r="X48" s="760"/>
      <c r="Y48" s="760"/>
    </row>
    <row r="49" spans="1:25" ht="15.75" customHeight="1">
      <c r="A49" s="727"/>
      <c r="C49" s="732">
        <f>+MAX(C$11:C48)+1</f>
        <v>38</v>
      </c>
      <c r="D49" s="763" t="s">
        <v>217</v>
      </c>
      <c r="E49" s="767"/>
      <c r="F49" s="846">
        <v>1.9599999999999999E-2</v>
      </c>
      <c r="G49" s="3365">
        <f>G48</f>
        <v>2.0055E-2</v>
      </c>
      <c r="H49" s="3365">
        <f t="shared" ref="H49:K50" si="20">H48</f>
        <v>2.1755E-2</v>
      </c>
      <c r="I49" s="3365">
        <f t="shared" si="20"/>
        <v>2.4400000000000002E-2</v>
      </c>
      <c r="J49" s="3365">
        <f t="shared" si="20"/>
        <v>2.53E-2</v>
      </c>
      <c r="K49" s="3365">
        <f t="shared" si="20"/>
        <v>2.5940000000000001E-2</v>
      </c>
      <c r="L49" s="3365">
        <f>L48</f>
        <v>2.6720000000000001E-2</v>
      </c>
      <c r="M49" s="3365">
        <f>M48</f>
        <v>2.7449999999999999E-2</v>
      </c>
      <c r="N49" s="767">
        <f t="shared" ref="N49:W49" si="21">ROUND(+M49*(1+N$10),$Y$9)</f>
        <v>2.7449999999999999E-2</v>
      </c>
      <c r="O49" s="767">
        <f t="shared" si="21"/>
        <v>2.7449999999999999E-2</v>
      </c>
      <c r="P49" s="767">
        <f t="shared" si="21"/>
        <v>2.7449999999999999E-2</v>
      </c>
      <c r="Q49" s="767">
        <f t="shared" si="21"/>
        <v>2.7449999999999999E-2</v>
      </c>
      <c r="R49" s="767">
        <f t="shared" si="21"/>
        <v>2.7449999999999999E-2</v>
      </c>
      <c r="S49" s="767">
        <f t="shared" si="21"/>
        <v>2.7449999999999999E-2</v>
      </c>
      <c r="T49" s="767">
        <f t="shared" si="21"/>
        <v>2.7449999999999999E-2</v>
      </c>
      <c r="U49" s="767">
        <f t="shared" si="21"/>
        <v>2.7449999999999999E-2</v>
      </c>
      <c r="V49" s="767">
        <f t="shared" si="21"/>
        <v>2.7449999999999999E-2</v>
      </c>
      <c r="W49" s="767">
        <f t="shared" si="21"/>
        <v>2.7449999999999999E-2</v>
      </c>
      <c r="X49" s="760"/>
      <c r="Y49" s="760"/>
    </row>
    <row r="50" spans="1:25" ht="15.75" customHeight="1">
      <c r="A50" s="727"/>
      <c r="C50" s="732">
        <f>+MAX(C$11:C49)+1</f>
        <v>39</v>
      </c>
      <c r="D50" s="763" t="s">
        <v>221</v>
      </c>
      <c r="E50" s="767"/>
      <c r="F50" s="846">
        <v>1.67E-2</v>
      </c>
      <c r="G50" s="3365">
        <f>G49</f>
        <v>2.0055E-2</v>
      </c>
      <c r="H50" s="3365">
        <f t="shared" si="20"/>
        <v>2.1755E-2</v>
      </c>
      <c r="I50" s="3365">
        <f t="shared" si="20"/>
        <v>2.4400000000000002E-2</v>
      </c>
      <c r="J50" s="3365">
        <f t="shared" si="20"/>
        <v>2.53E-2</v>
      </c>
      <c r="K50" s="3365">
        <f t="shared" si="20"/>
        <v>2.5940000000000001E-2</v>
      </c>
      <c r="L50" s="3365">
        <f>L49</f>
        <v>2.6720000000000001E-2</v>
      </c>
      <c r="M50" s="3365">
        <f>M49</f>
        <v>2.7449999999999999E-2</v>
      </c>
      <c r="N50" s="767">
        <f t="shared" ref="N50:W50" si="22">ROUND(+M50*(1+N$10),$Y$9)</f>
        <v>2.7449999999999999E-2</v>
      </c>
      <c r="O50" s="767">
        <f t="shared" si="22"/>
        <v>2.7449999999999999E-2</v>
      </c>
      <c r="P50" s="767">
        <f t="shared" si="22"/>
        <v>2.7449999999999999E-2</v>
      </c>
      <c r="Q50" s="767">
        <f t="shared" si="22"/>
        <v>2.7449999999999999E-2</v>
      </c>
      <c r="R50" s="767">
        <f t="shared" si="22"/>
        <v>2.7449999999999999E-2</v>
      </c>
      <c r="S50" s="767">
        <f t="shared" si="22"/>
        <v>2.7449999999999999E-2</v>
      </c>
      <c r="T50" s="767">
        <f t="shared" si="22"/>
        <v>2.7449999999999999E-2</v>
      </c>
      <c r="U50" s="767">
        <f t="shared" si="22"/>
        <v>2.7449999999999999E-2</v>
      </c>
      <c r="V50" s="767">
        <f t="shared" si="22"/>
        <v>2.7449999999999999E-2</v>
      </c>
      <c r="W50" s="767">
        <f t="shared" si="22"/>
        <v>2.7449999999999999E-2</v>
      </c>
      <c r="X50" s="760"/>
      <c r="Y50" s="760"/>
    </row>
    <row r="51" spans="1:25" ht="15.75" hidden="1" customHeight="1">
      <c r="A51" s="727"/>
      <c r="C51" s="732">
        <f>+MAX(C$11:C50)+1</f>
        <v>40</v>
      </c>
      <c r="D51" s="763" t="s">
        <v>235</v>
      </c>
      <c r="E51" s="767"/>
      <c r="F51" s="842"/>
      <c r="G51" s="842"/>
      <c r="H51" s="842"/>
      <c r="I51" s="842"/>
      <c r="J51" s="842"/>
      <c r="K51" s="842"/>
      <c r="L51" s="842"/>
      <c r="M51" s="842"/>
      <c r="N51" s="791">
        <f t="shared" ref="N51:W51" si="23">M51</f>
        <v>0</v>
      </c>
      <c r="O51" s="791">
        <f t="shared" si="23"/>
        <v>0</v>
      </c>
      <c r="P51" s="791">
        <f t="shared" si="23"/>
        <v>0</v>
      </c>
      <c r="Q51" s="791">
        <f t="shared" si="23"/>
        <v>0</v>
      </c>
      <c r="R51" s="791">
        <f t="shared" si="23"/>
        <v>0</v>
      </c>
      <c r="S51" s="791">
        <f t="shared" si="23"/>
        <v>0</v>
      </c>
      <c r="T51" s="791">
        <f t="shared" si="23"/>
        <v>0</v>
      </c>
      <c r="U51" s="791">
        <f t="shared" si="23"/>
        <v>0</v>
      </c>
      <c r="V51" s="791">
        <f t="shared" si="23"/>
        <v>0</v>
      </c>
      <c r="W51" s="791">
        <f t="shared" si="23"/>
        <v>0</v>
      </c>
      <c r="X51" s="760"/>
      <c r="Y51" s="760"/>
    </row>
    <row r="52" spans="1:25" ht="15.75" hidden="1" customHeight="1">
      <c r="A52" s="727"/>
      <c r="C52" s="732">
        <f>+MAX(C$11:C51)+1</f>
        <v>41</v>
      </c>
      <c r="D52" s="763" t="s">
        <v>236</v>
      </c>
      <c r="E52" s="767"/>
      <c r="F52" s="843"/>
      <c r="G52" s="843"/>
      <c r="H52" s="843"/>
      <c r="I52" s="843"/>
      <c r="J52" s="843"/>
      <c r="K52" s="843"/>
      <c r="L52" s="843"/>
      <c r="M52" s="843"/>
      <c r="N52" s="791">
        <f t="shared" ref="N52:W52" si="24">M52</f>
        <v>0</v>
      </c>
      <c r="O52" s="791">
        <f t="shared" si="24"/>
        <v>0</v>
      </c>
      <c r="P52" s="791">
        <f t="shared" si="24"/>
        <v>0</v>
      </c>
      <c r="Q52" s="791">
        <f t="shared" si="24"/>
        <v>0</v>
      </c>
      <c r="R52" s="791">
        <f t="shared" si="24"/>
        <v>0</v>
      </c>
      <c r="S52" s="791">
        <f t="shared" si="24"/>
        <v>0</v>
      </c>
      <c r="T52" s="791">
        <f t="shared" si="24"/>
        <v>0</v>
      </c>
      <c r="U52" s="791">
        <f t="shared" si="24"/>
        <v>0</v>
      </c>
      <c r="V52" s="791">
        <f t="shared" si="24"/>
        <v>0</v>
      </c>
      <c r="W52" s="791">
        <f t="shared" si="24"/>
        <v>0</v>
      </c>
      <c r="X52" s="760"/>
      <c r="Y52" s="760"/>
    </row>
    <row r="53" spans="1:25" ht="15.75" hidden="1" customHeight="1" thickBot="1">
      <c r="A53" s="727"/>
      <c r="C53" s="732">
        <f>+MAX(C$11:C52)+1</f>
        <v>42</v>
      </c>
      <c r="D53" s="763" t="s">
        <v>237</v>
      </c>
      <c r="E53" s="767"/>
      <c r="F53" s="919"/>
      <c r="G53" s="919"/>
      <c r="H53" s="919"/>
      <c r="I53" s="919"/>
      <c r="J53" s="919"/>
      <c r="K53" s="919"/>
      <c r="L53" s="919"/>
      <c r="M53" s="919"/>
      <c r="N53" s="791">
        <f t="shared" ref="N53:W53" si="25">M53</f>
        <v>0</v>
      </c>
      <c r="O53" s="791">
        <f t="shared" si="25"/>
        <v>0</v>
      </c>
      <c r="P53" s="791">
        <f t="shared" si="25"/>
        <v>0</v>
      </c>
      <c r="Q53" s="791">
        <f t="shared" si="25"/>
        <v>0</v>
      </c>
      <c r="R53" s="791">
        <f t="shared" si="25"/>
        <v>0</v>
      </c>
      <c r="S53" s="791">
        <f t="shared" si="25"/>
        <v>0</v>
      </c>
      <c r="T53" s="791">
        <f t="shared" si="25"/>
        <v>0</v>
      </c>
      <c r="U53" s="791">
        <f t="shared" si="25"/>
        <v>0</v>
      </c>
      <c r="V53" s="791">
        <f t="shared" si="25"/>
        <v>0</v>
      </c>
      <c r="W53" s="791">
        <f t="shared" si="25"/>
        <v>0</v>
      </c>
      <c r="X53" s="760"/>
      <c r="Y53" s="760"/>
    </row>
    <row r="54" spans="1:25" ht="15.75" customHeight="1">
      <c r="A54" s="727"/>
      <c r="C54" s="732">
        <f>+MAX(C$11:C53)+1</f>
        <v>43</v>
      </c>
      <c r="D54" s="737"/>
      <c r="E54" s="760"/>
      <c r="H54" s="760"/>
    </row>
    <row r="55" spans="1:25" ht="15.75" customHeight="1" thickBot="1">
      <c r="A55" s="727"/>
      <c r="C55" s="732">
        <f>+MAX(C$11:C54)+1</f>
        <v>44</v>
      </c>
      <c r="D55" s="743" t="s">
        <v>246</v>
      </c>
      <c r="E55" s="760"/>
      <c r="H55" s="760"/>
    </row>
    <row r="56" spans="1:25" ht="15.75" customHeight="1" thickBot="1">
      <c r="A56" s="727"/>
      <c r="C56" s="732">
        <f>+MAX(C$11:C55)+1</f>
        <v>45</v>
      </c>
      <c r="D56" s="738" t="s">
        <v>215</v>
      </c>
      <c r="E56" s="764"/>
      <c r="F56" s="838">
        <v>0</v>
      </c>
      <c r="G56" s="838">
        <v>30</v>
      </c>
      <c r="H56" s="838">
        <v>30</v>
      </c>
      <c r="I56" s="838">
        <v>30</v>
      </c>
      <c r="J56" s="838">
        <v>32.4</v>
      </c>
      <c r="K56" s="838">
        <v>33.21</v>
      </c>
      <c r="L56" s="838">
        <v>35.200000000000003</v>
      </c>
      <c r="M56" s="838">
        <v>37.31</v>
      </c>
      <c r="N56" s="764">
        <f t="shared" ref="N56:W56" si="26">ROUND(+M56*(1+N$10),$Y$8)</f>
        <v>37.31</v>
      </c>
      <c r="O56" s="764">
        <f t="shared" si="26"/>
        <v>37.31</v>
      </c>
      <c r="P56" s="764">
        <f t="shared" si="26"/>
        <v>37.31</v>
      </c>
      <c r="Q56" s="764">
        <f t="shared" si="26"/>
        <v>37.31</v>
      </c>
      <c r="R56" s="764">
        <f t="shared" si="26"/>
        <v>37.31</v>
      </c>
      <c r="S56" s="764">
        <f t="shared" si="26"/>
        <v>37.31</v>
      </c>
      <c r="T56" s="764">
        <f t="shared" si="26"/>
        <v>37.31</v>
      </c>
      <c r="U56" s="764">
        <f t="shared" si="26"/>
        <v>37.31</v>
      </c>
      <c r="V56" s="764">
        <f t="shared" si="26"/>
        <v>37.31</v>
      </c>
      <c r="W56" s="764">
        <f t="shared" si="26"/>
        <v>37.31</v>
      </c>
    </row>
    <row r="57" spans="1:25" ht="15.75" customHeight="1">
      <c r="A57" s="727"/>
      <c r="C57" s="732">
        <f>+MAX(C$11:C56)+1</f>
        <v>46</v>
      </c>
      <c r="D57" s="743"/>
      <c r="E57" s="760"/>
      <c r="H57" s="760"/>
    </row>
    <row r="58" spans="1:25" ht="15.75" customHeight="1" thickBot="1">
      <c r="A58" s="727"/>
      <c r="C58" s="732">
        <f>+MAX(C$11:C57)+1</f>
        <v>47</v>
      </c>
      <c r="D58" s="738" t="s">
        <v>222</v>
      </c>
      <c r="E58" s="764"/>
      <c r="F58" s="769"/>
      <c r="G58" s="764"/>
      <c r="H58" s="764"/>
      <c r="I58" s="764"/>
      <c r="J58" s="764"/>
      <c r="K58" s="764"/>
      <c r="L58" s="764"/>
      <c r="M58" s="764"/>
      <c r="N58" s="764"/>
      <c r="O58" s="764"/>
      <c r="P58" s="764"/>
      <c r="Q58" s="764"/>
      <c r="R58" s="764"/>
      <c r="S58" s="764"/>
      <c r="T58" s="764"/>
      <c r="U58" s="764"/>
      <c r="V58" s="764"/>
      <c r="W58" s="764"/>
    </row>
    <row r="59" spans="1:25" ht="15.75" customHeight="1">
      <c r="A59" s="727"/>
      <c r="C59" s="732">
        <f>+MAX(C$11:C58)+1</f>
        <v>48</v>
      </c>
      <c r="D59" s="763" t="s">
        <v>216</v>
      </c>
      <c r="E59" s="764"/>
      <c r="F59" s="840">
        <f t="shared" ref="F59:K59" si="27">F32</f>
        <v>2.2242857142857142</v>
      </c>
      <c r="G59" s="840">
        <f t="shared" si="27"/>
        <v>2.14</v>
      </c>
      <c r="H59" s="840">
        <f t="shared" si="27"/>
        <v>2.14</v>
      </c>
      <c r="I59" s="840">
        <f t="shared" si="27"/>
        <v>2.14</v>
      </c>
      <c r="J59" s="840">
        <f t="shared" si="27"/>
        <v>2.31</v>
      </c>
      <c r="K59" s="840">
        <f t="shared" si="27"/>
        <v>2.35</v>
      </c>
      <c r="L59" s="840">
        <f t="shared" ref="L59:M61" si="28">L32</f>
        <v>2.42</v>
      </c>
      <c r="M59" s="840">
        <f t="shared" si="28"/>
        <v>2.4900000000000002</v>
      </c>
      <c r="N59" s="764">
        <f t="shared" ref="N59:W59" si="29">ROUND(+M59*(1+N$10),$Y$8)</f>
        <v>2.4900000000000002</v>
      </c>
      <c r="O59" s="764">
        <f t="shared" si="29"/>
        <v>2.4900000000000002</v>
      </c>
      <c r="P59" s="764">
        <f t="shared" si="29"/>
        <v>2.4900000000000002</v>
      </c>
      <c r="Q59" s="764">
        <f t="shared" si="29"/>
        <v>2.4900000000000002</v>
      </c>
      <c r="R59" s="764">
        <f t="shared" si="29"/>
        <v>2.4900000000000002</v>
      </c>
      <c r="S59" s="764">
        <f t="shared" si="29"/>
        <v>2.4900000000000002</v>
      </c>
      <c r="T59" s="764">
        <f t="shared" si="29"/>
        <v>2.4900000000000002</v>
      </c>
      <c r="U59" s="764">
        <f t="shared" si="29"/>
        <v>2.4900000000000002</v>
      </c>
      <c r="V59" s="764">
        <f t="shared" si="29"/>
        <v>2.4900000000000002</v>
      </c>
      <c r="W59" s="764">
        <f t="shared" si="29"/>
        <v>2.4900000000000002</v>
      </c>
    </row>
    <row r="60" spans="1:25" ht="15.75" customHeight="1">
      <c r="A60" s="727"/>
      <c r="C60" s="732">
        <f>+MAX(C$11:C59)+1</f>
        <v>49</v>
      </c>
      <c r="D60" s="763" t="s">
        <v>217</v>
      </c>
      <c r="E60" s="764"/>
      <c r="F60" s="841">
        <f t="shared" ref="F60:K61" si="30">F33</f>
        <v>1.8842857142857141</v>
      </c>
      <c r="G60" s="841">
        <f t="shared" si="30"/>
        <v>1.57</v>
      </c>
      <c r="H60" s="841">
        <f t="shared" si="30"/>
        <v>1.57</v>
      </c>
      <c r="I60" s="841">
        <f t="shared" si="30"/>
        <v>1.57</v>
      </c>
      <c r="J60" s="841">
        <f t="shared" si="30"/>
        <v>1.85</v>
      </c>
      <c r="K60" s="841">
        <f t="shared" si="30"/>
        <v>1.92</v>
      </c>
      <c r="L60" s="841">
        <f t="shared" si="28"/>
        <v>2.04</v>
      </c>
      <c r="M60" s="841">
        <f t="shared" si="28"/>
        <v>2.17</v>
      </c>
      <c r="N60" s="764">
        <f t="shared" ref="N60:W60" si="31">ROUND(+M60*(1+N$10),$Y$8)</f>
        <v>2.17</v>
      </c>
      <c r="O60" s="764">
        <f t="shared" si="31"/>
        <v>2.17</v>
      </c>
      <c r="P60" s="764">
        <f t="shared" si="31"/>
        <v>2.17</v>
      </c>
      <c r="Q60" s="764">
        <f t="shared" si="31"/>
        <v>2.17</v>
      </c>
      <c r="R60" s="764">
        <f t="shared" si="31"/>
        <v>2.17</v>
      </c>
      <c r="S60" s="764">
        <f t="shared" si="31"/>
        <v>2.17</v>
      </c>
      <c r="T60" s="764">
        <f t="shared" si="31"/>
        <v>2.17</v>
      </c>
      <c r="U60" s="764">
        <f t="shared" si="31"/>
        <v>2.17</v>
      </c>
      <c r="V60" s="764">
        <f t="shared" si="31"/>
        <v>2.17</v>
      </c>
      <c r="W60" s="764">
        <f t="shared" si="31"/>
        <v>2.17</v>
      </c>
    </row>
    <row r="61" spans="1:25" ht="15.75" customHeight="1">
      <c r="A61" s="727"/>
      <c r="C61" s="732">
        <f>+MAX(C$11:C60)+1</f>
        <v>50</v>
      </c>
      <c r="D61" s="763" t="s">
        <v>221</v>
      </c>
      <c r="E61" s="764"/>
      <c r="F61" s="841">
        <f t="shared" si="30"/>
        <v>1.6199999999999999</v>
      </c>
      <c r="G61" s="841">
        <f t="shared" si="30"/>
        <v>1.57</v>
      </c>
      <c r="H61" s="841">
        <f t="shared" si="30"/>
        <v>1.57</v>
      </c>
      <c r="I61" s="841">
        <f t="shared" si="30"/>
        <v>1.57</v>
      </c>
      <c r="J61" s="841">
        <f t="shared" si="30"/>
        <v>1.85</v>
      </c>
      <c r="K61" s="841">
        <f t="shared" si="30"/>
        <v>1.92</v>
      </c>
      <c r="L61" s="841">
        <f t="shared" si="28"/>
        <v>2.04</v>
      </c>
      <c r="M61" s="841">
        <f t="shared" si="28"/>
        <v>2.17</v>
      </c>
      <c r="N61" s="764">
        <f t="shared" ref="N61:W61" si="32">ROUND(+M61*(1+N$10),$Y$8)</f>
        <v>2.17</v>
      </c>
      <c r="O61" s="764">
        <f t="shared" si="32"/>
        <v>2.17</v>
      </c>
      <c r="P61" s="764">
        <f t="shared" si="32"/>
        <v>2.17</v>
      </c>
      <c r="Q61" s="764">
        <f t="shared" si="32"/>
        <v>2.17</v>
      </c>
      <c r="R61" s="764">
        <f t="shared" si="32"/>
        <v>2.17</v>
      </c>
      <c r="S61" s="764">
        <f t="shared" si="32"/>
        <v>2.17</v>
      </c>
      <c r="T61" s="764">
        <f t="shared" si="32"/>
        <v>2.17</v>
      </c>
      <c r="U61" s="764">
        <f t="shared" si="32"/>
        <v>2.17</v>
      </c>
      <c r="V61" s="764">
        <f t="shared" si="32"/>
        <v>2.17</v>
      </c>
      <c r="W61" s="764">
        <f t="shared" si="32"/>
        <v>2.17</v>
      </c>
    </row>
    <row r="62" spans="1:25" ht="15.75" hidden="1" customHeight="1">
      <c r="A62" s="727"/>
      <c r="C62" s="732">
        <f>+MAX(C$11:C61)+1</f>
        <v>51</v>
      </c>
      <c r="D62" s="763" t="s">
        <v>235</v>
      </c>
      <c r="E62" s="764"/>
      <c r="F62" s="842">
        <v>0.55918025214579459</v>
      </c>
      <c r="G62" s="842">
        <f>F62+F70</f>
        <v>0.56304349093140516</v>
      </c>
      <c r="H62" s="842"/>
      <c r="I62" s="842"/>
      <c r="J62" s="842"/>
      <c r="K62" s="842"/>
      <c r="L62" s="842"/>
      <c r="M62" s="842"/>
      <c r="N62" s="791">
        <f t="shared" ref="N62:W62" si="33">M62</f>
        <v>0</v>
      </c>
      <c r="O62" s="791">
        <f t="shared" si="33"/>
        <v>0</v>
      </c>
      <c r="P62" s="791">
        <f t="shared" si="33"/>
        <v>0</v>
      </c>
      <c r="Q62" s="791">
        <f t="shared" si="33"/>
        <v>0</v>
      </c>
      <c r="R62" s="791">
        <f t="shared" si="33"/>
        <v>0</v>
      </c>
      <c r="S62" s="791">
        <f t="shared" si="33"/>
        <v>0</v>
      </c>
      <c r="T62" s="791">
        <f t="shared" si="33"/>
        <v>0</v>
      </c>
      <c r="U62" s="791">
        <f t="shared" si="33"/>
        <v>0</v>
      </c>
      <c r="V62" s="791">
        <f t="shared" si="33"/>
        <v>0</v>
      </c>
      <c r="W62" s="791">
        <f t="shared" si="33"/>
        <v>0</v>
      </c>
    </row>
    <row r="63" spans="1:25" ht="15.75" hidden="1" customHeight="1">
      <c r="A63" s="727"/>
      <c r="C63" s="732">
        <f>+MAX(C$11:C62)+1</f>
        <v>52</v>
      </c>
      <c r="D63" s="763" t="s">
        <v>236</v>
      </c>
      <c r="E63" s="764"/>
      <c r="F63" s="843">
        <v>9.5669772199072078E-2</v>
      </c>
      <c r="G63" s="843">
        <f>F63+F71</f>
        <v>9.6035683456757948E-2</v>
      </c>
      <c r="H63" s="843"/>
      <c r="I63" s="843"/>
      <c r="J63" s="843"/>
      <c r="K63" s="843"/>
      <c r="L63" s="843"/>
      <c r="M63" s="843"/>
      <c r="N63" s="791">
        <f t="shared" ref="N63:W63" si="34">M63</f>
        <v>0</v>
      </c>
      <c r="O63" s="791">
        <f t="shared" si="34"/>
        <v>0</v>
      </c>
      <c r="P63" s="791">
        <f t="shared" si="34"/>
        <v>0</v>
      </c>
      <c r="Q63" s="791">
        <f t="shared" si="34"/>
        <v>0</v>
      </c>
      <c r="R63" s="791">
        <f t="shared" si="34"/>
        <v>0</v>
      </c>
      <c r="S63" s="791">
        <f t="shared" si="34"/>
        <v>0</v>
      </c>
      <c r="T63" s="791">
        <f t="shared" si="34"/>
        <v>0</v>
      </c>
      <c r="U63" s="791">
        <f t="shared" si="34"/>
        <v>0</v>
      </c>
      <c r="V63" s="791">
        <f t="shared" si="34"/>
        <v>0</v>
      </c>
      <c r="W63" s="791">
        <f t="shared" si="34"/>
        <v>0</v>
      </c>
    </row>
    <row r="64" spans="1:25" ht="15.75" hidden="1" customHeight="1" thickBot="1">
      <c r="A64" s="727"/>
      <c r="C64" s="732">
        <f>+MAX(C$11:C63)+1</f>
        <v>53</v>
      </c>
      <c r="D64" s="763" t="s">
        <v>237</v>
      </c>
      <c r="E64" s="764"/>
      <c r="F64" s="844">
        <v>0.33828103725282632</v>
      </c>
      <c r="G64" s="844">
        <f>F64+F72</f>
        <v>0.34092082561184583</v>
      </c>
      <c r="H64" s="844"/>
      <c r="I64" s="844"/>
      <c r="J64" s="844"/>
      <c r="K64" s="844"/>
      <c r="L64" s="844"/>
      <c r="M64" s="844"/>
      <c r="N64" s="791">
        <f t="shared" ref="N64:W64" si="35">M64</f>
        <v>0</v>
      </c>
      <c r="O64" s="791">
        <f t="shared" si="35"/>
        <v>0</v>
      </c>
      <c r="P64" s="791">
        <f t="shared" si="35"/>
        <v>0</v>
      </c>
      <c r="Q64" s="791">
        <f t="shared" si="35"/>
        <v>0</v>
      </c>
      <c r="R64" s="791">
        <f t="shared" si="35"/>
        <v>0</v>
      </c>
      <c r="S64" s="791">
        <f t="shared" si="35"/>
        <v>0</v>
      </c>
      <c r="T64" s="791">
        <f t="shared" si="35"/>
        <v>0</v>
      </c>
      <c r="U64" s="791">
        <f t="shared" si="35"/>
        <v>0</v>
      </c>
      <c r="V64" s="791">
        <f t="shared" si="35"/>
        <v>0</v>
      </c>
      <c r="W64" s="791">
        <f t="shared" si="35"/>
        <v>0</v>
      </c>
    </row>
    <row r="65" spans="1:23" ht="15.75" customHeight="1">
      <c r="A65" s="727"/>
      <c r="C65" s="732">
        <f>+MAX(C$11:C64)+1</f>
        <v>54</v>
      </c>
      <c r="D65" s="738"/>
      <c r="E65" s="764"/>
      <c r="F65" s="769"/>
      <c r="G65" s="764"/>
      <c r="H65" s="764"/>
      <c r="I65" s="764"/>
      <c r="J65" s="764"/>
      <c r="K65" s="764"/>
      <c r="L65" s="764"/>
      <c r="M65" s="764"/>
      <c r="N65" s="764"/>
      <c r="O65" s="764"/>
      <c r="P65" s="764"/>
      <c r="Q65" s="764"/>
      <c r="R65" s="764"/>
      <c r="S65" s="764"/>
      <c r="T65" s="764"/>
      <c r="U65" s="764"/>
      <c r="V65" s="764"/>
      <c r="W65" s="764"/>
    </row>
    <row r="66" spans="1:23" ht="15.75" hidden="1" customHeight="1" thickBot="1">
      <c r="A66" s="727"/>
      <c r="C66" s="732">
        <f>+MAX(C$11:C65)+1</f>
        <v>55</v>
      </c>
      <c r="D66" s="738" t="s">
        <v>223</v>
      </c>
      <c r="E66" s="764"/>
      <c r="F66" s="769"/>
      <c r="G66" s="764"/>
      <c r="H66" s="764"/>
      <c r="I66" s="764"/>
      <c r="J66" s="764"/>
      <c r="K66" s="764"/>
      <c r="L66" s="764"/>
      <c r="M66" s="764"/>
      <c r="N66" s="764"/>
      <c r="O66" s="764"/>
      <c r="P66" s="764"/>
      <c r="Q66" s="764"/>
      <c r="R66" s="764"/>
      <c r="S66" s="764"/>
      <c r="T66" s="764"/>
      <c r="U66" s="764"/>
      <c r="V66" s="764"/>
      <c r="W66" s="764"/>
    </row>
    <row r="67" spans="1:23" ht="15.75" hidden="1" customHeight="1">
      <c r="A67" s="727"/>
      <c r="C67" s="732">
        <f>+MAX(C$11:C66)+1</f>
        <v>56</v>
      </c>
      <c r="D67" s="763" t="s">
        <v>216</v>
      </c>
      <c r="E67" s="764"/>
      <c r="F67" s="840">
        <v>11.68</v>
      </c>
      <c r="G67" s="840">
        <v>0</v>
      </c>
      <c r="H67" s="840">
        <f t="shared" ref="H67:W67" si="36">ROUND(+G67*(1+H$10),$Y$8)</f>
        <v>0</v>
      </c>
      <c r="I67" s="840">
        <f t="shared" si="36"/>
        <v>0</v>
      </c>
      <c r="J67" s="840">
        <f t="shared" si="36"/>
        <v>0</v>
      </c>
      <c r="K67" s="840">
        <f t="shared" si="36"/>
        <v>0</v>
      </c>
      <c r="L67" s="840">
        <f t="shared" si="36"/>
        <v>0</v>
      </c>
      <c r="M67" s="840">
        <f t="shared" si="36"/>
        <v>0</v>
      </c>
      <c r="N67" s="764">
        <f t="shared" si="36"/>
        <v>0</v>
      </c>
      <c r="O67" s="764">
        <f t="shared" si="36"/>
        <v>0</v>
      </c>
      <c r="P67" s="764">
        <f t="shared" si="36"/>
        <v>0</v>
      </c>
      <c r="Q67" s="764">
        <f t="shared" si="36"/>
        <v>0</v>
      </c>
      <c r="R67" s="764">
        <f t="shared" si="36"/>
        <v>0</v>
      </c>
      <c r="S67" s="764">
        <f t="shared" si="36"/>
        <v>0</v>
      </c>
      <c r="T67" s="764">
        <f t="shared" si="36"/>
        <v>0</v>
      </c>
      <c r="U67" s="764">
        <f t="shared" si="36"/>
        <v>0</v>
      </c>
      <c r="V67" s="764">
        <f t="shared" si="36"/>
        <v>0</v>
      </c>
      <c r="W67" s="764">
        <f t="shared" si="36"/>
        <v>0</v>
      </c>
    </row>
    <row r="68" spans="1:23" ht="15.75" hidden="1" customHeight="1">
      <c r="A68" s="727"/>
      <c r="C68" s="732">
        <f>+MAX(C$11:C67)+1</f>
        <v>57</v>
      </c>
      <c r="D68" s="763" t="s">
        <v>217</v>
      </c>
      <c r="E68" s="764"/>
      <c r="F68" s="841">
        <v>9.89</v>
      </c>
      <c r="G68" s="841">
        <v>0</v>
      </c>
      <c r="H68" s="841">
        <f t="shared" ref="H68:W68" si="37">ROUND(+G68*(1+H$10),$Y$8)</f>
        <v>0</v>
      </c>
      <c r="I68" s="841">
        <f t="shared" si="37"/>
        <v>0</v>
      </c>
      <c r="J68" s="841">
        <f t="shared" si="37"/>
        <v>0</v>
      </c>
      <c r="K68" s="841">
        <f t="shared" si="37"/>
        <v>0</v>
      </c>
      <c r="L68" s="841">
        <f t="shared" si="37"/>
        <v>0</v>
      </c>
      <c r="M68" s="841">
        <f t="shared" si="37"/>
        <v>0</v>
      </c>
      <c r="N68" s="764">
        <f t="shared" si="37"/>
        <v>0</v>
      </c>
      <c r="O68" s="764">
        <f t="shared" si="37"/>
        <v>0</v>
      </c>
      <c r="P68" s="764">
        <f t="shared" si="37"/>
        <v>0</v>
      </c>
      <c r="Q68" s="764">
        <f t="shared" si="37"/>
        <v>0</v>
      </c>
      <c r="R68" s="764">
        <f t="shared" si="37"/>
        <v>0</v>
      </c>
      <c r="S68" s="764">
        <f t="shared" si="37"/>
        <v>0</v>
      </c>
      <c r="T68" s="764">
        <f t="shared" si="37"/>
        <v>0</v>
      </c>
      <c r="U68" s="764">
        <f t="shared" si="37"/>
        <v>0</v>
      </c>
      <c r="V68" s="764">
        <f t="shared" si="37"/>
        <v>0</v>
      </c>
      <c r="W68" s="764">
        <f t="shared" si="37"/>
        <v>0</v>
      </c>
    </row>
    <row r="69" spans="1:23" ht="15.75" hidden="1" customHeight="1">
      <c r="A69" s="727"/>
      <c r="C69" s="732">
        <f>+MAX(C$11:C68)+1</f>
        <v>58</v>
      </c>
      <c r="D69" s="763" t="s">
        <v>221</v>
      </c>
      <c r="E69" s="764"/>
      <c r="F69" s="841">
        <v>8.51</v>
      </c>
      <c r="G69" s="841">
        <v>0</v>
      </c>
      <c r="H69" s="841">
        <f t="shared" ref="H69:W69" si="38">ROUND(+G69*(1+H$10),$Y$8)</f>
        <v>0</v>
      </c>
      <c r="I69" s="841">
        <f t="shared" si="38"/>
        <v>0</v>
      </c>
      <c r="J69" s="841">
        <f t="shared" si="38"/>
        <v>0</v>
      </c>
      <c r="K69" s="841">
        <f t="shared" si="38"/>
        <v>0</v>
      </c>
      <c r="L69" s="841">
        <f t="shared" si="38"/>
        <v>0</v>
      </c>
      <c r="M69" s="841">
        <f t="shared" si="38"/>
        <v>0</v>
      </c>
      <c r="N69" s="764">
        <f t="shared" si="38"/>
        <v>0</v>
      </c>
      <c r="O69" s="764">
        <f t="shared" si="38"/>
        <v>0</v>
      </c>
      <c r="P69" s="764">
        <f t="shared" si="38"/>
        <v>0</v>
      </c>
      <c r="Q69" s="764">
        <f t="shared" si="38"/>
        <v>0</v>
      </c>
      <c r="R69" s="764">
        <f t="shared" si="38"/>
        <v>0</v>
      </c>
      <c r="S69" s="764">
        <f t="shared" si="38"/>
        <v>0</v>
      </c>
      <c r="T69" s="764">
        <f t="shared" si="38"/>
        <v>0</v>
      </c>
      <c r="U69" s="764">
        <f t="shared" si="38"/>
        <v>0</v>
      </c>
      <c r="V69" s="764">
        <f t="shared" si="38"/>
        <v>0</v>
      </c>
      <c r="W69" s="764">
        <f t="shared" si="38"/>
        <v>0</v>
      </c>
    </row>
    <row r="70" spans="1:23" ht="15.75" hidden="1" customHeight="1">
      <c r="A70" s="727"/>
      <c r="C70" s="732">
        <f>+MAX(C$11:C69)+1</f>
        <v>59</v>
      </c>
      <c r="D70" s="763" t="s">
        <v>235</v>
      </c>
      <c r="E70" s="764"/>
      <c r="F70" s="842">
        <v>3.8632387856106063E-3</v>
      </c>
      <c r="G70" s="842"/>
      <c r="H70" s="842"/>
      <c r="I70" s="842"/>
      <c r="J70" s="842"/>
      <c r="K70" s="842"/>
      <c r="L70" s="842"/>
      <c r="M70" s="842"/>
      <c r="N70" s="791">
        <f t="shared" ref="N70:W70" si="39">M70</f>
        <v>0</v>
      </c>
      <c r="O70" s="791">
        <f t="shared" si="39"/>
        <v>0</v>
      </c>
      <c r="P70" s="791">
        <f t="shared" si="39"/>
        <v>0</v>
      </c>
      <c r="Q70" s="791">
        <f t="shared" si="39"/>
        <v>0</v>
      </c>
      <c r="R70" s="791">
        <f t="shared" si="39"/>
        <v>0</v>
      </c>
      <c r="S70" s="791">
        <f t="shared" si="39"/>
        <v>0</v>
      </c>
      <c r="T70" s="791">
        <f t="shared" si="39"/>
        <v>0</v>
      </c>
      <c r="U70" s="791">
        <f t="shared" si="39"/>
        <v>0</v>
      </c>
      <c r="V70" s="791">
        <f t="shared" si="39"/>
        <v>0</v>
      </c>
      <c r="W70" s="791">
        <f t="shared" si="39"/>
        <v>0</v>
      </c>
    </row>
    <row r="71" spans="1:23" ht="15.75" hidden="1" customHeight="1">
      <c r="A71" s="727"/>
      <c r="C71" s="732">
        <f>+MAX(C$11:C70)+1</f>
        <v>60</v>
      </c>
      <c r="D71" s="763" t="s">
        <v>236</v>
      </c>
      <c r="E71" s="764"/>
      <c r="F71" s="843">
        <v>3.6591125768587027E-4</v>
      </c>
      <c r="G71" s="843"/>
      <c r="H71" s="843"/>
      <c r="I71" s="843"/>
      <c r="J71" s="843"/>
      <c r="K71" s="843"/>
      <c r="L71" s="843"/>
      <c r="M71" s="843"/>
      <c r="N71" s="791">
        <f t="shared" ref="N71:W71" si="40">M71</f>
        <v>0</v>
      </c>
      <c r="O71" s="791">
        <f t="shared" si="40"/>
        <v>0</v>
      </c>
      <c r="P71" s="791">
        <f t="shared" si="40"/>
        <v>0</v>
      </c>
      <c r="Q71" s="791">
        <f t="shared" si="40"/>
        <v>0</v>
      </c>
      <c r="R71" s="791">
        <f t="shared" si="40"/>
        <v>0</v>
      </c>
      <c r="S71" s="791">
        <f t="shared" si="40"/>
        <v>0</v>
      </c>
      <c r="T71" s="791">
        <f t="shared" si="40"/>
        <v>0</v>
      </c>
      <c r="U71" s="791">
        <f t="shared" si="40"/>
        <v>0</v>
      </c>
      <c r="V71" s="791">
        <f t="shared" si="40"/>
        <v>0</v>
      </c>
      <c r="W71" s="791">
        <f t="shared" si="40"/>
        <v>0</v>
      </c>
    </row>
    <row r="72" spans="1:23" ht="15.75" hidden="1" customHeight="1" thickBot="1">
      <c r="A72" s="727"/>
      <c r="C72" s="732">
        <f>+MAX(C$11:C71)+1</f>
        <v>61</v>
      </c>
      <c r="D72" s="763" t="s">
        <v>237</v>
      </c>
      <c r="E72" s="764"/>
      <c r="F72" s="844">
        <v>2.6397883590194926E-3</v>
      </c>
      <c r="G72" s="844"/>
      <c r="H72" s="844"/>
      <c r="I72" s="844"/>
      <c r="J72" s="844"/>
      <c r="K72" s="844"/>
      <c r="L72" s="844"/>
      <c r="M72" s="844"/>
      <c r="N72" s="791">
        <f t="shared" ref="N72:W72" si="41">M72</f>
        <v>0</v>
      </c>
      <c r="O72" s="791">
        <f t="shared" si="41"/>
        <v>0</v>
      </c>
      <c r="P72" s="791">
        <f t="shared" si="41"/>
        <v>0</v>
      </c>
      <c r="Q72" s="791">
        <f t="shared" si="41"/>
        <v>0</v>
      </c>
      <c r="R72" s="791">
        <f t="shared" si="41"/>
        <v>0</v>
      </c>
      <c r="S72" s="791">
        <f t="shared" si="41"/>
        <v>0</v>
      </c>
      <c r="T72" s="791">
        <f t="shared" si="41"/>
        <v>0</v>
      </c>
      <c r="U72" s="791">
        <f t="shared" si="41"/>
        <v>0</v>
      </c>
      <c r="V72" s="791">
        <f t="shared" si="41"/>
        <v>0</v>
      </c>
      <c r="W72" s="791">
        <f t="shared" si="41"/>
        <v>0</v>
      </c>
    </row>
    <row r="73" spans="1:23" ht="15.75" hidden="1" customHeight="1">
      <c r="A73" s="727"/>
      <c r="C73" s="732">
        <f>+MAX(C$11:C72)+1</f>
        <v>62</v>
      </c>
      <c r="D73" s="738"/>
      <c r="E73" s="764"/>
      <c r="F73" s="769"/>
      <c r="G73" s="764"/>
      <c r="H73" s="764"/>
      <c r="I73" s="764"/>
      <c r="J73" s="764"/>
      <c r="K73" s="764"/>
      <c r="L73" s="764"/>
      <c r="M73" s="764"/>
      <c r="N73" s="764"/>
      <c r="O73" s="764"/>
      <c r="P73" s="764"/>
      <c r="Q73" s="764"/>
      <c r="R73" s="764"/>
      <c r="S73" s="764"/>
      <c r="T73" s="764"/>
      <c r="U73" s="764"/>
      <c r="V73" s="764"/>
      <c r="W73" s="764"/>
    </row>
    <row r="74" spans="1:23" ht="15.75" customHeight="1" thickBot="1">
      <c r="A74" s="727"/>
      <c r="C74" s="732">
        <f>+MAX(C$11:C73)+1</f>
        <v>63</v>
      </c>
      <c r="D74" s="738" t="s">
        <v>271</v>
      </c>
      <c r="E74" s="767"/>
      <c r="F74" s="768"/>
      <c r="G74" s="764"/>
      <c r="H74" s="764"/>
      <c r="I74" s="764"/>
      <c r="J74" s="764"/>
      <c r="K74" s="764"/>
      <c r="L74" s="764"/>
      <c r="M74" s="764"/>
      <c r="N74" s="764"/>
      <c r="O74" s="764"/>
      <c r="P74" s="764"/>
      <c r="Q74" s="764"/>
      <c r="R74" s="764"/>
      <c r="S74" s="764"/>
      <c r="T74" s="764"/>
      <c r="U74" s="764"/>
      <c r="V74" s="764"/>
      <c r="W74" s="764"/>
    </row>
    <row r="75" spans="1:23" ht="15.75" customHeight="1">
      <c r="A75" s="727"/>
      <c r="C75" s="732">
        <f>+MAX(C$11:C74)+1</f>
        <v>64</v>
      </c>
      <c r="D75" s="763" t="s">
        <v>216</v>
      </c>
      <c r="E75" s="767"/>
      <c r="F75" s="845">
        <v>3.85E-2</v>
      </c>
      <c r="G75" s="3364">
        <v>2.0055E-2</v>
      </c>
      <c r="H75" s="3364">
        <v>2.1755E-2</v>
      </c>
      <c r="I75" s="3364">
        <v>2.4400000000000002E-2</v>
      </c>
      <c r="J75" s="3364">
        <v>2.53E-2</v>
      </c>
      <c r="K75" s="3364">
        <v>2.5940000000000001E-2</v>
      </c>
      <c r="L75" s="3364">
        <f t="shared" ref="L75:M77" si="42">L48</f>
        <v>2.6720000000000001E-2</v>
      </c>
      <c r="M75" s="3364">
        <f t="shared" si="42"/>
        <v>2.7449999999999999E-2</v>
      </c>
      <c r="N75" s="767">
        <f t="shared" ref="N75:W75" si="43">ROUND(+M75*(1+N$10),$Y$9)</f>
        <v>2.7449999999999999E-2</v>
      </c>
      <c r="O75" s="767">
        <f t="shared" si="43"/>
        <v>2.7449999999999999E-2</v>
      </c>
      <c r="P75" s="767">
        <f t="shared" si="43"/>
        <v>2.7449999999999999E-2</v>
      </c>
      <c r="Q75" s="767">
        <f t="shared" si="43"/>
        <v>2.7449999999999999E-2</v>
      </c>
      <c r="R75" s="767">
        <f t="shared" si="43"/>
        <v>2.7449999999999999E-2</v>
      </c>
      <c r="S75" s="767">
        <f t="shared" si="43"/>
        <v>2.7449999999999999E-2</v>
      </c>
      <c r="T75" s="767">
        <f t="shared" si="43"/>
        <v>2.7449999999999999E-2</v>
      </c>
      <c r="U75" s="767">
        <f t="shared" si="43"/>
        <v>2.7449999999999999E-2</v>
      </c>
      <c r="V75" s="767">
        <f t="shared" si="43"/>
        <v>2.7449999999999999E-2</v>
      </c>
      <c r="W75" s="767">
        <f t="shared" si="43"/>
        <v>2.7449999999999999E-2</v>
      </c>
    </row>
    <row r="76" spans="1:23" ht="15.75" customHeight="1">
      <c r="A76" s="727"/>
      <c r="C76" s="732">
        <f>+MAX(C$11:C75)+1</f>
        <v>65</v>
      </c>
      <c r="D76" s="763" t="s">
        <v>217</v>
      </c>
      <c r="E76" s="767"/>
      <c r="F76" s="846">
        <v>1.9599999999999999E-2</v>
      </c>
      <c r="G76" s="3365">
        <f>G75</f>
        <v>2.0055E-2</v>
      </c>
      <c r="H76" s="3365">
        <f t="shared" ref="H76:K77" si="44">H75</f>
        <v>2.1755E-2</v>
      </c>
      <c r="I76" s="3365">
        <f t="shared" si="44"/>
        <v>2.4400000000000002E-2</v>
      </c>
      <c r="J76" s="3365">
        <f t="shared" si="44"/>
        <v>2.53E-2</v>
      </c>
      <c r="K76" s="3365">
        <f t="shared" si="44"/>
        <v>2.5940000000000001E-2</v>
      </c>
      <c r="L76" s="3365">
        <f t="shared" si="42"/>
        <v>2.6720000000000001E-2</v>
      </c>
      <c r="M76" s="3365">
        <f t="shared" si="42"/>
        <v>2.7449999999999999E-2</v>
      </c>
      <c r="N76" s="767">
        <f t="shared" ref="N76:W76" si="45">ROUND(+M76*(1+N$10),$Y$9)</f>
        <v>2.7449999999999999E-2</v>
      </c>
      <c r="O76" s="767">
        <f t="shared" si="45"/>
        <v>2.7449999999999999E-2</v>
      </c>
      <c r="P76" s="767">
        <f t="shared" si="45"/>
        <v>2.7449999999999999E-2</v>
      </c>
      <c r="Q76" s="767">
        <f t="shared" si="45"/>
        <v>2.7449999999999999E-2</v>
      </c>
      <c r="R76" s="767">
        <f t="shared" si="45"/>
        <v>2.7449999999999999E-2</v>
      </c>
      <c r="S76" s="767">
        <f t="shared" si="45"/>
        <v>2.7449999999999999E-2</v>
      </c>
      <c r="T76" s="767">
        <f t="shared" si="45"/>
        <v>2.7449999999999999E-2</v>
      </c>
      <c r="U76" s="767">
        <f t="shared" si="45"/>
        <v>2.7449999999999999E-2</v>
      </c>
      <c r="V76" s="767">
        <f t="shared" si="45"/>
        <v>2.7449999999999999E-2</v>
      </c>
      <c r="W76" s="767">
        <f t="shared" si="45"/>
        <v>2.7449999999999999E-2</v>
      </c>
    </row>
    <row r="77" spans="1:23" ht="15.75" customHeight="1">
      <c r="A77" s="727"/>
      <c r="C77" s="732">
        <f>+MAX(C$11:C76)+1</f>
        <v>66</v>
      </c>
      <c r="D77" s="763" t="s">
        <v>221</v>
      </c>
      <c r="E77" s="767"/>
      <c r="F77" s="846">
        <v>1.67E-2</v>
      </c>
      <c r="G77" s="3365">
        <f>G76</f>
        <v>2.0055E-2</v>
      </c>
      <c r="H77" s="3365">
        <f t="shared" si="44"/>
        <v>2.1755E-2</v>
      </c>
      <c r="I77" s="3365">
        <f t="shared" si="44"/>
        <v>2.4400000000000002E-2</v>
      </c>
      <c r="J77" s="3365">
        <f t="shared" si="44"/>
        <v>2.53E-2</v>
      </c>
      <c r="K77" s="3365">
        <f t="shared" si="44"/>
        <v>2.5940000000000001E-2</v>
      </c>
      <c r="L77" s="3365">
        <f t="shared" si="42"/>
        <v>2.6720000000000001E-2</v>
      </c>
      <c r="M77" s="3365">
        <f t="shared" si="42"/>
        <v>2.7449999999999999E-2</v>
      </c>
      <c r="N77" s="767">
        <f t="shared" ref="N77:W77" si="46">ROUND(+M77*(1+N$10),$Y$9)</f>
        <v>2.7449999999999999E-2</v>
      </c>
      <c r="O77" s="767">
        <f t="shared" si="46"/>
        <v>2.7449999999999999E-2</v>
      </c>
      <c r="P77" s="767">
        <f t="shared" si="46"/>
        <v>2.7449999999999999E-2</v>
      </c>
      <c r="Q77" s="767">
        <f t="shared" si="46"/>
        <v>2.7449999999999999E-2</v>
      </c>
      <c r="R77" s="767">
        <f t="shared" si="46"/>
        <v>2.7449999999999999E-2</v>
      </c>
      <c r="S77" s="767">
        <f t="shared" si="46"/>
        <v>2.7449999999999999E-2</v>
      </c>
      <c r="T77" s="767">
        <f t="shared" si="46"/>
        <v>2.7449999999999999E-2</v>
      </c>
      <c r="U77" s="767">
        <f t="shared" si="46"/>
        <v>2.7449999999999999E-2</v>
      </c>
      <c r="V77" s="767">
        <f t="shared" si="46"/>
        <v>2.7449999999999999E-2</v>
      </c>
      <c r="W77" s="767">
        <f t="shared" si="46"/>
        <v>2.7449999999999999E-2</v>
      </c>
    </row>
    <row r="78" spans="1:23" ht="15.75" hidden="1" customHeight="1">
      <c r="A78" s="727"/>
      <c r="C78" s="732">
        <f>+MAX(C$11:C77)+1</f>
        <v>67</v>
      </c>
      <c r="D78" s="763" t="s">
        <v>235</v>
      </c>
      <c r="E78" s="767"/>
      <c r="F78" s="842">
        <v>0.13451034525388142</v>
      </c>
      <c r="G78" s="842">
        <v>0.13451034525388142</v>
      </c>
      <c r="H78" s="842">
        <f t="shared" ref="H78:K79" si="47">G78</f>
        <v>0.13451034525388142</v>
      </c>
      <c r="I78" s="842">
        <f t="shared" si="47"/>
        <v>0.13451034525388142</v>
      </c>
      <c r="J78" s="842">
        <f t="shared" si="47"/>
        <v>0.13451034525388142</v>
      </c>
      <c r="K78" s="842">
        <f t="shared" si="47"/>
        <v>0.13451034525388142</v>
      </c>
      <c r="L78" s="791">
        <f t="shared" ref="L78:W78" si="48">K78</f>
        <v>0.13451034525388142</v>
      </c>
      <c r="M78" s="791">
        <f t="shared" si="48"/>
        <v>0.13451034525388142</v>
      </c>
      <c r="N78" s="791">
        <f t="shared" si="48"/>
        <v>0.13451034525388142</v>
      </c>
      <c r="O78" s="791">
        <f t="shared" si="48"/>
        <v>0.13451034525388142</v>
      </c>
      <c r="P78" s="791">
        <f t="shared" si="48"/>
        <v>0.13451034525388142</v>
      </c>
      <c r="Q78" s="791">
        <f t="shared" si="48"/>
        <v>0.13451034525388142</v>
      </c>
      <c r="R78" s="791">
        <f t="shared" si="48"/>
        <v>0.13451034525388142</v>
      </c>
      <c r="S78" s="791">
        <f t="shared" si="48"/>
        <v>0.13451034525388142</v>
      </c>
      <c r="T78" s="791">
        <f t="shared" si="48"/>
        <v>0.13451034525388142</v>
      </c>
      <c r="U78" s="791">
        <f t="shared" si="48"/>
        <v>0.13451034525388142</v>
      </c>
      <c r="V78" s="791">
        <f t="shared" si="48"/>
        <v>0.13451034525388142</v>
      </c>
      <c r="W78" s="791">
        <f t="shared" si="48"/>
        <v>0.13451034525388142</v>
      </c>
    </row>
    <row r="79" spans="1:23" ht="15.75" hidden="1" customHeight="1">
      <c r="A79" s="727"/>
      <c r="C79" s="732">
        <f>+MAX(C$11:C78)+1</f>
        <v>68</v>
      </c>
      <c r="D79" s="763" t="s">
        <v>236</v>
      </c>
      <c r="E79" s="767"/>
      <c r="F79" s="843">
        <v>0.21249946570536599</v>
      </c>
      <c r="G79" s="843">
        <v>0.21249946570536599</v>
      </c>
      <c r="H79" s="843">
        <f t="shared" si="47"/>
        <v>0.21249946570536599</v>
      </c>
      <c r="I79" s="843">
        <f t="shared" si="47"/>
        <v>0.21249946570536599</v>
      </c>
      <c r="J79" s="843">
        <f t="shared" si="47"/>
        <v>0.21249946570536599</v>
      </c>
      <c r="K79" s="843">
        <f t="shared" si="47"/>
        <v>0.21249946570536599</v>
      </c>
      <c r="L79" s="791">
        <f t="shared" ref="L79:W79" si="49">K79</f>
        <v>0.21249946570536599</v>
      </c>
      <c r="M79" s="791">
        <f t="shared" si="49"/>
        <v>0.21249946570536599</v>
      </c>
      <c r="N79" s="791">
        <f t="shared" si="49"/>
        <v>0.21249946570536599</v>
      </c>
      <c r="O79" s="791">
        <f t="shared" si="49"/>
        <v>0.21249946570536599</v>
      </c>
      <c r="P79" s="791">
        <f t="shared" si="49"/>
        <v>0.21249946570536599</v>
      </c>
      <c r="Q79" s="791">
        <f t="shared" si="49"/>
        <v>0.21249946570536599</v>
      </c>
      <c r="R79" s="791">
        <f t="shared" si="49"/>
        <v>0.21249946570536599</v>
      </c>
      <c r="S79" s="791">
        <f t="shared" si="49"/>
        <v>0.21249946570536599</v>
      </c>
      <c r="T79" s="791">
        <f t="shared" si="49"/>
        <v>0.21249946570536599</v>
      </c>
      <c r="U79" s="791">
        <f t="shared" si="49"/>
        <v>0.21249946570536599</v>
      </c>
      <c r="V79" s="791">
        <f t="shared" si="49"/>
        <v>0.21249946570536599</v>
      </c>
      <c r="W79" s="791">
        <f t="shared" si="49"/>
        <v>0.21249946570536599</v>
      </c>
    </row>
    <row r="80" spans="1:23" ht="15.75" hidden="1" customHeight="1" thickBot="1">
      <c r="A80" s="727"/>
      <c r="C80" s="732">
        <f>+MAX(C$11:C79)+1</f>
        <v>69</v>
      </c>
      <c r="D80" s="763" t="s">
        <v>237</v>
      </c>
      <c r="E80" s="767"/>
      <c r="F80" s="919">
        <f t="shared" ref="F80:K80" si="50">1-SUM(F78:F79)</f>
        <v>0.65299018904075257</v>
      </c>
      <c r="G80" s="919">
        <f t="shared" si="50"/>
        <v>0.65299018904075257</v>
      </c>
      <c r="H80" s="919">
        <f t="shared" si="50"/>
        <v>0.65299018904075257</v>
      </c>
      <c r="I80" s="919">
        <f t="shared" si="50"/>
        <v>0.65299018904075257</v>
      </c>
      <c r="J80" s="919">
        <f t="shared" si="50"/>
        <v>0.65299018904075257</v>
      </c>
      <c r="K80" s="919">
        <f t="shared" si="50"/>
        <v>0.65299018904075257</v>
      </c>
      <c r="L80" s="791">
        <f t="shared" ref="L80:W80" si="51">K80</f>
        <v>0.65299018904075257</v>
      </c>
      <c r="M80" s="791">
        <f t="shared" si="51"/>
        <v>0.65299018904075257</v>
      </c>
      <c r="N80" s="791">
        <f t="shared" si="51"/>
        <v>0.65299018904075257</v>
      </c>
      <c r="O80" s="791">
        <f t="shared" si="51"/>
        <v>0.65299018904075257</v>
      </c>
      <c r="P80" s="791">
        <f t="shared" si="51"/>
        <v>0.65299018904075257</v>
      </c>
      <c r="Q80" s="791">
        <f t="shared" si="51"/>
        <v>0.65299018904075257</v>
      </c>
      <c r="R80" s="791">
        <f t="shared" si="51"/>
        <v>0.65299018904075257</v>
      </c>
      <c r="S80" s="791">
        <f t="shared" si="51"/>
        <v>0.65299018904075257</v>
      </c>
      <c r="T80" s="791">
        <f t="shared" si="51"/>
        <v>0.65299018904075257</v>
      </c>
      <c r="U80" s="791">
        <f t="shared" si="51"/>
        <v>0.65299018904075257</v>
      </c>
      <c r="V80" s="791">
        <f t="shared" si="51"/>
        <v>0.65299018904075257</v>
      </c>
      <c r="W80" s="791">
        <f t="shared" si="51"/>
        <v>0.65299018904075257</v>
      </c>
    </row>
    <row r="81" spans="1:23" ht="15.75" customHeight="1">
      <c r="A81" s="727"/>
      <c r="C81" s="732">
        <f>+MAX(C$11:C80)+1</f>
        <v>70</v>
      </c>
      <c r="D81" s="737"/>
      <c r="E81" s="760"/>
      <c r="H81" s="760"/>
    </row>
    <row r="82" spans="1:23" ht="15.75" customHeight="1">
      <c r="A82" s="727"/>
      <c r="C82" s="732">
        <f>+MAX(C$11:C81)+1</f>
        <v>71</v>
      </c>
      <c r="D82" s="737"/>
      <c r="E82" s="760"/>
      <c r="H82" s="760"/>
    </row>
    <row r="83" spans="1:23" ht="15.75" customHeight="1">
      <c r="A83" s="727"/>
      <c r="C83" s="732">
        <f>+MAX(C$11:C82)+1</f>
        <v>72</v>
      </c>
      <c r="D83" s="751" t="s">
        <v>247</v>
      </c>
      <c r="E83" s="760"/>
      <c r="H83" s="760"/>
    </row>
    <row r="84" spans="1:23" ht="15.75" customHeight="1">
      <c r="A84" s="727"/>
      <c r="C84" s="732">
        <f>+MAX(C$11:C83)+1</f>
        <v>73</v>
      </c>
      <c r="D84" s="766"/>
      <c r="E84" s="760"/>
      <c r="H84" s="760"/>
    </row>
    <row r="85" spans="1:23" ht="15.75" customHeight="1" thickBot="1">
      <c r="A85" s="727"/>
      <c r="C85" s="732">
        <f>+MAX(C$11:C84)+1</f>
        <v>74</v>
      </c>
      <c r="D85" s="743" t="s">
        <v>245</v>
      </c>
      <c r="E85" s="760"/>
      <c r="H85" s="760"/>
    </row>
    <row r="86" spans="1:23" ht="15.75" customHeight="1" thickBot="1">
      <c r="A86" s="727"/>
      <c r="C86" s="732">
        <f>+MAX(C$11:C85)+1</f>
        <v>75</v>
      </c>
      <c r="D86" s="738" t="s">
        <v>238</v>
      </c>
      <c r="E86" s="855"/>
      <c r="F86" s="856">
        <v>1039.6827338275318</v>
      </c>
      <c r="G86" s="856">
        <v>1039.6827338275318</v>
      </c>
      <c r="H86" s="856">
        <f>G86</f>
        <v>1039.6827338275318</v>
      </c>
      <c r="I86" s="855">
        <f>H86</f>
        <v>1039.6827338275318</v>
      </c>
      <c r="J86" s="855">
        <f>I86</f>
        <v>1039.6827338275318</v>
      </c>
      <c r="K86" s="4646">
        <f>J86</f>
        <v>1039.6827338275318</v>
      </c>
      <c r="L86" s="4646">
        <f t="shared" ref="L86:W86" si="52">K86</f>
        <v>1039.6827338275318</v>
      </c>
      <c r="M86" s="4646">
        <f t="shared" si="52"/>
        <v>1039.6827338275318</v>
      </c>
      <c r="N86" s="4646">
        <f t="shared" si="52"/>
        <v>1039.6827338275318</v>
      </c>
      <c r="O86" s="4646">
        <f t="shared" si="52"/>
        <v>1039.6827338275318</v>
      </c>
      <c r="P86" s="4646">
        <f t="shared" si="52"/>
        <v>1039.6827338275318</v>
      </c>
      <c r="Q86" s="4646">
        <f t="shared" si="52"/>
        <v>1039.6827338275318</v>
      </c>
      <c r="R86" s="4646">
        <f t="shared" si="52"/>
        <v>1039.6827338275318</v>
      </c>
      <c r="S86" s="4646">
        <f t="shared" si="52"/>
        <v>1039.6827338275318</v>
      </c>
      <c r="T86" s="4646">
        <f t="shared" si="52"/>
        <v>1039.6827338275318</v>
      </c>
      <c r="U86" s="4646">
        <f t="shared" si="52"/>
        <v>1039.6827338275318</v>
      </c>
      <c r="V86" s="4646">
        <f t="shared" si="52"/>
        <v>1039.6827338275318</v>
      </c>
      <c r="W86" s="4646">
        <f t="shared" si="52"/>
        <v>1039.6827338275318</v>
      </c>
    </row>
    <row r="87" spans="1:23" ht="15.75" customHeight="1" thickBot="1">
      <c r="A87" s="727"/>
      <c r="C87" s="732">
        <f>+MAX(C$11:C86)+1</f>
        <v>76</v>
      </c>
      <c r="D87" s="743"/>
      <c r="E87" s="760"/>
      <c r="H87" s="760"/>
    </row>
    <row r="88" spans="1:23" ht="15.75" customHeight="1" thickBot="1">
      <c r="A88" s="727"/>
      <c r="C88" s="732">
        <f>+MAX(C$11:C87)+1</f>
        <v>77</v>
      </c>
      <c r="D88" s="738" t="s">
        <v>256</v>
      </c>
      <c r="E88" s="855"/>
      <c r="F88" s="856">
        <v>362.83745583038871</v>
      </c>
      <c r="G88" s="856">
        <v>362.83745583038871</v>
      </c>
      <c r="H88" s="856">
        <f>G88</f>
        <v>362.83745583038871</v>
      </c>
      <c r="I88" s="856">
        <v>366.98311094522717</v>
      </c>
      <c r="J88" s="856">
        <v>369.46198647713834</v>
      </c>
      <c r="K88" s="856">
        <v>365</v>
      </c>
      <c r="L88" s="856">
        <v>365</v>
      </c>
      <c r="M88" s="856">
        <v>365</v>
      </c>
      <c r="N88" s="855">
        <f t="shared" ref="N88:W88" si="53">M88</f>
        <v>365</v>
      </c>
      <c r="O88" s="855">
        <f t="shared" si="53"/>
        <v>365</v>
      </c>
      <c r="P88" s="855">
        <f t="shared" si="53"/>
        <v>365</v>
      </c>
      <c r="Q88" s="855">
        <f t="shared" si="53"/>
        <v>365</v>
      </c>
      <c r="R88" s="855">
        <f t="shared" si="53"/>
        <v>365</v>
      </c>
      <c r="S88" s="855">
        <f t="shared" si="53"/>
        <v>365</v>
      </c>
      <c r="T88" s="855">
        <f t="shared" si="53"/>
        <v>365</v>
      </c>
      <c r="U88" s="855">
        <f t="shared" si="53"/>
        <v>365</v>
      </c>
      <c r="V88" s="855">
        <f t="shared" si="53"/>
        <v>365</v>
      </c>
      <c r="W88" s="855">
        <f t="shared" si="53"/>
        <v>365</v>
      </c>
    </row>
    <row r="89" spans="1:23" ht="15.75" customHeight="1" thickBot="1">
      <c r="A89" s="727"/>
      <c r="C89" s="732">
        <f>+MAX(C$11:C88)+1</f>
        <v>78</v>
      </c>
      <c r="D89" s="766"/>
      <c r="E89" s="760"/>
      <c r="H89" s="760"/>
    </row>
    <row r="90" spans="1:23" ht="15.75" customHeight="1" thickBot="1">
      <c r="A90" s="727"/>
      <c r="C90" s="732">
        <f>+MAX(C$11:C89)+1</f>
        <v>79</v>
      </c>
      <c r="D90" s="738" t="s">
        <v>215</v>
      </c>
      <c r="E90" s="764"/>
      <c r="F90" s="838">
        <v>0.41</v>
      </c>
      <c r="G90" s="838">
        <v>0.41</v>
      </c>
      <c r="H90" s="838">
        <v>0.41</v>
      </c>
      <c r="I90" s="838">
        <v>0.5</v>
      </c>
      <c r="J90" s="838">
        <v>0.55000000000000004</v>
      </c>
      <c r="K90" s="838">
        <v>0.56000000000000005</v>
      </c>
      <c r="L90" s="838">
        <v>0.59</v>
      </c>
      <c r="M90" s="838">
        <v>0.63</v>
      </c>
      <c r="N90" s="764">
        <f t="shared" ref="N90:W90" si="54">ROUND(+M90*(1+N$10),$Y$8)</f>
        <v>0.63</v>
      </c>
      <c r="O90" s="764">
        <f t="shared" si="54"/>
        <v>0.63</v>
      </c>
      <c r="P90" s="764">
        <f t="shared" si="54"/>
        <v>0.63</v>
      </c>
      <c r="Q90" s="764">
        <f t="shared" si="54"/>
        <v>0.63</v>
      </c>
      <c r="R90" s="764">
        <f t="shared" si="54"/>
        <v>0.63</v>
      </c>
      <c r="S90" s="764">
        <f t="shared" si="54"/>
        <v>0.63</v>
      </c>
      <c r="T90" s="764">
        <f t="shared" si="54"/>
        <v>0.63</v>
      </c>
      <c r="U90" s="764">
        <f t="shared" si="54"/>
        <v>0.63</v>
      </c>
      <c r="V90" s="764">
        <f t="shared" si="54"/>
        <v>0.63</v>
      </c>
      <c r="W90" s="764">
        <f t="shared" si="54"/>
        <v>0.63</v>
      </c>
    </row>
    <row r="91" spans="1:23" ht="15.75" customHeight="1" thickBot="1">
      <c r="A91" s="727"/>
      <c r="C91" s="732">
        <f>+MAX(C$11:C90)+1</f>
        <v>80</v>
      </c>
      <c r="D91" s="763"/>
      <c r="E91" s="764"/>
      <c r="F91" s="770"/>
      <c r="G91" s="764"/>
      <c r="H91" s="764"/>
      <c r="I91" s="764"/>
      <c r="J91" s="764"/>
      <c r="K91" s="764"/>
      <c r="L91" s="764"/>
      <c r="M91" s="764"/>
      <c r="N91" s="764"/>
      <c r="O91" s="764"/>
      <c r="P91" s="764"/>
      <c r="Q91" s="764"/>
      <c r="R91" s="764"/>
      <c r="S91" s="764"/>
      <c r="T91" s="764"/>
      <c r="U91" s="764"/>
      <c r="V91" s="764"/>
      <c r="W91" s="764"/>
    </row>
    <row r="92" spans="1:23" ht="15.75" customHeight="1" thickBot="1">
      <c r="A92" s="727"/>
      <c r="C92" s="732">
        <f>+MAX(C$11:C91)+1</f>
        <v>81</v>
      </c>
      <c r="D92" s="763" t="s">
        <v>241</v>
      </c>
      <c r="E92" s="764"/>
      <c r="F92" s="837">
        <v>1.5649788059492054E-3</v>
      </c>
      <c r="G92" s="837">
        <v>1.5649788059492054E-3</v>
      </c>
      <c r="H92" s="837">
        <f>G92</f>
        <v>1.5649788059492054E-3</v>
      </c>
      <c r="I92" s="837">
        <v>1.4011544857618482E-3</v>
      </c>
      <c r="J92" s="837">
        <v>3.465345633968513E-3</v>
      </c>
      <c r="K92" s="837">
        <v>3.465345633968513E-3</v>
      </c>
      <c r="L92" s="837">
        <v>3.465345633968513E-3</v>
      </c>
      <c r="M92" s="791">
        <f t="shared" ref="M92:W92" si="55">L92</f>
        <v>3.465345633968513E-3</v>
      </c>
      <c r="N92" s="791">
        <f t="shared" si="55"/>
        <v>3.465345633968513E-3</v>
      </c>
      <c r="O92" s="791">
        <f t="shared" si="55"/>
        <v>3.465345633968513E-3</v>
      </c>
      <c r="P92" s="791">
        <f t="shared" si="55"/>
        <v>3.465345633968513E-3</v>
      </c>
      <c r="Q92" s="791">
        <f t="shared" si="55"/>
        <v>3.465345633968513E-3</v>
      </c>
      <c r="R92" s="791">
        <f t="shared" si="55"/>
        <v>3.465345633968513E-3</v>
      </c>
      <c r="S92" s="791">
        <f t="shared" si="55"/>
        <v>3.465345633968513E-3</v>
      </c>
      <c r="T92" s="791">
        <f t="shared" si="55"/>
        <v>3.465345633968513E-3</v>
      </c>
      <c r="U92" s="791">
        <f t="shared" si="55"/>
        <v>3.465345633968513E-3</v>
      </c>
      <c r="V92" s="791">
        <f t="shared" si="55"/>
        <v>3.465345633968513E-3</v>
      </c>
      <c r="W92" s="791">
        <f t="shared" si="55"/>
        <v>3.465345633968513E-3</v>
      </c>
    </row>
    <row r="93" spans="1:23" ht="15.75" customHeight="1">
      <c r="A93" s="727"/>
      <c r="C93" s="732">
        <f>+MAX(C$11:C92)+1</f>
        <v>82</v>
      </c>
      <c r="D93" s="738"/>
      <c r="E93" s="764"/>
      <c r="F93" s="769"/>
      <c r="G93" s="764"/>
      <c r="H93" s="764"/>
      <c r="I93" s="764"/>
      <c r="J93" s="764"/>
      <c r="K93" s="764"/>
      <c r="L93" s="764"/>
      <c r="M93" s="764"/>
      <c r="N93" s="764"/>
      <c r="O93" s="764"/>
      <c r="P93" s="764"/>
      <c r="Q93" s="764"/>
      <c r="R93" s="764"/>
      <c r="S93" s="764"/>
      <c r="T93" s="764"/>
      <c r="U93" s="764"/>
      <c r="V93" s="764"/>
      <c r="W93" s="764"/>
    </row>
    <row r="94" spans="1:23" ht="15.75" customHeight="1" thickBot="1">
      <c r="A94" s="727"/>
      <c r="C94" s="732">
        <f>+MAX(C$11:C93)+1</f>
        <v>83</v>
      </c>
      <c r="D94" s="738" t="s">
        <v>271</v>
      </c>
      <c r="E94" s="767"/>
      <c r="F94" s="768"/>
      <c r="G94" s="764"/>
      <c r="H94" s="764"/>
      <c r="I94" s="764"/>
      <c r="J94" s="764"/>
      <c r="K94" s="764"/>
      <c r="L94" s="764"/>
      <c r="M94" s="764"/>
      <c r="N94" s="764"/>
      <c r="O94" s="764"/>
      <c r="P94" s="764"/>
      <c r="Q94" s="764"/>
      <c r="R94" s="764"/>
      <c r="S94" s="764"/>
      <c r="T94" s="764"/>
      <c r="U94" s="764"/>
      <c r="V94" s="764"/>
      <c r="W94" s="764"/>
    </row>
    <row r="95" spans="1:23" ht="15.75" customHeight="1">
      <c r="A95" s="727"/>
      <c r="C95" s="732">
        <f>+MAX(C$11:C94)+1</f>
        <v>84</v>
      </c>
      <c r="D95" s="763" t="s">
        <v>216</v>
      </c>
      <c r="E95" s="767"/>
      <c r="F95" s="3364">
        <f>0.040155-0.001155</f>
        <v>3.9E-2</v>
      </c>
      <c r="G95" s="3364">
        <v>4.0155000000000003E-2</v>
      </c>
      <c r="H95" s="3364">
        <v>4.1855000000000003E-2</v>
      </c>
      <c r="I95" s="3364">
        <v>4.1000000000000002E-2</v>
      </c>
      <c r="J95" s="3364">
        <v>4.1000000000000002E-2</v>
      </c>
      <c r="K95" s="3364">
        <v>4.1000000000000002E-2</v>
      </c>
      <c r="L95" s="3364">
        <v>4.1000000000000002E-2</v>
      </c>
      <c r="M95" s="3364">
        <v>4.1000000000000002E-2</v>
      </c>
      <c r="N95" s="767">
        <f t="shared" ref="N95:W95" si="56">ROUND(+M95*(1+N$10),$Y$9)</f>
        <v>4.1000000000000002E-2</v>
      </c>
      <c r="O95" s="767">
        <f t="shared" si="56"/>
        <v>4.1000000000000002E-2</v>
      </c>
      <c r="P95" s="767">
        <f t="shared" si="56"/>
        <v>4.1000000000000002E-2</v>
      </c>
      <c r="Q95" s="767">
        <f t="shared" si="56"/>
        <v>4.1000000000000002E-2</v>
      </c>
      <c r="R95" s="767">
        <f t="shared" si="56"/>
        <v>4.1000000000000002E-2</v>
      </c>
      <c r="S95" s="767">
        <f t="shared" si="56"/>
        <v>4.1000000000000002E-2</v>
      </c>
      <c r="T95" s="767">
        <f t="shared" si="56"/>
        <v>4.1000000000000002E-2</v>
      </c>
      <c r="U95" s="767">
        <f t="shared" si="56"/>
        <v>4.1000000000000002E-2</v>
      </c>
      <c r="V95" s="767">
        <f t="shared" si="56"/>
        <v>4.1000000000000002E-2</v>
      </c>
      <c r="W95" s="767">
        <f t="shared" si="56"/>
        <v>4.1000000000000002E-2</v>
      </c>
    </row>
    <row r="96" spans="1:23" ht="15.75" customHeight="1" thickBot="1">
      <c r="A96" s="727"/>
      <c r="C96" s="732">
        <f>+MAX(C$11:C95)+1</f>
        <v>85</v>
      </c>
      <c r="D96" s="763" t="s">
        <v>217</v>
      </c>
      <c r="E96" s="767"/>
      <c r="F96" s="3366">
        <f>0.024555-0.001155</f>
        <v>2.3400000000000001E-2</v>
      </c>
      <c r="G96" s="3366">
        <v>2.4555E-2</v>
      </c>
      <c r="H96" s="3366">
        <v>2.6255000000000001E-2</v>
      </c>
      <c r="I96" s="3366">
        <v>3.0249999999999999E-2</v>
      </c>
      <c r="J96" s="3366">
        <v>3.4279999999999998E-2</v>
      </c>
      <c r="K96" s="3366">
        <v>3.6170000000000001E-2</v>
      </c>
      <c r="L96" s="3366">
        <v>3.8300000000000001E-2</v>
      </c>
      <c r="M96" s="3366">
        <v>4.0849999999999997E-2</v>
      </c>
      <c r="N96" s="767">
        <f t="shared" ref="N96:W96" si="57">ROUND(+M96*(1+N$10),$Y$9)</f>
        <v>4.0849999999999997E-2</v>
      </c>
      <c r="O96" s="767">
        <f t="shared" si="57"/>
        <v>4.0849999999999997E-2</v>
      </c>
      <c r="P96" s="767">
        <f t="shared" si="57"/>
        <v>4.0849999999999997E-2</v>
      </c>
      <c r="Q96" s="767">
        <f t="shared" si="57"/>
        <v>4.0849999999999997E-2</v>
      </c>
      <c r="R96" s="767">
        <f t="shared" si="57"/>
        <v>4.0849999999999997E-2</v>
      </c>
      <c r="S96" s="767">
        <f t="shared" si="57"/>
        <v>4.0849999999999997E-2</v>
      </c>
      <c r="T96" s="767">
        <f t="shared" si="57"/>
        <v>4.0849999999999997E-2</v>
      </c>
      <c r="U96" s="767">
        <f t="shared" si="57"/>
        <v>4.0849999999999997E-2</v>
      </c>
      <c r="V96" s="767">
        <f t="shared" si="57"/>
        <v>4.0849999999999997E-2</v>
      </c>
      <c r="W96" s="767">
        <f t="shared" si="57"/>
        <v>4.0849999999999997E-2</v>
      </c>
    </row>
    <row r="97" spans="1:23" ht="15.75" hidden="1" customHeight="1">
      <c r="A97" s="727"/>
      <c r="C97" s="732">
        <f>+MAX(C$11:C96)+1</f>
        <v>86</v>
      </c>
      <c r="D97" s="763" t="s">
        <v>235</v>
      </c>
      <c r="E97" s="767"/>
      <c r="F97" s="843">
        <v>0.76453029632912906</v>
      </c>
      <c r="G97" s="843">
        <v>0.76453029632912906</v>
      </c>
      <c r="H97" s="843">
        <f>G97</f>
        <v>0.76453029632912906</v>
      </c>
      <c r="I97" s="843"/>
      <c r="J97" s="843"/>
      <c r="K97" s="843"/>
      <c r="L97" s="791">
        <f t="shared" ref="L97:W97" si="58">K97</f>
        <v>0</v>
      </c>
      <c r="M97" s="791">
        <f t="shared" si="58"/>
        <v>0</v>
      </c>
      <c r="N97" s="791">
        <f t="shared" si="58"/>
        <v>0</v>
      </c>
      <c r="O97" s="791">
        <f t="shared" si="58"/>
        <v>0</v>
      </c>
      <c r="P97" s="791">
        <f t="shared" si="58"/>
        <v>0</v>
      </c>
      <c r="Q97" s="791">
        <f t="shared" si="58"/>
        <v>0</v>
      </c>
      <c r="R97" s="791">
        <f t="shared" si="58"/>
        <v>0</v>
      </c>
      <c r="S97" s="791">
        <f t="shared" si="58"/>
        <v>0</v>
      </c>
      <c r="T97" s="791">
        <f t="shared" si="58"/>
        <v>0</v>
      </c>
      <c r="U97" s="791">
        <f t="shared" si="58"/>
        <v>0</v>
      </c>
      <c r="V97" s="791">
        <f t="shared" si="58"/>
        <v>0</v>
      </c>
      <c r="W97" s="791">
        <f t="shared" si="58"/>
        <v>0</v>
      </c>
    </row>
    <row r="98" spans="1:23" ht="15.75" hidden="1" customHeight="1" thickBot="1">
      <c r="A98" s="727"/>
      <c r="C98" s="732">
        <f>+MAX(C$11:C97)+1</f>
        <v>87</v>
      </c>
      <c r="D98" s="763" t="s">
        <v>236</v>
      </c>
      <c r="E98" s="767"/>
      <c r="F98" s="844">
        <v>0.23546970367087111</v>
      </c>
      <c r="G98" s="844">
        <v>0.23546970367087111</v>
      </c>
      <c r="H98" s="844">
        <f>G98</f>
        <v>0.23546970367087111</v>
      </c>
      <c r="I98" s="844"/>
      <c r="J98" s="844"/>
      <c r="K98" s="844"/>
      <c r="L98" s="791">
        <f t="shared" ref="L98:W98" si="59">K98</f>
        <v>0</v>
      </c>
      <c r="M98" s="791">
        <f t="shared" si="59"/>
        <v>0</v>
      </c>
      <c r="N98" s="791">
        <f t="shared" si="59"/>
        <v>0</v>
      </c>
      <c r="O98" s="791">
        <f t="shared" si="59"/>
        <v>0</v>
      </c>
      <c r="P98" s="791">
        <f t="shared" si="59"/>
        <v>0</v>
      </c>
      <c r="Q98" s="791">
        <f t="shared" si="59"/>
        <v>0</v>
      </c>
      <c r="R98" s="791">
        <f t="shared" si="59"/>
        <v>0</v>
      </c>
      <c r="S98" s="791">
        <f t="shared" si="59"/>
        <v>0</v>
      </c>
      <c r="T98" s="791">
        <f t="shared" si="59"/>
        <v>0</v>
      </c>
      <c r="U98" s="791">
        <f t="shared" si="59"/>
        <v>0</v>
      </c>
      <c r="V98" s="791">
        <f t="shared" si="59"/>
        <v>0</v>
      </c>
      <c r="W98" s="791">
        <f t="shared" si="59"/>
        <v>0</v>
      </c>
    </row>
    <row r="99" spans="1:23" ht="15.75" customHeight="1">
      <c r="A99" s="727"/>
      <c r="C99" s="732">
        <f>+MAX(C$11:C98)+1</f>
        <v>88</v>
      </c>
      <c r="D99" s="763"/>
      <c r="E99" s="767"/>
      <c r="G99" s="791"/>
      <c r="H99" s="791"/>
      <c r="I99" s="791"/>
      <c r="J99" s="791"/>
      <c r="K99" s="791"/>
      <c r="L99" s="791"/>
      <c r="M99" s="791"/>
      <c r="N99" s="791"/>
      <c r="O99" s="791"/>
      <c r="P99" s="791"/>
      <c r="Q99" s="791"/>
      <c r="R99" s="791"/>
      <c r="S99" s="791"/>
      <c r="T99" s="791"/>
      <c r="U99" s="791"/>
      <c r="V99" s="791"/>
      <c r="W99" s="791"/>
    </row>
    <row r="100" spans="1:23" ht="15.75" customHeight="1" thickBot="1">
      <c r="A100" s="727"/>
      <c r="C100" s="732">
        <f>+MAX(C$11:C99)+1</f>
        <v>89</v>
      </c>
      <c r="D100" s="743" t="s">
        <v>246</v>
      </c>
      <c r="E100" s="760"/>
      <c r="H100" s="760"/>
    </row>
    <row r="101" spans="1:23" ht="15.75" customHeight="1" thickBot="1">
      <c r="A101" s="727"/>
      <c r="C101" s="732">
        <f>+MAX(C$11:C100)+1</f>
        <v>90</v>
      </c>
      <c r="D101" s="738" t="s">
        <v>238</v>
      </c>
      <c r="E101" s="760"/>
      <c r="F101" s="836">
        <v>334.58058904848656</v>
      </c>
      <c r="G101" s="836">
        <v>334.58058904848656</v>
      </c>
      <c r="H101" s="836">
        <f>G101</f>
        <v>334.58058904848656</v>
      </c>
      <c r="I101" s="836">
        <f>H101</f>
        <v>334.58058904848656</v>
      </c>
      <c r="J101" s="836">
        <f>I101</f>
        <v>334.58058904848656</v>
      </c>
      <c r="K101" s="4647">
        <f t="shared" ref="K101:W101" si="60">J101</f>
        <v>334.58058904848656</v>
      </c>
      <c r="L101" s="4647">
        <f t="shared" si="60"/>
        <v>334.58058904848656</v>
      </c>
      <c r="M101" s="4647">
        <f t="shared" si="60"/>
        <v>334.58058904848656</v>
      </c>
      <c r="N101" s="4647">
        <f t="shared" si="60"/>
        <v>334.58058904848656</v>
      </c>
      <c r="O101" s="4647">
        <f t="shared" si="60"/>
        <v>334.58058904848656</v>
      </c>
      <c r="P101" s="4647">
        <f t="shared" si="60"/>
        <v>334.58058904848656</v>
      </c>
      <c r="Q101" s="4647">
        <f t="shared" si="60"/>
        <v>334.58058904848656</v>
      </c>
      <c r="R101" s="4647">
        <f t="shared" si="60"/>
        <v>334.58058904848656</v>
      </c>
      <c r="S101" s="4647">
        <f t="shared" si="60"/>
        <v>334.58058904848656</v>
      </c>
      <c r="T101" s="4647">
        <f t="shared" si="60"/>
        <v>334.58058904848656</v>
      </c>
      <c r="U101" s="4647">
        <f t="shared" si="60"/>
        <v>334.58058904848656</v>
      </c>
      <c r="V101" s="4647">
        <f t="shared" si="60"/>
        <v>334.58058904848656</v>
      </c>
      <c r="W101" s="4647">
        <f t="shared" si="60"/>
        <v>334.58058904848656</v>
      </c>
    </row>
    <row r="102" spans="1:23" ht="15.75" customHeight="1" thickBot="1">
      <c r="A102" s="727"/>
      <c r="C102" s="732">
        <f>+MAX(C$11:C101)+1</f>
        <v>91</v>
      </c>
      <c r="D102" s="743"/>
      <c r="E102" s="760"/>
      <c r="H102" s="760"/>
    </row>
    <row r="103" spans="1:23" ht="15.75" customHeight="1" thickBot="1">
      <c r="A103" s="727"/>
      <c r="C103" s="732">
        <f>+MAX(C$11:C102)+1</f>
        <v>92</v>
      </c>
      <c r="D103" s="738" t="s">
        <v>256</v>
      </c>
      <c r="E103" s="760"/>
      <c r="F103" s="836">
        <v>362.45397815912639</v>
      </c>
      <c r="G103" s="836">
        <v>362.45397815912639</v>
      </c>
      <c r="H103" s="836">
        <f>G103</f>
        <v>362.45397815912639</v>
      </c>
      <c r="I103" s="836">
        <v>368.91211678832116</v>
      </c>
      <c r="J103" s="836">
        <v>368.07977754338862</v>
      </c>
      <c r="K103" s="836">
        <v>365</v>
      </c>
      <c r="L103" s="836">
        <v>365</v>
      </c>
      <c r="M103" s="836">
        <v>365</v>
      </c>
      <c r="N103" s="793">
        <f t="shared" ref="N103:W103" si="61">M103</f>
        <v>365</v>
      </c>
      <c r="O103" s="793">
        <f t="shared" si="61"/>
        <v>365</v>
      </c>
      <c r="P103" s="793">
        <f t="shared" si="61"/>
        <v>365</v>
      </c>
      <c r="Q103" s="793">
        <f t="shared" si="61"/>
        <v>365</v>
      </c>
      <c r="R103" s="793">
        <f t="shared" si="61"/>
        <v>365</v>
      </c>
      <c r="S103" s="793">
        <f t="shared" si="61"/>
        <v>365</v>
      </c>
      <c r="T103" s="793">
        <f t="shared" si="61"/>
        <v>365</v>
      </c>
      <c r="U103" s="793">
        <f t="shared" si="61"/>
        <v>365</v>
      </c>
      <c r="V103" s="793">
        <f t="shared" si="61"/>
        <v>365</v>
      </c>
      <c r="W103" s="793">
        <f t="shared" si="61"/>
        <v>365</v>
      </c>
    </row>
    <row r="104" spans="1:23" ht="15.75" customHeight="1" thickBot="1">
      <c r="A104" s="727"/>
      <c r="C104" s="732">
        <f>+MAX(C$11:C103)+1</f>
        <v>93</v>
      </c>
      <c r="D104" s="766"/>
      <c r="E104" s="760"/>
      <c r="H104" s="760"/>
    </row>
    <row r="105" spans="1:23" ht="15.75" customHeight="1" thickBot="1">
      <c r="A105" s="727"/>
      <c r="C105" s="732">
        <f>+MAX(C$11:C104)+1</f>
        <v>94</v>
      </c>
      <c r="D105" s="738" t="s">
        <v>215</v>
      </c>
      <c r="E105" s="764"/>
      <c r="F105" s="838">
        <v>0.62</v>
      </c>
      <c r="G105" s="838">
        <v>0.62</v>
      </c>
      <c r="H105" s="838">
        <v>0.62</v>
      </c>
      <c r="I105" s="838">
        <v>0.75</v>
      </c>
      <c r="J105" s="838">
        <v>0.83</v>
      </c>
      <c r="K105" s="838">
        <v>0.85</v>
      </c>
      <c r="L105" s="838">
        <v>0.9</v>
      </c>
      <c r="M105" s="838">
        <v>0.95</v>
      </c>
      <c r="N105" s="764">
        <f t="shared" ref="N105:W105" si="62">ROUND(+M105*(1+N$10),$Y$8)</f>
        <v>0.95</v>
      </c>
      <c r="O105" s="764">
        <f t="shared" si="62"/>
        <v>0.95</v>
      </c>
      <c r="P105" s="764">
        <f t="shared" si="62"/>
        <v>0.95</v>
      </c>
      <c r="Q105" s="764">
        <f t="shared" si="62"/>
        <v>0.95</v>
      </c>
      <c r="R105" s="764">
        <f t="shared" si="62"/>
        <v>0.95</v>
      </c>
      <c r="S105" s="764">
        <f t="shared" si="62"/>
        <v>0.95</v>
      </c>
      <c r="T105" s="764">
        <f t="shared" si="62"/>
        <v>0.95</v>
      </c>
      <c r="U105" s="764">
        <f t="shared" si="62"/>
        <v>0.95</v>
      </c>
      <c r="V105" s="764">
        <f t="shared" si="62"/>
        <v>0.95</v>
      </c>
      <c r="W105" s="764">
        <f t="shared" si="62"/>
        <v>0.95</v>
      </c>
    </row>
    <row r="106" spans="1:23" ht="15.75" customHeight="1" thickBot="1">
      <c r="A106" s="727"/>
      <c r="C106" s="732">
        <f>+MAX(C$11:C105)+1</f>
        <v>95</v>
      </c>
      <c r="D106" s="763"/>
      <c r="E106" s="764"/>
      <c r="F106" s="770"/>
      <c r="G106" s="764"/>
      <c r="H106" s="764"/>
      <c r="I106" s="764"/>
      <c r="J106" s="764"/>
      <c r="K106" s="764"/>
      <c r="L106" s="764"/>
      <c r="M106" s="764"/>
      <c r="N106" s="764"/>
      <c r="O106" s="764"/>
      <c r="P106" s="764"/>
      <c r="Q106" s="764"/>
      <c r="R106" s="764"/>
      <c r="S106" s="764"/>
      <c r="T106" s="764"/>
      <c r="U106" s="764"/>
      <c r="V106" s="764"/>
      <c r="W106" s="764"/>
    </row>
    <row r="107" spans="1:23" ht="15.75" customHeight="1" thickBot="1">
      <c r="A107" s="727"/>
      <c r="C107" s="732">
        <f>+MAX(C$11:C106)+1</f>
        <v>96</v>
      </c>
      <c r="D107" s="763" t="s">
        <v>241</v>
      </c>
      <c r="E107" s="764"/>
      <c r="F107" s="837">
        <v>1.243101124299752E-2</v>
      </c>
      <c r="G107" s="837">
        <v>1.243101124299752E-2</v>
      </c>
      <c r="H107" s="837">
        <f>G107</f>
        <v>1.243101124299752E-2</v>
      </c>
      <c r="I107" s="837">
        <v>6.119188127166263E-3</v>
      </c>
      <c r="J107" s="837">
        <v>8.8808397556531318E-3</v>
      </c>
      <c r="K107" s="837">
        <v>8.8808397556531318E-3</v>
      </c>
      <c r="L107" s="837">
        <v>8.8808397556531318E-3</v>
      </c>
      <c r="M107" s="791">
        <f t="shared" ref="M107:W107" si="63">L107</f>
        <v>8.8808397556531318E-3</v>
      </c>
      <c r="N107" s="791">
        <f t="shared" si="63"/>
        <v>8.8808397556531318E-3</v>
      </c>
      <c r="O107" s="791">
        <f t="shared" si="63"/>
        <v>8.8808397556531318E-3</v>
      </c>
      <c r="P107" s="791">
        <f t="shared" si="63"/>
        <v>8.8808397556531318E-3</v>
      </c>
      <c r="Q107" s="791">
        <f t="shared" si="63"/>
        <v>8.8808397556531318E-3</v>
      </c>
      <c r="R107" s="791">
        <f t="shared" si="63"/>
        <v>8.8808397556531318E-3</v>
      </c>
      <c r="S107" s="791">
        <f t="shared" si="63"/>
        <v>8.8808397556531318E-3</v>
      </c>
      <c r="T107" s="791">
        <f t="shared" si="63"/>
        <v>8.8808397556531318E-3</v>
      </c>
      <c r="U107" s="791">
        <f t="shared" si="63"/>
        <v>8.8808397556531318E-3</v>
      </c>
      <c r="V107" s="791">
        <f t="shared" si="63"/>
        <v>8.8808397556531318E-3</v>
      </c>
      <c r="W107" s="791">
        <f t="shared" si="63"/>
        <v>8.8808397556531318E-3</v>
      </c>
    </row>
    <row r="108" spans="1:23" ht="15.75" customHeight="1">
      <c r="A108" s="727"/>
      <c r="C108" s="732">
        <f>+MAX(C$11:C107)+1</f>
        <v>97</v>
      </c>
      <c r="D108" s="738"/>
      <c r="E108" s="764"/>
      <c r="F108" s="769"/>
      <c r="G108" s="764"/>
      <c r="H108" s="764"/>
      <c r="I108" s="764"/>
      <c r="J108" s="764"/>
      <c r="K108" s="764"/>
      <c r="L108" s="764"/>
      <c r="M108" s="764"/>
      <c r="N108" s="764"/>
      <c r="O108" s="764"/>
      <c r="P108" s="764"/>
      <c r="Q108" s="764"/>
      <c r="R108" s="764"/>
      <c r="S108" s="764"/>
      <c r="T108" s="764"/>
      <c r="U108" s="764"/>
      <c r="V108" s="764"/>
      <c r="W108" s="764"/>
    </row>
    <row r="109" spans="1:23" ht="15.75" customHeight="1" thickBot="1">
      <c r="A109" s="727"/>
      <c r="C109" s="732">
        <f>+MAX(C$11:C108)+1</f>
        <v>98</v>
      </c>
      <c r="D109" s="738" t="s">
        <v>271</v>
      </c>
      <c r="E109" s="767"/>
      <c r="F109" s="768"/>
      <c r="G109" s="764"/>
      <c r="H109" s="764"/>
      <c r="I109" s="764"/>
      <c r="J109" s="764"/>
      <c r="K109" s="764"/>
      <c r="L109" s="764"/>
      <c r="M109" s="764"/>
      <c r="N109" s="764"/>
      <c r="O109" s="764"/>
      <c r="P109" s="764"/>
      <c r="Q109" s="764"/>
      <c r="R109" s="764"/>
      <c r="S109" s="764"/>
      <c r="T109" s="764"/>
      <c r="U109" s="764"/>
      <c r="V109" s="764"/>
      <c r="W109" s="764"/>
    </row>
    <row r="110" spans="1:23" ht="15.75" customHeight="1">
      <c r="A110" s="727"/>
      <c r="C110" s="732">
        <f>+MAX(C$11:C109)+1</f>
        <v>99</v>
      </c>
      <c r="D110" s="763" t="s">
        <v>216</v>
      </c>
      <c r="E110" s="767"/>
      <c r="F110" s="845">
        <f>0.040155-0.001155</f>
        <v>3.9E-2</v>
      </c>
      <c r="G110" s="845">
        <v>4.0155000000000003E-2</v>
      </c>
      <c r="H110" s="845">
        <v>4.1855000000000003E-2</v>
      </c>
      <c r="I110" s="845">
        <v>4.1000000000000002E-2</v>
      </c>
      <c r="J110" s="845">
        <v>4.1000000000000002E-2</v>
      </c>
      <c r="K110" s="3364">
        <v>4.1000000000000002E-2</v>
      </c>
      <c r="L110" s="3364">
        <v>4.1000000000000002E-2</v>
      </c>
      <c r="M110" s="3364">
        <v>4.1000000000000002E-2</v>
      </c>
      <c r="N110" s="767">
        <f t="shared" ref="N110:W110" si="64">ROUND(+M110*(1+N$10),$Y$9)</f>
        <v>4.1000000000000002E-2</v>
      </c>
      <c r="O110" s="767">
        <f t="shared" si="64"/>
        <v>4.1000000000000002E-2</v>
      </c>
      <c r="P110" s="767">
        <f t="shared" si="64"/>
        <v>4.1000000000000002E-2</v>
      </c>
      <c r="Q110" s="767">
        <f t="shared" si="64"/>
        <v>4.1000000000000002E-2</v>
      </c>
      <c r="R110" s="767">
        <f t="shared" si="64"/>
        <v>4.1000000000000002E-2</v>
      </c>
      <c r="S110" s="767">
        <f t="shared" si="64"/>
        <v>4.1000000000000002E-2</v>
      </c>
      <c r="T110" s="767">
        <f t="shared" si="64"/>
        <v>4.1000000000000002E-2</v>
      </c>
      <c r="U110" s="767">
        <f t="shared" si="64"/>
        <v>4.1000000000000002E-2</v>
      </c>
      <c r="V110" s="767">
        <f t="shared" si="64"/>
        <v>4.1000000000000002E-2</v>
      </c>
      <c r="W110" s="767">
        <f t="shared" si="64"/>
        <v>4.1000000000000002E-2</v>
      </c>
    </row>
    <row r="111" spans="1:23" ht="15.75" customHeight="1" thickBot="1">
      <c r="A111" s="727"/>
      <c r="C111" s="732">
        <f>+MAX(C$11:C110)+1</f>
        <v>100</v>
      </c>
      <c r="D111" s="763" t="s">
        <v>217</v>
      </c>
      <c r="E111" s="767"/>
      <c r="F111" s="835">
        <f>0.024555-0.001155</f>
        <v>2.3400000000000001E-2</v>
      </c>
      <c r="G111" s="835">
        <v>2.4555E-2</v>
      </c>
      <c r="H111" s="835">
        <v>2.6255000000000001E-2</v>
      </c>
      <c r="I111" s="835">
        <v>3.0249999999999999E-2</v>
      </c>
      <c r="J111" s="835">
        <v>3.4279999999999998E-2</v>
      </c>
      <c r="K111" s="3366">
        <v>3.6170000000000001E-2</v>
      </c>
      <c r="L111" s="3366">
        <v>3.8300000000000001E-2</v>
      </c>
      <c r="M111" s="3366">
        <v>4.0849999999999997E-2</v>
      </c>
      <c r="N111" s="767">
        <f t="shared" ref="N111:W111" si="65">ROUND(+M111*(1+N$10),$Y$9)</f>
        <v>4.0849999999999997E-2</v>
      </c>
      <c r="O111" s="767">
        <f t="shared" si="65"/>
        <v>4.0849999999999997E-2</v>
      </c>
      <c r="P111" s="767">
        <f t="shared" si="65"/>
        <v>4.0849999999999997E-2</v>
      </c>
      <c r="Q111" s="767">
        <f t="shared" si="65"/>
        <v>4.0849999999999997E-2</v>
      </c>
      <c r="R111" s="767">
        <f t="shared" si="65"/>
        <v>4.0849999999999997E-2</v>
      </c>
      <c r="S111" s="767">
        <f t="shared" si="65"/>
        <v>4.0849999999999997E-2</v>
      </c>
      <c r="T111" s="767">
        <f t="shared" si="65"/>
        <v>4.0849999999999997E-2</v>
      </c>
      <c r="U111" s="767">
        <f t="shared" si="65"/>
        <v>4.0849999999999997E-2</v>
      </c>
      <c r="V111" s="767">
        <f t="shared" si="65"/>
        <v>4.0849999999999997E-2</v>
      </c>
      <c r="W111" s="767">
        <f t="shared" si="65"/>
        <v>4.0849999999999997E-2</v>
      </c>
    </row>
    <row r="112" spans="1:23" ht="15.75" hidden="1" customHeight="1">
      <c r="A112" s="727"/>
      <c r="C112" s="732">
        <f>+MAX(C$11:C111)+1</f>
        <v>101</v>
      </c>
      <c r="D112" t="s">
        <v>235</v>
      </c>
      <c r="E112" s="767"/>
      <c r="F112" s="843">
        <v>0.34313121924774104</v>
      </c>
      <c r="G112" s="843">
        <v>0.34313121924774104</v>
      </c>
      <c r="H112" s="843">
        <f>G112</f>
        <v>0.34313121924774104</v>
      </c>
      <c r="I112" s="843"/>
      <c r="J112" s="843"/>
      <c r="K112" s="843"/>
      <c r="L112" s="791">
        <f t="shared" ref="L112:W112" si="66">K112</f>
        <v>0</v>
      </c>
      <c r="M112" s="791">
        <f t="shared" si="66"/>
        <v>0</v>
      </c>
      <c r="N112" s="791">
        <f t="shared" si="66"/>
        <v>0</v>
      </c>
      <c r="O112" s="791">
        <f t="shared" si="66"/>
        <v>0</v>
      </c>
      <c r="P112" s="791">
        <f t="shared" si="66"/>
        <v>0</v>
      </c>
      <c r="Q112" s="791">
        <f t="shared" si="66"/>
        <v>0</v>
      </c>
      <c r="R112" s="791">
        <f t="shared" si="66"/>
        <v>0</v>
      </c>
      <c r="S112" s="791">
        <f t="shared" si="66"/>
        <v>0</v>
      </c>
      <c r="T112" s="791">
        <f t="shared" si="66"/>
        <v>0</v>
      </c>
      <c r="U112" s="791">
        <f t="shared" si="66"/>
        <v>0</v>
      </c>
      <c r="V112" s="791">
        <f t="shared" si="66"/>
        <v>0</v>
      </c>
      <c r="W112" s="791">
        <f t="shared" si="66"/>
        <v>0</v>
      </c>
    </row>
    <row r="113" spans="1:25" ht="15.75" hidden="1" customHeight="1" thickBot="1">
      <c r="A113" s="727"/>
      <c r="C113" s="732">
        <f>+MAX(C$11:C112)+1</f>
        <v>102</v>
      </c>
      <c r="D113" t="s">
        <v>236</v>
      </c>
      <c r="E113" s="767"/>
      <c r="F113" s="844">
        <v>0.65686878075225896</v>
      </c>
      <c r="G113" s="844">
        <v>0.65686878075225896</v>
      </c>
      <c r="H113" s="844">
        <f>G113</f>
        <v>0.65686878075225896</v>
      </c>
      <c r="I113" s="844"/>
      <c r="J113" s="844"/>
      <c r="K113" s="844"/>
      <c r="L113" s="791">
        <f t="shared" ref="L113:W113" si="67">K113</f>
        <v>0</v>
      </c>
      <c r="M113" s="791">
        <f t="shared" si="67"/>
        <v>0</v>
      </c>
      <c r="N113" s="791">
        <f t="shared" si="67"/>
        <v>0</v>
      </c>
      <c r="O113" s="791">
        <f t="shared" si="67"/>
        <v>0</v>
      </c>
      <c r="P113" s="791">
        <f t="shared" si="67"/>
        <v>0</v>
      </c>
      <c r="Q113" s="791">
        <f t="shared" si="67"/>
        <v>0</v>
      </c>
      <c r="R113" s="791">
        <f t="shared" si="67"/>
        <v>0</v>
      </c>
      <c r="S113" s="791">
        <f t="shared" si="67"/>
        <v>0</v>
      </c>
      <c r="T113" s="791">
        <f t="shared" si="67"/>
        <v>0</v>
      </c>
      <c r="U113" s="791">
        <f t="shared" si="67"/>
        <v>0</v>
      </c>
      <c r="V113" s="791">
        <f t="shared" si="67"/>
        <v>0</v>
      </c>
      <c r="W113" s="791">
        <f t="shared" si="67"/>
        <v>0</v>
      </c>
    </row>
    <row r="114" spans="1:25" ht="15.75" customHeight="1">
      <c r="A114" s="727"/>
      <c r="C114" s="732">
        <f>+MAX(C$11:C113)+1</f>
        <v>103</v>
      </c>
      <c r="D114" s="737"/>
      <c r="E114" s="760"/>
      <c r="H114" s="760"/>
      <c r="X114" s="760"/>
      <c r="Y114" s="760"/>
    </row>
    <row r="115" spans="1:25" ht="15.75" customHeight="1">
      <c r="A115" s="727"/>
      <c r="C115" s="732">
        <f>+MAX(C$11:C114)+1</f>
        <v>104</v>
      </c>
      <c r="D115" s="751" t="s">
        <v>226</v>
      </c>
      <c r="E115" s="760"/>
      <c r="H115" s="760"/>
      <c r="X115" s="760"/>
      <c r="Y115" s="760"/>
    </row>
    <row r="116" spans="1:25" ht="15.75" customHeight="1" thickBot="1">
      <c r="A116" s="727"/>
      <c r="C116" s="732">
        <f>+MAX(C$11:C115)+1</f>
        <v>105</v>
      </c>
      <c r="D116" s="766"/>
      <c r="E116" s="760"/>
      <c r="H116" s="760"/>
      <c r="X116" s="760"/>
      <c r="Y116" s="760"/>
    </row>
    <row r="117" spans="1:25" ht="15.75" customHeight="1" thickBot="1">
      <c r="A117" s="727"/>
      <c r="C117" s="732">
        <f>+MAX(C$11:C116)+1</f>
        <v>106</v>
      </c>
      <c r="D117" s="738" t="s">
        <v>238</v>
      </c>
      <c r="E117" s="855"/>
      <c r="F117" s="856">
        <v>404.61931278276495</v>
      </c>
      <c r="G117" s="856">
        <v>404.61931278276495</v>
      </c>
      <c r="H117" s="856">
        <f>G117</f>
        <v>404.61931278276495</v>
      </c>
      <c r="I117" s="854">
        <f>Cust_Detail!I78/Cust_Detail!I75</f>
        <v>388.61258943791336</v>
      </c>
      <c r="J117" s="854">
        <f>Cust_Detail!J78/Cust_Detail!J75</f>
        <v>401.22692162925381</v>
      </c>
      <c r="K117" s="854">
        <f>Cust_Detail!K78/Cust_Detail!K75</f>
        <v>399.95228629736067</v>
      </c>
      <c r="L117" s="854">
        <f>Cust_Detail!L78/Cust_Detail!L75</f>
        <v>399.95228629736101</v>
      </c>
      <c r="M117" s="854">
        <f>Cust_Detail!M78/Cust_Detail!M75</f>
        <v>401.2813089131584</v>
      </c>
      <c r="N117" s="854">
        <f>Cust_Detail!N78/Cust_Detail!N75</f>
        <v>399.95228629736113</v>
      </c>
      <c r="O117" s="854">
        <f>Cust_Detail!O78/Cust_Detail!O75</f>
        <v>399.95228629736073</v>
      </c>
      <c r="P117" s="854">
        <f>Cust_Detail!P78/Cust_Detail!P75</f>
        <v>399.95228629736056</v>
      </c>
      <c r="Q117" s="854">
        <f>Cust_Detail!Q78/Cust_Detail!Q75</f>
        <v>401.28130891315715</v>
      </c>
      <c r="R117" s="854">
        <f>Cust_Detail!R78/Cust_Detail!R75</f>
        <v>399.95228629736107</v>
      </c>
      <c r="S117" s="854">
        <f>Cust_Detail!S78/Cust_Detail!S75</f>
        <v>399.95228629736084</v>
      </c>
      <c r="T117" s="854">
        <f>Cust_Detail!T78/Cust_Detail!T75</f>
        <v>399.95228629736062</v>
      </c>
      <c r="U117" s="854">
        <f>Cust_Detail!U78/Cust_Detail!U75</f>
        <v>401.28130891315715</v>
      </c>
      <c r="V117" s="854">
        <f>Cust_Detail!V78/Cust_Detail!V75</f>
        <v>399.9522862973613</v>
      </c>
      <c r="W117" s="854">
        <f>Cust_Detail!W78/Cust_Detail!W75</f>
        <v>399.95228629736084</v>
      </c>
      <c r="X117" s="760"/>
      <c r="Y117" s="760"/>
    </row>
    <row r="118" spans="1:25" ht="15.75" customHeight="1" thickBot="1">
      <c r="A118" s="727"/>
      <c r="C118" s="732">
        <f>+MAX(C$11:C117)+1</f>
        <v>107</v>
      </c>
      <c r="D118" s="738"/>
      <c r="E118" s="855"/>
      <c r="F118" s="855"/>
      <c r="G118" s="855"/>
      <c r="H118" s="855"/>
      <c r="I118" s="855"/>
      <c r="J118" s="855"/>
      <c r="K118" s="855"/>
      <c r="L118" s="855"/>
      <c r="M118" s="855"/>
      <c r="N118" s="855"/>
      <c r="O118" s="855"/>
      <c r="P118" s="855"/>
      <c r="Q118" s="855"/>
      <c r="R118" s="855"/>
      <c r="S118" s="855"/>
      <c r="T118" s="855"/>
      <c r="U118" s="855"/>
      <c r="V118" s="855"/>
      <c r="W118" s="855"/>
      <c r="X118" s="760"/>
      <c r="Y118" s="760"/>
    </row>
    <row r="119" spans="1:25" ht="15.75" customHeight="1" thickBot="1">
      <c r="A119" s="727"/>
      <c r="C119" s="732">
        <f>+MAX(C$11:C118)+1</f>
        <v>108</v>
      </c>
      <c r="D119" s="738" t="s">
        <v>259</v>
      </c>
      <c r="E119" s="855"/>
      <c r="F119" s="856">
        <v>12.76923076923077</v>
      </c>
      <c r="G119" s="856">
        <v>12.76923076923077</v>
      </c>
      <c r="H119" s="856">
        <f>G119</f>
        <v>12.76923076923077</v>
      </c>
      <c r="I119" s="856">
        <f>H119</f>
        <v>12.76923076923077</v>
      </c>
      <c r="J119" s="856">
        <f>I119</f>
        <v>12.76923076923077</v>
      </c>
      <c r="K119" s="856">
        <v>12</v>
      </c>
      <c r="L119" s="856">
        <v>12</v>
      </c>
      <c r="M119" s="856">
        <v>12</v>
      </c>
      <c r="N119" s="855">
        <f t="shared" ref="N119:W119" si="68">M119</f>
        <v>12</v>
      </c>
      <c r="O119" s="855">
        <f t="shared" si="68"/>
        <v>12</v>
      </c>
      <c r="P119" s="855">
        <f t="shared" si="68"/>
        <v>12</v>
      </c>
      <c r="Q119" s="855">
        <f t="shared" si="68"/>
        <v>12</v>
      </c>
      <c r="R119" s="855">
        <f t="shared" si="68"/>
        <v>12</v>
      </c>
      <c r="S119" s="855">
        <f t="shared" si="68"/>
        <v>12</v>
      </c>
      <c r="T119" s="855">
        <f t="shared" si="68"/>
        <v>12</v>
      </c>
      <c r="U119" s="855">
        <f t="shared" si="68"/>
        <v>12</v>
      </c>
      <c r="V119" s="855">
        <f t="shared" si="68"/>
        <v>12</v>
      </c>
      <c r="W119" s="855">
        <f t="shared" si="68"/>
        <v>12</v>
      </c>
      <c r="X119" s="760"/>
      <c r="Y119" s="760"/>
    </row>
    <row r="120" spans="1:25" ht="15.75" customHeight="1" thickBot="1">
      <c r="A120" s="727"/>
      <c r="C120" s="732">
        <f>+MAX(C$11:C119)+1</f>
        <v>109</v>
      </c>
      <c r="D120" s="766"/>
      <c r="E120" s="760"/>
      <c r="H120" s="760"/>
      <c r="X120" s="760"/>
      <c r="Y120" s="760"/>
    </row>
    <row r="121" spans="1:25" ht="15.75" customHeight="1" thickBot="1">
      <c r="A121" s="727"/>
      <c r="C121" s="732">
        <f>+MAX(C$11:C120)+1</f>
        <v>110</v>
      </c>
      <c r="D121" s="738" t="s">
        <v>215</v>
      </c>
      <c r="E121" s="764"/>
      <c r="F121" s="838">
        <v>110</v>
      </c>
      <c r="G121" s="838">
        <v>110</v>
      </c>
      <c r="H121" s="838">
        <v>110</v>
      </c>
      <c r="I121" s="838">
        <v>120</v>
      </c>
      <c r="J121" s="838">
        <v>132</v>
      </c>
      <c r="K121" s="838">
        <v>135.30000000000001</v>
      </c>
      <c r="L121" s="838">
        <v>139.36000000000001</v>
      </c>
      <c r="M121" s="838">
        <v>143.26</v>
      </c>
      <c r="N121" s="764">
        <f t="shared" ref="N121:W121" si="69">ROUND(+M121*(1+N$10),$Y$8)</f>
        <v>143.26</v>
      </c>
      <c r="O121" s="764">
        <f t="shared" si="69"/>
        <v>143.26</v>
      </c>
      <c r="P121" s="764">
        <f t="shared" si="69"/>
        <v>143.26</v>
      </c>
      <c r="Q121" s="764">
        <f t="shared" si="69"/>
        <v>143.26</v>
      </c>
      <c r="R121" s="764">
        <f t="shared" si="69"/>
        <v>143.26</v>
      </c>
      <c r="S121" s="764">
        <f t="shared" si="69"/>
        <v>143.26</v>
      </c>
      <c r="T121" s="764">
        <f t="shared" si="69"/>
        <v>143.26</v>
      </c>
      <c r="U121" s="764">
        <f t="shared" si="69"/>
        <v>143.26</v>
      </c>
      <c r="V121" s="764">
        <f t="shared" si="69"/>
        <v>143.26</v>
      </c>
      <c r="W121" s="764">
        <f t="shared" si="69"/>
        <v>143.26</v>
      </c>
      <c r="X121" s="760"/>
      <c r="Y121" s="760"/>
    </row>
    <row r="122" spans="1:25" ht="15.75" customHeight="1" thickBot="1">
      <c r="A122" s="727"/>
      <c r="C122" s="732">
        <f>+MAX(C$11:C121)+1</f>
        <v>111</v>
      </c>
      <c r="D122" s="738"/>
      <c r="E122" s="764"/>
      <c r="F122" s="769"/>
      <c r="G122" s="764"/>
      <c r="H122" s="764"/>
      <c r="I122" s="764"/>
      <c r="J122" s="764"/>
      <c r="K122" s="764"/>
      <c r="L122" s="764"/>
      <c r="M122" s="764"/>
      <c r="N122" s="764"/>
      <c r="O122" s="764"/>
      <c r="P122" s="764"/>
      <c r="Q122" s="764"/>
      <c r="R122" s="764"/>
      <c r="S122" s="764"/>
      <c r="T122" s="764"/>
      <c r="U122" s="764"/>
      <c r="V122" s="764"/>
      <c r="W122" s="764"/>
      <c r="X122" s="760"/>
      <c r="Y122" s="760"/>
    </row>
    <row r="123" spans="1:25" ht="15.75" customHeight="1" thickBot="1">
      <c r="A123" s="727"/>
      <c r="C123" s="732">
        <f>+MAX(C$11:C122)+1</f>
        <v>112</v>
      </c>
      <c r="D123" s="738" t="s">
        <v>218</v>
      </c>
      <c r="E123" s="764"/>
      <c r="F123" s="838">
        <v>4.0999999999999996</v>
      </c>
      <c r="G123" s="838">
        <v>4.0999999999999996</v>
      </c>
      <c r="H123" s="838">
        <v>4.0999999999999996</v>
      </c>
      <c r="I123" s="838">
        <v>4.2</v>
      </c>
      <c r="J123" s="838">
        <v>4.4400000000000004</v>
      </c>
      <c r="K123" s="838">
        <v>4.55</v>
      </c>
      <c r="L123" s="838">
        <v>4.6900000000000004</v>
      </c>
      <c r="M123" s="838">
        <v>4.82</v>
      </c>
      <c r="N123" s="764">
        <f t="shared" ref="N123:W123" si="70">ROUND(+M123*(1+N$10),$Y$8)</f>
        <v>4.82</v>
      </c>
      <c r="O123" s="764">
        <f t="shared" si="70"/>
        <v>4.82</v>
      </c>
      <c r="P123" s="764">
        <f t="shared" si="70"/>
        <v>4.82</v>
      </c>
      <c r="Q123" s="764">
        <f t="shared" si="70"/>
        <v>4.82</v>
      </c>
      <c r="R123" s="764">
        <f t="shared" si="70"/>
        <v>4.82</v>
      </c>
      <c r="S123" s="764">
        <f t="shared" si="70"/>
        <v>4.82</v>
      </c>
      <c r="T123" s="764">
        <f t="shared" si="70"/>
        <v>4.82</v>
      </c>
      <c r="U123" s="764">
        <f t="shared" si="70"/>
        <v>4.82</v>
      </c>
      <c r="V123" s="764">
        <f t="shared" si="70"/>
        <v>4.82</v>
      </c>
      <c r="W123" s="764">
        <f t="shared" si="70"/>
        <v>4.82</v>
      </c>
      <c r="X123" s="760"/>
      <c r="Y123" s="760"/>
    </row>
    <row r="124" spans="1:25" ht="15.75" customHeight="1">
      <c r="A124" s="727"/>
      <c r="C124" s="732">
        <f>+MAX(C$11:C123)+1</f>
        <v>113</v>
      </c>
      <c r="D124" s="738"/>
      <c r="E124" s="764"/>
      <c r="F124" s="769"/>
      <c r="G124" s="764"/>
      <c r="H124" s="764"/>
      <c r="I124" s="764"/>
      <c r="J124" s="764"/>
      <c r="K124" s="764"/>
      <c r="L124" s="764"/>
      <c r="M124" s="764"/>
      <c r="N124" s="764"/>
      <c r="O124" s="764"/>
      <c r="P124" s="764"/>
      <c r="Q124" s="764"/>
      <c r="R124" s="764"/>
      <c r="S124" s="764"/>
      <c r="T124" s="764"/>
      <c r="U124" s="764"/>
      <c r="V124" s="764"/>
      <c r="W124" s="764"/>
      <c r="X124" s="760"/>
      <c r="Y124" s="760"/>
    </row>
    <row r="125" spans="1:25" ht="15.75" hidden="1" customHeight="1" thickBot="1">
      <c r="A125" s="727"/>
      <c r="C125" s="732">
        <f>+MAX(C$11:C124)+1</f>
        <v>114</v>
      </c>
      <c r="D125" s="852" t="s">
        <v>240</v>
      </c>
      <c r="E125" s="764"/>
      <c r="F125" s="837">
        <v>4.2077310884814478E-2</v>
      </c>
      <c r="G125" s="837">
        <v>4.2077310884814478E-2</v>
      </c>
      <c r="H125" s="837">
        <f>G125</f>
        <v>4.2077310884814478E-2</v>
      </c>
      <c r="I125" s="837"/>
      <c r="J125" s="837"/>
      <c r="K125" s="837"/>
      <c r="L125" s="837"/>
      <c r="M125" s="837"/>
      <c r="N125" s="791">
        <f t="shared" ref="N125:W125" si="71">M125</f>
        <v>0</v>
      </c>
      <c r="O125" s="791">
        <f t="shared" si="71"/>
        <v>0</v>
      </c>
      <c r="P125" s="791">
        <f t="shared" si="71"/>
        <v>0</v>
      </c>
      <c r="Q125" s="791">
        <f t="shared" si="71"/>
        <v>0</v>
      </c>
      <c r="R125" s="791">
        <f t="shared" si="71"/>
        <v>0</v>
      </c>
      <c r="S125" s="791">
        <f t="shared" si="71"/>
        <v>0</v>
      </c>
      <c r="T125" s="791">
        <f t="shared" si="71"/>
        <v>0</v>
      </c>
      <c r="U125" s="791">
        <f t="shared" si="71"/>
        <v>0</v>
      </c>
      <c r="V125" s="791">
        <f t="shared" si="71"/>
        <v>0</v>
      </c>
      <c r="W125" s="791">
        <f t="shared" si="71"/>
        <v>0</v>
      </c>
      <c r="X125" s="760"/>
      <c r="Y125" s="760"/>
    </row>
    <row r="126" spans="1:25" ht="15.75" hidden="1" customHeight="1" thickBot="1">
      <c r="A126" s="727"/>
      <c r="C126" s="732">
        <f>+MAX(C$11:C125)+1</f>
        <v>115</v>
      </c>
      <c r="D126" s="738"/>
      <c r="E126" s="764"/>
      <c r="F126" s="769"/>
      <c r="G126" s="769"/>
      <c r="H126" s="769"/>
      <c r="I126" s="769"/>
      <c r="J126" s="769"/>
      <c r="K126" s="769"/>
      <c r="L126" s="769"/>
      <c r="M126" s="769"/>
      <c r="N126" s="764"/>
      <c r="O126" s="764"/>
      <c r="P126" s="764"/>
      <c r="Q126" s="764"/>
      <c r="R126" s="764"/>
      <c r="S126" s="764"/>
      <c r="T126" s="764"/>
      <c r="U126" s="764"/>
      <c r="V126" s="764"/>
      <c r="W126" s="764"/>
      <c r="X126" s="760"/>
      <c r="Y126" s="760"/>
    </row>
    <row r="127" spans="1:25" ht="15.75" hidden="1" customHeight="1" thickBot="1">
      <c r="A127" s="727"/>
      <c r="C127" s="732">
        <f>+MAX(C$11:C126)+1</f>
        <v>116</v>
      </c>
      <c r="D127" s="852" t="s">
        <v>239</v>
      </c>
      <c r="E127" s="764"/>
      <c r="F127" s="837">
        <v>3.6859813510039217E-3</v>
      </c>
      <c r="G127" s="837">
        <v>3.6859813510039217E-3</v>
      </c>
      <c r="H127" s="837">
        <f>G127</f>
        <v>3.6859813510039217E-3</v>
      </c>
      <c r="I127" s="837"/>
      <c r="J127" s="837"/>
      <c r="K127" s="837"/>
      <c r="L127" s="837"/>
      <c r="M127" s="837"/>
      <c r="N127" s="791">
        <f t="shared" ref="N127:W127" si="72">M127</f>
        <v>0</v>
      </c>
      <c r="O127" s="791">
        <f t="shared" si="72"/>
        <v>0</v>
      </c>
      <c r="P127" s="791">
        <f t="shared" si="72"/>
        <v>0</v>
      </c>
      <c r="Q127" s="791">
        <f t="shared" si="72"/>
        <v>0</v>
      </c>
      <c r="R127" s="791">
        <f t="shared" si="72"/>
        <v>0</v>
      </c>
      <c r="S127" s="791">
        <f t="shared" si="72"/>
        <v>0</v>
      </c>
      <c r="T127" s="791">
        <f t="shared" si="72"/>
        <v>0</v>
      </c>
      <c r="U127" s="791">
        <f t="shared" si="72"/>
        <v>0</v>
      </c>
      <c r="V127" s="791">
        <f t="shared" si="72"/>
        <v>0</v>
      </c>
      <c r="W127" s="791">
        <f t="shared" si="72"/>
        <v>0</v>
      </c>
      <c r="X127" s="760"/>
      <c r="Y127" s="760"/>
    </row>
    <row r="128" spans="1:25" ht="15.75" hidden="1" customHeight="1">
      <c r="A128" s="727"/>
      <c r="C128" s="732">
        <f>+MAX(C$11:C127)+1</f>
        <v>117</v>
      </c>
      <c r="D128" s="738"/>
      <c r="E128" s="764"/>
      <c r="F128" s="769"/>
      <c r="G128" s="764"/>
      <c r="H128" s="764"/>
      <c r="I128" s="764"/>
      <c r="J128" s="764"/>
      <c r="K128" s="764"/>
      <c r="L128" s="764"/>
      <c r="M128" s="764"/>
      <c r="N128" s="764"/>
      <c r="O128" s="764"/>
      <c r="P128" s="764"/>
      <c r="Q128" s="764"/>
      <c r="R128" s="764"/>
      <c r="S128" s="764"/>
      <c r="T128" s="764"/>
      <c r="U128" s="764"/>
      <c r="V128" s="764"/>
      <c r="W128" s="764"/>
      <c r="X128" s="760"/>
      <c r="Y128" s="760"/>
    </row>
    <row r="129" spans="1:25" ht="15.75" customHeight="1" thickBot="1">
      <c r="A129" s="727"/>
      <c r="C129" s="732">
        <f>+MAX(C$11:C128)+1</f>
        <v>118</v>
      </c>
      <c r="D129" s="738" t="s">
        <v>271</v>
      </c>
      <c r="E129" s="767"/>
      <c r="F129" s="768"/>
      <c r="G129" s="764"/>
      <c r="H129" s="764"/>
      <c r="I129" s="764"/>
      <c r="J129" s="764"/>
      <c r="K129" s="764"/>
      <c r="L129" s="764"/>
      <c r="M129" s="764"/>
      <c r="N129" s="764"/>
      <c r="O129" s="764"/>
      <c r="P129" s="764"/>
      <c r="Q129" s="764"/>
      <c r="R129" s="764"/>
      <c r="S129" s="764"/>
      <c r="T129" s="764"/>
      <c r="U129" s="764"/>
      <c r="V129" s="764"/>
      <c r="W129" s="764"/>
      <c r="X129" s="760"/>
      <c r="Y129" s="760"/>
    </row>
    <row r="130" spans="1:25" ht="15.75" customHeight="1">
      <c r="A130" s="727"/>
      <c r="C130" s="732">
        <f>+MAX(C$11:C129)+1</f>
        <v>119</v>
      </c>
      <c r="D130" s="763" t="s">
        <v>216</v>
      </c>
      <c r="E130" s="767"/>
      <c r="F130" s="845">
        <v>1.8350000000000002E-2</v>
      </c>
      <c r="G130" s="3364">
        <v>1.9505000000000002E-2</v>
      </c>
      <c r="H130" s="3364">
        <v>2.1205000000000002E-2</v>
      </c>
      <c r="I130" s="3364">
        <v>2.1000000000000001E-2</v>
      </c>
      <c r="J130" s="3364">
        <v>2.1000000000000001E-2</v>
      </c>
      <c r="K130" s="3364">
        <v>2.1000000000000001E-2</v>
      </c>
      <c r="L130" s="3364">
        <v>2.1000000000000001E-2</v>
      </c>
      <c r="M130" s="3364">
        <v>2.1000000000000001E-2</v>
      </c>
      <c r="N130" s="767">
        <f t="shared" ref="N130:W130" si="73">ROUND(+M130*(1+N$10),$Y$9)</f>
        <v>2.1000000000000001E-2</v>
      </c>
      <c r="O130" s="767">
        <f t="shared" si="73"/>
        <v>2.1000000000000001E-2</v>
      </c>
      <c r="P130" s="767">
        <f t="shared" si="73"/>
        <v>2.1000000000000001E-2</v>
      </c>
      <c r="Q130" s="767">
        <f t="shared" si="73"/>
        <v>2.1000000000000001E-2</v>
      </c>
      <c r="R130" s="767">
        <f t="shared" si="73"/>
        <v>2.1000000000000001E-2</v>
      </c>
      <c r="S130" s="767">
        <f t="shared" si="73"/>
        <v>2.1000000000000001E-2</v>
      </c>
      <c r="T130" s="767">
        <f t="shared" si="73"/>
        <v>2.1000000000000001E-2</v>
      </c>
      <c r="U130" s="767">
        <f t="shared" si="73"/>
        <v>2.1000000000000001E-2</v>
      </c>
      <c r="V130" s="767">
        <f t="shared" si="73"/>
        <v>2.1000000000000001E-2</v>
      </c>
      <c r="W130" s="767">
        <f t="shared" si="73"/>
        <v>2.1000000000000001E-2</v>
      </c>
      <c r="X130" s="760"/>
      <c r="Y130" s="760"/>
    </row>
    <row r="131" spans="1:25" ht="15.75" customHeight="1" thickBot="1">
      <c r="A131" s="727"/>
      <c r="C131" s="732">
        <f>+MAX(C$11:C130)+1</f>
        <v>120</v>
      </c>
      <c r="D131" s="763" t="s">
        <v>217</v>
      </c>
      <c r="E131" s="767"/>
      <c r="F131" s="835">
        <v>1.04E-2</v>
      </c>
      <c r="G131" s="3366">
        <v>1.1554999999999999E-2</v>
      </c>
      <c r="H131" s="3366">
        <v>1.3254999999999999E-2</v>
      </c>
      <c r="I131" s="3366">
        <v>1.6E-2</v>
      </c>
      <c r="J131" s="3366">
        <v>1.72E-2</v>
      </c>
      <c r="K131" s="3366">
        <v>1.7729999999999999E-2</v>
      </c>
      <c r="L131" s="3366">
        <v>1.8010000000000002E-2</v>
      </c>
      <c r="M131" s="3366">
        <v>1.8259999999999998E-2</v>
      </c>
      <c r="N131" s="767">
        <f t="shared" ref="N131:W131" si="74">ROUND(+M131*(1+N$10),$Y$9)</f>
        <v>1.8259999999999998E-2</v>
      </c>
      <c r="O131" s="767">
        <f t="shared" si="74"/>
        <v>1.8259999999999998E-2</v>
      </c>
      <c r="P131" s="767">
        <f t="shared" si="74"/>
        <v>1.8259999999999998E-2</v>
      </c>
      <c r="Q131" s="767">
        <f t="shared" si="74"/>
        <v>1.8259999999999998E-2</v>
      </c>
      <c r="R131" s="767">
        <f t="shared" si="74"/>
        <v>1.8259999999999998E-2</v>
      </c>
      <c r="S131" s="767">
        <f t="shared" si="74"/>
        <v>1.8259999999999998E-2</v>
      </c>
      <c r="T131" s="767">
        <f t="shared" si="74"/>
        <v>1.8259999999999998E-2</v>
      </c>
      <c r="U131" s="767">
        <f t="shared" si="74"/>
        <v>1.8259999999999998E-2</v>
      </c>
      <c r="V131" s="767">
        <f t="shared" si="74"/>
        <v>1.8259999999999998E-2</v>
      </c>
      <c r="W131" s="767">
        <f t="shared" si="74"/>
        <v>1.8259999999999998E-2</v>
      </c>
    </row>
    <row r="132" spans="1:25" ht="15.75" hidden="1" customHeight="1">
      <c r="A132" s="727"/>
      <c r="C132" s="732">
        <f>+MAX(C$11:C131)+1</f>
        <v>121</v>
      </c>
      <c r="D132" s="763" t="s">
        <v>235</v>
      </c>
      <c r="E132" s="767"/>
      <c r="F132" s="843">
        <v>0.16474436377774462</v>
      </c>
      <c r="G132" s="843">
        <v>0.16474436377774462</v>
      </c>
      <c r="H132" s="843">
        <f>G132</f>
        <v>0.16474436377774462</v>
      </c>
      <c r="I132" s="843"/>
      <c r="J132" s="843"/>
      <c r="K132" s="843"/>
      <c r="L132" s="791">
        <f t="shared" ref="L132:W132" si="75">K132</f>
        <v>0</v>
      </c>
      <c r="M132" s="791">
        <f t="shared" si="75"/>
        <v>0</v>
      </c>
      <c r="N132" s="791">
        <f t="shared" si="75"/>
        <v>0</v>
      </c>
      <c r="O132" s="791">
        <f t="shared" si="75"/>
        <v>0</v>
      </c>
      <c r="P132" s="791">
        <f t="shared" si="75"/>
        <v>0</v>
      </c>
      <c r="Q132" s="791">
        <f t="shared" si="75"/>
        <v>0</v>
      </c>
      <c r="R132" s="791">
        <f t="shared" si="75"/>
        <v>0</v>
      </c>
      <c r="S132" s="791">
        <f t="shared" si="75"/>
        <v>0</v>
      </c>
      <c r="T132" s="791">
        <f t="shared" si="75"/>
        <v>0</v>
      </c>
      <c r="U132" s="791">
        <f t="shared" si="75"/>
        <v>0</v>
      </c>
      <c r="V132" s="791">
        <f t="shared" si="75"/>
        <v>0</v>
      </c>
      <c r="W132" s="791">
        <f t="shared" si="75"/>
        <v>0</v>
      </c>
    </row>
    <row r="133" spans="1:25" ht="15.75" hidden="1" customHeight="1" thickBot="1">
      <c r="A133" s="727"/>
      <c r="C133" s="732">
        <f>+MAX(C$11:C132)+1</f>
        <v>122</v>
      </c>
      <c r="D133" s="763" t="s">
        <v>236</v>
      </c>
      <c r="E133" s="767"/>
      <c r="F133" s="844">
        <v>0.8352556362222554</v>
      </c>
      <c r="G133" s="844">
        <v>0.8352556362222554</v>
      </c>
      <c r="H133" s="844">
        <f>G133</f>
        <v>0.8352556362222554</v>
      </c>
      <c r="I133" s="844"/>
      <c r="J133" s="844"/>
      <c r="K133" s="844"/>
      <c r="L133" s="791">
        <f t="shared" ref="L133:W133" si="76">K133</f>
        <v>0</v>
      </c>
      <c r="M133" s="791">
        <f t="shared" si="76"/>
        <v>0</v>
      </c>
      <c r="N133" s="791">
        <f t="shared" si="76"/>
        <v>0</v>
      </c>
      <c r="O133" s="791">
        <f t="shared" si="76"/>
        <v>0</v>
      </c>
      <c r="P133" s="791">
        <f t="shared" si="76"/>
        <v>0</v>
      </c>
      <c r="Q133" s="791">
        <f t="shared" si="76"/>
        <v>0</v>
      </c>
      <c r="R133" s="791">
        <f t="shared" si="76"/>
        <v>0</v>
      </c>
      <c r="S133" s="791">
        <f t="shared" si="76"/>
        <v>0</v>
      </c>
      <c r="T133" s="791">
        <f t="shared" si="76"/>
        <v>0</v>
      </c>
      <c r="U133" s="791">
        <f t="shared" si="76"/>
        <v>0</v>
      </c>
      <c r="V133" s="791">
        <f t="shared" si="76"/>
        <v>0</v>
      </c>
      <c r="W133" s="791">
        <f t="shared" si="76"/>
        <v>0</v>
      </c>
    </row>
    <row r="134" spans="1:25" ht="15.75" customHeight="1">
      <c r="A134" s="727"/>
      <c r="C134" s="732">
        <f>+MAX(C$11:C133)+1</f>
        <v>123</v>
      </c>
      <c r="D134" s="738"/>
      <c r="E134" s="767"/>
      <c r="F134" s="768"/>
      <c r="G134" s="767"/>
      <c r="H134" s="767"/>
      <c r="I134" s="767"/>
      <c r="J134" s="767"/>
      <c r="K134" s="767"/>
      <c r="L134" s="767"/>
      <c r="M134" s="767"/>
      <c r="N134" s="767"/>
      <c r="O134" s="767"/>
      <c r="P134" s="767"/>
      <c r="Q134" s="767"/>
      <c r="R134" s="767"/>
      <c r="S134" s="767"/>
      <c r="T134" s="767"/>
      <c r="U134" s="767"/>
      <c r="V134" s="767"/>
      <c r="W134" s="767"/>
    </row>
    <row r="135" spans="1:25" ht="15.75" customHeight="1">
      <c r="A135" s="727"/>
      <c r="C135" s="732">
        <f>+MAX(C$11:C134)+1</f>
        <v>124</v>
      </c>
      <c r="D135" s="751" t="s">
        <v>227</v>
      </c>
      <c r="E135" s="760"/>
      <c r="H135" s="760"/>
      <c r="X135" s="760"/>
      <c r="Y135" s="760"/>
    </row>
    <row r="136" spans="1:25" ht="15.75" customHeight="1" thickBot="1">
      <c r="A136" s="727"/>
      <c r="C136" s="732">
        <f>+MAX(C$11:C135)+1</f>
        <v>125</v>
      </c>
      <c r="D136" s="766"/>
      <c r="E136" s="760"/>
      <c r="H136" s="760"/>
      <c r="X136" s="760"/>
      <c r="Y136" s="760"/>
    </row>
    <row r="137" spans="1:25" ht="15.75" customHeight="1" thickBot="1">
      <c r="A137" s="727"/>
      <c r="C137" s="732">
        <f>+MAX(C$11:C136)+1</f>
        <v>126</v>
      </c>
      <c r="D137" s="738" t="s">
        <v>238</v>
      </c>
      <c r="E137" s="855"/>
      <c r="F137" s="856">
        <v>501.86804548143704</v>
      </c>
      <c r="G137" s="856">
        <v>501.86804548143704</v>
      </c>
      <c r="H137" s="856">
        <f>G137</f>
        <v>501.86804548143704</v>
      </c>
      <c r="I137" s="854">
        <f>Cust_Detail!I85/Cust_Detail!I82</f>
        <v>558.52571801220688</v>
      </c>
      <c r="J137" s="854">
        <f>Cust_Detail!J85/Cust_Detail!J82</f>
        <v>549.38300021202974</v>
      </c>
      <c r="K137" s="854">
        <f>Cust_Detail!K85/Cust_Detail!K82</f>
        <v>588.46749924384562</v>
      </c>
      <c r="L137" s="854">
        <f>Cust_Detail!L85/Cust_Detail!L82</f>
        <v>588.40509546591693</v>
      </c>
      <c r="M137" s="854">
        <f>Cust_Detail!M85/Cust_Detail!M82</f>
        <v>591.81558759388224</v>
      </c>
      <c r="N137" s="854">
        <f>Cust_Detail!N85/Cust_Detail!N82</f>
        <v>589.61744547393778</v>
      </c>
      <c r="O137" s="854">
        <f>Cust_Detail!O85/Cust_Detail!O82</f>
        <v>589.38111168067803</v>
      </c>
      <c r="P137" s="854">
        <f>Cust_Detail!P85/Cust_Detail!P82</f>
        <v>589.55464938990724</v>
      </c>
      <c r="Q137" s="854">
        <f>Cust_Detail!Q85/Cust_Detail!Q82</f>
        <v>591.04831470498698</v>
      </c>
      <c r="R137" s="854">
        <f>Cust_Detail!R85/Cust_Detail!R82</f>
        <v>589.55514494860324</v>
      </c>
      <c r="S137" s="854">
        <f>Cust_Detail!S85/Cust_Detail!S82</f>
        <v>589.54018429771759</v>
      </c>
      <c r="T137" s="854">
        <f>Cust_Detail!T85/Cust_Detail!T82</f>
        <v>589.5499422902077</v>
      </c>
      <c r="U137" s="854">
        <f>Cust_Detail!U85/Cust_Detail!U82</f>
        <v>591.03362312809202</v>
      </c>
      <c r="V137" s="854">
        <f>Cust_Detail!V85/Cust_Detail!V82</f>
        <v>589.57095581298177</v>
      </c>
      <c r="W137" s="854">
        <f>Cust_Detail!W85/Cust_Detail!W82</f>
        <v>589.57895325292088</v>
      </c>
      <c r="X137" s="760"/>
      <c r="Y137" s="760"/>
    </row>
    <row r="138" spans="1:25" ht="15.75" customHeight="1" thickBot="1">
      <c r="A138" s="727"/>
      <c r="C138" s="732">
        <f>+MAX(C$11:C137)+1</f>
        <v>127</v>
      </c>
      <c r="D138" s="738"/>
      <c r="E138" s="855"/>
      <c r="F138" s="855"/>
      <c r="G138" s="855"/>
      <c r="H138" s="855"/>
      <c r="I138" s="855"/>
      <c r="J138" s="855"/>
      <c r="K138" s="855"/>
      <c r="L138" s="855"/>
      <c r="M138" s="855"/>
      <c r="N138" s="855"/>
      <c r="O138" s="855"/>
      <c r="P138" s="855"/>
      <c r="Q138" s="855"/>
      <c r="R138" s="855"/>
      <c r="S138" s="855"/>
      <c r="T138" s="855"/>
      <c r="U138" s="855"/>
      <c r="V138" s="855"/>
      <c r="W138" s="855"/>
      <c r="X138" s="760"/>
      <c r="Y138" s="760"/>
    </row>
    <row r="139" spans="1:25" ht="15.75" customHeight="1" thickBot="1">
      <c r="A139" s="727"/>
      <c r="C139" s="732">
        <f>+MAX(C$11:C138)+1</f>
        <v>128</v>
      </c>
      <c r="D139" s="738" t="s">
        <v>259</v>
      </c>
      <c r="E139" s="855"/>
      <c r="F139" s="856">
        <v>11.333333333333334</v>
      </c>
      <c r="G139" s="856">
        <v>11.333333333333334</v>
      </c>
      <c r="H139" s="856">
        <f>G139</f>
        <v>11.333333333333334</v>
      </c>
      <c r="I139" s="856">
        <v>11.898381070983811</v>
      </c>
      <c r="J139" s="856">
        <v>11.740237844347435</v>
      </c>
      <c r="K139" s="856">
        <v>12</v>
      </c>
      <c r="L139" s="856">
        <v>12</v>
      </c>
      <c r="M139" s="856">
        <v>12</v>
      </c>
      <c r="N139" s="855">
        <f t="shared" ref="N139:W139" si="77">M139</f>
        <v>12</v>
      </c>
      <c r="O139" s="855">
        <f t="shared" si="77"/>
        <v>12</v>
      </c>
      <c r="P139" s="855">
        <f t="shared" si="77"/>
        <v>12</v>
      </c>
      <c r="Q139" s="855">
        <f t="shared" si="77"/>
        <v>12</v>
      </c>
      <c r="R139" s="855">
        <f t="shared" si="77"/>
        <v>12</v>
      </c>
      <c r="S139" s="855">
        <f t="shared" si="77"/>
        <v>12</v>
      </c>
      <c r="T139" s="855">
        <f t="shared" si="77"/>
        <v>12</v>
      </c>
      <c r="U139" s="855">
        <f t="shared" si="77"/>
        <v>12</v>
      </c>
      <c r="V139" s="855">
        <f t="shared" si="77"/>
        <v>12</v>
      </c>
      <c r="W139" s="855">
        <f t="shared" si="77"/>
        <v>12</v>
      </c>
      <c r="X139" s="760"/>
      <c r="Y139" s="760"/>
    </row>
    <row r="140" spans="1:25" ht="15.75" customHeight="1" thickBot="1">
      <c r="A140" s="727"/>
      <c r="C140" s="732">
        <f>+MAX(C$11:C139)+1</f>
        <v>129</v>
      </c>
      <c r="D140" s="766"/>
      <c r="E140" s="760"/>
      <c r="H140" s="760"/>
      <c r="X140" s="760"/>
      <c r="Y140" s="760"/>
    </row>
    <row r="141" spans="1:25" ht="15.75" customHeight="1" thickBot="1">
      <c r="A141" s="727"/>
      <c r="C141" s="732">
        <f>+MAX(C$11:C140)+1</f>
        <v>130</v>
      </c>
      <c r="D141" s="738" t="s">
        <v>215</v>
      </c>
      <c r="E141" s="764"/>
      <c r="F141" s="838">
        <v>200</v>
      </c>
      <c r="G141" s="838">
        <v>200</v>
      </c>
      <c r="H141" s="838">
        <v>200</v>
      </c>
      <c r="I141" s="838">
        <v>400</v>
      </c>
      <c r="J141" s="838">
        <v>600</v>
      </c>
      <c r="K141" s="838">
        <v>624</v>
      </c>
      <c r="L141" s="838">
        <v>624</v>
      </c>
      <c r="M141" s="838">
        <v>624</v>
      </c>
      <c r="N141" s="764">
        <f t="shared" ref="N141:W141" si="78">ROUND(+M141*(1+N$10),$Y$8)</f>
        <v>624</v>
      </c>
      <c r="O141" s="764">
        <f t="shared" si="78"/>
        <v>624</v>
      </c>
      <c r="P141" s="764">
        <f t="shared" si="78"/>
        <v>624</v>
      </c>
      <c r="Q141" s="764">
        <f t="shared" si="78"/>
        <v>624</v>
      </c>
      <c r="R141" s="764">
        <f t="shared" si="78"/>
        <v>624</v>
      </c>
      <c r="S141" s="764">
        <f t="shared" si="78"/>
        <v>624</v>
      </c>
      <c r="T141" s="764">
        <f t="shared" si="78"/>
        <v>624</v>
      </c>
      <c r="U141" s="764">
        <f t="shared" si="78"/>
        <v>624</v>
      </c>
      <c r="V141" s="764">
        <f t="shared" si="78"/>
        <v>624</v>
      </c>
      <c r="W141" s="764">
        <f t="shared" si="78"/>
        <v>624</v>
      </c>
      <c r="X141" s="760"/>
      <c r="Y141" s="760"/>
    </row>
    <row r="142" spans="1:25" ht="15.75" customHeight="1" thickBot="1">
      <c r="A142" s="727"/>
      <c r="C142" s="732">
        <f>+MAX(C$11:C141)+1</f>
        <v>131</v>
      </c>
      <c r="D142" s="738"/>
      <c r="E142" s="764"/>
      <c r="F142" s="769"/>
      <c r="G142" s="769"/>
      <c r="H142" s="769"/>
      <c r="I142" s="769"/>
      <c r="J142" s="769"/>
      <c r="K142" s="769"/>
      <c r="L142" s="769"/>
      <c r="M142" s="769"/>
      <c r="N142" s="764"/>
      <c r="O142" s="764"/>
      <c r="P142" s="764"/>
      <c r="Q142" s="764"/>
      <c r="R142" s="764"/>
      <c r="S142" s="764"/>
      <c r="T142" s="764"/>
      <c r="U142" s="764"/>
      <c r="V142" s="764"/>
      <c r="W142" s="764"/>
      <c r="X142" s="760"/>
      <c r="Y142" s="760"/>
    </row>
    <row r="143" spans="1:25" ht="15.75" customHeight="1" thickBot="1">
      <c r="A143" s="727"/>
      <c r="C143" s="732">
        <f>+MAX(C$11:C142)+1</f>
        <v>132</v>
      </c>
      <c r="D143" s="738" t="s">
        <v>218</v>
      </c>
      <c r="E143" s="764"/>
      <c r="F143" s="838">
        <v>4</v>
      </c>
      <c r="G143" s="838">
        <v>4</v>
      </c>
      <c r="H143" s="838">
        <v>4</v>
      </c>
      <c r="I143" s="838">
        <v>4</v>
      </c>
      <c r="J143" s="838">
        <v>4.08</v>
      </c>
      <c r="K143" s="838">
        <v>4.24</v>
      </c>
      <c r="L143" s="838">
        <v>4.41</v>
      </c>
      <c r="M143" s="838">
        <v>4.63</v>
      </c>
      <c r="N143" s="764">
        <f t="shared" ref="N143:W143" si="79">ROUND(+M143*(1+N$10),$Y$8)</f>
        <v>4.63</v>
      </c>
      <c r="O143" s="764">
        <f t="shared" si="79"/>
        <v>4.63</v>
      </c>
      <c r="P143" s="764">
        <f t="shared" si="79"/>
        <v>4.63</v>
      </c>
      <c r="Q143" s="764">
        <f t="shared" si="79"/>
        <v>4.63</v>
      </c>
      <c r="R143" s="764">
        <f t="shared" si="79"/>
        <v>4.63</v>
      </c>
      <c r="S143" s="764">
        <f t="shared" si="79"/>
        <v>4.63</v>
      </c>
      <c r="T143" s="764">
        <f t="shared" si="79"/>
        <v>4.63</v>
      </c>
      <c r="U143" s="764">
        <f t="shared" si="79"/>
        <v>4.63</v>
      </c>
      <c r="V143" s="764">
        <f t="shared" si="79"/>
        <v>4.63</v>
      </c>
      <c r="W143" s="764">
        <f t="shared" si="79"/>
        <v>4.63</v>
      </c>
      <c r="X143" s="760"/>
      <c r="Y143" s="760"/>
    </row>
    <row r="144" spans="1:25" ht="15.75" customHeight="1">
      <c r="A144" s="727"/>
      <c r="C144" s="732">
        <f>+MAX(C$11:C143)+1</f>
        <v>133</v>
      </c>
      <c r="D144" s="738"/>
      <c r="E144" s="764"/>
      <c r="F144" s="768"/>
      <c r="G144" s="768"/>
      <c r="H144" s="768"/>
      <c r="I144" s="768"/>
      <c r="J144" s="768"/>
      <c r="K144" s="768"/>
      <c r="L144" s="768"/>
      <c r="M144" s="768"/>
      <c r="N144" s="764"/>
      <c r="O144" s="764"/>
      <c r="P144" s="764"/>
      <c r="Q144" s="764"/>
      <c r="R144" s="764"/>
      <c r="S144" s="764"/>
      <c r="T144" s="764"/>
      <c r="U144" s="764"/>
      <c r="V144" s="764"/>
      <c r="W144" s="764"/>
      <c r="X144" s="760"/>
      <c r="Y144" s="760"/>
    </row>
    <row r="145" spans="1:25" ht="15.75" hidden="1" customHeight="1" thickBot="1">
      <c r="A145" s="727"/>
      <c r="C145" s="732">
        <f>+MAX(C$11:C144)+1</f>
        <v>134</v>
      </c>
      <c r="D145" s="852" t="s">
        <v>240</v>
      </c>
      <c r="E145" s="764"/>
      <c r="F145" s="837">
        <v>1.459087853688958E-3</v>
      </c>
      <c r="G145" s="837">
        <v>1.459087853688958E-3</v>
      </c>
      <c r="H145" s="837">
        <f>G145</f>
        <v>1.459087853688958E-3</v>
      </c>
      <c r="I145" s="837"/>
      <c r="J145" s="837"/>
      <c r="K145" s="837"/>
      <c r="L145" s="837"/>
      <c r="M145" s="837"/>
      <c r="N145" s="791">
        <f t="shared" ref="N145:W145" si="80">M145</f>
        <v>0</v>
      </c>
      <c r="O145" s="791">
        <f t="shared" si="80"/>
        <v>0</v>
      </c>
      <c r="P145" s="791">
        <f t="shared" si="80"/>
        <v>0</v>
      </c>
      <c r="Q145" s="791">
        <f t="shared" si="80"/>
        <v>0</v>
      </c>
      <c r="R145" s="791">
        <f t="shared" si="80"/>
        <v>0</v>
      </c>
      <c r="S145" s="791">
        <f t="shared" si="80"/>
        <v>0</v>
      </c>
      <c r="T145" s="791">
        <f t="shared" si="80"/>
        <v>0</v>
      </c>
      <c r="U145" s="791">
        <f t="shared" si="80"/>
        <v>0</v>
      </c>
      <c r="V145" s="791">
        <f t="shared" si="80"/>
        <v>0</v>
      </c>
      <c r="W145" s="791">
        <f t="shared" si="80"/>
        <v>0</v>
      </c>
      <c r="X145" s="760"/>
      <c r="Y145" s="760"/>
    </row>
    <row r="146" spans="1:25" ht="15.75" hidden="1" customHeight="1">
      <c r="A146" s="727"/>
      <c r="C146" s="732">
        <f>+MAX(C$11:C145)+1</f>
        <v>135</v>
      </c>
      <c r="D146" s="738"/>
      <c r="E146" s="764"/>
      <c r="F146" s="768"/>
      <c r="G146" s="768"/>
      <c r="H146" s="768"/>
      <c r="I146" s="768"/>
      <c r="J146" s="768"/>
      <c r="K146" s="768"/>
      <c r="L146" s="768"/>
      <c r="M146" s="768"/>
      <c r="N146" s="764"/>
      <c r="O146" s="764"/>
      <c r="P146" s="764"/>
      <c r="Q146" s="764"/>
      <c r="R146" s="764"/>
      <c r="S146" s="764"/>
      <c r="T146" s="764"/>
      <c r="U146" s="764"/>
      <c r="V146" s="764"/>
      <c r="W146" s="764"/>
      <c r="X146" s="760"/>
      <c r="Y146" s="760"/>
    </row>
    <row r="147" spans="1:25" ht="15.75" customHeight="1" thickBot="1">
      <c r="A147" s="727"/>
      <c r="C147" s="732">
        <f>+MAX(C$11:C146)+1</f>
        <v>136</v>
      </c>
      <c r="D147" s="738" t="s">
        <v>271</v>
      </c>
      <c r="E147" s="767"/>
      <c r="F147" s="768"/>
      <c r="G147" s="768"/>
      <c r="H147" s="768"/>
      <c r="I147" s="768"/>
      <c r="J147" s="768"/>
      <c r="K147" s="768"/>
      <c r="L147" s="768"/>
      <c r="M147" s="768"/>
      <c r="N147" s="764"/>
      <c r="O147" s="764"/>
      <c r="P147" s="764"/>
      <c r="Q147" s="764"/>
      <c r="R147" s="764"/>
      <c r="S147" s="764"/>
      <c r="T147" s="764"/>
      <c r="U147" s="764"/>
      <c r="V147" s="764"/>
      <c r="W147" s="764"/>
      <c r="X147" s="760"/>
      <c r="Y147" s="760"/>
    </row>
    <row r="148" spans="1:25" ht="15.75" customHeight="1">
      <c r="A148" s="727"/>
      <c r="C148" s="732">
        <f>+MAX(C$11:C147)+1</f>
        <v>137</v>
      </c>
      <c r="D148" s="763" t="s">
        <v>216</v>
      </c>
      <c r="E148" s="767"/>
      <c r="F148" s="3364">
        <v>1.014E-2</v>
      </c>
      <c r="G148" s="3364">
        <v>1.1294999999999999E-2</v>
      </c>
      <c r="H148" s="3364">
        <v>1.2995E-2</v>
      </c>
      <c r="I148" s="3364">
        <v>1.5350000000000001E-2</v>
      </c>
      <c r="J148" s="3364">
        <v>1.6500000000000001E-2</v>
      </c>
      <c r="K148" s="3364">
        <v>1.6820000000000002E-2</v>
      </c>
      <c r="L148" s="3364">
        <v>1.7389999999999999E-2</v>
      </c>
      <c r="M148" s="3364">
        <v>1.8259999999999998E-2</v>
      </c>
      <c r="N148" s="767">
        <f t="shared" ref="N148:W148" si="81">ROUND(+M148*(1+N$10),$Y$9)</f>
        <v>1.8259999999999998E-2</v>
      </c>
      <c r="O148" s="767">
        <f t="shared" si="81"/>
        <v>1.8259999999999998E-2</v>
      </c>
      <c r="P148" s="767">
        <f t="shared" si="81"/>
        <v>1.8259999999999998E-2</v>
      </c>
      <c r="Q148" s="767">
        <f t="shared" si="81"/>
        <v>1.8259999999999998E-2</v>
      </c>
      <c r="R148" s="767">
        <f t="shared" si="81"/>
        <v>1.8259999999999998E-2</v>
      </c>
      <c r="S148" s="767">
        <f t="shared" si="81"/>
        <v>1.8259999999999998E-2</v>
      </c>
      <c r="T148" s="767">
        <f t="shared" si="81"/>
        <v>1.8259999999999998E-2</v>
      </c>
      <c r="U148" s="767">
        <f t="shared" si="81"/>
        <v>1.8259999999999998E-2</v>
      </c>
      <c r="V148" s="767">
        <f t="shared" si="81"/>
        <v>1.8259999999999998E-2</v>
      </c>
      <c r="W148" s="767">
        <f t="shared" si="81"/>
        <v>1.8259999999999998E-2</v>
      </c>
      <c r="X148" s="760"/>
      <c r="Y148" s="760"/>
    </row>
    <row r="149" spans="1:25" ht="15.75" customHeight="1" thickBot="1">
      <c r="A149" s="727"/>
      <c r="C149" s="732">
        <f>+MAX(C$11:C148)+1</f>
        <v>138</v>
      </c>
      <c r="D149" s="763" t="s">
        <v>217</v>
      </c>
      <c r="E149" s="767"/>
      <c r="F149" s="3366">
        <v>2.5000000000000001E-2</v>
      </c>
      <c r="G149" s="3366">
        <v>2.6155000000000001E-2</v>
      </c>
      <c r="H149" s="3366">
        <v>2.7855000000000001E-2</v>
      </c>
      <c r="I149" s="3366">
        <v>3.2500000000000001E-2</v>
      </c>
      <c r="J149" s="3366">
        <v>3.2500000000000001E-2</v>
      </c>
      <c r="K149" s="3366">
        <v>3.2500000000000001E-2</v>
      </c>
      <c r="L149" s="3366">
        <v>3.2500000000000001E-2</v>
      </c>
      <c r="M149" s="3366">
        <v>3.2500000000000001E-2</v>
      </c>
      <c r="N149" s="767">
        <f t="shared" ref="N149:W149" si="82">ROUND(+M149*(1+N$10),$Y$9)</f>
        <v>3.2500000000000001E-2</v>
      </c>
      <c r="O149" s="767">
        <f t="shared" si="82"/>
        <v>3.2500000000000001E-2</v>
      </c>
      <c r="P149" s="767">
        <f t="shared" si="82"/>
        <v>3.2500000000000001E-2</v>
      </c>
      <c r="Q149" s="767">
        <f t="shared" si="82"/>
        <v>3.2500000000000001E-2</v>
      </c>
      <c r="R149" s="767">
        <f t="shared" si="82"/>
        <v>3.2500000000000001E-2</v>
      </c>
      <c r="S149" s="767">
        <f t="shared" si="82"/>
        <v>3.2500000000000001E-2</v>
      </c>
      <c r="T149" s="767">
        <f t="shared" si="82"/>
        <v>3.2500000000000001E-2</v>
      </c>
      <c r="U149" s="767">
        <f t="shared" si="82"/>
        <v>3.2500000000000001E-2</v>
      </c>
      <c r="V149" s="767">
        <f t="shared" si="82"/>
        <v>3.2500000000000001E-2</v>
      </c>
      <c r="W149" s="767">
        <f t="shared" si="82"/>
        <v>3.2500000000000001E-2</v>
      </c>
      <c r="X149" s="760"/>
      <c r="Y149" s="760"/>
    </row>
    <row r="150" spans="1:25" ht="15.75" hidden="1" customHeight="1">
      <c r="A150" s="727"/>
      <c r="C150" s="732">
        <f>+MAX(C$11:C149)+1</f>
        <v>139</v>
      </c>
      <c r="D150" s="763" t="s">
        <v>235</v>
      </c>
      <c r="E150" s="767"/>
      <c r="F150" s="843">
        <v>0.89254109743887866</v>
      </c>
      <c r="G150" s="843">
        <v>0.89254109743887866</v>
      </c>
      <c r="H150" s="843">
        <f>G150</f>
        <v>0.89254109743887866</v>
      </c>
      <c r="I150" s="843"/>
      <c r="J150" s="843"/>
      <c r="K150" s="843"/>
      <c r="L150" s="791">
        <f t="shared" ref="L150:W150" si="83">K150</f>
        <v>0</v>
      </c>
      <c r="M150" s="791">
        <f t="shared" si="83"/>
        <v>0</v>
      </c>
      <c r="N150" s="791">
        <f t="shared" si="83"/>
        <v>0</v>
      </c>
      <c r="O150" s="791">
        <f t="shared" si="83"/>
        <v>0</v>
      </c>
      <c r="P150" s="791">
        <f t="shared" si="83"/>
        <v>0</v>
      </c>
      <c r="Q150" s="791">
        <f t="shared" si="83"/>
        <v>0</v>
      </c>
      <c r="R150" s="791">
        <f t="shared" si="83"/>
        <v>0</v>
      </c>
      <c r="S150" s="791">
        <f t="shared" si="83"/>
        <v>0</v>
      </c>
      <c r="T150" s="791">
        <f t="shared" si="83"/>
        <v>0</v>
      </c>
      <c r="U150" s="791">
        <f t="shared" si="83"/>
        <v>0</v>
      </c>
      <c r="V150" s="791">
        <f t="shared" si="83"/>
        <v>0</v>
      </c>
      <c r="W150" s="791">
        <f t="shared" si="83"/>
        <v>0</v>
      </c>
      <c r="X150" s="760"/>
      <c r="Y150" s="760"/>
    </row>
    <row r="151" spans="1:25" ht="15.75" hidden="1" customHeight="1" thickBot="1">
      <c r="A151" s="727"/>
      <c r="C151" s="732">
        <f>+MAX(C$11:C150)+1</f>
        <v>140</v>
      </c>
      <c r="D151" s="763" t="s">
        <v>236</v>
      </c>
      <c r="E151" s="767"/>
      <c r="F151" s="844">
        <v>0.10745890256112134</v>
      </c>
      <c r="G151" s="844">
        <v>0.10745890256112134</v>
      </c>
      <c r="H151" s="844">
        <f>G151</f>
        <v>0.10745890256112134</v>
      </c>
      <c r="I151" s="844"/>
      <c r="J151" s="844"/>
      <c r="K151" s="844"/>
      <c r="L151" s="791">
        <f t="shared" ref="L151:W151" si="84">K151</f>
        <v>0</v>
      </c>
      <c r="M151" s="791">
        <f t="shared" si="84"/>
        <v>0</v>
      </c>
      <c r="N151" s="791">
        <f t="shared" si="84"/>
        <v>0</v>
      </c>
      <c r="O151" s="791">
        <f t="shared" si="84"/>
        <v>0</v>
      </c>
      <c r="P151" s="791">
        <f t="shared" si="84"/>
        <v>0</v>
      </c>
      <c r="Q151" s="791">
        <f t="shared" si="84"/>
        <v>0</v>
      </c>
      <c r="R151" s="791">
        <f t="shared" si="84"/>
        <v>0</v>
      </c>
      <c r="S151" s="791">
        <f t="shared" si="84"/>
        <v>0</v>
      </c>
      <c r="T151" s="791">
        <f t="shared" si="84"/>
        <v>0</v>
      </c>
      <c r="U151" s="791">
        <f t="shared" si="84"/>
        <v>0</v>
      </c>
      <c r="V151" s="791">
        <f t="shared" si="84"/>
        <v>0</v>
      </c>
      <c r="W151" s="791">
        <f t="shared" si="84"/>
        <v>0</v>
      </c>
      <c r="X151" s="760"/>
      <c r="Y151" s="760"/>
    </row>
    <row r="152" spans="1:25" ht="15.75" customHeight="1">
      <c r="A152" s="727"/>
      <c r="C152" s="732">
        <f>+MAX(C$11:C151)+1</f>
        <v>141</v>
      </c>
      <c r="G152" s="762"/>
      <c r="I152" s="762"/>
      <c r="J152" s="762"/>
      <c r="K152" s="762"/>
      <c r="X152" s="760"/>
      <c r="Y152" s="760"/>
    </row>
    <row r="153" spans="1:25" ht="15.75" customHeight="1">
      <c r="A153" s="727"/>
      <c r="C153" s="732">
        <f>+MAX(C$11:C152)+1</f>
        <v>142</v>
      </c>
      <c r="D153" s="751" t="s">
        <v>228</v>
      </c>
      <c r="E153" s="760"/>
      <c r="G153" s="762"/>
      <c r="I153" s="762"/>
      <c r="J153" s="762"/>
      <c r="K153" s="762"/>
    </row>
    <row r="154" spans="1:25" ht="15.75" customHeight="1" thickBot="1">
      <c r="A154" s="727"/>
      <c r="C154" s="732">
        <f>+MAX(C$11:C153)+1</f>
        <v>143</v>
      </c>
      <c r="D154" s="766"/>
      <c r="E154" s="760"/>
      <c r="G154" s="762"/>
      <c r="I154" s="762"/>
      <c r="J154" s="762"/>
      <c r="K154" s="762"/>
    </row>
    <row r="155" spans="1:25" ht="15.75" customHeight="1" thickBot="1">
      <c r="A155" s="727"/>
      <c r="C155" s="732">
        <f>+MAX(C$11:C154)+1</f>
        <v>144</v>
      </c>
      <c r="D155" s="738" t="s">
        <v>238</v>
      </c>
      <c r="E155" s="855"/>
      <c r="F155" s="856">
        <v>634.14350677670109</v>
      </c>
      <c r="G155" s="856">
        <v>634.14350677670109</v>
      </c>
      <c r="H155" s="856">
        <f>G155</f>
        <v>634.14350677670109</v>
      </c>
      <c r="I155" s="854">
        <f>Cust_Detail!I95/Cust_Detail!I89</f>
        <v>614.40694397771415</v>
      </c>
      <c r="J155" s="854">
        <f>Cust_Detail!J95/Cust_Detail!J89</f>
        <v>639.36844501737073</v>
      </c>
      <c r="K155" s="855">
        <f>Cust_Detail!K95/Cust_Detail!K89</f>
        <v>633.63492783314621</v>
      </c>
      <c r="L155" s="855">
        <f>Cust_Detail!L95/Cust_Detail!L89</f>
        <v>633.54594575811643</v>
      </c>
      <c r="M155" s="855">
        <f>Cust_Detail!M95/Cust_Detail!M89</f>
        <v>636.62933075985256</v>
      </c>
      <c r="N155" s="855">
        <f>Cust_Detail!N95/Cust_Detail!N89</f>
        <v>637.33904973184406</v>
      </c>
      <c r="O155" s="855">
        <f>Cust_Detail!O95/Cust_Detail!O89</f>
        <v>638.57449890257521</v>
      </c>
      <c r="P155" s="855">
        <f>Cust_Detail!P95/Cust_Detail!P89</f>
        <v>639.90980018157313</v>
      </c>
      <c r="Q155" s="855">
        <f>Cust_Detail!Q95/Cust_Detail!Q89</f>
        <v>638.59800399490985</v>
      </c>
      <c r="R155" s="855">
        <f>Cust_Detail!R95/Cust_Detail!R89</f>
        <v>635.18297270139192</v>
      </c>
      <c r="S155" s="855">
        <f>Cust_Detail!S95/Cust_Detail!S89</f>
        <v>635.1110345655494</v>
      </c>
      <c r="T155" s="855">
        <f>Cust_Detail!T95/Cust_Detail!T89</f>
        <v>635.11116491855717</v>
      </c>
      <c r="U155" s="855">
        <f>Cust_Detail!U95/Cust_Detail!U89</f>
        <v>636.61022787724312</v>
      </c>
      <c r="V155" s="855">
        <f>Cust_Detail!V95/Cust_Detail!V89</f>
        <v>635.11139483509203</v>
      </c>
      <c r="W155" s="855">
        <f>Cust_Detail!W95/Cust_Detail!W89</f>
        <v>635.11149930279726</v>
      </c>
    </row>
    <row r="156" spans="1:25" ht="15.75" customHeight="1" thickBot="1">
      <c r="A156" s="727"/>
      <c r="C156" s="732">
        <f>+MAX(C$11:C155)+1</f>
        <v>145</v>
      </c>
      <c r="D156" s="766"/>
      <c r="E156" s="855"/>
      <c r="F156" s="855"/>
      <c r="G156" s="855"/>
      <c r="H156" s="855"/>
      <c r="I156" s="855"/>
      <c r="J156" s="855"/>
      <c r="K156" s="855"/>
      <c r="L156" s="855"/>
      <c r="M156" s="855"/>
      <c r="N156" s="855"/>
      <c r="O156" s="855"/>
      <c r="P156" s="855"/>
      <c r="Q156" s="855"/>
      <c r="R156" s="855"/>
      <c r="S156" s="855"/>
      <c r="T156" s="855"/>
      <c r="U156" s="855"/>
      <c r="V156" s="855"/>
      <c r="W156" s="855"/>
    </row>
    <row r="157" spans="1:25" ht="15.75" customHeight="1" thickBot="1">
      <c r="A157" s="727"/>
      <c r="C157" s="732">
        <f>+MAX(C$11:C156)+1</f>
        <v>146</v>
      </c>
      <c r="D157" s="738" t="s">
        <v>259</v>
      </c>
      <c r="E157" s="855"/>
      <c r="F157" s="856">
        <v>10.285714285714286</v>
      </c>
      <c r="G157" s="856">
        <v>10.285714285714286</v>
      </c>
      <c r="H157" s="856">
        <f>G157</f>
        <v>10.285714285714286</v>
      </c>
      <c r="I157" s="856">
        <v>12.032876712328768</v>
      </c>
      <c r="J157" s="856">
        <v>11.738094505156226</v>
      </c>
      <c r="K157" s="856">
        <v>12</v>
      </c>
      <c r="L157" s="856">
        <v>12</v>
      </c>
      <c r="M157" s="856">
        <v>12</v>
      </c>
      <c r="N157" s="855">
        <f t="shared" ref="N157:W157" si="85">M157</f>
        <v>12</v>
      </c>
      <c r="O157" s="855">
        <f t="shared" si="85"/>
        <v>12</v>
      </c>
      <c r="P157" s="855">
        <f t="shared" si="85"/>
        <v>12</v>
      </c>
      <c r="Q157" s="855">
        <f t="shared" si="85"/>
        <v>12</v>
      </c>
      <c r="R157" s="855">
        <f t="shared" si="85"/>
        <v>12</v>
      </c>
      <c r="S157" s="855">
        <f t="shared" si="85"/>
        <v>12</v>
      </c>
      <c r="T157" s="855">
        <f t="shared" si="85"/>
        <v>12</v>
      </c>
      <c r="U157" s="855">
        <f t="shared" si="85"/>
        <v>12</v>
      </c>
      <c r="V157" s="855">
        <f t="shared" si="85"/>
        <v>12</v>
      </c>
      <c r="W157" s="855">
        <f t="shared" si="85"/>
        <v>12</v>
      </c>
    </row>
    <row r="158" spans="1:25" ht="15.75" customHeight="1" thickBot="1">
      <c r="A158" s="727"/>
      <c r="C158" s="732">
        <f>+MAX(C$11:C157)+1</f>
        <v>147</v>
      </c>
      <c r="D158" s="766"/>
      <c r="E158" s="760"/>
      <c r="H158" s="760"/>
    </row>
    <row r="159" spans="1:25" ht="15.75" customHeight="1" thickBot="1">
      <c r="A159" s="727"/>
      <c r="C159" s="732">
        <f>+MAX(C$11:C158)+1</f>
        <v>148</v>
      </c>
      <c r="D159" s="738" t="s">
        <v>215</v>
      </c>
      <c r="E159" s="764"/>
      <c r="F159" s="838">
        <v>500</v>
      </c>
      <c r="G159" s="838">
        <v>500</v>
      </c>
      <c r="H159" s="838">
        <v>500</v>
      </c>
      <c r="I159" s="838">
        <v>1000</v>
      </c>
      <c r="J159" s="838">
        <v>1000</v>
      </c>
      <c r="K159" s="838">
        <v>1000</v>
      </c>
      <c r="L159" s="838">
        <v>1000</v>
      </c>
      <c r="M159" s="838">
        <v>1000</v>
      </c>
      <c r="N159" s="764">
        <f t="shared" ref="N159:W159" si="86">ROUND(+M159*(1+N$10),$Y$8)</f>
        <v>1000</v>
      </c>
      <c r="O159" s="764">
        <f t="shared" si="86"/>
        <v>1000</v>
      </c>
      <c r="P159" s="764">
        <f t="shared" si="86"/>
        <v>1000</v>
      </c>
      <c r="Q159" s="764">
        <f t="shared" si="86"/>
        <v>1000</v>
      </c>
      <c r="R159" s="764">
        <f t="shared" si="86"/>
        <v>1000</v>
      </c>
      <c r="S159" s="764">
        <f t="shared" si="86"/>
        <v>1000</v>
      </c>
      <c r="T159" s="764">
        <f t="shared" si="86"/>
        <v>1000</v>
      </c>
      <c r="U159" s="764">
        <f t="shared" si="86"/>
        <v>1000</v>
      </c>
      <c r="V159" s="764">
        <f t="shared" si="86"/>
        <v>1000</v>
      </c>
      <c r="W159" s="764">
        <f t="shared" si="86"/>
        <v>1000</v>
      </c>
    </row>
    <row r="160" spans="1:25" ht="15.75" customHeight="1" thickBot="1">
      <c r="A160" s="727"/>
      <c r="C160" s="732">
        <f>+MAX(C$11:C159)+1</f>
        <v>149</v>
      </c>
      <c r="D160" s="738"/>
      <c r="E160" s="764"/>
      <c r="F160" s="769"/>
      <c r="G160" s="769"/>
      <c r="H160" s="769"/>
      <c r="I160" s="769"/>
      <c r="J160" s="769"/>
      <c r="K160" s="769"/>
      <c r="L160" s="769"/>
      <c r="M160" s="769"/>
    </row>
    <row r="161" spans="1:23" ht="15.75" customHeight="1" thickBot="1">
      <c r="A161" s="727"/>
      <c r="C161" s="732">
        <f>+MAX(C$11:C160)+1</f>
        <v>150</v>
      </c>
      <c r="D161" s="738" t="s">
        <v>218</v>
      </c>
      <c r="E161" s="764"/>
      <c r="F161" s="838">
        <v>4.5</v>
      </c>
      <c r="G161" s="838">
        <v>4.5</v>
      </c>
      <c r="H161" s="838">
        <v>4.5</v>
      </c>
      <c r="I161" s="838">
        <v>4.5</v>
      </c>
      <c r="J161" s="838">
        <v>5.04</v>
      </c>
      <c r="K161" s="838">
        <v>5.14</v>
      </c>
      <c r="L161" s="838">
        <v>5.26</v>
      </c>
      <c r="M161" s="838">
        <v>5.37</v>
      </c>
      <c r="N161" s="764">
        <f t="shared" ref="N161:W161" si="87">ROUND(+M161*(1+N$10),$Y$8)</f>
        <v>5.37</v>
      </c>
      <c r="O161" s="764">
        <f t="shared" si="87"/>
        <v>5.37</v>
      </c>
      <c r="P161" s="764">
        <f t="shared" si="87"/>
        <v>5.37</v>
      </c>
      <c r="Q161" s="764">
        <f t="shared" si="87"/>
        <v>5.37</v>
      </c>
      <c r="R161" s="764">
        <f t="shared" si="87"/>
        <v>5.37</v>
      </c>
      <c r="S161" s="764">
        <f t="shared" si="87"/>
        <v>5.37</v>
      </c>
      <c r="T161" s="764">
        <f t="shared" si="87"/>
        <v>5.37</v>
      </c>
      <c r="U161" s="764">
        <f t="shared" si="87"/>
        <v>5.37</v>
      </c>
      <c r="V161" s="764">
        <f t="shared" si="87"/>
        <v>5.37</v>
      </c>
      <c r="W161" s="764">
        <f t="shared" si="87"/>
        <v>5.37</v>
      </c>
    </row>
    <row r="162" spans="1:23" ht="15.75" customHeight="1" thickBot="1">
      <c r="A162" s="727"/>
      <c r="C162" s="732">
        <f>+MAX(C$11:C161)+1</f>
        <v>151</v>
      </c>
      <c r="D162" s="738"/>
      <c r="E162" s="764"/>
      <c r="F162" s="768"/>
      <c r="G162" s="768"/>
      <c r="H162" s="768"/>
      <c r="I162" s="768"/>
      <c r="J162" s="768"/>
      <c r="K162" s="768"/>
      <c r="L162" s="768"/>
      <c r="M162" s="768"/>
      <c r="N162" s="764"/>
      <c r="O162" s="764"/>
      <c r="P162" s="764"/>
      <c r="Q162" s="764"/>
      <c r="R162" s="764"/>
      <c r="S162" s="764"/>
      <c r="T162" s="764"/>
      <c r="U162" s="764"/>
      <c r="V162" s="764"/>
      <c r="W162" s="764"/>
    </row>
    <row r="163" spans="1:23" ht="15.75" hidden="1" customHeight="1" thickBot="1">
      <c r="A163" s="727"/>
      <c r="C163" s="732">
        <f>+MAX(C$11:C162)+1</f>
        <v>152</v>
      </c>
      <c r="D163" s="852" t="s">
        <v>240</v>
      </c>
      <c r="E163" s="764"/>
      <c r="F163" s="837">
        <v>2.7543723154762729E-3</v>
      </c>
      <c r="G163" s="837">
        <v>2.7543723154762729E-3</v>
      </c>
      <c r="H163" s="837">
        <f>G163</f>
        <v>2.7543723154762729E-3</v>
      </c>
      <c r="I163" s="837"/>
      <c r="J163" s="837"/>
      <c r="K163" s="837"/>
      <c r="L163" s="837"/>
      <c r="M163" s="837"/>
      <c r="N163" s="791">
        <f t="shared" ref="N163:W163" si="88">M163</f>
        <v>0</v>
      </c>
      <c r="O163" s="791">
        <f t="shared" si="88"/>
        <v>0</v>
      </c>
      <c r="P163" s="791">
        <f t="shared" si="88"/>
        <v>0</v>
      </c>
      <c r="Q163" s="791">
        <f t="shared" si="88"/>
        <v>0</v>
      </c>
      <c r="R163" s="791">
        <f t="shared" si="88"/>
        <v>0</v>
      </c>
      <c r="S163" s="791">
        <f t="shared" si="88"/>
        <v>0</v>
      </c>
      <c r="T163" s="791">
        <f t="shared" si="88"/>
        <v>0</v>
      </c>
      <c r="U163" s="791">
        <f t="shared" si="88"/>
        <v>0</v>
      </c>
      <c r="V163" s="791">
        <f t="shared" si="88"/>
        <v>0</v>
      </c>
      <c r="W163" s="791">
        <f t="shared" si="88"/>
        <v>0</v>
      </c>
    </row>
    <row r="164" spans="1:23" ht="15.75" hidden="1" customHeight="1" thickBot="1">
      <c r="A164" s="727"/>
      <c r="C164" s="732">
        <f>+MAX(C$11:C163)+1</f>
        <v>153</v>
      </c>
      <c r="D164" s="738"/>
      <c r="E164" s="764"/>
      <c r="F164" s="768"/>
      <c r="G164" s="768"/>
      <c r="H164" s="768"/>
      <c r="I164" s="768"/>
      <c r="J164" s="768"/>
      <c r="K164" s="768"/>
      <c r="L164" s="768"/>
      <c r="M164" s="768"/>
      <c r="N164" s="764"/>
      <c r="O164" s="764"/>
      <c r="P164" s="764"/>
      <c r="Q164" s="764"/>
      <c r="R164" s="764"/>
      <c r="S164" s="764"/>
      <c r="T164" s="764"/>
      <c r="U164" s="764"/>
      <c r="V164" s="764"/>
      <c r="W164" s="764"/>
    </row>
    <row r="165" spans="1:23" ht="15.75" customHeight="1" thickBot="1">
      <c r="A165" s="727"/>
      <c r="C165" s="732">
        <f>+MAX(C$11:C164)+1</f>
        <v>154</v>
      </c>
      <c r="D165" s="738" t="s">
        <v>241</v>
      </c>
      <c r="E165" s="764"/>
      <c r="F165" s="837">
        <v>3.1118732212989863E-3</v>
      </c>
      <c r="G165" s="837">
        <v>3.1118732212989863E-3</v>
      </c>
      <c r="H165" s="837">
        <f>G165</f>
        <v>3.1118732212989863E-3</v>
      </c>
      <c r="I165" s="837">
        <v>0</v>
      </c>
      <c r="J165" s="837">
        <v>0</v>
      </c>
      <c r="K165" s="837">
        <v>0</v>
      </c>
      <c r="L165" s="837">
        <v>0</v>
      </c>
      <c r="M165" s="837">
        <v>0</v>
      </c>
      <c r="N165" s="791">
        <f t="shared" ref="N165:W165" si="89">M165</f>
        <v>0</v>
      </c>
      <c r="O165" s="791">
        <f t="shared" si="89"/>
        <v>0</v>
      </c>
      <c r="P165" s="791">
        <f t="shared" si="89"/>
        <v>0</v>
      </c>
      <c r="Q165" s="791">
        <f t="shared" si="89"/>
        <v>0</v>
      </c>
      <c r="R165" s="791">
        <f t="shared" si="89"/>
        <v>0</v>
      </c>
      <c r="S165" s="791">
        <f t="shared" si="89"/>
        <v>0</v>
      </c>
      <c r="T165" s="791">
        <f t="shared" si="89"/>
        <v>0</v>
      </c>
      <c r="U165" s="791">
        <f t="shared" si="89"/>
        <v>0</v>
      </c>
      <c r="V165" s="791">
        <f t="shared" si="89"/>
        <v>0</v>
      </c>
      <c r="W165" s="791">
        <f t="shared" si="89"/>
        <v>0</v>
      </c>
    </row>
    <row r="166" spans="1:23" ht="15.75" customHeight="1">
      <c r="A166" s="727"/>
      <c r="C166" s="732">
        <f>+MAX(C$11:C165)+1</f>
        <v>155</v>
      </c>
      <c r="D166" s="738"/>
      <c r="E166" s="764"/>
      <c r="F166" s="769"/>
      <c r="G166" s="762"/>
      <c r="H166" s="760"/>
    </row>
    <row r="167" spans="1:23" ht="15.75" customHeight="1" thickBot="1">
      <c r="A167" s="727"/>
      <c r="C167" s="732">
        <f>+MAX(C$11:C166)+1</f>
        <v>156</v>
      </c>
      <c r="D167" s="738" t="s">
        <v>271</v>
      </c>
      <c r="E167" s="767"/>
      <c r="F167" s="768"/>
      <c r="G167" s="762"/>
      <c r="H167" s="760"/>
    </row>
    <row r="168" spans="1:23" ht="15.75" customHeight="1">
      <c r="A168" s="727"/>
      <c r="C168" s="732">
        <f>+MAX(C$11:C167)+1</f>
        <v>157</v>
      </c>
      <c r="D168" s="763" t="s">
        <v>216</v>
      </c>
      <c r="E168" s="767"/>
      <c r="F168" s="847">
        <v>1.9199999999999998E-2</v>
      </c>
      <c r="G168" s="847">
        <f>ROUND(+F168*(1+G$10),$Y$9)</f>
        <v>1.9199999999999998E-2</v>
      </c>
      <c r="H168" s="847">
        <v>2.2055000000000002E-2</v>
      </c>
      <c r="I168" s="847">
        <v>2.4400000000000002E-2</v>
      </c>
      <c r="J168" s="847">
        <v>2.5329999999999998E-2</v>
      </c>
      <c r="K168" s="847">
        <v>2.5520000000000001E-2</v>
      </c>
      <c r="L168" s="847">
        <v>2.5520000000000001E-2</v>
      </c>
      <c r="M168" s="847">
        <v>2.5520000000000001E-2</v>
      </c>
      <c r="N168" s="767">
        <f t="shared" ref="N168:W168" si="90">ROUND(+M168*(1+N$10),$Y$9)</f>
        <v>2.5520000000000001E-2</v>
      </c>
      <c r="O168" s="767">
        <f t="shared" si="90"/>
        <v>2.5520000000000001E-2</v>
      </c>
      <c r="P168" s="767">
        <f t="shared" si="90"/>
        <v>2.5520000000000001E-2</v>
      </c>
      <c r="Q168" s="767">
        <f t="shared" si="90"/>
        <v>2.5520000000000001E-2</v>
      </c>
      <c r="R168" s="767">
        <f t="shared" si="90"/>
        <v>2.5520000000000001E-2</v>
      </c>
      <c r="S168" s="767">
        <f t="shared" si="90"/>
        <v>2.5520000000000001E-2</v>
      </c>
      <c r="T168" s="767">
        <f t="shared" si="90"/>
        <v>2.5520000000000001E-2</v>
      </c>
      <c r="U168" s="767">
        <f t="shared" si="90"/>
        <v>2.5520000000000001E-2</v>
      </c>
      <c r="V168" s="767">
        <f t="shared" si="90"/>
        <v>2.5520000000000001E-2</v>
      </c>
      <c r="W168" s="767">
        <f t="shared" si="90"/>
        <v>2.5520000000000001E-2</v>
      </c>
    </row>
    <row r="169" spans="1:23" ht="15.75" customHeight="1">
      <c r="A169" s="727"/>
      <c r="C169" s="732">
        <f>+MAX(C$11:C168)+1</f>
        <v>158</v>
      </c>
      <c r="D169" s="763" t="s">
        <v>217</v>
      </c>
      <c r="E169" s="767"/>
      <c r="F169" s="848">
        <v>2.24E-2</v>
      </c>
      <c r="G169" s="848">
        <f>ROUND(+F169*(1+G$10),$Y$9)</f>
        <v>2.24E-2</v>
      </c>
      <c r="H169" s="848">
        <v>2.5255E-2</v>
      </c>
      <c r="I169" s="848">
        <v>2.75E-2</v>
      </c>
      <c r="J169" s="848">
        <v>2.8879999999999999E-2</v>
      </c>
      <c r="K169" s="848">
        <v>2.9090000000000001E-2</v>
      </c>
      <c r="L169" s="848">
        <v>2.9090000000000001E-2</v>
      </c>
      <c r="M169" s="848">
        <v>2.9090000000000001E-2</v>
      </c>
      <c r="N169" s="767">
        <f t="shared" ref="N169:W169" si="91">ROUND(+M169*(1+N$10),$Y$9)</f>
        <v>2.9090000000000001E-2</v>
      </c>
      <c r="O169" s="767">
        <f t="shared" si="91"/>
        <v>2.9090000000000001E-2</v>
      </c>
      <c r="P169" s="767">
        <f t="shared" si="91"/>
        <v>2.9090000000000001E-2</v>
      </c>
      <c r="Q169" s="767">
        <f t="shared" si="91"/>
        <v>2.9090000000000001E-2</v>
      </c>
      <c r="R169" s="767">
        <f t="shared" si="91"/>
        <v>2.9090000000000001E-2</v>
      </c>
      <c r="S169" s="767">
        <f t="shared" si="91"/>
        <v>2.9090000000000001E-2</v>
      </c>
      <c r="T169" s="767">
        <f t="shared" si="91"/>
        <v>2.9090000000000001E-2</v>
      </c>
      <c r="U169" s="767">
        <f t="shared" si="91"/>
        <v>2.9090000000000001E-2</v>
      </c>
      <c r="V169" s="767">
        <f t="shared" si="91"/>
        <v>2.9090000000000001E-2</v>
      </c>
      <c r="W169" s="767">
        <f t="shared" si="91"/>
        <v>2.9090000000000001E-2</v>
      </c>
    </row>
    <row r="170" spans="1:23" ht="15.75" customHeight="1">
      <c r="A170" s="727"/>
      <c r="C170" s="732">
        <f>+MAX(C$11:C169)+1</f>
        <v>159</v>
      </c>
      <c r="D170" s="763" t="s">
        <v>221</v>
      </c>
      <c r="E170" s="767"/>
      <c r="F170" s="848"/>
      <c r="G170" s="848"/>
      <c r="H170" s="848">
        <v>2.5255E-2</v>
      </c>
      <c r="I170" s="848">
        <v>2.8500000000000001E-2</v>
      </c>
      <c r="J170" s="848">
        <v>3.0210000000000001E-2</v>
      </c>
      <c r="K170" s="848">
        <v>3.0439999999999998E-2</v>
      </c>
      <c r="L170" s="848">
        <v>3.0439999999999998E-2</v>
      </c>
      <c r="M170" s="848">
        <v>3.0439999999999998E-2</v>
      </c>
      <c r="N170" s="767">
        <f t="shared" ref="N170:W170" si="92">ROUND(+M170*(1+N$10),$Y$9)</f>
        <v>3.0439999999999998E-2</v>
      </c>
      <c r="O170" s="767">
        <f t="shared" si="92"/>
        <v>3.0439999999999998E-2</v>
      </c>
      <c r="P170" s="767">
        <f t="shared" si="92"/>
        <v>3.0439999999999998E-2</v>
      </c>
      <c r="Q170" s="767">
        <f t="shared" si="92"/>
        <v>3.0439999999999998E-2</v>
      </c>
      <c r="R170" s="767">
        <f t="shared" si="92"/>
        <v>3.0439999999999998E-2</v>
      </c>
      <c r="S170" s="767">
        <f t="shared" si="92"/>
        <v>3.0439999999999998E-2</v>
      </c>
      <c r="T170" s="767">
        <f t="shared" si="92"/>
        <v>3.0439999999999998E-2</v>
      </c>
      <c r="U170" s="767">
        <f t="shared" si="92"/>
        <v>3.0439999999999998E-2</v>
      </c>
      <c r="V170" s="767">
        <f t="shared" si="92"/>
        <v>3.0439999999999998E-2</v>
      </c>
      <c r="W170" s="767">
        <f t="shared" si="92"/>
        <v>3.0439999999999998E-2</v>
      </c>
    </row>
    <row r="171" spans="1:23" ht="15.75" customHeight="1">
      <c r="A171" s="727"/>
      <c r="C171" s="732">
        <f>+MAX(C$11:C170)+1</f>
        <v>160</v>
      </c>
      <c r="D171" s="763" t="s">
        <v>1006</v>
      </c>
      <c r="E171" s="767"/>
      <c r="F171" s="848"/>
      <c r="G171" s="848"/>
      <c r="H171" s="848">
        <v>2.5255E-2</v>
      </c>
      <c r="I171" s="848">
        <v>2.9499999999999998E-2</v>
      </c>
      <c r="J171" s="848">
        <v>3.1269999999999999E-2</v>
      </c>
      <c r="K171" s="848">
        <f>K170</f>
        <v>3.0439999999999998E-2</v>
      </c>
      <c r="L171" s="848">
        <f>L170</f>
        <v>3.0439999999999998E-2</v>
      </c>
      <c r="M171" s="848">
        <f>M170</f>
        <v>3.0439999999999998E-2</v>
      </c>
      <c r="N171" s="767">
        <f t="shared" ref="N171:W171" si="93">ROUND(+M171*(1+N$10),$Y$9)</f>
        <v>3.0439999999999998E-2</v>
      </c>
      <c r="O171" s="767">
        <f t="shared" si="93"/>
        <v>3.0439999999999998E-2</v>
      </c>
      <c r="P171" s="767">
        <f t="shared" si="93"/>
        <v>3.0439999999999998E-2</v>
      </c>
      <c r="Q171" s="767">
        <f t="shared" si="93"/>
        <v>3.0439999999999998E-2</v>
      </c>
      <c r="R171" s="767">
        <f t="shared" si="93"/>
        <v>3.0439999999999998E-2</v>
      </c>
      <c r="S171" s="767">
        <f t="shared" si="93"/>
        <v>3.0439999999999998E-2</v>
      </c>
      <c r="T171" s="767">
        <f t="shared" si="93"/>
        <v>3.0439999999999998E-2</v>
      </c>
      <c r="U171" s="767">
        <f t="shared" si="93"/>
        <v>3.0439999999999998E-2</v>
      </c>
      <c r="V171" s="767">
        <f t="shared" si="93"/>
        <v>3.0439999999999998E-2</v>
      </c>
      <c r="W171" s="767">
        <f t="shared" si="93"/>
        <v>3.0439999999999998E-2</v>
      </c>
    </row>
    <row r="172" spans="1:23" ht="15.75" customHeight="1" thickBot="1">
      <c r="A172" s="727"/>
      <c r="C172" s="732">
        <f>+MAX(C$11:C171)+1</f>
        <v>161</v>
      </c>
      <c r="D172" s="763" t="s">
        <v>1007</v>
      </c>
      <c r="E172" s="767"/>
      <c r="F172" s="849"/>
      <c r="G172" s="849"/>
      <c r="H172" s="849">
        <v>2.7855000000000001E-2</v>
      </c>
      <c r="I172" s="849">
        <v>3.2500000000000001E-2</v>
      </c>
      <c r="J172" s="849">
        <v>3.4779999999999998E-2</v>
      </c>
      <c r="K172" s="849">
        <f>K170</f>
        <v>3.0439999999999998E-2</v>
      </c>
      <c r="L172" s="849">
        <f>L170</f>
        <v>3.0439999999999998E-2</v>
      </c>
      <c r="M172" s="849">
        <f>M170</f>
        <v>3.0439999999999998E-2</v>
      </c>
      <c r="N172" s="767">
        <f t="shared" ref="N172:W172" si="94">ROUND(+M172*(1+N$10),$Y$9)</f>
        <v>3.0439999999999998E-2</v>
      </c>
      <c r="O172" s="767">
        <f t="shared" si="94"/>
        <v>3.0439999999999998E-2</v>
      </c>
      <c r="P172" s="767">
        <f t="shared" si="94"/>
        <v>3.0439999999999998E-2</v>
      </c>
      <c r="Q172" s="767">
        <f t="shared" si="94"/>
        <v>3.0439999999999998E-2</v>
      </c>
      <c r="R172" s="767">
        <f t="shared" si="94"/>
        <v>3.0439999999999998E-2</v>
      </c>
      <c r="S172" s="767">
        <f t="shared" si="94"/>
        <v>3.0439999999999998E-2</v>
      </c>
      <c r="T172" s="767">
        <f t="shared" si="94"/>
        <v>3.0439999999999998E-2</v>
      </c>
      <c r="U172" s="767">
        <f t="shared" si="94"/>
        <v>3.0439999999999998E-2</v>
      </c>
      <c r="V172" s="767">
        <f t="shared" si="94"/>
        <v>3.0439999999999998E-2</v>
      </c>
      <c r="W172" s="767">
        <f t="shared" si="94"/>
        <v>3.0439999999999998E-2</v>
      </c>
    </row>
    <row r="173" spans="1:23" ht="15.75" hidden="1" customHeight="1">
      <c r="A173" s="727"/>
      <c r="C173" s="732">
        <f>+MAX(C$11:C172)+1</f>
        <v>162</v>
      </c>
      <c r="D173" s="763" t="s">
        <v>235</v>
      </c>
      <c r="E173" s="767"/>
      <c r="F173" s="842">
        <v>0.58849176193976616</v>
      </c>
      <c r="G173" s="842">
        <f>F173</f>
        <v>0.58849176193976616</v>
      </c>
      <c r="H173" s="842">
        <f>G173</f>
        <v>0.58849176193976616</v>
      </c>
      <c r="I173" s="842"/>
      <c r="J173" s="842"/>
      <c r="K173" s="842"/>
      <c r="L173" s="791">
        <f t="shared" ref="L173:W173" si="95">K173</f>
        <v>0</v>
      </c>
      <c r="M173" s="791">
        <f t="shared" si="95"/>
        <v>0</v>
      </c>
      <c r="N173" s="791">
        <f t="shared" si="95"/>
        <v>0</v>
      </c>
      <c r="O173" s="791">
        <f t="shared" si="95"/>
        <v>0</v>
      </c>
      <c r="P173" s="791">
        <f t="shared" si="95"/>
        <v>0</v>
      </c>
      <c r="Q173" s="791">
        <f t="shared" si="95"/>
        <v>0</v>
      </c>
      <c r="R173" s="791">
        <f t="shared" si="95"/>
        <v>0</v>
      </c>
      <c r="S173" s="791">
        <f t="shared" si="95"/>
        <v>0</v>
      </c>
      <c r="T173" s="791">
        <f t="shared" si="95"/>
        <v>0</v>
      </c>
      <c r="U173" s="791">
        <f t="shared" si="95"/>
        <v>0</v>
      </c>
      <c r="V173" s="791">
        <f t="shared" si="95"/>
        <v>0</v>
      </c>
      <c r="W173" s="791">
        <f t="shared" si="95"/>
        <v>0</v>
      </c>
    </row>
    <row r="174" spans="1:23" ht="15.75" hidden="1" customHeight="1">
      <c r="A174" s="727"/>
      <c r="C174" s="732">
        <f>+MAX(C$11:C173)+1</f>
        <v>163</v>
      </c>
      <c r="D174" s="763" t="s">
        <v>236</v>
      </c>
      <c r="E174" s="767"/>
      <c r="F174" s="843">
        <v>0.41150823806023384</v>
      </c>
      <c r="G174" s="843">
        <f>F174</f>
        <v>0.41150823806023384</v>
      </c>
      <c r="H174" s="843">
        <f>G174</f>
        <v>0.41150823806023384</v>
      </c>
      <c r="I174" s="843"/>
      <c r="J174" s="843"/>
      <c r="K174" s="843"/>
      <c r="L174" s="791">
        <f t="shared" ref="L174:W174" si="96">K174</f>
        <v>0</v>
      </c>
      <c r="M174" s="791">
        <f t="shared" si="96"/>
        <v>0</v>
      </c>
      <c r="N174" s="791">
        <f t="shared" si="96"/>
        <v>0</v>
      </c>
      <c r="O174" s="791">
        <f t="shared" si="96"/>
        <v>0</v>
      </c>
      <c r="P174" s="791">
        <f t="shared" si="96"/>
        <v>0</v>
      </c>
      <c r="Q174" s="791">
        <f t="shared" si="96"/>
        <v>0</v>
      </c>
      <c r="R174" s="791">
        <f t="shared" si="96"/>
        <v>0</v>
      </c>
      <c r="S174" s="791">
        <f t="shared" si="96"/>
        <v>0</v>
      </c>
      <c r="T174" s="791">
        <f t="shared" si="96"/>
        <v>0</v>
      </c>
      <c r="U174" s="791">
        <f t="shared" si="96"/>
        <v>0</v>
      </c>
      <c r="V174" s="791">
        <f t="shared" si="96"/>
        <v>0</v>
      </c>
      <c r="W174" s="791">
        <f t="shared" si="96"/>
        <v>0</v>
      </c>
    </row>
    <row r="175" spans="1:23" ht="15.75" hidden="1" customHeight="1">
      <c r="A175" s="727"/>
      <c r="C175" s="732">
        <f>+MAX(C$11:C174)+1</f>
        <v>164</v>
      </c>
      <c r="D175" s="763" t="s">
        <v>237</v>
      </c>
      <c r="E175" s="767"/>
      <c r="F175" s="843"/>
      <c r="G175" s="843"/>
      <c r="H175" s="843"/>
      <c r="I175" s="843"/>
      <c r="J175" s="843"/>
      <c r="K175" s="843"/>
      <c r="L175" s="791">
        <f t="shared" ref="L175:W175" si="97">K175</f>
        <v>0</v>
      </c>
      <c r="M175" s="791">
        <f t="shared" si="97"/>
        <v>0</v>
      </c>
      <c r="N175" s="791">
        <f t="shared" si="97"/>
        <v>0</v>
      </c>
      <c r="O175" s="791">
        <f t="shared" si="97"/>
        <v>0</v>
      </c>
      <c r="P175" s="791">
        <f t="shared" si="97"/>
        <v>0</v>
      </c>
      <c r="Q175" s="791">
        <f t="shared" si="97"/>
        <v>0</v>
      </c>
      <c r="R175" s="791">
        <f t="shared" si="97"/>
        <v>0</v>
      </c>
      <c r="S175" s="791">
        <f t="shared" si="97"/>
        <v>0</v>
      </c>
      <c r="T175" s="791">
        <f t="shared" si="97"/>
        <v>0</v>
      </c>
      <c r="U175" s="791">
        <f t="shared" si="97"/>
        <v>0</v>
      </c>
      <c r="V175" s="791">
        <f t="shared" si="97"/>
        <v>0</v>
      </c>
      <c r="W175" s="791">
        <f t="shared" si="97"/>
        <v>0</v>
      </c>
    </row>
    <row r="176" spans="1:23" ht="15.75" hidden="1" customHeight="1">
      <c r="A176" s="727"/>
      <c r="C176" s="732">
        <f>+MAX(C$11:C175)+1</f>
        <v>165</v>
      </c>
      <c r="D176" s="763" t="s">
        <v>1008</v>
      </c>
      <c r="E176" s="767"/>
      <c r="F176" s="843"/>
      <c r="G176" s="843"/>
      <c r="H176" s="843"/>
      <c r="I176" s="843"/>
      <c r="J176" s="843"/>
      <c r="K176" s="843"/>
      <c r="L176" s="791">
        <f t="shared" ref="L176:W176" si="98">K176</f>
        <v>0</v>
      </c>
      <c r="M176" s="791">
        <f t="shared" si="98"/>
        <v>0</v>
      </c>
      <c r="N176" s="791">
        <f t="shared" si="98"/>
        <v>0</v>
      </c>
      <c r="O176" s="791">
        <f t="shared" si="98"/>
        <v>0</v>
      </c>
      <c r="P176" s="791">
        <f t="shared" si="98"/>
        <v>0</v>
      </c>
      <c r="Q176" s="791">
        <f t="shared" si="98"/>
        <v>0</v>
      </c>
      <c r="R176" s="791">
        <f t="shared" si="98"/>
        <v>0</v>
      </c>
      <c r="S176" s="791">
        <f t="shared" si="98"/>
        <v>0</v>
      </c>
      <c r="T176" s="791">
        <f t="shared" si="98"/>
        <v>0</v>
      </c>
      <c r="U176" s="791">
        <f t="shared" si="98"/>
        <v>0</v>
      </c>
      <c r="V176" s="791">
        <f t="shared" si="98"/>
        <v>0</v>
      </c>
      <c r="W176" s="791">
        <f t="shared" si="98"/>
        <v>0</v>
      </c>
    </row>
    <row r="177" spans="1:23" ht="15.75" hidden="1" customHeight="1" thickBot="1">
      <c r="A177" s="727"/>
      <c r="C177" s="732">
        <f>+MAX(C$11:C176)+1</f>
        <v>166</v>
      </c>
      <c r="D177" s="763" t="s">
        <v>1009</v>
      </c>
      <c r="E177" s="767"/>
      <c r="F177" s="844"/>
      <c r="G177" s="844"/>
      <c r="H177" s="844"/>
      <c r="I177" s="844"/>
      <c r="J177" s="844"/>
      <c r="K177" s="844"/>
      <c r="L177" s="791">
        <f t="shared" ref="L177:W177" si="99">K177</f>
        <v>0</v>
      </c>
      <c r="M177" s="791">
        <f t="shared" si="99"/>
        <v>0</v>
      </c>
      <c r="N177" s="791">
        <f t="shared" si="99"/>
        <v>0</v>
      </c>
      <c r="O177" s="791">
        <f t="shared" si="99"/>
        <v>0</v>
      </c>
      <c r="P177" s="791">
        <f t="shared" si="99"/>
        <v>0</v>
      </c>
      <c r="Q177" s="791">
        <f t="shared" si="99"/>
        <v>0</v>
      </c>
      <c r="R177" s="791">
        <f t="shared" si="99"/>
        <v>0</v>
      </c>
      <c r="S177" s="791">
        <f t="shared" si="99"/>
        <v>0</v>
      </c>
      <c r="T177" s="791">
        <f t="shared" si="99"/>
        <v>0</v>
      </c>
      <c r="U177" s="791">
        <f t="shared" si="99"/>
        <v>0</v>
      </c>
      <c r="V177" s="791">
        <f t="shared" si="99"/>
        <v>0</v>
      </c>
      <c r="W177" s="791">
        <f t="shared" si="99"/>
        <v>0</v>
      </c>
    </row>
    <row r="178" spans="1:23" ht="15.75" customHeight="1">
      <c r="A178" s="727"/>
      <c r="C178" s="732">
        <f>+MAX(C$11:C177)+1</f>
        <v>167</v>
      </c>
      <c r="G178" s="762"/>
      <c r="H178" s="760"/>
    </row>
    <row r="179" spans="1:23" ht="15.75" customHeight="1">
      <c r="A179" s="727"/>
      <c r="C179" s="732">
        <f>+MAX(C$11:C178)+1</f>
        <v>168</v>
      </c>
      <c r="D179" s="751" t="s">
        <v>229</v>
      </c>
      <c r="E179" s="760"/>
      <c r="G179" s="762"/>
      <c r="H179" s="760"/>
    </row>
    <row r="180" spans="1:23" ht="15.75" customHeight="1" thickBot="1">
      <c r="A180" s="727"/>
      <c r="C180" s="732">
        <f>+MAX(C$11:C179)+1</f>
        <v>169</v>
      </c>
      <c r="D180" s="766"/>
      <c r="E180" s="760"/>
      <c r="G180" s="762"/>
      <c r="H180" s="760"/>
    </row>
    <row r="181" spans="1:23" ht="15.75" customHeight="1" thickBot="1">
      <c r="A181" s="727"/>
      <c r="C181" s="732">
        <f>+MAX(C$11:C180)+1</f>
        <v>170</v>
      </c>
      <c r="D181" s="738" t="s">
        <v>238</v>
      </c>
      <c r="E181" s="855"/>
      <c r="F181" s="856">
        <v>486.80532090662143</v>
      </c>
      <c r="G181" s="856">
        <v>486.80532090662143</v>
      </c>
      <c r="H181" s="856">
        <f>G181</f>
        <v>486.80532090662143</v>
      </c>
      <c r="I181" s="854">
        <f>Cust_Detail!I102/Cust_Detail!I99</f>
        <v>489.07778681322276</v>
      </c>
      <c r="J181" s="854">
        <f>Cust_Detail!J102/Cust_Detail!J99</f>
        <v>456.15674627678601</v>
      </c>
      <c r="K181" s="854">
        <f>Cust_Detail!K102/Cust_Detail!K99</f>
        <v>515.66489448512198</v>
      </c>
      <c r="L181" s="854">
        <f>Cust_Detail!L102/Cust_Detail!L99</f>
        <v>515.83104034733719</v>
      </c>
      <c r="M181" s="854">
        <f>Cust_Detail!M102/Cust_Detail!M99</f>
        <v>516.98498669917672</v>
      </c>
      <c r="N181" s="854">
        <f>Cust_Detail!N102/Cust_Detail!N99</f>
        <v>513.60114516236195</v>
      </c>
      <c r="O181" s="854">
        <f>Cust_Detail!O102/Cust_Detail!O99</f>
        <v>513.63277611485387</v>
      </c>
      <c r="P181" s="854">
        <f>Cust_Detail!P102/Cust_Detail!P99</f>
        <v>513.67542952669328</v>
      </c>
      <c r="Q181" s="854">
        <f>Cust_Detail!Q102/Cust_Detail!Q99</f>
        <v>514.90033367175772</v>
      </c>
      <c r="R181" s="854">
        <f>Cust_Detail!R102/Cust_Detail!R99</f>
        <v>513.67542952669328</v>
      </c>
      <c r="S181" s="854">
        <f>Cust_Detail!S102/Cust_Detail!S99</f>
        <v>513.67542952669339</v>
      </c>
      <c r="T181" s="854">
        <f>Cust_Detail!T102/Cust_Detail!T99</f>
        <v>513.67542952669351</v>
      </c>
      <c r="U181" s="854">
        <f>Cust_Detail!U102/Cust_Detail!U99</f>
        <v>514.90033367175761</v>
      </c>
      <c r="V181" s="854">
        <f>Cust_Detail!V102/Cust_Detail!V99</f>
        <v>513.67542952669328</v>
      </c>
      <c r="W181" s="854">
        <f>Cust_Detail!W102/Cust_Detail!W99</f>
        <v>513.67542952669351</v>
      </c>
    </row>
    <row r="182" spans="1:23" ht="15.75" customHeight="1" thickBot="1">
      <c r="A182" s="727"/>
      <c r="C182" s="732">
        <f>+MAX(C$11:C181)+1</f>
        <v>171</v>
      </c>
      <c r="D182" s="738"/>
      <c r="E182" s="855"/>
      <c r="F182" s="855"/>
      <c r="G182" s="855"/>
      <c r="H182" s="855"/>
      <c r="I182" s="855"/>
      <c r="J182" s="855"/>
      <c r="K182" s="855"/>
      <c r="L182" s="855"/>
      <c r="M182" s="855"/>
      <c r="N182" s="855"/>
      <c r="O182" s="855"/>
      <c r="P182" s="855"/>
      <c r="Q182" s="855"/>
      <c r="R182" s="855"/>
      <c r="S182" s="855"/>
      <c r="T182" s="855"/>
      <c r="U182" s="855"/>
      <c r="V182" s="855"/>
      <c r="W182" s="855"/>
    </row>
    <row r="183" spans="1:23" ht="15.75" customHeight="1" thickBot="1">
      <c r="A183" s="727"/>
      <c r="C183" s="732">
        <f>+MAX(C$11:C182)+1</f>
        <v>172</v>
      </c>
      <c r="D183" s="738" t="s">
        <v>259</v>
      </c>
      <c r="E183" s="855"/>
      <c r="F183" s="856">
        <v>11.5</v>
      </c>
      <c r="G183" s="856">
        <v>11.5</v>
      </c>
      <c r="H183" s="856">
        <f>G183</f>
        <v>11.5</v>
      </c>
      <c r="I183" s="856">
        <v>12.031099592743429</v>
      </c>
      <c r="J183" s="856">
        <v>11.902430402121077</v>
      </c>
      <c r="K183" s="856">
        <v>12</v>
      </c>
      <c r="L183" s="856">
        <v>12</v>
      </c>
      <c r="M183" s="856">
        <v>12</v>
      </c>
      <c r="N183" s="855">
        <f t="shared" ref="N183:W183" si="100">M183</f>
        <v>12</v>
      </c>
      <c r="O183" s="855">
        <f t="shared" si="100"/>
        <v>12</v>
      </c>
      <c r="P183" s="855">
        <f t="shared" si="100"/>
        <v>12</v>
      </c>
      <c r="Q183" s="855">
        <f t="shared" si="100"/>
        <v>12</v>
      </c>
      <c r="R183" s="855">
        <f t="shared" si="100"/>
        <v>12</v>
      </c>
      <c r="S183" s="855">
        <f t="shared" si="100"/>
        <v>12</v>
      </c>
      <c r="T183" s="855">
        <f t="shared" si="100"/>
        <v>12</v>
      </c>
      <c r="U183" s="855">
        <f t="shared" si="100"/>
        <v>12</v>
      </c>
      <c r="V183" s="855">
        <f t="shared" si="100"/>
        <v>12</v>
      </c>
      <c r="W183" s="855">
        <f t="shared" si="100"/>
        <v>12</v>
      </c>
    </row>
    <row r="184" spans="1:23" ht="15.75" customHeight="1" thickBot="1">
      <c r="A184" s="727"/>
      <c r="C184" s="732">
        <f>+MAX(C$11:C183)+1</f>
        <v>173</v>
      </c>
      <c r="D184" s="766"/>
      <c r="E184" s="760"/>
      <c r="H184" s="760"/>
    </row>
    <row r="185" spans="1:23" ht="15.75" customHeight="1" thickBot="1">
      <c r="A185" s="727"/>
      <c r="C185" s="732">
        <f>+MAX(C$11:C184)+1</f>
        <v>174</v>
      </c>
      <c r="D185" s="738" t="s">
        <v>215</v>
      </c>
      <c r="E185" s="764"/>
      <c r="F185" s="838">
        <v>200</v>
      </c>
      <c r="G185" s="838">
        <v>200</v>
      </c>
      <c r="H185" s="838">
        <v>200</v>
      </c>
      <c r="I185" s="838">
        <v>400</v>
      </c>
      <c r="J185" s="838">
        <v>600</v>
      </c>
      <c r="K185" s="838">
        <v>624</v>
      </c>
      <c r="L185" s="838">
        <v>624</v>
      </c>
      <c r="M185" s="838">
        <v>624</v>
      </c>
      <c r="N185" s="764">
        <f t="shared" ref="N185:W185" si="101">ROUND(+M185*(1+N$10),$Y$8)</f>
        <v>624</v>
      </c>
      <c r="O185" s="764">
        <f t="shared" si="101"/>
        <v>624</v>
      </c>
      <c r="P185" s="764">
        <f t="shared" si="101"/>
        <v>624</v>
      </c>
      <c r="Q185" s="764">
        <f t="shared" si="101"/>
        <v>624</v>
      </c>
      <c r="R185" s="764">
        <f t="shared" si="101"/>
        <v>624</v>
      </c>
      <c r="S185" s="764">
        <f t="shared" si="101"/>
        <v>624</v>
      </c>
      <c r="T185" s="764">
        <f t="shared" si="101"/>
        <v>624</v>
      </c>
      <c r="U185" s="764">
        <f t="shared" si="101"/>
        <v>624</v>
      </c>
      <c r="V185" s="764">
        <f t="shared" si="101"/>
        <v>624</v>
      </c>
      <c r="W185" s="764">
        <f t="shared" si="101"/>
        <v>624</v>
      </c>
    </row>
    <row r="186" spans="1:23" ht="15.75" customHeight="1" thickBot="1">
      <c r="A186" s="727"/>
      <c r="C186" s="732">
        <f>+MAX(C$11:C185)+1</f>
        <v>175</v>
      </c>
      <c r="D186" s="738"/>
      <c r="E186" s="764"/>
      <c r="F186" s="770"/>
      <c r="G186" s="770"/>
      <c r="H186" s="770"/>
      <c r="I186" s="770"/>
      <c r="J186" s="770"/>
      <c r="K186" s="770"/>
      <c r="L186" s="770"/>
      <c r="M186" s="770"/>
    </row>
    <row r="187" spans="1:23" ht="15.75" customHeight="1" thickBot="1">
      <c r="A187" s="727"/>
      <c r="C187" s="732">
        <f>+MAX(C$11:C186)+1</f>
        <v>176</v>
      </c>
      <c r="D187" s="738" t="s">
        <v>218</v>
      </c>
      <c r="E187" s="764"/>
      <c r="F187" s="838">
        <v>4</v>
      </c>
      <c r="G187" s="838">
        <v>4</v>
      </c>
      <c r="H187" s="838">
        <v>4</v>
      </c>
      <c r="I187" s="838">
        <v>4</v>
      </c>
      <c r="J187" s="838">
        <v>4.08</v>
      </c>
      <c r="K187" s="838">
        <v>4.24</v>
      </c>
      <c r="L187" s="838">
        <v>4.37</v>
      </c>
      <c r="M187" s="838">
        <v>4.59</v>
      </c>
      <c r="N187" s="764">
        <f t="shared" ref="N187:W187" si="102">ROUND(+M187*(1+N$10),$Y$8)</f>
        <v>4.59</v>
      </c>
      <c r="O187" s="764">
        <f t="shared" si="102"/>
        <v>4.59</v>
      </c>
      <c r="P187" s="764">
        <f t="shared" si="102"/>
        <v>4.59</v>
      </c>
      <c r="Q187" s="764">
        <f t="shared" si="102"/>
        <v>4.59</v>
      </c>
      <c r="R187" s="764">
        <f t="shared" si="102"/>
        <v>4.59</v>
      </c>
      <c r="S187" s="764">
        <f t="shared" si="102"/>
        <v>4.59</v>
      </c>
      <c r="T187" s="764">
        <f t="shared" si="102"/>
        <v>4.59</v>
      </c>
      <c r="U187" s="764">
        <f t="shared" si="102"/>
        <v>4.59</v>
      </c>
      <c r="V187" s="764">
        <f t="shared" si="102"/>
        <v>4.59</v>
      </c>
      <c r="W187" s="764">
        <f t="shared" si="102"/>
        <v>4.59</v>
      </c>
    </row>
    <row r="188" spans="1:23" ht="15.75" customHeight="1" thickBot="1">
      <c r="A188" s="727"/>
      <c r="C188" s="732">
        <f>+MAX(C$11:C187)+1</f>
        <v>177</v>
      </c>
      <c r="D188" s="738"/>
      <c r="E188" s="764"/>
      <c r="F188" s="769"/>
      <c r="G188" s="769"/>
      <c r="H188" s="769"/>
      <c r="I188" s="769"/>
      <c r="J188" s="769"/>
      <c r="K188" s="769"/>
    </row>
    <row r="189" spans="1:23" ht="15.75" hidden="1" customHeight="1" thickBot="1">
      <c r="A189" s="727"/>
      <c r="C189" s="732">
        <f>+MAX(C$11:C188)+1</f>
        <v>178</v>
      </c>
      <c r="D189" s="852" t="s">
        <v>240</v>
      </c>
      <c r="E189" s="764"/>
      <c r="F189" s="837">
        <v>3.4164956251459364E-2</v>
      </c>
      <c r="G189" s="837">
        <v>3.4164956251459364E-2</v>
      </c>
      <c r="H189" s="837">
        <f>G189</f>
        <v>3.4164956251459364E-2</v>
      </c>
      <c r="I189" s="837"/>
      <c r="J189" s="837"/>
      <c r="K189" s="837"/>
      <c r="L189" s="791">
        <f t="shared" ref="L189:W189" si="103">K189</f>
        <v>0</v>
      </c>
      <c r="M189" s="791">
        <f t="shared" si="103"/>
        <v>0</v>
      </c>
      <c r="N189" s="791">
        <f t="shared" si="103"/>
        <v>0</v>
      </c>
      <c r="O189" s="791">
        <f t="shared" si="103"/>
        <v>0</v>
      </c>
      <c r="P189" s="791">
        <f t="shared" si="103"/>
        <v>0</v>
      </c>
      <c r="Q189" s="791">
        <f t="shared" si="103"/>
        <v>0</v>
      </c>
      <c r="R189" s="791">
        <f t="shared" si="103"/>
        <v>0</v>
      </c>
      <c r="S189" s="791">
        <f t="shared" si="103"/>
        <v>0</v>
      </c>
      <c r="T189" s="791">
        <f t="shared" si="103"/>
        <v>0</v>
      </c>
      <c r="U189" s="791">
        <f t="shared" si="103"/>
        <v>0</v>
      </c>
      <c r="V189" s="791">
        <f t="shared" si="103"/>
        <v>0</v>
      </c>
      <c r="W189" s="791">
        <f t="shared" si="103"/>
        <v>0</v>
      </c>
    </row>
    <row r="190" spans="1:23" ht="15.75" hidden="1" customHeight="1" thickBot="1">
      <c r="A190" s="727"/>
      <c r="C190" s="732">
        <f>+MAX(C$11:C189)+1</f>
        <v>179</v>
      </c>
      <c r="D190" s="738"/>
      <c r="E190" s="764"/>
      <c r="F190" s="768"/>
      <c r="G190" s="768"/>
      <c r="H190" s="768"/>
      <c r="I190" s="768"/>
      <c r="J190" s="768"/>
      <c r="K190" s="768"/>
      <c r="L190" s="764"/>
      <c r="M190" s="764"/>
      <c r="N190" s="764"/>
      <c r="O190" s="764"/>
      <c r="P190" s="764"/>
      <c r="Q190" s="764"/>
      <c r="R190" s="764"/>
      <c r="S190" s="764"/>
      <c r="T190" s="764"/>
      <c r="U190" s="764"/>
      <c r="V190" s="764"/>
      <c r="W190" s="764"/>
    </row>
    <row r="191" spans="1:23" ht="15.75" customHeight="1" thickBot="1">
      <c r="A191" s="727"/>
      <c r="C191" s="732">
        <f>+MAX(C$11:C190)+1</f>
        <v>180</v>
      </c>
      <c r="D191" s="738" t="s">
        <v>241</v>
      </c>
      <c r="E191" s="764"/>
      <c r="F191" s="837">
        <v>2.2089813338843307E-2</v>
      </c>
      <c r="G191" s="837">
        <v>2.2089813338843307E-2</v>
      </c>
      <c r="H191" s="837">
        <f>G191</f>
        <v>2.2089813338843307E-2</v>
      </c>
      <c r="I191" s="837">
        <v>1.4221704261991187E-2</v>
      </c>
      <c r="J191" s="837">
        <v>1.5355646399607509E-2</v>
      </c>
      <c r="K191" s="4648">
        <f t="shared" ref="K191:W191" si="104">J191</f>
        <v>1.5355646399607509E-2</v>
      </c>
      <c r="L191" s="4648">
        <f t="shared" si="104"/>
        <v>1.5355646399607509E-2</v>
      </c>
      <c r="M191" s="4648">
        <f t="shared" si="104"/>
        <v>1.5355646399607509E-2</v>
      </c>
      <c r="N191" s="4648">
        <f t="shared" si="104"/>
        <v>1.5355646399607509E-2</v>
      </c>
      <c r="O191" s="4648">
        <f t="shared" si="104"/>
        <v>1.5355646399607509E-2</v>
      </c>
      <c r="P191" s="4648">
        <f t="shared" si="104"/>
        <v>1.5355646399607509E-2</v>
      </c>
      <c r="Q191" s="4648">
        <f t="shared" si="104"/>
        <v>1.5355646399607509E-2</v>
      </c>
      <c r="R191" s="4648">
        <f t="shared" si="104"/>
        <v>1.5355646399607509E-2</v>
      </c>
      <c r="S191" s="4648">
        <f t="shared" si="104"/>
        <v>1.5355646399607509E-2</v>
      </c>
      <c r="T191" s="4648">
        <f t="shared" si="104"/>
        <v>1.5355646399607509E-2</v>
      </c>
      <c r="U191" s="4648">
        <f t="shared" si="104"/>
        <v>1.5355646399607509E-2</v>
      </c>
      <c r="V191" s="4648">
        <f t="shared" si="104"/>
        <v>1.5355646399607509E-2</v>
      </c>
      <c r="W191" s="4648">
        <f t="shared" si="104"/>
        <v>1.5355646399607509E-2</v>
      </c>
    </row>
    <row r="192" spans="1:23" ht="15.75" customHeight="1">
      <c r="A192" s="727"/>
      <c r="C192" s="732">
        <f>+MAX(C$11:C191)+1</f>
        <v>181</v>
      </c>
      <c r="D192" s="738"/>
      <c r="E192" s="764"/>
      <c r="F192" s="769"/>
      <c r="G192" s="762"/>
      <c r="I192" s="762"/>
      <c r="J192" s="762"/>
      <c r="K192" s="762"/>
    </row>
    <row r="193" spans="1:23" ht="15.75" customHeight="1" thickBot="1">
      <c r="A193" s="727"/>
      <c r="C193" s="732">
        <f>+MAX(C$11:C192)+1</f>
        <v>182</v>
      </c>
      <c r="D193" s="738" t="s">
        <v>271</v>
      </c>
      <c r="E193" s="767"/>
      <c r="F193" s="768"/>
      <c r="G193" s="762"/>
      <c r="I193" s="762"/>
      <c r="J193" s="762"/>
      <c r="K193" s="762"/>
    </row>
    <row r="194" spans="1:23" ht="15.75" customHeight="1">
      <c r="A194" s="727"/>
      <c r="C194" s="732">
        <f>+MAX(C$11:C193)+1</f>
        <v>183</v>
      </c>
      <c r="D194" s="763" t="s">
        <v>216</v>
      </c>
      <c r="E194" s="767"/>
      <c r="F194" s="845">
        <v>1.014E-2</v>
      </c>
      <c r="G194" s="845">
        <v>1.1294999999999999E-2</v>
      </c>
      <c r="H194" s="845">
        <v>1.2995E-2</v>
      </c>
      <c r="I194" s="845">
        <v>1.5350000000000001E-2</v>
      </c>
      <c r="J194" s="845">
        <v>1.6500000000000001E-2</v>
      </c>
      <c r="K194" s="3364">
        <v>1.6820000000000002E-2</v>
      </c>
      <c r="L194" s="3364">
        <v>1.721E-2</v>
      </c>
      <c r="M194" s="3364">
        <v>1.7899999999999999E-2</v>
      </c>
      <c r="N194" s="767">
        <f t="shared" ref="N194:W194" si="105">ROUND(+M194*(1+N$10),$Y$9)</f>
        <v>1.7899999999999999E-2</v>
      </c>
      <c r="O194" s="767">
        <f t="shared" si="105"/>
        <v>1.7899999999999999E-2</v>
      </c>
      <c r="P194" s="767">
        <f t="shared" si="105"/>
        <v>1.7899999999999999E-2</v>
      </c>
      <c r="Q194" s="767">
        <f t="shared" si="105"/>
        <v>1.7899999999999999E-2</v>
      </c>
      <c r="R194" s="767">
        <f t="shared" si="105"/>
        <v>1.7899999999999999E-2</v>
      </c>
      <c r="S194" s="767">
        <f t="shared" si="105"/>
        <v>1.7899999999999999E-2</v>
      </c>
      <c r="T194" s="767">
        <f t="shared" si="105"/>
        <v>1.7899999999999999E-2</v>
      </c>
      <c r="U194" s="767">
        <f t="shared" si="105"/>
        <v>1.7899999999999999E-2</v>
      </c>
      <c r="V194" s="767">
        <f t="shared" si="105"/>
        <v>1.7899999999999999E-2</v>
      </c>
      <c r="W194" s="767">
        <f t="shared" si="105"/>
        <v>1.7899999999999999E-2</v>
      </c>
    </row>
    <row r="195" spans="1:23" ht="15.75" customHeight="1" thickBot="1">
      <c r="A195" s="727"/>
      <c r="C195" s="732">
        <f>+MAX(C$11:C194)+1</f>
        <v>184</v>
      </c>
      <c r="D195" s="763" t="s">
        <v>217</v>
      </c>
      <c r="E195" s="767"/>
      <c r="F195" s="835">
        <v>2.5000000000000001E-2</v>
      </c>
      <c r="G195" s="835">
        <v>2.6155000000000001E-2</v>
      </c>
      <c r="H195" s="835">
        <v>2.7855000000000001E-2</v>
      </c>
      <c r="I195" s="835">
        <v>3.2500000000000001E-2</v>
      </c>
      <c r="J195" s="835">
        <v>3.2500000000000001E-2</v>
      </c>
      <c r="K195" s="3366">
        <v>3.2500000000000001E-2</v>
      </c>
      <c r="L195" s="3366">
        <v>3.2500000000000001E-2</v>
      </c>
      <c r="M195" s="3366">
        <v>3.2500000000000001E-2</v>
      </c>
      <c r="N195" s="767">
        <f t="shared" ref="N195:W195" si="106">ROUND(+M195*(1+N$10),$Y$9)</f>
        <v>3.2500000000000001E-2</v>
      </c>
      <c r="O195" s="767">
        <f t="shared" si="106"/>
        <v>3.2500000000000001E-2</v>
      </c>
      <c r="P195" s="767">
        <f t="shared" si="106"/>
        <v>3.2500000000000001E-2</v>
      </c>
      <c r="Q195" s="767">
        <f t="shared" si="106"/>
        <v>3.2500000000000001E-2</v>
      </c>
      <c r="R195" s="767">
        <f t="shared" si="106"/>
        <v>3.2500000000000001E-2</v>
      </c>
      <c r="S195" s="767">
        <f t="shared" si="106"/>
        <v>3.2500000000000001E-2</v>
      </c>
      <c r="T195" s="767">
        <f t="shared" si="106"/>
        <v>3.2500000000000001E-2</v>
      </c>
      <c r="U195" s="767">
        <f t="shared" si="106"/>
        <v>3.2500000000000001E-2</v>
      </c>
      <c r="V195" s="767">
        <f t="shared" si="106"/>
        <v>3.2500000000000001E-2</v>
      </c>
      <c r="W195" s="767">
        <f t="shared" si="106"/>
        <v>3.2500000000000001E-2</v>
      </c>
    </row>
    <row r="196" spans="1:23" ht="15.75" hidden="1" customHeight="1">
      <c r="A196" s="727"/>
      <c r="C196" s="732">
        <f>+MAX(C$11:C195)+1</f>
        <v>185</v>
      </c>
      <c r="D196" s="763" t="s">
        <v>235</v>
      </c>
      <c r="E196" s="767"/>
      <c r="F196" s="843">
        <v>1</v>
      </c>
      <c r="G196" s="843">
        <v>1</v>
      </c>
      <c r="H196" s="843">
        <f>G196</f>
        <v>1</v>
      </c>
      <c r="I196" s="843"/>
      <c r="J196" s="843"/>
      <c r="K196" s="843"/>
      <c r="L196" s="791">
        <f t="shared" ref="L196:W196" si="107">K196</f>
        <v>0</v>
      </c>
      <c r="M196" s="791">
        <f t="shared" si="107"/>
        <v>0</v>
      </c>
      <c r="N196" s="791">
        <f t="shared" si="107"/>
        <v>0</v>
      </c>
      <c r="O196" s="791">
        <f t="shared" si="107"/>
        <v>0</v>
      </c>
      <c r="P196" s="791">
        <f t="shared" si="107"/>
        <v>0</v>
      </c>
      <c r="Q196" s="791">
        <f t="shared" si="107"/>
        <v>0</v>
      </c>
      <c r="R196" s="791">
        <f t="shared" si="107"/>
        <v>0</v>
      </c>
      <c r="S196" s="791">
        <f t="shared" si="107"/>
        <v>0</v>
      </c>
      <c r="T196" s="791">
        <f t="shared" si="107"/>
        <v>0</v>
      </c>
      <c r="U196" s="791">
        <f t="shared" si="107"/>
        <v>0</v>
      </c>
      <c r="V196" s="791">
        <f t="shared" si="107"/>
        <v>0</v>
      </c>
      <c r="W196" s="791">
        <f t="shared" si="107"/>
        <v>0</v>
      </c>
    </row>
    <row r="197" spans="1:23" ht="15.75" hidden="1" customHeight="1" thickBot="1">
      <c r="A197" s="727"/>
      <c r="C197" s="732">
        <f>+MAX(C$11:C196)+1</f>
        <v>186</v>
      </c>
      <c r="D197" s="763" t="s">
        <v>236</v>
      </c>
      <c r="E197" s="767"/>
      <c r="F197" s="844">
        <v>0</v>
      </c>
      <c r="G197" s="844">
        <v>0</v>
      </c>
      <c r="H197" s="844">
        <f>G197</f>
        <v>0</v>
      </c>
      <c r="I197" s="844"/>
      <c r="J197" s="844"/>
      <c r="K197" s="844"/>
      <c r="L197" s="791">
        <f t="shared" ref="L197:W197" si="108">K197</f>
        <v>0</v>
      </c>
      <c r="M197" s="791">
        <f t="shared" si="108"/>
        <v>0</v>
      </c>
      <c r="N197" s="791">
        <f t="shared" si="108"/>
        <v>0</v>
      </c>
      <c r="O197" s="791">
        <f t="shared" si="108"/>
        <v>0</v>
      </c>
      <c r="P197" s="791">
        <f t="shared" si="108"/>
        <v>0</v>
      </c>
      <c r="Q197" s="791">
        <f t="shared" si="108"/>
        <v>0</v>
      </c>
      <c r="R197" s="791">
        <f t="shared" si="108"/>
        <v>0</v>
      </c>
      <c r="S197" s="791">
        <f t="shared" si="108"/>
        <v>0</v>
      </c>
      <c r="T197" s="791">
        <f t="shared" si="108"/>
        <v>0</v>
      </c>
      <c r="U197" s="791">
        <f t="shared" si="108"/>
        <v>0</v>
      </c>
      <c r="V197" s="791">
        <f t="shared" si="108"/>
        <v>0</v>
      </c>
      <c r="W197" s="791">
        <f t="shared" si="108"/>
        <v>0</v>
      </c>
    </row>
    <row r="198" spans="1:23" ht="15.75" customHeight="1">
      <c r="A198" s="727"/>
      <c r="C198" s="732">
        <f>+MAX(C$11:C197)+1</f>
        <v>187</v>
      </c>
      <c r="G198" s="762"/>
      <c r="I198" s="762"/>
      <c r="J198" s="762"/>
      <c r="K198" s="762"/>
    </row>
    <row r="199" spans="1:23" ht="15.75" customHeight="1">
      <c r="A199" s="727"/>
      <c r="C199" s="732">
        <f>+MAX(C$11:C198)+1</f>
        <v>188</v>
      </c>
      <c r="D199" s="751" t="s">
        <v>230</v>
      </c>
      <c r="E199" s="760"/>
      <c r="G199" s="762"/>
      <c r="I199" s="762"/>
      <c r="J199" s="762"/>
      <c r="K199" s="762"/>
    </row>
    <row r="200" spans="1:23" ht="15.75" customHeight="1" thickBot="1">
      <c r="A200" s="727"/>
      <c r="C200" s="732">
        <f>+MAX(C$11:C199)+1</f>
        <v>189</v>
      </c>
      <c r="D200" s="766"/>
      <c r="E200" s="760"/>
      <c r="G200" s="762"/>
      <c r="I200" s="762"/>
      <c r="J200" s="762"/>
      <c r="K200" s="762"/>
    </row>
    <row r="201" spans="1:23" ht="15.75" customHeight="1" thickBot="1">
      <c r="A201" s="727"/>
      <c r="C201" s="732">
        <f>+MAX(C$11:C200)+1</f>
        <v>190</v>
      </c>
      <c r="D201" s="738" t="s">
        <v>238</v>
      </c>
      <c r="E201" s="855"/>
      <c r="F201" s="856">
        <v>385.03387902467978</v>
      </c>
      <c r="G201" s="856">
        <v>385.03387902467978</v>
      </c>
      <c r="H201" s="856">
        <f>G201</f>
        <v>385.03387902467978</v>
      </c>
      <c r="I201" s="856">
        <f>H201</f>
        <v>385.03387902467978</v>
      </c>
      <c r="J201" s="856">
        <f>I201</f>
        <v>385.03387902467978</v>
      </c>
      <c r="K201" s="856">
        <f>J201</f>
        <v>385.03387902467978</v>
      </c>
      <c r="L201" s="855">
        <f t="shared" ref="L201:W201" si="109">K201</f>
        <v>385.03387902467978</v>
      </c>
      <c r="M201" s="855">
        <f t="shared" si="109"/>
        <v>385.03387902467978</v>
      </c>
      <c r="N201" s="855">
        <f t="shared" si="109"/>
        <v>385.03387902467978</v>
      </c>
      <c r="O201" s="855">
        <f t="shared" si="109"/>
        <v>385.03387902467978</v>
      </c>
      <c r="P201" s="855">
        <f t="shared" si="109"/>
        <v>385.03387902467978</v>
      </c>
      <c r="Q201" s="855">
        <f t="shared" si="109"/>
        <v>385.03387902467978</v>
      </c>
      <c r="R201" s="855">
        <f t="shared" si="109"/>
        <v>385.03387902467978</v>
      </c>
      <c r="S201" s="855">
        <f t="shared" si="109"/>
        <v>385.03387902467978</v>
      </c>
      <c r="T201" s="855">
        <f t="shared" si="109"/>
        <v>385.03387902467978</v>
      </c>
      <c r="U201" s="855">
        <f t="shared" si="109"/>
        <v>385.03387902467978</v>
      </c>
      <c r="V201" s="855">
        <f t="shared" si="109"/>
        <v>385.03387902467978</v>
      </c>
      <c r="W201" s="855">
        <f t="shared" si="109"/>
        <v>385.03387902467978</v>
      </c>
    </row>
    <row r="202" spans="1:23" ht="15.75" customHeight="1" thickBot="1">
      <c r="A202" s="727"/>
      <c r="C202" s="732">
        <f>+MAX(C$11:C201)+1</f>
        <v>191</v>
      </c>
      <c r="D202" s="738"/>
      <c r="E202" s="855"/>
      <c r="F202" s="855"/>
      <c r="G202" s="855"/>
      <c r="H202" s="855"/>
      <c r="I202" s="855"/>
      <c r="J202" s="855"/>
      <c r="K202" s="855"/>
      <c r="L202" s="855"/>
      <c r="M202" s="855"/>
      <c r="N202" s="855"/>
      <c r="O202" s="855"/>
      <c r="P202" s="855"/>
      <c r="Q202" s="855"/>
      <c r="R202" s="855"/>
      <c r="S202" s="855"/>
      <c r="T202" s="855"/>
      <c r="U202" s="855"/>
      <c r="V202" s="855"/>
      <c r="W202" s="855"/>
    </row>
    <row r="203" spans="1:23" ht="15.75" customHeight="1" thickBot="1">
      <c r="A203" s="727"/>
      <c r="C203" s="732">
        <f>+MAX(C$11:C202)+1</f>
        <v>192</v>
      </c>
      <c r="D203" s="738" t="s">
        <v>259</v>
      </c>
      <c r="E203" s="855"/>
      <c r="F203" s="856">
        <v>12</v>
      </c>
      <c r="G203" s="856">
        <v>12</v>
      </c>
      <c r="H203" s="856">
        <f>G203</f>
        <v>12</v>
      </c>
      <c r="I203" s="856">
        <v>12.032876712328768</v>
      </c>
      <c r="J203" s="856">
        <v>12</v>
      </c>
      <c r="K203" s="856">
        <v>12</v>
      </c>
      <c r="L203" s="856">
        <v>12</v>
      </c>
      <c r="M203" s="856">
        <v>12</v>
      </c>
      <c r="N203" s="855">
        <f t="shared" ref="N203:W203" si="110">M203</f>
        <v>12</v>
      </c>
      <c r="O203" s="855">
        <f t="shared" si="110"/>
        <v>12</v>
      </c>
      <c r="P203" s="855">
        <f t="shared" si="110"/>
        <v>12</v>
      </c>
      <c r="Q203" s="855">
        <f t="shared" si="110"/>
        <v>12</v>
      </c>
      <c r="R203" s="855">
        <f t="shared" si="110"/>
        <v>12</v>
      </c>
      <c r="S203" s="855">
        <f t="shared" si="110"/>
        <v>12</v>
      </c>
      <c r="T203" s="855">
        <f t="shared" si="110"/>
        <v>12</v>
      </c>
      <c r="U203" s="855">
        <f t="shared" si="110"/>
        <v>12</v>
      </c>
      <c r="V203" s="855">
        <f t="shared" si="110"/>
        <v>12</v>
      </c>
      <c r="W203" s="855">
        <f t="shared" si="110"/>
        <v>12</v>
      </c>
    </row>
    <row r="204" spans="1:23" ht="15.75" customHeight="1" thickBot="1">
      <c r="A204" s="727"/>
      <c r="C204" s="732">
        <f>+MAX(C$11:C203)+1</f>
        <v>193</v>
      </c>
      <c r="D204" s="766"/>
      <c r="E204" s="855"/>
      <c r="F204" s="855"/>
      <c r="G204" s="855"/>
      <c r="H204" s="855"/>
      <c r="I204" s="855"/>
      <c r="J204" s="855"/>
      <c r="K204" s="855"/>
      <c r="L204" s="855"/>
      <c r="M204" s="855"/>
      <c r="N204" s="855"/>
      <c r="O204" s="855"/>
      <c r="P204" s="855"/>
      <c r="Q204" s="855"/>
      <c r="R204" s="855"/>
      <c r="S204" s="855"/>
      <c r="T204" s="855"/>
      <c r="U204" s="855"/>
      <c r="V204" s="855"/>
      <c r="W204" s="855"/>
    </row>
    <row r="205" spans="1:23" ht="15.75" customHeight="1" thickBot="1">
      <c r="A205" s="727"/>
      <c r="C205" s="732">
        <f>+MAX(C$11:C204)+1</f>
        <v>194</v>
      </c>
      <c r="D205" s="738" t="s">
        <v>215</v>
      </c>
      <c r="E205" s="764"/>
      <c r="F205" s="838">
        <v>500</v>
      </c>
      <c r="G205" s="838">
        <v>500</v>
      </c>
      <c r="H205" s="838">
        <v>500</v>
      </c>
      <c r="I205" s="838">
        <v>1000</v>
      </c>
      <c r="J205" s="838">
        <v>1000</v>
      </c>
      <c r="K205" s="838">
        <v>1000</v>
      </c>
      <c r="L205" s="838">
        <v>1050</v>
      </c>
      <c r="M205" s="838">
        <v>1102.5</v>
      </c>
      <c r="N205" s="764">
        <f t="shared" ref="N205:W205" si="111">ROUND(+M205*(1+N$10),$Y$8)</f>
        <v>1102.5</v>
      </c>
      <c r="O205" s="764">
        <f t="shared" si="111"/>
        <v>1102.5</v>
      </c>
      <c r="P205" s="764">
        <f t="shared" si="111"/>
        <v>1102.5</v>
      </c>
      <c r="Q205" s="764">
        <f t="shared" si="111"/>
        <v>1102.5</v>
      </c>
      <c r="R205" s="764">
        <f t="shared" si="111"/>
        <v>1102.5</v>
      </c>
      <c r="S205" s="764">
        <f t="shared" si="111"/>
        <v>1102.5</v>
      </c>
      <c r="T205" s="764">
        <f t="shared" si="111"/>
        <v>1102.5</v>
      </c>
      <c r="U205" s="764">
        <f t="shared" si="111"/>
        <v>1102.5</v>
      </c>
      <c r="V205" s="764">
        <f t="shared" si="111"/>
        <v>1102.5</v>
      </c>
      <c r="W205" s="764">
        <f t="shared" si="111"/>
        <v>1102.5</v>
      </c>
    </row>
    <row r="206" spans="1:23" ht="15.75" customHeight="1" thickBot="1">
      <c r="A206" s="727"/>
      <c r="C206" s="732">
        <f>+MAX(C$11:C205)+1</f>
        <v>195</v>
      </c>
      <c r="D206" s="738"/>
      <c r="E206" s="764"/>
      <c r="F206" s="769"/>
      <c r="G206" s="769"/>
      <c r="H206" s="769"/>
      <c r="I206" s="769"/>
      <c r="J206" s="769"/>
      <c r="K206" s="769"/>
      <c r="L206" s="769"/>
      <c r="M206" s="769"/>
    </row>
    <row r="207" spans="1:23" ht="15.75" customHeight="1" thickBot="1">
      <c r="A207" s="727"/>
      <c r="C207" s="732">
        <f>+MAX(C$11:C206)+1</f>
        <v>196</v>
      </c>
      <c r="D207" s="738" t="s">
        <v>218</v>
      </c>
      <c r="E207" s="764"/>
      <c r="F207" s="838">
        <v>4.5</v>
      </c>
      <c r="G207" s="838">
        <v>4.5</v>
      </c>
      <c r="H207" s="838">
        <v>4.5</v>
      </c>
      <c r="I207" s="838">
        <v>4.5</v>
      </c>
      <c r="J207" s="838">
        <v>5.04</v>
      </c>
      <c r="K207" s="838">
        <v>5.14</v>
      </c>
      <c r="L207" s="838">
        <v>5.26</v>
      </c>
      <c r="M207" s="838">
        <v>5.37</v>
      </c>
      <c r="N207" s="764">
        <f t="shared" ref="N207:W207" si="112">ROUND(+M207*(1+N$10),$Y$8)</f>
        <v>5.37</v>
      </c>
      <c r="O207" s="764">
        <f t="shared" si="112"/>
        <v>5.37</v>
      </c>
      <c r="P207" s="764">
        <f t="shared" si="112"/>
        <v>5.37</v>
      </c>
      <c r="Q207" s="764">
        <f t="shared" si="112"/>
        <v>5.37</v>
      </c>
      <c r="R207" s="764">
        <f t="shared" si="112"/>
        <v>5.37</v>
      </c>
      <c r="S207" s="764">
        <f t="shared" si="112"/>
        <v>5.37</v>
      </c>
      <c r="T207" s="764">
        <f t="shared" si="112"/>
        <v>5.37</v>
      </c>
      <c r="U207" s="764">
        <f t="shared" si="112"/>
        <v>5.37</v>
      </c>
      <c r="V207" s="764">
        <f t="shared" si="112"/>
        <v>5.37</v>
      </c>
      <c r="W207" s="764">
        <f t="shared" si="112"/>
        <v>5.37</v>
      </c>
    </row>
    <row r="208" spans="1:23" ht="15.75" customHeight="1" thickBot="1">
      <c r="A208" s="727"/>
      <c r="C208" s="732">
        <f>+MAX(C$11:C207)+1</f>
        <v>197</v>
      </c>
      <c r="D208" s="738"/>
      <c r="E208" s="764"/>
      <c r="F208" s="769"/>
      <c r="G208" s="769"/>
      <c r="H208" s="769"/>
      <c r="I208" s="769"/>
      <c r="J208" s="769"/>
      <c r="K208" s="769"/>
    </row>
    <row r="209" spans="1:23" ht="15.75" customHeight="1" thickBot="1">
      <c r="A209" s="727"/>
      <c r="C209" s="732">
        <f>+MAX(C$11:C208)+1</f>
        <v>198</v>
      </c>
      <c r="D209" s="738" t="s">
        <v>241</v>
      </c>
      <c r="E209" s="764"/>
      <c r="F209" s="837">
        <v>1.094928131625128</v>
      </c>
      <c r="G209" s="837">
        <v>1.094928131625128</v>
      </c>
      <c r="H209" s="837">
        <f>G209</f>
        <v>1.094928131625128</v>
      </c>
      <c r="I209" s="837">
        <v>10.27890625</v>
      </c>
      <c r="J209" s="837">
        <v>0</v>
      </c>
      <c r="K209" s="791">
        <f t="shared" ref="K209:W209" si="113">J209</f>
        <v>0</v>
      </c>
      <c r="L209" s="791">
        <f t="shared" si="113"/>
        <v>0</v>
      </c>
      <c r="M209" s="791">
        <f t="shared" si="113"/>
        <v>0</v>
      </c>
      <c r="N209" s="791">
        <f t="shared" si="113"/>
        <v>0</v>
      </c>
      <c r="O209" s="791">
        <f t="shared" si="113"/>
        <v>0</v>
      </c>
      <c r="P209" s="791">
        <f t="shared" si="113"/>
        <v>0</v>
      </c>
      <c r="Q209" s="791">
        <f t="shared" si="113"/>
        <v>0</v>
      </c>
      <c r="R209" s="791">
        <f t="shared" si="113"/>
        <v>0</v>
      </c>
      <c r="S209" s="791">
        <f t="shared" si="113"/>
        <v>0</v>
      </c>
      <c r="T209" s="791">
        <f t="shared" si="113"/>
        <v>0</v>
      </c>
      <c r="U209" s="791">
        <f t="shared" si="113"/>
        <v>0</v>
      </c>
      <c r="V209" s="791">
        <f t="shared" si="113"/>
        <v>0</v>
      </c>
      <c r="W209" s="791">
        <f t="shared" si="113"/>
        <v>0</v>
      </c>
    </row>
    <row r="210" spans="1:23" ht="15.75" customHeight="1">
      <c r="A210" s="727"/>
      <c r="C210" s="732">
        <f>+MAX(C$11:C209)+1</f>
        <v>199</v>
      </c>
      <c r="D210" s="738"/>
      <c r="E210" s="764"/>
      <c r="F210" s="769"/>
      <c r="G210" s="762"/>
      <c r="I210" s="762"/>
      <c r="J210" s="762"/>
      <c r="K210" s="762"/>
    </row>
    <row r="211" spans="1:23" ht="15.75" customHeight="1" thickBot="1">
      <c r="A211" s="727"/>
      <c r="C211" s="732">
        <f>+MAX(C$11:C210)+1</f>
        <v>200</v>
      </c>
      <c r="D211" s="738" t="s">
        <v>271</v>
      </c>
      <c r="E211" s="767"/>
      <c r="F211" s="768"/>
      <c r="G211" s="762"/>
      <c r="I211" s="762"/>
      <c r="J211" s="762"/>
      <c r="K211" s="762"/>
    </row>
    <row r="212" spans="1:23" ht="15.75" customHeight="1">
      <c r="A212" s="727"/>
      <c r="C212" s="732">
        <f>+MAX(C$11:C211)+1</f>
        <v>201</v>
      </c>
      <c r="D212" s="763" t="s">
        <v>216</v>
      </c>
      <c r="E212" s="767"/>
      <c r="F212" s="845">
        <v>1.9199999999999998E-2</v>
      </c>
      <c r="G212" s="845">
        <v>2.0355000000000002E-2</v>
      </c>
      <c r="H212" s="845">
        <v>2.2055000000000002E-2</v>
      </c>
      <c r="I212" s="845">
        <v>2.4400000000000002E-2</v>
      </c>
      <c r="J212" s="845">
        <v>2.5329999999999998E-2</v>
      </c>
      <c r="K212" s="3364">
        <v>2.6009999999999998E-2</v>
      </c>
      <c r="L212" s="3364">
        <v>2.6009999999999998E-2</v>
      </c>
      <c r="M212" s="3364">
        <v>2.6009999999999998E-2</v>
      </c>
      <c r="N212" s="767">
        <f t="shared" ref="N212:W212" si="114">ROUND(+M212*(1+N$10),$Y$9)</f>
        <v>2.6009999999999998E-2</v>
      </c>
      <c r="O212" s="767">
        <f t="shared" si="114"/>
        <v>2.6009999999999998E-2</v>
      </c>
      <c r="P212" s="767">
        <f t="shared" si="114"/>
        <v>2.6009999999999998E-2</v>
      </c>
      <c r="Q212" s="767">
        <f t="shared" si="114"/>
        <v>2.6009999999999998E-2</v>
      </c>
      <c r="R212" s="767">
        <f t="shared" si="114"/>
        <v>2.6009999999999998E-2</v>
      </c>
      <c r="S212" s="767">
        <f t="shared" si="114"/>
        <v>2.6009999999999998E-2</v>
      </c>
      <c r="T212" s="767">
        <f t="shared" si="114"/>
        <v>2.6009999999999998E-2</v>
      </c>
      <c r="U212" s="767">
        <f t="shared" si="114"/>
        <v>2.6009999999999998E-2</v>
      </c>
      <c r="V212" s="767">
        <f t="shared" si="114"/>
        <v>2.6009999999999998E-2</v>
      </c>
      <c r="W212" s="767">
        <f t="shared" si="114"/>
        <v>2.6009999999999998E-2</v>
      </c>
    </row>
    <row r="213" spans="1:23" ht="15.75" customHeight="1" thickBot="1">
      <c r="A213" s="727"/>
      <c r="C213" s="732">
        <f>+MAX(C$11:C212)+1</f>
        <v>202</v>
      </c>
      <c r="D213" s="763" t="s">
        <v>217</v>
      </c>
      <c r="E213" s="767"/>
      <c r="F213" s="835">
        <v>2.24E-2</v>
      </c>
      <c r="G213" s="835">
        <v>2.3555E-2</v>
      </c>
      <c r="H213" s="835">
        <v>2.5255E-2</v>
      </c>
      <c r="I213" s="835">
        <v>2.75E-2</v>
      </c>
      <c r="J213" s="835">
        <v>2.8879999999999999E-2</v>
      </c>
      <c r="K213" s="3366">
        <v>2.9659999999999999E-2</v>
      </c>
      <c r="L213" s="3366">
        <v>2.9659999999999999E-2</v>
      </c>
      <c r="M213" s="3366">
        <v>2.9659999999999999E-2</v>
      </c>
      <c r="N213" s="767">
        <f t="shared" ref="N213:W213" si="115">ROUND(+M213*(1+N$10),$Y$9)</f>
        <v>2.9659999999999999E-2</v>
      </c>
      <c r="O213" s="767">
        <f t="shared" si="115"/>
        <v>2.9659999999999999E-2</v>
      </c>
      <c r="P213" s="767">
        <f t="shared" si="115"/>
        <v>2.9659999999999999E-2</v>
      </c>
      <c r="Q213" s="767">
        <f t="shared" si="115"/>
        <v>2.9659999999999999E-2</v>
      </c>
      <c r="R213" s="767">
        <f t="shared" si="115"/>
        <v>2.9659999999999999E-2</v>
      </c>
      <c r="S213" s="767">
        <f t="shared" si="115"/>
        <v>2.9659999999999999E-2</v>
      </c>
      <c r="T213" s="767">
        <f t="shared" si="115"/>
        <v>2.9659999999999999E-2</v>
      </c>
      <c r="U213" s="767">
        <f t="shared" si="115"/>
        <v>2.9659999999999999E-2</v>
      </c>
      <c r="V213" s="767">
        <f t="shared" si="115"/>
        <v>2.9659999999999999E-2</v>
      </c>
      <c r="W213" s="767">
        <f t="shared" si="115"/>
        <v>2.9659999999999999E-2</v>
      </c>
    </row>
    <row r="214" spans="1:23" ht="15.75" hidden="1" customHeight="1">
      <c r="A214" s="727"/>
      <c r="C214" s="732">
        <f>+MAX(C$11:C213)+1</f>
        <v>203</v>
      </c>
      <c r="D214" s="763" t="s">
        <v>235</v>
      </c>
      <c r="E214" s="767"/>
      <c r="F214" s="843">
        <v>1</v>
      </c>
      <c r="G214" s="843">
        <v>1</v>
      </c>
      <c r="H214" s="843">
        <f>G214</f>
        <v>1</v>
      </c>
      <c r="I214" s="843"/>
      <c r="J214" s="843"/>
      <c r="K214" s="843"/>
      <c r="L214" s="791">
        <f t="shared" ref="L214:W214" si="116">K214</f>
        <v>0</v>
      </c>
      <c r="M214" s="791">
        <f t="shared" si="116"/>
        <v>0</v>
      </c>
      <c r="N214" s="791">
        <f t="shared" si="116"/>
        <v>0</v>
      </c>
      <c r="O214" s="791">
        <f t="shared" si="116"/>
        <v>0</v>
      </c>
      <c r="P214" s="791">
        <f t="shared" si="116"/>
        <v>0</v>
      </c>
      <c r="Q214" s="791">
        <f t="shared" si="116"/>
        <v>0</v>
      </c>
      <c r="R214" s="791">
        <f t="shared" si="116"/>
        <v>0</v>
      </c>
      <c r="S214" s="791">
        <f t="shared" si="116"/>
        <v>0</v>
      </c>
      <c r="T214" s="791">
        <f t="shared" si="116"/>
        <v>0</v>
      </c>
      <c r="U214" s="791">
        <f t="shared" si="116"/>
        <v>0</v>
      </c>
      <c r="V214" s="791">
        <f t="shared" si="116"/>
        <v>0</v>
      </c>
      <c r="W214" s="791">
        <f t="shared" si="116"/>
        <v>0</v>
      </c>
    </row>
    <row r="215" spans="1:23" ht="15.75" hidden="1" customHeight="1" thickBot="1">
      <c r="A215" s="727"/>
      <c r="C215" s="732">
        <f>+MAX(C$11:C214)+1</f>
        <v>204</v>
      </c>
      <c r="D215" s="763" t="s">
        <v>236</v>
      </c>
      <c r="E215" s="767"/>
      <c r="F215" s="844">
        <v>0</v>
      </c>
      <c r="G215" s="844">
        <v>0</v>
      </c>
      <c r="H215" s="844">
        <f>G215</f>
        <v>0</v>
      </c>
      <c r="I215" s="844"/>
      <c r="J215" s="844"/>
      <c r="K215" s="844"/>
      <c r="L215" s="791">
        <f t="shared" ref="L215:W215" si="117">K215</f>
        <v>0</v>
      </c>
      <c r="M215" s="791">
        <f t="shared" si="117"/>
        <v>0</v>
      </c>
      <c r="N215" s="791">
        <f t="shared" si="117"/>
        <v>0</v>
      </c>
      <c r="O215" s="791">
        <f t="shared" si="117"/>
        <v>0</v>
      </c>
      <c r="P215" s="791">
        <f t="shared" si="117"/>
        <v>0</v>
      </c>
      <c r="Q215" s="791">
        <f t="shared" si="117"/>
        <v>0</v>
      </c>
      <c r="R215" s="791">
        <f t="shared" si="117"/>
        <v>0</v>
      </c>
      <c r="S215" s="791">
        <f t="shared" si="117"/>
        <v>0</v>
      </c>
      <c r="T215" s="791">
        <f t="shared" si="117"/>
        <v>0</v>
      </c>
      <c r="U215" s="791">
        <f t="shared" si="117"/>
        <v>0</v>
      </c>
      <c r="V215" s="791">
        <f t="shared" si="117"/>
        <v>0</v>
      </c>
      <c r="W215" s="791">
        <f t="shared" si="117"/>
        <v>0</v>
      </c>
    </row>
    <row r="216" spans="1:23" ht="15.75" customHeight="1">
      <c r="A216" s="727"/>
      <c r="C216" s="732">
        <f>+MAX(C$11:C215)+1</f>
        <v>205</v>
      </c>
      <c r="G216" s="762"/>
      <c r="I216" s="762"/>
      <c r="J216" s="762"/>
      <c r="K216" s="762"/>
    </row>
    <row r="217" spans="1:23" ht="15.75" customHeight="1">
      <c r="A217" s="727"/>
      <c r="C217" s="732">
        <f>+MAX(C$11:C216)+1</f>
        <v>206</v>
      </c>
      <c r="D217" s="751" t="s">
        <v>231</v>
      </c>
      <c r="E217" s="760"/>
      <c r="G217" s="762"/>
      <c r="I217" s="762"/>
      <c r="J217" s="762"/>
      <c r="K217" s="762"/>
    </row>
    <row r="218" spans="1:23" ht="15.75" customHeight="1">
      <c r="A218" s="727"/>
      <c r="C218" s="732">
        <f>+MAX(C$11:C217)+1</f>
        <v>207</v>
      </c>
      <c r="D218" s="766"/>
      <c r="E218" s="760"/>
      <c r="G218" s="762"/>
      <c r="I218" s="762"/>
      <c r="J218" s="762"/>
      <c r="K218" s="762"/>
    </row>
    <row r="219" spans="1:23" ht="15.75" customHeight="1">
      <c r="A219" s="727"/>
      <c r="C219" s="732">
        <f>+MAX(C$11:C218)+1</f>
        <v>208</v>
      </c>
      <c r="D219" s="738" t="s">
        <v>234</v>
      </c>
      <c r="E219" s="760"/>
      <c r="G219" s="762"/>
      <c r="I219" s="762"/>
      <c r="J219" s="762"/>
      <c r="K219" s="762"/>
    </row>
    <row r="220" spans="1:23" ht="15.75" customHeight="1" thickBot="1">
      <c r="A220" s="727"/>
      <c r="C220" s="732">
        <f>+MAX(C$11:C219)+1</f>
        <v>209</v>
      </c>
      <c r="D220" s="766"/>
      <c r="E220" s="760"/>
      <c r="G220" s="762"/>
      <c r="I220" s="762"/>
      <c r="J220" s="762"/>
      <c r="K220" s="762"/>
    </row>
    <row r="221" spans="1:23" ht="16.5" thickBot="1">
      <c r="A221" s="727"/>
      <c r="C221" s="732">
        <f>+MAX(C$11:C220)+1</f>
        <v>210</v>
      </c>
      <c r="D221" s="738" t="s">
        <v>215</v>
      </c>
      <c r="E221" s="764"/>
      <c r="F221" s="838">
        <v>500</v>
      </c>
      <c r="G221" s="838">
        <v>0</v>
      </c>
      <c r="H221" s="838">
        <f t="shared" ref="H221:W221" si="118">ROUND(+G221*(1+H$10),$Y$8)</f>
        <v>0</v>
      </c>
      <c r="I221" s="838">
        <f t="shared" si="118"/>
        <v>0</v>
      </c>
      <c r="J221" s="838">
        <f t="shared" si="118"/>
        <v>0</v>
      </c>
      <c r="K221" s="838">
        <f t="shared" si="118"/>
        <v>0</v>
      </c>
      <c r="L221" s="838">
        <f t="shared" si="118"/>
        <v>0</v>
      </c>
      <c r="M221" s="838">
        <f t="shared" si="118"/>
        <v>0</v>
      </c>
      <c r="N221" s="764">
        <f t="shared" si="118"/>
        <v>0</v>
      </c>
      <c r="O221" s="764">
        <f t="shared" si="118"/>
        <v>0</v>
      </c>
      <c r="P221" s="764">
        <f t="shared" si="118"/>
        <v>0</v>
      </c>
      <c r="Q221" s="764">
        <f t="shared" si="118"/>
        <v>0</v>
      </c>
      <c r="R221" s="764">
        <f t="shared" si="118"/>
        <v>0</v>
      </c>
      <c r="S221" s="764">
        <f t="shared" si="118"/>
        <v>0</v>
      </c>
      <c r="T221" s="764">
        <f t="shared" si="118"/>
        <v>0</v>
      </c>
      <c r="U221" s="764">
        <f t="shared" si="118"/>
        <v>0</v>
      </c>
      <c r="V221" s="764">
        <f t="shared" si="118"/>
        <v>0</v>
      </c>
      <c r="W221" s="764">
        <f t="shared" si="118"/>
        <v>0</v>
      </c>
    </row>
    <row r="222" spans="1:23" ht="16.5" thickBot="1">
      <c r="A222" s="727"/>
      <c r="C222" s="732">
        <f>+MAX(C$11:C221)+1</f>
        <v>211</v>
      </c>
      <c r="D222" s="738"/>
      <c r="E222" s="764"/>
      <c r="F222" s="769"/>
      <c r="G222" s="769"/>
      <c r="H222" s="769"/>
      <c r="I222" s="769"/>
      <c r="J222" s="769"/>
      <c r="K222" s="769"/>
      <c r="L222" s="769"/>
      <c r="M222" s="769"/>
    </row>
    <row r="223" spans="1:23" ht="16.5" thickBot="1">
      <c r="A223" s="727"/>
      <c r="C223" s="732">
        <f>+MAX(C$11:C222)+1</f>
        <v>212</v>
      </c>
      <c r="D223" s="738" t="s">
        <v>218</v>
      </c>
      <c r="E223" s="764"/>
      <c r="F223" s="838">
        <v>5</v>
      </c>
      <c r="G223" s="838">
        <v>0</v>
      </c>
      <c r="H223" s="838">
        <f t="shared" ref="H223:M223" si="119">H161</f>
        <v>4.5</v>
      </c>
      <c r="I223" s="838">
        <f t="shared" si="119"/>
        <v>4.5</v>
      </c>
      <c r="J223" s="838">
        <f t="shared" si="119"/>
        <v>5.04</v>
      </c>
      <c r="K223" s="838">
        <f t="shared" si="119"/>
        <v>5.14</v>
      </c>
      <c r="L223" s="838">
        <f t="shared" si="119"/>
        <v>5.26</v>
      </c>
      <c r="M223" s="838">
        <f t="shared" si="119"/>
        <v>5.37</v>
      </c>
      <c r="N223" s="764">
        <f t="shared" ref="N223:W223" si="120">ROUND(+M223*(1+N$10),$Y$8)</f>
        <v>5.37</v>
      </c>
      <c r="O223" s="764">
        <f t="shared" si="120"/>
        <v>5.37</v>
      </c>
      <c r="P223" s="764">
        <f t="shared" si="120"/>
        <v>5.37</v>
      </c>
      <c r="Q223" s="764">
        <f t="shared" si="120"/>
        <v>5.37</v>
      </c>
      <c r="R223" s="764">
        <f t="shared" si="120"/>
        <v>5.37</v>
      </c>
      <c r="S223" s="764">
        <f t="shared" si="120"/>
        <v>5.37</v>
      </c>
      <c r="T223" s="764">
        <f t="shared" si="120"/>
        <v>5.37</v>
      </c>
      <c r="U223" s="764">
        <f t="shared" si="120"/>
        <v>5.37</v>
      </c>
      <c r="V223" s="764">
        <f t="shared" si="120"/>
        <v>5.37</v>
      </c>
      <c r="W223" s="764">
        <f t="shared" si="120"/>
        <v>5.37</v>
      </c>
    </row>
    <row r="224" spans="1:23" ht="16.5" thickBot="1">
      <c r="A224" s="727"/>
      <c r="C224" s="732">
        <f>+MAX(C$11:C223)+1</f>
        <v>213</v>
      </c>
      <c r="D224" s="738"/>
      <c r="E224" s="764"/>
      <c r="F224" s="769"/>
      <c r="G224" s="762"/>
      <c r="I224" s="762"/>
      <c r="J224" s="762"/>
      <c r="K224" s="762"/>
      <c r="L224" s="762"/>
      <c r="M224" s="762"/>
    </row>
    <row r="225" spans="1:23" ht="16.5" thickBot="1">
      <c r="A225" s="727"/>
      <c r="C225" s="732">
        <f>+MAX(C$11:C224)+1</f>
        <v>214</v>
      </c>
      <c r="D225" s="738" t="s">
        <v>2156</v>
      </c>
      <c r="E225" s="767"/>
      <c r="F225" s="839">
        <v>3.5073638752123097E-2</v>
      </c>
      <c r="G225" s="839">
        <f t="shared" ref="G225:M226" si="121">MAX(G$168:G$172)*1.05</f>
        <v>2.3519999999999999E-2</v>
      </c>
      <c r="H225" s="839">
        <f t="shared" si="121"/>
        <v>2.9247750000000003E-2</v>
      </c>
      <c r="I225" s="839">
        <f t="shared" si="121"/>
        <v>3.4125000000000003E-2</v>
      </c>
      <c r="J225" s="839">
        <f t="shared" si="121"/>
        <v>3.6519000000000003E-2</v>
      </c>
      <c r="K225" s="3363">
        <f t="shared" si="121"/>
        <v>3.1961999999999997E-2</v>
      </c>
      <c r="L225" s="3363">
        <f t="shared" si="121"/>
        <v>3.1961999999999997E-2</v>
      </c>
      <c r="M225" s="3363">
        <f t="shared" si="121"/>
        <v>3.1961999999999997E-2</v>
      </c>
      <c r="N225" s="767">
        <f t="shared" ref="N225:W225" si="122">ROUND(+M225*(1+N$10),$Y$9)</f>
        <v>3.1960000000000002E-2</v>
      </c>
      <c r="O225" s="767">
        <f t="shared" si="122"/>
        <v>3.1960000000000002E-2</v>
      </c>
      <c r="P225" s="767">
        <f t="shared" si="122"/>
        <v>3.1960000000000002E-2</v>
      </c>
      <c r="Q225" s="767">
        <f t="shared" si="122"/>
        <v>3.1960000000000002E-2</v>
      </c>
      <c r="R225" s="767">
        <f t="shared" si="122"/>
        <v>3.1960000000000002E-2</v>
      </c>
      <c r="S225" s="767">
        <f t="shared" si="122"/>
        <v>3.1960000000000002E-2</v>
      </c>
      <c r="T225" s="767">
        <f t="shared" si="122"/>
        <v>3.1960000000000002E-2</v>
      </c>
      <c r="U225" s="767">
        <f t="shared" si="122"/>
        <v>3.1960000000000002E-2</v>
      </c>
      <c r="V225" s="767">
        <f t="shared" si="122"/>
        <v>3.1960000000000002E-2</v>
      </c>
      <c r="W225" s="767">
        <f t="shared" si="122"/>
        <v>3.1960000000000002E-2</v>
      </c>
    </row>
    <row r="226" spans="1:23" ht="16.5" thickBot="1">
      <c r="A226" s="727"/>
      <c r="C226" s="732">
        <f>+MAX(C$11:C225)+1</f>
        <v>215</v>
      </c>
      <c r="D226" s="738" t="s">
        <v>2157</v>
      </c>
      <c r="E226" s="767"/>
      <c r="F226" s="839">
        <v>3.5073638752123097E-2</v>
      </c>
      <c r="G226" s="839">
        <f t="shared" si="121"/>
        <v>2.3519999999999999E-2</v>
      </c>
      <c r="H226" s="839">
        <f t="shared" si="121"/>
        <v>2.9247750000000003E-2</v>
      </c>
      <c r="I226" s="839">
        <f t="shared" si="121"/>
        <v>3.4125000000000003E-2</v>
      </c>
      <c r="J226" s="839">
        <f t="shared" si="121"/>
        <v>3.6519000000000003E-2</v>
      </c>
      <c r="K226" s="3363">
        <f t="shared" si="121"/>
        <v>3.1961999999999997E-2</v>
      </c>
      <c r="L226" s="3363">
        <f t="shared" si="121"/>
        <v>3.1961999999999997E-2</v>
      </c>
      <c r="M226" s="3363">
        <f t="shared" si="121"/>
        <v>3.1961999999999997E-2</v>
      </c>
      <c r="N226" s="767">
        <f t="shared" ref="N226:W226" si="123">ROUND(+M226*(1+N$10),$Y$9)</f>
        <v>3.1960000000000002E-2</v>
      </c>
      <c r="O226" s="767">
        <f t="shared" si="123"/>
        <v>3.1960000000000002E-2</v>
      </c>
      <c r="P226" s="767">
        <f t="shared" si="123"/>
        <v>3.1960000000000002E-2</v>
      </c>
      <c r="Q226" s="767">
        <f t="shared" si="123"/>
        <v>3.1960000000000002E-2</v>
      </c>
      <c r="R226" s="767">
        <f t="shared" si="123"/>
        <v>3.1960000000000002E-2</v>
      </c>
      <c r="S226" s="767">
        <f t="shared" si="123"/>
        <v>3.1960000000000002E-2</v>
      </c>
      <c r="T226" s="767">
        <f t="shared" si="123"/>
        <v>3.1960000000000002E-2</v>
      </c>
      <c r="U226" s="767">
        <f t="shared" si="123"/>
        <v>3.1960000000000002E-2</v>
      </c>
      <c r="V226" s="767">
        <f t="shared" si="123"/>
        <v>3.1960000000000002E-2</v>
      </c>
      <c r="W226" s="767">
        <f t="shared" si="123"/>
        <v>3.1960000000000002E-2</v>
      </c>
    </row>
    <row r="227" spans="1:23">
      <c r="A227" s="727"/>
      <c r="C227" s="732">
        <f>+MAX(C$11:C226)+1</f>
        <v>216</v>
      </c>
      <c r="D227" s="738"/>
      <c r="E227" s="767"/>
      <c r="F227" s="769"/>
      <c r="G227" s="762"/>
      <c r="H227" s="767"/>
      <c r="I227" s="767"/>
      <c r="J227" s="767"/>
      <c r="K227" s="767"/>
      <c r="L227" s="767"/>
      <c r="M227" s="767"/>
      <c r="N227" s="767"/>
      <c r="O227" s="767"/>
      <c r="P227" s="767"/>
      <c r="Q227" s="767"/>
      <c r="R227" s="767"/>
      <c r="S227" s="767"/>
      <c r="T227" s="767"/>
      <c r="U227" s="767"/>
      <c r="V227" s="767"/>
      <c r="W227" s="767"/>
    </row>
    <row r="228" spans="1:23">
      <c r="A228" s="727"/>
      <c r="C228" s="732">
        <f>+MAX(C$11:C227)+1</f>
        <v>217</v>
      </c>
      <c r="D228" s="751" t="s">
        <v>232</v>
      </c>
      <c r="E228" s="767"/>
      <c r="F228" s="769"/>
      <c r="G228" s="762"/>
      <c r="H228" s="767"/>
      <c r="I228" s="767"/>
      <c r="J228" s="767"/>
      <c r="K228" s="767"/>
      <c r="L228" s="767"/>
      <c r="M228" s="767"/>
      <c r="N228" s="767"/>
      <c r="O228" s="767"/>
      <c r="P228" s="767"/>
      <c r="Q228" s="767"/>
      <c r="R228" s="767"/>
      <c r="S228" s="767"/>
      <c r="T228" s="767"/>
      <c r="U228" s="767"/>
      <c r="V228" s="767"/>
      <c r="W228" s="767"/>
    </row>
    <row r="229" spans="1:23" ht="16.5" thickBot="1">
      <c r="A229" s="727"/>
      <c r="C229" s="732">
        <f>+MAX(C$18:C228)+1</f>
        <v>218</v>
      </c>
      <c r="D229" s="738"/>
      <c r="E229" s="767"/>
      <c r="F229" s="769"/>
      <c r="G229" s="762"/>
      <c r="H229" s="767"/>
      <c r="I229" s="767"/>
      <c r="J229" s="767"/>
      <c r="K229" s="767"/>
      <c r="L229" s="767"/>
      <c r="M229" s="767"/>
      <c r="N229" s="767"/>
      <c r="O229" s="767"/>
      <c r="P229" s="767"/>
      <c r="Q229" s="767"/>
      <c r="R229" s="767"/>
      <c r="S229" s="767"/>
      <c r="T229" s="767"/>
      <c r="U229" s="767"/>
      <c r="V229" s="767"/>
      <c r="W229" s="767"/>
    </row>
    <row r="230" spans="1:23" ht="15.75" customHeight="1" thickBot="1">
      <c r="A230" s="727"/>
      <c r="C230" s="732">
        <f>+MAX(C$18:C229)+1</f>
        <v>219</v>
      </c>
      <c r="D230" s="738" t="s">
        <v>259</v>
      </c>
      <c r="E230" s="855"/>
      <c r="F230" s="856">
        <v>12</v>
      </c>
      <c r="G230" s="856">
        <v>12</v>
      </c>
      <c r="H230" s="856">
        <f t="shared" ref="H230:W230" si="124">G230</f>
        <v>12</v>
      </c>
      <c r="I230" s="856">
        <f t="shared" si="124"/>
        <v>12</v>
      </c>
      <c r="J230" s="856">
        <f t="shared" si="124"/>
        <v>12</v>
      </c>
      <c r="K230" s="856">
        <f t="shared" si="124"/>
        <v>12</v>
      </c>
      <c r="L230" s="856">
        <f>K230</f>
        <v>12</v>
      </c>
      <c r="M230" s="856">
        <f>L230</f>
        <v>12</v>
      </c>
      <c r="N230" s="855">
        <f t="shared" si="124"/>
        <v>12</v>
      </c>
      <c r="O230" s="855">
        <f t="shared" si="124"/>
        <v>12</v>
      </c>
      <c r="P230" s="855">
        <f t="shared" si="124"/>
        <v>12</v>
      </c>
      <c r="Q230" s="855">
        <f t="shared" si="124"/>
        <v>12</v>
      </c>
      <c r="R230" s="855">
        <f t="shared" si="124"/>
        <v>12</v>
      </c>
      <c r="S230" s="855">
        <f t="shared" si="124"/>
        <v>12</v>
      </c>
      <c r="T230" s="855">
        <f t="shared" si="124"/>
        <v>12</v>
      </c>
      <c r="U230" s="855">
        <f t="shared" si="124"/>
        <v>12</v>
      </c>
      <c r="V230" s="855">
        <f t="shared" si="124"/>
        <v>12</v>
      </c>
      <c r="W230" s="855">
        <f t="shared" si="124"/>
        <v>12</v>
      </c>
    </row>
    <row r="231" spans="1:23" ht="15.75" customHeight="1" thickBot="1">
      <c r="A231" s="727"/>
      <c r="C231" s="732">
        <f>+MAX(C$18:C230)+1</f>
        <v>220</v>
      </c>
      <c r="D231" s="766"/>
      <c r="E231" s="855"/>
      <c r="F231" s="855"/>
      <c r="G231" s="855"/>
      <c r="H231" s="855"/>
      <c r="I231" s="855"/>
      <c r="J231" s="855"/>
      <c r="K231" s="855"/>
      <c r="L231" s="855"/>
      <c r="M231" s="855"/>
      <c r="N231" s="855"/>
      <c r="O231" s="855"/>
      <c r="P231" s="855"/>
      <c r="Q231" s="855"/>
      <c r="R231" s="855"/>
      <c r="S231" s="855"/>
      <c r="T231" s="855"/>
      <c r="U231" s="855"/>
      <c r="V231" s="855"/>
      <c r="W231" s="855"/>
    </row>
    <row r="232" spans="1:23" ht="16.5" thickBot="1">
      <c r="A232" s="727"/>
      <c r="C232" s="732">
        <f>+MAX(C$18:C231)+1</f>
        <v>221</v>
      </c>
      <c r="D232" s="738" t="s">
        <v>1015</v>
      </c>
      <c r="E232" s="853"/>
      <c r="F232" s="769"/>
      <c r="G232" s="762"/>
      <c r="H232" s="857">
        <v>9.15</v>
      </c>
      <c r="I232" s="857">
        <v>9.15</v>
      </c>
      <c r="J232" s="857">
        <v>9.15</v>
      </c>
      <c r="K232" s="857">
        <v>9.15</v>
      </c>
      <c r="L232" s="857">
        <v>9.1999999999999993</v>
      </c>
      <c r="M232" s="857">
        <v>9.25</v>
      </c>
      <c r="N232" s="920">
        <f t="shared" ref="N232:W232" si="125">ROUND(+M232*(1+N$10),$Y$9)</f>
        <v>9.25</v>
      </c>
      <c r="O232" s="920">
        <f t="shared" si="125"/>
        <v>9.25</v>
      </c>
      <c r="P232" s="920">
        <f t="shared" si="125"/>
        <v>9.25</v>
      </c>
      <c r="Q232" s="920">
        <f t="shared" si="125"/>
        <v>9.25</v>
      </c>
      <c r="R232" s="920">
        <f t="shared" si="125"/>
        <v>9.25</v>
      </c>
      <c r="S232" s="920">
        <f t="shared" si="125"/>
        <v>9.25</v>
      </c>
      <c r="T232" s="920">
        <f t="shared" si="125"/>
        <v>9.25</v>
      </c>
      <c r="U232" s="920">
        <f t="shared" si="125"/>
        <v>9.25</v>
      </c>
      <c r="V232" s="920">
        <f t="shared" si="125"/>
        <v>9.25</v>
      </c>
      <c r="W232" s="920">
        <f t="shared" si="125"/>
        <v>9.25</v>
      </c>
    </row>
    <row r="233" spans="1:23" ht="16.5" thickBot="1">
      <c r="A233" s="727"/>
      <c r="C233" s="732">
        <f>+MAX(C$18:C232)+1</f>
        <v>222</v>
      </c>
      <c r="D233" s="738" t="s">
        <v>1016</v>
      </c>
      <c r="E233" s="853"/>
      <c r="F233" s="769"/>
      <c r="G233" s="762"/>
      <c r="H233" s="857">
        <v>12.4</v>
      </c>
      <c r="I233" s="857">
        <v>12.4</v>
      </c>
      <c r="J233" s="857">
        <v>12.4</v>
      </c>
      <c r="K233" s="857">
        <v>12.4</v>
      </c>
      <c r="L233" s="857">
        <v>12.46</v>
      </c>
      <c r="M233" s="857">
        <v>12.52</v>
      </c>
      <c r="N233" s="920">
        <f t="shared" ref="N233:W233" si="126">ROUND(+M233*(1+N$10),$Y$9)</f>
        <v>12.52</v>
      </c>
      <c r="O233" s="920">
        <f t="shared" si="126"/>
        <v>12.52</v>
      </c>
      <c r="P233" s="920">
        <f t="shared" si="126"/>
        <v>12.52</v>
      </c>
      <c r="Q233" s="920">
        <f t="shared" si="126"/>
        <v>12.52</v>
      </c>
      <c r="R233" s="920">
        <f t="shared" si="126"/>
        <v>12.52</v>
      </c>
      <c r="S233" s="920">
        <f t="shared" si="126"/>
        <v>12.52</v>
      </c>
      <c r="T233" s="920">
        <f t="shared" si="126"/>
        <v>12.52</v>
      </c>
      <c r="U233" s="920">
        <f t="shared" si="126"/>
        <v>12.52</v>
      </c>
      <c r="V233" s="920">
        <f t="shared" si="126"/>
        <v>12.52</v>
      </c>
      <c r="W233" s="920">
        <f t="shared" si="126"/>
        <v>12.52</v>
      </c>
    </row>
    <row r="234" spans="1:23" ht="16.5" thickBot="1">
      <c r="A234" s="727"/>
      <c r="C234" s="732">
        <f>+MAX(C$18:C233)+1</f>
        <v>223</v>
      </c>
      <c r="D234" s="738" t="s">
        <v>1017</v>
      </c>
      <c r="E234" s="853"/>
      <c r="F234" s="769"/>
      <c r="G234" s="762"/>
      <c r="H234" s="857">
        <v>17.5</v>
      </c>
      <c r="I234" s="857">
        <v>17.5</v>
      </c>
      <c r="J234" s="857">
        <v>17.5</v>
      </c>
      <c r="K234" s="857">
        <v>17.5</v>
      </c>
      <c r="L234" s="857">
        <v>17.59</v>
      </c>
      <c r="M234" s="857">
        <v>17.68</v>
      </c>
      <c r="N234" s="920">
        <f t="shared" ref="N234:W234" si="127">ROUND(+M234*(1+N$10),$Y$9)</f>
        <v>17.68</v>
      </c>
      <c r="O234" s="920">
        <f t="shared" si="127"/>
        <v>17.68</v>
      </c>
      <c r="P234" s="920">
        <f t="shared" si="127"/>
        <v>17.68</v>
      </c>
      <c r="Q234" s="920">
        <f t="shared" si="127"/>
        <v>17.68</v>
      </c>
      <c r="R234" s="920">
        <f t="shared" si="127"/>
        <v>17.68</v>
      </c>
      <c r="S234" s="920">
        <f t="shared" si="127"/>
        <v>17.68</v>
      </c>
      <c r="T234" s="920">
        <f t="shared" si="127"/>
        <v>17.68</v>
      </c>
      <c r="U234" s="920">
        <f t="shared" si="127"/>
        <v>17.68</v>
      </c>
      <c r="V234" s="920">
        <f t="shared" si="127"/>
        <v>17.68</v>
      </c>
      <c r="W234" s="920">
        <f t="shared" si="127"/>
        <v>17.68</v>
      </c>
    </row>
    <row r="235" spans="1:23" ht="16.5" thickBot="1">
      <c r="A235" s="727"/>
      <c r="C235" s="732">
        <f>+MAX(C$18:C234)+1</f>
        <v>224</v>
      </c>
      <c r="D235" s="738" t="s">
        <v>1018</v>
      </c>
      <c r="E235" s="853"/>
      <c r="F235" s="769"/>
      <c r="G235" s="762"/>
      <c r="H235" s="857">
        <v>5.35</v>
      </c>
      <c r="I235" s="857">
        <v>5.35</v>
      </c>
      <c r="J235" s="857">
        <v>5.35</v>
      </c>
      <c r="K235" s="857">
        <v>5.35</v>
      </c>
      <c r="L235" s="857">
        <v>5.38</v>
      </c>
      <c r="M235" s="857">
        <v>5.41</v>
      </c>
      <c r="N235" s="920">
        <f t="shared" ref="N235:W235" si="128">ROUND(+M235*(1+N$10),$Y$9)</f>
        <v>5.41</v>
      </c>
      <c r="O235" s="920">
        <f t="shared" si="128"/>
        <v>5.41</v>
      </c>
      <c r="P235" s="920">
        <f t="shared" si="128"/>
        <v>5.41</v>
      </c>
      <c r="Q235" s="920">
        <f t="shared" si="128"/>
        <v>5.41</v>
      </c>
      <c r="R235" s="920">
        <f t="shared" si="128"/>
        <v>5.41</v>
      </c>
      <c r="S235" s="920">
        <f t="shared" si="128"/>
        <v>5.41</v>
      </c>
      <c r="T235" s="920">
        <f t="shared" si="128"/>
        <v>5.41</v>
      </c>
      <c r="U235" s="920">
        <f t="shared" si="128"/>
        <v>5.41</v>
      </c>
      <c r="V235" s="920">
        <f t="shared" si="128"/>
        <v>5.41</v>
      </c>
      <c r="W235" s="920">
        <f t="shared" si="128"/>
        <v>5.41</v>
      </c>
    </row>
    <row r="236" spans="1:23" ht="16.5" thickBot="1">
      <c r="A236" s="727"/>
      <c r="C236" s="732">
        <f>+MAX(C$18:C235)+1</f>
        <v>225</v>
      </c>
      <c r="D236" s="738" t="s">
        <v>1019</v>
      </c>
      <c r="E236" s="853"/>
      <c r="F236" s="769"/>
      <c r="G236" s="762"/>
      <c r="H236" s="857">
        <v>7.4</v>
      </c>
      <c r="I236" s="857">
        <v>7.4</v>
      </c>
      <c r="J236" s="857">
        <v>7.4</v>
      </c>
      <c r="K236" s="857">
        <v>7.4</v>
      </c>
      <c r="L236" s="857">
        <v>7.44</v>
      </c>
      <c r="M236" s="857">
        <v>7.48</v>
      </c>
      <c r="N236" s="920">
        <f t="shared" ref="N236:W236" si="129">ROUND(+M236*(1+N$10),$Y$9)</f>
        <v>7.48</v>
      </c>
      <c r="O236" s="920">
        <f t="shared" si="129"/>
        <v>7.48</v>
      </c>
      <c r="P236" s="920">
        <f t="shared" si="129"/>
        <v>7.48</v>
      </c>
      <c r="Q236" s="920">
        <f t="shared" si="129"/>
        <v>7.48</v>
      </c>
      <c r="R236" s="920">
        <f t="shared" si="129"/>
        <v>7.48</v>
      </c>
      <c r="S236" s="920">
        <f t="shared" si="129"/>
        <v>7.48</v>
      </c>
      <c r="T236" s="920">
        <f t="shared" si="129"/>
        <v>7.48</v>
      </c>
      <c r="U236" s="920">
        <f t="shared" si="129"/>
        <v>7.48</v>
      </c>
      <c r="V236" s="920">
        <f t="shared" si="129"/>
        <v>7.48</v>
      </c>
      <c r="W236" s="920">
        <f t="shared" si="129"/>
        <v>7.48</v>
      </c>
    </row>
    <row r="237" spans="1:23" ht="16.5" thickBot="1">
      <c r="A237" s="727"/>
      <c r="C237" s="732">
        <f>+MAX(C$18:C236)+1</f>
        <v>226</v>
      </c>
      <c r="D237" s="738" t="s">
        <v>1020</v>
      </c>
      <c r="E237" s="853"/>
      <c r="F237" s="769"/>
      <c r="G237" s="762"/>
      <c r="H237" s="857">
        <v>40.85</v>
      </c>
      <c r="I237" s="857">
        <v>40.85</v>
      </c>
      <c r="J237" s="857">
        <v>40.85</v>
      </c>
      <c r="K237" s="857">
        <v>40.85</v>
      </c>
      <c r="L237" s="857">
        <v>41.05</v>
      </c>
      <c r="M237" s="857">
        <v>41.26</v>
      </c>
      <c r="N237" s="920">
        <f t="shared" ref="N237:W237" si="130">ROUND(+M237*(1+N$10),$Y$9)</f>
        <v>41.26</v>
      </c>
      <c r="O237" s="920">
        <f t="shared" si="130"/>
        <v>41.26</v>
      </c>
      <c r="P237" s="920">
        <f t="shared" si="130"/>
        <v>41.26</v>
      </c>
      <c r="Q237" s="920">
        <f t="shared" si="130"/>
        <v>41.26</v>
      </c>
      <c r="R237" s="920">
        <f t="shared" si="130"/>
        <v>41.26</v>
      </c>
      <c r="S237" s="920">
        <f t="shared" si="130"/>
        <v>41.26</v>
      </c>
      <c r="T237" s="920">
        <f t="shared" si="130"/>
        <v>41.26</v>
      </c>
      <c r="U237" s="920">
        <f t="shared" si="130"/>
        <v>41.26</v>
      </c>
      <c r="V237" s="920">
        <f t="shared" si="130"/>
        <v>41.26</v>
      </c>
      <c r="W237" s="920">
        <f t="shared" si="130"/>
        <v>41.26</v>
      </c>
    </row>
    <row r="238" spans="1:23" ht="16.5" thickBot="1">
      <c r="A238" s="727"/>
      <c r="C238" s="732">
        <f>+MAX(C$18:C237)+1</f>
        <v>227</v>
      </c>
      <c r="D238" s="738" t="s">
        <v>1021</v>
      </c>
      <c r="E238" s="853"/>
      <c r="F238" s="769"/>
      <c r="G238" s="762"/>
      <c r="H238" s="857">
        <v>21.75</v>
      </c>
      <c r="I238" s="857">
        <v>21.75</v>
      </c>
      <c r="J238" s="857">
        <v>21.75</v>
      </c>
      <c r="K238" s="857">
        <v>21.75</v>
      </c>
      <c r="L238" s="857">
        <v>21.86</v>
      </c>
      <c r="M238" s="857">
        <v>21.97</v>
      </c>
      <c r="N238" s="920">
        <f t="shared" ref="N238:W238" si="131">ROUND(+M238*(1+N$10),$Y$9)</f>
        <v>21.97</v>
      </c>
      <c r="O238" s="920">
        <f t="shared" si="131"/>
        <v>21.97</v>
      </c>
      <c r="P238" s="920">
        <f t="shared" si="131"/>
        <v>21.97</v>
      </c>
      <c r="Q238" s="920">
        <f t="shared" si="131"/>
        <v>21.97</v>
      </c>
      <c r="R238" s="920">
        <f t="shared" si="131"/>
        <v>21.97</v>
      </c>
      <c r="S238" s="920">
        <f t="shared" si="131"/>
        <v>21.97</v>
      </c>
      <c r="T238" s="920">
        <f t="shared" si="131"/>
        <v>21.97</v>
      </c>
      <c r="U238" s="920">
        <f t="shared" si="131"/>
        <v>21.97</v>
      </c>
      <c r="V238" s="920">
        <f t="shared" si="131"/>
        <v>21.97</v>
      </c>
      <c r="W238" s="920">
        <f t="shared" si="131"/>
        <v>21.97</v>
      </c>
    </row>
    <row r="239" spans="1:23" ht="16.5" thickBot="1">
      <c r="A239" s="727"/>
      <c r="C239" s="732">
        <f>+MAX(C$18:C238)+1</f>
        <v>228</v>
      </c>
      <c r="D239" s="738" t="s">
        <v>1022</v>
      </c>
      <c r="E239" s="853"/>
      <c r="F239" s="769"/>
      <c r="G239" s="762"/>
      <c r="H239" s="857">
        <v>42</v>
      </c>
      <c r="I239" s="857">
        <v>42</v>
      </c>
      <c r="J239" s="857">
        <v>42</v>
      </c>
      <c r="K239" s="857">
        <v>42</v>
      </c>
      <c r="L239" s="857">
        <v>42.21</v>
      </c>
      <c r="M239" s="857">
        <v>42.42</v>
      </c>
      <c r="N239" s="920">
        <f t="shared" ref="N239:W239" si="132">ROUND(+M239*(1+N$10),$Y$9)</f>
        <v>42.42</v>
      </c>
      <c r="O239" s="920">
        <f t="shared" si="132"/>
        <v>42.42</v>
      </c>
      <c r="P239" s="920">
        <f t="shared" si="132"/>
        <v>42.42</v>
      </c>
      <c r="Q239" s="920">
        <f t="shared" si="132"/>
        <v>42.42</v>
      </c>
      <c r="R239" s="920">
        <f t="shared" si="132"/>
        <v>42.42</v>
      </c>
      <c r="S239" s="920">
        <f t="shared" si="132"/>
        <v>42.42</v>
      </c>
      <c r="T239" s="920">
        <f t="shared" si="132"/>
        <v>42.42</v>
      </c>
      <c r="U239" s="920">
        <f t="shared" si="132"/>
        <v>42.42</v>
      </c>
      <c r="V239" s="920">
        <f t="shared" si="132"/>
        <v>42.42</v>
      </c>
      <c r="W239" s="920">
        <f t="shared" si="132"/>
        <v>42.42</v>
      </c>
    </row>
    <row r="240" spans="1:23" ht="16.5" thickBot="1">
      <c r="A240" s="727"/>
      <c r="C240" s="732">
        <f>+MAX(C$18:C239)+1</f>
        <v>229</v>
      </c>
      <c r="D240" s="738" t="s">
        <v>1023</v>
      </c>
      <c r="E240" s="853"/>
      <c r="F240" s="769"/>
      <c r="G240" s="762"/>
      <c r="H240" s="857">
        <v>24.35</v>
      </c>
      <c r="I240" s="857">
        <v>24.35</v>
      </c>
      <c r="J240" s="857">
        <v>24.35</v>
      </c>
      <c r="K240" s="857">
        <v>24.35</v>
      </c>
      <c r="L240" s="857">
        <v>24.47</v>
      </c>
      <c r="M240" s="857">
        <v>24.59</v>
      </c>
      <c r="N240" s="920">
        <f t="shared" ref="N240:W240" si="133">ROUND(+M240*(1+N$10),$Y$9)</f>
        <v>24.59</v>
      </c>
      <c r="O240" s="920">
        <f t="shared" si="133"/>
        <v>24.59</v>
      </c>
      <c r="P240" s="920">
        <f t="shared" si="133"/>
        <v>24.59</v>
      </c>
      <c r="Q240" s="920">
        <f t="shared" si="133"/>
        <v>24.59</v>
      </c>
      <c r="R240" s="920">
        <f t="shared" si="133"/>
        <v>24.59</v>
      </c>
      <c r="S240" s="920">
        <f t="shared" si="133"/>
        <v>24.59</v>
      </c>
      <c r="T240" s="920">
        <f t="shared" si="133"/>
        <v>24.59</v>
      </c>
      <c r="U240" s="920">
        <f t="shared" si="133"/>
        <v>24.59</v>
      </c>
      <c r="V240" s="920">
        <f t="shared" si="133"/>
        <v>24.59</v>
      </c>
      <c r="W240" s="920">
        <f t="shared" si="133"/>
        <v>24.59</v>
      </c>
    </row>
    <row r="241" spans="1:23" ht="16.5" thickBot="1">
      <c r="A241" s="727"/>
      <c r="C241" s="732">
        <f>+MAX(C$18:C240)+1</f>
        <v>230</v>
      </c>
      <c r="D241" s="738" t="s">
        <v>1024</v>
      </c>
      <c r="E241" s="853"/>
      <c r="F241" s="769"/>
      <c r="G241" s="762"/>
      <c r="H241" s="857">
        <v>2.9</v>
      </c>
      <c r="I241" s="857">
        <v>2.9</v>
      </c>
      <c r="J241" s="857">
        <v>2.9</v>
      </c>
      <c r="K241" s="857">
        <v>2.9</v>
      </c>
      <c r="L241" s="857">
        <v>2.91</v>
      </c>
      <c r="M241" s="857">
        <v>2.92</v>
      </c>
      <c r="N241" s="920">
        <f t="shared" ref="N241:W241" si="134">ROUND(+M241*(1+N$10),$Y$9)</f>
        <v>2.92</v>
      </c>
      <c r="O241" s="920">
        <f t="shared" si="134"/>
        <v>2.92</v>
      </c>
      <c r="P241" s="920">
        <f t="shared" si="134"/>
        <v>2.92</v>
      </c>
      <c r="Q241" s="920">
        <f t="shared" si="134"/>
        <v>2.92</v>
      </c>
      <c r="R241" s="920">
        <f t="shared" si="134"/>
        <v>2.92</v>
      </c>
      <c r="S241" s="920">
        <f t="shared" si="134"/>
        <v>2.92</v>
      </c>
      <c r="T241" s="920">
        <f t="shared" si="134"/>
        <v>2.92</v>
      </c>
      <c r="U241" s="920">
        <f t="shared" si="134"/>
        <v>2.92</v>
      </c>
      <c r="V241" s="920">
        <f t="shared" si="134"/>
        <v>2.92</v>
      </c>
      <c r="W241" s="920">
        <f t="shared" si="134"/>
        <v>2.92</v>
      </c>
    </row>
    <row r="242" spans="1:23" ht="16.5" thickBot="1">
      <c r="A242" s="727"/>
      <c r="C242" s="732">
        <f>+MAX(C$18:C241)+1</f>
        <v>231</v>
      </c>
      <c r="D242" s="738" t="s">
        <v>1025</v>
      </c>
      <c r="E242" s="853"/>
      <c r="F242" s="769"/>
      <c r="G242" s="762"/>
      <c r="H242" s="857">
        <v>0.75</v>
      </c>
      <c r="I242" s="857">
        <v>0.75</v>
      </c>
      <c r="J242" s="857">
        <v>0.75</v>
      </c>
      <c r="K242" s="857">
        <v>0.75</v>
      </c>
      <c r="L242" s="857">
        <v>0.75</v>
      </c>
      <c r="M242" s="857">
        <v>0.76</v>
      </c>
      <c r="N242" s="920">
        <f t="shared" ref="N242:W242" si="135">ROUND(+M242*(1+N$10),$Y$9)</f>
        <v>0.76</v>
      </c>
      <c r="O242" s="920">
        <f t="shared" si="135"/>
        <v>0.76</v>
      </c>
      <c r="P242" s="920">
        <f t="shared" si="135"/>
        <v>0.76</v>
      </c>
      <c r="Q242" s="920">
        <f t="shared" si="135"/>
        <v>0.76</v>
      </c>
      <c r="R242" s="920">
        <f t="shared" si="135"/>
        <v>0.76</v>
      </c>
      <c r="S242" s="920">
        <f t="shared" si="135"/>
        <v>0.76</v>
      </c>
      <c r="T242" s="920">
        <f t="shared" si="135"/>
        <v>0.76</v>
      </c>
      <c r="U242" s="920">
        <f t="shared" si="135"/>
        <v>0.76</v>
      </c>
      <c r="V242" s="920">
        <f t="shared" si="135"/>
        <v>0.76</v>
      </c>
      <c r="W242" s="920">
        <f t="shared" si="135"/>
        <v>0.76</v>
      </c>
    </row>
    <row r="243" spans="1:23" ht="16.5" thickBot="1">
      <c r="A243" s="727"/>
      <c r="C243" s="732">
        <f>+MAX(C$18:C242)+1</f>
        <v>232</v>
      </c>
      <c r="D243" s="738" t="s">
        <v>1026</v>
      </c>
      <c r="E243" s="853"/>
      <c r="F243" s="769"/>
      <c r="G243" s="762"/>
      <c r="H243" s="857">
        <v>1.4</v>
      </c>
      <c r="I243" s="857">
        <v>1.4</v>
      </c>
      <c r="J243" s="857">
        <v>1.4</v>
      </c>
      <c r="K243" s="857">
        <v>1.4</v>
      </c>
      <c r="L243" s="857">
        <v>1.41</v>
      </c>
      <c r="M243" s="857">
        <v>1.42</v>
      </c>
      <c r="N243" s="920">
        <f t="shared" ref="N243:W243" si="136">ROUND(+M243*(1+N$10),$Y$9)</f>
        <v>1.42</v>
      </c>
      <c r="O243" s="920">
        <f t="shared" si="136"/>
        <v>1.42</v>
      </c>
      <c r="P243" s="920">
        <f t="shared" si="136"/>
        <v>1.42</v>
      </c>
      <c r="Q243" s="920">
        <f t="shared" si="136"/>
        <v>1.42</v>
      </c>
      <c r="R243" s="920">
        <f t="shared" si="136"/>
        <v>1.42</v>
      </c>
      <c r="S243" s="920">
        <f t="shared" si="136"/>
        <v>1.42</v>
      </c>
      <c r="T243" s="920">
        <f t="shared" si="136"/>
        <v>1.42</v>
      </c>
      <c r="U243" s="920">
        <f t="shared" si="136"/>
        <v>1.42</v>
      </c>
      <c r="V243" s="920">
        <f t="shared" si="136"/>
        <v>1.42</v>
      </c>
      <c r="W243" s="920">
        <f t="shared" si="136"/>
        <v>1.42</v>
      </c>
    </row>
    <row r="244" spans="1:23" ht="16.5" thickBot="1">
      <c r="A244" s="727"/>
      <c r="C244" s="732">
        <f>+MAX(C$18:C243)+1</f>
        <v>233</v>
      </c>
      <c r="D244" s="738" t="s">
        <v>1027</v>
      </c>
      <c r="E244" s="769"/>
      <c r="F244" s="769"/>
      <c r="G244" s="762"/>
      <c r="H244" s="857">
        <v>2.9</v>
      </c>
      <c r="I244" s="857">
        <v>2.9</v>
      </c>
      <c r="J244" s="857">
        <v>2.9</v>
      </c>
      <c r="K244" s="857">
        <v>2.9</v>
      </c>
      <c r="L244" s="857">
        <v>2.91</v>
      </c>
      <c r="M244" s="857">
        <v>2.92</v>
      </c>
      <c r="N244" s="920">
        <f t="shared" ref="N244:W244" si="137">ROUND(+M244*(1+N$10),$Y$9)</f>
        <v>2.92</v>
      </c>
      <c r="O244" s="920">
        <f t="shared" si="137"/>
        <v>2.92</v>
      </c>
      <c r="P244" s="920">
        <f t="shared" si="137"/>
        <v>2.92</v>
      </c>
      <c r="Q244" s="920">
        <f t="shared" si="137"/>
        <v>2.92</v>
      </c>
      <c r="R244" s="920">
        <f t="shared" si="137"/>
        <v>2.92</v>
      </c>
      <c r="S244" s="920">
        <f t="shared" si="137"/>
        <v>2.92</v>
      </c>
      <c r="T244" s="920">
        <f t="shared" si="137"/>
        <v>2.92</v>
      </c>
      <c r="U244" s="920">
        <f t="shared" si="137"/>
        <v>2.92</v>
      </c>
      <c r="V244" s="920">
        <f t="shared" si="137"/>
        <v>2.92</v>
      </c>
      <c r="W244" s="920">
        <f t="shared" si="137"/>
        <v>2.92</v>
      </c>
    </row>
    <row r="245" spans="1:23">
      <c r="A245" s="727"/>
      <c r="C245" s="732"/>
      <c r="D245" s="738"/>
      <c r="E245" s="769"/>
      <c r="F245" s="769"/>
      <c r="G245" s="762"/>
      <c r="H245" s="767"/>
      <c r="I245" s="767"/>
      <c r="J245" s="767"/>
      <c r="K245" s="767"/>
      <c r="L245" s="767"/>
      <c r="M245" s="767"/>
      <c r="N245" s="767"/>
      <c r="O245" s="767"/>
      <c r="P245" s="767"/>
      <c r="Q245" s="767"/>
      <c r="R245" s="767"/>
      <c r="S245" s="767"/>
      <c r="T245" s="767"/>
      <c r="U245" s="767"/>
      <c r="V245" s="767"/>
      <c r="W245" s="767"/>
    </row>
    <row r="246" spans="1:23">
      <c r="A246" s="727"/>
      <c r="C246" s="732"/>
      <c r="D246" s="738"/>
      <c r="E246" s="767"/>
      <c r="F246" s="769"/>
      <c r="G246" s="762"/>
      <c r="H246" s="767"/>
      <c r="I246" s="767"/>
      <c r="J246" s="767"/>
      <c r="K246" s="767"/>
      <c r="L246" s="767"/>
      <c r="M246" s="767"/>
      <c r="N246" s="767"/>
      <c r="O246" s="767"/>
      <c r="P246" s="767"/>
      <c r="Q246" s="767"/>
      <c r="R246" s="767"/>
      <c r="S246" s="767"/>
      <c r="T246" s="767"/>
      <c r="U246" s="767"/>
      <c r="V246" s="767"/>
      <c r="W246" s="767"/>
    </row>
    <row r="247" spans="1:23">
      <c r="A247" s="727"/>
      <c r="C247" s="732"/>
      <c r="D247" s="738"/>
      <c r="E247" s="767"/>
      <c r="F247" s="769"/>
      <c r="G247" s="762"/>
      <c r="H247" s="767"/>
      <c r="I247" s="767"/>
      <c r="J247" s="767"/>
      <c r="K247" s="767"/>
      <c r="L247" s="767"/>
      <c r="M247" s="767"/>
      <c r="N247" s="767"/>
      <c r="O247" s="767"/>
      <c r="P247" s="767"/>
      <c r="Q247" s="767"/>
      <c r="R247" s="767"/>
      <c r="S247" s="767"/>
      <c r="T247" s="767"/>
      <c r="U247" s="767"/>
      <c r="V247" s="767"/>
      <c r="W247" s="767"/>
    </row>
    <row r="248" spans="1:23">
      <c r="A248" s="727"/>
      <c r="C248" s="732"/>
      <c r="D248" s="738"/>
      <c r="E248" s="767"/>
      <c r="F248" s="769"/>
      <c r="G248" s="762"/>
      <c r="H248" s="767"/>
      <c r="I248" s="767"/>
      <c r="J248" s="767"/>
      <c r="K248" s="767"/>
      <c r="L248" s="767"/>
      <c r="M248" s="767"/>
      <c r="N248" s="767"/>
      <c r="O248" s="767"/>
      <c r="P248" s="767"/>
      <c r="Q248" s="767"/>
      <c r="R248" s="767"/>
      <c r="S248" s="767"/>
      <c r="T248" s="767"/>
      <c r="U248" s="767"/>
      <c r="V248" s="767"/>
      <c r="W248" s="767"/>
    </row>
    <row r="249" spans="1:23">
      <c r="A249" s="727"/>
      <c r="C249" s="732"/>
      <c r="F249" s="769"/>
      <c r="G249" s="762"/>
      <c r="H249" s="767"/>
      <c r="I249" s="767"/>
      <c r="J249" s="767"/>
      <c r="K249" s="767"/>
      <c r="L249" s="767"/>
      <c r="M249" s="767"/>
      <c r="N249" s="767"/>
      <c r="O249" s="767"/>
      <c r="P249" s="767"/>
      <c r="Q249" s="767"/>
      <c r="R249" s="767"/>
      <c r="S249" s="767"/>
      <c r="T249" s="767"/>
      <c r="U249" s="767"/>
      <c r="V249" s="767"/>
      <c r="W249" s="767"/>
    </row>
    <row r="250" spans="1:23">
      <c r="A250" s="727"/>
      <c r="C250" s="732"/>
      <c r="E250" s="767"/>
      <c r="F250" s="769"/>
      <c r="G250" s="762"/>
      <c r="H250" s="767"/>
      <c r="I250" s="767"/>
      <c r="J250" s="767"/>
      <c r="K250" s="767"/>
      <c r="L250" s="767"/>
      <c r="M250" s="767"/>
      <c r="N250" s="767"/>
      <c r="O250" s="767"/>
      <c r="P250" s="767"/>
      <c r="Q250" s="767"/>
      <c r="R250" s="767"/>
      <c r="S250" s="767"/>
      <c r="T250" s="767"/>
      <c r="U250" s="767"/>
      <c r="V250" s="767"/>
      <c r="W250" s="767"/>
    </row>
    <row r="251" spans="1:23">
      <c r="A251" s="727"/>
      <c r="C251" s="732"/>
      <c r="D251" s="738"/>
      <c r="E251" s="767"/>
      <c r="F251" s="769"/>
      <c r="G251" s="762"/>
      <c r="H251" s="767"/>
      <c r="I251" s="767"/>
      <c r="J251" s="767"/>
      <c r="K251" s="767"/>
      <c r="L251" s="767"/>
      <c r="M251" s="767"/>
      <c r="N251" s="767"/>
      <c r="O251" s="767"/>
      <c r="P251" s="767"/>
      <c r="Q251" s="767"/>
      <c r="R251" s="767"/>
      <c r="S251" s="767"/>
      <c r="T251" s="767"/>
      <c r="U251" s="767"/>
      <c r="V251" s="767"/>
      <c r="W251" s="767"/>
    </row>
    <row r="252" spans="1:23">
      <c r="A252" s="727"/>
      <c r="E252" s="760"/>
    </row>
    <row r="253" spans="1:23" hidden="1">
      <c r="A253" s="727"/>
      <c r="E253" s="760"/>
    </row>
    <row r="254" spans="1:23" hidden="1">
      <c r="A254" s="727"/>
      <c r="E254" s="760"/>
    </row>
    <row r="255" spans="1:23" hidden="1">
      <c r="A255" s="727"/>
      <c r="E255" s="760"/>
    </row>
    <row r="256" spans="1:23" hidden="1">
      <c r="A256" s="727"/>
      <c r="E256" s="760"/>
    </row>
    <row r="257" spans="1:5" hidden="1">
      <c r="A257" s="727"/>
      <c r="E257" s="760"/>
    </row>
    <row r="258" spans="1:5" hidden="1">
      <c r="A258" s="727"/>
      <c r="E258" s="760"/>
    </row>
    <row r="259" spans="1:5" hidden="1">
      <c r="A259" s="727"/>
      <c r="E259" s="760"/>
    </row>
    <row r="260" spans="1:5" hidden="1">
      <c r="A260" s="727"/>
      <c r="E260" s="760"/>
    </row>
    <row r="261" spans="1:5" hidden="1">
      <c r="A261" s="727"/>
      <c r="E261" s="760"/>
    </row>
    <row r="262" spans="1:5" hidden="1">
      <c r="A262" s="727"/>
      <c r="E262" s="760"/>
    </row>
    <row r="263" spans="1:5" hidden="1">
      <c r="A263" s="727"/>
      <c r="E263" s="760"/>
    </row>
    <row r="264" spans="1:5" hidden="1">
      <c r="A264" s="727"/>
      <c r="E264" s="760"/>
    </row>
    <row r="265" spans="1:5" hidden="1">
      <c r="A265" s="727"/>
      <c r="E265" s="760"/>
    </row>
    <row r="266" spans="1:5" hidden="1">
      <c r="A266" s="727"/>
      <c r="E266" s="760"/>
    </row>
    <row r="267" spans="1:5" hidden="1">
      <c r="A267" s="727"/>
      <c r="E267" s="760"/>
    </row>
    <row r="268" spans="1:5" hidden="1">
      <c r="A268" s="727"/>
      <c r="E268" s="760"/>
    </row>
    <row r="269" spans="1:5" hidden="1">
      <c r="A269" s="727"/>
      <c r="E269" s="760"/>
    </row>
    <row r="270" spans="1:5" hidden="1">
      <c r="A270" s="727"/>
      <c r="E270" s="760"/>
    </row>
    <row r="271" spans="1:5" hidden="1">
      <c r="A271" s="727"/>
      <c r="E271" s="760"/>
    </row>
    <row r="272" spans="1:5" hidden="1">
      <c r="A272" s="727"/>
      <c r="E272" s="760"/>
    </row>
    <row r="273" spans="5:5" hidden="1">
      <c r="E273" s="760"/>
    </row>
    <row r="274" spans="5:5" hidden="1">
      <c r="E274" s="760"/>
    </row>
    <row r="275" spans="5:5" hidden="1">
      <c r="E275" s="760"/>
    </row>
    <row r="276" spans="5:5" hidden="1">
      <c r="E276" s="760"/>
    </row>
    <row r="277" spans="5:5" hidden="1">
      <c r="E277" s="760"/>
    </row>
    <row r="278" spans="5:5" hidden="1">
      <c r="E278" s="760"/>
    </row>
    <row r="279" spans="5:5" hidden="1">
      <c r="E279" s="760"/>
    </row>
    <row r="280" spans="5:5" hidden="1">
      <c r="E280" s="760"/>
    </row>
    <row r="281" spans="5:5" hidden="1">
      <c r="E281" s="760"/>
    </row>
    <row r="282" spans="5:5" hidden="1">
      <c r="E282" s="760"/>
    </row>
    <row r="283" spans="5:5" hidden="1">
      <c r="E283" s="760"/>
    </row>
    <row r="284" spans="5:5" hidden="1">
      <c r="E284" s="760"/>
    </row>
    <row r="285" spans="5:5" hidden="1"/>
    <row r="286" spans="5:5" hidden="1"/>
    <row r="287" spans="5:5" hidden="1"/>
    <row r="288" spans="5:5"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sheetData>
  <mergeCells count="5">
    <mergeCell ref="C1:K1"/>
    <mergeCell ref="C2:K2"/>
    <mergeCell ref="C3:K3"/>
    <mergeCell ref="F8:K8"/>
    <mergeCell ref="L8:W8"/>
  </mergeCells>
  <phoneticPr fontId="0" type="noConversion"/>
  <printOptions horizontalCentered="1"/>
  <pageMargins left="0.25" right="0.25" top="0.5" bottom="0.5" header="0.25" footer="0.25"/>
  <pageSetup scale="37" fitToHeight="100" orientation="landscape" r:id="rId1"/>
  <headerFooter alignWithMargins="0">
    <oddFooter>&amp;L&amp;"Times New Roman,Bold Italic"Black &amp; Veatch Corporation&amp;R&amp;"Times New Roman,Bold Italic"Date:&amp;D</oddFooter>
  </headerFooter>
  <rowBreaks count="1" manualBreakCount="1">
    <brk id="23" min="1"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99"/>
  </sheetPr>
  <dimension ref="A1:V57"/>
  <sheetViews>
    <sheetView zoomScale="70" zoomScaleNormal="70" workbookViewId="0">
      <pane xSplit="8" ySplit="6" topLeftCell="Q7" activePane="bottomRight" state="frozen"/>
      <selection activeCell="D11" sqref="D11"/>
      <selection pane="topRight" activeCell="D11" sqref="D11"/>
      <selection pane="bottomLeft" activeCell="D11" sqref="D11"/>
      <selection pane="bottomRight" activeCell="C19" sqref="C19"/>
    </sheetView>
  </sheetViews>
  <sheetFormatPr defaultRowHeight="15.75"/>
  <cols>
    <col min="1" max="1" width="22.5" style="196" customWidth="1"/>
    <col min="2" max="2" width="2.5" style="20" customWidth="1"/>
    <col min="3" max="3" width="60.5" bestFit="1" customWidth="1"/>
    <col min="4" max="4" width="12.375" bestFit="1" customWidth="1"/>
    <col min="5" max="8" width="10.125" customWidth="1"/>
    <col min="9" max="22" width="14.625" bestFit="1" customWidth="1"/>
  </cols>
  <sheetData>
    <row r="1" spans="1:22">
      <c r="A1" s="411"/>
    </row>
    <row r="2" spans="1:22">
      <c r="A2" s="411"/>
    </row>
    <row r="3" spans="1:22">
      <c r="A3" s="411"/>
    </row>
    <row r="4" spans="1:22">
      <c r="A4" s="411"/>
    </row>
    <row r="5" spans="1:22">
      <c r="A5" s="411"/>
    </row>
    <row r="6" spans="1:22" ht="31.5">
      <c r="A6" s="411"/>
      <c r="D6" s="4229" t="s">
        <v>3985</v>
      </c>
      <c r="E6" s="146">
        <v>2009</v>
      </c>
      <c r="F6" s="146">
        <v>2010</v>
      </c>
      <c r="G6" s="146">
        <v>2011</v>
      </c>
      <c r="H6" s="146">
        <v>2012</v>
      </c>
      <c r="I6" s="146">
        <f>Dashboard!F$7</f>
        <v>2013</v>
      </c>
      <c r="J6" s="146">
        <f>Dashboard!G$7</f>
        <v>2014</v>
      </c>
      <c r="K6" s="146">
        <f>Dashboard!H$7</f>
        <v>2015</v>
      </c>
      <c r="L6" s="146">
        <f>Dashboard!I$7</f>
        <v>2016</v>
      </c>
      <c r="M6" s="146">
        <f>Dashboard!J$7</f>
        <v>2017</v>
      </c>
      <c r="N6" s="146">
        <f>Dashboard!K$7</f>
        <v>2018</v>
      </c>
      <c r="O6" s="146">
        <f>Dashboard!L$7</f>
        <v>2019</v>
      </c>
      <c r="P6" s="146">
        <f>Dashboard!M$7</f>
        <v>2020</v>
      </c>
      <c r="Q6" s="146">
        <f>Dashboard!N$7</f>
        <v>2021</v>
      </c>
      <c r="R6" s="146">
        <f>Dashboard!O$7</f>
        <v>2022</v>
      </c>
      <c r="S6" s="146">
        <f>Dashboard!P$7</f>
        <v>2023</v>
      </c>
      <c r="T6" s="146">
        <f>Dashboard!Q$7</f>
        <v>2024</v>
      </c>
      <c r="U6" s="146">
        <f>Dashboard!R$7</f>
        <v>2025</v>
      </c>
      <c r="V6" s="146">
        <f>Dashboard!S$7</f>
        <v>2026</v>
      </c>
    </row>
    <row r="7" spans="1:22">
      <c r="A7" s="411"/>
      <c r="C7" t="s">
        <v>13</v>
      </c>
      <c r="E7" s="1238">
        <f t="shared" ref="E7:G15" si="0">F7</f>
        <v>5.6456480051836122E-2</v>
      </c>
      <c r="F7" s="1238">
        <f t="shared" si="0"/>
        <v>5.6456480051836122E-2</v>
      </c>
      <c r="G7" s="1238">
        <f t="shared" si="0"/>
        <v>5.6456480051836122E-2</v>
      </c>
      <c r="H7" s="1238">
        <f>I7</f>
        <v>5.6456480051836122E-2</v>
      </c>
      <c r="I7" s="1704">
        <v>5.6456480051836122E-2</v>
      </c>
      <c r="J7" s="1238">
        <f t="shared" ref="J7:J15" si="1">I7</f>
        <v>5.6456480051836122E-2</v>
      </c>
      <c r="K7" s="1238">
        <f t="shared" ref="K7:V15" si="2">J7</f>
        <v>5.6456480051836122E-2</v>
      </c>
      <c r="L7" s="1704">
        <v>5.6503742905973375E-2</v>
      </c>
      <c r="M7" s="1238">
        <f t="shared" si="2"/>
        <v>5.6503742905973375E-2</v>
      </c>
      <c r="N7" s="1238">
        <f t="shared" si="2"/>
        <v>5.6503742905973375E-2</v>
      </c>
      <c r="O7" s="1238">
        <f t="shared" si="2"/>
        <v>5.6503742905973375E-2</v>
      </c>
      <c r="P7" s="1238">
        <f t="shared" si="2"/>
        <v>5.6503742905973375E-2</v>
      </c>
      <c r="Q7" s="1238">
        <f t="shared" si="2"/>
        <v>5.6503742905973375E-2</v>
      </c>
      <c r="R7" s="1238">
        <f t="shared" si="2"/>
        <v>5.6503742905973375E-2</v>
      </c>
      <c r="S7" s="1238">
        <f t="shared" si="2"/>
        <v>5.6503742905973375E-2</v>
      </c>
      <c r="T7" s="1238">
        <f t="shared" si="2"/>
        <v>5.6503742905973375E-2</v>
      </c>
      <c r="U7" s="1238">
        <f t="shared" si="2"/>
        <v>5.6503742905973375E-2</v>
      </c>
      <c r="V7" s="1238">
        <f t="shared" si="2"/>
        <v>5.6503742905973375E-2</v>
      </c>
    </row>
    <row r="8" spans="1:22">
      <c r="A8" s="411"/>
      <c r="C8" t="s">
        <v>14</v>
      </c>
      <c r="E8" s="1238">
        <f t="shared" si="0"/>
        <v>7.2974904208322755E-7</v>
      </c>
      <c r="F8" s="1238">
        <f t="shared" si="0"/>
        <v>7.2974904208322755E-7</v>
      </c>
      <c r="G8" s="1238">
        <f t="shared" si="0"/>
        <v>7.2974904208322755E-7</v>
      </c>
      <c r="H8" s="1238">
        <f t="shared" ref="H8:H15" si="3">I8</f>
        <v>7.2974904208322755E-7</v>
      </c>
      <c r="I8" s="1704">
        <v>7.2974904208322755E-7</v>
      </c>
      <c r="J8" s="1238">
        <f t="shared" si="1"/>
        <v>7.2974904208322755E-7</v>
      </c>
      <c r="K8" s="1238">
        <f t="shared" ref="K8:V8" si="4">J8</f>
        <v>7.2974904208322755E-7</v>
      </c>
      <c r="L8" s="1704">
        <v>0</v>
      </c>
      <c r="M8" s="1238">
        <f t="shared" si="4"/>
        <v>0</v>
      </c>
      <c r="N8" s="1238">
        <f t="shared" si="4"/>
        <v>0</v>
      </c>
      <c r="O8" s="1238">
        <f t="shared" si="4"/>
        <v>0</v>
      </c>
      <c r="P8" s="1238">
        <f t="shared" si="4"/>
        <v>0</v>
      </c>
      <c r="Q8" s="1238">
        <f t="shared" si="4"/>
        <v>0</v>
      </c>
      <c r="R8" s="1238">
        <f t="shared" si="4"/>
        <v>0</v>
      </c>
      <c r="S8" s="1238">
        <f t="shared" si="4"/>
        <v>0</v>
      </c>
      <c r="T8" s="1238">
        <f t="shared" si="4"/>
        <v>0</v>
      </c>
      <c r="U8" s="1238">
        <f t="shared" si="4"/>
        <v>0</v>
      </c>
      <c r="V8" s="1238">
        <f t="shared" si="4"/>
        <v>0</v>
      </c>
    </row>
    <row r="9" spans="1:22">
      <c r="A9" s="411"/>
      <c r="C9" t="s">
        <v>15</v>
      </c>
      <c r="E9" s="1238">
        <f t="shared" si="0"/>
        <v>1.0302688839192164E-4</v>
      </c>
      <c r="F9" s="1238">
        <f t="shared" si="0"/>
        <v>1.0302688839192164E-4</v>
      </c>
      <c r="G9" s="1238">
        <f t="shared" si="0"/>
        <v>1.0302688839192164E-4</v>
      </c>
      <c r="H9" s="1238">
        <f t="shared" si="3"/>
        <v>1.0302688839192164E-4</v>
      </c>
      <c r="I9" s="1704">
        <v>1.0302688839192164E-4</v>
      </c>
      <c r="J9" s="1238">
        <f t="shared" si="1"/>
        <v>1.0302688839192164E-4</v>
      </c>
      <c r="K9" s="1238">
        <f t="shared" si="2"/>
        <v>1.0302688839192164E-4</v>
      </c>
      <c r="L9" s="1704">
        <v>1.0950146179111719E-4</v>
      </c>
      <c r="M9" s="1238">
        <f t="shared" si="2"/>
        <v>1.0950146179111719E-4</v>
      </c>
      <c r="N9" s="1238">
        <f t="shared" si="2"/>
        <v>1.0950146179111719E-4</v>
      </c>
      <c r="O9" s="1238">
        <f t="shared" si="2"/>
        <v>1.0950146179111719E-4</v>
      </c>
      <c r="P9" s="1238">
        <f t="shared" si="2"/>
        <v>1.0950146179111719E-4</v>
      </c>
      <c r="Q9" s="1238">
        <f t="shared" si="2"/>
        <v>1.0950146179111719E-4</v>
      </c>
      <c r="R9" s="1238">
        <f t="shared" si="2"/>
        <v>1.0950146179111719E-4</v>
      </c>
      <c r="S9" s="1238">
        <f t="shared" si="2"/>
        <v>1.0950146179111719E-4</v>
      </c>
      <c r="T9" s="1238">
        <f t="shared" si="2"/>
        <v>1.0950146179111719E-4</v>
      </c>
      <c r="U9" s="1238">
        <f t="shared" si="2"/>
        <v>1.0950146179111719E-4</v>
      </c>
      <c r="V9" s="1238">
        <f t="shared" si="2"/>
        <v>1.0950146179111719E-4</v>
      </c>
    </row>
    <row r="10" spans="1:22">
      <c r="A10" s="411"/>
      <c r="C10" t="s">
        <v>2196</v>
      </c>
      <c r="E10" s="1238">
        <f t="shared" si="0"/>
        <v>4.858325451292167E-3</v>
      </c>
      <c r="F10" s="1238">
        <f t="shared" si="0"/>
        <v>4.858325451292167E-3</v>
      </c>
      <c r="G10" s="1238">
        <f t="shared" si="0"/>
        <v>4.858325451292167E-3</v>
      </c>
      <c r="H10" s="1238">
        <f t="shared" si="3"/>
        <v>4.858325451292167E-3</v>
      </c>
      <c r="I10" s="1704">
        <v>4.858325451292167E-3</v>
      </c>
      <c r="J10" s="1238">
        <f t="shared" si="1"/>
        <v>4.858325451292167E-3</v>
      </c>
      <c r="K10" s="1238">
        <f t="shared" si="2"/>
        <v>4.858325451292167E-3</v>
      </c>
      <c r="L10" s="1704">
        <v>5.0538226069063441E-3</v>
      </c>
      <c r="M10" s="1238">
        <f t="shared" si="2"/>
        <v>5.0538226069063441E-3</v>
      </c>
      <c r="N10" s="1238">
        <f t="shared" si="2"/>
        <v>5.0538226069063441E-3</v>
      </c>
      <c r="O10" s="1238">
        <f t="shared" si="2"/>
        <v>5.0538226069063441E-3</v>
      </c>
      <c r="P10" s="1238">
        <f t="shared" si="2"/>
        <v>5.0538226069063441E-3</v>
      </c>
      <c r="Q10" s="1238">
        <f t="shared" si="2"/>
        <v>5.0538226069063441E-3</v>
      </c>
      <c r="R10" s="1238">
        <f t="shared" si="2"/>
        <v>5.0538226069063441E-3</v>
      </c>
      <c r="S10" s="1238">
        <f t="shared" si="2"/>
        <v>5.0538226069063441E-3</v>
      </c>
      <c r="T10" s="1238">
        <f t="shared" si="2"/>
        <v>5.0538226069063441E-3</v>
      </c>
      <c r="U10" s="1238">
        <f t="shared" si="2"/>
        <v>5.0538226069063441E-3</v>
      </c>
      <c r="V10" s="1238">
        <f t="shared" si="2"/>
        <v>5.0538226069063441E-3</v>
      </c>
    </row>
    <row r="11" spans="1:22">
      <c r="A11" s="411"/>
      <c r="C11" t="s">
        <v>60</v>
      </c>
      <c r="E11" s="1238">
        <f t="shared" si="0"/>
        <v>2.92657718563194E-2</v>
      </c>
      <c r="F11" s="1238">
        <f t="shared" si="0"/>
        <v>2.92657718563194E-2</v>
      </c>
      <c r="G11" s="1238">
        <f t="shared" si="0"/>
        <v>2.92657718563194E-2</v>
      </c>
      <c r="H11" s="1238">
        <f t="shared" si="3"/>
        <v>2.92657718563194E-2</v>
      </c>
      <c r="I11" s="1704">
        <v>2.92657718563194E-2</v>
      </c>
      <c r="J11" s="1238">
        <f t="shared" si="1"/>
        <v>2.92657718563194E-2</v>
      </c>
      <c r="K11" s="1238">
        <f t="shared" si="2"/>
        <v>2.92657718563194E-2</v>
      </c>
      <c r="L11" s="1704">
        <v>2.7358843300687274E-2</v>
      </c>
      <c r="M11" s="1238">
        <f t="shared" si="2"/>
        <v>2.7358843300687274E-2</v>
      </c>
      <c r="N11" s="1238">
        <f t="shared" si="2"/>
        <v>2.7358843300687274E-2</v>
      </c>
      <c r="O11" s="1238">
        <f t="shared" si="2"/>
        <v>2.7358843300687274E-2</v>
      </c>
      <c r="P11" s="1238">
        <f t="shared" si="2"/>
        <v>2.7358843300687274E-2</v>
      </c>
      <c r="Q11" s="1238">
        <f t="shared" si="2"/>
        <v>2.7358843300687274E-2</v>
      </c>
      <c r="R11" s="1238">
        <f t="shared" si="2"/>
        <v>2.7358843300687274E-2</v>
      </c>
      <c r="S11" s="1238">
        <f t="shared" si="2"/>
        <v>2.7358843300687274E-2</v>
      </c>
      <c r="T11" s="1238">
        <f t="shared" si="2"/>
        <v>2.7358843300687274E-2</v>
      </c>
      <c r="U11" s="1238">
        <f t="shared" si="2"/>
        <v>2.7358843300687274E-2</v>
      </c>
      <c r="V11" s="1238">
        <f t="shared" si="2"/>
        <v>2.7358843300687274E-2</v>
      </c>
    </row>
    <row r="12" spans="1:22">
      <c r="A12" s="411"/>
      <c r="C12" t="s">
        <v>62</v>
      </c>
      <c r="E12" s="1238">
        <f t="shared" si="0"/>
        <v>1.6623185908191562E-2</v>
      </c>
      <c r="F12" s="1238">
        <f t="shared" si="0"/>
        <v>1.6623185908191562E-2</v>
      </c>
      <c r="G12" s="1238">
        <f t="shared" si="0"/>
        <v>1.6623185908191562E-2</v>
      </c>
      <c r="H12" s="1238">
        <f t="shared" si="3"/>
        <v>1.6623185908191562E-2</v>
      </c>
      <c r="I12" s="1704">
        <v>1.6623185908191562E-2</v>
      </c>
      <c r="J12" s="1238">
        <f t="shared" si="1"/>
        <v>1.6623185908191562E-2</v>
      </c>
      <c r="K12" s="1238">
        <f t="shared" si="2"/>
        <v>1.6623185908191562E-2</v>
      </c>
      <c r="L12" s="1704">
        <v>2.1518441618161299E-2</v>
      </c>
      <c r="M12" s="1238">
        <f t="shared" si="2"/>
        <v>2.1518441618161299E-2</v>
      </c>
      <c r="N12" s="1238">
        <f t="shared" si="2"/>
        <v>2.1518441618161299E-2</v>
      </c>
      <c r="O12" s="1238">
        <f t="shared" si="2"/>
        <v>2.1518441618161299E-2</v>
      </c>
      <c r="P12" s="1238">
        <f t="shared" si="2"/>
        <v>2.1518441618161299E-2</v>
      </c>
      <c r="Q12" s="1238">
        <f t="shared" si="2"/>
        <v>2.1518441618161299E-2</v>
      </c>
      <c r="R12" s="1238">
        <f t="shared" si="2"/>
        <v>2.1518441618161299E-2</v>
      </c>
      <c r="S12" s="1238">
        <f t="shared" si="2"/>
        <v>2.1518441618161299E-2</v>
      </c>
      <c r="T12" s="1238">
        <f t="shared" si="2"/>
        <v>2.1518441618161299E-2</v>
      </c>
      <c r="U12" s="1238">
        <f t="shared" si="2"/>
        <v>2.1518441618161299E-2</v>
      </c>
      <c r="V12" s="1238">
        <f t="shared" si="2"/>
        <v>2.1518441618161299E-2</v>
      </c>
    </row>
    <row r="13" spans="1:22">
      <c r="A13" s="411"/>
      <c r="C13" t="s">
        <v>4</v>
      </c>
      <c r="E13" s="1238">
        <f t="shared" si="0"/>
        <v>2.694700521808735E-2</v>
      </c>
      <c r="F13" s="1238">
        <f t="shared" si="0"/>
        <v>2.694700521808735E-2</v>
      </c>
      <c r="G13" s="1238">
        <f t="shared" si="0"/>
        <v>2.694700521808735E-2</v>
      </c>
      <c r="H13" s="1238">
        <f t="shared" si="3"/>
        <v>2.694700521808735E-2</v>
      </c>
      <c r="I13" s="1704">
        <v>2.694700521808735E-2</v>
      </c>
      <c r="J13" s="1238">
        <f t="shared" si="1"/>
        <v>2.694700521808735E-2</v>
      </c>
      <c r="K13" s="1238">
        <f t="shared" si="2"/>
        <v>2.694700521808735E-2</v>
      </c>
      <c r="L13" s="1704">
        <v>2.639468978888293E-2</v>
      </c>
      <c r="M13" s="1238">
        <f t="shared" si="2"/>
        <v>2.639468978888293E-2</v>
      </c>
      <c r="N13" s="1238">
        <f t="shared" si="2"/>
        <v>2.639468978888293E-2</v>
      </c>
      <c r="O13" s="1238">
        <f t="shared" si="2"/>
        <v>2.639468978888293E-2</v>
      </c>
      <c r="P13" s="1238">
        <f t="shared" si="2"/>
        <v>2.639468978888293E-2</v>
      </c>
      <c r="Q13" s="1238">
        <f t="shared" si="2"/>
        <v>2.639468978888293E-2</v>
      </c>
      <c r="R13" s="1238">
        <f t="shared" si="2"/>
        <v>2.639468978888293E-2</v>
      </c>
      <c r="S13" s="1238">
        <f t="shared" si="2"/>
        <v>2.639468978888293E-2</v>
      </c>
      <c r="T13" s="1238">
        <f t="shared" si="2"/>
        <v>2.639468978888293E-2</v>
      </c>
      <c r="U13" s="1238">
        <f t="shared" si="2"/>
        <v>2.639468978888293E-2</v>
      </c>
      <c r="V13" s="1238">
        <f t="shared" si="2"/>
        <v>2.639468978888293E-2</v>
      </c>
    </row>
    <row r="14" spans="1:22">
      <c r="A14" s="411"/>
      <c r="C14" t="s">
        <v>5</v>
      </c>
      <c r="E14" s="1238">
        <f t="shared" si="0"/>
        <v>1.4414736900074221E-2</v>
      </c>
      <c r="F14" s="1238">
        <f t="shared" si="0"/>
        <v>1.4414736900074221E-2</v>
      </c>
      <c r="G14" s="1238">
        <f t="shared" si="0"/>
        <v>1.4414736900074221E-2</v>
      </c>
      <c r="H14" s="1238">
        <f t="shared" si="3"/>
        <v>1.4414736900074221E-2</v>
      </c>
      <c r="I14" s="1704">
        <v>1.4414736900074221E-2</v>
      </c>
      <c r="J14" s="1238">
        <f t="shared" si="1"/>
        <v>1.4414736900074221E-2</v>
      </c>
      <c r="K14" s="1238">
        <f t="shared" si="2"/>
        <v>1.4414736900074221E-2</v>
      </c>
      <c r="L14" s="1704">
        <v>1.6347469471764242E-2</v>
      </c>
      <c r="M14" s="1238">
        <f t="shared" si="2"/>
        <v>1.6347469471764242E-2</v>
      </c>
      <c r="N14" s="1238">
        <f t="shared" si="2"/>
        <v>1.6347469471764242E-2</v>
      </c>
      <c r="O14" s="1238">
        <f t="shared" si="2"/>
        <v>1.6347469471764242E-2</v>
      </c>
      <c r="P14" s="1238">
        <f t="shared" si="2"/>
        <v>1.6347469471764242E-2</v>
      </c>
      <c r="Q14" s="1238">
        <f t="shared" si="2"/>
        <v>1.6347469471764242E-2</v>
      </c>
      <c r="R14" s="1238">
        <f t="shared" si="2"/>
        <v>1.6347469471764242E-2</v>
      </c>
      <c r="S14" s="1238">
        <f t="shared" si="2"/>
        <v>1.6347469471764242E-2</v>
      </c>
      <c r="T14" s="1238">
        <f t="shared" si="2"/>
        <v>1.6347469471764242E-2</v>
      </c>
      <c r="U14" s="1238">
        <f t="shared" si="2"/>
        <v>1.6347469471764242E-2</v>
      </c>
      <c r="V14" s="1238">
        <f t="shared" si="2"/>
        <v>1.6347469471764242E-2</v>
      </c>
    </row>
    <row r="15" spans="1:22">
      <c r="A15" s="411"/>
      <c r="C15" t="s">
        <v>65</v>
      </c>
      <c r="E15" s="1238">
        <f t="shared" si="0"/>
        <v>6.1975126689730597E-3</v>
      </c>
      <c r="F15" s="1238">
        <f t="shared" si="0"/>
        <v>6.1975126689730597E-3</v>
      </c>
      <c r="G15" s="1238">
        <f t="shared" si="0"/>
        <v>6.1975126689730597E-3</v>
      </c>
      <c r="H15" s="1238">
        <f t="shared" si="3"/>
        <v>6.1975126689730597E-3</v>
      </c>
      <c r="I15" s="1704">
        <v>6.1975126689730597E-3</v>
      </c>
      <c r="J15" s="1238">
        <f t="shared" si="1"/>
        <v>6.1975126689730597E-3</v>
      </c>
      <c r="K15" s="1238">
        <f t="shared" si="2"/>
        <v>6.1975126689730597E-3</v>
      </c>
      <c r="L15" s="1704">
        <v>1.0146866003707622E-2</v>
      </c>
      <c r="M15" s="1238">
        <f t="shared" si="2"/>
        <v>1.0146866003707622E-2</v>
      </c>
      <c r="N15" s="1238">
        <f t="shared" si="2"/>
        <v>1.0146866003707622E-2</v>
      </c>
      <c r="O15" s="1238">
        <f t="shared" si="2"/>
        <v>1.0146866003707622E-2</v>
      </c>
      <c r="P15" s="1238">
        <f t="shared" si="2"/>
        <v>1.0146866003707622E-2</v>
      </c>
      <c r="Q15" s="1238">
        <f t="shared" si="2"/>
        <v>1.0146866003707622E-2</v>
      </c>
      <c r="R15" s="1238">
        <f t="shared" si="2"/>
        <v>1.0146866003707622E-2</v>
      </c>
      <c r="S15" s="1238">
        <f t="shared" si="2"/>
        <v>1.0146866003707622E-2</v>
      </c>
      <c r="T15" s="1238">
        <f t="shared" si="2"/>
        <v>1.0146866003707622E-2</v>
      </c>
      <c r="U15" s="1238">
        <f t="shared" si="2"/>
        <v>1.0146866003707622E-2</v>
      </c>
      <c r="V15" s="1238">
        <f t="shared" si="2"/>
        <v>1.0146866003707622E-2</v>
      </c>
    </row>
    <row r="16" spans="1:22">
      <c r="A16" s="411"/>
    </row>
    <row r="17" spans="1:4">
      <c r="A17" s="411"/>
    </row>
    <row r="18" spans="1:4">
      <c r="A18" s="411"/>
      <c r="C18" s="1622" t="s">
        <v>2538</v>
      </c>
      <c r="D18" s="1622" t="s">
        <v>3493</v>
      </c>
    </row>
    <row r="19" spans="1:4">
      <c r="A19" s="411"/>
      <c r="C19" s="3144" t="s">
        <v>3983</v>
      </c>
      <c r="D19" s="3143" t="s">
        <v>3984</v>
      </c>
    </row>
    <row r="20" spans="1:4">
      <c r="A20" s="411"/>
    </row>
    <row r="21" spans="1:4">
      <c r="A21" s="411"/>
    </row>
    <row r="22" spans="1:4">
      <c r="A22" s="411"/>
    </row>
    <row r="23" spans="1:4">
      <c r="A23" s="411"/>
    </row>
    <row r="24" spans="1:4">
      <c r="A24" s="411"/>
    </row>
    <row r="25" spans="1:4">
      <c r="A25" s="411"/>
    </row>
    <row r="26" spans="1:4">
      <c r="A26" s="411"/>
    </row>
    <row r="27" spans="1:4">
      <c r="A27" s="411"/>
    </row>
    <row r="28" spans="1:4">
      <c r="A28" s="411"/>
    </row>
    <row r="29" spans="1:4">
      <c r="A29" s="411"/>
    </row>
    <row r="30" spans="1:4">
      <c r="A30" s="411"/>
    </row>
    <row r="31" spans="1:4">
      <c r="A31" s="411"/>
    </row>
    <row r="32" spans="1:4">
      <c r="A32" s="411"/>
    </row>
    <row r="33" spans="1:1">
      <c r="A33" s="411"/>
    </row>
    <row r="34" spans="1:1">
      <c r="A34" s="411"/>
    </row>
    <row r="35" spans="1:1">
      <c r="A35" s="411"/>
    </row>
    <row r="36" spans="1:1">
      <c r="A36" s="411"/>
    </row>
    <row r="37" spans="1:1">
      <c r="A37" s="411"/>
    </row>
    <row r="38" spans="1:1">
      <c r="A38" s="411"/>
    </row>
    <row r="39" spans="1:1">
      <c r="A39" s="411"/>
    </row>
    <row r="40" spans="1:1">
      <c r="A40" s="411"/>
    </row>
    <row r="41" spans="1:1">
      <c r="A41" s="411"/>
    </row>
    <row r="42" spans="1:1">
      <c r="A42" s="411"/>
    </row>
    <row r="43" spans="1:1">
      <c r="A43" s="411"/>
    </row>
    <row r="44" spans="1:1">
      <c r="A44" s="411"/>
    </row>
    <row r="45" spans="1:1">
      <c r="A45" s="411"/>
    </row>
    <row r="46" spans="1:1">
      <c r="A46" s="411"/>
    </row>
    <row r="47" spans="1:1">
      <c r="A47" s="411"/>
    </row>
    <row r="48" spans="1:1">
      <c r="A48" s="411"/>
    </row>
    <row r="49" spans="1:1">
      <c r="A49" s="411"/>
    </row>
    <row r="50" spans="1:1">
      <c r="A50" s="411"/>
    </row>
    <row r="51" spans="1:1">
      <c r="A51" s="411"/>
    </row>
    <row r="52" spans="1:1">
      <c r="A52" s="411"/>
    </row>
    <row r="53" spans="1:1">
      <c r="A53" s="411"/>
    </row>
    <row r="54" spans="1:1">
      <c r="A54" s="411"/>
    </row>
    <row r="55" spans="1:1">
      <c r="A55" s="411"/>
    </row>
    <row r="56" spans="1:1">
      <c r="A56" s="411"/>
    </row>
    <row r="57" spans="1:1">
      <c r="A57" s="411"/>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3399"/>
    <pageSetUpPr fitToPage="1"/>
  </sheetPr>
  <dimension ref="A1:Z64849"/>
  <sheetViews>
    <sheetView showGridLines="0" zoomScale="70" zoomScaleNormal="70" workbookViewId="0">
      <pane xSplit="4" ySplit="8" topLeftCell="E9" activePane="bottomRight" state="frozen"/>
      <selection activeCell="D11" sqref="D11"/>
      <selection pane="topRight" activeCell="D11" sqref="D11"/>
      <selection pane="bottomLeft" activeCell="D11" sqref="D11"/>
      <selection pane="bottomRight" activeCell="Z10" sqref="Z10"/>
    </sheetView>
  </sheetViews>
  <sheetFormatPr defaultColWidth="0" defaultRowHeight="0" customHeight="1" zeroHeight="1"/>
  <cols>
    <col min="1" max="1" width="22.5" customWidth="1"/>
    <col min="2" max="2" width="1.5" customWidth="1"/>
    <col min="3" max="3" width="5.5" bestFit="1" customWidth="1"/>
    <col min="4" max="4" width="56.75" bestFit="1" customWidth="1"/>
    <col min="5" max="7" width="14.625" customWidth="1"/>
    <col min="8" max="22" width="14.625" bestFit="1" customWidth="1"/>
    <col min="23" max="23" width="9.625" bestFit="1" customWidth="1"/>
    <col min="24" max="24" width="14.625" bestFit="1" customWidth="1"/>
    <col min="25" max="25" width="14.625" customWidth="1"/>
    <col min="26" max="26" width="60.5" bestFit="1" customWidth="1"/>
    <col min="27" max="27" width="2.625" customWidth="1"/>
  </cols>
  <sheetData>
    <row r="1" spans="1:26" s="4" customFormat="1" ht="22.5">
      <c r="A1" s="411"/>
      <c r="B1" s="84"/>
      <c r="C1" s="4405" t="s">
        <v>391</v>
      </c>
      <c r="D1" s="4405"/>
      <c r="E1" s="4405"/>
      <c r="F1" s="4405"/>
      <c r="G1" s="4405"/>
      <c r="H1" s="4405"/>
      <c r="I1" s="4405"/>
      <c r="J1" s="4405"/>
      <c r="K1" s="823"/>
      <c r="L1" s="823"/>
      <c r="M1" s="823"/>
      <c r="N1" s="823"/>
      <c r="O1" s="823"/>
      <c r="P1" s="823"/>
      <c r="Q1" s="823"/>
      <c r="R1" s="823"/>
      <c r="S1" s="823"/>
      <c r="T1" s="823"/>
      <c r="U1" s="823"/>
      <c r="V1" s="823"/>
      <c r="Y1"/>
    </row>
    <row r="2" spans="1:26" s="4" customFormat="1" ht="22.5">
      <c r="A2" s="411"/>
      <c r="B2" s="84"/>
      <c r="C2" s="4405" t="s">
        <v>717</v>
      </c>
      <c r="D2" s="4405"/>
      <c r="E2" s="4405"/>
      <c r="F2" s="4405"/>
      <c r="G2" s="4405"/>
      <c r="H2" s="4405"/>
      <c r="I2" s="4405"/>
      <c r="J2" s="4405"/>
      <c r="K2" s="823"/>
      <c r="L2" s="823"/>
      <c r="M2" s="823"/>
      <c r="N2" s="823"/>
      <c r="O2" s="823"/>
      <c r="P2" s="823"/>
      <c r="Q2" s="823"/>
      <c r="R2" s="823"/>
      <c r="S2" s="823"/>
      <c r="T2" s="823"/>
      <c r="U2" s="823"/>
      <c r="V2" s="823"/>
      <c r="Y2"/>
    </row>
    <row r="3" spans="1:26" s="4" customFormat="1" ht="22.5">
      <c r="A3" s="411"/>
      <c r="B3" s="84"/>
      <c r="C3" s="4405" t="s">
        <v>200</v>
      </c>
      <c r="D3" s="4405"/>
      <c r="E3" s="4405"/>
      <c r="F3" s="4405"/>
      <c r="G3" s="4405"/>
      <c r="H3" s="4405"/>
      <c r="I3" s="4405"/>
      <c r="J3" s="4405"/>
      <c r="K3" s="823"/>
      <c r="L3" s="823"/>
      <c r="M3" s="823"/>
      <c r="N3" s="823"/>
      <c r="O3" s="823"/>
      <c r="P3" s="823"/>
      <c r="Q3" s="823"/>
      <c r="R3" s="823"/>
      <c r="S3" s="823"/>
      <c r="T3" s="823"/>
      <c r="U3" s="823"/>
      <c r="V3" s="823"/>
      <c r="Y3"/>
      <c r="Z3" s="1622" t="s">
        <v>2538</v>
      </c>
    </row>
    <row r="4" spans="1:26" s="4" customFormat="1" ht="15.75" customHeight="1">
      <c r="A4" s="411"/>
      <c r="B4" s="84"/>
      <c r="D4" s="2"/>
      <c r="E4" s="13"/>
      <c r="F4" s="13"/>
      <c r="G4" s="13"/>
      <c r="H4" s="13"/>
      <c r="I4" s="13"/>
      <c r="J4" s="13"/>
      <c r="K4" s="13"/>
      <c r="L4" s="13"/>
      <c r="M4" s="13"/>
      <c r="N4" s="13"/>
      <c r="O4" s="13"/>
      <c r="P4" s="13"/>
      <c r="Q4" s="13"/>
      <c r="R4" s="13"/>
      <c r="S4" s="13"/>
      <c r="T4" s="13"/>
      <c r="U4" s="13"/>
      <c r="V4" s="13"/>
      <c r="X4" s="13"/>
      <c r="Y4"/>
      <c r="Z4" s="4225" t="s">
        <v>4027</v>
      </c>
    </row>
    <row r="5" spans="1:26" s="4" customFormat="1" ht="15.75" customHeight="1">
      <c r="A5" s="411"/>
      <c r="B5" s="84"/>
      <c r="D5" s="2"/>
      <c r="E5" s="13"/>
      <c r="F5" s="13"/>
      <c r="G5" s="13"/>
      <c r="H5" s="13"/>
      <c r="I5" s="13"/>
      <c r="J5" s="13"/>
      <c r="K5" s="13"/>
      <c r="L5" s="13"/>
      <c r="M5" s="13"/>
      <c r="N5" s="13"/>
      <c r="O5" s="13"/>
      <c r="P5" s="13"/>
      <c r="Q5" s="13"/>
      <c r="R5" s="13"/>
      <c r="S5" s="13"/>
      <c r="T5" s="13"/>
      <c r="U5" s="13"/>
      <c r="V5" s="13"/>
      <c r="X5" s="13"/>
      <c r="Y5"/>
      <c r="Z5" s="4225" t="s">
        <v>4028</v>
      </c>
    </row>
    <row r="6" spans="1:26" s="4" customFormat="1" ht="15.75">
      <c r="A6" s="411"/>
      <c r="B6" s="84"/>
      <c r="C6" s="157"/>
      <c r="D6" s="158"/>
      <c r="E6" s="4406"/>
      <c r="F6" s="4407"/>
      <c r="G6" s="4407"/>
      <c r="H6" s="4407"/>
      <c r="I6" s="4407"/>
      <c r="J6" s="4407"/>
      <c r="K6" s="4407"/>
      <c r="L6" s="4407"/>
      <c r="M6" s="4407"/>
      <c r="N6" s="4407"/>
      <c r="O6" s="4407"/>
      <c r="P6" s="4407"/>
      <c r="Q6" s="4407"/>
      <c r="R6" s="4407"/>
      <c r="S6" s="4407"/>
      <c r="T6" s="4407"/>
      <c r="U6" s="4407"/>
      <c r="V6" s="4407"/>
      <c r="Y6"/>
      <c r="Z6" s="4225" t="s">
        <v>4029</v>
      </c>
    </row>
    <row r="7" spans="1:26" s="4" customFormat="1" ht="15.75">
      <c r="A7" s="411"/>
      <c r="B7" s="84"/>
      <c r="C7" s="143" t="s">
        <v>867</v>
      </c>
      <c r="D7" s="4403" t="s">
        <v>399</v>
      </c>
      <c r="E7" s="153"/>
      <c r="F7" s="153"/>
      <c r="G7" s="152"/>
      <c r="H7" s="152"/>
      <c r="I7" s="152"/>
      <c r="J7" s="152"/>
      <c r="K7" s="152"/>
      <c r="L7" s="152"/>
      <c r="M7" s="152"/>
      <c r="N7" s="152"/>
      <c r="O7" s="152"/>
      <c r="P7" s="152"/>
      <c r="Q7" s="152"/>
      <c r="R7" s="152"/>
      <c r="S7" s="152"/>
      <c r="T7" s="152"/>
      <c r="U7" s="152"/>
      <c r="V7" s="152"/>
      <c r="W7" s="9"/>
      <c r="X7" s="163" t="s">
        <v>703</v>
      </c>
      <c r="Y7"/>
      <c r="Z7" s="4225" t="s">
        <v>4030</v>
      </c>
    </row>
    <row r="8" spans="1:26" s="4" customFormat="1" ht="15.75">
      <c r="A8" s="411"/>
      <c r="B8" s="84"/>
      <c r="C8" s="132" t="s">
        <v>196</v>
      </c>
      <c r="D8" s="4404"/>
      <c r="E8" s="146">
        <f>Cust_Detail!F7</f>
        <v>2009</v>
      </c>
      <c r="F8" s="146">
        <f>Cust_Detail!G7</f>
        <v>2010</v>
      </c>
      <c r="G8" s="146">
        <f>Cust_Detail!H7</f>
        <v>2011</v>
      </c>
      <c r="H8" s="146">
        <f>Cust_Detail!I7</f>
        <v>2012</v>
      </c>
      <c r="I8" s="146">
        <f>Dashboard!F$7</f>
        <v>2013</v>
      </c>
      <c r="J8" s="146">
        <f>Dashboard!G$7</f>
        <v>2014</v>
      </c>
      <c r="K8" s="146">
        <f>Dashboard!H$7</f>
        <v>2015</v>
      </c>
      <c r="L8" s="146">
        <f>Dashboard!I$7</f>
        <v>2016</v>
      </c>
      <c r="M8" s="146">
        <f>Dashboard!J$7</f>
        <v>2017</v>
      </c>
      <c r="N8" s="146">
        <f>Dashboard!K$7</f>
        <v>2018</v>
      </c>
      <c r="O8" s="146">
        <f>Dashboard!L$7</f>
        <v>2019</v>
      </c>
      <c r="P8" s="146">
        <f>Dashboard!M$7</f>
        <v>2020</v>
      </c>
      <c r="Q8" s="146">
        <f>Dashboard!N$7</f>
        <v>2021</v>
      </c>
      <c r="R8" s="146">
        <f>Dashboard!O$7</f>
        <v>2022</v>
      </c>
      <c r="S8" s="146">
        <f>Dashboard!P$7</f>
        <v>2023</v>
      </c>
      <c r="T8" s="146">
        <f>Dashboard!Q$7</f>
        <v>2024</v>
      </c>
      <c r="U8" s="146">
        <f>Dashboard!R$7</f>
        <v>2025</v>
      </c>
      <c r="V8" s="146">
        <f>Dashboard!S$7</f>
        <v>2026</v>
      </c>
      <c r="W8" s="9"/>
      <c r="X8" s="146" t="s">
        <v>882</v>
      </c>
      <c r="Y8"/>
      <c r="Z8" s="4225" t="s">
        <v>4031</v>
      </c>
    </row>
    <row r="9" spans="1:26" s="4" customFormat="1" ht="15.75">
      <c r="A9" s="411"/>
      <c r="B9" s="84"/>
      <c r="C9"/>
      <c r="D9"/>
      <c r="E9"/>
      <c r="F9"/>
      <c r="G9"/>
      <c r="H9"/>
      <c r="I9"/>
      <c r="J9"/>
      <c r="K9"/>
      <c r="L9"/>
      <c r="M9"/>
      <c r="N9"/>
      <c r="O9"/>
      <c r="P9"/>
      <c r="Q9"/>
      <c r="R9"/>
      <c r="S9"/>
      <c r="T9"/>
      <c r="U9"/>
      <c r="V9"/>
      <c r="W9" s="9"/>
      <c r="X9"/>
      <c r="Y9"/>
      <c r="Z9" s="4225" t="s">
        <v>4032</v>
      </c>
    </row>
    <row r="10" spans="1:26" s="4" customFormat="1" ht="15.75" customHeight="1">
      <c r="A10" s="411"/>
      <c r="B10" s="84"/>
      <c r="C10" s="236"/>
      <c r="D10" s="751" t="s">
        <v>225</v>
      </c>
      <c r="E10" s="11"/>
      <c r="F10" s="11"/>
      <c r="G10" s="11"/>
      <c r="H10" s="11"/>
      <c r="I10" s="11"/>
      <c r="J10" s="11"/>
      <c r="K10" s="11"/>
      <c r="L10" s="11"/>
      <c r="M10" s="11"/>
      <c r="N10" s="11"/>
      <c r="O10" s="11"/>
      <c r="P10" s="11"/>
      <c r="Q10" s="11"/>
      <c r="R10" s="11"/>
      <c r="S10" s="11"/>
      <c r="T10" s="11"/>
      <c r="U10" s="11"/>
      <c r="V10" s="11"/>
      <c r="X10" s="11"/>
      <c r="Y10"/>
      <c r="Z10" s="205"/>
    </row>
    <row r="11" spans="1:26" s="4" customFormat="1" ht="15.75" customHeight="1">
      <c r="A11" s="411"/>
      <c r="B11" s="84"/>
      <c r="C11" s="236"/>
      <c r="D11" s="273"/>
      <c r="E11" s="16"/>
      <c r="F11" s="16"/>
      <c r="G11" s="16"/>
      <c r="H11" s="16"/>
      <c r="I11" s="16"/>
      <c r="J11" s="16"/>
      <c r="K11" s="16"/>
      <c r="L11" s="16"/>
      <c r="M11" s="16"/>
      <c r="N11" s="16"/>
      <c r="O11" s="16"/>
      <c r="P11" s="16"/>
      <c r="Q11" s="16"/>
      <c r="R11" s="16"/>
      <c r="S11" s="16"/>
      <c r="T11" s="16"/>
      <c r="U11" s="16"/>
      <c r="V11" s="16"/>
      <c r="W11" s="205"/>
      <c r="X11" s="16"/>
      <c r="Y11"/>
      <c r="Z11" s="205"/>
    </row>
    <row r="12" spans="1:26" s="4" customFormat="1" ht="15.75" customHeight="1">
      <c r="A12" s="411"/>
      <c r="B12" s="84"/>
      <c r="C12" s="236"/>
      <c r="D12" s="278" t="s">
        <v>252</v>
      </c>
      <c r="E12" s="16"/>
      <c r="F12" s="16"/>
      <c r="G12" s="16"/>
      <c r="H12" s="16"/>
      <c r="I12" s="16"/>
      <c r="J12" s="16"/>
      <c r="K12" s="16"/>
      <c r="L12" s="16"/>
      <c r="M12" s="16"/>
      <c r="N12" s="16"/>
      <c r="O12" s="16"/>
      <c r="P12" s="16"/>
      <c r="Q12" s="16"/>
      <c r="R12" s="16"/>
      <c r="S12" s="16"/>
      <c r="T12" s="16"/>
      <c r="U12" s="16"/>
      <c r="V12" s="16"/>
      <c r="W12" s="205"/>
      <c r="X12" s="16"/>
      <c r="Y12"/>
      <c r="Z12" s="205"/>
    </row>
    <row r="13" spans="1:26" s="4" customFormat="1" ht="15.75" customHeight="1">
      <c r="A13" s="411"/>
      <c r="B13" s="84"/>
      <c r="C13" s="236">
        <f>+MAX(C$10:C11)+1</f>
        <v>1</v>
      </c>
      <c r="D13" s="15" t="s">
        <v>848</v>
      </c>
      <c r="E13" s="16"/>
      <c r="F13" s="16"/>
      <c r="G13" s="16"/>
      <c r="H13" s="16"/>
      <c r="I13" s="16"/>
      <c r="J13" s="16"/>
      <c r="K13" s="16"/>
      <c r="L13" s="16"/>
      <c r="M13" s="16"/>
      <c r="N13" s="16"/>
      <c r="O13" s="16"/>
      <c r="P13" s="16"/>
      <c r="Q13" s="16"/>
      <c r="R13" s="16"/>
      <c r="S13" s="16"/>
      <c r="T13" s="16"/>
      <c r="U13" s="16"/>
      <c r="V13" s="16"/>
      <c r="W13" s="205"/>
      <c r="X13" s="16"/>
      <c r="Y13"/>
      <c r="Z13" s="205"/>
    </row>
    <row r="14" spans="1:26" s="4" customFormat="1" ht="15.75" customHeight="1">
      <c r="A14" s="411"/>
      <c r="B14" s="84"/>
      <c r="C14" s="236">
        <f>+MAX(C$10:C13)+1</f>
        <v>2</v>
      </c>
      <c r="D14" s="39" t="s">
        <v>251</v>
      </c>
      <c r="E14" s="279">
        <f>Cust_Detail!F12*Rates!F18*INDEX(Rates!$F$14:$W$14,1,MATCH(E$8,Rates!$F$7:$W$7,0))</f>
        <v>2573834</v>
      </c>
      <c r="F14" s="279">
        <f>Cust_Detail!G12*Rates!G18*INDEX(Rates!$F$14:$W$14,1,MATCH(F$8,Rates!$F$7:$W$7,0))</f>
        <v>2573834</v>
      </c>
      <c r="G14" s="279">
        <f>Cust_Detail!H12*Rates!H18*INDEX(Rates!$F$14:$W$14,1,MATCH(G$8,Rates!$F$7:$W$7,0))</f>
        <v>2573834</v>
      </c>
      <c r="H14" s="279">
        <f>Cust_Detail!I12*Rates!I18*INDEX(Rates!$F$14:$W$14,1,MATCH(H$8,Rates!$F$7:$W$7,0))</f>
        <v>2625385.7748477878</v>
      </c>
      <c r="I14" s="279">
        <f>Cust_Detail!J12*Rates!J18*INDEX(Rates!$F$14:$W$14,1,MATCH(I$8,Rates!$F$7:$W$7,0))</f>
        <v>2932529.7333011492</v>
      </c>
      <c r="J14" s="279">
        <f>Cust_Detail!K12*Rates!K18*INDEX(Rates!$F$14:$W$14,1,MATCH(J$8,Rates!$F$7:$W$7,0))</f>
        <v>3109004.3</v>
      </c>
      <c r="K14" s="279">
        <f>Cust_Detail!L12*Rates!L18*INDEX(Rates!$F$14:$W$14,1,MATCH(K$8,Rates!$F$7:$W$7,0))</f>
        <v>3355762.55</v>
      </c>
      <c r="L14" s="279">
        <f>Cust_Detail!M12*Rates!M18*INDEX(Rates!$F$14:$W$14,1,MATCH(L$8,Rates!$F$7:$W$7,0))</f>
        <v>3581258.7600000002</v>
      </c>
      <c r="M14" s="279">
        <f>Cust_Detail!N12*Rates!N18*INDEX(Rates!$F$14:$W$14,1,MATCH(M$8,Rates!$F$7:$W$7,0))</f>
        <v>3620245.1999999997</v>
      </c>
      <c r="N14" s="279">
        <f>Cust_Detail!O12*Rates!O18*INDEX(Rates!$F$14:$W$14,1,MATCH(N$8,Rates!$F$7:$W$7,0))</f>
        <v>3669947.25</v>
      </c>
      <c r="O14" s="279">
        <f>Cust_Detail!P12*Rates!P18*INDEX(Rates!$F$14:$W$14,1,MATCH(O$8,Rates!$F$7:$W$7,0))</f>
        <v>3720207.75</v>
      </c>
      <c r="P14" s="279">
        <f>Cust_Detail!Q12*Rates!Q18*INDEX(Rates!$F$14:$W$14,1,MATCH(P$8,Rates!$F$7:$W$7,0))</f>
        <v>3781731.6</v>
      </c>
      <c r="Q14" s="279">
        <f>Cust_Detail!R12*Rates!R18*INDEX(Rates!$F$14:$W$14,1,MATCH(Q$8,Rates!$F$7:$W$7,0))</f>
        <v>3823148.7</v>
      </c>
      <c r="R14" s="279">
        <f>Cust_Detail!S12*Rates!S18*INDEX(Rates!$F$14:$W$14,1,MATCH(R$8,Rates!$F$7:$W$7,0))</f>
        <v>3875829.1500000004</v>
      </c>
      <c r="S14" s="279">
        <f>Cust_Detail!T12*Rates!T18*INDEX(Rates!$F$14:$W$14,1,MATCH(S$8,Rates!$F$7:$W$7,0))</f>
        <v>3929254.2</v>
      </c>
      <c r="T14" s="279">
        <f>Cust_Detail!U12*Rates!U18*INDEX(Rates!$F$14:$W$14,1,MATCH(T$8,Rates!$F$7:$W$7,0))</f>
        <v>3994524</v>
      </c>
      <c r="U14" s="279">
        <f>Cust_Detail!V12*Rates!V18*INDEX(Rates!$F$14:$W$14,1,MATCH(U$8,Rates!$F$7:$W$7,0))</f>
        <v>4038710.4000000004</v>
      </c>
      <c r="V14" s="279">
        <f>Cust_Detail!W12*Rates!W18*INDEX(Rates!$F$14:$W$14,1,MATCH(V$8,Rates!$F$7:$W$7,0))</f>
        <v>4094555.4000000004</v>
      </c>
      <c r="W14" s="205"/>
      <c r="X14" s="279">
        <f>SUMIF($E$8:$V$8,'COS_RR (top sheet)'!$I$6,$E14:$V14)</f>
        <v>3994524</v>
      </c>
      <c r="Y14"/>
      <c r="Z14" s="205"/>
    </row>
    <row r="15" spans="1:26" s="4" customFormat="1" ht="15.75" customHeight="1">
      <c r="A15" s="411"/>
      <c r="B15" s="84"/>
      <c r="C15" s="236">
        <f>+MAX(C$10:C14)+1</f>
        <v>3</v>
      </c>
      <c r="D15" s="39" t="s">
        <v>198</v>
      </c>
      <c r="E15" s="16">
        <f>Cust_Detail!F13*Rates!F20</f>
        <v>12572542.383258091</v>
      </c>
      <c r="F15" s="16">
        <f>Cust_Detail!G13*Rates!G20</f>
        <v>12997763.078895001</v>
      </c>
      <c r="G15" s="16">
        <f>Cust_Detail!H13*Rates!H20</f>
        <v>13623629.025195001</v>
      </c>
      <c r="H15" s="16">
        <f>Cust_Detail!I13*Rates!I20</f>
        <v>13582484.999640001</v>
      </c>
      <c r="I15" s="16">
        <f>Cust_Detail!J13*Rates!J20</f>
        <v>14991128.01606</v>
      </c>
      <c r="J15" s="16">
        <f>Cust_Detail!K13*Rates!K20</f>
        <v>15034363.899939999</v>
      </c>
      <c r="K15" s="16">
        <f>Cust_Detail!L13*Rates!L20</f>
        <v>14158064.688720001</v>
      </c>
      <c r="L15" s="16">
        <f>Cust_Detail!M13*Rates!M20</f>
        <v>14751412.216124676</v>
      </c>
      <c r="M15" s="16">
        <f>Cust_Detail!N13*Rates!N20</f>
        <v>14953274.512412021</v>
      </c>
      <c r="N15" s="16">
        <f>Cust_Detail!O13*Rates!O20</f>
        <v>15158164.185450001</v>
      </c>
      <c r="O15" s="16">
        <f>Cust_Detail!P13*Rates!P20</f>
        <v>15366127.194</v>
      </c>
      <c r="P15" s="16">
        <f>Cust_Detail!Q13*Rates!Q20</f>
        <v>15577209.6381</v>
      </c>
      <c r="Q15" s="16">
        <f>Cust_Detail!R13*Rates!R20</f>
        <v>15791458.29525</v>
      </c>
      <c r="R15" s="16">
        <f>Cust_Detail!S13*Rates!S20</f>
        <v>16008920.700300001</v>
      </c>
      <c r="S15" s="16">
        <f>Cust_Detail!T13*Rates!T20</f>
        <v>16229645.05635</v>
      </c>
      <c r="T15" s="16">
        <f>Cust_Detail!U13*Rates!U20</f>
        <v>16453680.279300001</v>
      </c>
      <c r="U15" s="16">
        <f>Cust_Detail!V13*Rates!V20</f>
        <v>16681075.997849999</v>
      </c>
      <c r="V15" s="16">
        <f>Cust_Detail!W13*Rates!W20</f>
        <v>16911882.687150002</v>
      </c>
      <c r="W15" s="205"/>
      <c r="X15" s="16">
        <f>SUMIF($E$8:$V$8,'COS_RR (top sheet)'!$I$6,$E15:$V15)</f>
        <v>16453680.279300001</v>
      </c>
      <c r="Y15"/>
      <c r="Z15" s="205"/>
    </row>
    <row r="16" spans="1:26" s="40" customFormat="1" ht="15.75" customHeight="1">
      <c r="A16" s="411"/>
      <c r="B16" s="91"/>
      <c r="C16" s="236">
        <f>+MAX(C$10:C15)+1</f>
        <v>4</v>
      </c>
      <c r="D16" s="794" t="s">
        <v>199</v>
      </c>
      <c r="E16" s="117">
        <f>SUM(E14:E15)</f>
        <v>15146376.383258091</v>
      </c>
      <c r="F16" s="117">
        <f t="shared" ref="F16:V16" si="0">SUM(F14:F15)</f>
        <v>15571597.078895001</v>
      </c>
      <c r="G16" s="117">
        <f t="shared" si="0"/>
        <v>16197463.025195001</v>
      </c>
      <c r="H16" s="117">
        <f t="shared" si="0"/>
        <v>16207870.77448779</v>
      </c>
      <c r="I16" s="117">
        <f t="shared" si="0"/>
        <v>17923657.74936115</v>
      </c>
      <c r="J16" s="117">
        <f t="shared" si="0"/>
        <v>18143368.19994</v>
      </c>
      <c r="K16" s="117">
        <f t="shared" si="0"/>
        <v>17513827.23872</v>
      </c>
      <c r="L16" s="117">
        <f t="shared" si="0"/>
        <v>18332670.976124678</v>
      </c>
      <c r="M16" s="117">
        <f t="shared" si="0"/>
        <v>18573519.712412022</v>
      </c>
      <c r="N16" s="117">
        <f t="shared" si="0"/>
        <v>18828111.435450003</v>
      </c>
      <c r="O16" s="117">
        <f t="shared" si="0"/>
        <v>19086334.943999998</v>
      </c>
      <c r="P16" s="117">
        <f t="shared" si="0"/>
        <v>19358941.2381</v>
      </c>
      <c r="Q16" s="117">
        <f t="shared" si="0"/>
        <v>19614606.995250002</v>
      </c>
      <c r="R16" s="117">
        <f t="shared" si="0"/>
        <v>19884749.850299999</v>
      </c>
      <c r="S16" s="117">
        <f t="shared" si="0"/>
        <v>20158899.256349999</v>
      </c>
      <c r="T16" s="117">
        <f t="shared" si="0"/>
        <v>20448204.279300001</v>
      </c>
      <c r="U16" s="117">
        <f t="shared" si="0"/>
        <v>20719786.397849999</v>
      </c>
      <c r="V16" s="117">
        <f t="shared" si="0"/>
        <v>21006438.08715</v>
      </c>
      <c r="W16" s="263"/>
      <c r="X16" s="117">
        <f>SUMIF($E$8:$V$8,'COS_RR (top sheet)'!$I$6,$E16:$V16)</f>
        <v>20448204.279300001</v>
      </c>
      <c r="Y16"/>
      <c r="Z16" s="263"/>
    </row>
    <row r="17" spans="1:26" s="4" customFormat="1" ht="15.75" customHeight="1">
      <c r="A17" s="411"/>
      <c r="B17" s="84"/>
      <c r="C17" s="236">
        <f>+MAX(C$10:C16)+1</f>
        <v>5</v>
      </c>
      <c r="D17" s="15" t="s">
        <v>2158</v>
      </c>
      <c r="E17" s="16">
        <f>E16*Rates!F16</f>
        <v>0</v>
      </c>
      <c r="F17" s="16">
        <f>F16*Rates!G16</f>
        <v>0</v>
      </c>
      <c r="G17" s="16">
        <f>G16*Rates!H16</f>
        <v>0</v>
      </c>
      <c r="H17" s="16">
        <f>H16*Rates!I16</f>
        <v>-60826.409582446453</v>
      </c>
      <c r="I17" s="16">
        <f>I16*Rates!J16</f>
        <v>-84844.907018907863</v>
      </c>
      <c r="J17" s="16">
        <f>J16*Rates!K16</f>
        <v>-85884.946558332187</v>
      </c>
      <c r="K17" s="16">
        <f>K16*Rates!L16</f>
        <v>-82904.899457108753</v>
      </c>
      <c r="L17" s="16">
        <f>L16*Rates!M16</f>
        <v>-86781.045818226979</v>
      </c>
      <c r="M17" s="16">
        <f>M16*Rates!N16</f>
        <v>-87921.147293142145</v>
      </c>
      <c r="N17" s="16">
        <f>N16*Rates!O16</f>
        <v>-89126.303705466009</v>
      </c>
      <c r="O17" s="16">
        <f>O16*Rates!P16</f>
        <v>-90348.651837716054</v>
      </c>
      <c r="P17" s="16">
        <f>P16*Rates!Q16</f>
        <v>-91639.083511826102</v>
      </c>
      <c r="Q17" s="16">
        <f>Q16*Rates!R16</f>
        <v>-92849.324060749976</v>
      </c>
      <c r="R17" s="16">
        <f>R16*Rates!S16</f>
        <v>-94128.094596265044</v>
      </c>
      <c r="S17" s="16">
        <f>S16*Rates!T16</f>
        <v>-95425.830872580089</v>
      </c>
      <c r="T17" s="16">
        <f>T16*Rates!U16</f>
        <v>-96795.309029078067</v>
      </c>
      <c r="U17" s="16">
        <f>U16*Rates!V16</f>
        <v>-98080.892581196153</v>
      </c>
      <c r="V17" s="16">
        <f>V16*Rates!W16</f>
        <v>-99437.810698333182</v>
      </c>
      <c r="W17" s="205"/>
      <c r="X17" s="16">
        <f>SUMIF($E$8:$V$8,'COS_RR (top sheet)'!$I$6,$E17:$V17)</f>
        <v>-96795.309029078067</v>
      </c>
      <c r="Y17"/>
      <c r="Z17" s="205"/>
    </row>
    <row r="18" spans="1:26" s="4" customFormat="1" ht="15.75" customHeight="1">
      <c r="A18" s="411"/>
      <c r="B18" s="84"/>
      <c r="C18" s="236">
        <f>+MAX(C$10:C17)+1</f>
        <v>6</v>
      </c>
      <c r="D18" s="15" t="s">
        <v>2159</v>
      </c>
      <c r="E18" s="277">
        <f>SUM(E16:E17)*INDEX(Rates!$F$22:$W$22,1,MATCH(E$8,Rates!$F$7:$W$7,0))</f>
        <v>0</v>
      </c>
      <c r="F18" s="277">
        <f>SUM(F16:F17)*INDEX(Rates!$F$22:$W$22,1,MATCH(F$8,Rates!$F$7:$W$7,0))</f>
        <v>0</v>
      </c>
      <c r="G18" s="277">
        <f>SUM(G16:G17)*INDEX(Rates!$F$22:$W$22,1,MATCH(G$8,Rates!$F$7:$W$7,0))</f>
        <v>0</v>
      </c>
      <c r="H18" s="277">
        <f>SUM(H16:H17)*INDEX(Rates!$F$22:$W$22,1,MATCH(H$8,Rates!$F$7:$W$7,0))</f>
        <v>102136.6861825176</v>
      </c>
      <c r="I18" s="277">
        <f>SUM(I16:I17)*INDEX(Rates!$F$22:$W$22,1,MATCH(I$8,Rates!$F$7:$W$7,0))</f>
        <v>55379.414488500799</v>
      </c>
      <c r="J18" s="277">
        <f>SUM(J16:J17)*INDEX(Rates!$F$22:$W$22,1,MATCH(J$8,Rates!$F$7:$W$7,0))</f>
        <v>56058.262315222717</v>
      </c>
      <c r="K18" s="277">
        <f>SUM(K16:K17)*INDEX(Rates!$F$22:$W$22,1,MATCH(K$8,Rates!$F$7:$W$7,0))</f>
        <v>54113.145402346265</v>
      </c>
      <c r="L18" s="277">
        <f>SUM(L16:L17)*INDEX(Rates!$F$22:$W$22,1,MATCH(L$8,Rates!$F$7:$W$7,0))</f>
        <v>56643.158381235182</v>
      </c>
      <c r="M18" s="277">
        <f>SUM(M16:M17)*INDEX(Rates!$F$22:$W$22,1,MATCH(M$8,Rates!$F$7:$W$7,0))</f>
        <v>57387.317982049026</v>
      </c>
      <c r="N18" s="277">
        <f>SUM(N16:N17)*INDEX(Rates!$F$22:$W$22,1,MATCH(N$8,Rates!$F$7:$W$7,0))</f>
        <v>58173.939817425489</v>
      </c>
      <c r="O18" s="277">
        <f>SUM(O16:O17)*INDEX(Rates!$F$22:$W$22,1,MATCH(O$8,Rates!$F$7:$W$7,0))</f>
        <v>58971.782920135629</v>
      </c>
      <c r="P18" s="277">
        <f>SUM(P16:P17)*INDEX(Rates!$F$22:$W$22,1,MATCH(P$8,Rates!$F$7:$W$7,0))</f>
        <v>59814.065068358213</v>
      </c>
      <c r="Q18" s="277">
        <f>SUM(Q16:Q17)*INDEX(Rates!$F$22:$W$22,1,MATCH(Q$8,Rates!$F$7:$W$7,0))</f>
        <v>60604.005388225734</v>
      </c>
      <c r="R18" s="277">
        <f>SUM(R16:R17)*INDEX(Rates!$F$22:$W$22,1,MATCH(R$8,Rates!$F$7:$W$7,0))</f>
        <v>61438.676154099623</v>
      </c>
      <c r="S18" s="277">
        <f>SUM(S16:S17)*INDEX(Rates!$F$22:$W$22,1,MATCH(S$8,Rates!$F$7:$W$7,0))</f>
        <v>62285.726114644669</v>
      </c>
      <c r="T18" s="277">
        <f>SUM(T16:T17)*INDEX(Rates!$F$22:$W$22,1,MATCH(T$8,Rates!$F$7:$W$7,0))</f>
        <v>63179.602967438543</v>
      </c>
      <c r="U18" s="277">
        <f>SUM(U16:U17)*INDEX(Rates!$F$22:$W$22,1,MATCH(U$8,Rates!$F$7:$W$7,0))</f>
        <v>64018.720681086117</v>
      </c>
      <c r="V18" s="277">
        <f>SUM(V16:V17)*INDEX(Rates!$F$22:$W$22,1,MATCH(V$8,Rates!$F$7:$W$7,0))</f>
        <v>64904.399426884498</v>
      </c>
      <c r="W18" s="205"/>
      <c r="X18" s="277">
        <f>SUMIF($E$8:$V$8,'COS_RR (top sheet)'!$I$6,$E18:$V18)</f>
        <v>63179.602967438543</v>
      </c>
      <c r="Y18"/>
      <c r="Z18" s="205"/>
    </row>
    <row r="19" spans="1:26" s="40" customFormat="1" ht="15.75" customHeight="1">
      <c r="A19" s="411"/>
      <c r="B19" s="91"/>
      <c r="C19" s="236">
        <f>+MAX(C$10:C18)+1</f>
        <v>7</v>
      </c>
      <c r="D19" s="251" t="str">
        <f>"TOTAL "&amp;D12</f>
        <v>TOTAL URBAN</v>
      </c>
      <c r="E19" s="256">
        <f>SUM(E16:E18)</f>
        <v>15146376.383258091</v>
      </c>
      <c r="F19" s="256">
        <f t="shared" ref="F19:V19" si="1">SUM(F16:F18)</f>
        <v>15571597.078895001</v>
      </c>
      <c r="G19" s="256">
        <f t="shared" si="1"/>
        <v>16197463.025195001</v>
      </c>
      <c r="H19" s="256">
        <f t="shared" si="1"/>
        <v>16249181.05108786</v>
      </c>
      <c r="I19" s="256">
        <f t="shared" si="1"/>
        <v>17894192.256830744</v>
      </c>
      <c r="J19" s="256">
        <f t="shared" si="1"/>
        <v>18113541.515696887</v>
      </c>
      <c r="K19" s="256">
        <f t="shared" si="1"/>
        <v>17485035.484665237</v>
      </c>
      <c r="L19" s="256">
        <f t="shared" si="1"/>
        <v>18302533.088687684</v>
      </c>
      <c r="M19" s="256">
        <f t="shared" si="1"/>
        <v>18542985.883100927</v>
      </c>
      <c r="N19" s="256">
        <f t="shared" si="1"/>
        <v>18797159.071561962</v>
      </c>
      <c r="O19" s="256">
        <f t="shared" si="1"/>
        <v>19054958.075082418</v>
      </c>
      <c r="P19" s="256">
        <f t="shared" si="1"/>
        <v>19327116.219656531</v>
      </c>
      <c r="Q19" s="256">
        <f t="shared" si="1"/>
        <v>19582361.676577479</v>
      </c>
      <c r="R19" s="256">
        <f t="shared" si="1"/>
        <v>19852060.431857832</v>
      </c>
      <c r="S19" s="256">
        <f t="shared" si="1"/>
        <v>20125759.151592065</v>
      </c>
      <c r="T19" s="256">
        <f t="shared" si="1"/>
        <v>20414588.573238362</v>
      </c>
      <c r="U19" s="256">
        <f t="shared" si="1"/>
        <v>20685724.225949891</v>
      </c>
      <c r="V19" s="256">
        <f t="shared" si="1"/>
        <v>20971904.675878551</v>
      </c>
      <c r="W19" s="263"/>
      <c r="X19" s="256">
        <f>SUMIF($E$8:$V$8,'COS_RR (top sheet)'!$I$6,$E19:$V19)</f>
        <v>20414588.573238362</v>
      </c>
      <c r="Y19"/>
      <c r="Z19" s="263"/>
    </row>
    <row r="20" spans="1:26" s="40" customFormat="1" ht="15.75" customHeight="1">
      <c r="A20" s="411"/>
      <c r="B20" s="91"/>
      <c r="C20" s="236">
        <f>+MAX(C$10:C19)+1</f>
        <v>8</v>
      </c>
      <c r="D20" s="15" t="s">
        <v>2723</v>
      </c>
      <c r="E20" s="279">
        <f>E19*'City Taxes'!E7</f>
        <v>855111.09613901214</v>
      </c>
      <c r="F20" s="279">
        <f>F19*'City Taxes'!F7</f>
        <v>879117.55985986523</v>
      </c>
      <c r="G20" s="279">
        <f>G19*'City Taxes'!G7</f>
        <v>914451.74817227467</v>
      </c>
      <c r="H20" s="279">
        <f>H19*'City Taxes'!H7</f>
        <v>917371.5658694153</v>
      </c>
      <c r="I20" s="279">
        <f>I19*'City Taxes'!I7</f>
        <v>1010243.1081914853</v>
      </c>
      <c r="J20" s="279">
        <f>J19*'City Taxes'!J7</f>
        <v>1022626.7952490468</v>
      </c>
      <c r="K20" s="279">
        <f>K19*'City Taxes'!K7</f>
        <v>987143.55704564974</v>
      </c>
      <c r="L20" s="279">
        <f>L19*'City Taxes'!L7</f>
        <v>1034161.6241712797</v>
      </c>
      <c r="M20" s="279">
        <f>M19*'City Taxes'!M7</f>
        <v>1047748.1070478285</v>
      </c>
      <c r="N20" s="279">
        <f>N19*'City Taxes'!N7</f>
        <v>1062109.8435422224</v>
      </c>
      <c r="O20" s="279">
        <f>O19*'City Taxes'!O7</f>
        <v>1076676.4521585582</v>
      </c>
      <c r="P20" s="279">
        <f>P19*'City Taxes'!P7</f>
        <v>1092054.4059893407</v>
      </c>
      <c r="Q20" s="279">
        <f>Q19*'City Taxes'!Q7</f>
        <v>1106476.7296651197</v>
      </c>
      <c r="R20" s="279">
        <f>R19*'City Taxes'!R7</f>
        <v>1121715.7187955417</v>
      </c>
      <c r="S20" s="279">
        <f>S19*'City Taxes'!S7</f>
        <v>1137180.7208890989</v>
      </c>
      <c r="T20" s="279">
        <f>T19*'City Taxes'!T7</f>
        <v>1153500.6642734823</v>
      </c>
      <c r="U20" s="279">
        <f>U19*'City Taxes'!U7</f>
        <v>1168820.8434869377</v>
      </c>
      <c r="V20" s="279">
        <f>V19*'City Taxes'!V7</f>
        <v>1184991.1100544226</v>
      </c>
      <c r="W20" s="263"/>
      <c r="X20" s="279">
        <f>SUMIF($E$8:$V$8,'COS_RR (top sheet)'!$I$6,$E20:$V20)</f>
        <v>1153500.6642734823</v>
      </c>
      <c r="Y20"/>
      <c r="Z20" s="263"/>
    </row>
    <row r="21" spans="1:26" s="40" customFormat="1" ht="15.75" customHeight="1">
      <c r="A21" s="411"/>
      <c r="B21" s="91"/>
      <c r="C21" s="236">
        <f>+MAX(C$10:C20)+1</f>
        <v>9</v>
      </c>
      <c r="D21" s="251" t="str">
        <f>"TOTAL "&amp;D12</f>
        <v>TOTAL URBAN</v>
      </c>
      <c r="E21" s="256">
        <f>SUM(E19:E20)</f>
        <v>16001487.479397103</v>
      </c>
      <c r="F21" s="256">
        <f t="shared" ref="F21:V21" si="2">SUM(F19:F20)</f>
        <v>16450714.638754865</v>
      </c>
      <c r="G21" s="256">
        <f t="shared" si="2"/>
        <v>17111914.773367275</v>
      </c>
      <c r="H21" s="256">
        <f t="shared" si="2"/>
        <v>17166552.616957277</v>
      </c>
      <c r="I21" s="256">
        <f t="shared" si="2"/>
        <v>18904435.365022231</v>
      </c>
      <c r="J21" s="256">
        <f t="shared" si="2"/>
        <v>19136168.310945936</v>
      </c>
      <c r="K21" s="256">
        <f t="shared" si="2"/>
        <v>18472179.041710887</v>
      </c>
      <c r="L21" s="256">
        <f t="shared" si="2"/>
        <v>19336694.712858964</v>
      </c>
      <c r="M21" s="256">
        <f t="shared" si="2"/>
        <v>19590733.990148757</v>
      </c>
      <c r="N21" s="256">
        <f t="shared" si="2"/>
        <v>19859268.915104184</v>
      </c>
      <c r="O21" s="256">
        <f t="shared" si="2"/>
        <v>20131634.527240977</v>
      </c>
      <c r="P21" s="256">
        <f t="shared" si="2"/>
        <v>20419170.625645872</v>
      </c>
      <c r="Q21" s="256">
        <f t="shared" si="2"/>
        <v>20688838.406242598</v>
      </c>
      <c r="R21" s="256">
        <f t="shared" si="2"/>
        <v>20973776.150653373</v>
      </c>
      <c r="S21" s="256">
        <f t="shared" si="2"/>
        <v>21262939.872481164</v>
      </c>
      <c r="T21" s="256">
        <f t="shared" si="2"/>
        <v>21568089.237511843</v>
      </c>
      <c r="U21" s="256">
        <f t="shared" si="2"/>
        <v>21854545.06943683</v>
      </c>
      <c r="V21" s="256">
        <f t="shared" si="2"/>
        <v>22156895.785932973</v>
      </c>
      <c r="W21" s="263"/>
      <c r="X21" s="256">
        <f>SUMIF($E$8:$V$8,'COS_RR (top sheet)'!$I$6,$E21:$V21)</f>
        <v>21568089.237511843</v>
      </c>
      <c r="Y21"/>
      <c r="Z21" s="263"/>
    </row>
    <row r="22" spans="1:26" s="40" customFormat="1" ht="15.75" customHeight="1">
      <c r="A22" s="411"/>
      <c r="B22" s="91"/>
      <c r="C22" s="236">
        <f>+MAX(C$10:C21)+1</f>
        <v>10</v>
      </c>
      <c r="D22" s="251"/>
      <c r="E22" s="256"/>
      <c r="F22" s="256"/>
      <c r="G22" s="256"/>
      <c r="H22" s="256"/>
      <c r="I22" s="256"/>
      <c r="J22" s="256"/>
      <c r="K22" s="256"/>
      <c r="L22" s="256"/>
      <c r="M22" s="256"/>
      <c r="N22" s="256"/>
      <c r="O22" s="256"/>
      <c r="P22" s="256"/>
      <c r="Q22" s="256"/>
      <c r="R22" s="256"/>
      <c r="S22" s="256"/>
      <c r="T22" s="256"/>
      <c r="U22" s="256"/>
      <c r="V22" s="256"/>
      <c r="W22" s="263"/>
      <c r="X22" s="256"/>
      <c r="Y22"/>
      <c r="Z22" s="263"/>
    </row>
    <row r="23" spans="1:26" s="40" customFormat="1" ht="15.75" customHeight="1">
      <c r="A23" s="411"/>
      <c r="B23" s="91"/>
      <c r="C23" s="236">
        <f>+MAX(C$10:C22)+1</f>
        <v>11</v>
      </c>
      <c r="D23" s="278" t="s">
        <v>253</v>
      </c>
      <c r="E23" s="16"/>
      <c r="F23" s="16"/>
      <c r="G23" s="16"/>
      <c r="H23" s="16"/>
      <c r="I23" s="16"/>
      <c r="J23" s="16"/>
      <c r="K23" s="16"/>
      <c r="L23" s="16"/>
      <c r="M23" s="16"/>
      <c r="N23" s="16"/>
      <c r="O23" s="16"/>
      <c r="P23" s="16"/>
      <c r="Q23" s="16"/>
      <c r="R23" s="16"/>
      <c r="S23" s="16"/>
      <c r="T23" s="16"/>
      <c r="U23" s="16"/>
      <c r="V23" s="16"/>
      <c r="W23" s="263"/>
      <c r="X23" s="16"/>
      <c r="Y23"/>
      <c r="Z23" s="263"/>
    </row>
    <row r="24" spans="1:26" s="40" customFormat="1" ht="15.75" customHeight="1">
      <c r="A24" s="411"/>
      <c r="B24" s="91"/>
      <c r="C24" s="236">
        <f>+MAX(C$10:C23)+1</f>
        <v>12</v>
      </c>
      <c r="D24" s="15" t="s">
        <v>848</v>
      </c>
      <c r="E24" s="16"/>
      <c r="F24" s="16"/>
      <c r="G24" s="16"/>
      <c r="H24" s="16"/>
      <c r="I24" s="16"/>
      <c r="J24" s="16"/>
      <c r="K24" s="16"/>
      <c r="L24" s="16"/>
      <c r="M24" s="16"/>
      <c r="N24" s="16"/>
      <c r="O24" s="16"/>
      <c r="P24" s="16"/>
      <c r="Q24" s="16"/>
      <c r="R24" s="16"/>
      <c r="S24" s="16"/>
      <c r="T24" s="16"/>
      <c r="U24" s="16"/>
      <c r="V24" s="16"/>
      <c r="W24" s="263"/>
      <c r="X24" s="16"/>
      <c r="Y24"/>
      <c r="Z24" s="263"/>
    </row>
    <row r="25" spans="1:26" s="40" customFormat="1" ht="15.75" customHeight="1">
      <c r="A25" s="411"/>
      <c r="B25" s="91"/>
      <c r="C25" s="236">
        <f>+MAX(C$10:C24)+1</f>
        <v>13</v>
      </c>
      <c r="D25" s="39" t="s">
        <v>251</v>
      </c>
      <c r="E25" s="279">
        <f>Cust_Detail!F16*Rates!F18*INDEX(Rates!$F$14:$W$14,1,MATCH(E$8,Rates!$F$7:$W$7,0))</f>
        <v>2546240</v>
      </c>
      <c r="F25" s="279">
        <f>Cust_Detail!G16*Rates!G18*INDEX(Rates!$F$14:$W$14,1,MATCH(F$8,Rates!$F$7:$W$7,0))</f>
        <v>2546240</v>
      </c>
      <c r="G25" s="279">
        <f>Cust_Detail!H16*Rates!H18*INDEX(Rates!$F$14:$W$14,1,MATCH(G$8,Rates!$F$7:$W$7,0))</f>
        <v>2546240</v>
      </c>
      <c r="H25" s="279">
        <f>Cust_Detail!I16*Rates!I18*INDEX(Rates!$F$14:$W$14,1,MATCH(H$8,Rates!$F$7:$W$7,0))</f>
        <v>2540086.5303780003</v>
      </c>
      <c r="I25" s="279">
        <f>Cust_Detail!J16*Rates!J18*INDEX(Rates!$F$14:$W$14,1,MATCH(I$8,Rates!$F$7:$W$7,0))</f>
        <v>2804853.6567402501</v>
      </c>
      <c r="J25" s="279">
        <f>Cust_Detail!K16*Rates!K18*INDEX(Rates!$F$14:$W$14,1,MATCH(J$8,Rates!$F$7:$W$7,0))</f>
        <v>2935059.9</v>
      </c>
      <c r="K25" s="279">
        <f>Cust_Detail!L16*Rates!L18*INDEX(Rates!$F$14:$W$14,1,MATCH(K$8,Rates!$F$7:$W$7,0))</f>
        <v>3144987.8250000002</v>
      </c>
      <c r="L25" s="279">
        <f>Cust_Detail!M16*Rates!M18*INDEX(Rates!$F$14:$W$14,1,MATCH(L$8,Rates!$F$7:$W$7,0))</f>
        <v>3356333.46</v>
      </c>
      <c r="M25" s="279">
        <f>Cust_Detail!N16*Rates!N18*INDEX(Rates!$F$14:$W$14,1,MATCH(M$8,Rates!$F$7:$W$7,0))</f>
        <v>3392956.0500000003</v>
      </c>
      <c r="N25" s="279">
        <f>Cust_Detail!O16*Rates!O18*INDEX(Rates!$F$14:$W$14,1,MATCH(N$8,Rates!$F$7:$W$7,0))</f>
        <v>3439493.5500000003</v>
      </c>
      <c r="O25" s="279">
        <f>Cust_Detail!P16*Rates!P18*INDEX(Rates!$F$14:$W$14,1,MATCH(O$8,Rates!$F$7:$W$7,0))</f>
        <v>3486589.4999999995</v>
      </c>
      <c r="P25" s="279">
        <f>Cust_Detail!Q16*Rates!Q18*INDEX(Rates!$F$14:$W$14,1,MATCH(P$8,Rates!$F$7:$W$7,0))</f>
        <v>3544113.4200000004</v>
      </c>
      <c r="Q25" s="279">
        <f>Cust_Detail!R16*Rates!R18*INDEX(Rates!$F$14:$W$14,1,MATCH(Q$8,Rates!$F$7:$W$7,0))</f>
        <v>3583015.1999999997</v>
      </c>
      <c r="R25" s="279">
        <f>Cust_Detail!S16*Rates!S18*INDEX(Rates!$F$14:$W$14,1,MATCH(R$8,Rates!$F$7:$W$7,0))</f>
        <v>3632344.95</v>
      </c>
      <c r="S25" s="279">
        <f>Cust_Detail!T16*Rates!T18*INDEX(Rates!$F$14:$W$14,1,MATCH(S$8,Rates!$F$7:$W$7,0))</f>
        <v>3682419.3</v>
      </c>
      <c r="T25" s="279">
        <f>Cust_Detail!U16*Rates!U18*INDEX(Rates!$F$14:$W$14,1,MATCH(T$8,Rates!$F$7:$W$7,0))</f>
        <v>3743466.3</v>
      </c>
      <c r="U25" s="279">
        <f>Cust_Detail!V16*Rates!V18*INDEX(Rates!$F$14:$W$14,1,MATCH(U$8,Rates!$F$7:$W$7,0))</f>
        <v>3784801.8</v>
      </c>
      <c r="V25" s="279">
        <f>Cust_Detail!W16*Rates!W18*INDEX(Rates!$F$14:$W$14,1,MATCH(V$8,Rates!$F$7:$W$7,0))</f>
        <v>3837109.95</v>
      </c>
      <c r="W25" s="263"/>
      <c r="X25" s="279">
        <f>SUMIF($E$8:$V$8,'COS_RR (top sheet)'!$I$6,$E25:$V25)</f>
        <v>3743466.3</v>
      </c>
      <c r="Y25"/>
      <c r="Z25" s="263"/>
    </row>
    <row r="26" spans="1:26" s="40" customFormat="1" ht="15.75" customHeight="1">
      <c r="A26" s="411"/>
      <c r="B26" s="91"/>
      <c r="C26" s="236">
        <f>+MAX(C$10:C25)+1</f>
        <v>14</v>
      </c>
      <c r="D26" s="39" t="s">
        <v>198</v>
      </c>
      <c r="E26" s="16">
        <f>Cust_Detail!F17*Rates!F20</f>
        <v>15411615.983967911</v>
      </c>
      <c r="F26" s="16">
        <f>Cust_Detail!G17*Rates!G20</f>
        <v>15932858.058150001</v>
      </c>
      <c r="G26" s="16">
        <f>Cust_Detail!H17*Rates!H20</f>
        <v>16700054.169150002</v>
      </c>
      <c r="H26" s="16">
        <f>Cust_Detail!I17*Rates!I20</f>
        <v>16362141.189409604</v>
      </c>
      <c r="I26" s="16">
        <f>Cust_Detail!J17*Rates!J20</f>
        <v>17868133.7284128</v>
      </c>
      <c r="J26" s="16">
        <f>Cust_Detail!K17*Rates!K20</f>
        <v>18089956.075399999</v>
      </c>
      <c r="K26" s="16">
        <f>Cust_Detail!L17*Rates!L20</f>
        <v>19845392.274220001</v>
      </c>
      <c r="L26" s="16">
        <f>Cust_Detail!M17*Rates!M20</f>
        <v>20677088.886375323</v>
      </c>
      <c r="M26" s="16">
        <f>Cust_Detail!N17*Rates!N20</f>
        <v>20960039.737587981</v>
      </c>
      <c r="N26" s="16">
        <f>Cust_Detail!O17*Rates!O20</f>
        <v>21247234.039349999</v>
      </c>
      <c r="O26" s="16">
        <f>Cust_Detail!P17*Rates!P20</f>
        <v>21538736.272349998</v>
      </c>
      <c r="P26" s="16">
        <f>Cust_Detail!Q17*Rates!Q20</f>
        <v>21834611.043299999</v>
      </c>
      <c r="Q26" s="16">
        <f>Cust_Detail!R17*Rates!R20</f>
        <v>22134923.9298</v>
      </c>
      <c r="R26" s="16">
        <f>Cust_Detail!S17*Rates!S20</f>
        <v>22439741.489549998</v>
      </c>
      <c r="S26" s="16">
        <f>Cust_Detail!T17*Rates!T20</f>
        <v>22749131.304899998</v>
      </c>
      <c r="T26" s="16">
        <f>Cust_Detail!U17*Rates!U20</f>
        <v>23063161.98285</v>
      </c>
      <c r="U26" s="16">
        <f>Cust_Detail!V17*Rates!V20</f>
        <v>23381903.1105</v>
      </c>
      <c r="V26" s="16">
        <f>Cust_Detail!W17*Rates!W20</f>
        <v>23705425.344149999</v>
      </c>
      <c r="W26" s="263"/>
      <c r="X26" s="16">
        <f>SUMIF($E$8:$V$8,'COS_RR (top sheet)'!$I$6,$E26:$V26)</f>
        <v>23063161.98285</v>
      </c>
      <c r="Y26"/>
      <c r="Z26" s="263"/>
    </row>
    <row r="27" spans="1:26" s="40" customFormat="1" ht="15.75" customHeight="1">
      <c r="A27" s="411"/>
      <c r="B27" s="91"/>
      <c r="C27" s="236">
        <f>+MAX(C$10:C26)+1</f>
        <v>15</v>
      </c>
      <c r="D27" s="794" t="s">
        <v>199</v>
      </c>
      <c r="E27" s="117">
        <f>SUM(E25:E26)</f>
        <v>17957855.983967911</v>
      </c>
      <c r="F27" s="117">
        <f t="shared" ref="F27:V27" si="3">SUM(F25:F26)</f>
        <v>18479098.058150001</v>
      </c>
      <c r="G27" s="117">
        <f t="shared" si="3"/>
        <v>19246294.169150002</v>
      </c>
      <c r="H27" s="117">
        <f t="shared" si="3"/>
        <v>18902227.719787605</v>
      </c>
      <c r="I27" s="117">
        <f t="shared" si="3"/>
        <v>20672987.385153048</v>
      </c>
      <c r="J27" s="117">
        <f t="shared" si="3"/>
        <v>21025015.975399997</v>
      </c>
      <c r="K27" s="117">
        <f t="shared" si="3"/>
        <v>22990380.09922</v>
      </c>
      <c r="L27" s="117">
        <f t="shared" si="3"/>
        <v>24033422.346375324</v>
      </c>
      <c r="M27" s="117">
        <f t="shared" si="3"/>
        <v>24352995.787587982</v>
      </c>
      <c r="N27" s="117">
        <f t="shared" si="3"/>
        <v>24686727.58935</v>
      </c>
      <c r="O27" s="117">
        <f t="shared" si="3"/>
        <v>25025325.772349998</v>
      </c>
      <c r="P27" s="117">
        <f t="shared" si="3"/>
        <v>25378724.463300001</v>
      </c>
      <c r="Q27" s="117">
        <f t="shared" si="3"/>
        <v>25717939.129799999</v>
      </c>
      <c r="R27" s="117">
        <f t="shared" si="3"/>
        <v>26072086.439549997</v>
      </c>
      <c r="S27" s="117">
        <f t="shared" si="3"/>
        <v>26431550.604899999</v>
      </c>
      <c r="T27" s="117">
        <f t="shared" si="3"/>
        <v>26806628.282850001</v>
      </c>
      <c r="U27" s="117">
        <f t="shared" si="3"/>
        <v>27166704.910500001</v>
      </c>
      <c r="V27" s="117">
        <f t="shared" si="3"/>
        <v>27542535.294149999</v>
      </c>
      <c r="W27" s="263"/>
      <c r="X27" s="117">
        <f>SUMIF($E$8:$V$8,'COS_RR (top sheet)'!$I$6,$E27:$V27)</f>
        <v>26806628.282850001</v>
      </c>
      <c r="Y27"/>
      <c r="Z27" s="263"/>
    </row>
    <row r="28" spans="1:26" s="40" customFormat="1" ht="15.75" customHeight="1">
      <c r="A28" s="411"/>
      <c r="B28" s="91"/>
      <c r="C28" s="236">
        <f>+MAX(C$10:C27)+1</f>
        <v>16</v>
      </c>
      <c r="D28" s="15" t="s">
        <v>2158</v>
      </c>
      <c r="E28" s="16">
        <f>E27*Rates!F16</f>
        <v>0</v>
      </c>
      <c r="F28" s="16">
        <f>F27*Rates!G16</f>
        <v>0</v>
      </c>
      <c r="G28" s="16">
        <f>G27*Rates!H16</f>
        <v>0</v>
      </c>
      <c r="H28" s="16">
        <f>H27*Rates!I16</f>
        <v>-70938.043701228176</v>
      </c>
      <c r="I28" s="16">
        <f>I27*Rates!J16</f>
        <v>-97859.360908566945</v>
      </c>
      <c r="J28" s="16">
        <f>J27*Rates!K16</f>
        <v>-99525.752524896714</v>
      </c>
      <c r="K28" s="16">
        <f>K27*Rates!L16</f>
        <v>-108829.16250268147</v>
      </c>
      <c r="L28" s="16">
        <f>L27*Rates!M16</f>
        <v>-113766.59345088401</v>
      </c>
      <c r="M28" s="16">
        <f>M27*Rates!N16</f>
        <v>-115279.35269258326</v>
      </c>
      <c r="N28" s="16">
        <f>N27*Rates!O16</f>
        <v>-116859.13311941942</v>
      </c>
      <c r="O28" s="16">
        <f>O27*Rates!P16</f>
        <v>-118461.94945050174</v>
      </c>
      <c r="P28" s="16">
        <f>P27*Rates!Q16</f>
        <v>-120134.82668870527</v>
      </c>
      <c r="Q28" s="16">
        <f>Q27*Rates!R16</f>
        <v>-121740.56125701168</v>
      </c>
      <c r="R28" s="16">
        <f>R27*Rates!S16</f>
        <v>-123416.98221901125</v>
      </c>
      <c r="S28" s="16">
        <f>S27*Rates!T16</f>
        <v>-125118.57148791129</v>
      </c>
      <c r="T28" s="16">
        <f>T27*Rates!U16</f>
        <v>-126894.07016990717</v>
      </c>
      <c r="U28" s="16">
        <f>U27*Rates!V16</f>
        <v>-128598.55864094679</v>
      </c>
      <c r="V28" s="16">
        <f>V27*Rates!W16</f>
        <v>-130377.62039282615</v>
      </c>
      <c r="W28" s="117"/>
      <c r="X28" s="16">
        <f>SUMIF($E$8:$V$8,'COS_RR (top sheet)'!$I$6,$E28:$V28)</f>
        <v>-126894.07016990717</v>
      </c>
      <c r="Y28"/>
      <c r="Z28" s="263"/>
    </row>
    <row r="29" spans="1:26" s="4" customFormat="1" ht="15.75" customHeight="1">
      <c r="A29" s="411"/>
      <c r="B29" s="84"/>
      <c r="C29" s="236">
        <f>+MAX(C$10:C28)+1</f>
        <v>17</v>
      </c>
      <c r="D29" s="15" t="s">
        <v>2159</v>
      </c>
      <c r="E29" s="277">
        <f>SUM(E27:E28)*INDEX(Rates!$F$22:$W$22,1,MATCH(E$8,Rates!$F$7:$W$7,0))</f>
        <v>0</v>
      </c>
      <c r="F29" s="277">
        <f>SUM(F27:F28)*INDEX(Rates!$F$22:$W$22,1,MATCH(F$8,Rates!$F$7:$W$7,0))</f>
        <v>0</v>
      </c>
      <c r="G29" s="277">
        <f>SUM(G27:G28)*INDEX(Rates!$F$22:$W$22,1,MATCH(G$8,Rates!$F$7:$W$7,0))</f>
        <v>0</v>
      </c>
      <c r="H29" s="277">
        <f>SUM(H27:H28)*INDEX(Rates!$F$22:$W$22,1,MATCH(H$8,Rates!$F$7:$W$7,0))</f>
        <v>119115.64002628496</v>
      </c>
      <c r="I29" s="277">
        <f>SUM(I27:I28)*INDEX(Rates!$F$22:$W$22,1,MATCH(I$8,Rates!$F$7:$W$7,0))</f>
        <v>63874.123972197856</v>
      </c>
      <c r="J29" s="277">
        <f>SUM(J27:J28)*INDEX(Rates!$F$22:$W$22,1,MATCH(J$8,Rates!$F$7:$W$7,0))</f>
        <v>64961.800242505087</v>
      </c>
      <c r="K29" s="277">
        <f>SUM(K27:K28)*INDEX(Rates!$F$22:$W$22,1,MATCH(K$8,Rates!$F$7:$W$7,0))</f>
        <v>71034.261341453297</v>
      </c>
      <c r="L29" s="277">
        <f>SUM(L27:L28)*INDEX(Rates!$F$22:$W$22,1,MATCH(L$8,Rates!$F$7:$W$7,0))</f>
        <v>74256.989076047015</v>
      </c>
      <c r="M29" s="277">
        <f>SUM(M27:M28)*INDEX(Rates!$F$22:$W$22,1,MATCH(M$8,Rates!$F$7:$W$7,0))</f>
        <v>75244.387424526605</v>
      </c>
      <c r="N29" s="277">
        <f>SUM(N27:N28)*INDEX(Rates!$F$22:$W$22,1,MATCH(N$8,Rates!$F$7:$W$7,0))</f>
        <v>76275.531403965259</v>
      </c>
      <c r="O29" s="277">
        <f>SUM(O27:O28)*INDEX(Rates!$F$22:$W$22,1,MATCH(O$8,Rates!$F$7:$W$7,0))</f>
        <v>77321.711228620668</v>
      </c>
      <c r="P29" s="277">
        <f>SUM(P27:P28)*INDEX(Rates!$F$22:$W$22,1,MATCH(P$8,Rates!$F$7:$W$7,0))</f>
        <v>78413.620751748633</v>
      </c>
      <c r="Q29" s="277">
        <f>SUM(Q27:Q28)*INDEX(Rates!$F$22:$W$22,1,MATCH(Q$8,Rates!$F$7:$W$7,0))</f>
        <v>79461.705349176947</v>
      </c>
      <c r="R29" s="277">
        <f>SUM(R27:R28)*INDEX(Rates!$F$22:$W$22,1,MATCH(R$8,Rates!$F$7:$W$7,0))</f>
        <v>80555.927908594633</v>
      </c>
      <c r="S29" s="277">
        <f>SUM(S27:S28)*INDEX(Rates!$F$22:$W$22,1,MATCH(S$8,Rates!$F$7:$W$7,0))</f>
        <v>81666.578161185535</v>
      </c>
      <c r="T29" s="277">
        <f>SUM(T27:T28)*INDEX(Rates!$F$22:$W$22,1,MATCH(T$8,Rates!$F$7:$W$7,0))</f>
        <v>82825.470083975</v>
      </c>
      <c r="U29" s="277">
        <f>SUM(U27:U28)*INDEX(Rates!$F$22:$W$22,1,MATCH(U$8,Rates!$F$7:$W$7,0))</f>
        <v>83938.012684882546</v>
      </c>
      <c r="V29" s="277">
        <f>SUM(V27:V28)*INDEX(Rates!$F$22:$W$22,1,MATCH(V$8,Rates!$F$7:$W$7,0))</f>
        <v>85099.230271413806</v>
      </c>
      <c r="W29" s="205"/>
      <c r="X29" s="277">
        <f>SUMIF($E$8:$V$8,'COS_RR (top sheet)'!$I$6,$E29:$V29)</f>
        <v>82825.470083975</v>
      </c>
      <c r="Y29"/>
      <c r="Z29" s="205"/>
    </row>
    <row r="30" spans="1:26" s="40" customFormat="1" ht="15.75" customHeight="1">
      <c r="A30" s="411"/>
      <c r="B30" s="91"/>
      <c r="C30" s="236">
        <f>+MAX(C$10:C28)+1</f>
        <v>17</v>
      </c>
      <c r="D30" s="251" t="str">
        <f>"TOTAL "&amp;D23</f>
        <v>TOTAL RURAL</v>
      </c>
      <c r="E30" s="256">
        <f>SUM(E27:E29)</f>
        <v>17957855.983967911</v>
      </c>
      <c r="F30" s="256">
        <f t="shared" ref="F30:V30" si="4">SUM(F27:F29)</f>
        <v>18479098.058150001</v>
      </c>
      <c r="G30" s="256">
        <f t="shared" si="4"/>
        <v>19246294.169150002</v>
      </c>
      <c r="H30" s="256">
        <f t="shared" si="4"/>
        <v>18950405.316112664</v>
      </c>
      <c r="I30" s="256">
        <f t="shared" si="4"/>
        <v>20639002.148216676</v>
      </c>
      <c r="J30" s="256">
        <f t="shared" si="4"/>
        <v>20990452.023117606</v>
      </c>
      <c r="K30" s="256">
        <f t="shared" si="4"/>
        <v>22952585.198058773</v>
      </c>
      <c r="L30" s="256">
        <f t="shared" si="4"/>
        <v>23993912.742000487</v>
      </c>
      <c r="M30" s="256">
        <f t="shared" si="4"/>
        <v>24312960.822319925</v>
      </c>
      <c r="N30" s="256">
        <f t="shared" si="4"/>
        <v>24646143.987634547</v>
      </c>
      <c r="O30" s="256">
        <f t="shared" si="4"/>
        <v>24984185.534128118</v>
      </c>
      <c r="P30" s="256">
        <f t="shared" si="4"/>
        <v>25337003.257363044</v>
      </c>
      <c r="Q30" s="256">
        <f t="shared" si="4"/>
        <v>25675660.273892164</v>
      </c>
      <c r="R30" s="256">
        <f t="shared" si="4"/>
        <v>26029225.385239583</v>
      </c>
      <c r="S30" s="256">
        <f t="shared" si="4"/>
        <v>26388098.611573271</v>
      </c>
      <c r="T30" s="256">
        <f t="shared" si="4"/>
        <v>26762559.682764068</v>
      </c>
      <c r="U30" s="256">
        <f t="shared" si="4"/>
        <v>27122044.364543937</v>
      </c>
      <c r="V30" s="256">
        <f t="shared" si="4"/>
        <v>27497256.904028587</v>
      </c>
      <c r="W30" s="263"/>
      <c r="X30" s="256">
        <f>SUMIF($E$8:$V$8,'COS_RR (top sheet)'!$I$6,$E30:$V30)</f>
        <v>26762559.682764068</v>
      </c>
      <c r="Y30"/>
      <c r="Z30" s="263"/>
    </row>
    <row r="31" spans="1:26" s="40" customFormat="1" ht="15.75" customHeight="1">
      <c r="A31" s="411"/>
      <c r="B31" s="91"/>
      <c r="C31" s="236"/>
      <c r="D31" s="15" t="s">
        <v>2723</v>
      </c>
      <c r="E31" s="279">
        <f>E30*'City Taxes'!E8</f>
        <v>13.10472820216914</v>
      </c>
      <c r="F31" s="279">
        <f>F30*'City Taxes'!F8</f>
        <v>13.485104106496994</v>
      </c>
      <c r="G31" s="279">
        <f>G30*'City Taxes'!G8</f>
        <v>14.044964733589222</v>
      </c>
      <c r="H31" s="279">
        <f>H30*'City Taxes'!H8</f>
        <v>13.82904012652212</v>
      </c>
      <c r="I31" s="279">
        <f>I30*'City Taxes'!I8</f>
        <v>15.061292047214796</v>
      </c>
      <c r="J31" s="279">
        <f>J30*'City Taxes'!J8</f>
        <v>15.317762256764018</v>
      </c>
      <c r="K31" s="279">
        <f>K30*'City Taxes'!K8</f>
        <v>16.749627061617058</v>
      </c>
      <c r="L31" s="279">
        <f>L30*'City Taxes'!L8</f>
        <v>0</v>
      </c>
      <c r="M31" s="279">
        <f>M30*'City Taxes'!M8</f>
        <v>0</v>
      </c>
      <c r="N31" s="279">
        <f>N30*'City Taxes'!N8</f>
        <v>0</v>
      </c>
      <c r="O31" s="279">
        <f>O30*'City Taxes'!O8</f>
        <v>0</v>
      </c>
      <c r="P31" s="279">
        <f>P30*'City Taxes'!P8</f>
        <v>0</v>
      </c>
      <c r="Q31" s="279">
        <f>Q30*'City Taxes'!Q8</f>
        <v>0</v>
      </c>
      <c r="R31" s="279">
        <f>R30*'City Taxes'!R8</f>
        <v>0</v>
      </c>
      <c r="S31" s="279">
        <f>S30*'City Taxes'!S8</f>
        <v>0</v>
      </c>
      <c r="T31" s="279">
        <f>T30*'City Taxes'!T8</f>
        <v>0</v>
      </c>
      <c r="U31" s="279">
        <f>U30*'City Taxes'!U8</f>
        <v>0</v>
      </c>
      <c r="V31" s="279">
        <f>V30*'City Taxes'!V8</f>
        <v>0</v>
      </c>
      <c r="W31" s="263"/>
      <c r="X31" s="279">
        <f>SUMIF($E$8:$V$8,'COS_RR (top sheet)'!$I$6,$E31:$V31)</f>
        <v>0</v>
      </c>
      <c r="Y31"/>
      <c r="Z31" s="263"/>
    </row>
    <row r="32" spans="1:26" s="40" customFormat="1" ht="15.75" customHeight="1">
      <c r="A32" s="411"/>
      <c r="B32" s="91"/>
      <c r="C32" s="236">
        <f>+MAX(C$10:C29)+1</f>
        <v>18</v>
      </c>
      <c r="D32" s="251" t="str">
        <f>"TOTAL "&amp;D23</f>
        <v>TOTAL RURAL</v>
      </c>
      <c r="E32" s="256">
        <f>SUM(E30:E31)</f>
        <v>17957869.088696115</v>
      </c>
      <c r="F32" s="256">
        <f t="shared" ref="F32:V32" si="5">SUM(F30:F31)</f>
        <v>18479111.543254107</v>
      </c>
      <c r="G32" s="256">
        <f t="shared" si="5"/>
        <v>19246308.214114737</v>
      </c>
      <c r="H32" s="256">
        <f t="shared" si="5"/>
        <v>18950419.145152789</v>
      </c>
      <c r="I32" s="256">
        <f t="shared" si="5"/>
        <v>20639017.209508725</v>
      </c>
      <c r="J32" s="256">
        <f t="shared" si="5"/>
        <v>20990467.340879861</v>
      </c>
      <c r="K32" s="256">
        <f t="shared" si="5"/>
        <v>22952601.947685834</v>
      </c>
      <c r="L32" s="256">
        <f t="shared" si="5"/>
        <v>23993912.742000487</v>
      </c>
      <c r="M32" s="256">
        <f t="shared" si="5"/>
        <v>24312960.822319925</v>
      </c>
      <c r="N32" s="256">
        <f t="shared" si="5"/>
        <v>24646143.987634547</v>
      </c>
      <c r="O32" s="256">
        <f t="shared" si="5"/>
        <v>24984185.534128118</v>
      </c>
      <c r="P32" s="256">
        <f t="shared" si="5"/>
        <v>25337003.257363044</v>
      </c>
      <c r="Q32" s="256">
        <f t="shared" si="5"/>
        <v>25675660.273892164</v>
      </c>
      <c r="R32" s="256">
        <f t="shared" si="5"/>
        <v>26029225.385239583</v>
      </c>
      <c r="S32" s="256">
        <f t="shared" si="5"/>
        <v>26388098.611573271</v>
      </c>
      <c r="T32" s="256">
        <f t="shared" si="5"/>
        <v>26762559.682764068</v>
      </c>
      <c r="U32" s="256">
        <f t="shared" si="5"/>
        <v>27122044.364543937</v>
      </c>
      <c r="V32" s="256">
        <f t="shared" si="5"/>
        <v>27497256.904028587</v>
      </c>
      <c r="W32" s="263"/>
      <c r="X32" s="256">
        <f>SUMIF($E$8:$V$8,'COS_RR (top sheet)'!$I$6,$E32:$V32)</f>
        <v>26762559.682764068</v>
      </c>
      <c r="Y32"/>
      <c r="Z32" s="263"/>
    </row>
    <row r="33" spans="1:26" s="4" customFormat="1" ht="15.75" customHeight="1">
      <c r="A33" s="411"/>
      <c r="B33" s="84"/>
      <c r="C33" s="236">
        <f>+MAX(C$10:C32)+1</f>
        <v>19</v>
      </c>
      <c r="D33" s="251"/>
      <c r="E33" s="256"/>
      <c r="F33" s="256"/>
      <c r="G33" s="256"/>
      <c r="H33" s="256"/>
      <c r="I33" s="256"/>
      <c r="J33" s="256"/>
      <c r="K33" s="256"/>
      <c r="L33" s="256"/>
      <c r="M33" s="256"/>
      <c r="N33" s="256"/>
      <c r="O33" s="256"/>
      <c r="P33" s="256"/>
      <c r="Q33" s="256"/>
      <c r="R33" s="256"/>
      <c r="S33" s="256"/>
      <c r="T33" s="256"/>
      <c r="U33" s="256"/>
      <c r="V33" s="256"/>
      <c r="W33" s="205"/>
      <c r="X33" s="256"/>
      <c r="Y33"/>
      <c r="Z33" s="205"/>
    </row>
    <row r="34" spans="1:26" s="4" customFormat="1" ht="15.75" customHeight="1">
      <c r="A34" s="411"/>
      <c r="B34" s="84"/>
      <c r="C34" s="236">
        <f>+MAX(C$10:C33)+1</f>
        <v>20</v>
      </c>
      <c r="D34" s="251" t="str">
        <f>"TOTAL "&amp;D10</f>
        <v>TOTAL RESIDENTIAL - URBAN &amp; RURAL</v>
      </c>
      <c r="E34" s="256">
        <f>SUM(E21,E32)</f>
        <v>33959356.568093218</v>
      </c>
      <c r="F34" s="256">
        <f t="shared" ref="F34:V34" si="6">SUM(F21,F32)</f>
        <v>34929826.182008974</v>
      </c>
      <c r="G34" s="256">
        <f t="shared" si="6"/>
        <v>36358222.987482011</v>
      </c>
      <c r="H34" s="256">
        <f t="shared" si="6"/>
        <v>36116971.762110069</v>
      </c>
      <c r="I34" s="256">
        <f t="shared" si="6"/>
        <v>39543452.574530959</v>
      </c>
      <c r="J34" s="256">
        <f t="shared" si="6"/>
        <v>40126635.651825801</v>
      </c>
      <c r="K34" s="256">
        <f t="shared" si="6"/>
        <v>41424780.989396721</v>
      </c>
      <c r="L34" s="256">
        <f t="shared" si="6"/>
        <v>43330607.45485945</v>
      </c>
      <c r="M34" s="256">
        <f t="shared" si="6"/>
        <v>43903694.812468678</v>
      </c>
      <c r="N34" s="256">
        <f t="shared" si="6"/>
        <v>44505412.902738735</v>
      </c>
      <c r="O34" s="256">
        <f t="shared" si="6"/>
        <v>45115820.061369091</v>
      </c>
      <c r="P34" s="256">
        <f t="shared" si="6"/>
        <v>45756173.883008912</v>
      </c>
      <c r="Q34" s="256">
        <f t="shared" si="6"/>
        <v>46364498.680134758</v>
      </c>
      <c r="R34" s="256">
        <f t="shared" si="6"/>
        <v>47003001.535892956</v>
      </c>
      <c r="S34" s="256">
        <f t="shared" si="6"/>
        <v>47651038.484054431</v>
      </c>
      <c r="T34" s="256">
        <f t="shared" si="6"/>
        <v>48330648.920275912</v>
      </c>
      <c r="U34" s="256">
        <f t="shared" si="6"/>
        <v>48976589.433980763</v>
      </c>
      <c r="V34" s="256">
        <f t="shared" si="6"/>
        <v>49654152.68996156</v>
      </c>
      <c r="W34" s="205"/>
      <c r="X34" s="256">
        <f>SUMIF($E$8:$V$8,'COS_RR (top sheet)'!$I$6,$E34:$V34)</f>
        <v>48330648.920275912</v>
      </c>
      <c r="Y34"/>
      <c r="Z34" s="205"/>
    </row>
    <row r="35" spans="1:26" s="4" customFormat="1" ht="15.75" customHeight="1">
      <c r="A35" s="411"/>
      <c r="B35" s="84"/>
      <c r="C35" s="236">
        <f>+MAX(C$10:C34)+1</f>
        <v>21</v>
      </c>
      <c r="D35" s="251"/>
      <c r="E35" s="256"/>
      <c r="F35" s="256"/>
      <c r="G35" s="256"/>
      <c r="H35" s="256"/>
      <c r="I35" s="256"/>
      <c r="J35" s="256"/>
      <c r="K35" s="256"/>
      <c r="L35" s="256"/>
      <c r="M35" s="256"/>
      <c r="N35" s="256"/>
      <c r="O35" s="256"/>
      <c r="P35" s="256"/>
      <c r="Q35" s="256"/>
      <c r="R35" s="256"/>
      <c r="S35" s="256"/>
      <c r="T35" s="256"/>
      <c r="U35" s="256"/>
      <c r="V35" s="256"/>
      <c r="W35" s="205"/>
      <c r="X35" s="256"/>
      <c r="Y35"/>
      <c r="Z35" s="205"/>
    </row>
    <row r="36" spans="1:26" s="4" customFormat="1" ht="15.75" customHeight="1">
      <c r="A36" s="411"/>
      <c r="B36" s="84"/>
      <c r="C36" s="236">
        <f>+MAX(C$10:C35)+1</f>
        <v>22</v>
      </c>
      <c r="D36" s="751" t="s">
        <v>244</v>
      </c>
      <c r="E36" s="16"/>
      <c r="F36" s="16"/>
      <c r="G36" s="16"/>
      <c r="H36" s="16"/>
      <c r="I36" s="16"/>
      <c r="J36" s="16"/>
      <c r="K36" s="16"/>
      <c r="L36" s="16"/>
      <c r="M36" s="16"/>
      <c r="N36" s="16"/>
      <c r="O36" s="16"/>
      <c r="P36" s="16"/>
      <c r="Q36" s="16"/>
      <c r="R36" s="16"/>
      <c r="S36" s="16"/>
      <c r="T36" s="16"/>
      <c r="U36" s="16"/>
      <c r="V36" s="16"/>
      <c r="W36" s="205"/>
      <c r="X36" s="16"/>
      <c r="Y36"/>
      <c r="Z36" s="205"/>
    </row>
    <row r="37" spans="1:26" s="4" customFormat="1" ht="15.75" customHeight="1">
      <c r="A37" s="411"/>
      <c r="B37" s="84"/>
      <c r="C37" s="236">
        <f>+MAX(C$10:C36)+1</f>
        <v>23</v>
      </c>
      <c r="D37" s="64"/>
      <c r="E37" s="16"/>
      <c r="F37" s="16"/>
      <c r="G37" s="16"/>
      <c r="H37" s="16"/>
      <c r="I37" s="16"/>
      <c r="J37" s="16"/>
      <c r="K37" s="16"/>
      <c r="L37" s="16"/>
      <c r="M37" s="16"/>
      <c r="N37" s="16"/>
      <c r="O37" s="16"/>
      <c r="P37" s="16"/>
      <c r="Q37" s="16"/>
      <c r="R37" s="16"/>
      <c r="S37" s="16"/>
      <c r="T37" s="16"/>
      <c r="U37" s="16"/>
      <c r="V37" s="16"/>
      <c r="W37" s="205"/>
      <c r="X37" s="16"/>
      <c r="Y37"/>
      <c r="Z37" s="205"/>
    </row>
    <row r="38" spans="1:26" s="4" customFormat="1" ht="15.75" customHeight="1">
      <c r="A38" s="411"/>
      <c r="B38" s="84"/>
      <c r="C38" s="236">
        <f>+MAX(C$10:C37)+1</f>
        <v>24</v>
      </c>
      <c r="D38" s="278" t="s">
        <v>245</v>
      </c>
      <c r="E38" s="16"/>
      <c r="F38" s="16"/>
      <c r="G38" s="16"/>
      <c r="H38" s="16"/>
      <c r="I38" s="16"/>
      <c r="J38" s="16"/>
      <c r="K38" s="16"/>
      <c r="L38" s="16"/>
      <c r="M38" s="16"/>
      <c r="N38" s="16"/>
      <c r="O38" s="16"/>
      <c r="P38" s="16"/>
      <c r="Q38" s="16"/>
      <c r="R38" s="16"/>
      <c r="S38" s="16"/>
      <c r="T38" s="16"/>
      <c r="U38" s="16"/>
      <c r="V38" s="16"/>
      <c r="W38" s="205"/>
      <c r="X38" s="16"/>
      <c r="Y38"/>
      <c r="Z38" s="205"/>
    </row>
    <row r="39" spans="1:26" s="4" customFormat="1" ht="15.75" customHeight="1">
      <c r="A39" s="411"/>
      <c r="B39" s="84"/>
      <c r="C39" s="236">
        <f>+MAX(C$10:C38)+1</f>
        <v>25</v>
      </c>
      <c r="D39" s="15" t="s">
        <v>848</v>
      </c>
      <c r="E39" s="16"/>
      <c r="F39" s="16"/>
      <c r="G39" s="16"/>
      <c r="H39" s="16"/>
      <c r="I39" s="16"/>
      <c r="J39" s="16"/>
      <c r="K39" s="16"/>
      <c r="L39" s="16"/>
      <c r="M39" s="16"/>
      <c r="N39" s="16"/>
      <c r="O39" s="16"/>
      <c r="P39" s="16"/>
      <c r="Q39" s="16"/>
      <c r="R39" s="16"/>
      <c r="S39" s="16"/>
      <c r="T39" s="16"/>
      <c r="U39" s="16"/>
      <c r="V39" s="16"/>
      <c r="W39" s="205"/>
      <c r="X39" s="16"/>
      <c r="Y39"/>
      <c r="Z39" s="205"/>
    </row>
    <row r="40" spans="1:26" s="4" customFormat="1" ht="15.75" customHeight="1">
      <c r="A40" s="411"/>
      <c r="B40" s="84"/>
      <c r="C40" s="236">
        <f>+MAX(C$10:C39)+1</f>
        <v>26</v>
      </c>
      <c r="D40" s="39" t="s">
        <v>251</v>
      </c>
      <c r="E40" s="279">
        <f>Cust_Detail!F20*Rates!F29*INDEX(Rates!$F$26:$W$26,1,MATCH(E$8,Rates!$F$7:$W$7,0))</f>
        <v>0</v>
      </c>
      <c r="F40" s="279">
        <f>Cust_Detail!G20*Rates!G29*INDEX(Rates!$F$26:$W$26,1,MATCH(F$8,Rates!$F$7:$W$7,0))</f>
        <v>15435</v>
      </c>
      <c r="G40" s="279">
        <f>Cust_Detail!H20*Rates!H29*INDEX(Rates!$F$26:$W$26,1,MATCH(G$8,Rates!$F$7:$W$7,0))</f>
        <v>15435</v>
      </c>
      <c r="H40" s="279">
        <f>Cust_Detail!I20*Rates!I29*INDEX(Rates!$F$26:$W$26,1,MATCH(H$8,Rates!$F$7:$W$7,0))</f>
        <v>11550</v>
      </c>
      <c r="I40" s="279">
        <f>Cust_Detail!J20*Rates!J29*INDEX(Rates!$F$26:$W$26,1,MATCH(I$8,Rates!$F$7:$W$7,0))</f>
        <v>12405.96</v>
      </c>
      <c r="J40" s="279">
        <f>Cust_Detail!K20*Rates!K29*INDEX(Rates!$F$26:$W$26,1,MATCH(J$8,Rates!$F$7:$W$7,0))</f>
        <v>10416</v>
      </c>
      <c r="K40" s="279">
        <f>Cust_Detail!L20*Rates!L29*INDEX(Rates!$F$26:$W$26,1,MATCH(K$8,Rates!$F$7:$W$7,0))</f>
        <v>10525.55</v>
      </c>
      <c r="L40" s="279">
        <f>Cust_Detail!M20*Rates!M29*INDEX(Rates!$F$26:$W$26,1,MATCH(L$8,Rates!$F$7:$W$7,0))</f>
        <v>11157.509999999998</v>
      </c>
      <c r="M40" s="279">
        <f>Cust_Detail!N20*Rates!N29*INDEX(Rates!$F$26:$W$26,1,MATCH(M$8,Rates!$F$7:$W$7,0))</f>
        <v>11340.42</v>
      </c>
      <c r="N40" s="279">
        <f>Cust_Detail!O20*Rates!O29*INDEX(Rates!$F$26:$W$26,1,MATCH(N$8,Rates!$F$7:$W$7,0))</f>
        <v>11340.42</v>
      </c>
      <c r="O40" s="279">
        <f>Cust_Detail!P20*Rates!P29*INDEX(Rates!$F$26:$W$26,1,MATCH(O$8,Rates!$F$7:$W$7,0))</f>
        <v>11340.42</v>
      </c>
      <c r="P40" s="279">
        <f>Cust_Detail!Q20*Rates!Q29*INDEX(Rates!$F$26:$W$26,1,MATCH(P$8,Rates!$F$7:$W$7,0))</f>
        <v>11340.42</v>
      </c>
      <c r="Q40" s="279">
        <f>Cust_Detail!R20*Rates!R29*INDEX(Rates!$F$26:$W$26,1,MATCH(Q$8,Rates!$F$7:$W$7,0))</f>
        <v>11340.42</v>
      </c>
      <c r="R40" s="279">
        <f>Cust_Detail!S20*Rates!S29*INDEX(Rates!$F$26:$W$26,1,MATCH(R$8,Rates!$F$7:$W$7,0))</f>
        <v>11340.42</v>
      </c>
      <c r="S40" s="279">
        <f>Cust_Detail!T20*Rates!T29*INDEX(Rates!$F$26:$W$26,1,MATCH(S$8,Rates!$F$7:$W$7,0))</f>
        <v>11340.42</v>
      </c>
      <c r="T40" s="279">
        <f>Cust_Detail!U20*Rates!U29*INDEX(Rates!$F$26:$W$26,1,MATCH(T$8,Rates!$F$7:$W$7,0))</f>
        <v>11340.42</v>
      </c>
      <c r="U40" s="279">
        <f>Cust_Detail!V20*Rates!V29*INDEX(Rates!$F$26:$W$26,1,MATCH(U$8,Rates!$F$7:$W$7,0))</f>
        <v>11340.42</v>
      </c>
      <c r="V40" s="279">
        <f>Cust_Detail!W20*Rates!W29*INDEX(Rates!$F$26:$W$26,1,MATCH(V$8,Rates!$F$7:$W$7,0))</f>
        <v>11340.42</v>
      </c>
      <c r="W40" s="205"/>
      <c r="X40" s="279">
        <f>SUMIF($E$8:$V$8,'COS_RR (top sheet)'!$I$6,$E40:$V40)</f>
        <v>11340.42</v>
      </c>
      <c r="Y40"/>
      <c r="Z40" s="205"/>
    </row>
    <row r="41" spans="1:26" s="4" customFormat="1" ht="15.75" customHeight="1">
      <c r="A41" s="411"/>
      <c r="B41" s="84"/>
      <c r="C41" s="236">
        <f>+MAX(C$10:C40)+1</f>
        <v>27</v>
      </c>
      <c r="D41" s="39" t="s">
        <v>254</v>
      </c>
      <c r="E41" s="16"/>
      <c r="F41" s="16"/>
      <c r="G41" s="16"/>
      <c r="H41" s="16"/>
      <c r="I41" s="16"/>
      <c r="J41" s="16"/>
      <c r="K41" s="16"/>
      <c r="L41" s="16"/>
      <c r="M41" s="16"/>
      <c r="N41" s="16"/>
      <c r="O41" s="16"/>
      <c r="P41" s="16"/>
      <c r="Q41" s="16"/>
      <c r="R41" s="16"/>
      <c r="S41" s="16"/>
      <c r="T41" s="16"/>
      <c r="U41" s="16"/>
      <c r="V41" s="16"/>
      <c r="W41" s="205"/>
      <c r="X41" s="16"/>
      <c r="Y41"/>
      <c r="Z41" s="205"/>
    </row>
    <row r="42" spans="1:26" s="4" customFormat="1" ht="15.75" customHeight="1">
      <c r="A42" s="411"/>
      <c r="B42" s="84"/>
      <c r="C42" s="236">
        <f>+MAX(C$10:C41)+1</f>
        <v>28</v>
      </c>
      <c r="D42" s="763" t="s">
        <v>216</v>
      </c>
      <c r="E42" s="16">
        <f>Cust_Detail!F21*Rates!F32*INDEX(Rates!$F$26:$W$26,1,MATCH(E$8,Rates!$F$7:$W$7,0))</f>
        <v>30925.213092564278</v>
      </c>
      <c r="F42" s="16">
        <f>Cust_Detail!G21*Rates!G32*INDEX(Rates!$F$26:$W$26,1,MATCH(F$8,Rates!$F$7:$W$7,0))</f>
        <v>31014.6078204148</v>
      </c>
      <c r="G42" s="16">
        <f>Cust_Detail!H21*Rates!H32*INDEX(Rates!$F$26:$W$26,1,MATCH(G$8,Rates!$F$7:$W$7,0))</f>
        <v>31008.600000000002</v>
      </c>
      <c r="H42" s="16">
        <f>Cust_Detail!I21*Rates!I32*INDEX(Rates!$F$26:$W$26,1,MATCH(H$8,Rates!$F$7:$W$7,0))</f>
        <v>18182.296000000002</v>
      </c>
      <c r="I42" s="16">
        <f>Cust_Detail!J21*Rates!J32*INDEX(Rates!$F$26:$W$26,1,MATCH(I$8,Rates!$F$7:$W$7,0))</f>
        <v>21181.313999999998</v>
      </c>
      <c r="J42" s="16">
        <f>Cust_Detail!K21*Rates!K32*INDEX(Rates!$F$26:$W$26,1,MATCH(J$8,Rates!$F$7:$W$7,0))</f>
        <v>18448.360969499841</v>
      </c>
      <c r="K42" s="16">
        <f>Cust_Detail!L21*Rates!L32*INDEX(Rates!$F$26:$W$26,1,MATCH(K$8,Rates!$F$7:$W$7,0))</f>
        <v>18243.297661050234</v>
      </c>
      <c r="L42" s="16">
        <f>Cust_Detail!M21*Rates!M32*INDEX(Rates!$F$26:$W$26,1,MATCH(L$8,Rates!$F$7:$W$7,0))</f>
        <v>18866.49135839997</v>
      </c>
      <c r="M42" s="16">
        <f>Cust_Detail!N21*Rates!N32*INDEX(Rates!$F$26:$W$26,1,MATCH(M$8,Rates!$F$7:$W$7,0))</f>
        <v>18957.834406349673</v>
      </c>
      <c r="N42" s="16">
        <f>Cust_Detail!O21*Rates!O32*INDEX(Rates!$F$26:$W$26,1,MATCH(N$8,Rates!$F$7:$W$7,0))</f>
        <v>19053.329411024708</v>
      </c>
      <c r="O42" s="16">
        <f>Cust_Detail!P21*Rates!P32*INDEX(Rates!$F$26:$W$26,1,MATCH(O$8,Rates!$F$7:$W$7,0))</f>
        <v>19148.824415699735</v>
      </c>
      <c r="P42" s="16">
        <f>Cust_Detail!Q21*Rates!Q32*INDEX(Rates!$F$26:$W$26,1,MATCH(P$8,Rates!$F$7:$W$7,0))</f>
        <v>19244.319420374773</v>
      </c>
      <c r="Q42" s="16">
        <f>Cust_Detail!R21*Rates!R32*INDEX(Rates!$F$26:$W$26,1,MATCH(Q$8,Rates!$F$7:$W$7,0))</f>
        <v>19339.814425049808</v>
      </c>
      <c r="R42" s="16">
        <f>Cust_Detail!S21*Rates!S32*INDEX(Rates!$F$26:$W$26,1,MATCH(R$8,Rates!$F$7:$W$7,0))</f>
        <v>19439.461386449842</v>
      </c>
      <c r="S42" s="16">
        <f>Cust_Detail!T21*Rates!T32*INDEX(Rates!$F$26:$W$26,1,MATCH(S$8,Rates!$F$7:$W$7,0))</f>
        <v>19534.956391124866</v>
      </c>
      <c r="T42" s="16">
        <f>Cust_Detail!U21*Rates!U32*INDEX(Rates!$F$26:$W$26,1,MATCH(T$8,Rates!$F$7:$W$7,0))</f>
        <v>19634.603352524897</v>
      </c>
      <c r="U42" s="16">
        <f>Cust_Detail!V21*Rates!V32*INDEX(Rates!$F$26:$W$26,1,MATCH(U$8,Rates!$F$7:$W$7,0))</f>
        <v>19730.098357199924</v>
      </c>
      <c r="V42" s="16">
        <f>Cust_Detail!W21*Rates!W32*INDEX(Rates!$F$26:$W$26,1,MATCH(V$8,Rates!$F$7:$W$7,0))</f>
        <v>19829.745318599955</v>
      </c>
      <c r="W42" s="16"/>
      <c r="X42" s="279">
        <f>SUMIF($E$8:$V$8,'COS_RR (top sheet)'!$I$6,$E42:$V42)</f>
        <v>19634.603352524897</v>
      </c>
      <c r="Y42"/>
      <c r="Z42" s="205"/>
    </row>
    <row r="43" spans="1:26" s="4" customFormat="1" ht="15.75" customHeight="1">
      <c r="A43" s="411"/>
      <c r="B43" s="84"/>
      <c r="C43" s="236">
        <f>+MAX(C$10:C42)+1</f>
        <v>29</v>
      </c>
      <c r="D43" s="763" t="s">
        <v>217</v>
      </c>
      <c r="E43" s="16">
        <f>Cust_Detail!F22*Rates!F33*INDEX(Rates!$F$26:$W$26,1,MATCH(E$8,Rates!$F$7:$W$7,0))</f>
        <v>3244.5849421771968</v>
      </c>
      <c r="F43" s="16">
        <f>Cust_Detail!G22*Rates!G33*INDEX(Rates!$F$26:$W$26,1,MATCH(F$8,Rates!$F$7:$W$7,0))</f>
        <v>3088.0424233011581</v>
      </c>
      <c r="G43" s="16">
        <f>Cust_Detail!H22*Rates!H33*INDEX(Rates!$F$26:$W$26,1,MATCH(G$8,Rates!$F$7:$W$7,0))</f>
        <v>3088.19</v>
      </c>
      <c r="H43" s="16">
        <f>Cust_Detail!I22*Rates!I33*INDEX(Rates!$F$26:$W$26,1,MATCH(H$8,Rates!$F$7:$W$7,0))</f>
        <v>14080.388000000001</v>
      </c>
      <c r="I43" s="16">
        <f>Cust_Detail!J22*Rates!J33*INDEX(Rates!$F$26:$W$26,1,MATCH(I$8,Rates!$F$7:$W$7,0))</f>
        <v>17031.840000000004</v>
      </c>
      <c r="J43" s="16">
        <f>Cust_Detail!K22*Rates!K33*INDEX(Rates!$F$26:$W$26,1,MATCH(J$8,Rates!$F$7:$W$7,0))</f>
        <v>20961.101896999833</v>
      </c>
      <c r="K43" s="16">
        <f>Cust_Detail!L22*Rates!L33*INDEX(Rates!$F$26:$W$26,1,MATCH(K$8,Rates!$F$7:$W$7,0))</f>
        <v>5678.80200579132</v>
      </c>
      <c r="L43" s="16">
        <f>Cust_Detail!M22*Rates!M33*INDEX(Rates!$F$26:$W$26,1,MATCH(L$8,Rates!$F$7:$W$7,0))</f>
        <v>13408.239774300375</v>
      </c>
      <c r="M43" s="16">
        <f>Cust_Detail!N22*Rates!N33*INDEX(Rates!$F$26:$W$26,1,MATCH(M$8,Rates!$F$7:$W$7,0))</f>
        <v>13473.432163744381</v>
      </c>
      <c r="N43" s="16">
        <f>Cust_Detail!O22*Rates!O33*INDEX(Rates!$F$26:$W$26,1,MATCH(N$8,Rates!$F$7:$W$7,0))</f>
        <v>13541.1787572543</v>
      </c>
      <c r="O43" s="16">
        <f>Cust_Detail!P22*Rates!P33*INDEX(Rates!$F$26:$W$26,1,MATCH(O$8,Rates!$F$7:$W$7,0))</f>
        <v>13608.925350764181</v>
      </c>
      <c r="P43" s="16">
        <f>Cust_Detail!Q22*Rates!Q33*INDEX(Rates!$F$26:$W$26,1,MATCH(P$8,Rates!$F$7:$W$7,0))</f>
        <v>13676.671944274101</v>
      </c>
      <c r="Q43" s="16">
        <f>Cust_Detail!R22*Rates!R33*INDEX(Rates!$F$26:$W$26,1,MATCH(Q$8,Rates!$F$7:$W$7,0))</f>
        <v>13744.418537783995</v>
      </c>
      <c r="R43" s="16">
        <f>Cust_Detail!S22*Rates!S33*INDEX(Rates!$F$26:$W$26,1,MATCH(R$8,Rates!$F$7:$W$7,0))</f>
        <v>13815.110635359575</v>
      </c>
      <c r="S43" s="16">
        <f>Cust_Detail!T22*Rates!T33*INDEX(Rates!$F$26:$W$26,1,MATCH(S$8,Rates!$F$7:$W$7,0))</f>
        <v>13882.857228869485</v>
      </c>
      <c r="T43" s="16">
        <f>Cust_Detail!U22*Rates!U33*INDEX(Rates!$F$26:$W$26,1,MATCH(T$8,Rates!$F$7:$W$7,0))</f>
        <v>13953.549326445047</v>
      </c>
      <c r="U43" s="16">
        <f>Cust_Detail!V22*Rates!V33*INDEX(Rates!$F$26:$W$26,1,MATCH(U$8,Rates!$F$7:$W$7,0))</f>
        <v>14021.29591995491</v>
      </c>
      <c r="V43" s="16">
        <f>Cust_Detail!W22*Rates!W33*INDEX(Rates!$F$26:$W$26,1,MATCH(V$8,Rates!$F$7:$W$7,0))</f>
        <v>14091.988017530482</v>
      </c>
      <c r="W43" s="16"/>
      <c r="X43" s="279">
        <f>SUMIF($E$8:$V$8,'COS_RR (top sheet)'!$I$6,$E43:$V43)</f>
        <v>13953.549326445047</v>
      </c>
      <c r="Y43"/>
      <c r="Z43" s="205"/>
    </row>
    <row r="44" spans="1:26" s="4" customFormat="1" ht="15.75" customHeight="1">
      <c r="A44" s="411"/>
      <c r="B44" s="84"/>
      <c r="C44" s="236">
        <f>+MAX(C$10:C43)+1</f>
        <v>30</v>
      </c>
      <c r="D44" s="763" t="s">
        <v>221</v>
      </c>
      <c r="E44" s="16">
        <f>Cust_Detail!F23*Rates!F34*INDEX(Rates!$F$26:$W$26,1,MATCH(E$8,Rates!$F$7:$W$7,0))</f>
        <v>14102.884027047696</v>
      </c>
      <c r="F44" s="16">
        <f>Cust_Detail!G23*Rates!G34*INDEX(Rates!$F$26:$W$26,1,MATCH(F$8,Rates!$F$7:$W$7,0))</f>
        <v>20151.399970132858</v>
      </c>
      <c r="G44" s="16">
        <f>Cust_Detail!H23*Rates!H34*INDEX(Rates!$F$26:$W$26,1,MATCH(G$8,Rates!$F$7:$W$7,0))</f>
        <v>20155.66</v>
      </c>
      <c r="H44" s="16">
        <f>Cust_Detail!I23*Rates!I34*INDEX(Rates!$F$26:$W$26,1,MATCH(H$8,Rates!$F$7:$W$7,0))</f>
        <v>0</v>
      </c>
      <c r="I44" s="16">
        <f>Cust_Detail!J23*Rates!J34*INDEX(Rates!$F$26:$W$26,1,MATCH(I$8,Rates!$F$7:$W$7,0))</f>
        <v>0</v>
      </c>
      <c r="J44" s="16">
        <f>Cust_Detail!K23*Rates!K34*INDEX(Rates!$F$26:$W$26,1,MATCH(J$8,Rates!$F$7:$W$7,0))</f>
        <v>0</v>
      </c>
      <c r="K44" s="16">
        <f>Cust_Detail!L23*Rates!L34*INDEX(Rates!$F$26:$W$26,1,MATCH(K$8,Rates!$F$7:$W$7,0))</f>
        <v>0</v>
      </c>
      <c r="L44" s="16">
        <f>Cust_Detail!M23*Rates!M34*INDEX(Rates!$F$26:$W$26,1,MATCH(L$8,Rates!$F$7:$W$7,0))</f>
        <v>0</v>
      </c>
      <c r="M44" s="16">
        <f>Cust_Detail!N23*Rates!N34*INDEX(Rates!$F$26:$W$26,1,MATCH(M$8,Rates!$F$7:$W$7,0))</f>
        <v>0</v>
      </c>
      <c r="N44" s="16">
        <f>Cust_Detail!O23*Rates!O34*INDEX(Rates!$F$26:$W$26,1,MATCH(N$8,Rates!$F$7:$W$7,0))</f>
        <v>0</v>
      </c>
      <c r="O44" s="16">
        <f>Cust_Detail!P23*Rates!P34*INDEX(Rates!$F$26:$W$26,1,MATCH(O$8,Rates!$F$7:$W$7,0))</f>
        <v>0</v>
      </c>
      <c r="P44" s="16">
        <f>Cust_Detail!Q23*Rates!Q34*INDEX(Rates!$F$26:$W$26,1,MATCH(P$8,Rates!$F$7:$W$7,0))</f>
        <v>0</v>
      </c>
      <c r="Q44" s="16">
        <f>Cust_Detail!R23*Rates!R34*INDEX(Rates!$F$26:$W$26,1,MATCH(Q$8,Rates!$F$7:$W$7,0))</f>
        <v>0</v>
      </c>
      <c r="R44" s="16">
        <f>Cust_Detail!S23*Rates!S34*INDEX(Rates!$F$26:$W$26,1,MATCH(R$8,Rates!$F$7:$W$7,0))</f>
        <v>0</v>
      </c>
      <c r="S44" s="16">
        <f>Cust_Detail!T23*Rates!T34*INDEX(Rates!$F$26:$W$26,1,MATCH(S$8,Rates!$F$7:$W$7,0))</f>
        <v>0</v>
      </c>
      <c r="T44" s="16">
        <f>Cust_Detail!U23*Rates!U34*INDEX(Rates!$F$26:$W$26,1,MATCH(T$8,Rates!$F$7:$W$7,0))</f>
        <v>0</v>
      </c>
      <c r="U44" s="16">
        <f>Cust_Detail!V23*Rates!V34*INDEX(Rates!$F$26:$W$26,1,MATCH(U$8,Rates!$F$7:$W$7,0))</f>
        <v>0</v>
      </c>
      <c r="V44" s="16">
        <f>Cust_Detail!W23*Rates!W34*INDEX(Rates!$F$26:$W$26,1,MATCH(V$8,Rates!$F$7:$W$7,0))</f>
        <v>0</v>
      </c>
      <c r="W44" s="16"/>
      <c r="X44" s="279">
        <f>SUMIF($E$8:$V$8,'COS_RR (top sheet)'!$I$6,$E44:$V44)</f>
        <v>0</v>
      </c>
      <c r="Y44"/>
      <c r="Z44" s="205"/>
    </row>
    <row r="45" spans="1:26" s="4" customFormat="1" ht="15.75" hidden="1" customHeight="1">
      <c r="A45" s="411"/>
      <c r="B45" s="84"/>
      <c r="C45" s="236">
        <f>+MAX(C$10:C44)+1</f>
        <v>31</v>
      </c>
      <c r="D45" s="39" t="s">
        <v>255</v>
      </c>
      <c r="E45" s="16"/>
      <c r="F45" s="16"/>
      <c r="G45" s="16"/>
      <c r="H45" s="16"/>
      <c r="I45" s="16"/>
      <c r="J45" s="16"/>
      <c r="K45" s="16"/>
      <c r="L45" s="16"/>
      <c r="M45" s="16"/>
      <c r="N45" s="16"/>
      <c r="O45" s="16"/>
      <c r="P45" s="16"/>
      <c r="Q45" s="16"/>
      <c r="R45" s="16"/>
      <c r="S45" s="16"/>
      <c r="T45" s="16"/>
      <c r="U45" s="16"/>
      <c r="V45" s="16"/>
      <c r="W45" s="16"/>
      <c r="X45" s="16"/>
      <c r="Y45"/>
      <c r="Z45" s="205"/>
    </row>
    <row r="46" spans="1:26" s="4" customFormat="1" ht="15.75" hidden="1" customHeight="1">
      <c r="A46" s="411"/>
      <c r="B46" s="84"/>
      <c r="C46" s="236">
        <f>+MAX(C$10:C45)+1</f>
        <v>32</v>
      </c>
      <c r="D46" s="763" t="s">
        <v>216</v>
      </c>
      <c r="E46" s="16">
        <f>Cust_Detail!F24*Rates!F40*INDEX(Rates!$F$26:$W$26,1,MATCH(E$8,Rates!$F$7:$W$7,0))</f>
        <v>6883.8630220778005</v>
      </c>
      <c r="F46" s="16">
        <f>Cust_Detail!G24*Rates!G40*INDEX(Rates!$F$26:$W$26,1,MATCH(F$8,Rates!$F$7:$W$7,0))</f>
        <v>0</v>
      </c>
      <c r="G46" s="16">
        <f>Cust_Detail!H24*Rates!H40*INDEX(Rates!$F$26:$W$26,1,MATCH(G$8,Rates!$F$7:$W$7,0))</f>
        <v>0</v>
      </c>
      <c r="H46" s="16">
        <f>Cust_Detail!I24*Rates!I40*INDEX(Rates!$F$26:$W$26,1,MATCH(H$8,Rates!$F$7:$W$7,0))</f>
        <v>0</v>
      </c>
      <c r="I46" s="16">
        <f>Cust_Detail!J24*Rates!J40*INDEX(Rates!$F$26:$W$26,1,MATCH(I$8,Rates!$F$7:$W$7,0))</f>
        <v>0</v>
      </c>
      <c r="J46" s="16">
        <f>Cust_Detail!K24*Rates!K40*INDEX(Rates!$F$26:$W$26,1,MATCH(J$8,Rates!$F$7:$W$7,0))</f>
        <v>0</v>
      </c>
      <c r="K46" s="16">
        <f>Cust_Detail!L24*Rates!L40*INDEX(Rates!$F$26:$W$26,1,MATCH(K$8,Rates!$F$7:$W$7,0))</f>
        <v>0</v>
      </c>
      <c r="L46" s="16">
        <f>Cust_Detail!M24*Rates!M40*INDEX(Rates!$F$26:$W$26,1,MATCH(L$8,Rates!$F$7:$W$7,0))</f>
        <v>0</v>
      </c>
      <c r="M46" s="16">
        <f>Cust_Detail!N24*Rates!N40*INDEX(Rates!$F$26:$W$26,1,MATCH(M$8,Rates!$F$7:$W$7,0))</f>
        <v>0</v>
      </c>
      <c r="N46" s="16">
        <f>Cust_Detail!O24*Rates!O40*INDEX(Rates!$F$26:$W$26,1,MATCH(N$8,Rates!$F$7:$W$7,0))</f>
        <v>0</v>
      </c>
      <c r="O46" s="16">
        <f>Cust_Detail!P24*Rates!P40*INDEX(Rates!$F$26:$W$26,1,MATCH(O$8,Rates!$F$7:$W$7,0))</f>
        <v>0</v>
      </c>
      <c r="P46" s="16">
        <f>Cust_Detail!Q24*Rates!Q40*INDEX(Rates!$F$26:$W$26,1,MATCH(P$8,Rates!$F$7:$W$7,0))</f>
        <v>0</v>
      </c>
      <c r="Q46" s="16">
        <f>Cust_Detail!R24*Rates!R40*INDEX(Rates!$F$26:$W$26,1,MATCH(Q$8,Rates!$F$7:$W$7,0))</f>
        <v>0</v>
      </c>
      <c r="R46" s="16">
        <f>Cust_Detail!S24*Rates!S40*INDEX(Rates!$F$26:$W$26,1,MATCH(R$8,Rates!$F$7:$W$7,0))</f>
        <v>0</v>
      </c>
      <c r="S46" s="16">
        <f>Cust_Detail!T24*Rates!T40*INDEX(Rates!$F$26:$W$26,1,MATCH(S$8,Rates!$F$7:$W$7,0))</f>
        <v>0</v>
      </c>
      <c r="T46" s="16">
        <f>Cust_Detail!U24*Rates!U40*INDEX(Rates!$F$26:$W$26,1,MATCH(T$8,Rates!$F$7:$W$7,0))</f>
        <v>0</v>
      </c>
      <c r="U46" s="16">
        <f>Cust_Detail!V24*Rates!V40*INDEX(Rates!$F$26:$W$26,1,MATCH(U$8,Rates!$F$7:$W$7,0))</f>
        <v>0</v>
      </c>
      <c r="V46" s="16">
        <f>Cust_Detail!W24*Rates!W40*INDEX(Rates!$F$26:$W$26,1,MATCH(V$8,Rates!$F$7:$W$7,0))</f>
        <v>0</v>
      </c>
      <c r="W46" s="16"/>
      <c r="X46" s="16">
        <f>SUMIF($E$8:$V$8,'COS_RR (top sheet)'!$I$6,$E46:$V46)</f>
        <v>0</v>
      </c>
      <c r="Y46"/>
      <c r="Z46" s="205"/>
    </row>
    <row r="47" spans="1:26" s="4" customFormat="1" ht="15.75" hidden="1" customHeight="1">
      <c r="A47" s="411"/>
      <c r="B47" s="84"/>
      <c r="C47" s="236">
        <f>+MAX(C$10:C46)+1</f>
        <v>33</v>
      </c>
      <c r="D47" s="763" t="s">
        <v>217</v>
      </c>
      <c r="E47" s="16">
        <f>Cust_Detail!F25*Rates!F41*INDEX(Rates!$F$26:$W$26,1,MATCH(E$8,Rates!$F$7:$W$7,0))</f>
        <v>2422.9342086399702</v>
      </c>
      <c r="F47" s="16">
        <f>Cust_Detail!G25*Rates!G41*INDEX(Rates!$F$26:$W$26,1,MATCH(F$8,Rates!$F$7:$W$7,0))</f>
        <v>0</v>
      </c>
      <c r="G47" s="16">
        <f>Cust_Detail!H25*Rates!H41*INDEX(Rates!$F$26:$W$26,1,MATCH(G$8,Rates!$F$7:$W$7,0))</f>
        <v>0</v>
      </c>
      <c r="H47" s="16">
        <f>Cust_Detail!I25*Rates!I41*INDEX(Rates!$F$26:$W$26,1,MATCH(H$8,Rates!$F$7:$W$7,0))</f>
        <v>0</v>
      </c>
      <c r="I47" s="16">
        <f>Cust_Detail!J25*Rates!J41*INDEX(Rates!$F$26:$W$26,1,MATCH(I$8,Rates!$F$7:$W$7,0))</f>
        <v>0</v>
      </c>
      <c r="J47" s="16">
        <f>Cust_Detail!K25*Rates!K41*INDEX(Rates!$F$26:$W$26,1,MATCH(J$8,Rates!$F$7:$W$7,0))</f>
        <v>0</v>
      </c>
      <c r="K47" s="16">
        <f>Cust_Detail!L25*Rates!L41*INDEX(Rates!$F$26:$W$26,1,MATCH(K$8,Rates!$F$7:$W$7,0))</f>
        <v>0</v>
      </c>
      <c r="L47" s="16">
        <f>Cust_Detail!M25*Rates!M41*INDEX(Rates!$F$26:$W$26,1,MATCH(L$8,Rates!$F$7:$W$7,0))</f>
        <v>0</v>
      </c>
      <c r="M47" s="16">
        <f>Cust_Detail!N25*Rates!N41*INDEX(Rates!$F$26:$W$26,1,MATCH(M$8,Rates!$F$7:$W$7,0))</f>
        <v>0</v>
      </c>
      <c r="N47" s="16">
        <f>Cust_Detail!O25*Rates!O41*INDEX(Rates!$F$26:$W$26,1,MATCH(N$8,Rates!$F$7:$W$7,0))</f>
        <v>0</v>
      </c>
      <c r="O47" s="16">
        <f>Cust_Detail!P25*Rates!P41*INDEX(Rates!$F$26:$W$26,1,MATCH(O$8,Rates!$F$7:$W$7,0))</f>
        <v>0</v>
      </c>
      <c r="P47" s="16">
        <f>Cust_Detail!Q25*Rates!Q41*INDEX(Rates!$F$26:$W$26,1,MATCH(P$8,Rates!$F$7:$W$7,0))</f>
        <v>0</v>
      </c>
      <c r="Q47" s="16">
        <f>Cust_Detail!R25*Rates!R41*INDEX(Rates!$F$26:$W$26,1,MATCH(Q$8,Rates!$F$7:$W$7,0))</f>
        <v>0</v>
      </c>
      <c r="R47" s="16">
        <f>Cust_Detail!S25*Rates!S41*INDEX(Rates!$F$26:$W$26,1,MATCH(R$8,Rates!$F$7:$W$7,0))</f>
        <v>0</v>
      </c>
      <c r="S47" s="16">
        <f>Cust_Detail!T25*Rates!T41*INDEX(Rates!$F$26:$W$26,1,MATCH(S$8,Rates!$F$7:$W$7,0))</f>
        <v>0</v>
      </c>
      <c r="T47" s="16">
        <f>Cust_Detail!U25*Rates!U41*INDEX(Rates!$F$26:$W$26,1,MATCH(T$8,Rates!$F$7:$W$7,0))</f>
        <v>0</v>
      </c>
      <c r="U47" s="16">
        <f>Cust_Detail!V25*Rates!V41*INDEX(Rates!$F$26:$W$26,1,MATCH(U$8,Rates!$F$7:$W$7,0))</f>
        <v>0</v>
      </c>
      <c r="V47" s="16">
        <f>Cust_Detail!W25*Rates!W41*INDEX(Rates!$F$26:$W$26,1,MATCH(V$8,Rates!$F$7:$W$7,0))</f>
        <v>0</v>
      </c>
      <c r="W47" s="16"/>
      <c r="X47" s="16">
        <f>SUMIF($E$8:$V$8,'COS_RR (top sheet)'!$I$6,$E47:$V47)</f>
        <v>0</v>
      </c>
      <c r="Y47"/>
      <c r="Z47" s="205"/>
    </row>
    <row r="48" spans="1:26" s="4" customFormat="1" ht="15.75" hidden="1" customHeight="1">
      <c r="A48" s="411"/>
      <c r="B48" s="84"/>
      <c r="C48" s="236">
        <f>+MAX(C$10:C47)+1</f>
        <v>34</v>
      </c>
      <c r="D48" s="763" t="s">
        <v>221</v>
      </c>
      <c r="E48" s="16">
        <f>Cust_Detail!F26*Rates!F42*INDEX(Rates!$F$26:$W$26,1,MATCH(E$8,Rates!$F$7:$W$7,0))</f>
        <v>35144.620448246205</v>
      </c>
      <c r="F48" s="16">
        <f>Cust_Detail!G26*Rates!G42*INDEX(Rates!$F$26:$W$26,1,MATCH(F$8,Rates!$F$7:$W$7,0))</f>
        <v>0</v>
      </c>
      <c r="G48" s="16">
        <f>Cust_Detail!H26*Rates!H42*INDEX(Rates!$F$26:$W$26,1,MATCH(G$8,Rates!$F$7:$W$7,0))</f>
        <v>0</v>
      </c>
      <c r="H48" s="16">
        <f>Cust_Detail!I26*Rates!I42*INDEX(Rates!$F$26:$W$26,1,MATCH(H$8,Rates!$F$7:$W$7,0))</f>
        <v>0</v>
      </c>
      <c r="I48" s="16">
        <f>Cust_Detail!J26*Rates!J42*INDEX(Rates!$F$26:$W$26,1,MATCH(I$8,Rates!$F$7:$W$7,0))</f>
        <v>0</v>
      </c>
      <c r="J48" s="16">
        <f>Cust_Detail!K26*Rates!K42*INDEX(Rates!$F$26:$W$26,1,MATCH(J$8,Rates!$F$7:$W$7,0))</f>
        <v>0</v>
      </c>
      <c r="K48" s="16">
        <f>Cust_Detail!L26*Rates!L42*INDEX(Rates!$F$26:$W$26,1,MATCH(K$8,Rates!$F$7:$W$7,0))</f>
        <v>0</v>
      </c>
      <c r="L48" s="16">
        <f>Cust_Detail!M26*Rates!M42*INDEX(Rates!$F$26:$W$26,1,MATCH(L$8,Rates!$F$7:$W$7,0))</f>
        <v>0</v>
      </c>
      <c r="M48" s="16">
        <f>Cust_Detail!N26*Rates!N42*INDEX(Rates!$F$26:$W$26,1,MATCH(M$8,Rates!$F$7:$W$7,0))</f>
        <v>0</v>
      </c>
      <c r="N48" s="16">
        <f>Cust_Detail!O26*Rates!O42*INDEX(Rates!$F$26:$W$26,1,MATCH(N$8,Rates!$F$7:$W$7,0))</f>
        <v>0</v>
      </c>
      <c r="O48" s="16">
        <f>Cust_Detail!P26*Rates!P42*INDEX(Rates!$F$26:$W$26,1,MATCH(O$8,Rates!$F$7:$W$7,0))</f>
        <v>0</v>
      </c>
      <c r="P48" s="16">
        <f>Cust_Detail!Q26*Rates!Q42*INDEX(Rates!$F$26:$W$26,1,MATCH(P$8,Rates!$F$7:$W$7,0))</f>
        <v>0</v>
      </c>
      <c r="Q48" s="16">
        <f>Cust_Detail!R26*Rates!R42*INDEX(Rates!$F$26:$W$26,1,MATCH(Q$8,Rates!$F$7:$W$7,0))</f>
        <v>0</v>
      </c>
      <c r="R48" s="16">
        <f>Cust_Detail!S26*Rates!S42*INDEX(Rates!$F$26:$W$26,1,MATCH(R$8,Rates!$F$7:$W$7,0))</f>
        <v>0</v>
      </c>
      <c r="S48" s="16">
        <f>Cust_Detail!T26*Rates!T42*INDEX(Rates!$F$26:$W$26,1,MATCH(S$8,Rates!$F$7:$W$7,0))</f>
        <v>0</v>
      </c>
      <c r="T48" s="16">
        <f>Cust_Detail!U26*Rates!U42*INDEX(Rates!$F$26:$W$26,1,MATCH(T$8,Rates!$F$7:$W$7,0))</f>
        <v>0</v>
      </c>
      <c r="U48" s="16">
        <f>Cust_Detail!V26*Rates!V42*INDEX(Rates!$F$26:$W$26,1,MATCH(U$8,Rates!$F$7:$W$7,0))</f>
        <v>0</v>
      </c>
      <c r="V48" s="16">
        <f>Cust_Detail!W26*Rates!W42*INDEX(Rates!$F$26:$W$26,1,MATCH(V$8,Rates!$F$7:$W$7,0))</f>
        <v>0</v>
      </c>
      <c r="W48" s="16"/>
      <c r="X48" s="16">
        <f>SUMIF($E$8:$V$8,'COS_RR (top sheet)'!$I$6,$E48:$V48)</f>
        <v>0</v>
      </c>
      <c r="Y48"/>
      <c r="Z48" s="205"/>
    </row>
    <row r="49" spans="1:26" s="4" customFormat="1" ht="15.75" customHeight="1">
      <c r="A49" s="411"/>
      <c r="B49" s="84"/>
      <c r="C49" s="236">
        <f>+MAX(C$10:C48)+1</f>
        <v>35</v>
      </c>
      <c r="D49" s="39" t="s">
        <v>723</v>
      </c>
      <c r="E49" s="16"/>
      <c r="F49" s="16"/>
      <c r="G49" s="16"/>
      <c r="H49" s="16"/>
      <c r="I49" s="16"/>
      <c r="J49" s="16"/>
      <c r="K49" s="16"/>
      <c r="L49" s="16"/>
      <c r="M49" s="16"/>
      <c r="N49" s="16"/>
      <c r="O49" s="16"/>
      <c r="P49" s="16"/>
      <c r="Q49" s="16"/>
      <c r="R49" s="16"/>
      <c r="S49" s="16"/>
      <c r="T49" s="16"/>
      <c r="U49" s="16"/>
      <c r="V49" s="16"/>
      <c r="W49" s="205"/>
      <c r="X49" s="16"/>
      <c r="Y49"/>
      <c r="Z49" s="205"/>
    </row>
    <row r="50" spans="1:26" s="4" customFormat="1" ht="15.75" customHeight="1">
      <c r="A50" s="411"/>
      <c r="B50" s="84"/>
      <c r="C50" s="236">
        <f>+MAX(C$10:C49)+1</f>
        <v>36</v>
      </c>
      <c r="D50" s="41" t="s">
        <v>242</v>
      </c>
      <c r="E50" s="16">
        <f>Cust_Detail!F27*Rates!F48</f>
        <v>32213.489000000001</v>
      </c>
      <c r="F50" s="16">
        <f>Cust_Detail!G27*Rates!G48</f>
        <v>16780.29927</v>
      </c>
      <c r="G50" s="16">
        <f>Cust_Detail!H27*Rates!H48</f>
        <v>18202.713070000002</v>
      </c>
      <c r="H50" s="16">
        <f>Cust_Detail!I27*Rates!I48</f>
        <v>63548.018800000005</v>
      </c>
      <c r="I50" s="16">
        <f>Cust_Detail!J27*Rates!J48</f>
        <v>69286.807700000005</v>
      </c>
      <c r="J50" s="16">
        <f>Cust_Detail!K27*Rates!K48</f>
        <v>70273.542333499383</v>
      </c>
      <c r="K50" s="16">
        <f>Cust_Detail!L27*Rates!L48</f>
        <v>80164.036991201021</v>
      </c>
      <c r="L50" s="16">
        <f>Cust_Detail!M27*Rates!M48</f>
        <v>85003.248512249862</v>
      </c>
      <c r="M50" s="16">
        <f>Cust_Detail!N27*Rates!N48</f>
        <v>81257.435224314482</v>
      </c>
      <c r="N50" s="16">
        <f>Cust_Detail!O27*Rates!O48</f>
        <v>82289.105593314613</v>
      </c>
      <c r="O50" s="16">
        <f>Cust_Detail!P27*Rates!P48</f>
        <v>83320.775962314743</v>
      </c>
      <c r="P50" s="16">
        <f>Cust_Detail!Q27*Rates!Q48</f>
        <v>84352.446331314874</v>
      </c>
      <c r="Q50" s="16">
        <f>Cust_Detail!R27*Rates!R48</f>
        <v>85384.116700315004</v>
      </c>
      <c r="R50" s="16">
        <f>Cust_Detail!S27*Rates!S48</f>
        <v>86415.787069315134</v>
      </c>
      <c r="S50" s="16">
        <f>Cust_Detail!T27*Rates!T48</f>
        <v>87447.457438315265</v>
      </c>
      <c r="T50" s="16">
        <f>Cust_Detail!U27*Rates!U48</f>
        <v>88479.127807315395</v>
      </c>
      <c r="U50" s="16">
        <f>Cust_Detail!V27*Rates!V48</f>
        <v>89510.798176315526</v>
      </c>
      <c r="V50" s="16">
        <f>Cust_Detail!W27*Rates!W48</f>
        <v>90542.468545315656</v>
      </c>
      <c r="W50" s="205"/>
      <c r="X50" s="16">
        <f>SUMIF($E$8:$V$8,'COS_RR (top sheet)'!$I$6,$E50:$V50)</f>
        <v>88479.127807315395</v>
      </c>
      <c r="Y50"/>
      <c r="Z50" s="205"/>
    </row>
    <row r="51" spans="1:26" s="4" customFormat="1" ht="15.75" customHeight="1">
      <c r="A51" s="411"/>
      <c r="B51" s="84"/>
      <c r="C51" s="236">
        <f>+MAX(C$10:C50)+1</f>
        <v>37</v>
      </c>
      <c r="D51" s="41" t="s">
        <v>243</v>
      </c>
      <c r="E51" s="16">
        <f>Cust_Detail!F28*Rates!F49</f>
        <v>17437.727999999999</v>
      </c>
      <c r="F51" s="16">
        <f>Cust_Detail!G28*Rates!G49</f>
        <v>17842.5324</v>
      </c>
      <c r="G51" s="16">
        <f>Cust_Detail!H28*Rates!H49</f>
        <v>19354.988399999998</v>
      </c>
      <c r="H51" s="16">
        <f>Cust_Detail!I28*Rates!I49</f>
        <v>0</v>
      </c>
      <c r="I51" s="16">
        <f>Cust_Detail!J28*Rates!J49</f>
        <v>0</v>
      </c>
      <c r="J51" s="16">
        <f>Cust_Detail!K28*Rates!K49</f>
        <v>0</v>
      </c>
      <c r="K51" s="16">
        <f>Cust_Detail!L28*Rates!L49</f>
        <v>0</v>
      </c>
      <c r="L51" s="16">
        <f>Cust_Detail!M28*Rates!M49</f>
        <v>0</v>
      </c>
      <c r="M51" s="16">
        <f>Cust_Detail!N28*Rates!N49</f>
        <v>0</v>
      </c>
      <c r="N51" s="16">
        <f>Cust_Detail!O28*Rates!O49</f>
        <v>0</v>
      </c>
      <c r="O51" s="16">
        <f>Cust_Detail!P28*Rates!P49</f>
        <v>0</v>
      </c>
      <c r="P51" s="16">
        <f>Cust_Detail!Q28*Rates!Q49</f>
        <v>0</v>
      </c>
      <c r="Q51" s="16">
        <f>Cust_Detail!R28*Rates!R49</f>
        <v>0</v>
      </c>
      <c r="R51" s="16">
        <f>Cust_Detail!S28*Rates!S49</f>
        <v>0</v>
      </c>
      <c r="S51" s="16">
        <f>Cust_Detail!T28*Rates!T49</f>
        <v>0</v>
      </c>
      <c r="T51" s="16">
        <f>Cust_Detail!U28*Rates!U49</f>
        <v>0</v>
      </c>
      <c r="U51" s="16">
        <f>Cust_Detail!V28*Rates!V49</f>
        <v>0</v>
      </c>
      <c r="V51" s="16">
        <f>Cust_Detail!W28*Rates!W49</f>
        <v>0</v>
      </c>
      <c r="W51" s="205"/>
      <c r="X51" s="16">
        <f>SUMIF($E$8:$V$8,'COS_RR (top sheet)'!$I$6,$E51:$V51)</f>
        <v>0</v>
      </c>
      <c r="Y51"/>
      <c r="Z51" s="205"/>
    </row>
    <row r="52" spans="1:26" s="4" customFormat="1" ht="15.75" customHeight="1">
      <c r="A52" s="411"/>
      <c r="B52" s="84"/>
      <c r="C52" s="236">
        <f>+MAX(C$10:C51)+1</f>
        <v>38</v>
      </c>
      <c r="D52" s="41" t="s">
        <v>909</v>
      </c>
      <c r="E52" s="277">
        <f>Cust_Detail!F29*Rates!F50</f>
        <v>38766.044000000002</v>
      </c>
      <c r="F52" s="277">
        <f>Cust_Detail!G29*Rates!G50</f>
        <v>46554.0726</v>
      </c>
      <c r="G52" s="277">
        <f>Cust_Detail!H29*Rates!H50</f>
        <v>50500.316599999998</v>
      </c>
      <c r="H52" s="277">
        <f>Cust_Detail!I29*Rates!I50</f>
        <v>0</v>
      </c>
      <c r="I52" s="277">
        <f>Cust_Detail!J29*Rates!J50</f>
        <v>0</v>
      </c>
      <c r="J52" s="277">
        <f>Cust_Detail!K29*Rates!K50</f>
        <v>0</v>
      </c>
      <c r="K52" s="277">
        <f>Cust_Detail!L29*Rates!L50</f>
        <v>0</v>
      </c>
      <c r="L52" s="277">
        <f>Cust_Detail!M29*Rates!M50</f>
        <v>0</v>
      </c>
      <c r="M52" s="277">
        <f>Cust_Detail!N29*Rates!N50</f>
        <v>0</v>
      </c>
      <c r="N52" s="277">
        <f>Cust_Detail!O29*Rates!O50</f>
        <v>0</v>
      </c>
      <c r="O52" s="277">
        <f>Cust_Detail!P29*Rates!P50</f>
        <v>0</v>
      </c>
      <c r="P52" s="277">
        <f>Cust_Detail!Q29*Rates!Q50</f>
        <v>0</v>
      </c>
      <c r="Q52" s="277">
        <f>Cust_Detail!R29*Rates!R50</f>
        <v>0</v>
      </c>
      <c r="R52" s="277">
        <f>Cust_Detail!S29*Rates!S50</f>
        <v>0</v>
      </c>
      <c r="S52" s="277">
        <f>Cust_Detail!T29*Rates!T50</f>
        <v>0</v>
      </c>
      <c r="T52" s="277">
        <f>Cust_Detail!U29*Rates!U50</f>
        <v>0</v>
      </c>
      <c r="U52" s="277">
        <f>Cust_Detail!V29*Rates!V50</f>
        <v>0</v>
      </c>
      <c r="V52" s="277">
        <f>Cust_Detail!W29*Rates!W50</f>
        <v>0</v>
      </c>
      <c r="W52" s="205"/>
      <c r="X52" s="277">
        <f>SUMIF($E$8:$V$8,'COS_RR (top sheet)'!$I$6,$E52:$V52)</f>
        <v>0</v>
      </c>
      <c r="Y52"/>
      <c r="Z52" s="205"/>
    </row>
    <row r="53" spans="1:26" s="40" customFormat="1" ht="15.75" customHeight="1">
      <c r="A53" s="411"/>
      <c r="B53" s="91"/>
      <c r="C53" s="236">
        <f>+MAX(C$10:C52)+1</f>
        <v>39</v>
      </c>
      <c r="D53" s="251" t="str">
        <f>"TOTAL "&amp;D38</f>
        <v>TOTAL 1 PH</v>
      </c>
      <c r="E53" s="256">
        <f>SUM(E40:E52)</f>
        <v>181141.36074075315</v>
      </c>
      <c r="F53" s="256">
        <f t="shared" ref="F53:V53" si="7">SUM(F40:F52)</f>
        <v>150865.95448384882</v>
      </c>
      <c r="G53" s="256">
        <f t="shared" si="7"/>
        <v>157745.46807</v>
      </c>
      <c r="H53" s="256">
        <f t="shared" si="7"/>
        <v>107360.7028</v>
      </c>
      <c r="I53" s="256">
        <f t="shared" si="7"/>
        <v>119905.92170000001</v>
      </c>
      <c r="J53" s="256">
        <f t="shared" si="7"/>
        <v>120099.00519999905</v>
      </c>
      <c r="K53" s="256">
        <f t="shared" si="7"/>
        <v>114611.68665804257</v>
      </c>
      <c r="L53" s="256">
        <f t="shared" si="7"/>
        <v>128435.4896449502</v>
      </c>
      <c r="M53" s="256">
        <f t="shared" si="7"/>
        <v>125029.12179440854</v>
      </c>
      <c r="N53" s="256">
        <f t="shared" si="7"/>
        <v>126224.03376159362</v>
      </c>
      <c r="O53" s="256">
        <f t="shared" si="7"/>
        <v>127418.94572877866</v>
      </c>
      <c r="P53" s="256">
        <f t="shared" si="7"/>
        <v>128613.85769596376</v>
      </c>
      <c r="Q53" s="256">
        <f t="shared" si="7"/>
        <v>129808.76966314881</v>
      </c>
      <c r="R53" s="256">
        <f t="shared" si="7"/>
        <v>131010.77909112455</v>
      </c>
      <c r="S53" s="256">
        <f t="shared" si="7"/>
        <v>132205.69105830963</v>
      </c>
      <c r="T53" s="256">
        <f t="shared" si="7"/>
        <v>133407.70048628535</v>
      </c>
      <c r="U53" s="256">
        <f t="shared" si="7"/>
        <v>134602.61245347036</v>
      </c>
      <c r="V53" s="256">
        <f t="shared" si="7"/>
        <v>135804.6218814461</v>
      </c>
      <c r="W53" s="263"/>
      <c r="X53" s="256">
        <f>SUMIF($E$8:$V$8,'COS_RR (top sheet)'!$I$6,$E53:$V53)</f>
        <v>133407.70048628535</v>
      </c>
      <c r="Y53"/>
      <c r="Z53" s="263"/>
    </row>
    <row r="54" spans="1:26" s="40" customFormat="1" ht="15.75" customHeight="1">
      <c r="A54" s="411"/>
      <c r="B54" s="91"/>
      <c r="C54" s="236">
        <f>+MAX(C$10:C53)+1</f>
        <v>40</v>
      </c>
      <c r="D54" s="39" t="s">
        <v>2723</v>
      </c>
      <c r="E54" s="279">
        <f>E53*'City Taxes'!E9</f>
        <v>18.662430756198393</v>
      </c>
      <c r="F54" s="279">
        <f>F53*'City Taxes'!F9</f>
        <v>15.543249854748224</v>
      </c>
      <c r="G54" s="279">
        <f>G53*'City Taxes'!G9</f>
        <v>16.252024733179329</v>
      </c>
      <c r="H54" s="279">
        <f>H53*'City Taxes'!H9</f>
        <v>11.06103914505387</v>
      </c>
      <c r="I54" s="279">
        <f>I53*'City Taxes'!I9</f>
        <v>12.353534012516397</v>
      </c>
      <c r="J54" s="279">
        <f>J53*'City Taxes'!J9</f>
        <v>12.37342680472112</v>
      </c>
      <c r="K54" s="279">
        <f>K53*'City Taxes'!K9</f>
        <v>11.808085449728047</v>
      </c>
      <c r="L54" s="279">
        <f>L53*'City Taxes'!L9</f>
        <v>14.063873861979943</v>
      </c>
      <c r="M54" s="279">
        <f>M53*'City Taxes'!M9</f>
        <v>13.690871602947364</v>
      </c>
      <c r="N54" s="279">
        <f>N53*'City Taxes'!N9</f>
        <v>13.82171621006583</v>
      </c>
      <c r="O54" s="279">
        <f>O53*'City Taxes'!O9</f>
        <v>13.952560817184292</v>
      </c>
      <c r="P54" s="279">
        <f>P53*'City Taxes'!P9</f>
        <v>14.083405424302759</v>
      </c>
      <c r="Q54" s="279">
        <f>Q53*'City Taxes'!Q9</f>
        <v>14.214250031421221</v>
      </c>
      <c r="R54" s="279">
        <f>R53*'City Taxes'!R9</f>
        <v>14.34587182087127</v>
      </c>
      <c r="S54" s="279">
        <f>S53*'City Taxes'!S9</f>
        <v>14.476716427989736</v>
      </c>
      <c r="T54" s="279">
        <f>T53*'City Taxes'!T9</f>
        <v>14.608338217439782</v>
      </c>
      <c r="U54" s="279">
        <f>U53*'City Taxes'!U9</f>
        <v>14.73918282455824</v>
      </c>
      <c r="V54" s="279">
        <f>V53*'City Taxes'!V9</f>
        <v>14.870804614008289</v>
      </c>
      <c r="W54" s="263"/>
      <c r="X54" s="279">
        <f>SUMIF($E$8:$V$8,'COS_RR (top sheet)'!$I$6,$E54:$V54)</f>
        <v>14.608338217439782</v>
      </c>
      <c r="Y54"/>
      <c r="Z54" s="263"/>
    </row>
    <row r="55" spans="1:26" s="4" customFormat="1" ht="15.75" customHeight="1">
      <c r="A55" s="411"/>
      <c r="B55" s="84"/>
      <c r="C55" s="236">
        <f>+MAX(C$10:C54)+1</f>
        <v>41</v>
      </c>
      <c r="D55" s="251" t="str">
        <f>"TOTAL "&amp;D38</f>
        <v>TOTAL 1 PH</v>
      </c>
      <c r="E55" s="256">
        <f>SUM(E53:E54)</f>
        <v>181160.02317150935</v>
      </c>
      <c r="F55" s="256">
        <f t="shared" ref="F55:V55" si="8">SUM(F53:F54)</f>
        <v>150881.49773370358</v>
      </c>
      <c r="G55" s="256">
        <f t="shared" si="8"/>
        <v>157761.72009473317</v>
      </c>
      <c r="H55" s="256">
        <f t="shared" si="8"/>
        <v>107371.76383914506</v>
      </c>
      <c r="I55" s="256">
        <f t="shared" si="8"/>
        <v>119918.27523401253</v>
      </c>
      <c r="J55" s="256">
        <f t="shared" si="8"/>
        <v>120111.37862680378</v>
      </c>
      <c r="K55" s="256">
        <f t="shared" si="8"/>
        <v>114623.49474349229</v>
      </c>
      <c r="L55" s="256">
        <f t="shared" si="8"/>
        <v>128449.55351881217</v>
      </c>
      <c r="M55" s="256">
        <f t="shared" si="8"/>
        <v>125042.81266601148</v>
      </c>
      <c r="N55" s="256">
        <f t="shared" si="8"/>
        <v>126237.85547780368</v>
      </c>
      <c r="O55" s="256">
        <f t="shared" si="8"/>
        <v>127432.89828959585</v>
      </c>
      <c r="P55" s="256">
        <f t="shared" si="8"/>
        <v>128627.94110138806</v>
      </c>
      <c r="Q55" s="256">
        <f t="shared" si="8"/>
        <v>129822.98391318023</v>
      </c>
      <c r="R55" s="256">
        <f t="shared" si="8"/>
        <v>131025.12496294543</v>
      </c>
      <c r="S55" s="256">
        <f t="shared" si="8"/>
        <v>132220.16777473761</v>
      </c>
      <c r="T55" s="256">
        <f t="shared" si="8"/>
        <v>133422.30882450278</v>
      </c>
      <c r="U55" s="256">
        <f t="shared" si="8"/>
        <v>134617.35163629492</v>
      </c>
      <c r="V55" s="256">
        <f t="shared" si="8"/>
        <v>135819.49268606011</v>
      </c>
      <c r="W55" s="205"/>
      <c r="X55" s="256">
        <f>SUMIF($E$8:$V$8,'COS_RR (top sheet)'!$I$6,$E55:$V55)</f>
        <v>133422.30882450278</v>
      </c>
      <c r="Y55"/>
      <c r="Z55" s="205"/>
    </row>
    <row r="56" spans="1:26" s="4" customFormat="1" ht="15.75" customHeight="1">
      <c r="A56" s="411"/>
      <c r="B56" s="84"/>
      <c r="C56" s="236">
        <f>+MAX(C$10:C55)+1</f>
        <v>42</v>
      </c>
      <c r="D56" s="15"/>
      <c r="E56" s="16"/>
      <c r="F56" s="16"/>
      <c r="G56" s="16"/>
      <c r="H56" s="16"/>
      <c r="I56" s="16"/>
      <c r="J56" s="16"/>
      <c r="K56" s="16"/>
      <c r="L56" s="16"/>
      <c r="M56" s="16"/>
      <c r="N56" s="16"/>
      <c r="O56" s="16"/>
      <c r="P56" s="16"/>
      <c r="Q56" s="16"/>
      <c r="R56" s="16"/>
      <c r="S56" s="16"/>
      <c r="T56" s="16"/>
      <c r="U56" s="16"/>
      <c r="V56" s="16"/>
      <c r="W56" s="205"/>
      <c r="X56" s="16"/>
      <c r="Y56"/>
      <c r="Z56" s="205"/>
    </row>
    <row r="57" spans="1:26" s="4" customFormat="1" ht="15.75" customHeight="1">
      <c r="A57" s="411"/>
      <c r="B57" s="84"/>
      <c r="C57" s="236">
        <f>+MAX(C$10:C56)+1</f>
        <v>43</v>
      </c>
      <c r="D57" s="246" t="s">
        <v>246</v>
      </c>
      <c r="E57" s="16"/>
      <c r="F57" s="16"/>
      <c r="G57" s="16"/>
      <c r="H57" s="16"/>
      <c r="I57" s="16"/>
      <c r="J57" s="16"/>
      <c r="K57" s="16"/>
      <c r="L57" s="16"/>
      <c r="M57" s="16"/>
      <c r="N57" s="16"/>
      <c r="O57" s="16"/>
      <c r="P57" s="16"/>
      <c r="Q57" s="16"/>
      <c r="R57" s="16"/>
      <c r="S57" s="16"/>
      <c r="T57" s="16"/>
      <c r="U57" s="16"/>
      <c r="V57" s="16"/>
      <c r="W57" s="205"/>
      <c r="X57" s="16"/>
      <c r="Y57"/>
      <c r="Z57" s="205"/>
    </row>
    <row r="58" spans="1:26" s="4" customFormat="1" ht="15.75" customHeight="1">
      <c r="A58" s="411"/>
      <c r="B58" s="84"/>
      <c r="C58" s="236">
        <f>+MAX(C$10:C57)+1</f>
        <v>44</v>
      </c>
      <c r="D58" s="15" t="s">
        <v>848</v>
      </c>
      <c r="E58" s="16"/>
      <c r="F58" s="16"/>
      <c r="G58" s="16"/>
      <c r="H58" s="16"/>
      <c r="I58" s="16"/>
      <c r="J58" s="16"/>
      <c r="K58" s="16"/>
      <c r="L58" s="16"/>
      <c r="M58" s="16"/>
      <c r="N58" s="16"/>
      <c r="O58" s="16"/>
      <c r="P58" s="16"/>
      <c r="Q58" s="16"/>
      <c r="R58" s="16"/>
      <c r="S58" s="16"/>
      <c r="T58" s="16"/>
      <c r="U58" s="16"/>
      <c r="V58" s="16"/>
      <c r="W58" s="205"/>
      <c r="X58" s="16"/>
      <c r="Y58"/>
      <c r="Z58" s="205"/>
    </row>
    <row r="59" spans="1:26" s="4" customFormat="1" ht="15.75" customHeight="1">
      <c r="A59" s="411"/>
      <c r="B59" s="84"/>
      <c r="C59" s="236">
        <f>+MAX(C$10:C58)+1</f>
        <v>45</v>
      </c>
      <c r="D59" s="39" t="s">
        <v>251</v>
      </c>
      <c r="E59" s="279">
        <f>Cust_Detail!F33*Rates!F56*INDEX(Rates!$F$26:$W$26,1,MATCH(E$8,Rates!$F$7:$W$7,0))</f>
        <v>0</v>
      </c>
      <c r="F59" s="279">
        <f>Cust_Detail!G33*Rates!G56*INDEX(Rates!$F$26:$W$26,1,MATCH(F$8,Rates!$F$7:$W$7,0))</f>
        <v>939540</v>
      </c>
      <c r="G59" s="279">
        <f>Cust_Detail!H33*Rates!H56*INDEX(Rates!$F$26:$W$26,1,MATCH(G$8,Rates!$F$7:$W$7,0))</f>
        <v>939540</v>
      </c>
      <c r="H59" s="279">
        <f>Cust_Detail!I33*Rates!I56*INDEX(Rates!$F$26:$W$26,1,MATCH(H$8,Rates!$F$7:$W$7,0))</f>
        <v>970380</v>
      </c>
      <c r="I59" s="279">
        <f>Cust_Detail!J33*Rates!J56*INDEX(Rates!$F$26:$W$26,1,MATCH(I$8,Rates!$F$7:$W$7,0))</f>
        <v>1050375.6000000001</v>
      </c>
      <c r="J59" s="279">
        <f>Cust_Detail!K33*Rates!K56*INDEX(Rates!$F$26:$W$26,1,MATCH(J$8,Rates!$F$7:$W$7,0))</f>
        <v>1079590.68</v>
      </c>
      <c r="K59" s="279">
        <f>Cust_Detail!L33*Rates!L56*INDEX(Rates!$F$26:$W$26,1,MATCH(K$8,Rates!$F$7:$W$7,0))</f>
        <v>1098944</v>
      </c>
      <c r="L59" s="279">
        <f>Cust_Detail!M33*Rates!M56*INDEX(Rates!$F$26:$W$26,1,MATCH(L$8,Rates!$F$7:$W$7,0))</f>
        <v>1170825.1100000001</v>
      </c>
      <c r="M59" s="279">
        <f>Cust_Detail!N33*Rates!N56*INDEX(Rates!$F$26:$W$26,1,MATCH(M$8,Rates!$F$7:$W$7,0))</f>
        <v>1176309.6800000002</v>
      </c>
      <c r="N59" s="279">
        <f>Cust_Detail!O33*Rates!O56*INDEX(Rates!$F$26:$W$26,1,MATCH(N$8,Rates!$F$7:$W$7,0))</f>
        <v>1182316.5900000001</v>
      </c>
      <c r="O59" s="279">
        <f>Cust_Detail!P33*Rates!P56*INDEX(Rates!$F$26:$W$26,1,MATCH(O$8,Rates!$F$7:$W$7,0))</f>
        <v>1188323.5</v>
      </c>
      <c r="P59" s="279">
        <f>Cust_Detail!Q33*Rates!Q56*INDEX(Rates!$F$26:$W$26,1,MATCH(P$8,Rates!$F$7:$W$7,0))</f>
        <v>1194330.4100000001</v>
      </c>
      <c r="Q59" s="279">
        <f>Cust_Detail!R33*Rates!R56*INDEX(Rates!$F$26:$W$26,1,MATCH(Q$8,Rates!$F$7:$W$7,0))</f>
        <v>1200337.32</v>
      </c>
      <c r="R59" s="279">
        <f>Cust_Detail!S33*Rates!S56*INDEX(Rates!$F$26:$W$26,1,MATCH(R$8,Rates!$F$7:$W$7,0))</f>
        <v>1206605.4000000001</v>
      </c>
      <c r="S59" s="279">
        <f>Cust_Detail!T33*Rates!T56*INDEX(Rates!$F$26:$W$26,1,MATCH(S$8,Rates!$F$7:$W$7,0))</f>
        <v>1212612.31</v>
      </c>
      <c r="T59" s="279">
        <f>Cust_Detail!U33*Rates!U56*INDEX(Rates!$F$26:$W$26,1,MATCH(T$8,Rates!$F$7:$W$7,0))</f>
        <v>1218880.3900000001</v>
      </c>
      <c r="U59" s="279">
        <f>Cust_Detail!V33*Rates!V56*INDEX(Rates!$F$26:$W$26,1,MATCH(U$8,Rates!$F$7:$W$7,0))</f>
        <v>1224887.3000000003</v>
      </c>
      <c r="V59" s="279">
        <f>Cust_Detail!W33*Rates!W56*INDEX(Rates!$F$26:$W$26,1,MATCH(V$8,Rates!$F$7:$W$7,0))</f>
        <v>1231155.3799999999</v>
      </c>
      <c r="W59" s="205"/>
      <c r="X59" s="279">
        <f>SUMIF($E$8:$V$8,'COS_RR (top sheet)'!$I$6,$E59:$V59)</f>
        <v>1218880.3900000001</v>
      </c>
      <c r="Y59"/>
      <c r="Z59" s="205"/>
    </row>
    <row r="60" spans="1:26" s="4" customFormat="1" ht="15.75" customHeight="1">
      <c r="A60" s="411"/>
      <c r="B60" s="84"/>
      <c r="C60" s="236">
        <f>+MAX(C$10:C59)+1</f>
        <v>46</v>
      </c>
      <c r="D60" s="39" t="s">
        <v>254</v>
      </c>
      <c r="E60" s="16"/>
      <c r="F60" s="16"/>
      <c r="G60" s="16"/>
      <c r="H60" s="16"/>
      <c r="I60" s="16"/>
      <c r="J60" s="16"/>
      <c r="K60" s="16"/>
      <c r="L60" s="16"/>
      <c r="M60" s="16"/>
      <c r="N60" s="16"/>
      <c r="O60" s="16"/>
      <c r="P60" s="16"/>
      <c r="Q60" s="16"/>
      <c r="R60" s="16"/>
      <c r="S60" s="16"/>
      <c r="T60" s="16"/>
      <c r="U60" s="16"/>
      <c r="V60" s="16"/>
      <c r="W60" s="16" t="e">
        <f>SUMPRODUCT(Rates!X59:X61,Rates!X62:X64)*INDEX(Rates!$F$26:$W$26,1,MATCH(W$8,Rates!$F$7:$W$7,0))*Cust_Detail!X36*#REF!</f>
        <v>#N/A</v>
      </c>
      <c r="X60" s="16">
        <f>SUMIF($E$8:$V$8,'COS_RR (top sheet)'!$I$6,$E60:$V60)</f>
        <v>0</v>
      </c>
      <c r="Y60"/>
      <c r="Z60" s="205"/>
    </row>
    <row r="61" spans="1:26" s="4" customFormat="1" ht="15.75" customHeight="1">
      <c r="A61" s="411"/>
      <c r="B61" s="84"/>
      <c r="C61" s="236">
        <f>+MAX(C$10:C60)+1</f>
        <v>47</v>
      </c>
      <c r="D61" s="763" t="s">
        <v>216</v>
      </c>
      <c r="E61" s="16">
        <f>Cust_Detail!F34*Rates!F59*INDEX(Rates!$F$26:$W$26,1,MATCH(E$8,Rates!$F$7:$W$7,0))</f>
        <v>3331138.5972000184</v>
      </c>
      <c r="F61" s="16">
        <f>Cust_Detail!G34*Rates!G59*INDEX(Rates!$F$26:$W$26,1,MATCH(F$8,Rates!$F$7:$W$7,0))</f>
        <v>3227052.4188000183</v>
      </c>
      <c r="G61" s="16">
        <f>Cust_Detail!H34*Rates!H59*INDEX(Rates!$F$26:$W$26,1,MATCH(G$8,Rates!$F$7:$W$7,0))</f>
        <v>3227051.5200000005</v>
      </c>
      <c r="H61" s="16">
        <f>Cust_Detail!I34*Rates!I59*INDEX(Rates!$F$26:$W$26,1,MATCH(H$8,Rates!$F$7:$W$7,0))</f>
        <v>3366764.6728000091</v>
      </c>
      <c r="I61" s="16">
        <f>Cust_Detail!J34*Rates!J59*INDEX(Rates!$F$26:$W$26,1,MATCH(I$8,Rates!$F$7:$W$7,0))</f>
        <v>3661976.9802000234</v>
      </c>
      <c r="J61" s="16">
        <f>Cust_Detail!K34*Rates!K59*INDEX(Rates!$F$26:$W$26,1,MATCH(J$8,Rates!$F$7:$W$7,0))</f>
        <v>3671223.8329305006</v>
      </c>
      <c r="K61" s="16">
        <f>Cust_Detail!L34*Rates!L59*INDEX(Rates!$F$26:$W$26,1,MATCH(K$8,Rates!$F$7:$W$7,0))</f>
        <v>3630416.2345489496</v>
      </c>
      <c r="L61" s="16">
        <f>Cust_Detail!M34*Rates!M59*INDEX(Rates!$F$26:$W$26,1,MATCH(L$8,Rates!$F$7:$W$7,0))</f>
        <v>3754431.7803216008</v>
      </c>
      <c r="M61" s="16">
        <f>Cust_Detail!N34*Rates!N59*INDEX(Rates!$F$26:$W$26,1,MATCH(M$8,Rates!$F$7:$W$7,0))</f>
        <v>3772609.0468636509</v>
      </c>
      <c r="N61" s="16">
        <f>Cust_Detail!O34*Rates!O59*INDEX(Rates!$F$26:$W$26,1,MATCH(N$8,Rates!$F$7:$W$7,0))</f>
        <v>3791612.5527939755</v>
      </c>
      <c r="O61" s="16">
        <f>Cust_Detail!P34*Rates!P59*INDEX(Rates!$F$26:$W$26,1,MATCH(O$8,Rates!$F$7:$W$7,0))</f>
        <v>3810616.0587243005</v>
      </c>
      <c r="P61" s="16">
        <f>Cust_Detail!Q34*Rates!Q59*INDEX(Rates!$F$26:$W$26,1,MATCH(P$8,Rates!$F$7:$W$7,0))</f>
        <v>3829619.564654626</v>
      </c>
      <c r="Q61" s="16">
        <f>Cust_Detail!R34*Rates!R59*INDEX(Rates!$F$26:$W$26,1,MATCH(Q$8,Rates!$F$7:$W$7,0))</f>
        <v>3848623.070584951</v>
      </c>
      <c r="R61" s="16">
        <f>Cust_Detail!S34*Rates!S59*INDEX(Rates!$F$26:$W$26,1,MATCH(R$8,Rates!$F$7:$W$7,0))</f>
        <v>3868452.8159035509</v>
      </c>
      <c r="S61" s="16">
        <f>Cust_Detail!T34*Rates!T59*INDEX(Rates!$F$26:$W$26,1,MATCH(S$8,Rates!$F$7:$W$7,0))</f>
        <v>3887456.321833876</v>
      </c>
      <c r="T61" s="16">
        <f>Cust_Detail!U34*Rates!U59*INDEX(Rates!$F$26:$W$26,1,MATCH(T$8,Rates!$F$7:$W$7,0))</f>
        <v>3907286.0671524755</v>
      </c>
      <c r="U61" s="16">
        <f>Cust_Detail!V34*Rates!V59*INDEX(Rates!$F$26:$W$26,1,MATCH(U$8,Rates!$F$7:$W$7,0))</f>
        <v>3926289.573082801</v>
      </c>
      <c r="V61" s="16">
        <f>Cust_Detail!W34*Rates!W59*INDEX(Rates!$F$26:$W$26,1,MATCH(V$8,Rates!$F$7:$W$7,0))</f>
        <v>3946119.3184014</v>
      </c>
      <c r="W61" s="16"/>
      <c r="X61" s="279">
        <f>SUMIF($E$8:$V$8,'COS_RR (top sheet)'!$I$6,$E61:$V61)</f>
        <v>3907286.0671524755</v>
      </c>
      <c r="Y61"/>
      <c r="Z61" s="205"/>
    </row>
    <row r="62" spans="1:26" s="4" customFormat="1" ht="15.75" customHeight="1">
      <c r="A62" s="411"/>
      <c r="B62" s="84"/>
      <c r="C62" s="236">
        <f>+MAX(C$10:C61)+1</f>
        <v>48</v>
      </c>
      <c r="D62" s="763" t="s">
        <v>217</v>
      </c>
      <c r="E62" s="16">
        <f>Cust_Detail!F35*Rates!F60*INDEX(Rates!$F$26:$W$26,1,MATCH(E$8,Rates!$F$7:$W$7,0))</f>
        <v>482805.04530000029</v>
      </c>
      <c r="F62" s="16">
        <f>Cust_Detail!G35*Rates!G60*INDEX(Rates!$F$26:$W$26,1,MATCH(F$8,Rates!$F$7:$W$7,0))</f>
        <v>403815.1313000003</v>
      </c>
      <c r="G62" s="16">
        <f>Cust_Detail!H35*Rates!H60*INDEX(Rates!$F$26:$W$26,1,MATCH(G$8,Rates!$F$7:$W$7,0))</f>
        <v>403816.56</v>
      </c>
      <c r="H62" s="16">
        <f>Cust_Detail!I35*Rates!I60*INDEX(Rates!$F$26:$W$26,1,MATCH(H$8,Rates!$F$7:$W$7,0))</f>
        <v>2040381.5613000004</v>
      </c>
      <c r="I62" s="16">
        <f>Cust_Detail!J35*Rates!J60*INDEX(Rates!$F$26:$W$26,1,MATCH(I$8,Rates!$F$7:$W$7,0))</f>
        <v>2425743.014000006</v>
      </c>
      <c r="J62" s="16">
        <f>Cust_Detail!K35*Rates!K60*INDEX(Rates!$F$26:$W$26,1,MATCH(J$8,Rates!$F$7:$W$7,0))</f>
        <v>4171259.2775030029</v>
      </c>
      <c r="K62" s="16">
        <f>Cust_Detail!L35*Rates!L60*INDEX(Rates!$F$26:$W$26,1,MATCH(K$8,Rates!$F$7:$W$7,0))</f>
        <v>1130081.5991524581</v>
      </c>
      <c r="L62" s="16">
        <f>Cust_Detail!M35*Rates!M60*INDEX(Rates!$F$26:$W$26,1,MATCH(L$8,Rates!$F$7:$W$7,0))</f>
        <v>2668239.7150857789</v>
      </c>
      <c r="M62" s="16">
        <f>Cust_Detail!N35*Rates!N60*INDEX(Rates!$F$26:$W$26,1,MATCH(M$8,Rates!$F$7:$W$7,0))</f>
        <v>2681213.0005851784</v>
      </c>
      <c r="N62" s="16">
        <f>Cust_Detail!O35*Rates!O60*INDEX(Rates!$F$26:$W$26,1,MATCH(N$8,Rates!$F$7:$W$7,0))</f>
        <v>2694694.5726936478</v>
      </c>
      <c r="O62" s="16">
        <f>Cust_Detail!P35*Rates!P60*INDEX(Rates!$F$26:$W$26,1,MATCH(O$8,Rates!$F$7:$W$7,0))</f>
        <v>2708176.1448021089</v>
      </c>
      <c r="P62" s="16">
        <f>Cust_Detail!Q35*Rates!Q60*INDEX(Rates!$F$26:$W$26,1,MATCH(P$8,Rates!$F$7:$W$7,0))</f>
        <v>2721657.7169105783</v>
      </c>
      <c r="Q62" s="16">
        <f>Cust_Detail!R35*Rates!R60*INDEX(Rates!$F$26:$W$26,1,MATCH(Q$8,Rates!$F$7:$W$7,0))</f>
        <v>2735139.2890190426</v>
      </c>
      <c r="R62" s="16">
        <f>Cust_Detail!S35*Rates!S60*INDEX(Rates!$F$26:$W$26,1,MATCH(R$8,Rates!$F$7:$W$7,0))</f>
        <v>2749207.0164365782</v>
      </c>
      <c r="S62" s="16">
        <f>Cust_Detail!T35*Rates!T60*INDEX(Rates!$F$26:$W$26,1,MATCH(S$8,Rates!$F$7:$W$7,0))</f>
        <v>2762688.5885450472</v>
      </c>
      <c r="T62" s="16">
        <f>Cust_Detail!U35*Rates!U60*INDEX(Rates!$F$26:$W$26,1,MATCH(T$8,Rates!$F$7:$W$7,0))</f>
        <v>2776756.3159625796</v>
      </c>
      <c r="U62" s="16">
        <f>Cust_Detail!V35*Rates!V60*INDEX(Rates!$F$26:$W$26,1,MATCH(U$8,Rates!$F$7:$W$7,0))</f>
        <v>2790237.8880710378</v>
      </c>
      <c r="V62" s="16">
        <f>Cust_Detail!W35*Rates!W60*INDEX(Rates!$F$26:$W$26,1,MATCH(V$8,Rates!$F$7:$W$7,0))</f>
        <v>2804305.6154885725</v>
      </c>
      <c r="W62" s="16"/>
      <c r="X62" s="279">
        <f>SUMIF($E$8:$V$8,'COS_RR (top sheet)'!$I$6,$E62:$V62)</f>
        <v>2776756.3159625796</v>
      </c>
      <c r="Y62"/>
      <c r="Z62" s="205"/>
    </row>
    <row r="63" spans="1:26" s="4" customFormat="1" ht="15.75" customHeight="1">
      <c r="A63" s="411"/>
      <c r="B63" s="84"/>
      <c r="C63" s="236">
        <f>+MAX(C$10:C62)+1</f>
        <v>49</v>
      </c>
      <c r="D63" s="763" t="s">
        <v>221</v>
      </c>
      <c r="E63" s="16">
        <f>Cust_Detail!F36*Rates!F61*INDEX(Rates!$F$26:$W$26,1,MATCH(E$8,Rates!$F$7:$W$7,0))</f>
        <v>1467719.1900000023</v>
      </c>
      <c r="F63" s="16">
        <f>Cust_Detail!G36*Rates!G61*INDEX(Rates!$F$26:$W$26,1,MATCH(F$8,Rates!$F$7:$W$7,0))</f>
        <v>1433519.1150000026</v>
      </c>
      <c r="G63" s="16">
        <f>Cust_Detail!H36*Rates!H61*INDEX(Rates!$F$26:$W$26,1,MATCH(G$8,Rates!$F$7:$W$7,0))</f>
        <v>1433524.61</v>
      </c>
      <c r="H63" s="16">
        <f>Cust_Detail!I36*Rates!I61*INDEX(Rates!$F$26:$W$26,1,MATCH(H$8,Rates!$F$7:$W$7,0))</f>
        <v>0</v>
      </c>
      <c r="I63" s="16">
        <f>Cust_Detail!J36*Rates!J61*INDEX(Rates!$F$26:$W$26,1,MATCH(I$8,Rates!$F$7:$W$7,0))</f>
        <v>0</v>
      </c>
      <c r="J63" s="16">
        <f>Cust_Detail!K36*Rates!K61*INDEX(Rates!$F$26:$W$26,1,MATCH(J$8,Rates!$F$7:$W$7,0))</f>
        <v>0</v>
      </c>
      <c r="K63" s="16">
        <f>Cust_Detail!L36*Rates!L61*INDEX(Rates!$F$26:$W$26,1,MATCH(K$8,Rates!$F$7:$W$7,0))</f>
        <v>0</v>
      </c>
      <c r="L63" s="16">
        <f>Cust_Detail!M36*Rates!M61*INDEX(Rates!$F$26:$W$26,1,MATCH(L$8,Rates!$F$7:$W$7,0))</f>
        <v>0</v>
      </c>
      <c r="M63" s="16">
        <f>Cust_Detail!N36*Rates!N61*INDEX(Rates!$F$26:$W$26,1,MATCH(M$8,Rates!$F$7:$W$7,0))</f>
        <v>0</v>
      </c>
      <c r="N63" s="16">
        <f>Cust_Detail!O36*Rates!O61*INDEX(Rates!$F$26:$W$26,1,MATCH(N$8,Rates!$F$7:$W$7,0))</f>
        <v>0</v>
      </c>
      <c r="O63" s="16">
        <f>Cust_Detail!P36*Rates!P61*INDEX(Rates!$F$26:$W$26,1,MATCH(O$8,Rates!$F$7:$W$7,0))</f>
        <v>0</v>
      </c>
      <c r="P63" s="16">
        <f>Cust_Detail!Q36*Rates!Q61*INDEX(Rates!$F$26:$W$26,1,MATCH(P$8,Rates!$F$7:$W$7,0))</f>
        <v>0</v>
      </c>
      <c r="Q63" s="16">
        <f>Cust_Detail!R36*Rates!R61*INDEX(Rates!$F$26:$W$26,1,MATCH(Q$8,Rates!$F$7:$W$7,0))</f>
        <v>0</v>
      </c>
      <c r="R63" s="16">
        <f>Cust_Detail!S36*Rates!S61*INDEX(Rates!$F$26:$W$26,1,MATCH(R$8,Rates!$F$7:$W$7,0))</f>
        <v>0</v>
      </c>
      <c r="S63" s="16">
        <f>Cust_Detail!T36*Rates!T61*INDEX(Rates!$F$26:$W$26,1,MATCH(S$8,Rates!$F$7:$W$7,0))</f>
        <v>0</v>
      </c>
      <c r="T63" s="16">
        <f>Cust_Detail!U36*Rates!U61*INDEX(Rates!$F$26:$W$26,1,MATCH(T$8,Rates!$F$7:$W$7,0))</f>
        <v>0</v>
      </c>
      <c r="U63" s="16">
        <f>Cust_Detail!V36*Rates!V61*INDEX(Rates!$F$26:$W$26,1,MATCH(U$8,Rates!$F$7:$W$7,0))</f>
        <v>0</v>
      </c>
      <c r="V63" s="16">
        <f>Cust_Detail!W36*Rates!W61*INDEX(Rates!$F$26:$W$26,1,MATCH(V$8,Rates!$F$7:$W$7,0))</f>
        <v>0</v>
      </c>
      <c r="W63" s="16"/>
      <c r="X63" s="279">
        <f>SUMIF($E$8:$V$8,'COS_RR (top sheet)'!$I$6,$E63:$V63)</f>
        <v>0</v>
      </c>
      <c r="Y63"/>
      <c r="Z63" s="205"/>
    </row>
    <row r="64" spans="1:26" s="4" customFormat="1" ht="15.75" hidden="1" customHeight="1">
      <c r="A64" s="411"/>
      <c r="B64" s="84"/>
      <c r="C64" s="236">
        <f>+MAX(C$10:C63)+1</f>
        <v>50</v>
      </c>
      <c r="D64" s="39" t="s">
        <v>255</v>
      </c>
      <c r="E64" s="16"/>
      <c r="F64" s="16"/>
      <c r="G64" s="16"/>
      <c r="H64" s="16"/>
      <c r="I64" s="16"/>
      <c r="J64" s="16"/>
      <c r="K64" s="16"/>
      <c r="L64" s="16"/>
      <c r="M64" s="16"/>
      <c r="N64" s="16"/>
      <c r="O64" s="16"/>
      <c r="P64" s="16"/>
      <c r="Q64" s="16"/>
      <c r="R64" s="16"/>
      <c r="S64" s="16"/>
      <c r="T64" s="16"/>
      <c r="U64" s="16"/>
      <c r="V64" s="16"/>
      <c r="W64" s="205"/>
      <c r="X64" s="16">
        <f>SUMIF($E$8:$V$8,'COS_RR (top sheet)'!$I$6,$E64:$V64)</f>
        <v>0</v>
      </c>
      <c r="Y64"/>
      <c r="Z64" s="205"/>
    </row>
    <row r="65" spans="1:26" s="4" customFormat="1" ht="15.75" hidden="1" customHeight="1">
      <c r="A65" s="411"/>
      <c r="B65" s="84"/>
      <c r="C65" s="236">
        <f>+MAX(C$10:C64)+1</f>
        <v>51</v>
      </c>
      <c r="D65" s="763" t="s">
        <v>216</v>
      </c>
      <c r="E65" s="16">
        <f>Cust_Detail!F37*Rates!F67*INDEX(Rates!$F$26:$W$26,1,MATCH(E$8,Rates!$F$7:$W$7,0))</f>
        <v>120849.45600000015</v>
      </c>
      <c r="F65" s="16">
        <f>Cust_Detail!G37*Rates!G67*INDEX(Rates!$F$26:$W$26,1,MATCH(F$8,Rates!$F$7:$W$7,0))</f>
        <v>0</v>
      </c>
      <c r="G65" s="16">
        <f>Cust_Detail!H37*Rates!H67*INDEX(Rates!$F$26:$W$26,1,MATCH(G$8,Rates!$F$7:$W$7,0))</f>
        <v>0</v>
      </c>
      <c r="H65" s="16">
        <f>Cust_Detail!I37*Rates!I67*INDEX(Rates!$F$26:$W$26,1,MATCH(H$8,Rates!$F$7:$W$7,0))</f>
        <v>0</v>
      </c>
      <c r="I65" s="16">
        <f>Cust_Detail!J37*Rates!J67*INDEX(Rates!$F$26:$W$26,1,MATCH(I$8,Rates!$F$7:$W$7,0))</f>
        <v>0</v>
      </c>
      <c r="J65" s="16">
        <f>Cust_Detail!K37*Rates!K67*INDEX(Rates!$F$26:$W$26,1,MATCH(J$8,Rates!$F$7:$W$7,0))</f>
        <v>0</v>
      </c>
      <c r="K65" s="16">
        <f>Cust_Detail!L37*Rates!L67*INDEX(Rates!$F$26:$W$26,1,MATCH(K$8,Rates!$F$7:$W$7,0))</f>
        <v>0</v>
      </c>
      <c r="L65" s="16">
        <f>Cust_Detail!M37*Rates!M67*INDEX(Rates!$F$26:$W$26,1,MATCH(L$8,Rates!$F$7:$W$7,0))</f>
        <v>0</v>
      </c>
      <c r="M65" s="16">
        <f>Cust_Detail!N37*Rates!N67*INDEX(Rates!$F$26:$W$26,1,MATCH(M$8,Rates!$F$7:$W$7,0))</f>
        <v>0</v>
      </c>
      <c r="N65" s="16">
        <f>Cust_Detail!O37*Rates!O67*INDEX(Rates!$F$26:$W$26,1,MATCH(N$8,Rates!$F$7:$W$7,0))</f>
        <v>0</v>
      </c>
      <c r="O65" s="16">
        <f>Cust_Detail!P37*Rates!P67*INDEX(Rates!$F$26:$W$26,1,MATCH(O$8,Rates!$F$7:$W$7,0))</f>
        <v>0</v>
      </c>
      <c r="P65" s="16">
        <f>Cust_Detail!Q37*Rates!Q67*INDEX(Rates!$F$26:$W$26,1,MATCH(P$8,Rates!$F$7:$W$7,0))</f>
        <v>0</v>
      </c>
      <c r="Q65" s="16">
        <f>Cust_Detail!R37*Rates!R67*INDEX(Rates!$F$26:$W$26,1,MATCH(Q$8,Rates!$F$7:$W$7,0))</f>
        <v>0</v>
      </c>
      <c r="R65" s="16">
        <f>Cust_Detail!S37*Rates!S67*INDEX(Rates!$F$26:$W$26,1,MATCH(R$8,Rates!$F$7:$W$7,0))</f>
        <v>0</v>
      </c>
      <c r="S65" s="16">
        <f>Cust_Detail!T37*Rates!T67*INDEX(Rates!$F$26:$W$26,1,MATCH(S$8,Rates!$F$7:$W$7,0))</f>
        <v>0</v>
      </c>
      <c r="T65" s="16">
        <f>Cust_Detail!U37*Rates!U67*INDEX(Rates!$F$26:$W$26,1,MATCH(T$8,Rates!$F$7:$W$7,0))</f>
        <v>0</v>
      </c>
      <c r="U65" s="16">
        <f>Cust_Detail!V37*Rates!V67*INDEX(Rates!$F$26:$W$26,1,MATCH(U$8,Rates!$F$7:$W$7,0))</f>
        <v>0</v>
      </c>
      <c r="V65" s="16">
        <f>Cust_Detail!W37*Rates!W67*INDEX(Rates!$F$26:$W$26,1,MATCH(V$8,Rates!$F$7:$W$7,0))</f>
        <v>0</v>
      </c>
      <c r="W65" s="16"/>
      <c r="X65" s="16">
        <f>SUMIF($E$8:$V$8,'COS_RR (top sheet)'!$I$6,$E65:$V65)</f>
        <v>0</v>
      </c>
      <c r="Y65"/>
      <c r="Z65" s="205"/>
    </row>
    <row r="66" spans="1:26" s="4" customFormat="1" ht="15.75" hidden="1" customHeight="1">
      <c r="A66" s="411"/>
      <c r="B66" s="84"/>
      <c r="C66" s="236">
        <f>+MAX(C$10:C65)+1</f>
        <v>52</v>
      </c>
      <c r="D66" s="763" t="s">
        <v>217</v>
      </c>
      <c r="E66" s="16">
        <f>Cust_Detail!F38*Rates!F68*INDEX(Rates!$F$26:$W$26,1,MATCH(E$8,Rates!$F$7:$W$7,0))</f>
        <v>9692.2000000000116</v>
      </c>
      <c r="F66" s="16">
        <f>Cust_Detail!G38*Rates!G68*INDEX(Rates!$F$26:$W$26,1,MATCH(F$8,Rates!$F$7:$W$7,0))</f>
        <v>0</v>
      </c>
      <c r="G66" s="16">
        <f>Cust_Detail!H38*Rates!H68*INDEX(Rates!$F$26:$W$26,1,MATCH(G$8,Rates!$F$7:$W$7,0))</f>
        <v>0</v>
      </c>
      <c r="H66" s="16">
        <f>Cust_Detail!I38*Rates!I68*INDEX(Rates!$F$26:$W$26,1,MATCH(H$8,Rates!$F$7:$W$7,0))</f>
        <v>0</v>
      </c>
      <c r="I66" s="16">
        <f>Cust_Detail!J38*Rates!J68*INDEX(Rates!$F$26:$W$26,1,MATCH(I$8,Rates!$F$7:$W$7,0))</f>
        <v>0</v>
      </c>
      <c r="J66" s="16">
        <f>Cust_Detail!K38*Rates!K68*INDEX(Rates!$F$26:$W$26,1,MATCH(J$8,Rates!$F$7:$W$7,0))</f>
        <v>0</v>
      </c>
      <c r="K66" s="16">
        <f>Cust_Detail!L38*Rates!L68*INDEX(Rates!$F$26:$W$26,1,MATCH(K$8,Rates!$F$7:$W$7,0))</f>
        <v>0</v>
      </c>
      <c r="L66" s="16">
        <f>Cust_Detail!M38*Rates!M68*INDEX(Rates!$F$26:$W$26,1,MATCH(L$8,Rates!$F$7:$W$7,0))</f>
        <v>0</v>
      </c>
      <c r="M66" s="16">
        <f>Cust_Detail!N38*Rates!N68*INDEX(Rates!$F$26:$W$26,1,MATCH(M$8,Rates!$F$7:$W$7,0))</f>
        <v>0</v>
      </c>
      <c r="N66" s="16">
        <f>Cust_Detail!O38*Rates!O68*INDEX(Rates!$F$26:$W$26,1,MATCH(N$8,Rates!$F$7:$W$7,0))</f>
        <v>0</v>
      </c>
      <c r="O66" s="16">
        <f>Cust_Detail!P38*Rates!P68*INDEX(Rates!$F$26:$W$26,1,MATCH(O$8,Rates!$F$7:$W$7,0))</f>
        <v>0</v>
      </c>
      <c r="P66" s="16">
        <f>Cust_Detail!Q38*Rates!Q68*INDEX(Rates!$F$26:$W$26,1,MATCH(P$8,Rates!$F$7:$W$7,0))</f>
        <v>0</v>
      </c>
      <c r="Q66" s="16">
        <f>Cust_Detail!R38*Rates!R68*INDEX(Rates!$F$26:$W$26,1,MATCH(Q$8,Rates!$F$7:$W$7,0))</f>
        <v>0</v>
      </c>
      <c r="R66" s="16">
        <f>Cust_Detail!S38*Rates!S68*INDEX(Rates!$F$26:$W$26,1,MATCH(R$8,Rates!$F$7:$W$7,0))</f>
        <v>0</v>
      </c>
      <c r="S66" s="16">
        <f>Cust_Detail!T38*Rates!T68*INDEX(Rates!$F$26:$W$26,1,MATCH(S$8,Rates!$F$7:$W$7,0))</f>
        <v>0</v>
      </c>
      <c r="T66" s="16">
        <f>Cust_Detail!U38*Rates!U68*INDEX(Rates!$F$26:$W$26,1,MATCH(T$8,Rates!$F$7:$W$7,0))</f>
        <v>0</v>
      </c>
      <c r="U66" s="16">
        <f>Cust_Detail!V38*Rates!V68*INDEX(Rates!$F$26:$W$26,1,MATCH(U$8,Rates!$F$7:$W$7,0))</f>
        <v>0</v>
      </c>
      <c r="V66" s="16">
        <f>Cust_Detail!W38*Rates!W68*INDEX(Rates!$F$26:$W$26,1,MATCH(V$8,Rates!$F$7:$W$7,0))</f>
        <v>0</v>
      </c>
      <c r="W66" s="16"/>
      <c r="X66" s="16">
        <f>SUMIF($E$8:$V$8,'COS_RR (top sheet)'!$I$6,$E66:$V66)</f>
        <v>0</v>
      </c>
      <c r="Y66"/>
      <c r="Z66" s="205"/>
    </row>
    <row r="67" spans="1:26" s="4" customFormat="1" ht="15.75" hidden="1" customHeight="1">
      <c r="A67" s="411"/>
      <c r="B67" s="84"/>
      <c r="C67" s="236">
        <f>+MAX(C$10:C66)+1</f>
        <v>53</v>
      </c>
      <c r="D67" s="763" t="s">
        <v>221</v>
      </c>
      <c r="E67" s="16">
        <f>Cust_Detail!F39*Rates!F69*INDEX(Rates!$F$26:$W$26,1,MATCH(E$8,Rates!$F$7:$W$7,0))</f>
        <v>60165.70000000007</v>
      </c>
      <c r="F67" s="16">
        <f>Cust_Detail!G39*Rates!G69*INDEX(Rates!$F$26:$W$26,1,MATCH(F$8,Rates!$F$7:$W$7,0))</f>
        <v>0</v>
      </c>
      <c r="G67" s="16">
        <f>Cust_Detail!H39*Rates!H69*INDEX(Rates!$F$26:$W$26,1,MATCH(G$8,Rates!$F$7:$W$7,0))</f>
        <v>0</v>
      </c>
      <c r="H67" s="16">
        <f>Cust_Detail!I39*Rates!I69*INDEX(Rates!$F$26:$W$26,1,MATCH(H$8,Rates!$F$7:$W$7,0))</f>
        <v>0</v>
      </c>
      <c r="I67" s="16">
        <f>Cust_Detail!J39*Rates!J69*INDEX(Rates!$F$26:$W$26,1,MATCH(I$8,Rates!$F$7:$W$7,0))</f>
        <v>0</v>
      </c>
      <c r="J67" s="16">
        <f>Cust_Detail!K39*Rates!K69*INDEX(Rates!$F$26:$W$26,1,MATCH(J$8,Rates!$F$7:$W$7,0))</f>
        <v>0</v>
      </c>
      <c r="K67" s="16">
        <f>Cust_Detail!L39*Rates!L69*INDEX(Rates!$F$26:$W$26,1,MATCH(K$8,Rates!$F$7:$W$7,0))</f>
        <v>0</v>
      </c>
      <c r="L67" s="16">
        <f>Cust_Detail!M39*Rates!M69*INDEX(Rates!$F$26:$W$26,1,MATCH(L$8,Rates!$F$7:$W$7,0))</f>
        <v>0</v>
      </c>
      <c r="M67" s="16">
        <f>Cust_Detail!N39*Rates!N69*INDEX(Rates!$F$26:$W$26,1,MATCH(M$8,Rates!$F$7:$W$7,0))</f>
        <v>0</v>
      </c>
      <c r="N67" s="16">
        <f>Cust_Detail!O39*Rates!O69*INDEX(Rates!$F$26:$W$26,1,MATCH(N$8,Rates!$F$7:$W$7,0))</f>
        <v>0</v>
      </c>
      <c r="O67" s="16">
        <f>Cust_Detail!P39*Rates!P69*INDEX(Rates!$F$26:$W$26,1,MATCH(O$8,Rates!$F$7:$W$7,0))</f>
        <v>0</v>
      </c>
      <c r="P67" s="16">
        <f>Cust_Detail!Q39*Rates!Q69*INDEX(Rates!$F$26:$W$26,1,MATCH(P$8,Rates!$F$7:$W$7,0))</f>
        <v>0</v>
      </c>
      <c r="Q67" s="16">
        <f>Cust_Detail!R39*Rates!R69*INDEX(Rates!$F$26:$W$26,1,MATCH(Q$8,Rates!$F$7:$W$7,0))</f>
        <v>0</v>
      </c>
      <c r="R67" s="16">
        <f>Cust_Detail!S39*Rates!S69*INDEX(Rates!$F$26:$W$26,1,MATCH(R$8,Rates!$F$7:$W$7,0))</f>
        <v>0</v>
      </c>
      <c r="S67" s="16">
        <f>Cust_Detail!T39*Rates!T69*INDEX(Rates!$F$26:$W$26,1,MATCH(S$8,Rates!$F$7:$W$7,0))</f>
        <v>0</v>
      </c>
      <c r="T67" s="16">
        <f>Cust_Detail!U39*Rates!U69*INDEX(Rates!$F$26:$W$26,1,MATCH(T$8,Rates!$F$7:$W$7,0))</f>
        <v>0</v>
      </c>
      <c r="U67" s="16">
        <f>Cust_Detail!V39*Rates!V69*INDEX(Rates!$F$26:$W$26,1,MATCH(U$8,Rates!$F$7:$W$7,0))</f>
        <v>0</v>
      </c>
      <c r="V67" s="16">
        <f>Cust_Detail!W39*Rates!W69*INDEX(Rates!$F$26:$W$26,1,MATCH(V$8,Rates!$F$7:$W$7,0))</f>
        <v>0</v>
      </c>
      <c r="W67" s="16"/>
      <c r="X67" s="16">
        <f>SUMIF($E$8:$V$8,'COS_RR (top sheet)'!$I$6,$E67:$V67)</f>
        <v>0</v>
      </c>
      <c r="Y67"/>
      <c r="Z67" s="205"/>
    </row>
    <row r="68" spans="1:26" s="4" customFormat="1" ht="15.75" customHeight="1">
      <c r="A68" s="411"/>
      <c r="B68" s="84"/>
      <c r="C68" s="236">
        <f>+MAX(C$10:C67)+1</f>
        <v>54</v>
      </c>
      <c r="D68" s="39" t="s">
        <v>723</v>
      </c>
      <c r="E68" s="16"/>
      <c r="F68" s="16"/>
      <c r="G68" s="16"/>
      <c r="H68" s="16"/>
      <c r="I68" s="16"/>
      <c r="J68" s="16"/>
      <c r="K68" s="16"/>
      <c r="L68" s="16"/>
      <c r="M68" s="16"/>
      <c r="N68" s="16"/>
      <c r="O68" s="16"/>
      <c r="P68" s="16"/>
      <c r="Q68" s="16"/>
      <c r="R68" s="16"/>
      <c r="S68" s="16"/>
      <c r="T68" s="16"/>
      <c r="U68" s="16"/>
      <c r="V68" s="16"/>
      <c r="W68" s="205"/>
      <c r="X68" s="16"/>
      <c r="Y68"/>
      <c r="Z68" s="205"/>
    </row>
    <row r="69" spans="1:26" s="4" customFormat="1" ht="15.75" customHeight="1">
      <c r="A69" s="411"/>
      <c r="B69" s="84"/>
      <c r="C69" s="236">
        <f>+MAX(C$10:C68)+1</f>
        <v>55</v>
      </c>
      <c r="D69" s="41" t="s">
        <v>242</v>
      </c>
      <c r="E69" s="16">
        <f>Cust_Detail!F40*Rates!F75</f>
        <v>2785502.0269999998</v>
      </c>
      <c r="F69" s="16">
        <f>Cust_Detail!G40*Rates!G75</f>
        <v>1450993.32861</v>
      </c>
      <c r="G69" s="16">
        <f>Cust_Detail!H40*Rates!H75</f>
        <v>1573989.52201</v>
      </c>
      <c r="H69" s="16">
        <f>Cust_Detail!I40*Rates!I75</f>
        <v>13024147.698000001</v>
      </c>
      <c r="I69" s="16">
        <f>Cust_Detail!J40*Rates!J75</f>
        <v>13638659.3838</v>
      </c>
      <c r="J69" s="16">
        <f>Cust_Detail!K40*Rates!K75</f>
        <v>13984434.924366498</v>
      </c>
      <c r="K69" s="16">
        <f>Cust_Detail!L40*Rates!L75</f>
        <v>15952643.361248797</v>
      </c>
      <c r="L69" s="16">
        <f>Cust_Detail!M40*Rates!M75</f>
        <v>16915646.453937754</v>
      </c>
      <c r="M69" s="16">
        <f>Cust_Detail!N40*Rates!N75</f>
        <v>16170229.609638866</v>
      </c>
      <c r="N69" s="16">
        <f>Cust_Detail!O40*Rates!O75</f>
        <v>16375532.013069862</v>
      </c>
      <c r="O69" s="16">
        <f>Cust_Detail!P40*Rates!P75</f>
        <v>16580834.416500863</v>
      </c>
      <c r="P69" s="16">
        <f>Cust_Detail!Q40*Rates!Q75</f>
        <v>16786136.819931861</v>
      </c>
      <c r="Q69" s="16">
        <f>Cust_Detail!R40*Rates!R75</f>
        <v>16991439.223362856</v>
      </c>
      <c r="R69" s="16">
        <f>Cust_Detail!S40*Rates!S75</f>
        <v>17196741.626793858</v>
      </c>
      <c r="S69" s="16">
        <f>Cust_Detail!T40*Rates!T75</f>
        <v>17402044.030224863</v>
      </c>
      <c r="T69" s="16">
        <f>Cust_Detail!U40*Rates!U75</f>
        <v>17607346.433655858</v>
      </c>
      <c r="U69" s="16">
        <f>Cust_Detail!V40*Rates!V75</f>
        <v>17812648.837086864</v>
      </c>
      <c r="V69" s="16">
        <f>Cust_Detail!W40*Rates!W75</f>
        <v>18017951.240517858</v>
      </c>
      <c r="W69" s="205"/>
      <c r="X69" s="16">
        <f>SUMIF($E$8:$V$8,'COS_RR (top sheet)'!$I$6,$E69:$V69)</f>
        <v>17607346.433655858</v>
      </c>
      <c r="Y69"/>
      <c r="Z69" s="205"/>
    </row>
    <row r="70" spans="1:26" s="4" customFormat="1" ht="15.75" customHeight="1">
      <c r="A70" s="411"/>
      <c r="B70" s="84"/>
      <c r="C70" s="236">
        <f>+MAX(C$10:C69)+1</f>
        <v>56</v>
      </c>
      <c r="D70" s="41" t="s">
        <v>243</v>
      </c>
      <c r="E70" s="16">
        <f>Cust_Detail!F41*Rates!F76</f>
        <v>2240273.1595999999</v>
      </c>
      <c r="F70" s="16">
        <f>Cust_Detail!G41*Rates!G76</f>
        <v>2292279.5008049998</v>
      </c>
      <c r="G70" s="16">
        <f>Cust_Detail!H41*Rates!H76</f>
        <v>2486588.907505</v>
      </c>
      <c r="H70" s="16">
        <f>Cust_Detail!I41*Rates!I76</f>
        <v>0</v>
      </c>
      <c r="I70" s="16">
        <f>Cust_Detail!J41*Rates!J76</f>
        <v>0</v>
      </c>
      <c r="J70" s="16">
        <f>Cust_Detail!K41*Rates!K76</f>
        <v>0</v>
      </c>
      <c r="K70" s="16">
        <f>Cust_Detail!L41*Rates!L76</f>
        <v>0</v>
      </c>
      <c r="L70" s="16">
        <f>Cust_Detail!M41*Rates!M76</f>
        <v>0</v>
      </c>
      <c r="M70" s="16">
        <f>Cust_Detail!N41*Rates!N76</f>
        <v>0</v>
      </c>
      <c r="N70" s="16">
        <f>Cust_Detail!O41*Rates!O76</f>
        <v>0</v>
      </c>
      <c r="O70" s="16">
        <f>Cust_Detail!P41*Rates!P76</f>
        <v>0</v>
      </c>
      <c r="P70" s="16">
        <f>Cust_Detail!Q41*Rates!Q76</f>
        <v>0</v>
      </c>
      <c r="Q70" s="16">
        <f>Cust_Detail!R41*Rates!R76</f>
        <v>0</v>
      </c>
      <c r="R70" s="16">
        <f>Cust_Detail!S41*Rates!S76</f>
        <v>0</v>
      </c>
      <c r="S70" s="16">
        <f>Cust_Detail!T41*Rates!T76</f>
        <v>0</v>
      </c>
      <c r="T70" s="16">
        <f>Cust_Detail!U41*Rates!U76</f>
        <v>0</v>
      </c>
      <c r="U70" s="16">
        <f>Cust_Detail!V41*Rates!V76</f>
        <v>0</v>
      </c>
      <c r="V70" s="16">
        <f>Cust_Detail!W41*Rates!W76</f>
        <v>0</v>
      </c>
      <c r="W70" s="205"/>
      <c r="X70" s="16">
        <f>SUMIF($E$8:$V$8,'COS_RR (top sheet)'!$I$6,$E70:$V70)</f>
        <v>0</v>
      </c>
      <c r="Y70"/>
      <c r="Z70" s="205"/>
    </row>
    <row r="71" spans="1:26" s="4" customFormat="1" ht="15.75" customHeight="1">
      <c r="A71" s="411"/>
      <c r="B71" s="84"/>
      <c r="C71" s="236">
        <f>+MAX(C$10:C70)+1</f>
        <v>57</v>
      </c>
      <c r="D71" s="41" t="s">
        <v>909</v>
      </c>
      <c r="E71" s="277">
        <f>Cust_Detail!F42*Rates!F77</f>
        <v>5865569.557</v>
      </c>
      <c r="F71" s="277">
        <f>Cust_Detail!G42*Rates!G77</f>
        <v>7043951.94405</v>
      </c>
      <c r="G71" s="277">
        <f>Cust_Detail!H42*Rates!H77</f>
        <v>7641045.8510499997</v>
      </c>
      <c r="H71" s="277">
        <f>Cust_Detail!I42*Rates!I77</f>
        <v>0</v>
      </c>
      <c r="I71" s="277">
        <f>Cust_Detail!J42*Rates!J77</f>
        <v>0</v>
      </c>
      <c r="J71" s="277">
        <f>Cust_Detail!K42*Rates!K77</f>
        <v>0</v>
      </c>
      <c r="K71" s="277">
        <f>Cust_Detail!L42*Rates!L77</f>
        <v>0</v>
      </c>
      <c r="L71" s="277">
        <f>Cust_Detail!M42*Rates!M77</f>
        <v>0</v>
      </c>
      <c r="M71" s="277">
        <f>Cust_Detail!N42*Rates!N77</f>
        <v>0</v>
      </c>
      <c r="N71" s="277">
        <f>Cust_Detail!O42*Rates!O77</f>
        <v>0</v>
      </c>
      <c r="O71" s="277">
        <f>Cust_Detail!P42*Rates!P77</f>
        <v>0</v>
      </c>
      <c r="P71" s="277">
        <f>Cust_Detail!Q42*Rates!Q77</f>
        <v>0</v>
      </c>
      <c r="Q71" s="277">
        <f>Cust_Detail!R42*Rates!R77</f>
        <v>0</v>
      </c>
      <c r="R71" s="277">
        <f>Cust_Detail!S42*Rates!S77</f>
        <v>0</v>
      </c>
      <c r="S71" s="277">
        <f>Cust_Detail!T42*Rates!T77</f>
        <v>0</v>
      </c>
      <c r="T71" s="277">
        <f>Cust_Detail!U42*Rates!U77</f>
        <v>0</v>
      </c>
      <c r="U71" s="277">
        <f>Cust_Detail!V42*Rates!V77</f>
        <v>0</v>
      </c>
      <c r="V71" s="277">
        <f>Cust_Detail!W42*Rates!W77</f>
        <v>0</v>
      </c>
      <c r="W71" s="205"/>
      <c r="X71" s="277">
        <f>SUMIF($E$8:$V$8,'COS_RR (top sheet)'!$I$6,$E71:$V71)</f>
        <v>0</v>
      </c>
      <c r="Y71"/>
      <c r="Z71" s="205"/>
    </row>
    <row r="72" spans="1:26" s="40" customFormat="1" ht="15.75" customHeight="1">
      <c r="A72" s="411"/>
      <c r="B72" s="91"/>
      <c r="C72" s="236">
        <f>+MAX(C$10:C71)+1</f>
        <v>58</v>
      </c>
      <c r="D72" s="251" t="str">
        <f>"TOTAL "&amp;D57</f>
        <v>TOTAL 3 PH</v>
      </c>
      <c r="E72" s="256">
        <f>SUM(E59:E71)</f>
        <v>16363714.93210002</v>
      </c>
      <c r="F72" s="256">
        <f t="shared" ref="F72:V72" si="9">SUM(F59:F71)</f>
        <v>16791151.43856502</v>
      </c>
      <c r="G72" s="256">
        <f t="shared" si="9"/>
        <v>17705556.970564999</v>
      </c>
      <c r="H72" s="256">
        <f t="shared" si="9"/>
        <v>19401673.932100009</v>
      </c>
      <c r="I72" s="256">
        <f t="shared" si="9"/>
        <v>20776754.97800003</v>
      </c>
      <c r="J72" s="256">
        <f t="shared" si="9"/>
        <v>22906508.7148</v>
      </c>
      <c r="K72" s="256">
        <f t="shared" si="9"/>
        <v>21812085.194950204</v>
      </c>
      <c r="L72" s="256">
        <f t="shared" si="9"/>
        <v>24509143.059345134</v>
      </c>
      <c r="M72" s="256">
        <f t="shared" si="9"/>
        <v>23800361.337087695</v>
      </c>
      <c r="N72" s="256">
        <f t="shared" si="9"/>
        <v>24044155.728557486</v>
      </c>
      <c r="O72" s="256">
        <f t="shared" si="9"/>
        <v>24287950.120027274</v>
      </c>
      <c r="P72" s="256">
        <f t="shared" si="9"/>
        <v>24531744.511497065</v>
      </c>
      <c r="Q72" s="256">
        <f t="shared" si="9"/>
        <v>24775538.90296685</v>
      </c>
      <c r="R72" s="256">
        <f t="shared" si="9"/>
        <v>25021006.859133989</v>
      </c>
      <c r="S72" s="256">
        <f t="shared" si="9"/>
        <v>25264801.250603788</v>
      </c>
      <c r="T72" s="256">
        <f t="shared" si="9"/>
        <v>25510269.206770912</v>
      </c>
      <c r="U72" s="256">
        <f t="shared" si="9"/>
        <v>25754063.598240703</v>
      </c>
      <c r="V72" s="256">
        <f t="shared" si="9"/>
        <v>25999531.554407831</v>
      </c>
      <c r="W72" s="263"/>
      <c r="X72" s="256">
        <f>SUMIF($E$8:$V$8,'COS_RR (top sheet)'!$I$6,$E72:$V72)</f>
        <v>25510269.206770912</v>
      </c>
      <c r="Y72"/>
      <c r="Z72" s="263"/>
    </row>
    <row r="73" spans="1:26" s="40" customFormat="1" ht="15.75" customHeight="1">
      <c r="A73" s="411"/>
      <c r="B73" s="91"/>
      <c r="C73" s="236">
        <f>+MAX(C$10:C72)+1</f>
        <v>59</v>
      </c>
      <c r="D73" s="39" t="s">
        <v>2723</v>
      </c>
      <c r="E73" s="279">
        <f>E72*'City Taxes'!E9</f>
        <v>1685.9026319866905</v>
      </c>
      <c r="F73" s="279">
        <f>F72*'City Taxes'!F9</f>
        <v>1729.9400852328929</v>
      </c>
      <c r="G73" s="279">
        <f>G72*'City Taxes'!G9</f>
        <v>1824.1484419232104</v>
      </c>
      <c r="H73" s="279">
        <f>H72*'City Taxes'!H9</f>
        <v>1998.8940948189231</v>
      </c>
      <c r="I73" s="279">
        <f>I72*'City Taxes'!I9</f>
        <v>2140.5644162647113</v>
      </c>
      <c r="J73" s="279">
        <f>J72*'City Taxes'!J9</f>
        <v>2359.9863168082802</v>
      </c>
      <c r="K73" s="279">
        <f>K72*'City Taxes'!K9</f>
        <v>2247.2312669752214</v>
      </c>
      <c r="L73" s="279">
        <f>L72*'City Taxes'!L9</f>
        <v>2683.7869922459063</v>
      </c>
      <c r="M73" s="279">
        <f>M72*'City Taxes'!M9</f>
        <v>2606.1743575678911</v>
      </c>
      <c r="N73" s="279">
        <f>N72*'City Taxes'!N9</f>
        <v>2632.8701998103093</v>
      </c>
      <c r="O73" s="279">
        <f>O72*'City Taxes'!O9</f>
        <v>2659.566042052727</v>
      </c>
      <c r="P73" s="279">
        <f>P72*'City Taxes'!P9</f>
        <v>2686.2618842951447</v>
      </c>
      <c r="Q73" s="279">
        <f>Q72*'City Taxes'!Q9</f>
        <v>2712.9577265375619</v>
      </c>
      <c r="R73" s="279">
        <f>R72*'City Taxes'!R9</f>
        <v>2739.8368265607419</v>
      </c>
      <c r="S73" s="279">
        <f>S72*'City Taxes'!S9</f>
        <v>2766.5326688031605</v>
      </c>
      <c r="T73" s="279">
        <f>T72*'City Taxes'!T9</f>
        <v>2793.4117688263386</v>
      </c>
      <c r="U73" s="279">
        <f>U72*'City Taxes'!U9</f>
        <v>2820.1076110687568</v>
      </c>
      <c r="V73" s="279">
        <f>V72*'City Taxes'!V9</f>
        <v>2846.9867110919349</v>
      </c>
      <c r="W73" s="263"/>
      <c r="X73" s="279">
        <f>SUMIF($E$8:$V$8,'COS_RR (top sheet)'!$I$6,$E73:$V73)</f>
        <v>2793.4117688263386</v>
      </c>
      <c r="Y73"/>
      <c r="Z73" s="263"/>
    </row>
    <row r="74" spans="1:26" s="4" customFormat="1" ht="15.75" customHeight="1">
      <c r="A74" s="411"/>
      <c r="B74" s="84"/>
      <c r="C74" s="236">
        <f>+MAX(C$10:C73)+1</f>
        <v>60</v>
      </c>
      <c r="D74" s="251" t="str">
        <f>"TOTAL "&amp;D57</f>
        <v>TOTAL 3 PH</v>
      </c>
      <c r="E74" s="256">
        <f>SUM(E72:E73)</f>
        <v>16365400.834732007</v>
      </c>
      <c r="F74" s="256">
        <f t="shared" ref="F74:V74" si="10">SUM(F72:F73)</f>
        <v>16792881.378650252</v>
      </c>
      <c r="G74" s="256">
        <f t="shared" si="10"/>
        <v>17707381.119006921</v>
      </c>
      <c r="H74" s="256">
        <f t="shared" si="10"/>
        <v>19403672.826194827</v>
      </c>
      <c r="I74" s="256">
        <f t="shared" si="10"/>
        <v>20778895.542416293</v>
      </c>
      <c r="J74" s="256">
        <f t="shared" si="10"/>
        <v>22908868.701116808</v>
      </c>
      <c r="K74" s="256">
        <f t="shared" si="10"/>
        <v>21814332.42621718</v>
      </c>
      <c r="L74" s="256">
        <f t="shared" si="10"/>
        <v>24511826.846337378</v>
      </c>
      <c r="M74" s="256">
        <f t="shared" si="10"/>
        <v>23802967.511445262</v>
      </c>
      <c r="N74" s="256">
        <f t="shared" si="10"/>
        <v>24046788.598757297</v>
      </c>
      <c r="O74" s="256">
        <f t="shared" si="10"/>
        <v>24290609.686069328</v>
      </c>
      <c r="P74" s="256">
        <f t="shared" si="10"/>
        <v>24534430.77338136</v>
      </c>
      <c r="Q74" s="256">
        <f t="shared" si="10"/>
        <v>24778251.860693388</v>
      </c>
      <c r="R74" s="256">
        <f t="shared" si="10"/>
        <v>25023746.695960548</v>
      </c>
      <c r="S74" s="256">
        <f t="shared" si="10"/>
        <v>25267567.78327259</v>
      </c>
      <c r="T74" s="256">
        <f t="shared" si="10"/>
        <v>25513062.618539739</v>
      </c>
      <c r="U74" s="256">
        <f t="shared" si="10"/>
        <v>25756883.705851771</v>
      </c>
      <c r="V74" s="256">
        <f t="shared" si="10"/>
        <v>26002378.541118924</v>
      </c>
      <c r="W74" s="205"/>
      <c r="X74" s="256">
        <f>SUMIF($E$8:$V$8,'COS_RR (top sheet)'!$I$6,$E74:$V74)</f>
        <v>25513062.618539739</v>
      </c>
      <c r="Y74"/>
      <c r="Z74" s="205"/>
    </row>
    <row r="75" spans="1:26" s="4" customFormat="1" ht="15.75" customHeight="1">
      <c r="A75" s="411"/>
      <c r="B75" s="84"/>
      <c r="C75" s="236">
        <f>+MAX(C$10:C74)+1</f>
        <v>61</v>
      </c>
      <c r="D75" s="251"/>
      <c r="E75" s="117"/>
      <c r="F75" s="117"/>
      <c r="G75" s="117"/>
      <c r="H75" s="117"/>
      <c r="I75" s="117"/>
      <c r="J75" s="117"/>
      <c r="K75" s="117"/>
      <c r="L75" s="117"/>
      <c r="M75" s="117"/>
      <c r="N75" s="117"/>
      <c r="O75" s="117"/>
      <c r="P75" s="117"/>
      <c r="Q75" s="117"/>
      <c r="R75" s="117"/>
      <c r="S75" s="117"/>
      <c r="T75" s="117"/>
      <c r="U75" s="117"/>
      <c r="V75" s="117"/>
      <c r="W75" s="205"/>
      <c r="X75" s="117"/>
      <c r="Y75"/>
      <c r="Z75" s="205"/>
    </row>
    <row r="76" spans="1:26" s="4" customFormat="1" ht="15.75" customHeight="1">
      <c r="A76" s="411"/>
      <c r="B76" s="84"/>
      <c r="C76" s="236">
        <f>+MAX(C$10:C75)+1</f>
        <v>62</v>
      </c>
      <c r="D76" s="251" t="str">
        <f>"TOTAL "&amp;D36</f>
        <v>TOTAL IRRIGATION</v>
      </c>
      <c r="E76" s="256">
        <f>SUM(E55,E74)</f>
        <v>16546560.857903516</v>
      </c>
      <c r="F76" s="256">
        <f t="shared" ref="F76:V76" si="11">SUM(F55,F74)</f>
        <v>16943762.876383957</v>
      </c>
      <c r="G76" s="256">
        <f t="shared" si="11"/>
        <v>17865142.839101654</v>
      </c>
      <c r="H76" s="256">
        <f t="shared" si="11"/>
        <v>19511044.590033971</v>
      </c>
      <c r="I76" s="256">
        <f t="shared" si="11"/>
        <v>20898813.817650307</v>
      </c>
      <c r="J76" s="256">
        <f t="shared" si="11"/>
        <v>23028980.079743613</v>
      </c>
      <c r="K76" s="256">
        <f t="shared" si="11"/>
        <v>21928955.920960672</v>
      </c>
      <c r="L76" s="256">
        <f t="shared" si="11"/>
        <v>24640276.399856191</v>
      </c>
      <c r="M76" s="256">
        <f t="shared" si="11"/>
        <v>23928010.324111272</v>
      </c>
      <c r="N76" s="256">
        <f t="shared" si="11"/>
        <v>24173026.454235099</v>
      </c>
      <c r="O76" s="256">
        <f t="shared" si="11"/>
        <v>24418042.584358923</v>
      </c>
      <c r="P76" s="256">
        <f t="shared" si="11"/>
        <v>24663058.714482747</v>
      </c>
      <c r="Q76" s="256">
        <f t="shared" si="11"/>
        <v>24908074.844606567</v>
      </c>
      <c r="R76" s="256">
        <f t="shared" si="11"/>
        <v>25154771.820923492</v>
      </c>
      <c r="S76" s="256">
        <f t="shared" si="11"/>
        <v>25399787.951047327</v>
      </c>
      <c r="T76" s="256">
        <f t="shared" si="11"/>
        <v>25646484.927364241</v>
      </c>
      <c r="U76" s="256">
        <f t="shared" si="11"/>
        <v>25891501.057488065</v>
      </c>
      <c r="V76" s="256">
        <f t="shared" si="11"/>
        <v>26138198.033804983</v>
      </c>
      <c r="W76" s="205"/>
      <c r="X76" s="256">
        <f>SUMIF($E$8:$V$8,'COS_RR (top sheet)'!$I$6,$E76:$V76)</f>
        <v>25646484.927364241</v>
      </c>
      <c r="Y76"/>
      <c r="Z76" s="205"/>
    </row>
    <row r="77" spans="1:26" s="4" customFormat="1" ht="15.75" customHeight="1">
      <c r="A77" s="411"/>
      <c r="B77" s="84"/>
      <c r="C77" s="236">
        <f>+MAX(C$10:C76)+1</f>
        <v>63</v>
      </c>
      <c r="D77" s="15"/>
      <c r="E77" s="16"/>
      <c r="F77" s="16"/>
      <c r="G77" s="16"/>
      <c r="H77" s="16"/>
      <c r="I77" s="16"/>
      <c r="J77" s="16"/>
      <c r="K77" s="16"/>
      <c r="L77" s="16"/>
      <c r="M77" s="16"/>
      <c r="N77" s="16"/>
      <c r="O77" s="16"/>
      <c r="P77" s="16"/>
      <c r="Q77" s="16"/>
      <c r="R77" s="16"/>
      <c r="S77" s="16"/>
      <c r="T77" s="16"/>
      <c r="U77" s="16"/>
      <c r="V77" s="16"/>
      <c r="W77" s="205"/>
      <c r="X77" s="16"/>
      <c r="Y77"/>
      <c r="Z77" s="205"/>
    </row>
    <row r="78" spans="1:26" s="4" customFormat="1" ht="15.75" customHeight="1">
      <c r="A78" s="411"/>
      <c r="B78" s="84"/>
      <c r="C78" s="236">
        <f>+MAX(C$10:C77)+1</f>
        <v>64</v>
      </c>
      <c r="D78" s="751" t="s">
        <v>247</v>
      </c>
      <c r="E78" s="16"/>
      <c r="F78" s="16"/>
      <c r="G78" s="16"/>
      <c r="H78" s="16"/>
      <c r="I78" s="16"/>
      <c r="J78" s="16"/>
      <c r="K78" s="16"/>
      <c r="L78" s="16"/>
      <c r="M78" s="16"/>
      <c r="N78" s="16"/>
      <c r="O78" s="16"/>
      <c r="P78" s="16"/>
      <c r="Q78" s="16"/>
      <c r="R78" s="16"/>
      <c r="S78" s="16"/>
      <c r="T78" s="16"/>
      <c r="U78" s="16"/>
      <c r="V78" s="16"/>
      <c r="W78" s="205"/>
      <c r="X78" s="16"/>
      <c r="Y78"/>
      <c r="Z78" s="205"/>
    </row>
    <row r="79" spans="1:26" s="4" customFormat="1" ht="15.75" customHeight="1">
      <c r="A79" s="411"/>
      <c r="B79" s="84"/>
      <c r="C79" s="236">
        <f>+MAX(C$10:C78)+1</f>
        <v>65</v>
      </c>
      <c r="D79" s="273"/>
      <c r="E79" s="16"/>
      <c r="F79" s="16"/>
      <c r="G79" s="16"/>
      <c r="H79" s="16"/>
      <c r="I79" s="16"/>
      <c r="J79" s="16"/>
      <c r="K79" s="16"/>
      <c r="L79" s="16"/>
      <c r="M79" s="16"/>
      <c r="N79" s="16"/>
      <c r="O79" s="16"/>
      <c r="P79" s="16"/>
      <c r="Q79" s="16"/>
      <c r="R79" s="16"/>
      <c r="S79" s="16"/>
      <c r="T79" s="16"/>
      <c r="U79" s="16"/>
      <c r="V79" s="16"/>
      <c r="W79" s="205"/>
      <c r="X79" s="16"/>
      <c r="Y79"/>
      <c r="Z79" s="205"/>
    </row>
    <row r="80" spans="1:26" s="4" customFormat="1" ht="15.75" customHeight="1">
      <c r="A80" s="411"/>
      <c r="B80" s="84"/>
      <c r="C80" s="236">
        <f>+MAX(C$10:C79)+1</f>
        <v>66</v>
      </c>
      <c r="D80" s="278" t="s">
        <v>245</v>
      </c>
      <c r="E80" s="16"/>
      <c r="F80" s="16"/>
      <c r="G80" s="16"/>
      <c r="H80" s="16"/>
      <c r="I80" s="16"/>
      <c r="J80" s="16"/>
      <c r="K80" s="16"/>
      <c r="L80" s="16"/>
      <c r="M80" s="16"/>
      <c r="N80" s="16"/>
      <c r="O80" s="16"/>
      <c r="P80" s="16"/>
      <c r="Q80" s="16"/>
      <c r="R80" s="16"/>
      <c r="S80" s="16"/>
      <c r="T80" s="16"/>
      <c r="U80" s="16"/>
      <c r="V80" s="16"/>
      <c r="W80" s="205"/>
      <c r="X80" s="16"/>
      <c r="Y80"/>
      <c r="Z80" s="205"/>
    </row>
    <row r="81" spans="1:26" s="4" customFormat="1" ht="15.75" customHeight="1">
      <c r="A81" s="411"/>
      <c r="B81" s="84"/>
      <c r="C81" s="236">
        <f>+MAX(C$10:C80)+1</f>
        <v>67</v>
      </c>
      <c r="D81" s="15" t="s">
        <v>848</v>
      </c>
      <c r="E81" s="16"/>
      <c r="F81" s="16"/>
      <c r="G81" s="16"/>
      <c r="H81" s="16"/>
      <c r="I81" s="16"/>
      <c r="J81" s="16"/>
      <c r="K81" s="16"/>
      <c r="L81" s="16"/>
      <c r="M81" s="16"/>
      <c r="N81" s="16"/>
      <c r="O81" s="16"/>
      <c r="P81" s="16"/>
      <c r="Q81" s="16"/>
      <c r="R81" s="16"/>
      <c r="S81" s="16"/>
      <c r="T81" s="16"/>
      <c r="U81" s="16"/>
      <c r="V81" s="16"/>
      <c r="W81" s="205"/>
      <c r="X81" s="16"/>
      <c r="Y81"/>
      <c r="Z81" s="205"/>
    </row>
    <row r="82" spans="1:26" s="4" customFormat="1" ht="15.75" customHeight="1">
      <c r="A82" s="411"/>
      <c r="B82" s="84"/>
      <c r="C82" s="236">
        <f>+MAX(C$10:C81)+1</f>
        <v>68</v>
      </c>
      <c r="D82" s="39" t="s">
        <v>251</v>
      </c>
      <c r="E82" s="279">
        <f>Cust_Detail!F46*Rates!F90*INDEX(Rates!$F$88:$W$88,1,MATCH(E$8,Rates!$F$7:$W$7,0))</f>
        <v>505200.36</v>
      </c>
      <c r="F82" s="279">
        <f>Cust_Detail!G46*Rates!G90*INDEX(Rates!$F$88:$W$88,1,MATCH(F$8,Rates!$F$7:$W$7,0))</f>
        <v>505200.36</v>
      </c>
      <c r="G82" s="279">
        <f>Cust_Detail!H46*Rates!H90*INDEX(Rates!$F$88:$W$88,1,MATCH(G$8,Rates!$F$7:$W$7,0))</f>
        <v>505200.36</v>
      </c>
      <c r="H82" s="279">
        <f>Cust_Detail!I46*Rates!I90*INDEX(Rates!$F$88:$W$88,1,MATCH(H$8,Rates!$F$7:$W$7,0))</f>
        <v>655493</v>
      </c>
      <c r="I82" s="279">
        <f>Cust_Detail!J46*Rates!J90*INDEX(Rates!$F$88:$W$88,1,MATCH(I$8,Rates!$F$7:$W$7,0))</f>
        <v>758848.75000000012</v>
      </c>
      <c r="J82" s="279">
        <f>Cust_Detail!K46*Rates!K90*INDEX(Rates!$F$88:$W$88,1,MATCH(J$8,Rates!$F$7:$W$7,0))</f>
        <v>755149.87240000011</v>
      </c>
      <c r="K82" s="279">
        <f>Cust_Detail!L46*Rates!L90*INDEX(Rates!$F$88:$W$88,1,MATCH(K$8,Rates!$F$7:$W$7,0))</f>
        <v>795776.82519999985</v>
      </c>
      <c r="L82" s="279">
        <f>Cust_Detail!M46*Rates!M90*INDEX(Rates!$F$88:$W$88,1,MATCH(L$8,Rates!$F$7:$W$7,0))</f>
        <v>879098.85000000009</v>
      </c>
      <c r="M82" s="279">
        <f>Cust_Detail!N46*Rates!N90*INDEX(Rates!$F$88:$W$88,1,MATCH(M$8,Rates!$F$7:$W$7,0))</f>
        <v>905313.15</v>
      </c>
      <c r="N82" s="279">
        <f>Cust_Detail!O46*Rates!O90*INDEX(Rates!$F$88:$W$88,1,MATCH(N$8,Rates!$F$7:$W$7,0))</f>
        <v>931987.35</v>
      </c>
      <c r="O82" s="279">
        <f>Cust_Detail!P46*Rates!P90*INDEX(Rates!$F$88:$W$88,1,MATCH(O$8,Rates!$F$7:$W$7,0))</f>
        <v>958891.5</v>
      </c>
      <c r="P82" s="279">
        <f>Cust_Detail!Q46*Rates!Q90*INDEX(Rates!$F$88:$W$88,1,MATCH(P$8,Rates!$F$7:$W$7,0))</f>
        <v>986485.49999999988</v>
      </c>
      <c r="Q82" s="279">
        <f>Cust_Detail!R46*Rates!R90*INDEX(Rates!$F$88:$W$88,1,MATCH(Q$8,Rates!$F$7:$W$7,0))</f>
        <v>1014309.45</v>
      </c>
      <c r="R82" s="279">
        <f>Cust_Detail!S46*Rates!S90*INDEX(Rates!$F$88:$W$88,1,MATCH(R$8,Rates!$F$7:$W$7,0))</f>
        <v>1042593.3</v>
      </c>
      <c r="S82" s="279">
        <f>Cust_Detail!T46*Rates!T90*INDEX(Rates!$F$88:$W$88,1,MATCH(S$8,Rates!$F$7:$W$7,0))</f>
        <v>1071337.05</v>
      </c>
      <c r="T82" s="279">
        <f>Cust_Detail!U46*Rates!U90*INDEX(Rates!$F$88:$W$88,1,MATCH(T$8,Rates!$F$7:$W$7,0))</f>
        <v>1100310.75</v>
      </c>
      <c r="U82" s="279">
        <f>Cust_Detail!V46*Rates!V90*INDEX(Rates!$F$88:$W$88,1,MATCH(U$8,Rates!$F$7:$W$7,0))</f>
        <v>1129974.3</v>
      </c>
      <c r="V82" s="279">
        <f>Cust_Detail!W46*Rates!W90*INDEX(Rates!$F$88:$W$88,1,MATCH(V$8,Rates!$F$7:$W$7,0))</f>
        <v>1159867.7999999998</v>
      </c>
      <c r="W82" s="205"/>
      <c r="X82" s="279">
        <f>SUMIF($E$8:$V$8,'COS_RR (top sheet)'!$I$6,$E82:$V82)</f>
        <v>1100310.75</v>
      </c>
      <c r="Y82"/>
      <c r="Z82" s="205"/>
    </row>
    <row r="83" spans="1:26" s="4" customFormat="1" ht="15.75" customHeight="1">
      <c r="A83" s="411"/>
      <c r="B83" s="84"/>
      <c r="C83" s="236">
        <f>+MAX(C$10:C82)+1</f>
        <v>69</v>
      </c>
      <c r="D83" s="39" t="s">
        <v>2159</v>
      </c>
      <c r="E83" s="16">
        <f>SUM(E82,E85:E86)*Rates!F92</f>
        <v>7227.3822609159615</v>
      </c>
      <c r="F83" s="16">
        <f>SUM(F82,F85:F86)*Rates!G92</f>
        <v>7418.0091956646238</v>
      </c>
      <c r="G83" s="16">
        <f>SUM(G82,G85:G86)*Rates!H92</f>
        <v>7698.5856687604128</v>
      </c>
      <c r="H83" s="16">
        <f>SUM(H82,H85:H86)*Rates!I92</f>
        <v>6359.4825000000001</v>
      </c>
      <c r="I83" s="16">
        <f>SUM(I82,I85:I86)*Rates!J92</f>
        <v>16998.5173</v>
      </c>
      <c r="J83" s="16">
        <f>SUM(J82,J85:J86)*Rates!K92</f>
        <v>17365.21737837631</v>
      </c>
      <c r="K83" s="16">
        <f>SUM(K82,K85:K86)*Rates!L92</f>
        <v>17110.687002465547</v>
      </c>
      <c r="L83" s="16">
        <f>SUM(L82,L85:L86)*Rates!M92</f>
        <v>18380.787944514606</v>
      </c>
      <c r="M83" s="16">
        <f>SUM(M82,M85:M86)*Rates!N92</f>
        <v>18724.278513359874</v>
      </c>
      <c r="N83" s="16">
        <f>SUM(N82,N85:N86)*Rates!O92</f>
        <v>19070.202034960093</v>
      </c>
      <c r="O83" s="16">
        <f>SUM(O82,O85:O86)*Rates!P92</f>
        <v>19416.962741441734</v>
      </c>
      <c r="P83" s="16">
        <f>SUM(P82,P85:P86)*Rates!Q92</f>
        <v>19765.806865698698</v>
      </c>
      <c r="Q83" s="16">
        <f>SUM(Q82,Q85:Q86)*Rates!R92</f>
        <v>20115.639265466121</v>
      </c>
      <c r="R83" s="16">
        <f>SUM(R82,R85:R86)*Rates!S92</f>
        <v>20467.040243192194</v>
      </c>
      <c r="S83" s="16">
        <f>SUM(S82,S85:S86)*Rates!T92</f>
        <v>20819.987930640022</v>
      </c>
      <c r="T83" s="16">
        <f>SUM(T82,T85:T86)*Rates!U92</f>
        <v>21173.772376731747</v>
      </c>
      <c r="U83" s="16">
        <f>SUM(U82,U85:U86)*Rates!V92</f>
        <v>21529.936457650525</v>
      </c>
      <c r="V83" s="16">
        <f>SUM(V82,V85:V86)*Rates!W92</f>
        <v>21886.891430591462</v>
      </c>
      <c r="W83" s="205"/>
      <c r="X83" s="16">
        <f>SUMIF($E$8:$V$8,'COS_RR (top sheet)'!$I$6,$E83:$V83)</f>
        <v>21173.772376731747</v>
      </c>
      <c r="Y83"/>
      <c r="Z83" s="205"/>
    </row>
    <row r="84" spans="1:26" s="4" customFormat="1" ht="15.75" customHeight="1">
      <c r="A84" s="411"/>
      <c r="B84" s="84"/>
      <c r="C84" s="236">
        <f>+MAX(C$10:C83)+1</f>
        <v>70</v>
      </c>
      <c r="D84" s="39" t="s">
        <v>723</v>
      </c>
      <c r="E84" s="16"/>
      <c r="F84" s="16"/>
      <c r="G84" s="16"/>
      <c r="H84" s="16"/>
      <c r="I84" s="16"/>
      <c r="J84" s="16"/>
      <c r="K84" s="16"/>
      <c r="L84" s="16"/>
      <c r="M84" s="16"/>
      <c r="N84" s="16"/>
      <c r="O84" s="16"/>
      <c r="P84" s="16"/>
      <c r="Q84" s="16"/>
      <c r="R84" s="16"/>
      <c r="S84" s="16"/>
      <c r="T84" s="16"/>
      <c r="U84" s="16"/>
      <c r="V84" s="16"/>
      <c r="W84" s="205"/>
      <c r="X84" s="16"/>
      <c r="Y84"/>
      <c r="Z84" s="205"/>
    </row>
    <row r="85" spans="1:26" s="4" customFormat="1" ht="15.75" customHeight="1">
      <c r="A85" s="411"/>
      <c r="B85" s="84"/>
      <c r="C85" s="236">
        <f>+MAX(C$10:C84)+1</f>
        <v>71</v>
      </c>
      <c r="D85" s="41" t="s">
        <v>2105</v>
      </c>
      <c r="E85" s="16">
        <f>Cust_Detail!F48*Rates!F95</f>
        <v>4112997.8120399998</v>
      </c>
      <c r="F85" s="16">
        <f>Cust_Detail!G48*Rates!G95</f>
        <v>4234805.8097100006</v>
      </c>
      <c r="G85" s="16">
        <f>Cust_Detail!H48*Rates!H95</f>
        <v>4414090.3291100003</v>
      </c>
      <c r="H85" s="16">
        <f>Cust_Detail!I48*Rates!I95</f>
        <v>3454486.87176</v>
      </c>
      <c r="I85" s="16">
        <f>Cust_Detail!J48*Rates!J95</f>
        <v>3608028.14732</v>
      </c>
      <c r="J85" s="16">
        <f>Cust_Detail!K48*Rates!K95</f>
        <v>3651481.455546</v>
      </c>
      <c r="K85" s="16">
        <f>Cust_Detail!L48*Rates!L95</f>
        <v>3563613.8296800004</v>
      </c>
      <c r="L85" s="16">
        <f>Cust_Detail!M48*Rates!M95</f>
        <v>3772204.5056898491</v>
      </c>
      <c r="M85" s="16">
        <f>Cust_Detail!N48*Rates!N95</f>
        <v>3834355.1780000003</v>
      </c>
      <c r="N85" s="16">
        <f>Cust_Detail!O48*Rates!O95</f>
        <v>3896712.2830000003</v>
      </c>
      <c r="O85" s="16">
        <f>Cust_Detail!P48*Rates!P95</f>
        <v>3959079.31</v>
      </c>
      <c r="P85" s="16">
        <f>Cust_Detail!Q48*Rates!Q95</f>
        <v>4021370.7740000002</v>
      </c>
      <c r="Q85" s="16">
        <f>Cust_Detail!R48*Rates!R95</f>
        <v>4083709.3470000001</v>
      </c>
      <c r="R85" s="16">
        <f>Cust_Detail!S48*Rates!S95</f>
        <v>4146041.7290000003</v>
      </c>
      <c r="S85" s="16">
        <f>Cust_Detail!T48*Rates!T95</f>
        <v>4208362.5490000006</v>
      </c>
      <c r="T85" s="16">
        <f>Cust_Detail!U48*Rates!U95</f>
        <v>4270693.1680000005</v>
      </c>
      <c r="U85" s="16">
        <f>Cust_Detail!V48*Rates!V95</f>
        <v>4333021.1220000004</v>
      </c>
      <c r="V85" s="16">
        <f>Cust_Detail!W48*Rates!W95</f>
        <v>4395347.6000000006</v>
      </c>
      <c r="W85" s="205"/>
      <c r="X85" s="16">
        <f>SUMIF($E$8:$V$8,'COS_RR (top sheet)'!$I$6,$E85:$V85)</f>
        <v>4270693.1680000005</v>
      </c>
      <c r="Y85"/>
      <c r="Z85" s="205"/>
    </row>
    <row r="86" spans="1:26" s="4" customFormat="1" ht="15.75" customHeight="1">
      <c r="A86" s="411"/>
      <c r="B86" s="84"/>
      <c r="C86" s="236">
        <f>+MAX(C$10:C85)+1</f>
        <v>72</v>
      </c>
      <c r="D86" s="41" t="s">
        <v>909</v>
      </c>
      <c r="E86" s="277">
        <f>Cust_Detail!F49*Rates!F96</f>
        <v>0</v>
      </c>
      <c r="F86" s="277">
        <f>Cust_Detail!G49*Rates!G96</f>
        <v>0</v>
      </c>
      <c r="G86" s="277">
        <f>Cust_Detail!H49*Rates!H96</f>
        <v>0</v>
      </c>
      <c r="H86" s="277">
        <f>Cust_Detail!I49*Rates!I96</f>
        <v>428764.83100000001</v>
      </c>
      <c r="I86" s="277">
        <f>Cust_Detail!J49*Rates!J96</f>
        <v>538410.79848</v>
      </c>
      <c r="J86" s="277">
        <f>Cust_Detail!K49*Rates!K96</f>
        <v>604475.56083197996</v>
      </c>
      <c r="K86" s="277">
        <f>Cust_Detail!L49*Rates!L96</f>
        <v>578266.02061599994</v>
      </c>
      <c r="L86" s="277">
        <f>Cust_Detail!M49*Rates!M96</f>
        <v>652868.25834477472</v>
      </c>
      <c r="M86" s="277">
        <f>Cust_Detail!N49*Rates!N96</f>
        <v>663624.87595000002</v>
      </c>
      <c r="N86" s="277">
        <f>Cust_Detail!O49*Rates!O96</f>
        <v>674417.24170000001</v>
      </c>
      <c r="O86" s="277">
        <f>Cust_Detail!P49*Rates!P96</f>
        <v>685211.32314999995</v>
      </c>
      <c r="P86" s="277">
        <f>Cust_Detail!Q49*Rates!Q96</f>
        <v>695992.33259999997</v>
      </c>
      <c r="Q86" s="277">
        <f>Cust_Detail!R49*Rates!R96</f>
        <v>706781.47119999991</v>
      </c>
      <c r="R86" s="277">
        <f>Cust_Detail!S49*Rates!S96</f>
        <v>717569.5477</v>
      </c>
      <c r="S86" s="277">
        <f>Cust_Detail!T49*Rates!T96</f>
        <v>728355.62254999997</v>
      </c>
      <c r="T86" s="277">
        <f>Cust_Detail!U49*Rates!U96</f>
        <v>739143.41310000001</v>
      </c>
      <c r="U86" s="277">
        <f>Cust_Detail!V49*Rates!V96</f>
        <v>749930.71344999992</v>
      </c>
      <c r="V86" s="277">
        <f>Cust_Detail!W49*Rates!W96</f>
        <v>760717.7686999999</v>
      </c>
      <c r="W86" s="205"/>
      <c r="X86" s="277">
        <f>SUMIF($E$8:$V$8,'COS_RR (top sheet)'!$I$6,$E86:$V86)</f>
        <v>739143.41310000001</v>
      </c>
      <c r="Y86"/>
      <c r="Z86" s="205"/>
    </row>
    <row r="87" spans="1:26" s="40" customFormat="1" ht="15.75" customHeight="1">
      <c r="A87" s="411"/>
      <c r="B87" s="91"/>
      <c r="C87" s="236">
        <f>+MAX(C$10:C86)+1</f>
        <v>73</v>
      </c>
      <c r="D87" s="251" t="str">
        <f>"TOTAL "&amp;D80</f>
        <v>TOTAL 1 PH</v>
      </c>
      <c r="E87" s="256">
        <f>SUM(E82:E86)</f>
        <v>4625425.5543009154</v>
      </c>
      <c r="F87" s="256">
        <f t="shared" ref="F87:V87" si="12">SUM(F82:F86)</f>
        <v>4747424.1789056649</v>
      </c>
      <c r="G87" s="256">
        <f t="shared" si="12"/>
        <v>4926989.274778761</v>
      </c>
      <c r="H87" s="256">
        <f t="shared" si="12"/>
        <v>4545104.1852599997</v>
      </c>
      <c r="I87" s="256">
        <f t="shared" si="12"/>
        <v>4922286.2131000003</v>
      </c>
      <c r="J87" s="256">
        <f t="shared" si="12"/>
        <v>5028472.1061563566</v>
      </c>
      <c r="K87" s="256">
        <f t="shared" si="12"/>
        <v>4954767.362498465</v>
      </c>
      <c r="L87" s="256">
        <f t="shared" si="12"/>
        <v>5322552.4019791391</v>
      </c>
      <c r="M87" s="256">
        <f t="shared" si="12"/>
        <v>5422017.4824633608</v>
      </c>
      <c r="N87" s="256">
        <f t="shared" si="12"/>
        <v>5522187.076734961</v>
      </c>
      <c r="O87" s="256">
        <f t="shared" si="12"/>
        <v>5622599.0958914412</v>
      </c>
      <c r="P87" s="256">
        <f t="shared" si="12"/>
        <v>5723614.4134656992</v>
      </c>
      <c r="Q87" s="256">
        <f t="shared" si="12"/>
        <v>5824915.9074654654</v>
      </c>
      <c r="R87" s="256">
        <f t="shared" si="12"/>
        <v>5926671.6169431927</v>
      </c>
      <c r="S87" s="256">
        <f t="shared" si="12"/>
        <v>6028875.2094806414</v>
      </c>
      <c r="T87" s="256">
        <f t="shared" si="12"/>
        <v>6131321.103476733</v>
      </c>
      <c r="U87" s="256">
        <f t="shared" si="12"/>
        <v>6234456.0719076507</v>
      </c>
      <c r="V87" s="256">
        <f t="shared" si="12"/>
        <v>6337820.0601305915</v>
      </c>
      <c r="W87" s="263"/>
      <c r="X87" s="256">
        <f>SUMIF($E$8:$V$8,'COS_RR (top sheet)'!$I$6,$E87:$V87)</f>
        <v>6131321.103476733</v>
      </c>
      <c r="Y87"/>
      <c r="Z87" s="263"/>
    </row>
    <row r="88" spans="1:26" s="40" customFormat="1" ht="15.75" customHeight="1">
      <c r="A88" s="411"/>
      <c r="B88" s="91"/>
      <c r="C88" s="236">
        <f>+MAX(C$10:C87)+1</f>
        <v>74</v>
      </c>
      <c r="D88" s="39" t="s">
        <v>2723</v>
      </c>
      <c r="E88" s="279">
        <f>E87*'City Taxes'!E11</f>
        <v>135366.6490105603</v>
      </c>
      <c r="F88" s="279">
        <f>F87*'City Taxes'!F11</f>
        <v>138937.03292502766</v>
      </c>
      <c r="G88" s="279">
        <f>G87*'City Taxes'!G11</f>
        <v>144192.14405420781</v>
      </c>
      <c r="H88" s="279">
        <f>H87*'City Taxes'!H11</f>
        <v>133015.98214902161</v>
      </c>
      <c r="I88" s="279">
        <f>I87*'City Taxes'!I11</f>
        <v>144054.50532409098</v>
      </c>
      <c r="J88" s="279">
        <f>J87*'City Taxes'!J11</f>
        <v>147162.11744463784</v>
      </c>
      <c r="K88" s="279">
        <f>K87*'City Taxes'!K11</f>
        <v>145005.09123201747</v>
      </c>
      <c r="L88" s="279">
        <f>L87*'City Taxes'!L11</f>
        <v>145618.87712544392</v>
      </c>
      <c r="M88" s="279">
        <f>M87*'City Taxes'!M11</f>
        <v>148340.126676302</v>
      </c>
      <c r="N88" s="279">
        <f>N87*'City Taxes'!N11</f>
        <v>151080.65090947214</v>
      </c>
      <c r="O88" s="279">
        <f>O87*'City Taxes'!O11</f>
        <v>153827.80760707989</v>
      </c>
      <c r="P88" s="279">
        <f>P87*'City Taxes'!P11</f>
        <v>156591.46985156316</v>
      </c>
      <c r="Q88" s="279">
        <f>Q87*'City Taxes'!Q11</f>
        <v>159362.96155202828</v>
      </c>
      <c r="R88" s="279">
        <f>R87*'City Taxes'!R11</f>
        <v>162146.88006257967</v>
      </c>
      <c r="S88" s="279">
        <f>S87*'City Taxes'!S11</f>
        <v>164943.05213557903</v>
      </c>
      <c r="T88" s="279">
        <f>T87*'City Taxes'!T11</f>
        <v>167745.85329621693</v>
      </c>
      <c r="U88" s="279">
        <f>U87*'City Taxes'!U11</f>
        <v>170567.50673633974</v>
      </c>
      <c r="V88" s="279">
        <f>V87*'City Taxes'!V11</f>
        <v>173395.42589306526</v>
      </c>
      <c r="W88" s="263"/>
      <c r="X88" s="279">
        <f>SUMIF($E$8:$V$8,'COS_RR (top sheet)'!$I$6,$E88:$V88)</f>
        <v>167745.85329621693</v>
      </c>
      <c r="Y88"/>
      <c r="Z88" s="263"/>
    </row>
    <row r="89" spans="1:26" s="4" customFormat="1" ht="15.75" customHeight="1">
      <c r="A89" s="411"/>
      <c r="B89" s="84"/>
      <c r="C89" s="236">
        <f>+MAX(C$10:C88)+1</f>
        <v>75</v>
      </c>
      <c r="D89" s="251" t="str">
        <f>"TOTAL "&amp;D80</f>
        <v>TOTAL 1 PH</v>
      </c>
      <c r="E89" s="256">
        <f>SUM(E87:E88)</f>
        <v>4760792.2033114759</v>
      </c>
      <c r="F89" s="256">
        <f t="shared" ref="F89:V89" si="13">SUM(F87:F88)</f>
        <v>4886361.2118306924</v>
      </c>
      <c r="G89" s="256">
        <f t="shared" si="13"/>
        <v>5071181.4188329689</v>
      </c>
      <c r="H89" s="256">
        <f t="shared" si="13"/>
        <v>4678120.1674090214</v>
      </c>
      <c r="I89" s="256">
        <f t="shared" si="13"/>
        <v>5066340.7184240911</v>
      </c>
      <c r="J89" s="256">
        <f t="shared" si="13"/>
        <v>5175634.2236009948</v>
      </c>
      <c r="K89" s="256">
        <f t="shared" si="13"/>
        <v>5099772.4537304826</v>
      </c>
      <c r="L89" s="256">
        <f t="shared" si="13"/>
        <v>5468171.279104583</v>
      </c>
      <c r="M89" s="256">
        <f t="shared" si="13"/>
        <v>5570357.6091396632</v>
      </c>
      <c r="N89" s="256">
        <f t="shared" si="13"/>
        <v>5673267.7276444333</v>
      </c>
      <c r="O89" s="256">
        <f t="shared" si="13"/>
        <v>5776426.9034985211</v>
      </c>
      <c r="P89" s="256">
        <f t="shared" si="13"/>
        <v>5880205.8833172619</v>
      </c>
      <c r="Q89" s="256">
        <f t="shared" si="13"/>
        <v>5984278.8690174939</v>
      </c>
      <c r="R89" s="256">
        <f t="shared" si="13"/>
        <v>6088818.4970057728</v>
      </c>
      <c r="S89" s="256">
        <f t="shared" si="13"/>
        <v>6193818.2616162207</v>
      </c>
      <c r="T89" s="256">
        <f t="shared" si="13"/>
        <v>6299066.9567729495</v>
      </c>
      <c r="U89" s="256">
        <f t="shared" si="13"/>
        <v>6405023.5786439907</v>
      </c>
      <c r="V89" s="256">
        <f t="shared" si="13"/>
        <v>6511215.486023657</v>
      </c>
      <c r="W89" s="205"/>
      <c r="X89" s="256">
        <f>SUMIF($E$8:$V$8,'COS_RR (top sheet)'!$I$6,$E89:$V89)</f>
        <v>6299066.9567729495</v>
      </c>
      <c r="Y89"/>
      <c r="Z89" s="205"/>
    </row>
    <row r="90" spans="1:26" s="4" customFormat="1" ht="15.75" customHeight="1">
      <c r="A90" s="411"/>
      <c r="B90" s="84"/>
      <c r="C90" s="236">
        <f>+MAX(C$10:C89)+1</f>
        <v>76</v>
      </c>
      <c r="D90" s="15"/>
      <c r="E90" s="16"/>
      <c r="F90" s="16"/>
      <c r="G90" s="16"/>
      <c r="H90" s="16"/>
      <c r="I90" s="16"/>
      <c r="J90" s="16"/>
      <c r="K90" s="16"/>
      <c r="L90" s="16"/>
      <c r="M90" s="16"/>
      <c r="N90" s="16"/>
      <c r="O90" s="16"/>
      <c r="P90" s="16"/>
      <c r="Q90" s="16"/>
      <c r="R90" s="16"/>
      <c r="S90" s="16"/>
      <c r="T90" s="16"/>
      <c r="U90" s="16"/>
      <c r="V90" s="16"/>
      <c r="W90" s="205"/>
      <c r="X90" s="16"/>
      <c r="Y90"/>
      <c r="Z90" s="205"/>
    </row>
    <row r="91" spans="1:26" s="4" customFormat="1" ht="15.75" customHeight="1">
      <c r="A91" s="411"/>
      <c r="B91" s="84"/>
      <c r="C91" s="236">
        <f>+MAX(C$10:C90)+1</f>
        <v>77</v>
      </c>
      <c r="D91" s="278" t="s">
        <v>246</v>
      </c>
      <c r="E91" s="16"/>
      <c r="F91" s="16"/>
      <c r="G91" s="16"/>
      <c r="H91" s="16"/>
      <c r="I91" s="16"/>
      <c r="J91" s="16"/>
      <c r="K91" s="16"/>
      <c r="L91" s="16"/>
      <c r="M91" s="16"/>
      <c r="N91" s="16"/>
      <c r="O91" s="16"/>
      <c r="P91" s="16"/>
      <c r="Q91" s="16"/>
      <c r="R91" s="16"/>
      <c r="S91" s="16"/>
      <c r="T91" s="16"/>
      <c r="U91" s="16"/>
      <c r="V91" s="16"/>
      <c r="W91" s="205"/>
      <c r="X91" s="16"/>
      <c r="Y91"/>
      <c r="Z91" s="205"/>
    </row>
    <row r="92" spans="1:26" s="4" customFormat="1" ht="15.75" customHeight="1">
      <c r="A92" s="411"/>
      <c r="B92" s="84"/>
      <c r="C92" s="236">
        <f>+MAX(C$10:C91)+1</f>
        <v>78</v>
      </c>
      <c r="D92" s="15" t="s">
        <v>848</v>
      </c>
      <c r="E92" s="16"/>
      <c r="F92" s="16"/>
      <c r="G92" s="16"/>
      <c r="H92" s="16"/>
      <c r="I92" s="16"/>
      <c r="J92" s="16"/>
      <c r="K92" s="16"/>
      <c r="L92" s="16"/>
      <c r="M92" s="16"/>
      <c r="N92" s="16"/>
      <c r="O92" s="16"/>
      <c r="P92" s="16"/>
      <c r="Q92" s="16"/>
      <c r="R92" s="16"/>
      <c r="S92" s="16"/>
      <c r="T92" s="16"/>
      <c r="U92" s="16"/>
      <c r="V92" s="16"/>
      <c r="W92" s="205"/>
      <c r="X92" s="16"/>
      <c r="Y92"/>
      <c r="Z92" s="205"/>
    </row>
    <row r="93" spans="1:26" s="4" customFormat="1" ht="15.75" customHeight="1">
      <c r="A93" s="411"/>
      <c r="B93" s="84"/>
      <c r="C93" s="236">
        <f>+MAX(C$10:C92)+1</f>
        <v>79</v>
      </c>
      <c r="D93" s="39" t="s">
        <v>251</v>
      </c>
      <c r="E93" s="279">
        <f>Cust_Detail!F53*Rates!F105*INDEX(Rates!$F$103:$W$103,1,MATCH(E$8,Rates!$F$7:$W$7,0))</f>
        <v>576185.84000000008</v>
      </c>
      <c r="F93" s="279">
        <f>Cust_Detail!G53*Rates!G105*INDEX(Rates!$F$103:$W$103,1,MATCH(F$8,Rates!$F$7:$W$7,0))</f>
        <v>576185.84000000008</v>
      </c>
      <c r="G93" s="279">
        <f>Cust_Detail!H53*Rates!H105*INDEX(Rates!$F$103:$W$103,1,MATCH(G$8,Rates!$F$7:$W$7,0))</f>
        <v>576185.84000000008</v>
      </c>
      <c r="H93" s="279">
        <f>Cust_Detail!I53*Rates!I105*INDEX(Rates!$F$103:$W$103,1,MATCH(H$8,Rates!$F$7:$W$7,0))</f>
        <v>710732.25</v>
      </c>
      <c r="I93" s="279">
        <f>Cust_Detail!J53*Rates!J105*INDEX(Rates!$F$103:$W$103,1,MATCH(I$8,Rates!$F$7:$W$7,0))</f>
        <v>796531.08</v>
      </c>
      <c r="J93" s="279">
        <f>Cust_Detail!K53*Rates!K105*INDEX(Rates!$F$103:$W$103,1,MATCH(J$8,Rates!$F$7:$W$7,0))</f>
        <v>819844.62225000013</v>
      </c>
      <c r="K93" s="279">
        <f>Cust_Detail!L53*Rates!L105*INDEX(Rates!$F$103:$W$103,1,MATCH(K$8,Rates!$F$7:$W$7,0))</f>
        <v>795866.14800000016</v>
      </c>
      <c r="L93" s="279">
        <f>Cust_Detail!M53*Rates!M105*INDEX(Rates!$F$103:$W$103,1,MATCH(L$8,Rates!$F$7:$W$7,0))</f>
        <v>895655.25</v>
      </c>
      <c r="M93" s="279">
        <f>Cust_Detail!N53*Rates!N105*INDEX(Rates!$F$103:$W$103,1,MATCH(M$8,Rates!$F$7:$W$7,0))</f>
        <v>922355</v>
      </c>
      <c r="N93" s="279">
        <f>Cust_Detail!O53*Rates!O105*INDEX(Rates!$F$103:$W$103,1,MATCH(N$8,Rates!$F$7:$W$7,0))</f>
        <v>949401.5</v>
      </c>
      <c r="O93" s="279">
        <f>Cust_Detail!P53*Rates!P105*INDEX(Rates!$F$103:$W$103,1,MATCH(O$8,Rates!$F$7:$W$7,0))</f>
        <v>976794.75</v>
      </c>
      <c r="P93" s="279">
        <f>Cust_Detail!Q53*Rates!Q105*INDEX(Rates!$F$103:$W$103,1,MATCH(P$8,Rates!$F$7:$W$7,0))</f>
        <v>1004881.5</v>
      </c>
      <c r="Q93" s="279">
        <f>Cust_Detail!R53*Rates!R105*INDEX(Rates!$F$103:$W$103,1,MATCH(Q$8,Rates!$F$7:$W$7,0))</f>
        <v>1033315</v>
      </c>
      <c r="R93" s="279">
        <f>Cust_Detail!S53*Rates!S105*INDEX(Rates!$F$103:$W$103,1,MATCH(R$8,Rates!$F$7:$W$7,0))</f>
        <v>1062095.25</v>
      </c>
      <c r="S93" s="279">
        <f>Cust_Detail!T53*Rates!T105*INDEX(Rates!$F$103:$W$103,1,MATCH(S$8,Rates!$F$7:$W$7,0))</f>
        <v>1091222.2499999998</v>
      </c>
      <c r="T93" s="279">
        <f>Cust_Detail!U53*Rates!U105*INDEX(Rates!$F$103:$W$103,1,MATCH(T$8,Rates!$F$7:$W$7,0))</f>
        <v>1120695.9999999998</v>
      </c>
      <c r="U93" s="279">
        <f>Cust_Detail!V53*Rates!V105*INDEX(Rates!$F$103:$W$103,1,MATCH(U$8,Rates!$F$7:$W$7,0))</f>
        <v>1150863.25</v>
      </c>
      <c r="V93" s="279">
        <f>Cust_Detail!W53*Rates!W105*INDEX(Rates!$F$103:$W$103,1,MATCH(V$8,Rates!$F$7:$W$7,0))</f>
        <v>1181377.2499999998</v>
      </c>
      <c r="W93" s="205"/>
      <c r="X93" s="279">
        <f>SUMIF($E$8:$V$8,'COS_RR (top sheet)'!$I$6,$E93:$V93)</f>
        <v>1120695.9999999998</v>
      </c>
      <c r="Y93"/>
      <c r="Z93" s="205"/>
    </row>
    <row r="94" spans="1:26" s="4" customFormat="1" ht="15.75" customHeight="1">
      <c r="A94" s="411"/>
      <c r="B94" s="84"/>
      <c r="C94" s="236">
        <f>+MAX(C$10:C93)+1</f>
        <v>80</v>
      </c>
      <c r="D94" s="39" t="s">
        <v>2159</v>
      </c>
      <c r="E94" s="16">
        <f>SUM(E93,E96:E97)*Rates!F107</f>
        <v>182445.06298376981</v>
      </c>
      <c r="F94" s="16">
        <f>SUM(F93,F96:F97)*Rates!G107</f>
        <v>187636.12135119594</v>
      </c>
      <c r="G94" s="16">
        <f>SUM(G93,G96:G97)*Rates!H107</f>
        <v>195276.64016039454</v>
      </c>
      <c r="H94" s="16">
        <f>SUM(H93,H96:H97)*Rates!I107</f>
        <v>80209.78326552824</v>
      </c>
      <c r="I94" s="16">
        <f>SUM(I93,I96:I97)*Rates!J107</f>
        <v>127761.60139999999</v>
      </c>
      <c r="J94" s="16">
        <f>SUM(J93,J96:J97)*Rates!K107</f>
        <v>132095.87270002291</v>
      </c>
      <c r="K94" s="16">
        <f>SUM(K93,K96:K97)*Rates!L107</f>
        <v>138183.77474677586</v>
      </c>
      <c r="L94" s="16">
        <f>SUM(L93,L96:L97)*Rates!M107</f>
        <v>152250.99119356723</v>
      </c>
      <c r="M94" s="16">
        <f>SUM(M93,M96:M97)*Rates!N107</f>
        <v>154865.53565950575</v>
      </c>
      <c r="N94" s="16">
        <f>SUM(N93,N96:N97)*Rates!O107</f>
        <v>157491.05520900033</v>
      </c>
      <c r="O94" s="16">
        <f>SUM(O93,O96:O97)*Rates!P107</f>
        <v>160120.03384202736</v>
      </c>
      <c r="P94" s="16">
        <f>SUM(P93,P96:P97)*Rates!Q107</f>
        <v>162752.28162273491</v>
      </c>
      <c r="Q94" s="16">
        <f>SUM(Q93,Q96:Q97)*Rates!R107</f>
        <v>165389.41118196235</v>
      </c>
      <c r="R94" s="16">
        <f>SUM(R93,R96:R97)*Rates!S107</f>
        <v>168029.3832986207</v>
      </c>
      <c r="S94" s="16">
        <f>SUM(S93,S96:S97)*Rates!T107</f>
        <v>170671.99161662936</v>
      </c>
      <c r="T94" s="16">
        <f>SUM(T93,T96:T97)*Rates!U107</f>
        <v>173318.05538501893</v>
      </c>
      <c r="U94" s="16">
        <f>SUM(U93,U96:U97)*Rates!V107</f>
        <v>175970.17592741779</v>
      </c>
      <c r="V94" s="16">
        <f>SUM(V93,V96:V97)*Rates!W107</f>
        <v>178625.31922570278</v>
      </c>
      <c r="W94" s="205"/>
      <c r="X94" s="16">
        <f>SUMIF($E$8:$V$8,'COS_RR (top sheet)'!$I$6,$E94:$V94)</f>
        <v>173318.05538501893</v>
      </c>
      <c r="Y94"/>
      <c r="Z94" s="205"/>
    </row>
    <row r="95" spans="1:26" s="4" customFormat="1" ht="15.75" customHeight="1">
      <c r="A95" s="411"/>
      <c r="B95" s="84"/>
      <c r="C95" s="236">
        <f>+MAX(C$10:C94)+1</f>
        <v>81</v>
      </c>
      <c r="D95" s="39" t="s">
        <v>723</v>
      </c>
      <c r="E95" s="16"/>
      <c r="F95" s="16"/>
      <c r="G95" s="16"/>
      <c r="H95" s="16"/>
      <c r="I95" s="16"/>
      <c r="J95" s="16"/>
      <c r="K95" s="16"/>
      <c r="L95" s="16"/>
      <c r="M95" s="16"/>
      <c r="N95" s="16"/>
      <c r="O95" s="16"/>
      <c r="P95" s="16"/>
      <c r="Q95" s="16"/>
      <c r="R95" s="16"/>
      <c r="S95" s="16"/>
      <c r="T95" s="16"/>
      <c r="U95" s="16"/>
      <c r="V95" s="16"/>
      <c r="W95" s="205"/>
      <c r="X95" s="16"/>
      <c r="Y95"/>
      <c r="Z95" s="205"/>
    </row>
    <row r="96" spans="1:26" s="4" customFormat="1" ht="15.75" customHeight="1">
      <c r="A96" s="411"/>
      <c r="B96" s="84"/>
      <c r="C96" s="236">
        <f>+MAX(C$10:C95)+1</f>
        <v>82</v>
      </c>
      <c r="D96" s="41" t="s">
        <v>2105</v>
      </c>
      <c r="E96" s="16">
        <f>Cust_Detail!F55*Rates!F110</f>
        <v>14100420.867000001</v>
      </c>
      <c r="F96" s="16">
        <f>Cust_Detail!G55*Rates!G110</f>
        <v>14518010.254215002</v>
      </c>
      <c r="G96" s="16">
        <f>Cust_Detail!H55*Rates!H110</f>
        <v>15132643.984315</v>
      </c>
      <c r="H96" s="16">
        <f>Cust_Detail!I55*Rates!I110</f>
        <v>5875817.2149999999</v>
      </c>
      <c r="I96" s="16">
        <f>Cust_Detail!J55*Rates!J110</f>
        <v>6003911.9570000004</v>
      </c>
      <c r="J96" s="16">
        <f>Cust_Detail!K55*Rates!K110</f>
        <v>5948764.8346350007</v>
      </c>
      <c r="K96" s="16">
        <f>Cust_Detail!L55*Rates!L110</f>
        <v>5968956.0289080003</v>
      </c>
      <c r="L96" s="16">
        <f>Cust_Detail!M55*Rates!M110</f>
        <v>6369123.8463101517</v>
      </c>
      <c r="M96" s="16">
        <f>Cust_Detail!N55*Rates!N110</f>
        <v>6474061.2530000005</v>
      </c>
      <c r="N96" s="16">
        <f>Cust_Detail!O55*Rates!O110</f>
        <v>6579347.1620000005</v>
      </c>
      <c r="O96" s="16">
        <f>Cust_Detail!P55*Rates!P110</f>
        <v>6684649.8399999999</v>
      </c>
      <c r="P96" s="16">
        <f>Cust_Detail!Q55*Rates!Q110</f>
        <v>6789824.9670000002</v>
      </c>
      <c r="Q96" s="16">
        <f>Cust_Detail!R55*Rates!R110</f>
        <v>6895079.6340000005</v>
      </c>
      <c r="R96" s="16">
        <f>Cust_Detail!S55*Rates!S110</f>
        <v>7000323.8459999999</v>
      </c>
      <c r="S96" s="16">
        <f>Cust_Detail!T55*Rates!T110</f>
        <v>7105548.5010000002</v>
      </c>
      <c r="T96" s="16">
        <f>Cust_Detail!U55*Rates!U110</f>
        <v>7210789.7609999999</v>
      </c>
      <c r="U96" s="16">
        <f>Cust_Detail!V55*Rates!V110</f>
        <v>7316026.5109999999</v>
      </c>
      <c r="V96" s="16">
        <f>Cust_Detail!W55*Rates!W110</f>
        <v>7421260.7600000007</v>
      </c>
      <c r="W96" s="205"/>
      <c r="X96" s="16">
        <f>SUMIF($E$8:$V$8,'COS_RR (top sheet)'!$I$6,$E96:$V96)</f>
        <v>7210789.7609999999</v>
      </c>
      <c r="Y96"/>
      <c r="Z96" s="205"/>
    </row>
    <row r="97" spans="1:26" s="4" customFormat="1" ht="15.75" customHeight="1">
      <c r="A97" s="411"/>
      <c r="B97" s="84"/>
      <c r="C97" s="236">
        <f>+MAX(C$10:C96)+1</f>
        <v>83</v>
      </c>
      <c r="D97" s="41" t="s">
        <v>909</v>
      </c>
      <c r="E97" s="277">
        <f>Cust_Detail!F56*Rates!F111</f>
        <v>0</v>
      </c>
      <c r="F97" s="277">
        <f>Cust_Detail!G56*Rates!G111</f>
        <v>0</v>
      </c>
      <c r="G97" s="277">
        <f>Cust_Detail!H56*Rates!H111</f>
        <v>0</v>
      </c>
      <c r="H97" s="277">
        <f>Cust_Detail!I56*Rates!I111</f>
        <v>6521363.1532499995</v>
      </c>
      <c r="I97" s="277">
        <f>Cust_Detail!J56*Rates!J111</f>
        <v>7585764.22664</v>
      </c>
      <c r="J97" s="277">
        <f>Cust_Detail!K56*Rates!K111</f>
        <v>8105645.2684000498</v>
      </c>
      <c r="K97" s="277">
        <f>Cust_Detail!L56*Rates!L111</f>
        <v>8794942.2765395995</v>
      </c>
      <c r="L97" s="277">
        <f>Cust_Detail!M56*Rates!M111</f>
        <v>9878981.5595052242</v>
      </c>
      <c r="M97" s="277">
        <f>Cust_Detail!N56*Rates!N111</f>
        <v>10041747.245099999</v>
      </c>
      <c r="N97" s="277">
        <f>Cust_Detail!O56*Rates!O111</f>
        <v>10205053.494349999</v>
      </c>
      <c r="O97" s="277">
        <f>Cust_Detail!P56*Rates!P111</f>
        <v>10368385.724199999</v>
      </c>
      <c r="P97" s="277">
        <f>Cust_Detail!Q56*Rates!Q111</f>
        <v>10531520.1175</v>
      </c>
      <c r="Q97" s="277">
        <f>Cust_Detail!R56*Rates!R111</f>
        <v>10694777.918649999</v>
      </c>
      <c r="R97" s="277">
        <f>Cust_Detail!S56*Rates!S111</f>
        <v>10858019.502349999</v>
      </c>
      <c r="S97" s="277">
        <f>Cust_Detail!T56*Rates!T111</f>
        <v>11021230.734499998</v>
      </c>
      <c r="T97" s="277">
        <f>Cust_Detail!U56*Rates!U111</f>
        <v>11184467.702149998</v>
      </c>
      <c r="U97" s="277">
        <f>Cust_Detail!V56*Rates!V111</f>
        <v>11347697.684449999</v>
      </c>
      <c r="V97" s="277">
        <f>Cust_Detail!W56*Rates!W111</f>
        <v>11510923.785999998</v>
      </c>
      <c r="W97" s="205"/>
      <c r="X97" s="277">
        <f>SUMIF($E$8:$V$8,'COS_RR (top sheet)'!$I$6,$E97:$V97)</f>
        <v>11184467.702149998</v>
      </c>
      <c r="Y97"/>
      <c r="Z97" s="205"/>
    </row>
    <row r="98" spans="1:26" s="40" customFormat="1" ht="15.75" customHeight="1">
      <c r="A98" s="411"/>
      <c r="B98" s="91"/>
      <c r="C98" s="236">
        <f>+MAX(C$10:C97)+1</f>
        <v>84</v>
      </c>
      <c r="D98" s="251" t="str">
        <f>"TOTAL "&amp;D91</f>
        <v>TOTAL 3 PH</v>
      </c>
      <c r="E98" s="256">
        <f>SUM(E93:E97)</f>
        <v>14859051.76998377</v>
      </c>
      <c r="F98" s="256">
        <f t="shared" ref="F98:V98" si="14">SUM(F93:F97)</f>
        <v>15281832.215566197</v>
      </c>
      <c r="G98" s="256">
        <f t="shared" si="14"/>
        <v>15904106.464475395</v>
      </c>
      <c r="H98" s="256">
        <f t="shared" si="14"/>
        <v>13188122.401515529</v>
      </c>
      <c r="I98" s="256">
        <f t="shared" si="14"/>
        <v>14513968.865040001</v>
      </c>
      <c r="J98" s="256">
        <f t="shared" si="14"/>
        <v>15006350.597985074</v>
      </c>
      <c r="K98" s="256">
        <f t="shared" si="14"/>
        <v>15697948.228194375</v>
      </c>
      <c r="L98" s="256">
        <f t="shared" si="14"/>
        <v>17296011.647008944</v>
      </c>
      <c r="M98" s="256">
        <f t="shared" si="14"/>
        <v>17593029.033759505</v>
      </c>
      <c r="N98" s="256">
        <f t="shared" si="14"/>
        <v>17891293.211559001</v>
      </c>
      <c r="O98" s="256">
        <f t="shared" si="14"/>
        <v>18189950.348042026</v>
      </c>
      <c r="P98" s="256">
        <f t="shared" si="14"/>
        <v>18488978.866122734</v>
      </c>
      <c r="Q98" s="256">
        <f t="shared" si="14"/>
        <v>18788561.963831961</v>
      </c>
      <c r="R98" s="256">
        <f t="shared" si="14"/>
        <v>19088467.98164862</v>
      </c>
      <c r="S98" s="256">
        <f t="shared" si="14"/>
        <v>19388673.477116629</v>
      </c>
      <c r="T98" s="256">
        <f t="shared" si="14"/>
        <v>19689271.518535018</v>
      </c>
      <c r="U98" s="256">
        <f t="shared" si="14"/>
        <v>19990557.621377416</v>
      </c>
      <c r="V98" s="256">
        <f t="shared" si="14"/>
        <v>20292187.115225703</v>
      </c>
      <c r="W98" s="263"/>
      <c r="X98" s="256">
        <f>SUMIF($E$8:$V$8,'COS_RR (top sheet)'!$I$6,$E98:$V98)</f>
        <v>19689271.518535018</v>
      </c>
      <c r="Y98"/>
      <c r="Z98" s="263"/>
    </row>
    <row r="99" spans="1:26" s="40" customFormat="1" ht="15.75" customHeight="1">
      <c r="A99" s="411"/>
      <c r="B99" s="91"/>
      <c r="C99" s="236">
        <f>+MAX(C$10:C98)+1</f>
        <v>85</v>
      </c>
      <c r="D99" s="39" t="s">
        <v>2723</v>
      </c>
      <c r="E99" s="279">
        <f>E98*'City Taxes'!E11</f>
        <v>434861.61910158402</v>
      </c>
      <c r="F99" s="279">
        <f>F98*'City Taxes'!F11</f>
        <v>447234.61516731238</v>
      </c>
      <c r="G99" s="279">
        <f>G98*'City Taxes'!G11</f>
        <v>465445.95136795146</v>
      </c>
      <c r="H99" s="279">
        <f>H98*'City Taxes'!H11</f>
        <v>385960.5814159686</v>
      </c>
      <c r="I99" s="279">
        <f>I98*'City Taxes'!I11</f>
        <v>424762.50153398368</v>
      </c>
      <c r="J99" s="279">
        <f>J98*'City Taxes'!J11</f>
        <v>439172.43299657339</v>
      </c>
      <c r="K99" s="279">
        <f>K98*'City Taxes'!K11</f>
        <v>459412.57145864994</v>
      </c>
      <c r="L99" s="279">
        <f>L98*'City Taxes'!L11</f>
        <v>473198.87237737974</v>
      </c>
      <c r="M99" s="279">
        <f>M98*'City Taxes'!M11</f>
        <v>481324.92451906792</v>
      </c>
      <c r="N99" s="279">
        <f>N98*'City Taxes'!N11</f>
        <v>489485.08742169267</v>
      </c>
      <c r="O99" s="279">
        <f>O98*'City Taxes'!O11</f>
        <v>497656.00121936377</v>
      </c>
      <c r="P99" s="279">
        <f>P98*'City Taxes'!P11</f>
        <v>505837.07558797055</v>
      </c>
      <c r="Q99" s="279">
        <f>Q98*'City Taxes'!Q11</f>
        <v>514033.32261373178</v>
      </c>
      <c r="R99" s="279">
        <f>R98*'City Taxes'!R11</f>
        <v>522238.40436011087</v>
      </c>
      <c r="S99" s="279">
        <f>S98*'City Taxes'!S11</f>
        <v>530451.67946862534</v>
      </c>
      <c r="T99" s="279">
        <f>T98*'City Taxes'!T11</f>
        <v>538675.69418028451</v>
      </c>
      <c r="U99" s="279">
        <f>U98*'City Taxes'!U11</f>
        <v>546918.53345662449</v>
      </c>
      <c r="V99" s="279">
        <f>V98*'City Taxes'!V11</f>
        <v>555170.76751368539</v>
      </c>
      <c r="W99" s="263"/>
      <c r="X99" s="279">
        <f>SUMIF($E$8:$V$8,'COS_RR (top sheet)'!$I$6,$E99:$V99)</f>
        <v>538675.69418028451</v>
      </c>
      <c r="Y99"/>
      <c r="Z99" s="263"/>
    </row>
    <row r="100" spans="1:26" s="4" customFormat="1" ht="15.75" customHeight="1">
      <c r="A100" s="411"/>
      <c r="B100" s="84"/>
      <c r="C100" s="236">
        <f>+MAX(C$10:C99)+1</f>
        <v>86</v>
      </c>
      <c r="D100" s="251" t="str">
        <f>"TOTAL "&amp;D91</f>
        <v>TOTAL 3 PH</v>
      </c>
      <c r="E100" s="256">
        <f>SUM(E98:E99)</f>
        <v>15293913.389085354</v>
      </c>
      <c r="F100" s="256">
        <f t="shared" ref="F100:V100" si="15">SUM(F98:F99)</f>
        <v>15729066.83073351</v>
      </c>
      <c r="G100" s="256">
        <f t="shared" si="15"/>
        <v>16369552.415843347</v>
      </c>
      <c r="H100" s="256">
        <f t="shared" si="15"/>
        <v>13574082.982931497</v>
      </c>
      <c r="I100" s="256">
        <f t="shared" si="15"/>
        <v>14938731.366573984</v>
      </c>
      <c r="J100" s="256">
        <f t="shared" si="15"/>
        <v>15445523.030981647</v>
      </c>
      <c r="K100" s="256">
        <f t="shared" si="15"/>
        <v>16157360.799653025</v>
      </c>
      <c r="L100" s="256">
        <f t="shared" si="15"/>
        <v>17769210.519386325</v>
      </c>
      <c r="M100" s="256">
        <f t="shared" si="15"/>
        <v>18074353.958278574</v>
      </c>
      <c r="N100" s="256">
        <f t="shared" si="15"/>
        <v>18380778.298980694</v>
      </c>
      <c r="O100" s="256">
        <f t="shared" si="15"/>
        <v>18687606.349261388</v>
      </c>
      <c r="P100" s="256">
        <f t="shared" si="15"/>
        <v>18994815.941710703</v>
      </c>
      <c r="Q100" s="256">
        <f t="shared" si="15"/>
        <v>19302595.286445692</v>
      </c>
      <c r="R100" s="256">
        <f t="shared" si="15"/>
        <v>19610706.386008732</v>
      </c>
      <c r="S100" s="256">
        <f t="shared" si="15"/>
        <v>19919125.156585254</v>
      </c>
      <c r="T100" s="256">
        <f t="shared" si="15"/>
        <v>20227947.212715302</v>
      </c>
      <c r="U100" s="256">
        <f t="shared" si="15"/>
        <v>20537476.15483404</v>
      </c>
      <c r="V100" s="256">
        <f t="shared" si="15"/>
        <v>20847357.882739387</v>
      </c>
      <c r="W100" s="205"/>
      <c r="X100" s="256">
        <f>SUMIF($E$8:$V$8,'COS_RR (top sheet)'!$I$6,$E100:$V100)</f>
        <v>20227947.212715302</v>
      </c>
      <c r="Y100"/>
      <c r="Z100" s="205"/>
    </row>
    <row r="101" spans="1:26" s="4" customFormat="1" ht="15.75" customHeight="1">
      <c r="A101" s="411"/>
      <c r="B101" s="84"/>
      <c r="C101" s="236">
        <f>+MAX(C$10:C100)+1</f>
        <v>87</v>
      </c>
      <c r="D101" s="251"/>
      <c r="E101" s="256"/>
      <c r="F101" s="256"/>
      <c r="G101" s="256"/>
      <c r="H101" s="256"/>
      <c r="I101" s="256"/>
      <c r="J101" s="256"/>
      <c r="K101" s="256"/>
      <c r="L101" s="256"/>
      <c r="M101" s="256"/>
      <c r="N101" s="256"/>
      <c r="O101" s="256"/>
      <c r="P101" s="256"/>
      <c r="Q101" s="256"/>
      <c r="R101" s="256"/>
      <c r="S101" s="256"/>
      <c r="T101" s="256"/>
      <c r="U101" s="256"/>
      <c r="V101" s="256"/>
      <c r="W101" s="205"/>
      <c r="X101" s="256"/>
      <c r="Y101"/>
      <c r="Z101" s="205"/>
    </row>
    <row r="102" spans="1:26" s="4" customFormat="1" ht="15.75" customHeight="1">
      <c r="A102" s="411"/>
      <c r="B102" s="84"/>
      <c r="C102" s="236">
        <f>+MAX(C$10:C101)+1</f>
        <v>88</v>
      </c>
      <c r="D102" s="278" t="s">
        <v>2147</v>
      </c>
      <c r="E102" s="16"/>
      <c r="F102" s="16"/>
      <c r="G102" s="16"/>
      <c r="H102" s="16"/>
      <c r="I102" s="16"/>
      <c r="J102" s="16"/>
      <c r="K102" s="16"/>
      <c r="L102" s="16"/>
      <c r="M102" s="16"/>
      <c r="N102" s="16"/>
      <c r="O102" s="16"/>
      <c r="P102" s="16"/>
      <c r="Q102" s="16"/>
      <c r="R102" s="16"/>
      <c r="S102" s="16"/>
      <c r="T102" s="16"/>
      <c r="U102" s="16"/>
      <c r="V102" s="16"/>
      <c r="W102" s="205"/>
      <c r="X102" s="16"/>
      <c r="Y102"/>
      <c r="Z102" s="205"/>
    </row>
    <row r="103" spans="1:26" s="4" customFormat="1" ht="15.75" customHeight="1">
      <c r="A103" s="411"/>
      <c r="B103" s="84"/>
      <c r="C103" s="236">
        <f>+MAX(C$10:C102)+1</f>
        <v>89</v>
      </c>
      <c r="D103" s="15" t="s">
        <v>848</v>
      </c>
      <c r="E103" s="16"/>
      <c r="F103" s="16"/>
      <c r="G103" s="16"/>
      <c r="H103" s="16"/>
      <c r="I103" s="16"/>
      <c r="J103" s="16"/>
      <c r="K103" s="16"/>
      <c r="L103" s="16"/>
      <c r="M103" s="16"/>
      <c r="N103" s="16"/>
      <c r="O103" s="16"/>
      <c r="P103" s="16"/>
      <c r="Q103" s="16"/>
      <c r="R103" s="16"/>
      <c r="S103" s="16"/>
      <c r="T103" s="16"/>
      <c r="U103" s="16"/>
      <c r="V103" s="16"/>
      <c r="W103" s="205"/>
      <c r="X103" s="16"/>
      <c r="Y103"/>
      <c r="Z103" s="205"/>
    </row>
    <row r="104" spans="1:26" s="4" customFormat="1" ht="15.75" customHeight="1">
      <c r="A104" s="411"/>
      <c r="B104" s="84"/>
      <c r="C104" s="236">
        <f>+MAX(C$10:C103)+1</f>
        <v>90</v>
      </c>
      <c r="D104" s="39" t="s">
        <v>251</v>
      </c>
      <c r="E104" s="279">
        <f>Cust_Detail!F60*Rates!F105*INDEX(Rates!$F$103:$W$103,1,MATCH(E$8,Rates!$F$7:$W$7,0))</f>
        <v>0</v>
      </c>
      <c r="F104" s="279">
        <f>Cust_Detail!G60*Rates!G105*INDEX(Rates!$F$103:$W$103,1,MATCH(F$8,Rates!$F$7:$W$7,0))</f>
        <v>0</v>
      </c>
      <c r="G104" s="279">
        <f>Cust_Detail!H60*Rates!H105*INDEX(Rates!$F$103:$W$103,1,MATCH(G$8,Rates!$F$7:$W$7,0))</f>
        <v>0</v>
      </c>
      <c r="H104" s="279">
        <f>Cust_Detail!I60*Rates!I105*INDEX(Rates!$F$103:$W$103,1,MATCH(H$8,Rates!$F$7:$W$7,0))</f>
        <v>0</v>
      </c>
      <c r="I104" s="279">
        <f>Cust_Detail!J60*Rates!J105*INDEX(Rates!$F$103:$W$103,1,MATCH(I$8,Rates!$F$7:$W$7,0))</f>
        <v>0</v>
      </c>
      <c r="J104" s="279">
        <f>Cust_Detail!K60*Rates!K105*INDEX(Rates!$F$103:$W$103,1,MATCH(J$8,Rates!$F$7:$W$7,0))</f>
        <v>0</v>
      </c>
      <c r="K104" s="279">
        <f>Cust_Detail!L60*Rates!L105*INDEX(Rates!$F$103:$W$103,1,MATCH(K$8,Rates!$F$7:$W$7,0))</f>
        <v>328.5</v>
      </c>
      <c r="L104" s="279">
        <f>Cust_Detail!M60*Rates!M105*INDEX(Rates!$F$103:$W$103,1,MATCH(L$8,Rates!$F$7:$W$7,0))</f>
        <v>346.75</v>
      </c>
      <c r="M104" s="279">
        <f>Cust_Detail!N60*Rates!N105*INDEX(Rates!$F$103:$W$103,1,MATCH(M$8,Rates!$F$7:$W$7,0))</f>
        <v>346.75</v>
      </c>
      <c r="N104" s="279">
        <f>Cust_Detail!O60*Rates!O105*INDEX(Rates!$F$103:$W$103,1,MATCH(N$8,Rates!$F$7:$W$7,0))</f>
        <v>346.75</v>
      </c>
      <c r="O104" s="279">
        <f>Cust_Detail!P60*Rates!P105*INDEX(Rates!$F$103:$W$103,1,MATCH(O$8,Rates!$F$7:$W$7,0))</f>
        <v>346.75</v>
      </c>
      <c r="P104" s="279">
        <f>Cust_Detail!Q60*Rates!Q105*INDEX(Rates!$F$103:$W$103,1,MATCH(P$8,Rates!$F$7:$W$7,0))</f>
        <v>346.75</v>
      </c>
      <c r="Q104" s="279">
        <f>Cust_Detail!R60*Rates!R105*INDEX(Rates!$F$103:$W$103,1,MATCH(Q$8,Rates!$F$7:$W$7,0))</f>
        <v>346.75</v>
      </c>
      <c r="R104" s="279">
        <f>Cust_Detail!S60*Rates!S105*INDEX(Rates!$F$103:$W$103,1,MATCH(R$8,Rates!$F$7:$W$7,0))</f>
        <v>346.75</v>
      </c>
      <c r="S104" s="279">
        <f>Cust_Detail!T60*Rates!T105*INDEX(Rates!$F$103:$W$103,1,MATCH(S$8,Rates!$F$7:$W$7,0))</f>
        <v>346.75</v>
      </c>
      <c r="T104" s="279">
        <f>Cust_Detail!U60*Rates!U105*INDEX(Rates!$F$103:$W$103,1,MATCH(T$8,Rates!$F$7:$W$7,0))</f>
        <v>346.75</v>
      </c>
      <c r="U104" s="279">
        <f>Cust_Detail!V60*Rates!V105*INDEX(Rates!$F$103:$W$103,1,MATCH(U$8,Rates!$F$7:$W$7,0))</f>
        <v>346.75</v>
      </c>
      <c r="V104" s="279">
        <f>Cust_Detail!W60*Rates!W105*INDEX(Rates!$F$103:$W$103,1,MATCH(V$8,Rates!$F$7:$W$7,0))</f>
        <v>346.75</v>
      </c>
      <c r="W104" s="205"/>
      <c r="X104" s="279">
        <f>SUMIF($E$8:$V$8,'COS_RR (top sheet)'!$I$6,$E104:$V104)</f>
        <v>346.75</v>
      </c>
      <c r="Y104"/>
      <c r="Z104" s="205"/>
    </row>
    <row r="105" spans="1:26" s="4" customFormat="1" ht="15.75" customHeight="1">
      <c r="A105" s="411"/>
      <c r="B105" s="84"/>
      <c r="C105" s="236">
        <f>+MAX(C$10:C104)+1</f>
        <v>91</v>
      </c>
      <c r="D105" s="39" t="s">
        <v>723</v>
      </c>
      <c r="E105" s="16"/>
      <c r="F105" s="16"/>
      <c r="G105" s="16"/>
      <c r="H105" s="16"/>
      <c r="I105" s="16"/>
      <c r="J105" s="16"/>
      <c r="K105" s="16"/>
      <c r="L105" s="16"/>
      <c r="M105" s="16"/>
      <c r="N105" s="16"/>
      <c r="O105" s="16"/>
      <c r="P105" s="16"/>
      <c r="Q105" s="16"/>
      <c r="R105" s="16"/>
      <c r="S105" s="16"/>
      <c r="T105" s="16"/>
      <c r="U105" s="16"/>
      <c r="V105" s="16"/>
      <c r="W105" s="205"/>
      <c r="X105" s="16"/>
      <c r="Y105"/>
      <c r="Z105" s="205"/>
    </row>
    <row r="106" spans="1:26" s="4" customFormat="1" ht="15.75" customHeight="1">
      <c r="A106" s="411"/>
      <c r="B106" s="84"/>
      <c r="C106" s="236">
        <f>+MAX(C$10:C105)+1</f>
        <v>92</v>
      </c>
      <c r="D106" s="41" t="s">
        <v>2105</v>
      </c>
      <c r="E106" s="16">
        <f>Cust_Detail!F62*Rates!F110</f>
        <v>637.76700000000005</v>
      </c>
      <c r="F106" s="16">
        <f>Cust_Detail!G62*Rates!G110</f>
        <v>705.84459000000004</v>
      </c>
      <c r="G106" s="16">
        <f>Cust_Detail!H62*Rates!H110</f>
        <v>656.663095</v>
      </c>
      <c r="H106" s="16">
        <f>Cust_Detail!I62*Rates!I110</f>
        <v>401.47200000000004</v>
      </c>
      <c r="I106" s="16">
        <f>Cust_Detail!J62*Rates!J110</f>
        <v>394.78900000000004</v>
      </c>
      <c r="J106" s="16">
        <f>Cust_Detail!K62*Rates!K110</f>
        <v>446.90000000000003</v>
      </c>
      <c r="K106" s="16">
        <f>Cust_Detail!L62*Rates!L110</f>
        <v>723.28100000000006</v>
      </c>
      <c r="L106" s="16">
        <f>Cust_Detail!M62*Rates!M110</f>
        <v>762.149</v>
      </c>
      <c r="M106" s="16">
        <f>Cust_Detail!N62*Rates!N110</f>
        <v>774.69500000000005</v>
      </c>
      <c r="N106" s="16">
        <f>Cust_Detail!O62*Rates!O110</f>
        <v>787.28200000000004</v>
      </c>
      <c r="O106" s="16">
        <f>Cust_Detail!P62*Rates!P110</f>
        <v>799.86900000000003</v>
      </c>
      <c r="P106" s="16">
        <f>Cust_Detail!Q62*Rates!Q110</f>
        <v>812.45600000000002</v>
      </c>
      <c r="Q106" s="16">
        <f>Cust_Detail!R62*Rates!R110</f>
        <v>825.04300000000001</v>
      </c>
      <c r="R106" s="16">
        <f>Cust_Detail!S62*Rates!S110</f>
        <v>837.63</v>
      </c>
      <c r="S106" s="16">
        <f>Cust_Detail!T62*Rates!T110</f>
        <v>850.21699999999998</v>
      </c>
      <c r="T106" s="16">
        <f>Cust_Detail!U62*Rates!U110</f>
        <v>862.80400000000009</v>
      </c>
      <c r="U106" s="16">
        <f>Cust_Detail!V62*Rates!V110</f>
        <v>875.39100000000008</v>
      </c>
      <c r="V106" s="16">
        <f>Cust_Detail!W62*Rates!W110</f>
        <v>887.97800000000007</v>
      </c>
      <c r="W106" s="205"/>
      <c r="X106" s="16">
        <f>SUMIF($E$8:$V$8,'COS_RR (top sheet)'!$I$6,$E106:$V106)</f>
        <v>862.80400000000009</v>
      </c>
      <c r="Y106"/>
      <c r="Z106" s="205"/>
    </row>
    <row r="107" spans="1:26" s="4" customFormat="1" ht="15.75" customHeight="1">
      <c r="A107" s="411"/>
      <c r="B107" s="84"/>
      <c r="C107" s="236">
        <f>+MAX(C$10:C106)+1</f>
        <v>93</v>
      </c>
      <c r="D107" s="41" t="s">
        <v>909</v>
      </c>
      <c r="E107" s="277">
        <f>Cust_Detail!F63*Rates!F111</f>
        <v>0</v>
      </c>
      <c r="F107" s="277">
        <f>Cust_Detail!G63*Rates!G111</f>
        <v>0</v>
      </c>
      <c r="G107" s="277">
        <f>Cust_Detail!H63*Rates!H111</f>
        <v>0</v>
      </c>
      <c r="H107" s="277">
        <f>Cust_Detail!I63*Rates!I111</f>
        <v>0</v>
      </c>
      <c r="I107" s="277">
        <f>Cust_Detail!J63*Rates!J111</f>
        <v>0</v>
      </c>
      <c r="J107" s="277">
        <f>Cust_Detail!K63*Rates!K111</f>
        <v>0</v>
      </c>
      <c r="K107" s="277">
        <f>Cust_Detail!L63*Rates!L111</f>
        <v>0</v>
      </c>
      <c r="L107" s="277">
        <f>Cust_Detail!M63*Rates!M111</f>
        <v>0</v>
      </c>
      <c r="M107" s="277">
        <f>Cust_Detail!N63*Rates!N111</f>
        <v>0</v>
      </c>
      <c r="N107" s="277">
        <f>Cust_Detail!O63*Rates!O111</f>
        <v>0</v>
      </c>
      <c r="O107" s="277">
        <f>Cust_Detail!P63*Rates!P111</f>
        <v>0</v>
      </c>
      <c r="P107" s="277">
        <f>Cust_Detail!Q63*Rates!Q111</f>
        <v>0</v>
      </c>
      <c r="Q107" s="277">
        <f>Cust_Detail!R63*Rates!R111</f>
        <v>0</v>
      </c>
      <c r="R107" s="277">
        <f>Cust_Detail!S63*Rates!S111</f>
        <v>0</v>
      </c>
      <c r="S107" s="277">
        <f>Cust_Detail!T63*Rates!T111</f>
        <v>0</v>
      </c>
      <c r="T107" s="277">
        <f>Cust_Detail!U63*Rates!U111</f>
        <v>0</v>
      </c>
      <c r="U107" s="277">
        <f>Cust_Detail!V63*Rates!V111</f>
        <v>0</v>
      </c>
      <c r="V107" s="277">
        <f>Cust_Detail!W63*Rates!W111</f>
        <v>0</v>
      </c>
      <c r="W107" s="205"/>
      <c r="X107" s="277">
        <f>SUMIF($E$8:$V$8,'COS_RR (top sheet)'!$I$6,$E107:$V107)</f>
        <v>0</v>
      </c>
      <c r="Y107"/>
      <c r="Z107" s="205"/>
    </row>
    <row r="108" spans="1:26" s="40" customFormat="1" ht="15.75" customHeight="1">
      <c r="A108" s="411"/>
      <c r="B108" s="91"/>
      <c r="C108" s="236">
        <f>+MAX(C$10:C107)+1</f>
        <v>94</v>
      </c>
      <c r="D108" s="251" t="str">
        <f>"TOTAL "&amp;D102</f>
        <v>TOTAL Christmas Tree</v>
      </c>
      <c r="E108" s="256">
        <f>SUM(E104:E107)</f>
        <v>637.76700000000005</v>
      </c>
      <c r="F108" s="256">
        <f t="shared" ref="F108:V108" si="16">SUM(F104:F107)</f>
        <v>705.84459000000004</v>
      </c>
      <c r="G108" s="256">
        <f t="shared" si="16"/>
        <v>656.663095</v>
      </c>
      <c r="H108" s="256">
        <f t="shared" si="16"/>
        <v>401.47200000000004</v>
      </c>
      <c r="I108" s="256">
        <f t="shared" si="16"/>
        <v>394.78900000000004</v>
      </c>
      <c r="J108" s="256">
        <f t="shared" si="16"/>
        <v>446.90000000000003</v>
      </c>
      <c r="K108" s="256">
        <f t="shared" si="16"/>
        <v>1051.7809999999999</v>
      </c>
      <c r="L108" s="256">
        <f t="shared" si="16"/>
        <v>1108.8989999999999</v>
      </c>
      <c r="M108" s="256">
        <f t="shared" si="16"/>
        <v>1121.4450000000002</v>
      </c>
      <c r="N108" s="256">
        <f t="shared" si="16"/>
        <v>1134.0320000000002</v>
      </c>
      <c r="O108" s="256">
        <f t="shared" si="16"/>
        <v>1146.6190000000001</v>
      </c>
      <c r="P108" s="256">
        <f t="shared" si="16"/>
        <v>1159.2060000000001</v>
      </c>
      <c r="Q108" s="256">
        <f t="shared" si="16"/>
        <v>1171.7930000000001</v>
      </c>
      <c r="R108" s="256">
        <f t="shared" si="16"/>
        <v>1184.3800000000001</v>
      </c>
      <c r="S108" s="256">
        <f t="shared" si="16"/>
        <v>1196.9670000000001</v>
      </c>
      <c r="T108" s="256">
        <f t="shared" si="16"/>
        <v>1209.5540000000001</v>
      </c>
      <c r="U108" s="256">
        <f t="shared" si="16"/>
        <v>1222.1410000000001</v>
      </c>
      <c r="V108" s="256">
        <f t="shared" si="16"/>
        <v>1234.7280000000001</v>
      </c>
      <c r="W108" s="263"/>
      <c r="X108" s="256">
        <f>SUMIF($E$8:$V$8,'COS_RR (top sheet)'!$I$6,$E108:$V108)</f>
        <v>1209.5540000000001</v>
      </c>
      <c r="Y108"/>
      <c r="Z108" s="263"/>
    </row>
    <row r="109" spans="1:26" s="40" customFormat="1" ht="15.75" customHeight="1">
      <c r="A109" s="411"/>
      <c r="B109" s="91"/>
      <c r="C109" s="236">
        <f>+MAX(C$10:C108)+1</f>
        <v>95</v>
      </c>
      <c r="D109" s="39" t="s">
        <v>2723</v>
      </c>
      <c r="E109" s="279">
        <f>E108*'City Taxes'!E11</f>
        <v>18.664743519489257</v>
      </c>
      <c r="F109" s="279">
        <f>F108*'City Taxes'!F11</f>
        <v>20.657086736957307</v>
      </c>
      <c r="G109" s="279">
        <f>G108*'City Taxes'!G11</f>
        <v>19.217752324734594</v>
      </c>
      <c r="H109" s="279">
        <f>H108*'City Taxes'!H11</f>
        <v>11.749387958700263</v>
      </c>
      <c r="I109" s="279">
        <f>I108*'City Taxes'!I11</f>
        <v>11.55380480538448</v>
      </c>
      <c r="J109" s="279">
        <f>J108*'City Taxes'!J11</f>
        <v>13.07887344258914</v>
      </c>
      <c r="K109" s="279">
        <f>K108*'City Taxes'!K11</f>
        <v>30.781182788811474</v>
      </c>
      <c r="L109" s="279">
        <f>L108*'City Taxes'!L11</f>
        <v>30.338193977288814</v>
      </c>
      <c r="M109" s="279">
        <f>M108*'City Taxes'!M11</f>
        <v>30.681438025339244</v>
      </c>
      <c r="N109" s="279">
        <f>N108*'City Taxes'!N11</f>
        <v>31.025803785964996</v>
      </c>
      <c r="O109" s="279">
        <f>O108*'City Taxes'!O11</f>
        <v>31.370169546590745</v>
      </c>
      <c r="P109" s="279">
        <f>P108*'City Taxes'!P11</f>
        <v>31.714535307216497</v>
      </c>
      <c r="Q109" s="279">
        <f>Q108*'City Taxes'!Q11</f>
        <v>32.05890106784225</v>
      </c>
      <c r="R109" s="279">
        <f>R108*'City Taxes'!R11</f>
        <v>32.403266828467999</v>
      </c>
      <c r="S109" s="279">
        <f>S108*'City Taxes'!S11</f>
        <v>32.747632589093747</v>
      </c>
      <c r="T109" s="279">
        <f>T108*'City Taxes'!T11</f>
        <v>33.091998349719496</v>
      </c>
      <c r="U109" s="279">
        <f>U108*'City Taxes'!U11</f>
        <v>33.436364110345245</v>
      </c>
      <c r="V109" s="279">
        <f>V108*'City Taxes'!V11</f>
        <v>33.780729870971001</v>
      </c>
      <c r="W109" s="263"/>
      <c r="X109" s="279">
        <f>SUMIF($E$8:$V$8,'COS_RR (top sheet)'!$I$6,$E109:$V109)</f>
        <v>33.091998349719496</v>
      </c>
      <c r="Y109"/>
      <c r="Z109" s="263"/>
    </row>
    <row r="110" spans="1:26" s="4" customFormat="1" ht="15.75" customHeight="1">
      <c r="A110" s="411"/>
      <c r="B110" s="84"/>
      <c r="C110" s="236">
        <f>+MAX(C$10:C109)+1</f>
        <v>96</v>
      </c>
      <c r="D110" s="251" t="str">
        <f>"TOTAL "&amp;D102</f>
        <v>TOTAL Christmas Tree</v>
      </c>
      <c r="E110" s="256">
        <f>SUM(E108:E109)</f>
        <v>656.43174351948926</v>
      </c>
      <c r="F110" s="256">
        <f t="shared" ref="F110:V110" si="17">SUM(F108:F109)</f>
        <v>726.50167673695739</v>
      </c>
      <c r="G110" s="256">
        <f t="shared" si="17"/>
        <v>675.88084732473465</v>
      </c>
      <c r="H110" s="256">
        <f t="shared" si="17"/>
        <v>413.22138795870029</v>
      </c>
      <c r="I110" s="256">
        <f t="shared" si="17"/>
        <v>406.3428048053845</v>
      </c>
      <c r="J110" s="256">
        <f t="shared" si="17"/>
        <v>459.97887344258919</v>
      </c>
      <c r="K110" s="256">
        <f t="shared" si="17"/>
        <v>1082.5621827888115</v>
      </c>
      <c r="L110" s="256">
        <f t="shared" si="17"/>
        <v>1139.2371939772886</v>
      </c>
      <c r="M110" s="256">
        <f t="shared" si="17"/>
        <v>1152.1264380253394</v>
      </c>
      <c r="N110" s="256">
        <f t="shared" si="17"/>
        <v>1165.0578037859652</v>
      </c>
      <c r="O110" s="256">
        <f t="shared" si="17"/>
        <v>1177.9891695465908</v>
      </c>
      <c r="P110" s="256">
        <f t="shared" si="17"/>
        <v>1190.9205353072166</v>
      </c>
      <c r="Q110" s="256">
        <f t="shared" si="17"/>
        <v>1203.8519010678424</v>
      </c>
      <c r="R110" s="256">
        <f t="shared" si="17"/>
        <v>1216.7832668284682</v>
      </c>
      <c r="S110" s="256">
        <f t="shared" si="17"/>
        <v>1229.7146325890938</v>
      </c>
      <c r="T110" s="256">
        <f t="shared" si="17"/>
        <v>1242.6459983497195</v>
      </c>
      <c r="U110" s="256">
        <f t="shared" si="17"/>
        <v>1255.5773641103453</v>
      </c>
      <c r="V110" s="256">
        <f t="shared" si="17"/>
        <v>1268.5087298709711</v>
      </c>
      <c r="W110" s="205"/>
      <c r="X110" s="256">
        <f>SUMIF($E$8:$V$8,'COS_RR (top sheet)'!$I$6,$E110:$V110)</f>
        <v>1242.6459983497195</v>
      </c>
      <c r="Y110"/>
      <c r="Z110" s="205"/>
    </row>
    <row r="111" spans="1:26" s="4" customFormat="1" ht="15.75" customHeight="1">
      <c r="A111" s="411"/>
      <c r="B111" s="84"/>
      <c r="C111" s="236">
        <f>+MAX(C$10:C110)+1</f>
        <v>97</v>
      </c>
      <c r="D111" s="251"/>
      <c r="E111" s="256"/>
      <c r="F111" s="256"/>
      <c r="G111" s="256"/>
      <c r="H111" s="256"/>
      <c r="I111" s="256"/>
      <c r="J111" s="256"/>
      <c r="K111" s="256"/>
      <c r="L111" s="256"/>
      <c r="M111" s="256"/>
      <c r="N111" s="256"/>
      <c r="O111" s="256"/>
      <c r="P111" s="256"/>
      <c r="Q111" s="256"/>
      <c r="R111" s="256"/>
      <c r="S111" s="256"/>
      <c r="T111" s="256"/>
      <c r="U111" s="256"/>
      <c r="V111" s="256"/>
      <c r="W111" s="205"/>
      <c r="X111" s="256"/>
      <c r="Y111"/>
      <c r="Z111" s="205"/>
    </row>
    <row r="112" spans="1:26" s="4" customFormat="1" ht="15.75" customHeight="1">
      <c r="A112" s="411"/>
      <c r="B112" s="84"/>
      <c r="C112" s="236">
        <f>+MAX(C$10:C111)+1</f>
        <v>98</v>
      </c>
      <c r="D112" s="278" t="s">
        <v>2148</v>
      </c>
      <c r="E112" s="16"/>
      <c r="F112" s="16"/>
      <c r="G112" s="16"/>
      <c r="H112" s="16"/>
      <c r="I112" s="16"/>
      <c r="J112" s="16"/>
      <c r="K112" s="16"/>
      <c r="L112" s="16"/>
      <c r="M112" s="16"/>
      <c r="N112" s="16"/>
      <c r="O112" s="16"/>
      <c r="P112" s="16"/>
      <c r="Q112" s="16"/>
      <c r="R112" s="16"/>
      <c r="S112" s="16"/>
      <c r="T112" s="16"/>
      <c r="U112" s="16"/>
      <c r="V112" s="16"/>
      <c r="W112" s="205"/>
      <c r="X112" s="16"/>
      <c r="Y112"/>
      <c r="Z112" s="205"/>
    </row>
    <row r="113" spans="1:26" s="4" customFormat="1" ht="15.75" customHeight="1">
      <c r="A113" s="411"/>
      <c r="B113" s="84"/>
      <c r="C113" s="236">
        <f>+MAX(C$10:C112)+1</f>
        <v>99</v>
      </c>
      <c r="D113" s="15" t="s">
        <v>848</v>
      </c>
      <c r="E113" s="16"/>
      <c r="F113" s="16"/>
      <c r="G113" s="16"/>
      <c r="H113" s="16"/>
      <c r="I113" s="16"/>
      <c r="J113" s="16"/>
      <c r="K113" s="16"/>
      <c r="L113" s="16"/>
      <c r="M113" s="16"/>
      <c r="N113" s="16"/>
      <c r="O113" s="16"/>
      <c r="P113" s="16"/>
      <c r="Q113" s="16"/>
      <c r="R113" s="16"/>
      <c r="S113" s="16"/>
      <c r="T113" s="16"/>
      <c r="U113" s="16"/>
      <c r="V113" s="16"/>
      <c r="W113" s="205"/>
      <c r="X113" s="16"/>
      <c r="Y113"/>
      <c r="Z113" s="205"/>
    </row>
    <row r="114" spans="1:26" s="4" customFormat="1" ht="15.75" customHeight="1">
      <c r="A114" s="411"/>
      <c r="B114" s="84"/>
      <c r="C114" s="236">
        <f>+MAX(C$10:C113)+1</f>
        <v>100</v>
      </c>
      <c r="D114" s="39" t="s">
        <v>251</v>
      </c>
      <c r="E114" s="279">
        <f>Cust_Detail!F67*Rates!F90*INDEX(Rates!$F$103:$W$103,1,MATCH(E$8,Rates!$F$7:$W$7,0))</f>
        <v>20656.252215288612</v>
      </c>
      <c r="F114" s="279">
        <f>Cust_Detail!G67*Rates!G90*INDEX(Rates!$F$103:$W$103,1,MATCH(F$8,Rates!$F$7:$W$7,0))</f>
        <v>21102.070608424339</v>
      </c>
      <c r="G114" s="279">
        <f>Cust_Detail!H67*Rates!H90*INDEX(Rates!$F$103:$W$103,1,MATCH(G$8,Rates!$F$7:$W$7,0))</f>
        <v>19913.221560062404</v>
      </c>
      <c r="H114" s="279">
        <f>Cust_Detail!I67*Rates!I90*INDEX(Rates!$F$103:$W$103,1,MATCH(H$8,Rates!$F$7:$W$7,0))</f>
        <v>24901.567883211679</v>
      </c>
      <c r="I114" s="279">
        <f>Cust_Detail!J67*Rates!J90*INDEX(Rates!$F$103:$W$103,1,MATCH(I$8,Rates!$F$7:$W$7,0))</f>
        <v>27127.479604947741</v>
      </c>
      <c r="J114" s="279">
        <f>Cust_Detail!K67*Rates!K90*INDEX(Rates!$F$103:$W$103,1,MATCH(J$8,Rates!$F$7:$W$7,0))</f>
        <v>28411.600000000002</v>
      </c>
      <c r="K114" s="279">
        <f>Cust_Detail!L67*Rates!L90*INDEX(Rates!$F$103:$W$103,1,MATCH(K$8,Rates!$F$7:$W$7,0))</f>
        <v>30364.35</v>
      </c>
      <c r="L114" s="279">
        <f>Cust_Detail!M67*Rates!M90*INDEX(Rates!$F$103:$W$103,1,MATCH(L$8,Rates!$F$7:$W$7,0))</f>
        <v>32882.85</v>
      </c>
      <c r="M114" s="279">
        <f>Cust_Detail!N67*Rates!N90*INDEX(Rates!$F$103:$W$103,1,MATCH(M$8,Rates!$F$7:$W$7,0))</f>
        <v>33802.65</v>
      </c>
      <c r="N114" s="279">
        <f>Cust_Detail!O67*Rates!O90*INDEX(Rates!$F$103:$W$103,1,MATCH(N$8,Rates!$F$7:$W$7,0))</f>
        <v>34722.449999999997</v>
      </c>
      <c r="O114" s="279">
        <f>Cust_Detail!P67*Rates!P90*INDEX(Rates!$F$103:$W$103,1,MATCH(O$8,Rates!$F$7:$W$7,0))</f>
        <v>35642.25</v>
      </c>
      <c r="P114" s="279">
        <f>Cust_Detail!Q67*Rates!Q90*INDEX(Rates!$F$103:$W$103,1,MATCH(P$8,Rates!$F$7:$W$7,0))</f>
        <v>36562.050000000003</v>
      </c>
      <c r="Q114" s="279">
        <f>Cust_Detail!R67*Rates!R90*INDEX(Rates!$F$103:$W$103,1,MATCH(Q$8,Rates!$F$7:$W$7,0))</f>
        <v>37481.85</v>
      </c>
      <c r="R114" s="279">
        <f>Cust_Detail!S67*Rates!S90*INDEX(Rates!$F$103:$W$103,1,MATCH(R$8,Rates!$F$7:$W$7,0))</f>
        <v>38631.599999999999</v>
      </c>
      <c r="S114" s="279">
        <f>Cust_Detail!T67*Rates!T90*INDEX(Rates!$F$103:$W$103,1,MATCH(S$8,Rates!$F$7:$W$7,0))</f>
        <v>39781.35</v>
      </c>
      <c r="T114" s="279">
        <f>Cust_Detail!U67*Rates!U90*INDEX(Rates!$F$103:$W$103,1,MATCH(T$8,Rates!$F$7:$W$7,0))</f>
        <v>40931.1</v>
      </c>
      <c r="U114" s="279">
        <f>Cust_Detail!V67*Rates!V90*INDEX(Rates!$F$103:$W$103,1,MATCH(U$8,Rates!$F$7:$W$7,0))</f>
        <v>42080.850000000006</v>
      </c>
      <c r="V114" s="279">
        <f>Cust_Detail!W67*Rates!W90*INDEX(Rates!$F$103:$W$103,1,MATCH(V$8,Rates!$F$7:$W$7,0))</f>
        <v>43230.6</v>
      </c>
      <c r="W114" s="205"/>
      <c r="X114" s="279">
        <f>SUMIF($E$8:$V$8,'COS_RR (top sheet)'!$I$6,$E114:$V114)</f>
        <v>40931.1</v>
      </c>
      <c r="Y114"/>
      <c r="Z114" s="205"/>
    </row>
    <row r="115" spans="1:26" s="4" customFormat="1" ht="15.75" customHeight="1">
      <c r="A115" s="411"/>
      <c r="B115" s="84"/>
      <c r="C115" s="236">
        <f>+MAX(C$10:C114)+1</f>
        <v>101</v>
      </c>
      <c r="D115" s="39" t="s">
        <v>723</v>
      </c>
      <c r="E115" s="16"/>
      <c r="F115" s="16"/>
      <c r="G115" s="16"/>
      <c r="H115" s="16"/>
      <c r="I115" s="16"/>
      <c r="J115" s="16"/>
      <c r="K115" s="16"/>
      <c r="L115" s="16"/>
      <c r="M115" s="16"/>
      <c r="N115" s="16"/>
      <c r="O115" s="16"/>
      <c r="P115" s="16"/>
      <c r="Q115" s="16"/>
      <c r="R115" s="16"/>
      <c r="S115" s="16"/>
      <c r="T115" s="16"/>
      <c r="U115" s="16"/>
      <c r="V115" s="16"/>
      <c r="W115" s="205"/>
      <c r="X115" s="16"/>
      <c r="Y115"/>
      <c r="Z115" s="205"/>
    </row>
    <row r="116" spans="1:26" s="4" customFormat="1" ht="15.75" customHeight="1">
      <c r="A116" s="411"/>
      <c r="B116" s="84"/>
      <c r="C116" s="236">
        <f>+MAX(C$10:C115)+1</f>
        <v>102</v>
      </c>
      <c r="D116" s="41" t="s">
        <v>2105</v>
      </c>
      <c r="E116" s="16">
        <f>Cust_Detail!F69*Rates!F95</f>
        <v>20288.502</v>
      </c>
      <c r="F116" s="16">
        <f>Cust_Detail!G69*Rates!G95</f>
        <v>21666.513660000001</v>
      </c>
      <c r="G116" s="16">
        <f>Cust_Detail!H69*Rates!H95</f>
        <v>21625.264705000001</v>
      </c>
      <c r="H116" s="16">
        <f>Cust_Detail!I69*Rates!I95</f>
        <v>21189.906999999999</v>
      </c>
      <c r="I116" s="16">
        <f>Cust_Detail!J69*Rates!J95</f>
        <v>20996.263999999999</v>
      </c>
      <c r="J116" s="16">
        <f>Cust_Detail!K69*Rates!K95</f>
        <v>21551.117000000002</v>
      </c>
      <c r="K116" s="16">
        <f>Cust_Detail!L69*Rates!L95</f>
        <v>21978.624</v>
      </c>
      <c r="L116" s="16">
        <f>Cust_Detail!M69*Rates!M95</f>
        <v>23159.547000000002</v>
      </c>
      <c r="M116" s="16">
        <f>Cust_Detail!N69*Rates!N95</f>
        <v>23541.134000000002</v>
      </c>
      <c r="N116" s="16">
        <f>Cust_Detail!O69*Rates!O95</f>
        <v>23923.992000000002</v>
      </c>
      <c r="O116" s="16">
        <f>Cust_Detail!P69*Rates!P95</f>
        <v>24306.891</v>
      </c>
      <c r="P116" s="16">
        <f>Cust_Detail!Q69*Rates!Q95</f>
        <v>24689.339</v>
      </c>
      <c r="Q116" s="16">
        <f>Cust_Detail!R69*Rates!R95</f>
        <v>25072.074000000001</v>
      </c>
      <c r="R116" s="16">
        <f>Cust_Detail!S69*Rates!S95</f>
        <v>25454.768</v>
      </c>
      <c r="S116" s="16">
        <f>Cust_Detail!T69*Rates!T95</f>
        <v>25837.38</v>
      </c>
      <c r="T116" s="16">
        <f>Cust_Detail!U69*Rates!U95</f>
        <v>26220.074000000001</v>
      </c>
      <c r="U116" s="16">
        <f>Cust_Detail!V69*Rates!V95</f>
        <v>26602.727000000003</v>
      </c>
      <c r="V116" s="16">
        <f>Cust_Detail!W69*Rates!W95</f>
        <v>26985.38</v>
      </c>
      <c r="W116" s="205"/>
      <c r="X116" s="16">
        <f>SUMIF($E$8:$V$8,'COS_RR (top sheet)'!$I$6,$E116:$V116)</f>
        <v>26220.074000000001</v>
      </c>
      <c r="Y116"/>
      <c r="Z116" s="205"/>
    </row>
    <row r="117" spans="1:26" s="4" customFormat="1" ht="15.75" customHeight="1">
      <c r="A117" s="411"/>
      <c r="B117" s="84"/>
      <c r="C117" s="236">
        <f>+MAX(C$10:C116)+1</f>
        <v>103</v>
      </c>
      <c r="D117" s="41" t="s">
        <v>909</v>
      </c>
      <c r="E117" s="277">
        <f>Cust_Detail!F70*Rates!F96</f>
        <v>0</v>
      </c>
      <c r="F117" s="277">
        <f>Cust_Detail!G70*Rates!G96</f>
        <v>0</v>
      </c>
      <c r="G117" s="277">
        <f>Cust_Detail!H70*Rates!H96</f>
        <v>0</v>
      </c>
      <c r="H117" s="277">
        <f>Cust_Detail!I70*Rates!I96</f>
        <v>0</v>
      </c>
      <c r="I117" s="277">
        <f>Cust_Detail!J70*Rates!J96</f>
        <v>0</v>
      </c>
      <c r="J117" s="277">
        <f>Cust_Detail!K70*Rates!K96</f>
        <v>0</v>
      </c>
      <c r="K117" s="277">
        <f>Cust_Detail!L70*Rates!L96</f>
        <v>0</v>
      </c>
      <c r="L117" s="277">
        <f>Cust_Detail!M70*Rates!M96</f>
        <v>0</v>
      </c>
      <c r="M117" s="277">
        <f>Cust_Detail!N70*Rates!N96</f>
        <v>0</v>
      </c>
      <c r="N117" s="277">
        <f>Cust_Detail!O70*Rates!O96</f>
        <v>0</v>
      </c>
      <c r="O117" s="277">
        <f>Cust_Detail!P70*Rates!P96</f>
        <v>0</v>
      </c>
      <c r="P117" s="277">
        <f>Cust_Detail!Q70*Rates!Q96</f>
        <v>0</v>
      </c>
      <c r="Q117" s="277">
        <f>Cust_Detail!R70*Rates!R96</f>
        <v>0</v>
      </c>
      <c r="R117" s="277">
        <f>Cust_Detail!S70*Rates!S96</f>
        <v>0</v>
      </c>
      <c r="S117" s="277">
        <f>Cust_Detail!T70*Rates!T96</f>
        <v>0</v>
      </c>
      <c r="T117" s="277">
        <f>Cust_Detail!U70*Rates!U96</f>
        <v>0</v>
      </c>
      <c r="U117" s="277">
        <f>Cust_Detail!V70*Rates!V96</f>
        <v>0</v>
      </c>
      <c r="V117" s="277">
        <f>Cust_Detail!W70*Rates!W96</f>
        <v>0</v>
      </c>
      <c r="W117" s="205"/>
      <c r="X117" s="277">
        <f>SUMIF($E$8:$V$8,'COS_RR (top sheet)'!$I$6,$E117:$V117)</f>
        <v>0</v>
      </c>
      <c r="Y117"/>
      <c r="Z117" s="205"/>
    </row>
    <row r="118" spans="1:26" s="40" customFormat="1" ht="15.75" customHeight="1">
      <c r="A118" s="411"/>
      <c r="B118" s="91"/>
      <c r="C118" s="236">
        <f>+MAX(C$10:C117)+1</f>
        <v>104</v>
      </c>
      <c r="D118" s="251" t="str">
        <f>"TOTAL "&amp;D112</f>
        <v>TOTAL Flat</v>
      </c>
      <c r="E118" s="256">
        <f>SUM(E114:E117)</f>
        <v>40944.754215288616</v>
      </c>
      <c r="F118" s="256">
        <f t="shared" ref="F118:V118" si="18">SUM(F114:F117)</f>
        <v>42768.58426842434</v>
      </c>
      <c r="G118" s="256">
        <f t="shared" si="18"/>
        <v>41538.486265062405</v>
      </c>
      <c r="H118" s="256">
        <f t="shared" si="18"/>
        <v>46091.474883211675</v>
      </c>
      <c r="I118" s="256">
        <f t="shared" si="18"/>
        <v>48123.74360494774</v>
      </c>
      <c r="J118" s="256">
        <f t="shared" si="18"/>
        <v>49962.717000000004</v>
      </c>
      <c r="K118" s="256">
        <f t="shared" si="18"/>
        <v>52342.974000000002</v>
      </c>
      <c r="L118" s="256">
        <f t="shared" si="18"/>
        <v>56042.396999999997</v>
      </c>
      <c r="M118" s="256">
        <f t="shared" si="18"/>
        <v>57343.784</v>
      </c>
      <c r="N118" s="256">
        <f t="shared" si="18"/>
        <v>58646.441999999995</v>
      </c>
      <c r="O118" s="256">
        <f t="shared" si="18"/>
        <v>59949.141000000003</v>
      </c>
      <c r="P118" s="256">
        <f t="shared" si="18"/>
        <v>61251.389000000003</v>
      </c>
      <c r="Q118" s="256">
        <f t="shared" si="18"/>
        <v>62553.923999999999</v>
      </c>
      <c r="R118" s="256">
        <f t="shared" si="18"/>
        <v>64086.368000000002</v>
      </c>
      <c r="S118" s="256">
        <f t="shared" si="18"/>
        <v>65618.73</v>
      </c>
      <c r="T118" s="256">
        <f t="shared" si="18"/>
        <v>67151.173999999999</v>
      </c>
      <c r="U118" s="256">
        <f t="shared" si="18"/>
        <v>68683.577000000005</v>
      </c>
      <c r="V118" s="256">
        <f t="shared" si="18"/>
        <v>70215.98</v>
      </c>
      <c r="W118" s="263"/>
      <c r="X118" s="256">
        <f>SUMIF($E$8:$V$8,'COS_RR (top sheet)'!$I$6,$E118:$V118)</f>
        <v>67151.173999999999</v>
      </c>
      <c r="Y118"/>
      <c r="Z118" s="263"/>
    </row>
    <row r="119" spans="1:26" s="40" customFormat="1" ht="15.75" customHeight="1">
      <c r="A119" s="411"/>
      <c r="B119" s="91"/>
      <c r="C119" s="236">
        <f>+MAX(C$10:C118)+1</f>
        <v>105</v>
      </c>
      <c r="D119" s="39" t="s">
        <v>2723</v>
      </c>
      <c r="E119" s="279">
        <f>E118*'City Taxes'!E11</f>
        <v>1198.2798355777088</v>
      </c>
      <c r="F119" s="279">
        <f>F118*'City Taxes'!F11</f>
        <v>1251.6556298174778</v>
      </c>
      <c r="G119" s="279">
        <f>G118*'City Taxes'!G11</f>
        <v>1215.6558622901732</v>
      </c>
      <c r="H119" s="279">
        <f>H118*'City Taxes'!H11</f>
        <v>1348.9025884533487</v>
      </c>
      <c r="I119" s="279">
        <f>I118*'City Taxes'!I11</f>
        <v>1408.3785012144103</v>
      </c>
      <c r="J119" s="279">
        <f>J118*'City Taxes'!J11</f>
        <v>1462.197477043851</v>
      </c>
      <c r="K119" s="279">
        <f>K118*'City Taxes'!K11</f>
        <v>1531.8575353652582</v>
      </c>
      <c r="L119" s="279">
        <f>L118*'City Taxes'!L11</f>
        <v>1533.2551577179065</v>
      </c>
      <c r="M119" s="279">
        <f>M118*'City Taxes'!M11</f>
        <v>1568.859600724458</v>
      </c>
      <c r="N119" s="279">
        <f>N118*'City Taxes'!N11</f>
        <v>1604.4988168208447</v>
      </c>
      <c r="O119" s="279">
        <f>O118*'City Taxes'!O11</f>
        <v>1640.1391546298069</v>
      </c>
      <c r="P119" s="279">
        <f>P118*'City Taxes'!P11</f>
        <v>1675.7671536004402</v>
      </c>
      <c r="Q119" s="279">
        <f>Q118*'City Taxes'!Q11</f>
        <v>1711.403004559101</v>
      </c>
      <c r="R119" s="279">
        <f>R118*'City Taxes'!R11</f>
        <v>1753.3288998221794</v>
      </c>
      <c r="S119" s="279">
        <f>S118*'City Taxes'!S11</f>
        <v>1795.252551660107</v>
      </c>
      <c r="T119" s="279">
        <f>T118*'City Taxes'!T11</f>
        <v>1837.1784469231854</v>
      </c>
      <c r="U119" s="279">
        <f>U118*'City Taxes'!U11</f>
        <v>1879.1032204736887</v>
      </c>
      <c r="V119" s="279">
        <f>V118*'City Taxes'!V11</f>
        <v>1921.0279940241915</v>
      </c>
      <c r="W119" s="263"/>
      <c r="X119" s="279">
        <f>SUMIF($E$8:$V$8,'COS_RR (top sheet)'!$I$6,$E119:$V119)</f>
        <v>1837.1784469231854</v>
      </c>
      <c r="Y119"/>
      <c r="Z119" s="263"/>
    </row>
    <row r="120" spans="1:26" s="4" customFormat="1" ht="15.75" customHeight="1">
      <c r="A120" s="411"/>
      <c r="B120" s="84"/>
      <c r="C120" s="236">
        <f>+MAX(C$10:C119)+1</f>
        <v>106</v>
      </c>
      <c r="D120" s="251" t="str">
        <f>"TOTAL "&amp;D112</f>
        <v>TOTAL Flat</v>
      </c>
      <c r="E120" s="256">
        <f>SUM(E118:E119)</f>
        <v>42143.034050866328</v>
      </c>
      <c r="F120" s="256">
        <f t="shared" ref="F120:V120" si="19">SUM(F118:F119)</f>
        <v>44020.239898241816</v>
      </c>
      <c r="G120" s="256">
        <f t="shared" si="19"/>
        <v>42754.142127352578</v>
      </c>
      <c r="H120" s="256">
        <f t="shared" si="19"/>
        <v>47440.377471665022</v>
      </c>
      <c r="I120" s="256">
        <f t="shared" si="19"/>
        <v>49532.122106162147</v>
      </c>
      <c r="J120" s="256">
        <f t="shared" si="19"/>
        <v>51424.914477043858</v>
      </c>
      <c r="K120" s="256">
        <f t="shared" si="19"/>
        <v>53874.831535365258</v>
      </c>
      <c r="L120" s="256">
        <f t="shared" si="19"/>
        <v>57575.652157717901</v>
      </c>
      <c r="M120" s="256">
        <f t="shared" si="19"/>
        <v>58912.643600724456</v>
      </c>
      <c r="N120" s="256">
        <f t="shared" si="19"/>
        <v>60250.940816820839</v>
      </c>
      <c r="O120" s="256">
        <f t="shared" si="19"/>
        <v>61589.280154629807</v>
      </c>
      <c r="P120" s="256">
        <f t="shared" si="19"/>
        <v>62927.156153600445</v>
      </c>
      <c r="Q120" s="256">
        <f t="shared" si="19"/>
        <v>64265.327004559098</v>
      </c>
      <c r="R120" s="256">
        <f t="shared" si="19"/>
        <v>65839.696899822186</v>
      </c>
      <c r="S120" s="256">
        <f t="shared" si="19"/>
        <v>67413.982551660098</v>
      </c>
      <c r="T120" s="256">
        <f t="shared" si="19"/>
        <v>68988.352446923178</v>
      </c>
      <c r="U120" s="256">
        <f t="shared" si="19"/>
        <v>70562.680220473689</v>
      </c>
      <c r="V120" s="256">
        <f t="shared" si="19"/>
        <v>72137.007994024185</v>
      </c>
      <c r="W120" s="205"/>
      <c r="X120" s="256">
        <f>SUMIF($E$8:$V$8,'COS_RR (top sheet)'!$I$6,$E120:$V120)</f>
        <v>68988.352446923178</v>
      </c>
      <c r="Y120"/>
      <c r="Z120" s="205"/>
    </row>
    <row r="121" spans="1:26" s="4" customFormat="1" ht="15.75" customHeight="1">
      <c r="A121" s="411"/>
      <c r="B121" s="84"/>
      <c r="C121" s="236">
        <f>+MAX(C$10:C120)+1</f>
        <v>107</v>
      </c>
      <c r="D121" s="15"/>
      <c r="E121" s="16"/>
      <c r="F121" s="16"/>
      <c r="G121" s="16"/>
      <c r="H121" s="16"/>
      <c r="I121" s="16"/>
      <c r="J121" s="16"/>
      <c r="K121" s="16"/>
      <c r="L121" s="16"/>
      <c r="M121" s="16"/>
      <c r="N121" s="16"/>
      <c r="O121" s="16"/>
      <c r="P121" s="16"/>
      <c r="Q121" s="16"/>
      <c r="R121" s="16"/>
      <c r="S121" s="16"/>
      <c r="T121" s="16"/>
      <c r="U121" s="16"/>
      <c r="V121" s="16"/>
      <c r="W121" s="205"/>
      <c r="X121" s="16"/>
      <c r="Y121"/>
      <c r="Z121" s="205"/>
    </row>
    <row r="122" spans="1:26" s="4" customFormat="1" ht="15.75" customHeight="1">
      <c r="A122" s="411"/>
      <c r="B122" s="84"/>
      <c r="C122" s="236">
        <f>+MAX(C$10:C121)+1</f>
        <v>108</v>
      </c>
      <c r="D122" s="751" t="s">
        <v>226</v>
      </c>
      <c r="E122" s="16"/>
      <c r="F122" s="16"/>
      <c r="G122" s="16"/>
      <c r="H122" s="16"/>
      <c r="I122" s="16"/>
      <c r="J122" s="16"/>
      <c r="K122" s="16"/>
      <c r="L122" s="16"/>
      <c r="M122" s="16"/>
      <c r="N122" s="16"/>
      <c r="O122" s="16"/>
      <c r="P122" s="16"/>
      <c r="Q122" s="16"/>
      <c r="R122" s="16"/>
      <c r="S122" s="16"/>
      <c r="T122" s="16"/>
      <c r="U122" s="16"/>
      <c r="V122" s="16"/>
      <c r="W122" s="16"/>
      <c r="X122" s="16"/>
      <c r="Y122"/>
      <c r="Z122" s="16"/>
    </row>
    <row r="123" spans="1:26" s="4" customFormat="1" ht="15.75" customHeight="1">
      <c r="A123" s="411"/>
      <c r="B123" s="84"/>
      <c r="C123" s="236">
        <f>+MAX(C$10:C122)+1</f>
        <v>109</v>
      </c>
      <c r="D123" s="273"/>
      <c r="E123" s="16"/>
      <c r="F123" s="16"/>
      <c r="G123" s="16"/>
      <c r="H123" s="16"/>
      <c r="I123" s="16"/>
      <c r="J123" s="16"/>
      <c r="K123" s="16"/>
      <c r="L123" s="16"/>
      <c r="M123" s="16"/>
      <c r="N123" s="16"/>
      <c r="O123" s="16"/>
      <c r="P123" s="16"/>
      <c r="Q123" s="16"/>
      <c r="R123" s="16"/>
      <c r="S123" s="16"/>
      <c r="T123" s="16"/>
      <c r="U123" s="16"/>
      <c r="V123" s="16"/>
      <c r="W123" s="16"/>
      <c r="X123" s="16"/>
      <c r="Y123"/>
      <c r="Z123" s="16"/>
    </row>
    <row r="124" spans="1:26" s="4" customFormat="1" ht="15.75" customHeight="1">
      <c r="A124" s="411"/>
      <c r="B124" s="84"/>
      <c r="C124" s="236">
        <f>+MAX(C$10:C123)+1</f>
        <v>110</v>
      </c>
      <c r="D124" s="15" t="s">
        <v>848</v>
      </c>
      <c r="E124" s="16"/>
      <c r="F124" s="16"/>
      <c r="G124" s="16"/>
      <c r="H124" s="16"/>
      <c r="I124" s="16"/>
      <c r="J124" s="16"/>
      <c r="K124" s="16"/>
      <c r="L124" s="16"/>
      <c r="M124" s="16"/>
      <c r="N124" s="16"/>
      <c r="O124" s="16"/>
      <c r="P124" s="16"/>
      <c r="Q124" s="16"/>
      <c r="R124" s="16"/>
      <c r="S124" s="16"/>
      <c r="T124" s="16"/>
      <c r="U124" s="16"/>
      <c r="V124" s="16"/>
      <c r="W124" s="205"/>
      <c r="X124" s="16"/>
      <c r="Y124"/>
      <c r="Z124" s="205"/>
    </row>
    <row r="125" spans="1:26" s="4" customFormat="1" ht="15.75" customHeight="1">
      <c r="A125" s="411"/>
      <c r="B125" s="84"/>
      <c r="C125" s="236">
        <f>+MAX(C$10:C124)+1</f>
        <v>111</v>
      </c>
      <c r="D125" s="39" t="s">
        <v>251</v>
      </c>
      <c r="E125" s="279">
        <f>Cust_Detail!F74*Rates!F121*INDEX(Rates!$F$119:$W$119,1,MATCH(E$8,Rates!$F$7:$W$7,0))</f>
        <v>127820.00000000001</v>
      </c>
      <c r="F125" s="279">
        <f>Cust_Detail!G74*Rates!G121*INDEX(Rates!$F$119:$W$119,1,MATCH(F$8,Rates!$F$7:$W$7,0))</f>
        <v>127820.00000000001</v>
      </c>
      <c r="G125" s="279">
        <f>Cust_Detail!H74*Rates!H121*INDEX(Rates!$F$119:$W$119,1,MATCH(G$8,Rates!$F$7:$W$7,0))</f>
        <v>127820.00000000001</v>
      </c>
      <c r="H125" s="279">
        <f>Cust_Detail!I74*Rates!I121*INDEX(Rates!$F$119:$W$119,1,MATCH(H$8,Rates!$F$7:$W$7,0))</f>
        <v>143015.38461538462</v>
      </c>
      <c r="I125" s="279">
        <f>Cust_Detail!J74*Rates!J121*INDEX(Rates!$F$119:$W$119,1,MATCH(I$8,Rates!$F$7:$W$7,0))</f>
        <v>160547.53846153847</v>
      </c>
      <c r="J125" s="279">
        <f>Cust_Detail!K74*Rates!K121*INDEX(Rates!$F$119:$W$119,1,MATCH(J$8,Rates!$F$7:$W$7,0))</f>
        <v>150994.80000000002</v>
      </c>
      <c r="K125" s="279">
        <f>Cust_Detail!L74*Rates!L121*INDEX(Rates!$F$119:$W$119,1,MATCH(K$8,Rates!$F$7:$W$7,0))</f>
        <v>163887.36000000002</v>
      </c>
      <c r="L125" s="279">
        <f>Cust_Detail!M74*Rates!M121*INDEX(Rates!$F$119:$W$119,1,MATCH(L$8,Rates!$F$7:$W$7,0))</f>
        <v>173631.12</v>
      </c>
      <c r="M125" s="279">
        <f>Cust_Detail!N74*Rates!N121*INDEX(Rates!$F$119:$W$119,1,MATCH(M$8,Rates!$F$7:$W$7,0))</f>
        <v>177069.36</v>
      </c>
      <c r="N125" s="279">
        <f>Cust_Detail!O74*Rates!O121*INDEX(Rates!$F$119:$W$119,1,MATCH(N$8,Rates!$F$7:$W$7,0))</f>
        <v>180507.59999999998</v>
      </c>
      <c r="O125" s="279">
        <f>Cust_Detail!P74*Rates!P121*INDEX(Rates!$F$119:$W$119,1,MATCH(O$8,Rates!$F$7:$W$7,0))</f>
        <v>183945.84</v>
      </c>
      <c r="P125" s="279">
        <f>Cust_Detail!Q74*Rates!Q121*INDEX(Rates!$F$119:$W$119,1,MATCH(P$8,Rates!$F$7:$W$7,0))</f>
        <v>187384.08</v>
      </c>
      <c r="Q125" s="279">
        <f>Cust_Detail!R74*Rates!R121*INDEX(Rates!$F$119:$W$119,1,MATCH(Q$8,Rates!$F$7:$W$7,0))</f>
        <v>192541.44</v>
      </c>
      <c r="R125" s="279">
        <f>Cust_Detail!S74*Rates!S121*INDEX(Rates!$F$119:$W$119,1,MATCH(R$8,Rates!$F$7:$W$7,0))</f>
        <v>195979.68</v>
      </c>
      <c r="S125" s="279">
        <f>Cust_Detail!T74*Rates!T121*INDEX(Rates!$F$119:$W$119,1,MATCH(S$8,Rates!$F$7:$W$7,0))</f>
        <v>199417.91999999998</v>
      </c>
      <c r="T125" s="279">
        <f>Cust_Detail!U74*Rates!U121*INDEX(Rates!$F$119:$W$119,1,MATCH(T$8,Rates!$F$7:$W$7,0))</f>
        <v>204575.27999999997</v>
      </c>
      <c r="U125" s="279">
        <f>Cust_Detail!V74*Rates!V121*INDEX(Rates!$F$119:$W$119,1,MATCH(U$8,Rates!$F$7:$W$7,0))</f>
        <v>208013.52</v>
      </c>
      <c r="V125" s="279">
        <f>Cust_Detail!W74*Rates!W121*INDEX(Rates!$F$119:$W$119,1,MATCH(V$8,Rates!$F$7:$W$7,0))</f>
        <v>213170.87999999998</v>
      </c>
      <c r="W125" s="205"/>
      <c r="X125" s="279">
        <f>SUMIF($E$8:$V$8,'COS_RR (top sheet)'!$I$6,$E125:$V125)</f>
        <v>204575.27999999997</v>
      </c>
      <c r="Y125"/>
      <c r="Z125" s="205"/>
    </row>
    <row r="126" spans="1:26" s="4" customFormat="1" ht="15.75" customHeight="1">
      <c r="A126" s="411"/>
      <c r="B126" s="84"/>
      <c r="C126" s="236">
        <f>+MAX(C$10:C125)+1</f>
        <v>112</v>
      </c>
      <c r="D126" s="39" t="s">
        <v>178</v>
      </c>
      <c r="E126" s="16">
        <f>Cust_Detail!F75*Rates!F123</f>
        <v>2881611.1999999997</v>
      </c>
      <c r="F126" s="16">
        <f>Cust_Detail!G75*Rates!G123</f>
        <v>2881611.1999999997</v>
      </c>
      <c r="G126" s="16">
        <f>Cust_Detail!H75*Rates!H123</f>
        <v>2881611.1999999997</v>
      </c>
      <c r="H126" s="16">
        <f>Cust_Detail!I75*Rates!I123</f>
        <v>2805485.5062130797</v>
      </c>
      <c r="I126" s="16">
        <f>Cust_Detail!J75*Rates!J123</f>
        <v>3018225.8582314071</v>
      </c>
      <c r="J126" s="16">
        <f>Cust_Detail!K75*Rates!K123</f>
        <v>2461909.801330464</v>
      </c>
      <c r="K126" s="16">
        <f>Cust_Detail!L75*Rates!L123</f>
        <v>3280781.665452024</v>
      </c>
      <c r="L126" s="16">
        <f>Cust_Detail!M75*Rates!M123</f>
        <v>3056080.0967384204</v>
      </c>
      <c r="M126" s="16">
        <f>Cust_Detail!N75*Rates!N123</f>
        <v>3126952.8378375554</v>
      </c>
      <c r="N126" s="16">
        <f>Cust_Detail!O75*Rates!O123</f>
        <v>3187670.3686693534</v>
      </c>
      <c r="O126" s="16">
        <f>Cust_Detail!P75*Rates!P123</f>
        <v>3248387.8995011495</v>
      </c>
      <c r="P126" s="16">
        <f>Cust_Detail!Q75*Rates!Q123</f>
        <v>3298145.8469751272</v>
      </c>
      <c r="Q126" s="16">
        <f>Cust_Detail!R75*Rates!R123</f>
        <v>3400181.7265806431</v>
      </c>
      <c r="R126" s="16">
        <f>Cust_Detail!S75*Rates!S123</f>
        <v>3460899.2574124401</v>
      </c>
      <c r="S126" s="16">
        <f>Cust_Detail!T75*Rates!T123</f>
        <v>3521616.7882442372</v>
      </c>
      <c r="T126" s="16">
        <f>Cust_Detail!U75*Rates!U123</f>
        <v>3600728.0347710098</v>
      </c>
      <c r="U126" s="16">
        <f>Cust_Detail!V75*Rates!V123</f>
        <v>3673410.6153237303</v>
      </c>
      <c r="V126" s="16">
        <f>Cust_Detail!W75*Rates!W123</f>
        <v>3764486.9115714263</v>
      </c>
      <c r="W126" s="205"/>
      <c r="X126" s="16">
        <f>SUMIF($E$8:$V$8,'COS_RR (top sheet)'!$I$6,$E126:$V126)</f>
        <v>3600728.0347710098</v>
      </c>
      <c r="Y126"/>
      <c r="Z126" s="205"/>
    </row>
    <row r="127" spans="1:26" s="4" customFormat="1" ht="15.75" hidden="1" customHeight="1">
      <c r="A127" s="411"/>
      <c r="B127" s="84"/>
      <c r="C127" s="236">
        <f>+MAX(C$10:C126)+1</f>
        <v>113</v>
      </c>
      <c r="D127" s="917" t="s">
        <v>257</v>
      </c>
      <c r="E127" s="1266">
        <f>SUM(E125:E126,E130:E131)*Rates!F125</f>
        <v>266746.23456496577</v>
      </c>
      <c r="F127" s="1266">
        <f>SUM(F125:F126,F130:F131)*Rates!G125</f>
        <v>280566.86400289915</v>
      </c>
      <c r="G127" s="1266">
        <f>SUM(G125:G126,G130:G131)*Rates!H125</f>
        <v>300908.91598946776</v>
      </c>
      <c r="H127" s="1266">
        <f>SUM(H125:H126,H130:H131)*Rates!I125</f>
        <v>0</v>
      </c>
      <c r="I127" s="1266">
        <f>SUM(I125:I126,I130:I131)*Rates!J125</f>
        <v>0</v>
      </c>
      <c r="J127" s="1266">
        <f>SUM(J125:J126,J130:J131)*Rates!K125</f>
        <v>0</v>
      </c>
      <c r="K127" s="1266">
        <f>SUM(K125:K126,K130:K131)*Rates!L125</f>
        <v>0</v>
      </c>
      <c r="L127" s="1266">
        <f>SUM(L125:L126,L130:L131)*Rates!M125</f>
        <v>0</v>
      </c>
      <c r="M127" s="1266">
        <f>SUM(M125:M126,M130:M131)*Rates!N125</f>
        <v>0</v>
      </c>
      <c r="N127" s="1266">
        <f>SUM(N125:N126,N130:N131)*Rates!O125</f>
        <v>0</v>
      </c>
      <c r="O127" s="1266">
        <f>SUM(O125:O126,O130:O131)*Rates!P125</f>
        <v>0</v>
      </c>
      <c r="P127" s="1266">
        <f>SUM(P125:P126,P130:P131)*Rates!Q125</f>
        <v>0</v>
      </c>
      <c r="Q127" s="1266">
        <f>SUM(Q125:Q126,Q130:Q131)*Rates!R125</f>
        <v>0</v>
      </c>
      <c r="R127" s="1266">
        <f>SUM(R125:R126,R130:R131)*Rates!S125</f>
        <v>0</v>
      </c>
      <c r="S127" s="1266">
        <f>SUM(S125:S126,S130:S131)*Rates!T125</f>
        <v>0</v>
      </c>
      <c r="T127" s="1266">
        <f>SUM(T125:T126,T130:T131)*Rates!U125</f>
        <v>0</v>
      </c>
      <c r="U127" s="1266">
        <f>SUM(U125:U126,U130:U131)*Rates!V125</f>
        <v>0</v>
      </c>
      <c r="V127" s="1266">
        <f>SUM(V125:V126,V130:V131)*Rates!W125</f>
        <v>0</v>
      </c>
      <c r="W127" s="205"/>
      <c r="X127" s="16">
        <f>SUMIF($E$8:$V$8,'COS_RR (top sheet)'!$I$6,$E127:$V127)</f>
        <v>0</v>
      </c>
      <c r="Y127"/>
      <c r="Z127" s="205"/>
    </row>
    <row r="128" spans="1:26" s="4" customFormat="1" ht="15.75" hidden="1" customHeight="1">
      <c r="A128" s="411"/>
      <c r="B128" s="84"/>
      <c r="C128" s="236">
        <f>+MAX(C$10:C127)+1</f>
        <v>114</v>
      </c>
      <c r="D128" s="917" t="s">
        <v>258</v>
      </c>
      <c r="E128" s="1266">
        <f>SUM(E125:E126,E130:E131)*Rates!F127</f>
        <v>23367.02667973542</v>
      </c>
      <c r="F128" s="1266">
        <f>SUM(F125:F126,F130:F131)*Rates!G127</f>
        <v>24577.716747520699</v>
      </c>
      <c r="G128" s="1266">
        <f>SUM(G125:G126,G130:G131)*Rates!H127</f>
        <v>26359.684812659205</v>
      </c>
      <c r="H128" s="1266">
        <f>SUM(H125:H126,H130:H131)*Rates!I127</f>
        <v>0</v>
      </c>
      <c r="I128" s="1266">
        <f>SUM(I125:I126,I130:I131)*Rates!J127</f>
        <v>0</v>
      </c>
      <c r="J128" s="1266">
        <f>SUM(J125:J126,J130:J131)*Rates!K127</f>
        <v>0</v>
      </c>
      <c r="K128" s="1266">
        <f>SUM(K125:K126,K130:K131)*Rates!L127</f>
        <v>0</v>
      </c>
      <c r="L128" s="1266">
        <f>SUM(L125:L126,L130:L131)*Rates!M127</f>
        <v>0</v>
      </c>
      <c r="M128" s="1266">
        <f>SUM(M125:M126,M130:M131)*Rates!N127</f>
        <v>0</v>
      </c>
      <c r="N128" s="1266">
        <f>SUM(N125:N126,N130:N131)*Rates!O127</f>
        <v>0</v>
      </c>
      <c r="O128" s="1266">
        <f>SUM(O125:O126,O130:O131)*Rates!P127</f>
        <v>0</v>
      </c>
      <c r="P128" s="1266">
        <f>SUM(P125:P126,P130:P131)*Rates!Q127</f>
        <v>0</v>
      </c>
      <c r="Q128" s="1266">
        <f>SUM(Q125:Q126,Q130:Q131)*Rates!R127</f>
        <v>0</v>
      </c>
      <c r="R128" s="1266">
        <f>SUM(R125:R126,R130:R131)*Rates!S127</f>
        <v>0</v>
      </c>
      <c r="S128" s="1266">
        <f>SUM(S125:S126,S130:S131)*Rates!T127</f>
        <v>0</v>
      </c>
      <c r="T128" s="1266">
        <f>SUM(T125:T126,T130:T131)*Rates!U127</f>
        <v>0</v>
      </c>
      <c r="U128" s="1266">
        <f>SUM(U125:U126,U130:U131)*Rates!V127</f>
        <v>0</v>
      </c>
      <c r="V128" s="1266">
        <f>SUM(V125:V126,V130:V131)*Rates!W127</f>
        <v>0</v>
      </c>
      <c r="W128" s="205"/>
      <c r="X128" s="16">
        <f>SUMIF($E$8:$V$8,'COS_RR (top sheet)'!$I$6,$E128:$V128)</f>
        <v>0</v>
      </c>
      <c r="Y128"/>
      <c r="Z128" s="205"/>
    </row>
    <row r="129" spans="1:26" s="4" customFormat="1" ht="15.75" customHeight="1">
      <c r="A129" s="411"/>
      <c r="B129" s="84"/>
      <c r="C129" s="236">
        <f>+MAX(C$10:C128)+1</f>
        <v>115</v>
      </c>
      <c r="D129" s="39" t="s">
        <v>723</v>
      </c>
      <c r="E129" s="16"/>
      <c r="F129" s="16"/>
      <c r="G129" s="16"/>
      <c r="H129" s="16"/>
      <c r="I129" s="16"/>
      <c r="J129" s="16"/>
      <c r="K129" s="16"/>
      <c r="L129" s="16"/>
      <c r="M129" s="16"/>
      <c r="N129" s="16"/>
      <c r="O129" s="16"/>
      <c r="P129" s="16"/>
      <c r="Q129" s="16"/>
      <c r="R129" s="16"/>
      <c r="S129" s="16"/>
      <c r="T129" s="16"/>
      <c r="U129" s="16"/>
      <c r="V129" s="16"/>
      <c r="W129" s="205"/>
      <c r="X129" s="16"/>
      <c r="Y129"/>
      <c r="Z129" s="205"/>
    </row>
    <row r="130" spans="1:26" s="4" customFormat="1" ht="15.75" customHeight="1">
      <c r="A130" s="411"/>
      <c r="B130" s="84"/>
      <c r="C130" s="236">
        <f>+MAX(C$10:C129)+1</f>
        <v>116</v>
      </c>
      <c r="D130" s="41" t="s">
        <v>908</v>
      </c>
      <c r="E130" s="16">
        <f>Cust_Detail!F76*Rates!F130</f>
        <v>859695.18790000014</v>
      </c>
      <c r="F130" s="16">
        <f>Cust_Detail!G76*Rates!G130</f>
        <v>913806.79237000004</v>
      </c>
      <c r="G130" s="16">
        <f>Cust_Detail!H76*Rates!H130</f>
        <v>993451.57817000011</v>
      </c>
      <c r="H130" s="16">
        <f>Cust_Detail!I76*Rates!I130</f>
        <v>904999.20000000007</v>
      </c>
      <c r="I130" s="16">
        <f>Cust_Detail!J76*Rates!J130</f>
        <v>924235.74600000004</v>
      </c>
      <c r="J130" s="16">
        <f>Cust_Detail!K76*Rates!K130</f>
        <v>682856.65727687103</v>
      </c>
      <c r="K130" s="16">
        <f>Cust_Detail!L76*Rates!L130</f>
        <v>978111.42684767616</v>
      </c>
      <c r="L130" s="16">
        <f>Cust_Detail!M76*Rates!M130</f>
        <v>889492.49470560369</v>
      </c>
      <c r="M130" s="16">
        <f>Cust_Detail!N76*Rates!N130</f>
        <v>907106.20747205126</v>
      </c>
      <c r="N130" s="16">
        <f>Cust_Detail!O76*Rates!O130</f>
        <v>924719.92023849906</v>
      </c>
      <c r="O130" s="16">
        <f>Cust_Detail!P76*Rates!P130</f>
        <v>942333.63300494675</v>
      </c>
      <c r="P130" s="16">
        <f>Cust_Detail!Q76*Rates!Q130</f>
        <v>959947.34577139444</v>
      </c>
      <c r="Q130" s="16">
        <f>Cust_Detail!R76*Rates!R130</f>
        <v>986367.91492106498</v>
      </c>
      <c r="R130" s="16">
        <f>Cust_Detail!S76*Rates!S130</f>
        <v>1003981.6276875128</v>
      </c>
      <c r="S130" s="16">
        <f>Cust_Detail!T76*Rates!T130</f>
        <v>1021595.3404539604</v>
      </c>
      <c r="T130" s="16">
        <f>Cust_Detail!U76*Rates!U130</f>
        <v>1048015.909603633</v>
      </c>
      <c r="U130" s="16">
        <f>Cust_Detail!V76*Rates!V130</f>
        <v>1065629.6223700806</v>
      </c>
      <c r="V130" s="16">
        <f>Cust_Detail!W76*Rates!W130</f>
        <v>1092050.1915197512</v>
      </c>
      <c r="W130" s="205"/>
      <c r="X130" s="16">
        <f>SUMIF($E$8:$V$8,'COS_RR (top sheet)'!$I$6,$E130:$V130)</f>
        <v>1048015.909603633</v>
      </c>
      <c r="Y130"/>
      <c r="Z130" s="205"/>
    </row>
    <row r="131" spans="1:26" s="4" customFormat="1" ht="15.75" customHeight="1">
      <c r="A131" s="411"/>
      <c r="B131" s="84"/>
      <c r="C131" s="236">
        <f>+MAX(C$10:C130)+1</f>
        <v>117</v>
      </c>
      <c r="D131" s="41" t="s">
        <v>909</v>
      </c>
      <c r="E131" s="277">
        <f>Cust_Detail!F77*Rates!F131</f>
        <v>2470305.2191999997</v>
      </c>
      <c r="F131" s="277">
        <f>Cust_Detail!G77*Rates!G131</f>
        <v>2744651.6161400001</v>
      </c>
      <c r="G131" s="277">
        <f>Cust_Detail!H77*Rates!H131</f>
        <v>3148451.5077399998</v>
      </c>
      <c r="H131" s="277">
        <f>Cust_Detail!I77*Rates!I131</f>
        <v>3463798.656</v>
      </c>
      <c r="I131" s="277">
        <f>Cust_Detail!J77*Rates!J131</f>
        <v>3934242.8772</v>
      </c>
      <c r="J131" s="277">
        <f>Cust_Detail!K77*Rates!K131</f>
        <v>3260348.9615762415</v>
      </c>
      <c r="K131" s="277">
        <f>Cust_Detail!L77*Rates!L131</f>
        <v>4199944.4519015905</v>
      </c>
      <c r="L131" s="277">
        <f>Cust_Detail!M77*Rates!M131</f>
        <v>3872438.7941582352</v>
      </c>
      <c r="M131" s="277">
        <f>Cust_Detail!N77*Rates!N131</f>
        <v>3949120.750478196</v>
      </c>
      <c r="N131" s="277">
        <f>Cust_Detail!O77*Rates!O131</f>
        <v>4025802.7067981572</v>
      </c>
      <c r="O131" s="277">
        <f>Cust_Detail!P77*Rates!P131</f>
        <v>4102484.6631181184</v>
      </c>
      <c r="P131" s="277">
        <f>Cust_Detail!Q77*Rates!Q131</f>
        <v>4179166.6194380797</v>
      </c>
      <c r="Q131" s="277">
        <f>Cust_Detail!R77*Rates!R131</f>
        <v>4294189.5539180394</v>
      </c>
      <c r="R131" s="277">
        <f>Cust_Detail!S77*Rates!S131</f>
        <v>4370871.5102380002</v>
      </c>
      <c r="S131" s="277">
        <f>Cust_Detail!T77*Rates!T131</f>
        <v>4447553.4665579619</v>
      </c>
      <c r="T131" s="277">
        <f>Cust_Detail!U77*Rates!U131</f>
        <v>4562576.4010379026</v>
      </c>
      <c r="U131" s="277">
        <f>Cust_Detail!V77*Rates!V131</f>
        <v>4639258.3573578829</v>
      </c>
      <c r="V131" s="277">
        <f>Cust_Detail!W77*Rates!W131</f>
        <v>4754281.2918378245</v>
      </c>
      <c r="W131" s="205"/>
      <c r="X131" s="277">
        <f>SUMIF($E$8:$V$8,'COS_RR (top sheet)'!$I$6,$E131:$V131)</f>
        <v>4562576.4010379026</v>
      </c>
      <c r="Y131"/>
      <c r="Z131" s="205"/>
    </row>
    <row r="132" spans="1:26" s="40" customFormat="1" ht="15.75" customHeight="1">
      <c r="A132" s="411"/>
      <c r="B132" s="91"/>
      <c r="C132" s="236">
        <f>+MAX(C$10:C131)+1</f>
        <v>118</v>
      </c>
      <c r="D132" s="251" t="str">
        <f>"TOTAL "&amp;D122</f>
        <v>TOTAL LARGE GENERAL SERVICE (7)</v>
      </c>
      <c r="E132" s="256">
        <f>SUM(E125:E131)</f>
        <v>6629544.8683447009</v>
      </c>
      <c r="F132" s="256">
        <f t="shared" ref="F132:V132" si="20">SUM(F125:F131)</f>
        <v>6973034.1892604195</v>
      </c>
      <c r="G132" s="256">
        <f t="shared" si="20"/>
        <v>7478602.8867121264</v>
      </c>
      <c r="H132" s="256">
        <f t="shared" si="20"/>
        <v>7317298.7468284648</v>
      </c>
      <c r="I132" s="256">
        <f t="shared" si="20"/>
        <v>8037252.0198929459</v>
      </c>
      <c r="J132" s="256">
        <f t="shared" si="20"/>
        <v>6556110.2201835765</v>
      </c>
      <c r="K132" s="256">
        <f t="shared" si="20"/>
        <v>8622724.9042012915</v>
      </c>
      <c r="L132" s="256">
        <f t="shared" si="20"/>
        <v>7991642.5056022592</v>
      </c>
      <c r="M132" s="256">
        <f t="shared" si="20"/>
        <v>8160249.1557878023</v>
      </c>
      <c r="N132" s="256">
        <f t="shared" si="20"/>
        <v>8318700.5957060102</v>
      </c>
      <c r="O132" s="256">
        <f t="shared" si="20"/>
        <v>8477152.0356242135</v>
      </c>
      <c r="P132" s="256">
        <f t="shared" si="20"/>
        <v>8624643.8921846021</v>
      </c>
      <c r="Q132" s="256">
        <f t="shared" si="20"/>
        <v>8873280.6354197487</v>
      </c>
      <c r="R132" s="256">
        <f t="shared" si="20"/>
        <v>9031732.0753379539</v>
      </c>
      <c r="S132" s="256">
        <f t="shared" si="20"/>
        <v>9190183.515256159</v>
      </c>
      <c r="T132" s="256">
        <f t="shared" si="20"/>
        <v>9415895.6254125461</v>
      </c>
      <c r="U132" s="256">
        <f t="shared" si="20"/>
        <v>9586312.1150516942</v>
      </c>
      <c r="V132" s="256">
        <f t="shared" si="20"/>
        <v>9823989.2749290019</v>
      </c>
      <c r="W132" s="263"/>
      <c r="X132" s="256">
        <f>SUMIF($E$8:$V$8,'COS_RR (top sheet)'!$I$6,$E132:$V132)</f>
        <v>9415895.6254125461</v>
      </c>
      <c r="Y132"/>
      <c r="Z132" s="263"/>
    </row>
    <row r="133" spans="1:26" s="40" customFormat="1" ht="15.75" customHeight="1">
      <c r="A133" s="411"/>
      <c r="B133" s="91"/>
      <c r="C133" s="236">
        <f>+MAX(C$10:C132)+1</f>
        <v>119</v>
      </c>
      <c r="D133" s="39" t="s">
        <v>2723</v>
      </c>
      <c r="E133" s="279">
        <f>E132*'City Taxes'!E12</f>
        <v>110204.15683319131</v>
      </c>
      <c r="F133" s="279">
        <f>F132*'City Taxes'!F12</f>
        <v>115914.04367225178</v>
      </c>
      <c r="G133" s="279">
        <f>G132*'City Taxes'!G12</f>
        <v>124318.20611935375</v>
      </c>
      <c r="H133" s="279">
        <f>H132*'City Taxes'!H12</f>
        <v>121636.81741430672</v>
      </c>
      <c r="I133" s="279">
        <f>I132*'City Taxes'!I12</f>
        <v>133604.73451766858</v>
      </c>
      <c r="J133" s="279">
        <f>J132*'City Taxes'!J12</f>
        <v>108983.43902470631</v>
      </c>
      <c r="K133" s="279">
        <f>K132*'City Taxes'!K12</f>
        <v>143337.15911773135</v>
      </c>
      <c r="L133" s="279">
        <f>L132*'City Taxes'!L12</f>
        <v>171967.69269001851</v>
      </c>
      <c r="M133" s="279">
        <f>M132*'City Taxes'!M12</f>
        <v>175595.84504846984</v>
      </c>
      <c r="N133" s="279">
        <f>N132*'City Taxes'!N12</f>
        <v>179005.47310766339</v>
      </c>
      <c r="O133" s="279">
        <f>O132*'City Taxes'!O12</f>
        <v>182415.10116685685</v>
      </c>
      <c r="P133" s="279">
        <f>P132*'City Taxes'!P12</f>
        <v>185588.89607140579</v>
      </c>
      <c r="Q133" s="279">
        <f>Q132*'City Taxes'!Q12</f>
        <v>190939.17131484105</v>
      </c>
      <c r="R133" s="279">
        <f>R132*'City Taxes'!R12</f>
        <v>194348.79937403454</v>
      </c>
      <c r="S133" s="279">
        <f>S132*'City Taxes'!S12</f>
        <v>197758.42743322803</v>
      </c>
      <c r="T133" s="279">
        <f>T132*'City Taxes'!T12</f>
        <v>202615.40029814024</v>
      </c>
      <c r="U133" s="279">
        <f>U132*'City Taxes'!U12</f>
        <v>206282.49758121226</v>
      </c>
      <c r="V133" s="279">
        <f>V132*'City Taxes'!V12</f>
        <v>211396.93967000247</v>
      </c>
      <c r="W133" s="263"/>
      <c r="X133" s="279">
        <f>SUMIF($E$8:$V$8,'COS_RR (top sheet)'!$I$6,$E133:$V133)</f>
        <v>202615.40029814024</v>
      </c>
      <c r="Y133"/>
      <c r="Z133" s="263"/>
    </row>
    <row r="134" spans="1:26" s="4" customFormat="1" ht="15.75" customHeight="1">
      <c r="A134" s="411"/>
      <c r="B134" s="84"/>
      <c r="C134" s="236">
        <f>+MAX(C$10:C133)+1</f>
        <v>120</v>
      </c>
      <c r="D134" s="251" t="str">
        <f>"TOTAL "&amp;D122</f>
        <v>TOTAL LARGE GENERAL SERVICE (7)</v>
      </c>
      <c r="E134" s="256">
        <f>SUM(E132:E133)</f>
        <v>6739749.0251778923</v>
      </c>
      <c r="F134" s="256">
        <f t="shared" ref="F134:V134" si="21">SUM(F132:F133)</f>
        <v>7088948.232932671</v>
      </c>
      <c r="G134" s="256">
        <f t="shared" si="21"/>
        <v>7602921.0928314803</v>
      </c>
      <c r="H134" s="256">
        <f t="shared" si="21"/>
        <v>7438935.5642427718</v>
      </c>
      <c r="I134" s="256">
        <f t="shared" si="21"/>
        <v>8170856.7544106143</v>
      </c>
      <c r="J134" s="256">
        <f t="shared" si="21"/>
        <v>6665093.6592082828</v>
      </c>
      <c r="K134" s="256">
        <f t="shared" si="21"/>
        <v>8766062.0633190237</v>
      </c>
      <c r="L134" s="256">
        <f t="shared" si="21"/>
        <v>8163610.1982922778</v>
      </c>
      <c r="M134" s="256">
        <f t="shared" si="21"/>
        <v>8335845.0008362718</v>
      </c>
      <c r="N134" s="256">
        <f t="shared" si="21"/>
        <v>8497706.0688136742</v>
      </c>
      <c r="O134" s="256">
        <f t="shared" si="21"/>
        <v>8659567.1367910709</v>
      </c>
      <c r="P134" s="256">
        <f t="shared" si="21"/>
        <v>8810232.7882560082</v>
      </c>
      <c r="Q134" s="256">
        <f t="shared" si="21"/>
        <v>9064219.8067345899</v>
      </c>
      <c r="R134" s="256">
        <f t="shared" si="21"/>
        <v>9226080.8747119885</v>
      </c>
      <c r="S134" s="256">
        <f t="shared" si="21"/>
        <v>9387941.9426893871</v>
      </c>
      <c r="T134" s="256">
        <f t="shared" si="21"/>
        <v>9618511.025710687</v>
      </c>
      <c r="U134" s="256">
        <f t="shared" si="21"/>
        <v>9792594.6126329061</v>
      </c>
      <c r="V134" s="256">
        <f t="shared" si="21"/>
        <v>10035386.214599004</v>
      </c>
      <c r="W134" s="205"/>
      <c r="X134" s="256">
        <f>SUMIF($E$8:$V$8,'COS_RR (top sheet)'!$I$6,$E134:$V134)</f>
        <v>9618511.025710687</v>
      </c>
      <c r="Y134"/>
      <c r="Z134" s="205"/>
    </row>
    <row r="135" spans="1:26" s="4" customFormat="1" ht="15.75" customHeight="1">
      <c r="A135" s="411"/>
      <c r="B135" s="84"/>
      <c r="C135" s="236">
        <f>+MAX(C$10:C134)+1</f>
        <v>121</v>
      </c>
      <c r="E135" s="16"/>
      <c r="F135" s="16"/>
      <c r="G135" s="16"/>
      <c r="H135" s="16"/>
      <c r="I135" s="16"/>
      <c r="J135" s="16"/>
      <c r="K135" s="16"/>
      <c r="L135" s="16"/>
      <c r="M135" s="16"/>
      <c r="N135" s="16"/>
      <c r="O135" s="16"/>
      <c r="P135" s="16"/>
      <c r="Q135" s="16"/>
      <c r="R135" s="16"/>
      <c r="S135" s="16"/>
      <c r="T135" s="16"/>
      <c r="U135" s="16"/>
      <c r="V135" s="16"/>
      <c r="W135" s="205"/>
      <c r="X135" s="16"/>
      <c r="Y135"/>
      <c r="Z135" s="205"/>
    </row>
    <row r="136" spans="1:26" s="4" customFormat="1" ht="15.75" customHeight="1">
      <c r="A136" s="411"/>
      <c r="B136" s="84"/>
      <c r="C136" s="236">
        <f>+MAX(C$10:C135)+1</f>
        <v>122</v>
      </c>
      <c r="D136" s="751" t="s">
        <v>227</v>
      </c>
      <c r="E136" s="16"/>
      <c r="F136" s="16"/>
      <c r="G136" s="16"/>
      <c r="H136" s="16"/>
      <c r="I136" s="16"/>
      <c r="J136" s="16"/>
      <c r="K136" s="16"/>
      <c r="L136" s="16"/>
      <c r="M136" s="16"/>
      <c r="N136" s="16"/>
      <c r="O136" s="16"/>
      <c r="P136" s="16"/>
      <c r="Q136" s="16"/>
      <c r="R136" s="16"/>
      <c r="S136" s="16"/>
      <c r="T136" s="16"/>
      <c r="U136" s="16"/>
      <c r="V136" s="16"/>
      <c r="X136" s="16"/>
      <c r="Y136"/>
    </row>
    <row r="137" spans="1:26" s="4" customFormat="1" ht="15.75" customHeight="1">
      <c r="A137" s="411"/>
      <c r="B137" s="84"/>
      <c r="C137" s="236">
        <f>+MAX(C$10:C136)+1</f>
        <v>123</v>
      </c>
      <c r="D137" s="273"/>
      <c r="E137" s="16"/>
      <c r="F137" s="16"/>
      <c r="G137" s="16"/>
      <c r="H137" s="16"/>
      <c r="I137" s="16"/>
      <c r="J137" s="16"/>
      <c r="K137" s="16"/>
      <c r="L137" s="16"/>
      <c r="M137" s="16"/>
      <c r="N137" s="16"/>
      <c r="O137" s="16"/>
      <c r="P137" s="16"/>
      <c r="Q137" s="16"/>
      <c r="R137" s="16"/>
      <c r="S137" s="16"/>
      <c r="T137" s="16"/>
      <c r="U137" s="16"/>
      <c r="V137" s="16"/>
      <c r="X137" s="16"/>
      <c r="Y137"/>
    </row>
    <row r="138" spans="1:26" s="4" customFormat="1" ht="18" customHeight="1">
      <c r="A138" s="411"/>
      <c r="B138" s="84"/>
      <c r="C138" s="236">
        <f>+MAX(C$10:C137)+1</f>
        <v>124</v>
      </c>
      <c r="D138" s="15" t="s">
        <v>848</v>
      </c>
      <c r="E138" s="16"/>
      <c r="F138" s="16"/>
      <c r="G138" s="16"/>
      <c r="H138" s="16"/>
      <c r="I138" s="16"/>
      <c r="J138" s="16"/>
      <c r="K138" s="16"/>
      <c r="L138" s="16"/>
      <c r="M138" s="16"/>
      <c r="N138" s="16"/>
      <c r="O138" s="16"/>
      <c r="P138" s="16"/>
      <c r="Q138" s="16"/>
      <c r="R138" s="16"/>
      <c r="S138" s="16"/>
      <c r="T138" s="16"/>
      <c r="U138" s="16"/>
      <c r="V138" s="16"/>
      <c r="X138" s="16"/>
      <c r="Y138"/>
    </row>
    <row r="139" spans="1:26" ht="15.75" customHeight="1">
      <c r="A139" s="411"/>
      <c r="C139" s="236">
        <f>+MAX(C$10:C138)+1</f>
        <v>125</v>
      </c>
      <c r="D139" s="39" t="s">
        <v>251</v>
      </c>
      <c r="E139" s="279">
        <f>Cust_Detail!F81*Rates!F141*INDEX(Rates!$F$139:$W$139,1,MATCH(E$8,Rates!$F$7:$W$7,0))</f>
        <v>6800</v>
      </c>
      <c r="F139" s="279">
        <f>Cust_Detail!G81*Rates!G141*INDEX(Rates!$F$139:$W$139,1,MATCH(F$8,Rates!$F$7:$W$7,0))</f>
        <v>6800</v>
      </c>
      <c r="G139" s="279">
        <f>Cust_Detail!H81*Rates!H141*INDEX(Rates!$F$139:$W$139,1,MATCH(G$8,Rates!$F$7:$W$7,0))</f>
        <v>6800</v>
      </c>
      <c r="H139" s="279">
        <f>Cust_Detail!I81*Rates!I141*INDEX(Rates!$F$139:$W$139,1,MATCH(H$8,Rates!$F$7:$W$7,0))</f>
        <v>33315.466998754673</v>
      </c>
      <c r="I139" s="279">
        <f>Cust_Detail!J81*Rates!J141*INDEX(Rates!$F$139:$W$139,1,MATCH(I$8,Rates!$F$7:$W$7,0))</f>
        <v>53418.082191780828</v>
      </c>
      <c r="J139" s="279">
        <f>Cust_Detail!K81*Rates!K141*INDEX(Rates!$F$139:$W$139,1,MATCH(J$8,Rates!$F$7:$W$7,0))</f>
        <v>89856</v>
      </c>
      <c r="K139" s="279">
        <f>Cust_Detail!L81*Rates!L141*INDEX(Rates!$F$139:$W$139,1,MATCH(K$8,Rates!$F$7:$W$7,0))</f>
        <v>97344</v>
      </c>
      <c r="L139" s="279">
        <f>Cust_Detail!M81*Rates!M141*INDEX(Rates!$F$139:$W$139,1,MATCH(L$8,Rates!$F$7:$W$7,0))</f>
        <v>97344</v>
      </c>
      <c r="M139" s="279">
        <f>Cust_Detail!N81*Rates!N141*INDEX(Rates!$F$139:$W$139,1,MATCH(M$8,Rates!$F$7:$W$7,0))</f>
        <v>97344</v>
      </c>
      <c r="N139" s="279">
        <f>Cust_Detail!O81*Rates!O141*INDEX(Rates!$F$139:$W$139,1,MATCH(N$8,Rates!$F$7:$W$7,0))</f>
        <v>97344</v>
      </c>
      <c r="O139" s="279">
        <f>Cust_Detail!P81*Rates!P141*INDEX(Rates!$F$139:$W$139,1,MATCH(O$8,Rates!$F$7:$W$7,0))</f>
        <v>97344</v>
      </c>
      <c r="P139" s="279">
        <f>Cust_Detail!Q81*Rates!Q141*INDEX(Rates!$F$139:$W$139,1,MATCH(P$8,Rates!$F$7:$W$7,0))</f>
        <v>97344</v>
      </c>
      <c r="Q139" s="279">
        <f>Cust_Detail!R81*Rates!R141*INDEX(Rates!$F$139:$W$139,1,MATCH(Q$8,Rates!$F$7:$W$7,0))</f>
        <v>97344</v>
      </c>
      <c r="R139" s="279">
        <f>Cust_Detail!S81*Rates!S141*INDEX(Rates!$F$139:$W$139,1,MATCH(R$8,Rates!$F$7:$W$7,0))</f>
        <v>97344</v>
      </c>
      <c r="S139" s="279">
        <f>Cust_Detail!T81*Rates!T141*INDEX(Rates!$F$139:$W$139,1,MATCH(S$8,Rates!$F$7:$W$7,0))</f>
        <v>97344</v>
      </c>
      <c r="T139" s="279">
        <f>Cust_Detail!U81*Rates!U141*INDEX(Rates!$F$139:$W$139,1,MATCH(T$8,Rates!$F$7:$W$7,0))</f>
        <v>97344</v>
      </c>
      <c r="U139" s="279">
        <f>Cust_Detail!V81*Rates!V141*INDEX(Rates!$F$139:$W$139,1,MATCH(U$8,Rates!$F$7:$W$7,0))</f>
        <v>97344</v>
      </c>
      <c r="V139" s="279">
        <f>Cust_Detail!W81*Rates!W141*INDEX(Rates!$F$139:$W$139,1,MATCH(V$8,Rates!$F$7:$W$7,0))</f>
        <v>97344</v>
      </c>
      <c r="X139" s="279">
        <f>SUMIF($E$8:$V$8,'COS_RR (top sheet)'!$I$6,$E139:$V139)</f>
        <v>97344</v>
      </c>
    </row>
    <row r="140" spans="1:26" ht="15.75" customHeight="1">
      <c r="A140" s="411"/>
      <c r="C140" s="236">
        <f>+MAX(C$10:C139)+1</f>
        <v>126</v>
      </c>
      <c r="D140" s="39" t="s">
        <v>178</v>
      </c>
      <c r="E140" s="16">
        <f>Cust_Detail!F82*Rates!F143</f>
        <v>987128</v>
      </c>
      <c r="F140" s="16">
        <f>Cust_Detail!G82*Rates!G143</f>
        <v>987128</v>
      </c>
      <c r="G140" s="16">
        <f>Cust_Detail!H82*Rates!H143</f>
        <v>987128</v>
      </c>
      <c r="H140" s="16">
        <f>Cust_Detail!I82*Rates!I143</f>
        <v>1469174.9610392444</v>
      </c>
      <c r="I140" s="16">
        <f>Cust_Detail!J82*Rates!J143</f>
        <v>1936686.0634372833</v>
      </c>
      <c r="J140" s="16">
        <f>Cust_Detail!K82*Rates!K143</f>
        <v>2795555.3648653012</v>
      </c>
      <c r="K140" s="16">
        <f>Cust_Detail!L82*Rates!L143</f>
        <v>3176274.2443964053</v>
      </c>
      <c r="L140" s="16">
        <f>Cust_Detail!M82*Rates!M143</f>
        <v>3340395.7298422582</v>
      </c>
      <c r="M140" s="16">
        <f>Cust_Detail!N82*Rates!N143</f>
        <v>4127472.2656118143</v>
      </c>
      <c r="N140" s="16">
        <f>Cust_Detail!O82*Rates!O143</f>
        <v>4621805.532213199</v>
      </c>
      <c r="O140" s="16">
        <f>Cust_Detail!P82*Rates!P143</f>
        <v>5249565.502796676</v>
      </c>
      <c r="P140" s="16">
        <f>Cust_Detail!Q82*Rates!Q143</f>
        <v>6010736.2253383631</v>
      </c>
      <c r="Q140" s="16">
        <f>Cust_Detail!R82*Rates!R143</f>
        <v>6434945.9959473992</v>
      </c>
      <c r="R140" s="16">
        <f>Cust_Detail!S82*Rates!S143</f>
        <v>6835238.3782233372</v>
      </c>
      <c r="S140" s="16">
        <f>Cust_Detail!T82*Rates!T143</f>
        <v>7087251.6079737507</v>
      </c>
      <c r="T140" s="16">
        <f>Cust_Detail!U82*Rates!U143</f>
        <v>7341122.6988028213</v>
      </c>
      <c r="U140" s="16">
        <f>Cust_Detail!V82*Rates!V143</f>
        <v>7592806.0862508444</v>
      </c>
      <c r="V140" s="16">
        <f>Cust_Detail!W82*Rates!W143</f>
        <v>7794867.0271916268</v>
      </c>
      <c r="X140" s="16">
        <f>SUMIF($E$8:$V$8,'COS_RR (top sheet)'!$I$6,$E140:$V140)</f>
        <v>7341122.6988028213</v>
      </c>
    </row>
    <row r="141" spans="1:26" ht="15.75" hidden="1" customHeight="1">
      <c r="A141" s="411"/>
      <c r="C141" s="236">
        <f>+MAX(C$10:C140)+1</f>
        <v>127</v>
      </c>
      <c r="D141" s="917" t="s">
        <v>257</v>
      </c>
      <c r="E141" s="1266">
        <f>SUM(E139:E140,E143:E144)*Rates!F145</f>
        <v>3571.2036372688494</v>
      </c>
      <c r="F141" s="1266">
        <f>SUM(F139:F140,F143:F144)*Rates!G145</f>
        <v>3779.9247831964726</v>
      </c>
      <c r="G141" s="1266">
        <f>SUM(G139:G140,G143:G144)*Rates!H145</f>
        <v>4087.1333962501167</v>
      </c>
      <c r="H141" s="1266">
        <f>SUM(H139:H140,H143:H144)*Rates!I145</f>
        <v>0</v>
      </c>
      <c r="I141" s="1266">
        <f>SUM(I139:I140,I143:I144)*Rates!J145</f>
        <v>0</v>
      </c>
      <c r="J141" s="1266">
        <f>SUM(J139:J140,J143:J144)*Rates!K145</f>
        <v>0</v>
      </c>
      <c r="K141" s="1266">
        <f>SUM(K139:K140,K143:K144)*Rates!L145</f>
        <v>0</v>
      </c>
      <c r="L141" s="1266">
        <f>SUM(L139:L140,L143:L144)*Rates!M145</f>
        <v>0</v>
      </c>
      <c r="M141" s="1266">
        <f>SUM(M139:M140,M143:M144)*Rates!N145</f>
        <v>0</v>
      </c>
      <c r="N141" s="1266">
        <f>SUM(N139:N140,N143:N144)*Rates!O145</f>
        <v>0</v>
      </c>
      <c r="O141" s="1266">
        <f>SUM(O139:O140,O143:O144)*Rates!P145</f>
        <v>0</v>
      </c>
      <c r="P141" s="1266">
        <f>SUM(P139:P140,P143:P144)*Rates!Q145</f>
        <v>0</v>
      </c>
      <c r="Q141" s="1266">
        <f>SUM(Q139:Q140,Q143:Q144)*Rates!R145</f>
        <v>0</v>
      </c>
      <c r="R141" s="1266">
        <f>SUM(R139:R140,R143:R144)*Rates!S145</f>
        <v>0</v>
      </c>
      <c r="S141" s="1266">
        <f>SUM(S139:S140,S143:S144)*Rates!T145</f>
        <v>0</v>
      </c>
      <c r="T141" s="1266">
        <f>SUM(T139:T140,T143:T144)*Rates!U145</f>
        <v>0</v>
      </c>
      <c r="U141" s="1266">
        <f>SUM(U139:U140,U143:U144)*Rates!V145</f>
        <v>0</v>
      </c>
      <c r="V141" s="1266">
        <f>SUM(V139:V140,V143:V144)*Rates!W145</f>
        <v>0</v>
      </c>
      <c r="X141" s="16">
        <f>SUMIF($E$8:$V$8,'COS_RR (top sheet)'!$I$6,$E141:$V141)</f>
        <v>0</v>
      </c>
    </row>
    <row r="142" spans="1:26" ht="15.75" customHeight="1">
      <c r="A142" s="411"/>
      <c r="C142" s="236">
        <f>+MAX(C$10:C141)+1</f>
        <v>128</v>
      </c>
      <c r="D142" s="39" t="s">
        <v>723</v>
      </c>
      <c r="E142" s="16"/>
      <c r="F142" s="16"/>
      <c r="G142" s="16"/>
      <c r="H142" s="16"/>
      <c r="I142" s="16"/>
      <c r="J142" s="16"/>
      <c r="K142" s="16"/>
      <c r="L142" s="16"/>
      <c r="M142" s="16"/>
      <c r="N142" s="16"/>
      <c r="O142" s="16"/>
      <c r="P142" s="16"/>
      <c r="Q142" s="16"/>
      <c r="R142" s="16"/>
      <c r="S142" s="16"/>
      <c r="T142" s="16"/>
      <c r="U142" s="16"/>
      <c r="V142" s="16"/>
      <c r="X142" s="16"/>
    </row>
    <row r="143" spans="1:26" ht="15.75" customHeight="1">
      <c r="A143" s="411"/>
      <c r="C143" s="236">
        <f>+MAX(C$10:C142)+1</f>
        <v>129</v>
      </c>
      <c r="D143" s="41" t="s">
        <v>910</v>
      </c>
      <c r="E143" s="16">
        <f>Cust_Detail!F83*Rates!F148</f>
        <v>1120906.02</v>
      </c>
      <c r="F143" s="16">
        <f>Cust_Detail!G83*Rates!G148</f>
        <v>1248583.1850000001</v>
      </c>
      <c r="G143" s="16">
        <f>Cust_Detail!H83*Rates!H148</f>
        <v>1436506.2849999999</v>
      </c>
      <c r="H143" s="16">
        <f>Cust_Detail!I83*Rates!I148</f>
        <v>3148945.0500000003</v>
      </c>
      <c r="I143" s="16">
        <f>Cust_Detail!J83*Rates!J148</f>
        <v>4261059</v>
      </c>
      <c r="J143" s="16">
        <f>Cust_Detail!K83*Rates!K148</f>
        <v>6482437.150080001</v>
      </c>
      <c r="K143" s="16">
        <f>Cust_Detail!L83*Rates!L148</f>
        <v>7355257.0099999998</v>
      </c>
      <c r="L143" s="16">
        <f>Cust_Detail!M83*Rates!M148</f>
        <v>7796579.3213343704</v>
      </c>
      <c r="M143" s="16">
        <f>Cust_Detail!N83*Rates!N148</f>
        <v>9587199.9911926221</v>
      </c>
      <c r="N143" s="16">
        <f>Cust_Detail!O83*Rates!O148</f>
        <v>10421068.405132625</v>
      </c>
      <c r="O143" s="16">
        <f>Cust_Detail!P83*Rates!P148</f>
        <v>11563928.546309166</v>
      </c>
      <c r="P143" s="16">
        <f>Cust_Detail!Q83*Rates!Q148</f>
        <v>12960712.387439083</v>
      </c>
      <c r="Q143" s="16">
        <f>Cust_Detail!R83*Rates!R148</f>
        <v>13564286.919798175</v>
      </c>
      <c r="R143" s="16">
        <f>Cust_Detail!S83*Rates!S148</f>
        <v>14114239.300759671</v>
      </c>
      <c r="S143" s="16">
        <f>Cust_Detail!T83*Rates!T148</f>
        <v>14601142.288512558</v>
      </c>
      <c r="T143" s="16">
        <f>Cust_Detail!U83*Rates!U148</f>
        <v>15066523.644058684</v>
      </c>
      <c r="U143" s="16">
        <f>Cust_Detail!V83*Rates!V148</f>
        <v>15360573.98088848</v>
      </c>
      <c r="V143" s="16">
        <f>Cust_Detail!W83*Rates!W148</f>
        <v>15672524.107552666</v>
      </c>
      <c r="X143" s="16">
        <f>SUMIF($E$8:$V$8,'COS_RR (top sheet)'!$I$6,$E143:$V143)</f>
        <v>15066523.644058684</v>
      </c>
    </row>
    <row r="144" spans="1:26" ht="15.75" customHeight="1">
      <c r="A144" s="411"/>
      <c r="C144" s="236">
        <f>+MAX(C$10:C143)+1</f>
        <v>130</v>
      </c>
      <c r="D144" s="41" t="s">
        <v>909</v>
      </c>
      <c r="E144" s="277">
        <f>Cust_Detail!F84*Rates!F149</f>
        <v>332725</v>
      </c>
      <c r="F144" s="277">
        <f>Cust_Detail!G84*Rates!G149</f>
        <v>348096.89500000002</v>
      </c>
      <c r="G144" s="277">
        <f>Cust_Detail!H84*Rates!H149</f>
        <v>370722.19500000001</v>
      </c>
      <c r="H144" s="277">
        <f>Cust_Detail!I84*Rates!I149</f>
        <v>0</v>
      </c>
      <c r="I144" s="277">
        <f>Cust_Detail!J84*Rates!J149</f>
        <v>82355</v>
      </c>
      <c r="J144" s="277">
        <f>Cust_Detail!K84*Rates!K149</f>
        <v>84279</v>
      </c>
      <c r="K144" s="277">
        <f>Cust_Detail!L84*Rates!L149</f>
        <v>27170</v>
      </c>
      <c r="L144" s="277">
        <f>Cust_Detail!M84*Rates!M149</f>
        <v>0</v>
      </c>
      <c r="M144" s="277">
        <f>Cust_Detail!N84*Rates!N149</f>
        <v>18967.673602418708</v>
      </c>
      <c r="N144" s="277">
        <f>Cust_Detail!O84*Rates!O149</f>
        <v>573080.80883061874</v>
      </c>
      <c r="O144" s="277">
        <f>Cust_Detail!P84*Rates!P149</f>
        <v>1142480.8088306186</v>
      </c>
      <c r="P144" s="277">
        <f>Cust_Detail!Q84*Rates!Q149</f>
        <v>1869425.6769032648</v>
      </c>
      <c r="Q144" s="277">
        <f>Cust_Detail!R84*Rates!R149</f>
        <v>2487682.5824929886</v>
      </c>
      <c r="R144" s="277">
        <f>Cust_Detail!S84*Rates!S149</f>
        <v>3164682.268334168</v>
      </c>
      <c r="S144" s="277">
        <f>Cust_Detail!T84*Rates!T149</f>
        <v>3341446.5464813667</v>
      </c>
      <c r="T144" s="277">
        <f>Cust_Detail!U84*Rates!U149</f>
        <v>3640191.152887274</v>
      </c>
      <c r="U144" s="277">
        <f>Cust_Detail!V84*Rates!V149</f>
        <v>4083035.4638970629</v>
      </c>
      <c r="V144" s="277">
        <f>Cust_Detail!W84*Rates!W149</f>
        <v>4364470.1798848137</v>
      </c>
      <c r="X144" s="277">
        <f>SUMIF($E$8:$V$8,'COS_RR (top sheet)'!$I$6,$E144:$V144)</f>
        <v>3640191.152887274</v>
      </c>
    </row>
    <row r="145" spans="1:26" s="40" customFormat="1" ht="15.75" customHeight="1">
      <c r="A145" s="411"/>
      <c r="B145" s="91"/>
      <c r="C145" s="236">
        <f>+MAX(C$10:C144)+1</f>
        <v>131</v>
      </c>
      <c r="D145" s="251" t="str">
        <f>"TOTAL "&amp;D136</f>
        <v>TOTAL INDUSTRIAL (14)</v>
      </c>
      <c r="E145" s="256">
        <f>SUM(E139:E144)</f>
        <v>2451130.2236372689</v>
      </c>
      <c r="F145" s="256">
        <f t="shared" ref="F145:V145" si="22">SUM(F139:F144)</f>
        <v>2594388.0047831964</v>
      </c>
      <c r="G145" s="256">
        <f t="shared" si="22"/>
        <v>2805243.6133962497</v>
      </c>
      <c r="H145" s="256">
        <f t="shared" si="22"/>
        <v>4651435.4780379999</v>
      </c>
      <c r="I145" s="256">
        <f t="shared" si="22"/>
        <v>6333518.1456290642</v>
      </c>
      <c r="J145" s="256">
        <f t="shared" si="22"/>
        <v>9452127.5149453022</v>
      </c>
      <c r="K145" s="256">
        <f t="shared" si="22"/>
        <v>10656045.254396405</v>
      </c>
      <c r="L145" s="256">
        <f t="shared" si="22"/>
        <v>11234319.051176628</v>
      </c>
      <c r="M145" s="256">
        <f t="shared" si="22"/>
        <v>13830983.930406855</v>
      </c>
      <c r="N145" s="256">
        <f t="shared" si="22"/>
        <v>15713298.746176444</v>
      </c>
      <c r="O145" s="256">
        <f t="shared" si="22"/>
        <v>18053318.857936461</v>
      </c>
      <c r="P145" s="256">
        <f t="shared" si="22"/>
        <v>20938218.289680712</v>
      </c>
      <c r="Q145" s="256">
        <f t="shared" si="22"/>
        <v>22584259.498238564</v>
      </c>
      <c r="R145" s="256">
        <f t="shared" si="22"/>
        <v>24211503.947317179</v>
      </c>
      <c r="S145" s="256">
        <f t="shared" si="22"/>
        <v>25127184.442967676</v>
      </c>
      <c r="T145" s="256">
        <f t="shared" si="22"/>
        <v>26145181.495748777</v>
      </c>
      <c r="U145" s="256">
        <f t="shared" si="22"/>
        <v>27133759.531036388</v>
      </c>
      <c r="V145" s="256">
        <f t="shared" si="22"/>
        <v>27929205.314629108</v>
      </c>
      <c r="W145" s="263"/>
      <c r="X145" s="256">
        <f>SUMIF($E$8:$V$8,'COS_RR (top sheet)'!$I$6,$E145:$V145)</f>
        <v>26145181.495748777</v>
      </c>
      <c r="Y145"/>
      <c r="Z145" s="263"/>
    </row>
    <row r="146" spans="1:26" s="40" customFormat="1" ht="15.75" customHeight="1">
      <c r="A146" s="411"/>
      <c r="B146" s="91"/>
      <c r="C146" s="236">
        <f>+MAX(C$10:C145)+1</f>
        <v>132</v>
      </c>
      <c r="D146" s="39" t="s">
        <v>2723</v>
      </c>
      <c r="E146" s="279">
        <f>E145*'City Taxes'!E10</f>
        <v>11908.388349928404</v>
      </c>
      <c r="F146" s="279">
        <f>F145*'City Taxes'!F10</f>
        <v>12604.381274165307</v>
      </c>
      <c r="G146" s="279">
        <f>G145*'City Taxes'!G10</f>
        <v>13628.786444037803</v>
      </c>
      <c r="H146" s="279">
        <f>H145*'City Taxes'!H10</f>
        <v>22598.187367995364</v>
      </c>
      <c r="I146" s="279">
        <f>I145*'City Taxes'!I10</f>
        <v>30770.29240313045</v>
      </c>
      <c r="J146" s="279">
        <f>J145*'City Taxes'!J10</f>
        <v>45921.511674717745</v>
      </c>
      <c r="K146" s="279">
        <f>K145*'City Taxes'!K10</f>
        <v>51770.535869555169</v>
      </c>
      <c r="L146" s="279">
        <f>L145*'City Taxes'!L10</f>
        <v>56776.255594035072</v>
      </c>
      <c r="M146" s="279">
        <f>M145*'City Taxes'!M10</f>
        <v>69899.339263248534</v>
      </c>
      <c r="N146" s="279">
        <f>N145*'City Taxes'!N10</f>
        <v>79412.224432499628</v>
      </c>
      <c r="O146" s="279">
        <f>O145*'City Taxes'!O10</f>
        <v>91238.270973927909</v>
      </c>
      <c r="P146" s="279">
        <f>P145*'City Taxes'!P10</f>
        <v>105818.04094072827</v>
      </c>
      <c r="Q146" s="279">
        <f>Q145*'City Taxes'!Q10</f>
        <v>114136.84121243739</v>
      </c>
      <c r="R146" s="279">
        <f>R145*'City Taxes'!R10</f>
        <v>122360.64599615375</v>
      </c>
      <c r="S146" s="279">
        <f>S145*'City Taxes'!S10</f>
        <v>126988.33278577543</v>
      </c>
      <c r="T146" s="279">
        <f>T145*'City Taxes'!T10</f>
        <v>132133.10930488459</v>
      </c>
      <c r="U146" s="279">
        <f>U145*'City Taxes'!U10</f>
        <v>137129.20732831219</v>
      </c>
      <c r="V146" s="279">
        <f>V145*'City Taxes'!V10</f>
        <v>141149.24921200139</v>
      </c>
      <c r="W146" s="263"/>
      <c r="X146" s="279">
        <f>SUMIF($E$8:$V$8,'COS_RR (top sheet)'!$I$6,$E146:$V146)</f>
        <v>132133.10930488459</v>
      </c>
      <c r="Y146"/>
      <c r="Z146" s="263"/>
    </row>
    <row r="147" spans="1:26" ht="15.75" customHeight="1">
      <c r="A147" s="411"/>
      <c r="C147" s="236">
        <f>+MAX(C$10:C146)+1</f>
        <v>133</v>
      </c>
      <c r="D147" s="251" t="str">
        <f>"TOTAL "&amp;D136</f>
        <v>TOTAL INDUSTRIAL (14)</v>
      </c>
      <c r="E147" s="256">
        <f>SUM(E145:E146)</f>
        <v>2463038.6119871973</v>
      </c>
      <c r="F147" s="256">
        <f t="shared" ref="F147:V147" si="23">SUM(F145:F146)</f>
        <v>2606992.3860573615</v>
      </c>
      <c r="G147" s="256">
        <f t="shared" si="23"/>
        <v>2818872.3998402874</v>
      </c>
      <c r="H147" s="256">
        <f t="shared" si="23"/>
        <v>4674033.6654059952</v>
      </c>
      <c r="I147" s="256">
        <f t="shared" si="23"/>
        <v>6364288.438032195</v>
      </c>
      <c r="J147" s="256">
        <f t="shared" si="23"/>
        <v>9498049.0266200192</v>
      </c>
      <c r="K147" s="256">
        <f t="shared" si="23"/>
        <v>10707815.790265961</v>
      </c>
      <c r="L147" s="256">
        <f t="shared" si="23"/>
        <v>11291095.306770664</v>
      </c>
      <c r="M147" s="256">
        <f t="shared" si="23"/>
        <v>13900883.269670105</v>
      </c>
      <c r="N147" s="256">
        <f t="shared" si="23"/>
        <v>15792710.970608944</v>
      </c>
      <c r="O147" s="256">
        <f t="shared" si="23"/>
        <v>18144557.128910389</v>
      </c>
      <c r="P147" s="256">
        <f t="shared" si="23"/>
        <v>21044036.33062144</v>
      </c>
      <c r="Q147" s="256">
        <f t="shared" si="23"/>
        <v>22698396.339451</v>
      </c>
      <c r="R147" s="256">
        <f t="shared" si="23"/>
        <v>24333864.593313333</v>
      </c>
      <c r="S147" s="256">
        <f t="shared" si="23"/>
        <v>25254172.77575345</v>
      </c>
      <c r="T147" s="256">
        <f t="shared" si="23"/>
        <v>26277314.605053663</v>
      </c>
      <c r="U147" s="256">
        <f t="shared" si="23"/>
        <v>27270888.7383647</v>
      </c>
      <c r="V147" s="256">
        <f t="shared" si="23"/>
        <v>28070354.563841108</v>
      </c>
      <c r="X147" s="256">
        <f>SUMIF($E$8:$V$8,'COS_RR (top sheet)'!$I$6,$E147:$V147)</f>
        <v>26277314.605053663</v>
      </c>
    </row>
    <row r="148" spans="1:26" ht="15.75" customHeight="1">
      <c r="A148" s="411"/>
      <c r="C148" s="236">
        <f>+MAX(C$10:C147)+1</f>
        <v>134</v>
      </c>
    </row>
    <row r="149" spans="1:26" ht="15.75" customHeight="1">
      <c r="A149" s="411"/>
      <c r="C149" s="236">
        <f>+MAX(C$10:C148)+1</f>
        <v>135</v>
      </c>
      <c r="D149" s="751" t="s">
        <v>228</v>
      </c>
      <c r="E149" s="16"/>
      <c r="F149" s="16"/>
      <c r="G149" s="16"/>
      <c r="H149" s="16"/>
      <c r="I149" s="16"/>
      <c r="J149" s="16"/>
      <c r="K149" s="16"/>
      <c r="L149" s="16"/>
      <c r="M149" s="16"/>
      <c r="N149" s="16"/>
      <c r="O149" s="16"/>
      <c r="P149" s="16"/>
      <c r="Q149" s="16"/>
      <c r="R149" s="16"/>
      <c r="S149" s="16"/>
      <c r="T149" s="16"/>
      <c r="U149" s="16"/>
      <c r="V149" s="16"/>
      <c r="X149" s="16"/>
    </row>
    <row r="150" spans="1:26" ht="15.75" customHeight="1">
      <c r="A150" s="411"/>
      <c r="C150" s="236">
        <f>+MAX(C$10:C149)+1</f>
        <v>136</v>
      </c>
      <c r="D150" s="273"/>
      <c r="E150" s="16"/>
      <c r="F150" s="16"/>
      <c r="G150" s="16"/>
      <c r="H150" s="16"/>
      <c r="I150" s="16"/>
      <c r="J150" s="16"/>
      <c r="K150" s="16"/>
      <c r="L150" s="16"/>
      <c r="M150" s="16"/>
      <c r="N150" s="16"/>
      <c r="O150" s="16"/>
      <c r="P150" s="16"/>
      <c r="Q150" s="16"/>
      <c r="R150" s="16"/>
      <c r="S150" s="16"/>
      <c r="T150" s="16"/>
      <c r="U150" s="16"/>
      <c r="V150" s="16"/>
      <c r="X150" s="16"/>
    </row>
    <row r="151" spans="1:26" ht="15.75" customHeight="1">
      <c r="A151" s="411"/>
      <c r="C151" s="236">
        <f>+MAX(C$10:C150)+1</f>
        <v>137</v>
      </c>
      <c r="D151" s="15" t="s">
        <v>848</v>
      </c>
      <c r="E151" s="16"/>
      <c r="F151" s="16"/>
      <c r="G151" s="16"/>
      <c r="H151" s="16"/>
      <c r="I151" s="16"/>
      <c r="J151" s="16"/>
      <c r="K151" s="16"/>
      <c r="L151" s="16"/>
      <c r="M151" s="16"/>
      <c r="N151" s="16"/>
      <c r="O151" s="16"/>
      <c r="P151" s="16"/>
      <c r="Q151" s="16"/>
      <c r="R151" s="16"/>
      <c r="S151" s="16"/>
      <c r="T151" s="16"/>
      <c r="U151" s="16"/>
      <c r="V151" s="16"/>
      <c r="X151" s="16"/>
    </row>
    <row r="152" spans="1:26" ht="15.75" customHeight="1">
      <c r="A152" s="411"/>
      <c r="C152" s="236">
        <f>+MAX(C$10:C151)+1</f>
        <v>138</v>
      </c>
      <c r="D152" s="39" t="s">
        <v>251</v>
      </c>
      <c r="E152" s="279">
        <f>Cust_Detail!F88*Rates!F159*INDEX(Rates!$F$157:$W$157,1,MATCH(E$8,Rates!$F$7:$W$7,0))</f>
        <v>36000</v>
      </c>
      <c r="F152" s="279">
        <f>Cust_Detail!G88*Rates!G159*INDEX(Rates!$F$157:$W$157,1,MATCH(F$8,Rates!$F$7:$W$7,0))</f>
        <v>36000</v>
      </c>
      <c r="G152" s="279">
        <f>Cust_Detail!H88*Rates!H159*INDEX(Rates!$F$157:$W$157,1,MATCH(G$8,Rates!$F$7:$W$7,0))</f>
        <v>36000</v>
      </c>
      <c r="H152" s="279">
        <f>Cust_Detail!I88*Rates!I159*INDEX(Rates!$F$157:$W$157,1,MATCH(H$8,Rates!$F$7:$W$7,0))</f>
        <v>84230.136986301382</v>
      </c>
      <c r="I152" s="279">
        <f>Cust_Detail!J88*Rates!J159*INDEX(Rates!$F$157:$W$157,1,MATCH(I$8,Rates!$F$7:$W$7,0))</f>
        <v>85101.185162382637</v>
      </c>
      <c r="J152" s="279">
        <f>Cust_Detail!K88*Rates!K159*INDEX(Rates!$F$157:$W$157,1,MATCH(J$8,Rates!$F$7:$W$7,0))</f>
        <v>84000</v>
      </c>
      <c r="K152" s="279">
        <f>Cust_Detail!L88*Rates!L159*INDEX(Rates!$F$157:$W$157,1,MATCH(K$8,Rates!$F$7:$W$7,0))</f>
        <v>84000</v>
      </c>
      <c r="L152" s="279">
        <f>Cust_Detail!M88*Rates!M159*INDEX(Rates!$F$157:$W$157,1,MATCH(L$8,Rates!$F$7:$W$7,0))</f>
        <v>84000</v>
      </c>
      <c r="M152" s="279">
        <f>Cust_Detail!N88*Rates!N159*INDEX(Rates!$F$157:$W$157,1,MATCH(M$8,Rates!$F$7:$W$7,0))</f>
        <v>84000</v>
      </c>
      <c r="N152" s="279">
        <f>Cust_Detail!O88*Rates!O159*INDEX(Rates!$F$157:$W$157,1,MATCH(N$8,Rates!$F$7:$W$7,0))</f>
        <v>84000</v>
      </c>
      <c r="O152" s="279">
        <f>Cust_Detail!P88*Rates!P159*INDEX(Rates!$F$157:$W$157,1,MATCH(O$8,Rates!$F$7:$W$7,0))</f>
        <v>84000</v>
      </c>
      <c r="P152" s="279">
        <f>Cust_Detail!Q88*Rates!Q159*INDEX(Rates!$F$157:$W$157,1,MATCH(P$8,Rates!$F$7:$W$7,0))</f>
        <v>84000</v>
      </c>
      <c r="Q152" s="279">
        <f>Cust_Detail!R88*Rates!R159*INDEX(Rates!$F$157:$W$157,1,MATCH(Q$8,Rates!$F$7:$W$7,0))</f>
        <v>84000</v>
      </c>
      <c r="R152" s="279">
        <f>Cust_Detail!S88*Rates!S159*INDEX(Rates!$F$157:$W$157,1,MATCH(R$8,Rates!$F$7:$W$7,0))</f>
        <v>84000</v>
      </c>
      <c r="S152" s="279">
        <f>Cust_Detail!T88*Rates!T159*INDEX(Rates!$F$157:$W$157,1,MATCH(S$8,Rates!$F$7:$W$7,0))</f>
        <v>84000</v>
      </c>
      <c r="T152" s="279">
        <f>Cust_Detail!U88*Rates!U159*INDEX(Rates!$F$157:$W$157,1,MATCH(T$8,Rates!$F$7:$W$7,0))</f>
        <v>84000</v>
      </c>
      <c r="U152" s="279">
        <f>Cust_Detail!V88*Rates!V159*INDEX(Rates!$F$157:$W$157,1,MATCH(U$8,Rates!$F$7:$W$7,0))</f>
        <v>84000</v>
      </c>
      <c r="V152" s="279">
        <f>Cust_Detail!W88*Rates!W159*INDEX(Rates!$F$157:$W$157,1,MATCH(V$8,Rates!$F$7:$W$7,0))</f>
        <v>84000</v>
      </c>
      <c r="X152" s="279">
        <f>SUMIF($E$8:$V$8,'COS_RR (top sheet)'!$I$6,$E152:$V152)</f>
        <v>84000</v>
      </c>
    </row>
    <row r="153" spans="1:26" ht="15.75" customHeight="1">
      <c r="A153" s="411"/>
      <c r="C153" s="236">
        <f>+MAX(C$10:C152)+1</f>
        <v>139</v>
      </c>
      <c r="D153" s="39" t="s">
        <v>178</v>
      </c>
      <c r="E153" s="16">
        <f>Cust_Detail!F89*Rates!F161</f>
        <v>8684815.5</v>
      </c>
      <c r="F153" s="16">
        <f>Cust_Detail!G89*Rates!G161</f>
        <v>8684815.5</v>
      </c>
      <c r="G153" s="16">
        <f>Cust_Detail!H89*Rates!H161</f>
        <v>8684815.5</v>
      </c>
      <c r="H153" s="16">
        <f>Cust_Detail!I89*Rates!I161</f>
        <v>10943753.266310563</v>
      </c>
      <c r="I153" s="16">
        <f>Cust_Detail!J89*Rates!J161</f>
        <v>10319400.857858639</v>
      </c>
      <c r="J153" s="16">
        <f>Cust_Detail!K89*Rates!K161</f>
        <v>11344019.132364089</v>
      </c>
      <c r="K153" s="16">
        <f>Cust_Detail!L89*Rates!L161</f>
        <v>13259411.15438411</v>
      </c>
      <c r="L153" s="16">
        <f>Cust_Detail!M89*Rates!M161</f>
        <v>13003545.964704273</v>
      </c>
      <c r="M153" s="16">
        <f>Cust_Detail!N89*Rates!N161</f>
        <v>14010263.239650618</v>
      </c>
      <c r="N153" s="16">
        <f>Cust_Detail!O89*Rates!O161</f>
        <v>15083907.850231839</v>
      </c>
      <c r="O153" s="16">
        <f>Cust_Detail!P89*Rates!P161</f>
        <v>16444511.916113496</v>
      </c>
      <c r="P153" s="16">
        <f>Cust_Detail!Q89*Rates!Q161</f>
        <v>17994845.290980741</v>
      </c>
      <c r="Q153" s="16">
        <f>Cust_Detail!R89*Rates!R161</f>
        <v>19805979.266494025</v>
      </c>
      <c r="R153" s="16">
        <f>Cust_Detail!S89*Rates!S161</f>
        <v>20621014.583550502</v>
      </c>
      <c r="S153" s="16">
        <f>Cust_Detail!T89*Rates!T161</f>
        <v>21561052.775258716</v>
      </c>
      <c r="T153" s="16">
        <f>Cust_Detail!U89*Rates!U161</f>
        <v>22549306.562685762</v>
      </c>
      <c r="U153" s="16">
        <f>Cust_Detail!V89*Rates!V161</f>
        <v>23178539.606606402</v>
      </c>
      <c r="V153" s="16">
        <f>Cust_Detail!W89*Rates!W161</f>
        <v>23812223.320901085</v>
      </c>
      <c r="X153" s="16">
        <f>SUMIF($E$8:$V$8,'COS_RR (top sheet)'!$I$6,$E153:$V153)</f>
        <v>22549306.562685762</v>
      </c>
    </row>
    <row r="154" spans="1:26" ht="15.75" hidden="1" customHeight="1">
      <c r="A154" s="411"/>
      <c r="C154" s="236">
        <f>+MAX(C$10:C153)+1</f>
        <v>140</v>
      </c>
      <c r="D154" s="917" t="s">
        <v>257</v>
      </c>
      <c r="E154" s="1266">
        <f>SUM(E152:E153,E157:E161)*Rates!F163</f>
        <v>93182.520475927144</v>
      </c>
      <c r="F154" s="1266">
        <f>SUM(F152:F153,F157:F161)*Rates!G163</f>
        <v>93182.520475927144</v>
      </c>
      <c r="G154" s="1266">
        <f>SUM(G152:G153,G157:G161)*Rates!H163</f>
        <v>102806.71518252592</v>
      </c>
      <c r="H154" s="1266">
        <f>SUM(H152:H153,H157:H161)*Rates!I163</f>
        <v>0</v>
      </c>
      <c r="I154" s="1266">
        <f>SUM(I152:I153,I157:I161)*Rates!J163</f>
        <v>0</v>
      </c>
      <c r="J154" s="1266">
        <f>SUM(J152:J153,J157:J161)*Rates!K163</f>
        <v>0</v>
      </c>
      <c r="K154" s="1266">
        <f>SUM(K152:K153,K157:K161)*Rates!L163</f>
        <v>0</v>
      </c>
      <c r="L154" s="1266">
        <f>SUM(L152:L153,L157:L161)*Rates!M163</f>
        <v>0</v>
      </c>
      <c r="M154" s="1266">
        <f>SUM(M152:M153,M157:M161)*Rates!N163</f>
        <v>0</v>
      </c>
      <c r="N154" s="1266">
        <f>SUM(N152:N153,N157:N161)*Rates!O163</f>
        <v>0</v>
      </c>
      <c r="O154" s="1266">
        <f>SUM(O152:O153,O157:O161)*Rates!P163</f>
        <v>0</v>
      </c>
      <c r="P154" s="1266">
        <f>SUM(P152:P153,P157:P161)*Rates!Q163</f>
        <v>0</v>
      </c>
      <c r="Q154" s="1266">
        <f>SUM(Q152:Q153,Q157:Q161)*Rates!R163</f>
        <v>0</v>
      </c>
      <c r="R154" s="1266">
        <f>SUM(R152:R153,R157:R161)*Rates!S163</f>
        <v>0</v>
      </c>
      <c r="S154" s="1266">
        <f>SUM(S152:S153,S157:S161)*Rates!T163</f>
        <v>0</v>
      </c>
      <c r="T154" s="1266">
        <f>SUM(T152:T153,T157:T161)*Rates!U163</f>
        <v>0</v>
      </c>
      <c r="U154" s="1266">
        <f>SUM(U152:U153,U157:U161)*Rates!V163</f>
        <v>0</v>
      </c>
      <c r="V154" s="1266">
        <f>SUM(V152:V153,V157:V161)*Rates!W163</f>
        <v>0</v>
      </c>
      <c r="X154" s="16">
        <f>SUMIF($E$8:$V$8,'COS_RR (top sheet)'!$I$6,$E154:$V154)</f>
        <v>0</v>
      </c>
    </row>
    <row r="155" spans="1:26" ht="15.75" customHeight="1">
      <c r="A155" s="411"/>
      <c r="C155" s="236">
        <f>+MAX(C$10:C154)+1</f>
        <v>141</v>
      </c>
      <c r="D155" s="39" t="s">
        <v>2159</v>
      </c>
      <c r="E155" s="16">
        <f>SUM(E152:E153,E157:E161)*Rates!F165</f>
        <v>105277.04934183582</v>
      </c>
      <c r="F155" s="16">
        <f>SUM(F152:F153,F157:F161)*Rates!G165</f>
        <v>105277.04934183582</v>
      </c>
      <c r="G155" s="16">
        <f>SUM(G152:G153,G157:G161)*Rates!H165</f>
        <v>116150.40644601274</v>
      </c>
      <c r="H155" s="16">
        <f>SUM(H152:H153,H157:H161)*Rates!I165</f>
        <v>0</v>
      </c>
      <c r="I155" s="16">
        <f>SUM(I152:I153,I157:I161)*Rates!J165</f>
        <v>0</v>
      </c>
      <c r="J155" s="16">
        <f>SUM(J152:J153,J157:J161)*Rates!K165</f>
        <v>0</v>
      </c>
      <c r="K155" s="16">
        <f>SUM(K152:K153,K157:K161)*Rates!L165</f>
        <v>0</v>
      </c>
      <c r="L155" s="16">
        <f>SUM(L152:L153,L157:L161)*Rates!M165</f>
        <v>0</v>
      </c>
      <c r="M155" s="16">
        <f>SUM(M152:M153,M157:M161)*Rates!N165</f>
        <v>0</v>
      </c>
      <c r="N155" s="16">
        <f>SUM(N152:N153,N157:N161)*Rates!O165</f>
        <v>0</v>
      </c>
      <c r="O155" s="16">
        <f>SUM(O152:O153,O157:O161)*Rates!P165</f>
        <v>0</v>
      </c>
      <c r="P155" s="16">
        <f>SUM(P152:P153,P157:P161)*Rates!Q165</f>
        <v>0</v>
      </c>
      <c r="Q155" s="16">
        <f>SUM(Q152:Q153,Q157:Q161)*Rates!R165</f>
        <v>0</v>
      </c>
      <c r="R155" s="16">
        <f>SUM(R152:R153,R157:R161)*Rates!S165</f>
        <v>0</v>
      </c>
      <c r="S155" s="16">
        <f>SUM(S152:S153,S157:S161)*Rates!T165</f>
        <v>0</v>
      </c>
      <c r="T155" s="16">
        <f>SUM(T152:T153,T157:T161)*Rates!U165</f>
        <v>0</v>
      </c>
      <c r="U155" s="16">
        <f>SUM(U152:U153,U157:U161)*Rates!V165</f>
        <v>0</v>
      </c>
      <c r="V155" s="16">
        <f>SUM(V152:V153,V157:V161)*Rates!W165</f>
        <v>0</v>
      </c>
      <c r="X155" s="16">
        <f>SUMIF($E$8:$V$8,'COS_RR (top sheet)'!$I$6,$E155:$V155)</f>
        <v>0</v>
      </c>
    </row>
    <row r="156" spans="1:26" ht="15.75" customHeight="1">
      <c r="A156" s="411"/>
      <c r="C156" s="236">
        <f>+MAX(C$10:C155)+1</f>
        <v>142</v>
      </c>
      <c r="D156" s="39" t="s">
        <v>723</v>
      </c>
      <c r="E156" s="16"/>
      <c r="F156" s="16"/>
      <c r="G156" s="16"/>
      <c r="H156" s="16"/>
      <c r="I156" s="16"/>
      <c r="J156" s="16"/>
      <c r="K156" s="16"/>
      <c r="L156" s="16"/>
      <c r="M156" s="16"/>
      <c r="N156" s="16"/>
      <c r="O156" s="16"/>
      <c r="P156" s="16"/>
      <c r="Q156" s="16"/>
      <c r="R156" s="16"/>
      <c r="S156" s="16"/>
      <c r="T156" s="16"/>
      <c r="U156" s="16"/>
      <c r="V156" s="16"/>
      <c r="X156" s="16"/>
    </row>
    <row r="157" spans="1:26" ht="15.75" customHeight="1">
      <c r="A157" s="411"/>
      <c r="C157" s="236">
        <f>+MAX(C$10:C156)+1</f>
        <v>143</v>
      </c>
      <c r="D157" s="41" t="s">
        <v>1014</v>
      </c>
      <c r="E157" s="16">
        <f>Cust_Detail!F90*Rates!F168</f>
        <v>13828569.6</v>
      </c>
      <c r="F157" s="16">
        <f>Cust_Detail!G90*Rates!G168</f>
        <v>13828569.6</v>
      </c>
      <c r="G157" s="16">
        <f>Cust_Detail!H90*Rates!H168</f>
        <v>15884849.090000002</v>
      </c>
      <c r="H157" s="16">
        <f>Cust_Detail!I90*Rates!I168</f>
        <v>22069946.400000002</v>
      </c>
      <c r="I157" s="16">
        <f>Cust_Detail!J90*Rates!J168</f>
        <v>21781418.979999997</v>
      </c>
      <c r="J157" s="16">
        <f>Cust_Detail!K90*Rates!K168</f>
        <v>22782730.924800001</v>
      </c>
      <c r="K157" s="16">
        <f>Cust_Detail!L90*Rates!L168</f>
        <v>23473296</v>
      </c>
      <c r="L157" s="16">
        <f>Cust_Detail!M90*Rates!M168</f>
        <v>22121625.375624381</v>
      </c>
      <c r="M157" s="16">
        <f>Cust_Detail!N90*Rates!N168</f>
        <v>22690929.916869417</v>
      </c>
      <c r="N157" s="16">
        <f>Cust_Detail!O90*Rates!O168</f>
        <v>22681775.938987389</v>
      </c>
      <c r="O157" s="16">
        <f>Cust_Detail!P90*Rates!P168</f>
        <v>23681174.417665608</v>
      </c>
      <c r="P157" s="16">
        <f>Cust_Detail!Q90*Rates!Q168</f>
        <v>24784997.563956849</v>
      </c>
      <c r="Q157" s="16">
        <f>Cust_Detail!R90*Rates!R168</f>
        <v>26502288.003329922</v>
      </c>
      <c r="R157" s="16">
        <f>Cust_Detail!S90*Rates!S168</f>
        <v>26770511.976911664</v>
      </c>
      <c r="S157" s="16">
        <f>Cust_Detail!T90*Rates!T168</f>
        <v>26813722.206745174</v>
      </c>
      <c r="T157" s="16">
        <f>Cust_Detail!U90*Rates!U168</f>
        <v>26826624</v>
      </c>
      <c r="U157" s="16">
        <f>Cust_Detail!V90*Rates!V168</f>
        <v>26813722.206745174</v>
      </c>
      <c r="V157" s="16">
        <f>Cust_Detail!W90*Rates!W168</f>
        <v>26813722.206745174</v>
      </c>
      <c r="X157" s="16">
        <f>SUMIF($E$8:$V$8,'COS_RR (top sheet)'!$I$6,$E157:$V157)</f>
        <v>26826624</v>
      </c>
    </row>
    <row r="158" spans="1:26" ht="15.75" customHeight="1">
      <c r="A158" s="411"/>
      <c r="C158" s="236">
        <f>+MAX(C$10:C157)+1</f>
        <v>144</v>
      </c>
      <c r="D158" s="41" t="s">
        <v>1010</v>
      </c>
      <c r="E158" s="16">
        <f>Cust_Detail!F91*Rates!F169</f>
        <v>11281379.155199999</v>
      </c>
      <c r="F158" s="16">
        <f>Cust_Detail!G91*Rates!G169</f>
        <v>11281379.155199999</v>
      </c>
      <c r="G158" s="16">
        <f>Cust_Detail!H91*Rates!H169</f>
        <v>12719251.364490001</v>
      </c>
      <c r="H158" s="16">
        <f>Cust_Detail!I91*Rates!I169</f>
        <v>12133082.5</v>
      </c>
      <c r="I158" s="16">
        <f>Cust_Detail!J91*Rates!J169</f>
        <v>10917275.359999999</v>
      </c>
      <c r="J158" s="16">
        <f>Cust_Detail!K91*Rates!K169</f>
        <v>10879284.157200001</v>
      </c>
      <c r="K158" s="16">
        <f>Cust_Detail!L91*Rates!L169</f>
        <v>13246946.020000001</v>
      </c>
      <c r="L158" s="16">
        <f>Cust_Detail!M91*Rates!M169</f>
        <v>10581304.87594117</v>
      </c>
      <c r="M158" s="16">
        <f>Cust_Detail!N91*Rates!N169</f>
        <v>11499395.314031359</v>
      </c>
      <c r="N158" s="16">
        <f>Cust_Detail!O91*Rates!O169</f>
        <v>12401565.873365089</v>
      </c>
      <c r="O158" s="16">
        <f>Cust_Detail!P91*Rates!P169</f>
        <v>13102202.921880471</v>
      </c>
      <c r="P158" s="16">
        <f>Cust_Detail!Q91*Rates!Q169</f>
        <v>14041449.632577658</v>
      </c>
      <c r="Q158" s="16">
        <f>Cust_Detail!R91*Rates!R169</f>
        <v>14748792.673204115</v>
      </c>
      <c r="R158" s="16">
        <f>Cust_Detail!S91*Rates!S169</f>
        <v>15815943.731173709</v>
      </c>
      <c r="S158" s="16">
        <f>Cust_Detail!T91*Rates!T169</f>
        <v>18276727.886287812</v>
      </c>
      <c r="T158" s="16">
        <f>Cust_Detail!U91*Rates!U169</f>
        <v>20571751.164377626</v>
      </c>
      <c r="U158" s="16">
        <f>Cust_Detail!V91*Rates!V169</f>
        <v>20845057.452521134</v>
      </c>
      <c r="V158" s="16">
        <f>Cust_Detail!W91*Rates!W169</f>
        <v>20888574.277206901</v>
      </c>
      <c r="X158" s="16">
        <f>SUMIF($E$8:$V$8,'COS_RR (top sheet)'!$I$6,$E158:$V158)</f>
        <v>20571751.164377626</v>
      </c>
    </row>
    <row r="159" spans="1:26" ht="15.75" customHeight="1">
      <c r="A159" s="411"/>
      <c r="C159" s="236">
        <f>+MAX(C$10:C158)+1</f>
        <v>145</v>
      </c>
      <c r="D159" s="41" t="s">
        <v>1011</v>
      </c>
      <c r="E159" s="16">
        <f>Cust_Detail!F92*Rates!F170</f>
        <v>0</v>
      </c>
      <c r="F159" s="16">
        <f>Cust_Detail!G92*Rates!G170</f>
        <v>0</v>
      </c>
      <c r="G159" s="16">
        <f>Cust_Detail!H92*Rates!H170</f>
        <v>0</v>
      </c>
      <c r="H159" s="16">
        <f>Cust_Detail!I92*Rates!I170</f>
        <v>3198754.5</v>
      </c>
      <c r="I159" s="16">
        <f>Cust_Detail!J92*Rates!J170</f>
        <v>2081499.21</v>
      </c>
      <c r="J159" s="16">
        <f>Cust_Detail!K92*Rates!K170</f>
        <v>4009246.0009277705</v>
      </c>
      <c r="K159" s="16">
        <f>Cust_Detail!L92*Rates!L170</f>
        <v>6753570.5999999996</v>
      </c>
      <c r="L159" s="16">
        <f>Cust_Detail!M92*Rates!M170</f>
        <v>9467757.3497337308</v>
      </c>
      <c r="M159" s="16">
        <f>Cust_Detail!N92*Rates!N170</f>
        <v>11517356.578992033</v>
      </c>
      <c r="N159" s="16">
        <f>Cust_Detail!O92*Rates!O170</f>
        <v>14568708.63558108</v>
      </c>
      <c r="O159" s="16">
        <f>Cust_Detail!P92*Rates!P170</f>
        <v>17693040.486876156</v>
      </c>
      <c r="P159" s="16">
        <f>Cust_Detail!Q92*Rates!Q170</f>
        <v>20883364.85273936</v>
      </c>
      <c r="Q159" s="16">
        <f>Cust_Detail!R92*Rates!R170</f>
        <v>24267564.858205177</v>
      </c>
      <c r="R159" s="16">
        <f>Cust_Detail!S92*Rates!S170</f>
        <v>25757123.869287111</v>
      </c>
      <c r="S159" s="16">
        <f>Cust_Detail!T92*Rates!T170</f>
        <v>26514889.596864641</v>
      </c>
      <c r="T159" s="16">
        <f>Cust_Detail!U92*Rates!U170</f>
        <v>27847440.645980012</v>
      </c>
      <c r="U159" s="16">
        <f>Cust_Detail!V92*Rates!V170</f>
        <v>29650588.668099012</v>
      </c>
      <c r="V159" s="16">
        <f>Cust_Detail!W92*Rates!W170</f>
        <v>31886421.125026841</v>
      </c>
      <c r="X159" s="16">
        <f>SUMIF($E$8:$V$8,'COS_RR (top sheet)'!$I$6,$E159:$V159)</f>
        <v>27847440.645980012</v>
      </c>
    </row>
    <row r="160" spans="1:26" ht="15.75" customHeight="1">
      <c r="A160" s="411"/>
      <c r="C160" s="236">
        <f>+MAX(C$10:C159)+1</f>
        <v>146</v>
      </c>
      <c r="D160" s="41" t="s">
        <v>1012</v>
      </c>
      <c r="E160" s="16">
        <f>Cust_Detail!F93*Rates!F171</f>
        <v>0</v>
      </c>
      <c r="F160" s="16">
        <f>Cust_Detail!G93*Rates!G171</f>
        <v>0</v>
      </c>
      <c r="G160" s="16">
        <f>Cust_Detail!H93*Rates!H171</f>
        <v>0</v>
      </c>
      <c r="H160" s="16">
        <f>Cust_Detail!I93*Rates!I171</f>
        <v>1069611</v>
      </c>
      <c r="I160" s="16">
        <f>Cust_Detail!J93*Rates!J171</f>
        <v>71233.06</v>
      </c>
      <c r="J160" s="16">
        <f>Cust_Detail!K93*Rates!K171</f>
        <v>0</v>
      </c>
      <c r="K160" s="16">
        <f>Cust_Detail!L93*Rates!L171</f>
        <v>0</v>
      </c>
      <c r="L160" s="16">
        <f>Cust_Detail!M93*Rates!M171</f>
        <v>0</v>
      </c>
      <c r="M160" s="16">
        <f>Cust_Detail!N93*Rates!N171</f>
        <v>0</v>
      </c>
      <c r="N160" s="16">
        <f>Cust_Detail!O93*Rates!O171</f>
        <v>0</v>
      </c>
      <c r="O160" s="16">
        <f>Cust_Detail!P93*Rates!P171</f>
        <v>0</v>
      </c>
      <c r="P160" s="16">
        <f>Cust_Detail!Q93*Rates!Q171</f>
        <v>0</v>
      </c>
      <c r="Q160" s="16">
        <f>Cust_Detail!R93*Rates!R171</f>
        <v>0</v>
      </c>
      <c r="R160" s="16">
        <f>Cust_Detail!S93*Rates!S171</f>
        <v>0</v>
      </c>
      <c r="S160" s="16">
        <f>Cust_Detail!T93*Rates!T171</f>
        <v>0</v>
      </c>
      <c r="T160" s="16">
        <f>Cust_Detail!U93*Rates!U171</f>
        <v>0</v>
      </c>
      <c r="U160" s="16">
        <f>Cust_Detail!V93*Rates!V171</f>
        <v>0</v>
      </c>
      <c r="V160" s="16">
        <f>Cust_Detail!W93*Rates!W171</f>
        <v>0</v>
      </c>
      <c r="X160" s="16">
        <f>SUMIF($E$8:$V$8,'COS_RR (top sheet)'!$I$6,$E160:$V160)</f>
        <v>0</v>
      </c>
    </row>
    <row r="161" spans="1:26" ht="15.75" customHeight="1">
      <c r="A161" s="411"/>
      <c r="C161" s="236">
        <f>+MAX(C$10:C160)+1</f>
        <v>147</v>
      </c>
      <c r="D161" s="41" t="s">
        <v>1013</v>
      </c>
      <c r="E161" s="277">
        <f>Cust_Detail!F94*Rates!F172</f>
        <v>0</v>
      </c>
      <c r="F161" s="277">
        <f>Cust_Detail!G94*Rates!G172</f>
        <v>0</v>
      </c>
      <c r="G161" s="277">
        <f>Cust_Detail!H94*Rates!H172</f>
        <v>0</v>
      </c>
      <c r="H161" s="277">
        <f>Cust_Detail!I94*Rates!I172</f>
        <v>0</v>
      </c>
      <c r="I161" s="277">
        <f>Cust_Detail!J94*Rates!J172</f>
        <v>0</v>
      </c>
      <c r="J161" s="277">
        <f>Cust_Detail!K94*Rates!K172</f>
        <v>0</v>
      </c>
      <c r="K161" s="277">
        <f>Cust_Detail!L94*Rates!L172</f>
        <v>0</v>
      </c>
      <c r="L161" s="277">
        <f>Cust_Detail!M94*Rates!M172</f>
        <v>0</v>
      </c>
      <c r="M161" s="277">
        <f>Cust_Detail!N94*Rates!N172</f>
        <v>0</v>
      </c>
      <c r="N161" s="277">
        <f>Cust_Detail!O94*Rates!O172</f>
        <v>0</v>
      </c>
      <c r="O161" s="277">
        <f>Cust_Detail!P94*Rates!P172</f>
        <v>0</v>
      </c>
      <c r="P161" s="277">
        <f>Cust_Detail!Q94*Rates!Q172</f>
        <v>0</v>
      </c>
      <c r="Q161" s="277">
        <f>Cust_Detail!R94*Rates!R172</f>
        <v>0</v>
      </c>
      <c r="R161" s="277">
        <f>Cust_Detail!S94*Rates!S172</f>
        <v>0</v>
      </c>
      <c r="S161" s="277">
        <f>Cust_Detail!T94*Rates!T172</f>
        <v>0</v>
      </c>
      <c r="T161" s="277">
        <f>Cust_Detail!U94*Rates!U172</f>
        <v>0</v>
      </c>
      <c r="U161" s="277">
        <f>Cust_Detail!V94*Rates!V172</f>
        <v>0</v>
      </c>
      <c r="V161" s="277">
        <f>Cust_Detail!W94*Rates!W172</f>
        <v>0</v>
      </c>
      <c r="X161" s="277">
        <f>SUMIF($E$8:$V$8,'COS_RR (top sheet)'!$I$6,$E161:$V161)</f>
        <v>0</v>
      </c>
    </row>
    <row r="162" spans="1:26" s="40" customFormat="1" ht="15.75" customHeight="1">
      <c r="A162" s="411"/>
      <c r="B162" s="91"/>
      <c r="C162" s="236">
        <f>+MAX(C$10:C161)+1</f>
        <v>148</v>
      </c>
      <c r="D162" s="251" t="str">
        <f>"TOTAL "&amp;D149</f>
        <v>TOTAL LARGE INDUSTRIAL (15)</v>
      </c>
      <c r="E162" s="256">
        <f>SUM(E152:E161)</f>
        <v>34029223.825017758</v>
      </c>
      <c r="F162" s="256">
        <f t="shared" ref="F162:V162" si="24">SUM(F152:F161)</f>
        <v>34029223.825017758</v>
      </c>
      <c r="G162" s="256">
        <f t="shared" si="24"/>
        <v>37543873.076118544</v>
      </c>
      <c r="H162" s="256">
        <f t="shared" si="24"/>
        <v>49499377.803296864</v>
      </c>
      <c r="I162" s="256">
        <f t="shared" si="24"/>
        <v>45255928.653021023</v>
      </c>
      <c r="J162" s="256">
        <f t="shared" si="24"/>
        <v>49099280.215291858</v>
      </c>
      <c r="K162" s="256">
        <f t="shared" si="24"/>
        <v>56817223.774384111</v>
      </c>
      <c r="L162" s="256">
        <f t="shared" si="24"/>
        <v>55258233.566003561</v>
      </c>
      <c r="M162" s="256">
        <f t="shared" si="24"/>
        <v>59801945.049543433</v>
      </c>
      <c r="N162" s="256">
        <f t="shared" si="24"/>
        <v>64819958.298165396</v>
      </c>
      <c r="O162" s="256">
        <f t="shared" si="24"/>
        <v>71004929.742535725</v>
      </c>
      <c r="P162" s="256">
        <f t="shared" si="24"/>
        <v>77788657.340254605</v>
      </c>
      <c r="Q162" s="256">
        <f t="shared" si="24"/>
        <v>85408624.801233232</v>
      </c>
      <c r="R162" s="256">
        <f t="shared" si="24"/>
        <v>89048594.160922974</v>
      </c>
      <c r="S162" s="256">
        <f t="shared" si="24"/>
        <v>93250392.465156347</v>
      </c>
      <c r="T162" s="256">
        <f t="shared" si="24"/>
        <v>97879122.373043403</v>
      </c>
      <c r="U162" s="256">
        <f t="shared" si="24"/>
        <v>100571907.93397172</v>
      </c>
      <c r="V162" s="256">
        <f t="shared" si="24"/>
        <v>103484940.92987999</v>
      </c>
      <c r="W162" s="263"/>
      <c r="X162" s="256">
        <f>SUMIF($E$8:$V$8,'COS_RR (top sheet)'!$I$6,$E162:$V162)</f>
        <v>97879122.373043403</v>
      </c>
      <c r="Y162"/>
      <c r="Z162" s="263"/>
    </row>
    <row r="163" spans="1:26" s="40" customFormat="1" ht="15.75" customHeight="1">
      <c r="A163" s="411"/>
      <c r="B163" s="91"/>
      <c r="C163" s="236">
        <f>+MAX(C$10:C162)+1</f>
        <v>149</v>
      </c>
      <c r="D163" s="39" t="s">
        <v>2723</v>
      </c>
      <c r="E163" s="279">
        <f>E162*'City Taxes'!E10</f>
        <v>165325.04419680155</v>
      </c>
      <c r="F163" s="279">
        <f>F162*'City Taxes'!F10</f>
        <v>165325.04419680155</v>
      </c>
      <c r="G163" s="279">
        <f>G162*'City Taxes'!G10</f>
        <v>182400.35410578945</v>
      </c>
      <c r="H163" s="279">
        <f>H162*'City Taxes'!H10</f>
        <v>240484.08700488371</v>
      </c>
      <c r="I163" s="279">
        <f>I162*'City Taxes'!I10</f>
        <v>219868.02999683446</v>
      </c>
      <c r="J163" s="279">
        <f>J162*'City Taxes'!J10</f>
        <v>238540.28271007838</v>
      </c>
      <c r="K163" s="279">
        <f>K162*'City Taxes'!K10</f>
        <v>276036.56433485274</v>
      </c>
      <c r="L163" s="279">
        <f>L162*'City Taxes'!L10</f>
        <v>279265.31001357979</v>
      </c>
      <c r="M163" s="279">
        <f>M162*'City Taxes'!M10</f>
        <v>302228.42182835354</v>
      </c>
      <c r="N163" s="279">
        <f>N162*'City Taxes'!N10</f>
        <v>327588.57062599476</v>
      </c>
      <c r="O163" s="279">
        <f>O162*'City Taxes'!O10</f>
        <v>358846.31913462369</v>
      </c>
      <c r="P163" s="279">
        <f>P162*'City Taxes'!P10</f>
        <v>393130.07502706983</v>
      </c>
      <c r="Q163" s="279">
        <f>Q162*'City Taxes'!Q10</f>
        <v>431640.03884525434</v>
      </c>
      <c r="R163" s="279">
        <f>R162*'City Taxes'!R10</f>
        <v>450035.79828370077</v>
      </c>
      <c r="S163" s="279">
        <f>S162*'City Taxes'!S10</f>
        <v>471270.94154329615</v>
      </c>
      <c r="T163" s="279">
        <f>T162*'City Taxes'!T10</f>
        <v>494663.72139303928</v>
      </c>
      <c r="U163" s="279">
        <f>U162*'City Taxes'!U10</f>
        <v>508272.58193640976</v>
      </c>
      <c r="V163" s="279">
        <f>V162*'City Taxes'!V10</f>
        <v>522994.53394579515</v>
      </c>
      <c r="W163" s="263"/>
      <c r="X163" s="279">
        <f>SUMIF($E$8:$V$8,'COS_RR (top sheet)'!$I$6,$E163:$V163)</f>
        <v>494663.72139303928</v>
      </c>
      <c r="Y163"/>
      <c r="Z163" s="263"/>
    </row>
    <row r="164" spans="1:26" ht="15.75" customHeight="1">
      <c r="A164" s="411"/>
      <c r="C164" s="236">
        <f>+MAX(C$10:C163)+1</f>
        <v>150</v>
      </c>
      <c r="D164" s="251" t="str">
        <f>"TOTAL "&amp;D149</f>
        <v>TOTAL LARGE INDUSTRIAL (15)</v>
      </c>
      <c r="E164" s="256">
        <f>SUM(E162:E163)</f>
        <v>34194548.869214557</v>
      </c>
      <c r="F164" s="256">
        <f t="shared" ref="F164:V164" si="25">SUM(F162:F163)</f>
        <v>34194548.869214557</v>
      </c>
      <c r="G164" s="256">
        <f t="shared" si="25"/>
        <v>37726273.430224337</v>
      </c>
      <c r="H164" s="256">
        <f t="shared" si="25"/>
        <v>49739861.890301749</v>
      </c>
      <c r="I164" s="256">
        <f t="shared" si="25"/>
        <v>45475796.683017857</v>
      </c>
      <c r="J164" s="256">
        <f t="shared" si="25"/>
        <v>49337820.498001933</v>
      </c>
      <c r="K164" s="256">
        <f t="shared" si="25"/>
        <v>57093260.338718966</v>
      </c>
      <c r="L164" s="256">
        <f t="shared" si="25"/>
        <v>55537498.876017138</v>
      </c>
      <c r="M164" s="256">
        <f t="shared" si="25"/>
        <v>60104173.471371785</v>
      </c>
      <c r="N164" s="256">
        <f t="shared" si="25"/>
        <v>65147546.868791394</v>
      </c>
      <c r="O164" s="256">
        <f t="shared" si="25"/>
        <v>71363776.061670348</v>
      </c>
      <c r="P164" s="256">
        <f t="shared" si="25"/>
        <v>78181787.415281668</v>
      </c>
      <c r="Q164" s="256">
        <f t="shared" si="25"/>
        <v>85840264.840078488</v>
      </c>
      <c r="R164" s="256">
        <f t="shared" si="25"/>
        <v>89498629.959206671</v>
      </c>
      <c r="S164" s="256">
        <f t="shared" si="25"/>
        <v>93721663.406699643</v>
      </c>
      <c r="T164" s="256">
        <f t="shared" si="25"/>
        <v>98373786.094436437</v>
      </c>
      <c r="U164" s="256">
        <f t="shared" si="25"/>
        <v>101080180.51590812</v>
      </c>
      <c r="V164" s="256">
        <f t="shared" si="25"/>
        <v>104007935.46382579</v>
      </c>
      <c r="X164" s="256">
        <f>SUMIF($E$8:$V$8,'COS_RR (top sheet)'!$I$6,$E164:$V164)</f>
        <v>98373786.094436437</v>
      </c>
    </row>
    <row r="165" spans="1:26" ht="15.75" customHeight="1">
      <c r="A165" s="411"/>
      <c r="C165" s="236">
        <f>+MAX(C$10:C164)+1</f>
        <v>151</v>
      </c>
    </row>
    <row r="166" spans="1:26" ht="15.75" customHeight="1">
      <c r="A166" s="411"/>
      <c r="C166" s="236">
        <f>+MAX(C$10:C165)+1</f>
        <v>152</v>
      </c>
      <c r="D166" s="751" t="s">
        <v>229</v>
      </c>
      <c r="E166" s="16"/>
      <c r="F166" s="16"/>
      <c r="G166" s="16"/>
      <c r="H166" s="16"/>
      <c r="I166" s="16"/>
      <c r="J166" s="16"/>
      <c r="K166" s="16"/>
      <c r="L166" s="16"/>
      <c r="M166" s="16"/>
      <c r="N166" s="16"/>
      <c r="O166" s="16"/>
      <c r="P166" s="16"/>
      <c r="Q166" s="16"/>
      <c r="R166" s="16"/>
      <c r="S166" s="16"/>
      <c r="T166" s="16"/>
      <c r="U166" s="16"/>
      <c r="V166" s="16"/>
      <c r="X166" s="16"/>
    </row>
    <row r="167" spans="1:26" ht="15.75" customHeight="1">
      <c r="A167" s="411"/>
      <c r="C167" s="236">
        <f>+MAX(C$10:C166)+1</f>
        <v>153</v>
      </c>
      <c r="D167" s="273"/>
      <c r="E167" s="16"/>
      <c r="F167" s="16"/>
      <c r="G167" s="16"/>
      <c r="H167" s="16"/>
      <c r="I167" s="16"/>
      <c r="J167" s="16"/>
      <c r="K167" s="16"/>
      <c r="L167" s="16"/>
      <c r="M167" s="16"/>
      <c r="N167" s="16"/>
      <c r="O167" s="16"/>
      <c r="P167" s="16"/>
      <c r="Q167" s="16"/>
      <c r="R167" s="16"/>
      <c r="S167" s="16"/>
      <c r="T167" s="16"/>
      <c r="U167" s="16"/>
      <c r="V167" s="16"/>
      <c r="X167" s="16"/>
    </row>
    <row r="168" spans="1:26" ht="15.75" customHeight="1">
      <c r="A168" s="411"/>
      <c r="C168" s="236">
        <f>+MAX(C$10:C167)+1</f>
        <v>154</v>
      </c>
      <c r="D168" s="15" t="s">
        <v>848</v>
      </c>
      <c r="E168" s="16"/>
      <c r="F168" s="16"/>
      <c r="G168" s="16"/>
      <c r="H168" s="16"/>
      <c r="I168" s="16"/>
      <c r="J168" s="16"/>
      <c r="K168" s="16"/>
      <c r="L168" s="16"/>
      <c r="M168" s="16"/>
      <c r="N168" s="16"/>
      <c r="O168" s="16"/>
      <c r="P168" s="16"/>
      <c r="Q168" s="16"/>
      <c r="R168" s="16"/>
      <c r="S168" s="16"/>
      <c r="T168" s="16"/>
      <c r="U168" s="16"/>
      <c r="V168" s="16"/>
      <c r="X168" s="16"/>
    </row>
    <row r="169" spans="1:26" ht="15.75" customHeight="1">
      <c r="A169" s="411"/>
      <c r="C169" s="236">
        <f>+MAX(C$10:C168)+1</f>
        <v>155</v>
      </c>
      <c r="D169" s="39" t="s">
        <v>251</v>
      </c>
      <c r="E169" s="279">
        <f>Cust_Detail!F98*Rates!F185*INDEX(Rates!$F$183:$W$183,1,MATCH(E$8,Rates!$F$7:$W$7,0))</f>
        <v>23000</v>
      </c>
      <c r="F169" s="279">
        <f>Cust_Detail!G98*Rates!G185*INDEX(Rates!$F$183:$W$183,1,MATCH(F$8,Rates!$F$7:$W$7,0))</f>
        <v>23000</v>
      </c>
      <c r="G169" s="279">
        <f>Cust_Detail!H98*Rates!H185*INDEX(Rates!$F$183:$W$183,1,MATCH(G$8,Rates!$F$7:$W$7,0))</f>
        <v>23000</v>
      </c>
      <c r="H169" s="279">
        <f>Cust_Detail!I98*Rates!I185*INDEX(Rates!$F$183:$W$183,1,MATCH(H$8,Rates!$F$7:$W$7,0))</f>
        <v>44515.068493150684</v>
      </c>
      <c r="I169" s="279">
        <f>Cust_Detail!J98*Rates!J185*INDEX(Rates!$F$183:$W$183,1,MATCH(I$8,Rates!$F$7:$W$7,0))</f>
        <v>71414.582412726464</v>
      </c>
      <c r="J169" s="279">
        <f>Cust_Detail!K98*Rates!K185*INDEX(Rates!$F$183:$W$183,1,MATCH(J$8,Rates!$F$7:$W$7,0))</f>
        <v>82368</v>
      </c>
      <c r="K169" s="279">
        <f>Cust_Detail!L98*Rates!L185*INDEX(Rates!$F$183:$W$183,1,MATCH(K$8,Rates!$F$7:$W$7,0))</f>
        <v>82368</v>
      </c>
      <c r="L169" s="279">
        <f>Cust_Detail!M98*Rates!M185*INDEX(Rates!$F$183:$W$183,1,MATCH(L$8,Rates!$F$7:$W$7,0))</f>
        <v>82368</v>
      </c>
      <c r="M169" s="279">
        <f>Cust_Detail!N98*Rates!N185*INDEX(Rates!$F$183:$W$183,1,MATCH(M$8,Rates!$F$7:$W$7,0))</f>
        <v>82368</v>
      </c>
      <c r="N169" s="279">
        <f>Cust_Detail!O98*Rates!O185*INDEX(Rates!$F$183:$W$183,1,MATCH(N$8,Rates!$F$7:$W$7,0))</f>
        <v>82368</v>
      </c>
      <c r="O169" s="279">
        <f>Cust_Detail!P98*Rates!P185*INDEX(Rates!$F$183:$W$183,1,MATCH(O$8,Rates!$F$7:$W$7,0))</f>
        <v>82368</v>
      </c>
      <c r="P169" s="279">
        <f>Cust_Detail!Q98*Rates!Q185*INDEX(Rates!$F$183:$W$183,1,MATCH(P$8,Rates!$F$7:$W$7,0))</f>
        <v>82368</v>
      </c>
      <c r="Q169" s="279">
        <f>Cust_Detail!R98*Rates!R185*INDEX(Rates!$F$183:$W$183,1,MATCH(Q$8,Rates!$F$7:$W$7,0))</f>
        <v>82368</v>
      </c>
      <c r="R169" s="279">
        <f>Cust_Detail!S98*Rates!S185*INDEX(Rates!$F$183:$W$183,1,MATCH(R$8,Rates!$F$7:$W$7,0))</f>
        <v>82368</v>
      </c>
      <c r="S169" s="279">
        <f>Cust_Detail!T98*Rates!T185*INDEX(Rates!$F$183:$W$183,1,MATCH(S$8,Rates!$F$7:$W$7,0))</f>
        <v>82368</v>
      </c>
      <c r="T169" s="279">
        <f>Cust_Detail!U98*Rates!U185*INDEX(Rates!$F$183:$W$183,1,MATCH(T$8,Rates!$F$7:$W$7,0))</f>
        <v>82368</v>
      </c>
      <c r="U169" s="279">
        <f>Cust_Detail!V98*Rates!V185*INDEX(Rates!$F$183:$W$183,1,MATCH(U$8,Rates!$F$7:$W$7,0))</f>
        <v>82368</v>
      </c>
      <c r="V169" s="279">
        <f>Cust_Detail!W98*Rates!W185*INDEX(Rates!$F$183:$W$183,1,MATCH(V$8,Rates!$F$7:$W$7,0))</f>
        <v>82368</v>
      </c>
      <c r="X169" s="279">
        <f>SUMIF($E$8:$V$8,'COS_RR (top sheet)'!$I$6,$E169:$V169)</f>
        <v>82368</v>
      </c>
    </row>
    <row r="170" spans="1:26" ht="15.75" customHeight="1">
      <c r="A170" s="411"/>
      <c r="C170" s="236">
        <f>+MAX(C$10:C169)+1</f>
        <v>156</v>
      </c>
      <c r="D170" s="39" t="s">
        <v>178</v>
      </c>
      <c r="E170" s="16">
        <f>Cust_Detail!F99*Rates!F187</f>
        <v>1924388</v>
      </c>
      <c r="F170" s="16">
        <f>Cust_Detail!G99*Rates!G187</f>
        <v>1924388</v>
      </c>
      <c r="G170" s="16">
        <f>Cust_Detail!H99*Rates!H187</f>
        <v>1924388</v>
      </c>
      <c r="H170" s="16">
        <f>Cust_Detail!I99*Rates!I187</f>
        <v>1915515.3336738532</v>
      </c>
      <c r="I170" s="16">
        <f>Cust_Detail!J99*Rates!J187</f>
        <v>2393976.0376521559</v>
      </c>
      <c r="J170" s="16">
        <f>Cust_Detail!K99*Rates!K187</f>
        <v>2521589.5631179456</v>
      </c>
      <c r="K170" s="16">
        <f>Cust_Detail!L99*Rates!L187</f>
        <v>2877571.4305996639</v>
      </c>
      <c r="L170" s="16">
        <f>Cust_Detail!M99*Rates!M187</f>
        <v>3069047.5455105356</v>
      </c>
      <c r="M170" s="16">
        <f>Cust_Detail!N99*Rates!N187</f>
        <v>3248356.3593131406</v>
      </c>
      <c r="N170" s="16">
        <f>Cust_Detail!O99*Rates!O187</f>
        <v>3282371.6961010629</v>
      </c>
      <c r="O170" s="16">
        <f>Cust_Detail!P99*Rates!P187</f>
        <v>3642503.9959799079</v>
      </c>
      <c r="P170" s="16">
        <f>Cust_Detail!Q99*Rates!Q187</f>
        <v>3660716.5159598058</v>
      </c>
      <c r="Q170" s="16">
        <f>Cust_Detail!R99*Rates!R187</f>
        <v>3679020.0985396062</v>
      </c>
      <c r="R170" s="16">
        <f>Cust_Detail!S99*Rates!S187</f>
        <v>3697415.1990323048</v>
      </c>
      <c r="S170" s="16">
        <f>Cust_Detail!T99*Rates!T187</f>
        <v>3715902.2750274655</v>
      </c>
      <c r="T170" s="16">
        <f>Cust_Detail!U99*Rates!U187</f>
        <v>3734481.7864026041</v>
      </c>
      <c r="U170" s="16">
        <f>Cust_Detail!V99*Rates!V187</f>
        <v>3753154.1953346166</v>
      </c>
      <c r="V170" s="16">
        <f>Cust_Detail!W99*Rates!W187</f>
        <v>3771919.9663112895</v>
      </c>
      <c r="X170" s="16">
        <f>SUMIF($E$8:$V$8,'COS_RR (top sheet)'!$I$6,$E170:$V170)</f>
        <v>3734481.7864026041</v>
      </c>
    </row>
    <row r="171" spans="1:26" ht="15.75" hidden="1" customHeight="1">
      <c r="A171" s="411"/>
      <c r="C171" s="236">
        <f>+MAX(C$10:C170)+1</f>
        <v>157</v>
      </c>
      <c r="D171" s="917" t="s">
        <v>257</v>
      </c>
      <c r="E171" s="1266">
        <f>SUM(E169:E170,E174:E175)*Rates!F189</f>
        <v>147667.14795339524</v>
      </c>
      <c r="F171" s="1266">
        <f>SUM(F169:F170,F174:F175)*Rates!G189</f>
        <v>156908.82488226492</v>
      </c>
      <c r="G171" s="1266">
        <f>SUM(G169:G170,G174:G175)*Rates!H189</f>
        <v>170511.2930892593</v>
      </c>
      <c r="H171" s="1266">
        <f>SUM(H169:H170,H174:H175)*Rates!I189</f>
        <v>0</v>
      </c>
      <c r="I171" s="1266">
        <f>SUM(I169:I170,I174:I175)*Rates!J189</f>
        <v>0</v>
      </c>
      <c r="J171" s="1266">
        <f>SUM(J169:J170,J174:J175)*Rates!K189</f>
        <v>0</v>
      </c>
      <c r="K171" s="1266">
        <f>SUM(K169:K170,K174:K175)*Rates!L189</f>
        <v>0</v>
      </c>
      <c r="L171" s="1266">
        <f>SUM(L169:L170,L174:L175)*Rates!M189</f>
        <v>0</v>
      </c>
      <c r="M171" s="1266">
        <f>SUM(M169:M170,M174:M175)*Rates!N189</f>
        <v>0</v>
      </c>
      <c r="N171" s="1266">
        <f>SUM(N169:N170,N174:N175)*Rates!O189</f>
        <v>0</v>
      </c>
      <c r="O171" s="1266">
        <f>SUM(O169:O170,O174:O175)*Rates!P189</f>
        <v>0</v>
      </c>
      <c r="P171" s="1266">
        <f>SUM(P169:P170,P174:P175)*Rates!Q189</f>
        <v>0</v>
      </c>
      <c r="Q171" s="1266">
        <f>SUM(Q169:Q170,Q174:Q175)*Rates!R189</f>
        <v>0</v>
      </c>
      <c r="R171" s="1266">
        <f>SUM(R169:R170,R174:R175)*Rates!S189</f>
        <v>0</v>
      </c>
      <c r="S171" s="1266">
        <f>SUM(S169:S170,S174:S175)*Rates!T189</f>
        <v>0</v>
      </c>
      <c r="T171" s="1266">
        <f>SUM(T169:T170,T174:T175)*Rates!U189</f>
        <v>0</v>
      </c>
      <c r="U171" s="1266">
        <f>SUM(U169:U170,U174:U175)*Rates!V189</f>
        <v>0</v>
      </c>
      <c r="V171" s="1266">
        <f>SUM(V169:V170,V174:V175)*Rates!W189</f>
        <v>0</v>
      </c>
      <c r="X171" s="16">
        <f>SUMIF($E$8:$V$8,'COS_RR (top sheet)'!$I$6,$E171:$V171)</f>
        <v>0</v>
      </c>
    </row>
    <row r="172" spans="1:26" ht="15.75" customHeight="1">
      <c r="A172" s="411"/>
      <c r="C172" s="236">
        <f>+MAX(C$10:C171)+1</f>
        <v>158</v>
      </c>
      <c r="D172" s="39" t="s">
        <v>2159</v>
      </c>
      <c r="E172" s="16">
        <f>SUM(E169:E170,E174:E175)*Rates!F191</f>
        <v>95476.186492424487</v>
      </c>
      <c r="F172" s="16">
        <f>SUM(F169:F170,F174:F175)*Rates!G191</f>
        <v>101451.5173780862</v>
      </c>
      <c r="G172" s="16">
        <f>SUM(G169:G170,G174:G175)*Rates!H191</f>
        <v>110246.37669031558</v>
      </c>
      <c r="H172" s="16">
        <f>SUM(H169:H170,H174:H175)*Rates!I191</f>
        <v>79003.537623305034</v>
      </c>
      <c r="I172" s="16">
        <f>SUM(I169:I170,I174:I175)*Rates!J191</f>
        <v>105672.66959239448</v>
      </c>
      <c r="J172" s="16">
        <f>SUM(J169:J170,J174:J175)*Rates!K191</f>
        <v>119193.66222613274</v>
      </c>
      <c r="K172" s="16">
        <f>SUM(K169:K170,K174:K175)*Rates!L191</f>
        <v>135215.56099706976</v>
      </c>
      <c r="L172" s="16">
        <f>SUM(L169:L170,L174:L175)*Rates!M191</f>
        <v>143406.54660460225</v>
      </c>
      <c r="M172" s="16">
        <f>SUM(M169:M170,M174:M175)*Rates!N191</f>
        <v>151052.92719137738</v>
      </c>
      <c r="N172" s="16">
        <f>SUM(N169:N170,N174:N175)*Rates!O191</f>
        <v>152627.6588004161</v>
      </c>
      <c r="O172" s="16">
        <f>SUM(O169:O170,O174:O175)*Rates!P191</f>
        <v>169795.37084844839</v>
      </c>
      <c r="P172" s="16">
        <f>SUM(P169:P170,P174:P175)*Rates!Q191</f>
        <v>170903.78706122524</v>
      </c>
      <c r="Q172" s="16">
        <f>SUM(Q169:Q170,Q174:Q175)*Rates!R191</f>
        <v>171479.36273925347</v>
      </c>
      <c r="R172" s="16">
        <f>SUM(R169:R170,R174:R175)*Rates!S191</f>
        <v>172327.67890359784</v>
      </c>
      <c r="S172" s="16">
        <f>SUM(S169:S170,S174:S175)*Rates!T191</f>
        <v>173180.23664876391</v>
      </c>
      <c r="T172" s="16">
        <f>SUM(T169:T170,T174:T175)*Rates!U191</f>
        <v>174310.98800312914</v>
      </c>
      <c r="U172" s="16">
        <f>SUM(U169:U170,U174:U175)*Rates!V191</f>
        <v>174898.16181921714</v>
      </c>
      <c r="V172" s="16">
        <f>SUM(V169:V170,V174:V175)*Rates!W191</f>
        <v>175763.57197896132</v>
      </c>
      <c r="X172" s="16">
        <f>SUMIF($E$8:$V$8,'COS_RR (top sheet)'!$I$6,$E172:$V172)</f>
        <v>174310.98800312914</v>
      </c>
    </row>
    <row r="173" spans="1:26" ht="15.75" customHeight="1">
      <c r="A173" s="411"/>
      <c r="C173" s="236">
        <f>+MAX(C$10:C172)+1</f>
        <v>159</v>
      </c>
      <c r="D173" s="39" t="s">
        <v>723</v>
      </c>
      <c r="E173" s="16"/>
      <c r="F173" s="16"/>
      <c r="G173" s="16"/>
      <c r="H173" s="16"/>
      <c r="I173" s="16"/>
      <c r="J173" s="16"/>
      <c r="K173" s="16"/>
      <c r="L173" s="16"/>
      <c r="M173" s="16"/>
      <c r="N173" s="16"/>
      <c r="O173" s="16"/>
      <c r="P173" s="16"/>
      <c r="Q173" s="16"/>
      <c r="R173" s="16"/>
      <c r="S173" s="16"/>
      <c r="T173" s="16"/>
      <c r="U173" s="16"/>
      <c r="V173" s="16"/>
      <c r="X173" s="16"/>
    </row>
    <row r="174" spans="1:26" ht="15.75" customHeight="1">
      <c r="A174" s="411"/>
      <c r="C174" s="236">
        <f>+MAX(C$10:C173)+1</f>
        <v>160</v>
      </c>
      <c r="D174" s="41" t="s">
        <v>910</v>
      </c>
      <c r="E174" s="16">
        <f>Cust_Detail!F100*Rates!F194</f>
        <v>2374793.6784000001</v>
      </c>
      <c r="F174" s="16">
        <f>Cust_Detail!G100*Rates!G194</f>
        <v>2645295.3251999998</v>
      </c>
      <c r="G174" s="16">
        <f>Cust_Detail!H100*Rates!H194</f>
        <v>3043436.2771999999</v>
      </c>
      <c r="H174" s="16">
        <f>Cust_Detail!I100*Rates!I194</f>
        <v>3595108.1500000004</v>
      </c>
      <c r="I174" s="16">
        <f>Cust_Detail!J100*Rates!J194</f>
        <v>4416291</v>
      </c>
      <c r="J174" s="16">
        <f>Cust_Detail!K100*Rates!K194</f>
        <v>5158246.5880000005</v>
      </c>
      <c r="K174" s="16">
        <f>Cust_Detail!L100*Rates!L194</f>
        <v>5845652.8237600001</v>
      </c>
      <c r="L174" s="16">
        <f>Cust_Detail!M100*Rates!M194</f>
        <v>6187595.191821089</v>
      </c>
      <c r="M174" s="16">
        <f>Cust_Detail!N100*Rates!N194</f>
        <v>6506238.7525255317</v>
      </c>
      <c r="N174" s="16">
        <f>Cust_Detail!O100*Rates!O194</f>
        <v>6574774.0715718661</v>
      </c>
      <c r="O174" s="16">
        <f>Cust_Detail!P100*Rates!P194</f>
        <v>7252726.8603922296</v>
      </c>
      <c r="P174" s="16">
        <f>Cust_Detail!Q100*Rates!Q194</f>
        <v>7306697.3136283066</v>
      </c>
      <c r="Q174" s="16">
        <f>Cust_Detail!R100*Rates!R194</f>
        <v>7325876.7300086096</v>
      </c>
      <c r="R174" s="16">
        <f>Cust_Detail!S100*Rates!S194</f>
        <v>7362726.2048511487</v>
      </c>
      <c r="S174" s="16">
        <f>Cust_Detail!T100*Rates!T194</f>
        <v>7399759.9270678982</v>
      </c>
      <c r="T174" s="16">
        <f>Cust_Detail!U100*Rates!U194</f>
        <v>7454817.9119556416</v>
      </c>
      <c r="U174" s="16">
        <f>Cust_Detail!V100*Rates!V194</f>
        <v>7474383.8031777022</v>
      </c>
      <c r="V174" s="16">
        <f>Cust_Detail!W100*Rates!W194</f>
        <v>7511975.8133860864</v>
      </c>
      <c r="X174" s="16">
        <f>SUMIF($E$8:$V$8,'COS_RR (top sheet)'!$I$6,$E174:$V174)</f>
        <v>7454817.9119556416</v>
      </c>
    </row>
    <row r="175" spans="1:26" ht="15.75" customHeight="1">
      <c r="A175" s="411"/>
      <c r="C175" s="236">
        <f>+MAX(C$10:C174)+1</f>
        <v>161</v>
      </c>
      <c r="D175" s="41" t="s">
        <v>909</v>
      </c>
      <c r="E175" s="277">
        <f>Cust_Detail!F101*Rates!F195</f>
        <v>0</v>
      </c>
      <c r="F175" s="277">
        <f>Cust_Detail!G101*Rates!G195</f>
        <v>0</v>
      </c>
      <c r="G175" s="277">
        <f>Cust_Detail!H101*Rates!H195</f>
        <v>0</v>
      </c>
      <c r="H175" s="277">
        <f>Cust_Detail!I101*Rates!I195</f>
        <v>0</v>
      </c>
      <c r="I175" s="277">
        <f>Cust_Detail!J101*Rates!J195</f>
        <v>0</v>
      </c>
      <c r="J175" s="277">
        <f>Cust_Detail!K101*Rates!K195</f>
        <v>0</v>
      </c>
      <c r="K175" s="277">
        <f>Cust_Detail!L101*Rates!L195</f>
        <v>0</v>
      </c>
      <c r="L175" s="277">
        <f>Cust_Detail!M101*Rates!M195</f>
        <v>0</v>
      </c>
      <c r="M175" s="277">
        <f>Cust_Detail!N101*Rates!N195</f>
        <v>0</v>
      </c>
      <c r="N175" s="277">
        <f>Cust_Detail!O101*Rates!O195</f>
        <v>0</v>
      </c>
      <c r="O175" s="277">
        <f>Cust_Detail!P101*Rates!P195</f>
        <v>79921.382749049284</v>
      </c>
      <c r="P175" s="277">
        <f>Cust_Detail!Q101*Rates!Q195</f>
        <v>79921.382749049284</v>
      </c>
      <c r="Q175" s="277">
        <f>Cust_Detail!R101*Rates!R195</f>
        <v>79921.382749049284</v>
      </c>
      <c r="R175" s="277">
        <f>Cust_Detail!S101*Rates!S195</f>
        <v>79921.382749049284</v>
      </c>
      <c r="S175" s="277">
        <f>Cust_Detail!T101*Rates!T195</f>
        <v>79921.382749049284</v>
      </c>
      <c r="T175" s="277">
        <f>Cust_Detail!U101*Rates!U195</f>
        <v>79921.382749049284</v>
      </c>
      <c r="U175" s="277">
        <f>Cust_Detail!V101*Rates!V195</f>
        <v>79921.382749049284</v>
      </c>
      <c r="V175" s="277">
        <f>Cust_Detail!W101*Rates!W195</f>
        <v>79921.382749049284</v>
      </c>
      <c r="X175" s="277">
        <f>SUMIF($E$8:$V$8,'COS_RR (top sheet)'!$I$6,$E175:$V175)</f>
        <v>79921.382749049284</v>
      </c>
    </row>
    <row r="176" spans="1:26" s="40" customFormat="1" ht="15.75" customHeight="1">
      <c r="A176" s="411"/>
      <c r="B176" s="91"/>
      <c r="C176" s="236">
        <f>+MAX(C$10:C175)+1</f>
        <v>162</v>
      </c>
      <c r="D176" s="251" t="str">
        <f>"TOTAL "&amp;D166</f>
        <v>TOTAL AGRICULTURAL PROCESSING (16)</v>
      </c>
      <c r="E176" s="256">
        <f>SUM(E169:E175)</f>
        <v>4565325.0128458198</v>
      </c>
      <c r="F176" s="256">
        <f t="shared" ref="F176:V176" si="26">SUM(F169:F175)</f>
        <v>4851043.6674603503</v>
      </c>
      <c r="G176" s="256">
        <f t="shared" si="26"/>
        <v>5271581.9469795749</v>
      </c>
      <c r="H176" s="256">
        <f t="shared" si="26"/>
        <v>5634142.0897903088</v>
      </c>
      <c r="I176" s="256">
        <f t="shared" si="26"/>
        <v>6987354.2896572761</v>
      </c>
      <c r="J176" s="256">
        <f t="shared" si="26"/>
        <v>7881397.8133440781</v>
      </c>
      <c r="K176" s="256">
        <f t="shared" si="26"/>
        <v>8940807.8153567333</v>
      </c>
      <c r="L176" s="256">
        <f t="shared" si="26"/>
        <v>9482417.2839362267</v>
      </c>
      <c r="M176" s="256">
        <f t="shared" si="26"/>
        <v>9988016.039030049</v>
      </c>
      <c r="N176" s="256">
        <f t="shared" si="26"/>
        <v>10092141.426473346</v>
      </c>
      <c r="O176" s="256">
        <f t="shared" si="26"/>
        <v>11227315.609969635</v>
      </c>
      <c r="P176" s="256">
        <f t="shared" si="26"/>
        <v>11300606.999398386</v>
      </c>
      <c r="Q176" s="256">
        <f t="shared" si="26"/>
        <v>11338665.574036518</v>
      </c>
      <c r="R176" s="256">
        <f t="shared" si="26"/>
        <v>11394758.465536101</v>
      </c>
      <c r="S176" s="256">
        <f t="shared" si="26"/>
        <v>11451131.821493177</v>
      </c>
      <c r="T176" s="256">
        <f t="shared" si="26"/>
        <v>11525900.069110423</v>
      </c>
      <c r="U176" s="256">
        <f t="shared" si="26"/>
        <v>11564725.543080585</v>
      </c>
      <c r="V176" s="256">
        <f t="shared" si="26"/>
        <v>11621948.734425386</v>
      </c>
      <c r="W176" s="263"/>
      <c r="X176" s="256">
        <f>SUMIF($E$8:$V$8,'COS_RR (top sheet)'!$I$6,$E176:$V176)</f>
        <v>11525900.069110423</v>
      </c>
      <c r="Y176"/>
      <c r="Z176" s="263"/>
    </row>
    <row r="177" spans="1:26" s="40" customFormat="1" ht="15.75" customHeight="1">
      <c r="A177" s="411"/>
      <c r="B177" s="91"/>
      <c r="C177" s="236">
        <f>+MAX(C$10:C176)+1</f>
        <v>163</v>
      </c>
      <c r="D177" s="39" t="s">
        <v>2723</v>
      </c>
      <c r="E177" s="279">
        <f>E176*'City Taxes'!E10</f>
        <v>22179.834703329587</v>
      </c>
      <c r="F177" s="279">
        <f>F176*'City Taxes'!F10</f>
        <v>23567.948914952314</v>
      </c>
      <c r="G177" s="279">
        <f>G176*'City Taxes'!G10</f>
        <v>25611.060741583184</v>
      </c>
      <c r="H177" s="279">
        <f>H176*'City Taxes'!H10</f>
        <v>27372.495911024696</v>
      </c>
      <c r="I177" s="279">
        <f>I176*'City Taxes'!I10</f>
        <v>33946.841182637443</v>
      </c>
      <c r="J177" s="279">
        <f>J176*'City Taxes'!J10</f>
        <v>38290.395588327963</v>
      </c>
      <c r="K177" s="279">
        <f>K176*'City Taxes'!K10</f>
        <v>43437.354164459532</v>
      </c>
      <c r="L177" s="279">
        <f>L176*'City Taxes'!L10</f>
        <v>47922.454837676356</v>
      </c>
      <c r="M177" s="279">
        <f>M176*'City Taxes'!M10</f>
        <v>50477.66125619322</v>
      </c>
      <c r="N177" s="279">
        <f>N176*'City Taxes'!N10</f>
        <v>51003.892493207037</v>
      </c>
      <c r="O177" s="279">
        <f>O176*'City Taxes'!O10</f>
        <v>56740.861444537033</v>
      </c>
      <c r="P177" s="279">
        <f>P176*'City Taxes'!P10</f>
        <v>57111.263125323632</v>
      </c>
      <c r="Q177" s="279">
        <f>Q176*'City Taxes'!Q10</f>
        <v>57303.604410216452</v>
      </c>
      <c r="R177" s="279">
        <f>R176*'City Taxes'!R10</f>
        <v>57587.087933363793</v>
      </c>
      <c r="S177" s="279">
        <f>S176*'City Taxes'!S10</f>
        <v>57871.988874126837</v>
      </c>
      <c r="T177" s="279">
        <f>T176*'City Taxes'!T10</f>
        <v>58249.854334213655</v>
      </c>
      <c r="U177" s="279">
        <f>U176*'City Taxes'!U10</f>
        <v>58446.071392287908</v>
      </c>
      <c r="V177" s="279">
        <f>V176*'City Taxes'!V10</f>
        <v>58735.267250345591</v>
      </c>
      <c r="W177" s="263"/>
      <c r="X177" s="279">
        <f>SUMIF($E$8:$V$8,'COS_RR (top sheet)'!$I$6,$E177:$V177)</f>
        <v>58249.854334213655</v>
      </c>
      <c r="Y177"/>
      <c r="Z177" s="263"/>
    </row>
    <row r="178" spans="1:26" ht="15.75" customHeight="1">
      <c r="A178" s="411"/>
      <c r="C178" s="236">
        <f>+MAX(C$10:C177)+1</f>
        <v>164</v>
      </c>
      <c r="D178" s="251" t="str">
        <f>"TOTAL "&amp;D166</f>
        <v>TOTAL AGRICULTURAL PROCESSING (16)</v>
      </c>
      <c r="E178" s="256">
        <f>SUM(E176:E177)</f>
        <v>4587504.8475491498</v>
      </c>
      <c r="F178" s="256">
        <f t="shared" ref="F178:V178" si="27">SUM(F176:F177)</f>
        <v>4874611.6163753029</v>
      </c>
      <c r="G178" s="256">
        <f t="shared" si="27"/>
        <v>5297193.0077211577</v>
      </c>
      <c r="H178" s="256">
        <f t="shared" si="27"/>
        <v>5661514.5857013334</v>
      </c>
      <c r="I178" s="256">
        <f t="shared" si="27"/>
        <v>7021301.1308399132</v>
      </c>
      <c r="J178" s="256">
        <f t="shared" si="27"/>
        <v>7919688.2089324063</v>
      </c>
      <c r="K178" s="256">
        <f t="shared" si="27"/>
        <v>8984245.1695211921</v>
      </c>
      <c r="L178" s="256">
        <f t="shared" si="27"/>
        <v>9530339.7387739029</v>
      </c>
      <c r="M178" s="256">
        <f t="shared" si="27"/>
        <v>10038493.700286243</v>
      </c>
      <c r="N178" s="256">
        <f t="shared" si="27"/>
        <v>10143145.318966553</v>
      </c>
      <c r="O178" s="256">
        <f t="shared" si="27"/>
        <v>11284056.471414171</v>
      </c>
      <c r="P178" s="256">
        <f t="shared" si="27"/>
        <v>11357718.262523709</v>
      </c>
      <c r="Q178" s="256">
        <f t="shared" si="27"/>
        <v>11395969.178446734</v>
      </c>
      <c r="R178" s="256">
        <f t="shared" si="27"/>
        <v>11452345.553469464</v>
      </c>
      <c r="S178" s="256">
        <f t="shared" si="27"/>
        <v>11509003.810367303</v>
      </c>
      <c r="T178" s="256">
        <f t="shared" si="27"/>
        <v>11584149.923444636</v>
      </c>
      <c r="U178" s="256">
        <f t="shared" si="27"/>
        <v>11623171.614472874</v>
      </c>
      <c r="V178" s="256">
        <f t="shared" si="27"/>
        <v>11680684.001675732</v>
      </c>
      <c r="X178" s="256">
        <f>SUMIF($E$8:$V$8,'COS_RR (top sheet)'!$I$6,$E178:$V178)</f>
        <v>11584149.923444636</v>
      </c>
    </row>
    <row r="179" spans="1:26" ht="15.75" customHeight="1">
      <c r="A179" s="411"/>
      <c r="C179" s="236">
        <f>+MAX(C$10:C178)+1</f>
        <v>165</v>
      </c>
    </row>
    <row r="180" spans="1:26" ht="15.75" customHeight="1">
      <c r="A180" s="411"/>
      <c r="C180" s="236">
        <f>+MAX(C$10:C179)+1</f>
        <v>166</v>
      </c>
      <c r="D180" s="751" t="s">
        <v>230</v>
      </c>
      <c r="E180" s="16"/>
      <c r="F180" s="16"/>
      <c r="G180" s="16"/>
      <c r="H180" s="16"/>
      <c r="I180" s="16"/>
      <c r="J180" s="16"/>
      <c r="K180" s="16"/>
      <c r="L180" s="16"/>
      <c r="M180" s="16"/>
      <c r="N180" s="16"/>
      <c r="O180" s="16"/>
      <c r="P180" s="16"/>
      <c r="Q180" s="16"/>
      <c r="R180" s="16"/>
      <c r="S180" s="16"/>
      <c r="T180" s="16"/>
      <c r="U180" s="16"/>
      <c r="V180" s="16"/>
      <c r="X180" s="16"/>
    </row>
    <row r="181" spans="1:26" ht="15.75" customHeight="1">
      <c r="A181" s="411"/>
      <c r="C181" s="236">
        <f>+MAX(C$10:C180)+1</f>
        <v>167</v>
      </c>
      <c r="D181" s="273"/>
      <c r="E181" s="16"/>
      <c r="F181" s="16"/>
      <c r="G181" s="16"/>
      <c r="H181" s="16"/>
      <c r="I181" s="16"/>
      <c r="J181" s="16"/>
      <c r="K181" s="16"/>
      <c r="L181" s="16"/>
      <c r="M181" s="16"/>
      <c r="N181" s="16"/>
      <c r="O181" s="16"/>
      <c r="P181" s="16"/>
      <c r="Q181" s="16"/>
      <c r="R181" s="16"/>
      <c r="S181" s="16"/>
      <c r="T181" s="16"/>
      <c r="U181" s="16"/>
      <c r="V181" s="16"/>
      <c r="X181" s="16"/>
    </row>
    <row r="182" spans="1:26" ht="15.75" customHeight="1">
      <c r="A182" s="411"/>
      <c r="C182" s="236">
        <f>+MAX(C$10:C181)+1</f>
        <v>168</v>
      </c>
      <c r="D182" s="15" t="s">
        <v>848</v>
      </c>
      <c r="E182" s="16"/>
      <c r="F182" s="16"/>
      <c r="G182" s="16"/>
      <c r="H182" s="16"/>
      <c r="I182" s="16"/>
      <c r="J182" s="16"/>
      <c r="K182" s="16"/>
      <c r="L182" s="16"/>
      <c r="M182" s="16"/>
      <c r="N182" s="16"/>
      <c r="O182" s="16"/>
      <c r="P182" s="16"/>
      <c r="Q182" s="16"/>
      <c r="R182" s="16"/>
      <c r="S182" s="16"/>
      <c r="T182" s="16"/>
      <c r="U182" s="16"/>
      <c r="V182" s="16"/>
      <c r="X182" s="16"/>
    </row>
    <row r="183" spans="1:26" ht="15.75" customHeight="1">
      <c r="A183" s="411"/>
      <c r="C183" s="236">
        <f>+MAX(C$10:C182)+1</f>
        <v>169</v>
      </c>
      <c r="D183" s="39" t="s">
        <v>251</v>
      </c>
      <c r="E183" s="279">
        <f>Cust_Detail!F105*Rates!F205*INDEX(Rates!$F$203:$W$203,1,MATCH(E$8,Rates!$F$7:$W$7,0))</f>
        <v>6000</v>
      </c>
      <c r="F183" s="279">
        <f>Cust_Detail!G105*Rates!G205*INDEX(Rates!$F$203:$W$203,1,MATCH(F$8,Rates!$F$7:$W$7,0))</f>
        <v>6000</v>
      </c>
      <c r="G183" s="279">
        <f>Cust_Detail!H105*Rates!H205*INDEX(Rates!$F$203:$W$203,1,MATCH(G$8,Rates!$F$7:$W$7,0))</f>
        <v>6000</v>
      </c>
      <c r="H183" s="279">
        <f>Cust_Detail!I105*Rates!I205*INDEX(Rates!$F$203:$W$203,1,MATCH(H$8,Rates!$F$7:$W$7,0))</f>
        <v>12032.876712328769</v>
      </c>
      <c r="I183" s="279">
        <f>Cust_Detail!J105*Rates!J205*INDEX(Rates!$F$203:$W$203,1,MATCH(I$8,Rates!$F$7:$W$7,0))</f>
        <v>12000</v>
      </c>
      <c r="J183" s="279">
        <f>Cust_Detail!K105*Rates!K205*INDEX(Rates!$F$203:$W$203,1,MATCH(J$8,Rates!$F$7:$W$7,0))</f>
        <v>12000</v>
      </c>
      <c r="K183" s="279">
        <f>Cust_Detail!L105*Rates!L205*INDEX(Rates!$F$203:$W$203,1,MATCH(K$8,Rates!$F$7:$W$7,0))</f>
        <v>12600</v>
      </c>
      <c r="L183" s="279">
        <f>Cust_Detail!M105*Rates!M205*INDEX(Rates!$F$203:$W$203,1,MATCH(L$8,Rates!$F$7:$W$7,0))</f>
        <v>13230</v>
      </c>
      <c r="M183" s="279">
        <f>Cust_Detail!N105*Rates!N205*INDEX(Rates!$F$203:$W$203,1,MATCH(M$8,Rates!$F$7:$W$7,0))</f>
        <v>13230</v>
      </c>
      <c r="N183" s="279">
        <f>Cust_Detail!O105*Rates!O205*INDEX(Rates!$F$203:$W$203,1,MATCH(N$8,Rates!$F$7:$W$7,0))</f>
        <v>13230</v>
      </c>
      <c r="O183" s="279">
        <f>Cust_Detail!P105*Rates!P205*INDEX(Rates!$F$203:$W$203,1,MATCH(O$8,Rates!$F$7:$W$7,0))</f>
        <v>13230</v>
      </c>
      <c r="P183" s="279">
        <f>Cust_Detail!Q105*Rates!Q205*INDEX(Rates!$F$203:$W$203,1,MATCH(P$8,Rates!$F$7:$W$7,0))</f>
        <v>13230</v>
      </c>
      <c r="Q183" s="279">
        <f>Cust_Detail!R105*Rates!R205*INDEX(Rates!$F$203:$W$203,1,MATCH(Q$8,Rates!$F$7:$W$7,0))</f>
        <v>13230</v>
      </c>
      <c r="R183" s="279">
        <f>Cust_Detail!S105*Rates!S205*INDEX(Rates!$F$203:$W$203,1,MATCH(R$8,Rates!$F$7:$W$7,0))</f>
        <v>13230</v>
      </c>
      <c r="S183" s="279">
        <f>Cust_Detail!T105*Rates!T205*INDEX(Rates!$F$203:$W$203,1,MATCH(S$8,Rates!$F$7:$W$7,0))</f>
        <v>13230</v>
      </c>
      <c r="T183" s="279">
        <f>Cust_Detail!U105*Rates!U205*INDEX(Rates!$F$203:$W$203,1,MATCH(T$8,Rates!$F$7:$W$7,0))</f>
        <v>13230</v>
      </c>
      <c r="U183" s="279">
        <f>Cust_Detail!V105*Rates!V205*INDEX(Rates!$F$203:$W$203,1,MATCH(U$8,Rates!$F$7:$W$7,0))</f>
        <v>13230</v>
      </c>
      <c r="V183" s="279">
        <f>Cust_Detail!W105*Rates!W205*INDEX(Rates!$F$203:$W$203,1,MATCH(V$8,Rates!$F$7:$W$7,0))</f>
        <v>13230</v>
      </c>
      <c r="X183" s="279">
        <f>SUMIF($E$8:$V$8,'COS_RR (top sheet)'!$I$6,$E183:$V183)</f>
        <v>13230</v>
      </c>
    </row>
    <row r="184" spans="1:26" ht="15.75" customHeight="1">
      <c r="A184" s="411"/>
      <c r="C184" s="236">
        <f>+MAX(C$10:C183)+1</f>
        <v>170</v>
      </c>
      <c r="D184" s="39" t="s">
        <v>178</v>
      </c>
      <c r="E184" s="16">
        <f>Cust_Detail!F106*Rates!F207</f>
        <v>90985.5</v>
      </c>
      <c r="F184" s="16">
        <f>Cust_Detail!G106*Rates!G207</f>
        <v>90985.5</v>
      </c>
      <c r="G184" s="16">
        <f>Cust_Detail!H106*Rates!H207</f>
        <v>90985.5</v>
      </c>
      <c r="H184" s="16">
        <f>Cust_Detail!I106*Rates!I207</f>
        <v>0</v>
      </c>
      <c r="I184" s="16">
        <f>Cust_Detail!J106*Rates!J207</f>
        <v>0</v>
      </c>
      <c r="J184" s="16">
        <f>Cust_Detail!K106*Rates!K207</f>
        <v>0</v>
      </c>
      <c r="K184" s="16">
        <f>Cust_Detail!L106*Rates!L207</f>
        <v>0</v>
      </c>
      <c r="L184" s="16">
        <f>Cust_Detail!M106*Rates!M207</f>
        <v>0</v>
      </c>
      <c r="M184" s="16">
        <f>Cust_Detail!N106*Rates!N207</f>
        <v>0</v>
      </c>
      <c r="N184" s="16">
        <f>Cust_Detail!O106*Rates!O207</f>
        <v>0</v>
      </c>
      <c r="O184" s="16">
        <f>Cust_Detail!P106*Rates!P207</f>
        <v>0</v>
      </c>
      <c r="P184" s="16">
        <f>Cust_Detail!Q106*Rates!Q207</f>
        <v>0</v>
      </c>
      <c r="Q184" s="16">
        <f>Cust_Detail!R106*Rates!R207</f>
        <v>0</v>
      </c>
      <c r="R184" s="16">
        <f>Cust_Detail!S106*Rates!S207</f>
        <v>0</v>
      </c>
      <c r="S184" s="16">
        <f>Cust_Detail!T106*Rates!T207</f>
        <v>0</v>
      </c>
      <c r="T184" s="16">
        <f>Cust_Detail!U106*Rates!U207</f>
        <v>0</v>
      </c>
      <c r="U184" s="16">
        <f>Cust_Detail!V106*Rates!V207</f>
        <v>0</v>
      </c>
      <c r="V184" s="16">
        <f>Cust_Detail!W106*Rates!W207</f>
        <v>0</v>
      </c>
      <c r="X184" s="16">
        <f>SUMIF($E$8:$V$8,'COS_RR (top sheet)'!$I$6,$E184:$V184)</f>
        <v>0</v>
      </c>
    </row>
    <row r="185" spans="1:26" ht="15.75" customHeight="1">
      <c r="A185" s="411"/>
      <c r="C185" s="236">
        <f>+MAX(C$10:C184)+1</f>
        <v>171</v>
      </c>
      <c r="D185" s="39" t="s">
        <v>2159</v>
      </c>
      <c r="E185" s="16">
        <f>SUM(E183:E184,E187:E188)*Rates!F209</f>
        <v>269853.25</v>
      </c>
      <c r="F185" s="16">
        <f>SUM(F183:F184,F187:F188)*Rates!G209</f>
        <v>279698.48790793039</v>
      </c>
      <c r="G185" s="16">
        <f>SUM(G183:G184,G187:G188)*Rates!H209</f>
        <v>294189.31426592317</v>
      </c>
      <c r="H185" s="16">
        <f>SUM(H183:H184,H187:H188)*Rates!I209</f>
        <v>123684.81164383564</v>
      </c>
      <c r="I185" s="16">
        <f>SUM(I183:I184,I187:I188)*Rates!J209</f>
        <v>0</v>
      </c>
      <c r="J185" s="16">
        <f>SUM(J183:J184,J187:J188)*Rates!K209</f>
        <v>0</v>
      </c>
      <c r="K185" s="16">
        <f>SUM(K183:K184,K187:K188)*Rates!L209</f>
        <v>0</v>
      </c>
      <c r="L185" s="16">
        <f>SUM(L183:L184,L187:L188)*Rates!M209</f>
        <v>0</v>
      </c>
      <c r="M185" s="16">
        <f>SUM(M183:M184,M187:M188)*Rates!N209</f>
        <v>0</v>
      </c>
      <c r="N185" s="16">
        <f>SUM(N183:N184,N187:N188)*Rates!O209</f>
        <v>0</v>
      </c>
      <c r="O185" s="16">
        <f>SUM(O183:O184,O187:O188)*Rates!P209</f>
        <v>0</v>
      </c>
      <c r="P185" s="16">
        <f>SUM(P183:P184,P187:P188)*Rates!Q209</f>
        <v>0</v>
      </c>
      <c r="Q185" s="16">
        <f>SUM(Q183:Q184,Q187:Q188)*Rates!R209</f>
        <v>0</v>
      </c>
      <c r="R185" s="16">
        <f>SUM(R183:R184,R187:R188)*Rates!S209</f>
        <v>0</v>
      </c>
      <c r="S185" s="16">
        <f>SUM(S183:S184,S187:S188)*Rates!T209</f>
        <v>0</v>
      </c>
      <c r="T185" s="16">
        <f>SUM(T183:T184,T187:T188)*Rates!U209</f>
        <v>0</v>
      </c>
      <c r="U185" s="16">
        <f>SUM(U183:U184,U187:U188)*Rates!V209</f>
        <v>0</v>
      </c>
      <c r="V185" s="16">
        <f>SUM(V183:V184,V187:V188)*Rates!W209</f>
        <v>0</v>
      </c>
      <c r="X185" s="16">
        <f>SUMIF($E$8:$V$8,'COS_RR (top sheet)'!$I$6,$E185:$V185)</f>
        <v>0</v>
      </c>
    </row>
    <row r="186" spans="1:26" ht="15.75" customHeight="1">
      <c r="A186" s="411"/>
      <c r="C186" s="236">
        <f>+MAX(C$10:C185)+1</f>
        <v>172</v>
      </c>
      <c r="D186" s="39" t="s">
        <v>723</v>
      </c>
      <c r="E186" s="16"/>
      <c r="F186" s="16"/>
      <c r="G186" s="16"/>
      <c r="H186" s="16"/>
      <c r="I186" s="16"/>
      <c r="J186" s="16"/>
      <c r="K186" s="16"/>
      <c r="L186" s="16"/>
      <c r="M186" s="16"/>
      <c r="N186" s="16"/>
      <c r="O186" s="16"/>
      <c r="P186" s="16"/>
      <c r="Q186" s="16"/>
      <c r="R186" s="16"/>
      <c r="S186" s="16"/>
      <c r="T186" s="16"/>
      <c r="U186" s="16"/>
      <c r="V186" s="16"/>
      <c r="X186" s="16"/>
    </row>
    <row r="187" spans="1:26" ht="15.75" customHeight="1">
      <c r="A187" s="411"/>
      <c r="C187" s="236">
        <f>+MAX(C$10:C186)+1</f>
        <v>173</v>
      </c>
      <c r="D187" s="41" t="s">
        <v>621</v>
      </c>
      <c r="E187" s="16">
        <f>Cust_Detail!F107*Rates!F212</f>
        <v>149472</v>
      </c>
      <c r="F187" s="16">
        <f>Cust_Detail!G107*Rates!G212</f>
        <v>158463.67500000002</v>
      </c>
      <c r="G187" s="16">
        <f>Cust_Detail!H107*Rates!H212</f>
        <v>171698.17500000002</v>
      </c>
      <c r="H187" s="16">
        <f>Cust_Detail!I107*Rates!I212</f>
        <v>0</v>
      </c>
      <c r="I187" s="16">
        <f>Cust_Detail!J107*Rates!J212</f>
        <v>0</v>
      </c>
      <c r="J187" s="16">
        <f>Cust_Detail!K107*Rates!K212</f>
        <v>0</v>
      </c>
      <c r="K187" s="16">
        <f>Cust_Detail!L107*Rates!L212</f>
        <v>0</v>
      </c>
      <c r="L187" s="16">
        <f>Cust_Detail!M107*Rates!M212</f>
        <v>0</v>
      </c>
      <c r="M187" s="16">
        <f>Cust_Detail!N107*Rates!N212</f>
        <v>0</v>
      </c>
      <c r="N187" s="16">
        <f>Cust_Detail!O107*Rates!O212</f>
        <v>0</v>
      </c>
      <c r="O187" s="16">
        <f>Cust_Detail!P107*Rates!P212</f>
        <v>0</v>
      </c>
      <c r="P187" s="16">
        <f>Cust_Detail!Q107*Rates!Q212</f>
        <v>0</v>
      </c>
      <c r="Q187" s="16">
        <f>Cust_Detail!R107*Rates!R212</f>
        <v>0</v>
      </c>
      <c r="R187" s="16">
        <f>Cust_Detail!S107*Rates!S212</f>
        <v>0</v>
      </c>
      <c r="S187" s="16">
        <f>Cust_Detail!T107*Rates!T212</f>
        <v>0</v>
      </c>
      <c r="T187" s="16">
        <f>Cust_Detail!U107*Rates!U212</f>
        <v>0</v>
      </c>
      <c r="U187" s="16">
        <f>Cust_Detail!V107*Rates!V212</f>
        <v>0</v>
      </c>
      <c r="V187" s="16">
        <f>Cust_Detail!W107*Rates!W212</f>
        <v>0</v>
      </c>
      <c r="X187" s="16">
        <f>SUMIF($E$8:$V$8,'COS_RR (top sheet)'!$I$6,$E187:$V187)</f>
        <v>0</v>
      </c>
    </row>
    <row r="188" spans="1:26" ht="15.75" customHeight="1">
      <c r="A188" s="411"/>
      <c r="C188" s="236">
        <f>+MAX(C$10:C187)+1</f>
        <v>174</v>
      </c>
      <c r="D188" s="41" t="s">
        <v>909</v>
      </c>
      <c r="E188" s="277">
        <f>Cust_Detail!F108*Rates!F213</f>
        <v>0</v>
      </c>
      <c r="F188" s="277">
        <f>Cust_Detail!G108*Rates!G213</f>
        <v>0</v>
      </c>
      <c r="G188" s="277">
        <f>Cust_Detail!H108*Rates!H213</f>
        <v>0</v>
      </c>
      <c r="H188" s="277">
        <f>Cust_Detail!I108*Rates!I213</f>
        <v>0</v>
      </c>
      <c r="I188" s="277">
        <f>Cust_Detail!J108*Rates!J213</f>
        <v>0</v>
      </c>
      <c r="J188" s="277">
        <f>Cust_Detail!K108*Rates!K213</f>
        <v>0</v>
      </c>
      <c r="K188" s="277">
        <f>Cust_Detail!L108*Rates!L213</f>
        <v>0</v>
      </c>
      <c r="L188" s="277">
        <f>Cust_Detail!M108*Rates!M213</f>
        <v>0</v>
      </c>
      <c r="M188" s="277">
        <f>Cust_Detail!N108*Rates!N213</f>
        <v>0</v>
      </c>
      <c r="N188" s="277">
        <f>Cust_Detail!O108*Rates!O213</f>
        <v>0</v>
      </c>
      <c r="O188" s="277">
        <f>Cust_Detail!P108*Rates!P213</f>
        <v>0</v>
      </c>
      <c r="P188" s="277">
        <f>Cust_Detail!Q108*Rates!Q213</f>
        <v>0</v>
      </c>
      <c r="Q188" s="277">
        <f>Cust_Detail!R108*Rates!R213</f>
        <v>0</v>
      </c>
      <c r="R188" s="277">
        <f>Cust_Detail!S108*Rates!S213</f>
        <v>0</v>
      </c>
      <c r="S188" s="277">
        <f>Cust_Detail!T108*Rates!T213</f>
        <v>0</v>
      </c>
      <c r="T188" s="277">
        <f>Cust_Detail!U108*Rates!U213</f>
        <v>0</v>
      </c>
      <c r="U188" s="277">
        <f>Cust_Detail!V108*Rates!V213</f>
        <v>0</v>
      </c>
      <c r="V188" s="277">
        <f>Cust_Detail!W108*Rates!W213</f>
        <v>0</v>
      </c>
      <c r="X188" s="277">
        <f>SUMIF($E$8:$V$8,'COS_RR (top sheet)'!$I$6,$E188:$V188)</f>
        <v>0</v>
      </c>
    </row>
    <row r="189" spans="1:26" s="40" customFormat="1" ht="15.75" customHeight="1">
      <c r="A189" s="411"/>
      <c r="B189" s="91"/>
      <c r="C189" s="236">
        <f>+MAX(C$10:C188)+1</f>
        <v>175</v>
      </c>
      <c r="D189" s="251" t="str">
        <f>"TOTAL "&amp;D180</f>
        <v>TOTAL AGRICULTURAL BOILER (85)</v>
      </c>
      <c r="E189" s="256">
        <f>SUM(E183:E188)</f>
        <v>516310.75</v>
      </c>
      <c r="F189" s="256">
        <f t="shared" ref="F189:V189" si="28">SUM(F183:F188)</f>
        <v>535147.66290793044</v>
      </c>
      <c r="G189" s="256">
        <f t="shared" si="28"/>
        <v>562872.98926592316</v>
      </c>
      <c r="H189" s="256">
        <f t="shared" si="28"/>
        <v>135717.68835616441</v>
      </c>
      <c r="I189" s="256">
        <f t="shared" si="28"/>
        <v>12000</v>
      </c>
      <c r="J189" s="256">
        <f t="shared" si="28"/>
        <v>12000</v>
      </c>
      <c r="K189" s="256">
        <f t="shared" si="28"/>
        <v>12600</v>
      </c>
      <c r="L189" s="256">
        <f t="shared" si="28"/>
        <v>13230</v>
      </c>
      <c r="M189" s="256">
        <f t="shared" si="28"/>
        <v>13230</v>
      </c>
      <c r="N189" s="256">
        <f t="shared" si="28"/>
        <v>13230</v>
      </c>
      <c r="O189" s="256">
        <f t="shared" si="28"/>
        <v>13230</v>
      </c>
      <c r="P189" s="256">
        <f t="shared" si="28"/>
        <v>13230</v>
      </c>
      <c r="Q189" s="256">
        <f t="shared" si="28"/>
        <v>13230</v>
      </c>
      <c r="R189" s="256">
        <f t="shared" si="28"/>
        <v>13230</v>
      </c>
      <c r="S189" s="256">
        <f t="shared" si="28"/>
        <v>13230</v>
      </c>
      <c r="T189" s="256">
        <f t="shared" si="28"/>
        <v>13230</v>
      </c>
      <c r="U189" s="256">
        <f t="shared" si="28"/>
        <v>13230</v>
      </c>
      <c r="V189" s="256">
        <f t="shared" si="28"/>
        <v>13230</v>
      </c>
      <c r="W189" s="263"/>
      <c r="X189" s="256">
        <f>SUMIF($E$8:$V$8,'COS_RR (top sheet)'!$I$6,$E189:$V189)</f>
        <v>13230</v>
      </c>
      <c r="Y189"/>
      <c r="Z189" s="263"/>
    </row>
    <row r="190" spans="1:26" s="40" customFormat="1" ht="15.75" customHeight="1">
      <c r="A190" s="411"/>
      <c r="B190" s="91"/>
      <c r="C190" s="236">
        <f>+MAX(C$10:C189)+1</f>
        <v>176</v>
      </c>
      <c r="D190" s="39" t="s">
        <v>2723</v>
      </c>
      <c r="E190" s="279">
        <f>E189*'City Taxes'!E10</f>
        <v>2508.4056575007471</v>
      </c>
      <c r="F190" s="279">
        <f>F189*'City Taxes'!F10</f>
        <v>2599.9215109051197</v>
      </c>
      <c r="G190" s="279">
        <f>G189*'City Taxes'!G10</f>
        <v>2734.6201695955374</v>
      </c>
      <c r="H190" s="279">
        <f>H189*'City Taxes'!H10</f>
        <v>659.36069953129208</v>
      </c>
      <c r="I190" s="279">
        <f>I189*'City Taxes'!I10</f>
        <v>58.299905415506004</v>
      </c>
      <c r="J190" s="279">
        <f>J189*'City Taxes'!J10</f>
        <v>58.299905415506004</v>
      </c>
      <c r="K190" s="279">
        <f>K189*'City Taxes'!K10</f>
        <v>61.214900686281304</v>
      </c>
      <c r="L190" s="279">
        <f>L189*'City Taxes'!L10</f>
        <v>66.862073089370938</v>
      </c>
      <c r="M190" s="279">
        <f>M189*'City Taxes'!M10</f>
        <v>66.862073089370938</v>
      </c>
      <c r="N190" s="279">
        <f>N189*'City Taxes'!N10</f>
        <v>66.862073089370938</v>
      </c>
      <c r="O190" s="279">
        <f>O189*'City Taxes'!O10</f>
        <v>66.862073089370938</v>
      </c>
      <c r="P190" s="279">
        <f>P189*'City Taxes'!P10</f>
        <v>66.862073089370938</v>
      </c>
      <c r="Q190" s="279">
        <f>Q189*'City Taxes'!Q10</f>
        <v>66.862073089370938</v>
      </c>
      <c r="R190" s="279">
        <f>R189*'City Taxes'!R10</f>
        <v>66.862073089370938</v>
      </c>
      <c r="S190" s="279">
        <f>S189*'City Taxes'!S10</f>
        <v>66.862073089370938</v>
      </c>
      <c r="T190" s="279">
        <f>T189*'City Taxes'!T10</f>
        <v>66.862073089370938</v>
      </c>
      <c r="U190" s="279">
        <f>U189*'City Taxes'!U10</f>
        <v>66.862073089370938</v>
      </c>
      <c r="V190" s="279">
        <f>V189*'City Taxes'!V10</f>
        <v>66.862073089370938</v>
      </c>
      <c r="W190" s="263"/>
      <c r="X190" s="279">
        <f>SUMIF($E$8:$V$8,'COS_RR (top sheet)'!$I$6,$E190:$V190)</f>
        <v>66.862073089370938</v>
      </c>
      <c r="Y190"/>
      <c r="Z190" s="263"/>
    </row>
    <row r="191" spans="1:26" ht="15.75" customHeight="1">
      <c r="A191" s="411"/>
      <c r="C191" s="236">
        <f>+MAX(C$10:C190)+1</f>
        <v>177</v>
      </c>
      <c r="D191" s="251" t="str">
        <f>"TOTAL "&amp;D180</f>
        <v>TOTAL AGRICULTURAL BOILER (85)</v>
      </c>
      <c r="E191" s="256">
        <f>SUM(E189:E190)</f>
        <v>518819.15565750073</v>
      </c>
      <c r="F191" s="256">
        <f t="shared" ref="F191:V191" si="29">SUM(F189:F190)</f>
        <v>537747.58441883558</v>
      </c>
      <c r="G191" s="256">
        <f t="shared" si="29"/>
        <v>565607.60943551874</v>
      </c>
      <c r="H191" s="256">
        <f t="shared" si="29"/>
        <v>136377.04905569571</v>
      </c>
      <c r="I191" s="256">
        <f t="shared" si="29"/>
        <v>12058.299905415506</v>
      </c>
      <c r="J191" s="256">
        <f t="shared" si="29"/>
        <v>12058.299905415506</v>
      </c>
      <c r="K191" s="256">
        <f t="shared" si="29"/>
        <v>12661.214900686282</v>
      </c>
      <c r="L191" s="256">
        <f t="shared" si="29"/>
        <v>13296.862073089371</v>
      </c>
      <c r="M191" s="256">
        <f t="shared" si="29"/>
        <v>13296.862073089371</v>
      </c>
      <c r="N191" s="256">
        <f t="shared" si="29"/>
        <v>13296.862073089371</v>
      </c>
      <c r="O191" s="256">
        <f t="shared" si="29"/>
        <v>13296.862073089371</v>
      </c>
      <c r="P191" s="256">
        <f t="shared" si="29"/>
        <v>13296.862073089371</v>
      </c>
      <c r="Q191" s="256">
        <f t="shared" si="29"/>
        <v>13296.862073089371</v>
      </c>
      <c r="R191" s="256">
        <f t="shared" si="29"/>
        <v>13296.862073089371</v>
      </c>
      <c r="S191" s="256">
        <f t="shared" si="29"/>
        <v>13296.862073089371</v>
      </c>
      <c r="T191" s="256">
        <f t="shared" si="29"/>
        <v>13296.862073089371</v>
      </c>
      <c r="U191" s="256">
        <f t="shared" si="29"/>
        <v>13296.862073089371</v>
      </c>
      <c r="V191" s="256">
        <f t="shared" si="29"/>
        <v>13296.862073089371</v>
      </c>
      <c r="X191" s="256">
        <f>SUMIF($E$8:$V$8,'COS_RR (top sheet)'!$I$6,$E191:$V191)</f>
        <v>13296.862073089371</v>
      </c>
    </row>
    <row r="192" spans="1:26" ht="15.75" customHeight="1">
      <c r="A192" s="411"/>
      <c r="C192" s="236">
        <f>+MAX(C$10:C191)+1</f>
        <v>178</v>
      </c>
    </row>
    <row r="193" spans="1:26" ht="15.75" customHeight="1">
      <c r="A193" s="411"/>
      <c r="C193" s="236">
        <f>+MAX(C$10:C192)+1</f>
        <v>179</v>
      </c>
      <c r="D193" s="751" t="s">
        <v>231</v>
      </c>
      <c r="E193" s="16"/>
      <c r="F193" s="16"/>
      <c r="G193" s="16"/>
      <c r="H193" s="16"/>
      <c r="I193" s="16"/>
      <c r="J193" s="16"/>
      <c r="K193" s="16"/>
      <c r="L193" s="16"/>
      <c r="M193" s="16"/>
      <c r="N193" s="16"/>
      <c r="O193" s="16"/>
      <c r="P193" s="16"/>
      <c r="Q193" s="16"/>
      <c r="R193" s="16"/>
      <c r="S193" s="16"/>
      <c r="T193" s="16"/>
      <c r="U193" s="16"/>
      <c r="V193" s="16"/>
      <c r="X193" s="16"/>
    </row>
    <row r="194" spans="1:26" ht="15.75" customHeight="1">
      <c r="A194" s="411"/>
      <c r="C194" s="236">
        <f>+MAX(C$10:C193)+1</f>
        <v>180</v>
      </c>
      <c r="D194" s="273"/>
      <c r="E194" s="16"/>
      <c r="F194" s="16"/>
      <c r="G194" s="16"/>
      <c r="H194" s="16"/>
      <c r="I194" s="16"/>
      <c r="J194" s="16"/>
      <c r="K194" s="16"/>
      <c r="L194" s="16"/>
      <c r="M194" s="16"/>
      <c r="N194" s="16"/>
      <c r="O194" s="16"/>
      <c r="P194" s="16"/>
      <c r="Q194" s="16"/>
      <c r="R194" s="16"/>
      <c r="S194" s="16"/>
      <c r="T194" s="16"/>
      <c r="U194" s="16"/>
      <c r="V194" s="16"/>
      <c r="X194" s="16"/>
    </row>
    <row r="195" spans="1:26" ht="15.75" customHeight="1">
      <c r="A195" s="411"/>
      <c r="C195" s="236">
        <f>+MAX(C$10:C194)+1</f>
        <v>181</v>
      </c>
      <c r="D195" s="15" t="s">
        <v>848</v>
      </c>
      <c r="E195" s="16"/>
      <c r="F195" s="16"/>
      <c r="G195" s="16"/>
      <c r="H195" s="16"/>
      <c r="I195" s="16"/>
      <c r="J195" s="16"/>
      <c r="K195" s="16"/>
      <c r="L195" s="16"/>
      <c r="M195" s="16"/>
      <c r="N195" s="16"/>
      <c r="O195" s="16"/>
      <c r="P195" s="16"/>
      <c r="Q195" s="16"/>
      <c r="R195" s="16"/>
      <c r="S195" s="16"/>
      <c r="T195" s="16"/>
      <c r="U195" s="16"/>
      <c r="V195" s="16"/>
      <c r="X195" s="16"/>
    </row>
    <row r="196" spans="1:26" ht="15.75" customHeight="1">
      <c r="A196" s="411"/>
      <c r="C196" s="236">
        <f>+MAX(C$10:C195)+1</f>
        <v>182</v>
      </c>
      <c r="D196" s="39" t="s">
        <v>251</v>
      </c>
      <c r="E196" s="279">
        <f>Cust_Detail!F112*Rates!F221*INDEX(Rates!$F$139:$W$139,1,MATCH(E$8,Rates!$F$7:$W$7,0))</f>
        <v>5666.666666666667</v>
      </c>
      <c r="F196" s="279">
        <f>Cust_Detail!G112*Rates!G221*INDEX(Rates!$F$139:$W$139,1,MATCH(F$8,Rates!$F$7:$W$7,0))</f>
        <v>0</v>
      </c>
      <c r="G196" s="279">
        <f>Cust_Detail!H112*Rates!H221*INDEX(Rates!$F$139:$W$139,1,MATCH(G$8,Rates!$F$7:$W$7,0))</f>
        <v>0</v>
      </c>
      <c r="H196" s="279">
        <f>Cust_Detail!I112*Rates!I221*INDEX(Rates!$F$139:$W$139,1,MATCH(H$8,Rates!$F$7:$W$7,0))</f>
        <v>0</v>
      </c>
      <c r="I196" s="279">
        <f>Cust_Detail!J112*Rates!J221*INDEX(Rates!$F$139:$W$139,1,MATCH(I$8,Rates!$F$7:$W$7,0))</f>
        <v>0</v>
      </c>
      <c r="J196" s="279">
        <f>Cust_Detail!K112*Rates!K221*INDEX(Rates!$F$139:$W$139,1,MATCH(J$8,Rates!$F$7:$W$7,0))</f>
        <v>0</v>
      </c>
      <c r="K196" s="279">
        <f>Cust_Detail!L112*Rates!L221*INDEX(Rates!$F$139:$W$139,1,MATCH(K$8,Rates!$F$7:$W$7,0))</f>
        <v>0</v>
      </c>
      <c r="L196" s="279">
        <f>Cust_Detail!M112*Rates!M221*INDEX(Rates!$F$139:$W$139,1,MATCH(L$8,Rates!$F$7:$W$7,0))</f>
        <v>0</v>
      </c>
      <c r="M196" s="279">
        <f>Cust_Detail!N112*Rates!N221*INDEX(Rates!$F$139:$W$139,1,MATCH(M$8,Rates!$F$7:$W$7,0))</f>
        <v>0</v>
      </c>
      <c r="N196" s="279">
        <f>Cust_Detail!O112*Rates!O221*INDEX(Rates!$F$139:$W$139,1,MATCH(N$8,Rates!$F$7:$W$7,0))</f>
        <v>0</v>
      </c>
      <c r="O196" s="279">
        <f>Cust_Detail!P112*Rates!P221*INDEX(Rates!$F$139:$W$139,1,MATCH(O$8,Rates!$F$7:$W$7,0))</f>
        <v>0</v>
      </c>
      <c r="P196" s="279">
        <f>Cust_Detail!Q112*Rates!Q221*INDEX(Rates!$F$139:$W$139,1,MATCH(P$8,Rates!$F$7:$W$7,0))</f>
        <v>0</v>
      </c>
      <c r="Q196" s="279">
        <f>Cust_Detail!R112*Rates!R221*INDEX(Rates!$F$139:$W$139,1,MATCH(Q$8,Rates!$F$7:$W$7,0))</f>
        <v>0</v>
      </c>
      <c r="R196" s="279">
        <f>Cust_Detail!S112*Rates!S221*INDEX(Rates!$F$139:$W$139,1,MATCH(R$8,Rates!$F$7:$W$7,0))</f>
        <v>0</v>
      </c>
      <c r="S196" s="279">
        <f>Cust_Detail!T112*Rates!T221*INDEX(Rates!$F$139:$W$139,1,MATCH(S$8,Rates!$F$7:$W$7,0))</f>
        <v>0</v>
      </c>
      <c r="T196" s="279">
        <f>Cust_Detail!U112*Rates!U221*INDEX(Rates!$F$139:$W$139,1,MATCH(T$8,Rates!$F$7:$W$7,0))</f>
        <v>0</v>
      </c>
      <c r="U196" s="279">
        <f>Cust_Detail!V112*Rates!V221*INDEX(Rates!$F$139:$W$139,1,MATCH(U$8,Rates!$F$7:$W$7,0))</f>
        <v>0</v>
      </c>
      <c r="V196" s="279">
        <f>Cust_Detail!W112*Rates!W221*INDEX(Rates!$F$139:$W$139,1,MATCH(V$8,Rates!$F$7:$W$7,0))</f>
        <v>0</v>
      </c>
      <c r="X196" s="279">
        <f>SUMIF($E$8:$V$8,'COS_RR (top sheet)'!$I$6,$E196:$V196)</f>
        <v>0</v>
      </c>
    </row>
    <row r="197" spans="1:26" ht="15.75" customHeight="1">
      <c r="A197" s="411"/>
      <c r="C197" s="236">
        <f>+MAX(C$10:C196)+1</f>
        <v>183</v>
      </c>
      <c r="D197" s="39" t="s">
        <v>178</v>
      </c>
      <c r="E197" s="16">
        <f>Cust_Detail!F113*Rates!F223</f>
        <v>144145.75999999998</v>
      </c>
      <c r="F197" s="16">
        <f>Cust_Detail!G113*Rates!G223</f>
        <v>0</v>
      </c>
      <c r="G197" s="16">
        <f>Cust_Detail!H113*Rates!H223</f>
        <v>129730.5</v>
      </c>
      <c r="H197" s="16">
        <f>Cust_Detail!I113*Rates!I223</f>
        <v>0</v>
      </c>
      <c r="I197" s="16">
        <f>Cust_Detail!J113*Rates!J223</f>
        <v>60962.17487811188</v>
      </c>
      <c r="J197" s="16">
        <f>Cust_Detail!K113*Rates!K223</f>
        <v>264797.63188892719</v>
      </c>
      <c r="K197" s="16">
        <f>Cust_Detail!L113*Rates!L223</f>
        <v>0</v>
      </c>
      <c r="L197" s="16">
        <f>Cust_Detail!M113*Rates!M223</f>
        <v>223284.25027962695</v>
      </c>
      <c r="M197" s="16">
        <f>Cust_Detail!N113*Rates!N223</f>
        <v>918947.37188465486</v>
      </c>
      <c r="N197" s="16">
        <f>Cust_Detail!O113*Rates!O223</f>
        <v>1239140.5855044501</v>
      </c>
      <c r="O197" s="16">
        <f>Cust_Detail!P113*Rates!P223</f>
        <v>1594126.5622313845</v>
      </c>
      <c r="P197" s="16">
        <f>Cust_Detail!Q113*Rates!Q223</f>
        <v>1063574.0625019812</v>
      </c>
      <c r="Q197" s="16">
        <f>Cust_Detail!R113*Rates!R223</f>
        <v>213248.07377578213</v>
      </c>
      <c r="R197" s="16">
        <f>Cust_Detail!S113*Rates!S223</f>
        <v>0</v>
      </c>
      <c r="S197" s="16">
        <f>Cust_Detail!T113*Rates!T223</f>
        <v>0</v>
      </c>
      <c r="T197" s="16">
        <f>Cust_Detail!U113*Rates!U223</f>
        <v>0</v>
      </c>
      <c r="U197" s="16">
        <f>Cust_Detail!V113*Rates!V223</f>
        <v>0</v>
      </c>
      <c r="V197" s="16">
        <f>Cust_Detail!W113*Rates!W223</f>
        <v>0</v>
      </c>
      <c r="X197" s="16">
        <f>SUMIF($E$8:$V$8,'COS_RR (top sheet)'!$I$6,$E197:$V197)</f>
        <v>0</v>
      </c>
    </row>
    <row r="198" spans="1:26" ht="15.75" customHeight="1">
      <c r="A198" s="411"/>
      <c r="C198" s="236">
        <f>+MAX(C$10:C197)+1</f>
        <v>184</v>
      </c>
      <c r="D198" s="39" t="s">
        <v>723</v>
      </c>
      <c r="E198" s="16"/>
      <c r="F198" s="16"/>
      <c r="G198" s="16"/>
      <c r="H198" s="16"/>
      <c r="I198" s="16"/>
      <c r="J198" s="16"/>
      <c r="K198" s="16"/>
      <c r="L198" s="16"/>
      <c r="M198" s="16"/>
      <c r="N198" s="16"/>
      <c r="O198" s="16"/>
      <c r="P198" s="16"/>
      <c r="Q198" s="16"/>
      <c r="R198" s="16"/>
      <c r="S198" s="16"/>
      <c r="T198" s="16"/>
      <c r="U198" s="16"/>
      <c r="V198" s="16"/>
      <c r="X198" s="16"/>
    </row>
    <row r="199" spans="1:26" ht="15.75" customHeight="1">
      <c r="A199" s="411"/>
      <c r="C199" s="236">
        <f>+MAX(C$10:C198)+1</f>
        <v>185</v>
      </c>
      <c r="D199" s="41" t="s">
        <v>910</v>
      </c>
      <c r="E199" s="16">
        <f>Cust_Detail!F114*Rates!F225</f>
        <v>251478.06000000011</v>
      </c>
      <c r="F199" s="16">
        <f>Cust_Detail!G114*Rates!G225</f>
        <v>168638.44704</v>
      </c>
      <c r="G199" s="16">
        <f>Cust_Detail!H114*Rates!H225</f>
        <v>209706.42599550003</v>
      </c>
      <c r="H199" s="16">
        <f>Cust_Detail!I114*Rates!I225</f>
        <v>0</v>
      </c>
      <c r="I199" s="16">
        <f>Cust_Detail!J114*Rates!J225</f>
        <v>279771.1939450645</v>
      </c>
      <c r="J199" s="16">
        <f>Cust_Detail!K114*Rates!K225</f>
        <v>1043333.3356658409</v>
      </c>
      <c r="K199" s="16">
        <f>Cust_Detail!L114*Rates!L225</f>
        <v>0</v>
      </c>
      <c r="L199" s="16">
        <f>Cust_Detail!M114*Rates!M225</f>
        <v>846054.72403514106</v>
      </c>
      <c r="M199" s="16">
        <f>Cust_Detail!N114*Rates!N225</f>
        <v>3271157.4541881136</v>
      </c>
      <c r="N199" s="16">
        <f>Cust_Detail!O114*Rates!O225</f>
        <v>4351883.2826753492</v>
      </c>
      <c r="O199" s="16">
        <f>Cust_Detail!P114*Rates!P225</f>
        <v>5534664.2173029352</v>
      </c>
      <c r="P199" s="16">
        <f>Cust_Detail!Q114*Rates!Q225</f>
        <v>3816708.7255277457</v>
      </c>
      <c r="Q199" s="16">
        <f>Cust_Detail!R114*Rates!R225</f>
        <v>797563.84422847314</v>
      </c>
      <c r="R199" s="16">
        <f>Cust_Detail!S114*Rates!S225</f>
        <v>0</v>
      </c>
      <c r="S199" s="16">
        <f>Cust_Detail!T114*Rates!T225</f>
        <v>0</v>
      </c>
      <c r="T199" s="16">
        <f>Cust_Detail!U114*Rates!U225</f>
        <v>0</v>
      </c>
      <c r="U199" s="16">
        <f>Cust_Detail!V114*Rates!V225</f>
        <v>0</v>
      </c>
      <c r="V199" s="16">
        <f>Cust_Detail!W114*Rates!W225</f>
        <v>0</v>
      </c>
      <c r="X199" s="16">
        <f>SUMIF($E$8:$V$8,'COS_RR (top sheet)'!$I$6,$E199:$V199)</f>
        <v>0</v>
      </c>
    </row>
    <row r="200" spans="1:26" ht="15.75" customHeight="1">
      <c r="A200" s="411"/>
      <c r="C200" s="236">
        <f>+MAX(C$10:C199)+1</f>
        <v>186</v>
      </c>
      <c r="D200" s="41" t="s">
        <v>909</v>
      </c>
      <c r="E200" s="277">
        <f>Cust_Detail!F115*Rates!F226</f>
        <v>0</v>
      </c>
      <c r="F200" s="277">
        <f>Cust_Detail!G115*Rates!G226</f>
        <v>0</v>
      </c>
      <c r="G200" s="277">
        <f>Cust_Detail!H115*Rates!H226</f>
        <v>0</v>
      </c>
      <c r="H200" s="277">
        <f>Cust_Detail!I115*Rates!I226</f>
        <v>0</v>
      </c>
      <c r="I200" s="277">
        <f>Cust_Detail!J115*Rates!J226</f>
        <v>0</v>
      </c>
      <c r="J200" s="277">
        <f>Cust_Detail!K115*Rates!K226</f>
        <v>0</v>
      </c>
      <c r="K200" s="277">
        <f>Cust_Detail!L115*Rates!L226</f>
        <v>0</v>
      </c>
      <c r="L200" s="277">
        <f>Cust_Detail!M115*Rates!M226</f>
        <v>0</v>
      </c>
      <c r="M200" s="277">
        <f>Cust_Detail!N115*Rates!N226</f>
        <v>0</v>
      </c>
      <c r="N200" s="277">
        <f>Cust_Detail!O115*Rates!O226</f>
        <v>0</v>
      </c>
      <c r="O200" s="277">
        <f>Cust_Detail!P115*Rates!P226</f>
        <v>0</v>
      </c>
      <c r="P200" s="277">
        <f>Cust_Detail!Q115*Rates!Q226</f>
        <v>0</v>
      </c>
      <c r="Q200" s="277">
        <f>Cust_Detail!R115*Rates!R226</f>
        <v>0</v>
      </c>
      <c r="R200" s="277">
        <f>Cust_Detail!S115*Rates!S226</f>
        <v>0</v>
      </c>
      <c r="S200" s="277">
        <f>Cust_Detail!T115*Rates!T226</f>
        <v>0</v>
      </c>
      <c r="T200" s="277">
        <f>Cust_Detail!U115*Rates!U226</f>
        <v>0</v>
      </c>
      <c r="U200" s="277">
        <f>Cust_Detail!V115*Rates!V226</f>
        <v>0</v>
      </c>
      <c r="V200" s="277">
        <f>Cust_Detail!W115*Rates!W226</f>
        <v>0</v>
      </c>
      <c r="X200" s="16">
        <f>SUMIF($E$8:$V$8,'COS_RR (top sheet)'!$I$6,$E200:$V200)</f>
        <v>0</v>
      </c>
    </row>
    <row r="201" spans="1:26" s="40" customFormat="1" ht="15.75" customHeight="1">
      <c r="A201" s="411"/>
      <c r="B201" s="91"/>
      <c r="C201" s="236">
        <f>+MAX(C$10:C200)+1</f>
        <v>187</v>
      </c>
      <c r="D201" s="251" t="str">
        <f>"TOTAL "&amp;D193</f>
        <v>TOTAL INDUSTRIAL (94)</v>
      </c>
      <c r="E201" s="256">
        <f>SUM(E196:E200)</f>
        <v>401290.48666666675</v>
      </c>
      <c r="F201" s="256">
        <f t="shared" ref="F201:V201" si="30">SUM(F196:F200)</f>
        <v>168638.44704</v>
      </c>
      <c r="G201" s="256">
        <f t="shared" si="30"/>
        <v>339436.92599550006</v>
      </c>
      <c r="H201" s="256">
        <f t="shared" si="30"/>
        <v>0</v>
      </c>
      <c r="I201" s="256">
        <f t="shared" si="30"/>
        <v>340733.36882317637</v>
      </c>
      <c r="J201" s="256">
        <f t="shared" si="30"/>
        <v>1308130.9675547681</v>
      </c>
      <c r="K201" s="256">
        <f t="shared" si="30"/>
        <v>0</v>
      </c>
      <c r="L201" s="256">
        <f t="shared" si="30"/>
        <v>1069338.9743147681</v>
      </c>
      <c r="M201" s="256">
        <f t="shared" si="30"/>
        <v>4190104.8260727683</v>
      </c>
      <c r="N201" s="256">
        <f t="shared" si="30"/>
        <v>5591023.8681797991</v>
      </c>
      <c r="O201" s="256">
        <f t="shared" si="30"/>
        <v>7128790.7795343194</v>
      </c>
      <c r="P201" s="256">
        <f t="shared" si="30"/>
        <v>4880282.7880297266</v>
      </c>
      <c r="Q201" s="256">
        <f t="shared" si="30"/>
        <v>1010811.9180042553</v>
      </c>
      <c r="R201" s="256">
        <f t="shared" si="30"/>
        <v>0</v>
      </c>
      <c r="S201" s="256">
        <f t="shared" si="30"/>
        <v>0</v>
      </c>
      <c r="T201" s="256">
        <f t="shared" si="30"/>
        <v>0</v>
      </c>
      <c r="U201" s="256">
        <f t="shared" si="30"/>
        <v>0</v>
      </c>
      <c r="V201" s="256">
        <f t="shared" si="30"/>
        <v>0</v>
      </c>
      <c r="W201" s="263"/>
      <c r="X201" s="256">
        <f>SUMIF($E$8:$V$8,'COS_RR (top sheet)'!$I$6,$E201:$V201)</f>
        <v>0</v>
      </c>
      <c r="Y201"/>
      <c r="Z201" s="263"/>
    </row>
    <row r="202" spans="1:26" s="40" customFormat="1" ht="15.75" customHeight="1">
      <c r="A202" s="411"/>
      <c r="B202" s="91"/>
      <c r="C202" s="236">
        <f>+MAX(C$10:C201)+1</f>
        <v>188</v>
      </c>
      <c r="D202" s="39" t="s">
        <v>2723</v>
      </c>
      <c r="E202" s="279">
        <f>E201*'City Taxes'!E10</f>
        <v>1949.5997847340871</v>
      </c>
      <c r="F202" s="279">
        <f>F201*'City Taxes'!F10</f>
        <v>819.30045932081816</v>
      </c>
      <c r="G202" s="279">
        <f>G201*'City Taxes'!G10</f>
        <v>1649.0950566723136</v>
      </c>
      <c r="H202" s="279">
        <f>H201*'City Taxes'!H10</f>
        <v>0</v>
      </c>
      <c r="I202" s="279">
        <f>I201*'City Taxes'!I10</f>
        <v>1655.3935978581587</v>
      </c>
      <c r="J202" s="279">
        <f>J201*'City Taxes'!J10</f>
        <v>6355.3259732947781</v>
      </c>
      <c r="K202" s="279">
        <f>K201*'City Taxes'!K10</f>
        <v>0</v>
      </c>
      <c r="L202" s="279">
        <f>L201*'City Taxes'!L10</f>
        <v>5404.2494828380177</v>
      </c>
      <c r="M202" s="279">
        <f>M201*'City Taxes'!M10</f>
        <v>21176.046495313931</v>
      </c>
      <c r="N202" s="279">
        <f>N201*'City Taxes'!N10</f>
        <v>28256.042820760023</v>
      </c>
      <c r="O202" s="279">
        <f>O201*'City Taxes'!O10</f>
        <v>36027.644001516041</v>
      </c>
      <c r="P202" s="279">
        <f>P201*'City Taxes'!P10</f>
        <v>24664.083482240552</v>
      </c>
      <c r="Q202" s="279">
        <f>Q201*'City Taxes'!Q10</f>
        <v>5108.4641225402675</v>
      </c>
      <c r="R202" s="279">
        <f>R201*'City Taxes'!R10</f>
        <v>0</v>
      </c>
      <c r="S202" s="279">
        <f>S201*'City Taxes'!S10</f>
        <v>0</v>
      </c>
      <c r="T202" s="279">
        <f>T201*'City Taxes'!T10</f>
        <v>0</v>
      </c>
      <c r="U202" s="279">
        <f>U201*'City Taxes'!U10</f>
        <v>0</v>
      </c>
      <c r="V202" s="279">
        <f>V201*'City Taxes'!V10</f>
        <v>0</v>
      </c>
      <c r="W202" s="263"/>
      <c r="X202" s="279">
        <f>SUMIF($E$8:$V$8,'COS_RR (top sheet)'!$I$6,$E202:$V202)</f>
        <v>0</v>
      </c>
      <c r="Y202"/>
      <c r="Z202" s="263"/>
    </row>
    <row r="203" spans="1:26" ht="15.75" customHeight="1">
      <c r="A203" s="411"/>
      <c r="C203" s="236">
        <f>+MAX(C$10:C202)+1</f>
        <v>189</v>
      </c>
      <c r="D203" s="251" t="str">
        <f>"TOTAL "&amp;D193</f>
        <v>TOTAL INDUSTRIAL (94)</v>
      </c>
      <c r="E203" s="256">
        <f>SUM(E201:E202)</f>
        <v>403240.08645140083</v>
      </c>
      <c r="F203" s="256">
        <f t="shared" ref="F203:V203" si="31">SUM(F201:F202)</f>
        <v>169457.74749932083</v>
      </c>
      <c r="G203" s="256">
        <f t="shared" si="31"/>
        <v>341086.02105217235</v>
      </c>
      <c r="H203" s="256">
        <f t="shared" si="31"/>
        <v>0</v>
      </c>
      <c r="I203" s="256">
        <f t="shared" si="31"/>
        <v>342388.76242103451</v>
      </c>
      <c r="J203" s="256">
        <f t="shared" si="31"/>
        <v>1314486.2935280628</v>
      </c>
      <c r="K203" s="256">
        <f t="shared" si="31"/>
        <v>0</v>
      </c>
      <c r="L203" s="256">
        <f t="shared" si="31"/>
        <v>1074743.2237976061</v>
      </c>
      <c r="M203" s="256">
        <f t="shared" si="31"/>
        <v>4211280.8725680821</v>
      </c>
      <c r="N203" s="256">
        <f t="shared" si="31"/>
        <v>5619279.9110005591</v>
      </c>
      <c r="O203" s="256">
        <f t="shared" si="31"/>
        <v>7164818.423535835</v>
      </c>
      <c r="P203" s="256">
        <f t="shared" si="31"/>
        <v>4904946.8715119669</v>
      </c>
      <c r="Q203" s="256">
        <f t="shared" si="31"/>
        <v>1015920.3821267956</v>
      </c>
      <c r="R203" s="256">
        <f t="shared" si="31"/>
        <v>0</v>
      </c>
      <c r="S203" s="256">
        <f t="shared" si="31"/>
        <v>0</v>
      </c>
      <c r="T203" s="256">
        <f t="shared" si="31"/>
        <v>0</v>
      </c>
      <c r="U203" s="256">
        <f t="shared" si="31"/>
        <v>0</v>
      </c>
      <c r="V203" s="256">
        <f t="shared" si="31"/>
        <v>0</v>
      </c>
      <c r="X203" s="256">
        <f>SUMIF($E$8:$V$8,'COS_RR (top sheet)'!$I$6,$E203:$V203)</f>
        <v>0</v>
      </c>
    </row>
    <row r="204" spans="1:26" ht="15.75" customHeight="1">
      <c r="A204" s="411"/>
      <c r="C204" s="236">
        <f>+MAX(C$10:C203)+1</f>
        <v>190</v>
      </c>
      <c r="E204" s="86"/>
      <c r="F204" s="86"/>
      <c r="G204" s="86"/>
    </row>
    <row r="205" spans="1:26" ht="15.75" customHeight="1">
      <c r="A205" s="411"/>
      <c r="C205" s="236">
        <f>+MAX(C$10:C204)+1</f>
        <v>191</v>
      </c>
      <c r="D205" s="751" t="s">
        <v>232</v>
      </c>
      <c r="E205" s="493"/>
      <c r="F205" s="493"/>
      <c r="G205" s="493"/>
      <c r="H205" s="16"/>
      <c r="I205" s="16"/>
      <c r="J205" s="16"/>
      <c r="K205" s="16"/>
      <c r="L205" s="16"/>
      <c r="M205" s="16"/>
      <c r="N205" s="16"/>
      <c r="O205" s="16"/>
      <c r="P205" s="16"/>
      <c r="Q205" s="16"/>
      <c r="R205" s="16"/>
      <c r="S205" s="16"/>
      <c r="T205" s="16"/>
      <c r="U205" s="16"/>
      <c r="V205" s="16"/>
      <c r="X205" s="16"/>
    </row>
    <row r="206" spans="1:26" ht="15.75" customHeight="1">
      <c r="A206" s="411"/>
      <c r="C206" s="236">
        <f>+MAX(C$10:C205)+1</f>
        <v>192</v>
      </c>
      <c r="D206" s="273"/>
      <c r="E206" s="493"/>
      <c r="F206" s="493"/>
      <c r="G206" s="493"/>
      <c r="H206" s="16"/>
      <c r="I206" s="16"/>
      <c r="J206" s="16"/>
      <c r="K206" s="16"/>
      <c r="L206" s="16"/>
      <c r="M206" s="16"/>
      <c r="N206" s="16"/>
      <c r="O206" s="16"/>
      <c r="P206" s="16"/>
      <c r="Q206" s="16"/>
      <c r="R206" s="16"/>
      <c r="S206" s="16"/>
      <c r="T206" s="16"/>
      <c r="U206" s="16"/>
      <c r="V206" s="16"/>
      <c r="X206" s="16"/>
    </row>
    <row r="207" spans="1:26" ht="15.75" hidden="1" customHeight="1">
      <c r="A207" s="411"/>
      <c r="C207" s="236">
        <f>+MAX(C$10:C206)+1</f>
        <v>193</v>
      </c>
      <c r="D207" s="15" t="s">
        <v>1015</v>
      </c>
      <c r="E207" s="832"/>
      <c r="F207" s="832"/>
      <c r="G207" s="216">
        <f>'Street Lights'!F5*Rates!H232*INDEX(Rates!$F$232:$W$232,1,MATCH(G$8,Rates!$F$7:$W$7,0))</f>
        <v>0</v>
      </c>
      <c r="H207" s="216">
        <f>'Street Lights'!G5*Rates!I232*INDEX(Rates!$F$232:$W$232,1,MATCH(H$8,Rates!$F$7:$W$7,0))</f>
        <v>0</v>
      </c>
      <c r="I207" s="216">
        <f>'Street Lights'!H5*Rates!J232*INDEX(Rates!$F$232:$W$232,1,MATCH(I$8,Rates!$F$7:$W$7,0))</f>
        <v>0</v>
      </c>
      <c r="J207" s="216">
        <f>'Street Lights'!I5*Rates!K232*INDEX(Rates!$F$232:$W$232,1,MATCH(J$8,Rates!$F$7:$W$7,0))</f>
        <v>0</v>
      </c>
      <c r="K207" s="216">
        <f>'Street Lights'!J5*Rates!L232*INDEX(Rates!$F$232:$W$232,1,MATCH(K$8,Rates!$F$7:$W$7,0))</f>
        <v>0</v>
      </c>
      <c r="L207" s="216">
        <f>'Street Lights'!K5*Rates!M232*INDEX(Rates!$F$232:$W$232,1,MATCH(L$8,Rates!$F$7:$W$7,0))</f>
        <v>0</v>
      </c>
      <c r="M207" s="216">
        <f>'Street Lights'!L5*Rates!N232*INDEX(Rates!$F$232:$W$232,1,MATCH(M$8,Rates!$F$7:$W$7,0))</f>
        <v>0</v>
      </c>
      <c r="N207" s="216">
        <f>'Street Lights'!M5*Rates!O232*INDEX(Rates!$F$232:$W$232,1,MATCH(N$8,Rates!$F$7:$W$7,0))</f>
        <v>0</v>
      </c>
      <c r="O207" s="216">
        <f>'Street Lights'!N5*Rates!P232*INDEX(Rates!$F$232:$W$232,1,MATCH(O$8,Rates!$F$7:$W$7,0))</f>
        <v>0</v>
      </c>
      <c r="P207" s="216">
        <f>'Street Lights'!O5*Rates!Q232*INDEX(Rates!$F$232:$W$232,1,MATCH(P$8,Rates!$F$7:$W$7,0))</f>
        <v>0</v>
      </c>
      <c r="Q207" s="216">
        <f>'Street Lights'!P5*Rates!R232*INDEX(Rates!$F$232:$W$232,1,MATCH(Q$8,Rates!$F$7:$W$7,0))</f>
        <v>0</v>
      </c>
      <c r="R207" s="216">
        <f>'Street Lights'!Q5*Rates!S232*INDEX(Rates!$F$232:$W$232,1,MATCH(R$8,Rates!$F$7:$W$7,0))</f>
        <v>0</v>
      </c>
      <c r="S207" s="216">
        <f>'Street Lights'!R5*Rates!T232*INDEX(Rates!$F$232:$W$232,1,MATCH(S$8,Rates!$F$7:$W$7,0))</f>
        <v>0</v>
      </c>
      <c r="T207" s="216">
        <f>'Street Lights'!S5*Rates!U232*INDEX(Rates!$F$232:$W$232,1,MATCH(T$8,Rates!$F$7:$W$7,0))</f>
        <v>0</v>
      </c>
      <c r="U207" s="216">
        <f>'Street Lights'!T5*Rates!V232*INDEX(Rates!$F$232:$W$232,1,MATCH(U$8,Rates!$F$7:$W$7,0))</f>
        <v>0</v>
      </c>
      <c r="V207" s="216">
        <f>'Street Lights'!U5*Rates!W232*INDEX(Rates!$F$232:$W$232,1,MATCH(V$8,Rates!$F$7:$W$7,0))</f>
        <v>0</v>
      </c>
      <c r="X207" s="279">
        <f>SUMIF($E$8:$V$8,'COS_RR (top sheet)'!$I$6,$E207:$V207)</f>
        <v>0</v>
      </c>
    </row>
    <row r="208" spans="1:26" ht="15.75" hidden="1" customHeight="1">
      <c r="A208" s="411"/>
      <c r="C208" s="236">
        <f>+MAX(C$10:C207)+1</f>
        <v>194</v>
      </c>
      <c r="D208" s="15" t="s">
        <v>1016</v>
      </c>
      <c r="E208" s="832"/>
      <c r="F208" s="832"/>
      <c r="G208" s="493">
        <f>'Street Lights'!F6*Rates!H233*INDEX(Rates!$F$232:$W$232,1,MATCH(G$8,Rates!$F$7:$W$7,0))</f>
        <v>0</v>
      </c>
      <c r="H208" s="493">
        <f>'Street Lights'!G6*Rates!I233*INDEX(Rates!$F$232:$W$232,1,MATCH(H$8,Rates!$F$7:$W$7,0))</f>
        <v>0</v>
      </c>
      <c r="I208" s="493">
        <f>'Street Lights'!H6*Rates!J233*INDEX(Rates!$F$232:$W$232,1,MATCH(I$8,Rates!$F$7:$W$7,0))</f>
        <v>0</v>
      </c>
      <c r="J208" s="493">
        <f>'Street Lights'!I6*Rates!K233*INDEX(Rates!$F$232:$W$232,1,MATCH(J$8,Rates!$F$7:$W$7,0))</f>
        <v>0</v>
      </c>
      <c r="K208" s="493">
        <f>'Street Lights'!J6*Rates!L233*INDEX(Rates!$F$232:$W$232,1,MATCH(K$8,Rates!$F$7:$W$7,0))</f>
        <v>0</v>
      </c>
      <c r="L208" s="493">
        <f>'Street Lights'!K6*Rates!M233*INDEX(Rates!$F$232:$W$232,1,MATCH(L$8,Rates!$F$7:$W$7,0))</f>
        <v>0</v>
      </c>
      <c r="M208" s="493">
        <f>'Street Lights'!L6*Rates!N233*INDEX(Rates!$F$232:$W$232,1,MATCH(M$8,Rates!$F$7:$W$7,0))</f>
        <v>0</v>
      </c>
      <c r="N208" s="493">
        <f>'Street Lights'!M6*Rates!O233*INDEX(Rates!$F$232:$W$232,1,MATCH(N$8,Rates!$F$7:$W$7,0))</f>
        <v>0</v>
      </c>
      <c r="O208" s="493">
        <f>'Street Lights'!N6*Rates!P233*INDEX(Rates!$F$232:$W$232,1,MATCH(O$8,Rates!$F$7:$W$7,0))</f>
        <v>0</v>
      </c>
      <c r="P208" s="493">
        <f>'Street Lights'!O6*Rates!Q233*INDEX(Rates!$F$232:$W$232,1,MATCH(P$8,Rates!$F$7:$W$7,0))</f>
        <v>0</v>
      </c>
      <c r="Q208" s="493">
        <f>'Street Lights'!P6*Rates!R233*INDEX(Rates!$F$232:$W$232,1,MATCH(Q$8,Rates!$F$7:$W$7,0))</f>
        <v>0</v>
      </c>
      <c r="R208" s="493">
        <f>'Street Lights'!Q6*Rates!S233*INDEX(Rates!$F$232:$W$232,1,MATCH(R$8,Rates!$F$7:$W$7,0))</f>
        <v>0</v>
      </c>
      <c r="S208" s="493">
        <f>'Street Lights'!R6*Rates!T233*INDEX(Rates!$F$232:$W$232,1,MATCH(S$8,Rates!$F$7:$W$7,0))</f>
        <v>0</v>
      </c>
      <c r="T208" s="493">
        <f>'Street Lights'!S6*Rates!U233*INDEX(Rates!$F$232:$W$232,1,MATCH(T$8,Rates!$F$7:$W$7,0))</f>
        <v>0</v>
      </c>
      <c r="U208" s="493">
        <f>'Street Lights'!T6*Rates!V233*INDEX(Rates!$F$232:$W$232,1,MATCH(U$8,Rates!$F$7:$W$7,0))</f>
        <v>0</v>
      </c>
      <c r="V208" s="493">
        <f>'Street Lights'!U6*Rates!W233*INDEX(Rates!$F$232:$W$232,1,MATCH(V$8,Rates!$F$7:$W$7,0))</f>
        <v>0</v>
      </c>
      <c r="X208" s="16">
        <f>SUMIF($E$8:$V$8,'COS_RR (top sheet)'!$I$6,$E208:$V208)</f>
        <v>0</v>
      </c>
    </row>
    <row r="209" spans="1:24" ht="15.75" hidden="1" customHeight="1">
      <c r="A209" s="411"/>
      <c r="C209" s="236">
        <f>+MAX(C$10:C208)+1</f>
        <v>195</v>
      </c>
      <c r="D209" s="15" t="s">
        <v>1017</v>
      </c>
      <c r="E209" s="832"/>
      <c r="F209" s="832"/>
      <c r="G209" s="493">
        <f>'Street Lights'!F7*Rates!H234*INDEX(Rates!$F$232:$W$232,1,MATCH(G$8,Rates!$F$7:$W$7,0))</f>
        <v>0</v>
      </c>
      <c r="H209" s="493">
        <f>'Street Lights'!G7*Rates!I234*INDEX(Rates!$F$232:$W$232,1,MATCH(H$8,Rates!$F$7:$W$7,0))</f>
        <v>0</v>
      </c>
      <c r="I209" s="493">
        <f>'Street Lights'!H7*Rates!J234*INDEX(Rates!$F$232:$W$232,1,MATCH(I$8,Rates!$F$7:$W$7,0))</f>
        <v>0</v>
      </c>
      <c r="J209" s="493">
        <f>'Street Lights'!I7*Rates!K234*INDEX(Rates!$F$232:$W$232,1,MATCH(J$8,Rates!$F$7:$W$7,0))</f>
        <v>0</v>
      </c>
      <c r="K209" s="493">
        <f>'Street Lights'!J7*Rates!L234*INDEX(Rates!$F$232:$W$232,1,MATCH(K$8,Rates!$F$7:$W$7,0))</f>
        <v>0</v>
      </c>
      <c r="L209" s="493">
        <f>'Street Lights'!K7*Rates!M234*INDEX(Rates!$F$232:$W$232,1,MATCH(L$8,Rates!$F$7:$W$7,0))</f>
        <v>0</v>
      </c>
      <c r="M209" s="493">
        <f>'Street Lights'!L7*Rates!N234*INDEX(Rates!$F$232:$W$232,1,MATCH(M$8,Rates!$F$7:$W$7,0))</f>
        <v>0</v>
      </c>
      <c r="N209" s="493">
        <f>'Street Lights'!M7*Rates!O234*INDEX(Rates!$F$232:$W$232,1,MATCH(N$8,Rates!$F$7:$W$7,0))</f>
        <v>0</v>
      </c>
      <c r="O209" s="493">
        <f>'Street Lights'!N7*Rates!P234*INDEX(Rates!$F$232:$W$232,1,MATCH(O$8,Rates!$F$7:$W$7,0))</f>
        <v>0</v>
      </c>
      <c r="P209" s="493">
        <f>'Street Lights'!O7*Rates!Q234*INDEX(Rates!$F$232:$W$232,1,MATCH(P$8,Rates!$F$7:$W$7,0))</f>
        <v>0</v>
      </c>
      <c r="Q209" s="493">
        <f>'Street Lights'!P7*Rates!R234*INDEX(Rates!$F$232:$W$232,1,MATCH(Q$8,Rates!$F$7:$W$7,0))</f>
        <v>0</v>
      </c>
      <c r="R209" s="493">
        <f>'Street Lights'!Q7*Rates!S234*INDEX(Rates!$F$232:$W$232,1,MATCH(R$8,Rates!$F$7:$W$7,0))</f>
        <v>0</v>
      </c>
      <c r="S209" s="493">
        <f>'Street Lights'!R7*Rates!T234*INDEX(Rates!$F$232:$W$232,1,MATCH(S$8,Rates!$F$7:$W$7,0))</f>
        <v>0</v>
      </c>
      <c r="T209" s="493">
        <f>'Street Lights'!S7*Rates!U234*INDEX(Rates!$F$232:$W$232,1,MATCH(T$8,Rates!$F$7:$W$7,0))</f>
        <v>0</v>
      </c>
      <c r="U209" s="493">
        <f>'Street Lights'!T7*Rates!V234*INDEX(Rates!$F$232:$W$232,1,MATCH(U$8,Rates!$F$7:$W$7,0))</f>
        <v>0</v>
      </c>
      <c r="V209" s="493">
        <f>'Street Lights'!U7*Rates!W234*INDEX(Rates!$F$232:$W$232,1,MATCH(V$8,Rates!$F$7:$W$7,0))</f>
        <v>0</v>
      </c>
      <c r="X209" s="16">
        <f>SUMIF($E$8:$V$8,'COS_RR (top sheet)'!$I$6,$E209:$V209)</f>
        <v>0</v>
      </c>
    </row>
    <row r="210" spans="1:24" ht="15.75" hidden="1" customHeight="1">
      <c r="A210" s="411"/>
      <c r="C210" s="236">
        <f>+MAX(C$10:C209)+1</f>
        <v>196</v>
      </c>
      <c r="D210" s="15" t="s">
        <v>1018</v>
      </c>
      <c r="E210" s="832"/>
      <c r="F210" s="832"/>
      <c r="G210" s="493">
        <f>'Street Lights'!F8*Rates!H235*INDEX(Rates!$F$232:$W$232,1,MATCH(G$8,Rates!$F$7:$W$7,0))</f>
        <v>0</v>
      </c>
      <c r="H210" s="493">
        <f>'Street Lights'!G8*Rates!I235*INDEX(Rates!$F$232:$W$232,1,MATCH(H$8,Rates!$F$7:$W$7,0))</f>
        <v>0</v>
      </c>
      <c r="I210" s="493">
        <f>'Street Lights'!H8*Rates!J235*INDEX(Rates!$F$232:$W$232,1,MATCH(I$8,Rates!$F$7:$W$7,0))</f>
        <v>0</v>
      </c>
      <c r="J210" s="493">
        <f>'Street Lights'!I8*Rates!K235*INDEX(Rates!$F$232:$W$232,1,MATCH(J$8,Rates!$F$7:$W$7,0))</f>
        <v>0</v>
      </c>
      <c r="K210" s="493">
        <f>'Street Lights'!J8*Rates!L235*INDEX(Rates!$F$232:$W$232,1,MATCH(K$8,Rates!$F$7:$W$7,0))</f>
        <v>0</v>
      </c>
      <c r="L210" s="493">
        <f>'Street Lights'!K8*Rates!M235*INDEX(Rates!$F$232:$W$232,1,MATCH(L$8,Rates!$F$7:$W$7,0))</f>
        <v>0</v>
      </c>
      <c r="M210" s="493">
        <f>'Street Lights'!L8*Rates!N235*INDEX(Rates!$F$232:$W$232,1,MATCH(M$8,Rates!$F$7:$W$7,0))</f>
        <v>0</v>
      </c>
      <c r="N210" s="493">
        <f>'Street Lights'!M8*Rates!O235*INDEX(Rates!$F$232:$W$232,1,MATCH(N$8,Rates!$F$7:$W$7,0))</f>
        <v>0</v>
      </c>
      <c r="O210" s="493">
        <f>'Street Lights'!N8*Rates!P235*INDEX(Rates!$F$232:$W$232,1,MATCH(O$8,Rates!$F$7:$W$7,0))</f>
        <v>0</v>
      </c>
      <c r="P210" s="493">
        <f>'Street Lights'!O8*Rates!Q235*INDEX(Rates!$F$232:$W$232,1,MATCH(P$8,Rates!$F$7:$W$7,0))</f>
        <v>0</v>
      </c>
      <c r="Q210" s="493">
        <f>'Street Lights'!P8*Rates!R235*INDEX(Rates!$F$232:$W$232,1,MATCH(Q$8,Rates!$F$7:$W$7,0))</f>
        <v>0</v>
      </c>
      <c r="R210" s="493">
        <f>'Street Lights'!Q8*Rates!S235*INDEX(Rates!$F$232:$W$232,1,MATCH(R$8,Rates!$F$7:$W$7,0))</f>
        <v>0</v>
      </c>
      <c r="S210" s="493">
        <f>'Street Lights'!R8*Rates!T235*INDEX(Rates!$F$232:$W$232,1,MATCH(S$8,Rates!$F$7:$W$7,0))</f>
        <v>0</v>
      </c>
      <c r="T210" s="493">
        <f>'Street Lights'!S8*Rates!U235*INDEX(Rates!$F$232:$W$232,1,MATCH(T$8,Rates!$F$7:$W$7,0))</f>
        <v>0</v>
      </c>
      <c r="U210" s="493">
        <f>'Street Lights'!T8*Rates!V235*INDEX(Rates!$F$232:$W$232,1,MATCH(U$8,Rates!$F$7:$W$7,0))</f>
        <v>0</v>
      </c>
      <c r="V210" s="493">
        <f>'Street Lights'!U8*Rates!W235*INDEX(Rates!$F$232:$W$232,1,MATCH(V$8,Rates!$F$7:$W$7,0))</f>
        <v>0</v>
      </c>
      <c r="X210" s="16">
        <f>SUMIF($E$8:$V$8,'COS_RR (top sheet)'!$I$6,$E210:$V210)</f>
        <v>0</v>
      </c>
    </row>
    <row r="211" spans="1:24" ht="15.75" hidden="1" customHeight="1">
      <c r="A211" s="411"/>
      <c r="C211" s="236">
        <f>+MAX(C$10:C210)+1</f>
        <v>197</v>
      </c>
      <c r="D211" s="15" t="s">
        <v>1019</v>
      </c>
      <c r="E211" s="832"/>
      <c r="F211" s="832"/>
      <c r="G211" s="493">
        <f>'Street Lights'!F9*Rates!H236*INDEX(Rates!$F$232:$W$232,1,MATCH(G$8,Rates!$F$7:$W$7,0))</f>
        <v>0</v>
      </c>
      <c r="H211" s="493">
        <f>'Street Lights'!G9*Rates!I236*INDEX(Rates!$F$232:$W$232,1,MATCH(H$8,Rates!$F$7:$W$7,0))</f>
        <v>0</v>
      </c>
      <c r="I211" s="493">
        <f>'Street Lights'!H9*Rates!J236*INDEX(Rates!$F$232:$W$232,1,MATCH(I$8,Rates!$F$7:$W$7,0))</f>
        <v>0</v>
      </c>
      <c r="J211" s="493">
        <f>'Street Lights'!I9*Rates!K236*INDEX(Rates!$F$232:$W$232,1,MATCH(J$8,Rates!$F$7:$W$7,0))</f>
        <v>0</v>
      </c>
      <c r="K211" s="493">
        <f>'Street Lights'!J9*Rates!L236*INDEX(Rates!$F$232:$W$232,1,MATCH(K$8,Rates!$F$7:$W$7,0))</f>
        <v>0</v>
      </c>
      <c r="L211" s="493">
        <f>'Street Lights'!K9*Rates!M236*INDEX(Rates!$F$232:$W$232,1,MATCH(L$8,Rates!$F$7:$W$7,0))</f>
        <v>0</v>
      </c>
      <c r="M211" s="493">
        <f>'Street Lights'!L9*Rates!N236*INDEX(Rates!$F$232:$W$232,1,MATCH(M$8,Rates!$F$7:$W$7,0))</f>
        <v>0</v>
      </c>
      <c r="N211" s="493">
        <f>'Street Lights'!M9*Rates!O236*INDEX(Rates!$F$232:$W$232,1,MATCH(N$8,Rates!$F$7:$W$7,0))</f>
        <v>0</v>
      </c>
      <c r="O211" s="493">
        <f>'Street Lights'!N9*Rates!P236*INDEX(Rates!$F$232:$W$232,1,MATCH(O$8,Rates!$F$7:$W$7,0))</f>
        <v>0</v>
      </c>
      <c r="P211" s="493">
        <f>'Street Lights'!O9*Rates!Q236*INDEX(Rates!$F$232:$W$232,1,MATCH(P$8,Rates!$F$7:$W$7,0))</f>
        <v>0</v>
      </c>
      <c r="Q211" s="493">
        <f>'Street Lights'!P9*Rates!R236*INDEX(Rates!$F$232:$W$232,1,MATCH(Q$8,Rates!$F$7:$W$7,0))</f>
        <v>0</v>
      </c>
      <c r="R211" s="493">
        <f>'Street Lights'!Q9*Rates!S236*INDEX(Rates!$F$232:$W$232,1,MATCH(R$8,Rates!$F$7:$W$7,0))</f>
        <v>0</v>
      </c>
      <c r="S211" s="493">
        <f>'Street Lights'!R9*Rates!T236*INDEX(Rates!$F$232:$W$232,1,MATCH(S$8,Rates!$F$7:$W$7,0))</f>
        <v>0</v>
      </c>
      <c r="T211" s="493">
        <f>'Street Lights'!S9*Rates!U236*INDEX(Rates!$F$232:$W$232,1,MATCH(T$8,Rates!$F$7:$W$7,0))</f>
        <v>0</v>
      </c>
      <c r="U211" s="493">
        <f>'Street Lights'!T9*Rates!V236*INDEX(Rates!$F$232:$W$232,1,MATCH(U$8,Rates!$F$7:$W$7,0))</f>
        <v>0</v>
      </c>
      <c r="V211" s="493">
        <f>'Street Lights'!U9*Rates!W236*INDEX(Rates!$F$232:$W$232,1,MATCH(V$8,Rates!$F$7:$W$7,0))</f>
        <v>0</v>
      </c>
      <c r="X211" s="16">
        <f>SUMIF($E$8:$V$8,'COS_RR (top sheet)'!$I$6,$E211:$V211)</f>
        <v>0</v>
      </c>
    </row>
    <row r="212" spans="1:24" ht="15.75" hidden="1" customHeight="1">
      <c r="A212" s="411"/>
      <c r="C212" s="236">
        <f>+MAX(C$10:C211)+1</f>
        <v>198</v>
      </c>
      <c r="D212" s="15" t="s">
        <v>1020</v>
      </c>
      <c r="E212" s="832"/>
      <c r="F212" s="832"/>
      <c r="G212" s="493">
        <f>'Street Lights'!F10*Rates!H237*INDEX(Rates!$F$232:$W$232,1,MATCH(G$8,Rates!$F$7:$W$7,0))</f>
        <v>0</v>
      </c>
      <c r="H212" s="493">
        <f>'Street Lights'!G10*Rates!I237*INDEX(Rates!$F$232:$W$232,1,MATCH(H$8,Rates!$F$7:$W$7,0))</f>
        <v>0</v>
      </c>
      <c r="I212" s="493">
        <f>'Street Lights'!H10*Rates!J237*INDEX(Rates!$F$232:$W$232,1,MATCH(I$8,Rates!$F$7:$W$7,0))</f>
        <v>0</v>
      </c>
      <c r="J212" s="493">
        <f>'Street Lights'!I10*Rates!K237*INDEX(Rates!$F$232:$W$232,1,MATCH(J$8,Rates!$F$7:$W$7,0))</f>
        <v>0</v>
      </c>
      <c r="K212" s="493">
        <f>'Street Lights'!J10*Rates!L237*INDEX(Rates!$F$232:$W$232,1,MATCH(K$8,Rates!$F$7:$W$7,0))</f>
        <v>0</v>
      </c>
      <c r="L212" s="493">
        <f>'Street Lights'!K10*Rates!M237*INDEX(Rates!$F$232:$W$232,1,MATCH(L$8,Rates!$F$7:$W$7,0))</f>
        <v>0</v>
      </c>
      <c r="M212" s="493">
        <f>'Street Lights'!L10*Rates!N237*INDEX(Rates!$F$232:$W$232,1,MATCH(M$8,Rates!$F$7:$W$7,0))</f>
        <v>0</v>
      </c>
      <c r="N212" s="493">
        <f>'Street Lights'!M10*Rates!O237*INDEX(Rates!$F$232:$W$232,1,MATCH(N$8,Rates!$F$7:$W$7,0))</f>
        <v>0</v>
      </c>
      <c r="O212" s="493">
        <f>'Street Lights'!N10*Rates!P237*INDEX(Rates!$F$232:$W$232,1,MATCH(O$8,Rates!$F$7:$W$7,0))</f>
        <v>0</v>
      </c>
      <c r="P212" s="493">
        <f>'Street Lights'!O10*Rates!Q237*INDEX(Rates!$F$232:$W$232,1,MATCH(P$8,Rates!$F$7:$W$7,0))</f>
        <v>0</v>
      </c>
      <c r="Q212" s="493">
        <f>'Street Lights'!P10*Rates!R237*INDEX(Rates!$F$232:$W$232,1,MATCH(Q$8,Rates!$F$7:$W$7,0))</f>
        <v>0</v>
      </c>
      <c r="R212" s="493">
        <f>'Street Lights'!Q10*Rates!S237*INDEX(Rates!$F$232:$W$232,1,MATCH(R$8,Rates!$F$7:$W$7,0))</f>
        <v>0</v>
      </c>
      <c r="S212" s="493">
        <f>'Street Lights'!R10*Rates!T237*INDEX(Rates!$F$232:$W$232,1,MATCH(S$8,Rates!$F$7:$W$7,0))</f>
        <v>0</v>
      </c>
      <c r="T212" s="493">
        <f>'Street Lights'!S10*Rates!U237*INDEX(Rates!$F$232:$W$232,1,MATCH(T$8,Rates!$F$7:$W$7,0))</f>
        <v>0</v>
      </c>
      <c r="U212" s="493">
        <f>'Street Lights'!T10*Rates!V237*INDEX(Rates!$F$232:$W$232,1,MATCH(U$8,Rates!$F$7:$W$7,0))</f>
        <v>0</v>
      </c>
      <c r="V212" s="493">
        <f>'Street Lights'!U10*Rates!W237*INDEX(Rates!$F$232:$W$232,1,MATCH(V$8,Rates!$F$7:$W$7,0))</f>
        <v>0</v>
      </c>
      <c r="X212" s="16">
        <f>SUMIF($E$8:$V$8,'COS_RR (top sheet)'!$I$6,$E212:$V212)</f>
        <v>0</v>
      </c>
    </row>
    <row r="213" spans="1:24" ht="15.75" hidden="1" customHeight="1">
      <c r="A213" s="411"/>
      <c r="C213" s="236">
        <f>+MAX(C$10:C212)+1</f>
        <v>199</v>
      </c>
      <c r="D213" s="15" t="s">
        <v>1021</v>
      </c>
      <c r="E213" s="832"/>
      <c r="F213" s="832"/>
      <c r="G213" s="493">
        <f>'Street Lights'!F11*Rates!H238*INDEX(Rates!$F$232:$W$232,1,MATCH(G$8,Rates!$F$7:$W$7,0))</f>
        <v>0</v>
      </c>
      <c r="H213" s="493">
        <f>'Street Lights'!G11*Rates!I238*INDEX(Rates!$F$232:$W$232,1,MATCH(H$8,Rates!$F$7:$W$7,0))</f>
        <v>0</v>
      </c>
      <c r="I213" s="493">
        <f>'Street Lights'!H11*Rates!J238*INDEX(Rates!$F$232:$W$232,1,MATCH(I$8,Rates!$F$7:$W$7,0))</f>
        <v>0</v>
      </c>
      <c r="J213" s="493">
        <f>'Street Lights'!I11*Rates!K238*INDEX(Rates!$F$232:$W$232,1,MATCH(J$8,Rates!$F$7:$W$7,0))</f>
        <v>0</v>
      </c>
      <c r="K213" s="493">
        <f>'Street Lights'!J11*Rates!L238*INDEX(Rates!$F$232:$W$232,1,MATCH(K$8,Rates!$F$7:$W$7,0))</f>
        <v>0</v>
      </c>
      <c r="L213" s="493">
        <f>'Street Lights'!K11*Rates!M238*INDEX(Rates!$F$232:$W$232,1,MATCH(L$8,Rates!$F$7:$W$7,0))</f>
        <v>0</v>
      </c>
      <c r="M213" s="493">
        <f>'Street Lights'!L11*Rates!N238*INDEX(Rates!$F$232:$W$232,1,MATCH(M$8,Rates!$F$7:$W$7,0))</f>
        <v>0</v>
      </c>
      <c r="N213" s="493">
        <f>'Street Lights'!M11*Rates!O238*INDEX(Rates!$F$232:$W$232,1,MATCH(N$8,Rates!$F$7:$W$7,0))</f>
        <v>0</v>
      </c>
      <c r="O213" s="493">
        <f>'Street Lights'!N11*Rates!P238*INDEX(Rates!$F$232:$W$232,1,MATCH(O$8,Rates!$F$7:$W$7,0))</f>
        <v>0</v>
      </c>
      <c r="P213" s="493">
        <f>'Street Lights'!O11*Rates!Q238*INDEX(Rates!$F$232:$W$232,1,MATCH(P$8,Rates!$F$7:$W$7,0))</f>
        <v>0</v>
      </c>
      <c r="Q213" s="493">
        <f>'Street Lights'!P11*Rates!R238*INDEX(Rates!$F$232:$W$232,1,MATCH(Q$8,Rates!$F$7:$W$7,0))</f>
        <v>0</v>
      </c>
      <c r="R213" s="493">
        <f>'Street Lights'!Q11*Rates!S238*INDEX(Rates!$F$232:$W$232,1,MATCH(R$8,Rates!$F$7:$W$7,0))</f>
        <v>0</v>
      </c>
      <c r="S213" s="493">
        <f>'Street Lights'!R11*Rates!T238*INDEX(Rates!$F$232:$W$232,1,MATCH(S$8,Rates!$F$7:$W$7,0))</f>
        <v>0</v>
      </c>
      <c r="T213" s="493">
        <f>'Street Lights'!S11*Rates!U238*INDEX(Rates!$F$232:$W$232,1,MATCH(T$8,Rates!$F$7:$W$7,0))</f>
        <v>0</v>
      </c>
      <c r="U213" s="493">
        <f>'Street Lights'!T11*Rates!V238*INDEX(Rates!$F$232:$W$232,1,MATCH(U$8,Rates!$F$7:$W$7,0))</f>
        <v>0</v>
      </c>
      <c r="V213" s="493">
        <f>'Street Lights'!U11*Rates!W238*INDEX(Rates!$F$232:$W$232,1,MATCH(V$8,Rates!$F$7:$W$7,0))</f>
        <v>0</v>
      </c>
      <c r="X213" s="16">
        <f>SUMIF($E$8:$V$8,'COS_RR (top sheet)'!$I$6,$E213:$V213)</f>
        <v>0</v>
      </c>
    </row>
    <row r="214" spans="1:24" ht="15.75" hidden="1" customHeight="1">
      <c r="A214" s="411"/>
      <c r="C214" s="236">
        <f>+MAX(C$10:C213)+1</f>
        <v>200</v>
      </c>
      <c r="D214" s="15" t="s">
        <v>1022</v>
      </c>
      <c r="E214" s="832"/>
      <c r="F214" s="832"/>
      <c r="G214" s="493">
        <f>'Street Lights'!F12*Rates!H239*INDEX(Rates!$F$232:$W$232,1,MATCH(G$8,Rates!$F$7:$W$7,0))</f>
        <v>0</v>
      </c>
      <c r="H214" s="493">
        <f>'Street Lights'!G12*Rates!I239*INDEX(Rates!$F$232:$W$232,1,MATCH(H$8,Rates!$F$7:$W$7,0))</f>
        <v>0</v>
      </c>
      <c r="I214" s="493">
        <f>'Street Lights'!H12*Rates!J239*INDEX(Rates!$F$232:$W$232,1,MATCH(I$8,Rates!$F$7:$W$7,0))</f>
        <v>0</v>
      </c>
      <c r="J214" s="493">
        <f>'Street Lights'!I12*Rates!K239*INDEX(Rates!$F$232:$W$232,1,MATCH(J$8,Rates!$F$7:$W$7,0))</f>
        <v>0</v>
      </c>
      <c r="K214" s="493">
        <f>'Street Lights'!J12*Rates!L239*INDEX(Rates!$F$232:$W$232,1,MATCH(K$8,Rates!$F$7:$W$7,0))</f>
        <v>0</v>
      </c>
      <c r="L214" s="493">
        <f>'Street Lights'!K12*Rates!M239*INDEX(Rates!$F$232:$W$232,1,MATCH(L$8,Rates!$F$7:$W$7,0))</f>
        <v>0</v>
      </c>
      <c r="M214" s="493">
        <f>'Street Lights'!L12*Rates!N239*INDEX(Rates!$F$232:$W$232,1,MATCH(M$8,Rates!$F$7:$W$7,0))</f>
        <v>0</v>
      </c>
      <c r="N214" s="493">
        <f>'Street Lights'!M12*Rates!O239*INDEX(Rates!$F$232:$W$232,1,MATCH(N$8,Rates!$F$7:$W$7,0))</f>
        <v>0</v>
      </c>
      <c r="O214" s="493">
        <f>'Street Lights'!N12*Rates!P239*INDEX(Rates!$F$232:$W$232,1,MATCH(O$8,Rates!$F$7:$W$7,0))</f>
        <v>0</v>
      </c>
      <c r="P214" s="493">
        <f>'Street Lights'!O12*Rates!Q239*INDEX(Rates!$F$232:$W$232,1,MATCH(P$8,Rates!$F$7:$W$7,0))</f>
        <v>0</v>
      </c>
      <c r="Q214" s="493">
        <f>'Street Lights'!P12*Rates!R239*INDEX(Rates!$F$232:$W$232,1,MATCH(Q$8,Rates!$F$7:$W$7,0))</f>
        <v>0</v>
      </c>
      <c r="R214" s="493">
        <f>'Street Lights'!Q12*Rates!S239*INDEX(Rates!$F$232:$W$232,1,MATCH(R$8,Rates!$F$7:$W$7,0))</f>
        <v>0</v>
      </c>
      <c r="S214" s="493">
        <f>'Street Lights'!R12*Rates!T239*INDEX(Rates!$F$232:$W$232,1,MATCH(S$8,Rates!$F$7:$W$7,0))</f>
        <v>0</v>
      </c>
      <c r="T214" s="493">
        <f>'Street Lights'!S12*Rates!U239*INDEX(Rates!$F$232:$W$232,1,MATCH(T$8,Rates!$F$7:$W$7,0))</f>
        <v>0</v>
      </c>
      <c r="U214" s="493">
        <f>'Street Lights'!T12*Rates!V239*INDEX(Rates!$F$232:$W$232,1,MATCH(U$8,Rates!$F$7:$W$7,0))</f>
        <v>0</v>
      </c>
      <c r="V214" s="493">
        <f>'Street Lights'!U12*Rates!W239*INDEX(Rates!$F$232:$W$232,1,MATCH(V$8,Rates!$F$7:$W$7,0))</f>
        <v>0</v>
      </c>
      <c r="X214" s="16">
        <f>SUMIF($E$8:$V$8,'COS_RR (top sheet)'!$I$6,$E214:$V214)</f>
        <v>0</v>
      </c>
    </row>
    <row r="215" spans="1:24" ht="15.75" hidden="1" customHeight="1">
      <c r="A215" s="411"/>
      <c r="C215" s="236">
        <f>+MAX(C$10:C214)+1</f>
        <v>201</v>
      </c>
      <c r="D215" s="15" t="s">
        <v>1023</v>
      </c>
      <c r="E215" s="832"/>
      <c r="F215" s="832"/>
      <c r="G215" s="493">
        <f>'Street Lights'!F13*Rates!H240*INDEX(Rates!$F$232:$W$232,1,MATCH(G$8,Rates!$F$7:$W$7,0))</f>
        <v>0</v>
      </c>
      <c r="H215" s="493">
        <f>'Street Lights'!G13*Rates!I240*INDEX(Rates!$F$232:$W$232,1,MATCH(H$8,Rates!$F$7:$W$7,0))</f>
        <v>0</v>
      </c>
      <c r="I215" s="493">
        <f>'Street Lights'!H13*Rates!J240*INDEX(Rates!$F$232:$W$232,1,MATCH(I$8,Rates!$F$7:$W$7,0))</f>
        <v>0</v>
      </c>
      <c r="J215" s="493">
        <f>'Street Lights'!I13*Rates!K240*INDEX(Rates!$F$232:$W$232,1,MATCH(J$8,Rates!$F$7:$W$7,0))</f>
        <v>0</v>
      </c>
      <c r="K215" s="493">
        <f>'Street Lights'!J13*Rates!L240*INDEX(Rates!$F$232:$W$232,1,MATCH(K$8,Rates!$F$7:$W$7,0))</f>
        <v>0</v>
      </c>
      <c r="L215" s="493">
        <f>'Street Lights'!K13*Rates!M240*INDEX(Rates!$F$232:$W$232,1,MATCH(L$8,Rates!$F$7:$W$7,0))</f>
        <v>0</v>
      </c>
      <c r="M215" s="493">
        <f>'Street Lights'!L13*Rates!N240*INDEX(Rates!$F$232:$W$232,1,MATCH(M$8,Rates!$F$7:$W$7,0))</f>
        <v>0</v>
      </c>
      <c r="N215" s="493">
        <f>'Street Lights'!M13*Rates!O240*INDEX(Rates!$F$232:$W$232,1,MATCH(N$8,Rates!$F$7:$W$7,0))</f>
        <v>0</v>
      </c>
      <c r="O215" s="493">
        <f>'Street Lights'!N13*Rates!P240*INDEX(Rates!$F$232:$W$232,1,MATCH(O$8,Rates!$F$7:$W$7,0))</f>
        <v>0</v>
      </c>
      <c r="P215" s="493">
        <f>'Street Lights'!O13*Rates!Q240*INDEX(Rates!$F$232:$W$232,1,MATCH(P$8,Rates!$F$7:$W$7,0))</f>
        <v>0</v>
      </c>
      <c r="Q215" s="493">
        <f>'Street Lights'!P13*Rates!R240*INDEX(Rates!$F$232:$W$232,1,MATCH(Q$8,Rates!$F$7:$W$7,0))</f>
        <v>0</v>
      </c>
      <c r="R215" s="493">
        <f>'Street Lights'!Q13*Rates!S240*INDEX(Rates!$F$232:$W$232,1,MATCH(R$8,Rates!$F$7:$W$7,0))</f>
        <v>0</v>
      </c>
      <c r="S215" s="493">
        <f>'Street Lights'!R13*Rates!T240*INDEX(Rates!$F$232:$W$232,1,MATCH(S$8,Rates!$F$7:$W$7,0))</f>
        <v>0</v>
      </c>
      <c r="T215" s="493">
        <f>'Street Lights'!S13*Rates!U240*INDEX(Rates!$F$232:$W$232,1,MATCH(T$8,Rates!$F$7:$W$7,0))</f>
        <v>0</v>
      </c>
      <c r="U215" s="493">
        <f>'Street Lights'!T13*Rates!V240*INDEX(Rates!$F$232:$W$232,1,MATCH(U$8,Rates!$F$7:$W$7,0))</f>
        <v>0</v>
      </c>
      <c r="V215" s="493">
        <f>'Street Lights'!U13*Rates!W240*INDEX(Rates!$F$232:$W$232,1,MATCH(V$8,Rates!$F$7:$W$7,0))</f>
        <v>0</v>
      </c>
      <c r="X215" s="16">
        <f>SUMIF($E$8:$V$8,'COS_RR (top sheet)'!$I$6,$E215:$V215)</f>
        <v>0</v>
      </c>
    </row>
    <row r="216" spans="1:24" ht="15.75" hidden="1" customHeight="1">
      <c r="A216" s="411"/>
      <c r="C216" s="236">
        <f>+MAX(C$10:C215)+1</f>
        <v>202</v>
      </c>
      <c r="D216" s="15" t="s">
        <v>1024</v>
      </c>
      <c r="E216" s="832"/>
      <c r="F216" s="832"/>
      <c r="G216" s="493">
        <f>'Street Lights'!F14*Rates!H241*INDEX(Rates!$F$232:$W$232,1,MATCH(G$8,Rates!$F$7:$W$7,0))</f>
        <v>0</v>
      </c>
      <c r="H216" s="493">
        <f>'Street Lights'!G14*Rates!I241*INDEX(Rates!$F$232:$W$232,1,MATCH(H$8,Rates!$F$7:$W$7,0))</f>
        <v>0</v>
      </c>
      <c r="I216" s="493">
        <f>'Street Lights'!H14*Rates!J241*INDEX(Rates!$F$232:$W$232,1,MATCH(I$8,Rates!$F$7:$W$7,0))</f>
        <v>0</v>
      </c>
      <c r="J216" s="493">
        <f>'Street Lights'!I14*Rates!K241*INDEX(Rates!$F$232:$W$232,1,MATCH(J$8,Rates!$F$7:$W$7,0))</f>
        <v>0</v>
      </c>
      <c r="K216" s="493">
        <f>'Street Lights'!J14*Rates!L241*INDEX(Rates!$F$232:$W$232,1,MATCH(K$8,Rates!$F$7:$W$7,0))</f>
        <v>0</v>
      </c>
      <c r="L216" s="493">
        <f>'Street Lights'!K14*Rates!M241*INDEX(Rates!$F$232:$W$232,1,MATCH(L$8,Rates!$F$7:$W$7,0))</f>
        <v>0</v>
      </c>
      <c r="M216" s="493">
        <f>'Street Lights'!L14*Rates!N241*INDEX(Rates!$F$232:$W$232,1,MATCH(M$8,Rates!$F$7:$W$7,0))</f>
        <v>0</v>
      </c>
      <c r="N216" s="493">
        <f>'Street Lights'!M14*Rates!O241*INDEX(Rates!$F$232:$W$232,1,MATCH(N$8,Rates!$F$7:$W$7,0))</f>
        <v>0</v>
      </c>
      <c r="O216" s="493">
        <f>'Street Lights'!N14*Rates!P241*INDEX(Rates!$F$232:$W$232,1,MATCH(O$8,Rates!$F$7:$W$7,0))</f>
        <v>0</v>
      </c>
      <c r="P216" s="493">
        <f>'Street Lights'!O14*Rates!Q241*INDEX(Rates!$F$232:$W$232,1,MATCH(P$8,Rates!$F$7:$W$7,0))</f>
        <v>0</v>
      </c>
      <c r="Q216" s="493">
        <f>'Street Lights'!P14*Rates!R241*INDEX(Rates!$F$232:$W$232,1,MATCH(Q$8,Rates!$F$7:$W$7,0))</f>
        <v>0</v>
      </c>
      <c r="R216" s="493">
        <f>'Street Lights'!Q14*Rates!S241*INDEX(Rates!$F$232:$W$232,1,MATCH(R$8,Rates!$F$7:$W$7,0))</f>
        <v>0</v>
      </c>
      <c r="S216" s="493">
        <f>'Street Lights'!R14*Rates!T241*INDEX(Rates!$F$232:$W$232,1,MATCH(S$8,Rates!$F$7:$W$7,0))</f>
        <v>0</v>
      </c>
      <c r="T216" s="493">
        <f>'Street Lights'!S14*Rates!U241*INDEX(Rates!$F$232:$W$232,1,MATCH(T$8,Rates!$F$7:$W$7,0))</f>
        <v>0</v>
      </c>
      <c r="U216" s="493">
        <f>'Street Lights'!T14*Rates!V241*INDEX(Rates!$F$232:$W$232,1,MATCH(U$8,Rates!$F$7:$W$7,0))</f>
        <v>0</v>
      </c>
      <c r="V216" s="493">
        <f>'Street Lights'!U14*Rates!W241*INDEX(Rates!$F$232:$W$232,1,MATCH(V$8,Rates!$F$7:$W$7,0))</f>
        <v>0</v>
      </c>
      <c r="X216" s="16">
        <f>SUMIF($E$8:$V$8,'COS_RR (top sheet)'!$I$6,$E216:$V216)</f>
        <v>0</v>
      </c>
    </row>
    <row r="217" spans="1:24" ht="15.75" hidden="1" customHeight="1">
      <c r="A217" s="411"/>
      <c r="C217" s="236">
        <f>+MAX(C$10:C216)+1</f>
        <v>203</v>
      </c>
      <c r="D217" s="15" t="s">
        <v>1025</v>
      </c>
      <c r="E217" s="832"/>
      <c r="F217" s="832"/>
      <c r="G217" s="493">
        <f>'Street Lights'!F15*Rates!H242*INDEX(Rates!$F$232:$W$232,1,MATCH(G$8,Rates!$F$7:$W$7,0))</f>
        <v>0</v>
      </c>
      <c r="H217" s="493">
        <f>'Street Lights'!G15*Rates!I242*INDEX(Rates!$F$232:$W$232,1,MATCH(H$8,Rates!$F$7:$W$7,0))</f>
        <v>0</v>
      </c>
      <c r="I217" s="493">
        <f>'Street Lights'!H15*Rates!J242*INDEX(Rates!$F$232:$W$232,1,MATCH(I$8,Rates!$F$7:$W$7,0))</f>
        <v>0</v>
      </c>
      <c r="J217" s="493">
        <f>'Street Lights'!I15*Rates!K242*INDEX(Rates!$F$232:$W$232,1,MATCH(J$8,Rates!$F$7:$W$7,0))</f>
        <v>0</v>
      </c>
      <c r="K217" s="493">
        <f>'Street Lights'!J15*Rates!L242*INDEX(Rates!$F$232:$W$232,1,MATCH(K$8,Rates!$F$7:$W$7,0))</f>
        <v>0</v>
      </c>
      <c r="L217" s="493">
        <f>'Street Lights'!K15*Rates!M242*INDEX(Rates!$F$232:$W$232,1,MATCH(L$8,Rates!$F$7:$W$7,0))</f>
        <v>0</v>
      </c>
      <c r="M217" s="493">
        <f>'Street Lights'!L15*Rates!N242*INDEX(Rates!$F$232:$W$232,1,MATCH(M$8,Rates!$F$7:$W$7,0))</f>
        <v>0</v>
      </c>
      <c r="N217" s="493">
        <f>'Street Lights'!M15*Rates!O242*INDEX(Rates!$F$232:$W$232,1,MATCH(N$8,Rates!$F$7:$W$7,0))</f>
        <v>0</v>
      </c>
      <c r="O217" s="493">
        <f>'Street Lights'!N15*Rates!P242*INDEX(Rates!$F$232:$W$232,1,MATCH(O$8,Rates!$F$7:$W$7,0))</f>
        <v>0</v>
      </c>
      <c r="P217" s="493">
        <f>'Street Lights'!O15*Rates!Q242*INDEX(Rates!$F$232:$W$232,1,MATCH(P$8,Rates!$F$7:$W$7,0))</f>
        <v>0</v>
      </c>
      <c r="Q217" s="493">
        <f>'Street Lights'!P15*Rates!R242*INDEX(Rates!$F$232:$W$232,1,MATCH(Q$8,Rates!$F$7:$W$7,0))</f>
        <v>0</v>
      </c>
      <c r="R217" s="493">
        <f>'Street Lights'!Q15*Rates!S242*INDEX(Rates!$F$232:$W$232,1,MATCH(R$8,Rates!$F$7:$W$7,0))</f>
        <v>0</v>
      </c>
      <c r="S217" s="493">
        <f>'Street Lights'!R15*Rates!T242*INDEX(Rates!$F$232:$W$232,1,MATCH(S$8,Rates!$F$7:$W$7,0))</f>
        <v>0</v>
      </c>
      <c r="T217" s="493">
        <f>'Street Lights'!S15*Rates!U242*INDEX(Rates!$F$232:$W$232,1,MATCH(T$8,Rates!$F$7:$W$7,0))</f>
        <v>0</v>
      </c>
      <c r="U217" s="493">
        <f>'Street Lights'!T15*Rates!V242*INDEX(Rates!$F$232:$W$232,1,MATCH(U$8,Rates!$F$7:$W$7,0))</f>
        <v>0</v>
      </c>
      <c r="V217" s="493">
        <f>'Street Lights'!U15*Rates!W242*INDEX(Rates!$F$232:$W$232,1,MATCH(V$8,Rates!$F$7:$W$7,0))</f>
        <v>0</v>
      </c>
      <c r="X217" s="16">
        <f>SUMIF($E$8:$V$8,'COS_RR (top sheet)'!$I$6,$E217:$V217)</f>
        <v>0</v>
      </c>
    </row>
    <row r="218" spans="1:24" ht="15.75" hidden="1" customHeight="1">
      <c r="A218" s="411"/>
      <c r="C218" s="236">
        <f>+MAX(C$10:C217)+1</f>
        <v>204</v>
      </c>
      <c r="D218" s="15" t="s">
        <v>1026</v>
      </c>
      <c r="E218" s="832"/>
      <c r="F218" s="832"/>
      <c r="G218" s="493">
        <f>'Street Lights'!F16*Rates!H243*INDEX(Rates!$F$232:$W$232,1,MATCH(G$8,Rates!$F$7:$W$7,0))</f>
        <v>0</v>
      </c>
      <c r="H218" s="493">
        <f>'Street Lights'!G16*Rates!I243*INDEX(Rates!$F$232:$W$232,1,MATCH(H$8,Rates!$F$7:$W$7,0))</f>
        <v>0</v>
      </c>
      <c r="I218" s="493">
        <f>'Street Lights'!H16*Rates!J243*INDEX(Rates!$F$232:$W$232,1,MATCH(I$8,Rates!$F$7:$W$7,0))</f>
        <v>0</v>
      </c>
      <c r="J218" s="493">
        <f>'Street Lights'!I16*Rates!K243*INDEX(Rates!$F$232:$W$232,1,MATCH(J$8,Rates!$F$7:$W$7,0))</f>
        <v>0</v>
      </c>
      <c r="K218" s="493">
        <f>'Street Lights'!J16*Rates!L243*INDEX(Rates!$F$232:$W$232,1,MATCH(K$8,Rates!$F$7:$W$7,0))</f>
        <v>0</v>
      </c>
      <c r="L218" s="493">
        <f>'Street Lights'!K16*Rates!M243*INDEX(Rates!$F$232:$W$232,1,MATCH(L$8,Rates!$F$7:$W$7,0))</f>
        <v>0</v>
      </c>
      <c r="M218" s="493">
        <f>'Street Lights'!L16*Rates!N243*INDEX(Rates!$F$232:$W$232,1,MATCH(M$8,Rates!$F$7:$W$7,0))</f>
        <v>0</v>
      </c>
      <c r="N218" s="493">
        <f>'Street Lights'!M16*Rates!O243*INDEX(Rates!$F$232:$W$232,1,MATCH(N$8,Rates!$F$7:$W$7,0))</f>
        <v>0</v>
      </c>
      <c r="O218" s="493">
        <f>'Street Lights'!N16*Rates!P243*INDEX(Rates!$F$232:$W$232,1,MATCH(O$8,Rates!$F$7:$W$7,0))</f>
        <v>0</v>
      </c>
      <c r="P218" s="493">
        <f>'Street Lights'!O16*Rates!Q243*INDEX(Rates!$F$232:$W$232,1,MATCH(P$8,Rates!$F$7:$W$7,0))</f>
        <v>0</v>
      </c>
      <c r="Q218" s="493">
        <f>'Street Lights'!P16*Rates!R243*INDEX(Rates!$F$232:$W$232,1,MATCH(Q$8,Rates!$F$7:$W$7,0))</f>
        <v>0</v>
      </c>
      <c r="R218" s="493">
        <f>'Street Lights'!Q16*Rates!S243*INDEX(Rates!$F$232:$W$232,1,MATCH(R$8,Rates!$F$7:$W$7,0))</f>
        <v>0</v>
      </c>
      <c r="S218" s="493">
        <f>'Street Lights'!R16*Rates!T243*INDEX(Rates!$F$232:$W$232,1,MATCH(S$8,Rates!$F$7:$W$7,0))</f>
        <v>0</v>
      </c>
      <c r="T218" s="493">
        <f>'Street Lights'!S16*Rates!U243*INDEX(Rates!$F$232:$W$232,1,MATCH(T$8,Rates!$F$7:$W$7,0))</f>
        <v>0</v>
      </c>
      <c r="U218" s="493">
        <f>'Street Lights'!T16*Rates!V243*INDEX(Rates!$F$232:$W$232,1,MATCH(U$8,Rates!$F$7:$W$7,0))</f>
        <v>0</v>
      </c>
      <c r="V218" s="493">
        <f>'Street Lights'!U16*Rates!W243*INDEX(Rates!$F$232:$W$232,1,MATCH(V$8,Rates!$F$7:$W$7,0))</f>
        <v>0</v>
      </c>
      <c r="X218" s="16">
        <f>SUMIF($E$8:$V$8,'COS_RR (top sheet)'!$I$6,$E218:$V218)</f>
        <v>0</v>
      </c>
    </row>
    <row r="219" spans="1:24" ht="15.75" hidden="1" customHeight="1">
      <c r="A219" s="411"/>
      <c r="C219" s="236">
        <f>+MAX(C$10:C218)+1</f>
        <v>205</v>
      </c>
      <c r="D219" s="15" t="s">
        <v>1027</v>
      </c>
      <c r="E219" s="833"/>
      <c r="F219" s="833"/>
      <c r="G219" s="850">
        <f>'Street Lights'!F17*Rates!H244*INDEX(Rates!$F$232:$W$232,1,MATCH(G$8,Rates!$F$7:$W$7,0))</f>
        <v>0</v>
      </c>
      <c r="H219" s="850">
        <f>'Street Lights'!G17*Rates!I244*INDEX(Rates!$F$232:$W$232,1,MATCH(H$8,Rates!$F$7:$W$7,0))</f>
        <v>0</v>
      </c>
      <c r="I219" s="850">
        <f>'Street Lights'!H17*Rates!J244*INDEX(Rates!$F$232:$W$232,1,MATCH(I$8,Rates!$F$7:$W$7,0))</f>
        <v>0</v>
      </c>
      <c r="J219" s="850">
        <f>'Street Lights'!I17*Rates!K244*INDEX(Rates!$F$232:$W$232,1,MATCH(J$8,Rates!$F$7:$W$7,0))</f>
        <v>0</v>
      </c>
      <c r="K219" s="850">
        <f>'Street Lights'!J17*Rates!L244*INDEX(Rates!$F$232:$W$232,1,MATCH(K$8,Rates!$F$7:$W$7,0))</f>
        <v>0</v>
      </c>
      <c r="L219" s="850">
        <f>'Street Lights'!K17*Rates!M244*INDEX(Rates!$F$232:$W$232,1,MATCH(L$8,Rates!$F$7:$W$7,0))</f>
        <v>0</v>
      </c>
      <c r="M219" s="850">
        <f>'Street Lights'!L17*Rates!N244*INDEX(Rates!$F$232:$W$232,1,MATCH(M$8,Rates!$F$7:$W$7,0))</f>
        <v>0</v>
      </c>
      <c r="N219" s="850">
        <f>'Street Lights'!M17*Rates!O244*INDEX(Rates!$F$232:$W$232,1,MATCH(N$8,Rates!$F$7:$W$7,0))</f>
        <v>0</v>
      </c>
      <c r="O219" s="850">
        <f>'Street Lights'!N17*Rates!P244*INDEX(Rates!$F$232:$W$232,1,MATCH(O$8,Rates!$F$7:$W$7,0))</f>
        <v>0</v>
      </c>
      <c r="P219" s="850">
        <f>'Street Lights'!O17*Rates!Q244*INDEX(Rates!$F$232:$W$232,1,MATCH(P$8,Rates!$F$7:$W$7,0))</f>
        <v>0</v>
      </c>
      <c r="Q219" s="850">
        <f>'Street Lights'!P17*Rates!R244*INDEX(Rates!$F$232:$W$232,1,MATCH(Q$8,Rates!$F$7:$W$7,0))</f>
        <v>0</v>
      </c>
      <c r="R219" s="850">
        <f>'Street Lights'!Q17*Rates!S244*INDEX(Rates!$F$232:$W$232,1,MATCH(R$8,Rates!$F$7:$W$7,0))</f>
        <v>0</v>
      </c>
      <c r="S219" s="850">
        <f>'Street Lights'!R17*Rates!T244*INDEX(Rates!$F$232:$W$232,1,MATCH(S$8,Rates!$F$7:$W$7,0))</f>
        <v>0</v>
      </c>
      <c r="T219" s="850">
        <f>'Street Lights'!S17*Rates!U244*INDEX(Rates!$F$232:$W$232,1,MATCH(T$8,Rates!$F$7:$W$7,0))</f>
        <v>0</v>
      </c>
      <c r="U219" s="850">
        <f>'Street Lights'!T17*Rates!V244*INDEX(Rates!$F$232:$W$232,1,MATCH(U$8,Rates!$F$7:$W$7,0))</f>
        <v>0</v>
      </c>
      <c r="V219" s="850">
        <f>'Street Lights'!U17*Rates!W244*INDEX(Rates!$F$232:$W$232,1,MATCH(V$8,Rates!$F$7:$W$7,0))</f>
        <v>0</v>
      </c>
      <c r="W219" s="427"/>
      <c r="X219" s="277">
        <f>SUMIF($E$8:$V$8,'COS_RR (top sheet)'!$I$6,$E219:$V219)</f>
        <v>0</v>
      </c>
    </row>
    <row r="220" spans="1:24" ht="15.75" customHeight="1">
      <c r="A220" s="411"/>
      <c r="C220" s="236">
        <f>+MAX(C$10:C219)+1</f>
        <v>206</v>
      </c>
      <c r="D220" s="251" t="str">
        <f>"TOTAL "&amp;D205</f>
        <v>TOTAL STREET LIGHTS (6)</v>
      </c>
      <c r="E220" s="1329">
        <v>897158.06999999983</v>
      </c>
      <c r="F220" s="1329">
        <v>925232.77999999991</v>
      </c>
      <c r="G220" s="1329">
        <v>942947.56</v>
      </c>
      <c r="H220" s="1329">
        <v>950581.95000000007</v>
      </c>
      <c r="I220" s="1329">
        <v>953995.74</v>
      </c>
      <c r="J220" s="1329">
        <v>921118</v>
      </c>
      <c r="K220" s="1329">
        <v>950421</v>
      </c>
      <c r="L220" s="1329">
        <v>931540</v>
      </c>
      <c r="M220" s="256">
        <f>L220*(1+Cust_Esca!L47)</f>
        <v>931540</v>
      </c>
      <c r="N220" s="256">
        <f>M220*(1+Cust_Esca!M47)</f>
        <v>931540</v>
      </c>
      <c r="O220" s="256">
        <f>N220*(1+Cust_Esca!N47)</f>
        <v>931540</v>
      </c>
      <c r="P220" s="256">
        <f>O220*(1+Cust_Esca!O47)</f>
        <v>931540</v>
      </c>
      <c r="Q220" s="256">
        <f>P220*(1+Cust_Esca!P47)</f>
        <v>931540</v>
      </c>
      <c r="R220" s="256">
        <f>Q220*(1+Cust_Esca!Q47)</f>
        <v>931540</v>
      </c>
      <c r="S220" s="256">
        <f>R220*(1+Cust_Esca!R47)</f>
        <v>931540</v>
      </c>
      <c r="T220" s="256">
        <f>S220*(1+Cust_Esca!S47)</f>
        <v>931540</v>
      </c>
      <c r="U220" s="256">
        <f>T220*(1+Cust_Esca!T47)</f>
        <v>931540</v>
      </c>
      <c r="V220" s="256">
        <f>U220*(1+Cust_Esca!U47)</f>
        <v>931540</v>
      </c>
      <c r="X220" s="256">
        <f>SUMIF($E$8:$V$8,'COS_RR (top sheet)'!$I$6,$E220:$V220)</f>
        <v>931540</v>
      </c>
    </row>
    <row r="221" spans="1:24" ht="15.75" customHeight="1">
      <c r="A221" s="411"/>
      <c r="C221" s="236">
        <f>+MAX(C$10:C220)+1</f>
        <v>207</v>
      </c>
      <c r="E221" s="86"/>
      <c r="F221" s="86"/>
      <c r="G221" s="86"/>
    </row>
    <row r="222" spans="1:24" ht="15.75" customHeight="1">
      <c r="A222" s="411"/>
      <c r="C222" s="236">
        <f>+MAX(C$10:C221)+1</f>
        <v>208</v>
      </c>
      <c r="D222" s="751" t="s">
        <v>248</v>
      </c>
      <c r="E222" s="493"/>
      <c r="F222" s="493"/>
      <c r="G222" s="493"/>
      <c r="H222" s="493"/>
      <c r="I222" s="493"/>
      <c r="J222" s="493"/>
      <c r="K222" s="493"/>
      <c r="L222" s="493"/>
      <c r="M222" s="493"/>
      <c r="N222" s="493"/>
      <c r="O222" s="493"/>
      <c r="P222" s="493"/>
      <c r="Q222" s="493"/>
      <c r="R222" s="493"/>
      <c r="S222" s="493"/>
      <c r="T222" s="493"/>
      <c r="U222" s="493"/>
      <c r="V222" s="493"/>
      <c r="W222" s="493"/>
      <c r="X222" s="16"/>
    </row>
    <row r="223" spans="1:24" ht="15.75" customHeight="1">
      <c r="A223" s="411"/>
      <c r="C223" s="236">
        <f>+MAX(C$10:C222)+1</f>
        <v>209</v>
      </c>
      <c r="D223" s="273"/>
      <c r="E223" s="493"/>
      <c r="F223" s="493"/>
      <c r="G223" s="493"/>
      <c r="H223" s="493"/>
      <c r="I223" s="493"/>
      <c r="J223" s="493"/>
      <c r="K223" s="493"/>
      <c r="L223" s="493"/>
      <c r="M223" s="493"/>
      <c r="N223" s="493"/>
      <c r="O223" s="493"/>
      <c r="P223" s="493"/>
      <c r="Q223" s="493"/>
      <c r="R223" s="493"/>
      <c r="S223" s="493"/>
      <c r="T223" s="493"/>
      <c r="U223" s="493"/>
      <c r="V223" s="493"/>
      <c r="W223" s="493"/>
      <c r="X223" s="16"/>
    </row>
    <row r="224" spans="1:24" ht="15.75" customHeight="1">
      <c r="A224" s="411"/>
      <c r="C224" s="236">
        <f>+MAX(C$10:C223)+1</f>
        <v>210</v>
      </c>
      <c r="D224" s="251" t="str">
        <f>"TOTAL "&amp;D222</f>
        <v>TOTAL STREET LIGHTS (2)</v>
      </c>
      <c r="E224" s="1329">
        <v>22579.960000000003</v>
      </c>
      <c r="F224" s="1329">
        <v>21898.43</v>
      </c>
      <c r="G224" s="1329">
        <v>22610.06</v>
      </c>
      <c r="H224" s="256">
        <f>(((Cust_Detail!I123*Rates!I90*Rates!I88)+(Cust_Detail!I124*Rates!I95))+((Cust_Detail!I127*Rates!I105*Rates!I103)+Cust_Detail!I128*Rates!I110))*(1+'City Taxes'!$I$11)</f>
        <v>24098.990855741904</v>
      </c>
      <c r="I224" s="256">
        <f>(((Cust_Detail!J123*Rates!J90*Rates!J88)+(Cust_Detail!J124*Rates!J95))+((Cust_Detail!J127*Rates!J105*Rates!J103)+Cust_Detail!J128*Rates!J110))*(1+'City Taxes'!$I$11)</f>
        <v>25497.912826336025</v>
      </c>
      <c r="J224" s="256">
        <f>(((Cust_Detail!K123*Rates!K90*Rates!K88)+(Cust_Detail!K124*Rates!K95))+((Cust_Detail!K127*Rates!K105*Rates!K103)+Cust_Detail!K128*Rates!K110))*(1+'City Taxes'!$I$11)</f>
        <v>23961.962811111789</v>
      </c>
      <c r="K224" s="256">
        <f>(((Cust_Detail!L123*Rates!L90*Rates!L88)+(Cust_Detail!L124*Rates!L95))+((Cust_Detail!L127*Rates!L105*Rates!L103)+Cust_Detail!L128*Rates!L110))*(1+'City Taxes'!$I$11)</f>
        <v>27962.174384723989</v>
      </c>
      <c r="L224" s="256">
        <f>(((Cust_Detail!M123*Rates!M90*Rates!M88)+(Cust_Detail!M124*Rates!M95))+((Cust_Detail!M127*Rates!M105*Rates!M103)+Cust_Detail!M128*Rates!M110))*(1+'City Taxes'!$I$11)</f>
        <v>28615.861076429941</v>
      </c>
      <c r="M224" s="256">
        <f>(((Cust_Detail!N123*Rates!N90*Rates!N88)+(Cust_Detail!N124*Rates!N95))+((Cust_Detail!N127*Rates!N105*Rates!N103)+Cust_Detail!N128*Rates!N110))*(1+'City Taxes'!$I$11)</f>
        <v>28615.861076429941</v>
      </c>
      <c r="N224" s="256">
        <f>(((Cust_Detail!O123*Rates!O90*Rates!O88)+(Cust_Detail!O124*Rates!O95))+((Cust_Detail!O127*Rates!O105*Rates!O103)+Cust_Detail!O128*Rates!O110))*(1+'City Taxes'!$I$11)</f>
        <v>28615.861076429941</v>
      </c>
      <c r="O224" s="256">
        <f>(((Cust_Detail!P123*Rates!P90*Rates!P88)+(Cust_Detail!P124*Rates!P95))+((Cust_Detail!P127*Rates!P105*Rates!P103)+Cust_Detail!P128*Rates!P110))*(1+'City Taxes'!$I$11)</f>
        <v>28615.861076429941</v>
      </c>
      <c r="P224" s="256">
        <f>(((Cust_Detail!Q123*Rates!Q90*Rates!Q88)+(Cust_Detail!Q124*Rates!Q95))+((Cust_Detail!Q127*Rates!Q105*Rates!Q103)+Cust_Detail!Q128*Rates!Q110))*(1+'City Taxes'!$I$11)</f>
        <v>28615.861076429941</v>
      </c>
      <c r="Q224" s="256">
        <f>(((Cust_Detail!R123*Rates!R90*Rates!R88)+(Cust_Detail!R124*Rates!R95))+((Cust_Detail!R127*Rates!R105*Rates!R103)+Cust_Detail!R128*Rates!R110))*(1+'City Taxes'!$I$11)</f>
        <v>28615.861076429941</v>
      </c>
      <c r="R224" s="256">
        <f>(((Cust_Detail!S123*Rates!S90*Rates!S88)+(Cust_Detail!S124*Rates!S95))+((Cust_Detail!S127*Rates!S105*Rates!S103)+Cust_Detail!S128*Rates!S110))*(1+'City Taxes'!$I$11)</f>
        <v>28615.861076429941</v>
      </c>
      <c r="S224" s="256">
        <f>(((Cust_Detail!T123*Rates!T90*Rates!T88)+(Cust_Detail!T124*Rates!T95))+((Cust_Detail!T127*Rates!T105*Rates!T103)+Cust_Detail!T128*Rates!T110))*(1+'City Taxes'!$I$11)</f>
        <v>28615.861076429941</v>
      </c>
      <c r="T224" s="256">
        <f>(((Cust_Detail!U123*Rates!U90*Rates!U88)+(Cust_Detail!U124*Rates!U95))+((Cust_Detail!U127*Rates!U105*Rates!U103)+Cust_Detail!U128*Rates!U110))*(1+'City Taxes'!$I$11)</f>
        <v>28615.861076429941</v>
      </c>
      <c r="U224" s="256">
        <f>(((Cust_Detail!V123*Rates!V90*Rates!V88)+(Cust_Detail!V124*Rates!V95))+((Cust_Detail!V127*Rates!V105*Rates!V103)+Cust_Detail!V128*Rates!V110))*(1+'City Taxes'!$I$11)</f>
        <v>28615.861076429941</v>
      </c>
      <c r="V224" s="256">
        <f>(((Cust_Detail!W123*Rates!W90*Rates!W88)+(Cust_Detail!W124*Rates!W95))+((Cust_Detail!W127*Rates!W105*Rates!W103)+Cust_Detail!W128*Rates!W110))*(1+'City Taxes'!$I$11)</f>
        <v>28615.861076429941</v>
      </c>
      <c r="W224" s="851"/>
      <c r="X224" s="256">
        <f>SUMIF($E$8:$V$8,'COS_RR (top sheet)'!$I$6,$E224:$V224)</f>
        <v>28615.861076429941</v>
      </c>
    </row>
    <row r="225" spans="1:24" ht="15.75" customHeight="1">
      <c r="A225" s="411"/>
      <c r="C225" s="236">
        <f>+MAX(C$10:C224)+1</f>
        <v>211</v>
      </c>
      <c r="E225" s="86"/>
      <c r="F225" s="86"/>
      <c r="G225" s="86"/>
      <c r="H225" s="1589"/>
      <c r="I225" s="86"/>
      <c r="J225" s="86"/>
      <c r="K225" s="86"/>
      <c r="L225" s="86"/>
      <c r="M225" s="86"/>
      <c r="N225" s="86"/>
      <c r="O225" s="86"/>
      <c r="P225" s="86"/>
      <c r="Q225" s="86"/>
      <c r="R225" s="86"/>
      <c r="S225" s="86"/>
      <c r="T225" s="86"/>
      <c r="U225" s="86"/>
      <c r="V225" s="86"/>
      <c r="W225" s="86"/>
      <c r="X225" s="86"/>
    </row>
    <row r="226" spans="1:24" ht="15.75" customHeight="1">
      <c r="A226" s="411"/>
      <c r="C226" s="236">
        <f>+MAX(C$10:C225)+1</f>
        <v>212</v>
      </c>
      <c r="D226" s="751" t="s">
        <v>249</v>
      </c>
      <c r="E226" s="493"/>
      <c r="F226" s="493"/>
      <c r="G226" s="493"/>
      <c r="H226" s="493"/>
      <c r="I226" s="493"/>
      <c r="J226" s="493"/>
      <c r="K226" s="493"/>
      <c r="L226" s="493"/>
      <c r="M226" s="493"/>
      <c r="N226" s="493"/>
      <c r="O226" s="493"/>
      <c r="P226" s="493"/>
      <c r="Q226" s="493"/>
      <c r="R226" s="493"/>
      <c r="S226" s="493"/>
      <c r="T226" s="493"/>
      <c r="U226" s="493"/>
      <c r="V226" s="493"/>
      <c r="W226" s="493"/>
      <c r="X226" s="493"/>
    </row>
    <row r="227" spans="1:24" ht="15.75" customHeight="1">
      <c r="A227" s="411"/>
      <c r="C227" s="236">
        <f>+MAX(C$10:C226)+1</f>
        <v>213</v>
      </c>
      <c r="D227" s="273"/>
      <c r="E227" s="493"/>
      <c r="F227" s="493"/>
      <c r="G227" s="493"/>
      <c r="H227" s="493"/>
      <c r="I227" s="493"/>
      <c r="J227" s="493"/>
      <c r="K227" s="493"/>
      <c r="L227" s="493"/>
      <c r="M227" s="493"/>
      <c r="N227" s="493"/>
      <c r="O227" s="493"/>
      <c r="P227" s="493"/>
      <c r="Q227" s="493"/>
      <c r="R227" s="493"/>
      <c r="S227" s="493"/>
      <c r="T227" s="493"/>
      <c r="U227" s="493"/>
      <c r="V227" s="493"/>
      <c r="W227" s="493"/>
      <c r="X227" s="493"/>
    </row>
    <row r="228" spans="1:24" ht="15.75" customHeight="1">
      <c r="A228" s="411"/>
      <c r="C228" s="236">
        <f>+MAX(C$10:C227)+1</f>
        <v>214</v>
      </c>
      <c r="D228" s="251" t="str">
        <f>"TOTAL "&amp;D226</f>
        <v>TOTAL OTHER SALES (PA)</v>
      </c>
      <c r="E228" s="1329">
        <v>30032.469999999998</v>
      </c>
      <c r="F228" s="1329">
        <v>30889.210000000006</v>
      </c>
      <c r="G228" s="1329">
        <v>41737.399999999994</v>
      </c>
      <c r="H228" s="1329">
        <v>45359.34</v>
      </c>
      <c r="I228" s="1329">
        <v>50998.97</v>
      </c>
      <c r="J228" s="256">
        <f>I228*(1+Cust_Esca!I53)</f>
        <v>50998.97</v>
      </c>
      <c r="K228" s="256">
        <f>J228*(1+Cust_Esca!J53)</f>
        <v>50998.97</v>
      </c>
      <c r="L228" s="256">
        <f>K228*(1+Cust_Esca!K53)</f>
        <v>50998.97</v>
      </c>
      <c r="M228" s="256">
        <f>L228*(1+Cust_Esca!L53)</f>
        <v>50998.97</v>
      </c>
      <c r="N228" s="256">
        <f>M228*(1+Cust_Esca!M53)</f>
        <v>50998.97</v>
      </c>
      <c r="O228" s="256">
        <f>N228*(1+Cust_Esca!N53)</f>
        <v>50998.97</v>
      </c>
      <c r="P228" s="256">
        <f>O228*(1+Cust_Esca!O53)</f>
        <v>50998.97</v>
      </c>
      <c r="Q228" s="256">
        <f>P228*(1+Cust_Esca!P53)</f>
        <v>50998.97</v>
      </c>
      <c r="R228" s="256">
        <f>Q228*(1+Cust_Esca!Q53)</f>
        <v>50998.97</v>
      </c>
      <c r="S228" s="256">
        <f>R228*(1+Cust_Esca!R53)</f>
        <v>50998.97</v>
      </c>
      <c r="T228" s="256">
        <f>S228*(1+Cust_Esca!S53)</f>
        <v>50998.97</v>
      </c>
      <c r="U228" s="256">
        <f>T228*(1+Cust_Esca!T53)</f>
        <v>50998.97</v>
      </c>
      <c r="V228" s="256">
        <f>U228*(1+Cust_Esca!U53)</f>
        <v>50998.97</v>
      </c>
      <c r="W228" s="851"/>
      <c r="X228" s="256">
        <f>SUMIF($E$8:$V$8,'COS_RR (top sheet)'!$I$6,$E228:$V228)</f>
        <v>50998.97</v>
      </c>
    </row>
    <row r="229" spans="1:24" ht="15.75" customHeight="1">
      <c r="A229" s="411"/>
      <c r="C229" s="236">
        <f>+MAX(C$10:C228)+1</f>
        <v>215</v>
      </c>
      <c r="E229" s="86"/>
      <c r="F229" s="86"/>
      <c r="G229" s="86"/>
      <c r="H229" s="86"/>
      <c r="I229" s="86"/>
      <c r="J229" s="86"/>
      <c r="K229" s="86"/>
      <c r="L229" s="86"/>
      <c r="M229" s="86"/>
      <c r="N229" s="86"/>
      <c r="O229" s="86"/>
      <c r="P229" s="86"/>
      <c r="Q229" s="86"/>
      <c r="R229" s="86"/>
      <c r="S229" s="86"/>
      <c r="T229" s="86"/>
      <c r="U229" s="86"/>
      <c r="V229" s="86"/>
      <c r="W229" s="86"/>
    </row>
    <row r="230" spans="1:24" ht="15.75" customHeight="1">
      <c r="A230" s="411"/>
      <c r="C230" s="236">
        <f>+MAX(C$10:C229)+1</f>
        <v>216</v>
      </c>
      <c r="D230" s="751" t="s">
        <v>250</v>
      </c>
      <c r="E230" s="493"/>
      <c r="F230" s="493"/>
      <c r="G230" s="493"/>
      <c r="H230" s="493"/>
      <c r="I230" s="493"/>
      <c r="J230" s="493"/>
      <c r="K230" s="493"/>
      <c r="L230" s="493"/>
      <c r="M230" s="493"/>
      <c r="N230" s="493"/>
      <c r="O230" s="493"/>
      <c r="P230" s="493"/>
      <c r="Q230" s="493"/>
      <c r="R230" s="493"/>
      <c r="S230" s="493"/>
      <c r="T230" s="493"/>
      <c r="U230" s="493"/>
      <c r="V230" s="493"/>
      <c r="W230" s="493"/>
      <c r="X230" s="16"/>
    </row>
    <row r="231" spans="1:24" ht="15.75" customHeight="1">
      <c r="A231" s="411"/>
      <c r="C231" s="236">
        <f>+MAX(C$10:C230)+1</f>
        <v>217</v>
      </c>
      <c r="D231" s="273"/>
      <c r="E231" s="493"/>
      <c r="F231" s="493"/>
      <c r="G231" s="493"/>
      <c r="H231" s="493"/>
      <c r="I231" s="493"/>
      <c r="J231" s="493"/>
      <c r="K231" s="493"/>
      <c r="L231" s="493"/>
      <c r="M231" s="493"/>
      <c r="N231" s="493"/>
      <c r="O231" s="493"/>
      <c r="P231" s="493"/>
      <c r="Q231" s="493"/>
      <c r="R231" s="493"/>
      <c r="S231" s="493"/>
      <c r="T231" s="493"/>
      <c r="U231" s="493"/>
      <c r="V231" s="493"/>
      <c r="W231" s="493"/>
      <c r="X231" s="16"/>
    </row>
    <row r="232" spans="1:24" ht="15.75" customHeight="1">
      <c r="A232" s="411"/>
      <c r="C232" s="236">
        <f>+MAX(C$10:C231)+1</f>
        <v>218</v>
      </c>
      <c r="D232" s="251" t="str">
        <f>"TOTAL "&amp;D230</f>
        <v>TOTAL ALTERNATE POWER SALES</v>
      </c>
      <c r="E232" s="1329">
        <v>3955.1999999999994</v>
      </c>
      <c r="F232" s="1329">
        <v>3955.1999999999994</v>
      </c>
      <c r="G232" s="1329">
        <v>3955.1999999999994</v>
      </c>
      <c r="H232" s="1329">
        <v>988.80000000000007</v>
      </c>
      <c r="I232" s="1329">
        <v>0</v>
      </c>
      <c r="J232" s="256">
        <f>I232*(1+Cust_Esca!I56)</f>
        <v>0</v>
      </c>
      <c r="K232" s="256">
        <f>J232*(1+Cust_Esca!J56)</f>
        <v>0</v>
      </c>
      <c r="L232" s="256">
        <f>K232*(1+Cust_Esca!K56)</f>
        <v>0</v>
      </c>
      <c r="M232" s="256">
        <f>L232*(1+Cust_Esca!L56)</f>
        <v>0</v>
      </c>
      <c r="N232" s="256">
        <f>M232*(1+Cust_Esca!M56)</f>
        <v>0</v>
      </c>
      <c r="O232" s="256">
        <f>N232*(1+Cust_Esca!N56)</f>
        <v>0</v>
      </c>
      <c r="P232" s="256">
        <f>O232*(1+Cust_Esca!O56)</f>
        <v>0</v>
      </c>
      <c r="Q232" s="256">
        <f>P232*(1+Cust_Esca!P56)</f>
        <v>0</v>
      </c>
      <c r="R232" s="256">
        <f>Q232*(1+Cust_Esca!Q56)</f>
        <v>0</v>
      </c>
      <c r="S232" s="256">
        <f>R232*(1+Cust_Esca!R56)</f>
        <v>0</v>
      </c>
      <c r="T232" s="256">
        <f>S232*(1+Cust_Esca!S56)</f>
        <v>0</v>
      </c>
      <c r="U232" s="256">
        <f>T232*(1+Cust_Esca!T56)</f>
        <v>0</v>
      </c>
      <c r="V232" s="256">
        <f>U232*(1+Cust_Esca!U56)</f>
        <v>0</v>
      </c>
      <c r="W232" s="851"/>
      <c r="X232" s="256">
        <f>SUMIF($E$8:$V$8,'COS_RR (top sheet)'!$I$6,$E232:$V232)</f>
        <v>0</v>
      </c>
    </row>
    <row r="233" spans="1:24" ht="15.75" customHeight="1">
      <c r="A233" s="411"/>
      <c r="C233" s="236">
        <f>+MAX(C$10:C232)+1</f>
        <v>219</v>
      </c>
      <c r="W233" s="86"/>
    </row>
    <row r="234" spans="1:24" ht="15.75" customHeight="1">
      <c r="A234" s="411"/>
      <c r="C234" s="236">
        <f>+MAX(C$10:C233)+1</f>
        <v>220</v>
      </c>
      <c r="D234" s="251" t="s">
        <v>260</v>
      </c>
      <c r="E234" s="256">
        <f t="shared" ref="E234:V234" si="32">SUM(E21,E32,E55,E74,E89,E100,E134,E147,E164,E178,E191,E203,E220,E224,E228,E232,E110,E120)</f>
        <v>120464048.78022563</v>
      </c>
      <c r="F234" s="256">
        <f t="shared" si="32"/>
        <v>122988045.89903015</v>
      </c>
      <c r="G234" s="256">
        <f t="shared" si="32"/>
        <v>131070733.46533962</v>
      </c>
      <c r="H234" s="256">
        <f t="shared" si="32"/>
        <v>142599824.93690747</v>
      </c>
      <c r="I234" s="256">
        <f t="shared" si="32"/>
        <v>148914459.6335437</v>
      </c>
      <c r="J234" s="256">
        <f t="shared" si="32"/>
        <v>159571932.79850975</v>
      </c>
      <c r="K234" s="256">
        <f t="shared" si="32"/>
        <v>171259254.27856955</v>
      </c>
      <c r="L234" s="256">
        <f t="shared" si="32"/>
        <v>177888719.57935941</v>
      </c>
      <c r="M234" s="256">
        <f t="shared" si="32"/>
        <v>189151609.48191896</v>
      </c>
      <c r="N234" s="256">
        <f t="shared" si="32"/>
        <v>199018742.21355021</v>
      </c>
      <c r="O234" s="256">
        <f t="shared" si="32"/>
        <v>211701890.08328342</v>
      </c>
      <c r="P234" s="256">
        <f t="shared" si="32"/>
        <v>220681545.86055285</v>
      </c>
      <c r="Q234" s="256">
        <f t="shared" si="32"/>
        <v>227664139.09909728</v>
      </c>
      <c r="R234" s="256">
        <f t="shared" si="32"/>
        <v>233459727.39384863</v>
      </c>
      <c r="S234" s="256">
        <f t="shared" si="32"/>
        <v>240129647.17914683</v>
      </c>
      <c r="T234" s="256">
        <f t="shared" si="32"/>
        <v>247452592.35736865</v>
      </c>
      <c r="U234" s="256">
        <f t="shared" si="32"/>
        <v>252673695.65705958</v>
      </c>
      <c r="V234" s="256">
        <f t="shared" si="32"/>
        <v>258043141.54634467</v>
      </c>
      <c r="X234" s="256">
        <f>SUMIF($E$8:$V$8,'COS_RR (top sheet)'!$I$6,$E234:$V234)</f>
        <v>247452592.35736865</v>
      </c>
    </row>
    <row r="235" spans="1:24" ht="15.75" customHeight="1">
      <c r="A235" s="411"/>
      <c r="C235" s="236">
        <f>+MAX(C$10:C234)+1</f>
        <v>221</v>
      </c>
    </row>
    <row r="236" spans="1:24" ht="15.75" customHeight="1">
      <c r="A236" s="411"/>
      <c r="C236" s="236"/>
      <c r="D236" s="874" t="s">
        <v>1031</v>
      </c>
      <c r="E236" s="1359"/>
      <c r="F236" s="1359"/>
      <c r="G236" s="1359"/>
      <c r="H236" s="1359">
        <v>141995129.39999998</v>
      </c>
      <c r="I236" s="1359">
        <v>149648006.63</v>
      </c>
      <c r="J236" s="878"/>
      <c r="K236" s="878"/>
      <c r="L236" s="863">
        <v>178529299</v>
      </c>
      <c r="M236" s="3094"/>
      <c r="N236" s="3094"/>
      <c r="O236" s="3094"/>
    </row>
    <row r="237" spans="1:24" ht="15.75" customHeight="1">
      <c r="A237" s="411"/>
      <c r="C237" s="236"/>
      <c r="D237" s="876" t="s">
        <v>1032</v>
      </c>
      <c r="E237" s="918"/>
      <c r="F237" s="918"/>
      <c r="G237" s="918"/>
      <c r="H237" s="918">
        <f>H234-H236</f>
        <v>604695.53690749407</v>
      </c>
      <c r="I237" s="918">
        <f>I234-I236</f>
        <v>-733546.99645629525</v>
      </c>
      <c r="J237" s="427"/>
      <c r="K237" s="427"/>
      <c r="L237" s="4305">
        <f>L234-L236</f>
        <v>-640579.42064058781</v>
      </c>
      <c r="M237" s="3094"/>
      <c r="N237" s="3094"/>
      <c r="O237" s="3094"/>
    </row>
    <row r="238" spans="1:24" ht="15.75" customHeight="1">
      <c r="A238" s="411"/>
      <c r="C238" s="236"/>
      <c r="E238" s="1330"/>
      <c r="F238" s="1330"/>
      <c r="G238" s="1330"/>
      <c r="H238" s="1330">
        <f>H237/H236</f>
        <v>4.2585653427876955E-3</v>
      </c>
      <c r="I238" s="1330">
        <f>I237/I236</f>
        <v>-4.9018160213117118E-3</v>
      </c>
      <c r="J238" s="1330"/>
      <c r="K238" s="1330"/>
      <c r="L238" s="1330">
        <f>L237/L236</f>
        <v>-3.5880912781749499E-3</v>
      </c>
      <c r="M238" s="1330"/>
      <c r="N238" s="1330"/>
    </row>
    <row r="239" spans="1:24" ht="15.75" customHeight="1">
      <c r="A239" s="411"/>
      <c r="C239" s="236">
        <f>+MAX(C$10:C235)+1</f>
        <v>222</v>
      </c>
      <c r="D239" s="251" t="s">
        <v>591</v>
      </c>
      <c r="E239" s="256">
        <f t="shared" ref="E239:V239" si="33">E34</f>
        <v>33959356.568093218</v>
      </c>
      <c r="F239" s="256">
        <f t="shared" si="33"/>
        <v>34929826.182008974</v>
      </c>
      <c r="G239" s="256">
        <f t="shared" si="33"/>
        <v>36358222.987482011</v>
      </c>
      <c r="H239" s="256">
        <f t="shared" si="33"/>
        <v>36116971.762110069</v>
      </c>
      <c r="I239" s="256">
        <f t="shared" si="33"/>
        <v>39543452.574530959</v>
      </c>
      <c r="J239" s="256">
        <f t="shared" si="33"/>
        <v>40126635.651825801</v>
      </c>
      <c r="K239" s="256">
        <f t="shared" si="33"/>
        <v>41424780.989396721</v>
      </c>
      <c r="L239" s="256">
        <f t="shared" si="33"/>
        <v>43330607.45485945</v>
      </c>
      <c r="M239" s="256">
        <f t="shared" si="33"/>
        <v>43903694.812468678</v>
      </c>
      <c r="N239" s="256">
        <f t="shared" si="33"/>
        <v>44505412.902738735</v>
      </c>
      <c r="O239" s="256">
        <f t="shared" si="33"/>
        <v>45115820.061369091</v>
      </c>
      <c r="P239" s="256">
        <f t="shared" si="33"/>
        <v>45756173.883008912</v>
      </c>
      <c r="Q239" s="256">
        <f t="shared" si="33"/>
        <v>46364498.680134758</v>
      </c>
      <c r="R239" s="256">
        <f t="shared" si="33"/>
        <v>47003001.535892956</v>
      </c>
      <c r="S239" s="256">
        <f t="shared" si="33"/>
        <v>47651038.484054431</v>
      </c>
      <c r="T239" s="256">
        <f t="shared" si="33"/>
        <v>48330648.920275912</v>
      </c>
      <c r="U239" s="256">
        <f t="shared" si="33"/>
        <v>48976589.433980763</v>
      </c>
      <c r="V239" s="256">
        <f t="shared" si="33"/>
        <v>49654152.68996156</v>
      </c>
      <c r="X239" s="256">
        <f>SUMIF($E$8:$V$8,'COS_RR (top sheet)'!$I$6,$E239:$V239)</f>
        <v>48330648.920275912</v>
      </c>
    </row>
    <row r="240" spans="1:24" ht="15.75" customHeight="1">
      <c r="A240" s="411"/>
      <c r="C240" s="236">
        <f>+MAX(C$10:C239)+1</f>
        <v>223</v>
      </c>
      <c r="D240" s="251" t="s">
        <v>244</v>
      </c>
      <c r="E240" s="256">
        <f t="shared" ref="E240:V240" si="34">E76</f>
        <v>16546560.857903516</v>
      </c>
      <c r="F240" s="256">
        <f t="shared" si="34"/>
        <v>16943762.876383957</v>
      </c>
      <c r="G240" s="256">
        <f t="shared" si="34"/>
        <v>17865142.839101654</v>
      </c>
      <c r="H240" s="256">
        <f t="shared" si="34"/>
        <v>19511044.590033971</v>
      </c>
      <c r="I240" s="256">
        <f t="shared" si="34"/>
        <v>20898813.817650307</v>
      </c>
      <c r="J240" s="256">
        <f t="shared" si="34"/>
        <v>23028980.079743613</v>
      </c>
      <c r="K240" s="256">
        <f t="shared" si="34"/>
        <v>21928955.920960672</v>
      </c>
      <c r="L240" s="256">
        <f t="shared" si="34"/>
        <v>24640276.399856191</v>
      </c>
      <c r="M240" s="256">
        <f t="shared" si="34"/>
        <v>23928010.324111272</v>
      </c>
      <c r="N240" s="256">
        <f t="shared" si="34"/>
        <v>24173026.454235099</v>
      </c>
      <c r="O240" s="256">
        <f t="shared" si="34"/>
        <v>24418042.584358923</v>
      </c>
      <c r="P240" s="256">
        <f t="shared" si="34"/>
        <v>24663058.714482747</v>
      </c>
      <c r="Q240" s="256">
        <f t="shared" si="34"/>
        <v>24908074.844606567</v>
      </c>
      <c r="R240" s="256">
        <f t="shared" si="34"/>
        <v>25154771.820923492</v>
      </c>
      <c r="S240" s="256">
        <f t="shared" si="34"/>
        <v>25399787.951047327</v>
      </c>
      <c r="T240" s="256">
        <f t="shared" si="34"/>
        <v>25646484.927364241</v>
      </c>
      <c r="U240" s="256">
        <f t="shared" si="34"/>
        <v>25891501.057488065</v>
      </c>
      <c r="V240" s="256">
        <f t="shared" si="34"/>
        <v>26138198.033804983</v>
      </c>
      <c r="X240" s="256">
        <f>SUMIF($E$8:$V$8,'COS_RR (top sheet)'!$I$6,$E240:$V240)</f>
        <v>25646484.927364241</v>
      </c>
    </row>
    <row r="241" spans="1:24" ht="15.75" customHeight="1">
      <c r="A241" s="411"/>
      <c r="C241" s="236">
        <f>+MAX(C$10:C240)+1</f>
        <v>224</v>
      </c>
      <c r="D241" s="251" t="s">
        <v>261</v>
      </c>
      <c r="E241" s="256">
        <f t="shared" ref="E241:V241" si="35">SUM(E89,E100,E134,E147,E164,E178,E191,E203,E110,E120)</f>
        <v>69004405.654228911</v>
      </c>
      <c r="F241" s="256">
        <f t="shared" si="35"/>
        <v>70132481.220637217</v>
      </c>
      <c r="G241" s="256">
        <f t="shared" si="35"/>
        <v>75836117.418755934</v>
      </c>
      <c r="H241" s="256">
        <f t="shared" si="35"/>
        <v>85950779.503907681</v>
      </c>
      <c r="I241" s="256">
        <f t="shared" si="35"/>
        <v>87441700.618536085</v>
      </c>
      <c r="J241" s="256">
        <f t="shared" si="35"/>
        <v>95420238.134129256</v>
      </c>
      <c r="K241" s="256">
        <f t="shared" si="35"/>
        <v>106876135.2238275</v>
      </c>
      <c r="L241" s="256">
        <f t="shared" si="35"/>
        <v>108906680.89356728</v>
      </c>
      <c r="M241" s="256">
        <f t="shared" si="35"/>
        <v>120308749.51426256</v>
      </c>
      <c r="N241" s="256">
        <f t="shared" si="35"/>
        <v>129329148.02549994</v>
      </c>
      <c r="O241" s="256">
        <f t="shared" si="35"/>
        <v>141156872.60647896</v>
      </c>
      <c r="P241" s="256">
        <f t="shared" si="35"/>
        <v>149251158.43198472</v>
      </c>
      <c r="Q241" s="256">
        <f t="shared" si="35"/>
        <v>155380410.74327952</v>
      </c>
      <c r="R241" s="256">
        <f t="shared" si="35"/>
        <v>160290799.20595571</v>
      </c>
      <c r="S241" s="256">
        <f t="shared" si="35"/>
        <v>166067665.91296864</v>
      </c>
      <c r="T241" s="256">
        <f t="shared" si="35"/>
        <v>172464303.67865202</v>
      </c>
      <c r="U241" s="256">
        <f t="shared" si="35"/>
        <v>176794450.33451432</v>
      </c>
      <c r="V241" s="256">
        <f t="shared" si="35"/>
        <v>181239635.99150169</v>
      </c>
      <c r="X241" s="256">
        <f>SUMIF($E$8:$V$8,'COS_RR (top sheet)'!$I$6,$E241:$V241)</f>
        <v>172464303.67865202</v>
      </c>
    </row>
    <row r="242" spans="1:24" ht="15.75" customHeight="1">
      <c r="A242" s="411"/>
      <c r="C242" s="236">
        <f>+MAX(C$10:C241)+1</f>
        <v>225</v>
      </c>
      <c r="D242" s="251" t="s">
        <v>262</v>
      </c>
      <c r="E242" s="256">
        <f>SUM(E220,E224,E228,E232)</f>
        <v>953725.69999999972</v>
      </c>
      <c r="F242" s="256">
        <f t="shared" ref="F242:V242" si="36">SUM(F220,F224,F228,F232)</f>
        <v>981975.61999999988</v>
      </c>
      <c r="G242" s="256">
        <f t="shared" si="36"/>
        <v>1011250.2200000001</v>
      </c>
      <c r="H242" s="256">
        <f t="shared" si="36"/>
        <v>1021029.080855742</v>
      </c>
      <c r="I242" s="256">
        <f t="shared" si="36"/>
        <v>1030492.622826336</v>
      </c>
      <c r="J242" s="256">
        <f t="shared" si="36"/>
        <v>996078.93281111179</v>
      </c>
      <c r="K242" s="256">
        <f t="shared" si="36"/>
        <v>1029382.144384724</v>
      </c>
      <c r="L242" s="256">
        <f t="shared" si="36"/>
        <v>1011154.8310764299</v>
      </c>
      <c r="M242" s="256">
        <f t="shared" si="36"/>
        <v>1011154.8310764299</v>
      </c>
      <c r="N242" s="256">
        <f t="shared" si="36"/>
        <v>1011154.8310764299</v>
      </c>
      <c r="O242" s="256">
        <f t="shared" si="36"/>
        <v>1011154.8310764299</v>
      </c>
      <c r="P242" s="256">
        <f t="shared" si="36"/>
        <v>1011154.8310764299</v>
      </c>
      <c r="Q242" s="256">
        <f t="shared" si="36"/>
        <v>1011154.8310764299</v>
      </c>
      <c r="R242" s="256">
        <f t="shared" si="36"/>
        <v>1011154.8310764299</v>
      </c>
      <c r="S242" s="256">
        <f t="shared" si="36"/>
        <v>1011154.8310764299</v>
      </c>
      <c r="T242" s="256">
        <f t="shared" si="36"/>
        <v>1011154.8310764299</v>
      </c>
      <c r="U242" s="256">
        <f t="shared" si="36"/>
        <v>1011154.8310764299</v>
      </c>
      <c r="V242" s="256">
        <f t="shared" si="36"/>
        <v>1011154.8310764299</v>
      </c>
      <c r="X242" s="256">
        <f>SUMIF($E$8:$V$8,'COS_RR (top sheet)'!$I$6,$E242:$V242)</f>
        <v>1011154.8310764299</v>
      </c>
    </row>
    <row r="243" spans="1:24" ht="15.75" customHeight="1">
      <c r="A243" s="411"/>
      <c r="C243" s="236"/>
      <c r="H243" s="1590"/>
    </row>
    <row r="244" spans="1:24" ht="15.75" customHeight="1">
      <c r="A244" s="411"/>
      <c r="C244" s="236">
        <f>+MAX(C$10:C243)+1</f>
        <v>226</v>
      </c>
      <c r="D244" s="251" t="s">
        <v>2722</v>
      </c>
      <c r="E244" s="834">
        <f>E19+E30+E53+E72+E87+E98+E108+E118+E132+E145+E162+E176+E189+E201+E220+E224+E228+E232</f>
        <v>118721699.37207894</v>
      </c>
      <c r="F244" s="834">
        <f t="shared" ref="F244:V244" si="37">F19+F30+F53+F72+F87+F98+F108+F118+F132+F145+F162+F176+F189+F201+F220+F224+F228+F232</f>
        <v>121198894.76989384</v>
      </c>
      <c r="G244" s="834">
        <f t="shared" si="37"/>
        <v>129193212.18006216</v>
      </c>
      <c r="H244" s="834">
        <f t="shared" si="37"/>
        <v>140747341.42292482</v>
      </c>
      <c r="I244" s="834">
        <f t="shared" si="37"/>
        <v>146911908.01534221</v>
      </c>
      <c r="J244" s="834">
        <f t="shared" si="37"/>
        <v>157520959.24408665</v>
      </c>
      <c r="K244" s="834">
        <f t="shared" si="37"/>
        <v>169149211.80274835</v>
      </c>
      <c r="L244" s="834">
        <f t="shared" si="37"/>
        <v>175670075.93677622</v>
      </c>
      <c r="M244" s="834">
        <f t="shared" si="37"/>
        <v>186850532.74144316</v>
      </c>
      <c r="N244" s="834">
        <f t="shared" si="37"/>
        <v>196646451.34958699</v>
      </c>
      <c r="O244" s="834">
        <f t="shared" si="37"/>
        <v>209244049.73557687</v>
      </c>
      <c r="P244" s="834">
        <f t="shared" si="37"/>
        <v>218156275.86142552</v>
      </c>
      <c r="Q244" s="834">
        <f t="shared" si="37"/>
        <v>225080600.4694058</v>
      </c>
      <c r="R244" s="834">
        <f t="shared" si="37"/>
        <v>230824687.282105</v>
      </c>
      <c r="S244" s="834">
        <f t="shared" si="37"/>
        <v>237438506.1643745</v>
      </c>
      <c r="T244" s="834">
        <f t="shared" si="37"/>
        <v>244700262.90766296</v>
      </c>
      <c r="U244" s="834">
        <f t="shared" si="37"/>
        <v>249872444.1666899</v>
      </c>
      <c r="V244" s="834">
        <f t="shared" si="37"/>
        <v>255190424.72449267</v>
      </c>
      <c r="X244" s="256">
        <f>SUMIF($E$8:$V$8,'COS_RR (top sheet)'!$I$6,$E244:$V244)</f>
        <v>244700262.90766296</v>
      </c>
    </row>
    <row r="245" spans="1:24" ht="15.75" customHeight="1">
      <c r="A245" s="411"/>
      <c r="C245" s="236">
        <f>+MAX(C$10:C244)+1</f>
        <v>227</v>
      </c>
      <c r="D245" s="251" t="s">
        <v>2724</v>
      </c>
      <c r="E245" s="1880">
        <f>E20+E31+E54+E73+E88+E99+E109+E119+E133+E146+E163+E177+E190+E202+E221+E225+E229+E233</f>
        <v>1742349.4081466843</v>
      </c>
      <c r="F245" s="1880">
        <f t="shared" ref="F245:V245" si="38">F20+F31+F54+F73+F88+F99+F109+F119+F133+F146+F163+F177+F190+F202+F221+F225+F229+F233</f>
        <v>1789151.1291363505</v>
      </c>
      <c r="G245" s="1880">
        <f t="shared" si="38"/>
        <v>1877521.2852774705</v>
      </c>
      <c r="H245" s="1880">
        <f t="shared" si="38"/>
        <v>1852483.5139826501</v>
      </c>
      <c r="I245" s="1880">
        <f t="shared" si="38"/>
        <v>2002551.618201449</v>
      </c>
      <c r="J245" s="1880">
        <f t="shared" si="38"/>
        <v>2050973.5544231546</v>
      </c>
      <c r="K245" s="1880">
        <f t="shared" si="38"/>
        <v>2110042.4758212431</v>
      </c>
      <c r="L245" s="1880">
        <f>L20+L31+L54+L73+L88+L99+L109+L119+L133+L146+L163+L177+L190+L202+L221+L225+L229+L233</f>
        <v>2218643.6425831439</v>
      </c>
      <c r="M245" s="1880">
        <f t="shared" si="38"/>
        <v>2301076.7404757873</v>
      </c>
      <c r="N245" s="1880">
        <f t="shared" si="38"/>
        <v>2372290.8639632287</v>
      </c>
      <c r="O245" s="1880">
        <f t="shared" si="38"/>
        <v>2457840.3477065992</v>
      </c>
      <c r="P245" s="1880">
        <f t="shared" si="38"/>
        <v>2525269.9991273591</v>
      </c>
      <c r="Q245" s="1880">
        <f t="shared" si="38"/>
        <v>2583538.6296914546</v>
      </c>
      <c r="R245" s="1880">
        <f t="shared" si="38"/>
        <v>2635040.1117436071</v>
      </c>
      <c r="S245" s="1880">
        <f>S20+S31+S54+S73+S88+S99+S109+S119+S133+S146+S163+S177+S190+S202+S221+S225+S229+S233</f>
        <v>2691141.0147722997</v>
      </c>
      <c r="T245" s="1880">
        <f t="shared" si="38"/>
        <v>2752329.4497056683</v>
      </c>
      <c r="U245" s="1880">
        <f t="shared" si="38"/>
        <v>2801251.4903696906</v>
      </c>
      <c r="V245" s="1880">
        <f t="shared" si="38"/>
        <v>2852716.8218520083</v>
      </c>
      <c r="X245" s="256">
        <f>SUMIF($E$8:$V$8,'COS_RR (top sheet)'!$I$6,$E245:$V245)</f>
        <v>2752329.4497056683</v>
      </c>
    </row>
    <row r="246" spans="1:24" ht="15.75" customHeight="1">
      <c r="A246" s="411"/>
      <c r="C246" s="236">
        <f>+MAX(C$10:C245)+1</f>
        <v>228</v>
      </c>
      <c r="D246" s="251" t="s">
        <v>602</v>
      </c>
      <c r="E246" s="834">
        <f>E244+E245</f>
        <v>120464048.78022562</v>
      </c>
      <c r="F246" s="834">
        <f t="shared" ref="F246:V246" si="39">F244+F245</f>
        <v>122988045.89903019</v>
      </c>
      <c r="G246" s="834">
        <f t="shared" si="39"/>
        <v>131070733.46533963</v>
      </c>
      <c r="H246" s="834">
        <f t="shared" si="39"/>
        <v>142599824.93690747</v>
      </c>
      <c r="I246" s="834">
        <f t="shared" si="39"/>
        <v>148914459.63354364</v>
      </c>
      <c r="J246" s="834">
        <f t="shared" si="39"/>
        <v>159571932.79850981</v>
      </c>
      <c r="K246" s="834">
        <f t="shared" si="39"/>
        <v>171259254.27856961</v>
      </c>
      <c r="L246" s="834">
        <f t="shared" si="39"/>
        <v>177888719.57935935</v>
      </c>
      <c r="M246" s="834">
        <f t="shared" si="39"/>
        <v>189151609.48191893</v>
      </c>
      <c r="N246" s="834">
        <f t="shared" si="39"/>
        <v>199018742.21355021</v>
      </c>
      <c r="O246" s="834">
        <f t="shared" si="39"/>
        <v>211701890.08328345</v>
      </c>
      <c r="P246" s="834">
        <f t="shared" si="39"/>
        <v>220681545.86055288</v>
      </c>
      <c r="Q246" s="834">
        <f t="shared" si="39"/>
        <v>227664139.09909725</v>
      </c>
      <c r="R246" s="834">
        <f t="shared" si="39"/>
        <v>233459727.3938486</v>
      </c>
      <c r="S246" s="834">
        <f t="shared" si="39"/>
        <v>240129647.1791468</v>
      </c>
      <c r="T246" s="834">
        <f t="shared" si="39"/>
        <v>247452592.35736862</v>
      </c>
      <c r="U246" s="834">
        <f t="shared" si="39"/>
        <v>252673695.65705958</v>
      </c>
      <c r="V246" s="834">
        <f t="shared" si="39"/>
        <v>258043141.54634467</v>
      </c>
      <c r="X246" s="256">
        <f>SUMIF($E$8:$V$8,'COS_RR (top sheet)'!$I$6,$E246:$V246)</f>
        <v>247452592.35736862</v>
      </c>
    </row>
    <row r="247" spans="1:24" ht="15.75" customHeight="1">
      <c r="A247" s="411"/>
      <c r="C247" s="236"/>
    </row>
    <row r="248" spans="1:24" ht="15.75" customHeight="1">
      <c r="C248" s="236"/>
    </row>
    <row r="249" spans="1:24" ht="15.75" customHeight="1">
      <c r="C249" s="236">
        <f>+MAX(C$10:C248)+1</f>
        <v>229</v>
      </c>
      <c r="D249" s="4" t="s">
        <v>13</v>
      </c>
      <c r="E249" s="1590">
        <f>E21</f>
        <v>16001487.479397103</v>
      </c>
      <c r="F249" s="1590">
        <f t="shared" ref="F249:V249" si="40">F21</f>
        <v>16450714.638754865</v>
      </c>
      <c r="G249" s="1590">
        <f t="shared" si="40"/>
        <v>17111914.773367275</v>
      </c>
      <c r="H249" s="1590">
        <f t="shared" si="40"/>
        <v>17166552.616957277</v>
      </c>
      <c r="I249" s="1590">
        <f t="shared" si="40"/>
        <v>18904435.365022231</v>
      </c>
      <c r="J249" s="1590">
        <f t="shared" si="40"/>
        <v>19136168.310945936</v>
      </c>
      <c r="K249" s="1590">
        <f t="shared" si="40"/>
        <v>18472179.041710887</v>
      </c>
      <c r="L249" s="1590">
        <f t="shared" si="40"/>
        <v>19336694.712858964</v>
      </c>
      <c r="M249" s="1590">
        <f t="shared" si="40"/>
        <v>19590733.990148757</v>
      </c>
      <c r="N249" s="1590">
        <f t="shared" si="40"/>
        <v>19859268.915104184</v>
      </c>
      <c r="O249" s="1590">
        <f t="shared" si="40"/>
        <v>20131634.527240977</v>
      </c>
      <c r="P249" s="1590">
        <f t="shared" si="40"/>
        <v>20419170.625645872</v>
      </c>
      <c r="Q249" s="1590">
        <f t="shared" si="40"/>
        <v>20688838.406242598</v>
      </c>
      <c r="R249" s="1590">
        <f t="shared" si="40"/>
        <v>20973776.150653373</v>
      </c>
      <c r="S249" s="1590">
        <f t="shared" si="40"/>
        <v>21262939.872481164</v>
      </c>
      <c r="T249" s="1590">
        <f t="shared" si="40"/>
        <v>21568089.237511843</v>
      </c>
      <c r="U249" s="1590">
        <f t="shared" si="40"/>
        <v>21854545.06943683</v>
      </c>
      <c r="V249" s="1590">
        <f t="shared" si="40"/>
        <v>22156895.785932973</v>
      </c>
      <c r="X249" s="256">
        <f>SUMIF($E$8:$V$8,'COS_RR (top sheet)'!$I$6,$E249:$V249)</f>
        <v>21568089.237511843</v>
      </c>
    </row>
    <row r="250" spans="1:24" ht="15.75" customHeight="1">
      <c r="C250" s="236">
        <f>+MAX(C$10:C249)+1</f>
        <v>230</v>
      </c>
      <c r="D250" s="4" t="s">
        <v>14</v>
      </c>
      <c r="E250" s="1590">
        <f>E32</f>
        <v>17957869.088696115</v>
      </c>
      <c r="F250" s="1590">
        <f t="shared" ref="F250:V250" si="41">F32</f>
        <v>18479111.543254107</v>
      </c>
      <c r="G250" s="1590">
        <f t="shared" si="41"/>
        <v>19246308.214114737</v>
      </c>
      <c r="H250" s="1590">
        <f t="shared" si="41"/>
        <v>18950419.145152789</v>
      </c>
      <c r="I250" s="1590">
        <f t="shared" si="41"/>
        <v>20639017.209508725</v>
      </c>
      <c r="J250" s="1590">
        <f t="shared" si="41"/>
        <v>20990467.340879861</v>
      </c>
      <c r="K250" s="1590">
        <f t="shared" si="41"/>
        <v>22952601.947685834</v>
      </c>
      <c r="L250" s="1590">
        <f t="shared" si="41"/>
        <v>23993912.742000487</v>
      </c>
      <c r="M250" s="1590">
        <f t="shared" si="41"/>
        <v>24312960.822319925</v>
      </c>
      <c r="N250" s="1590">
        <f t="shared" si="41"/>
        <v>24646143.987634547</v>
      </c>
      <c r="O250" s="1590">
        <f t="shared" si="41"/>
        <v>24984185.534128118</v>
      </c>
      <c r="P250" s="1590">
        <f t="shared" si="41"/>
        <v>25337003.257363044</v>
      </c>
      <c r="Q250" s="1590">
        <f t="shared" si="41"/>
        <v>25675660.273892164</v>
      </c>
      <c r="R250" s="1590">
        <f t="shared" si="41"/>
        <v>26029225.385239583</v>
      </c>
      <c r="S250" s="1590">
        <f t="shared" si="41"/>
        <v>26388098.611573271</v>
      </c>
      <c r="T250" s="1590">
        <f t="shared" si="41"/>
        <v>26762559.682764068</v>
      </c>
      <c r="U250" s="1590">
        <f t="shared" si="41"/>
        <v>27122044.364543937</v>
      </c>
      <c r="V250" s="1590">
        <f t="shared" si="41"/>
        <v>27497256.904028587</v>
      </c>
      <c r="X250" s="256">
        <f>SUMIF($E$8:$V$8,'COS_RR (top sheet)'!$I$6,$E250:$V250)</f>
        <v>26762559.682764068</v>
      </c>
    </row>
    <row r="251" spans="1:24" ht="15.75" customHeight="1">
      <c r="C251" s="236">
        <f>+MAX(C$10:C250)+1</f>
        <v>231</v>
      </c>
      <c r="D251" s="4" t="s">
        <v>2777</v>
      </c>
      <c r="E251" s="1590">
        <f>E55</f>
        <v>181160.02317150935</v>
      </c>
      <c r="F251" s="1590">
        <f t="shared" ref="F251:V251" si="42">F55</f>
        <v>150881.49773370358</v>
      </c>
      <c r="G251" s="1590">
        <f t="shared" si="42"/>
        <v>157761.72009473317</v>
      </c>
      <c r="H251" s="1590">
        <f t="shared" si="42"/>
        <v>107371.76383914506</v>
      </c>
      <c r="I251" s="1590">
        <f t="shared" si="42"/>
        <v>119918.27523401253</v>
      </c>
      <c r="J251" s="1590">
        <f t="shared" si="42"/>
        <v>120111.37862680378</v>
      </c>
      <c r="K251" s="1590">
        <f t="shared" si="42"/>
        <v>114623.49474349229</v>
      </c>
      <c r="L251" s="1590">
        <f t="shared" si="42"/>
        <v>128449.55351881217</v>
      </c>
      <c r="M251" s="1590">
        <f t="shared" si="42"/>
        <v>125042.81266601148</v>
      </c>
      <c r="N251" s="1590">
        <f t="shared" si="42"/>
        <v>126237.85547780368</v>
      </c>
      <c r="O251" s="1590">
        <f t="shared" si="42"/>
        <v>127432.89828959585</v>
      </c>
      <c r="P251" s="1590">
        <f t="shared" si="42"/>
        <v>128627.94110138806</v>
      </c>
      <c r="Q251" s="1590">
        <f t="shared" si="42"/>
        <v>129822.98391318023</v>
      </c>
      <c r="R251" s="1590">
        <f t="shared" si="42"/>
        <v>131025.12496294543</v>
      </c>
      <c r="S251" s="1590">
        <f t="shared" si="42"/>
        <v>132220.16777473761</v>
      </c>
      <c r="T251" s="1590">
        <f t="shared" si="42"/>
        <v>133422.30882450278</v>
      </c>
      <c r="U251" s="1590">
        <f t="shared" si="42"/>
        <v>134617.35163629492</v>
      </c>
      <c r="V251" s="1590">
        <f t="shared" si="42"/>
        <v>135819.49268606011</v>
      </c>
      <c r="X251" s="256">
        <f>SUMIF($E$8:$V$8,'COS_RR (top sheet)'!$I$6,$E251:$V251)</f>
        <v>133422.30882450278</v>
      </c>
    </row>
    <row r="252" spans="1:24" ht="15.75" customHeight="1">
      <c r="C252" s="236">
        <f>+MAX(C$10:C251)+1</f>
        <v>232</v>
      </c>
      <c r="D252" s="4" t="s">
        <v>2778</v>
      </c>
      <c r="E252" s="1590">
        <f>E74</f>
        <v>16365400.834732007</v>
      </c>
      <c r="F252" s="1590">
        <f t="shared" ref="F252:V252" si="43">F74</f>
        <v>16792881.378650252</v>
      </c>
      <c r="G252" s="1590">
        <f t="shared" si="43"/>
        <v>17707381.119006921</v>
      </c>
      <c r="H252" s="1590">
        <f t="shared" si="43"/>
        <v>19403672.826194827</v>
      </c>
      <c r="I252" s="1590">
        <f t="shared" si="43"/>
        <v>20778895.542416293</v>
      </c>
      <c r="J252" s="1590">
        <f t="shared" si="43"/>
        <v>22908868.701116808</v>
      </c>
      <c r="K252" s="1590">
        <f t="shared" si="43"/>
        <v>21814332.42621718</v>
      </c>
      <c r="L252" s="1590">
        <f t="shared" si="43"/>
        <v>24511826.846337378</v>
      </c>
      <c r="M252" s="1590">
        <f t="shared" si="43"/>
        <v>23802967.511445262</v>
      </c>
      <c r="N252" s="1590">
        <f t="shared" si="43"/>
        <v>24046788.598757297</v>
      </c>
      <c r="O252" s="1590">
        <f t="shared" si="43"/>
        <v>24290609.686069328</v>
      </c>
      <c r="P252" s="1590">
        <f t="shared" si="43"/>
        <v>24534430.77338136</v>
      </c>
      <c r="Q252" s="1590">
        <f t="shared" si="43"/>
        <v>24778251.860693388</v>
      </c>
      <c r="R252" s="1590">
        <f t="shared" si="43"/>
        <v>25023746.695960548</v>
      </c>
      <c r="S252" s="1590">
        <f t="shared" si="43"/>
        <v>25267567.78327259</v>
      </c>
      <c r="T252" s="1590">
        <f t="shared" si="43"/>
        <v>25513062.618539739</v>
      </c>
      <c r="U252" s="1590">
        <f t="shared" si="43"/>
        <v>25756883.705851771</v>
      </c>
      <c r="V252" s="1590">
        <f t="shared" si="43"/>
        <v>26002378.541118924</v>
      </c>
      <c r="X252" s="256"/>
    </row>
    <row r="253" spans="1:24" ht="15.75" customHeight="1">
      <c r="C253" s="236">
        <f>+MAX(C$10:C252)+1</f>
        <v>233</v>
      </c>
      <c r="D253" s="4" t="s">
        <v>2779</v>
      </c>
      <c r="E253" s="1590">
        <f>E89+E120</f>
        <v>4802935.237362342</v>
      </c>
      <c r="F253" s="1590">
        <f t="shared" ref="F253:V253" si="44">F89+F120</f>
        <v>4930381.4517289344</v>
      </c>
      <c r="G253" s="1590">
        <f t="shared" si="44"/>
        <v>5113935.5609603217</v>
      </c>
      <c r="H253" s="1590">
        <f t="shared" si="44"/>
        <v>4725560.5448806863</v>
      </c>
      <c r="I253" s="1590">
        <f t="shared" si="44"/>
        <v>5115872.840530253</v>
      </c>
      <c r="J253" s="1590">
        <f t="shared" si="44"/>
        <v>5227059.1380780386</v>
      </c>
      <c r="K253" s="1590">
        <f t="shared" si="44"/>
        <v>5153647.285265848</v>
      </c>
      <c r="L253" s="1590">
        <f t="shared" si="44"/>
        <v>5525746.9312623013</v>
      </c>
      <c r="M253" s="1590">
        <f t="shared" si="44"/>
        <v>5629270.2527403878</v>
      </c>
      <c r="N253" s="1590">
        <f t="shared" si="44"/>
        <v>5733518.6684612539</v>
      </c>
      <c r="O253" s="1590">
        <f t="shared" si="44"/>
        <v>5838016.1836531507</v>
      </c>
      <c r="P253" s="1590">
        <f t="shared" si="44"/>
        <v>5943133.0394708626</v>
      </c>
      <c r="Q253" s="1590">
        <f t="shared" si="44"/>
        <v>6048544.1960220532</v>
      </c>
      <c r="R253" s="1590">
        <f t="shared" si="44"/>
        <v>6154658.1939055948</v>
      </c>
      <c r="S253" s="1590">
        <f t="shared" si="44"/>
        <v>6261232.2441678811</v>
      </c>
      <c r="T253" s="1590">
        <f t="shared" si="44"/>
        <v>6368055.3092198726</v>
      </c>
      <c r="U253" s="1590">
        <f t="shared" si="44"/>
        <v>6475586.2588644642</v>
      </c>
      <c r="V253" s="1590">
        <f t="shared" si="44"/>
        <v>6583352.4940176811</v>
      </c>
      <c r="X253" s="256">
        <f>SUMIF($E$8:$V$8,'COS_RR (top sheet)'!$I$6,$E253:$V253)</f>
        <v>6368055.3092198726</v>
      </c>
    </row>
    <row r="254" spans="1:24" ht="15.75" customHeight="1">
      <c r="C254" s="236">
        <f>+MAX(C$10:C253)+1</f>
        <v>234</v>
      </c>
      <c r="D254" s="4" t="s">
        <v>2780</v>
      </c>
      <c r="E254" s="1590">
        <f>E100+E110</f>
        <v>15294569.820828874</v>
      </c>
      <c r="F254" s="1590">
        <f t="shared" ref="F254:V254" si="45">F100+F110</f>
        <v>15729793.332410246</v>
      </c>
      <c r="G254" s="1590">
        <f t="shared" si="45"/>
        <v>16370228.296690673</v>
      </c>
      <c r="H254" s="1590">
        <f t="shared" si="45"/>
        <v>13574496.204319455</v>
      </c>
      <c r="I254" s="1590">
        <f t="shared" si="45"/>
        <v>14939137.70937879</v>
      </c>
      <c r="J254" s="1590">
        <f t="shared" si="45"/>
        <v>15445983.00985509</v>
      </c>
      <c r="K254" s="1590">
        <f t="shared" si="45"/>
        <v>16158443.361835815</v>
      </c>
      <c r="L254" s="1590">
        <f t="shared" si="45"/>
        <v>17770349.756580301</v>
      </c>
      <c r="M254" s="1590">
        <f t="shared" si="45"/>
        <v>18075506.084716599</v>
      </c>
      <c r="N254" s="1590">
        <f t="shared" si="45"/>
        <v>18381943.356784482</v>
      </c>
      <c r="O254" s="1590">
        <f t="shared" si="45"/>
        <v>18688784.338430934</v>
      </c>
      <c r="P254" s="1590">
        <f t="shared" si="45"/>
        <v>18996006.86224601</v>
      </c>
      <c r="Q254" s="1590">
        <f t="shared" si="45"/>
        <v>19303799.138346761</v>
      </c>
      <c r="R254" s="1590">
        <f t="shared" si="45"/>
        <v>19611923.169275559</v>
      </c>
      <c r="S254" s="1590">
        <f t="shared" si="45"/>
        <v>19920354.871217843</v>
      </c>
      <c r="T254" s="1590">
        <f t="shared" si="45"/>
        <v>20229189.858713653</v>
      </c>
      <c r="U254" s="1590">
        <f t="shared" si="45"/>
        <v>20538731.732198149</v>
      </c>
      <c r="V254" s="1590">
        <f t="shared" si="45"/>
        <v>20848626.391469259</v>
      </c>
      <c r="X254" s="256"/>
    </row>
    <row r="255" spans="1:24" ht="15.75" customHeight="1">
      <c r="C255" s="236">
        <f>+MAX(C$10:C254)+1</f>
        <v>235</v>
      </c>
      <c r="D255" s="4" t="s">
        <v>22</v>
      </c>
      <c r="E255" s="1590">
        <f>E134</f>
        <v>6739749.0251778923</v>
      </c>
      <c r="F255" s="1590">
        <f t="shared" ref="F255:V255" si="46">F134</f>
        <v>7088948.232932671</v>
      </c>
      <c r="G255" s="1590">
        <f t="shared" si="46"/>
        <v>7602921.0928314803</v>
      </c>
      <c r="H255" s="1590">
        <f t="shared" si="46"/>
        <v>7438935.5642427718</v>
      </c>
      <c r="I255" s="1590">
        <f t="shared" si="46"/>
        <v>8170856.7544106143</v>
      </c>
      <c r="J255" s="1590">
        <f t="shared" si="46"/>
        <v>6665093.6592082828</v>
      </c>
      <c r="K255" s="1590">
        <f t="shared" si="46"/>
        <v>8766062.0633190237</v>
      </c>
      <c r="L255" s="1590">
        <f t="shared" si="46"/>
        <v>8163610.1982922778</v>
      </c>
      <c r="M255" s="1590">
        <f t="shared" si="46"/>
        <v>8335845.0008362718</v>
      </c>
      <c r="N255" s="1590">
        <f t="shared" si="46"/>
        <v>8497706.0688136742</v>
      </c>
      <c r="O255" s="1590">
        <f t="shared" si="46"/>
        <v>8659567.1367910709</v>
      </c>
      <c r="P255" s="1590">
        <f t="shared" si="46"/>
        <v>8810232.7882560082</v>
      </c>
      <c r="Q255" s="1590">
        <f t="shared" si="46"/>
        <v>9064219.8067345899</v>
      </c>
      <c r="R255" s="1590">
        <f t="shared" si="46"/>
        <v>9226080.8747119885</v>
      </c>
      <c r="S255" s="1590">
        <f t="shared" si="46"/>
        <v>9387941.9426893871</v>
      </c>
      <c r="T255" s="1590">
        <f t="shared" si="46"/>
        <v>9618511.025710687</v>
      </c>
      <c r="U255" s="1590">
        <f t="shared" si="46"/>
        <v>9792594.6126329061</v>
      </c>
      <c r="V255" s="1590">
        <f t="shared" si="46"/>
        <v>10035386.214599004</v>
      </c>
      <c r="X255" s="256">
        <f>SUMIF($E$8:$V$8,'COS_RR (top sheet)'!$I$6,$E255:$V255)</f>
        <v>9618511.025710687</v>
      </c>
    </row>
    <row r="256" spans="1:24" ht="15.75" customHeight="1">
      <c r="C256" s="236">
        <f>+MAX(C$10:C255)+1</f>
        <v>236</v>
      </c>
      <c r="D256" s="4" t="s">
        <v>16</v>
      </c>
      <c r="E256" s="1590">
        <f>E147</f>
        <v>2463038.6119871973</v>
      </c>
      <c r="F256" s="1590">
        <f t="shared" ref="F256:V256" si="47">F147</f>
        <v>2606992.3860573615</v>
      </c>
      <c r="G256" s="1590">
        <f t="shared" si="47"/>
        <v>2818872.3998402874</v>
      </c>
      <c r="H256" s="1590">
        <f t="shared" si="47"/>
        <v>4674033.6654059952</v>
      </c>
      <c r="I256" s="1590">
        <f t="shared" si="47"/>
        <v>6364288.438032195</v>
      </c>
      <c r="J256" s="1590">
        <f t="shared" si="47"/>
        <v>9498049.0266200192</v>
      </c>
      <c r="K256" s="1590">
        <f t="shared" si="47"/>
        <v>10707815.790265961</v>
      </c>
      <c r="L256" s="1590">
        <f t="shared" si="47"/>
        <v>11291095.306770664</v>
      </c>
      <c r="M256" s="1590">
        <f t="shared" si="47"/>
        <v>13900883.269670105</v>
      </c>
      <c r="N256" s="1590">
        <f t="shared" si="47"/>
        <v>15792710.970608944</v>
      </c>
      <c r="O256" s="1590">
        <f t="shared" si="47"/>
        <v>18144557.128910389</v>
      </c>
      <c r="P256" s="1590">
        <f t="shared" si="47"/>
        <v>21044036.33062144</v>
      </c>
      <c r="Q256" s="1590">
        <f t="shared" si="47"/>
        <v>22698396.339451</v>
      </c>
      <c r="R256" s="1590">
        <f t="shared" si="47"/>
        <v>24333864.593313333</v>
      </c>
      <c r="S256" s="1590">
        <f t="shared" si="47"/>
        <v>25254172.77575345</v>
      </c>
      <c r="T256" s="1590">
        <f t="shared" si="47"/>
        <v>26277314.605053663</v>
      </c>
      <c r="U256" s="1590">
        <f t="shared" si="47"/>
        <v>27270888.7383647</v>
      </c>
      <c r="V256" s="1590">
        <f t="shared" si="47"/>
        <v>28070354.563841108</v>
      </c>
      <c r="X256" s="256">
        <f>SUMIF($E$8:$V$8,'COS_RR (top sheet)'!$I$6,$E256:$V256)</f>
        <v>26277314.605053663</v>
      </c>
    </row>
    <row r="257" spans="3:24" ht="15.75" customHeight="1">
      <c r="C257" s="236">
        <f>+MAX(C$10:C256)+1</f>
        <v>237</v>
      </c>
      <c r="D257" s="4" t="s">
        <v>17</v>
      </c>
      <c r="E257" s="1590">
        <f>E164</f>
        <v>34194548.869214557</v>
      </c>
      <c r="F257" s="1590">
        <f t="shared" ref="F257:V257" si="48">F164</f>
        <v>34194548.869214557</v>
      </c>
      <c r="G257" s="1590">
        <f t="shared" si="48"/>
        <v>37726273.430224337</v>
      </c>
      <c r="H257" s="1590">
        <f t="shared" si="48"/>
        <v>49739861.890301749</v>
      </c>
      <c r="I257" s="1590">
        <f t="shared" si="48"/>
        <v>45475796.683017857</v>
      </c>
      <c r="J257" s="1590">
        <f t="shared" si="48"/>
        <v>49337820.498001933</v>
      </c>
      <c r="K257" s="1590">
        <f t="shared" si="48"/>
        <v>57093260.338718966</v>
      </c>
      <c r="L257" s="1590">
        <f t="shared" si="48"/>
        <v>55537498.876017138</v>
      </c>
      <c r="M257" s="1590">
        <f t="shared" si="48"/>
        <v>60104173.471371785</v>
      </c>
      <c r="N257" s="1590">
        <f t="shared" si="48"/>
        <v>65147546.868791394</v>
      </c>
      <c r="O257" s="1590">
        <f t="shared" si="48"/>
        <v>71363776.061670348</v>
      </c>
      <c r="P257" s="1590">
        <f t="shared" si="48"/>
        <v>78181787.415281668</v>
      </c>
      <c r="Q257" s="1590">
        <f t="shared" si="48"/>
        <v>85840264.840078488</v>
      </c>
      <c r="R257" s="1590">
        <f t="shared" si="48"/>
        <v>89498629.959206671</v>
      </c>
      <c r="S257" s="1590">
        <f t="shared" si="48"/>
        <v>93721663.406699643</v>
      </c>
      <c r="T257" s="1590">
        <f t="shared" si="48"/>
        <v>98373786.094436437</v>
      </c>
      <c r="U257" s="1590">
        <f t="shared" si="48"/>
        <v>101080180.51590812</v>
      </c>
      <c r="V257" s="1590">
        <f t="shared" si="48"/>
        <v>104007935.46382579</v>
      </c>
      <c r="X257" s="256">
        <f>SUMIF($E$8:$V$8,'COS_RR (top sheet)'!$I$6,$E257:$V257)</f>
        <v>98373786.094436437</v>
      </c>
    </row>
    <row r="258" spans="3:24" ht="15.75" customHeight="1">
      <c r="C258" s="236">
        <f>+MAX(C$10:C257)+1</f>
        <v>238</v>
      </c>
      <c r="D258" s="4" t="s">
        <v>18</v>
      </c>
      <c r="E258" s="1590">
        <f>E178</f>
        <v>4587504.8475491498</v>
      </c>
      <c r="F258" s="1590">
        <f t="shared" ref="F258:V258" si="49">F178</f>
        <v>4874611.6163753029</v>
      </c>
      <c r="G258" s="1590">
        <f t="shared" si="49"/>
        <v>5297193.0077211577</v>
      </c>
      <c r="H258" s="1590">
        <f t="shared" si="49"/>
        <v>5661514.5857013334</v>
      </c>
      <c r="I258" s="1590">
        <f t="shared" si="49"/>
        <v>7021301.1308399132</v>
      </c>
      <c r="J258" s="1590">
        <f t="shared" si="49"/>
        <v>7919688.2089324063</v>
      </c>
      <c r="K258" s="1590">
        <f t="shared" si="49"/>
        <v>8984245.1695211921</v>
      </c>
      <c r="L258" s="1590">
        <f t="shared" si="49"/>
        <v>9530339.7387739029</v>
      </c>
      <c r="M258" s="1590">
        <f t="shared" si="49"/>
        <v>10038493.700286243</v>
      </c>
      <c r="N258" s="1590">
        <f t="shared" si="49"/>
        <v>10143145.318966553</v>
      </c>
      <c r="O258" s="1590">
        <f t="shared" si="49"/>
        <v>11284056.471414171</v>
      </c>
      <c r="P258" s="1590">
        <f t="shared" si="49"/>
        <v>11357718.262523709</v>
      </c>
      <c r="Q258" s="1590">
        <f t="shared" si="49"/>
        <v>11395969.178446734</v>
      </c>
      <c r="R258" s="1590">
        <f t="shared" si="49"/>
        <v>11452345.553469464</v>
      </c>
      <c r="S258" s="1590">
        <f t="shared" si="49"/>
        <v>11509003.810367303</v>
      </c>
      <c r="T258" s="1590">
        <f t="shared" si="49"/>
        <v>11584149.923444636</v>
      </c>
      <c r="U258" s="1590">
        <f t="shared" si="49"/>
        <v>11623171.614472874</v>
      </c>
      <c r="V258" s="1590">
        <f t="shared" si="49"/>
        <v>11680684.001675732</v>
      </c>
      <c r="X258" s="256">
        <f>SUMIF($E$8:$V$8,'COS_RR (top sheet)'!$I$6,$E258:$V258)</f>
        <v>11584149.923444636</v>
      </c>
    </row>
    <row r="259" spans="3:24" ht="15.75" customHeight="1">
      <c r="C259" s="236">
        <f>+MAX(C$10:C258)+1</f>
        <v>239</v>
      </c>
      <c r="D259" s="4" t="s">
        <v>19</v>
      </c>
      <c r="E259" s="1590">
        <f>E191</f>
        <v>518819.15565750073</v>
      </c>
      <c r="F259" s="1590">
        <f t="shared" ref="F259:V259" si="50">F191</f>
        <v>537747.58441883558</v>
      </c>
      <c r="G259" s="1590">
        <f t="shared" si="50"/>
        <v>565607.60943551874</v>
      </c>
      <c r="H259" s="1590">
        <f t="shared" si="50"/>
        <v>136377.04905569571</v>
      </c>
      <c r="I259" s="1590">
        <f t="shared" si="50"/>
        <v>12058.299905415506</v>
      </c>
      <c r="J259" s="1590">
        <f t="shared" si="50"/>
        <v>12058.299905415506</v>
      </c>
      <c r="K259" s="1590">
        <f t="shared" si="50"/>
        <v>12661.214900686282</v>
      </c>
      <c r="L259" s="1590">
        <f t="shared" si="50"/>
        <v>13296.862073089371</v>
      </c>
      <c r="M259" s="1590">
        <f t="shared" si="50"/>
        <v>13296.862073089371</v>
      </c>
      <c r="N259" s="1590">
        <f t="shared" si="50"/>
        <v>13296.862073089371</v>
      </c>
      <c r="O259" s="1590">
        <f t="shared" si="50"/>
        <v>13296.862073089371</v>
      </c>
      <c r="P259" s="1590">
        <f t="shared" si="50"/>
        <v>13296.862073089371</v>
      </c>
      <c r="Q259" s="1590">
        <f t="shared" si="50"/>
        <v>13296.862073089371</v>
      </c>
      <c r="R259" s="1590">
        <f t="shared" si="50"/>
        <v>13296.862073089371</v>
      </c>
      <c r="S259" s="1590">
        <f t="shared" si="50"/>
        <v>13296.862073089371</v>
      </c>
      <c r="T259" s="1590">
        <f t="shared" si="50"/>
        <v>13296.862073089371</v>
      </c>
      <c r="U259" s="1590">
        <f t="shared" si="50"/>
        <v>13296.862073089371</v>
      </c>
      <c r="V259" s="1590">
        <f t="shared" si="50"/>
        <v>13296.862073089371</v>
      </c>
      <c r="X259" s="256">
        <f>SUMIF($E$8:$V$8,'COS_RR (top sheet)'!$I$6,$E259:$V259)</f>
        <v>13296.862073089371</v>
      </c>
    </row>
    <row r="260" spans="3:24" ht="15.75" customHeight="1">
      <c r="C260" s="236">
        <f>+MAX(C$10:C259)+1</f>
        <v>240</v>
      </c>
      <c r="D260" s="4" t="s">
        <v>20</v>
      </c>
      <c r="E260" s="1590">
        <f>E203</f>
        <v>403240.08645140083</v>
      </c>
      <c r="F260" s="1590">
        <f t="shared" ref="F260:V260" si="51">F203</f>
        <v>169457.74749932083</v>
      </c>
      <c r="G260" s="1590">
        <f t="shared" si="51"/>
        <v>341086.02105217235</v>
      </c>
      <c r="H260" s="1590">
        <f t="shared" si="51"/>
        <v>0</v>
      </c>
      <c r="I260" s="1590">
        <f t="shared" si="51"/>
        <v>342388.76242103451</v>
      </c>
      <c r="J260" s="1590">
        <f t="shared" si="51"/>
        <v>1314486.2935280628</v>
      </c>
      <c r="K260" s="1590">
        <f t="shared" si="51"/>
        <v>0</v>
      </c>
      <c r="L260" s="1590">
        <f t="shared" si="51"/>
        <v>1074743.2237976061</v>
      </c>
      <c r="M260" s="1590">
        <f t="shared" si="51"/>
        <v>4211280.8725680821</v>
      </c>
      <c r="N260" s="1590">
        <f t="shared" si="51"/>
        <v>5619279.9110005591</v>
      </c>
      <c r="O260" s="1590">
        <f t="shared" si="51"/>
        <v>7164818.423535835</v>
      </c>
      <c r="P260" s="1590">
        <f t="shared" si="51"/>
        <v>4904946.8715119669</v>
      </c>
      <c r="Q260" s="1590">
        <f t="shared" si="51"/>
        <v>1015920.3821267956</v>
      </c>
      <c r="R260" s="1590">
        <f t="shared" si="51"/>
        <v>0</v>
      </c>
      <c r="S260" s="1590">
        <f t="shared" si="51"/>
        <v>0</v>
      </c>
      <c r="T260" s="1590">
        <f t="shared" si="51"/>
        <v>0</v>
      </c>
      <c r="U260" s="1590">
        <f t="shared" si="51"/>
        <v>0</v>
      </c>
      <c r="V260" s="1590">
        <f t="shared" si="51"/>
        <v>0</v>
      </c>
      <c r="X260" s="256"/>
    </row>
    <row r="261" spans="3:24" ht="15.75" customHeight="1">
      <c r="C261" s="236">
        <f>+MAX(C$10:C260)+1</f>
        <v>241</v>
      </c>
      <c r="D261" s="4" t="s">
        <v>4</v>
      </c>
      <c r="E261" s="1590">
        <f>E220</f>
        <v>897158.06999999983</v>
      </c>
      <c r="F261" s="1590">
        <f t="shared" ref="F261:V261" si="52">F220</f>
        <v>925232.77999999991</v>
      </c>
      <c r="G261" s="1590">
        <f t="shared" si="52"/>
        <v>942947.56</v>
      </c>
      <c r="H261" s="1590">
        <f t="shared" si="52"/>
        <v>950581.95000000007</v>
      </c>
      <c r="I261" s="1590">
        <f t="shared" si="52"/>
        <v>953995.74</v>
      </c>
      <c r="J261" s="1590">
        <f t="shared" si="52"/>
        <v>921118</v>
      </c>
      <c r="K261" s="1590">
        <f t="shared" si="52"/>
        <v>950421</v>
      </c>
      <c r="L261" s="1590">
        <f t="shared" si="52"/>
        <v>931540</v>
      </c>
      <c r="M261" s="1590">
        <f t="shared" si="52"/>
        <v>931540</v>
      </c>
      <c r="N261" s="1590">
        <f t="shared" si="52"/>
        <v>931540</v>
      </c>
      <c r="O261" s="1590">
        <f t="shared" si="52"/>
        <v>931540</v>
      </c>
      <c r="P261" s="1590">
        <f t="shared" si="52"/>
        <v>931540</v>
      </c>
      <c r="Q261" s="1590">
        <f t="shared" si="52"/>
        <v>931540</v>
      </c>
      <c r="R261" s="1590">
        <f t="shared" si="52"/>
        <v>931540</v>
      </c>
      <c r="S261" s="1590">
        <f t="shared" si="52"/>
        <v>931540</v>
      </c>
      <c r="T261" s="1590">
        <f t="shared" si="52"/>
        <v>931540</v>
      </c>
      <c r="U261" s="1590">
        <f t="shared" si="52"/>
        <v>931540</v>
      </c>
      <c r="V261" s="1590">
        <f t="shared" si="52"/>
        <v>931540</v>
      </c>
      <c r="X261" s="256">
        <f>SUMIF($E$8:$V$8,'COS_RR (top sheet)'!$I$6,$E261:$V261)</f>
        <v>931540</v>
      </c>
    </row>
    <row r="262" spans="3:24" ht="15.75" customHeight="1">
      <c r="C262" s="236">
        <f>+MAX(C$10:C261)+1</f>
        <v>242</v>
      </c>
      <c r="D262" s="4" t="s">
        <v>5</v>
      </c>
      <c r="E262" s="1590">
        <f>E224</f>
        <v>22579.960000000003</v>
      </c>
      <c r="F262" s="1590">
        <f t="shared" ref="F262:V262" si="53">F224</f>
        <v>21898.43</v>
      </c>
      <c r="G262" s="1590">
        <f t="shared" si="53"/>
        <v>22610.06</v>
      </c>
      <c r="H262" s="1590">
        <f t="shared" si="53"/>
        <v>24098.990855741904</v>
      </c>
      <c r="I262" s="1590">
        <f t="shared" si="53"/>
        <v>25497.912826336025</v>
      </c>
      <c r="J262" s="1590">
        <f t="shared" si="53"/>
        <v>23961.962811111789</v>
      </c>
      <c r="K262" s="1590">
        <f t="shared" si="53"/>
        <v>27962.174384723989</v>
      </c>
      <c r="L262" s="1590">
        <f t="shared" si="53"/>
        <v>28615.861076429941</v>
      </c>
      <c r="M262" s="1590">
        <f t="shared" si="53"/>
        <v>28615.861076429941</v>
      </c>
      <c r="N262" s="1590">
        <f t="shared" si="53"/>
        <v>28615.861076429941</v>
      </c>
      <c r="O262" s="1590">
        <f t="shared" si="53"/>
        <v>28615.861076429941</v>
      </c>
      <c r="P262" s="1590">
        <f t="shared" si="53"/>
        <v>28615.861076429941</v>
      </c>
      <c r="Q262" s="1590">
        <f t="shared" si="53"/>
        <v>28615.861076429941</v>
      </c>
      <c r="R262" s="1590">
        <f t="shared" si="53"/>
        <v>28615.861076429941</v>
      </c>
      <c r="S262" s="1590">
        <f t="shared" si="53"/>
        <v>28615.861076429941</v>
      </c>
      <c r="T262" s="1590">
        <f t="shared" si="53"/>
        <v>28615.861076429941</v>
      </c>
      <c r="U262" s="1590">
        <f t="shared" si="53"/>
        <v>28615.861076429941</v>
      </c>
      <c r="V262" s="1590">
        <f t="shared" si="53"/>
        <v>28615.861076429941</v>
      </c>
      <c r="X262" s="256">
        <f>SUMIF($E$8:$V$8,'COS_RR (top sheet)'!$I$6,$E262:$V262)</f>
        <v>28615.861076429941</v>
      </c>
    </row>
    <row r="263" spans="3:24" ht="15.75" customHeight="1">
      <c r="C263" s="236">
        <f>+MAX(C$10:C262)+1</f>
        <v>243</v>
      </c>
      <c r="D263" s="4" t="s">
        <v>42</v>
      </c>
      <c r="E263" s="1590">
        <f>E228</f>
        <v>30032.469999999998</v>
      </c>
      <c r="F263" s="1590">
        <f t="shared" ref="F263:V263" si="54">F228</f>
        <v>30889.210000000006</v>
      </c>
      <c r="G263" s="1590">
        <f t="shared" si="54"/>
        <v>41737.399999999994</v>
      </c>
      <c r="H263" s="1590">
        <f t="shared" si="54"/>
        <v>45359.34</v>
      </c>
      <c r="I263" s="1590">
        <f t="shared" si="54"/>
        <v>50998.97</v>
      </c>
      <c r="J263" s="1590">
        <f t="shared" si="54"/>
        <v>50998.97</v>
      </c>
      <c r="K263" s="1590">
        <f t="shared" si="54"/>
        <v>50998.97</v>
      </c>
      <c r="L263" s="1590">
        <f t="shared" si="54"/>
        <v>50998.97</v>
      </c>
      <c r="M263" s="1590">
        <f t="shared" si="54"/>
        <v>50998.97</v>
      </c>
      <c r="N263" s="1590">
        <f t="shared" si="54"/>
        <v>50998.97</v>
      </c>
      <c r="O263" s="1590">
        <f t="shared" si="54"/>
        <v>50998.97</v>
      </c>
      <c r="P263" s="1590">
        <f t="shared" si="54"/>
        <v>50998.97</v>
      </c>
      <c r="Q263" s="1590">
        <f t="shared" si="54"/>
        <v>50998.97</v>
      </c>
      <c r="R263" s="1590">
        <f t="shared" si="54"/>
        <v>50998.97</v>
      </c>
      <c r="S263" s="1590">
        <f t="shared" si="54"/>
        <v>50998.97</v>
      </c>
      <c r="T263" s="1590">
        <f t="shared" si="54"/>
        <v>50998.97</v>
      </c>
      <c r="U263" s="1590">
        <f t="shared" si="54"/>
        <v>50998.97</v>
      </c>
      <c r="V263" s="1590">
        <f t="shared" si="54"/>
        <v>50998.97</v>
      </c>
      <c r="X263" s="256"/>
    </row>
    <row r="264" spans="3:24" ht="15.75" customHeight="1">
      <c r="C264" s="236">
        <f>+MAX(C$10:C262)+1</f>
        <v>243</v>
      </c>
      <c r="D264" s="4" t="s">
        <v>66</v>
      </c>
      <c r="E264" s="1590">
        <f>E232</f>
        <v>3955.1999999999994</v>
      </c>
      <c r="F264" s="1590">
        <f t="shared" ref="F264:V264" si="55">F232</f>
        <v>3955.1999999999994</v>
      </c>
      <c r="G264" s="1590">
        <f t="shared" si="55"/>
        <v>3955.1999999999994</v>
      </c>
      <c r="H264" s="1590">
        <f t="shared" si="55"/>
        <v>988.80000000000007</v>
      </c>
      <c r="I264" s="1590">
        <f t="shared" si="55"/>
        <v>0</v>
      </c>
      <c r="J264" s="1590">
        <f t="shared" si="55"/>
        <v>0</v>
      </c>
      <c r="K264" s="1590">
        <f t="shared" si="55"/>
        <v>0</v>
      </c>
      <c r="L264" s="1590">
        <f t="shared" si="55"/>
        <v>0</v>
      </c>
      <c r="M264" s="1590">
        <f t="shared" si="55"/>
        <v>0</v>
      </c>
      <c r="N264" s="1590">
        <f t="shared" si="55"/>
        <v>0</v>
      </c>
      <c r="O264" s="1590">
        <f t="shared" si="55"/>
        <v>0</v>
      </c>
      <c r="P264" s="1590">
        <f t="shared" si="55"/>
        <v>0</v>
      </c>
      <c r="Q264" s="1590">
        <f t="shared" si="55"/>
        <v>0</v>
      </c>
      <c r="R264" s="1590">
        <f t="shared" si="55"/>
        <v>0</v>
      </c>
      <c r="S264" s="1590">
        <f t="shared" si="55"/>
        <v>0</v>
      </c>
      <c r="T264" s="1590">
        <f t="shared" si="55"/>
        <v>0</v>
      </c>
      <c r="U264" s="1590">
        <f t="shared" si="55"/>
        <v>0</v>
      </c>
      <c r="V264" s="1590">
        <f t="shared" si="55"/>
        <v>0</v>
      </c>
      <c r="X264" s="256">
        <f>SUMIF($E$8:$V$8,'COS_RR (top sheet)'!$I$6,$E264:$V264)</f>
        <v>0</v>
      </c>
    </row>
    <row r="265" spans="3:24" ht="15.75" customHeight="1">
      <c r="E265" s="2013">
        <f>SUM(E249:E264)</f>
        <v>120464048.78022563</v>
      </c>
      <c r="F265" s="2013">
        <f t="shared" ref="F265:V265" si="56">SUM(F249:F264)</f>
        <v>122988045.89903015</v>
      </c>
      <c r="G265" s="2013">
        <f t="shared" si="56"/>
        <v>131070733.46533962</v>
      </c>
      <c r="H265" s="2013">
        <f t="shared" si="56"/>
        <v>142599824.9369075</v>
      </c>
      <c r="I265" s="2013">
        <f t="shared" si="56"/>
        <v>148914459.63354367</v>
      </c>
      <c r="J265" s="2013">
        <f t="shared" si="56"/>
        <v>159571932.79850975</v>
      </c>
      <c r="K265" s="2013">
        <f t="shared" si="56"/>
        <v>171259254.27856958</v>
      </c>
      <c r="L265" s="2013">
        <f t="shared" si="56"/>
        <v>177888719.57935941</v>
      </c>
      <c r="M265" s="2013">
        <f t="shared" si="56"/>
        <v>189151609.48191893</v>
      </c>
      <c r="N265" s="2013">
        <f t="shared" si="56"/>
        <v>199018742.21355024</v>
      </c>
      <c r="O265" s="2013">
        <f t="shared" si="56"/>
        <v>211701890.08328345</v>
      </c>
      <c r="P265" s="2013">
        <f t="shared" si="56"/>
        <v>220681545.86055285</v>
      </c>
      <c r="Q265" s="2013">
        <f t="shared" si="56"/>
        <v>227664139.09909731</v>
      </c>
      <c r="R265" s="2013">
        <f t="shared" si="56"/>
        <v>233459727.39384863</v>
      </c>
      <c r="S265" s="2013">
        <f t="shared" si="56"/>
        <v>240129647.17914683</v>
      </c>
      <c r="T265" s="2013">
        <f t="shared" si="56"/>
        <v>247452592.35736865</v>
      </c>
      <c r="U265" s="2013">
        <f t="shared" si="56"/>
        <v>252673695.65705958</v>
      </c>
      <c r="V265" s="2013">
        <f t="shared" si="56"/>
        <v>258043141.54634464</v>
      </c>
      <c r="X265" s="256">
        <f>SUMIF($E$8:$V$8,'COS_RR (top sheet)'!$I$6,$E265:$V265)</f>
        <v>247452592.35736865</v>
      </c>
    </row>
    <row r="266" spans="3:24" ht="15.75" customHeight="1"/>
    <row r="267" spans="3:24" ht="15.75" customHeight="1"/>
    <row r="268" spans="3:24" ht="15.75" customHeight="1"/>
    <row r="269" spans="3:24" ht="15.75" customHeight="1"/>
    <row r="270" spans="3:24" ht="15.75" customHeight="1"/>
    <row r="271" spans="3:24" ht="15.75" customHeight="1"/>
    <row r="272" spans="3: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row r="1987" ht="15.75" customHeight="1"/>
    <row r="1988" ht="15.75" customHeight="1"/>
    <row r="1989" ht="15.75" customHeight="1"/>
    <row r="1990" ht="15.75" customHeight="1"/>
    <row r="1991" ht="15.75" customHeight="1"/>
    <row r="1992" ht="15.75" customHeight="1"/>
    <row r="1993" ht="15.75" customHeight="1"/>
    <row r="1994" ht="15.75" customHeight="1"/>
    <row r="1995" ht="15.75" customHeight="1"/>
    <row r="1996" ht="15.75" customHeight="1"/>
    <row r="1997" ht="15.75" customHeight="1"/>
    <row r="1998" ht="15.75" customHeight="1"/>
    <row r="1999" ht="15.75" customHeight="1"/>
    <row r="2000" ht="15.75" customHeight="1"/>
    <row r="2001" ht="15.75" customHeight="1"/>
    <row r="2002" ht="15.75" customHeight="1"/>
    <row r="2003" ht="15.75" customHeight="1"/>
    <row r="2004" ht="15.75" customHeight="1"/>
    <row r="2005" ht="15.75" customHeight="1"/>
    <row r="2006" ht="15.75" customHeight="1"/>
    <row r="2007" ht="15.75" customHeight="1"/>
    <row r="2008" ht="15.75" customHeight="1"/>
    <row r="2009" ht="15.75" customHeight="1"/>
    <row r="2010" ht="15.75" customHeight="1"/>
    <row r="2011" ht="15.75" customHeight="1"/>
    <row r="2012" ht="15.75" customHeight="1"/>
    <row r="2013" ht="15.75" customHeight="1"/>
    <row r="2014" ht="15.75" customHeight="1"/>
    <row r="2015" ht="15.75" customHeight="1"/>
    <row r="2016" ht="15.75" customHeight="1"/>
    <row r="2017" ht="15.75" customHeight="1"/>
    <row r="2018" ht="15.75" customHeight="1"/>
    <row r="2019" ht="15.75" customHeight="1"/>
    <row r="2020" ht="15.75" customHeight="1"/>
    <row r="2021" ht="15.75" customHeight="1"/>
    <row r="2022" ht="15.75" customHeight="1"/>
    <row r="2023" ht="15.75" customHeight="1"/>
    <row r="2024" ht="15.75" customHeight="1"/>
    <row r="2025" ht="15.75" customHeight="1"/>
    <row r="2026" ht="15.75" customHeight="1"/>
    <row r="2027" ht="15.75" customHeight="1"/>
    <row r="2028" ht="15.75" customHeight="1"/>
    <row r="2029" ht="15.75" customHeight="1"/>
    <row r="2030" ht="15.75" customHeight="1"/>
    <row r="2031" ht="15.75" customHeight="1"/>
    <row r="2032" ht="15.75" customHeight="1"/>
    <row r="2033" ht="15.75" customHeight="1"/>
    <row r="2034" ht="15.75" customHeight="1"/>
    <row r="2035" ht="15.75" customHeight="1"/>
    <row r="2036" ht="15.75" customHeight="1"/>
    <row r="2037" ht="15.75" customHeight="1"/>
    <row r="2038" ht="15.75" customHeight="1"/>
    <row r="2039" ht="15.75" customHeight="1"/>
    <row r="2040" ht="15.75" customHeight="1"/>
    <row r="2041" ht="15.75" customHeight="1"/>
    <row r="2042" ht="15.75" customHeight="1"/>
    <row r="2043" ht="15.75" customHeight="1"/>
    <row r="2044" ht="15.75" customHeight="1"/>
    <row r="2045" ht="15.75" customHeight="1"/>
    <row r="2046" ht="15.75" customHeight="1"/>
    <row r="2047" ht="15.75" customHeight="1"/>
    <row r="2048" ht="15.75" customHeight="1"/>
    <row r="2049" ht="15.75" customHeight="1"/>
    <row r="2050" ht="15.75" customHeight="1"/>
    <row r="2051" ht="15.75" customHeight="1"/>
    <row r="2052" ht="15.75" customHeight="1"/>
    <row r="2053" ht="15.75" customHeight="1"/>
    <row r="2054" ht="15.75" customHeight="1"/>
    <row r="2055" ht="15.75" customHeight="1"/>
    <row r="2056" ht="15.75" customHeight="1"/>
    <row r="2057" ht="15.75" customHeight="1"/>
    <row r="2058" ht="15.75" customHeight="1"/>
    <row r="2059" ht="15.75" customHeight="1"/>
    <row r="2060" ht="15.75" customHeight="1"/>
    <row r="2061" ht="15.75" customHeight="1"/>
    <row r="2062" ht="15.75" customHeight="1"/>
    <row r="2063" ht="15.75" customHeight="1"/>
    <row r="2064" ht="15.75" customHeight="1"/>
    <row r="2065" ht="15.75" customHeight="1"/>
    <row r="2066" ht="15.75" customHeight="1"/>
    <row r="2067" ht="15.75" customHeight="1"/>
    <row r="2068" ht="15.75" customHeight="1"/>
    <row r="2069" ht="15.75" customHeight="1"/>
    <row r="2070" ht="15.75" customHeight="1"/>
    <row r="2071" ht="15.75" customHeight="1"/>
    <row r="2072" ht="15.75" customHeight="1"/>
    <row r="2073" ht="15.75" customHeight="1"/>
    <row r="2074" ht="15.75" customHeight="1"/>
    <row r="2075" ht="15.75" customHeight="1"/>
    <row r="2076" ht="15.75" customHeight="1"/>
    <row r="2077" ht="15.75" customHeight="1"/>
    <row r="2078" ht="15.75" customHeight="1"/>
    <row r="2079" ht="15.75" customHeight="1"/>
    <row r="2080" ht="15.75" customHeight="1"/>
    <row r="2081" ht="15.75" customHeight="1"/>
    <row r="2082" ht="15.75" customHeight="1"/>
    <row r="2083" ht="15.75" customHeight="1"/>
    <row r="2084" ht="15.75" customHeight="1"/>
    <row r="2085" ht="15.75" customHeight="1"/>
    <row r="2086" ht="15.75" customHeight="1"/>
    <row r="2087" ht="15.75" customHeight="1"/>
    <row r="2088" ht="15.75" customHeight="1"/>
    <row r="2089" ht="15.75" customHeight="1"/>
    <row r="2090" ht="15.75" customHeight="1"/>
    <row r="2091" ht="15.75" customHeight="1"/>
    <row r="2092" ht="15.75" customHeight="1"/>
    <row r="2093" ht="15.75" customHeight="1"/>
    <row r="2094" ht="15.75" customHeight="1"/>
    <row r="2095" ht="15.75" customHeight="1"/>
    <row r="2096" ht="15.75" customHeight="1"/>
    <row r="2097" ht="15.75" customHeight="1"/>
    <row r="2098" ht="15.75" customHeight="1"/>
    <row r="2099" ht="15.75" customHeight="1"/>
    <row r="2100" ht="15.75" customHeight="1"/>
    <row r="2101" ht="15.75" customHeight="1"/>
    <row r="2102" ht="15.75" customHeight="1"/>
    <row r="2103" ht="15.75" customHeight="1"/>
    <row r="2104" ht="15.75" customHeight="1"/>
    <row r="2105" ht="15.75" customHeight="1"/>
    <row r="2106" ht="15.75" customHeight="1"/>
    <row r="2107" ht="15.75" customHeight="1"/>
    <row r="2108" ht="15.75" customHeight="1"/>
    <row r="2109" ht="15.75" customHeight="1"/>
    <row r="2110" ht="15.75" customHeight="1"/>
    <row r="2111" ht="15.75" customHeight="1"/>
    <row r="2112" ht="15.75" customHeight="1"/>
    <row r="2113" ht="15.75" customHeight="1"/>
    <row r="2114" ht="15.75" customHeight="1"/>
    <row r="2115" ht="15.75" customHeight="1"/>
    <row r="2116" ht="15.75" customHeight="1"/>
    <row r="2117" ht="15.75" customHeight="1"/>
    <row r="2118" ht="15.75" customHeight="1"/>
    <row r="2119" ht="15.75" customHeight="1"/>
    <row r="2120" ht="15.75" customHeight="1"/>
    <row r="2121" ht="15.75" customHeight="1"/>
    <row r="2122" ht="15.75" customHeight="1"/>
    <row r="2123" ht="15.75" customHeight="1"/>
    <row r="2124" ht="15.75" customHeight="1"/>
    <row r="2125" ht="15.75" customHeight="1"/>
    <row r="2126" ht="15.75" customHeight="1"/>
    <row r="2127" ht="15.75" customHeight="1"/>
    <row r="2128" ht="15.75" customHeight="1"/>
    <row r="2129" ht="15.75" customHeight="1"/>
    <row r="2130" ht="15.75" customHeight="1"/>
    <row r="2131" ht="15.75" customHeight="1"/>
    <row r="2132" ht="15.75" customHeight="1"/>
    <row r="2133" ht="15.75" customHeight="1"/>
    <row r="2134" ht="15.75" customHeight="1"/>
    <row r="2135" ht="15.75" customHeight="1"/>
    <row r="2136" ht="15.75" customHeight="1"/>
    <row r="2137" ht="15.75" customHeight="1"/>
    <row r="2138" ht="15.75" customHeight="1"/>
    <row r="2139" ht="15.75" customHeight="1"/>
    <row r="2140" ht="15.75" customHeight="1"/>
    <row r="2141" ht="15.75" customHeight="1"/>
    <row r="2142" ht="15.75" customHeight="1"/>
    <row r="2143" ht="15.75" customHeight="1"/>
    <row r="2144" ht="15.75" customHeight="1"/>
    <row r="2145" ht="15.75" customHeight="1"/>
    <row r="2146" ht="15.75" customHeight="1"/>
    <row r="2147" ht="15.75" customHeight="1"/>
    <row r="2148" ht="15.75" customHeight="1"/>
    <row r="2149" ht="15.75" customHeight="1"/>
    <row r="2150" ht="15.75" customHeight="1"/>
    <row r="2151" ht="15.75" customHeight="1"/>
    <row r="2152" ht="15.75" customHeight="1"/>
    <row r="2153" ht="15.75" customHeight="1"/>
    <row r="2154" ht="15.75" customHeight="1"/>
    <row r="2155" ht="15.75" customHeight="1"/>
    <row r="2156" ht="15.75" customHeight="1"/>
    <row r="2157" ht="15.75" customHeight="1"/>
    <row r="2158" ht="15.75" customHeight="1"/>
    <row r="2159" ht="15.75" customHeight="1"/>
    <row r="2160" ht="15.75" customHeight="1"/>
    <row r="2161" ht="15.75" customHeight="1"/>
    <row r="2162" ht="15.75" customHeight="1"/>
    <row r="2163" ht="15.75" customHeight="1"/>
    <row r="2164" ht="15.75" customHeight="1"/>
    <row r="2165" ht="15.75" customHeight="1"/>
    <row r="2166" ht="15.75" customHeight="1"/>
    <row r="2167" ht="15.75" customHeight="1"/>
    <row r="2168" ht="15.75" customHeight="1"/>
    <row r="2169" ht="15.75" customHeight="1"/>
    <row r="2170" ht="15.75" customHeight="1"/>
    <row r="2171" ht="15.75" customHeight="1"/>
    <row r="2172" ht="15.75" customHeight="1"/>
    <row r="2173" ht="15.75" customHeight="1"/>
    <row r="2174" ht="15.75" customHeight="1"/>
    <row r="2175" ht="15.75" customHeight="1"/>
    <row r="2176" ht="15.75" customHeight="1"/>
    <row r="2177" ht="15.75" customHeight="1"/>
    <row r="2178" ht="15.75" customHeight="1"/>
    <row r="2179" ht="15.75" customHeight="1"/>
    <row r="2180" ht="15.75" customHeight="1"/>
    <row r="2181" ht="15.75" customHeight="1"/>
    <row r="2182" ht="15.75" customHeight="1"/>
    <row r="2183" ht="15.75" customHeight="1"/>
    <row r="2184" ht="15.75" customHeight="1"/>
    <row r="2185" ht="15.75" customHeight="1"/>
    <row r="2186" ht="15.75" customHeight="1"/>
    <row r="2187" ht="15.75" customHeight="1"/>
    <row r="2188" ht="15.75" customHeight="1"/>
    <row r="2189" ht="15.75" customHeight="1"/>
    <row r="2190" ht="15.75" customHeight="1"/>
    <row r="2191" ht="15.75" customHeight="1"/>
    <row r="2192" ht="15.75" customHeight="1"/>
    <row r="2193" ht="15.75" customHeight="1"/>
    <row r="2194" ht="15.75" customHeight="1"/>
    <row r="2195" ht="15.75" customHeight="1"/>
    <row r="2196" ht="15.75" customHeight="1"/>
    <row r="2197" ht="15.75" customHeight="1"/>
    <row r="2198" ht="15.75" customHeight="1"/>
    <row r="2199" ht="15.75" customHeight="1"/>
    <row r="2200" ht="15.75" customHeight="1"/>
    <row r="2201" ht="15.75" customHeight="1"/>
    <row r="2202" ht="15.75" customHeight="1"/>
    <row r="2203" ht="15.75" customHeight="1"/>
    <row r="2204" ht="15.75" customHeight="1"/>
    <row r="2205" ht="15.75" customHeight="1"/>
    <row r="2206" ht="15.75" customHeight="1"/>
    <row r="2207" ht="15.75" customHeight="1"/>
    <row r="2208" ht="15.75" customHeight="1"/>
    <row r="2209" ht="15.75" customHeight="1"/>
    <row r="2210" ht="15.75" customHeight="1"/>
    <row r="2211" ht="15.75" customHeight="1"/>
    <row r="2212" ht="15.75" customHeight="1"/>
    <row r="2213" ht="15.75" customHeight="1"/>
    <row r="2214" ht="15.75" customHeight="1"/>
    <row r="2215" ht="15.75" customHeight="1"/>
    <row r="2216" ht="15.75" customHeight="1"/>
    <row r="2217" ht="15.75" customHeight="1"/>
    <row r="2218" ht="15.75" customHeight="1"/>
    <row r="2219" ht="15.75" customHeight="1"/>
    <row r="2220" ht="15.75" customHeight="1"/>
    <row r="2221" ht="15.75" customHeight="1"/>
    <row r="2222" ht="15.75" customHeight="1"/>
    <row r="2223" ht="15.75" customHeight="1"/>
    <row r="2224" ht="15.75" customHeight="1"/>
    <row r="2225" ht="15.75" customHeight="1"/>
    <row r="2226" ht="15.75" customHeight="1"/>
    <row r="2227" ht="15.75" customHeight="1"/>
    <row r="2228" ht="15.75" customHeight="1"/>
    <row r="2229" ht="15.75" customHeight="1"/>
    <row r="2230" ht="15.75" customHeight="1"/>
    <row r="2231" ht="15.75" customHeight="1"/>
    <row r="2232" ht="15.75" customHeight="1"/>
    <row r="2233" ht="15.75" customHeight="1"/>
    <row r="2234" ht="15.75" customHeight="1"/>
    <row r="2235" ht="15.75" customHeight="1"/>
    <row r="2236" ht="15.75" customHeight="1"/>
    <row r="2237" ht="15.75" customHeight="1"/>
    <row r="2238" ht="15.75" customHeight="1"/>
    <row r="2239" ht="15.75" customHeight="1"/>
    <row r="2240" ht="15.75" customHeight="1"/>
    <row r="2241" ht="15.75" customHeight="1"/>
    <row r="2242" ht="15.75" customHeight="1"/>
    <row r="2243" ht="15.75" customHeight="1"/>
    <row r="2244" ht="15.75" customHeight="1"/>
    <row r="2245" ht="15.75" customHeight="1"/>
    <row r="2246" ht="15.75" customHeight="1"/>
    <row r="2247" ht="15.75" customHeight="1"/>
    <row r="2248" ht="15.75" customHeight="1"/>
    <row r="2249" ht="15.75" customHeight="1"/>
    <row r="2250" ht="15.75" customHeight="1"/>
    <row r="2251" ht="15.75" customHeight="1"/>
    <row r="2252" ht="15.75" customHeight="1"/>
    <row r="2253" ht="15.75" customHeight="1"/>
    <row r="2254" ht="15.75" customHeight="1"/>
    <row r="2255" ht="15.75" customHeight="1"/>
    <row r="2256" ht="15.75" customHeight="1"/>
    <row r="2257" ht="15.75" customHeight="1"/>
    <row r="2258" ht="15.75" customHeight="1"/>
    <row r="2259" ht="15.75" customHeight="1"/>
    <row r="2260" ht="15.75" customHeight="1"/>
    <row r="2261" ht="15.75" customHeight="1"/>
    <row r="2262" ht="15.75" customHeight="1"/>
    <row r="2263" ht="15.75" customHeight="1"/>
    <row r="2264" ht="15.75" customHeight="1"/>
    <row r="2265" ht="15.75" customHeight="1"/>
    <row r="2266" ht="15.75" customHeight="1"/>
    <row r="2267" ht="15.75" customHeight="1"/>
    <row r="2268" ht="15.75" customHeight="1"/>
    <row r="2269" ht="15.75" customHeight="1"/>
    <row r="2270" ht="15.75" customHeight="1"/>
    <row r="2271" ht="15.75" customHeight="1"/>
    <row r="2272" ht="15.75" customHeight="1"/>
    <row r="2273" ht="15.75" customHeight="1"/>
    <row r="2274" ht="15.75" customHeight="1"/>
    <row r="2275" ht="15.75" customHeight="1"/>
    <row r="2276" ht="15.75" customHeight="1"/>
    <row r="2277" ht="15.75" customHeight="1"/>
    <row r="2278" ht="15.75" customHeight="1"/>
    <row r="2279" ht="15.75" customHeight="1"/>
    <row r="2280" ht="15.75" customHeight="1"/>
    <row r="2281" ht="15.75" customHeight="1"/>
    <row r="2282" ht="15.75" customHeight="1"/>
    <row r="2283" ht="15.75" customHeight="1"/>
    <row r="2284" ht="15.75" customHeight="1"/>
    <row r="2285" ht="15.75" customHeight="1"/>
    <row r="2286" ht="15.75" customHeight="1"/>
    <row r="2287" ht="15.75" customHeight="1"/>
    <row r="2288" ht="15.75" customHeight="1"/>
    <row r="2289" ht="15.75" customHeight="1"/>
    <row r="2290" ht="15.75" customHeight="1"/>
    <row r="2291" ht="15.75" customHeight="1"/>
    <row r="2292" ht="15.75" customHeight="1"/>
    <row r="2293" ht="15.75" customHeight="1"/>
    <row r="2294" ht="15.75" customHeight="1"/>
    <row r="2295" ht="15.75" customHeight="1"/>
    <row r="2296" ht="15.75" customHeight="1"/>
    <row r="2297" ht="15.75" customHeight="1"/>
    <row r="2298" ht="15.75" customHeight="1"/>
    <row r="2299" ht="15.75" customHeight="1"/>
    <row r="2300" ht="15.75" customHeight="1"/>
    <row r="2301" ht="15.75" customHeight="1"/>
    <row r="2302" ht="15.75" customHeight="1"/>
    <row r="2303" ht="15.75" customHeight="1"/>
    <row r="2304" ht="15.75" customHeight="1"/>
    <row r="2305" ht="15.75" customHeight="1"/>
    <row r="2306" ht="15.75" customHeight="1"/>
    <row r="2307" ht="15.75" customHeight="1"/>
    <row r="2308" ht="15.75" customHeight="1"/>
    <row r="2309" ht="15.75" customHeight="1"/>
    <row r="2310" ht="15.75" customHeight="1"/>
    <row r="2311" ht="15.75" customHeight="1"/>
    <row r="2312" ht="15.75" customHeight="1"/>
    <row r="2313" ht="15.75" customHeight="1"/>
    <row r="2314" ht="15.75" customHeight="1"/>
    <row r="2315" ht="15.75" customHeight="1"/>
    <row r="2316" ht="15.75" customHeight="1"/>
    <row r="2317" ht="15.75" customHeight="1"/>
    <row r="2318" ht="15.75" customHeight="1"/>
    <row r="2319" ht="15.75" customHeight="1"/>
    <row r="2320" ht="15.75" customHeight="1"/>
    <row r="2321" ht="15.75" customHeight="1"/>
    <row r="2322" ht="15.75" customHeight="1"/>
    <row r="2323" ht="15.75" customHeight="1"/>
    <row r="2324" ht="15.75" customHeight="1"/>
    <row r="2325" ht="15.75" customHeight="1"/>
    <row r="2326" ht="15.75" customHeight="1"/>
    <row r="2327" ht="15.75" customHeight="1"/>
    <row r="2328" ht="15.75" customHeight="1"/>
    <row r="2329" ht="15.75" customHeight="1"/>
    <row r="2330" ht="15.75" customHeight="1"/>
    <row r="2331" ht="15.75" customHeight="1"/>
    <row r="2332" ht="15.75" customHeight="1"/>
    <row r="2333" ht="15.75" customHeight="1"/>
    <row r="2334" ht="15.75" customHeight="1"/>
    <row r="2335" ht="15.75" customHeight="1"/>
    <row r="2336" ht="15.75" customHeight="1"/>
    <row r="2337" ht="15.75" customHeight="1"/>
    <row r="2338" ht="15.75" customHeight="1"/>
    <row r="2339" ht="15.75" customHeight="1"/>
    <row r="2340" ht="15.75" customHeight="1"/>
    <row r="2341" ht="15.75" customHeight="1"/>
    <row r="2342" ht="15.75" customHeight="1"/>
    <row r="2343" ht="15.75" customHeight="1"/>
    <row r="2344" ht="15.75" customHeight="1"/>
    <row r="2345" ht="15.75" customHeight="1"/>
    <row r="2346" ht="15.75" customHeight="1"/>
    <row r="2347" ht="15.75" customHeight="1"/>
    <row r="2348" ht="15.75" customHeight="1"/>
    <row r="2349" ht="15.75" customHeight="1"/>
    <row r="2350" ht="15.75" customHeight="1"/>
    <row r="2351" ht="15.75" customHeight="1"/>
    <row r="2352" ht="15.75" customHeight="1"/>
    <row r="2353" ht="15.75" customHeight="1"/>
    <row r="2354" ht="15.75" customHeight="1"/>
    <row r="2355" ht="15.75" customHeight="1"/>
    <row r="2356" ht="15.75" customHeight="1"/>
    <row r="2357" ht="15.75" customHeight="1"/>
    <row r="2358" ht="15.75" customHeight="1"/>
    <row r="2359" ht="15.75" customHeight="1"/>
    <row r="2360" ht="15.75" customHeight="1"/>
    <row r="2361" ht="15.75" customHeight="1"/>
    <row r="2362" ht="15.75" customHeight="1"/>
    <row r="2363" ht="15.75" customHeight="1"/>
    <row r="2364" ht="15.75" customHeight="1"/>
    <row r="2365" ht="15.75" customHeight="1"/>
    <row r="2366" ht="15.75" customHeight="1"/>
    <row r="2367" ht="15.75" customHeight="1"/>
    <row r="2368" ht="15.75" customHeight="1"/>
    <row r="2369" ht="15.75" customHeight="1"/>
    <row r="2370" ht="15.75" customHeight="1"/>
    <row r="2371" ht="15.75" customHeight="1"/>
    <row r="2372" ht="15.75" customHeight="1"/>
    <row r="2373" ht="15.75" customHeight="1"/>
    <row r="2374" ht="15.75" customHeight="1"/>
    <row r="2375" ht="15.75" customHeight="1"/>
    <row r="2376" ht="15.75" customHeight="1"/>
    <row r="2377" ht="15.75" customHeight="1"/>
    <row r="2378" ht="15.75" customHeight="1"/>
    <row r="2379" ht="15.75" customHeight="1"/>
    <row r="2380" ht="15.75" customHeight="1"/>
    <row r="2381" ht="15.75" customHeight="1"/>
    <row r="2382" ht="15.75" customHeight="1"/>
    <row r="2383" ht="15.75" customHeight="1"/>
    <row r="2384" ht="15.75" customHeight="1"/>
    <row r="2385" ht="15.75" customHeight="1"/>
    <row r="2386" ht="15.75" customHeight="1"/>
    <row r="2387" ht="15.75" customHeight="1"/>
    <row r="2388" ht="15.75" customHeight="1"/>
    <row r="2389" ht="15.75" customHeight="1"/>
    <row r="2390" ht="15.75" customHeight="1"/>
    <row r="2391" ht="15.75" customHeight="1"/>
    <row r="2392" ht="15.75" customHeight="1"/>
    <row r="2393" ht="15.75" customHeight="1"/>
    <row r="2394" ht="15.75" customHeight="1"/>
    <row r="2395" ht="15.75" customHeight="1"/>
    <row r="2396" ht="15.75" customHeight="1"/>
    <row r="2397" ht="15.75" customHeight="1"/>
    <row r="2398" ht="15.75" customHeight="1"/>
    <row r="2399" ht="15.75" customHeight="1"/>
    <row r="2400" ht="15.75" customHeight="1"/>
    <row r="2401" ht="15.75" customHeight="1"/>
    <row r="2402" ht="15.75" customHeight="1"/>
    <row r="2403" ht="15.75" customHeight="1"/>
    <row r="2404" ht="15.75" customHeight="1"/>
    <row r="2405" ht="15.75" customHeight="1"/>
    <row r="2406" ht="15.75" customHeight="1"/>
    <row r="2407" ht="15.75" customHeight="1"/>
    <row r="2408" ht="15.75" customHeight="1"/>
    <row r="2409" ht="15.75" customHeight="1"/>
    <row r="2410" ht="15.75" customHeight="1"/>
    <row r="2411" ht="15.75" customHeight="1"/>
    <row r="2412" ht="15.75" customHeight="1"/>
    <row r="2413" ht="15.75" customHeight="1"/>
    <row r="2414" ht="15.75" customHeight="1"/>
    <row r="2415" ht="15.75" customHeight="1"/>
    <row r="2416" ht="15.75" customHeight="1"/>
    <row r="2417" ht="15.75" customHeight="1"/>
    <row r="2418" ht="15.75" customHeight="1"/>
    <row r="2419" ht="15.75" customHeight="1"/>
    <row r="2420" ht="15.75" customHeight="1"/>
    <row r="2421" ht="15.75" customHeight="1"/>
    <row r="2422" ht="15.75" customHeight="1"/>
    <row r="2423" ht="15.75" customHeight="1"/>
    <row r="2424" ht="15.75" customHeight="1"/>
    <row r="2425" ht="15.75" customHeight="1"/>
    <row r="2426" ht="15.75" customHeight="1"/>
    <row r="2427" ht="15.75" customHeight="1"/>
    <row r="2428" ht="15.75" customHeight="1"/>
    <row r="2429" ht="15.75" customHeight="1"/>
    <row r="2430" ht="15.75" customHeight="1"/>
    <row r="2431" ht="15.75" customHeight="1"/>
    <row r="2432" ht="15.75" customHeight="1"/>
    <row r="2433" ht="15.75" customHeight="1"/>
    <row r="2434" ht="15.75" customHeight="1"/>
    <row r="2435" ht="15.75" customHeight="1"/>
    <row r="2436" ht="15.75" customHeight="1"/>
    <row r="2437" ht="15.75" customHeight="1"/>
    <row r="2438" ht="15.75" customHeight="1"/>
    <row r="2439" ht="15.75" customHeight="1"/>
    <row r="2440" ht="15.75" customHeight="1"/>
    <row r="2441" ht="15.75" customHeight="1"/>
    <row r="2442" ht="15.75" customHeight="1"/>
    <row r="2443" ht="15.75" customHeight="1"/>
    <row r="2444" ht="15.75" customHeight="1"/>
    <row r="2445" ht="15.75" customHeight="1"/>
    <row r="2446" ht="15.75" customHeight="1"/>
    <row r="2447" ht="15.75" customHeight="1"/>
    <row r="2448" ht="15.75" customHeight="1"/>
    <row r="2449" ht="15.75" customHeight="1"/>
    <row r="2450" ht="15.75" customHeight="1"/>
    <row r="2451" ht="15.75" customHeight="1"/>
    <row r="2452" ht="15.75" customHeight="1"/>
    <row r="2453" ht="15.75" customHeight="1"/>
    <row r="2454" ht="15.75" customHeight="1"/>
    <row r="2455" ht="15.75" customHeight="1"/>
    <row r="2456" ht="15.75" customHeight="1"/>
    <row r="2457" ht="15.75" customHeight="1"/>
    <row r="2458" ht="15.75" customHeight="1"/>
    <row r="2459" ht="15.75" customHeight="1"/>
    <row r="2460" ht="15.75" customHeight="1"/>
    <row r="2461" ht="15.75" customHeight="1"/>
    <row r="2462" ht="15.75" customHeight="1"/>
    <row r="2463" ht="15.75" customHeight="1"/>
    <row r="2464" ht="15.75" customHeight="1"/>
    <row r="2465" ht="15.75" customHeight="1"/>
    <row r="2466" ht="15.75" customHeight="1"/>
    <row r="2467" ht="15.75" customHeight="1"/>
    <row r="2468" ht="15.75" customHeight="1"/>
    <row r="2469" ht="15.75" customHeight="1"/>
    <row r="2470" ht="15.75" customHeight="1"/>
    <row r="2471" ht="15.75" customHeight="1"/>
    <row r="2472" ht="15.75" customHeight="1"/>
    <row r="2473" ht="15.75" customHeight="1"/>
    <row r="2474" ht="15.75" customHeight="1"/>
    <row r="2475" ht="15.75" customHeight="1"/>
    <row r="2476" ht="15.75" customHeight="1"/>
    <row r="2477" ht="15.75" customHeight="1"/>
    <row r="2478" ht="15.75" customHeight="1"/>
    <row r="2479" ht="15.75" customHeight="1"/>
    <row r="2480" ht="15.75" customHeight="1"/>
    <row r="2481" ht="15.75" customHeight="1"/>
    <row r="2482" ht="15.75" customHeight="1"/>
    <row r="2483" ht="15.75" customHeight="1"/>
    <row r="2484" ht="15.75" customHeight="1"/>
    <row r="2485" ht="15.75" customHeight="1"/>
    <row r="2486" ht="15.75" customHeight="1"/>
    <row r="2487" ht="15.75" customHeight="1"/>
    <row r="2488" ht="15.75" customHeight="1"/>
    <row r="2489" ht="15.75" customHeight="1"/>
    <row r="2490" ht="15.75" customHeight="1"/>
    <row r="2491" ht="15.75" customHeight="1"/>
    <row r="2492" ht="15.75" customHeight="1"/>
    <row r="2493" ht="15.75" customHeight="1"/>
    <row r="2494" ht="15.75" customHeight="1"/>
    <row r="2495" ht="15.75" customHeight="1"/>
    <row r="2496" ht="15.75" customHeight="1"/>
    <row r="2497" ht="15.75" customHeight="1"/>
    <row r="2498" ht="15.75" customHeight="1"/>
    <row r="2499" ht="15.75" customHeight="1"/>
    <row r="2500" ht="15.75" customHeight="1"/>
    <row r="2501" ht="15.75" customHeight="1"/>
    <row r="2502" ht="15.75" customHeight="1"/>
    <row r="2503" ht="15.75" customHeight="1"/>
    <row r="2504" ht="15.75" customHeight="1"/>
    <row r="2505" ht="15.75" customHeight="1"/>
    <row r="2506" ht="15.75" customHeight="1"/>
    <row r="2507" ht="15.75" customHeight="1"/>
    <row r="2508" ht="15.75" customHeight="1"/>
    <row r="2509" ht="15.75" customHeight="1"/>
    <row r="2510" ht="15.75" customHeight="1"/>
    <row r="2511" ht="15.75" customHeight="1"/>
    <row r="2512" ht="15.75" customHeight="1"/>
    <row r="2513" ht="15.75" customHeight="1"/>
    <row r="2514" ht="15.75" customHeight="1"/>
    <row r="2515" ht="15.75" customHeight="1"/>
    <row r="2516" ht="15.75" customHeight="1"/>
    <row r="2517" ht="15.75" customHeight="1"/>
    <row r="2518" ht="15.75" customHeight="1"/>
    <row r="2519" ht="15.75" customHeight="1"/>
    <row r="2520" ht="15.75" customHeight="1"/>
    <row r="2521" ht="15.75" customHeight="1"/>
    <row r="2522" ht="15.75" customHeight="1"/>
    <row r="2523" ht="15.75" customHeight="1"/>
    <row r="2524" ht="15.75" customHeight="1"/>
    <row r="2525" ht="15.75" customHeight="1"/>
    <row r="2526" ht="15.75" customHeight="1"/>
    <row r="2527" ht="15.75" customHeight="1"/>
    <row r="2528" ht="15.75" customHeight="1"/>
    <row r="2529" ht="15.75" customHeight="1"/>
    <row r="2530" ht="15.75" customHeight="1"/>
    <row r="2531" ht="15.75" customHeight="1"/>
    <row r="2532" ht="15.75" customHeight="1"/>
    <row r="2533" ht="15.75" customHeight="1"/>
    <row r="2534" ht="15.75" customHeight="1"/>
    <row r="2535" ht="15.75" customHeight="1"/>
    <row r="2536" ht="15.75" customHeight="1"/>
    <row r="2537" ht="15.75" customHeight="1"/>
    <row r="2538" ht="15.75" customHeight="1"/>
    <row r="2539" ht="15.75" customHeight="1"/>
    <row r="2540" ht="15.75" customHeight="1"/>
    <row r="2541" ht="15.75" customHeight="1"/>
    <row r="2542" ht="15.75" customHeight="1"/>
    <row r="2543" ht="15.75" customHeight="1"/>
    <row r="2544" ht="15.75" customHeight="1"/>
    <row r="2545" ht="15.75" customHeight="1"/>
    <row r="2546" ht="15.75" customHeight="1"/>
    <row r="2547" ht="15.75" customHeight="1"/>
    <row r="2548" ht="15.75" customHeight="1"/>
    <row r="2549" ht="15.75" customHeight="1"/>
    <row r="2550" ht="15.75" customHeight="1"/>
    <row r="2551" ht="15.75" customHeight="1"/>
    <row r="2552" ht="15.75" customHeight="1"/>
    <row r="2553" ht="15.75" customHeight="1"/>
    <row r="2554" ht="15.75" customHeight="1"/>
    <row r="2555" ht="15.75" customHeight="1"/>
    <row r="2556" ht="15.75" customHeight="1"/>
    <row r="2557" ht="15.75" customHeight="1"/>
    <row r="2558" ht="15.75" customHeight="1"/>
    <row r="2559" ht="15.75" customHeight="1"/>
    <row r="2560" ht="15.75" customHeight="1"/>
    <row r="2561" ht="15.75" customHeight="1"/>
    <row r="2562" ht="15.75" customHeight="1"/>
    <row r="2563" ht="15.75" customHeight="1"/>
    <row r="2564" ht="15.75" customHeight="1"/>
    <row r="2565" ht="15.75" customHeight="1"/>
    <row r="2566" ht="15.75" customHeight="1"/>
    <row r="2567" ht="15.75" customHeight="1"/>
    <row r="2568" ht="15.75" customHeight="1"/>
    <row r="2569" ht="15.75" customHeight="1"/>
    <row r="2570" ht="15.75" customHeight="1"/>
    <row r="2571" ht="15.75" customHeight="1"/>
    <row r="2572" ht="15.75" customHeight="1"/>
    <row r="2573" ht="15.75" customHeight="1"/>
    <row r="2574" ht="15.75" customHeight="1"/>
    <row r="2575" ht="15.75" customHeight="1"/>
    <row r="2576" ht="15.75" customHeight="1"/>
    <row r="2577" ht="15.75" customHeight="1"/>
    <row r="2578" ht="15.75" customHeight="1"/>
    <row r="2579" ht="15.75" customHeight="1"/>
    <row r="2580" ht="15.75" customHeight="1"/>
    <row r="2581" ht="15.75" customHeight="1"/>
    <row r="2582" ht="15.75" customHeight="1"/>
    <row r="2583" ht="15.75" customHeight="1"/>
    <row r="2584" ht="15.75" customHeight="1"/>
    <row r="2585" ht="15.75" customHeight="1"/>
    <row r="2586" ht="15.75" customHeight="1"/>
    <row r="2587" ht="15.75" customHeight="1"/>
    <row r="2588" ht="15.75" customHeight="1"/>
    <row r="2589" ht="15.75" customHeight="1"/>
    <row r="2590" ht="15.75" customHeight="1"/>
    <row r="2591" ht="15.75" customHeight="1"/>
    <row r="2592" ht="15.75" customHeight="1"/>
    <row r="2593" ht="15.75" customHeight="1"/>
    <row r="2594" ht="15.75" customHeight="1"/>
    <row r="2595" ht="15.75" customHeight="1"/>
    <row r="2596" ht="15.75" customHeight="1"/>
    <row r="2597" ht="15.75" customHeight="1"/>
    <row r="2598" ht="15.75" customHeight="1"/>
    <row r="2599" ht="15.75" customHeight="1"/>
    <row r="2600" ht="15.75" customHeight="1"/>
    <row r="2601" ht="15.75" customHeight="1"/>
    <row r="2602" ht="15.75" customHeight="1"/>
    <row r="2603" ht="15.75" customHeight="1"/>
    <row r="2604" ht="15.75" customHeight="1"/>
    <row r="2605" ht="15.75" customHeight="1"/>
    <row r="2606" ht="15.75" customHeight="1"/>
    <row r="2607" ht="15.75" customHeight="1"/>
    <row r="2608" ht="15.75" customHeight="1"/>
    <row r="2609" ht="15.75" customHeight="1"/>
    <row r="2610" ht="15.75" customHeight="1"/>
    <row r="2611" ht="15.75" customHeight="1"/>
    <row r="2612" ht="15.75" customHeight="1"/>
    <row r="2613" ht="15.75" customHeight="1"/>
    <row r="2614" ht="15.75" customHeight="1"/>
    <row r="2615" ht="15.75" customHeight="1"/>
    <row r="2616" ht="15.75" customHeight="1"/>
    <row r="2617" ht="15.75" customHeight="1"/>
    <row r="2618" ht="15.75" customHeight="1"/>
    <row r="2619" ht="15.75" customHeight="1"/>
    <row r="2620" ht="15.75" customHeight="1"/>
    <row r="2621" ht="15.75" customHeight="1"/>
    <row r="2622" ht="15.75" customHeight="1"/>
    <row r="2623" ht="15.75" customHeight="1"/>
    <row r="2624" ht="15.75" customHeight="1"/>
    <row r="2625" ht="15.75" customHeight="1"/>
    <row r="2626" ht="15.75" customHeight="1"/>
    <row r="2627" ht="15.75" customHeight="1"/>
    <row r="2628" ht="15.75" customHeight="1"/>
    <row r="2629" ht="15.75" customHeight="1"/>
    <row r="2630" ht="15.75" customHeight="1"/>
    <row r="2631" ht="15.75" customHeight="1"/>
    <row r="2632" ht="15.75" customHeight="1"/>
    <row r="2633" ht="15.75" customHeight="1"/>
    <row r="2634" ht="15.75" customHeight="1"/>
    <row r="2635" ht="15.75" customHeight="1"/>
    <row r="2636" ht="15.75" customHeight="1"/>
    <row r="2637" ht="15.75" customHeight="1"/>
    <row r="2638" ht="15.75" customHeight="1"/>
    <row r="2639" ht="15.75" customHeight="1"/>
    <row r="2640" ht="15.75" customHeight="1"/>
    <row r="2641" ht="15.75" customHeight="1"/>
    <row r="2642" ht="15.75" customHeight="1"/>
    <row r="2643" ht="15.75" customHeight="1"/>
    <row r="2644" ht="15.75" customHeight="1"/>
    <row r="2645" ht="15.75" customHeight="1"/>
    <row r="2646" ht="15.75" customHeight="1"/>
    <row r="2647" ht="15.75" customHeight="1"/>
    <row r="2648" ht="15.75" customHeight="1"/>
    <row r="2649" ht="15.75" customHeight="1"/>
    <row r="2650" ht="15.75" customHeight="1"/>
    <row r="2651" ht="15.75" customHeight="1"/>
    <row r="2652" ht="15.75" customHeight="1"/>
    <row r="2653" ht="15.75" customHeight="1"/>
    <row r="2654" ht="15.75" customHeight="1"/>
    <row r="2655" ht="15.75" customHeight="1"/>
    <row r="2656" ht="15.75" customHeight="1"/>
    <row r="2657" ht="15.75" customHeight="1"/>
    <row r="2658" ht="15.75" customHeight="1"/>
    <row r="2659" ht="15.75" customHeight="1"/>
    <row r="2660" ht="15.75" customHeight="1"/>
    <row r="2661" ht="15.75" customHeight="1"/>
    <row r="2662" ht="15.75" customHeight="1"/>
    <row r="2663" ht="15.75" customHeight="1"/>
    <row r="2664" ht="15.75" customHeight="1"/>
    <row r="2665" ht="15.75" customHeight="1"/>
    <row r="2666" ht="15.75" customHeight="1"/>
    <row r="2667" ht="15.75" customHeight="1"/>
    <row r="2668" ht="15.75" customHeight="1"/>
    <row r="2669" ht="15.75" customHeight="1"/>
    <row r="2670" ht="15.75" customHeight="1"/>
    <row r="2671" ht="15.75" customHeight="1"/>
    <row r="2672" ht="15.75" customHeight="1"/>
    <row r="2673" ht="15.75" customHeight="1"/>
    <row r="2674" ht="15.75" customHeight="1"/>
    <row r="2675" ht="15.75" customHeight="1"/>
    <row r="2676" ht="15.75" customHeight="1"/>
    <row r="2677" ht="15.75" customHeight="1"/>
    <row r="2678" ht="15.75" customHeight="1"/>
    <row r="2679" ht="15.75" customHeight="1"/>
    <row r="2680" ht="15.75" customHeight="1"/>
    <row r="2681" ht="15.75" customHeight="1"/>
    <row r="2682" ht="15.75" customHeight="1"/>
    <row r="2683" ht="15.75" customHeight="1"/>
    <row r="2684" ht="15.75" customHeight="1"/>
    <row r="2685" ht="15.75" customHeight="1"/>
    <row r="2686" ht="15.75" customHeight="1"/>
    <row r="2687" ht="15.75" customHeight="1"/>
    <row r="2688" ht="15.75" customHeight="1"/>
    <row r="2689" ht="15.75" customHeight="1"/>
    <row r="2690" ht="15.75" customHeight="1"/>
    <row r="2691" ht="15.75" customHeight="1"/>
    <row r="2692" ht="15.75" customHeight="1"/>
    <row r="2693" ht="15.75" customHeight="1"/>
    <row r="2694" ht="15.75" customHeight="1"/>
    <row r="2695" ht="15.75" customHeight="1"/>
    <row r="2696" ht="15.75" customHeight="1"/>
    <row r="2697" ht="15.75" customHeight="1"/>
    <row r="2698" ht="15.75" customHeight="1"/>
    <row r="2699" ht="15.75" customHeight="1"/>
    <row r="2700" ht="15.75" customHeight="1"/>
    <row r="2701" ht="15.75" customHeight="1"/>
    <row r="2702" ht="15.75" customHeight="1"/>
    <row r="2703" ht="15.75" customHeight="1"/>
    <row r="2704" ht="15.75" customHeight="1"/>
    <row r="2705" ht="15.75" customHeight="1"/>
    <row r="2706" ht="15.75" customHeight="1"/>
    <row r="2707" ht="15.75" customHeight="1"/>
    <row r="2708" ht="15.75" customHeight="1"/>
    <row r="2709" ht="15.75" customHeight="1"/>
    <row r="2710" ht="15.75" customHeight="1"/>
    <row r="2711" ht="15.75" customHeight="1"/>
    <row r="2712" ht="15.75" customHeight="1"/>
    <row r="2713" ht="15.75" customHeight="1"/>
    <row r="2714" ht="15.75" customHeight="1"/>
    <row r="2715" ht="15.75" customHeight="1"/>
    <row r="2716" ht="15.75" customHeight="1"/>
    <row r="2717" ht="15.75" customHeight="1"/>
    <row r="2718" ht="15.75" customHeight="1"/>
    <row r="2719" ht="15.75" customHeight="1"/>
    <row r="2720" ht="15.75" customHeight="1"/>
    <row r="2721" ht="15.75" customHeight="1"/>
    <row r="2722" ht="15.75" customHeight="1"/>
    <row r="2723" ht="15.75" customHeight="1"/>
    <row r="2724" ht="15.75" customHeight="1"/>
    <row r="2725" ht="15.75" customHeight="1"/>
    <row r="2726" ht="15.75" customHeight="1"/>
    <row r="2727" ht="15.75" customHeight="1"/>
    <row r="2728" ht="15.75" customHeight="1"/>
    <row r="2729" ht="15.75" customHeight="1"/>
    <row r="2730" ht="15.75" customHeight="1"/>
    <row r="2731" ht="15.75" customHeight="1"/>
    <row r="2732" ht="15.75" customHeight="1"/>
    <row r="2733" ht="15.75" customHeight="1"/>
    <row r="2734" ht="15.75" customHeight="1"/>
    <row r="2735" ht="15.75" customHeight="1"/>
    <row r="2736" ht="15.75" customHeight="1"/>
    <row r="2737" ht="15.75" customHeight="1"/>
    <row r="2738" ht="15.75" customHeight="1"/>
    <row r="2739" ht="15.75" customHeight="1"/>
    <row r="2740" ht="15.75" customHeight="1"/>
    <row r="2741" ht="15.75" customHeight="1"/>
    <row r="2742" ht="15.75" customHeight="1"/>
    <row r="2743" ht="15.75" customHeight="1"/>
    <row r="2744" ht="15.75" customHeight="1"/>
    <row r="2745" ht="15.75" customHeight="1"/>
    <row r="2746" ht="15.75" customHeight="1"/>
    <row r="2747" ht="15.75" customHeight="1"/>
    <row r="2748" ht="15.75" customHeight="1"/>
    <row r="2749" ht="15.75" customHeight="1"/>
    <row r="2750" ht="15.75" customHeight="1"/>
    <row r="2751" ht="15.75" customHeight="1"/>
    <row r="2752" ht="15.75" customHeight="1"/>
    <row r="2753" ht="15.75" customHeight="1"/>
    <row r="2754" ht="15.75" customHeight="1"/>
    <row r="2755" ht="15.75" customHeight="1"/>
    <row r="2756" ht="15.75" customHeight="1"/>
    <row r="2757" ht="15.75" customHeight="1"/>
    <row r="2758" ht="15.75" customHeight="1"/>
    <row r="2759" ht="15.75" customHeight="1"/>
    <row r="2760" ht="15.75" customHeight="1"/>
    <row r="2761" ht="15.75" customHeight="1"/>
    <row r="2762" ht="15.75" customHeight="1"/>
    <row r="2763" ht="15.75" customHeight="1"/>
    <row r="2764" ht="15.75" customHeight="1"/>
    <row r="2765" ht="15.75" customHeight="1"/>
    <row r="2766" ht="15.75" customHeight="1"/>
    <row r="2767" ht="15.75" customHeight="1"/>
    <row r="2768" ht="15.75" customHeight="1"/>
    <row r="2769" ht="15.75" customHeight="1"/>
    <row r="2770" ht="15.75" customHeight="1"/>
    <row r="2771" ht="15.75" customHeight="1"/>
    <row r="2772" ht="15.75" customHeight="1"/>
    <row r="2773" ht="15.75" customHeight="1"/>
    <row r="2774" ht="15.75" customHeight="1"/>
    <row r="2775" ht="15.75" customHeight="1"/>
    <row r="2776" ht="15.75" customHeight="1"/>
    <row r="2777" ht="15.75" customHeight="1"/>
    <row r="2778" ht="15.75" customHeight="1"/>
    <row r="2779" ht="15.75" customHeight="1"/>
    <row r="2780" ht="15.75" customHeight="1"/>
    <row r="2781" ht="15.75" customHeight="1"/>
    <row r="2782" ht="15.75" customHeight="1"/>
    <row r="2783" ht="15.75" customHeight="1"/>
    <row r="2784" ht="15.75" customHeight="1"/>
    <row r="2785" ht="15.75" customHeight="1"/>
    <row r="2786" ht="15.75" customHeight="1"/>
    <row r="2787" ht="15.75" customHeight="1"/>
    <row r="2788" ht="15.75" customHeight="1"/>
    <row r="2789" ht="15.75" customHeight="1"/>
    <row r="2790" ht="15.75" customHeight="1"/>
    <row r="2791" ht="15.75" customHeight="1"/>
    <row r="2792" ht="15.75" customHeight="1"/>
    <row r="2793" ht="15.75" customHeight="1"/>
    <row r="2794" ht="15.75" customHeight="1"/>
    <row r="2795" ht="15.75" customHeight="1"/>
    <row r="2796" ht="15.75" customHeight="1"/>
    <row r="2797" ht="15.75" customHeight="1"/>
    <row r="2798" ht="15.75" customHeight="1"/>
    <row r="2799" ht="15.75" customHeight="1"/>
    <row r="2800" ht="15.75" customHeight="1"/>
    <row r="2801" ht="15.75" customHeight="1"/>
    <row r="2802" ht="15.75" customHeight="1"/>
    <row r="2803" ht="15.75" customHeight="1"/>
    <row r="2804" ht="15.75" customHeight="1"/>
    <row r="2805" ht="15.75" customHeight="1"/>
    <row r="2806" ht="15.75" customHeight="1"/>
    <row r="2807" ht="15.75" customHeight="1"/>
    <row r="2808" ht="15.75" customHeight="1"/>
    <row r="2809" ht="15.75" customHeight="1"/>
    <row r="2810" ht="15.75" customHeight="1"/>
    <row r="2811" ht="15.75" customHeight="1"/>
    <row r="2812" ht="15.75" customHeight="1"/>
    <row r="2813" ht="15.75" customHeight="1"/>
    <row r="2814" ht="15.75" customHeight="1"/>
    <row r="2815" ht="15.75" customHeight="1"/>
    <row r="2816" ht="15.75" customHeight="1"/>
    <row r="2817" ht="15.75" customHeight="1"/>
    <row r="2818" ht="15.75" customHeight="1"/>
    <row r="2819" ht="15.75" customHeight="1"/>
    <row r="2820" ht="15.75" customHeight="1"/>
    <row r="2821" ht="15.75" customHeight="1"/>
    <row r="2822" ht="15.75" customHeight="1"/>
    <row r="2823" ht="15.75" customHeight="1"/>
    <row r="2824" ht="15.75" customHeight="1"/>
    <row r="2825" ht="15.75" customHeight="1"/>
    <row r="2826" ht="15.75" customHeight="1"/>
    <row r="2827" ht="15.75" customHeight="1"/>
    <row r="2828" ht="15.75" customHeight="1"/>
    <row r="2829" ht="15.75" customHeight="1"/>
    <row r="2830" ht="15.75" customHeight="1"/>
    <row r="2831" ht="15.75" customHeight="1"/>
    <row r="2832" ht="15.75" customHeight="1"/>
    <row r="2833" ht="15.75" customHeight="1"/>
    <row r="2834" ht="15.75" customHeight="1"/>
    <row r="2835" ht="15.75" customHeight="1"/>
    <row r="2836" ht="15.75" customHeight="1"/>
    <row r="2837" ht="15.75" customHeight="1"/>
    <row r="2838" ht="15.75" customHeight="1"/>
    <row r="2839" ht="15.75" customHeight="1"/>
    <row r="2840" ht="15.75" customHeight="1"/>
    <row r="2841" ht="15.75" customHeight="1"/>
    <row r="2842" ht="15.75" customHeight="1"/>
    <row r="2843" ht="15.75" customHeight="1"/>
    <row r="2844" ht="15.75" customHeight="1"/>
    <row r="2845" ht="15.75" customHeight="1"/>
    <row r="2846" ht="15.75" customHeight="1"/>
    <row r="2847" ht="15.75" customHeight="1"/>
    <row r="2848" ht="15.75" customHeight="1"/>
    <row r="2849" ht="15.75" customHeight="1"/>
    <row r="2850" ht="15.75" customHeight="1"/>
    <row r="2851" ht="15.75" customHeight="1"/>
    <row r="2852" ht="15.75" customHeight="1"/>
    <row r="2853" ht="15.75" customHeight="1"/>
    <row r="2854" ht="15.75" customHeight="1"/>
    <row r="2855" ht="15.75" customHeight="1"/>
    <row r="2856" ht="15.75" customHeight="1"/>
    <row r="2857" ht="15.75" customHeight="1"/>
    <row r="2858" ht="15.75" customHeight="1"/>
    <row r="2859" ht="15.75" customHeight="1"/>
    <row r="2860" ht="15.75" customHeight="1"/>
    <row r="2861" ht="15.75" customHeight="1"/>
    <row r="2862" ht="15.75" customHeight="1"/>
    <row r="2863" ht="15.75" customHeight="1"/>
    <row r="2864" ht="15.75" customHeight="1"/>
    <row r="2865" ht="15.75" customHeight="1"/>
    <row r="2866" ht="15.75" customHeight="1"/>
    <row r="2867" ht="15.75" customHeight="1"/>
    <row r="2868" ht="15.75" customHeight="1"/>
    <row r="2869" ht="15.75" customHeight="1"/>
    <row r="2870" ht="15.75" customHeight="1"/>
    <row r="2871" ht="15.75" customHeight="1"/>
    <row r="2872" ht="15.75" customHeight="1"/>
    <row r="2873" ht="15.75" customHeight="1"/>
    <row r="2874" ht="15.75" customHeight="1"/>
    <row r="2875" ht="15.75" customHeight="1"/>
    <row r="2876" ht="15.75" customHeight="1"/>
    <row r="2877" ht="15.75" customHeight="1"/>
    <row r="2878" ht="15.75" customHeight="1"/>
    <row r="2879" ht="15.75" customHeight="1"/>
    <row r="2880" ht="15.75" customHeight="1"/>
    <row r="2881" ht="15.75" customHeight="1"/>
    <row r="2882" ht="15.75" customHeight="1"/>
    <row r="2883" ht="15.75" customHeight="1"/>
    <row r="2884" ht="15.75" customHeight="1"/>
    <row r="2885" ht="15.75" customHeight="1"/>
    <row r="2886" ht="15.75" customHeight="1"/>
    <row r="2887" ht="15.75" customHeight="1"/>
    <row r="2888" ht="15.75" customHeight="1"/>
    <row r="2889" ht="15.75" customHeight="1"/>
    <row r="2890" ht="15.75" customHeight="1"/>
    <row r="2891" ht="15.75" customHeight="1"/>
    <row r="2892" ht="15.75" customHeight="1"/>
    <row r="2893" ht="15.75" customHeight="1"/>
    <row r="2894" ht="15.75" customHeight="1"/>
    <row r="2895" ht="15.75" customHeight="1"/>
    <row r="2896" ht="15.75" customHeight="1"/>
    <row r="2897" ht="15.75" customHeight="1"/>
    <row r="2898" ht="15.75" customHeight="1"/>
    <row r="2899" ht="15.75" customHeight="1"/>
    <row r="2900" ht="15.75" customHeight="1"/>
    <row r="2901" ht="15.75" customHeight="1"/>
    <row r="2902" ht="15.75" customHeight="1"/>
    <row r="2903" ht="15.75" customHeight="1"/>
    <row r="2904" ht="15.75" customHeight="1"/>
    <row r="2905" ht="15.75" customHeight="1"/>
    <row r="2906" ht="15.75" customHeight="1"/>
    <row r="2907" ht="15.75" customHeight="1"/>
    <row r="2908" ht="15.75" customHeight="1"/>
    <row r="2909" ht="15.75" customHeight="1"/>
    <row r="2910" ht="15.75" customHeight="1"/>
    <row r="2911" ht="15.75" customHeight="1"/>
    <row r="2912" ht="15.75" customHeight="1"/>
    <row r="2913" ht="15.75" customHeight="1"/>
    <row r="2914" ht="15.75" customHeight="1"/>
    <row r="2915" ht="15.75" customHeight="1"/>
    <row r="2916" ht="15.75" customHeight="1"/>
    <row r="2917" ht="15.75" customHeight="1"/>
    <row r="2918" ht="15.75" customHeight="1"/>
    <row r="2919" ht="15.75" customHeight="1"/>
    <row r="2920" ht="15.75" customHeight="1"/>
    <row r="2921" ht="15.75" customHeight="1"/>
    <row r="2922" ht="15.75" customHeight="1"/>
    <row r="2923" ht="15.75" customHeight="1"/>
    <row r="2924" ht="15.75" customHeight="1"/>
    <row r="2925" ht="15.75" customHeight="1"/>
    <row r="2926" ht="15.75" customHeight="1"/>
    <row r="2927" ht="15.75" customHeight="1"/>
    <row r="2928" ht="15.75" customHeight="1"/>
    <row r="2929" ht="15.75" customHeight="1"/>
    <row r="2930" ht="15.75" customHeight="1"/>
    <row r="2931" ht="15.75" customHeight="1"/>
    <row r="2932" ht="15.75" customHeight="1"/>
    <row r="2933" ht="15.75" customHeight="1"/>
    <row r="2934" ht="15.75" customHeight="1"/>
    <row r="2935" ht="15.75" customHeight="1"/>
    <row r="2936" ht="15.75" customHeight="1"/>
    <row r="2937" ht="15.75" customHeight="1"/>
    <row r="2938" ht="15.75" customHeight="1"/>
    <row r="2939" ht="15.75" customHeight="1"/>
    <row r="2940" ht="15.75" customHeight="1"/>
    <row r="2941" ht="15.75" customHeight="1"/>
    <row r="2942" ht="15.75" customHeight="1"/>
    <row r="2943" ht="15.75" customHeight="1"/>
    <row r="2944" ht="15.75" customHeight="1"/>
    <row r="2945" ht="15.75" customHeight="1"/>
    <row r="2946" ht="15.75" customHeight="1"/>
    <row r="2947" ht="15.75" customHeight="1"/>
    <row r="2948" ht="15.75" customHeight="1"/>
    <row r="2949" ht="15.75" customHeight="1"/>
    <row r="2950" ht="15.75" customHeight="1"/>
    <row r="2951" ht="15.75" customHeight="1"/>
    <row r="2952" ht="15.75" customHeight="1"/>
    <row r="2953" ht="15.75" customHeight="1"/>
    <row r="2954" ht="15.75" customHeight="1"/>
    <row r="2955" ht="15.75" customHeight="1"/>
    <row r="2956" ht="15.75" customHeight="1"/>
    <row r="2957" ht="15.75" customHeight="1"/>
    <row r="2958" ht="15.75" customHeight="1"/>
    <row r="2959" ht="15.75" customHeight="1"/>
    <row r="2960" ht="15.75" customHeight="1"/>
    <row r="2961" ht="15.75" customHeight="1"/>
    <row r="2962" ht="15.75" customHeight="1"/>
    <row r="2963" ht="15.75" customHeight="1"/>
    <row r="2964" ht="15.75" customHeight="1"/>
    <row r="2965" ht="15.75" customHeight="1"/>
    <row r="2966" ht="15.75" customHeight="1"/>
    <row r="2967" ht="15.75" customHeight="1"/>
    <row r="2968" ht="15.75" customHeight="1"/>
    <row r="2969" ht="15.75" customHeight="1"/>
    <row r="2970" ht="15.75" customHeight="1"/>
    <row r="2971" ht="15.75" customHeight="1"/>
    <row r="2972" ht="15.75" customHeight="1"/>
    <row r="2973" ht="15.75" customHeight="1"/>
    <row r="2974" ht="15.75" customHeight="1"/>
    <row r="2975" ht="15.75" customHeight="1"/>
    <row r="2976" ht="15.75" customHeight="1"/>
    <row r="2977" ht="15.75" customHeight="1"/>
    <row r="2978" ht="15.75" customHeight="1"/>
    <row r="2979" ht="15.75" customHeight="1"/>
    <row r="2980" ht="15.75" customHeight="1"/>
    <row r="2981" ht="15.75" customHeight="1"/>
    <row r="2982" ht="15.75" customHeight="1"/>
    <row r="2983" ht="15.75" customHeight="1"/>
    <row r="2984" ht="15.75" customHeight="1"/>
    <row r="2985" ht="15.75" customHeight="1"/>
    <row r="2986" ht="15.75" customHeight="1"/>
    <row r="2987" ht="15.75" customHeight="1"/>
    <row r="2988" ht="15.75" customHeight="1"/>
    <row r="2989" ht="15.75" customHeight="1"/>
    <row r="2990" ht="15.75" customHeight="1"/>
    <row r="2991" ht="15.75" customHeight="1"/>
    <row r="2992" ht="15.75" customHeight="1"/>
    <row r="2993" ht="15.75" customHeight="1"/>
    <row r="2994" ht="15.75" customHeight="1"/>
    <row r="2995" ht="15.75" customHeight="1"/>
    <row r="2996" ht="15.75" customHeight="1"/>
    <row r="2997" ht="15.75" customHeight="1"/>
    <row r="2998" ht="15.75" customHeight="1"/>
    <row r="2999" ht="15.75" customHeight="1"/>
    <row r="3000" ht="15.75" customHeight="1"/>
    <row r="3001" ht="15.75" customHeight="1"/>
    <row r="3002" ht="15.75" customHeight="1"/>
    <row r="3003" ht="15.75" customHeight="1"/>
    <row r="3004" ht="15.75" customHeight="1"/>
    <row r="3005" ht="15.75" customHeight="1"/>
    <row r="3006" ht="15.75" customHeight="1"/>
    <row r="3007" ht="15.75" customHeight="1"/>
    <row r="3008" ht="15.75" customHeight="1"/>
    <row r="3009" ht="15.75" customHeight="1"/>
    <row r="3010" ht="15.75" customHeight="1"/>
    <row r="3011" ht="15.75" customHeight="1"/>
    <row r="3012" ht="15.75" customHeight="1"/>
    <row r="3013" ht="15.75" customHeight="1"/>
    <row r="3014" ht="15.75" customHeight="1"/>
    <row r="3015" ht="15.75" customHeight="1"/>
    <row r="3016" ht="15.75" customHeight="1"/>
    <row r="3017" ht="15.75" customHeight="1"/>
    <row r="3018" ht="15.75" customHeight="1"/>
    <row r="3019" ht="15.75" customHeight="1"/>
    <row r="3020" ht="15.75" customHeight="1"/>
    <row r="3021" ht="15.75" customHeight="1"/>
    <row r="3022" ht="15.75" customHeight="1"/>
    <row r="3023" ht="15.75" customHeight="1"/>
    <row r="3024" ht="15.75" customHeight="1"/>
    <row r="3025" ht="15.75" customHeight="1"/>
    <row r="3026" ht="15.75" customHeight="1"/>
    <row r="3027" ht="15.75" customHeight="1"/>
    <row r="3028" ht="15.75" customHeight="1"/>
    <row r="3029" ht="15.75" customHeight="1"/>
    <row r="3030" ht="15.75" customHeight="1"/>
    <row r="3031" ht="15.75" customHeight="1"/>
    <row r="3032" ht="15.75" customHeight="1"/>
    <row r="3033" ht="15.75" customHeight="1"/>
    <row r="3034" ht="15.75" customHeight="1"/>
    <row r="3035" ht="15.75" customHeight="1"/>
    <row r="3036" ht="15.75" customHeight="1"/>
    <row r="3037" ht="15.75" customHeight="1"/>
    <row r="3038" ht="15.75" customHeight="1"/>
    <row r="3039" ht="15.75" customHeight="1"/>
    <row r="3040" ht="15.75" customHeight="1"/>
    <row r="3041" ht="15.75" customHeight="1"/>
    <row r="3042" ht="15.75" customHeight="1"/>
    <row r="3043" ht="15.75" customHeight="1"/>
    <row r="3044" ht="15.75" customHeight="1"/>
    <row r="3045" ht="15.75" customHeight="1"/>
    <row r="3046" ht="15.75" customHeight="1"/>
    <row r="3047" ht="15.75" customHeight="1"/>
    <row r="3048" ht="15.75" customHeight="1"/>
    <row r="3049" ht="15.75" customHeight="1"/>
    <row r="3050" ht="15.75" customHeight="1"/>
    <row r="3051" ht="15.75" customHeight="1"/>
    <row r="3052" ht="15.75" customHeight="1"/>
    <row r="3053" ht="15.75" customHeight="1"/>
    <row r="3054" ht="15.75" customHeight="1"/>
    <row r="3055" ht="15.75" customHeight="1"/>
    <row r="3056" ht="15.75" customHeight="1"/>
    <row r="3057" ht="15.75" customHeight="1"/>
    <row r="3058" ht="15.75" customHeight="1"/>
    <row r="3059" ht="15.75" customHeight="1"/>
    <row r="3060" ht="15.75" customHeight="1"/>
    <row r="3061" ht="15.75" customHeight="1"/>
    <row r="3062" ht="15.75" customHeight="1"/>
    <row r="3063" ht="15.75" customHeight="1"/>
    <row r="3064" ht="15.75" customHeight="1"/>
    <row r="3065" ht="15.75" customHeight="1"/>
    <row r="3066" ht="15.75" customHeight="1"/>
    <row r="3067" ht="15.75" customHeight="1"/>
    <row r="3068" ht="15.75" customHeight="1"/>
    <row r="3069" ht="15.75" customHeight="1"/>
    <row r="3070" ht="15.75" customHeight="1"/>
    <row r="3071" ht="15.75" customHeight="1"/>
    <row r="3072" ht="15.75" customHeight="1"/>
    <row r="3073" ht="15.75" customHeight="1"/>
    <row r="3074" ht="15.75" customHeight="1"/>
    <row r="3075" ht="15.75" customHeight="1"/>
    <row r="3076" ht="15.75" customHeight="1"/>
    <row r="3077" ht="15.75" customHeight="1"/>
    <row r="3078" ht="15.75" customHeight="1"/>
    <row r="3079" ht="15.75" customHeight="1"/>
    <row r="3080" ht="15.75" customHeight="1"/>
    <row r="3081" ht="15.75" customHeight="1"/>
    <row r="3082" ht="15.75" customHeight="1"/>
    <row r="3083" ht="15.75" customHeight="1"/>
    <row r="3084" ht="15.75" customHeight="1"/>
    <row r="3085" ht="15.75" customHeight="1"/>
    <row r="3086" ht="15.75" customHeight="1"/>
    <row r="3087" ht="15.75" customHeight="1"/>
    <row r="3088" ht="15.75" customHeight="1"/>
    <row r="3089" ht="15.75" customHeight="1"/>
    <row r="3090" ht="15.75" customHeight="1"/>
    <row r="3091" ht="15.75" customHeight="1"/>
    <row r="3092" ht="15.75" customHeight="1"/>
    <row r="3093" ht="15.75" customHeight="1"/>
    <row r="3094" ht="15.75" customHeight="1"/>
    <row r="3095" ht="15.75" customHeight="1"/>
    <row r="3096" ht="15.75" customHeight="1"/>
    <row r="3097" ht="15.75" customHeight="1"/>
    <row r="3098" ht="15.75" customHeight="1"/>
    <row r="3099" ht="15.75" customHeight="1"/>
    <row r="3100" ht="15.75" customHeight="1"/>
    <row r="3101" ht="15.75" customHeight="1"/>
    <row r="3102" ht="15.75" customHeight="1"/>
    <row r="3103" ht="15.75" customHeight="1"/>
    <row r="3104" ht="15.75" customHeight="1"/>
    <row r="3105" ht="15.75" customHeight="1"/>
    <row r="3106" ht="15.75" customHeight="1"/>
    <row r="3107" ht="15.75" customHeight="1"/>
    <row r="3108" ht="15.75" customHeight="1"/>
    <row r="3109" ht="15.75" customHeight="1"/>
    <row r="3110" ht="15.75" customHeight="1"/>
    <row r="3111" ht="15.75" customHeight="1"/>
    <row r="3112" ht="15.75" customHeight="1"/>
    <row r="3113" ht="15.75" customHeight="1"/>
    <row r="3114" ht="15.75" customHeight="1"/>
    <row r="3115" ht="15.75" customHeight="1"/>
    <row r="3116" ht="15.75" customHeight="1"/>
    <row r="3117" ht="15.75" customHeight="1"/>
    <row r="3118" ht="15.75" customHeight="1"/>
    <row r="3119" ht="15.75" customHeight="1"/>
    <row r="3120" ht="15.75" customHeight="1"/>
    <row r="3121" ht="15.75" customHeight="1"/>
    <row r="3122" ht="15.75" customHeight="1"/>
    <row r="3123" ht="15.75" customHeight="1"/>
    <row r="3124" ht="15.75" customHeight="1"/>
    <row r="3125" ht="15.75" customHeight="1"/>
    <row r="3126" ht="15.75" customHeight="1"/>
    <row r="3127" ht="15.75" customHeight="1"/>
    <row r="3128" ht="15.75" customHeight="1"/>
    <row r="3129" ht="15.75" customHeight="1"/>
    <row r="3130" ht="15.75" customHeight="1"/>
    <row r="3131" ht="15.75" customHeight="1"/>
    <row r="3132" ht="15.75" customHeight="1"/>
    <row r="3133" ht="15.75" customHeight="1"/>
    <row r="3134" ht="15.75" customHeight="1"/>
    <row r="3135" ht="15.75" customHeight="1"/>
    <row r="3136" ht="15.75" customHeight="1"/>
    <row r="3137" ht="15.75" customHeight="1"/>
    <row r="3138" ht="15.75" customHeight="1"/>
    <row r="3139" ht="15.75" customHeight="1"/>
    <row r="3140" ht="15.75" customHeight="1"/>
    <row r="3141" ht="15.75" customHeight="1"/>
    <row r="3142" ht="15.75" customHeight="1"/>
    <row r="3143" ht="15.75" customHeight="1"/>
    <row r="3144" ht="15.75" customHeight="1"/>
    <row r="3145" ht="15.75" customHeight="1"/>
    <row r="3146" ht="15.75" customHeight="1"/>
    <row r="3147" ht="15.75" customHeight="1"/>
    <row r="3148" ht="15.75" customHeight="1"/>
    <row r="3149" ht="15.75" customHeight="1"/>
    <row r="3150" ht="15.75" customHeight="1"/>
    <row r="3151" ht="15.75" customHeight="1"/>
    <row r="3152" ht="15.75" customHeight="1"/>
    <row r="3153" ht="15.75" customHeight="1"/>
    <row r="3154" ht="15.75" customHeight="1"/>
    <row r="3155" ht="15.75" customHeight="1"/>
    <row r="3156" ht="15.75" customHeight="1"/>
    <row r="3157" ht="15.75" customHeight="1"/>
    <row r="3158" ht="15.75" customHeight="1"/>
    <row r="3159" ht="15.75" customHeight="1"/>
    <row r="3160" ht="15.75" customHeight="1"/>
    <row r="3161" ht="15.75" customHeight="1"/>
    <row r="3162" ht="15.75" customHeight="1"/>
    <row r="3163" ht="15.75" customHeight="1"/>
    <row r="3164" ht="15.75" customHeight="1"/>
    <row r="3165" ht="15.75" customHeight="1"/>
    <row r="3166" ht="15.75" customHeight="1"/>
    <row r="3167" ht="15.75" customHeight="1"/>
    <row r="3168" ht="15.75" customHeight="1"/>
    <row r="3169" ht="15.75" customHeight="1"/>
    <row r="3170" ht="15.75" customHeight="1"/>
    <row r="3171" ht="15.75" customHeight="1"/>
    <row r="3172" ht="15.75" customHeight="1"/>
    <row r="3173" ht="15.75" customHeight="1"/>
    <row r="3174" ht="15.75" customHeight="1"/>
    <row r="3175" ht="15.75" customHeight="1"/>
    <row r="3176" ht="15.75" customHeight="1"/>
    <row r="3177" ht="15.75" customHeight="1"/>
    <row r="3178" ht="15.75" customHeight="1"/>
    <row r="3179" ht="15.75" customHeight="1"/>
    <row r="3180" ht="15.75" customHeight="1"/>
    <row r="3181" ht="15.75" customHeight="1"/>
    <row r="3182" ht="15.75" customHeight="1"/>
    <row r="3183" ht="15.75" customHeight="1"/>
    <row r="3184" ht="15.75" customHeight="1"/>
    <row r="3185" ht="15.75" customHeight="1"/>
    <row r="3186" ht="15.75" customHeight="1"/>
    <row r="3187" ht="15.75" customHeight="1"/>
    <row r="3188" ht="15.75" customHeight="1"/>
    <row r="3189" ht="15.75" customHeight="1"/>
    <row r="3190" ht="15.75" customHeight="1"/>
    <row r="3191" ht="15.75" customHeight="1"/>
    <row r="3192" ht="15.75" customHeight="1"/>
    <row r="3193" ht="15.75" customHeight="1"/>
    <row r="3194" ht="15.75" customHeight="1"/>
    <row r="3195" ht="15.75" customHeight="1"/>
    <row r="3196" ht="15.75" customHeight="1"/>
    <row r="3197" ht="15.75" customHeight="1"/>
    <row r="3198" ht="15.75" customHeight="1"/>
    <row r="3199" ht="15.75" customHeight="1"/>
    <row r="3200" ht="15.75" customHeight="1"/>
    <row r="3201" ht="15.75" customHeight="1"/>
    <row r="3202" ht="15.75" customHeight="1"/>
    <row r="3203" ht="15.75" customHeight="1"/>
    <row r="3204" ht="15.75" customHeight="1"/>
    <row r="3205" ht="15.75" customHeight="1"/>
    <row r="3206" ht="15.75" customHeight="1"/>
    <row r="3207" ht="15.75" customHeight="1"/>
    <row r="3208" ht="15.75" customHeight="1"/>
    <row r="3209" ht="15.75" customHeight="1"/>
    <row r="3210" ht="15.75" customHeight="1"/>
    <row r="3211" ht="15.75" customHeight="1"/>
    <row r="3212" ht="15.75" customHeight="1"/>
    <row r="3213" ht="15.75" customHeight="1"/>
    <row r="3214" ht="15.75" customHeight="1"/>
    <row r="3215" ht="15.75" customHeight="1"/>
    <row r="3216" ht="15.75" customHeight="1"/>
    <row r="3217" ht="15.75" customHeight="1"/>
    <row r="3218" ht="15.75" customHeight="1"/>
    <row r="3219" ht="15.75" customHeight="1"/>
    <row r="3220" ht="15.75" customHeight="1"/>
    <row r="3221" ht="15.75" customHeight="1"/>
    <row r="3222" ht="15.75" customHeight="1"/>
    <row r="3223" ht="15.75" customHeight="1"/>
    <row r="3224" ht="15.75" customHeight="1"/>
    <row r="3225" ht="15.75" customHeight="1"/>
    <row r="3226" ht="15.75" customHeight="1"/>
    <row r="3227" ht="15.75" customHeight="1"/>
    <row r="3228" ht="15.75" customHeight="1"/>
    <row r="3229" ht="15.75" customHeight="1"/>
    <row r="3230" ht="15.75" customHeight="1"/>
    <row r="3231" ht="15.75" customHeight="1"/>
    <row r="3232" ht="15.75" customHeight="1"/>
    <row r="3233" ht="15.75" customHeight="1"/>
    <row r="3234" ht="15.75" customHeight="1"/>
    <row r="3235" ht="15.75" customHeight="1"/>
    <row r="3236" ht="15.75" customHeight="1"/>
    <row r="3237" ht="15.75" customHeight="1"/>
    <row r="3238" ht="15.75" customHeight="1"/>
    <row r="3239" ht="15.75" customHeight="1"/>
    <row r="3240" ht="15.75" customHeight="1"/>
    <row r="3241" ht="15.75" customHeight="1"/>
    <row r="3242" ht="15.75" customHeight="1"/>
    <row r="3243" ht="15.75" customHeight="1"/>
    <row r="3244" ht="15.75" customHeight="1"/>
    <row r="3245" ht="15.75" customHeight="1"/>
    <row r="3246" ht="15.75" customHeight="1"/>
    <row r="3247" ht="15.75" customHeight="1"/>
    <row r="3248" ht="15.75" customHeight="1"/>
    <row r="3249" ht="15.75" customHeight="1"/>
    <row r="3250" ht="15.75" customHeight="1"/>
    <row r="3251" ht="15.75" customHeight="1"/>
    <row r="3252" ht="15.75" customHeight="1"/>
    <row r="3253" ht="15.75" customHeight="1"/>
    <row r="3254" ht="15.75" customHeight="1"/>
    <row r="3255" ht="15.75" customHeight="1"/>
    <row r="3256" ht="15.75" customHeight="1"/>
    <row r="3257" ht="15.75" customHeight="1"/>
    <row r="3258" ht="15.75" customHeight="1"/>
    <row r="3259" ht="15.75" customHeight="1"/>
    <row r="3260" ht="15.75" customHeight="1"/>
    <row r="3261" ht="15.75" customHeight="1"/>
    <row r="3262" ht="15.75" customHeight="1"/>
    <row r="3263" ht="15.75" customHeight="1"/>
    <row r="3264" ht="15.75" customHeight="1"/>
    <row r="3265" ht="15.75" customHeight="1"/>
    <row r="3266" ht="15.75" customHeight="1"/>
    <row r="3267" ht="15.75" customHeight="1"/>
    <row r="3268" ht="15.75" customHeight="1"/>
    <row r="3269" ht="15.75" customHeight="1"/>
    <row r="3270" ht="15.75" customHeight="1"/>
    <row r="3271" ht="15.75" customHeight="1"/>
    <row r="3272" ht="15.75" customHeight="1"/>
    <row r="3273" ht="15.75" customHeight="1"/>
    <row r="3274" ht="15.75" customHeight="1"/>
    <row r="3275" ht="15.75" customHeight="1"/>
    <row r="3276" ht="15.75" customHeight="1"/>
    <row r="3277" ht="15.75" customHeight="1"/>
    <row r="3278" ht="15.75" customHeight="1"/>
    <row r="3279" ht="15.75" customHeight="1"/>
    <row r="3280" ht="15.75" customHeight="1"/>
    <row r="3281" ht="15.75" customHeight="1"/>
    <row r="3282" ht="15.75" customHeight="1"/>
    <row r="3283" ht="15.75" customHeight="1"/>
    <row r="3284" ht="15.75" customHeight="1"/>
    <row r="3285" ht="15.75" customHeight="1"/>
    <row r="3286" ht="15.75" customHeight="1"/>
    <row r="3287" ht="15.75" customHeight="1"/>
    <row r="3288" ht="15.75" customHeight="1"/>
    <row r="3289" ht="15.75" customHeight="1"/>
    <row r="3290" ht="15.75" customHeight="1"/>
    <row r="3291" ht="15.75" customHeight="1"/>
    <row r="3292" ht="15.75" customHeight="1"/>
    <row r="3293" ht="15.75" customHeight="1"/>
    <row r="3294" ht="15.75" customHeight="1"/>
    <row r="3295" ht="15.75" customHeight="1"/>
    <row r="3296" ht="15.75" customHeight="1"/>
    <row r="3297" ht="15.75" customHeight="1"/>
    <row r="3298" ht="15.75" customHeight="1"/>
    <row r="3299" ht="15.75" customHeight="1"/>
    <row r="3300" ht="15.75" customHeight="1"/>
    <row r="3301" ht="15.75" customHeight="1"/>
    <row r="3302" ht="15.75" customHeight="1"/>
    <row r="3303" ht="15.75" customHeight="1"/>
    <row r="3304" ht="15.75" customHeight="1"/>
    <row r="3305" ht="15.75" customHeight="1"/>
    <row r="3306" ht="15.75" customHeight="1"/>
    <row r="3307" ht="15.75" customHeight="1"/>
    <row r="3308" ht="15.75" customHeight="1"/>
    <row r="3309" ht="15.75" customHeight="1"/>
    <row r="3310" ht="15.75" customHeight="1"/>
    <row r="3311" ht="15.75" customHeight="1"/>
    <row r="3312" ht="15.75" customHeight="1"/>
    <row r="3313" ht="15.75" customHeight="1"/>
    <row r="3314" ht="15.75" customHeight="1"/>
    <row r="3315" ht="15.75" customHeight="1"/>
    <row r="3316" ht="15.75" customHeight="1"/>
    <row r="3317" ht="15.75" customHeight="1"/>
    <row r="3318" ht="15.75" customHeight="1"/>
    <row r="3319" ht="15.75" customHeight="1"/>
    <row r="3320" ht="15.75" customHeight="1"/>
    <row r="3321" ht="15.75" customHeight="1"/>
    <row r="3322" ht="15.75" customHeight="1"/>
    <row r="3323" ht="15.75" customHeight="1"/>
    <row r="3324" ht="15.75" customHeight="1"/>
    <row r="3325" ht="15.75" customHeight="1"/>
    <row r="3326" ht="15.75" customHeight="1"/>
    <row r="3327" ht="15.75" customHeight="1"/>
    <row r="3328" ht="15.75" customHeight="1"/>
    <row r="3329" ht="15.75" customHeight="1"/>
    <row r="3330" ht="15.75" customHeight="1"/>
    <row r="3331" ht="15.75" customHeight="1"/>
    <row r="3332" ht="15.75" customHeight="1"/>
    <row r="3333" ht="15.75" customHeight="1"/>
    <row r="3334" ht="15.75" customHeight="1"/>
    <row r="3335" ht="15.75" customHeight="1"/>
    <row r="3336" ht="15.75" customHeight="1"/>
    <row r="3337" ht="15.75" customHeight="1"/>
    <row r="3338" ht="15.75" customHeight="1"/>
    <row r="3339" ht="15.75" customHeight="1"/>
    <row r="3340" ht="15.75" customHeight="1"/>
    <row r="3341" ht="15.75" customHeight="1"/>
    <row r="3342" ht="15.75" customHeight="1"/>
    <row r="3343" ht="15.75" customHeight="1"/>
    <row r="3344" ht="15.75" customHeight="1"/>
    <row r="3345" ht="15.75" customHeight="1"/>
    <row r="3346" ht="15.75" customHeight="1"/>
    <row r="3347" ht="15.75" customHeight="1"/>
    <row r="3348" ht="15.75" customHeight="1"/>
    <row r="3349" ht="15.75" customHeight="1"/>
    <row r="3350" ht="15.75" customHeight="1"/>
    <row r="3351" ht="15.75" customHeight="1"/>
    <row r="3352" ht="15.75" customHeight="1"/>
    <row r="3353" ht="15.75" customHeight="1"/>
    <row r="3354" ht="15.75" customHeight="1"/>
    <row r="3355" ht="15.75" customHeight="1"/>
    <row r="3356" ht="15.75" customHeight="1"/>
    <row r="3357" ht="15.75" customHeight="1"/>
    <row r="3358" ht="15.75" customHeight="1"/>
    <row r="3359" ht="15.75" customHeight="1"/>
    <row r="3360" ht="15.75" customHeight="1"/>
    <row r="3361" ht="15.75" customHeight="1"/>
    <row r="3362" ht="15.75" customHeight="1"/>
    <row r="3363" ht="15.75" customHeight="1"/>
    <row r="3364" ht="15.75" customHeight="1"/>
    <row r="3365" ht="15.75" customHeight="1"/>
    <row r="3366" ht="15.75" customHeight="1"/>
    <row r="3367" ht="15.75" customHeight="1"/>
    <row r="3368" ht="15.75" customHeight="1"/>
    <row r="3369" ht="15.75" customHeight="1"/>
    <row r="3370" ht="15.75" customHeight="1"/>
    <row r="3371" ht="15.75" customHeight="1"/>
    <row r="3372" ht="15.75" customHeight="1"/>
    <row r="3373" ht="15.75" customHeight="1"/>
    <row r="3374" ht="15.75" customHeight="1"/>
    <row r="3375" ht="15.75" customHeight="1"/>
    <row r="3376" ht="15.75" customHeight="1"/>
    <row r="3377" ht="15.75" customHeight="1"/>
    <row r="3378" ht="15.75" customHeight="1"/>
    <row r="3379" ht="15.75" customHeight="1"/>
    <row r="3380" ht="15.75" customHeight="1"/>
    <row r="3381" ht="15.75" customHeight="1"/>
    <row r="3382" ht="15.75" customHeight="1"/>
    <row r="3383" ht="15.75" customHeight="1"/>
    <row r="3384" ht="15.75" customHeight="1"/>
    <row r="3385" ht="15.75" customHeight="1"/>
    <row r="3386" ht="15.75" customHeight="1"/>
    <row r="3387" ht="15.75" customHeight="1"/>
    <row r="3388" ht="15.75" customHeight="1"/>
    <row r="3389" ht="15.75" customHeight="1"/>
    <row r="3390" ht="15.75" customHeight="1"/>
    <row r="3391" ht="15.75" customHeight="1"/>
    <row r="3392" ht="15.75" customHeight="1"/>
    <row r="3393" ht="15.75" customHeight="1"/>
    <row r="3394" ht="15.75" customHeight="1"/>
    <row r="3395" ht="15.75" customHeight="1"/>
    <row r="3396" ht="15.75" customHeight="1"/>
    <row r="3397" ht="15.75" customHeight="1"/>
    <row r="3398" ht="15.75" customHeight="1"/>
    <row r="3399" ht="15.75" customHeight="1"/>
    <row r="3400" ht="15.75" customHeight="1"/>
    <row r="3401" ht="15.75" customHeight="1"/>
    <row r="3402" ht="15.75" customHeight="1"/>
    <row r="3403" ht="15.75" customHeight="1"/>
    <row r="3404" ht="15.75" customHeight="1"/>
    <row r="3405" ht="15.75" customHeight="1"/>
    <row r="3406" ht="15.75" customHeight="1"/>
    <row r="3407" ht="15.75" customHeight="1"/>
    <row r="3408" ht="15.75" customHeight="1"/>
    <row r="3409" ht="15.75" customHeight="1"/>
    <row r="3410" ht="15.75" customHeight="1"/>
    <row r="3411" ht="15.75" customHeight="1"/>
    <row r="3412" ht="15.75" customHeight="1"/>
    <row r="3413" ht="15.75" customHeight="1"/>
    <row r="3414" ht="15.75" customHeight="1"/>
    <row r="3415" ht="15.75" customHeight="1"/>
    <row r="3416" ht="15.75" customHeight="1"/>
    <row r="3417" ht="15.75" customHeight="1"/>
    <row r="3418" ht="15.75" customHeight="1"/>
    <row r="3419" ht="15.75" customHeight="1"/>
    <row r="3420" ht="15.75" customHeight="1"/>
    <row r="3421" ht="15.75" customHeight="1"/>
    <row r="3422" ht="15.75" customHeight="1"/>
    <row r="3423" ht="15.75" customHeight="1"/>
    <row r="3424" ht="15.75" customHeight="1"/>
    <row r="3425" ht="15.75" customHeight="1"/>
    <row r="3426" ht="15.75" customHeight="1"/>
    <row r="3427" ht="15.75" customHeight="1"/>
    <row r="3428" ht="15.75" customHeight="1"/>
    <row r="3429" ht="15.75" customHeight="1"/>
    <row r="3430" ht="15.75" customHeight="1"/>
    <row r="3431" ht="15.75" customHeight="1"/>
    <row r="3432" ht="15.75" customHeight="1"/>
    <row r="3433" ht="15.75" customHeight="1"/>
    <row r="3434" ht="15.75" customHeight="1"/>
    <row r="3435" ht="15.75" customHeight="1"/>
    <row r="3436" ht="15.75" customHeight="1"/>
    <row r="3437" ht="15.75" customHeight="1"/>
    <row r="3438" ht="15.75" customHeight="1"/>
    <row r="3439" ht="15.75" customHeight="1"/>
    <row r="3440" ht="15.75" customHeight="1"/>
    <row r="3441" ht="15.75" customHeight="1"/>
    <row r="3442" ht="15.75" customHeight="1"/>
    <row r="3443" ht="15.75" customHeight="1"/>
    <row r="3444" ht="15.75" customHeight="1"/>
    <row r="3445" ht="15.75" customHeight="1"/>
    <row r="3446" ht="15.75" customHeight="1"/>
    <row r="3447" ht="15.75" customHeight="1"/>
    <row r="3448" ht="15.75" customHeight="1"/>
    <row r="3449" ht="15.75" customHeight="1"/>
    <row r="3450" ht="15.75" customHeight="1"/>
    <row r="3451" ht="15.75" customHeight="1"/>
    <row r="3452" ht="15.75" customHeight="1"/>
    <row r="3453" ht="15.75" customHeight="1"/>
    <row r="3454" ht="15.75" customHeight="1"/>
    <row r="3455" ht="15.75" customHeight="1"/>
    <row r="3456" ht="15.75" customHeight="1"/>
    <row r="3457" ht="15.75" customHeight="1"/>
    <row r="3458" ht="15.75" customHeight="1"/>
    <row r="3459" ht="15.75" customHeight="1"/>
    <row r="3460" ht="15.75" customHeight="1"/>
    <row r="3461" ht="15.75" customHeight="1"/>
    <row r="3462" ht="15.75" customHeight="1"/>
    <row r="3463" ht="15.75" customHeight="1"/>
    <row r="3464" ht="15.75" customHeight="1"/>
    <row r="3465" ht="15.75" customHeight="1"/>
    <row r="3466" ht="15.75" customHeight="1"/>
    <row r="3467" ht="15.75" customHeight="1"/>
    <row r="3468" ht="15.75" customHeight="1"/>
    <row r="3469" ht="15.75" customHeight="1"/>
    <row r="3470" ht="15.75" customHeight="1"/>
    <row r="3471" ht="15.75" customHeight="1"/>
    <row r="3472" ht="15.75" customHeight="1"/>
    <row r="3473" ht="15.75" customHeight="1"/>
    <row r="3474" ht="15.75" customHeight="1"/>
    <row r="3475" ht="15.75" customHeight="1"/>
    <row r="3476" ht="15.75" customHeight="1"/>
    <row r="3477" ht="15.75" customHeight="1"/>
    <row r="3478" ht="15.75" customHeight="1"/>
    <row r="3479" ht="15.75" customHeight="1"/>
    <row r="3480" ht="15.75" customHeight="1"/>
    <row r="3481" ht="15.75" customHeight="1"/>
    <row r="3482" ht="15.75" customHeight="1"/>
    <row r="3483" ht="15.75" customHeight="1"/>
    <row r="3484" ht="15.75" customHeight="1"/>
    <row r="3485" ht="15.75" customHeight="1"/>
    <row r="3486" ht="15.75" customHeight="1"/>
    <row r="3487" ht="15.75" customHeight="1"/>
    <row r="3488" ht="15.75" customHeight="1"/>
    <row r="3489" ht="15.75" customHeight="1"/>
    <row r="3490" ht="15.75" customHeight="1"/>
    <row r="3491" ht="15.75" customHeight="1"/>
    <row r="3492" ht="15.75" customHeight="1"/>
    <row r="3493" ht="15.75" customHeight="1"/>
    <row r="3494" ht="15.75" customHeight="1"/>
    <row r="3495" ht="15.75" customHeight="1"/>
    <row r="3496" ht="15.75" customHeight="1"/>
    <row r="3497" ht="15.75" customHeight="1"/>
    <row r="3498" ht="15.75" customHeight="1"/>
    <row r="3499" ht="15.75" customHeight="1"/>
    <row r="3500" ht="15.75" customHeight="1"/>
    <row r="3501" ht="15.75" customHeight="1"/>
    <row r="3502" ht="15.75" customHeight="1"/>
    <row r="3503" ht="15.75" customHeight="1"/>
    <row r="3504" ht="15.75" customHeight="1"/>
    <row r="3505" ht="15.75" customHeight="1"/>
    <row r="3506" ht="15.75" customHeight="1"/>
    <row r="3507" ht="15.75" customHeight="1"/>
    <row r="3508" ht="15.75" customHeight="1"/>
    <row r="3509" ht="15.75" customHeight="1"/>
    <row r="3510" ht="15.75" customHeight="1"/>
    <row r="3511" ht="15.75" customHeight="1"/>
    <row r="3512" ht="15.75" customHeight="1"/>
    <row r="3513" ht="15.75" customHeight="1"/>
    <row r="3514" ht="15.75" customHeight="1"/>
    <row r="3515" ht="15.75" customHeight="1"/>
    <row r="3516" ht="15.75" customHeight="1"/>
    <row r="3517" ht="15.75" customHeight="1"/>
    <row r="3518" ht="15.75" customHeight="1"/>
    <row r="3519" ht="15.75" customHeight="1"/>
    <row r="3520" ht="15.75" customHeight="1"/>
    <row r="3521" ht="15.75" customHeight="1"/>
    <row r="3522" ht="15.75" customHeight="1"/>
    <row r="3523" ht="15.75" customHeight="1"/>
    <row r="3524" ht="15.75" customHeight="1"/>
    <row r="3525" ht="15.75" customHeight="1"/>
    <row r="3526" ht="15.75" customHeight="1"/>
    <row r="3527" ht="15.75" customHeight="1"/>
    <row r="3528" ht="15.75" customHeight="1"/>
    <row r="3529" ht="15.75" customHeight="1"/>
    <row r="3530" ht="15.75" customHeight="1"/>
    <row r="3531" ht="15.75" customHeight="1"/>
    <row r="3532" ht="15.75" customHeight="1"/>
    <row r="3533" ht="15.75" customHeight="1"/>
    <row r="3534" ht="15.75" customHeight="1"/>
    <row r="3535" ht="15.75" customHeight="1"/>
    <row r="3536" ht="15.75" customHeight="1"/>
    <row r="3537" ht="15.75" customHeight="1"/>
    <row r="3538" ht="15.75" customHeight="1"/>
    <row r="3539" ht="15.75" customHeight="1"/>
    <row r="3540" ht="15.75" customHeight="1"/>
    <row r="3541" ht="15.75" customHeight="1"/>
    <row r="3542" ht="15.75" customHeight="1"/>
    <row r="3543" ht="15.75" customHeight="1"/>
    <row r="3544" ht="15.75" customHeight="1"/>
    <row r="3545" ht="15.75" customHeight="1"/>
    <row r="3546" ht="15.75" customHeight="1"/>
    <row r="3547" ht="15.75" customHeight="1"/>
    <row r="3548" ht="15.75" customHeight="1"/>
    <row r="3549" ht="15.75" customHeight="1"/>
    <row r="3550" ht="15.75" customHeight="1"/>
    <row r="3551" ht="15.75" customHeight="1"/>
    <row r="3552" ht="15.75" customHeight="1"/>
    <row r="3553" ht="15.75" customHeight="1"/>
    <row r="3554" ht="15.75" customHeight="1"/>
    <row r="3555" ht="15.75" customHeight="1"/>
    <row r="3556" ht="15.75" customHeight="1"/>
    <row r="3557" ht="15.75" customHeight="1"/>
    <row r="3558" ht="15.75" customHeight="1"/>
    <row r="3559" ht="15.75" customHeight="1"/>
    <row r="3560" ht="15.75" customHeight="1"/>
    <row r="3561" ht="15.75" customHeight="1"/>
    <row r="3562" ht="15.75" customHeight="1"/>
    <row r="3563" ht="15.75" customHeight="1"/>
    <row r="3564" ht="15.75" customHeight="1"/>
    <row r="3565" ht="15.75" customHeight="1"/>
    <row r="3566" ht="15.75" customHeight="1"/>
    <row r="3567" ht="15.75" customHeight="1"/>
    <row r="3568" ht="15.75" customHeight="1"/>
    <row r="3569" ht="15.75" customHeight="1"/>
    <row r="3570" ht="15.75" customHeight="1"/>
    <row r="3571" ht="15.75" customHeight="1"/>
    <row r="3572" ht="15.75" customHeight="1"/>
    <row r="3573" ht="15.75" customHeight="1"/>
    <row r="3574" ht="15.75" customHeight="1"/>
    <row r="3575" ht="15.75" customHeight="1"/>
    <row r="3576" ht="15.75" customHeight="1"/>
    <row r="3577" ht="15.75" customHeight="1"/>
    <row r="3578" ht="15.75" customHeight="1"/>
    <row r="3579" ht="15.75" customHeight="1"/>
    <row r="3580" ht="15.75" customHeight="1"/>
    <row r="3581" ht="15.75" customHeight="1"/>
    <row r="3582" ht="15.75" customHeight="1"/>
    <row r="3583" ht="15.75" customHeight="1"/>
    <row r="3584" ht="15.75" customHeight="1"/>
    <row r="3585" ht="15.75" customHeight="1"/>
    <row r="3586" ht="15.75" customHeight="1"/>
    <row r="3587" ht="15.75" customHeight="1"/>
    <row r="3588" ht="15.75" customHeight="1"/>
    <row r="3589" ht="15.75" customHeight="1"/>
    <row r="3590" ht="15.75" customHeight="1"/>
    <row r="3591" ht="15.75" customHeight="1"/>
    <row r="3592" ht="15.75" customHeight="1"/>
    <row r="3593" ht="15.75" customHeight="1"/>
    <row r="3594" ht="15.75" customHeight="1"/>
    <row r="3595" ht="15.75" customHeight="1"/>
    <row r="3596" ht="15.75" customHeight="1"/>
    <row r="3597" ht="15.75" customHeight="1"/>
    <row r="3598" ht="15.75" customHeight="1"/>
    <row r="3599" ht="15.75" customHeight="1"/>
    <row r="3600" ht="15.75" customHeight="1"/>
    <row r="3601" ht="15.75" customHeight="1"/>
    <row r="3602" ht="15.75" customHeight="1"/>
    <row r="3603" ht="15.75" customHeight="1"/>
    <row r="3604" ht="15.75" customHeight="1"/>
    <row r="3605" ht="15.75" customHeight="1"/>
    <row r="3606" ht="15.75" customHeight="1"/>
    <row r="3607" ht="15.75" customHeight="1"/>
    <row r="3608" ht="15.75" customHeight="1"/>
    <row r="3609" ht="15.75" customHeight="1"/>
    <row r="3610" ht="15.75" customHeight="1"/>
    <row r="3611" ht="15.75" customHeight="1"/>
    <row r="3612" ht="15.75" customHeight="1"/>
    <row r="3613" ht="15.75" customHeight="1"/>
    <row r="3614" ht="15.75" customHeight="1"/>
    <row r="3615" ht="15.75" customHeight="1"/>
    <row r="3616" ht="15.75" customHeight="1"/>
    <row r="3617" ht="15.75" customHeight="1"/>
    <row r="3618" ht="15.75" customHeight="1"/>
    <row r="3619" ht="15.75" customHeight="1"/>
    <row r="3620" ht="15.75" customHeight="1"/>
    <row r="3621" ht="15.75" customHeight="1"/>
    <row r="3622" ht="15.75" customHeight="1"/>
    <row r="3623" ht="15.75" customHeight="1"/>
    <row r="3624" ht="15.75" customHeight="1"/>
    <row r="3625" ht="15.75" customHeight="1"/>
    <row r="3626" ht="15.75" customHeight="1"/>
    <row r="3627" ht="15.75" customHeight="1"/>
    <row r="3628" ht="15.75" customHeight="1"/>
    <row r="3629" ht="15.75" customHeight="1"/>
    <row r="3630" ht="15.75" customHeight="1"/>
    <row r="3631" ht="15.75" customHeight="1"/>
    <row r="3632" ht="15.75" customHeight="1"/>
    <row r="3633" ht="15.75" customHeight="1"/>
    <row r="3634" ht="15.75" customHeight="1"/>
    <row r="3635" ht="15.75" customHeight="1"/>
    <row r="3636" ht="15.75" customHeight="1"/>
    <row r="3637" ht="15.75" customHeight="1"/>
    <row r="3638" ht="15.75" customHeight="1"/>
    <row r="3639" ht="15.75" customHeight="1"/>
    <row r="3640" ht="15.75" customHeight="1"/>
    <row r="3641" ht="15.75" customHeight="1"/>
    <row r="3642" ht="15.75" customHeight="1"/>
    <row r="3643" ht="15.75" customHeight="1"/>
    <row r="3644" ht="15.75" customHeight="1"/>
    <row r="3645" ht="15.75" customHeight="1"/>
    <row r="3646" ht="15.75" customHeight="1"/>
    <row r="3647" ht="15.75" customHeight="1"/>
    <row r="3648" ht="15.75" customHeight="1"/>
    <row r="3649" ht="15.75" customHeight="1"/>
    <row r="3650" ht="15.75" customHeight="1"/>
    <row r="3651" ht="15.75" customHeight="1"/>
    <row r="3652" ht="15.75" customHeight="1"/>
    <row r="3653" ht="15.75" customHeight="1"/>
    <row r="3654" ht="15.75" customHeight="1"/>
    <row r="3655" ht="15.75" customHeight="1"/>
    <row r="3656" ht="15.75" customHeight="1"/>
    <row r="3657" ht="15.75" customHeight="1"/>
    <row r="3658" ht="15.75" customHeight="1"/>
    <row r="3659" ht="15.75" customHeight="1"/>
    <row r="3660" ht="15.75" customHeight="1"/>
    <row r="3661" ht="15.75" customHeight="1"/>
    <row r="3662" ht="15.75" customHeight="1"/>
    <row r="3663" ht="15.75" customHeight="1"/>
    <row r="3664" ht="15.75" customHeight="1"/>
    <row r="3665" ht="15.75" customHeight="1"/>
    <row r="3666" ht="15.75" customHeight="1"/>
    <row r="3667" ht="15.75" customHeight="1"/>
    <row r="3668" ht="15.75" customHeight="1"/>
    <row r="3669" ht="15.75" customHeight="1"/>
    <row r="3670" ht="15.75" customHeight="1"/>
    <row r="3671" ht="15.75" customHeight="1"/>
    <row r="3672" ht="15.75" customHeight="1"/>
    <row r="3673" ht="15.75" customHeight="1"/>
    <row r="3674" ht="15.75" customHeight="1"/>
    <row r="3675" ht="15.75" customHeight="1"/>
    <row r="3676" ht="15.75" customHeight="1"/>
    <row r="3677" ht="15.75" customHeight="1"/>
    <row r="3678" ht="15.75" customHeight="1"/>
    <row r="3679" ht="15.75" customHeight="1"/>
    <row r="3680" ht="15.75" customHeight="1"/>
    <row r="3681" ht="15.75" customHeight="1"/>
    <row r="3682" ht="15.75" customHeight="1"/>
    <row r="3683" ht="15.75" customHeight="1"/>
    <row r="3684" ht="15.75" customHeight="1"/>
    <row r="3685" ht="15.75" customHeight="1"/>
    <row r="3686" ht="15.75" customHeight="1"/>
    <row r="3687" ht="15.75" customHeight="1"/>
    <row r="3688" ht="15.75" customHeight="1"/>
    <row r="3689" ht="15.75" customHeight="1"/>
    <row r="3690" ht="15.75" customHeight="1"/>
    <row r="3691" ht="15.75" customHeight="1"/>
    <row r="3692" ht="15.75" customHeight="1"/>
    <row r="3693" ht="15.75" customHeight="1"/>
    <row r="3694" ht="15.75" customHeight="1"/>
    <row r="3695" ht="15.75" customHeight="1"/>
    <row r="3696" ht="15.75" customHeight="1"/>
    <row r="3697" ht="15.75" customHeight="1"/>
    <row r="3698" ht="15.75" customHeight="1"/>
    <row r="3699" ht="15.75" customHeight="1"/>
    <row r="3700" ht="15.75" customHeight="1"/>
    <row r="3701" ht="15.75" customHeight="1"/>
    <row r="3702" ht="15.75" customHeight="1"/>
    <row r="3703" ht="15.75" customHeight="1"/>
    <row r="3704" ht="15.75" customHeight="1"/>
    <row r="3705" ht="15.75" customHeight="1"/>
    <row r="3706" ht="15.75" customHeight="1"/>
    <row r="3707" ht="15.75" customHeight="1"/>
    <row r="3708" ht="15.75" customHeight="1"/>
    <row r="3709" ht="15.75" customHeight="1"/>
    <row r="3710" ht="15.75" customHeight="1"/>
    <row r="3711" ht="15.75" customHeight="1"/>
    <row r="3712" ht="15.75" customHeight="1"/>
    <row r="3713" ht="15.75" customHeight="1"/>
    <row r="3714" ht="15.75" customHeight="1"/>
    <row r="3715" ht="15.75" customHeight="1"/>
    <row r="3716" ht="15.75" customHeight="1"/>
    <row r="3717" ht="15.75" customHeight="1"/>
    <row r="3718" ht="15.75" customHeight="1"/>
    <row r="3719" ht="15.75" customHeight="1"/>
    <row r="3720" ht="15.75" customHeight="1"/>
    <row r="3721" ht="15.75" customHeight="1"/>
    <row r="3722" ht="15.75" customHeight="1"/>
    <row r="3723" ht="15.75" customHeight="1"/>
    <row r="3724" ht="15.75" customHeight="1"/>
    <row r="3725" ht="15.75" customHeight="1"/>
    <row r="3726" ht="15.75" customHeight="1"/>
    <row r="3727" ht="15.75" customHeight="1"/>
    <row r="3728" ht="15.75" customHeight="1"/>
    <row r="3729" ht="15.75" customHeight="1"/>
    <row r="3730" ht="15.75" customHeight="1"/>
    <row r="3731" ht="15.75" customHeight="1"/>
    <row r="3732" ht="15.75" customHeight="1"/>
    <row r="3733" ht="15.75" customHeight="1"/>
    <row r="3734" ht="15.75" customHeight="1"/>
    <row r="3735" ht="15.75" customHeight="1"/>
    <row r="3736" ht="15.75" customHeight="1"/>
    <row r="3737" ht="15.75" customHeight="1"/>
    <row r="3738" ht="15.75" customHeight="1"/>
    <row r="3739" ht="15.75" customHeight="1"/>
    <row r="3740" ht="15.75" customHeight="1"/>
    <row r="3741" ht="15.75" customHeight="1"/>
    <row r="3742" ht="15.75" customHeight="1"/>
    <row r="3743" ht="15.75" customHeight="1"/>
    <row r="3744" ht="15.75" customHeight="1"/>
    <row r="3745" ht="15.75" customHeight="1"/>
    <row r="3746" ht="15.75" customHeight="1"/>
    <row r="3747" ht="15.75" customHeight="1"/>
    <row r="3748" ht="15.75" customHeight="1"/>
    <row r="3749" ht="15.75" customHeight="1"/>
    <row r="3750" ht="15.75" customHeight="1"/>
    <row r="3751" ht="15.75" customHeight="1"/>
    <row r="3752" ht="15.75" customHeight="1"/>
    <row r="3753" ht="15.75" customHeight="1"/>
    <row r="3754" ht="15.75" customHeight="1"/>
    <row r="3755" ht="15.75" customHeight="1"/>
    <row r="3756" ht="15.75" customHeight="1"/>
    <row r="3757" ht="15.75" customHeight="1"/>
    <row r="3758" ht="15.75" customHeight="1"/>
    <row r="3759" ht="15.75" customHeight="1"/>
    <row r="3760" ht="15.75" customHeight="1"/>
    <row r="3761" ht="15.75" customHeight="1"/>
    <row r="3762" ht="15.75" customHeight="1"/>
    <row r="3763" ht="15.75" customHeight="1"/>
    <row r="3764" ht="15.75" customHeight="1"/>
    <row r="3765" ht="15.75" customHeight="1"/>
    <row r="3766" ht="15.75" customHeight="1"/>
    <row r="3767" ht="15.75" customHeight="1"/>
    <row r="3768" ht="15.75" customHeight="1"/>
    <row r="3769" ht="15.75" customHeight="1"/>
    <row r="3770" ht="15.75" customHeight="1"/>
    <row r="3771" ht="15.75" customHeight="1"/>
    <row r="3772" ht="15.75" customHeight="1"/>
    <row r="3773" ht="15.75" customHeight="1"/>
    <row r="3774" ht="15.75" customHeight="1"/>
    <row r="3775" ht="15.75" customHeight="1"/>
    <row r="3776" ht="15.75" customHeight="1"/>
    <row r="3777" ht="15.75" customHeight="1"/>
    <row r="3778" ht="15.75" customHeight="1"/>
    <row r="3779" ht="15.75" customHeight="1"/>
    <row r="3780" ht="15.75" customHeight="1"/>
    <row r="3781" ht="15.75" customHeight="1"/>
    <row r="3782" ht="15.75" customHeight="1"/>
    <row r="3783" ht="15.75" customHeight="1"/>
    <row r="3784" ht="15.75" customHeight="1"/>
    <row r="3785" ht="15.75" customHeight="1"/>
    <row r="3786" ht="15.75" customHeight="1"/>
    <row r="3787" ht="15.75" customHeight="1"/>
    <row r="3788" ht="15.75" customHeight="1"/>
    <row r="3789" ht="15.75" customHeight="1"/>
    <row r="3790" ht="15.75" customHeight="1"/>
    <row r="3791" ht="15.75" customHeight="1"/>
    <row r="3792" ht="15.75" customHeight="1"/>
    <row r="3793" ht="15.75" customHeight="1"/>
    <row r="3794" ht="15.75" customHeight="1"/>
    <row r="3795" ht="15.75" customHeight="1"/>
    <row r="3796" ht="15.75" customHeight="1"/>
    <row r="3797" ht="15.75" customHeight="1"/>
    <row r="3798" ht="15.75" customHeight="1"/>
    <row r="3799" ht="15.75" customHeight="1"/>
    <row r="3800" ht="15.75" customHeight="1"/>
    <row r="3801" ht="15.75" customHeight="1"/>
    <row r="3802" ht="15.75" customHeight="1"/>
    <row r="3803" ht="15.75" customHeight="1"/>
    <row r="3804" ht="15.75" customHeight="1"/>
    <row r="3805" ht="15.75" customHeight="1"/>
    <row r="3806" ht="15.75" customHeight="1"/>
    <row r="3807" ht="15.75" customHeight="1"/>
    <row r="3808" ht="15.75" customHeight="1"/>
    <row r="3809" ht="15.75" customHeight="1"/>
    <row r="3810" ht="15.75" customHeight="1"/>
    <row r="3811" ht="15.75" customHeight="1"/>
    <row r="3812" ht="15.75" customHeight="1"/>
    <row r="3813" ht="15.75" customHeight="1"/>
    <row r="3814" ht="15.75" customHeight="1"/>
    <row r="3815" ht="15.75" customHeight="1"/>
    <row r="3816" ht="15.75" customHeight="1"/>
    <row r="3817" ht="15.75" customHeight="1"/>
    <row r="3818" ht="15.75" customHeight="1"/>
    <row r="3819" ht="15.75" customHeight="1"/>
    <row r="3820" ht="15.75" customHeight="1"/>
    <row r="3821" ht="15.75" customHeight="1"/>
    <row r="3822" ht="15.75" customHeight="1"/>
    <row r="3823" ht="15.75" customHeight="1"/>
    <row r="3824" ht="15.75" customHeight="1"/>
    <row r="3825" ht="15.75" customHeight="1"/>
    <row r="3826" ht="15.75" customHeight="1"/>
    <row r="3827" ht="15.75" customHeight="1"/>
    <row r="3828" ht="15.75" customHeight="1"/>
    <row r="3829" ht="15.75" customHeight="1"/>
    <row r="3830" ht="15.75" customHeight="1"/>
    <row r="3831" ht="15.75" customHeight="1"/>
    <row r="3832" ht="15.75" customHeight="1"/>
    <row r="3833" ht="15.75" customHeight="1"/>
    <row r="3834" ht="15.75" customHeight="1"/>
    <row r="3835" ht="15.75" customHeight="1"/>
    <row r="3836" ht="15.75" customHeight="1"/>
    <row r="3837" ht="15.75" customHeight="1"/>
    <row r="3838" ht="15.75" customHeight="1"/>
    <row r="3839" ht="15.75" customHeight="1"/>
    <row r="3840" ht="15.75" customHeight="1"/>
    <row r="3841" ht="15.75" customHeight="1"/>
    <row r="3842" ht="15.75" customHeight="1"/>
    <row r="3843" ht="15.75" customHeight="1"/>
    <row r="3844" ht="15.75" customHeight="1"/>
    <row r="3845" ht="15.75" customHeight="1"/>
    <row r="3846" ht="15.75" customHeight="1"/>
    <row r="3847" ht="15.75" customHeight="1"/>
    <row r="3848" ht="15.75" customHeight="1"/>
    <row r="3849" ht="15.75" customHeight="1"/>
    <row r="3850" ht="15.75" customHeight="1"/>
    <row r="3851" ht="15.75" customHeight="1"/>
    <row r="3852" ht="15.75" customHeight="1"/>
    <row r="3853" ht="15.75" customHeight="1"/>
    <row r="3854" ht="15.75" customHeight="1"/>
    <row r="3855" ht="15.75" customHeight="1"/>
    <row r="3856" ht="15.75" customHeight="1"/>
    <row r="3857" ht="15.75" customHeight="1"/>
    <row r="3858" ht="15.75" customHeight="1"/>
    <row r="3859" ht="15.75" customHeight="1"/>
    <row r="3860" ht="15.75" customHeight="1"/>
    <row r="3861" ht="15.75" customHeight="1"/>
    <row r="3862" ht="15.75" customHeight="1"/>
    <row r="3863" ht="15.75" customHeight="1"/>
    <row r="3864" ht="15.75" customHeight="1"/>
    <row r="3865" ht="15.75" customHeight="1"/>
    <row r="3866" ht="15.75" customHeight="1"/>
    <row r="3867" ht="15.75" customHeight="1"/>
    <row r="3868" ht="15.75" customHeight="1"/>
    <row r="3869" ht="15.75" customHeight="1"/>
    <row r="3870" ht="15.75" customHeight="1"/>
    <row r="3871" ht="15.75" customHeight="1"/>
    <row r="3872" ht="15.75" customHeight="1"/>
    <row r="3873" ht="15.75" customHeight="1"/>
    <row r="3874" ht="15.75" customHeight="1"/>
    <row r="3875" ht="15.75" customHeight="1"/>
    <row r="3876" ht="15.75" customHeight="1"/>
    <row r="3877" ht="15.75" customHeight="1"/>
    <row r="3878" ht="15.75" customHeight="1"/>
    <row r="3879" ht="15.75" customHeight="1"/>
    <row r="3880" ht="15.75" customHeight="1"/>
    <row r="3881" ht="15.75" customHeight="1"/>
    <row r="3882" ht="15.75" customHeight="1"/>
    <row r="3883" ht="15.75" customHeight="1"/>
    <row r="3884" ht="15.75" customHeight="1"/>
    <row r="3885" ht="15.75" customHeight="1"/>
    <row r="3886" ht="15.75" customHeight="1"/>
    <row r="3887" ht="15.75" customHeight="1"/>
    <row r="3888" ht="15.75" customHeight="1"/>
    <row r="3889" ht="15.75" customHeight="1"/>
    <row r="3890" ht="15.75" customHeight="1"/>
    <row r="3891" ht="15.75" customHeight="1"/>
    <row r="3892" ht="15.75" customHeight="1"/>
    <row r="3893" ht="15.75" customHeight="1"/>
    <row r="3894" ht="15.75" customHeight="1"/>
    <row r="3895" ht="15.75" customHeight="1"/>
    <row r="3896" ht="15.75" customHeight="1"/>
    <row r="3897" ht="15.75" customHeight="1"/>
    <row r="3898" ht="15.75" customHeight="1"/>
    <row r="3899" ht="15.75" customHeight="1"/>
    <row r="3900" ht="15.75" customHeight="1"/>
    <row r="3901" ht="15.75" customHeight="1"/>
    <row r="3902" ht="15.75" customHeight="1"/>
    <row r="3903" ht="15.75" customHeight="1"/>
    <row r="3904" ht="15.75" customHeight="1"/>
    <row r="3905" ht="15.75" customHeight="1"/>
    <row r="3906" ht="15.75" customHeight="1"/>
    <row r="3907" ht="15.75" customHeight="1"/>
    <row r="3908" ht="15.75" customHeight="1"/>
    <row r="3909" ht="15.75" customHeight="1"/>
    <row r="3910" ht="15.75" customHeight="1"/>
    <row r="3911" ht="15.75" customHeight="1"/>
    <row r="3912" ht="15.75" customHeight="1"/>
    <row r="3913" ht="15.75" customHeight="1"/>
    <row r="3914" ht="15.75" customHeight="1"/>
    <row r="3915" ht="15.75" customHeight="1"/>
    <row r="3916" ht="15.75" customHeight="1"/>
    <row r="3917" ht="15.75" customHeight="1"/>
    <row r="3918" ht="15.75" customHeight="1"/>
    <row r="3919" ht="15.75" customHeight="1"/>
    <row r="3920" ht="15.75" customHeight="1"/>
    <row r="3921" ht="15.75" customHeight="1"/>
    <row r="3922" ht="15.75" customHeight="1"/>
    <row r="3923" ht="15.75" customHeight="1"/>
    <row r="3924" ht="15.75" customHeight="1"/>
    <row r="3925" ht="15.75" customHeight="1"/>
    <row r="3926" ht="15.75" customHeight="1"/>
    <row r="3927" ht="15.75" customHeight="1"/>
    <row r="3928" ht="15.75" customHeight="1"/>
    <row r="3929" ht="15.75" customHeight="1"/>
    <row r="3930" ht="15.75" customHeight="1"/>
    <row r="3931" ht="15.75" customHeight="1"/>
    <row r="3932" ht="15.75" customHeight="1"/>
    <row r="3933" ht="15.75" customHeight="1"/>
    <row r="3934" ht="15.75" customHeight="1"/>
    <row r="3935" ht="15.75" customHeight="1"/>
    <row r="3936" ht="15.75" customHeight="1"/>
    <row r="3937" ht="15.75" customHeight="1"/>
    <row r="3938" ht="15.75" customHeight="1"/>
    <row r="3939" ht="15.75" customHeight="1"/>
    <row r="3940" ht="15.75" customHeight="1"/>
    <row r="3941" ht="15.75" customHeight="1"/>
    <row r="3942" ht="15.75" customHeight="1"/>
    <row r="3943" ht="15.75" customHeight="1"/>
    <row r="3944" ht="15.75" customHeight="1"/>
    <row r="3945" ht="15.75" customHeight="1"/>
    <row r="3946" ht="15.75" customHeight="1"/>
    <row r="3947" ht="15.75" customHeight="1"/>
    <row r="3948" ht="15.75" customHeight="1"/>
    <row r="3949" ht="15.75" customHeight="1"/>
    <row r="3950" ht="15.75" customHeight="1"/>
    <row r="3951" ht="15.75" customHeight="1"/>
    <row r="3952" ht="15.75" customHeight="1"/>
    <row r="3953" ht="15.75" customHeight="1"/>
    <row r="3954" ht="15.75" customHeight="1"/>
    <row r="3955" ht="15.75" customHeight="1"/>
    <row r="3956" ht="15.75" customHeight="1"/>
    <row r="3957" ht="15.75" customHeight="1"/>
    <row r="3958" ht="15.75" customHeight="1"/>
    <row r="3959" ht="15.75" customHeight="1"/>
    <row r="3960" ht="15.75" customHeight="1"/>
    <row r="3961" ht="15.75" customHeight="1"/>
    <row r="3962" ht="15.75" customHeight="1"/>
    <row r="3963" ht="15.75" customHeight="1"/>
    <row r="3964" ht="15.75" customHeight="1"/>
    <row r="3965" ht="15.75" customHeight="1"/>
    <row r="3966" ht="15.75" customHeight="1"/>
    <row r="3967" ht="15.75" customHeight="1"/>
    <row r="3968" ht="15.75" customHeight="1"/>
    <row r="3969" ht="15.75" customHeight="1"/>
    <row r="3970" ht="15.75" customHeight="1"/>
    <row r="3971" ht="15.75" customHeight="1"/>
    <row r="3972" ht="15.75" customHeight="1"/>
    <row r="3973" ht="15.75" customHeight="1"/>
    <row r="3974" ht="15.75" customHeight="1"/>
    <row r="3975" ht="15.75" customHeight="1"/>
    <row r="3976" ht="15.75" customHeight="1"/>
    <row r="3977" ht="15.75" customHeight="1"/>
    <row r="3978" ht="15.75" customHeight="1"/>
    <row r="3979" ht="15.75" customHeight="1"/>
    <row r="3980" ht="15.75" customHeight="1"/>
    <row r="3981" ht="15.75" customHeight="1"/>
    <row r="3982" ht="15.75" customHeight="1"/>
    <row r="3983" ht="15.75" customHeight="1"/>
    <row r="3984" ht="15.75" customHeight="1"/>
    <row r="3985" ht="15.75" customHeight="1"/>
    <row r="3986" ht="15.75" customHeight="1"/>
    <row r="3987" ht="15.75" customHeight="1"/>
    <row r="3988" ht="15.75" customHeight="1"/>
    <row r="3989" ht="15.75" customHeight="1"/>
    <row r="3990" ht="15.75" customHeight="1"/>
    <row r="3991" ht="15.75" customHeight="1"/>
    <row r="3992" ht="15.75" customHeight="1"/>
    <row r="3993" ht="15.75" customHeight="1"/>
    <row r="3994" ht="15.75" customHeight="1"/>
    <row r="3995" ht="15.75" customHeight="1"/>
    <row r="3996" ht="15.75" customHeight="1"/>
    <row r="3997" ht="15.75" customHeight="1"/>
    <row r="3998" ht="15.75" customHeight="1"/>
    <row r="3999" ht="15.75" customHeight="1"/>
    <row r="4000" ht="15.75" customHeight="1"/>
    <row r="4001" ht="15.75" customHeight="1"/>
    <row r="4002" ht="15.75" customHeight="1"/>
    <row r="4003" ht="15.75" customHeight="1"/>
    <row r="4004" ht="15.75" customHeight="1"/>
    <row r="4005" ht="15.75" customHeight="1"/>
    <row r="4006" ht="15.75" customHeight="1"/>
    <row r="4007" ht="15.75" customHeight="1"/>
    <row r="4008" ht="15.75" customHeight="1"/>
    <row r="4009" ht="15.75" customHeight="1"/>
    <row r="4010" ht="15.75" customHeight="1"/>
    <row r="4011" ht="15.75" customHeight="1"/>
    <row r="4012" ht="15.75" customHeight="1"/>
    <row r="4013" ht="15.75" customHeight="1"/>
    <row r="4014" ht="15.75" customHeight="1"/>
    <row r="4015" ht="15.75" customHeight="1"/>
    <row r="4016" ht="15.75" customHeight="1"/>
    <row r="4017" ht="15.75" customHeight="1"/>
    <row r="4018" ht="15.75" customHeight="1"/>
    <row r="4019" ht="15.75" customHeight="1"/>
    <row r="4020" ht="15.75" customHeight="1"/>
    <row r="4021" ht="15.75" customHeight="1"/>
    <row r="4022" ht="15.75" customHeight="1"/>
    <row r="4023" ht="15.75" customHeight="1"/>
    <row r="4024" ht="15.75" customHeight="1"/>
    <row r="4025" ht="15.75" customHeight="1"/>
    <row r="4026" ht="15.75" customHeight="1"/>
    <row r="4027" ht="15.75" customHeight="1"/>
    <row r="4028" ht="15.75" customHeight="1"/>
    <row r="4029" ht="15.75" customHeight="1"/>
    <row r="4030" ht="15.75" customHeight="1"/>
    <row r="4031" ht="15.75" customHeight="1"/>
    <row r="4032" ht="15.75" customHeight="1"/>
    <row r="4033" ht="15.75" customHeight="1"/>
    <row r="4034" ht="15.75" customHeight="1"/>
    <row r="4035" ht="15.75" customHeight="1"/>
    <row r="4036" ht="15.75" customHeight="1"/>
    <row r="4037" ht="15.75" customHeight="1"/>
    <row r="4038" ht="15.75" customHeight="1"/>
    <row r="4039" ht="15.75" customHeight="1"/>
    <row r="4040" ht="15.75" customHeight="1"/>
    <row r="4041" ht="15.75" customHeight="1"/>
    <row r="4042" ht="15.75" customHeight="1"/>
    <row r="4043" ht="15.75" customHeight="1"/>
    <row r="4044" ht="15.75" customHeight="1"/>
    <row r="4045" ht="15.75" customHeight="1"/>
    <row r="4046" ht="15.75" customHeight="1"/>
    <row r="4047" ht="15.75" customHeight="1"/>
    <row r="4048" ht="15.75" customHeight="1"/>
    <row r="4049" ht="15.75" customHeight="1"/>
    <row r="4050" ht="15.75" customHeight="1"/>
    <row r="4051" ht="15.75" customHeight="1"/>
    <row r="4052" ht="15.75" customHeight="1"/>
    <row r="4053" ht="15.75" customHeight="1"/>
    <row r="4054" ht="15.75" customHeight="1"/>
    <row r="4055" ht="15.75" customHeight="1"/>
    <row r="4056" ht="15.75" customHeight="1"/>
    <row r="4057" ht="15.75" customHeight="1"/>
    <row r="4058" ht="15.75" customHeight="1"/>
    <row r="4059" ht="15.75" customHeight="1"/>
    <row r="4060" ht="15.75" customHeight="1"/>
    <row r="4061" ht="15.75" customHeight="1"/>
    <row r="4062" ht="15.75" customHeight="1"/>
    <row r="4063" ht="15.75" customHeight="1"/>
    <row r="4064" ht="15.75" customHeight="1"/>
    <row r="4065" ht="15.75" customHeight="1"/>
    <row r="4066" ht="15.75" customHeight="1"/>
    <row r="4067" ht="15.75" customHeight="1"/>
    <row r="4068" ht="15.75" customHeight="1"/>
    <row r="4069" ht="15.75" customHeight="1"/>
    <row r="4070" ht="15.75" customHeight="1"/>
    <row r="4071" ht="15.75" customHeight="1"/>
    <row r="4072" ht="15.75" customHeight="1"/>
    <row r="4073" ht="15.75" customHeight="1"/>
    <row r="4074" ht="15.75" customHeight="1"/>
    <row r="4075" ht="15.75" customHeight="1"/>
    <row r="4076" ht="15.75" customHeight="1"/>
    <row r="4077" ht="15.75" customHeight="1"/>
    <row r="4078" ht="15.75" customHeight="1"/>
    <row r="4079" ht="15.75" customHeight="1"/>
    <row r="4080" ht="15.75" customHeight="1"/>
    <row r="4081" ht="15.75" customHeight="1"/>
    <row r="4082" ht="15.75" customHeight="1"/>
    <row r="4083" ht="15.75" customHeight="1"/>
    <row r="4084" ht="15.75" customHeight="1"/>
    <row r="4085" ht="15.75" customHeight="1"/>
    <row r="4086" ht="15.75" customHeight="1"/>
    <row r="4087" ht="15.75" customHeight="1"/>
    <row r="4088" ht="15.75" customHeight="1"/>
    <row r="4089" ht="15.75" customHeight="1"/>
    <row r="4090" ht="15.75" customHeight="1"/>
    <row r="4091" ht="15.75" customHeight="1"/>
    <row r="4092" ht="15.75" customHeight="1"/>
    <row r="4093" ht="15.75" customHeight="1"/>
    <row r="4094" ht="15.75" customHeight="1"/>
    <row r="4095" ht="15.75" customHeight="1"/>
    <row r="4096" ht="15.75" customHeight="1"/>
    <row r="4097" ht="15.75" customHeight="1"/>
    <row r="4098" ht="15.75" customHeight="1"/>
    <row r="4099" ht="15.75" customHeight="1"/>
    <row r="4100" ht="15.75" customHeight="1"/>
    <row r="4101" ht="15.75" customHeight="1"/>
    <row r="4102" ht="15.75" customHeight="1"/>
    <row r="4103" ht="15.75" customHeight="1"/>
    <row r="4104" ht="15.75" customHeight="1"/>
    <row r="4105" ht="15.75" customHeight="1"/>
    <row r="4106" ht="15.75" customHeight="1"/>
    <row r="4107" ht="15.75" customHeight="1"/>
    <row r="4108" ht="15.75" customHeight="1"/>
    <row r="4109" ht="15.75" customHeight="1"/>
    <row r="4110" ht="15.75" customHeight="1"/>
    <row r="4111" ht="15.75" customHeight="1"/>
    <row r="4112" ht="15.75" customHeight="1"/>
    <row r="4113" ht="15.75" customHeight="1"/>
    <row r="4114" ht="15.75" customHeight="1"/>
    <row r="4115" ht="15.75" customHeight="1"/>
    <row r="4116" ht="15.75" customHeight="1"/>
    <row r="4117" ht="15.75" customHeight="1"/>
    <row r="4118" ht="15.75" customHeight="1"/>
    <row r="4119" ht="15.75" customHeight="1"/>
    <row r="4120" ht="15.75" customHeight="1"/>
    <row r="4121" ht="15.75" customHeight="1"/>
    <row r="4122" ht="15.75" customHeight="1"/>
    <row r="4123" ht="15.75" customHeight="1"/>
    <row r="4124" ht="15.75" customHeight="1"/>
    <row r="4125" ht="15.75" customHeight="1"/>
    <row r="4126" ht="15.75" customHeight="1"/>
    <row r="4127" ht="15.75" customHeight="1"/>
    <row r="4128" ht="15.75" customHeight="1"/>
    <row r="4129" ht="15.75" customHeight="1"/>
    <row r="4130" ht="15.75" customHeight="1"/>
    <row r="4131" ht="15.75" customHeight="1"/>
    <row r="4132" ht="15.75" customHeight="1"/>
    <row r="4133" ht="15.75" customHeight="1"/>
    <row r="4134" ht="15.75" customHeight="1"/>
    <row r="4135" ht="15.75" customHeight="1"/>
    <row r="4136" ht="15.75" customHeight="1"/>
    <row r="4137" ht="15.75" customHeight="1"/>
    <row r="4138" ht="15.75" customHeight="1"/>
    <row r="4139" ht="15.75" customHeight="1"/>
    <row r="4140" ht="15.75" customHeight="1"/>
    <row r="4141" ht="15.75" customHeight="1"/>
    <row r="4142" ht="15.75" customHeight="1"/>
    <row r="4143" ht="15.75" customHeight="1"/>
    <row r="4144" ht="15.75" customHeight="1"/>
    <row r="4145" ht="15.75" customHeight="1"/>
    <row r="4146" ht="15.75" customHeight="1"/>
    <row r="4147" ht="15.75" customHeight="1"/>
    <row r="4148" ht="15.75" customHeight="1"/>
    <row r="4149" ht="15.75" customHeight="1"/>
    <row r="4150" ht="15.75" customHeight="1"/>
    <row r="4151" ht="15.75" customHeight="1"/>
    <row r="4152" ht="15.75" customHeight="1"/>
    <row r="4153" ht="15.75" customHeight="1"/>
    <row r="4154" ht="15.75" customHeight="1"/>
    <row r="4155" ht="15.75" customHeight="1"/>
    <row r="4156" ht="15.75" customHeight="1"/>
    <row r="4157" ht="15.75" customHeight="1"/>
    <row r="4158" ht="15.75" customHeight="1"/>
    <row r="4159" ht="15.75" customHeight="1"/>
    <row r="4160" ht="15.75" customHeight="1"/>
    <row r="4161" ht="15.75" customHeight="1"/>
    <row r="4162" ht="15.75" customHeight="1"/>
    <row r="4163" ht="15.75" customHeight="1"/>
    <row r="4164" ht="15.75" customHeight="1"/>
    <row r="4165" ht="15.75" customHeight="1"/>
    <row r="4166" ht="15.75" customHeight="1"/>
    <row r="4167" ht="15.75" customHeight="1"/>
    <row r="4168" ht="15.75" customHeight="1"/>
    <row r="4169" ht="15.75" customHeight="1"/>
    <row r="4170" ht="15.75" customHeight="1"/>
    <row r="4171" ht="15.75" customHeight="1"/>
    <row r="4172" ht="15.75" customHeight="1"/>
    <row r="4173" ht="15.75" customHeight="1"/>
    <row r="4174" ht="15.75" customHeight="1"/>
    <row r="4175" ht="15.75" customHeight="1"/>
    <row r="4176" ht="15.75" customHeight="1"/>
    <row r="4177" ht="15.75" customHeight="1"/>
    <row r="4178" ht="15.75" customHeight="1"/>
    <row r="4179" ht="15.75" customHeight="1"/>
    <row r="4180" ht="15.75" customHeight="1"/>
    <row r="4181" ht="15.75" customHeight="1"/>
    <row r="4182" ht="15.75" customHeight="1"/>
    <row r="4183" ht="15.75" customHeight="1"/>
    <row r="4184" ht="15.75" customHeight="1"/>
    <row r="4185" ht="15.75" customHeight="1"/>
    <row r="4186" ht="15.75" customHeight="1"/>
    <row r="4187" ht="15.75" customHeight="1"/>
    <row r="4188" ht="15.75" customHeight="1"/>
    <row r="4189" ht="15.75" customHeight="1"/>
    <row r="4190" ht="15.75" customHeight="1"/>
    <row r="4191" ht="15.75" customHeight="1"/>
    <row r="4192" ht="15.75" customHeight="1"/>
    <row r="4193" ht="15.75" customHeight="1"/>
    <row r="4194" ht="15.75" customHeight="1"/>
    <row r="4195" ht="15.75" customHeight="1"/>
    <row r="4196" ht="15.75" customHeight="1"/>
    <row r="4197" ht="15.75" customHeight="1"/>
    <row r="4198" ht="15.75" customHeight="1"/>
    <row r="4199" ht="15.75" customHeight="1"/>
    <row r="4200" ht="15.75" customHeight="1"/>
    <row r="4201" ht="15.75" customHeight="1"/>
    <row r="4202" ht="15.75" customHeight="1"/>
    <row r="4203" ht="15.75" customHeight="1"/>
    <row r="4204" ht="15.75" customHeight="1"/>
    <row r="4205" ht="15.75" customHeight="1"/>
    <row r="4206" ht="15.75" customHeight="1"/>
    <row r="4207" ht="15.75" customHeight="1"/>
    <row r="4208" ht="15.75" customHeight="1"/>
    <row r="4209" ht="15.75" customHeight="1"/>
    <row r="4210" ht="15.75" customHeight="1"/>
    <row r="4211" ht="15.75" customHeight="1"/>
    <row r="4212" ht="15.75" customHeight="1"/>
    <row r="4213" ht="15.75" customHeight="1"/>
    <row r="4214" ht="15.75" customHeight="1"/>
    <row r="4215" ht="15.75" customHeight="1"/>
    <row r="4216" ht="15.75" customHeight="1"/>
    <row r="4217" ht="15.75" customHeight="1"/>
    <row r="4218" ht="15.75" customHeight="1"/>
    <row r="4219" ht="15.75" customHeight="1"/>
    <row r="4220" ht="15.75" customHeight="1"/>
    <row r="4221" ht="15.75" customHeight="1"/>
    <row r="4222" ht="15.75" customHeight="1"/>
    <row r="4223" ht="15.75" customHeight="1"/>
    <row r="4224" ht="15.75" customHeight="1"/>
    <row r="4225" ht="15.75" customHeight="1"/>
    <row r="4226" ht="15.75" customHeight="1"/>
    <row r="4227" ht="15.75" customHeight="1"/>
    <row r="4228" ht="15.75" customHeight="1"/>
    <row r="4229" ht="15.75" customHeight="1"/>
    <row r="4230" ht="15.75" customHeight="1"/>
    <row r="4231" ht="15.75" customHeight="1"/>
    <row r="4232" ht="15.75" customHeight="1"/>
    <row r="4233" ht="15.75" customHeight="1"/>
    <row r="4234" ht="15.75" customHeight="1"/>
    <row r="4235" ht="15.75" customHeight="1"/>
    <row r="4236" ht="15.75" customHeight="1"/>
    <row r="4237" ht="15.75" customHeight="1"/>
    <row r="4238" ht="15.75" customHeight="1"/>
    <row r="4239" ht="15.75" customHeight="1"/>
    <row r="4240" ht="15.75" customHeight="1"/>
    <row r="4241" ht="15.75" customHeight="1"/>
    <row r="4242" ht="15.75" customHeight="1"/>
    <row r="4243" ht="15.75" customHeight="1"/>
    <row r="4244" ht="15.75" customHeight="1"/>
    <row r="4245" ht="15.75" customHeight="1"/>
    <row r="4246" ht="15.75" customHeight="1"/>
    <row r="4247" ht="15.75" customHeight="1"/>
    <row r="4248" ht="15.75" customHeight="1"/>
    <row r="4249" ht="15.75" customHeight="1"/>
    <row r="4250" ht="15.75" customHeight="1"/>
    <row r="4251" ht="15.75" customHeight="1"/>
    <row r="4252" ht="15.75" customHeight="1"/>
    <row r="4253" ht="15.75" customHeight="1"/>
    <row r="4254" ht="15.75" customHeight="1"/>
    <row r="4255" ht="15.75" customHeight="1"/>
    <row r="4256" ht="15.75" customHeight="1"/>
    <row r="4257" ht="15.75" customHeight="1"/>
    <row r="4258" ht="15.75" customHeight="1"/>
    <row r="4259" ht="15.75" customHeight="1"/>
    <row r="4260" ht="15.75" customHeight="1"/>
    <row r="4261" ht="15.75" customHeight="1"/>
    <row r="4262" ht="15.75" customHeight="1"/>
    <row r="4263" ht="15.75" customHeight="1"/>
    <row r="4264" ht="15.75" customHeight="1"/>
    <row r="4265" ht="15.75" customHeight="1"/>
    <row r="4266" ht="15.75" customHeight="1"/>
    <row r="4267" ht="15.75" customHeight="1"/>
    <row r="4268" ht="15.75" customHeight="1"/>
    <row r="4269" ht="15.75" customHeight="1"/>
    <row r="4270" ht="15.75" customHeight="1"/>
    <row r="4271" ht="15.75" customHeight="1"/>
    <row r="4272" ht="15.75" customHeight="1"/>
    <row r="4273" ht="15.75" customHeight="1"/>
    <row r="4274" ht="15.75" customHeight="1"/>
    <row r="4275" ht="15.75" customHeight="1"/>
    <row r="4276" ht="15.75" customHeight="1"/>
    <row r="4277" ht="15.75" customHeight="1"/>
    <row r="4278" ht="15.75" customHeight="1"/>
    <row r="4279" ht="15.75" customHeight="1"/>
    <row r="4280" ht="15.75" customHeight="1"/>
    <row r="4281" ht="15.75" customHeight="1"/>
    <row r="4282" ht="15.75" customHeight="1"/>
    <row r="4283" ht="15.75" customHeight="1"/>
    <row r="4284" ht="15.75" customHeight="1"/>
    <row r="4285" ht="15.75" customHeight="1"/>
    <row r="4286" ht="15.75" customHeight="1"/>
    <row r="4287" ht="15.75" customHeight="1"/>
    <row r="4288" ht="15.75" customHeight="1"/>
    <row r="4289" ht="15.75" customHeight="1"/>
    <row r="4290" ht="15.75" customHeight="1"/>
    <row r="4291" ht="15.75" customHeight="1"/>
    <row r="4292" ht="15.75" customHeight="1"/>
    <row r="4293" ht="15.75" customHeight="1"/>
    <row r="4294" ht="15.75" customHeight="1"/>
    <row r="4295" ht="15.75" customHeight="1"/>
    <row r="4296" ht="15.75" customHeight="1"/>
    <row r="4297" ht="15.75" customHeight="1"/>
    <row r="4298" ht="15.75" customHeight="1"/>
    <row r="4299" ht="15.75" customHeight="1"/>
    <row r="4300" ht="15.75" customHeight="1"/>
    <row r="4301" ht="15.75" customHeight="1"/>
    <row r="4302" ht="15.75" customHeight="1"/>
    <row r="4303" ht="15.75" customHeight="1"/>
    <row r="4304" ht="15.75" customHeight="1"/>
    <row r="4305" ht="15.75" customHeight="1"/>
    <row r="4306" ht="15.75" customHeight="1"/>
    <row r="4307" ht="15.75" customHeight="1"/>
    <row r="4308" ht="15.75" customHeight="1"/>
    <row r="4309" ht="15.75" customHeight="1"/>
    <row r="4310" ht="15.75" customHeight="1"/>
    <row r="4311" ht="15.75" customHeight="1"/>
    <row r="4312" ht="15.75" customHeight="1"/>
    <row r="4313" ht="15.75" customHeight="1"/>
    <row r="4314" ht="15.75" customHeight="1"/>
    <row r="4315" ht="15.75" customHeight="1"/>
    <row r="4316" ht="15.75" customHeight="1"/>
    <row r="4317" ht="15.75" customHeight="1"/>
    <row r="4318" ht="15.75" customHeight="1"/>
    <row r="4319" ht="15.75" customHeight="1"/>
    <row r="4320" ht="15.75" customHeight="1"/>
    <row r="4321" ht="15.75" customHeight="1"/>
    <row r="4322" ht="15.75" customHeight="1"/>
    <row r="4323" ht="15.75" customHeight="1"/>
    <row r="4324" ht="15.75" customHeight="1"/>
    <row r="4325" ht="15.75" customHeight="1"/>
    <row r="4326" ht="15.75" customHeight="1"/>
    <row r="4327" ht="15.75" customHeight="1"/>
    <row r="4328" ht="15.75" customHeight="1"/>
    <row r="4329" ht="15.75" customHeight="1"/>
    <row r="4330" ht="15.75" customHeight="1"/>
    <row r="4331" ht="15.75" customHeight="1"/>
    <row r="4332" ht="15.75" customHeight="1"/>
    <row r="4333" ht="15.75" customHeight="1"/>
    <row r="4334" ht="15.75" customHeight="1"/>
    <row r="4335" ht="15.75" customHeight="1"/>
    <row r="4336" ht="15.75" customHeight="1"/>
    <row r="4337" ht="15.75" customHeight="1"/>
    <row r="4338" ht="15.75" customHeight="1"/>
    <row r="4339" ht="15.75" customHeight="1"/>
    <row r="4340" ht="15.75" customHeight="1"/>
    <row r="4341" ht="15.75" customHeight="1"/>
    <row r="4342" ht="15.75" customHeight="1"/>
    <row r="4343" ht="15.75" customHeight="1"/>
    <row r="4344" ht="15.75" customHeight="1"/>
    <row r="4345" ht="15.75" customHeight="1"/>
    <row r="4346" ht="15.75" customHeight="1"/>
    <row r="4347" ht="15.75" customHeight="1"/>
    <row r="4348" ht="15.75" customHeight="1"/>
    <row r="4349" ht="15.75" customHeight="1"/>
    <row r="4350" ht="15.75" customHeight="1"/>
    <row r="4351" ht="15.75" customHeight="1"/>
    <row r="4352" ht="15.75" customHeight="1"/>
    <row r="4353" ht="15.75" customHeight="1"/>
    <row r="4354" ht="15.75" customHeight="1"/>
    <row r="4355" ht="15.75" customHeight="1"/>
    <row r="4356" ht="15.75" customHeight="1"/>
    <row r="4357" ht="15.75" customHeight="1"/>
    <row r="4358" ht="15.75" customHeight="1"/>
    <row r="4359" ht="15.75" customHeight="1"/>
    <row r="4360" ht="15.75" customHeight="1"/>
    <row r="4361" ht="15.75" customHeight="1"/>
    <row r="4362" ht="15.75" customHeight="1"/>
    <row r="4363" ht="15.75" customHeight="1"/>
    <row r="4364" ht="15.75" customHeight="1"/>
    <row r="4365" ht="15.75" customHeight="1"/>
    <row r="4366" ht="15.75" customHeight="1"/>
    <row r="4367" ht="15.75" customHeight="1"/>
    <row r="4368" ht="15.75" customHeight="1"/>
    <row r="4369" ht="15.75" customHeight="1"/>
    <row r="4370" ht="15.75" customHeight="1"/>
    <row r="4371" ht="15.75" customHeight="1"/>
    <row r="4372" ht="15.75" customHeight="1"/>
    <row r="4373" ht="15.75" customHeight="1"/>
    <row r="4374" ht="15.75" customHeight="1"/>
    <row r="4375" ht="15.75" customHeight="1"/>
    <row r="4376" ht="15.75" customHeight="1"/>
    <row r="4377" ht="15.75" customHeight="1"/>
    <row r="4378" ht="15.75" customHeight="1"/>
    <row r="4379" ht="15.75" customHeight="1"/>
    <row r="4380" ht="15.75" customHeight="1"/>
    <row r="4381" ht="15.75" customHeight="1"/>
    <row r="4382" ht="15.75" customHeight="1"/>
    <row r="4383" ht="15.75" customHeight="1"/>
    <row r="4384" ht="15.75" customHeight="1"/>
    <row r="4385" ht="15.75" customHeight="1"/>
    <row r="4386" ht="15.75" customHeight="1"/>
    <row r="4387" ht="15.75" customHeight="1"/>
    <row r="4388" ht="15.75" customHeight="1"/>
    <row r="4389" ht="15.75" customHeight="1"/>
    <row r="4390" ht="15.75" customHeight="1"/>
    <row r="4391" ht="15.75" customHeight="1"/>
    <row r="4392" ht="15.75" customHeight="1"/>
    <row r="4393" ht="15.75" customHeight="1"/>
    <row r="4394" ht="15.75" customHeight="1"/>
    <row r="4395" ht="15.75" customHeight="1"/>
    <row r="4396" ht="15.75" customHeight="1"/>
    <row r="4397" ht="15.75" customHeight="1"/>
    <row r="4398" ht="15.75" customHeight="1"/>
    <row r="4399" ht="15.75" customHeight="1"/>
    <row r="4400" ht="15.75" customHeight="1"/>
    <row r="4401" ht="15.75" customHeight="1"/>
    <row r="4402" ht="15.75" customHeight="1"/>
    <row r="4403" ht="15.75" customHeight="1"/>
    <row r="4404" ht="15.75" customHeight="1"/>
    <row r="4405" ht="15.75" customHeight="1"/>
    <row r="4406" ht="15.75" customHeight="1"/>
    <row r="4407" ht="15.75" customHeight="1"/>
    <row r="4408" ht="15.75" customHeight="1"/>
    <row r="4409" ht="15.75" customHeight="1"/>
    <row r="4410" ht="15.75" customHeight="1"/>
    <row r="4411" ht="15.75" customHeight="1"/>
    <row r="4412" ht="15.75" customHeight="1"/>
    <row r="4413" ht="15.75" customHeight="1"/>
    <row r="4414" ht="15.75" customHeight="1"/>
    <row r="4415" ht="15.75" customHeight="1"/>
    <row r="4416" ht="15.75" customHeight="1"/>
    <row r="4417" ht="15.75" customHeight="1"/>
    <row r="4418" ht="15.75" customHeight="1"/>
    <row r="4419" ht="15.75" customHeight="1"/>
    <row r="4420" ht="15.75" customHeight="1"/>
    <row r="4421" ht="15.75" customHeight="1"/>
    <row r="4422" ht="15.75" customHeight="1"/>
    <row r="4423" ht="15.75" customHeight="1"/>
    <row r="4424" ht="15.75" customHeight="1"/>
    <row r="4425" ht="15.75" customHeight="1"/>
    <row r="4426" ht="15.75" customHeight="1"/>
    <row r="4427" ht="15.75" customHeight="1"/>
    <row r="4428" ht="15.75" customHeight="1"/>
    <row r="4429" ht="15.75" customHeight="1"/>
    <row r="4430" ht="15.75" customHeight="1"/>
    <row r="4431" ht="15.75" customHeight="1"/>
    <row r="4432" ht="15.75" customHeight="1"/>
    <row r="4433" ht="15.75" customHeight="1"/>
    <row r="4434" ht="15.75" customHeight="1"/>
    <row r="4435" ht="15.75" customHeight="1"/>
    <row r="4436" ht="15.75" customHeight="1"/>
    <row r="4437" ht="15.75" customHeight="1"/>
    <row r="4438" ht="15.75" customHeight="1"/>
    <row r="4439" ht="15.75" customHeight="1"/>
    <row r="4440" ht="15.75" customHeight="1"/>
    <row r="4441" ht="15.75" customHeight="1"/>
    <row r="4442" ht="15.75" customHeight="1"/>
    <row r="4443" ht="15.75" customHeight="1"/>
    <row r="4444" ht="15.75" customHeight="1"/>
    <row r="4445" ht="15.75" customHeight="1"/>
    <row r="4446" ht="15.75" customHeight="1"/>
    <row r="4447" ht="15.75" customHeight="1"/>
    <row r="4448" ht="15.75" customHeight="1"/>
    <row r="4449" ht="15.75" customHeight="1"/>
    <row r="4450" ht="15.75" customHeight="1"/>
    <row r="4451" ht="15.75" customHeight="1"/>
    <row r="4452" ht="15.75" customHeight="1"/>
    <row r="4453" ht="15.75" customHeight="1"/>
    <row r="4454" ht="15.75" customHeight="1"/>
    <row r="4455" ht="15.75" customHeight="1"/>
    <row r="4456" ht="15.75" customHeight="1"/>
    <row r="4457" ht="15.75" customHeight="1"/>
    <row r="4458" ht="15.75" customHeight="1"/>
    <row r="4459" ht="15.75" customHeight="1"/>
    <row r="4460" ht="15.75" customHeight="1"/>
    <row r="4461" ht="15.75" customHeight="1"/>
    <row r="4462" ht="15.75" customHeight="1"/>
    <row r="4463" ht="15.75" customHeight="1"/>
    <row r="4464" ht="15.75" customHeight="1"/>
    <row r="4465" ht="15.75" customHeight="1"/>
    <row r="4466" ht="15.75" customHeight="1"/>
    <row r="4467" ht="15.75" customHeight="1"/>
    <row r="4468" ht="15.75" customHeight="1"/>
    <row r="4469" ht="15.75" customHeight="1"/>
    <row r="4470" ht="15.75" customHeight="1"/>
    <row r="4471" ht="15.75" customHeight="1"/>
    <row r="4472" ht="15.75" customHeight="1"/>
    <row r="4473" ht="15.75" customHeight="1"/>
    <row r="4474" ht="15.75" customHeight="1"/>
    <row r="4475" ht="15.75" customHeight="1"/>
    <row r="4476" ht="15.75" customHeight="1"/>
    <row r="4477" ht="15.75" customHeight="1"/>
    <row r="4478" ht="15.75" customHeight="1"/>
    <row r="4479" ht="15.75" customHeight="1"/>
    <row r="4480" ht="15.75" customHeight="1"/>
    <row r="4481" ht="15.75" customHeight="1"/>
    <row r="4482" ht="15.75" customHeight="1"/>
    <row r="4483" ht="15.75" customHeight="1"/>
    <row r="4484" ht="15.75" customHeight="1"/>
    <row r="4485" ht="15.75" customHeight="1"/>
    <row r="4486" ht="15.75" customHeight="1"/>
    <row r="4487" ht="15.75" customHeight="1"/>
    <row r="4488" ht="15.75" customHeight="1"/>
    <row r="4489" ht="15.75" customHeight="1"/>
    <row r="4490" ht="15.75" customHeight="1"/>
    <row r="4491" ht="15.75" customHeight="1"/>
    <row r="4492" ht="15.75" customHeight="1"/>
    <row r="4493" ht="15.75" customHeight="1"/>
    <row r="4494" ht="15.75" customHeight="1"/>
    <row r="4495" ht="15.75" customHeight="1"/>
    <row r="4496" ht="15.75" customHeight="1"/>
    <row r="4497" ht="15.75" customHeight="1"/>
    <row r="4498" ht="15.75" customHeight="1"/>
    <row r="4499" ht="15.75" customHeight="1"/>
    <row r="4500" ht="15.75" customHeight="1"/>
    <row r="4501" ht="15.75" customHeight="1"/>
    <row r="4502" ht="15.75" customHeight="1"/>
    <row r="4503" ht="15.75" customHeight="1"/>
    <row r="4504" ht="15.75" customHeight="1"/>
    <row r="4505" ht="15.75" customHeight="1"/>
    <row r="4506" ht="15.75" customHeight="1"/>
    <row r="4507" ht="15.75" customHeight="1"/>
    <row r="4508" ht="15.75" customHeight="1"/>
    <row r="4509" ht="15.75" customHeight="1"/>
    <row r="4510" ht="15.75" customHeight="1"/>
    <row r="4511" ht="15.75" customHeight="1"/>
    <row r="4512" ht="15.75" customHeight="1"/>
    <row r="4513" ht="15.75" customHeight="1"/>
    <row r="4514" ht="15.75" customHeight="1"/>
    <row r="4515" ht="15.75" customHeight="1"/>
    <row r="4516" ht="15.75" customHeight="1"/>
    <row r="4517" ht="15.75" customHeight="1"/>
    <row r="4518" ht="15.75" customHeight="1"/>
    <row r="4519" ht="15.75" customHeight="1"/>
    <row r="4520" ht="15.75" customHeight="1"/>
    <row r="4521" ht="15.75" customHeight="1"/>
    <row r="4522" ht="15.75" customHeight="1"/>
    <row r="4523" ht="15.75" customHeight="1"/>
    <row r="4524" ht="15.75" customHeight="1"/>
    <row r="4525" ht="15.75" customHeight="1"/>
    <row r="4526" ht="15.75" customHeight="1"/>
    <row r="4527" ht="15.75" customHeight="1"/>
    <row r="4528" ht="15.75" customHeight="1"/>
    <row r="4529" ht="15.75" customHeight="1"/>
    <row r="4530" ht="15.75" customHeight="1"/>
    <row r="4531" ht="15.75" customHeight="1"/>
    <row r="4532" ht="15.75" customHeight="1"/>
    <row r="4533" ht="15.75" customHeight="1"/>
    <row r="4534" ht="15.75" customHeight="1"/>
    <row r="4535" ht="15.75" customHeight="1"/>
    <row r="4536" ht="15.75" customHeight="1"/>
    <row r="4537" ht="15.75" customHeight="1"/>
    <row r="4538" ht="15.75" customHeight="1"/>
    <row r="4539" ht="15.75" customHeight="1"/>
    <row r="4540" ht="15.75" customHeight="1"/>
    <row r="4541" ht="15.75" customHeight="1"/>
    <row r="4542" ht="15.75" customHeight="1"/>
    <row r="4543" ht="15.75" customHeight="1"/>
    <row r="4544" ht="15.75" customHeight="1"/>
    <row r="4545" ht="15.75" customHeight="1"/>
    <row r="4546" ht="15.75" customHeight="1"/>
    <row r="4547" ht="15.75" customHeight="1"/>
    <row r="4548" ht="15.75" customHeight="1"/>
    <row r="4549" ht="15.75" customHeight="1"/>
    <row r="4550" ht="15.75" customHeight="1"/>
    <row r="4551" ht="15.75" customHeight="1"/>
    <row r="4552" ht="15.75" customHeight="1"/>
    <row r="4553" ht="15.75" customHeight="1"/>
    <row r="4554" ht="15.75" customHeight="1"/>
    <row r="4555" ht="15.75" customHeight="1"/>
    <row r="4556" ht="15.75" customHeight="1"/>
    <row r="4557" ht="15.75" customHeight="1"/>
    <row r="4558" ht="15.75" customHeight="1"/>
    <row r="4559" ht="15.75" customHeight="1"/>
    <row r="4560" ht="15.75" customHeight="1"/>
    <row r="4561" ht="15.75" customHeight="1"/>
    <row r="4562" ht="15.75" customHeight="1"/>
    <row r="4563" ht="15.75" customHeight="1"/>
    <row r="4564" ht="15.75" customHeight="1"/>
    <row r="4565" ht="15.75" customHeight="1"/>
    <row r="4566" ht="15.75" customHeight="1"/>
    <row r="4567" ht="15.75" customHeight="1"/>
    <row r="4568" ht="15.75" customHeight="1"/>
    <row r="4569" ht="15.75" customHeight="1"/>
    <row r="4570" ht="15.75" customHeight="1"/>
    <row r="4571" ht="15.75" customHeight="1"/>
    <row r="4572" ht="15.75" customHeight="1"/>
    <row r="4573" ht="15.75" customHeight="1"/>
    <row r="4574" ht="15.75" customHeight="1"/>
    <row r="4575" ht="15.75" customHeight="1"/>
    <row r="4576" ht="15.75" customHeight="1"/>
    <row r="4577" ht="15.75" customHeight="1"/>
    <row r="4578" ht="15.75" customHeight="1"/>
    <row r="4579" ht="15.75" customHeight="1"/>
    <row r="4580" ht="15.75" customHeight="1"/>
    <row r="4581" ht="15.75" customHeight="1"/>
    <row r="4582" ht="15.75" customHeight="1"/>
    <row r="4583" ht="15.75" customHeight="1"/>
    <row r="4584" ht="15.75" customHeight="1"/>
    <row r="4585" ht="15.75" customHeight="1"/>
    <row r="4586" ht="15.75" customHeight="1"/>
    <row r="4587" ht="15.75" customHeight="1"/>
    <row r="4588" ht="15.75" customHeight="1"/>
    <row r="4589" ht="15.75" customHeight="1"/>
    <row r="4590" ht="15.75" customHeight="1"/>
    <row r="4591" ht="15.75" customHeight="1"/>
    <row r="4592" ht="15.75" customHeight="1"/>
    <row r="4593" ht="15.75" customHeight="1"/>
    <row r="4594" ht="15.75" customHeight="1"/>
    <row r="4595" ht="15.75" customHeight="1"/>
    <row r="4596" ht="15.75" customHeight="1"/>
    <row r="4597" ht="15.75" customHeight="1"/>
    <row r="4598" ht="15.75" customHeight="1"/>
    <row r="4599" ht="15.75" customHeight="1"/>
    <row r="4600" ht="15.75" customHeight="1"/>
    <row r="4601" ht="15.75" customHeight="1"/>
    <row r="4602" ht="15.75" customHeight="1"/>
    <row r="4603" ht="15.75" customHeight="1"/>
    <row r="4604" ht="15.75" customHeight="1"/>
    <row r="4605" ht="15.75" customHeight="1"/>
    <row r="4606" ht="15.75" customHeight="1"/>
    <row r="4607" ht="15.75" customHeight="1"/>
    <row r="4608" ht="15.75" customHeight="1"/>
    <row r="4609" ht="15.75" customHeight="1"/>
    <row r="4610" ht="15.75" customHeight="1"/>
    <row r="4611" ht="15.75" customHeight="1"/>
    <row r="4612" ht="15.75" customHeight="1"/>
    <row r="4613" ht="15.75" customHeight="1"/>
    <row r="4614" ht="15.75" customHeight="1"/>
    <row r="4615" ht="15.75" customHeight="1"/>
    <row r="4616" ht="15.75" customHeight="1"/>
    <row r="4617" ht="15.75" customHeight="1"/>
    <row r="4618" ht="15.75" customHeight="1"/>
    <row r="4619" ht="15.75" customHeight="1"/>
    <row r="4620" ht="15.75" customHeight="1"/>
    <row r="4621" ht="15.75" customHeight="1"/>
    <row r="4622" ht="15.75" customHeight="1"/>
    <row r="4623" ht="15.75" customHeight="1"/>
    <row r="4624" ht="15.75" customHeight="1"/>
    <row r="4625" ht="15.75" customHeight="1"/>
    <row r="4626" ht="15.75" customHeight="1"/>
    <row r="4627" ht="15.75" customHeight="1"/>
    <row r="4628" ht="15.75" customHeight="1"/>
    <row r="4629" ht="15.75" customHeight="1"/>
    <row r="4630" ht="15.75" customHeight="1"/>
    <row r="4631" ht="15.75" customHeight="1"/>
    <row r="4632" ht="15.75" customHeight="1"/>
    <row r="4633" ht="15.75" customHeight="1"/>
    <row r="4634" ht="15.75" customHeight="1"/>
    <row r="4635" ht="15.75" customHeight="1"/>
    <row r="4636" ht="15.75" customHeight="1"/>
    <row r="4637" ht="15.75" customHeight="1"/>
    <row r="4638" ht="15.75" customHeight="1"/>
    <row r="4639" ht="15.75" customHeight="1"/>
    <row r="4640" ht="15.75" customHeight="1"/>
    <row r="4641" ht="15.75" customHeight="1"/>
    <row r="4642" ht="15.75" customHeight="1"/>
    <row r="4643" ht="15.75" customHeight="1"/>
    <row r="4644" ht="15.75" customHeight="1"/>
    <row r="4645" ht="15.75" customHeight="1"/>
    <row r="4646" ht="15.75" customHeight="1"/>
    <row r="4647" ht="15.75" customHeight="1"/>
    <row r="4648" ht="15.75" customHeight="1"/>
    <row r="4649" ht="15.75" customHeight="1"/>
    <row r="4650" ht="15.75" customHeight="1"/>
    <row r="4651" ht="15.75" customHeight="1"/>
    <row r="4652" ht="15.75" customHeight="1"/>
    <row r="4653" ht="15.75" customHeight="1"/>
    <row r="4654" ht="15.75" customHeight="1"/>
    <row r="4655" ht="15.75" customHeight="1"/>
    <row r="4656" ht="15.75" customHeight="1"/>
    <row r="4657" ht="15.75" customHeight="1"/>
    <row r="4658" ht="15.75" customHeight="1"/>
    <row r="4659" ht="15.75" customHeight="1"/>
    <row r="4660" ht="15.75" customHeight="1"/>
    <row r="4661" ht="15.75" customHeight="1"/>
    <row r="4662" ht="15.75" customHeight="1"/>
    <row r="4663" ht="15.75" customHeight="1"/>
    <row r="4664" ht="15.75" customHeight="1"/>
    <row r="4665" ht="15.75" customHeight="1"/>
    <row r="4666" ht="15.75" customHeight="1"/>
    <row r="4667" ht="15.75" customHeight="1"/>
    <row r="4668" ht="15.75" customHeight="1"/>
    <row r="4669" ht="15.75" customHeight="1"/>
    <row r="4670" ht="15.75" customHeight="1"/>
    <row r="4671" ht="15.75" customHeight="1"/>
    <row r="4672" ht="15.75" customHeight="1"/>
    <row r="4673" ht="15.75" customHeight="1"/>
    <row r="4674" ht="15.75" customHeight="1"/>
    <row r="4675" ht="15.75" customHeight="1"/>
    <row r="4676" ht="15.75" customHeight="1"/>
    <row r="4677" ht="15.75" customHeight="1"/>
    <row r="4678" ht="15.75" customHeight="1"/>
    <row r="4679" ht="15.75" customHeight="1"/>
    <row r="4680" ht="15.75" customHeight="1"/>
    <row r="4681" ht="15.75" customHeight="1"/>
    <row r="4682" ht="15.75" customHeight="1"/>
    <row r="4683" ht="15.75" customHeight="1"/>
    <row r="4684" ht="15.75" customHeight="1"/>
    <row r="4685" ht="15.75" customHeight="1"/>
    <row r="4686" ht="15.75" customHeight="1"/>
    <row r="4687" ht="15.75" customHeight="1"/>
    <row r="4688" ht="15.75" customHeight="1"/>
    <row r="4689" ht="15.75" customHeight="1"/>
    <row r="4690" ht="15.75" customHeight="1"/>
    <row r="4691" ht="15.75" customHeight="1"/>
    <row r="4692" ht="15.75" customHeight="1"/>
    <row r="4693" ht="15.75" customHeight="1"/>
    <row r="4694" ht="15.75" customHeight="1"/>
    <row r="4695" ht="15.75" customHeight="1"/>
    <row r="4696" ht="15.75" customHeight="1"/>
    <row r="4697" ht="15.75" customHeight="1"/>
    <row r="4698" ht="15.75" customHeight="1"/>
    <row r="4699" ht="15.75" customHeight="1"/>
    <row r="4700" ht="15.75" customHeight="1"/>
    <row r="4701" ht="15.75" customHeight="1"/>
    <row r="4702" ht="15.75" customHeight="1"/>
    <row r="4703" ht="15.75" customHeight="1"/>
    <row r="4704" ht="15.75" customHeight="1"/>
    <row r="4705" ht="15.75" customHeight="1"/>
    <row r="4706" ht="15.75" customHeight="1"/>
    <row r="4707" ht="15.75" customHeight="1"/>
    <row r="4708" ht="15.75" customHeight="1"/>
    <row r="4709" ht="15.75" customHeight="1"/>
    <row r="4710" ht="15.75" customHeight="1"/>
    <row r="4711" ht="15.75" customHeight="1"/>
    <row r="4712" ht="15.75" customHeight="1"/>
    <row r="4713" ht="15.75" customHeight="1"/>
    <row r="4714" ht="15.75" customHeight="1"/>
    <row r="4715" ht="15.75" customHeight="1"/>
    <row r="4716" ht="15.75" customHeight="1"/>
    <row r="4717" ht="15.75" customHeight="1"/>
    <row r="4718" ht="15.75" customHeight="1"/>
    <row r="4719" ht="15.75" customHeight="1"/>
    <row r="4720" ht="15.75" customHeight="1"/>
    <row r="4721" ht="15.75" customHeight="1"/>
    <row r="4722" ht="15.75" customHeight="1"/>
    <row r="4723" ht="15.75" customHeight="1"/>
    <row r="4724" ht="15.75" customHeight="1"/>
    <row r="4725" ht="15.75" customHeight="1"/>
    <row r="4726" ht="15.75" customHeight="1"/>
    <row r="4727" ht="15.75" customHeight="1"/>
    <row r="4728" ht="15.75" customHeight="1"/>
    <row r="4729" ht="15.75" customHeight="1"/>
    <row r="4730" ht="15.75" customHeight="1"/>
    <row r="4731" ht="15.75" customHeight="1"/>
    <row r="4732" ht="15.75" customHeight="1"/>
    <row r="4733" ht="15.75" customHeight="1"/>
    <row r="4734" ht="15.75" customHeight="1"/>
    <row r="4735" ht="15.75" customHeight="1"/>
    <row r="4736" ht="15.75" customHeight="1"/>
    <row r="4737" ht="15.75" customHeight="1"/>
    <row r="4738" ht="15.75" customHeight="1"/>
    <row r="4739" ht="15.75" customHeight="1"/>
    <row r="4740" ht="15.75" customHeight="1"/>
    <row r="4741" ht="15.75" customHeight="1"/>
    <row r="4742" ht="15.75" customHeight="1"/>
    <row r="4743" ht="15.75" customHeight="1"/>
    <row r="4744" ht="15.75" customHeight="1"/>
    <row r="4745" ht="15.75" customHeight="1"/>
    <row r="4746" ht="15.75" customHeight="1"/>
    <row r="4747" ht="15.75" customHeight="1"/>
    <row r="4748" ht="15.75" customHeight="1"/>
    <row r="4749" ht="15.75" customHeight="1"/>
    <row r="4750" ht="15.75" customHeight="1"/>
    <row r="4751" ht="15.75" customHeight="1"/>
    <row r="4752" ht="15.75" customHeight="1"/>
    <row r="4753" ht="15.75" customHeight="1"/>
    <row r="4754" ht="15.75" customHeight="1"/>
    <row r="4755" ht="15.75" customHeight="1"/>
    <row r="4756" ht="15.75" customHeight="1"/>
    <row r="4757" ht="15.75" customHeight="1"/>
    <row r="4758" ht="15.75" customHeight="1"/>
    <row r="4759" ht="15.75" customHeight="1"/>
    <row r="4760" ht="15.75" customHeight="1"/>
    <row r="4761" ht="15.75" customHeight="1"/>
    <row r="4762" ht="15.75" customHeight="1"/>
    <row r="4763" ht="15.75" customHeight="1"/>
    <row r="4764" ht="15.75" customHeight="1"/>
    <row r="4765" ht="15.75" customHeight="1"/>
    <row r="4766" ht="15.75" customHeight="1"/>
    <row r="4767" ht="15.75" customHeight="1"/>
    <row r="4768" ht="15.75" customHeight="1"/>
    <row r="4769" ht="15.75" customHeight="1"/>
    <row r="4770" ht="15.75" customHeight="1"/>
    <row r="4771" ht="15.75" customHeight="1"/>
    <row r="4772" ht="15.75" customHeight="1"/>
    <row r="4773" ht="15.75" customHeight="1"/>
    <row r="4774" ht="15.75" customHeight="1"/>
    <row r="4775" ht="15.75" customHeight="1"/>
    <row r="4776" ht="15.75" customHeight="1"/>
    <row r="4777" ht="15.75" customHeight="1"/>
    <row r="4778" ht="15.75" customHeight="1"/>
    <row r="4779" ht="15.75" customHeight="1"/>
    <row r="4780" ht="15.75" customHeight="1"/>
    <row r="4781" ht="15.75" customHeight="1"/>
    <row r="4782" ht="15.75" customHeight="1"/>
    <row r="4783" ht="15.75" customHeight="1"/>
    <row r="4784" ht="15.75" customHeight="1"/>
    <row r="4785" ht="15.75" customHeight="1"/>
    <row r="4786" ht="15.75" customHeight="1"/>
    <row r="4787" ht="15.75" customHeight="1"/>
    <row r="4788" ht="15.75" customHeight="1"/>
    <row r="4789" ht="15.75" customHeight="1"/>
    <row r="4790" ht="15.75" customHeight="1"/>
    <row r="4791" ht="15.75" customHeight="1"/>
    <row r="4792" ht="15.75" customHeight="1"/>
    <row r="4793" ht="15.75" customHeight="1"/>
    <row r="4794" ht="15.75" customHeight="1"/>
    <row r="4795" ht="15.75" customHeight="1"/>
    <row r="4796" ht="15.75" customHeight="1"/>
    <row r="4797" ht="15.75" customHeight="1"/>
    <row r="4798" ht="15.75" customHeight="1"/>
    <row r="4799" ht="15.75" customHeight="1"/>
    <row r="4800" ht="15.75" customHeight="1"/>
    <row r="4801" ht="15.75" customHeight="1"/>
    <row r="4802" ht="15.75" customHeight="1"/>
    <row r="4803" ht="15.75" customHeight="1"/>
    <row r="4804" ht="15.75" customHeight="1"/>
    <row r="4805" ht="15.75" customHeight="1"/>
    <row r="4806" ht="15.75" customHeight="1"/>
    <row r="4807" ht="15.75" customHeight="1"/>
    <row r="4808" ht="15.75" customHeight="1"/>
    <row r="4809" ht="15.75" customHeight="1"/>
    <row r="4810" ht="15.75" customHeight="1"/>
    <row r="4811" ht="15.75" customHeight="1"/>
    <row r="4812" ht="15.75" customHeight="1"/>
    <row r="4813" ht="15.75" customHeight="1"/>
    <row r="4814" ht="15.75" customHeight="1"/>
    <row r="4815" ht="15.75" customHeight="1"/>
    <row r="4816" ht="15.75" customHeight="1"/>
    <row r="4817" ht="15.75" customHeight="1"/>
    <row r="4818" ht="15.75" customHeight="1"/>
    <row r="4819" ht="15.75" customHeight="1"/>
    <row r="4820" ht="15.75" customHeight="1"/>
    <row r="4821" ht="15.75" customHeight="1"/>
    <row r="4822" ht="15.75" customHeight="1"/>
    <row r="4823" ht="15.75" customHeight="1"/>
    <row r="4824" ht="15.75" customHeight="1"/>
    <row r="4825" ht="15.75" customHeight="1"/>
    <row r="4826" ht="15.75" customHeight="1"/>
    <row r="4827" ht="15.75" customHeight="1"/>
    <row r="4828" ht="15.75" customHeight="1"/>
    <row r="4829" ht="15.75" customHeight="1"/>
    <row r="4830" ht="15.75" customHeight="1"/>
    <row r="4831" ht="15.75" customHeight="1"/>
    <row r="4832" ht="15.75" customHeight="1"/>
    <row r="4833" ht="15.75" customHeight="1"/>
    <row r="4834" ht="15.75" customHeight="1"/>
    <row r="4835" ht="15.75" customHeight="1"/>
    <row r="4836" ht="15.75" customHeight="1"/>
    <row r="4837" ht="15.75" customHeight="1"/>
    <row r="4838" ht="15.75" customHeight="1"/>
    <row r="4839" ht="15.75" customHeight="1"/>
    <row r="4840" ht="15.75" customHeight="1"/>
    <row r="4841" ht="15.75" customHeight="1"/>
    <row r="4842" ht="15.75" customHeight="1"/>
    <row r="4843" ht="15.75" customHeight="1"/>
    <row r="4844" ht="15.75" customHeight="1"/>
    <row r="4845" ht="15.75" customHeight="1"/>
    <row r="4846" ht="15.75" customHeight="1"/>
    <row r="4847" ht="15.75" customHeight="1"/>
    <row r="4848" ht="15.75" customHeight="1"/>
    <row r="4849" ht="15.75" customHeight="1"/>
    <row r="4850" ht="15.75" customHeight="1"/>
    <row r="4851" ht="15.75" customHeight="1"/>
    <row r="4852" ht="15.75" customHeight="1"/>
    <row r="4853" ht="15.75" customHeight="1"/>
    <row r="4854" ht="15.75" customHeight="1"/>
    <row r="4855" ht="15.75" customHeight="1"/>
    <row r="4856" ht="15.75" customHeight="1"/>
    <row r="4857" ht="15.75" customHeight="1"/>
    <row r="4858" ht="15.75" customHeight="1"/>
    <row r="4859" ht="15.75" customHeight="1"/>
    <row r="4860" ht="15.75" customHeight="1"/>
    <row r="4861" ht="15.75" customHeight="1"/>
    <row r="4862" ht="15.75" customHeight="1"/>
    <row r="4863" ht="15.75" customHeight="1"/>
    <row r="4864" ht="15.75" customHeight="1"/>
    <row r="4865" ht="15.75" customHeight="1"/>
    <row r="4866" ht="15.75" customHeight="1"/>
    <row r="4867" ht="15.75" customHeight="1"/>
    <row r="4868" ht="15.75" customHeight="1"/>
    <row r="4869" ht="15.75" customHeight="1"/>
    <row r="4870" ht="15.75" customHeight="1"/>
    <row r="4871" ht="15.75" customHeight="1"/>
    <row r="4872" ht="15.75" customHeight="1"/>
    <row r="4873" ht="15.75" customHeight="1"/>
    <row r="4874" ht="15.75" customHeight="1"/>
    <row r="4875" ht="15.75" customHeight="1"/>
    <row r="4876" ht="15.75" customHeight="1"/>
    <row r="4877" ht="15.75" customHeight="1"/>
    <row r="4878" ht="15.75" customHeight="1"/>
    <row r="4879" ht="15.75" customHeight="1"/>
    <row r="4880" ht="15.75" customHeight="1"/>
    <row r="4881" ht="15.75" customHeight="1"/>
    <row r="4882" ht="15.75" customHeight="1"/>
    <row r="4883" ht="15.75" customHeight="1"/>
    <row r="4884" ht="15.75" customHeight="1"/>
    <row r="4885" ht="15.75" customHeight="1"/>
    <row r="4886" ht="15.75" customHeight="1"/>
    <row r="4887" ht="15.75" customHeight="1"/>
    <row r="4888" ht="15.75" customHeight="1"/>
    <row r="4889" ht="15.75" customHeight="1"/>
    <row r="4890" ht="15.75" customHeight="1"/>
    <row r="4891" ht="15.75" customHeight="1"/>
    <row r="4892" ht="15.75" customHeight="1"/>
    <row r="4893" ht="15.75" customHeight="1"/>
    <row r="4894" ht="15.75" customHeight="1"/>
    <row r="4895" ht="15.75" customHeight="1"/>
    <row r="4896" ht="15.75" customHeight="1"/>
    <row r="4897" ht="15.75" customHeight="1"/>
    <row r="4898" ht="15.75" customHeight="1"/>
    <row r="4899" ht="15.75" customHeight="1"/>
    <row r="4900" ht="15.75" customHeight="1"/>
    <row r="4901" ht="15.75" customHeight="1"/>
    <row r="4902" ht="15.75" customHeight="1"/>
    <row r="4903" ht="15.75" customHeight="1"/>
    <row r="4904" ht="15.75" customHeight="1"/>
    <row r="4905" ht="15.75" customHeight="1"/>
    <row r="4906" ht="15.75" customHeight="1"/>
    <row r="4907" ht="15.75" customHeight="1"/>
    <row r="4908" ht="15.75" customHeight="1"/>
    <row r="4909" ht="15.75" customHeight="1"/>
    <row r="4910" ht="15.75" customHeight="1"/>
    <row r="4911" ht="15.75" customHeight="1"/>
    <row r="4912" ht="15.75" customHeight="1"/>
    <row r="4913" ht="15.75" customHeight="1"/>
    <row r="4914" ht="15.75" customHeight="1"/>
    <row r="4915" ht="15.75" customHeight="1"/>
    <row r="4916" ht="15.75" customHeight="1"/>
    <row r="4917" ht="15.75" customHeight="1"/>
    <row r="4918" ht="15.75" customHeight="1"/>
    <row r="4919" ht="15.75" customHeight="1"/>
    <row r="4920" ht="15.75" customHeight="1"/>
    <row r="4921" ht="15.75" customHeight="1"/>
    <row r="4922" ht="15.75" customHeight="1"/>
    <row r="4923" ht="15.75" customHeight="1"/>
    <row r="4924" ht="15.75" customHeight="1"/>
    <row r="4925" ht="15.75" customHeight="1"/>
    <row r="4926" ht="15.75" customHeight="1"/>
    <row r="4927" ht="15.75" customHeight="1"/>
    <row r="4928" ht="15.75" customHeight="1"/>
    <row r="4929" ht="15.75" customHeight="1"/>
    <row r="4930" ht="15.75" customHeight="1"/>
    <row r="4931" ht="15.75" customHeight="1"/>
    <row r="4932" ht="15.75" customHeight="1"/>
    <row r="4933" ht="15.75" customHeight="1"/>
    <row r="4934" ht="15.75" customHeight="1"/>
    <row r="4935" ht="15.75" customHeight="1"/>
    <row r="4936" ht="15.75" customHeight="1"/>
    <row r="4937" ht="15.75" customHeight="1"/>
    <row r="4938" ht="15.75" customHeight="1"/>
    <row r="4939" ht="15.75" customHeight="1"/>
    <row r="4940" ht="15.75" customHeight="1"/>
    <row r="4941" ht="15.75" customHeight="1"/>
    <row r="4942" ht="15.75" customHeight="1"/>
    <row r="4943" ht="15.75" customHeight="1"/>
    <row r="4944" ht="15.75" customHeight="1"/>
    <row r="4945" ht="15.75" customHeight="1"/>
    <row r="4946" ht="15.75" customHeight="1"/>
    <row r="4947" ht="15.75" customHeight="1"/>
    <row r="4948" ht="15.75" customHeight="1"/>
    <row r="4949" ht="15.75" customHeight="1"/>
    <row r="4950" ht="15.75" customHeight="1"/>
    <row r="4951" ht="15.75" customHeight="1"/>
    <row r="4952" ht="15.75" customHeight="1"/>
    <row r="4953" ht="15.75" customHeight="1"/>
    <row r="4954" ht="15.75" customHeight="1"/>
    <row r="4955" ht="15.75" customHeight="1"/>
    <row r="4956" ht="15.75" customHeight="1"/>
    <row r="4957" ht="15.75" customHeight="1"/>
    <row r="4958" ht="15.75" customHeight="1"/>
    <row r="4959" ht="15.75" customHeight="1"/>
    <row r="4960" ht="15.75" customHeight="1"/>
    <row r="4961" ht="15.75" customHeight="1"/>
    <row r="4962" ht="15.75" customHeight="1"/>
    <row r="4963" ht="15.75" customHeight="1"/>
    <row r="4964" ht="15.75" customHeight="1"/>
    <row r="4965" ht="15.75" customHeight="1"/>
    <row r="4966" ht="15.75" customHeight="1"/>
    <row r="4967" ht="15.75" customHeight="1"/>
    <row r="4968" ht="15.75" customHeight="1"/>
    <row r="4969" ht="15.75" customHeight="1"/>
    <row r="4970" ht="15.75" customHeight="1"/>
    <row r="4971" ht="15.75" customHeight="1"/>
    <row r="4972" ht="15.75" customHeight="1"/>
    <row r="4973" ht="15.75" customHeight="1"/>
    <row r="4974" ht="15.75" customHeight="1"/>
    <row r="4975" ht="15.75" customHeight="1"/>
    <row r="4976" ht="15.75" customHeight="1"/>
    <row r="4977" ht="15.75" customHeight="1"/>
    <row r="4978" ht="15.75" customHeight="1"/>
    <row r="4979" ht="15.75" customHeight="1"/>
    <row r="4980" ht="15.75" customHeight="1"/>
    <row r="4981" ht="15.75" customHeight="1"/>
    <row r="4982" ht="15.75" customHeight="1"/>
    <row r="4983" ht="15.75" customHeight="1"/>
    <row r="4984" ht="15.75" customHeight="1"/>
    <row r="4985" ht="15.75" customHeight="1"/>
    <row r="4986" ht="15.75" customHeight="1"/>
    <row r="4987" ht="15.75" customHeight="1"/>
    <row r="4988" ht="15.75" customHeight="1"/>
    <row r="4989" ht="15.75" customHeight="1"/>
    <row r="4990" ht="15.75" customHeight="1"/>
    <row r="4991" ht="15.75" customHeight="1"/>
    <row r="4992" ht="15.75" customHeight="1"/>
    <row r="4993" ht="15.75" customHeight="1"/>
    <row r="4994" ht="15.75" customHeight="1"/>
    <row r="4995" ht="15.75" customHeight="1"/>
    <row r="4996" ht="15.75" customHeight="1"/>
    <row r="4997" ht="15.75" customHeight="1"/>
    <row r="4998" ht="15.75" customHeight="1"/>
    <row r="4999" ht="15.75" customHeight="1"/>
    <row r="5000" ht="15.75" customHeight="1"/>
    <row r="5001" ht="15.75" customHeight="1"/>
    <row r="5002" ht="15.75" customHeight="1"/>
    <row r="5003" ht="15.75" customHeight="1"/>
    <row r="5004" ht="15.75" customHeight="1"/>
    <row r="5005" ht="15.75" customHeight="1"/>
    <row r="5006" ht="15.75" customHeight="1"/>
    <row r="5007" ht="15.75" customHeight="1"/>
    <row r="5008" ht="15.75" customHeight="1"/>
    <row r="5009" ht="15.75" customHeight="1"/>
    <row r="5010" ht="15.75" customHeight="1"/>
    <row r="5011" ht="15.75" customHeight="1"/>
    <row r="5012" ht="15.75" customHeight="1"/>
    <row r="5013" ht="15.75" customHeight="1"/>
    <row r="5014" ht="15.75" customHeight="1"/>
    <row r="5015" ht="15.75" customHeight="1"/>
    <row r="5016" ht="15.75" customHeight="1"/>
    <row r="5017" ht="15.75" customHeight="1"/>
    <row r="5018" ht="15.75" customHeight="1"/>
    <row r="5019" ht="15.75" customHeight="1"/>
    <row r="5020" ht="15.75" customHeight="1"/>
    <row r="5021" ht="15.75" customHeight="1"/>
    <row r="5022" ht="15.75" customHeight="1"/>
    <row r="5023" ht="15.75" customHeight="1"/>
    <row r="5024" ht="15.75" customHeight="1"/>
    <row r="5025" ht="15.75" customHeight="1"/>
    <row r="5026" ht="15.75" customHeight="1"/>
    <row r="5027" ht="15.75" customHeight="1"/>
    <row r="5028" ht="15.75" customHeight="1"/>
    <row r="5029" ht="15.75" customHeight="1"/>
    <row r="5030" ht="15.75" customHeight="1"/>
    <row r="5031" ht="15.75" customHeight="1"/>
    <row r="5032" ht="15.75" customHeight="1"/>
    <row r="5033" ht="15.75" customHeight="1"/>
    <row r="5034" ht="15.75" customHeight="1"/>
    <row r="5035" ht="15.75" customHeight="1"/>
    <row r="5036" ht="15.75" customHeight="1"/>
    <row r="5037" ht="15.75" customHeight="1"/>
    <row r="5038" ht="15.75" customHeight="1"/>
    <row r="5039" ht="15.75" customHeight="1"/>
    <row r="5040" ht="15.75" customHeight="1"/>
    <row r="5041" ht="15.75" customHeight="1"/>
    <row r="5042" ht="15.75" customHeight="1"/>
    <row r="5043" ht="15.75" customHeight="1"/>
    <row r="5044" ht="15.75" customHeight="1"/>
    <row r="5045" ht="15.75" customHeight="1"/>
    <row r="5046" ht="15.75" customHeight="1"/>
    <row r="5047" ht="15.75" customHeight="1"/>
    <row r="5048" ht="15.75" customHeight="1"/>
    <row r="5049" ht="15.75" customHeight="1"/>
    <row r="5050" ht="15.75" customHeight="1"/>
    <row r="5051" ht="15.75" customHeight="1"/>
    <row r="5052" ht="15.75" customHeight="1"/>
    <row r="5053" ht="15.75" customHeight="1"/>
    <row r="5054" ht="15.75" customHeight="1"/>
    <row r="5055" ht="15.75" customHeight="1"/>
    <row r="5056" ht="15.75" customHeight="1"/>
    <row r="5057" ht="15.75" customHeight="1"/>
    <row r="5058" ht="15.75" customHeight="1"/>
    <row r="5059" ht="15.75" customHeight="1"/>
    <row r="5060" ht="15.75" customHeight="1"/>
    <row r="5061" ht="15.75" customHeight="1"/>
    <row r="5062" ht="15.75" customHeight="1"/>
    <row r="5063" ht="15.75" customHeight="1"/>
    <row r="5064" ht="15.75" customHeight="1"/>
    <row r="5065" ht="15.75" customHeight="1"/>
    <row r="5066" ht="15.75" customHeight="1"/>
    <row r="5067" ht="15.75" customHeight="1"/>
    <row r="5068" ht="15.75" customHeight="1"/>
    <row r="5069" ht="15.75" customHeight="1"/>
    <row r="5070" ht="15.75" customHeight="1"/>
    <row r="5071" ht="15.75" customHeight="1"/>
    <row r="5072" ht="15.75" customHeight="1"/>
    <row r="5073" ht="15.75" customHeight="1"/>
    <row r="5074" ht="15.75" customHeight="1"/>
    <row r="5075" ht="15.75" customHeight="1"/>
    <row r="5076" ht="15.75" customHeight="1"/>
    <row r="5077" ht="15.75" customHeight="1"/>
    <row r="5078" ht="15.75" customHeight="1"/>
    <row r="5079" ht="15.75" customHeight="1"/>
    <row r="5080" ht="15.75" customHeight="1"/>
    <row r="5081" ht="15.75" customHeight="1"/>
    <row r="5082" ht="15.75" customHeight="1"/>
    <row r="5083" ht="15.75" customHeight="1"/>
    <row r="5084" ht="15.75" customHeight="1"/>
    <row r="5085" ht="15.75" customHeight="1"/>
    <row r="5086" ht="15.75" customHeight="1"/>
    <row r="5087" ht="15.75" customHeight="1"/>
    <row r="5088" ht="15.75" customHeight="1"/>
    <row r="5089" ht="15.75" customHeight="1"/>
    <row r="5090" ht="15.75" customHeight="1"/>
    <row r="5091" ht="15.75" customHeight="1"/>
    <row r="5092" ht="15.75" customHeight="1"/>
    <row r="5093" ht="15.75" customHeight="1"/>
    <row r="5094" ht="15.75" customHeight="1"/>
    <row r="5095" ht="15.75" customHeight="1"/>
    <row r="5096" ht="15.75" customHeight="1"/>
    <row r="5097" ht="15.75" customHeight="1"/>
    <row r="5098" ht="15.75" customHeight="1"/>
    <row r="5099" ht="15.75" customHeight="1"/>
    <row r="5100" ht="15.75" customHeight="1"/>
    <row r="5101" ht="15.75" customHeight="1"/>
    <row r="5102" ht="15.75" customHeight="1"/>
    <row r="5103" ht="15.75" customHeight="1"/>
    <row r="5104" ht="15.75" customHeight="1"/>
    <row r="5105" ht="15.75" customHeight="1"/>
    <row r="5106" ht="15.75" customHeight="1"/>
    <row r="5107" ht="15.75" customHeight="1"/>
    <row r="5108" ht="15.75" customHeight="1"/>
    <row r="5109" ht="15.75" customHeight="1"/>
    <row r="5110" ht="15.75" customHeight="1"/>
    <row r="5111" ht="15.75" customHeight="1"/>
    <row r="5112" ht="15.75" customHeight="1"/>
    <row r="5113" ht="15.75" customHeight="1"/>
    <row r="5114" ht="15.75" customHeight="1"/>
    <row r="5115" ht="15.75" customHeight="1"/>
    <row r="5116" ht="15.75" customHeight="1"/>
    <row r="5117" ht="15.75" customHeight="1"/>
    <row r="5118" ht="15.75" customHeight="1"/>
    <row r="5119" ht="15.75" customHeight="1"/>
    <row r="5120" ht="15.75" customHeight="1"/>
    <row r="5121" ht="15.75" customHeight="1"/>
    <row r="5122" ht="15.75" customHeight="1"/>
    <row r="5123" ht="15.75" customHeight="1"/>
    <row r="5124" ht="15.75" customHeight="1"/>
    <row r="5125" ht="15.75" customHeight="1"/>
    <row r="5126" ht="15.75" customHeight="1"/>
    <row r="5127" ht="15.75" customHeight="1"/>
    <row r="5128" ht="15.75" customHeight="1"/>
    <row r="5129" ht="15.75" customHeight="1"/>
    <row r="5130" ht="15.75" customHeight="1"/>
    <row r="5131" ht="15.75" customHeight="1"/>
    <row r="5132" ht="15.75" customHeight="1"/>
    <row r="5133" ht="15.75" customHeight="1"/>
    <row r="5134" ht="15.75" customHeight="1"/>
    <row r="5135" ht="15.75" customHeight="1"/>
    <row r="5136" ht="15.75" customHeight="1"/>
    <row r="5137" ht="15.75" customHeight="1"/>
    <row r="5138" ht="15.75" customHeight="1"/>
    <row r="5139" ht="15.75" customHeight="1"/>
    <row r="5140" ht="15.75" customHeight="1"/>
    <row r="5141" ht="15.75" customHeight="1"/>
    <row r="5142" ht="15.75" customHeight="1"/>
    <row r="5143" ht="15.75" customHeight="1"/>
    <row r="5144" ht="15.75" customHeight="1"/>
    <row r="5145" ht="15.75" customHeight="1"/>
    <row r="5146" ht="15.75" customHeight="1"/>
    <row r="5147" ht="15.75" customHeight="1"/>
    <row r="5148" ht="15.75" customHeight="1"/>
    <row r="5149" ht="15.75" customHeight="1"/>
    <row r="5150" ht="15.75" customHeight="1"/>
    <row r="5151" ht="15.75" customHeight="1"/>
    <row r="5152" ht="15.75" customHeight="1"/>
    <row r="5153" ht="15.75" customHeight="1"/>
    <row r="5154" ht="15.75" customHeight="1"/>
    <row r="5155" ht="15.75" customHeight="1"/>
    <row r="5156" ht="15.75" customHeight="1"/>
    <row r="5157" ht="15.75" customHeight="1"/>
    <row r="5158" ht="15.75" customHeight="1"/>
    <row r="5159" ht="15.75" customHeight="1"/>
    <row r="5160" ht="15.75" customHeight="1"/>
    <row r="5161" ht="15.75" customHeight="1"/>
    <row r="5162" ht="15.75" customHeight="1"/>
    <row r="5163" ht="15.75" customHeight="1"/>
    <row r="5164" ht="15.75" customHeight="1"/>
    <row r="5165" ht="15.75" customHeight="1"/>
    <row r="5166" ht="15.75" customHeight="1"/>
    <row r="5167" ht="15.75" customHeight="1"/>
    <row r="5168" ht="15.75" customHeight="1"/>
    <row r="5169" ht="15.75" customHeight="1"/>
    <row r="5170" ht="15.75" customHeight="1"/>
    <row r="5171" ht="15.75" customHeight="1"/>
    <row r="5172" ht="15.75" customHeight="1"/>
    <row r="5173" ht="15.75" customHeight="1"/>
    <row r="5174" ht="15.75" customHeight="1"/>
    <row r="5175" ht="15.75" customHeight="1"/>
    <row r="5176" ht="15.75" customHeight="1"/>
    <row r="5177" ht="15.75" customHeight="1"/>
    <row r="5178" ht="15.75" customHeight="1"/>
    <row r="5179" ht="15.75" customHeight="1"/>
    <row r="5180" ht="15.75" customHeight="1"/>
    <row r="5181" ht="15.75" customHeight="1"/>
    <row r="5182" ht="15.75" customHeight="1"/>
    <row r="5183" ht="15.75" customHeight="1"/>
    <row r="5184" ht="15.75" customHeight="1"/>
    <row r="5185" ht="15.75" customHeight="1"/>
    <row r="5186" ht="15.75" customHeight="1"/>
    <row r="5187" ht="15.75" customHeight="1"/>
    <row r="5188" ht="15.75" customHeight="1"/>
    <row r="5189" ht="15.75" customHeight="1"/>
    <row r="5190" ht="15.75" customHeight="1"/>
    <row r="5191" ht="15.75" customHeight="1"/>
    <row r="5192" ht="15.75" customHeight="1"/>
    <row r="5193" ht="15.75" customHeight="1"/>
    <row r="5194" ht="15.75" customHeight="1"/>
    <row r="5195" ht="15.75" customHeight="1"/>
    <row r="5196" ht="15.75" customHeight="1"/>
    <row r="5197" ht="15.75" customHeight="1"/>
    <row r="5198" ht="15.75" customHeight="1"/>
    <row r="5199" ht="15.75" customHeight="1"/>
    <row r="5200" ht="15.75" customHeight="1"/>
    <row r="5201" ht="15.75" customHeight="1"/>
    <row r="5202" ht="15.75" customHeight="1"/>
    <row r="5203" ht="15.75" customHeight="1"/>
    <row r="5204" ht="15.75" customHeight="1"/>
    <row r="5205" ht="15.75" customHeight="1"/>
    <row r="5206" ht="15.75" customHeight="1"/>
    <row r="5207" ht="15.75" customHeight="1"/>
    <row r="5208" ht="15.75" customHeight="1"/>
    <row r="5209" ht="15.75" customHeight="1"/>
    <row r="5210" ht="15.75" customHeight="1"/>
    <row r="5211" ht="15.75" customHeight="1"/>
    <row r="5212" ht="15.75" customHeight="1"/>
    <row r="5213" ht="15.75" customHeight="1"/>
    <row r="5214" ht="15.75" customHeight="1"/>
    <row r="5215" ht="15.75" customHeight="1"/>
    <row r="5216" ht="15.75" customHeight="1"/>
    <row r="5217" ht="15.75" customHeight="1"/>
    <row r="5218" ht="15.75" customHeight="1"/>
    <row r="5219" ht="15.75" customHeight="1"/>
    <row r="5220" ht="15.75" customHeight="1"/>
    <row r="5221" ht="15.75" customHeight="1"/>
    <row r="5222" ht="15.75" customHeight="1"/>
    <row r="5223" ht="15.75" customHeight="1"/>
    <row r="5224" ht="15.75" customHeight="1"/>
    <row r="5225" ht="15.75" customHeight="1"/>
    <row r="5226" ht="15.75" customHeight="1"/>
    <row r="5227" ht="15.75" customHeight="1"/>
    <row r="5228" ht="15.75" customHeight="1"/>
    <row r="5229" ht="15.75" customHeight="1"/>
    <row r="5230" ht="15.75" customHeight="1"/>
    <row r="5231" ht="15.75" customHeight="1"/>
    <row r="5232" ht="15.75" customHeight="1"/>
    <row r="5233" ht="15.75" customHeight="1"/>
    <row r="5234" ht="15.75" customHeight="1"/>
    <row r="5235" ht="15.75" customHeight="1"/>
    <row r="5236" ht="15.75" customHeight="1"/>
    <row r="5237" ht="15.75" customHeight="1"/>
    <row r="5238" ht="15.75" customHeight="1"/>
    <row r="5239" ht="15.75" customHeight="1"/>
    <row r="5240" ht="15.75" customHeight="1"/>
    <row r="5241" ht="15.75" customHeight="1"/>
    <row r="5242" ht="15.75" customHeight="1"/>
    <row r="5243" ht="15.75" customHeight="1"/>
    <row r="5244" ht="15.75" customHeight="1"/>
    <row r="5245" ht="15.75" customHeight="1"/>
    <row r="5246" ht="15.75" customHeight="1"/>
    <row r="5247" ht="15.75" customHeight="1"/>
    <row r="5248" ht="15.75" customHeight="1"/>
    <row r="5249" ht="15.75" customHeight="1"/>
    <row r="5250" ht="15.75" customHeight="1"/>
    <row r="5251" ht="15.75" customHeight="1"/>
    <row r="5252" ht="15.75" customHeight="1"/>
    <row r="5253" ht="15.75" customHeight="1"/>
    <row r="5254" ht="15.75" customHeight="1"/>
    <row r="5255" ht="15.75" customHeight="1"/>
    <row r="5256" ht="15.75" customHeight="1"/>
    <row r="5257" ht="15.75" customHeight="1"/>
    <row r="5258" ht="15.75" customHeight="1"/>
    <row r="5259" ht="15.75" customHeight="1"/>
    <row r="5260" ht="15.75" customHeight="1"/>
    <row r="5261" ht="15.75" customHeight="1"/>
    <row r="5262" ht="15.75" customHeight="1"/>
    <row r="5263" ht="15.75" customHeight="1"/>
    <row r="5264" ht="15.75" customHeight="1"/>
    <row r="5265" ht="15.75" customHeight="1"/>
    <row r="5266" ht="15.75" customHeight="1"/>
    <row r="5267" ht="15.75" customHeight="1"/>
    <row r="5268" ht="15.75" customHeight="1"/>
    <row r="5269" ht="15.75" customHeight="1"/>
    <row r="5270" ht="15.75" customHeight="1"/>
    <row r="5271" ht="15.75" customHeight="1"/>
    <row r="5272" ht="15.75" customHeight="1"/>
    <row r="5273" ht="15.75" customHeight="1"/>
    <row r="5274" ht="15.75" customHeight="1"/>
    <row r="5275" ht="15.75" customHeight="1"/>
    <row r="5276" ht="15.75" customHeight="1"/>
    <row r="5277" ht="15.75" customHeight="1"/>
    <row r="5278" ht="15.75" customHeight="1"/>
    <row r="5279" ht="15.75" customHeight="1"/>
    <row r="5280" ht="15.75" customHeight="1"/>
    <row r="5281" ht="15.75" customHeight="1"/>
    <row r="5282" ht="15.75" customHeight="1"/>
    <row r="5283" ht="15.75" customHeight="1"/>
    <row r="5284" ht="15.75" customHeight="1"/>
    <row r="5285" ht="15.75" customHeight="1"/>
    <row r="5286" ht="15.75" customHeight="1"/>
    <row r="5287" ht="15.75" customHeight="1"/>
    <row r="5288" ht="15.75" customHeight="1"/>
    <row r="5289" ht="15.75" customHeight="1"/>
    <row r="5290" ht="15.75" customHeight="1"/>
    <row r="5291" ht="15.75" customHeight="1"/>
    <row r="5292" ht="15.75" customHeight="1"/>
    <row r="5293" ht="15.75" customHeight="1"/>
    <row r="5294" ht="15.75" customHeight="1"/>
    <row r="5295" ht="15.75" customHeight="1"/>
    <row r="5296" ht="15.75" customHeight="1"/>
    <row r="5297" ht="15.75" customHeight="1"/>
    <row r="5298" ht="15.75" customHeight="1"/>
    <row r="5299" ht="15.75" customHeight="1"/>
    <row r="5300" ht="15.75" customHeight="1"/>
    <row r="5301" ht="15.75" customHeight="1"/>
    <row r="5302" ht="15.75" customHeight="1"/>
    <row r="5303" ht="15.75" customHeight="1"/>
    <row r="5304" ht="15.75" customHeight="1"/>
    <row r="5305" ht="15.75" customHeight="1"/>
    <row r="5306" ht="15.75" customHeight="1"/>
    <row r="5307" ht="15.75" customHeight="1"/>
    <row r="5308" ht="15.75" customHeight="1"/>
    <row r="5309" ht="15.75" customHeight="1"/>
    <row r="5310" ht="15.75" customHeight="1"/>
    <row r="5311" ht="15.75" customHeight="1"/>
    <row r="5312" ht="15.75" customHeight="1"/>
    <row r="5313" ht="15.75" customHeight="1"/>
    <row r="5314" ht="15.75" customHeight="1"/>
    <row r="5315" ht="15.75" customHeight="1"/>
    <row r="5316" ht="15.75" customHeight="1"/>
    <row r="5317" ht="15.75" customHeight="1"/>
    <row r="5318" ht="15.75" customHeight="1"/>
    <row r="5319" ht="15.75" customHeight="1"/>
    <row r="5320" ht="15.75" customHeight="1"/>
    <row r="5321" ht="15.75" customHeight="1"/>
    <row r="5322" ht="15.75" customHeight="1"/>
    <row r="5323" ht="15.75" customHeight="1"/>
    <row r="5324" ht="15.75" customHeight="1"/>
    <row r="5325" ht="15.75" customHeight="1"/>
    <row r="5326" ht="15.75" customHeight="1"/>
    <row r="5327" ht="15.75" customHeight="1"/>
    <row r="5328" ht="15.75" customHeight="1"/>
    <row r="5329" ht="15.75" customHeight="1"/>
    <row r="5330" ht="15.75" customHeight="1"/>
    <row r="5331" ht="15.75" customHeight="1"/>
    <row r="5332" ht="15.75" customHeight="1"/>
    <row r="5333" ht="15.75" customHeight="1"/>
    <row r="5334" ht="15.75" customHeight="1"/>
    <row r="5335" ht="15.75" customHeight="1"/>
    <row r="5336" ht="15.75" customHeight="1"/>
    <row r="5337" ht="15.75" customHeight="1"/>
    <row r="5338" ht="15.75" customHeight="1"/>
    <row r="5339" ht="15.75" customHeight="1"/>
    <row r="5340" ht="15.75" customHeight="1"/>
    <row r="5341" ht="15.75" customHeight="1"/>
    <row r="5342" ht="15.75" customHeight="1"/>
    <row r="5343" ht="15.75" customHeight="1"/>
    <row r="5344" ht="15.75" customHeight="1"/>
    <row r="5345" ht="15.75" customHeight="1"/>
    <row r="5346" ht="15.75" customHeight="1"/>
    <row r="5347" ht="15.75" customHeight="1"/>
    <row r="5348" ht="15.75" customHeight="1"/>
    <row r="5349" ht="15.75" customHeight="1"/>
    <row r="5350" ht="15.75" customHeight="1"/>
    <row r="5351" ht="15.75" customHeight="1"/>
    <row r="5352" ht="15.75" customHeight="1"/>
    <row r="5353" ht="15.75" customHeight="1"/>
    <row r="5354" ht="15.75" customHeight="1"/>
    <row r="5355" ht="15.75" customHeight="1"/>
    <row r="5356" ht="15.75" customHeight="1"/>
    <row r="5357" ht="15.75" customHeight="1"/>
    <row r="5358" ht="15.75" customHeight="1"/>
    <row r="5359" ht="15.75" customHeight="1"/>
    <row r="5360" ht="15.75" customHeight="1"/>
    <row r="5361" ht="15.75" customHeight="1"/>
    <row r="5362" ht="15.75" customHeight="1"/>
    <row r="5363" ht="15.75" customHeight="1"/>
    <row r="5364" ht="15.75" customHeight="1"/>
    <row r="5365" ht="15.75" customHeight="1"/>
    <row r="5366" ht="15.75" customHeight="1"/>
    <row r="5367" ht="15.75" customHeight="1"/>
    <row r="5368" ht="15.75" customHeight="1"/>
    <row r="5369" ht="15.75" customHeight="1"/>
    <row r="5370" ht="15.75" customHeight="1"/>
    <row r="5371" ht="15.75" customHeight="1"/>
    <row r="5372" ht="15.75" customHeight="1"/>
    <row r="5373" ht="15.75" customHeight="1"/>
    <row r="5374" ht="15.75" customHeight="1"/>
    <row r="5375" ht="15.75" customHeight="1"/>
    <row r="5376" ht="15.75" customHeight="1"/>
    <row r="5377" ht="15.75" customHeight="1"/>
    <row r="5378" ht="15.75" customHeight="1"/>
    <row r="5379" ht="15.75" customHeight="1"/>
    <row r="5380" ht="15.75" customHeight="1"/>
    <row r="5381" ht="15.75" customHeight="1"/>
    <row r="5382" ht="15.75" customHeight="1"/>
    <row r="5383" ht="15.75" customHeight="1"/>
    <row r="5384" ht="15.75" customHeight="1"/>
    <row r="5385" ht="15.75" customHeight="1"/>
    <row r="5386" ht="15.75" customHeight="1"/>
    <row r="5387" ht="15.75" customHeight="1"/>
    <row r="5388" ht="15.75" customHeight="1"/>
    <row r="5389" ht="15.75" customHeight="1"/>
    <row r="5390" ht="15.75" customHeight="1"/>
    <row r="5391" ht="15.75" customHeight="1"/>
    <row r="5392" ht="15.75" customHeight="1"/>
    <row r="5393" ht="15.75" customHeight="1"/>
    <row r="5394" ht="15.75" customHeight="1"/>
    <row r="5395" ht="15.75" customHeight="1"/>
    <row r="5396" ht="15.75" customHeight="1"/>
    <row r="5397" ht="15.75" customHeight="1"/>
    <row r="5398" ht="15.75" customHeight="1"/>
    <row r="5399" ht="15.75" customHeight="1"/>
    <row r="5400" ht="15.75" customHeight="1"/>
    <row r="5401" ht="15.75" customHeight="1"/>
    <row r="5402" ht="15.75" customHeight="1"/>
    <row r="5403" ht="15.75" customHeight="1"/>
    <row r="5404" ht="15.75" customHeight="1"/>
    <row r="5405" ht="15.75" customHeight="1"/>
    <row r="5406" ht="15.75" customHeight="1"/>
    <row r="5407" ht="15.75" customHeight="1"/>
    <row r="5408" ht="15.75" customHeight="1"/>
    <row r="5409" ht="15.75" customHeight="1"/>
    <row r="5410" ht="15.75" customHeight="1"/>
    <row r="5411" ht="15.75" customHeight="1"/>
    <row r="5412" ht="15.75" customHeight="1"/>
    <row r="5413" ht="15.75" customHeight="1"/>
    <row r="5414" ht="15.75" customHeight="1"/>
    <row r="5415" ht="15.75" customHeight="1"/>
    <row r="5416" ht="15.75" customHeight="1"/>
    <row r="5417" ht="15.75" customHeight="1"/>
    <row r="5418" ht="15.75" customHeight="1"/>
    <row r="5419" ht="15.75" customHeight="1"/>
    <row r="5420" ht="15.75" customHeight="1"/>
    <row r="5421" ht="15.75" customHeight="1"/>
    <row r="5422" ht="15.75" customHeight="1"/>
    <row r="5423" ht="15.75" customHeight="1"/>
    <row r="5424" ht="15.75" customHeight="1"/>
    <row r="5425" ht="15.75" customHeight="1"/>
    <row r="5426" ht="15.75" customHeight="1"/>
    <row r="5427" ht="15.75" customHeight="1"/>
    <row r="5428" ht="15.75" customHeight="1"/>
    <row r="5429" ht="15.75" customHeight="1"/>
    <row r="5430" ht="15.75" customHeight="1"/>
    <row r="5431" ht="15.75" customHeight="1"/>
    <row r="5432" ht="15.75" customHeight="1"/>
    <row r="5433" ht="15.75" customHeight="1"/>
    <row r="5434" ht="15.75" customHeight="1"/>
    <row r="5435" ht="15.75" customHeight="1"/>
    <row r="5436" ht="15.75" customHeight="1"/>
    <row r="5437" ht="15.75" customHeight="1"/>
    <row r="5438" ht="15.75" customHeight="1"/>
    <row r="5439" ht="15.75" customHeight="1"/>
    <row r="5440" ht="15.75" customHeight="1"/>
    <row r="5441" ht="15.75" customHeight="1"/>
    <row r="5442" ht="15.75" customHeight="1"/>
    <row r="5443" ht="15.75" customHeight="1"/>
    <row r="5444" ht="15.75" customHeight="1"/>
    <row r="5445" ht="15.75" customHeight="1"/>
    <row r="5446" ht="15.75" customHeight="1"/>
    <row r="5447" ht="15.75" customHeight="1"/>
    <row r="5448" ht="15.75" customHeight="1"/>
    <row r="5449" ht="15.75" customHeight="1"/>
    <row r="5450" ht="15.75" customHeight="1"/>
    <row r="5451" ht="15.75" customHeight="1"/>
    <row r="5452" ht="15.75" customHeight="1"/>
    <row r="5453" ht="15.75" customHeight="1"/>
    <row r="5454" ht="15.75" customHeight="1"/>
    <row r="5455" ht="15.75" customHeight="1"/>
    <row r="5456" ht="15.75" customHeight="1"/>
    <row r="5457" ht="15.75" customHeight="1"/>
    <row r="5458" ht="15.75" customHeight="1"/>
    <row r="5459" ht="15.75" customHeight="1"/>
    <row r="5460" ht="15.75" customHeight="1"/>
    <row r="5461" ht="15.75" customHeight="1"/>
    <row r="5462" ht="15.75" customHeight="1"/>
    <row r="5463" ht="15.75" customHeight="1"/>
    <row r="5464" ht="15.75" customHeight="1"/>
    <row r="5465" ht="15.75" customHeight="1"/>
    <row r="5466" ht="15.75" customHeight="1"/>
    <row r="5467" ht="15.75" customHeight="1"/>
    <row r="5468" ht="15.75" customHeight="1"/>
    <row r="5469" ht="15.75" customHeight="1"/>
    <row r="5470" ht="15.75" customHeight="1"/>
    <row r="5471" ht="15.75" customHeight="1"/>
    <row r="5472" ht="15.75" customHeight="1"/>
    <row r="5473" ht="15.75" customHeight="1"/>
    <row r="5474" ht="15.75" customHeight="1"/>
    <row r="5475" ht="15.75" customHeight="1"/>
    <row r="5476" ht="15.75" customHeight="1"/>
    <row r="5477" ht="15.75" customHeight="1"/>
    <row r="5478" ht="15.75" customHeight="1"/>
    <row r="5479" ht="15.75" customHeight="1"/>
    <row r="5480" ht="15.75" customHeight="1"/>
    <row r="5481" ht="15.75" customHeight="1"/>
    <row r="5482" ht="15.75" customHeight="1"/>
    <row r="5483" ht="15.75" customHeight="1"/>
    <row r="5484" ht="15.75" customHeight="1"/>
    <row r="5485" ht="15.75" customHeight="1"/>
    <row r="5486" ht="15.75" customHeight="1"/>
    <row r="5487" ht="15.75" customHeight="1"/>
    <row r="5488" ht="15.75" customHeight="1"/>
    <row r="5489" ht="15.75" customHeight="1"/>
    <row r="5490" ht="15.75" customHeight="1"/>
    <row r="5491" ht="15.75" customHeight="1"/>
    <row r="5492" ht="15.75" customHeight="1"/>
    <row r="5493" ht="15.75" customHeight="1"/>
    <row r="5494" ht="15.75" customHeight="1"/>
    <row r="5495" ht="15.75" customHeight="1"/>
    <row r="5496" ht="15.75" customHeight="1"/>
    <row r="5497" ht="15.75" customHeight="1"/>
    <row r="5498" ht="15.75" customHeight="1"/>
    <row r="5499" ht="15.75" customHeight="1"/>
    <row r="5500" ht="15.75" customHeight="1"/>
    <row r="5501" ht="15.75" customHeight="1"/>
    <row r="5502" ht="15.75" customHeight="1"/>
    <row r="5503" ht="15.75" customHeight="1"/>
    <row r="5504" ht="15.75" customHeight="1"/>
    <row r="5505" ht="15.75" customHeight="1"/>
    <row r="5506" ht="15.75" customHeight="1"/>
    <row r="5507" ht="15.75" customHeight="1"/>
    <row r="5508" ht="15.75" customHeight="1"/>
    <row r="5509" ht="15.75" customHeight="1"/>
    <row r="5510" ht="15.75" customHeight="1"/>
    <row r="5511" ht="15.75" customHeight="1"/>
    <row r="5512" ht="15.75" customHeight="1"/>
    <row r="5513" ht="15.75" customHeight="1"/>
    <row r="5514" ht="15.75" customHeight="1"/>
    <row r="5515" ht="15.75" customHeight="1"/>
    <row r="5516" ht="15.75" customHeight="1"/>
    <row r="5517" ht="15.75" customHeight="1"/>
    <row r="5518" ht="15.75" customHeight="1"/>
    <row r="5519" ht="15.75" customHeight="1"/>
    <row r="5520" ht="15.75" customHeight="1"/>
    <row r="5521" ht="15.75" customHeight="1"/>
    <row r="5522" ht="15.75" customHeight="1"/>
    <row r="5523" ht="15.75" customHeight="1"/>
    <row r="5524" ht="15.75" customHeight="1"/>
    <row r="5525" ht="15.75" customHeight="1"/>
    <row r="5526" ht="15.75" customHeight="1"/>
    <row r="5527" ht="15.75" customHeight="1"/>
    <row r="5528" ht="15.75" customHeight="1"/>
    <row r="5529" ht="15.75" customHeight="1"/>
    <row r="5530" ht="15.75" customHeight="1"/>
    <row r="5531" ht="15.75" customHeight="1"/>
    <row r="5532" ht="15.75" customHeight="1"/>
    <row r="5533" ht="15.75" customHeight="1"/>
    <row r="5534" ht="15.75" customHeight="1"/>
    <row r="5535" ht="15.75" customHeight="1"/>
    <row r="5536" ht="15.75" customHeight="1"/>
    <row r="5537" ht="15.75" customHeight="1"/>
    <row r="5538" ht="15.75" customHeight="1"/>
    <row r="5539" ht="15.75" customHeight="1"/>
    <row r="5540" ht="15.75" customHeight="1"/>
    <row r="5541" ht="15.75" customHeight="1"/>
    <row r="5542" ht="15.75" customHeight="1"/>
    <row r="5543" ht="15.75" customHeight="1"/>
    <row r="5544" ht="15.75" customHeight="1"/>
    <row r="5545" ht="15.75" customHeight="1"/>
    <row r="5546" ht="15.75" customHeight="1"/>
    <row r="5547" ht="15.75" customHeight="1"/>
    <row r="5548" ht="15.75" customHeight="1"/>
    <row r="5549" ht="15.75" customHeight="1"/>
    <row r="5550" ht="15.75" customHeight="1"/>
    <row r="5551" ht="15.75" customHeight="1"/>
    <row r="5552" ht="15.75" customHeight="1"/>
    <row r="5553" ht="15.75" customHeight="1"/>
    <row r="5554" ht="15.75" customHeight="1"/>
    <row r="5555" ht="15.75" customHeight="1"/>
    <row r="5556" ht="15.75" customHeight="1"/>
    <row r="5557" ht="15.75" customHeight="1"/>
    <row r="5558" ht="15.75" customHeight="1"/>
    <row r="5559" ht="15.75" customHeight="1"/>
    <row r="5560" ht="15.75" customHeight="1"/>
    <row r="5561" ht="15.75" customHeight="1"/>
    <row r="5562" ht="15.75" customHeight="1"/>
    <row r="5563" ht="15.75" customHeight="1"/>
    <row r="5564" ht="15.75" customHeight="1"/>
    <row r="5565" ht="15.75" customHeight="1"/>
    <row r="5566" ht="15.75" customHeight="1"/>
    <row r="5567" ht="15.75" customHeight="1"/>
    <row r="5568" ht="15.75" customHeight="1"/>
    <row r="5569" ht="15.75" customHeight="1"/>
    <row r="5570" ht="15.75" customHeight="1"/>
    <row r="5571" ht="15.75" customHeight="1"/>
    <row r="5572" ht="15.75" customHeight="1"/>
    <row r="5573" ht="15.75" customHeight="1"/>
    <row r="5574" ht="15.75" customHeight="1"/>
    <row r="5575" ht="15.75" customHeight="1"/>
    <row r="5576" ht="15.75" customHeight="1"/>
    <row r="5577" ht="15.75" customHeight="1"/>
    <row r="5578" ht="15.75" customHeight="1"/>
    <row r="5579" ht="15.75" customHeight="1"/>
    <row r="5580" ht="15.75" customHeight="1"/>
    <row r="5581" ht="15.75" customHeight="1"/>
    <row r="5582" ht="15.75" customHeight="1"/>
    <row r="5583" ht="15.75" customHeight="1"/>
    <row r="5584" ht="15.75" customHeight="1"/>
    <row r="5585" ht="15.75" customHeight="1"/>
    <row r="5586" ht="15.75" customHeight="1"/>
    <row r="5587" ht="15.75" customHeight="1"/>
    <row r="5588" ht="15.75" customHeight="1"/>
    <row r="5589" ht="15.75" customHeight="1"/>
    <row r="5590" ht="15.75" customHeight="1"/>
    <row r="5591" ht="15.75" customHeight="1"/>
    <row r="5592" ht="15.75" customHeight="1"/>
    <row r="5593" ht="15.75" customHeight="1"/>
    <row r="5594" ht="15.75" customHeight="1"/>
    <row r="5595" ht="15.75" customHeight="1"/>
    <row r="5596" ht="15.75" customHeight="1"/>
    <row r="5597" ht="15.75" customHeight="1"/>
    <row r="5598" ht="15.75" customHeight="1"/>
    <row r="5599" ht="15.75" customHeight="1"/>
    <row r="5600" ht="15.75" customHeight="1"/>
    <row r="5601" ht="15.75" customHeight="1"/>
    <row r="5602" ht="15.75" customHeight="1"/>
    <row r="5603" ht="15.75" customHeight="1"/>
    <row r="5604" ht="15.75" customHeight="1"/>
    <row r="5605" ht="15.75" customHeight="1"/>
    <row r="5606" ht="15.75" customHeight="1"/>
    <row r="5607" ht="15.75" customHeight="1"/>
    <row r="5608" ht="15.75" customHeight="1"/>
    <row r="5609" ht="15.75" customHeight="1"/>
    <row r="5610" ht="15.75" customHeight="1"/>
    <row r="5611" ht="15.75" customHeight="1"/>
    <row r="5612" ht="15.75" customHeight="1"/>
    <row r="5613" ht="15.75" customHeight="1"/>
    <row r="5614" ht="15.75" customHeight="1"/>
    <row r="5615" ht="15.75" customHeight="1"/>
    <row r="5616" ht="15.75" customHeight="1"/>
    <row r="5617" ht="15.75" customHeight="1"/>
    <row r="5618" ht="15.75" customHeight="1"/>
    <row r="5619" ht="15.75" customHeight="1"/>
    <row r="5620" ht="15.75" customHeight="1"/>
    <row r="5621" ht="15.75" customHeight="1"/>
    <row r="5622" ht="15.75" customHeight="1"/>
    <row r="5623" ht="15.75" customHeight="1"/>
    <row r="5624" ht="15.75" customHeight="1"/>
    <row r="5625" ht="15.75" customHeight="1"/>
    <row r="5626" ht="15.75" customHeight="1"/>
    <row r="5627" ht="15.75" customHeight="1"/>
    <row r="5628" ht="15.75" customHeight="1"/>
    <row r="5629" ht="15.75" customHeight="1"/>
    <row r="5630" ht="15.75" customHeight="1"/>
    <row r="5631" ht="15.75" customHeight="1"/>
    <row r="5632" ht="15.75" customHeight="1"/>
    <row r="5633" ht="15.75" customHeight="1"/>
    <row r="5634" ht="15.75" customHeight="1"/>
    <row r="5635" ht="15.75" customHeight="1"/>
    <row r="5636" ht="15.75" customHeight="1"/>
    <row r="5637" ht="15.75" customHeight="1"/>
    <row r="5638" ht="15.75" customHeight="1"/>
    <row r="5639" ht="15.75" customHeight="1"/>
    <row r="5640" ht="15.75" customHeight="1"/>
    <row r="5641" ht="15.75" customHeight="1"/>
    <row r="5642" ht="15.75" customHeight="1"/>
    <row r="5643" ht="15.75" customHeight="1"/>
    <row r="5644" ht="15.75" customHeight="1"/>
    <row r="5645" ht="15.75" customHeight="1"/>
    <row r="5646" ht="15.75" customHeight="1"/>
    <row r="5647" ht="15.75" customHeight="1"/>
    <row r="5648" ht="15.75" customHeight="1"/>
    <row r="5649" ht="15.75" customHeight="1"/>
    <row r="5650" ht="15.75" customHeight="1"/>
    <row r="5651" ht="15.75" customHeight="1"/>
    <row r="5652" ht="15.75" customHeight="1"/>
    <row r="5653" ht="15.75" customHeight="1"/>
    <row r="5654" ht="15.75" customHeight="1"/>
    <row r="5655" ht="15.75" customHeight="1"/>
    <row r="5656" ht="15.75" customHeight="1"/>
    <row r="5657" ht="15.75" customHeight="1"/>
    <row r="5658" ht="15.75" customHeight="1"/>
    <row r="5659" ht="15.75" customHeight="1"/>
    <row r="5660" ht="15.75" customHeight="1"/>
    <row r="5661" ht="15.75" customHeight="1"/>
    <row r="5662" ht="15.75" customHeight="1"/>
    <row r="5663" ht="15.75" customHeight="1"/>
    <row r="5664" ht="15.75" customHeight="1"/>
    <row r="5665" ht="15.75" customHeight="1"/>
    <row r="5666" ht="15.75" customHeight="1"/>
    <row r="5667" ht="15.75" customHeight="1"/>
    <row r="5668" ht="15.75" customHeight="1"/>
    <row r="5669" ht="15.75" customHeight="1"/>
    <row r="5670" ht="15.75" customHeight="1"/>
    <row r="5671" ht="15.75" customHeight="1"/>
    <row r="5672" ht="15.75" customHeight="1"/>
    <row r="5673" ht="15.75" customHeight="1"/>
    <row r="5674" ht="15.75" customHeight="1"/>
    <row r="5675" ht="15.75" customHeight="1"/>
    <row r="5676" ht="15.75" customHeight="1"/>
    <row r="5677" ht="15.75" customHeight="1"/>
    <row r="5678" ht="15.75" customHeight="1"/>
    <row r="5679" ht="15.75" customHeight="1"/>
    <row r="5680" ht="15.75" customHeight="1"/>
    <row r="5681" ht="15.75" customHeight="1"/>
    <row r="5682" ht="15.75" customHeight="1"/>
    <row r="5683" ht="15.75" customHeight="1"/>
    <row r="5684" ht="15.75" customHeight="1"/>
    <row r="5685" ht="15.75" customHeight="1"/>
    <row r="5686" ht="15.75" customHeight="1"/>
    <row r="5687" ht="15.75" customHeight="1"/>
    <row r="5688" ht="15.75" customHeight="1"/>
    <row r="5689" ht="15.75" customHeight="1"/>
    <row r="5690" ht="15.75" customHeight="1"/>
    <row r="5691" ht="15.75" customHeight="1"/>
    <row r="5692" ht="15.75" customHeight="1"/>
    <row r="5693" ht="15.75" customHeight="1"/>
    <row r="5694" ht="15.75" customHeight="1"/>
    <row r="5695" ht="15.75" customHeight="1"/>
    <row r="5696" ht="15.75" customHeight="1"/>
    <row r="5697" ht="15.75" customHeight="1"/>
    <row r="5698" ht="15.75" customHeight="1"/>
    <row r="5699" ht="15.75" customHeight="1"/>
    <row r="5700" ht="15.75" customHeight="1"/>
    <row r="5701" ht="15.75" customHeight="1"/>
    <row r="5702" ht="15.75" customHeight="1"/>
    <row r="5703" ht="15.75" customHeight="1"/>
    <row r="5704" ht="15.75" customHeight="1"/>
    <row r="5705" ht="15.75" customHeight="1"/>
    <row r="5706" ht="15.75" customHeight="1"/>
    <row r="5707" ht="15.75" customHeight="1"/>
    <row r="5708" ht="15.75" customHeight="1"/>
    <row r="5709" ht="15.75" customHeight="1"/>
    <row r="5710" ht="15.75" customHeight="1"/>
    <row r="5711" ht="15.75" customHeight="1"/>
    <row r="5712" ht="15.75" customHeight="1"/>
    <row r="5713" ht="15.75" customHeight="1"/>
    <row r="5714" ht="15.75" customHeight="1"/>
    <row r="5715" ht="15.75" customHeight="1"/>
    <row r="5716" ht="15.75" customHeight="1"/>
    <row r="5717" ht="15.75" customHeight="1"/>
    <row r="5718" ht="15.75" customHeight="1"/>
    <row r="5719" ht="15.75" customHeight="1"/>
    <row r="5720" ht="15.75" customHeight="1"/>
    <row r="5721" ht="15.75" customHeight="1"/>
    <row r="5722" ht="15.75" customHeight="1"/>
    <row r="5723" ht="15.75" customHeight="1"/>
    <row r="5724" ht="15.75" customHeight="1"/>
    <row r="5725" ht="15.75" customHeight="1"/>
    <row r="5726" ht="15.75" customHeight="1"/>
    <row r="5727" ht="15.75" customHeight="1"/>
    <row r="5728" ht="15.75" customHeight="1"/>
    <row r="5729" ht="15.75" customHeight="1"/>
    <row r="5730" ht="15.75" customHeight="1"/>
    <row r="5731" ht="15.75" customHeight="1"/>
    <row r="5732" ht="15.75" customHeight="1"/>
    <row r="5733" ht="15.75" customHeight="1"/>
    <row r="5734" ht="15.75" customHeight="1"/>
    <row r="5735" ht="15.75" customHeight="1"/>
    <row r="5736" ht="15.75" customHeight="1"/>
    <row r="5737" ht="15.75" customHeight="1"/>
    <row r="5738" ht="15.75" customHeight="1"/>
    <row r="5739" ht="15.75" customHeight="1"/>
    <row r="5740" ht="15.75" customHeight="1"/>
    <row r="5741" ht="15.75" customHeight="1"/>
    <row r="5742" ht="15.75" customHeight="1"/>
    <row r="5743" ht="15.75" customHeight="1"/>
    <row r="5744" ht="15.75" customHeight="1"/>
    <row r="5745" ht="15.75" customHeight="1"/>
    <row r="5746" ht="15.75" customHeight="1"/>
    <row r="5747" ht="15.75" customHeight="1"/>
    <row r="5748" ht="15.75" customHeight="1"/>
    <row r="5749" ht="15.75" customHeight="1"/>
    <row r="5750" ht="15.75" customHeight="1"/>
    <row r="5751" ht="15.75" customHeight="1"/>
    <row r="5752" ht="15.75" customHeight="1"/>
    <row r="5753" ht="15.75" customHeight="1"/>
    <row r="5754" ht="15.75" customHeight="1"/>
    <row r="5755" ht="15.75" customHeight="1"/>
    <row r="5756" ht="15.75" customHeight="1"/>
    <row r="5757" ht="15.75" customHeight="1"/>
    <row r="5758" ht="15.75" customHeight="1"/>
    <row r="5759" ht="15.75" customHeight="1"/>
    <row r="5760" ht="15.75" customHeight="1"/>
    <row r="5761" ht="15.75" customHeight="1"/>
    <row r="5762" ht="15.75" customHeight="1"/>
    <row r="5763" ht="15.75" customHeight="1"/>
    <row r="5764" ht="15.75" customHeight="1"/>
    <row r="5765" ht="15.75" customHeight="1"/>
    <row r="5766" ht="15.75" customHeight="1"/>
    <row r="5767" ht="15.75" customHeight="1"/>
    <row r="5768" ht="15.75" customHeight="1"/>
    <row r="5769" ht="15.75" customHeight="1"/>
    <row r="5770" ht="15.75" customHeight="1"/>
    <row r="5771" ht="15.75" customHeight="1"/>
    <row r="5772" ht="15.75" customHeight="1"/>
    <row r="5773" ht="15.75" customHeight="1"/>
    <row r="5774" ht="15.75" customHeight="1"/>
    <row r="5775" ht="15.75" customHeight="1"/>
    <row r="5776" ht="15.75" customHeight="1"/>
    <row r="5777" ht="15.75" customHeight="1"/>
    <row r="5778" ht="15.75" customHeight="1"/>
    <row r="5779" ht="15.75" customHeight="1"/>
    <row r="5780" ht="15.75" customHeight="1"/>
    <row r="5781" ht="15.75" customHeight="1"/>
    <row r="5782" ht="15.75" customHeight="1"/>
    <row r="5783" ht="15.75" customHeight="1"/>
    <row r="5784" ht="15.75" customHeight="1"/>
    <row r="5785" ht="15.75" customHeight="1"/>
    <row r="5786" ht="15.75" customHeight="1"/>
    <row r="5787" ht="15.75" customHeight="1"/>
    <row r="5788" ht="15.75" customHeight="1"/>
    <row r="5789" ht="15.75" customHeight="1"/>
    <row r="5790" ht="15.75" customHeight="1"/>
    <row r="5791" ht="15.75" customHeight="1"/>
    <row r="5792" ht="15.75" customHeight="1"/>
    <row r="5793" ht="15.75" customHeight="1"/>
    <row r="5794" ht="15.75" customHeight="1"/>
    <row r="5795" ht="15.75" customHeight="1"/>
    <row r="5796" ht="15.75" customHeight="1"/>
    <row r="5797" ht="15.75" customHeight="1"/>
    <row r="5798" ht="15.75" customHeight="1"/>
    <row r="5799" ht="15.75" customHeight="1"/>
    <row r="5800" ht="15.75" customHeight="1"/>
    <row r="5801" ht="15.75" customHeight="1"/>
    <row r="5802" ht="15.75" customHeight="1"/>
    <row r="5803" ht="15.75" customHeight="1"/>
    <row r="5804" ht="15.75" customHeight="1"/>
    <row r="5805" ht="15.75" customHeight="1"/>
    <row r="5806" ht="15.75" customHeight="1"/>
    <row r="5807" ht="15.75" customHeight="1"/>
    <row r="5808" ht="15.75" customHeight="1"/>
    <row r="5809" ht="15.75" customHeight="1"/>
    <row r="5810" ht="15.75" customHeight="1"/>
    <row r="5811" ht="15.75" customHeight="1"/>
    <row r="5812" ht="15.75" customHeight="1"/>
    <row r="5813" ht="15.75" customHeight="1"/>
    <row r="5814" ht="15.75" customHeight="1"/>
    <row r="5815" ht="15.75" customHeight="1"/>
    <row r="5816" ht="15.75" customHeight="1"/>
    <row r="5817" ht="15.75" customHeight="1"/>
    <row r="5818" ht="15.75" customHeight="1"/>
    <row r="5819" ht="15.75" customHeight="1"/>
    <row r="5820" ht="15.75" customHeight="1"/>
    <row r="5821" ht="15.75" customHeight="1"/>
    <row r="5822" ht="15.75" customHeight="1"/>
    <row r="5823" ht="15.75" customHeight="1"/>
    <row r="5824" ht="15.75" customHeight="1"/>
    <row r="5825" ht="15.75" customHeight="1"/>
    <row r="5826" ht="15.75" customHeight="1"/>
    <row r="5827" ht="15.75" customHeight="1"/>
    <row r="5828" ht="15.75" customHeight="1"/>
    <row r="5829" ht="15.75" customHeight="1"/>
    <row r="5830" ht="15.75" customHeight="1"/>
    <row r="5831" ht="15.75" customHeight="1"/>
    <row r="5832" ht="15.75" customHeight="1"/>
    <row r="5833" ht="15.75" customHeight="1"/>
    <row r="5834" ht="15.75" customHeight="1"/>
    <row r="5835" ht="15.75" customHeight="1"/>
    <row r="5836" ht="15.75" customHeight="1"/>
    <row r="5837" ht="15.75" customHeight="1"/>
    <row r="5838" ht="15.75" customHeight="1"/>
    <row r="5839" ht="15.75" customHeight="1"/>
    <row r="5840" ht="15.75" customHeight="1"/>
    <row r="5841" ht="15.75" customHeight="1"/>
    <row r="5842" ht="15.75" customHeight="1"/>
    <row r="5843" ht="15.75" customHeight="1"/>
    <row r="5844" ht="15.75" customHeight="1"/>
    <row r="5845" ht="15.75" customHeight="1"/>
    <row r="5846" ht="15.75" customHeight="1"/>
    <row r="5847" ht="15.75" customHeight="1"/>
    <row r="5848" ht="15.75" customHeight="1"/>
    <row r="5849" ht="15.75" customHeight="1"/>
    <row r="5850" ht="15.75" customHeight="1"/>
    <row r="5851" ht="15.75" customHeight="1"/>
    <row r="5852" ht="15.75" customHeight="1"/>
    <row r="5853" ht="15.75" customHeight="1"/>
    <row r="5854" ht="15.75" customHeight="1"/>
    <row r="5855" ht="15.75" customHeight="1"/>
    <row r="5856" ht="15.75" customHeight="1"/>
    <row r="5857" ht="15.75" customHeight="1"/>
    <row r="5858" ht="15.75" customHeight="1"/>
    <row r="5859" ht="15.75" customHeight="1"/>
    <row r="5860" ht="15.75" customHeight="1"/>
    <row r="5861" ht="15.75" customHeight="1"/>
    <row r="5862" ht="15.75" customHeight="1"/>
    <row r="5863" ht="15.75" customHeight="1"/>
    <row r="5864" ht="15.75" customHeight="1"/>
    <row r="5865" ht="15.75" customHeight="1"/>
    <row r="5866" ht="15.75" customHeight="1"/>
    <row r="5867" ht="15.75" customHeight="1"/>
    <row r="5868" ht="15.75" customHeight="1"/>
    <row r="5869" ht="15.75" customHeight="1"/>
    <row r="5870" ht="15.75" customHeight="1"/>
    <row r="5871" ht="15.75" customHeight="1"/>
    <row r="5872" ht="15.75" customHeight="1"/>
    <row r="5873" ht="15.75" customHeight="1"/>
    <row r="5874" ht="15.75" customHeight="1"/>
    <row r="5875" ht="15.75" customHeight="1"/>
    <row r="5876" ht="15.75" customHeight="1"/>
    <row r="5877" ht="15.75" customHeight="1"/>
    <row r="5878" ht="15.75" customHeight="1"/>
    <row r="5879" ht="15.75" customHeight="1"/>
    <row r="5880" ht="15.75" customHeight="1"/>
    <row r="5881" ht="15.75" customHeight="1"/>
    <row r="5882" ht="15.75" customHeight="1"/>
    <row r="5883" ht="15.75" customHeight="1"/>
    <row r="5884" ht="15.75" customHeight="1"/>
    <row r="5885" ht="15.75" customHeight="1"/>
    <row r="5886" ht="15.75" customHeight="1"/>
    <row r="5887" ht="15.75" customHeight="1"/>
    <row r="5888" ht="15.75" customHeight="1"/>
    <row r="5889" ht="15.75" customHeight="1"/>
    <row r="5890" ht="15.75" customHeight="1"/>
    <row r="5891" ht="15.75" customHeight="1"/>
    <row r="5892" ht="15.75" customHeight="1"/>
    <row r="5893" ht="15.75" customHeight="1"/>
    <row r="5894" ht="15.75" customHeight="1"/>
    <row r="5895" ht="15.75" customHeight="1"/>
    <row r="5896" ht="15.75" customHeight="1"/>
    <row r="5897" ht="15.75" customHeight="1"/>
    <row r="5898" ht="15.75" customHeight="1"/>
    <row r="5899" ht="15.75" customHeight="1"/>
    <row r="5900" ht="15.75" customHeight="1"/>
    <row r="5901" ht="15.75" customHeight="1"/>
    <row r="5902" ht="15.75" customHeight="1"/>
    <row r="5903" ht="15.75" customHeight="1"/>
    <row r="5904" ht="15.75" customHeight="1"/>
    <row r="5905" ht="15.75" customHeight="1"/>
    <row r="5906" ht="15.75" customHeight="1"/>
    <row r="5907" ht="15.75" customHeight="1"/>
    <row r="5908" ht="15.75" customHeight="1"/>
    <row r="5909" ht="15.75" customHeight="1"/>
    <row r="5910" ht="15.75" customHeight="1"/>
    <row r="5911" ht="15.75" customHeight="1"/>
    <row r="5912" ht="15.75" customHeight="1"/>
    <row r="5913" ht="15.75" customHeight="1"/>
    <row r="5914" ht="15.75" customHeight="1"/>
    <row r="5915" ht="15.75" customHeight="1"/>
    <row r="5916" ht="15.75" customHeight="1"/>
    <row r="5917" ht="15.75" customHeight="1"/>
    <row r="5918" ht="15.75" customHeight="1"/>
    <row r="5919" ht="15.75" customHeight="1"/>
    <row r="5920" ht="15.75" customHeight="1"/>
    <row r="5921" ht="15.75" customHeight="1"/>
    <row r="5922" ht="15.75" customHeight="1"/>
    <row r="5923" ht="15.75" customHeight="1"/>
    <row r="5924" ht="15.75" customHeight="1"/>
    <row r="5925" ht="15.75" customHeight="1"/>
    <row r="5926" ht="15.75" customHeight="1"/>
    <row r="5927" ht="15.75" customHeight="1"/>
    <row r="5928" ht="15.75" customHeight="1"/>
    <row r="5929" ht="15.75" customHeight="1"/>
    <row r="5930" ht="15.75" customHeight="1"/>
    <row r="5931" ht="15.75" customHeight="1"/>
    <row r="5932" ht="15.75" customHeight="1"/>
    <row r="5933" ht="15.75" customHeight="1"/>
    <row r="5934" ht="15.75" customHeight="1"/>
    <row r="5935" ht="15.75" customHeight="1"/>
    <row r="5936" ht="15.75" customHeight="1"/>
    <row r="5937" ht="15.75" customHeight="1"/>
    <row r="5938" ht="15.75" customHeight="1"/>
    <row r="5939" ht="15.75" customHeight="1"/>
    <row r="5940" ht="15.75" customHeight="1"/>
    <row r="5941" ht="15.75" customHeight="1"/>
    <row r="5942" ht="15.75" customHeight="1"/>
    <row r="5943" ht="15.75" customHeight="1"/>
    <row r="5944" ht="15.75" customHeight="1"/>
    <row r="5945" ht="15.75" customHeight="1"/>
    <row r="5946" ht="15.75" customHeight="1"/>
    <row r="5947" ht="15.75" customHeight="1"/>
    <row r="5948" ht="15.75" customHeight="1"/>
    <row r="5949" ht="15.75" customHeight="1"/>
    <row r="5950" ht="15.75" customHeight="1"/>
    <row r="5951" ht="15.75" customHeight="1"/>
    <row r="5952" ht="15.75" customHeight="1"/>
    <row r="5953" ht="15.75" customHeight="1"/>
    <row r="5954" ht="15.75" customHeight="1"/>
    <row r="5955" ht="15.75" customHeight="1"/>
    <row r="5956" ht="15.75" customHeight="1"/>
    <row r="5957" ht="15.75" customHeight="1"/>
    <row r="5958" ht="15.75" customHeight="1"/>
    <row r="5959" ht="15.75" customHeight="1"/>
    <row r="5960" ht="15.75" customHeight="1"/>
    <row r="5961" ht="15.75" customHeight="1"/>
    <row r="5962" ht="15.75" customHeight="1"/>
    <row r="5963" ht="15.75" customHeight="1"/>
    <row r="5964" ht="15.75" customHeight="1"/>
    <row r="5965" ht="15.75" customHeight="1"/>
    <row r="5966" ht="15.75" customHeight="1"/>
    <row r="5967" ht="15.75" customHeight="1"/>
    <row r="5968" ht="15.75" customHeight="1"/>
    <row r="5969" ht="15.75" customHeight="1"/>
    <row r="5970" ht="15.75" customHeight="1"/>
    <row r="5971" ht="15.75" customHeight="1"/>
    <row r="5972" ht="15.75" customHeight="1"/>
    <row r="5973" ht="15.75" customHeight="1"/>
    <row r="5974" ht="15.75" customHeight="1"/>
    <row r="5975" ht="15.75" customHeight="1"/>
    <row r="5976" ht="15.75" customHeight="1"/>
    <row r="5977" ht="15.75" customHeight="1"/>
    <row r="5978" ht="15.75" customHeight="1"/>
    <row r="5979" ht="15.75" customHeight="1"/>
    <row r="5980" ht="15.75" customHeight="1"/>
    <row r="5981" ht="15.75" customHeight="1"/>
    <row r="5982" ht="15.75" customHeight="1"/>
    <row r="5983" ht="15.75" customHeight="1"/>
    <row r="5984" ht="15.75" customHeight="1"/>
    <row r="5985" ht="15.75" customHeight="1"/>
    <row r="5986" ht="15.75" customHeight="1"/>
    <row r="5987" ht="15.75" customHeight="1"/>
    <row r="5988" ht="15.75" customHeight="1"/>
    <row r="5989" ht="15.75" customHeight="1"/>
    <row r="5990" ht="15.75" customHeight="1"/>
    <row r="5991" ht="15.75" customHeight="1"/>
    <row r="5992" ht="15.75" customHeight="1"/>
    <row r="5993" ht="15.75" customHeight="1"/>
    <row r="5994" ht="15.75" customHeight="1"/>
    <row r="5995" ht="15.75" customHeight="1"/>
    <row r="5996" ht="15.75" customHeight="1"/>
    <row r="5997" ht="15.75" customHeight="1"/>
    <row r="5998" ht="15.75" customHeight="1"/>
    <row r="5999" ht="15.75" customHeight="1"/>
    <row r="6000" ht="15.75" customHeight="1"/>
    <row r="6001" ht="15.75" customHeight="1"/>
    <row r="6002" ht="15.75" customHeight="1"/>
    <row r="6003" ht="15.75" customHeight="1"/>
    <row r="6004" ht="15.75" customHeight="1"/>
    <row r="6005" ht="15.75" customHeight="1"/>
    <row r="6006" ht="15.75" customHeight="1"/>
    <row r="6007" ht="15.75" customHeight="1"/>
    <row r="6008" ht="15.75" customHeight="1"/>
    <row r="6009" ht="15.75" customHeight="1"/>
    <row r="6010" ht="15.75" customHeight="1"/>
    <row r="6011" ht="15.75" customHeight="1"/>
    <row r="6012" ht="15.75" customHeight="1"/>
    <row r="6013" ht="15.75" customHeight="1"/>
    <row r="6014" ht="15.75" customHeight="1"/>
    <row r="6015" ht="15.75" customHeight="1"/>
    <row r="6016" ht="15.75" customHeight="1"/>
    <row r="6017" ht="15.75" customHeight="1"/>
    <row r="6018" ht="15.75" customHeight="1"/>
    <row r="6019" ht="15.75" customHeight="1"/>
    <row r="6020" ht="15.75" customHeight="1"/>
    <row r="6021" ht="15.75" customHeight="1"/>
    <row r="6022" ht="15.75" customHeight="1"/>
    <row r="6023" ht="15.75" customHeight="1"/>
    <row r="6024" ht="15.75" customHeight="1"/>
    <row r="6025" ht="15.75" customHeight="1"/>
    <row r="6026" ht="15.75" customHeight="1"/>
    <row r="6027" ht="15.75" customHeight="1"/>
    <row r="6028" ht="15.75" customHeight="1"/>
    <row r="6029" ht="15.75" customHeight="1"/>
    <row r="6030" ht="15.75" customHeight="1"/>
    <row r="6031" ht="15.75" customHeight="1"/>
    <row r="6032" ht="15.75" customHeight="1"/>
    <row r="6033" ht="15.75" customHeight="1"/>
    <row r="6034" ht="15.75" customHeight="1"/>
    <row r="6035" ht="15.75" customHeight="1"/>
    <row r="6036" ht="15.75" customHeight="1"/>
    <row r="6037" ht="15.75" customHeight="1"/>
    <row r="6038" ht="15.75" customHeight="1"/>
    <row r="6039" ht="15.75" customHeight="1"/>
    <row r="6040" ht="15.75" customHeight="1"/>
    <row r="6041" ht="15.75" customHeight="1"/>
    <row r="6042" ht="15.75" customHeight="1"/>
    <row r="6043" ht="15.75" customHeight="1"/>
    <row r="6044" ht="15.75" customHeight="1"/>
    <row r="6045" ht="15.75" customHeight="1"/>
    <row r="6046" ht="15.75" customHeight="1"/>
    <row r="6047" ht="15.75" customHeight="1"/>
    <row r="6048" ht="15.75" customHeight="1"/>
    <row r="6049" ht="15.75" customHeight="1"/>
    <row r="6050" ht="15.75" customHeight="1"/>
    <row r="6051" ht="15.75" customHeight="1"/>
    <row r="6052" ht="15.75" customHeight="1"/>
    <row r="6053" ht="15.75" customHeight="1"/>
    <row r="6054" ht="15.75" customHeight="1"/>
    <row r="6055" ht="15.75" customHeight="1"/>
    <row r="6056" ht="15.75" customHeight="1"/>
    <row r="6057" ht="15.75" customHeight="1"/>
    <row r="6058" ht="15.75" customHeight="1"/>
    <row r="6059" ht="15.75" customHeight="1"/>
    <row r="6060" ht="15.75" customHeight="1"/>
    <row r="6061" ht="15.75" customHeight="1"/>
    <row r="6062" ht="15.75" customHeight="1"/>
    <row r="6063" ht="15.75" customHeight="1"/>
    <row r="6064" ht="15.75" customHeight="1"/>
    <row r="6065" ht="15.75" customHeight="1"/>
    <row r="6066" ht="15.75" customHeight="1"/>
    <row r="6067" ht="15.75" customHeight="1"/>
    <row r="6068" ht="15.75" customHeight="1"/>
    <row r="6069" ht="15.75" customHeight="1"/>
    <row r="6070" ht="15.75" customHeight="1"/>
    <row r="6071" ht="15.75" customHeight="1"/>
    <row r="6072" ht="15.75" customHeight="1"/>
    <row r="6073" ht="15.75" customHeight="1"/>
    <row r="6074" ht="15.75" customHeight="1"/>
    <row r="6075" ht="15.75" customHeight="1"/>
    <row r="6076" ht="15.75" customHeight="1"/>
    <row r="6077" ht="15.75" customHeight="1"/>
    <row r="6078" ht="15.75" customHeight="1"/>
    <row r="6079" ht="15.75" customHeight="1"/>
    <row r="6080" ht="15.75" customHeight="1"/>
    <row r="6081" ht="15.75" customHeight="1"/>
    <row r="6082" ht="15.75" customHeight="1"/>
    <row r="6083" ht="15.75" customHeight="1"/>
    <row r="6084" ht="15.75" customHeight="1"/>
    <row r="6085" ht="15.75" customHeight="1"/>
    <row r="6086" ht="15.75" customHeight="1"/>
    <row r="6087" ht="15.75" customHeight="1"/>
    <row r="6088" ht="15.75" customHeight="1"/>
    <row r="6089" ht="15.75" customHeight="1"/>
    <row r="6090" ht="15.75" customHeight="1"/>
    <row r="6091" ht="15.75" customHeight="1"/>
    <row r="6092" ht="15.75" customHeight="1"/>
    <row r="6093" ht="15.75" customHeight="1"/>
    <row r="6094" ht="15.75" customHeight="1"/>
    <row r="6095" ht="15.75" customHeight="1"/>
    <row r="6096" ht="15.75" customHeight="1"/>
    <row r="6097" ht="15.75" customHeight="1"/>
    <row r="6098" ht="15.75" customHeight="1"/>
    <row r="6099" ht="15.75" customHeight="1"/>
    <row r="6100" ht="15.75" customHeight="1"/>
    <row r="6101" ht="15.75" customHeight="1"/>
    <row r="6102" ht="15.75" customHeight="1"/>
    <row r="6103" ht="15.75" customHeight="1"/>
    <row r="6104" ht="15.75" customHeight="1"/>
    <row r="6105" ht="15.75" customHeight="1"/>
    <row r="6106" ht="15.75" customHeight="1"/>
    <row r="6107" ht="15.75" customHeight="1"/>
    <row r="6108" ht="15.75" customHeight="1"/>
    <row r="6109" ht="15.75" customHeight="1"/>
    <row r="6110" ht="15.75" customHeight="1"/>
    <row r="6111" ht="15.75" customHeight="1"/>
    <row r="6112" ht="15.75" customHeight="1"/>
    <row r="6113" ht="15.75" customHeight="1"/>
    <row r="6114" ht="15.75" customHeight="1"/>
    <row r="6115" ht="15.75" customHeight="1"/>
    <row r="6116" ht="15.75" customHeight="1"/>
    <row r="6117" ht="15.75" customHeight="1"/>
    <row r="6118" ht="15.75" customHeight="1"/>
    <row r="6119" ht="15.75" customHeight="1"/>
    <row r="6120" ht="15.75" customHeight="1"/>
    <row r="6121" ht="15.75" customHeight="1"/>
    <row r="6122" ht="15.75" customHeight="1"/>
    <row r="6123" ht="15.75" customHeight="1"/>
    <row r="6124" ht="15.75" customHeight="1"/>
    <row r="6125" ht="15.75" customHeight="1"/>
    <row r="6126" ht="15.75" customHeight="1"/>
    <row r="6127" ht="15.75" customHeight="1"/>
    <row r="6128" ht="15.75" customHeight="1"/>
    <row r="6129" ht="15.75" customHeight="1"/>
    <row r="6130" ht="15.75" customHeight="1"/>
    <row r="6131" ht="15.75" customHeight="1"/>
    <row r="6132" ht="15.75" customHeight="1"/>
    <row r="6133" ht="15.75" customHeight="1"/>
    <row r="6134" ht="15.75" customHeight="1"/>
    <row r="6135" ht="15.75" customHeight="1"/>
    <row r="6136" ht="15.75" customHeight="1"/>
    <row r="6137" ht="15.75" customHeight="1"/>
    <row r="6138" ht="15.75" customHeight="1"/>
    <row r="6139" ht="15.75" customHeight="1"/>
    <row r="6140" ht="15.75" customHeight="1"/>
    <row r="6141" ht="15.75" customHeight="1"/>
    <row r="6142" ht="15.75" customHeight="1"/>
    <row r="6143" ht="15.75" customHeight="1"/>
    <row r="6144" ht="15.75" customHeight="1"/>
    <row r="6145" ht="15.75" customHeight="1"/>
    <row r="6146" ht="15.75" customHeight="1"/>
    <row r="6147" ht="15.75" customHeight="1"/>
    <row r="6148" ht="15.75" customHeight="1"/>
    <row r="6149" ht="15.75" customHeight="1"/>
    <row r="6150" ht="15.75" customHeight="1"/>
    <row r="6151" ht="15.75" customHeight="1"/>
    <row r="6152" ht="15.75" customHeight="1"/>
    <row r="6153" ht="15.75" customHeight="1"/>
    <row r="6154" ht="15.75" customHeight="1"/>
    <row r="6155" ht="15.75" customHeight="1"/>
    <row r="6156" ht="15.75" customHeight="1"/>
    <row r="6157" ht="15.75" customHeight="1"/>
    <row r="6158" ht="15.75" customHeight="1"/>
    <row r="6159" ht="15.75" customHeight="1"/>
    <row r="6160" ht="15.75" customHeight="1"/>
    <row r="6161" ht="15.75" customHeight="1"/>
    <row r="6162" ht="15.75" customHeight="1"/>
    <row r="6163" ht="15.75" customHeight="1"/>
    <row r="6164" ht="15.75" customHeight="1"/>
    <row r="6165" ht="15.75" customHeight="1"/>
    <row r="6166" ht="15.75" customHeight="1"/>
    <row r="6167" ht="15.75" customHeight="1"/>
    <row r="6168" ht="15.75" customHeight="1"/>
    <row r="6169" ht="15.75" customHeight="1"/>
    <row r="6170" ht="15.75" customHeight="1"/>
    <row r="6171" ht="15.75" customHeight="1"/>
    <row r="6172" ht="15.75" customHeight="1"/>
    <row r="6173" ht="15.75" customHeight="1"/>
    <row r="6174" ht="15.75" customHeight="1"/>
    <row r="6175" ht="15.75" customHeight="1"/>
    <row r="6176" ht="15.75" customHeight="1"/>
    <row r="6177" ht="15.75" customHeight="1"/>
    <row r="6178" ht="15.75" customHeight="1"/>
    <row r="6179" ht="15.75" customHeight="1"/>
    <row r="6180" ht="15.75" customHeight="1"/>
    <row r="6181" ht="15.75" customHeight="1"/>
    <row r="6182" ht="15.75" customHeight="1"/>
    <row r="6183" ht="15.75" customHeight="1"/>
    <row r="6184" ht="15.75" customHeight="1"/>
    <row r="6185" ht="15.75" customHeight="1"/>
    <row r="6186" ht="15.75" customHeight="1"/>
    <row r="6187" ht="15.75" customHeight="1"/>
    <row r="6188" ht="15.75" customHeight="1"/>
    <row r="6189" ht="15.75" customHeight="1"/>
    <row r="6190" ht="15.75" customHeight="1"/>
    <row r="6191" ht="15.75" customHeight="1"/>
    <row r="6192" ht="15.75" customHeight="1"/>
    <row r="6193" ht="15.75" customHeight="1"/>
    <row r="6194" ht="15.75" customHeight="1"/>
    <row r="6195" ht="15.75" customHeight="1"/>
    <row r="6196" ht="15.75" customHeight="1"/>
    <row r="6197" ht="15.75" customHeight="1"/>
    <row r="6198" ht="15.75" customHeight="1"/>
    <row r="6199" ht="15.75" customHeight="1"/>
    <row r="6200" ht="15.75" customHeight="1"/>
    <row r="6201" ht="15.75" customHeight="1"/>
    <row r="6202" ht="15.75" customHeight="1"/>
    <row r="6203" ht="15.75" customHeight="1"/>
    <row r="6204" ht="15.75" customHeight="1"/>
    <row r="6205" ht="15.75" customHeight="1"/>
    <row r="6206" ht="15.75" customHeight="1"/>
    <row r="6207" ht="15.75" customHeight="1"/>
    <row r="6208" ht="15.75" customHeight="1"/>
    <row r="6209" ht="15.75" customHeight="1"/>
    <row r="6210" ht="15.75" customHeight="1"/>
    <row r="6211" ht="15.75" customHeight="1"/>
    <row r="6212" ht="15.75" customHeight="1"/>
    <row r="6213" ht="15.75" customHeight="1"/>
    <row r="6214" ht="15.75" customHeight="1"/>
    <row r="6215" ht="15.75" customHeight="1"/>
    <row r="6216" ht="15.75" customHeight="1"/>
    <row r="6217" ht="15.75" customHeight="1"/>
    <row r="6218" ht="15.75" customHeight="1"/>
    <row r="6219" ht="15.75" customHeight="1"/>
    <row r="6220" ht="15.75" customHeight="1"/>
    <row r="6221" ht="15.75" customHeight="1"/>
    <row r="6222" ht="15.75" customHeight="1"/>
    <row r="6223" ht="15.75" customHeight="1"/>
    <row r="6224" ht="15.75" customHeight="1"/>
    <row r="6225" ht="15.75" customHeight="1"/>
    <row r="6226" ht="15.75" customHeight="1"/>
    <row r="6227" ht="15.75" customHeight="1"/>
    <row r="6228" ht="15.75" customHeight="1"/>
    <row r="6229" ht="15.75" customHeight="1"/>
    <row r="6230" ht="15.75" customHeight="1"/>
    <row r="6231" ht="15.75" customHeight="1"/>
    <row r="6232" ht="15.75" customHeight="1"/>
    <row r="6233" ht="15.75" customHeight="1"/>
    <row r="6234" ht="15.75" customHeight="1"/>
    <row r="6235" ht="15.75" customHeight="1"/>
    <row r="6236" ht="15.75" customHeight="1"/>
    <row r="6237" ht="15.75" customHeight="1"/>
    <row r="6238" ht="15.75" customHeight="1"/>
    <row r="6239" ht="15.75" customHeight="1"/>
    <row r="6240" ht="15.75" customHeight="1"/>
    <row r="6241" ht="15.75" customHeight="1"/>
    <row r="6242" ht="15.75" customHeight="1"/>
    <row r="6243" ht="15.75" customHeight="1"/>
    <row r="6244" ht="15.75" customHeight="1"/>
    <row r="6245" ht="15.75" customHeight="1"/>
    <row r="6246" ht="15.75" customHeight="1"/>
    <row r="6247" ht="15.75" customHeight="1"/>
    <row r="6248" ht="15.75" customHeight="1"/>
    <row r="6249" ht="15.75" customHeight="1"/>
    <row r="6250" ht="15.75" customHeight="1"/>
    <row r="6251" ht="15.75" customHeight="1"/>
    <row r="6252" ht="15.75" customHeight="1"/>
    <row r="6253" ht="15.75" customHeight="1"/>
    <row r="6254" ht="15.75" customHeight="1"/>
    <row r="6255" ht="15.75" customHeight="1"/>
    <row r="6256" ht="15.75" customHeight="1"/>
    <row r="6257" ht="15.75" customHeight="1"/>
    <row r="6258" ht="15.75" customHeight="1"/>
    <row r="6259" ht="15.75" customHeight="1"/>
    <row r="6260" ht="15.75" customHeight="1"/>
    <row r="6261" ht="15.75" customHeight="1"/>
    <row r="6262" ht="15.75" customHeight="1"/>
    <row r="6263" ht="15.75" customHeight="1"/>
    <row r="6264" ht="15.75" customHeight="1"/>
    <row r="6265" ht="15.75" customHeight="1"/>
    <row r="6266" ht="15.75" customHeight="1"/>
    <row r="6267" ht="15.75" customHeight="1"/>
    <row r="6268" ht="15.75" customHeight="1"/>
    <row r="6269" ht="15.75" customHeight="1"/>
    <row r="6270" ht="15.75" customHeight="1"/>
    <row r="6271" ht="15.75" customHeight="1"/>
    <row r="6272" ht="15.75" customHeight="1"/>
    <row r="6273" ht="15.75" customHeight="1"/>
    <row r="6274" ht="15.75" customHeight="1"/>
    <row r="6275" ht="15.75" customHeight="1"/>
    <row r="6276" ht="15.75" customHeight="1"/>
    <row r="6277" ht="15.75" customHeight="1"/>
    <row r="6278" ht="15.75" customHeight="1"/>
    <row r="6279" ht="15.75" customHeight="1"/>
    <row r="6280" ht="15.75" customHeight="1"/>
    <row r="6281" ht="15.75" customHeight="1"/>
    <row r="6282" ht="15.75" customHeight="1"/>
    <row r="6283" ht="15.75" customHeight="1"/>
    <row r="6284" ht="15.75" customHeight="1"/>
    <row r="6285" ht="15.75" customHeight="1"/>
    <row r="6286" ht="15.75" customHeight="1"/>
    <row r="6287" ht="15.75" customHeight="1"/>
    <row r="6288" ht="15.75" customHeight="1"/>
    <row r="6289" ht="15.75" customHeight="1"/>
    <row r="6290" ht="15.75" customHeight="1"/>
    <row r="6291" ht="15.75" customHeight="1"/>
    <row r="6292" ht="15.75" customHeight="1"/>
    <row r="6293" ht="15.75" customHeight="1"/>
    <row r="6294" ht="15.75" customHeight="1"/>
    <row r="6295" ht="15.75" customHeight="1"/>
    <row r="6296" ht="15.75" customHeight="1"/>
    <row r="6297" ht="15.75" customHeight="1"/>
    <row r="6298" ht="15.75" customHeight="1"/>
    <row r="6299" ht="15.75" customHeight="1"/>
    <row r="6300" ht="15.75" customHeight="1"/>
    <row r="6301" ht="15.75" customHeight="1"/>
    <row r="6302" ht="15.75" customHeight="1"/>
    <row r="6303" ht="15.75" customHeight="1"/>
    <row r="6304" ht="15.75" customHeight="1"/>
    <row r="6305" ht="15.75" customHeight="1"/>
    <row r="6306" ht="15.75" customHeight="1"/>
    <row r="6307" ht="15.75" customHeight="1"/>
    <row r="6308" ht="15.75" customHeight="1"/>
    <row r="6309" ht="15.75" customHeight="1"/>
    <row r="6310" ht="15.75" customHeight="1"/>
    <row r="6311" ht="15.75" customHeight="1"/>
    <row r="6312" ht="15.75" customHeight="1"/>
    <row r="6313" ht="15.75" customHeight="1"/>
    <row r="6314" ht="15.75" customHeight="1"/>
    <row r="6315" ht="15.75" customHeight="1"/>
    <row r="6316" ht="15.75" customHeight="1"/>
    <row r="6317" ht="15.75" customHeight="1"/>
    <row r="6318" ht="15.75" customHeight="1"/>
    <row r="6319" ht="15.75" customHeight="1"/>
    <row r="6320" ht="15.75" customHeight="1"/>
    <row r="6321" ht="15.75" customHeight="1"/>
    <row r="6322" ht="15.75" customHeight="1"/>
    <row r="6323" ht="15.75" customHeight="1"/>
    <row r="6324" ht="15.75" customHeight="1"/>
    <row r="6325" ht="15.75" customHeight="1"/>
    <row r="6326" ht="15.75" customHeight="1"/>
    <row r="6327" ht="15.75" customHeight="1"/>
    <row r="6328" ht="15.75" customHeight="1"/>
    <row r="6329" ht="15.75" customHeight="1"/>
    <row r="6330" ht="15.75" customHeight="1"/>
    <row r="6331" ht="15.75" customHeight="1"/>
    <row r="6332" ht="15.75" customHeight="1"/>
    <row r="6333" ht="15.75" customHeight="1"/>
    <row r="6334" ht="15.75" customHeight="1"/>
    <row r="6335" ht="15.75" customHeight="1"/>
    <row r="6336" ht="15.75" customHeight="1"/>
    <row r="6337" ht="15.75" customHeight="1"/>
    <row r="6338" ht="15.75" customHeight="1"/>
    <row r="6339" ht="15.75" customHeight="1"/>
    <row r="6340" ht="15.75" customHeight="1"/>
    <row r="6341" ht="15.75" customHeight="1"/>
    <row r="6342" ht="15.75" customHeight="1"/>
    <row r="6343" ht="15.75" customHeight="1"/>
    <row r="6344" ht="15.75" customHeight="1"/>
    <row r="6345" ht="15.75" customHeight="1"/>
    <row r="6346" ht="15.75" customHeight="1"/>
    <row r="6347" ht="15.75" customHeight="1"/>
    <row r="6348" ht="15.75" customHeight="1"/>
    <row r="6349" ht="15.75" customHeight="1"/>
    <row r="6350" ht="15.75" customHeight="1"/>
    <row r="6351" ht="15.75" customHeight="1"/>
    <row r="6352" ht="15.75" customHeight="1"/>
    <row r="6353" ht="15.75" customHeight="1"/>
    <row r="6354" ht="15.75" customHeight="1"/>
    <row r="6355" ht="15.75" customHeight="1"/>
    <row r="6356" ht="15.75" customHeight="1"/>
    <row r="6357" ht="15.75" customHeight="1"/>
    <row r="6358" ht="15.75" customHeight="1"/>
    <row r="6359" ht="15.75" customHeight="1"/>
    <row r="6360" ht="15.75" customHeight="1"/>
    <row r="6361" ht="15.75" customHeight="1"/>
    <row r="6362" ht="15.75" customHeight="1"/>
    <row r="6363" ht="15.75" customHeight="1"/>
    <row r="6364" ht="15.75" customHeight="1"/>
    <row r="6365" ht="15.75" customHeight="1"/>
    <row r="6366" ht="15.75" customHeight="1"/>
    <row r="6367" ht="15.75" customHeight="1"/>
    <row r="6368" ht="15.75" customHeight="1"/>
    <row r="6369" ht="15.75" customHeight="1"/>
    <row r="6370" ht="15.75" customHeight="1"/>
    <row r="6371" ht="15.75" customHeight="1"/>
    <row r="6372" ht="15.75" customHeight="1"/>
    <row r="6373" ht="15.75" customHeight="1"/>
    <row r="6374" ht="15.75" customHeight="1"/>
    <row r="6375" ht="15.75" customHeight="1"/>
    <row r="6376" ht="15.75" customHeight="1"/>
    <row r="6377" ht="15.75" customHeight="1"/>
    <row r="6378" ht="15.75" customHeight="1"/>
    <row r="6379" ht="15.75" customHeight="1"/>
    <row r="6380" ht="15.75" customHeight="1"/>
    <row r="6381" ht="15.75" customHeight="1"/>
    <row r="6382" ht="15.75" customHeight="1"/>
    <row r="6383" ht="15.75" customHeight="1"/>
    <row r="6384" ht="15.75" customHeight="1"/>
    <row r="6385" ht="15.75" customHeight="1"/>
    <row r="6386" ht="15.75" customHeight="1"/>
    <row r="6387" ht="15.75" customHeight="1"/>
    <row r="6388" ht="15.75" customHeight="1"/>
    <row r="6389" ht="15.75" customHeight="1"/>
    <row r="6390" ht="15.75" customHeight="1"/>
    <row r="6391" ht="15.75" customHeight="1"/>
    <row r="6392" ht="15.75" customHeight="1"/>
    <row r="6393" ht="15.75" customHeight="1"/>
    <row r="6394" ht="15.75" customHeight="1"/>
    <row r="6395" ht="15.75" customHeight="1"/>
    <row r="6396" ht="15.75" customHeight="1"/>
    <row r="6397" ht="15.75" customHeight="1"/>
    <row r="6398" ht="15.75" customHeight="1"/>
    <row r="6399" ht="15.75" customHeight="1"/>
    <row r="6400" ht="15.75" customHeight="1"/>
    <row r="6401" ht="15.75" customHeight="1"/>
    <row r="6402" ht="15.75" customHeight="1"/>
    <row r="6403" ht="15.75" customHeight="1"/>
    <row r="6404" ht="15.75" customHeight="1"/>
    <row r="6405" ht="15.75" customHeight="1"/>
    <row r="6406" ht="15.75" customHeight="1"/>
    <row r="6407" ht="15.75" customHeight="1"/>
    <row r="6408" ht="15.75" customHeight="1"/>
    <row r="6409" ht="15.75" customHeight="1"/>
    <row r="6410" ht="15.75" customHeight="1"/>
    <row r="6411" ht="15.75" customHeight="1"/>
    <row r="6412" ht="15.75" customHeight="1"/>
    <row r="6413" ht="15.75" customHeight="1"/>
    <row r="6414" ht="15.75" customHeight="1"/>
    <row r="6415" ht="15.75" customHeight="1"/>
    <row r="6416" ht="15.75" customHeight="1"/>
    <row r="6417" ht="15.75" customHeight="1"/>
    <row r="6418" ht="15.75" customHeight="1"/>
    <row r="6419" ht="15.75" customHeight="1"/>
    <row r="6420" ht="15.75" customHeight="1"/>
    <row r="6421" ht="15.75" customHeight="1"/>
    <row r="6422" ht="15.75" customHeight="1"/>
    <row r="6423" ht="15.75" customHeight="1"/>
    <row r="6424" ht="15.75" customHeight="1"/>
    <row r="6425" ht="15.75" customHeight="1"/>
    <row r="6426" ht="15.75" customHeight="1"/>
    <row r="6427" ht="15.75" customHeight="1"/>
    <row r="6428" ht="15.75" customHeight="1"/>
    <row r="6429" ht="15.75" customHeight="1"/>
    <row r="6430" ht="15.75" customHeight="1"/>
    <row r="6431" ht="15.75" customHeight="1"/>
    <row r="6432" ht="15.75" customHeight="1"/>
    <row r="6433" ht="15.75" customHeight="1"/>
    <row r="6434" ht="15.75" customHeight="1"/>
    <row r="6435" ht="15.75" customHeight="1"/>
    <row r="6436" ht="15.75" customHeight="1"/>
    <row r="6437" ht="15.75" customHeight="1"/>
    <row r="6438" ht="15.75" customHeight="1"/>
    <row r="6439" ht="15.75" customHeight="1"/>
    <row r="6440" ht="15.75" customHeight="1"/>
    <row r="6441" ht="15.75" customHeight="1"/>
    <row r="6442" ht="15.75" customHeight="1"/>
    <row r="6443" ht="15.75" customHeight="1"/>
    <row r="6444" ht="15.75" customHeight="1"/>
    <row r="6445" ht="15.75" customHeight="1"/>
    <row r="6446" ht="15.75" customHeight="1"/>
    <row r="6447" ht="15.75" customHeight="1"/>
    <row r="6448" ht="15.75" customHeight="1"/>
    <row r="6449" ht="15.75" customHeight="1"/>
    <row r="6450" ht="15.75" customHeight="1"/>
    <row r="6451" ht="15.75" customHeight="1"/>
    <row r="6452" ht="15.75" customHeight="1"/>
    <row r="6453" ht="15.75" customHeight="1"/>
    <row r="6454" ht="15.75" customHeight="1"/>
    <row r="6455" ht="15.75" customHeight="1"/>
    <row r="6456" ht="15.75" customHeight="1"/>
    <row r="6457" ht="15.75" customHeight="1"/>
    <row r="6458" ht="15.75" customHeight="1"/>
    <row r="6459" ht="15.75" customHeight="1"/>
    <row r="6460" ht="15.75" customHeight="1"/>
    <row r="6461" ht="15.75" customHeight="1"/>
    <row r="6462" ht="15.75" customHeight="1"/>
    <row r="6463" ht="15.75" customHeight="1"/>
    <row r="6464" ht="15.75" customHeight="1"/>
    <row r="6465" ht="15.75" customHeight="1"/>
    <row r="6466" ht="15.75" customHeight="1"/>
    <row r="6467" ht="15.75" customHeight="1"/>
    <row r="6468" ht="15.75" customHeight="1"/>
    <row r="6469" ht="15.75" customHeight="1"/>
    <row r="6470" ht="15.75" customHeight="1"/>
    <row r="6471" ht="15.75" customHeight="1"/>
    <row r="6472" ht="15.75" customHeight="1"/>
    <row r="6473" ht="15.75" customHeight="1"/>
    <row r="6474" ht="15.75" customHeight="1"/>
    <row r="6475" ht="15.75" customHeight="1"/>
    <row r="6476" ht="15.75" customHeight="1"/>
    <row r="6477" ht="15.75" customHeight="1"/>
    <row r="6478" ht="15.75" customHeight="1"/>
    <row r="6479" ht="15.75" customHeight="1"/>
    <row r="6480" ht="15.75" customHeight="1"/>
    <row r="6481" ht="15.75" customHeight="1"/>
    <row r="6482" ht="15.75" customHeight="1"/>
    <row r="6483" ht="15.75" customHeight="1"/>
    <row r="6484" ht="15.75" customHeight="1"/>
    <row r="6485" ht="15.75" customHeight="1"/>
    <row r="6486" ht="15.75" customHeight="1"/>
    <row r="6487" ht="15.75" customHeight="1"/>
    <row r="6488" ht="15.75" customHeight="1"/>
    <row r="6489" ht="15.75" customHeight="1"/>
    <row r="6490" ht="15.75" customHeight="1"/>
    <row r="6491" ht="15.75" customHeight="1"/>
    <row r="6492" ht="15.75" customHeight="1"/>
    <row r="6493" ht="15.75" customHeight="1"/>
    <row r="6494" ht="15.75" customHeight="1"/>
    <row r="6495" ht="15.75" customHeight="1"/>
    <row r="6496" ht="15.75" customHeight="1"/>
    <row r="6497" ht="15.75" customHeight="1"/>
    <row r="6498" ht="15.75" customHeight="1"/>
    <row r="6499" ht="15.75" customHeight="1"/>
    <row r="6500" ht="15.75" customHeight="1"/>
    <row r="6501" ht="15.75" customHeight="1"/>
    <row r="6502" ht="15.75" customHeight="1"/>
    <row r="6503" ht="15.75" customHeight="1"/>
    <row r="6504" ht="15.75" customHeight="1"/>
    <row r="6505" ht="15.75" customHeight="1"/>
    <row r="6506" ht="15.75" customHeight="1"/>
    <row r="6507" ht="15.75" customHeight="1"/>
    <row r="6508" ht="15.75" customHeight="1"/>
    <row r="6509" ht="15.75" customHeight="1"/>
    <row r="6510" ht="15.75" customHeight="1"/>
    <row r="6511" ht="15.75" customHeight="1"/>
    <row r="6512" ht="15.75" customHeight="1"/>
    <row r="6513" ht="15.75" customHeight="1"/>
    <row r="6514" ht="15.75" customHeight="1"/>
    <row r="6515" ht="15.75" customHeight="1"/>
    <row r="6516" ht="15.75" customHeight="1"/>
    <row r="6517" ht="15.75" customHeight="1"/>
    <row r="6518" ht="15.75" customHeight="1"/>
    <row r="6519" ht="15.75" customHeight="1"/>
    <row r="6520" ht="15.75" customHeight="1"/>
    <row r="6521" ht="15.75" customHeight="1"/>
    <row r="6522" ht="15.75" customHeight="1"/>
    <row r="6523" ht="15.75" customHeight="1"/>
    <row r="6524" ht="15.75" customHeight="1"/>
    <row r="6525" ht="15.75" customHeight="1"/>
    <row r="6526" ht="15.75" customHeight="1"/>
    <row r="6527" ht="15.75" customHeight="1"/>
    <row r="6528" ht="15.75" customHeight="1"/>
    <row r="6529" ht="15.75" customHeight="1"/>
    <row r="6530" ht="15.75" customHeight="1"/>
    <row r="6531" ht="15.75" customHeight="1"/>
    <row r="6532" ht="15.75" customHeight="1"/>
    <row r="6533" ht="15.75" customHeight="1"/>
    <row r="6534" ht="15.75" customHeight="1"/>
    <row r="6535" ht="15.75" customHeight="1"/>
    <row r="6536" ht="15.75" customHeight="1"/>
    <row r="6537" ht="15.75" customHeight="1"/>
    <row r="6538" ht="15.75" customHeight="1"/>
    <row r="6539" ht="15.75" customHeight="1"/>
    <row r="6540" ht="15.75" customHeight="1"/>
    <row r="6541" ht="15.75" customHeight="1"/>
    <row r="6542" ht="15.75" customHeight="1"/>
    <row r="6543" ht="15.75" customHeight="1"/>
    <row r="6544" ht="15.75" customHeight="1"/>
    <row r="6545" ht="15.75" customHeight="1"/>
    <row r="6546" ht="15.75" customHeight="1"/>
    <row r="6547" ht="15.75" customHeight="1"/>
    <row r="6548" ht="15.75" customHeight="1"/>
    <row r="6549" ht="15.75" customHeight="1"/>
    <row r="6550" ht="15.75" customHeight="1"/>
    <row r="6551" ht="15.75" customHeight="1"/>
    <row r="6552" ht="15.75" customHeight="1"/>
    <row r="6553" ht="15.75" customHeight="1"/>
    <row r="6554" ht="15.75" customHeight="1"/>
    <row r="6555" ht="15.75" customHeight="1"/>
    <row r="6556" ht="15.75" customHeight="1"/>
    <row r="6557" ht="15.75" customHeight="1"/>
    <row r="6558" ht="15.75" customHeight="1"/>
    <row r="6559" ht="15.75" customHeight="1"/>
    <row r="6560" ht="15.75" customHeight="1"/>
    <row r="6561" ht="15.75" customHeight="1"/>
    <row r="6562" ht="15.75" customHeight="1"/>
    <row r="6563" ht="15.75" customHeight="1"/>
    <row r="6564" ht="15.75" customHeight="1"/>
    <row r="6565" ht="15.75" customHeight="1"/>
    <row r="6566" ht="15.75" customHeight="1"/>
    <row r="6567" ht="15.75" customHeight="1"/>
    <row r="6568" ht="15.75" customHeight="1"/>
    <row r="6569" ht="15.75" customHeight="1"/>
    <row r="6570" ht="15.75" customHeight="1"/>
    <row r="6571" ht="15.75" customHeight="1"/>
    <row r="6572" ht="15.75" customHeight="1"/>
    <row r="6573" ht="15.75" customHeight="1"/>
    <row r="6574" ht="15.75" customHeight="1"/>
    <row r="6575" ht="15.75" customHeight="1"/>
    <row r="6576" ht="15.75" customHeight="1"/>
    <row r="6577" ht="15.75" customHeight="1"/>
    <row r="6578" ht="15.75" customHeight="1"/>
    <row r="6579" ht="15.75" customHeight="1"/>
    <row r="6580" ht="15.75" customHeight="1"/>
    <row r="6581" ht="15.75" customHeight="1"/>
    <row r="6582" ht="15.75" customHeight="1"/>
    <row r="6583" ht="15.75" customHeight="1"/>
    <row r="6584" ht="15.75" customHeight="1"/>
    <row r="6585" ht="15.75" customHeight="1"/>
    <row r="6586" ht="15.75" customHeight="1"/>
    <row r="6587" ht="15.75" customHeight="1"/>
    <row r="6588" ht="15.75" customHeight="1"/>
    <row r="6589" ht="15.75" customHeight="1"/>
    <row r="6590" ht="15.75" customHeight="1"/>
    <row r="6591" ht="15.75" customHeight="1"/>
    <row r="6592" ht="15.75" customHeight="1"/>
    <row r="6593" ht="15.75" customHeight="1"/>
    <row r="6594" ht="15.75" customHeight="1"/>
    <row r="6595" ht="15.75" customHeight="1"/>
    <row r="6596" ht="15.75" customHeight="1"/>
    <row r="6597" ht="15.75" customHeight="1"/>
    <row r="6598" ht="15.75" customHeight="1"/>
    <row r="6599" ht="15.75" customHeight="1"/>
    <row r="6600" ht="15.75" customHeight="1"/>
    <row r="6601" ht="15.75" customHeight="1"/>
    <row r="6602" ht="15.75" customHeight="1"/>
    <row r="6603" ht="15.75" customHeight="1"/>
    <row r="6604" ht="15.75" customHeight="1"/>
    <row r="6605" ht="15.75" customHeight="1"/>
    <row r="6606" ht="15.75" customHeight="1"/>
    <row r="6607" ht="15.75" customHeight="1"/>
    <row r="6608" ht="15.75" customHeight="1"/>
    <row r="6609" ht="15.75" customHeight="1"/>
    <row r="6610" ht="15.75" customHeight="1"/>
    <row r="6611" ht="15.75" customHeight="1"/>
    <row r="6612" ht="15.75" customHeight="1"/>
    <row r="6613" ht="15.75" customHeight="1"/>
    <row r="6614" ht="15.75" customHeight="1"/>
    <row r="6615" ht="15.75" customHeight="1"/>
    <row r="6616" ht="15.75" customHeight="1"/>
    <row r="6617" ht="15.75" customHeight="1"/>
    <row r="6618" ht="15.75" customHeight="1"/>
    <row r="6619" ht="15.75" customHeight="1"/>
    <row r="6620" ht="15.75" customHeight="1"/>
    <row r="6621" ht="15.75" customHeight="1"/>
    <row r="6622" ht="15.75" customHeight="1"/>
    <row r="6623" ht="15.75" customHeight="1"/>
    <row r="6624" ht="15.75" customHeight="1"/>
    <row r="6625" ht="15.75" customHeight="1"/>
    <row r="6626" ht="15.75" customHeight="1"/>
    <row r="6627" ht="15.75" customHeight="1"/>
    <row r="6628" ht="15.75" customHeight="1"/>
    <row r="6629" ht="15.75" customHeight="1"/>
    <row r="6630" ht="15.75" customHeight="1"/>
    <row r="6631" ht="15.75" customHeight="1"/>
    <row r="6632" ht="15.75" customHeight="1"/>
    <row r="6633" ht="15.75" customHeight="1"/>
    <row r="6634" ht="15.75" customHeight="1"/>
    <row r="6635" ht="15.75" customHeight="1"/>
    <row r="6636" ht="15.75" customHeight="1"/>
    <row r="6637" ht="15.75" customHeight="1"/>
    <row r="6638" ht="15.75" customHeight="1"/>
    <row r="6639" ht="15.75" customHeight="1"/>
    <row r="6640" ht="15.75" customHeight="1"/>
    <row r="6641" ht="15.75" customHeight="1"/>
    <row r="6642" ht="15.75" customHeight="1"/>
    <row r="6643" ht="15.75" customHeight="1"/>
    <row r="6644" ht="15.75" customHeight="1"/>
    <row r="6645" ht="15.75" customHeight="1"/>
    <row r="6646" ht="15.75" customHeight="1"/>
    <row r="6647" ht="15.75" customHeight="1"/>
    <row r="6648" ht="15.75" customHeight="1"/>
    <row r="6649" ht="15.75" customHeight="1"/>
    <row r="6650" ht="15.75" customHeight="1"/>
    <row r="6651" ht="15.75" customHeight="1"/>
    <row r="6652" ht="15.75" customHeight="1"/>
    <row r="6653" ht="15.75" customHeight="1"/>
    <row r="6654" ht="15.75" customHeight="1"/>
    <row r="6655" ht="15.75" customHeight="1"/>
    <row r="6656" ht="15.75" customHeight="1"/>
    <row r="6657" ht="15.75" customHeight="1"/>
    <row r="6658" ht="15.75" customHeight="1"/>
    <row r="6659" ht="15.75" customHeight="1"/>
    <row r="6660" ht="15.75" customHeight="1"/>
    <row r="6661" ht="15.75" customHeight="1"/>
    <row r="6662" ht="15.75" customHeight="1"/>
    <row r="6663" ht="15.75" customHeight="1"/>
    <row r="6664" ht="15.75" customHeight="1"/>
    <row r="6665" ht="15.75" customHeight="1"/>
    <row r="6666" ht="15.75" customHeight="1"/>
    <row r="6667" ht="15.75" customHeight="1"/>
    <row r="6668" ht="15.75" customHeight="1"/>
    <row r="6669" ht="15.75" customHeight="1"/>
    <row r="6670" ht="15.75" customHeight="1"/>
    <row r="6671" ht="15.75" customHeight="1"/>
    <row r="6672" ht="15.75" customHeight="1"/>
    <row r="6673" ht="15.75" customHeight="1"/>
    <row r="6674" ht="15.75" customHeight="1"/>
    <row r="6675" ht="15.75" customHeight="1"/>
    <row r="6676" ht="15.75" customHeight="1"/>
    <row r="6677" ht="15.75" customHeight="1"/>
    <row r="6678" ht="15.75" customHeight="1"/>
    <row r="6679" ht="15.75" customHeight="1"/>
    <row r="6680" ht="15.75" customHeight="1"/>
    <row r="6681" ht="15.75" customHeight="1"/>
    <row r="6682" ht="15.75" customHeight="1"/>
    <row r="6683" ht="15.75" customHeight="1"/>
    <row r="6684" ht="15.75" customHeight="1"/>
    <row r="6685" ht="15.75" customHeight="1"/>
    <row r="6686" ht="15.75" customHeight="1"/>
    <row r="6687" ht="15.75" customHeight="1"/>
    <row r="6688" ht="15.75" customHeight="1"/>
    <row r="6689" ht="15.75" customHeight="1"/>
    <row r="6690" ht="15.75" customHeight="1"/>
    <row r="6691" ht="15.75" customHeight="1"/>
    <row r="6692" ht="15.75" customHeight="1"/>
    <row r="6693" ht="15.75" customHeight="1"/>
    <row r="6694" ht="15.75" customHeight="1"/>
    <row r="6695" ht="15.75" customHeight="1"/>
    <row r="6696" ht="15.75" customHeight="1"/>
    <row r="6697" ht="15.75" customHeight="1"/>
    <row r="6698" ht="15.75" customHeight="1"/>
    <row r="6699" ht="15.75" customHeight="1"/>
    <row r="6700" ht="15.75" customHeight="1"/>
    <row r="6701" ht="15.75" customHeight="1"/>
    <row r="6702" ht="15.75" customHeight="1"/>
    <row r="6703" ht="15.75" customHeight="1"/>
    <row r="6704" ht="15.75" customHeight="1"/>
    <row r="6705" ht="15.75" customHeight="1"/>
    <row r="6706" ht="15.75" customHeight="1"/>
    <row r="6707" ht="15.75" customHeight="1"/>
    <row r="6708" ht="15.75" customHeight="1"/>
    <row r="6709" ht="15.75" customHeight="1"/>
    <row r="6710" ht="15.75" customHeight="1"/>
    <row r="6711" ht="15.75" customHeight="1"/>
    <row r="6712" ht="15.75" customHeight="1"/>
    <row r="6713" ht="15.75" customHeight="1"/>
    <row r="6714" ht="15.75" customHeight="1"/>
    <row r="6715" ht="15.75" customHeight="1"/>
    <row r="6716" ht="15.75" customHeight="1"/>
    <row r="6717" ht="15.75" customHeight="1"/>
    <row r="6718" ht="15.75" customHeight="1"/>
    <row r="6719" ht="15.75" customHeight="1"/>
    <row r="6720" ht="15.75" customHeight="1"/>
    <row r="6721" ht="15.75" customHeight="1"/>
    <row r="6722" ht="15.75" customHeight="1"/>
    <row r="6723" ht="15.75" customHeight="1"/>
    <row r="6724" ht="15.75" customHeight="1"/>
    <row r="6725" ht="15.75" customHeight="1"/>
    <row r="6726" ht="15.75" customHeight="1"/>
    <row r="6727" ht="15.75" customHeight="1"/>
    <row r="6728" ht="15.75" customHeight="1"/>
    <row r="6729" ht="15.75" customHeight="1"/>
    <row r="6730" ht="15.75" customHeight="1"/>
    <row r="6731" ht="15.75" customHeight="1"/>
    <row r="6732" ht="15.75" customHeight="1"/>
    <row r="6733" ht="15.75" customHeight="1"/>
    <row r="6734" ht="15.75" customHeight="1"/>
    <row r="6735" ht="15.75" customHeight="1"/>
    <row r="6736" ht="15.75" customHeight="1"/>
    <row r="6737" ht="15.75" customHeight="1"/>
    <row r="6738" ht="15.75" customHeight="1"/>
    <row r="6739" ht="15.75" customHeight="1"/>
    <row r="6740" ht="15.75" customHeight="1"/>
    <row r="6741" ht="15.75" customHeight="1"/>
    <row r="6742" ht="15.75" customHeight="1"/>
    <row r="6743" ht="15.75" customHeight="1"/>
    <row r="6744" ht="15.75" customHeight="1"/>
    <row r="6745" ht="15.75" customHeight="1"/>
    <row r="6746" ht="15.75" customHeight="1"/>
    <row r="6747" ht="15.75" customHeight="1"/>
    <row r="6748" ht="15.75" customHeight="1"/>
    <row r="6749" ht="15.75" customHeight="1"/>
    <row r="6750" ht="15.75" customHeight="1"/>
    <row r="6751" ht="15.75" customHeight="1"/>
    <row r="6752" ht="15.75" customHeight="1"/>
    <row r="6753" ht="15.75" customHeight="1"/>
    <row r="6754" ht="15.75" customHeight="1"/>
    <row r="6755" ht="15.75" customHeight="1"/>
    <row r="6756" ht="15.75" customHeight="1"/>
    <row r="6757" ht="15.75" customHeight="1"/>
    <row r="6758" ht="15.75" customHeight="1"/>
    <row r="6759" ht="15.75" customHeight="1"/>
    <row r="6760" ht="15.75" customHeight="1"/>
    <row r="6761" ht="15.75" customHeight="1"/>
    <row r="6762" ht="15.75" customHeight="1"/>
    <row r="6763" ht="15.75" customHeight="1"/>
    <row r="6764" ht="15.75" customHeight="1"/>
    <row r="6765" ht="15.75" customHeight="1"/>
    <row r="6766" ht="15.75" customHeight="1"/>
    <row r="6767" ht="15.75" customHeight="1"/>
    <row r="6768" ht="15.75" customHeight="1"/>
    <row r="6769" ht="15.75" customHeight="1"/>
    <row r="6770" ht="15.75" customHeight="1"/>
    <row r="6771" ht="15.75" customHeight="1"/>
    <row r="6772" ht="15.75" customHeight="1"/>
    <row r="6773" ht="15.75" customHeight="1"/>
    <row r="6774" ht="15.75" customHeight="1"/>
    <row r="6775" ht="15.75" customHeight="1"/>
    <row r="6776" ht="15.75" customHeight="1"/>
    <row r="6777" ht="15.75" customHeight="1"/>
    <row r="6778" ht="15.75" customHeight="1"/>
    <row r="6779" ht="15.75" customHeight="1"/>
    <row r="6780" ht="15.75" customHeight="1"/>
    <row r="6781" ht="15.75" customHeight="1"/>
    <row r="6782" ht="15.75" customHeight="1"/>
    <row r="6783" ht="15.75" customHeight="1"/>
    <row r="6784" ht="15.75" customHeight="1"/>
    <row r="6785" ht="15.75" customHeight="1"/>
    <row r="6786" ht="15.75" customHeight="1"/>
    <row r="6787" ht="15.75" customHeight="1"/>
    <row r="6788" ht="15.75" customHeight="1"/>
    <row r="6789" ht="15.75" customHeight="1"/>
    <row r="6790" ht="15.75" customHeight="1"/>
    <row r="6791" ht="15.75" customHeight="1"/>
    <row r="6792" ht="15.75" customHeight="1"/>
    <row r="6793" ht="15.75" customHeight="1"/>
    <row r="6794" ht="15.75" customHeight="1"/>
    <row r="6795" ht="15.75" customHeight="1"/>
    <row r="6796" ht="15.75" customHeight="1"/>
    <row r="6797" ht="15.75" customHeight="1"/>
    <row r="6798" ht="15.75" customHeight="1"/>
    <row r="6799" ht="15.75" customHeight="1"/>
    <row r="6800" ht="15.75" customHeight="1"/>
    <row r="6801" ht="15.75" customHeight="1"/>
    <row r="6802" ht="15.75" customHeight="1"/>
    <row r="6803" ht="15.75" customHeight="1"/>
    <row r="6804" ht="15.75" customHeight="1"/>
    <row r="6805" ht="15.75" customHeight="1"/>
    <row r="6806" ht="15.75" customHeight="1"/>
    <row r="6807" ht="15.75" customHeight="1"/>
    <row r="6808" ht="15.75" customHeight="1"/>
    <row r="6809" ht="15.75" customHeight="1"/>
    <row r="6810" ht="15.75" customHeight="1"/>
    <row r="6811" ht="15.75" customHeight="1"/>
    <row r="6812" ht="15.75" customHeight="1"/>
    <row r="6813" ht="15.75" customHeight="1"/>
    <row r="6814" ht="15.75" customHeight="1"/>
    <row r="6815" ht="15.75" customHeight="1"/>
    <row r="6816" ht="15.75" customHeight="1"/>
    <row r="6817" ht="15.75" customHeight="1"/>
    <row r="6818" ht="15.75" customHeight="1"/>
    <row r="6819" ht="15.75" customHeight="1"/>
    <row r="6820" ht="15.75" customHeight="1"/>
    <row r="6821" ht="15.75" customHeight="1"/>
    <row r="6822" ht="15.75" customHeight="1"/>
    <row r="6823" ht="15.75" customHeight="1"/>
    <row r="6824" ht="15.75" customHeight="1"/>
    <row r="6825" ht="15.75" customHeight="1"/>
    <row r="6826" ht="15.75" customHeight="1"/>
    <row r="6827" ht="15.75" customHeight="1"/>
    <row r="6828" ht="15.75" customHeight="1"/>
    <row r="6829" ht="15.75" customHeight="1"/>
    <row r="6830" ht="15.75" customHeight="1"/>
    <row r="6831" ht="15.75" customHeight="1"/>
    <row r="6832" ht="15.75" customHeight="1"/>
    <row r="6833" ht="15.75" customHeight="1"/>
    <row r="6834" ht="15.75" customHeight="1"/>
    <row r="6835" ht="15.75" customHeight="1"/>
    <row r="6836" ht="15.75" customHeight="1"/>
    <row r="6837" ht="15.75" customHeight="1"/>
    <row r="6838" ht="15.75" customHeight="1"/>
    <row r="6839" ht="15.75" customHeight="1"/>
    <row r="6840" ht="15.75" customHeight="1"/>
    <row r="6841" ht="15.75" customHeight="1"/>
    <row r="6842" ht="15.75" customHeight="1"/>
    <row r="6843" ht="15.75" customHeight="1"/>
    <row r="6844" ht="15.75" customHeight="1"/>
    <row r="6845" ht="15.75" customHeight="1"/>
    <row r="6846" ht="15.75" customHeight="1"/>
    <row r="6847" ht="15.75" customHeight="1"/>
    <row r="6848" ht="15.75" customHeight="1"/>
    <row r="6849" ht="15.75" customHeight="1"/>
    <row r="6850" ht="15.75" customHeight="1"/>
    <row r="6851" ht="15.75" customHeight="1"/>
    <row r="6852" ht="15.75" customHeight="1"/>
    <row r="6853" ht="15.75" customHeight="1"/>
    <row r="6854" ht="15.75" customHeight="1"/>
    <row r="6855" ht="15.75" customHeight="1"/>
    <row r="6856" ht="15.75" customHeight="1"/>
    <row r="6857" ht="15.75" customHeight="1"/>
    <row r="6858" ht="15.75" customHeight="1"/>
    <row r="6859" ht="15.75" customHeight="1"/>
    <row r="6860" ht="15.75" customHeight="1"/>
    <row r="6861" ht="15.75" customHeight="1"/>
    <row r="6862" ht="15.75" customHeight="1"/>
    <row r="6863" ht="15.75" customHeight="1"/>
    <row r="6864" ht="15.75" customHeight="1"/>
    <row r="6865" ht="15.75" customHeight="1"/>
    <row r="6866" ht="15.75" customHeight="1"/>
    <row r="6867" ht="15.75" customHeight="1"/>
    <row r="6868" ht="15.75" customHeight="1"/>
    <row r="6869" ht="15.75" customHeight="1"/>
    <row r="6870" ht="15.75" customHeight="1"/>
    <row r="6871" ht="15.75" customHeight="1"/>
    <row r="6872" ht="15.75" customHeight="1"/>
    <row r="6873" ht="15.75" customHeight="1"/>
    <row r="6874" ht="15.75" customHeight="1"/>
    <row r="6875" ht="15.75" customHeight="1"/>
    <row r="6876" ht="15.75" customHeight="1"/>
    <row r="6877" ht="15.75" customHeight="1"/>
    <row r="6878" ht="15.75" customHeight="1"/>
    <row r="6879" ht="15.75" customHeight="1"/>
    <row r="6880" ht="15.75" customHeight="1"/>
    <row r="6881" ht="15.75" customHeight="1"/>
    <row r="6882" ht="15.75" customHeight="1"/>
    <row r="6883" ht="15.75" customHeight="1"/>
    <row r="6884" ht="15.75" customHeight="1"/>
    <row r="6885" ht="15.75" customHeight="1"/>
    <row r="6886" ht="15.75" customHeight="1"/>
    <row r="6887" ht="15.75" customHeight="1"/>
    <row r="6888" ht="15.75" customHeight="1"/>
    <row r="6889" ht="15.75" customHeight="1"/>
    <row r="6890" ht="15.75" customHeight="1"/>
    <row r="6891" ht="15.75" customHeight="1"/>
    <row r="6892" ht="15.75" customHeight="1"/>
    <row r="6893" ht="15.75" customHeight="1"/>
    <row r="6894" ht="15.75" customHeight="1"/>
    <row r="6895" ht="15.75" customHeight="1"/>
    <row r="6896" ht="15.75" customHeight="1"/>
    <row r="6897" ht="15.75" customHeight="1"/>
    <row r="6898" ht="15.75" customHeight="1"/>
    <row r="6899" ht="15.75" customHeight="1"/>
    <row r="6900" ht="15.75" customHeight="1"/>
    <row r="6901" ht="15.75" customHeight="1"/>
    <row r="6902" ht="15.75" customHeight="1"/>
    <row r="6903" ht="15.75" customHeight="1"/>
    <row r="6904" ht="15.75" customHeight="1"/>
    <row r="6905" ht="15.75" customHeight="1"/>
    <row r="6906" ht="15.75" customHeight="1"/>
    <row r="6907" ht="15.75" customHeight="1"/>
    <row r="6908" ht="15.75" customHeight="1"/>
    <row r="6909" ht="15.75" customHeight="1"/>
    <row r="6910" ht="15.75" customHeight="1"/>
    <row r="6911" ht="15.75" customHeight="1"/>
    <row r="6912" ht="15.75" customHeight="1"/>
    <row r="6913" ht="15.75" customHeight="1"/>
    <row r="6914" ht="15.75" customHeight="1"/>
    <row r="6915" ht="15.75" customHeight="1"/>
    <row r="6916" ht="15.75" customHeight="1"/>
    <row r="6917" ht="15.75" customHeight="1"/>
    <row r="6918" ht="15.75" customHeight="1"/>
    <row r="6919" ht="15.75" customHeight="1"/>
    <row r="6920" ht="15.75" customHeight="1"/>
    <row r="6921" ht="15.75" customHeight="1"/>
    <row r="6922" ht="15.75" customHeight="1"/>
    <row r="6923" ht="15.75" customHeight="1"/>
    <row r="6924" ht="15.75" customHeight="1"/>
    <row r="6925" ht="15.75" customHeight="1"/>
    <row r="6926" ht="15.75" customHeight="1"/>
    <row r="6927" ht="15.75" customHeight="1"/>
    <row r="6928" ht="15.75" customHeight="1"/>
    <row r="6929" ht="15.75" customHeight="1"/>
    <row r="6930" ht="15.75" customHeight="1"/>
    <row r="6931" ht="15.75" customHeight="1"/>
    <row r="6932" ht="15.75" customHeight="1"/>
    <row r="6933" ht="15.75" customHeight="1"/>
    <row r="6934" ht="15.75" customHeight="1"/>
    <row r="6935" ht="15.75" customHeight="1"/>
    <row r="6936" ht="15.75" customHeight="1"/>
    <row r="6937" ht="15.75" customHeight="1"/>
    <row r="6938" ht="15.75" customHeight="1"/>
    <row r="6939" ht="15.75" customHeight="1"/>
    <row r="6940" ht="15.75" customHeight="1"/>
    <row r="6941" ht="15.75" customHeight="1"/>
    <row r="6942" ht="15.75" customHeight="1"/>
    <row r="6943" ht="15.75" customHeight="1"/>
    <row r="6944" ht="15.75" customHeight="1"/>
    <row r="6945" ht="15.75" customHeight="1"/>
    <row r="6946" ht="15.75" customHeight="1"/>
    <row r="6947" ht="15.75" customHeight="1"/>
    <row r="6948" ht="15.75" customHeight="1"/>
    <row r="6949" ht="15.75" customHeight="1"/>
    <row r="6950" ht="15.75" customHeight="1"/>
    <row r="6951" ht="15.75" customHeight="1"/>
    <row r="6952" ht="15.75" customHeight="1"/>
    <row r="6953" ht="15.75" customHeight="1"/>
    <row r="6954" ht="15.75" customHeight="1"/>
    <row r="6955" ht="15.75" customHeight="1"/>
    <row r="6956" ht="15.75" customHeight="1"/>
    <row r="6957" ht="15.75" customHeight="1"/>
    <row r="6958" ht="15.75" customHeight="1"/>
    <row r="6959" ht="15.75" customHeight="1"/>
    <row r="6960" ht="15.75" customHeight="1"/>
    <row r="6961" ht="15.75" customHeight="1"/>
    <row r="6962" ht="15.75" customHeight="1"/>
    <row r="6963" ht="15.75" customHeight="1"/>
    <row r="6964" ht="15.75" customHeight="1"/>
    <row r="6965" ht="15.75" customHeight="1"/>
    <row r="6966" ht="15.75" customHeight="1"/>
    <row r="6967" ht="15.75" customHeight="1"/>
    <row r="6968" ht="15.75" customHeight="1"/>
    <row r="6969" ht="15.75" customHeight="1"/>
    <row r="6970" ht="15.75" customHeight="1"/>
    <row r="6971" ht="15.75" customHeight="1"/>
    <row r="6972" ht="15.75" customHeight="1"/>
    <row r="6973" ht="15.75" customHeight="1"/>
    <row r="6974" ht="15.75" customHeight="1"/>
    <row r="6975" ht="15.75" customHeight="1"/>
    <row r="6976" ht="15.75" customHeight="1"/>
    <row r="6977" ht="15.75" customHeight="1"/>
    <row r="6978" ht="15.75" customHeight="1"/>
    <row r="6979" ht="15.75" customHeight="1"/>
    <row r="6980" ht="15.75" customHeight="1"/>
    <row r="6981" ht="15.75" customHeight="1"/>
    <row r="6982" ht="15.75" customHeight="1"/>
    <row r="6983" ht="15.75" customHeight="1"/>
    <row r="6984" ht="15.75" customHeight="1"/>
    <row r="6985" ht="15.75" customHeight="1"/>
    <row r="6986" ht="15.75" customHeight="1"/>
    <row r="6987" ht="15.75" customHeight="1"/>
    <row r="6988" ht="15.75" customHeight="1"/>
    <row r="6989" ht="15.75" customHeight="1"/>
    <row r="6990" ht="15.75" customHeight="1"/>
    <row r="6991" ht="15.75" customHeight="1"/>
    <row r="6992" ht="15.75" customHeight="1"/>
    <row r="6993" ht="15.75" customHeight="1"/>
    <row r="6994" ht="15.75" customHeight="1"/>
    <row r="6995" ht="15.75" customHeight="1"/>
    <row r="6996" ht="15.75" customHeight="1"/>
    <row r="6997" ht="15.75" customHeight="1"/>
    <row r="6998" ht="15.75" customHeight="1"/>
    <row r="6999" ht="15.75" customHeight="1"/>
    <row r="7000" ht="15.75" customHeight="1"/>
    <row r="7001" ht="15.75" customHeight="1"/>
    <row r="7002" ht="15.75" customHeight="1"/>
    <row r="7003" ht="15.75" customHeight="1"/>
    <row r="7004" ht="15.75" customHeight="1"/>
    <row r="7005" ht="15.75" customHeight="1"/>
    <row r="7006" ht="15.75" customHeight="1"/>
    <row r="7007" ht="15.75" customHeight="1"/>
    <row r="7008" ht="15.75" customHeight="1"/>
    <row r="7009" ht="15.75" customHeight="1"/>
    <row r="7010" ht="15.75" customHeight="1"/>
    <row r="7011" ht="15.75" customHeight="1"/>
    <row r="7012" ht="15.75" customHeight="1"/>
    <row r="7013" ht="15.75" customHeight="1"/>
    <row r="7014" ht="15.75" customHeight="1"/>
    <row r="7015" ht="15.75" customHeight="1"/>
    <row r="7016" ht="15.75" customHeight="1"/>
    <row r="7017" ht="15.75" customHeight="1"/>
    <row r="7018" ht="15.75" customHeight="1"/>
    <row r="7019" ht="15.75" customHeight="1"/>
    <row r="7020" ht="15.75" customHeight="1"/>
    <row r="7021" ht="15.75" customHeight="1"/>
    <row r="7022" ht="15.75" customHeight="1"/>
    <row r="7023" ht="15.75" customHeight="1"/>
    <row r="7024" ht="15.75" customHeight="1"/>
    <row r="7025" ht="15.75" customHeight="1"/>
    <row r="7026" ht="15.75" customHeight="1"/>
    <row r="7027" ht="15.75" customHeight="1"/>
    <row r="7028" ht="15.75" customHeight="1"/>
    <row r="7029" ht="15.75" customHeight="1"/>
    <row r="7030" ht="15.75" customHeight="1"/>
    <row r="7031" ht="15.75" customHeight="1"/>
    <row r="7032" ht="15.75" customHeight="1"/>
    <row r="7033" ht="15.75" customHeight="1"/>
    <row r="7034" ht="15.75" customHeight="1"/>
    <row r="7035" ht="15.75" customHeight="1"/>
    <row r="7036" ht="15.75" customHeight="1"/>
    <row r="7037" ht="15.75" customHeight="1"/>
    <row r="7038" ht="15.75" customHeight="1"/>
    <row r="7039" ht="15.75" customHeight="1"/>
    <row r="7040" ht="15.75" customHeight="1"/>
    <row r="7041" ht="15.75" customHeight="1"/>
    <row r="7042" ht="15.75" customHeight="1"/>
    <row r="7043" ht="15.75" customHeight="1"/>
    <row r="7044" ht="15.75" customHeight="1"/>
    <row r="7045" ht="15.75" customHeight="1"/>
    <row r="7046" ht="15.75" customHeight="1"/>
    <row r="7047" ht="15.75" customHeight="1"/>
    <row r="7048" ht="15.75" customHeight="1"/>
    <row r="7049" ht="15.75" customHeight="1"/>
    <row r="7050" ht="15.75" customHeight="1"/>
    <row r="7051" ht="15.75" customHeight="1"/>
    <row r="7052" ht="15.75" customHeight="1"/>
    <row r="7053" ht="15.75" customHeight="1"/>
    <row r="7054" ht="15.75" customHeight="1"/>
    <row r="7055" ht="15.75" customHeight="1"/>
    <row r="7056" ht="15.75" customHeight="1"/>
    <row r="7057" ht="15.75" customHeight="1"/>
    <row r="7058" ht="15.75" customHeight="1"/>
    <row r="7059" ht="15.75" customHeight="1"/>
    <row r="7060" ht="15.75" customHeight="1"/>
    <row r="7061" ht="15.75" customHeight="1"/>
    <row r="7062" ht="15.75" customHeight="1"/>
    <row r="7063" ht="15.75" customHeight="1"/>
    <row r="7064" ht="15.75" customHeight="1"/>
    <row r="7065" ht="15.75" customHeight="1"/>
    <row r="7066" ht="15.75" customHeight="1"/>
    <row r="7067" ht="15.75" customHeight="1"/>
    <row r="7068" ht="15.75" customHeight="1"/>
    <row r="7069" ht="15.75" customHeight="1"/>
    <row r="7070" ht="15.75" customHeight="1"/>
    <row r="7071" ht="15.75" customHeight="1"/>
    <row r="7072" ht="15.75" customHeight="1"/>
    <row r="7073" ht="15.75" customHeight="1"/>
    <row r="7074" ht="15.75" customHeight="1"/>
    <row r="7075" ht="15.75" customHeight="1"/>
    <row r="7076" ht="15.75" customHeight="1"/>
    <row r="7077" ht="15.75" customHeight="1"/>
    <row r="7078" ht="15.75" customHeight="1"/>
    <row r="7079" ht="15.75" customHeight="1"/>
    <row r="7080" ht="15.75" customHeight="1"/>
    <row r="7081" ht="15.75" customHeight="1"/>
    <row r="7082" ht="15.75" customHeight="1"/>
    <row r="7083" ht="15.75" customHeight="1"/>
    <row r="7084" ht="15.75" customHeight="1"/>
    <row r="7085" ht="15.75" customHeight="1"/>
    <row r="7086" ht="15.75" customHeight="1"/>
    <row r="7087" ht="15.75" customHeight="1"/>
    <row r="7088" ht="15.75" customHeight="1"/>
    <row r="7089" ht="15.75" customHeight="1"/>
    <row r="7090" ht="15.75" customHeight="1"/>
    <row r="7091" ht="15.75" customHeight="1"/>
    <row r="7092" ht="15.75" customHeight="1"/>
    <row r="7093" ht="15.75" customHeight="1"/>
    <row r="7094" ht="15.75" customHeight="1"/>
    <row r="7095" ht="15.75" customHeight="1"/>
    <row r="7096" ht="15.75" customHeight="1"/>
    <row r="7097" ht="15.75" customHeight="1"/>
    <row r="7098" ht="15.75" customHeight="1"/>
    <row r="7099" ht="15.75" customHeight="1"/>
    <row r="7100" ht="15.75" customHeight="1"/>
    <row r="7101" ht="15.75" customHeight="1"/>
    <row r="7102" ht="15.75" customHeight="1"/>
    <row r="7103" ht="15.75" customHeight="1"/>
    <row r="7104" ht="15.75" customHeight="1"/>
    <row r="7105" ht="15.75" customHeight="1"/>
    <row r="7106" ht="15.75" customHeight="1"/>
    <row r="7107" ht="15.75" customHeight="1"/>
    <row r="7108" ht="15.75" customHeight="1"/>
    <row r="7109" ht="15.75" customHeight="1"/>
    <row r="7110" ht="15.75" customHeight="1"/>
    <row r="7111" ht="15.75" customHeight="1"/>
    <row r="7112" ht="15.75" customHeight="1"/>
    <row r="7113" ht="15.75" customHeight="1"/>
    <row r="7114" ht="15.75" customHeight="1"/>
    <row r="7115" ht="15.75" customHeight="1"/>
    <row r="7116" ht="15.75" customHeight="1"/>
    <row r="7117" ht="15.75" customHeight="1"/>
    <row r="7118" ht="15.75" customHeight="1"/>
    <row r="7119" ht="15.75" customHeight="1"/>
    <row r="7120" ht="15.75" customHeight="1"/>
    <row r="7121" ht="15.75" customHeight="1"/>
    <row r="7122" ht="15.75" customHeight="1"/>
    <row r="7123" ht="15.75" customHeight="1"/>
    <row r="7124" ht="15.75" customHeight="1"/>
    <row r="7125" ht="15.75" customHeight="1"/>
    <row r="7126" ht="15.75" customHeight="1"/>
    <row r="7127" ht="15.75" customHeight="1"/>
    <row r="7128" ht="15.75" customHeight="1"/>
    <row r="7129" ht="15.75" customHeight="1"/>
    <row r="7130" ht="15.75" customHeight="1"/>
    <row r="7131" ht="15.75" customHeight="1"/>
    <row r="7132" ht="15.75" customHeight="1"/>
    <row r="7133" ht="15.75" customHeight="1"/>
    <row r="7134" ht="15.75" customHeight="1"/>
    <row r="7135" ht="15.75" customHeight="1"/>
    <row r="7136" ht="15.75" customHeight="1"/>
    <row r="7137" ht="15.75" customHeight="1"/>
    <row r="7138" ht="15.75" customHeight="1"/>
    <row r="7139" ht="15.75" customHeight="1"/>
    <row r="7140" ht="15.75" customHeight="1"/>
    <row r="7141" ht="15.75" customHeight="1"/>
    <row r="7142" ht="15.75" customHeight="1"/>
    <row r="7143" ht="15.75" customHeight="1"/>
    <row r="7144" ht="15.75" customHeight="1"/>
    <row r="7145" ht="15.75" customHeight="1"/>
    <row r="7146" ht="15.75" customHeight="1"/>
    <row r="7147" ht="15.75" customHeight="1"/>
    <row r="7148" ht="15.75" customHeight="1"/>
    <row r="7149" ht="15.75" customHeight="1"/>
    <row r="7150" ht="15.75" customHeight="1"/>
    <row r="7151" ht="15.75" customHeight="1"/>
    <row r="7152" ht="15.75" customHeight="1"/>
    <row r="7153" ht="15.75" customHeight="1"/>
    <row r="7154" ht="15.75" customHeight="1"/>
    <row r="7155" ht="15.75" customHeight="1"/>
    <row r="7156" ht="15.75" customHeight="1"/>
    <row r="7157" ht="15.75" customHeight="1"/>
    <row r="7158" ht="15.75" customHeight="1"/>
    <row r="7159" ht="15.75" customHeight="1"/>
    <row r="7160" ht="15.75" customHeight="1"/>
    <row r="7161" ht="15.75" customHeight="1"/>
    <row r="7162" ht="15.75" customHeight="1"/>
    <row r="7163" ht="15.75" customHeight="1"/>
    <row r="7164" ht="15.75" customHeight="1"/>
    <row r="7165" ht="15.75" customHeight="1"/>
    <row r="7166" ht="15.75" customHeight="1"/>
    <row r="7167" ht="15.75" customHeight="1"/>
    <row r="7168" ht="15.75" customHeight="1"/>
    <row r="7169" ht="15.75" customHeight="1"/>
    <row r="7170" ht="15.75" customHeight="1"/>
    <row r="7171" ht="15.75" customHeight="1"/>
    <row r="7172" ht="15.75" customHeight="1"/>
    <row r="7173" ht="15.75" customHeight="1"/>
    <row r="7174" ht="15.75" customHeight="1"/>
    <row r="7175" ht="15.75" customHeight="1"/>
    <row r="7176" ht="15.75" customHeight="1"/>
    <row r="7177" ht="15.75" customHeight="1"/>
    <row r="7178" ht="15.75" customHeight="1"/>
    <row r="7179" ht="15.75" customHeight="1"/>
    <row r="7180" ht="15.75" customHeight="1"/>
    <row r="7181" ht="15.75" customHeight="1"/>
    <row r="7182" ht="15.75" customHeight="1"/>
    <row r="7183" ht="15.75" customHeight="1"/>
    <row r="7184" ht="15.75" customHeight="1"/>
    <row r="7185" ht="15.75" customHeight="1"/>
    <row r="7186" ht="15.75" customHeight="1"/>
    <row r="7187" ht="15.75" customHeight="1"/>
    <row r="7188" ht="15.75" customHeight="1"/>
    <row r="7189" ht="15.75" customHeight="1"/>
    <row r="7190" ht="15.75" customHeight="1"/>
    <row r="7191" ht="15.75" customHeight="1"/>
    <row r="7192" ht="15.75" customHeight="1"/>
    <row r="7193" ht="15.75" customHeight="1"/>
    <row r="7194" ht="15.75" customHeight="1"/>
    <row r="7195" ht="15.75" customHeight="1"/>
    <row r="7196" ht="15.75" customHeight="1"/>
    <row r="7197" ht="15.75" customHeight="1"/>
    <row r="7198" ht="15.75" customHeight="1"/>
    <row r="7199" ht="15.75" customHeight="1"/>
    <row r="7200" ht="15.75" customHeight="1"/>
    <row r="7201" ht="15.75" customHeight="1"/>
    <row r="7202" ht="15.75" customHeight="1"/>
    <row r="7203" ht="15.75" customHeight="1"/>
    <row r="7204" ht="15.75" customHeight="1"/>
    <row r="7205" ht="15.75" customHeight="1"/>
    <row r="7206" ht="15.75" customHeight="1"/>
    <row r="7207" ht="15.75" customHeight="1"/>
    <row r="7208" ht="15.75" customHeight="1"/>
    <row r="7209" ht="15.75" customHeight="1"/>
    <row r="7210" ht="15.75" customHeight="1"/>
    <row r="7211" ht="15.75" customHeight="1"/>
    <row r="7212" ht="15.75" customHeight="1"/>
    <row r="7213" ht="15.75" customHeight="1"/>
    <row r="7214" ht="15.75" customHeight="1"/>
    <row r="7215" ht="15.75" customHeight="1"/>
    <row r="7216" ht="15.75" customHeight="1"/>
    <row r="7217" ht="15.75" customHeight="1"/>
    <row r="7218" ht="15.75" customHeight="1"/>
    <row r="7219" ht="15.75" customHeight="1"/>
    <row r="7220" ht="15.75" customHeight="1"/>
    <row r="7221" ht="15.75" customHeight="1"/>
    <row r="7222" ht="15.75" customHeight="1"/>
    <row r="7223" ht="15.75" customHeight="1"/>
    <row r="7224" ht="15.75" customHeight="1"/>
    <row r="7225" ht="15.75" customHeight="1"/>
    <row r="7226" ht="15.75" customHeight="1"/>
    <row r="7227" ht="15.75" customHeight="1"/>
    <row r="7228" ht="15.75" customHeight="1"/>
    <row r="7229" ht="15.75" customHeight="1"/>
    <row r="7230" ht="15.75" customHeight="1"/>
    <row r="7231" ht="15.75" customHeight="1"/>
    <row r="7232" ht="15.75" customHeight="1"/>
    <row r="7233" ht="15.75" customHeight="1"/>
    <row r="7234" ht="15.75" customHeight="1"/>
    <row r="7235" ht="15.75" customHeight="1"/>
    <row r="7236" ht="15.75" customHeight="1"/>
    <row r="7237" ht="15.75" customHeight="1"/>
    <row r="7238" ht="15.75" customHeight="1"/>
    <row r="7239" ht="15.75" customHeight="1"/>
    <row r="7240" ht="15.75" customHeight="1"/>
    <row r="7241" ht="15.75" customHeight="1"/>
    <row r="7242" ht="15.75" customHeight="1"/>
    <row r="7243" ht="15.75" customHeight="1"/>
    <row r="7244" ht="15.75" customHeight="1"/>
    <row r="7245" ht="15.75" customHeight="1"/>
    <row r="7246" ht="15.75" customHeight="1"/>
    <row r="7247" ht="15.75" customHeight="1"/>
    <row r="7248" ht="15.75" customHeight="1"/>
    <row r="7249" ht="15.75" customHeight="1"/>
    <row r="7250" ht="15.75" customHeight="1"/>
    <row r="7251" ht="15.75" customHeight="1"/>
    <row r="7252" ht="15.75" customHeight="1"/>
    <row r="7253" ht="15.75" customHeight="1"/>
    <row r="7254" ht="15.75" customHeight="1"/>
    <row r="7255" ht="15.75" customHeight="1"/>
    <row r="7256" ht="15.75" customHeight="1"/>
    <row r="7257" ht="15.75" customHeight="1"/>
    <row r="7258" ht="15.75" customHeight="1"/>
    <row r="7259" ht="15.75" customHeight="1"/>
    <row r="7260" ht="15.75" customHeight="1"/>
    <row r="7261" ht="15.75" customHeight="1"/>
    <row r="7262" ht="15.75" customHeight="1"/>
    <row r="7263" ht="15.75" customHeight="1"/>
    <row r="7264" ht="15.75" customHeight="1"/>
    <row r="7265" ht="15.75" customHeight="1"/>
    <row r="7266" ht="15.75" customHeight="1"/>
    <row r="7267" ht="15.75" customHeight="1"/>
    <row r="7268" ht="15.75" customHeight="1"/>
    <row r="7269" ht="15.75" customHeight="1"/>
    <row r="7270" ht="15.75" customHeight="1"/>
    <row r="7271" ht="15.75" customHeight="1"/>
    <row r="7272" ht="15.75" customHeight="1"/>
    <row r="7273" ht="15.75" customHeight="1"/>
    <row r="7274" ht="15.75" customHeight="1"/>
    <row r="7275" ht="15.75" customHeight="1"/>
    <row r="7276" ht="15.75" customHeight="1"/>
    <row r="7277" ht="15.75" customHeight="1"/>
    <row r="7278" ht="15.75" customHeight="1"/>
    <row r="7279" ht="15.75" customHeight="1"/>
    <row r="7280" ht="15.75" customHeight="1"/>
    <row r="7281" ht="15.75" customHeight="1"/>
    <row r="7282" ht="15.75" customHeight="1"/>
    <row r="7283" ht="15.75" customHeight="1"/>
    <row r="7284" ht="15.75" customHeight="1"/>
    <row r="7285" ht="15.75" customHeight="1"/>
    <row r="7286" ht="15.75" customHeight="1"/>
    <row r="7287" ht="15.75" customHeight="1"/>
    <row r="7288" ht="15.75" customHeight="1"/>
    <row r="7289" ht="15.75" customHeight="1"/>
    <row r="7290" ht="15.75" customHeight="1"/>
    <row r="7291" ht="15.75" customHeight="1"/>
    <row r="7292" ht="15.75" customHeight="1"/>
    <row r="7293" ht="15.75" customHeight="1"/>
    <row r="7294" ht="15.75" customHeight="1"/>
    <row r="7295" ht="15.75" customHeight="1"/>
    <row r="7296" ht="15.75" customHeight="1"/>
    <row r="7297" ht="15.75" customHeight="1"/>
    <row r="7298" ht="15.75" customHeight="1"/>
    <row r="7299" ht="15.75" customHeight="1"/>
    <row r="7300" ht="15.75" customHeight="1"/>
    <row r="7301" ht="15.75" customHeight="1"/>
    <row r="7302" ht="15.75" customHeight="1"/>
    <row r="7303" ht="15.75" customHeight="1"/>
    <row r="7304" ht="15.75" customHeight="1"/>
    <row r="7305" ht="15.75" customHeight="1"/>
    <row r="7306" ht="15.75" customHeight="1"/>
    <row r="7307" ht="15.75" customHeight="1"/>
    <row r="7308" ht="15.75" customHeight="1"/>
    <row r="7309" ht="15.75" customHeight="1"/>
    <row r="7310" ht="15.75" customHeight="1"/>
    <row r="7311" ht="15.75" customHeight="1"/>
    <row r="7312" ht="15.75" customHeight="1"/>
    <row r="7313" ht="15.75" customHeight="1"/>
    <row r="7314" ht="15.75" customHeight="1"/>
    <row r="7315" ht="15.75" customHeight="1"/>
    <row r="7316" ht="15.75" customHeight="1"/>
    <row r="7317" ht="15.75" customHeight="1"/>
    <row r="7318" ht="15.75" customHeight="1"/>
    <row r="7319" ht="15.75" customHeight="1"/>
    <row r="7320" ht="15.75" customHeight="1"/>
    <row r="7321" ht="15.75" customHeight="1"/>
    <row r="7322" ht="15.75" customHeight="1"/>
    <row r="7323" ht="15.75" customHeight="1"/>
    <row r="7324" ht="15.75" customHeight="1"/>
    <row r="7325" ht="15.75" customHeight="1"/>
    <row r="7326" ht="15.75" customHeight="1"/>
    <row r="7327" ht="15.75" customHeight="1"/>
    <row r="7328" ht="15.75" customHeight="1"/>
    <row r="7329" ht="15.75" customHeight="1"/>
    <row r="7330" ht="15.75" customHeight="1"/>
    <row r="7331" ht="15.75" customHeight="1"/>
    <row r="7332" ht="15.75" customHeight="1"/>
    <row r="7333" ht="15.75" customHeight="1"/>
    <row r="7334" ht="15.75" customHeight="1"/>
    <row r="7335" ht="15.75" customHeight="1"/>
    <row r="7336" ht="15.75" customHeight="1"/>
    <row r="7337" ht="15.75" customHeight="1"/>
    <row r="7338" ht="15.75" customHeight="1"/>
    <row r="7339" ht="15.75" customHeight="1"/>
    <row r="7340" ht="15.75" customHeight="1"/>
    <row r="7341" ht="15.75" customHeight="1"/>
    <row r="7342" ht="15.75" customHeight="1"/>
    <row r="7343" ht="15.75" customHeight="1"/>
    <row r="7344" ht="15.75" customHeight="1"/>
    <row r="7345" ht="15.75" customHeight="1"/>
    <row r="7346" ht="15.75" customHeight="1"/>
    <row r="7347" ht="15.75" customHeight="1"/>
    <row r="7348" ht="15.75" customHeight="1"/>
    <row r="7349" ht="15.75" customHeight="1"/>
    <row r="7350" ht="15.75" customHeight="1"/>
    <row r="7351" ht="15.75" customHeight="1"/>
    <row r="7352" ht="15.75" customHeight="1"/>
    <row r="7353" ht="15.75" customHeight="1"/>
    <row r="7354" ht="15.75" customHeight="1"/>
    <row r="7355" ht="15.75" customHeight="1"/>
    <row r="7356" ht="15.75" customHeight="1"/>
    <row r="7357" ht="15.75" customHeight="1"/>
    <row r="7358" ht="15.75" customHeight="1"/>
    <row r="7359" ht="15.75" customHeight="1"/>
    <row r="7360" ht="15.75" customHeight="1"/>
    <row r="7361" ht="15.75" customHeight="1"/>
    <row r="7362" ht="15.75" customHeight="1"/>
    <row r="7363" ht="15.75" customHeight="1"/>
    <row r="7364" ht="15.75" customHeight="1"/>
    <row r="7365" ht="15.75" customHeight="1"/>
    <row r="7366" ht="15.75" customHeight="1"/>
    <row r="7367" ht="15.75" customHeight="1"/>
    <row r="7368" ht="15.75" customHeight="1"/>
    <row r="7369" ht="15.75" customHeight="1"/>
    <row r="7370" ht="15.75" customHeight="1"/>
    <row r="7371" ht="15.75" customHeight="1"/>
    <row r="7372" ht="15.75" customHeight="1"/>
    <row r="7373" ht="15.75" customHeight="1"/>
    <row r="7374" ht="15.75" customHeight="1"/>
    <row r="7375" ht="15.75" customHeight="1"/>
    <row r="7376" ht="15.75" customHeight="1"/>
    <row r="7377" ht="15.75" customHeight="1"/>
    <row r="7378" ht="15.75" customHeight="1"/>
    <row r="7379" ht="15.75" customHeight="1"/>
    <row r="7380" ht="15.75" customHeight="1"/>
    <row r="7381" ht="15.75" customHeight="1"/>
    <row r="7382" ht="15.75" customHeight="1"/>
    <row r="7383" ht="15.75" customHeight="1"/>
    <row r="7384" ht="15.75" customHeight="1"/>
    <row r="7385" ht="15.75" customHeight="1"/>
    <row r="7386" ht="15.75" customHeight="1"/>
    <row r="7387" ht="15.75" customHeight="1"/>
    <row r="7388" ht="15.75" customHeight="1"/>
    <row r="7389" ht="15.75" customHeight="1"/>
    <row r="7390" ht="15.75" customHeight="1"/>
    <row r="7391" ht="15.75" customHeight="1"/>
    <row r="7392" ht="15.75" customHeight="1"/>
    <row r="7393" ht="15.75" customHeight="1"/>
    <row r="7394" ht="15.75" customHeight="1"/>
    <row r="7395" ht="15.75" customHeight="1"/>
    <row r="7396" ht="15.75" customHeight="1"/>
    <row r="7397" ht="15.75" customHeight="1"/>
    <row r="7398" ht="15.75" customHeight="1"/>
    <row r="7399" ht="15.75" customHeight="1"/>
    <row r="7400" ht="15.75" customHeight="1"/>
    <row r="7401" ht="15.75" customHeight="1"/>
    <row r="7402" ht="15.75" customHeight="1"/>
    <row r="7403" ht="15.75" customHeight="1"/>
    <row r="7404" ht="15.75" customHeight="1"/>
    <row r="7405" ht="15.75" customHeight="1"/>
    <row r="7406" ht="15.75" customHeight="1"/>
    <row r="7407" ht="15.75" customHeight="1"/>
    <row r="7408" ht="15.75" customHeight="1"/>
    <row r="7409" ht="15.75" customHeight="1"/>
    <row r="7410" ht="15.75" customHeight="1"/>
    <row r="7411" ht="15.75" customHeight="1"/>
    <row r="7412" ht="15.75" customHeight="1"/>
    <row r="7413" ht="15.75" customHeight="1"/>
    <row r="7414" ht="15.75" customHeight="1"/>
    <row r="7415" ht="15.75" customHeight="1"/>
    <row r="7416" ht="15.75" customHeight="1"/>
    <row r="7417" ht="15.75" customHeight="1"/>
    <row r="7418" ht="15.75" customHeight="1"/>
    <row r="7419" ht="15.75" customHeight="1"/>
    <row r="7420" ht="15.75" customHeight="1"/>
    <row r="7421" ht="15.75" customHeight="1"/>
    <row r="7422" ht="15.75" customHeight="1"/>
    <row r="7423" ht="15.75" customHeight="1"/>
    <row r="7424" ht="15.75" customHeight="1"/>
    <row r="7425" ht="15.75" customHeight="1"/>
    <row r="7426" ht="15.75" customHeight="1"/>
    <row r="7427" ht="15.75" customHeight="1"/>
    <row r="7428" ht="15.75" customHeight="1"/>
    <row r="7429" ht="15.75" customHeight="1"/>
    <row r="7430" ht="15.75" customHeight="1"/>
    <row r="7431" ht="15.75" customHeight="1"/>
    <row r="7432" ht="15.75" customHeight="1"/>
    <row r="7433" ht="15.75" customHeight="1"/>
    <row r="7434" ht="15.75" customHeight="1"/>
    <row r="7435" ht="15.75" customHeight="1"/>
    <row r="7436" ht="15.75" customHeight="1"/>
    <row r="7437" ht="15.75" customHeight="1"/>
    <row r="7438" ht="15.75" customHeight="1"/>
    <row r="7439" ht="15.75" customHeight="1"/>
    <row r="7440" ht="15.75" customHeight="1"/>
    <row r="7441" ht="15.75" customHeight="1"/>
    <row r="7442" ht="15.75" customHeight="1"/>
    <row r="7443" ht="15.75" customHeight="1"/>
    <row r="7444" ht="15.75" customHeight="1"/>
    <row r="7445" ht="15.75" customHeight="1"/>
    <row r="7446" ht="15.75" customHeight="1"/>
    <row r="7447" ht="15.75" customHeight="1"/>
    <row r="7448" ht="15.75" customHeight="1"/>
    <row r="7449" ht="15.75" customHeight="1"/>
    <row r="7450" ht="15.75" customHeight="1"/>
    <row r="7451" ht="15.75" customHeight="1"/>
    <row r="7452" ht="15.75" customHeight="1"/>
    <row r="7453" ht="15.75" customHeight="1"/>
    <row r="7454" ht="15.75" customHeight="1"/>
    <row r="7455" ht="15.75" customHeight="1"/>
    <row r="7456" ht="15.75" customHeight="1"/>
    <row r="7457" ht="15.75" customHeight="1"/>
    <row r="7458" ht="15.75" customHeight="1"/>
    <row r="7459" ht="15.75" customHeight="1"/>
    <row r="7460" ht="15.75" customHeight="1"/>
    <row r="7461" ht="15.75" customHeight="1"/>
    <row r="7462" ht="15.75" customHeight="1"/>
    <row r="7463" ht="15.75" customHeight="1"/>
    <row r="7464" ht="15.75" customHeight="1"/>
    <row r="7465" ht="15.75" customHeight="1"/>
    <row r="7466" ht="15.75" customHeight="1"/>
    <row r="7467" ht="15.75" customHeight="1"/>
    <row r="7468" ht="15.75" customHeight="1"/>
    <row r="7469" ht="15.75" customHeight="1"/>
    <row r="7470" ht="15.75" customHeight="1"/>
    <row r="7471" ht="15.75" customHeight="1"/>
    <row r="7472" ht="15.75" customHeight="1"/>
    <row r="7473" ht="15.75" customHeight="1"/>
    <row r="7474" ht="15.75" customHeight="1"/>
    <row r="7475" ht="15.75" customHeight="1"/>
    <row r="7476" ht="15.75" customHeight="1"/>
    <row r="7477" ht="15.75" customHeight="1"/>
    <row r="7478" ht="15.75" customHeight="1"/>
    <row r="7479" ht="15.75" customHeight="1"/>
    <row r="7480" ht="15.75" customHeight="1"/>
    <row r="7481" ht="15.75" customHeight="1"/>
    <row r="7482" ht="15.75" customHeight="1"/>
    <row r="7483" ht="15.75" customHeight="1"/>
    <row r="7484" ht="15.75" customHeight="1"/>
    <row r="7485" ht="15.75" customHeight="1"/>
    <row r="7486" ht="15.75" customHeight="1"/>
    <row r="7487" ht="15.75" customHeight="1"/>
    <row r="7488" ht="15.75" customHeight="1"/>
    <row r="7489" ht="15.75" customHeight="1"/>
    <row r="7490" ht="15.75" customHeight="1"/>
    <row r="7491" ht="15.75" customHeight="1"/>
    <row r="7492" ht="15.75" customHeight="1"/>
    <row r="7493" ht="15.75" customHeight="1"/>
    <row r="7494" ht="15.75" customHeight="1"/>
    <row r="7495" ht="15.75" customHeight="1"/>
    <row r="7496" ht="15.75" customHeight="1"/>
    <row r="7497" ht="15.75" customHeight="1"/>
    <row r="7498" ht="15.75" customHeight="1"/>
    <row r="7499" ht="15.75" customHeight="1"/>
    <row r="7500" ht="15.75" customHeight="1"/>
    <row r="7501" ht="15.75" customHeight="1"/>
    <row r="7502" ht="15.75" customHeight="1"/>
    <row r="7503" ht="15.75" customHeight="1"/>
    <row r="7504" ht="15.75" customHeight="1"/>
    <row r="7505" ht="15.75" customHeight="1"/>
    <row r="7506" ht="15.75" customHeight="1"/>
    <row r="7507" ht="15.75" customHeight="1"/>
    <row r="7508" ht="15.75" customHeight="1"/>
    <row r="7509" ht="15.75" customHeight="1"/>
    <row r="7510" ht="15.75" customHeight="1"/>
    <row r="7511" ht="15.75" customHeight="1"/>
    <row r="7512" ht="15.75" customHeight="1"/>
    <row r="7513" ht="15.75" customHeight="1"/>
    <row r="7514" ht="15.75" customHeight="1"/>
    <row r="7515" ht="15.75" customHeight="1"/>
    <row r="7516" ht="15.75" customHeight="1"/>
    <row r="7517" ht="15.75" customHeight="1"/>
    <row r="7518" ht="15.75" customHeight="1"/>
    <row r="7519" ht="15.75" customHeight="1"/>
    <row r="7520" ht="15.75" customHeight="1"/>
    <row r="7521" ht="15.75" customHeight="1"/>
    <row r="7522" ht="15.75" customHeight="1"/>
    <row r="7523" ht="15.75" customHeight="1"/>
    <row r="7524" ht="15.75" customHeight="1"/>
    <row r="7525" ht="15.75" customHeight="1"/>
    <row r="7526" ht="15.75" customHeight="1"/>
    <row r="7527" ht="15.75" customHeight="1"/>
    <row r="7528" ht="15.75" customHeight="1"/>
    <row r="7529" ht="15.75" customHeight="1"/>
    <row r="7530" ht="15.75" customHeight="1"/>
    <row r="7531" ht="15.75" customHeight="1"/>
    <row r="7532" ht="15.75" customHeight="1"/>
    <row r="7533" ht="15.75" customHeight="1"/>
    <row r="7534" ht="15.75" customHeight="1"/>
    <row r="7535" ht="15.75" customHeight="1"/>
    <row r="7536" ht="15.75" customHeight="1"/>
    <row r="7537" ht="15.75" customHeight="1"/>
    <row r="7538" ht="15.75" customHeight="1"/>
    <row r="7539" ht="15.75" customHeight="1"/>
    <row r="7540" ht="15.75" customHeight="1"/>
    <row r="7541" ht="15.75" customHeight="1"/>
    <row r="7542" ht="15.75" customHeight="1"/>
    <row r="7543" ht="15.75" customHeight="1"/>
    <row r="7544" ht="15.75" customHeight="1"/>
    <row r="7545" ht="15.75" customHeight="1"/>
    <row r="7546" ht="15.75" customHeight="1"/>
    <row r="7547" ht="15.75" customHeight="1"/>
    <row r="7548" ht="15.75" customHeight="1"/>
    <row r="7549" ht="15.75" customHeight="1"/>
    <row r="7550" ht="15.75" customHeight="1"/>
    <row r="7551" ht="15.75" customHeight="1"/>
    <row r="7552" ht="15.75" customHeight="1"/>
    <row r="7553" ht="15.75" customHeight="1"/>
    <row r="7554" ht="15.75" customHeight="1"/>
    <row r="7555" ht="15.75" customHeight="1"/>
    <row r="7556" ht="15.75" customHeight="1"/>
    <row r="7557" ht="15.75" customHeight="1"/>
    <row r="7558" ht="15.75" customHeight="1"/>
    <row r="7559" ht="15.75" customHeight="1"/>
    <row r="7560" ht="15.75" customHeight="1"/>
    <row r="7561" ht="15.75" customHeight="1"/>
    <row r="7562" ht="15.75" customHeight="1"/>
    <row r="7563" ht="15.75" customHeight="1"/>
    <row r="7564" ht="15.75" customHeight="1"/>
    <row r="7565" ht="15.75" customHeight="1"/>
    <row r="7566" ht="15.75" customHeight="1"/>
    <row r="7567" ht="15.75" customHeight="1"/>
    <row r="7568" ht="15.75" customHeight="1"/>
    <row r="7569" ht="15.75" customHeight="1"/>
    <row r="7570" ht="15.75" customHeight="1"/>
    <row r="7571" ht="15.75" customHeight="1"/>
    <row r="7572" ht="15.75" customHeight="1"/>
    <row r="7573" ht="15.75" customHeight="1"/>
    <row r="7574" ht="15.75" customHeight="1"/>
    <row r="7575" ht="15.75" customHeight="1"/>
    <row r="7576" ht="15.75" customHeight="1"/>
    <row r="7577" ht="15.75" customHeight="1"/>
    <row r="7578" ht="15.75" customHeight="1"/>
    <row r="7579" ht="15.75" customHeight="1"/>
    <row r="7580" ht="15.75" customHeight="1"/>
    <row r="7581" ht="15.75" customHeight="1"/>
    <row r="7582" ht="15.75" customHeight="1"/>
    <row r="7583" ht="15.75" customHeight="1"/>
    <row r="7584" ht="15.75" customHeight="1"/>
    <row r="7585" ht="15.75" customHeight="1"/>
    <row r="7586" ht="15.75" customHeight="1"/>
    <row r="7587" ht="15.75" customHeight="1"/>
    <row r="7588" ht="15.75" customHeight="1"/>
    <row r="7589" ht="15.75" customHeight="1"/>
    <row r="7590" ht="15.75" customHeight="1"/>
    <row r="7591" ht="15.75" customHeight="1"/>
    <row r="7592" ht="15.75" customHeight="1"/>
    <row r="7593" ht="15.75" customHeight="1"/>
    <row r="7594" ht="15.75" customHeight="1"/>
    <row r="7595" ht="15.75" customHeight="1"/>
    <row r="7596" ht="15.75" customHeight="1"/>
    <row r="7597" ht="15.75" customHeight="1"/>
    <row r="7598" ht="15.75" customHeight="1"/>
    <row r="7599" ht="15.75" customHeight="1"/>
    <row r="7600" ht="15.75" customHeight="1"/>
    <row r="7601" ht="15.75" customHeight="1"/>
    <row r="7602" ht="15.75" customHeight="1"/>
    <row r="7603" ht="15.75" customHeight="1"/>
    <row r="7604" ht="15.75" customHeight="1"/>
    <row r="7605" ht="15.75" customHeight="1"/>
    <row r="7606" ht="15.75" customHeight="1"/>
    <row r="7607" ht="15.75" customHeight="1"/>
    <row r="7608" ht="15.75" customHeight="1"/>
    <row r="7609" ht="15.75" customHeight="1"/>
    <row r="7610" ht="15.75" customHeight="1"/>
    <row r="7611" ht="15.75" customHeight="1"/>
    <row r="7612" ht="15.75" customHeight="1"/>
    <row r="7613" ht="15.75" customHeight="1"/>
    <row r="7614" ht="15.75" customHeight="1"/>
    <row r="7615" ht="15.75" customHeight="1"/>
    <row r="7616" ht="15.75" customHeight="1"/>
    <row r="7617" ht="15.75" customHeight="1"/>
    <row r="7618" ht="15.75" customHeight="1"/>
    <row r="7619" ht="15.75" customHeight="1"/>
    <row r="7620" ht="15.75" customHeight="1"/>
    <row r="7621" ht="15.75" customHeight="1"/>
    <row r="7622" ht="15.75" customHeight="1"/>
    <row r="7623" ht="15.75" customHeight="1"/>
    <row r="7624" ht="15.75" customHeight="1"/>
    <row r="7625" ht="15.75" customHeight="1"/>
    <row r="7626" ht="15.75" customHeight="1"/>
    <row r="7627" ht="15.75" customHeight="1"/>
    <row r="7628" ht="15.75" customHeight="1"/>
    <row r="7629" ht="15.75" customHeight="1"/>
    <row r="7630" ht="15.75" customHeight="1"/>
    <row r="7631" ht="15.75" customHeight="1"/>
    <row r="7632" ht="15.75" customHeight="1"/>
    <row r="7633" ht="15.75" customHeight="1"/>
    <row r="7634" ht="15.75" customHeight="1"/>
    <row r="7635" ht="15.75" customHeight="1"/>
    <row r="7636" ht="15.75" customHeight="1"/>
    <row r="7637" ht="15.75" customHeight="1"/>
    <row r="7638" ht="15.75" customHeight="1"/>
    <row r="7639" ht="15.75" customHeight="1"/>
    <row r="7640" ht="15.75" customHeight="1"/>
    <row r="7641" ht="15.75" customHeight="1"/>
    <row r="7642" ht="15.75" customHeight="1"/>
    <row r="7643" ht="15.75" customHeight="1"/>
    <row r="7644" ht="15.75" customHeight="1"/>
    <row r="7645" ht="15.75" customHeight="1"/>
    <row r="7646" ht="15.75" customHeight="1"/>
    <row r="7647" ht="15.75" customHeight="1"/>
    <row r="7648" ht="15.75" customHeight="1"/>
    <row r="7649" ht="15.75" customHeight="1"/>
    <row r="7650" ht="15.75" customHeight="1"/>
    <row r="7651" ht="15.75" customHeight="1"/>
    <row r="7652" ht="15.75" customHeight="1"/>
    <row r="7653" ht="15.75" customHeight="1"/>
    <row r="7654" ht="15.75" customHeight="1"/>
    <row r="7655" ht="15.75" customHeight="1"/>
    <row r="7656" ht="15.75" customHeight="1"/>
    <row r="7657" ht="15.75" customHeight="1"/>
    <row r="7658" ht="15.75" customHeight="1"/>
    <row r="7659" ht="15.75" customHeight="1"/>
    <row r="7660" ht="15.75" customHeight="1"/>
    <row r="7661" ht="15.75" customHeight="1"/>
    <row r="7662" ht="15.75" customHeight="1"/>
    <row r="7663" ht="15.75" customHeight="1"/>
    <row r="7664" ht="15.75" customHeight="1"/>
    <row r="7665" ht="15.75" customHeight="1"/>
    <row r="7666" ht="15.75" customHeight="1"/>
    <row r="7667" ht="15.75" customHeight="1"/>
    <row r="7668" ht="15.75" customHeight="1"/>
    <row r="7669" ht="15.75" customHeight="1"/>
    <row r="7670" ht="15.75" customHeight="1"/>
    <row r="7671" ht="15.75" customHeight="1"/>
    <row r="7672" ht="15.75" customHeight="1"/>
    <row r="7673" ht="15.75" customHeight="1"/>
    <row r="7674" ht="15.75" customHeight="1"/>
    <row r="7675" ht="15.75" customHeight="1"/>
    <row r="7676" ht="15.75" customHeight="1"/>
    <row r="7677" ht="15.75" customHeight="1"/>
    <row r="7678" ht="15.75" customHeight="1"/>
    <row r="7679" ht="15.75" customHeight="1"/>
    <row r="7680" ht="15.75" customHeight="1"/>
    <row r="7681" ht="15.75" customHeight="1"/>
    <row r="7682" ht="15.75" customHeight="1"/>
    <row r="7683" ht="15.75" customHeight="1"/>
    <row r="7684" ht="15.75" customHeight="1"/>
    <row r="7685" ht="15.75" customHeight="1"/>
    <row r="7686" ht="15.75" customHeight="1"/>
    <row r="7687" ht="15.75" customHeight="1"/>
    <row r="7688" ht="15.75" customHeight="1"/>
    <row r="7689" ht="15.75" customHeight="1"/>
    <row r="7690" ht="15.75" customHeight="1"/>
    <row r="7691" ht="15.75" customHeight="1"/>
    <row r="7692" ht="15.75" customHeight="1"/>
    <row r="7693" ht="15.75" customHeight="1"/>
    <row r="7694" ht="15.75" customHeight="1"/>
    <row r="7695" ht="15.75" customHeight="1"/>
    <row r="7696" ht="15.75" customHeight="1"/>
    <row r="7697" ht="15.75" customHeight="1"/>
    <row r="7698" ht="15.75" customHeight="1"/>
    <row r="7699" ht="15.75" customHeight="1"/>
    <row r="7700" ht="15.75" customHeight="1"/>
    <row r="7701" ht="15.75" customHeight="1"/>
    <row r="7702" ht="15.75" customHeight="1"/>
    <row r="7703" ht="15.75" customHeight="1"/>
    <row r="7704" ht="15.75" customHeight="1"/>
    <row r="7705" ht="15.75" customHeight="1"/>
    <row r="7706" ht="15.75" customHeight="1"/>
    <row r="7707" ht="15.75" customHeight="1"/>
    <row r="7708" ht="15.75" customHeight="1"/>
    <row r="7709" ht="15.75" customHeight="1"/>
    <row r="7710" ht="15.75" customHeight="1"/>
    <row r="7711" ht="15.75" customHeight="1"/>
    <row r="7712" ht="15.75" customHeight="1"/>
    <row r="7713" ht="15.75" customHeight="1"/>
    <row r="7714" ht="15.75" customHeight="1"/>
    <row r="7715" ht="15.75" customHeight="1"/>
    <row r="7716" ht="15.75" customHeight="1"/>
    <row r="7717" ht="15.75" customHeight="1"/>
    <row r="7718" ht="15.75" customHeight="1"/>
    <row r="7719" ht="15.75" customHeight="1"/>
    <row r="7720" ht="15.75" customHeight="1"/>
    <row r="7721" ht="15.75" customHeight="1"/>
    <row r="7722" ht="15.75" customHeight="1"/>
    <row r="7723" ht="15.75" customHeight="1"/>
    <row r="7724" ht="15.75" customHeight="1"/>
    <row r="7725" ht="15.75" customHeight="1"/>
    <row r="7726" ht="15.75" customHeight="1"/>
    <row r="7727" ht="15.75" customHeight="1"/>
    <row r="7728" ht="15.75" customHeight="1"/>
    <row r="7729" ht="15.75" customHeight="1"/>
    <row r="7730" ht="15.75" customHeight="1"/>
    <row r="7731" ht="15.75" customHeight="1"/>
    <row r="7732" ht="15.75" customHeight="1"/>
    <row r="7733" ht="15.75" customHeight="1"/>
    <row r="7734" ht="15.75" customHeight="1"/>
    <row r="7735" ht="15.75" customHeight="1"/>
    <row r="7736" ht="15.75" customHeight="1"/>
    <row r="7737" ht="15.75" customHeight="1"/>
    <row r="7738" ht="15.75" customHeight="1"/>
    <row r="7739" ht="15.75" customHeight="1"/>
    <row r="7740" ht="15.75" customHeight="1"/>
    <row r="7741" ht="15.75" customHeight="1"/>
    <row r="7742" ht="15.75" customHeight="1"/>
    <row r="7743" ht="15.75" customHeight="1"/>
    <row r="7744" ht="15.75" customHeight="1"/>
    <row r="7745" ht="15.75" customHeight="1"/>
    <row r="7746" ht="15.75" customHeight="1"/>
    <row r="7747" ht="15.75" customHeight="1"/>
    <row r="7748" ht="15.75" customHeight="1"/>
    <row r="7749" ht="15.75" customHeight="1"/>
    <row r="7750" ht="15.75" customHeight="1"/>
    <row r="7751" ht="15.75" customHeight="1"/>
    <row r="7752" ht="15.75" customHeight="1"/>
    <row r="7753" ht="15.75" customHeight="1"/>
    <row r="7754" ht="15.75" customHeight="1"/>
    <row r="7755" ht="15.75" customHeight="1"/>
    <row r="7756" ht="15.75" customHeight="1"/>
    <row r="7757" ht="15.75" customHeight="1"/>
    <row r="7758" ht="15.75" customHeight="1"/>
    <row r="7759" ht="15.75" customHeight="1"/>
    <row r="7760" ht="15.75" customHeight="1"/>
    <row r="7761" ht="15.75" customHeight="1"/>
    <row r="7762" ht="15.75" customHeight="1"/>
    <row r="7763" ht="15.75" customHeight="1"/>
    <row r="7764" ht="15.75" customHeight="1"/>
    <row r="7765" ht="15.75" customHeight="1"/>
    <row r="7766" ht="15.75" customHeight="1"/>
    <row r="7767" ht="15.75" customHeight="1"/>
    <row r="7768" ht="15.75" customHeight="1"/>
    <row r="7769" ht="15.75" customHeight="1"/>
    <row r="7770" ht="15.75" customHeight="1"/>
    <row r="7771" ht="15.75" customHeight="1"/>
    <row r="7772" ht="15.75" customHeight="1"/>
    <row r="7773" ht="15.75" customHeight="1"/>
    <row r="7774" ht="15.75" customHeight="1"/>
    <row r="7775" ht="15.75" customHeight="1"/>
    <row r="7776" ht="15.75" customHeight="1"/>
    <row r="7777" ht="15.75" customHeight="1"/>
    <row r="7778" ht="15.75" customHeight="1"/>
    <row r="7779" ht="15.75" customHeight="1"/>
    <row r="7780" ht="15.75" customHeight="1"/>
    <row r="7781" ht="15.75" customHeight="1"/>
    <row r="7782" ht="15.75" customHeight="1"/>
    <row r="7783" ht="15.75" customHeight="1"/>
    <row r="7784" ht="15.75" customHeight="1"/>
    <row r="7785" ht="15.75" customHeight="1"/>
    <row r="7786" ht="15.75" customHeight="1"/>
    <row r="7787" ht="15.75" customHeight="1"/>
    <row r="7788" ht="15.75" customHeight="1"/>
    <row r="7789" ht="15.75" customHeight="1"/>
    <row r="7790" ht="15.75" customHeight="1"/>
    <row r="7791" ht="15.75" customHeight="1"/>
    <row r="7792" ht="15.75" customHeight="1"/>
    <row r="7793" ht="15.75" customHeight="1"/>
    <row r="7794" ht="15.75" customHeight="1"/>
    <row r="7795" ht="15.75" customHeight="1"/>
    <row r="7796" ht="15.75" customHeight="1"/>
    <row r="7797" ht="15.75" customHeight="1"/>
    <row r="7798" ht="15.75" customHeight="1"/>
    <row r="7799" ht="15.75" customHeight="1"/>
    <row r="7800" ht="15.75" customHeight="1"/>
    <row r="7801" ht="15.75" customHeight="1"/>
    <row r="7802" ht="15.75" customHeight="1"/>
    <row r="7803" ht="15.75" customHeight="1"/>
    <row r="7804" ht="15.75" customHeight="1"/>
    <row r="7805" ht="15.75" customHeight="1"/>
    <row r="7806" ht="15.75" customHeight="1"/>
    <row r="7807" ht="15.75" customHeight="1"/>
    <row r="7808" ht="15.75" customHeight="1"/>
    <row r="7809" ht="15.75" customHeight="1"/>
    <row r="7810" ht="15.75" customHeight="1"/>
    <row r="7811" ht="15.75" customHeight="1"/>
    <row r="7812" ht="15.75" customHeight="1"/>
    <row r="7813" ht="15.75" customHeight="1"/>
    <row r="7814" ht="15.75" customHeight="1"/>
    <row r="7815" ht="15.75" customHeight="1"/>
    <row r="7816" ht="15.75" customHeight="1"/>
    <row r="7817" ht="15.75" customHeight="1"/>
    <row r="7818" ht="15.75" customHeight="1"/>
    <row r="7819" ht="15.75" customHeight="1"/>
    <row r="7820" ht="15.75" customHeight="1"/>
    <row r="7821" ht="15.75" customHeight="1"/>
    <row r="7822" ht="15.75" customHeight="1"/>
    <row r="7823" ht="15.75" customHeight="1"/>
    <row r="7824" ht="15.75" customHeight="1"/>
    <row r="7825" ht="15.75" customHeight="1"/>
    <row r="7826" ht="15.75" customHeight="1"/>
    <row r="7827" ht="15.75" customHeight="1"/>
    <row r="7828" ht="15.75" customHeight="1"/>
    <row r="7829" ht="15.75" customHeight="1"/>
    <row r="7830" ht="15.75" customHeight="1"/>
    <row r="7831" ht="15.75" customHeight="1"/>
    <row r="7832" ht="15.75" customHeight="1"/>
    <row r="7833" ht="15.75" customHeight="1"/>
    <row r="7834" ht="15.75" customHeight="1"/>
    <row r="7835" ht="15.75" customHeight="1"/>
    <row r="7836" ht="15.75" customHeight="1"/>
    <row r="7837" ht="15.75" customHeight="1"/>
    <row r="7838" ht="15.75" customHeight="1"/>
    <row r="7839" ht="15.75" customHeight="1"/>
    <row r="7840" ht="15.75" customHeight="1"/>
    <row r="7841" ht="15.75" customHeight="1"/>
    <row r="7842" ht="15.75" customHeight="1"/>
    <row r="7843" ht="15.75" customHeight="1"/>
    <row r="7844" ht="15.75" customHeight="1"/>
    <row r="7845" ht="15.75" customHeight="1"/>
    <row r="7846" ht="15.75" customHeight="1"/>
    <row r="7847" ht="15.75" customHeight="1"/>
    <row r="7848" ht="15.75" customHeight="1"/>
    <row r="7849" ht="15.75" customHeight="1"/>
    <row r="7850" ht="15.75" customHeight="1"/>
    <row r="7851" ht="15.75" customHeight="1"/>
    <row r="7852" ht="15.75" customHeight="1"/>
    <row r="7853" ht="15.75" customHeight="1"/>
    <row r="7854" ht="15.75" customHeight="1"/>
    <row r="7855" ht="15.75" customHeight="1"/>
    <row r="7856" ht="15.75" customHeight="1"/>
    <row r="7857" ht="15.75" customHeight="1"/>
    <row r="7858" ht="15.75" customHeight="1"/>
    <row r="7859" ht="15.75" customHeight="1"/>
    <row r="7860" ht="15.75" customHeight="1"/>
    <row r="7861" ht="15.75" customHeight="1"/>
    <row r="7862" ht="15.75" customHeight="1"/>
    <row r="7863" ht="15.75" customHeight="1"/>
    <row r="7864" ht="15.75" customHeight="1"/>
    <row r="7865" ht="15.75" customHeight="1"/>
    <row r="7866" ht="15.75" customHeight="1"/>
    <row r="7867" ht="15.75" customHeight="1"/>
    <row r="7868" ht="15.75" customHeight="1"/>
    <row r="7869" ht="15.75" customHeight="1"/>
    <row r="7870" ht="15.75" customHeight="1"/>
    <row r="7871" ht="15.75" customHeight="1"/>
    <row r="7872" ht="15.75" customHeight="1"/>
    <row r="7873" ht="15.75" customHeight="1"/>
    <row r="7874" ht="15.75" customHeight="1"/>
    <row r="7875" ht="15.75" customHeight="1"/>
    <row r="7876" ht="15.75" customHeight="1"/>
    <row r="7877" ht="15.75" customHeight="1"/>
    <row r="7878" ht="15.75" customHeight="1"/>
    <row r="7879" ht="15.75" customHeight="1"/>
    <row r="7880" ht="15.75" customHeight="1"/>
    <row r="7881" ht="15.75" customHeight="1"/>
    <row r="7882" ht="15.75" customHeight="1"/>
    <row r="7883" ht="15.75" customHeight="1"/>
    <row r="7884" ht="15.75" customHeight="1"/>
    <row r="7885" ht="15.75" customHeight="1"/>
    <row r="7886" ht="15.75" customHeight="1"/>
    <row r="7887" ht="15.75" customHeight="1"/>
    <row r="7888" ht="15.75" customHeight="1"/>
    <row r="7889" ht="15.75" customHeight="1"/>
    <row r="7890" ht="15.75" customHeight="1"/>
    <row r="7891" ht="15.75" customHeight="1"/>
    <row r="7892" ht="15.75" customHeight="1"/>
    <row r="7893" ht="15.75" customHeight="1"/>
    <row r="7894" ht="15.75" customHeight="1"/>
    <row r="7895" ht="15.75" customHeight="1"/>
    <row r="7896" ht="15.75" customHeight="1"/>
    <row r="7897" ht="15.75" customHeight="1"/>
    <row r="7898" ht="15.75" customHeight="1"/>
    <row r="7899" ht="15.75" customHeight="1"/>
    <row r="7900" ht="15.75" customHeight="1"/>
    <row r="7901" ht="15.75" customHeight="1"/>
    <row r="7902" ht="15.75" customHeight="1"/>
    <row r="7903" ht="15.75" customHeight="1"/>
    <row r="7904" ht="15.75" customHeight="1"/>
    <row r="7905" ht="15.75" customHeight="1"/>
    <row r="7906" ht="15.75" customHeight="1"/>
    <row r="7907" ht="15.75" customHeight="1"/>
    <row r="7908" ht="15.75" customHeight="1"/>
    <row r="7909" ht="15.75" customHeight="1"/>
    <row r="7910" ht="15.75" customHeight="1"/>
    <row r="7911" ht="15.75" customHeight="1"/>
    <row r="7912" ht="15.75" customHeight="1"/>
    <row r="7913" ht="15.75" customHeight="1"/>
    <row r="7914" ht="15.75" customHeight="1"/>
    <row r="7915" ht="15.75" customHeight="1"/>
    <row r="7916" ht="15.75" customHeight="1"/>
    <row r="7917" ht="15.75" customHeight="1"/>
    <row r="7918" ht="15.75" customHeight="1"/>
    <row r="7919" ht="15.75" customHeight="1"/>
    <row r="7920" ht="15.75" customHeight="1"/>
    <row r="7921" ht="15.75" customHeight="1"/>
    <row r="7922" ht="15.75" customHeight="1"/>
    <row r="7923" ht="15.75" customHeight="1"/>
    <row r="7924" ht="15.75" customHeight="1"/>
    <row r="7925" ht="15.75" customHeight="1"/>
    <row r="7926" ht="15.75" customHeight="1"/>
    <row r="7927" ht="15.75" customHeight="1"/>
    <row r="7928" ht="15.75" customHeight="1"/>
    <row r="7929" ht="15.75" customHeight="1"/>
    <row r="7930" ht="15.75" customHeight="1"/>
    <row r="7931" ht="15.75" customHeight="1"/>
    <row r="7932" ht="15.75" customHeight="1"/>
    <row r="7933" ht="15.75" customHeight="1"/>
    <row r="7934" ht="15.75" customHeight="1"/>
    <row r="7935" ht="15.75" customHeight="1"/>
    <row r="7936" ht="15.75" customHeight="1"/>
    <row r="7937" ht="15.75" customHeight="1"/>
    <row r="7938" ht="15.75" customHeight="1"/>
    <row r="7939" ht="15.75" customHeight="1"/>
    <row r="7940" ht="15.75" customHeight="1"/>
    <row r="7941" ht="15.75" customHeight="1"/>
    <row r="7942" ht="15.75" customHeight="1"/>
    <row r="7943" ht="15.75" customHeight="1"/>
    <row r="7944" ht="15.75" customHeight="1"/>
    <row r="7945" ht="15.75" customHeight="1"/>
    <row r="7946" ht="15.75" customHeight="1"/>
    <row r="7947" ht="15.75" customHeight="1"/>
    <row r="7948" ht="15.75" customHeight="1"/>
    <row r="7949" ht="15.75" customHeight="1"/>
    <row r="7950" ht="15.75" customHeight="1"/>
    <row r="7951" ht="15.75" customHeight="1"/>
    <row r="7952" ht="15.75" customHeight="1"/>
    <row r="7953" ht="15.75" customHeight="1"/>
    <row r="7954" ht="15.75" customHeight="1"/>
    <row r="7955" ht="15.75" customHeight="1"/>
    <row r="7956" ht="15.75" customHeight="1"/>
    <row r="7957" ht="15.75" customHeight="1"/>
    <row r="7958" ht="15.75" customHeight="1"/>
    <row r="7959" ht="15.75" customHeight="1"/>
    <row r="7960" ht="15.75" customHeight="1"/>
    <row r="7961" ht="15.75" customHeight="1"/>
    <row r="7962" ht="15.75" customHeight="1"/>
    <row r="7963" ht="15.75" customHeight="1"/>
    <row r="7964" ht="15.75" customHeight="1"/>
    <row r="7965" ht="15.75" customHeight="1"/>
    <row r="7966" ht="15.75" customHeight="1"/>
    <row r="7967" ht="15.75" customHeight="1"/>
    <row r="7968" ht="15.75" customHeight="1"/>
    <row r="7969" ht="15.75" customHeight="1"/>
    <row r="7970" ht="15.75" customHeight="1"/>
    <row r="7971" ht="15.75" customHeight="1"/>
    <row r="7972" ht="15.75" customHeight="1"/>
    <row r="7973" ht="15.75" customHeight="1"/>
    <row r="7974" ht="15.75" customHeight="1"/>
    <row r="7975" ht="15.75" customHeight="1"/>
    <row r="7976" ht="15.75" customHeight="1"/>
    <row r="7977" ht="15.75" customHeight="1"/>
    <row r="7978" ht="15.75" customHeight="1"/>
    <row r="7979" ht="15.75" customHeight="1"/>
    <row r="7980" ht="15.75" customHeight="1"/>
    <row r="7981" ht="15.75" customHeight="1"/>
    <row r="7982" ht="15.75" customHeight="1"/>
    <row r="7983" ht="15.75" customHeight="1"/>
    <row r="7984" ht="15.75" customHeight="1"/>
    <row r="7985" ht="15.75" customHeight="1"/>
    <row r="7986" ht="15.75" customHeight="1"/>
    <row r="7987" ht="15.75" customHeight="1"/>
    <row r="7988" ht="15.75" customHeight="1"/>
    <row r="7989" ht="15.75" customHeight="1"/>
    <row r="7990" ht="15.75" customHeight="1"/>
    <row r="7991" ht="15.75" customHeight="1"/>
    <row r="7992" ht="15.75" customHeight="1"/>
    <row r="7993" ht="15.75" customHeight="1"/>
    <row r="7994" ht="15.75" customHeight="1"/>
    <row r="7995" ht="15.75" customHeight="1"/>
    <row r="7996" ht="15.75" customHeight="1"/>
    <row r="7997" ht="15.75" customHeight="1"/>
    <row r="7998" ht="15.75" customHeight="1"/>
    <row r="7999" ht="15.75" customHeight="1"/>
    <row r="8000" ht="15.75" customHeight="1"/>
    <row r="8001" ht="15.75" customHeight="1"/>
    <row r="8002" ht="15.75" customHeight="1"/>
    <row r="8003" ht="15.75" customHeight="1"/>
    <row r="8004" ht="15.75" customHeight="1"/>
    <row r="8005" ht="15.75" customHeight="1"/>
    <row r="8006" ht="15.75" customHeight="1"/>
    <row r="8007" ht="15.75" customHeight="1"/>
    <row r="8008" ht="15.75" customHeight="1"/>
    <row r="8009" ht="15.75" customHeight="1"/>
    <row r="8010" ht="15.75" customHeight="1"/>
    <row r="8011" ht="15.75" customHeight="1"/>
    <row r="8012" ht="15.75" customHeight="1"/>
    <row r="8013" ht="15.75" customHeight="1"/>
    <row r="8014" ht="15.75" customHeight="1"/>
    <row r="8015" ht="15.75" customHeight="1"/>
    <row r="8016" ht="15.75" customHeight="1"/>
    <row r="8017" ht="15.75" customHeight="1"/>
    <row r="8018" ht="15.75" customHeight="1"/>
    <row r="8019" ht="15.75" customHeight="1"/>
    <row r="8020" ht="15.75" customHeight="1"/>
    <row r="8021" ht="15.75" customHeight="1"/>
    <row r="8022" ht="15.75" customHeight="1"/>
    <row r="8023" ht="15.75" customHeight="1"/>
    <row r="8024" ht="15.75" customHeight="1"/>
    <row r="8025" ht="15.75" customHeight="1"/>
    <row r="8026" ht="15.75" customHeight="1"/>
    <row r="8027" ht="15.75" customHeight="1"/>
    <row r="8028" ht="15.75" customHeight="1"/>
    <row r="8029" ht="15.75" customHeight="1"/>
    <row r="8030" ht="15.75" customHeight="1"/>
    <row r="8031" ht="15.75" customHeight="1"/>
    <row r="8032" ht="15.75" customHeight="1"/>
    <row r="8033" ht="15.75" customHeight="1"/>
    <row r="8034" ht="15.75" customHeight="1"/>
    <row r="8035" ht="15.75" customHeight="1"/>
    <row r="8036" ht="15.75" customHeight="1"/>
    <row r="8037" ht="15.75" customHeight="1"/>
    <row r="8038" ht="15.75" customHeight="1"/>
    <row r="8039" ht="15.75" customHeight="1"/>
    <row r="8040" ht="15.75" customHeight="1"/>
    <row r="8041" ht="15.75" customHeight="1"/>
    <row r="8042" ht="15.75" customHeight="1"/>
    <row r="8043" ht="15.75" customHeight="1"/>
    <row r="8044" ht="15.75" customHeight="1"/>
    <row r="8045" ht="15.75" customHeight="1"/>
    <row r="8046" ht="15.75" customHeight="1"/>
    <row r="8047" ht="15.75" customHeight="1"/>
    <row r="8048" ht="15.75" customHeight="1"/>
    <row r="8049" ht="15.75" customHeight="1"/>
    <row r="8050" ht="15.75" customHeight="1"/>
    <row r="8051" ht="15.75" customHeight="1"/>
    <row r="8052" ht="15.75" customHeight="1"/>
    <row r="8053" ht="15.75" customHeight="1"/>
    <row r="8054" ht="15.75" customHeight="1"/>
    <row r="8055" ht="15.75" customHeight="1"/>
    <row r="8056" ht="15.75" customHeight="1"/>
    <row r="8057" ht="15.75" customHeight="1"/>
    <row r="8058" ht="15.75" customHeight="1"/>
    <row r="8059" ht="15.75" customHeight="1"/>
    <row r="8060" ht="15.75" customHeight="1"/>
    <row r="8061" ht="15.75" customHeight="1"/>
    <row r="8062" ht="15.75" customHeight="1"/>
    <row r="8063" ht="15.75" customHeight="1"/>
    <row r="8064" ht="15.75" customHeight="1"/>
    <row r="8065" ht="15.75" customHeight="1"/>
    <row r="8066" ht="15.75" customHeight="1"/>
    <row r="8067" ht="15.75" customHeight="1"/>
    <row r="8068" ht="15.75" customHeight="1"/>
    <row r="8069" ht="15.75" customHeight="1"/>
    <row r="8070" ht="15.75" customHeight="1"/>
    <row r="8071" ht="15.75" customHeight="1"/>
    <row r="8072" ht="15.75" customHeight="1"/>
    <row r="8073" ht="15.75" customHeight="1"/>
    <row r="8074" ht="15.75" customHeight="1"/>
    <row r="8075" ht="15.75" customHeight="1"/>
    <row r="8076" ht="15.75" customHeight="1"/>
    <row r="8077" ht="15.75" customHeight="1"/>
    <row r="8078" ht="15.75" customHeight="1"/>
    <row r="8079" ht="15.75" customHeight="1"/>
    <row r="8080" ht="15.75" customHeight="1"/>
    <row r="8081" ht="15.75" customHeight="1"/>
    <row r="8082" ht="15.75" customHeight="1"/>
    <row r="8083" ht="15.75" customHeight="1"/>
    <row r="8084" ht="15.75" customHeight="1"/>
    <row r="8085" ht="15.75" customHeight="1"/>
    <row r="8086" ht="15.75" customHeight="1"/>
    <row r="8087" ht="15.75" customHeight="1"/>
    <row r="8088" ht="15.75" customHeight="1"/>
    <row r="8089" ht="15.75" customHeight="1"/>
    <row r="8090" ht="15.75" customHeight="1"/>
    <row r="8091" ht="15.75" customHeight="1"/>
    <row r="8092" ht="15.75" customHeight="1"/>
    <row r="8093" ht="15.75" customHeight="1"/>
    <row r="8094" ht="15.75" customHeight="1"/>
    <row r="8095" ht="15.75" customHeight="1"/>
    <row r="8096" ht="15.75" customHeight="1"/>
    <row r="8097" ht="15.75" customHeight="1"/>
    <row r="8098" ht="15.75" customHeight="1"/>
    <row r="8099" ht="15.75" customHeight="1"/>
    <row r="8100" ht="15.75" customHeight="1"/>
    <row r="8101" ht="15.75" customHeight="1"/>
    <row r="8102" ht="15.75" customHeight="1"/>
    <row r="8103" ht="15.75" customHeight="1"/>
    <row r="8104" ht="15.75" customHeight="1"/>
    <row r="8105" ht="15.75" customHeight="1"/>
    <row r="8106" ht="15.75" customHeight="1"/>
    <row r="8107" ht="15.75" customHeight="1"/>
    <row r="8108" ht="15.75" customHeight="1"/>
    <row r="8109" ht="15.75" customHeight="1"/>
    <row r="8110" ht="15.75" customHeight="1"/>
    <row r="8111" ht="15.75" customHeight="1"/>
    <row r="8112" ht="15.75" customHeight="1"/>
    <row r="8113" ht="15.75" customHeight="1"/>
    <row r="8114" ht="15.75" customHeight="1"/>
    <row r="8115" ht="15.75" customHeight="1"/>
    <row r="8116" ht="15.75" customHeight="1"/>
    <row r="8117" ht="15.75" customHeight="1"/>
    <row r="8118" ht="15.75" customHeight="1"/>
    <row r="8119" ht="15.75" customHeight="1"/>
    <row r="8120" ht="15.75" customHeight="1"/>
    <row r="8121" ht="15.75" customHeight="1"/>
    <row r="8122" ht="15.75" customHeight="1"/>
    <row r="8123" ht="15.75" customHeight="1"/>
    <row r="8124" ht="15.75" customHeight="1"/>
    <row r="8125" ht="15.75" customHeight="1"/>
    <row r="8126" ht="15.75" customHeight="1"/>
    <row r="8127" ht="15.75" customHeight="1"/>
    <row r="8128" ht="15.75" customHeight="1"/>
    <row r="8129" ht="15.75" customHeight="1"/>
    <row r="8130" ht="15.75" customHeight="1"/>
    <row r="8131" ht="15.75" customHeight="1"/>
    <row r="8132" ht="15.75" customHeight="1"/>
    <row r="8133" ht="15.75" customHeight="1"/>
    <row r="8134" ht="15.75" customHeight="1"/>
    <row r="8135" ht="15.75" customHeight="1"/>
    <row r="8136" ht="15.75" customHeight="1"/>
    <row r="8137" ht="15.75" customHeight="1"/>
    <row r="8138" ht="15.75" customHeight="1"/>
    <row r="8139" ht="15.75" customHeight="1"/>
    <row r="8140" ht="15.75" customHeight="1"/>
    <row r="8141" ht="15.75" customHeight="1"/>
    <row r="8142" ht="15.75" customHeight="1"/>
    <row r="8143" ht="15.75" customHeight="1"/>
    <row r="8144" ht="15.75" customHeight="1"/>
    <row r="8145" ht="15.75" customHeight="1"/>
    <row r="8146" ht="15.75" customHeight="1"/>
    <row r="8147" ht="15.75" customHeight="1"/>
    <row r="8148" ht="15.75" customHeight="1"/>
    <row r="8149" ht="15.75" customHeight="1"/>
    <row r="8150" ht="15.75" customHeight="1"/>
    <row r="8151" ht="15.75" customHeight="1"/>
    <row r="8152" ht="15.75" customHeight="1"/>
    <row r="8153" ht="15.75" customHeight="1"/>
    <row r="8154" ht="15.75" customHeight="1"/>
    <row r="8155" ht="15.75" customHeight="1"/>
    <row r="8156" ht="15.75" customHeight="1"/>
    <row r="8157" ht="15.75" customHeight="1"/>
    <row r="8158" ht="15.75" customHeight="1"/>
    <row r="8159" ht="15.75" customHeight="1"/>
    <row r="8160" ht="15.75" customHeight="1"/>
    <row r="8161" ht="15.75" customHeight="1"/>
    <row r="8162" ht="15.75" customHeight="1"/>
    <row r="8163" ht="15.75" customHeight="1"/>
    <row r="8164" ht="15.75" customHeight="1"/>
    <row r="8165" ht="15.75" customHeight="1"/>
    <row r="8166" ht="15.75" customHeight="1"/>
    <row r="8167" ht="15.75" customHeight="1"/>
    <row r="8168" ht="15.75" customHeight="1"/>
    <row r="8169" ht="15.75" customHeight="1"/>
    <row r="8170" ht="15.75" customHeight="1"/>
    <row r="8171" ht="15.75" customHeight="1"/>
    <row r="8172" ht="15.75" customHeight="1"/>
    <row r="8173" ht="15.75" customHeight="1"/>
    <row r="8174" ht="15.75" customHeight="1"/>
    <row r="8175" ht="15.75" customHeight="1"/>
    <row r="8176" ht="15.75" customHeight="1"/>
    <row r="8177" ht="15.75" customHeight="1"/>
    <row r="8178" ht="15.75" customHeight="1"/>
    <row r="8179" ht="15.75" customHeight="1"/>
    <row r="8180" ht="15.75" customHeight="1"/>
    <row r="8181" ht="15.75" customHeight="1"/>
    <row r="8182" ht="15.75" customHeight="1"/>
    <row r="8183" ht="15.75" customHeight="1"/>
    <row r="8184" ht="15.75" customHeight="1"/>
    <row r="8185" ht="15.75" customHeight="1"/>
    <row r="8186" ht="15.75" customHeight="1"/>
    <row r="8187" ht="15.75" customHeight="1"/>
    <row r="8188" ht="15.75" customHeight="1"/>
    <row r="8189" ht="15.75" customHeight="1"/>
    <row r="8190" ht="15.75" customHeight="1"/>
    <row r="8191" ht="15.75" customHeight="1"/>
    <row r="8192" ht="15.75" customHeight="1"/>
    <row r="8193" ht="15.75" customHeight="1"/>
    <row r="8194" ht="15.75" customHeight="1"/>
    <row r="8195" ht="15.75" customHeight="1"/>
    <row r="8196" ht="15.75" customHeight="1"/>
    <row r="8197" ht="15.75" customHeight="1"/>
    <row r="8198" ht="15.75" customHeight="1"/>
    <row r="8199" ht="15.75" customHeight="1"/>
    <row r="8200" ht="15.75" customHeight="1"/>
    <row r="8201" ht="15.75" customHeight="1"/>
    <row r="8202" ht="15.75" customHeight="1"/>
    <row r="8203" ht="15.75" customHeight="1"/>
    <row r="8204" ht="15.75" customHeight="1"/>
    <row r="8205" ht="15.75" customHeight="1"/>
    <row r="8206" ht="15.75" customHeight="1"/>
    <row r="8207" ht="15.75" customHeight="1"/>
    <row r="8208" ht="15.75" customHeight="1"/>
    <row r="8209" ht="15.75" customHeight="1"/>
    <row r="8210" ht="15.75" customHeight="1"/>
    <row r="8211" ht="15.75" customHeight="1"/>
    <row r="8212" ht="15.75" customHeight="1"/>
    <row r="8213" ht="15.75" customHeight="1"/>
    <row r="8214" ht="15.75" customHeight="1"/>
    <row r="8215" ht="15.75" customHeight="1"/>
    <row r="8216" ht="15.75" customHeight="1"/>
    <row r="8217" ht="15.75" customHeight="1"/>
    <row r="8218" ht="15.75" customHeight="1"/>
    <row r="8219" ht="15.75" customHeight="1"/>
    <row r="8220" ht="15.75" customHeight="1"/>
    <row r="8221" ht="15.75" customHeight="1"/>
    <row r="8222" ht="15.75" customHeight="1"/>
    <row r="8223" ht="15.75" customHeight="1"/>
    <row r="8224" ht="15.75" customHeight="1"/>
    <row r="8225" ht="15.75" customHeight="1"/>
    <row r="8226" ht="15.75" customHeight="1"/>
    <row r="8227" ht="15.75" customHeight="1"/>
    <row r="8228" ht="15.75" customHeight="1"/>
    <row r="8229" ht="15.75" customHeight="1"/>
    <row r="8230" ht="15.75" customHeight="1"/>
    <row r="8231" ht="15.75" customHeight="1"/>
    <row r="8232" ht="15.75" customHeight="1"/>
    <row r="8233" ht="15.75" customHeight="1"/>
    <row r="8234" ht="15.75" customHeight="1"/>
    <row r="8235" ht="15.75" customHeight="1"/>
    <row r="8236" ht="15.75" customHeight="1"/>
    <row r="8237" ht="15.75" customHeight="1"/>
    <row r="8238" ht="15.75" customHeight="1"/>
    <row r="8239" ht="15.75" customHeight="1"/>
    <row r="8240" ht="15.75" customHeight="1"/>
    <row r="8241" ht="15.75" customHeight="1"/>
    <row r="8242" ht="15.75" customHeight="1"/>
    <row r="8243" ht="15.75" customHeight="1"/>
    <row r="8244" ht="15.75" customHeight="1"/>
    <row r="8245" ht="15.75" customHeight="1"/>
    <row r="8246" ht="15.75" customHeight="1"/>
    <row r="8247" ht="15.75" customHeight="1"/>
    <row r="8248" ht="15.75" customHeight="1"/>
    <row r="8249" ht="15.75" customHeight="1"/>
    <row r="8250" ht="15.75" customHeight="1"/>
    <row r="8251" ht="15.75" customHeight="1"/>
    <row r="8252" ht="15.75" customHeight="1"/>
    <row r="8253" ht="15.75" customHeight="1"/>
    <row r="8254" ht="15.75" customHeight="1"/>
    <row r="8255" ht="15.75" customHeight="1"/>
    <row r="8256" ht="15.75" customHeight="1"/>
    <row r="8257" ht="15.75" customHeight="1"/>
    <row r="8258" ht="15.75" customHeight="1"/>
    <row r="8259" ht="15.75" customHeight="1"/>
    <row r="8260" ht="15.75" customHeight="1"/>
    <row r="8261" ht="15.75" customHeight="1"/>
    <row r="8262" ht="15.75" customHeight="1"/>
    <row r="8263" ht="15.75" customHeight="1"/>
    <row r="8264" ht="15.75" customHeight="1"/>
    <row r="8265" ht="15.75" customHeight="1"/>
    <row r="8266" ht="15.75" customHeight="1"/>
    <row r="8267" ht="15.75" customHeight="1"/>
    <row r="8268" ht="15.75" customHeight="1"/>
    <row r="8269" ht="15.75" customHeight="1"/>
    <row r="8270" ht="15.75" customHeight="1"/>
    <row r="8271" ht="15.75" customHeight="1"/>
    <row r="8272" ht="15.75" customHeight="1"/>
    <row r="8273" ht="15.75" customHeight="1"/>
    <row r="8274" ht="15.75" customHeight="1"/>
    <row r="8275" ht="15.75" customHeight="1"/>
    <row r="8276" ht="15.75" customHeight="1"/>
    <row r="8277" ht="15.75" customHeight="1"/>
    <row r="8278" ht="15.75" customHeight="1"/>
    <row r="8279" ht="15.75" customHeight="1"/>
    <row r="8280" ht="15.75" customHeight="1"/>
    <row r="8281" ht="15.75" customHeight="1"/>
    <row r="8282" ht="15.75" customHeight="1"/>
    <row r="8283" ht="15.75" customHeight="1"/>
    <row r="8284" ht="15.75" customHeight="1"/>
    <row r="8285" ht="15.75" customHeight="1"/>
    <row r="8286" ht="15.75" customHeight="1"/>
    <row r="8287" ht="15.75" customHeight="1"/>
    <row r="8288" ht="15.75" customHeight="1"/>
    <row r="8289" ht="15.75" customHeight="1"/>
    <row r="8290" ht="15.75" customHeight="1"/>
    <row r="8291" ht="15.75" customHeight="1"/>
    <row r="8292" ht="15.75" customHeight="1"/>
    <row r="8293" ht="15.75" customHeight="1"/>
    <row r="8294" ht="15.75" customHeight="1"/>
    <row r="8295" ht="15.75" customHeight="1"/>
    <row r="8296" ht="15.75" customHeight="1"/>
    <row r="8297" ht="15.75" customHeight="1"/>
    <row r="8298" ht="15.75" customHeight="1"/>
    <row r="8299" ht="15.75" customHeight="1"/>
    <row r="8300" ht="15.75" customHeight="1"/>
    <row r="8301" ht="15.75" customHeight="1"/>
    <row r="8302" ht="15.75" customHeight="1"/>
    <row r="8303" ht="15.75" customHeight="1"/>
    <row r="8304" ht="15.75" customHeight="1"/>
    <row r="8305" ht="15.75" customHeight="1"/>
    <row r="8306" ht="15.75" customHeight="1"/>
    <row r="8307" ht="15.75" customHeight="1"/>
    <row r="8308" ht="15.75" customHeight="1"/>
    <row r="8309" ht="15.75" customHeight="1"/>
    <row r="8310" ht="15.75" customHeight="1"/>
    <row r="8311" ht="15.75" customHeight="1"/>
    <row r="8312" ht="15.75" customHeight="1"/>
    <row r="8313" ht="15.75" customHeight="1"/>
    <row r="8314" ht="15.75" customHeight="1"/>
    <row r="8315" ht="15.75" customHeight="1"/>
    <row r="8316" ht="15.75" customHeight="1"/>
    <row r="8317" ht="15.75" customHeight="1"/>
    <row r="8318" ht="15.75" customHeight="1"/>
    <row r="8319" ht="15.75" customHeight="1"/>
    <row r="8320" ht="15.75" customHeight="1"/>
    <row r="8321" ht="15.75" customHeight="1"/>
    <row r="8322" ht="15.75" customHeight="1"/>
    <row r="8323" ht="15.75" customHeight="1"/>
    <row r="8324" ht="15.75" customHeight="1"/>
    <row r="8325" ht="15.75" customHeight="1"/>
    <row r="8326" ht="15.75" customHeight="1"/>
    <row r="8327" ht="15.75" customHeight="1"/>
    <row r="8328" ht="15.75" customHeight="1"/>
    <row r="8329" ht="15.75" customHeight="1"/>
    <row r="8330" ht="15.75" customHeight="1"/>
    <row r="8331" ht="15.75" customHeight="1"/>
    <row r="8332" ht="15.75" customHeight="1"/>
    <row r="8333" ht="15.75" customHeight="1"/>
    <row r="8334" ht="15.75" customHeight="1"/>
    <row r="8335" ht="15.75" customHeight="1"/>
    <row r="8336" ht="15.75" customHeight="1"/>
    <row r="8337" ht="15.75" customHeight="1"/>
    <row r="8338" ht="15.75" customHeight="1"/>
    <row r="8339" ht="15.75" customHeight="1"/>
    <row r="8340" ht="15.75" customHeight="1"/>
    <row r="8341" ht="15.75" customHeight="1"/>
    <row r="8342" ht="15.75" customHeight="1"/>
    <row r="8343" ht="15.75" customHeight="1"/>
    <row r="8344" ht="15.75" customHeight="1"/>
    <row r="8345" ht="15.75" customHeight="1"/>
    <row r="8346" ht="15.75" customHeight="1"/>
    <row r="8347" ht="15.75" customHeight="1"/>
    <row r="8348" ht="15.75" customHeight="1"/>
    <row r="8349" ht="15.75" customHeight="1"/>
    <row r="8350" ht="15.75" customHeight="1"/>
    <row r="8351" ht="15.75" customHeight="1"/>
    <row r="8352" ht="15.75" customHeight="1"/>
    <row r="8353" ht="15.75" customHeight="1"/>
    <row r="8354" ht="15.75" customHeight="1"/>
    <row r="8355" ht="15.75" customHeight="1"/>
    <row r="8356" ht="15.75" customHeight="1"/>
    <row r="8357" ht="15.75" customHeight="1"/>
    <row r="8358" ht="15.75" customHeight="1"/>
    <row r="8359" ht="15.75" customHeight="1"/>
    <row r="8360" ht="15.75" customHeight="1"/>
    <row r="8361" ht="15.75" customHeight="1"/>
    <row r="8362" ht="15.75" customHeight="1"/>
    <row r="8363" ht="15.75" customHeight="1"/>
    <row r="8364" ht="15.75" customHeight="1"/>
    <row r="8365" ht="15.75" customHeight="1"/>
    <row r="8366" ht="15.75" customHeight="1"/>
    <row r="8367" ht="15.75" customHeight="1"/>
    <row r="8368" ht="15.75" customHeight="1"/>
    <row r="8369" ht="15.75" customHeight="1"/>
    <row r="8370" ht="15.75" customHeight="1"/>
    <row r="8371" ht="15.75" customHeight="1"/>
    <row r="8372" ht="15.75" customHeight="1"/>
    <row r="8373" ht="15.75" customHeight="1"/>
    <row r="8374" ht="15.75" customHeight="1"/>
    <row r="8375" ht="15.75" customHeight="1"/>
    <row r="8376" ht="15.75" customHeight="1"/>
    <row r="8377" ht="15.75" customHeight="1"/>
    <row r="8378" ht="15.75" customHeight="1"/>
    <row r="8379" ht="15.75" customHeight="1"/>
    <row r="8380" ht="15.75" customHeight="1"/>
    <row r="8381" ht="15.75" customHeight="1"/>
    <row r="8382" ht="15.75" customHeight="1"/>
    <row r="8383" ht="15.75" customHeight="1"/>
    <row r="8384" ht="15.75" customHeight="1"/>
    <row r="8385" ht="15.75" customHeight="1"/>
    <row r="8386" ht="15.75" customHeight="1"/>
    <row r="8387" ht="15.75" customHeight="1"/>
    <row r="8388" ht="15.75" customHeight="1"/>
    <row r="8389" ht="15.75" customHeight="1"/>
    <row r="8390" ht="15.75" customHeight="1"/>
    <row r="8391" ht="15.75" customHeight="1"/>
    <row r="8392" ht="15.75" customHeight="1"/>
    <row r="8393" ht="15.75" customHeight="1"/>
    <row r="8394" ht="15.75" customHeight="1"/>
    <row r="8395" ht="15.75" customHeight="1"/>
    <row r="8396" ht="15.75" customHeight="1"/>
    <row r="8397" ht="15.75" customHeight="1"/>
    <row r="8398" ht="15.75" customHeight="1"/>
    <row r="8399" ht="15.75" customHeight="1"/>
    <row r="8400" ht="15.75" customHeight="1"/>
    <row r="8401" ht="15.75" customHeight="1"/>
    <row r="8402" ht="15.75" customHeight="1"/>
    <row r="8403" ht="15.75" customHeight="1"/>
    <row r="8404" ht="15.75" customHeight="1"/>
    <row r="8405" ht="15.75" customHeight="1"/>
    <row r="8406" ht="15.75" customHeight="1"/>
    <row r="8407" ht="15.75" customHeight="1"/>
    <row r="8408" ht="15.75" customHeight="1"/>
    <row r="8409" ht="15.75" customHeight="1"/>
    <row r="8410" ht="15.75" customHeight="1"/>
    <row r="8411" ht="15.75" customHeight="1"/>
    <row r="8412" ht="15.75" customHeight="1"/>
    <row r="8413" ht="15.75" customHeight="1"/>
    <row r="8414" ht="15.75" customHeight="1"/>
    <row r="8415" ht="15.75" customHeight="1"/>
    <row r="8416" ht="15.75" customHeight="1"/>
    <row r="8417" ht="15.75" customHeight="1"/>
    <row r="8418" ht="15.75" customHeight="1"/>
    <row r="8419" ht="15.75" customHeight="1"/>
    <row r="8420" ht="15.75" customHeight="1"/>
    <row r="8421" ht="15.75" customHeight="1"/>
    <row r="8422" ht="15.75" customHeight="1"/>
    <row r="8423" ht="15.75" customHeight="1"/>
    <row r="8424" ht="15.75" customHeight="1"/>
    <row r="8425" ht="15.75" customHeight="1"/>
    <row r="8426" ht="15.75" customHeight="1"/>
    <row r="8427" ht="15.75" customHeight="1"/>
    <row r="8428" ht="15.75" customHeight="1"/>
    <row r="8429" ht="15.75" customHeight="1"/>
    <row r="8430" ht="15.75" customHeight="1"/>
    <row r="8431" ht="15.75" customHeight="1"/>
    <row r="8432" ht="15.75" customHeight="1"/>
    <row r="8433" ht="15.75" customHeight="1"/>
    <row r="8434" ht="15.75" customHeight="1"/>
    <row r="8435" ht="15.75" customHeight="1"/>
    <row r="8436" ht="15.75" customHeight="1"/>
    <row r="8437" ht="15.75" customHeight="1"/>
    <row r="8438" ht="15.75" customHeight="1"/>
    <row r="8439" ht="15.75" customHeight="1"/>
    <row r="8440" ht="15.75" customHeight="1"/>
    <row r="8441" ht="15.75" customHeight="1"/>
    <row r="8442" ht="15.75" customHeight="1"/>
    <row r="8443" ht="15.75" customHeight="1"/>
    <row r="8444" ht="15.75" customHeight="1"/>
    <row r="8445" ht="15.75" customHeight="1"/>
    <row r="8446" ht="15.75" customHeight="1"/>
    <row r="8447" ht="15.75" customHeight="1"/>
    <row r="8448" ht="15.75" customHeight="1"/>
    <row r="8449" ht="15.75" customHeight="1"/>
    <row r="8450" ht="15.75" customHeight="1"/>
    <row r="8451" ht="15.75" customHeight="1"/>
    <row r="8452" ht="15.75" customHeight="1"/>
    <row r="8453" ht="15.75" customHeight="1"/>
    <row r="8454" ht="15.75" customHeight="1"/>
    <row r="8455" ht="15.75" customHeight="1"/>
    <row r="8456" ht="15.75" customHeight="1"/>
    <row r="8457" ht="15.75" customHeight="1"/>
    <row r="8458" ht="15.75" customHeight="1"/>
    <row r="8459" ht="15.75" customHeight="1"/>
    <row r="8460" ht="15.75" customHeight="1"/>
    <row r="8461" ht="15.75" customHeight="1"/>
    <row r="8462" ht="15.75" customHeight="1"/>
    <row r="8463" ht="15.75" customHeight="1"/>
    <row r="8464" ht="15.75" customHeight="1"/>
    <row r="8465" ht="15.75" customHeight="1"/>
    <row r="8466" ht="15.75" customHeight="1"/>
    <row r="8467" ht="15.75" customHeight="1"/>
    <row r="8468" ht="15.75" customHeight="1"/>
    <row r="8469" ht="15.75" customHeight="1"/>
    <row r="8470" ht="15.75" customHeight="1"/>
    <row r="8471" ht="15.75" customHeight="1"/>
    <row r="8472" ht="15.75" customHeight="1"/>
    <row r="8473" ht="15.75" customHeight="1"/>
    <row r="8474" ht="15.75" customHeight="1"/>
    <row r="8475" ht="15.75" customHeight="1"/>
    <row r="8476" ht="15.75" customHeight="1"/>
    <row r="8477" ht="15.75" customHeight="1"/>
    <row r="8478" ht="15.75" customHeight="1"/>
    <row r="8479" ht="15.75" customHeight="1"/>
    <row r="8480" ht="15.75" customHeight="1"/>
    <row r="8481" ht="15.75" customHeight="1"/>
    <row r="8482" ht="15.75" customHeight="1"/>
    <row r="8483" ht="15.75" customHeight="1"/>
    <row r="8484" ht="15.75" customHeight="1"/>
    <row r="8485" ht="15.75" customHeight="1"/>
    <row r="8486" ht="15.75" customHeight="1"/>
    <row r="8487" ht="15.75" customHeight="1"/>
    <row r="8488" ht="15.75" customHeight="1"/>
    <row r="8489" ht="15.75" customHeight="1"/>
    <row r="8490" ht="15.75" customHeight="1"/>
    <row r="8491" ht="15.75" customHeight="1"/>
    <row r="8492" ht="15.75" customHeight="1"/>
    <row r="8493" ht="15.75" customHeight="1"/>
    <row r="8494" ht="15.75" customHeight="1"/>
    <row r="8495" ht="15.75" customHeight="1"/>
    <row r="8496" ht="15.75" customHeight="1"/>
    <row r="8497" ht="15.75" customHeight="1"/>
    <row r="8498" ht="15.75" customHeight="1"/>
    <row r="8499" ht="15.75" customHeight="1"/>
    <row r="8500" ht="15.75" customHeight="1"/>
    <row r="8501" ht="15.75" customHeight="1"/>
    <row r="8502" ht="15.75" customHeight="1"/>
    <row r="8503" ht="15.75" customHeight="1"/>
    <row r="8504" ht="15.75" customHeight="1"/>
    <row r="8505" ht="15.75" customHeight="1"/>
    <row r="8506" ht="15.75" customHeight="1"/>
    <row r="8507" ht="15.75" customHeight="1"/>
    <row r="8508" ht="15.75" customHeight="1"/>
    <row r="8509" ht="15.75" customHeight="1"/>
    <row r="8510" ht="15.75" customHeight="1"/>
    <row r="8511" ht="15.75" customHeight="1"/>
    <row r="8512" ht="15.75" customHeight="1"/>
    <row r="8513" ht="15.75" customHeight="1"/>
    <row r="8514" ht="15.75" customHeight="1"/>
    <row r="8515" ht="15.75" customHeight="1"/>
    <row r="8516" ht="15.75" customHeight="1"/>
    <row r="8517" ht="15.75" customHeight="1"/>
    <row r="8518" ht="15.75" customHeight="1"/>
    <row r="8519" ht="15.75" customHeight="1"/>
    <row r="8520" ht="15.75" customHeight="1"/>
    <row r="8521" ht="15.75" customHeight="1"/>
    <row r="8522" ht="15.75" customHeight="1"/>
    <row r="8523" ht="15.75" customHeight="1"/>
    <row r="8524" ht="15.75" customHeight="1"/>
    <row r="8525" ht="15.75" customHeight="1"/>
    <row r="8526" ht="15.75" customHeight="1"/>
    <row r="8527" ht="15.75" customHeight="1"/>
    <row r="8528" ht="15.75" customHeight="1"/>
    <row r="8529" ht="15.75" customHeight="1"/>
    <row r="8530" ht="15.75" customHeight="1"/>
    <row r="8531" ht="15.75" customHeight="1"/>
    <row r="8532" ht="15.75" customHeight="1"/>
    <row r="8533" ht="15.75" customHeight="1"/>
    <row r="8534" ht="15.75" customHeight="1"/>
    <row r="8535" ht="15.75" customHeight="1"/>
    <row r="8536" ht="15.75" customHeight="1"/>
    <row r="8537" ht="15.75" customHeight="1"/>
    <row r="8538" ht="15.75" customHeight="1"/>
    <row r="8539" ht="15.75" customHeight="1"/>
    <row r="8540" ht="15.75" customHeight="1"/>
    <row r="8541" ht="15.75" customHeight="1"/>
    <row r="8542" ht="15.75" customHeight="1"/>
    <row r="8543" ht="15.75" customHeight="1"/>
    <row r="8544" ht="15.75" customHeight="1"/>
    <row r="8545" ht="15.75" customHeight="1"/>
    <row r="8546" ht="15.75" customHeight="1"/>
    <row r="8547" ht="15.75" customHeight="1"/>
    <row r="8548" ht="15.75" customHeight="1"/>
    <row r="8549" ht="15.75" customHeight="1"/>
    <row r="8550" ht="15.75" customHeight="1"/>
    <row r="8551" ht="15.75" customHeight="1"/>
    <row r="8552" ht="15.75" customHeight="1"/>
    <row r="8553" ht="15.75" customHeight="1"/>
    <row r="8554" ht="15.75" customHeight="1"/>
    <row r="8555" ht="15.75" customHeight="1"/>
    <row r="8556" ht="15.75" customHeight="1"/>
    <row r="8557" ht="15.75" customHeight="1"/>
    <row r="8558" ht="15.75" customHeight="1"/>
    <row r="8559" ht="15.75" customHeight="1"/>
    <row r="8560" ht="15.75" customHeight="1"/>
    <row r="8561" ht="15.75" customHeight="1"/>
    <row r="8562" ht="15.75" customHeight="1"/>
    <row r="8563" ht="15.75" customHeight="1"/>
    <row r="8564" ht="15.75" customHeight="1"/>
    <row r="8565" ht="15.75" customHeight="1"/>
    <row r="8566" ht="15.75" customHeight="1"/>
    <row r="8567" ht="15.75" customHeight="1"/>
    <row r="8568" ht="15.75" customHeight="1"/>
    <row r="8569" ht="15.75" customHeight="1"/>
    <row r="8570" ht="15.75" customHeight="1"/>
    <row r="8571" ht="15.75" customHeight="1"/>
    <row r="8572" ht="15.75" customHeight="1"/>
    <row r="8573" ht="15.75" customHeight="1"/>
    <row r="8574" ht="15.75" customHeight="1"/>
    <row r="8575" ht="15.75" customHeight="1"/>
    <row r="8576" ht="15.75" customHeight="1"/>
    <row r="8577" ht="15.75" customHeight="1"/>
    <row r="8578" ht="15.75" customHeight="1"/>
    <row r="8579" ht="15.75" customHeight="1"/>
    <row r="8580" ht="15.75" customHeight="1"/>
    <row r="8581" ht="15.75" customHeight="1"/>
    <row r="8582" ht="15.75" customHeight="1"/>
    <row r="8583" ht="15.75" customHeight="1"/>
    <row r="8584" ht="15.75" customHeight="1"/>
    <row r="8585" ht="15.75" customHeight="1"/>
    <row r="8586" ht="15.75" customHeight="1"/>
    <row r="8587" ht="15.75" customHeight="1"/>
    <row r="8588" ht="15.75" customHeight="1"/>
    <row r="8589" ht="15.75" customHeight="1"/>
    <row r="8590" ht="15.75" customHeight="1"/>
    <row r="8591" ht="15.75" customHeight="1"/>
    <row r="8592" ht="15.75" customHeight="1"/>
    <row r="8593" ht="15.75" customHeight="1"/>
    <row r="8594" ht="15.75" customHeight="1"/>
    <row r="8595" ht="15.75" customHeight="1"/>
    <row r="8596" ht="15.75" customHeight="1"/>
    <row r="8597" ht="15.75" customHeight="1"/>
    <row r="8598" ht="15.75" customHeight="1"/>
    <row r="8599" ht="15.75" customHeight="1"/>
    <row r="8600" ht="15.75" customHeight="1"/>
    <row r="8601" ht="15.75" customHeight="1"/>
    <row r="8602" ht="15.75" customHeight="1"/>
    <row r="8603" ht="15.75" customHeight="1"/>
    <row r="8604" ht="15.75" customHeight="1"/>
    <row r="8605" ht="15.75" customHeight="1"/>
    <row r="8606" ht="15.75" customHeight="1"/>
    <row r="8607" ht="15.75" customHeight="1"/>
    <row r="8608" ht="15.75" customHeight="1"/>
    <row r="8609" ht="15.75" customHeight="1"/>
    <row r="8610" ht="15.75" customHeight="1"/>
    <row r="8611" ht="15.75" customHeight="1"/>
    <row r="8612" ht="15.75" customHeight="1"/>
    <row r="8613" ht="15.75" customHeight="1"/>
    <row r="8614" ht="15.75" customHeight="1"/>
    <row r="8615" ht="15.75" customHeight="1"/>
    <row r="8616" ht="15.75" customHeight="1"/>
    <row r="8617" ht="15.75" customHeight="1"/>
    <row r="8618" ht="15.75" customHeight="1"/>
    <row r="8619" ht="15.75" customHeight="1"/>
    <row r="8620" ht="15.75" customHeight="1"/>
    <row r="8621" ht="15.75" customHeight="1"/>
    <row r="8622" ht="15.75" customHeight="1"/>
    <row r="8623" ht="15.75" customHeight="1"/>
    <row r="8624" ht="15.75" customHeight="1"/>
    <row r="8625" ht="15.75" customHeight="1"/>
    <row r="8626" ht="15.75" customHeight="1"/>
    <row r="8627" ht="15.75" customHeight="1"/>
    <row r="8628" ht="15.75" customHeight="1"/>
    <row r="8629" ht="15.75" customHeight="1"/>
    <row r="8630" ht="15.75" customHeight="1"/>
    <row r="8631" ht="15.75" customHeight="1"/>
    <row r="8632" ht="15.75" customHeight="1"/>
    <row r="8633" ht="15.75" customHeight="1"/>
    <row r="8634" ht="15.75" customHeight="1"/>
    <row r="8635" ht="15.75" customHeight="1"/>
    <row r="8636" ht="15.75" customHeight="1"/>
    <row r="8637" ht="15.75" customHeight="1"/>
    <row r="8638" ht="15.75" customHeight="1"/>
    <row r="8639" ht="15.75" customHeight="1"/>
    <row r="8640" ht="15.75" customHeight="1"/>
    <row r="8641" ht="15.75" customHeight="1"/>
    <row r="8642" ht="15.75" customHeight="1"/>
    <row r="8643" ht="15.75" customHeight="1"/>
    <row r="8644" ht="15.75" customHeight="1"/>
    <row r="8645" ht="15.75" customHeight="1"/>
    <row r="8646" ht="15.75" customHeight="1"/>
    <row r="8647" ht="15.75" customHeight="1"/>
    <row r="8648" ht="15.75" customHeight="1"/>
    <row r="8649" ht="15.75" customHeight="1"/>
    <row r="8650" ht="15.75" customHeight="1"/>
    <row r="8651" ht="15.75" customHeight="1"/>
    <row r="8652" ht="15.75" customHeight="1"/>
    <row r="8653" ht="15.75" customHeight="1"/>
    <row r="8654" ht="15.75" customHeight="1"/>
    <row r="8655" ht="15.75" customHeight="1"/>
    <row r="8656" ht="15.75" customHeight="1"/>
    <row r="8657" ht="15.75" customHeight="1"/>
    <row r="8658" ht="15.75" customHeight="1"/>
    <row r="8659" ht="15.75" customHeight="1"/>
    <row r="8660" ht="15.75" customHeight="1"/>
    <row r="8661" ht="15.75" customHeight="1"/>
    <row r="8662" ht="15.75" customHeight="1"/>
    <row r="8663" ht="15.75" customHeight="1"/>
    <row r="8664" ht="15.75" customHeight="1"/>
    <row r="8665" ht="15.75" customHeight="1"/>
    <row r="8666" ht="15.75" customHeight="1"/>
    <row r="8667" ht="15.75" customHeight="1"/>
    <row r="8668" ht="15.75" customHeight="1"/>
    <row r="8669" ht="15.75" customHeight="1"/>
    <row r="8670" ht="15.75" customHeight="1"/>
    <row r="8671" ht="15.75" customHeight="1"/>
    <row r="8672" ht="15.75" customHeight="1"/>
    <row r="8673" ht="15.75" customHeight="1"/>
    <row r="8674" ht="15.75" customHeight="1"/>
    <row r="8675" ht="15.75" customHeight="1"/>
    <row r="8676" ht="15.75" customHeight="1"/>
    <row r="8677" ht="15.75" customHeight="1"/>
    <row r="8678" ht="15.75" customHeight="1"/>
    <row r="8679" ht="15.75" customHeight="1"/>
    <row r="8680" ht="15.75" customHeight="1"/>
    <row r="8681" ht="15.75" customHeight="1"/>
    <row r="8682" ht="15.75" customHeight="1"/>
    <row r="8683" ht="15.75" customHeight="1"/>
    <row r="8684" ht="15.75" customHeight="1"/>
    <row r="8685" ht="15.75" customHeight="1"/>
    <row r="8686" ht="15.75" customHeight="1"/>
    <row r="8687" ht="15.75" customHeight="1"/>
    <row r="8688" ht="15.75" customHeight="1"/>
    <row r="8689" ht="15.75" customHeight="1"/>
    <row r="8690" ht="15.75" customHeight="1"/>
    <row r="8691" ht="15.75" customHeight="1"/>
    <row r="8692" ht="15.75" customHeight="1"/>
    <row r="8693" ht="15.75" customHeight="1"/>
    <row r="8694" ht="15.75" customHeight="1"/>
    <row r="8695" ht="15.75" customHeight="1"/>
    <row r="8696" ht="15.75" customHeight="1"/>
    <row r="8697" ht="15.75" customHeight="1"/>
    <row r="8698" ht="15.75" customHeight="1"/>
    <row r="8699" ht="15.75" customHeight="1"/>
    <row r="8700" ht="15.75" customHeight="1"/>
    <row r="8701" ht="15.75" customHeight="1"/>
    <row r="8702" ht="15.75" customHeight="1"/>
    <row r="8703" ht="15.75" customHeight="1"/>
    <row r="8704" ht="15.75" customHeight="1"/>
    <row r="8705" ht="15.75" customHeight="1"/>
    <row r="8706" ht="15.75" customHeight="1"/>
    <row r="8707" ht="15.75" customHeight="1"/>
    <row r="8708" ht="15.75" customHeight="1"/>
    <row r="8709" ht="15.75" customHeight="1"/>
    <row r="8710" ht="15.75" customHeight="1"/>
    <row r="8711" ht="15.75" customHeight="1"/>
    <row r="8712" ht="15.75" customHeight="1"/>
    <row r="8713" ht="15.75" customHeight="1"/>
    <row r="8714" ht="15.75" customHeight="1"/>
    <row r="8715" ht="15.75" customHeight="1"/>
    <row r="8716" ht="15.75" customHeight="1"/>
    <row r="8717" ht="15.75" customHeight="1"/>
    <row r="8718" ht="15.75" customHeight="1"/>
    <row r="8719" ht="15.75" customHeight="1"/>
    <row r="8720" ht="15.75" customHeight="1"/>
    <row r="8721" ht="15.75" customHeight="1"/>
    <row r="8722" ht="15.75" customHeight="1"/>
    <row r="8723" ht="15.75" customHeight="1"/>
    <row r="8724" ht="15.75" customHeight="1"/>
    <row r="8725" ht="15.75" customHeight="1"/>
    <row r="8726" ht="15.75" customHeight="1"/>
    <row r="8727" ht="15.75" customHeight="1"/>
    <row r="8728" ht="15.75" customHeight="1"/>
    <row r="8729" ht="15.75" customHeight="1"/>
    <row r="8730" ht="15.75" customHeight="1"/>
    <row r="8731" ht="15.75" customHeight="1"/>
    <row r="8732" ht="15.75" customHeight="1"/>
    <row r="8733" ht="15.75" customHeight="1"/>
    <row r="8734" ht="15.75" customHeight="1"/>
    <row r="8735" ht="15.75" customHeight="1"/>
    <row r="8736" ht="15.75" customHeight="1"/>
    <row r="8737" ht="15.75" customHeight="1"/>
    <row r="8738" ht="15.75" customHeight="1"/>
    <row r="8739" ht="15.75" customHeight="1"/>
    <row r="8740" ht="15.75" customHeight="1"/>
    <row r="8741" ht="15.75" customHeight="1"/>
    <row r="8742" ht="15.75" customHeight="1"/>
    <row r="8743" ht="15.75" customHeight="1"/>
    <row r="8744" ht="15.75" customHeight="1"/>
    <row r="8745" ht="15.75" customHeight="1"/>
    <row r="8746" ht="15.75" customHeight="1"/>
    <row r="8747" ht="15.75" customHeight="1"/>
    <row r="8748" ht="15.75" customHeight="1"/>
    <row r="8749" ht="15.75" customHeight="1"/>
    <row r="8750" ht="15.75" customHeight="1"/>
    <row r="8751" ht="15.75" customHeight="1"/>
    <row r="8752" ht="15.75" customHeight="1"/>
    <row r="8753" ht="15.75" customHeight="1"/>
    <row r="8754" ht="15.75" customHeight="1"/>
    <row r="8755" ht="15.75" customHeight="1"/>
    <row r="8756" ht="15.75" customHeight="1"/>
    <row r="8757" ht="15.75" customHeight="1"/>
    <row r="8758" ht="15.75" customHeight="1"/>
    <row r="8759" ht="15.75" customHeight="1"/>
    <row r="8760" ht="15.75" customHeight="1"/>
    <row r="8761" ht="15.75" customHeight="1"/>
    <row r="8762" ht="15.75" customHeight="1"/>
    <row r="8763" ht="15.75" customHeight="1"/>
    <row r="8764" ht="15.75" customHeight="1"/>
    <row r="8765" ht="15.75" customHeight="1"/>
    <row r="8766" ht="15.75" customHeight="1"/>
    <row r="8767" ht="15.75" customHeight="1"/>
    <row r="8768" ht="15.75" customHeight="1"/>
    <row r="8769" ht="15.75" customHeight="1"/>
    <row r="8770" ht="15.75" customHeight="1"/>
    <row r="8771" ht="15.75" customHeight="1"/>
    <row r="8772" ht="15.75" customHeight="1"/>
    <row r="8773" ht="15.75" customHeight="1"/>
    <row r="8774" ht="15.75" customHeight="1"/>
    <row r="8775" ht="15.75" customHeight="1"/>
    <row r="8776" ht="15.75" customHeight="1"/>
    <row r="8777" ht="15.75" customHeight="1"/>
    <row r="8778" ht="15.75" customHeight="1"/>
    <row r="8779" ht="15.75" customHeight="1"/>
    <row r="8780" ht="15.75" customHeight="1"/>
    <row r="8781" ht="15.75" customHeight="1"/>
    <row r="8782" ht="15.75" customHeight="1"/>
    <row r="8783" ht="15.75" customHeight="1"/>
    <row r="8784" ht="15.75" customHeight="1"/>
    <row r="8785" ht="15.75" customHeight="1"/>
    <row r="8786" ht="15.75" customHeight="1"/>
    <row r="8787" ht="15.75" customHeight="1"/>
    <row r="8788" ht="15.75" customHeight="1"/>
    <row r="8789" ht="15.75" customHeight="1"/>
    <row r="8790" ht="15.75" customHeight="1"/>
    <row r="8791" ht="15.75" customHeight="1"/>
    <row r="8792" ht="15.75" customHeight="1"/>
    <row r="8793" ht="15.75" customHeight="1"/>
    <row r="8794" ht="15.75" customHeight="1"/>
    <row r="8795" ht="15.75" customHeight="1"/>
    <row r="8796" ht="15.75" customHeight="1"/>
    <row r="8797" ht="15.75" customHeight="1"/>
    <row r="8798" ht="15.75" customHeight="1"/>
    <row r="8799" ht="15.75" customHeight="1"/>
    <row r="8800" ht="15.75" customHeight="1"/>
    <row r="8801" ht="15.75" customHeight="1"/>
    <row r="8802" ht="15.75" customHeight="1"/>
    <row r="8803" ht="15.75" customHeight="1"/>
    <row r="8804" ht="15.75" customHeight="1"/>
    <row r="8805" ht="15.75" customHeight="1"/>
    <row r="8806" ht="15.75" customHeight="1"/>
    <row r="8807" ht="15.75" customHeight="1"/>
    <row r="8808" ht="15.75" customHeight="1"/>
    <row r="8809" ht="15.75" customHeight="1"/>
    <row r="8810" ht="15.75" customHeight="1"/>
    <row r="8811" ht="15.75" customHeight="1"/>
    <row r="8812" ht="15.75" customHeight="1"/>
    <row r="8813" ht="15.75" customHeight="1"/>
    <row r="8814" ht="15.75" customHeight="1"/>
    <row r="8815" ht="15.75" customHeight="1"/>
    <row r="8816" ht="15.75" customHeight="1"/>
    <row r="8817" ht="15.75" customHeight="1"/>
    <row r="8818" ht="15.75" customHeight="1"/>
    <row r="8819" ht="15.75" customHeight="1"/>
    <row r="8820" ht="15.75" customHeight="1"/>
    <row r="8821" ht="15.75" customHeight="1"/>
    <row r="8822" ht="15.75" customHeight="1"/>
    <row r="8823" ht="15.75" customHeight="1"/>
    <row r="8824" ht="15.75" customHeight="1"/>
    <row r="8825" ht="15.75" customHeight="1"/>
    <row r="8826" ht="15.75" customHeight="1"/>
    <row r="8827" ht="15.75" customHeight="1"/>
    <row r="8828" ht="15.75" customHeight="1"/>
    <row r="8829" ht="15.75" customHeight="1"/>
    <row r="8830" ht="15.75" customHeight="1"/>
    <row r="8831" ht="15.75" customHeight="1"/>
    <row r="8832" ht="15.75" customHeight="1"/>
    <row r="8833" ht="15.75" customHeight="1"/>
    <row r="8834" ht="15.75" customHeight="1"/>
    <row r="8835" ht="15.75" customHeight="1"/>
    <row r="8836" ht="15.75" customHeight="1"/>
    <row r="8837" ht="15.75" customHeight="1"/>
    <row r="8838" ht="15.75" customHeight="1"/>
    <row r="8839" ht="15.75" customHeight="1"/>
    <row r="8840" ht="15.75" customHeight="1"/>
    <row r="8841" ht="15.75" customHeight="1"/>
    <row r="8842" ht="15.75" customHeight="1"/>
    <row r="8843" ht="15.75" customHeight="1"/>
    <row r="8844" ht="15.75" customHeight="1"/>
    <row r="8845" ht="15.75" customHeight="1"/>
    <row r="8846" ht="15.75" customHeight="1"/>
    <row r="8847" ht="15.75" customHeight="1"/>
    <row r="8848" ht="15.75" customHeight="1"/>
    <row r="8849" ht="15.75" customHeight="1"/>
    <row r="8850" ht="15.75" customHeight="1"/>
    <row r="8851" ht="15.75" customHeight="1"/>
    <row r="8852" ht="15.75" customHeight="1"/>
    <row r="8853" ht="15.75" customHeight="1"/>
    <row r="8854" ht="15.75" customHeight="1"/>
    <row r="8855" ht="15.75" customHeight="1"/>
    <row r="8856" ht="15.75" customHeight="1"/>
    <row r="8857" ht="15.75" customHeight="1"/>
    <row r="8858" ht="15.75" customHeight="1"/>
    <row r="8859" ht="15.75" customHeight="1"/>
    <row r="8860" ht="15.75" customHeight="1"/>
    <row r="8861" ht="15.75" customHeight="1"/>
    <row r="8862" ht="15.75" customHeight="1"/>
    <row r="8863" ht="15.75" customHeight="1"/>
    <row r="8864" ht="15.75" customHeight="1"/>
    <row r="8865" ht="15.75" customHeight="1"/>
    <row r="8866" ht="15.75" customHeight="1"/>
    <row r="8867" ht="15.75" customHeight="1"/>
    <row r="8868" ht="15.75" customHeight="1"/>
    <row r="8869" ht="15.75" customHeight="1"/>
    <row r="8870" ht="15.75" customHeight="1"/>
    <row r="8871" ht="15.75" customHeight="1"/>
    <row r="8872" ht="15.75" customHeight="1"/>
    <row r="8873" ht="15.75" customHeight="1"/>
    <row r="8874" ht="15.75" customHeight="1"/>
    <row r="8875" ht="15.75" customHeight="1"/>
    <row r="8876" ht="15.75" customHeight="1"/>
    <row r="8877" ht="15.75" customHeight="1"/>
    <row r="8878" ht="15.75" customHeight="1"/>
    <row r="8879" ht="15.75" customHeight="1"/>
    <row r="8880" ht="15.75" customHeight="1"/>
    <row r="8881" ht="15.75" customHeight="1"/>
    <row r="8882" ht="15.75" customHeight="1"/>
    <row r="8883" ht="15.75" customHeight="1"/>
    <row r="8884" ht="15.75" customHeight="1"/>
    <row r="8885" ht="15.75" customHeight="1"/>
    <row r="8886" ht="15.75" customHeight="1"/>
    <row r="8887" ht="15.75" customHeight="1"/>
    <row r="8888" ht="15.75" customHeight="1"/>
    <row r="8889" ht="15.75" customHeight="1"/>
    <row r="8890" ht="15.75" customHeight="1"/>
    <row r="8891" ht="15.75" customHeight="1"/>
    <row r="8892" ht="15.75" customHeight="1"/>
    <row r="8893" ht="15.75" customHeight="1"/>
    <row r="8894" ht="15.75" customHeight="1"/>
    <row r="8895" ht="15.75" customHeight="1"/>
    <row r="8896" ht="15.75" customHeight="1"/>
    <row r="8897" ht="15.75" customHeight="1"/>
    <row r="8898" ht="15.75" customHeight="1"/>
    <row r="8899" ht="15.75" customHeight="1"/>
    <row r="8900" ht="15.75" customHeight="1"/>
    <row r="8901" ht="15.75" customHeight="1"/>
    <row r="8902" ht="15.75" customHeight="1"/>
    <row r="8903" ht="15.75" customHeight="1"/>
    <row r="8904" ht="15.75" customHeight="1"/>
    <row r="8905" ht="15.75" customHeight="1"/>
    <row r="8906" ht="15.75" customHeight="1"/>
    <row r="8907" ht="15.75" customHeight="1"/>
    <row r="8908" ht="15.75" customHeight="1"/>
    <row r="8909" ht="15.75" customHeight="1"/>
    <row r="8910" ht="15.75" customHeight="1"/>
    <row r="8911" ht="15.75" customHeight="1"/>
    <row r="8912" ht="15.75" customHeight="1"/>
    <row r="8913" ht="15.75" customHeight="1"/>
    <row r="8914" ht="15.75" customHeight="1"/>
    <row r="8915" ht="15.75" customHeight="1"/>
    <row r="8916" ht="15.75" customHeight="1"/>
    <row r="8917" ht="15.75" customHeight="1"/>
    <row r="8918" ht="15.75" customHeight="1"/>
    <row r="8919" ht="15.75" customHeight="1"/>
    <row r="8920" ht="15.75" customHeight="1"/>
    <row r="8921" ht="15.75" customHeight="1"/>
    <row r="8922" ht="15.75" customHeight="1"/>
    <row r="8923" ht="15.75" customHeight="1"/>
    <row r="8924" ht="15.75" customHeight="1"/>
    <row r="8925" ht="15.75" customHeight="1"/>
    <row r="8926" ht="15.75" customHeight="1"/>
    <row r="8927" ht="15.75" customHeight="1"/>
    <row r="8928" ht="15.75" customHeight="1"/>
    <row r="8929" ht="15.75" customHeight="1"/>
    <row r="8930" ht="15.75" customHeight="1"/>
    <row r="8931" ht="15.75" customHeight="1"/>
    <row r="8932" ht="15.75" customHeight="1"/>
    <row r="8933" ht="15.75" customHeight="1"/>
    <row r="8934" ht="15.75" customHeight="1"/>
    <row r="8935" ht="15.75" customHeight="1"/>
    <row r="8936" ht="15.75" customHeight="1"/>
    <row r="8937" ht="15.75" customHeight="1"/>
    <row r="8938" ht="15.75" customHeight="1"/>
    <row r="8939" ht="15.75" customHeight="1"/>
    <row r="8940" ht="15.75" customHeight="1"/>
    <row r="8941" ht="15.75" customHeight="1"/>
    <row r="8942" ht="15.75" customHeight="1"/>
    <row r="8943" ht="15.75" customHeight="1"/>
    <row r="8944" ht="15.75" customHeight="1"/>
    <row r="8945" ht="15.75" customHeight="1"/>
    <row r="8946" ht="15.75" customHeight="1"/>
    <row r="8947" ht="15.75" customHeight="1"/>
    <row r="8948" ht="15.75" customHeight="1"/>
    <row r="8949" ht="15.75" customHeight="1"/>
    <row r="8950" ht="15.75" customHeight="1"/>
    <row r="8951" ht="15.75" customHeight="1"/>
    <row r="8952" ht="15.75" customHeight="1"/>
    <row r="8953" ht="15.75" customHeight="1"/>
    <row r="8954" ht="15.75" customHeight="1"/>
    <row r="8955" ht="15.75" customHeight="1"/>
    <row r="8956" ht="15.75" customHeight="1"/>
    <row r="8957" ht="15.75" customHeight="1"/>
    <row r="8958" ht="15.75" customHeight="1"/>
    <row r="8959" ht="15.75" customHeight="1"/>
    <row r="8960" ht="15.75" customHeight="1"/>
    <row r="8961" ht="15.75" customHeight="1"/>
    <row r="8962" ht="15.75" customHeight="1"/>
    <row r="8963" ht="15.75" customHeight="1"/>
    <row r="8964" ht="15.75" customHeight="1"/>
    <row r="8965" ht="15.75" customHeight="1"/>
    <row r="8966" ht="15.75" customHeight="1"/>
    <row r="8967" ht="15.75" customHeight="1"/>
    <row r="8968" ht="15.75" customHeight="1"/>
    <row r="8969" ht="15.75" customHeight="1"/>
    <row r="8970" ht="15.75" customHeight="1"/>
    <row r="8971" ht="15.75" customHeight="1"/>
    <row r="8972" ht="15.75" customHeight="1"/>
    <row r="8973" ht="15.75" customHeight="1"/>
    <row r="8974" ht="15.75" customHeight="1"/>
    <row r="8975" ht="15.75" customHeight="1"/>
    <row r="8976" ht="15.75" customHeight="1"/>
    <row r="8977" ht="15.75" customHeight="1"/>
    <row r="8978" ht="15.75" customHeight="1"/>
    <row r="8979" ht="15.75" customHeight="1"/>
    <row r="8980" ht="15.75" customHeight="1"/>
    <row r="8981" ht="15.75" customHeight="1"/>
    <row r="8982" ht="15.75" customHeight="1"/>
    <row r="8983" ht="15.75" customHeight="1"/>
    <row r="8984" ht="15.75" customHeight="1"/>
    <row r="8985" ht="15.75" customHeight="1"/>
    <row r="8986" ht="15.75" customHeight="1"/>
    <row r="8987" ht="15.75" customHeight="1"/>
    <row r="8988" ht="15.75" customHeight="1"/>
    <row r="8989" ht="15.75" customHeight="1"/>
    <row r="8990" ht="15.75" customHeight="1"/>
    <row r="8991" ht="15.75" customHeight="1"/>
    <row r="8992" ht="15.75" customHeight="1"/>
    <row r="8993" ht="15.75" customHeight="1"/>
    <row r="8994" ht="15.75" customHeight="1"/>
    <row r="8995" ht="15.75" customHeight="1"/>
    <row r="8996" ht="15.75" customHeight="1"/>
    <row r="8997" ht="15.75" customHeight="1"/>
    <row r="8998" ht="15.75" customHeight="1"/>
    <row r="8999" ht="15.75" customHeight="1"/>
    <row r="9000" ht="15.75" customHeight="1"/>
    <row r="9001" ht="15.75" customHeight="1"/>
    <row r="9002" ht="15.75" customHeight="1"/>
    <row r="9003" ht="15.75" customHeight="1"/>
    <row r="9004" ht="15.75" customHeight="1"/>
    <row r="9005" ht="15.75" customHeight="1"/>
    <row r="9006" ht="15.75" customHeight="1"/>
    <row r="9007" ht="15.75" customHeight="1"/>
    <row r="9008" ht="15.75" customHeight="1"/>
    <row r="9009" ht="15.75" customHeight="1"/>
    <row r="9010" ht="15.75" customHeight="1"/>
    <row r="9011" ht="15.75" customHeight="1"/>
    <row r="9012" ht="15.75" customHeight="1"/>
    <row r="9013" ht="15.75" customHeight="1"/>
    <row r="9014" ht="15.75" customHeight="1"/>
    <row r="9015" ht="15.75" customHeight="1"/>
    <row r="9016" ht="15.75" customHeight="1"/>
    <row r="9017" ht="15.75" customHeight="1"/>
    <row r="9018" ht="15.75" customHeight="1"/>
    <row r="9019" ht="15.75" customHeight="1"/>
    <row r="9020" ht="15.75" customHeight="1"/>
    <row r="9021" ht="15.75" customHeight="1"/>
    <row r="9022" ht="15.75" customHeight="1"/>
    <row r="9023" ht="15.75" customHeight="1"/>
    <row r="9024" ht="15.75" customHeight="1"/>
    <row r="9025" ht="15.75" customHeight="1"/>
    <row r="9026" ht="15.75" customHeight="1"/>
    <row r="9027" ht="15.75" customHeight="1"/>
    <row r="9028" ht="15.75" customHeight="1"/>
    <row r="9029" ht="15.75" customHeight="1"/>
    <row r="9030" ht="15.75" customHeight="1"/>
    <row r="9031" ht="15.75" customHeight="1"/>
    <row r="9032" ht="15.75" customHeight="1"/>
    <row r="9033" ht="15.75" customHeight="1"/>
    <row r="9034" ht="15.75" customHeight="1"/>
    <row r="9035" ht="15.75" customHeight="1"/>
    <row r="9036" ht="15.75" customHeight="1"/>
    <row r="9037" ht="15.75" customHeight="1"/>
    <row r="9038" ht="15.75" customHeight="1"/>
    <row r="9039" ht="15.75" customHeight="1"/>
    <row r="9040" ht="15.75" customHeight="1"/>
    <row r="9041" ht="15.75" customHeight="1"/>
    <row r="9042" ht="15.75" customHeight="1"/>
    <row r="9043" ht="15.75" customHeight="1"/>
    <row r="9044" ht="15.75" customHeight="1"/>
    <row r="9045" ht="15.75" customHeight="1"/>
    <row r="9046" ht="15.75" customHeight="1"/>
    <row r="9047" ht="15.75" customHeight="1"/>
    <row r="9048" ht="15.75" customHeight="1"/>
    <row r="9049" ht="15.75" customHeight="1"/>
    <row r="9050" ht="15.75" customHeight="1"/>
    <row r="9051" ht="15.75" customHeight="1"/>
    <row r="9052" ht="15.75" customHeight="1"/>
    <row r="9053" ht="15.75" customHeight="1"/>
    <row r="9054" ht="15.75" customHeight="1"/>
    <row r="9055" ht="15.75" customHeight="1"/>
    <row r="9056" ht="15.75" customHeight="1"/>
    <row r="9057" ht="15.75" customHeight="1"/>
    <row r="9058" ht="15.75" customHeight="1"/>
    <row r="9059" ht="15.75" customHeight="1"/>
    <row r="9060" ht="15.75" customHeight="1"/>
    <row r="9061" ht="15.75" customHeight="1"/>
    <row r="9062" ht="15.75" customHeight="1"/>
    <row r="9063" ht="15.75" customHeight="1"/>
    <row r="9064" ht="15.75" customHeight="1"/>
    <row r="9065" ht="15.75" customHeight="1"/>
    <row r="9066" ht="15.75" customHeight="1"/>
    <row r="9067" ht="15.75" customHeight="1"/>
    <row r="9068" ht="15.75" customHeight="1"/>
    <row r="9069" ht="15.75" customHeight="1"/>
    <row r="9070" ht="15.75" customHeight="1"/>
    <row r="9071" ht="15.75" customHeight="1"/>
    <row r="9072" ht="15.75" customHeight="1"/>
    <row r="9073" ht="15.75" customHeight="1"/>
    <row r="9074" ht="15.75" customHeight="1"/>
    <row r="9075" ht="15.75" customHeight="1"/>
    <row r="9076" ht="15.75" customHeight="1"/>
    <row r="9077" ht="15.75" customHeight="1"/>
    <row r="9078" ht="15.75" customHeight="1"/>
    <row r="9079" ht="15.75" customHeight="1"/>
    <row r="9080" ht="15.75" customHeight="1"/>
    <row r="9081" ht="15.75" customHeight="1"/>
    <row r="9082" ht="15.75" customHeight="1"/>
    <row r="9083" ht="15.75" customHeight="1"/>
    <row r="9084" ht="15.75" customHeight="1"/>
    <row r="9085" ht="15.75" customHeight="1"/>
    <row r="9086" ht="15.75" customHeight="1"/>
    <row r="9087" ht="15.75" customHeight="1"/>
    <row r="9088" ht="15.75" customHeight="1"/>
    <row r="9089" ht="15.75" customHeight="1"/>
    <row r="9090" ht="15.75" customHeight="1"/>
    <row r="9091" ht="15.75" customHeight="1"/>
    <row r="9092" ht="15.75" customHeight="1"/>
    <row r="9093" ht="15.75" customHeight="1"/>
    <row r="9094" ht="15.75" customHeight="1"/>
    <row r="9095" ht="15.75" customHeight="1"/>
    <row r="9096" ht="15.75" customHeight="1"/>
    <row r="9097" ht="15.75" customHeight="1"/>
    <row r="9098" ht="15.75" customHeight="1"/>
    <row r="9099" ht="15.75" customHeight="1"/>
    <row r="9100" ht="15.75" customHeight="1"/>
    <row r="9101" ht="15.75" customHeight="1"/>
    <row r="9102" ht="15.75" customHeight="1"/>
    <row r="9103" ht="15.75" customHeight="1"/>
    <row r="9104" ht="15.75" customHeight="1"/>
    <row r="9105" ht="15.75" customHeight="1"/>
    <row r="9106" ht="15.75" customHeight="1"/>
    <row r="9107" ht="15.75" customHeight="1"/>
    <row r="9108" ht="15.75" customHeight="1"/>
    <row r="9109" ht="15.75" customHeight="1"/>
    <row r="9110" ht="15.75" customHeight="1"/>
    <row r="9111" ht="15.75" customHeight="1"/>
    <row r="9112" ht="15.75" customHeight="1"/>
    <row r="9113" ht="15.75" customHeight="1"/>
    <row r="9114" ht="15.75" customHeight="1"/>
    <row r="9115" ht="15.75" customHeight="1"/>
    <row r="9116" ht="15.75" customHeight="1"/>
    <row r="9117" ht="15.75" customHeight="1"/>
    <row r="9118" ht="15.75" customHeight="1"/>
    <row r="9119" ht="15.75" customHeight="1"/>
    <row r="9120" ht="15.75" customHeight="1"/>
    <row r="9121" ht="15.75" customHeight="1"/>
    <row r="9122" ht="15.75" customHeight="1"/>
    <row r="9123" ht="15.75" customHeight="1"/>
    <row r="9124" ht="15.75" customHeight="1"/>
    <row r="9125" ht="15.75" customHeight="1"/>
    <row r="9126" ht="15.75" customHeight="1"/>
    <row r="9127" ht="15.75" customHeight="1"/>
    <row r="9128" ht="15.75" customHeight="1"/>
    <row r="9129" ht="15.75" customHeight="1"/>
    <row r="9130" ht="15.75" customHeight="1"/>
    <row r="9131" ht="15.75" customHeight="1"/>
    <row r="9132" ht="15.75" customHeight="1"/>
    <row r="9133" ht="15.75" customHeight="1"/>
    <row r="9134" ht="15.75" customHeight="1"/>
    <row r="9135" ht="15.75" customHeight="1"/>
    <row r="9136" ht="15.75" customHeight="1"/>
    <row r="9137" ht="15.75" customHeight="1"/>
    <row r="9138" ht="15.75" customHeight="1"/>
    <row r="9139" ht="15.75" customHeight="1"/>
    <row r="9140" ht="15.75" customHeight="1"/>
    <row r="9141" ht="15.75" customHeight="1"/>
    <row r="9142" ht="15.75" customHeight="1"/>
    <row r="9143" ht="15.75" customHeight="1"/>
    <row r="9144" ht="15.75" customHeight="1"/>
    <row r="9145" ht="15.75" customHeight="1"/>
    <row r="9146" ht="15.75" customHeight="1"/>
    <row r="9147" ht="15.75" customHeight="1"/>
    <row r="9148" ht="15.75" customHeight="1"/>
    <row r="9149" ht="15.75" customHeight="1"/>
    <row r="9150" ht="15.75" customHeight="1"/>
    <row r="9151" ht="15.75" customHeight="1"/>
    <row r="9152" ht="15.75" customHeight="1"/>
    <row r="9153" ht="15.75" customHeight="1"/>
    <row r="9154" ht="15.75" customHeight="1"/>
    <row r="9155" ht="15.75" customHeight="1"/>
    <row r="9156" ht="15.75" customHeight="1"/>
    <row r="9157" ht="15.75" customHeight="1"/>
    <row r="9158" ht="15.75" customHeight="1"/>
    <row r="9159" ht="15.75" customHeight="1"/>
    <row r="9160" ht="15.75" customHeight="1"/>
    <row r="9161" ht="15.75" customHeight="1"/>
    <row r="9162" ht="15.75" customHeight="1"/>
    <row r="9163" ht="15.75" customHeight="1"/>
    <row r="9164" ht="15.75" customHeight="1"/>
    <row r="9165" ht="15.75" customHeight="1"/>
    <row r="9166" ht="15.75" customHeight="1"/>
    <row r="9167" ht="15.75" customHeight="1"/>
    <row r="9168" ht="15.75" customHeight="1"/>
    <row r="9169" ht="15.75" customHeight="1"/>
    <row r="9170" ht="15.75" customHeight="1"/>
    <row r="9171" ht="15.75" customHeight="1"/>
    <row r="9172" ht="15.75" customHeight="1"/>
    <row r="9173" ht="15.75" customHeight="1"/>
    <row r="9174" ht="15.75" customHeight="1"/>
    <row r="9175" ht="15.75" customHeight="1"/>
    <row r="9176" ht="15.75" customHeight="1"/>
    <row r="9177" ht="15.75" customHeight="1"/>
    <row r="9178" ht="15.75" customHeight="1"/>
    <row r="9179" ht="15.75" customHeight="1"/>
    <row r="9180" ht="15.75" customHeight="1"/>
    <row r="9181" ht="15.75" customHeight="1"/>
    <row r="9182" ht="15.75" customHeight="1"/>
    <row r="9183" ht="15.75" customHeight="1"/>
    <row r="9184" ht="15.75" customHeight="1"/>
    <row r="9185" ht="15.75" customHeight="1"/>
    <row r="9186" ht="15.75" customHeight="1"/>
    <row r="9187" ht="15.75" customHeight="1"/>
    <row r="9188" ht="15.75" customHeight="1"/>
    <row r="9189" ht="15.75" customHeight="1"/>
    <row r="9190" ht="15.75" customHeight="1"/>
    <row r="9191" ht="15.75" customHeight="1"/>
    <row r="9192" ht="15.75" customHeight="1"/>
    <row r="9193" ht="15.75" customHeight="1"/>
    <row r="9194" ht="15.75" customHeight="1"/>
    <row r="9195" ht="15.75" customHeight="1"/>
    <row r="9196" ht="15.75" customHeight="1"/>
    <row r="9197" ht="15.75" customHeight="1"/>
    <row r="9198" ht="15.75" customHeight="1"/>
    <row r="9199" ht="15.75" customHeight="1"/>
    <row r="9200" ht="15.75" customHeight="1"/>
    <row r="9201" ht="15.75" customHeight="1"/>
    <row r="9202" ht="15.75" customHeight="1"/>
    <row r="9203" ht="15.75" customHeight="1"/>
    <row r="9204" ht="15.75" customHeight="1"/>
    <row r="9205" ht="15.75" customHeight="1"/>
    <row r="9206" ht="15.75" customHeight="1"/>
    <row r="9207" ht="15.75" customHeight="1"/>
    <row r="9208" ht="15.75" customHeight="1"/>
    <row r="9209" ht="15.75" customHeight="1"/>
    <row r="9210" ht="15.75" customHeight="1"/>
    <row r="9211" ht="15.75" customHeight="1"/>
    <row r="9212" ht="15.75" customHeight="1"/>
    <row r="9213" ht="15.75" customHeight="1"/>
    <row r="9214" ht="15.75" customHeight="1"/>
    <row r="9215" ht="15.75" customHeight="1"/>
    <row r="9216" ht="15.75" customHeight="1"/>
    <row r="9217" ht="15.75" customHeight="1"/>
    <row r="9218" ht="15.75" customHeight="1"/>
    <row r="9219" ht="15.75" customHeight="1"/>
    <row r="9220" ht="15.75" customHeight="1"/>
    <row r="9221" ht="15.75" customHeight="1"/>
    <row r="9222" ht="15.75" customHeight="1"/>
    <row r="9223" ht="15.75" customHeight="1"/>
    <row r="9224" ht="15.75" customHeight="1"/>
    <row r="9225" ht="15.75" customHeight="1"/>
    <row r="9226" ht="15.75" customHeight="1"/>
    <row r="9227" ht="15.75" customHeight="1"/>
    <row r="9228" ht="15.75" customHeight="1"/>
    <row r="9229" ht="15.75" customHeight="1"/>
    <row r="9230" ht="15.75" customHeight="1"/>
    <row r="9231" ht="15.75" customHeight="1"/>
    <row r="9232" ht="15.75" customHeight="1"/>
    <row r="9233" ht="15.75" customHeight="1"/>
    <row r="9234" ht="15.75" customHeight="1"/>
    <row r="9235" ht="15.75" customHeight="1"/>
    <row r="9236" ht="15.75" customHeight="1"/>
    <row r="9237" ht="15.75" customHeight="1"/>
    <row r="9238" ht="15.75" customHeight="1"/>
    <row r="9239" ht="15.75" customHeight="1"/>
    <row r="9240" ht="15.75" customHeight="1"/>
    <row r="9241" ht="15.75" customHeight="1"/>
    <row r="9242" ht="15.75" customHeight="1"/>
    <row r="9243" ht="15.75" customHeight="1"/>
    <row r="9244" ht="15.75" customHeight="1"/>
    <row r="9245" ht="15.75" customHeight="1"/>
    <row r="9246" ht="15.75" customHeight="1"/>
    <row r="9247" ht="15.75" customHeight="1"/>
    <row r="9248" ht="15.75" customHeight="1"/>
    <row r="9249" ht="15.75" customHeight="1"/>
    <row r="9250" ht="15.75" customHeight="1"/>
    <row r="9251" ht="15.75" customHeight="1"/>
    <row r="9252" ht="15.75" customHeight="1"/>
    <row r="9253" ht="15.75" customHeight="1"/>
    <row r="9254" ht="15.75" customHeight="1"/>
    <row r="9255" ht="15.75" customHeight="1"/>
    <row r="9256" ht="15.75" customHeight="1"/>
    <row r="9257" ht="15.75" customHeight="1"/>
    <row r="9258" ht="15.75" customHeight="1"/>
    <row r="9259" ht="15.75" customHeight="1"/>
    <row r="9260" ht="15.75" customHeight="1"/>
    <row r="9261" ht="15.75" customHeight="1"/>
    <row r="9262" ht="15.75" customHeight="1"/>
    <row r="9263" ht="15.75" customHeight="1"/>
    <row r="9264" ht="15.75" customHeight="1"/>
    <row r="9265" ht="15.75" customHeight="1"/>
    <row r="9266" ht="15.75" customHeight="1"/>
    <row r="9267" ht="15.75" customHeight="1"/>
    <row r="9268" ht="15.75" customHeight="1"/>
    <row r="9269" ht="15.75" customHeight="1"/>
    <row r="9270" ht="15.75" customHeight="1"/>
    <row r="9271" ht="15.75" customHeight="1"/>
    <row r="9272" ht="15.75" customHeight="1"/>
    <row r="9273" ht="15.75" customHeight="1"/>
    <row r="9274" ht="15.75" customHeight="1"/>
    <row r="9275" ht="15.75" customHeight="1"/>
    <row r="9276" ht="15.75" customHeight="1"/>
    <row r="9277" ht="15.75" customHeight="1"/>
    <row r="9278" ht="15.75" customHeight="1"/>
    <row r="9279" ht="15.75" customHeight="1"/>
    <row r="9280" ht="15.75" customHeight="1"/>
    <row r="9281" ht="15.75" customHeight="1"/>
    <row r="9282" ht="15.75" customHeight="1"/>
    <row r="9283" ht="15.75" customHeight="1"/>
    <row r="9284" ht="15.75" customHeight="1"/>
    <row r="9285" ht="15.75" customHeight="1"/>
    <row r="9286" ht="15.75" customHeight="1"/>
    <row r="9287" ht="15.75" customHeight="1"/>
    <row r="9288" ht="15.75" customHeight="1"/>
    <row r="9289" ht="15.75" customHeight="1"/>
    <row r="9290" ht="15.75" customHeight="1"/>
    <row r="9291" ht="15.75" customHeight="1"/>
    <row r="9292" ht="15.75" customHeight="1"/>
    <row r="9293" ht="15.75" customHeight="1"/>
    <row r="9294" ht="15.75" customHeight="1"/>
    <row r="9295" ht="15.75" customHeight="1"/>
    <row r="9296" ht="15.75" customHeight="1"/>
    <row r="9297" ht="15.75" customHeight="1"/>
    <row r="9298" ht="15.75" customHeight="1"/>
    <row r="9299" ht="15.75" customHeight="1"/>
    <row r="9300" ht="15.75" customHeight="1"/>
    <row r="9301" ht="15.75" customHeight="1"/>
    <row r="9302" ht="15.75" customHeight="1"/>
    <row r="9303" ht="15.75" customHeight="1"/>
    <row r="9304" ht="15.75" customHeight="1"/>
    <row r="9305" ht="15.75" customHeight="1"/>
    <row r="9306" ht="15.75" customHeight="1"/>
    <row r="9307" ht="15.75" customHeight="1"/>
    <row r="9308" ht="15.75" customHeight="1"/>
    <row r="9309" ht="15.75" customHeight="1"/>
    <row r="9310" ht="15.75" customHeight="1"/>
    <row r="9311" ht="15.75" customHeight="1"/>
    <row r="9312" ht="15.75" customHeight="1"/>
    <row r="9313" ht="15.75" customHeight="1"/>
    <row r="9314" ht="15.75" customHeight="1"/>
    <row r="9315" ht="15.75" customHeight="1"/>
    <row r="9316" ht="15.75" customHeight="1"/>
    <row r="9317" ht="15.75" customHeight="1"/>
    <row r="9318" ht="15.75" customHeight="1"/>
    <row r="9319" ht="15.75" customHeight="1"/>
    <row r="9320" ht="15.75" customHeight="1"/>
    <row r="9321" ht="15.75" customHeight="1"/>
    <row r="9322" ht="15.75" customHeight="1"/>
    <row r="9323" ht="15.75" customHeight="1"/>
    <row r="9324" ht="15.75" customHeight="1"/>
    <row r="9325" ht="15.75" customHeight="1"/>
    <row r="9326" ht="15.75" customHeight="1"/>
    <row r="9327" ht="15.75" customHeight="1"/>
    <row r="9328" ht="15.75" customHeight="1"/>
    <row r="9329" ht="15.75" customHeight="1"/>
    <row r="9330" ht="15.75" customHeight="1"/>
    <row r="9331" ht="15.75" customHeight="1"/>
    <row r="9332" ht="15.75" customHeight="1"/>
    <row r="9333" ht="15.75" customHeight="1"/>
    <row r="9334" ht="15.75" customHeight="1"/>
    <row r="9335" ht="15.75" customHeight="1"/>
    <row r="9336" ht="15.75" customHeight="1"/>
    <row r="9337" ht="15.75" customHeight="1"/>
    <row r="9338" ht="15.75" customHeight="1"/>
    <row r="9339" ht="15.75" customHeight="1"/>
    <row r="9340" ht="15.75" customHeight="1"/>
    <row r="9341" ht="15.75" customHeight="1"/>
    <row r="9342" ht="15.75" customHeight="1"/>
    <row r="9343" ht="15.75" customHeight="1"/>
    <row r="9344" ht="15.75" customHeight="1"/>
    <row r="9345" ht="15.75" customHeight="1"/>
    <row r="9346" ht="15.75" customHeight="1"/>
    <row r="9347" ht="15.75" customHeight="1"/>
    <row r="9348" ht="15.75" customHeight="1"/>
    <row r="9349" ht="15.75" customHeight="1"/>
    <row r="9350" ht="15.75" customHeight="1"/>
    <row r="9351" ht="15.75" customHeight="1"/>
    <row r="9352" ht="15.75" customHeight="1"/>
    <row r="9353" ht="15.75" customHeight="1"/>
    <row r="9354" ht="15.75" customHeight="1"/>
    <row r="9355" ht="15.75" customHeight="1"/>
    <row r="9356" ht="15.75" customHeight="1"/>
    <row r="9357" ht="15.75" customHeight="1"/>
    <row r="9358" ht="15.75" customHeight="1"/>
    <row r="9359" ht="15.75" customHeight="1"/>
    <row r="9360" ht="15.75" customHeight="1"/>
    <row r="9361" ht="15.75" customHeight="1"/>
    <row r="9362" ht="15.75" customHeight="1"/>
    <row r="9363" ht="15.75" customHeight="1"/>
    <row r="9364" ht="15.75" customHeight="1"/>
    <row r="9365" ht="15.75" customHeight="1"/>
    <row r="9366" ht="15.75" customHeight="1"/>
    <row r="9367" ht="15.75" customHeight="1"/>
    <row r="9368" ht="15.75" customHeight="1"/>
    <row r="9369" ht="15.75" customHeight="1"/>
    <row r="9370" ht="15.75" customHeight="1"/>
    <row r="9371" ht="15.75" customHeight="1"/>
    <row r="9372" ht="15.75" customHeight="1"/>
    <row r="9373" ht="15.75" customHeight="1"/>
    <row r="9374" ht="15.75" customHeight="1"/>
    <row r="9375" ht="15.75" customHeight="1"/>
    <row r="9376" ht="15.75" customHeight="1"/>
    <row r="9377" ht="15.75" customHeight="1"/>
    <row r="9378" ht="15.75" customHeight="1"/>
    <row r="9379" ht="15.75" customHeight="1"/>
    <row r="9380" ht="15.75" customHeight="1"/>
    <row r="9381" ht="15.75" customHeight="1"/>
    <row r="9382" ht="15.75" customHeight="1"/>
    <row r="9383" ht="15.75" customHeight="1"/>
    <row r="9384" ht="15.75" customHeight="1"/>
    <row r="9385" ht="15.75" customHeight="1"/>
    <row r="9386" ht="15.75" customHeight="1"/>
    <row r="9387" ht="15.75" customHeight="1"/>
    <row r="9388" ht="15.75" customHeight="1"/>
    <row r="9389" ht="15.75" customHeight="1"/>
    <row r="9390" ht="15.75" customHeight="1"/>
    <row r="9391" ht="15.75" customHeight="1"/>
    <row r="9392" ht="15.75" customHeight="1"/>
    <row r="9393" ht="15.75" customHeight="1"/>
    <row r="9394" ht="15.75" customHeight="1"/>
    <row r="9395" ht="15.75" customHeight="1"/>
    <row r="9396" ht="15.75" customHeight="1"/>
    <row r="9397" ht="15.75" customHeight="1"/>
    <row r="9398" ht="15.75" customHeight="1"/>
    <row r="9399" ht="15.75" customHeight="1"/>
    <row r="9400" ht="15.75" customHeight="1"/>
    <row r="9401" ht="15.75" customHeight="1"/>
    <row r="9402" ht="15.75" customHeight="1"/>
    <row r="9403" ht="15.75" customHeight="1"/>
    <row r="9404" ht="15.75" customHeight="1"/>
    <row r="9405" ht="15.75" customHeight="1"/>
    <row r="9406" ht="15.75" customHeight="1"/>
    <row r="9407" ht="15.75" customHeight="1"/>
    <row r="9408" ht="15.75" customHeight="1"/>
    <row r="9409" ht="15.75" customHeight="1"/>
    <row r="9410" ht="15.75" customHeight="1"/>
    <row r="9411" ht="15.75" customHeight="1"/>
    <row r="9412" ht="15.75" customHeight="1"/>
    <row r="9413" ht="15.75" customHeight="1"/>
    <row r="9414" ht="15.75" customHeight="1"/>
    <row r="9415" ht="15.75" customHeight="1"/>
    <row r="9416" ht="15.75" customHeight="1"/>
    <row r="9417" ht="15.75" customHeight="1"/>
    <row r="9418" ht="15.75" customHeight="1"/>
    <row r="9419" ht="15.75" customHeight="1"/>
    <row r="9420" ht="15.75" customHeight="1"/>
    <row r="9421" ht="15.75" customHeight="1"/>
    <row r="9422" ht="15.75" customHeight="1"/>
    <row r="9423" ht="15.75" customHeight="1"/>
    <row r="9424" ht="15.75" customHeight="1"/>
    <row r="9425" ht="15.75" customHeight="1"/>
    <row r="9426" ht="15.75" customHeight="1"/>
    <row r="9427" ht="15.75" customHeight="1"/>
    <row r="9428" ht="15.75" customHeight="1"/>
    <row r="9429" ht="15.75" customHeight="1"/>
    <row r="9430" ht="15.75" customHeight="1"/>
    <row r="9431" ht="15.75" customHeight="1"/>
    <row r="9432" ht="15.75" customHeight="1"/>
    <row r="9433" ht="15.75" customHeight="1"/>
    <row r="9434" ht="15.75" customHeight="1"/>
    <row r="9435" ht="15.75" customHeight="1"/>
    <row r="9436" ht="15.75" customHeight="1"/>
    <row r="9437" ht="15.75" customHeight="1"/>
    <row r="9438" ht="15.75" customHeight="1"/>
    <row r="9439" ht="15.75" customHeight="1"/>
    <row r="9440" ht="15.75" customHeight="1"/>
    <row r="9441" ht="15.75" customHeight="1"/>
    <row r="9442" ht="15.75" customHeight="1"/>
    <row r="9443" ht="15.75" customHeight="1"/>
    <row r="9444" ht="15.75" customHeight="1"/>
    <row r="9445" ht="15.75" customHeight="1"/>
    <row r="9446" ht="15.75" customHeight="1"/>
    <row r="9447" ht="15.75" customHeight="1"/>
    <row r="9448" ht="15.75" customHeight="1"/>
    <row r="9449" ht="15.75" customHeight="1"/>
    <row r="9450" ht="15.75" customHeight="1"/>
    <row r="9451" ht="15.75" customHeight="1"/>
    <row r="9452" ht="15.75" customHeight="1"/>
    <row r="9453" ht="15.75" customHeight="1"/>
    <row r="9454" ht="15.75" customHeight="1"/>
    <row r="9455" ht="15.75" customHeight="1"/>
    <row r="9456" ht="15.75" customHeight="1"/>
    <row r="9457" ht="15.75" customHeight="1"/>
    <row r="9458" ht="15.75" customHeight="1"/>
    <row r="9459" ht="15.75" customHeight="1"/>
    <row r="9460" ht="15.75" customHeight="1"/>
    <row r="9461" ht="15.75" customHeight="1"/>
    <row r="9462" ht="15.75" customHeight="1"/>
    <row r="9463" ht="15.75" customHeight="1"/>
    <row r="9464" ht="15.75" customHeight="1"/>
    <row r="9465" ht="15.75" customHeight="1"/>
    <row r="9466" ht="15.75" customHeight="1"/>
    <row r="9467" ht="15.75" customHeight="1"/>
    <row r="9468" ht="15.75" customHeight="1"/>
    <row r="9469" ht="15.75" customHeight="1"/>
    <row r="9470" ht="15.75" customHeight="1"/>
    <row r="9471" ht="15.75" customHeight="1"/>
    <row r="9472" ht="15.75" customHeight="1"/>
    <row r="9473" ht="15.75" customHeight="1"/>
    <row r="9474" ht="15.75" customHeight="1"/>
    <row r="9475" ht="15.75" customHeight="1"/>
    <row r="9476" ht="15.75" customHeight="1"/>
    <row r="9477" ht="15.75" customHeight="1"/>
    <row r="9478" ht="15.75" customHeight="1"/>
    <row r="9479" ht="15.75" customHeight="1"/>
    <row r="9480" ht="15.75" customHeight="1"/>
    <row r="9481" ht="15.75" customHeight="1"/>
    <row r="9482" ht="15.75" customHeight="1"/>
    <row r="9483" ht="15.75" customHeight="1"/>
    <row r="9484" ht="15.75" customHeight="1"/>
    <row r="9485" ht="15.75" customHeight="1"/>
    <row r="9486" ht="15.75" customHeight="1"/>
    <row r="9487" ht="15.75" customHeight="1"/>
    <row r="9488" ht="15.75" customHeight="1"/>
    <row r="9489" ht="15.75" customHeight="1"/>
    <row r="9490" ht="15.75" customHeight="1"/>
    <row r="9491" ht="15.75" customHeight="1"/>
    <row r="9492" ht="15.75" customHeight="1"/>
    <row r="9493" ht="15.75" customHeight="1"/>
    <row r="9494" ht="15.75" customHeight="1"/>
    <row r="9495" ht="15.75" customHeight="1"/>
    <row r="9496" ht="15.75" customHeight="1"/>
    <row r="9497" ht="15.75" customHeight="1"/>
    <row r="9498" ht="15.75" customHeight="1"/>
    <row r="9499" ht="15.75" customHeight="1"/>
    <row r="9500" ht="15.75" customHeight="1"/>
    <row r="9501" ht="15.75" customHeight="1"/>
    <row r="9502" ht="15.75" customHeight="1"/>
    <row r="9503" ht="15.75" customHeight="1"/>
    <row r="9504" ht="15.75" customHeight="1"/>
    <row r="9505" ht="15.75" customHeight="1"/>
    <row r="9506" ht="15.75" customHeight="1"/>
    <row r="9507" ht="15.75" customHeight="1"/>
    <row r="9508" ht="15.75" customHeight="1"/>
    <row r="9509" ht="15.75" customHeight="1"/>
    <row r="9510" ht="15.75" customHeight="1"/>
    <row r="9511" ht="15.75" customHeight="1"/>
    <row r="9512" ht="15.75" customHeight="1"/>
    <row r="9513" ht="15.75" customHeight="1"/>
    <row r="9514" ht="15.75" customHeight="1"/>
    <row r="9515" ht="15.75" customHeight="1"/>
    <row r="9516" ht="15.75" customHeight="1"/>
    <row r="9517" ht="15.75" customHeight="1"/>
    <row r="9518" ht="15.75" customHeight="1"/>
    <row r="9519" ht="15.75" customHeight="1"/>
    <row r="9520" ht="15.75" customHeight="1"/>
    <row r="9521" ht="15.75" customHeight="1"/>
    <row r="9522" ht="15.75" customHeight="1"/>
    <row r="9523" ht="15.75" customHeight="1"/>
    <row r="9524" ht="15.75" customHeight="1"/>
    <row r="9525" ht="15.75" customHeight="1"/>
    <row r="9526" ht="15.75" customHeight="1"/>
    <row r="9527" ht="15.75" customHeight="1"/>
    <row r="9528" ht="15.75" customHeight="1"/>
    <row r="9529" ht="15.75" customHeight="1"/>
    <row r="9530" ht="15.75" customHeight="1"/>
    <row r="9531" ht="15.75" customHeight="1"/>
    <row r="9532" ht="15.75" customHeight="1"/>
    <row r="9533" ht="15.75" customHeight="1"/>
    <row r="9534" ht="15.75" customHeight="1"/>
    <row r="9535" ht="15.75" customHeight="1"/>
    <row r="9536" ht="15.75" customHeight="1"/>
    <row r="9537" ht="15.75" customHeight="1"/>
    <row r="9538" ht="15.75" customHeight="1"/>
    <row r="9539" ht="15.75" customHeight="1"/>
    <row r="9540" ht="15.75" customHeight="1"/>
    <row r="9541" ht="15.75" customHeight="1"/>
    <row r="9542" ht="15.75" customHeight="1"/>
    <row r="9543" ht="15.75" customHeight="1"/>
    <row r="9544" ht="15.75" customHeight="1"/>
    <row r="9545" ht="15.75" customHeight="1"/>
    <row r="9546" ht="15.75" customHeight="1"/>
    <row r="9547" ht="15.75" customHeight="1"/>
    <row r="9548" ht="15.75" customHeight="1"/>
    <row r="9549" ht="15.75" customHeight="1"/>
    <row r="9550" ht="15.75" customHeight="1"/>
    <row r="9551" ht="15.75" customHeight="1"/>
    <row r="9552" ht="15.75" customHeight="1"/>
    <row r="9553" ht="15.75" customHeight="1"/>
    <row r="9554" ht="15.75" customHeight="1"/>
    <row r="9555" ht="15.75" customHeight="1"/>
    <row r="9556" ht="15.75" customHeight="1"/>
    <row r="9557" ht="15.75" customHeight="1"/>
    <row r="9558" ht="15.75" customHeight="1"/>
    <row r="9559" ht="15.75" customHeight="1"/>
    <row r="9560" ht="15.75" customHeight="1"/>
    <row r="9561" ht="15.75" customHeight="1"/>
    <row r="9562" ht="15.75" customHeight="1"/>
    <row r="9563" ht="15.75" customHeight="1"/>
    <row r="9564" ht="15.75" customHeight="1"/>
    <row r="9565" ht="15.75" customHeight="1"/>
    <row r="9566" ht="15.75" customHeight="1"/>
    <row r="9567" ht="15.75" customHeight="1"/>
    <row r="9568" ht="15.75" customHeight="1"/>
    <row r="9569" ht="15.75" customHeight="1"/>
    <row r="9570" ht="15.75" customHeight="1"/>
    <row r="9571" ht="15.75" customHeight="1"/>
    <row r="9572" ht="15.75" customHeight="1"/>
    <row r="9573" ht="15.75" customHeight="1"/>
    <row r="9574" ht="15.75" customHeight="1"/>
    <row r="9575" ht="15.75" customHeight="1"/>
    <row r="9576" ht="15.75" customHeight="1"/>
    <row r="9577" ht="15.75" customHeight="1"/>
    <row r="9578" ht="15.75" customHeight="1"/>
    <row r="9579" ht="15.75" customHeight="1"/>
    <row r="9580" ht="15.75" customHeight="1"/>
    <row r="9581" ht="15.75" customHeight="1"/>
    <row r="9582" ht="15.75" customHeight="1"/>
    <row r="9583" ht="15.75" customHeight="1"/>
    <row r="9584" ht="15.75" customHeight="1"/>
    <row r="9585" ht="15.75" customHeight="1"/>
    <row r="9586" ht="15.75" customHeight="1"/>
    <row r="9587" ht="15.75" customHeight="1"/>
    <row r="9588" ht="15.75" customHeight="1"/>
    <row r="9589" ht="15.75" customHeight="1"/>
    <row r="9590" ht="15.75" customHeight="1"/>
    <row r="9591" ht="15.75" customHeight="1"/>
    <row r="9592" ht="15.75" customHeight="1"/>
    <row r="9593" ht="15.75" customHeight="1"/>
    <row r="9594" ht="15.75" customHeight="1"/>
    <row r="9595" ht="15.75" customHeight="1"/>
    <row r="9596" ht="15.75" customHeight="1"/>
    <row r="9597" ht="15.75" customHeight="1"/>
    <row r="9598" ht="15.75" customHeight="1"/>
    <row r="9599" ht="15.75" customHeight="1"/>
    <row r="9600" ht="15.75" customHeight="1"/>
    <row r="9601" ht="15.75" customHeight="1"/>
    <row r="9602" ht="15.75" customHeight="1"/>
    <row r="9603" ht="15.75" customHeight="1"/>
    <row r="9604" ht="15.75" customHeight="1"/>
    <row r="9605" ht="15.75" customHeight="1"/>
    <row r="9606" ht="15.75" customHeight="1"/>
    <row r="9607" ht="15.75" customHeight="1"/>
    <row r="9608" ht="15.75" customHeight="1"/>
    <row r="9609" ht="15.75" customHeight="1"/>
    <row r="9610" ht="15.75" customHeight="1"/>
    <row r="9611" ht="15.75" customHeight="1"/>
    <row r="9612" ht="15.75" customHeight="1"/>
    <row r="9613" ht="15.75" customHeight="1"/>
    <row r="9614" ht="15.75" customHeight="1"/>
    <row r="9615" ht="15.75" customHeight="1"/>
    <row r="9616" ht="15.75" customHeight="1"/>
    <row r="9617" ht="15.75" customHeight="1"/>
    <row r="9618" ht="15.75" customHeight="1"/>
    <row r="9619" ht="15.75" customHeight="1"/>
    <row r="9620" ht="15.75" customHeight="1"/>
    <row r="9621" ht="15.75" customHeight="1"/>
    <row r="9622" ht="15.75" customHeight="1"/>
    <row r="9623" ht="15.75" customHeight="1"/>
    <row r="9624" ht="15.75" customHeight="1"/>
    <row r="9625" ht="15.75" customHeight="1"/>
    <row r="9626" ht="15.75" customHeight="1"/>
    <row r="9627" ht="15.75" customHeight="1"/>
    <row r="9628" ht="15.75" customHeight="1"/>
    <row r="9629" ht="15.75" customHeight="1"/>
    <row r="9630" ht="15.75" customHeight="1"/>
    <row r="9631" ht="15.75" customHeight="1"/>
    <row r="9632" ht="15.75" customHeight="1"/>
    <row r="9633" ht="15.75" customHeight="1"/>
    <row r="9634" ht="15.75" customHeight="1"/>
    <row r="9635" ht="15.75" customHeight="1"/>
    <row r="9636" ht="15.75" customHeight="1"/>
    <row r="9637" ht="15.75" customHeight="1"/>
    <row r="9638" ht="15.75" customHeight="1"/>
    <row r="9639" ht="15.75" customHeight="1"/>
    <row r="9640" ht="15.75" customHeight="1"/>
    <row r="9641" ht="15.75" customHeight="1"/>
    <row r="9642" ht="15.75" customHeight="1"/>
    <row r="9643" ht="15.75" customHeight="1"/>
    <row r="9644" ht="15.75" customHeight="1"/>
    <row r="9645" ht="15.75" customHeight="1"/>
    <row r="9646" ht="15.75" customHeight="1"/>
    <row r="9647" ht="15.75" customHeight="1"/>
    <row r="9648" ht="15.75" customHeight="1"/>
    <row r="9649" ht="15.75" customHeight="1"/>
    <row r="9650" ht="15.75" customHeight="1"/>
    <row r="9651" ht="15.75" customHeight="1"/>
    <row r="9652" ht="15.75" customHeight="1"/>
    <row r="9653" ht="15.75" customHeight="1"/>
    <row r="9654" ht="15.75" customHeight="1"/>
    <row r="9655" ht="15.75" customHeight="1"/>
    <row r="9656" ht="15.75" customHeight="1"/>
    <row r="9657" ht="15.75" customHeight="1"/>
    <row r="9658" ht="15.75" customHeight="1"/>
    <row r="9659" ht="15.75" customHeight="1"/>
    <row r="9660" ht="15.75" customHeight="1"/>
    <row r="9661" ht="15.75" customHeight="1"/>
    <row r="9662" ht="15.75" customHeight="1"/>
    <row r="9663" ht="15.75" customHeight="1"/>
    <row r="9664" ht="15.75" customHeight="1"/>
    <row r="9665" ht="15.75" customHeight="1"/>
    <row r="9666" ht="15.75" customHeight="1"/>
    <row r="9667" ht="15.75" customHeight="1"/>
    <row r="9668" ht="15.75" customHeight="1"/>
    <row r="9669" ht="15.75" customHeight="1"/>
    <row r="9670" ht="15.75" customHeight="1"/>
    <row r="9671" ht="15.75" customHeight="1"/>
    <row r="9672" ht="15.75" customHeight="1"/>
    <row r="9673" ht="15.75" customHeight="1"/>
    <row r="9674" ht="15.75" customHeight="1"/>
    <row r="9675" ht="15.75" customHeight="1"/>
    <row r="9676" ht="15.75" customHeight="1"/>
    <row r="9677" ht="15.75" customHeight="1"/>
    <row r="9678" ht="15.75" customHeight="1"/>
    <row r="9679" ht="15.75" customHeight="1"/>
    <row r="9680" ht="15.75" customHeight="1"/>
    <row r="9681" ht="15.75" customHeight="1"/>
    <row r="9682" ht="15.75" customHeight="1"/>
    <row r="9683" ht="15.75" customHeight="1"/>
    <row r="9684" ht="15.75" customHeight="1"/>
    <row r="9685" ht="15.75" customHeight="1"/>
    <row r="9686" ht="15.75" customHeight="1"/>
    <row r="9687" ht="15.75" customHeight="1"/>
    <row r="9688" ht="15.75" customHeight="1"/>
    <row r="9689" ht="15.75" customHeight="1"/>
    <row r="9690" ht="15.75" customHeight="1"/>
    <row r="9691" ht="15.75" customHeight="1"/>
    <row r="9692" ht="15.75" customHeight="1"/>
    <row r="9693" ht="15.75" customHeight="1"/>
    <row r="9694" ht="15.75" customHeight="1"/>
    <row r="9695" ht="15.75" customHeight="1"/>
    <row r="9696" ht="15.75" customHeight="1"/>
    <row r="9697" ht="15.75" customHeight="1"/>
    <row r="9698" ht="15.75" customHeight="1"/>
    <row r="9699" ht="15.75" customHeight="1"/>
    <row r="9700" ht="15.75" customHeight="1"/>
    <row r="9701" ht="15.75" customHeight="1"/>
    <row r="9702" ht="15.75" customHeight="1"/>
    <row r="9703" ht="15.75" customHeight="1"/>
    <row r="9704" ht="15.75" customHeight="1"/>
    <row r="9705" ht="15.75" customHeight="1"/>
    <row r="9706" ht="15.75" customHeight="1"/>
    <row r="9707" ht="15.75" customHeight="1"/>
    <row r="9708" ht="15.75" customHeight="1"/>
    <row r="9709" ht="15.75" customHeight="1"/>
    <row r="9710" ht="15.75" customHeight="1"/>
    <row r="9711" ht="15.75" customHeight="1"/>
    <row r="9712" ht="15.75" customHeight="1"/>
    <row r="9713" ht="15.75" customHeight="1"/>
    <row r="9714" ht="15.75" customHeight="1"/>
    <row r="9715" ht="15.75" customHeight="1"/>
    <row r="9716" ht="15.75" customHeight="1"/>
    <row r="9717" ht="15.75" customHeight="1"/>
    <row r="9718" ht="15.75" customHeight="1"/>
    <row r="9719" ht="15.75" customHeight="1"/>
    <row r="9720" ht="15.75" customHeight="1"/>
    <row r="9721" ht="15.75" customHeight="1"/>
    <row r="9722" ht="15.75" customHeight="1"/>
    <row r="9723" ht="15.75" customHeight="1"/>
    <row r="9724" ht="15.75" customHeight="1"/>
    <row r="9725" ht="15.75" customHeight="1"/>
    <row r="9726" ht="15.75" customHeight="1"/>
    <row r="9727" ht="15.75" customHeight="1"/>
    <row r="9728" ht="15.75" customHeight="1"/>
    <row r="9729" ht="15.75" customHeight="1"/>
    <row r="9730" ht="15.75" customHeight="1"/>
    <row r="9731" ht="15.75" customHeight="1"/>
    <row r="9732" ht="15.75" customHeight="1"/>
    <row r="9733" ht="15.75" customHeight="1"/>
    <row r="9734" ht="15.75" customHeight="1"/>
    <row r="9735" ht="15.75" customHeight="1"/>
    <row r="9736" ht="15.75" customHeight="1"/>
    <row r="9737" ht="15.75" customHeight="1"/>
    <row r="9738" ht="15.75" customHeight="1"/>
    <row r="9739" ht="15.75" customHeight="1"/>
    <row r="9740" ht="15.75" customHeight="1"/>
    <row r="9741" ht="15.75" customHeight="1"/>
    <row r="9742" ht="15.75" customHeight="1"/>
    <row r="9743" ht="15.75" customHeight="1"/>
    <row r="9744" ht="15.75" customHeight="1"/>
    <row r="9745" ht="15.75" customHeight="1"/>
    <row r="9746" ht="15.75" customHeight="1"/>
    <row r="9747" ht="15.75" customHeight="1"/>
    <row r="9748" ht="15.75" customHeight="1"/>
    <row r="9749" ht="15.75" customHeight="1"/>
    <row r="9750" ht="15.75" customHeight="1"/>
    <row r="9751" ht="15.75" customHeight="1"/>
    <row r="9752" ht="15.75" customHeight="1"/>
    <row r="9753" ht="15.75" customHeight="1"/>
    <row r="9754" ht="15.75" customHeight="1"/>
    <row r="9755" ht="15.75" customHeight="1"/>
    <row r="9756" ht="15.75" customHeight="1"/>
    <row r="9757" ht="15.75" customHeight="1"/>
    <row r="9758" ht="15.75" customHeight="1"/>
    <row r="9759" ht="15.75" customHeight="1"/>
    <row r="9760" ht="15.75" customHeight="1"/>
    <row r="9761" ht="15.75" customHeight="1"/>
    <row r="9762" ht="15.75" customHeight="1"/>
    <row r="9763" ht="15.75" customHeight="1"/>
    <row r="9764" ht="15.75" customHeight="1"/>
    <row r="9765" ht="15.75" customHeight="1"/>
    <row r="9766" ht="15.75" customHeight="1"/>
    <row r="9767" ht="15.75" customHeight="1"/>
    <row r="9768" ht="15.75" customHeight="1"/>
    <row r="9769" ht="15.75" customHeight="1"/>
    <row r="9770" ht="15.75" customHeight="1"/>
    <row r="9771" ht="15.75" customHeight="1"/>
    <row r="9772" ht="15.75" customHeight="1"/>
    <row r="9773" ht="15.75" customHeight="1"/>
    <row r="9774" ht="15.75" customHeight="1"/>
    <row r="9775" ht="15.75" customHeight="1"/>
    <row r="9776" ht="15.75" customHeight="1"/>
    <row r="9777" ht="15.75" customHeight="1"/>
    <row r="9778" ht="15.75" customHeight="1"/>
    <row r="9779" ht="15.75" customHeight="1"/>
    <row r="9780" ht="15.75" customHeight="1"/>
    <row r="9781" ht="15.75" customHeight="1"/>
    <row r="9782" ht="15.75" customHeight="1"/>
    <row r="9783" ht="15.75" customHeight="1"/>
    <row r="9784" ht="15.75" customHeight="1"/>
    <row r="9785" ht="15.75" customHeight="1"/>
    <row r="9786" ht="15.75" customHeight="1"/>
    <row r="9787" ht="15.75" customHeight="1"/>
    <row r="9788" ht="15.75" customHeight="1"/>
    <row r="9789" ht="15.75" customHeight="1"/>
    <row r="9790" ht="15.75" customHeight="1"/>
    <row r="9791" ht="15.75" customHeight="1"/>
    <row r="9792" ht="15.75" customHeight="1"/>
    <row r="9793" ht="15.75" customHeight="1"/>
    <row r="9794" ht="15.75" customHeight="1"/>
    <row r="9795" ht="15.75" customHeight="1"/>
    <row r="9796" ht="15.75" customHeight="1"/>
    <row r="9797" ht="15.75" customHeight="1"/>
    <row r="9798" ht="15.75" customHeight="1"/>
    <row r="9799" ht="15.75" customHeight="1"/>
    <row r="9800" ht="15.75" customHeight="1"/>
    <row r="9801" ht="15.75" customHeight="1"/>
    <row r="9802" ht="15.75" customHeight="1"/>
    <row r="9803" ht="15.75" customHeight="1"/>
    <row r="9804" ht="15.75" customHeight="1"/>
    <row r="9805" ht="15.75" customHeight="1"/>
    <row r="9806" ht="15.75" customHeight="1"/>
    <row r="9807" ht="15.75" customHeight="1"/>
    <row r="9808" ht="15.75" customHeight="1"/>
    <row r="9809" ht="15.75" customHeight="1"/>
    <row r="9810" ht="15.75" customHeight="1"/>
    <row r="9811" ht="15.75" customHeight="1"/>
    <row r="9812" ht="15.75" customHeight="1"/>
    <row r="9813" ht="15.75" customHeight="1"/>
    <row r="9814" ht="15.75" customHeight="1"/>
    <row r="9815" ht="15.75" customHeight="1"/>
    <row r="9816" ht="15.75" customHeight="1"/>
    <row r="9817" ht="15.75" customHeight="1"/>
    <row r="9818" ht="15.75" customHeight="1"/>
    <row r="9819" ht="15.75" customHeight="1"/>
    <row r="9820" ht="15.75" customHeight="1"/>
    <row r="9821" ht="15.75" customHeight="1"/>
    <row r="9822" ht="15.75" customHeight="1"/>
    <row r="9823" ht="15.75" customHeight="1"/>
    <row r="9824" ht="15.75" customHeight="1"/>
    <row r="9825" ht="15.75" customHeight="1"/>
    <row r="9826" ht="15.75" customHeight="1"/>
    <row r="9827" ht="15.75" customHeight="1"/>
    <row r="9828" ht="15.75" customHeight="1"/>
    <row r="9829" ht="15.75" customHeight="1"/>
    <row r="9830" ht="15.75" customHeight="1"/>
    <row r="9831" ht="15.75" customHeight="1"/>
    <row r="9832" ht="15.75" customHeight="1"/>
    <row r="9833" ht="15.75" customHeight="1"/>
    <row r="9834" ht="15.75" customHeight="1"/>
    <row r="9835" ht="15.75" customHeight="1"/>
    <row r="9836" ht="15.75" customHeight="1"/>
    <row r="9837" ht="15.75" customHeight="1"/>
    <row r="9838" ht="15.75" customHeight="1"/>
    <row r="9839" ht="15.75" customHeight="1"/>
    <row r="9840" ht="15.75" customHeight="1"/>
    <row r="9841" ht="15.75" customHeight="1"/>
    <row r="9842" ht="15.75" customHeight="1"/>
    <row r="9843" ht="15.75" customHeight="1"/>
    <row r="9844" ht="15.75" customHeight="1"/>
    <row r="9845" ht="15.75" customHeight="1"/>
    <row r="9846" ht="15.75" customHeight="1"/>
    <row r="9847" ht="15.75" customHeight="1"/>
    <row r="9848" ht="15.75" customHeight="1"/>
    <row r="9849" ht="15.75" customHeight="1"/>
    <row r="9850" ht="15.75" customHeight="1"/>
    <row r="9851" ht="15.75" customHeight="1"/>
    <row r="9852" ht="15.75" customHeight="1"/>
    <row r="9853" ht="15.75" customHeight="1"/>
    <row r="9854" ht="15.75" customHeight="1"/>
    <row r="9855" ht="15.75" customHeight="1"/>
    <row r="9856" ht="15.75" customHeight="1"/>
    <row r="9857" ht="15.75" customHeight="1"/>
    <row r="9858" ht="15.75" customHeight="1"/>
    <row r="9859" ht="15.75" customHeight="1"/>
    <row r="9860" ht="15.75" customHeight="1"/>
    <row r="9861" ht="15.75" customHeight="1"/>
    <row r="9862" ht="15.75" customHeight="1"/>
    <row r="9863" ht="15.75" customHeight="1"/>
    <row r="9864" ht="15.75" customHeight="1"/>
    <row r="9865" ht="15.75" customHeight="1"/>
    <row r="9866" ht="15.75" customHeight="1"/>
    <row r="9867" ht="15.75" customHeight="1"/>
    <row r="9868" ht="15.75" customHeight="1"/>
    <row r="9869" ht="15.75" customHeight="1"/>
    <row r="9870" ht="15.75" customHeight="1"/>
    <row r="9871" ht="15.75" customHeight="1"/>
    <row r="9872" ht="15.75" customHeight="1"/>
    <row r="9873" ht="15.75" customHeight="1"/>
    <row r="9874" ht="15.75" customHeight="1"/>
    <row r="9875" ht="15.75" customHeight="1"/>
    <row r="9876" ht="15.75" customHeight="1"/>
    <row r="9877" ht="15.75" customHeight="1"/>
    <row r="9878" ht="15.75" customHeight="1"/>
    <row r="9879" ht="15.75" customHeight="1"/>
    <row r="9880" ht="15.75" customHeight="1"/>
    <row r="9881" ht="15.75" customHeight="1"/>
    <row r="9882" ht="15.75" customHeight="1"/>
    <row r="9883" ht="15.75" customHeight="1"/>
    <row r="9884" ht="15.75" customHeight="1"/>
    <row r="9885" ht="15.75" customHeight="1"/>
    <row r="9886" ht="15.75" customHeight="1"/>
    <row r="9887" ht="15.75" customHeight="1"/>
    <row r="9888" ht="15.75" customHeight="1"/>
    <row r="9889" ht="15.75" customHeight="1"/>
    <row r="9890" ht="15.75" customHeight="1"/>
    <row r="9891" ht="15.75" customHeight="1"/>
    <row r="9892" ht="15.75" customHeight="1"/>
    <row r="9893" ht="15.75" customHeight="1"/>
    <row r="9894" ht="15.75" customHeight="1"/>
    <row r="9895" ht="15.75" customHeight="1"/>
    <row r="9896" ht="15.75" customHeight="1"/>
    <row r="9897" ht="15.75" customHeight="1"/>
    <row r="9898" ht="15.75" customHeight="1"/>
    <row r="9899" ht="15.75" customHeight="1"/>
    <row r="9900" ht="15.75" customHeight="1"/>
    <row r="9901" ht="15.75" customHeight="1"/>
    <row r="9902" ht="15.75" customHeight="1"/>
    <row r="9903" ht="15.75" customHeight="1"/>
    <row r="9904" ht="15.75" customHeight="1"/>
    <row r="9905" ht="15.75" customHeight="1"/>
    <row r="9906" ht="15.75" customHeight="1"/>
    <row r="9907" ht="15.75" customHeight="1"/>
    <row r="9908" ht="15.75" customHeight="1"/>
    <row r="9909" ht="15.75" customHeight="1"/>
    <row r="9910" ht="15.75" customHeight="1"/>
    <row r="9911" ht="15.75" customHeight="1"/>
    <row r="9912" ht="15.75" customHeight="1"/>
    <row r="9913" ht="15.75" customHeight="1"/>
    <row r="9914" ht="15.75" customHeight="1"/>
    <row r="9915" ht="15.75" customHeight="1"/>
    <row r="9916" ht="15.75" customHeight="1"/>
    <row r="9917" ht="15.75" customHeight="1"/>
    <row r="9918" ht="15.75" customHeight="1"/>
    <row r="9919" ht="15.75" customHeight="1"/>
    <row r="9920" ht="15.75" customHeight="1"/>
    <row r="9921" ht="15.75" customHeight="1"/>
    <row r="9922" ht="15.75" customHeight="1"/>
    <row r="9923" ht="15.75" customHeight="1"/>
    <row r="9924" ht="15.75" customHeight="1"/>
    <row r="9925" ht="15.75" customHeight="1"/>
    <row r="9926" ht="15.75" customHeight="1"/>
    <row r="9927" ht="15.75" customHeight="1"/>
    <row r="9928" ht="15.75" customHeight="1"/>
    <row r="9929" ht="15.75" customHeight="1"/>
    <row r="9930" ht="15.75" customHeight="1"/>
    <row r="9931" ht="15.75" customHeight="1"/>
    <row r="9932" ht="15.75" customHeight="1"/>
    <row r="9933" ht="15.75" customHeight="1"/>
    <row r="9934" ht="15.75" customHeight="1"/>
    <row r="9935" ht="15.75" customHeight="1"/>
    <row r="9936" ht="15.75" customHeight="1"/>
    <row r="9937" ht="15.75" customHeight="1"/>
    <row r="9938" ht="15.75" customHeight="1"/>
    <row r="9939" ht="15.75" customHeight="1"/>
    <row r="9940" ht="15.75" customHeight="1"/>
    <row r="9941" ht="15.75" customHeight="1"/>
    <row r="9942" ht="15.75" customHeight="1"/>
    <row r="9943" ht="15.75" customHeight="1"/>
    <row r="9944" ht="15.75" customHeight="1"/>
    <row r="9945" ht="15.75" customHeight="1"/>
    <row r="9946" ht="15.75" customHeight="1"/>
    <row r="9947" ht="15.75" customHeight="1"/>
    <row r="9948" ht="15.75" customHeight="1"/>
    <row r="9949" ht="15.75" customHeight="1"/>
    <row r="9950" ht="15.75" customHeight="1"/>
    <row r="9951" ht="15.75" customHeight="1"/>
    <row r="9952" ht="15.75" customHeight="1"/>
    <row r="9953" ht="15.75" customHeight="1"/>
    <row r="9954" ht="15.75" customHeight="1"/>
    <row r="9955" ht="15.75" customHeight="1"/>
    <row r="9956" ht="15.75" customHeight="1"/>
    <row r="9957" ht="15.75" customHeight="1"/>
    <row r="9958" ht="15.75" customHeight="1"/>
    <row r="9959" ht="15.75" customHeight="1"/>
    <row r="9960" ht="15.75" customHeight="1"/>
    <row r="9961" ht="15.75" customHeight="1"/>
    <row r="9962" ht="15.75" customHeight="1"/>
    <row r="9963" ht="15.75" customHeight="1"/>
    <row r="9964" ht="15.75" customHeight="1"/>
    <row r="9965" ht="15.75" customHeight="1"/>
    <row r="9966" ht="15.75" customHeight="1"/>
    <row r="9967" ht="15.75" customHeight="1"/>
    <row r="9968" ht="15.75" customHeight="1"/>
    <row r="9969" ht="15.75" customHeight="1"/>
    <row r="9970" ht="15.75" customHeight="1"/>
    <row r="9971" ht="15.75" customHeight="1"/>
    <row r="9972" ht="15.75" customHeight="1"/>
    <row r="9973" ht="15.75" customHeight="1"/>
    <row r="9974" ht="15.75" customHeight="1"/>
    <row r="9975" ht="15.75" customHeight="1"/>
    <row r="9976" ht="15.75" customHeight="1"/>
    <row r="9977" ht="15.75" customHeight="1"/>
    <row r="9978" ht="15.75" customHeight="1"/>
    <row r="9979" ht="15.75" customHeight="1"/>
    <row r="9980" ht="15.75" customHeight="1"/>
    <row r="9981" ht="15.75" customHeight="1"/>
    <row r="9982" ht="15.75" customHeight="1"/>
    <row r="9983" ht="15.75" customHeight="1"/>
    <row r="9984" ht="15.75" customHeight="1"/>
    <row r="9985" ht="15.75" customHeight="1"/>
    <row r="9986" ht="15.75" customHeight="1"/>
    <row r="9987" ht="15.75" customHeight="1"/>
    <row r="9988" ht="15.75" customHeight="1"/>
    <row r="9989" ht="15.75" customHeight="1"/>
    <row r="9990" ht="15.75" customHeight="1"/>
    <row r="9991" ht="15.75" customHeight="1"/>
    <row r="9992" ht="15.75" customHeight="1"/>
    <row r="9993" ht="15.75" customHeight="1"/>
    <row r="9994" ht="15.75" customHeight="1"/>
    <row r="9995" ht="15.75" customHeight="1"/>
    <row r="9996" ht="15.75" customHeight="1"/>
    <row r="9997" ht="15.75" customHeight="1"/>
    <row r="9998" ht="15.75" customHeight="1"/>
    <row r="9999" ht="15.75" customHeight="1"/>
    <row r="10000" ht="15.75" customHeight="1"/>
    <row r="10001" ht="15.75" customHeight="1"/>
    <row r="10002" ht="15.75" customHeight="1"/>
    <row r="10003" ht="15.75" customHeight="1"/>
    <row r="10004" ht="15.75" customHeight="1"/>
    <row r="10005" ht="15.75" customHeight="1"/>
    <row r="10006" ht="15.75" customHeight="1"/>
    <row r="10007" ht="15.75" customHeight="1"/>
    <row r="10008" ht="15.75" customHeight="1"/>
    <row r="10009" ht="15.75" customHeight="1"/>
    <row r="10010" ht="15.75" customHeight="1"/>
    <row r="10011" ht="15.75" customHeight="1"/>
    <row r="10012" ht="15.75" customHeight="1"/>
    <row r="10013" ht="15.75" customHeight="1"/>
    <row r="10014" ht="15.75" customHeight="1"/>
    <row r="10015" ht="15.75" customHeight="1"/>
    <row r="10016" ht="15.75" customHeight="1"/>
    <row r="10017" ht="15.75" customHeight="1"/>
    <row r="10018" ht="15.75" customHeight="1"/>
    <row r="10019" ht="15.75" customHeight="1"/>
    <row r="10020" ht="15.75" customHeight="1"/>
    <row r="10021" ht="15.75" customHeight="1"/>
    <row r="10022" ht="15.75" customHeight="1"/>
    <row r="10023" ht="15.75" customHeight="1"/>
    <row r="10024" ht="15.75" customHeight="1"/>
    <row r="10025" ht="15.75" customHeight="1"/>
    <row r="10026" ht="15.75" customHeight="1"/>
    <row r="10027" ht="15.75" customHeight="1"/>
    <row r="10028" ht="15.75" customHeight="1"/>
    <row r="10029" ht="15.75" customHeight="1"/>
    <row r="10030" ht="15.75" customHeight="1"/>
    <row r="10031" ht="15.75" customHeight="1"/>
    <row r="10032" ht="15.75" customHeight="1"/>
    <row r="10033" ht="15.75" customHeight="1"/>
    <row r="10034" ht="15.75" customHeight="1"/>
    <row r="10035" ht="15.75" customHeight="1"/>
    <row r="10036" ht="15.75" customHeight="1"/>
    <row r="10037" ht="15.75" customHeight="1"/>
    <row r="10038" ht="15.75" customHeight="1"/>
    <row r="10039" ht="15.75" customHeight="1"/>
    <row r="10040" ht="15.75" customHeight="1"/>
    <row r="10041" ht="15.75" customHeight="1"/>
    <row r="10042" ht="15.75" customHeight="1"/>
    <row r="10043" ht="15.75" customHeight="1"/>
    <row r="10044" ht="15.75" customHeight="1"/>
    <row r="10045" ht="15.75" customHeight="1"/>
    <row r="10046" ht="15.75" customHeight="1"/>
    <row r="10047" ht="15.75" customHeight="1"/>
    <row r="10048" ht="15.75" customHeight="1"/>
    <row r="10049" ht="15.75" customHeight="1"/>
    <row r="10050" ht="15.75" customHeight="1"/>
    <row r="10051" ht="15.75" customHeight="1"/>
    <row r="10052" ht="15.75" customHeight="1"/>
    <row r="10053" ht="15.75" customHeight="1"/>
    <row r="10054" ht="15.75" customHeight="1"/>
    <row r="10055" ht="15.75" customHeight="1"/>
    <row r="10056" ht="15.75" customHeight="1"/>
    <row r="10057" ht="15.75" customHeight="1"/>
    <row r="10058" ht="15.75" customHeight="1"/>
    <row r="10059" ht="15.75" customHeight="1"/>
    <row r="10060" ht="15.75" customHeight="1"/>
    <row r="10061" ht="15.75" customHeight="1"/>
    <row r="10062" ht="15.75" customHeight="1"/>
    <row r="10063" ht="15.75" customHeight="1"/>
    <row r="10064" ht="15.75" customHeight="1"/>
    <row r="10065" ht="15.75" customHeight="1"/>
    <row r="10066" ht="15.75" customHeight="1"/>
    <row r="10067" ht="15.75" customHeight="1"/>
    <row r="10068" ht="15.75" customHeight="1"/>
    <row r="10069" ht="15.75" customHeight="1"/>
    <row r="10070" ht="15.75" customHeight="1"/>
    <row r="10071" ht="15.75" customHeight="1"/>
    <row r="10072" ht="15.75" customHeight="1"/>
    <row r="10073" ht="15.75" customHeight="1"/>
    <row r="10074" ht="15.75" customHeight="1"/>
    <row r="10075" ht="15.75" customHeight="1"/>
    <row r="10076" ht="15.75" customHeight="1"/>
    <row r="10077" ht="15.75" customHeight="1"/>
    <row r="10078" ht="15.75" customHeight="1"/>
    <row r="10079" ht="15.75" customHeight="1"/>
    <row r="10080" ht="15.75" customHeight="1"/>
    <row r="10081" ht="15.75" customHeight="1"/>
    <row r="10082" ht="15.75" customHeight="1"/>
    <row r="10083" ht="15.75" customHeight="1"/>
    <row r="10084" ht="15.75" customHeight="1"/>
    <row r="10085" ht="15.75" customHeight="1"/>
    <row r="10086" ht="15.75" customHeight="1"/>
    <row r="10087" ht="15.75" customHeight="1"/>
    <row r="10088" ht="15.75" customHeight="1"/>
    <row r="10089" ht="15.75" customHeight="1"/>
    <row r="10090" ht="15.75" customHeight="1"/>
    <row r="10091" ht="15.75" customHeight="1"/>
    <row r="10092" ht="15.75" customHeight="1"/>
    <row r="10093" ht="15.75" customHeight="1"/>
    <row r="10094" ht="15.75" customHeight="1"/>
    <row r="10095" ht="15.75" customHeight="1"/>
    <row r="10096" ht="15.75" customHeight="1"/>
    <row r="10097" ht="15.75" customHeight="1"/>
    <row r="10098" ht="15.75" customHeight="1"/>
    <row r="10099" ht="15.75" customHeight="1"/>
    <row r="10100" ht="15.75" customHeight="1"/>
    <row r="10101" ht="15.75" customHeight="1"/>
    <row r="10102" ht="15.75" customHeight="1"/>
    <row r="10103" ht="15.75" customHeight="1"/>
    <row r="10104" ht="15.75" customHeight="1"/>
    <row r="10105" ht="15.75" customHeight="1"/>
    <row r="10106" ht="15.75" customHeight="1"/>
    <row r="10107" ht="15.75" customHeight="1"/>
    <row r="10108" ht="15.75" customHeight="1"/>
    <row r="10109" ht="15.75" customHeight="1"/>
    <row r="10110" ht="15.75" customHeight="1"/>
    <row r="10111" ht="15.75" customHeight="1"/>
    <row r="10112" ht="15.75" customHeight="1"/>
    <row r="10113" ht="15.75" customHeight="1"/>
    <row r="10114" ht="15.75" customHeight="1"/>
    <row r="10115" ht="15.75" customHeight="1"/>
    <row r="10116" ht="15.75" customHeight="1"/>
    <row r="10117" ht="15.75" customHeight="1"/>
    <row r="10118" ht="15.75" customHeight="1"/>
    <row r="10119" ht="15.75" customHeight="1"/>
    <row r="10120" ht="15.75" customHeight="1"/>
    <row r="10121" ht="15.75" customHeight="1"/>
    <row r="10122" ht="15.75" customHeight="1"/>
    <row r="10123" ht="15.75" customHeight="1"/>
    <row r="10124" ht="15.75" customHeight="1"/>
    <row r="10125" ht="15.75" customHeight="1"/>
    <row r="10126" ht="15.75" customHeight="1"/>
    <row r="10127" ht="15.75" customHeight="1"/>
    <row r="10128" ht="15.75" customHeight="1"/>
    <row r="10129" ht="15.75" customHeight="1"/>
    <row r="10130" ht="15.75" customHeight="1"/>
    <row r="10131" ht="15.75" customHeight="1"/>
    <row r="10132" ht="15.75" customHeight="1"/>
    <row r="10133" ht="15.75" customHeight="1"/>
    <row r="10134" ht="15.75" customHeight="1"/>
    <row r="10135" ht="15.75" customHeight="1"/>
    <row r="10136" ht="15.75" customHeight="1"/>
    <row r="10137" ht="15.75" customHeight="1"/>
    <row r="10138" ht="15.75" customHeight="1"/>
    <row r="10139" ht="15.75" customHeight="1"/>
    <row r="10140" ht="15.75" customHeight="1"/>
    <row r="10141" ht="15.75" customHeight="1"/>
    <row r="10142" ht="15.75" customHeight="1"/>
    <row r="10143" ht="15.75" customHeight="1"/>
    <row r="10144" ht="15.75" customHeight="1"/>
    <row r="10145" ht="15.75" customHeight="1"/>
    <row r="10146" ht="15.75" customHeight="1"/>
    <row r="10147" ht="15.75" customHeight="1"/>
    <row r="10148" ht="15.75" customHeight="1"/>
    <row r="10149" ht="15.75" customHeight="1"/>
    <row r="10150" ht="15.75" customHeight="1"/>
    <row r="10151" ht="15.75" customHeight="1"/>
    <row r="10152" ht="15.75" customHeight="1"/>
    <row r="10153" ht="15.75" customHeight="1"/>
    <row r="10154" ht="15.75" customHeight="1"/>
    <row r="10155" ht="15.75" customHeight="1"/>
    <row r="10156" ht="15.75" customHeight="1"/>
    <row r="10157" ht="15.75" customHeight="1"/>
    <row r="10158" ht="15.75" customHeight="1"/>
    <row r="10159" ht="15.75" customHeight="1"/>
    <row r="10160" ht="15.75" customHeight="1"/>
    <row r="10161" ht="15.75" customHeight="1"/>
    <row r="10162" ht="15.75" customHeight="1"/>
    <row r="10163" ht="15.75" customHeight="1"/>
    <row r="10164" ht="15.75" customHeight="1"/>
    <row r="10165" ht="15.75" customHeight="1"/>
    <row r="10166" ht="15.75" customHeight="1"/>
    <row r="10167" ht="15.75" customHeight="1"/>
    <row r="10168" ht="15.75" customHeight="1"/>
    <row r="10169" ht="15.75" customHeight="1"/>
    <row r="10170" ht="15.75" customHeight="1"/>
    <row r="10171" ht="15.75" customHeight="1"/>
    <row r="10172" ht="15.75" customHeight="1"/>
    <row r="10173" ht="15.75" customHeight="1"/>
    <row r="10174" ht="15.75" customHeight="1"/>
    <row r="10175" ht="15.75" customHeight="1"/>
    <row r="10176" ht="15.75" customHeight="1"/>
    <row r="10177" ht="15.75" customHeight="1"/>
    <row r="10178" ht="15.75" customHeight="1"/>
    <row r="10179" ht="15.75" customHeight="1"/>
    <row r="10180" ht="15.75" customHeight="1"/>
    <row r="10181" ht="15.75" customHeight="1"/>
    <row r="10182" ht="15.75" customHeight="1"/>
    <row r="10183" ht="15.75" customHeight="1"/>
    <row r="10184" ht="15.75" customHeight="1"/>
    <row r="10185" ht="15.75" customHeight="1"/>
    <row r="10186" ht="15.75" customHeight="1"/>
    <row r="10187" ht="15.75" customHeight="1"/>
    <row r="10188" ht="15.75" customHeight="1"/>
    <row r="10189" ht="15.75" customHeight="1"/>
    <row r="10190" ht="15.75" customHeight="1"/>
    <row r="10191" ht="15.75" customHeight="1"/>
    <row r="10192" ht="15.75" customHeight="1"/>
    <row r="10193" ht="15.75" customHeight="1"/>
    <row r="10194" ht="15.75" customHeight="1"/>
    <row r="10195" ht="15.75" customHeight="1"/>
    <row r="10196" ht="15.75" customHeight="1"/>
    <row r="10197" ht="15.75" customHeight="1"/>
    <row r="10198" ht="15.75" customHeight="1"/>
    <row r="10199" ht="15.75" customHeight="1"/>
    <row r="10200" ht="15.75" customHeight="1"/>
    <row r="10201" ht="15.75" customHeight="1"/>
    <row r="10202" ht="15.75" customHeight="1"/>
    <row r="10203" ht="15.75" customHeight="1"/>
    <row r="10204" ht="15.75" customHeight="1"/>
    <row r="10205" ht="15.75" customHeight="1"/>
    <row r="10206" ht="15.75" customHeight="1"/>
    <row r="10207" ht="15.75" customHeight="1"/>
    <row r="10208" ht="15.75" customHeight="1"/>
    <row r="10209" ht="15.75" customHeight="1"/>
    <row r="10210" ht="15.75" customHeight="1"/>
    <row r="10211" ht="15.75" customHeight="1"/>
    <row r="10212" ht="15.75" customHeight="1"/>
    <row r="10213" ht="15.75" customHeight="1"/>
    <row r="10214" ht="15.75" customHeight="1"/>
    <row r="10215" ht="15.75" customHeight="1"/>
    <row r="10216" ht="15.75" customHeight="1"/>
    <row r="10217" ht="15.75" customHeight="1"/>
    <row r="10218" ht="15.75" customHeight="1"/>
    <row r="10219" ht="15.75" customHeight="1"/>
    <row r="10220" ht="15.75" customHeight="1"/>
    <row r="10221" ht="15.75" customHeight="1"/>
    <row r="10222" ht="15.75" customHeight="1"/>
    <row r="10223" ht="15.75" customHeight="1"/>
    <row r="10224" ht="15.75" customHeight="1"/>
    <row r="10225" ht="15.75" customHeight="1"/>
    <row r="10226" ht="15.75" customHeight="1"/>
    <row r="10227" ht="15.75" customHeight="1"/>
    <row r="10228" ht="15.75" customHeight="1"/>
    <row r="10229" ht="15.75" customHeight="1"/>
    <row r="10230" ht="15.75" customHeight="1"/>
    <row r="10231" ht="15.75" customHeight="1"/>
    <row r="10232" ht="15.75" customHeight="1"/>
    <row r="10233" ht="15.75" customHeight="1"/>
    <row r="10234" ht="15.75" customHeight="1"/>
    <row r="10235" ht="15.75" customHeight="1"/>
    <row r="10236" ht="15.75" customHeight="1"/>
    <row r="10237" ht="15.75" customHeight="1"/>
    <row r="10238" ht="15.75" customHeight="1"/>
    <row r="10239" ht="15.75" customHeight="1"/>
    <row r="10240" ht="15.75" customHeight="1"/>
    <row r="10241" ht="15.75" customHeight="1"/>
    <row r="10242" ht="15.75" customHeight="1"/>
    <row r="10243" ht="15.75" customHeight="1"/>
    <row r="10244" ht="15.75" customHeight="1"/>
    <row r="10245" ht="15.75" customHeight="1"/>
    <row r="10246" ht="15.75" customHeight="1"/>
    <row r="10247" ht="15.75" customHeight="1"/>
    <row r="10248" ht="15.75" customHeight="1"/>
    <row r="10249" ht="15.75" customHeight="1"/>
    <row r="10250" ht="15.75" customHeight="1"/>
    <row r="10251" ht="15.75" customHeight="1"/>
    <row r="10252" ht="15.75" customHeight="1"/>
    <row r="10253" ht="15.75" customHeight="1"/>
    <row r="10254" ht="15.75" customHeight="1"/>
    <row r="10255" ht="15.75" customHeight="1"/>
    <row r="10256" ht="15.75" customHeight="1"/>
    <row r="10257" ht="15.75" customHeight="1"/>
    <row r="10258" ht="15.75" customHeight="1"/>
    <row r="10259" ht="15.75" customHeight="1"/>
    <row r="10260" ht="15.75" customHeight="1"/>
    <row r="10261" ht="15.75" customHeight="1"/>
    <row r="10262" ht="15.75" customHeight="1"/>
    <row r="10263" ht="15.75" customHeight="1"/>
    <row r="10264" ht="15.75" customHeight="1"/>
    <row r="10265" ht="15.75" customHeight="1"/>
    <row r="10266" ht="15.75" customHeight="1"/>
    <row r="10267" ht="15.75" customHeight="1"/>
    <row r="10268" ht="15.75" customHeight="1"/>
    <row r="10269" ht="15.75" customHeight="1"/>
    <row r="10270" ht="15.75" customHeight="1"/>
    <row r="10271" ht="15.75" customHeight="1"/>
    <row r="10272" ht="15.75" customHeight="1"/>
    <row r="10273" ht="15.75" customHeight="1"/>
    <row r="10274" ht="15.75" customHeight="1"/>
    <row r="10275" ht="15.75" customHeight="1"/>
    <row r="10276" ht="15.75" customHeight="1"/>
    <row r="10277" ht="15.75" customHeight="1"/>
    <row r="10278" ht="15.75" customHeight="1"/>
    <row r="10279" ht="15.75" customHeight="1"/>
    <row r="10280" ht="15.75" customHeight="1"/>
    <row r="10281" ht="15.75" customHeight="1"/>
    <row r="10282" ht="15.75" customHeight="1"/>
    <row r="10283" ht="15.75" customHeight="1"/>
    <row r="10284" ht="15.75" customHeight="1"/>
    <row r="10285" ht="15.75" customHeight="1"/>
    <row r="10286" ht="15.75" customHeight="1"/>
    <row r="10287" ht="15.75" customHeight="1"/>
    <row r="10288" ht="15.75" customHeight="1"/>
    <row r="10289" ht="15.75" customHeight="1"/>
    <row r="10290" ht="15.75" customHeight="1"/>
    <row r="10291" ht="15.75" customHeight="1"/>
    <row r="10292" ht="15.75" customHeight="1"/>
    <row r="10293" ht="15.75" customHeight="1"/>
    <row r="10294" ht="15.75" customHeight="1"/>
    <row r="10295" ht="15.75" customHeight="1"/>
    <row r="10296" ht="15.75" customHeight="1"/>
    <row r="10297" ht="15.75" customHeight="1"/>
    <row r="10298" ht="15.75" customHeight="1"/>
    <row r="10299" ht="15.75" customHeight="1"/>
    <row r="10300" ht="15.75" customHeight="1"/>
    <row r="10301" ht="15.75" customHeight="1"/>
    <row r="10302" ht="15.75" customHeight="1"/>
    <row r="10303" ht="15.75" customHeight="1"/>
    <row r="10304" ht="15.75" customHeight="1"/>
    <row r="10305" ht="15.75" customHeight="1"/>
    <row r="10306" ht="15.75" customHeight="1"/>
    <row r="10307" ht="15.75" customHeight="1"/>
    <row r="10308" ht="15.75" customHeight="1"/>
    <row r="10309" ht="15.75" customHeight="1"/>
    <row r="10310" ht="15.75" customHeight="1"/>
    <row r="10311" ht="15.75" customHeight="1"/>
    <row r="10312" ht="15.75" customHeight="1"/>
    <row r="10313" ht="15.75" customHeight="1"/>
    <row r="10314" ht="15.75" customHeight="1"/>
    <row r="10315" ht="15.75" customHeight="1"/>
    <row r="10316" ht="15.75" customHeight="1"/>
    <row r="10317" ht="15.75" customHeight="1"/>
    <row r="10318" ht="15.75" customHeight="1"/>
    <row r="10319" ht="15.75" customHeight="1"/>
    <row r="10320" ht="15.75" customHeight="1"/>
    <row r="10321" ht="15.75" customHeight="1"/>
    <row r="10322" ht="15.75" customHeight="1"/>
    <row r="10323" ht="15.75" customHeight="1"/>
    <row r="10324" ht="15.75" customHeight="1"/>
    <row r="10325" ht="15.75" customHeight="1"/>
    <row r="10326" ht="15.75" customHeight="1"/>
    <row r="10327" ht="15.75" customHeight="1"/>
    <row r="10328" ht="15.75" customHeight="1"/>
    <row r="10329" ht="15.75" customHeight="1"/>
    <row r="10330" ht="15.75" customHeight="1"/>
    <row r="10331" ht="15.75" customHeight="1"/>
    <row r="10332" ht="15.75" customHeight="1"/>
    <row r="10333" ht="15.75" customHeight="1"/>
    <row r="10334" ht="15.75" customHeight="1"/>
    <row r="10335" ht="15.75" customHeight="1"/>
    <row r="10336" ht="15.75" customHeight="1"/>
    <row r="10337" ht="15.75" customHeight="1"/>
    <row r="10338" ht="15.75" customHeight="1"/>
    <row r="10339" ht="15.75" customHeight="1"/>
    <row r="10340" ht="15.75" customHeight="1"/>
    <row r="10341" ht="15.75" customHeight="1"/>
    <row r="10342" ht="15.75" customHeight="1"/>
    <row r="10343" ht="15.75" customHeight="1"/>
    <row r="10344" ht="15.75" customHeight="1"/>
    <row r="10345" ht="15.75" customHeight="1"/>
    <row r="10346" ht="15.75" customHeight="1"/>
    <row r="10347" ht="15.75" customHeight="1"/>
    <row r="10348" ht="15.75" customHeight="1"/>
    <row r="10349" ht="15.75" customHeight="1"/>
    <row r="10350" ht="15.75" customHeight="1"/>
    <row r="10351" ht="15.75" customHeight="1"/>
    <row r="10352" ht="15.75" customHeight="1"/>
    <row r="10353" ht="15.75" customHeight="1"/>
    <row r="10354" ht="15.75" customHeight="1"/>
    <row r="10355" ht="15.75" customHeight="1"/>
    <row r="10356" ht="15.75" customHeight="1"/>
    <row r="10357" ht="15.75" customHeight="1"/>
    <row r="10358" ht="15.75" customHeight="1"/>
    <row r="10359" ht="15.75" customHeight="1"/>
    <row r="10360" ht="15.75" customHeight="1"/>
    <row r="10361" ht="15.75" customHeight="1"/>
    <row r="10362" ht="15.75" customHeight="1"/>
    <row r="10363" ht="15.75" customHeight="1"/>
    <row r="10364" ht="15.75" customHeight="1"/>
    <row r="10365" ht="15.75" customHeight="1"/>
    <row r="10366" ht="15.75" customHeight="1"/>
    <row r="10367" ht="15.75" customHeight="1"/>
    <row r="10368" ht="15.75" customHeight="1"/>
    <row r="10369" ht="15.75" customHeight="1"/>
    <row r="10370" ht="15.75" customHeight="1"/>
    <row r="10371" ht="15.75" customHeight="1"/>
    <row r="10372" ht="15.75" customHeight="1"/>
    <row r="10373" ht="15.75" customHeight="1"/>
    <row r="10374" ht="15.75" customHeight="1"/>
    <row r="10375" ht="15.75" customHeight="1"/>
    <row r="10376" ht="15.75" customHeight="1"/>
    <row r="10377" ht="15.75" customHeight="1"/>
    <row r="10378" ht="15.75" customHeight="1"/>
    <row r="10379" ht="15.75" customHeight="1"/>
    <row r="10380" ht="15.75" customHeight="1"/>
    <row r="10381" ht="15.75" customHeight="1"/>
    <row r="10382" ht="15.75" customHeight="1"/>
    <row r="10383" ht="15.75" customHeight="1"/>
    <row r="10384" ht="15.75" customHeight="1"/>
    <row r="10385" ht="15.75" customHeight="1"/>
    <row r="10386" ht="15.75" customHeight="1"/>
    <row r="10387" ht="15.75" customHeight="1"/>
    <row r="10388" ht="15.75" customHeight="1"/>
    <row r="10389" ht="15.75" customHeight="1"/>
    <row r="10390" ht="15.75" customHeight="1"/>
    <row r="10391" ht="15.75" customHeight="1"/>
    <row r="10392" ht="15.75" customHeight="1"/>
    <row r="10393" ht="15.75" customHeight="1"/>
    <row r="10394" ht="15.75" customHeight="1"/>
    <row r="10395" ht="15.75" customHeight="1"/>
    <row r="10396" ht="15.75" customHeight="1"/>
    <row r="10397" ht="15.75" customHeight="1"/>
    <row r="10398" ht="15.75" customHeight="1"/>
    <row r="10399" ht="15.75" customHeight="1"/>
    <row r="10400" ht="15.75" customHeight="1"/>
    <row r="10401" ht="15.75" customHeight="1"/>
    <row r="10402" ht="15.75" customHeight="1"/>
    <row r="10403" ht="15.75" customHeight="1"/>
    <row r="10404" ht="15.75" customHeight="1"/>
    <row r="10405" ht="15.75" customHeight="1"/>
    <row r="10406" ht="15.75" customHeight="1"/>
    <row r="10407" ht="15.75" customHeight="1"/>
    <row r="10408" ht="15.75" customHeight="1"/>
    <row r="10409" ht="15.75" customHeight="1"/>
    <row r="10410" ht="15.75" customHeight="1"/>
    <row r="10411" ht="15.75" customHeight="1"/>
    <row r="10412" ht="15.75" customHeight="1"/>
    <row r="10413" ht="15.75" customHeight="1"/>
    <row r="10414" ht="15.75" customHeight="1"/>
    <row r="10415" ht="15.75" customHeight="1"/>
    <row r="10416" ht="15.75" customHeight="1"/>
    <row r="10417" ht="15.75" customHeight="1"/>
    <row r="10418" ht="15.75" customHeight="1"/>
    <row r="10419" ht="15.75" customHeight="1"/>
    <row r="10420" ht="15.75" customHeight="1"/>
    <row r="10421" ht="15.75" customHeight="1"/>
    <row r="10422" ht="15.75" customHeight="1"/>
    <row r="10423" ht="15.75" customHeight="1"/>
    <row r="10424" ht="15.75" customHeight="1"/>
    <row r="10425" ht="15.75" customHeight="1"/>
    <row r="10426" ht="15.75" customHeight="1"/>
    <row r="10427" ht="15.75" customHeight="1"/>
    <row r="10428" ht="15.75" customHeight="1"/>
    <row r="10429" ht="15.75" customHeight="1"/>
    <row r="10430" ht="15.75" customHeight="1"/>
    <row r="10431" ht="15.75" customHeight="1"/>
    <row r="10432" ht="15.75" customHeight="1"/>
    <row r="10433" ht="15.75" customHeight="1"/>
    <row r="10434" ht="15.75" customHeight="1"/>
    <row r="10435" ht="15.75" customHeight="1"/>
    <row r="10436" ht="15.75" customHeight="1"/>
    <row r="10437" ht="15.75" customHeight="1"/>
    <row r="10438" ht="15.75" customHeight="1"/>
    <row r="10439" ht="15.75" customHeight="1"/>
    <row r="10440" ht="15.75" customHeight="1"/>
    <row r="10441" ht="15.75" customHeight="1"/>
    <row r="10442" ht="15.75" customHeight="1"/>
    <row r="10443" ht="15.75" customHeight="1"/>
    <row r="10444" ht="15.75" customHeight="1"/>
    <row r="10445" ht="15.75" customHeight="1"/>
    <row r="10446" ht="15.75" customHeight="1"/>
    <row r="10447" ht="15.75" customHeight="1"/>
    <row r="10448" ht="15.75" customHeight="1"/>
    <row r="10449" ht="15.75" customHeight="1"/>
    <row r="10450" ht="15.75" customHeight="1"/>
    <row r="10451" ht="15.75" customHeight="1"/>
    <row r="10452" ht="15.75" customHeight="1"/>
    <row r="10453" ht="15.75" customHeight="1"/>
    <row r="10454" ht="15.75" customHeight="1"/>
    <row r="10455" ht="15.75" customHeight="1"/>
    <row r="10456" ht="15.75" customHeight="1"/>
    <row r="10457" ht="15.75" customHeight="1"/>
    <row r="10458" ht="15.75" customHeight="1"/>
    <row r="10459" ht="15.75" customHeight="1"/>
    <row r="10460" ht="15.75" customHeight="1"/>
    <row r="10461" ht="15.75" customHeight="1"/>
    <row r="10462" ht="15.75" customHeight="1"/>
    <row r="10463" ht="15.75" customHeight="1"/>
    <row r="10464" ht="15.75" customHeight="1"/>
    <row r="10465" ht="15.75" customHeight="1"/>
    <row r="10466" ht="15.75" customHeight="1"/>
    <row r="10467" ht="15.75" customHeight="1"/>
    <row r="10468" ht="15.75" customHeight="1"/>
    <row r="10469" ht="15.75" customHeight="1"/>
    <row r="10470" ht="15.75" customHeight="1"/>
    <row r="10471" ht="15.75" customHeight="1"/>
    <row r="10472" ht="15.75" customHeight="1"/>
    <row r="10473" ht="15.75" customHeight="1"/>
    <row r="10474" ht="15.75" customHeight="1"/>
    <row r="10475" ht="15.75" customHeight="1"/>
    <row r="10476" ht="15.75" customHeight="1"/>
    <row r="10477" ht="15.75" customHeight="1"/>
    <row r="10478" ht="15.75" customHeight="1"/>
    <row r="10479" ht="15.75" customHeight="1"/>
    <row r="10480" ht="15.75" customHeight="1"/>
    <row r="10481" ht="15.75" customHeight="1"/>
    <row r="10482" ht="15.75" customHeight="1"/>
    <row r="10483" ht="15.75" customHeight="1"/>
    <row r="10484" ht="15.75" customHeight="1"/>
    <row r="10485" ht="15.75" customHeight="1"/>
    <row r="10486" ht="15.75" customHeight="1"/>
    <row r="10487" ht="15.75" customHeight="1"/>
    <row r="10488" ht="15.75" customHeight="1"/>
    <row r="10489" ht="15.75" customHeight="1"/>
    <row r="10490" ht="15.75" customHeight="1"/>
    <row r="10491" ht="15.75" customHeight="1"/>
    <row r="10492" ht="15.75" customHeight="1"/>
    <row r="10493" ht="15.75" customHeight="1"/>
    <row r="10494" ht="15.75" customHeight="1"/>
    <row r="10495" ht="15.75" customHeight="1"/>
    <row r="10496" ht="15.75" customHeight="1"/>
    <row r="10497" ht="15.75" customHeight="1"/>
    <row r="10498" ht="15.75" customHeight="1"/>
    <row r="10499" ht="15.75" customHeight="1"/>
    <row r="10500" ht="15.75" customHeight="1"/>
    <row r="10501" ht="15.75" customHeight="1"/>
    <row r="10502" ht="15.75" customHeight="1"/>
    <row r="10503" ht="15.75" customHeight="1"/>
    <row r="10504" ht="15.75" customHeight="1"/>
    <row r="10505" ht="15.75" customHeight="1"/>
    <row r="10506" ht="15.75" customHeight="1"/>
    <row r="10507" ht="15.75" customHeight="1"/>
    <row r="10508" ht="15.75" customHeight="1"/>
    <row r="10509" ht="15.75" customHeight="1"/>
    <row r="10510" ht="15.75" customHeight="1"/>
    <row r="10511" ht="15.75" customHeight="1"/>
    <row r="10512" ht="15.75" customHeight="1"/>
    <row r="10513" ht="15.75" customHeight="1"/>
    <row r="10514" ht="15.75" customHeight="1"/>
    <row r="10515" ht="15.75" customHeight="1"/>
    <row r="10516" ht="15.75" customHeight="1"/>
    <row r="10517" ht="15.75" customHeight="1"/>
    <row r="10518" ht="15.75" customHeight="1"/>
    <row r="10519" ht="15.75" customHeight="1"/>
    <row r="10520" ht="15.75" customHeight="1"/>
    <row r="10521" ht="15.75" customHeight="1"/>
    <row r="10522" ht="15.75" customHeight="1"/>
    <row r="10523" ht="15.75" customHeight="1"/>
    <row r="10524" ht="15.75" customHeight="1"/>
    <row r="10525" ht="15.75" customHeight="1"/>
    <row r="10526" ht="15.75" customHeight="1"/>
    <row r="10527" ht="15.75" customHeight="1"/>
    <row r="10528" ht="15.75" customHeight="1"/>
    <row r="10529" ht="15.75" customHeight="1"/>
    <row r="10530" ht="15.75" customHeight="1"/>
    <row r="10531" ht="15.75" customHeight="1"/>
    <row r="10532" ht="15.75" customHeight="1"/>
    <row r="10533" ht="15.75" customHeight="1"/>
    <row r="10534" ht="15.75" customHeight="1"/>
    <row r="10535" ht="15.75" customHeight="1"/>
    <row r="10536" ht="15.75" customHeight="1"/>
    <row r="10537" ht="15.75" customHeight="1"/>
    <row r="10538" ht="15.75" customHeight="1"/>
    <row r="10539" ht="15.75" customHeight="1"/>
    <row r="10540" ht="15.75" customHeight="1"/>
    <row r="10541" ht="15.75" customHeight="1"/>
    <row r="10542" ht="15.75" customHeight="1"/>
    <row r="10543" ht="15.75" customHeight="1"/>
    <row r="10544" ht="15.75" customHeight="1"/>
    <row r="10545" ht="15.75" customHeight="1"/>
    <row r="10546" ht="15.75" customHeight="1"/>
    <row r="10547" ht="15.75" customHeight="1"/>
    <row r="10548" ht="15.75" customHeight="1"/>
    <row r="10549" ht="15.75" customHeight="1"/>
    <row r="10550" ht="15.75" customHeight="1"/>
    <row r="10551" ht="15.75" customHeight="1"/>
    <row r="10552" ht="15.75" customHeight="1"/>
    <row r="10553" ht="15.75" customHeight="1"/>
    <row r="10554" ht="15.75" customHeight="1"/>
    <row r="10555" ht="15.75" customHeight="1"/>
    <row r="10556" ht="15.75" customHeight="1"/>
    <row r="10557" ht="15.75" customHeight="1"/>
    <row r="10558" ht="15.75" customHeight="1"/>
    <row r="10559" ht="15.75" customHeight="1"/>
    <row r="10560" ht="15.75" customHeight="1"/>
    <row r="10561" ht="15.75" customHeight="1"/>
    <row r="10562" ht="15.75" customHeight="1"/>
    <row r="10563" ht="15.75" customHeight="1"/>
    <row r="10564" ht="15.75" customHeight="1"/>
    <row r="10565" ht="15.75" customHeight="1"/>
    <row r="10566" ht="15.75" customHeight="1"/>
    <row r="10567" ht="15.75" customHeight="1"/>
    <row r="10568" ht="15.75" customHeight="1"/>
    <row r="10569" ht="15.75" customHeight="1"/>
    <row r="10570" ht="15.75" customHeight="1"/>
    <row r="10571" ht="15.75" customHeight="1"/>
    <row r="10572" ht="15.75" customHeight="1"/>
    <row r="10573" ht="15.75" customHeight="1"/>
    <row r="10574" ht="15.75" customHeight="1"/>
    <row r="10575" ht="15.75" customHeight="1"/>
    <row r="10576" ht="15.75" customHeight="1"/>
    <row r="10577" ht="15.75" customHeight="1"/>
    <row r="10578" ht="15.75" customHeight="1"/>
    <row r="10579" ht="15.75" customHeight="1"/>
    <row r="10580" ht="15.75" customHeight="1"/>
    <row r="10581" ht="15.75" customHeight="1"/>
    <row r="10582" ht="15.75" customHeight="1"/>
    <row r="10583" ht="15.75" customHeight="1"/>
    <row r="10584" ht="15.75" customHeight="1"/>
    <row r="10585" ht="15.75" customHeight="1"/>
    <row r="10586" ht="15.75" customHeight="1"/>
    <row r="10587" ht="15.75" customHeight="1"/>
    <row r="10588" ht="15.75" customHeight="1"/>
    <row r="10589" ht="15.75" customHeight="1"/>
    <row r="10590" ht="15.75" customHeight="1"/>
    <row r="10591" ht="15.75" customHeight="1"/>
    <row r="10592" ht="15.75" customHeight="1"/>
    <row r="10593" ht="15.75" customHeight="1"/>
    <row r="10594" ht="15.75" customHeight="1"/>
    <row r="10595" ht="15.75" customHeight="1"/>
    <row r="10596" ht="15.75" customHeight="1"/>
    <row r="10597" ht="15.75" customHeight="1"/>
    <row r="10598" ht="15.75" customHeight="1"/>
    <row r="10599" ht="15.75" customHeight="1"/>
    <row r="10600" ht="15.75" customHeight="1"/>
    <row r="10601" ht="15.75" customHeight="1"/>
    <row r="10602" ht="15.75" customHeight="1"/>
    <row r="10603" ht="15.75" customHeight="1"/>
    <row r="10604" ht="15.75" customHeight="1"/>
    <row r="10605" ht="15.75" customHeight="1"/>
    <row r="10606" ht="15.75" customHeight="1"/>
    <row r="10607" ht="15.75" customHeight="1"/>
    <row r="10608" ht="15.75" customHeight="1"/>
    <row r="10609" ht="15.75" customHeight="1"/>
    <row r="10610" ht="15.75" customHeight="1"/>
    <row r="10611" ht="15.75" customHeight="1"/>
    <row r="10612" ht="15.75" customHeight="1"/>
    <row r="10613" ht="15.75" customHeight="1"/>
    <row r="10614" ht="15.75" customHeight="1"/>
    <row r="10615" ht="15.75" customHeight="1"/>
    <row r="10616" ht="15.75" customHeight="1"/>
    <row r="10617" ht="15.75" customHeight="1"/>
    <row r="10618" ht="15.75" customHeight="1"/>
    <row r="10619" ht="15.75" customHeight="1"/>
    <row r="10620" ht="15.75" customHeight="1"/>
    <row r="10621" ht="15.75" customHeight="1"/>
    <row r="10622" ht="15.75" customHeight="1"/>
    <row r="10623" ht="15.75" customHeight="1"/>
    <row r="10624" ht="15.75" customHeight="1"/>
    <row r="10625" ht="15.75" customHeight="1"/>
    <row r="10626" ht="15.75" customHeight="1"/>
    <row r="10627" ht="15.75" customHeight="1"/>
    <row r="10628" ht="15.75" customHeight="1"/>
    <row r="10629" ht="15.75" customHeight="1"/>
    <row r="10630" ht="15.75" customHeight="1"/>
    <row r="10631" ht="15.75" customHeight="1"/>
    <row r="10632" ht="15.75" customHeight="1"/>
    <row r="10633" ht="15.75" customHeight="1"/>
    <row r="10634" ht="15.75" customHeight="1"/>
    <row r="10635" ht="15.75" customHeight="1"/>
    <row r="10636" ht="15.75" customHeight="1"/>
    <row r="10637" ht="15.75" customHeight="1"/>
    <row r="10638" ht="15.75" customHeight="1"/>
    <row r="10639" ht="15.75" customHeight="1"/>
    <row r="10640" ht="15.75" customHeight="1"/>
    <row r="10641" ht="15.75" customHeight="1"/>
    <row r="10642" ht="15.75" customHeight="1"/>
    <row r="10643" ht="15.75" customHeight="1"/>
    <row r="10644" ht="15.75" customHeight="1"/>
    <row r="10645" ht="15.75" customHeight="1"/>
    <row r="10646" ht="15.75" customHeight="1"/>
    <row r="10647" ht="15.75" customHeight="1"/>
    <row r="10648" ht="15.75" customHeight="1"/>
    <row r="10649" ht="15.75" customHeight="1"/>
    <row r="10650" ht="15.75" customHeight="1"/>
    <row r="10651" ht="15.75" customHeight="1"/>
    <row r="10652" ht="15.75" customHeight="1"/>
    <row r="10653" ht="15.75" customHeight="1"/>
    <row r="10654" ht="15.75" customHeight="1"/>
    <row r="10655" ht="15.75" customHeight="1"/>
    <row r="10656" ht="15.75" customHeight="1"/>
    <row r="10657" ht="15.75" customHeight="1"/>
    <row r="10658" ht="15.75" customHeight="1"/>
    <row r="10659" ht="15.75" customHeight="1"/>
    <row r="10660" ht="15.75" customHeight="1"/>
    <row r="10661" ht="15.75" customHeight="1"/>
    <row r="10662" ht="15.75" customHeight="1"/>
    <row r="10663" ht="15.75" customHeight="1"/>
    <row r="10664" ht="15.75" customHeight="1"/>
    <row r="10665" ht="15.75" customHeight="1"/>
    <row r="10666" ht="15.75" customHeight="1"/>
    <row r="10667" ht="15.75" customHeight="1"/>
    <row r="10668" ht="15.75" customHeight="1"/>
    <row r="10669" ht="15.75" customHeight="1"/>
    <row r="10670" ht="15.75" customHeight="1"/>
    <row r="10671" ht="15.75" customHeight="1"/>
    <row r="10672" ht="15.75" customHeight="1"/>
    <row r="10673" ht="15.75" customHeight="1"/>
    <row r="10674" ht="15.75" customHeight="1"/>
    <row r="10675" ht="15.75" customHeight="1"/>
    <row r="10676" ht="15.75" customHeight="1"/>
    <row r="10677" ht="15.75" customHeight="1"/>
    <row r="10678" ht="15.75" customHeight="1"/>
    <row r="10679" ht="15.75" customHeight="1"/>
    <row r="10680" ht="15.75" customHeight="1"/>
    <row r="10681" ht="15.75" customHeight="1"/>
    <row r="10682" ht="15.75" customHeight="1"/>
    <row r="10683" ht="15.75" customHeight="1"/>
    <row r="10684" ht="15.75" customHeight="1"/>
    <row r="10685" ht="15.75" customHeight="1"/>
    <row r="10686" ht="15.75" customHeight="1"/>
    <row r="10687" ht="15.75" customHeight="1"/>
    <row r="10688" ht="15.75" customHeight="1"/>
    <row r="10689" ht="15.75" customHeight="1"/>
    <row r="10690" ht="15.75" customHeight="1"/>
    <row r="10691" ht="15.75" customHeight="1"/>
    <row r="10692" ht="15.75" customHeight="1"/>
    <row r="10693" ht="15.75" customHeight="1"/>
    <row r="10694" ht="15.75" customHeight="1"/>
    <row r="10695" ht="15.75" customHeight="1"/>
    <row r="10696" ht="15.75" customHeight="1"/>
    <row r="10697" ht="15.75" customHeight="1"/>
    <row r="10698" ht="15.75" customHeight="1"/>
    <row r="10699" ht="15.75" customHeight="1"/>
    <row r="10700" ht="15.75" customHeight="1"/>
    <row r="10701" ht="15.75" customHeight="1"/>
    <row r="10702" ht="15.75" customHeight="1"/>
    <row r="10703" ht="15.75" customHeight="1"/>
    <row r="10704" ht="15.75" customHeight="1"/>
    <row r="10705" ht="15.75" customHeight="1"/>
    <row r="10706" ht="15.75" customHeight="1"/>
    <row r="10707" ht="15.75" customHeight="1"/>
    <row r="10708" ht="15.75" customHeight="1"/>
    <row r="10709" ht="15.75" customHeight="1"/>
    <row r="10710" ht="15.75" customHeight="1"/>
    <row r="10711" ht="15.75" customHeight="1"/>
    <row r="10712" ht="15.75" customHeight="1"/>
    <row r="10713" ht="15.75" customHeight="1"/>
    <row r="10714" ht="15.75" customHeight="1"/>
    <row r="10715" ht="15.75" customHeight="1"/>
    <row r="10716" ht="15.75" customHeight="1"/>
    <row r="10717" ht="15.75" customHeight="1"/>
    <row r="10718" ht="15.75" customHeight="1"/>
    <row r="10719" ht="15.75" customHeight="1"/>
    <row r="10720" ht="15.75" customHeight="1"/>
    <row r="10721" ht="15.75" customHeight="1"/>
    <row r="10722" ht="15.75" customHeight="1"/>
    <row r="10723" ht="15.75" customHeight="1"/>
    <row r="10724" ht="15.75" customHeight="1"/>
    <row r="10725" ht="15.75" customHeight="1"/>
    <row r="10726" ht="15.75" customHeight="1"/>
    <row r="10727" ht="15.75" customHeight="1"/>
    <row r="10728" ht="15.75" customHeight="1"/>
    <row r="10729" ht="15.75" customHeight="1"/>
    <row r="10730" ht="15.75" customHeight="1"/>
    <row r="10731" ht="15.75" customHeight="1"/>
    <row r="10732" ht="15.75" customHeight="1"/>
    <row r="10733" ht="15.75" customHeight="1"/>
    <row r="10734" ht="15.75" customHeight="1"/>
    <row r="10735" ht="15.75" customHeight="1"/>
    <row r="10736" ht="15.75" customHeight="1"/>
    <row r="10737" ht="15.75" customHeight="1"/>
    <row r="10738" ht="15.75" customHeight="1"/>
    <row r="10739" ht="15.75" customHeight="1"/>
    <row r="10740" ht="15.75" customHeight="1"/>
    <row r="10741" ht="15.75" customHeight="1"/>
    <row r="10742" ht="15.75" customHeight="1"/>
    <row r="10743" ht="15.75" customHeight="1"/>
    <row r="10744" ht="15.75" customHeight="1"/>
    <row r="10745" ht="15.75" customHeight="1"/>
    <row r="10746" ht="15.75" customHeight="1"/>
    <row r="10747" ht="15.75" customHeight="1"/>
    <row r="10748" ht="15.75" customHeight="1"/>
    <row r="10749" ht="15.75" customHeight="1"/>
    <row r="10750" ht="15.75" customHeight="1"/>
    <row r="10751" ht="15.75" customHeight="1"/>
    <row r="10752" ht="15.75" customHeight="1"/>
    <row r="10753" ht="15.75" customHeight="1"/>
    <row r="10754" ht="15.75" customHeight="1"/>
    <row r="10755" ht="15.75" customHeight="1"/>
    <row r="10756" ht="15.75" customHeight="1"/>
    <row r="10757" ht="15.75" customHeight="1"/>
    <row r="10758" ht="15.75" customHeight="1"/>
    <row r="10759" ht="15.75" customHeight="1"/>
    <row r="10760" ht="15.75" customHeight="1"/>
    <row r="10761" ht="15.75" customHeight="1"/>
    <row r="10762" ht="15.75" customHeight="1"/>
    <row r="10763" ht="15.75" customHeight="1"/>
    <row r="10764" ht="15.75" customHeight="1"/>
    <row r="10765" ht="15.75" customHeight="1"/>
    <row r="10766" ht="15.75" customHeight="1"/>
    <row r="10767" ht="15.75" customHeight="1"/>
    <row r="10768" ht="15.75" customHeight="1"/>
    <row r="10769" ht="15.75" customHeight="1"/>
    <row r="10770" ht="15.75" customHeight="1"/>
    <row r="10771" ht="15.75" customHeight="1"/>
    <row r="10772" ht="15.75" customHeight="1"/>
    <row r="10773" ht="15.75" customHeight="1"/>
    <row r="10774" ht="15.75" customHeight="1"/>
    <row r="10775" ht="15.75" customHeight="1"/>
    <row r="10776" ht="15.75" customHeight="1"/>
    <row r="10777" ht="15.75" customHeight="1"/>
    <row r="10778" ht="15.75" customHeight="1"/>
    <row r="10779" ht="15.75" customHeight="1"/>
    <row r="10780" ht="15.75" customHeight="1"/>
    <row r="10781" ht="15.75" customHeight="1"/>
    <row r="10782" ht="15.75" customHeight="1"/>
    <row r="10783" ht="15.75" customHeight="1"/>
    <row r="10784" ht="15.75" customHeight="1"/>
    <row r="10785" ht="15.75" customHeight="1"/>
    <row r="10786" ht="15.75" customHeight="1"/>
    <row r="10787" ht="15.75" customHeight="1"/>
    <row r="10788" ht="15.75" customHeight="1"/>
    <row r="10789" ht="15.75" customHeight="1"/>
    <row r="10790" ht="15.75" customHeight="1"/>
    <row r="10791" ht="15.75" customHeight="1"/>
    <row r="10792" ht="15.75" customHeight="1"/>
    <row r="10793" ht="15.75" customHeight="1"/>
    <row r="10794" ht="15.75" customHeight="1"/>
    <row r="10795" ht="15.75" customHeight="1"/>
    <row r="10796" ht="15.75" customHeight="1"/>
    <row r="10797" ht="15.75" customHeight="1"/>
    <row r="10798" ht="15.75" customHeight="1"/>
    <row r="10799" ht="15.75" customHeight="1"/>
    <row r="10800" ht="15.75" customHeight="1"/>
    <row r="10801" ht="15.75" customHeight="1"/>
    <row r="10802" ht="15.75" customHeight="1"/>
    <row r="10803" ht="15.75" customHeight="1"/>
    <row r="10804" ht="15.75" customHeight="1"/>
    <row r="10805" ht="15.75" customHeight="1"/>
    <row r="10806" ht="15.75" customHeight="1"/>
    <row r="10807" ht="15.75" customHeight="1"/>
    <row r="10808" ht="15.75" customHeight="1"/>
    <row r="10809" ht="15.75" customHeight="1"/>
    <row r="10810" ht="15.75" customHeight="1"/>
    <row r="10811" ht="15.75" customHeight="1"/>
    <row r="10812" ht="15.75" customHeight="1"/>
    <row r="10813" ht="15.75" customHeight="1"/>
    <row r="10814" ht="15.75" customHeight="1"/>
    <row r="10815" ht="15.75" customHeight="1"/>
    <row r="10816" ht="15.75" customHeight="1"/>
    <row r="10817" ht="15.75" customHeight="1"/>
    <row r="10818" ht="15.75" customHeight="1"/>
    <row r="10819" ht="15.75" customHeight="1"/>
    <row r="10820" ht="15.75" customHeight="1"/>
    <row r="10821" ht="15.75" customHeight="1"/>
    <row r="10822" ht="15.75" customHeight="1"/>
    <row r="10823" ht="15.75" customHeight="1"/>
    <row r="10824" ht="15.75" customHeight="1"/>
    <row r="10825" ht="15.75" customHeight="1"/>
    <row r="10826" ht="15.75" customHeight="1"/>
    <row r="10827" ht="15.75" customHeight="1"/>
    <row r="10828" ht="15.75" customHeight="1"/>
    <row r="10829" ht="15.75" customHeight="1"/>
    <row r="10830" ht="15.75" customHeight="1"/>
    <row r="10831" ht="15.75" customHeight="1"/>
    <row r="10832" ht="15.75" customHeight="1"/>
    <row r="10833" ht="15.75" customHeight="1"/>
    <row r="10834" ht="15.75" customHeight="1"/>
    <row r="10835" ht="15.75" customHeight="1"/>
    <row r="10836" ht="15.75" customHeight="1"/>
    <row r="10837" ht="15.75" customHeight="1"/>
    <row r="10838" ht="15.75" customHeight="1"/>
    <row r="10839" ht="15.75" customHeight="1"/>
    <row r="10840" ht="15.75" customHeight="1"/>
    <row r="10841" ht="15.75" customHeight="1"/>
    <row r="10842" ht="15.75" customHeight="1"/>
    <row r="10843" ht="15.75" customHeight="1"/>
    <row r="10844" ht="15.75" customHeight="1"/>
    <row r="10845" ht="15.75" customHeight="1"/>
    <row r="10846" ht="15.75" customHeight="1"/>
    <row r="10847" ht="15.75" customHeight="1"/>
    <row r="10848" ht="15.75" customHeight="1"/>
    <row r="10849" ht="15.75" customHeight="1"/>
    <row r="10850" ht="15.75" customHeight="1"/>
    <row r="10851" ht="15.75" customHeight="1"/>
    <row r="10852" ht="15.75" customHeight="1"/>
    <row r="10853" ht="15.75" customHeight="1"/>
    <row r="10854" ht="15.75" customHeight="1"/>
    <row r="10855" ht="15.75" customHeight="1"/>
    <row r="10856" ht="15.75" customHeight="1"/>
    <row r="10857" ht="15.75" customHeight="1"/>
    <row r="10858" ht="15.75" customHeight="1"/>
    <row r="10859" ht="15.75" customHeight="1"/>
    <row r="10860" ht="15.75" customHeight="1"/>
    <row r="10861" ht="15.75" customHeight="1"/>
    <row r="10862" ht="15.75" customHeight="1"/>
    <row r="10863" ht="15.75" customHeight="1"/>
    <row r="10864" ht="15.75" customHeight="1"/>
    <row r="10865" ht="15.75" customHeight="1"/>
    <row r="10866" ht="15.75" customHeight="1"/>
    <row r="10867" ht="15.75" customHeight="1"/>
    <row r="10868" ht="15.75" customHeight="1"/>
    <row r="10869" ht="15.75" customHeight="1"/>
    <row r="10870" ht="15.75" customHeight="1"/>
    <row r="10871" ht="15.75" customHeight="1"/>
    <row r="10872" ht="15.75" customHeight="1"/>
    <row r="10873" ht="15.75" customHeight="1"/>
    <row r="10874" ht="15.75" customHeight="1"/>
    <row r="10875" ht="15.75" customHeight="1"/>
    <row r="10876" ht="15.75" customHeight="1"/>
    <row r="10877" ht="15.75" customHeight="1"/>
    <row r="10878" ht="15.75" customHeight="1"/>
    <row r="10879" ht="15.75" customHeight="1"/>
    <row r="10880" ht="15.75" customHeight="1"/>
    <row r="10881" ht="15.75" customHeight="1"/>
    <row r="10882" ht="15.75" customHeight="1"/>
    <row r="10883" ht="15.75" customHeight="1"/>
    <row r="10884" ht="15.75" customHeight="1"/>
    <row r="10885" ht="15.75" customHeight="1"/>
    <row r="10886" ht="15.75" customHeight="1"/>
    <row r="10887" ht="15.75" customHeight="1"/>
    <row r="10888" ht="15.75" customHeight="1"/>
    <row r="10889" ht="15.75" customHeight="1"/>
    <row r="10890" ht="15.75" customHeight="1"/>
    <row r="10891" ht="15.75" customHeight="1"/>
    <row r="10892" ht="15.75" customHeight="1"/>
    <row r="10893" ht="15.75" customHeight="1"/>
    <row r="10894" ht="15.75" customHeight="1"/>
    <row r="10895" ht="15.75" customHeight="1"/>
    <row r="10896" ht="15.75" customHeight="1"/>
    <row r="10897" ht="15.75" customHeight="1"/>
    <row r="10898" ht="15.75" customHeight="1"/>
    <row r="10899" ht="15.75" customHeight="1"/>
    <row r="10900" ht="15.75" customHeight="1"/>
    <row r="10901" ht="15.75" customHeight="1"/>
    <row r="10902" ht="15.75" customHeight="1"/>
    <row r="10903" ht="15.75" customHeight="1"/>
    <row r="10904" ht="15.75" customHeight="1"/>
    <row r="10905" ht="15.75" customHeight="1"/>
    <row r="10906" ht="15.75" customHeight="1"/>
    <row r="10907" ht="15.75" customHeight="1"/>
    <row r="10908" ht="15.75" customHeight="1"/>
    <row r="10909" ht="15.75" customHeight="1"/>
    <row r="10910" ht="15.75" customHeight="1"/>
    <row r="10911" ht="15.75" customHeight="1"/>
    <row r="10912" ht="15.75" customHeight="1"/>
    <row r="10913" ht="15.75" customHeight="1"/>
    <row r="10914" ht="15.75" customHeight="1"/>
    <row r="10915" ht="15.75" customHeight="1"/>
    <row r="10916" ht="15.75" customHeight="1"/>
    <row r="10917" ht="15.75" customHeight="1"/>
    <row r="10918" ht="15.75" customHeight="1"/>
    <row r="10919" ht="15.75" customHeight="1"/>
    <row r="10920" ht="15.75" customHeight="1"/>
    <row r="10921" ht="15.75" customHeight="1"/>
    <row r="10922" ht="15.75" customHeight="1"/>
    <row r="10923" ht="15.75" customHeight="1"/>
    <row r="10924" ht="15.75" customHeight="1"/>
    <row r="10925" ht="15.75" customHeight="1"/>
    <row r="10926" ht="15.75" customHeight="1"/>
    <row r="10927" ht="15.75" customHeight="1"/>
    <row r="10928" ht="15.75" customHeight="1"/>
    <row r="10929" ht="15.75" customHeight="1"/>
    <row r="10930" ht="15.75" customHeight="1"/>
    <row r="10931" ht="15.75" customHeight="1"/>
    <row r="10932" ht="15.75" customHeight="1"/>
    <row r="10933" ht="15.75" customHeight="1"/>
    <row r="10934" ht="15.75" customHeight="1"/>
    <row r="10935" ht="15.75" customHeight="1"/>
    <row r="10936" ht="15.75" customHeight="1"/>
    <row r="10937" ht="15.75" customHeight="1"/>
    <row r="10938" ht="15.75" customHeight="1"/>
    <row r="10939" ht="15.75" customHeight="1"/>
    <row r="10940" ht="15.75" customHeight="1"/>
    <row r="10941" ht="15.75" customHeight="1"/>
    <row r="10942" ht="15.75" customHeight="1"/>
    <row r="10943" ht="15.75" customHeight="1"/>
    <row r="10944" ht="15.75" customHeight="1"/>
    <row r="10945" ht="15.75" customHeight="1"/>
    <row r="10946" ht="15.75" customHeight="1"/>
    <row r="10947" ht="15.75" customHeight="1"/>
    <row r="10948" ht="15.75" customHeight="1"/>
    <row r="10949" ht="15.75" customHeight="1"/>
    <row r="10950" ht="15.75" customHeight="1"/>
    <row r="10951" ht="15.75" customHeight="1"/>
    <row r="10952" ht="15.75" customHeight="1"/>
    <row r="10953" ht="15.75" customHeight="1"/>
    <row r="10954" ht="15.75" customHeight="1"/>
    <row r="10955" ht="15.75" customHeight="1"/>
    <row r="10956" ht="15.75" customHeight="1"/>
    <row r="10957" ht="15.75" customHeight="1"/>
    <row r="10958" ht="15.75" customHeight="1"/>
    <row r="10959" ht="15.75" customHeight="1"/>
    <row r="10960" ht="15.75" customHeight="1"/>
    <row r="10961" ht="15.75" customHeight="1"/>
    <row r="10962" ht="15.75" customHeight="1"/>
    <row r="10963" ht="15.75" customHeight="1"/>
    <row r="10964" ht="15.75" customHeight="1"/>
    <row r="10965" ht="15.75" customHeight="1"/>
    <row r="10966" ht="15.75" customHeight="1"/>
    <row r="10967" ht="15.75" customHeight="1"/>
    <row r="10968" ht="15.75" customHeight="1"/>
    <row r="10969" ht="15.75" customHeight="1"/>
    <row r="10970" ht="15.75" customHeight="1"/>
    <row r="10971" ht="15.75" customHeight="1"/>
    <row r="10972" ht="15.75" customHeight="1"/>
    <row r="10973" ht="15.75" customHeight="1"/>
    <row r="10974" ht="15.75" customHeight="1"/>
    <row r="10975" ht="15.75" customHeight="1"/>
    <row r="10976" ht="15.75" customHeight="1"/>
    <row r="10977" ht="15.75" customHeight="1"/>
    <row r="10978" ht="15.75" customHeight="1"/>
    <row r="10979" ht="15.75" customHeight="1"/>
    <row r="10980" ht="15.75" customHeight="1"/>
    <row r="10981" ht="15.75" customHeight="1"/>
    <row r="10982" ht="15.75" customHeight="1"/>
    <row r="10983" ht="15.75" customHeight="1"/>
    <row r="10984" ht="15.75" customHeight="1"/>
    <row r="10985" ht="15.75" customHeight="1"/>
    <row r="10986" ht="15.75" customHeight="1"/>
    <row r="10987" ht="15.75" customHeight="1"/>
    <row r="10988" ht="15.75" customHeight="1"/>
    <row r="10989" ht="15.75" customHeight="1"/>
    <row r="10990" ht="15.75" customHeight="1"/>
    <row r="10991" ht="15.75" customHeight="1"/>
    <row r="10992" ht="15.75" customHeight="1"/>
    <row r="10993" ht="15.75" customHeight="1"/>
    <row r="10994" ht="15.75" customHeight="1"/>
    <row r="10995" ht="15.75" customHeight="1"/>
    <row r="10996" ht="15.75" customHeight="1"/>
    <row r="10997" ht="15.75" customHeight="1"/>
    <row r="10998" ht="15.75" customHeight="1"/>
    <row r="10999" ht="15.75" customHeight="1"/>
    <row r="11000" ht="15.75" customHeight="1"/>
    <row r="11001" ht="15.75" customHeight="1"/>
    <row r="11002" ht="15.75" customHeight="1"/>
    <row r="11003" ht="15.75" customHeight="1"/>
    <row r="11004" ht="15.75" customHeight="1"/>
    <row r="11005" ht="15.75" customHeight="1"/>
    <row r="11006" ht="15.75" customHeight="1"/>
    <row r="11007" ht="15.75" customHeight="1"/>
    <row r="11008" ht="15.75" customHeight="1"/>
    <row r="11009" ht="15.75" customHeight="1"/>
    <row r="11010" ht="15.75" customHeight="1"/>
    <row r="11011" ht="15.75" customHeight="1"/>
    <row r="11012" ht="15.75" customHeight="1"/>
    <row r="11013" ht="15.75" customHeight="1"/>
    <row r="11014" ht="15.75" customHeight="1"/>
    <row r="11015" ht="15.75" customHeight="1"/>
    <row r="11016" ht="15.75" customHeight="1"/>
    <row r="11017" ht="15.75" customHeight="1"/>
    <row r="11018" ht="15.75" customHeight="1"/>
    <row r="11019" ht="15.75" customHeight="1"/>
    <row r="11020" ht="15.75" customHeight="1"/>
    <row r="11021" ht="15.75" customHeight="1"/>
    <row r="11022" ht="15.75" customHeight="1"/>
    <row r="11023" ht="15.75" customHeight="1"/>
    <row r="11024" ht="15.75" customHeight="1"/>
    <row r="11025" ht="15.75" customHeight="1"/>
    <row r="11026" ht="15.75" customHeight="1"/>
    <row r="11027" ht="15.75" customHeight="1"/>
    <row r="11028" ht="15.75" customHeight="1"/>
    <row r="11029" ht="15.75" customHeight="1"/>
    <row r="11030" ht="15.75" customHeight="1"/>
    <row r="11031" ht="15.75" customHeight="1"/>
    <row r="11032" ht="15.75" customHeight="1"/>
    <row r="11033" ht="15.75" customHeight="1"/>
    <row r="11034" ht="15.75" customHeight="1"/>
    <row r="11035" ht="15.75" customHeight="1"/>
    <row r="11036" ht="15.75" customHeight="1"/>
    <row r="11037" ht="15.75" customHeight="1"/>
    <row r="11038" ht="15.75" customHeight="1"/>
    <row r="11039" ht="15.75" customHeight="1"/>
    <row r="11040" ht="15.75" customHeight="1"/>
    <row r="11041" ht="15.75" customHeight="1"/>
    <row r="11042" ht="15.75" customHeight="1"/>
    <row r="11043" ht="15.75" customHeight="1"/>
    <row r="11044" ht="15.75" customHeight="1"/>
    <row r="11045" ht="15.75" customHeight="1"/>
    <row r="11046" ht="15.75" customHeight="1"/>
    <row r="11047" ht="15.75" customHeight="1"/>
    <row r="11048" ht="15.75" customHeight="1"/>
    <row r="11049" ht="15.75" customHeight="1"/>
    <row r="11050" ht="15.75" customHeight="1"/>
    <row r="11051" ht="15.75" customHeight="1"/>
    <row r="11052" ht="15.75" customHeight="1"/>
    <row r="11053" ht="15.75" customHeight="1"/>
    <row r="11054" ht="15.75" customHeight="1"/>
    <row r="11055" ht="15.75" customHeight="1"/>
    <row r="11056" ht="15.75" customHeight="1"/>
    <row r="11057" ht="15.75" customHeight="1"/>
    <row r="11058" ht="15.75" customHeight="1"/>
    <row r="11059" ht="15.75" customHeight="1"/>
    <row r="11060" ht="15.75" customHeight="1"/>
    <row r="11061" ht="15.75" customHeight="1"/>
    <row r="11062" ht="15.75" customHeight="1"/>
    <row r="11063" ht="15.75" customHeight="1"/>
    <row r="11064" ht="15.75" customHeight="1"/>
    <row r="11065" ht="15.75" customHeight="1"/>
    <row r="11066" ht="15.75" customHeight="1"/>
    <row r="11067" ht="15.75" customHeight="1"/>
    <row r="11068" ht="15.75" customHeight="1"/>
    <row r="11069" ht="15.75" customHeight="1"/>
    <row r="11070" ht="15.75" customHeight="1"/>
    <row r="11071" ht="15.75" customHeight="1"/>
    <row r="11072" ht="15.75" customHeight="1"/>
    <row r="11073" ht="15.75" customHeight="1"/>
    <row r="11074" ht="15.75" customHeight="1"/>
    <row r="11075" ht="15.75" customHeight="1"/>
    <row r="11076" ht="15.75" customHeight="1"/>
    <row r="11077" ht="15.75" customHeight="1"/>
    <row r="11078" ht="15.75" customHeight="1"/>
    <row r="11079" ht="15.75" customHeight="1"/>
    <row r="11080" ht="15.75" customHeight="1"/>
    <row r="11081" ht="15.75" customHeight="1"/>
    <row r="11082" ht="15.75" customHeight="1"/>
    <row r="11083" ht="15.75" customHeight="1"/>
    <row r="11084" ht="15.75" customHeight="1"/>
    <row r="11085" ht="15.75" customHeight="1"/>
    <row r="11086" ht="15.75" customHeight="1"/>
    <row r="11087" ht="15.75" customHeight="1"/>
    <row r="11088" ht="15.75" customHeight="1"/>
    <row r="11089" ht="15.75" customHeight="1"/>
    <row r="11090" ht="15.75" customHeight="1"/>
    <row r="11091" ht="15.75" customHeight="1"/>
    <row r="11092" ht="15.75" customHeight="1"/>
    <row r="11093" ht="15.75" customHeight="1"/>
    <row r="11094" ht="15.75" customHeight="1"/>
    <row r="11095" ht="15.75" customHeight="1"/>
    <row r="11096" ht="15.75" customHeight="1"/>
    <row r="11097" ht="15.75" customHeight="1"/>
    <row r="11098" ht="15.75" customHeight="1"/>
    <row r="11099" ht="15.75" customHeight="1"/>
    <row r="11100" ht="15.75" customHeight="1"/>
    <row r="11101" ht="15.75" customHeight="1"/>
    <row r="11102" ht="15.75" customHeight="1"/>
    <row r="11103" ht="15.75" customHeight="1"/>
    <row r="11104" ht="15.75" customHeight="1"/>
    <row r="11105" ht="15.75" customHeight="1"/>
    <row r="11106" ht="15.75" customHeight="1"/>
    <row r="11107" ht="15.75" customHeight="1"/>
    <row r="11108" ht="15.75" customHeight="1"/>
    <row r="11109" ht="15.75" customHeight="1"/>
    <row r="11110" ht="15.75" customHeight="1"/>
    <row r="11111" ht="15.75" customHeight="1"/>
    <row r="11112" ht="15.75" customHeight="1"/>
    <row r="11113" ht="15.75" customHeight="1"/>
    <row r="11114" ht="15.75" customHeight="1"/>
    <row r="11115" ht="15.75" customHeight="1"/>
    <row r="11116" ht="15.75" customHeight="1"/>
    <row r="11117" ht="15.75" customHeight="1"/>
    <row r="11118" ht="15.75" customHeight="1"/>
    <row r="11119" ht="15.75" customHeight="1"/>
    <row r="11120" ht="15.75" customHeight="1"/>
    <row r="11121" ht="15.75" customHeight="1"/>
    <row r="11122" ht="15.75" customHeight="1"/>
    <row r="11123" ht="15.75" customHeight="1"/>
    <row r="11124" ht="15.75" customHeight="1"/>
    <row r="11125" ht="15.75" customHeight="1"/>
    <row r="11126" ht="15.75" customHeight="1"/>
    <row r="11127" ht="15.75" customHeight="1"/>
    <row r="11128" ht="15.75" customHeight="1"/>
    <row r="11129" ht="15.75" customHeight="1"/>
    <row r="11130" ht="15.75" customHeight="1"/>
    <row r="11131" ht="15.75" customHeight="1"/>
    <row r="11132" ht="15.75" customHeight="1"/>
    <row r="11133" ht="15.75" customHeight="1"/>
    <row r="11134" ht="15.75" customHeight="1"/>
    <row r="11135" ht="15.75" customHeight="1"/>
    <row r="11136" ht="15.75" customHeight="1"/>
    <row r="11137" ht="15.75" customHeight="1"/>
    <row r="11138" ht="15.75" customHeight="1"/>
    <row r="11139" ht="15.75" customHeight="1"/>
    <row r="11140" ht="15.75" customHeight="1"/>
    <row r="11141" ht="15.75" customHeight="1"/>
    <row r="11142" ht="15.75" customHeight="1"/>
    <row r="11143" ht="15.75" customHeight="1"/>
    <row r="11144" ht="15.75" customHeight="1"/>
    <row r="11145" ht="15.75" customHeight="1"/>
    <row r="11146" ht="15.75" customHeight="1"/>
    <row r="11147" ht="15.75" customHeight="1"/>
    <row r="11148" ht="15.75" customHeight="1"/>
    <row r="11149" ht="15.75" customHeight="1"/>
    <row r="11150" ht="15.75" customHeight="1"/>
    <row r="11151" ht="15.75" customHeight="1"/>
    <row r="11152" ht="15.75" customHeight="1"/>
    <row r="11153" ht="15.75" customHeight="1"/>
    <row r="11154" ht="15.75" customHeight="1"/>
    <row r="11155" ht="15.75" customHeight="1"/>
    <row r="11156" ht="15.75" customHeight="1"/>
    <row r="11157" ht="15.75" customHeight="1"/>
    <row r="11158" ht="15.75" customHeight="1"/>
    <row r="11159" ht="15.75" customHeight="1"/>
    <row r="11160" ht="15.75" customHeight="1"/>
    <row r="11161" ht="15.75" customHeight="1"/>
    <row r="11162" ht="15.75" customHeight="1"/>
    <row r="11163" ht="15.75" customHeight="1"/>
    <row r="11164" ht="15.75" customHeight="1"/>
    <row r="11165" ht="15.75" customHeight="1"/>
    <row r="11166" ht="15.75" customHeight="1"/>
    <row r="11167" ht="15.75" customHeight="1"/>
    <row r="11168" ht="15.75" customHeight="1"/>
    <row r="11169" ht="15.75" customHeight="1"/>
    <row r="11170" ht="15.75" customHeight="1"/>
    <row r="11171" ht="15.75" customHeight="1"/>
    <row r="11172" ht="15.75" customHeight="1"/>
    <row r="11173" ht="15.75" customHeight="1"/>
    <row r="11174" ht="15.75" customHeight="1"/>
    <row r="11175" ht="15.75" customHeight="1"/>
    <row r="11176" ht="15.75" customHeight="1"/>
    <row r="11177" ht="15.75" customHeight="1"/>
    <row r="11178" ht="15.75" customHeight="1"/>
    <row r="11179" ht="15.75" customHeight="1"/>
    <row r="11180" ht="15.75" customHeight="1"/>
    <row r="11181" ht="15.75" customHeight="1"/>
    <row r="11182" ht="15.75" customHeight="1"/>
    <row r="11183" ht="15.75" customHeight="1"/>
    <row r="11184" ht="15.75" customHeight="1"/>
    <row r="11185" ht="15.75" customHeight="1"/>
    <row r="11186" ht="15.75" customHeight="1"/>
    <row r="11187" ht="15.75" customHeight="1"/>
    <row r="11188" ht="15.75" customHeight="1"/>
    <row r="11189" ht="15.75" customHeight="1"/>
    <row r="11190" ht="15.75" customHeight="1"/>
    <row r="11191" ht="15.75" customHeight="1"/>
    <row r="11192" ht="15.75" customHeight="1"/>
    <row r="11193" ht="15.75" customHeight="1"/>
    <row r="11194" ht="15.75" customHeight="1"/>
    <row r="11195" ht="15.75" customHeight="1"/>
    <row r="11196" ht="15.75" customHeight="1"/>
    <row r="11197" ht="15.75" customHeight="1"/>
    <row r="11198" ht="15.75" customHeight="1"/>
    <row r="11199" ht="15.75" customHeight="1"/>
    <row r="11200" ht="15.75" customHeight="1"/>
    <row r="11201" ht="15.75" customHeight="1"/>
    <row r="11202" ht="15.75" customHeight="1"/>
    <row r="11203" ht="15.75" customHeight="1"/>
    <row r="11204" ht="15.75" customHeight="1"/>
    <row r="11205" ht="15.75" customHeight="1"/>
    <row r="11206" ht="15.75" customHeight="1"/>
    <row r="11207" ht="15.75" customHeight="1"/>
    <row r="11208" ht="15.75" customHeight="1"/>
    <row r="11209" ht="15.75" customHeight="1"/>
    <row r="11210" ht="15.75" customHeight="1"/>
    <row r="11211" ht="15.75" customHeight="1"/>
    <row r="11212" ht="15.75" customHeight="1"/>
    <row r="11213" ht="15.75" customHeight="1"/>
    <row r="11214" ht="15.75" customHeight="1"/>
    <row r="11215" ht="15.75" customHeight="1"/>
    <row r="11216" ht="15.75" customHeight="1"/>
    <row r="11217" ht="15.75" customHeight="1"/>
    <row r="11218" ht="15.75" customHeight="1"/>
    <row r="11219" ht="15.75" customHeight="1"/>
    <row r="11220" ht="15.75" customHeight="1"/>
    <row r="11221" ht="15.75" customHeight="1"/>
    <row r="11222" ht="15.75" customHeight="1"/>
    <row r="11223" ht="15.75" customHeight="1"/>
    <row r="11224" ht="15.75" customHeight="1"/>
    <row r="11225" ht="15.75" customHeight="1"/>
    <row r="11226" ht="15.75" customHeight="1"/>
    <row r="11227" ht="15.75" customHeight="1"/>
    <row r="11228" ht="15.75" customHeight="1"/>
    <row r="11229" ht="15.75" customHeight="1"/>
    <row r="11230" ht="15.75" customHeight="1"/>
    <row r="11231" ht="15.75" customHeight="1"/>
    <row r="11232" ht="15.75" customHeight="1"/>
    <row r="11233" ht="15.75" customHeight="1"/>
    <row r="11234" ht="15.75" customHeight="1"/>
    <row r="11235" ht="15.75" customHeight="1"/>
    <row r="11236" ht="15.75" customHeight="1"/>
    <row r="11237" ht="15.75" customHeight="1"/>
    <row r="11238" ht="15.75" customHeight="1"/>
    <row r="11239" ht="15.75" customHeight="1"/>
    <row r="11240" ht="15.75" customHeight="1"/>
    <row r="11241" ht="15.75" customHeight="1"/>
    <row r="11242" ht="15.75" customHeight="1"/>
    <row r="11243" ht="15.75" customHeight="1"/>
    <row r="11244" ht="15.75" customHeight="1"/>
    <row r="11245" ht="15.75" customHeight="1"/>
    <row r="11246" ht="15.75" customHeight="1"/>
    <row r="11247" ht="15.75" customHeight="1"/>
    <row r="11248" ht="15.75" customHeight="1"/>
    <row r="11249" ht="15.75" customHeight="1"/>
    <row r="11250" ht="15.75" customHeight="1"/>
    <row r="11251" ht="15.75" customHeight="1"/>
    <row r="11252" ht="15.75" customHeight="1"/>
    <row r="11253" ht="15.75" customHeight="1"/>
    <row r="11254" ht="15.75" customHeight="1"/>
    <row r="11255" ht="15.75" customHeight="1"/>
    <row r="11256" ht="15.75" customHeight="1"/>
    <row r="11257" ht="15.75" customHeight="1"/>
    <row r="11258" ht="15.75" customHeight="1"/>
    <row r="11259" ht="15.75" customHeight="1"/>
    <row r="11260" ht="15.75" customHeight="1"/>
    <row r="11261" ht="15.75" customHeight="1"/>
    <row r="11262" ht="15.75" customHeight="1"/>
    <row r="11263" ht="15.75" customHeight="1"/>
    <row r="11264" ht="15.75" customHeight="1"/>
    <row r="11265" ht="15.75" customHeight="1"/>
    <row r="11266" ht="15.75" customHeight="1"/>
    <row r="11267" ht="15.75" customHeight="1"/>
    <row r="11268" ht="15.75" customHeight="1"/>
    <row r="11269" ht="15.75" customHeight="1"/>
    <row r="11270" ht="15.75" customHeight="1"/>
    <row r="11271" ht="15.75" customHeight="1"/>
    <row r="11272" ht="15.75" customHeight="1"/>
    <row r="11273" ht="15.75" customHeight="1"/>
    <row r="11274" ht="15.75" customHeight="1"/>
    <row r="11275" ht="15.75" customHeight="1"/>
    <row r="11276" ht="15.75" customHeight="1"/>
    <row r="11277" ht="15.75" customHeight="1"/>
    <row r="11278" ht="15.75" customHeight="1"/>
    <row r="11279" ht="15.75" customHeight="1"/>
    <row r="11280" ht="15.75" customHeight="1"/>
    <row r="11281" ht="15.75" customHeight="1"/>
    <row r="11282" ht="15.75" customHeight="1"/>
    <row r="11283" ht="15.75" customHeight="1"/>
    <row r="11284" ht="15.75" customHeight="1"/>
    <row r="11285" ht="15.75" customHeight="1"/>
    <row r="11286" ht="15.75" customHeight="1"/>
    <row r="11287" ht="15.75" customHeight="1"/>
    <row r="11288" ht="15.75" customHeight="1"/>
    <row r="11289" ht="15.75" customHeight="1"/>
    <row r="11290" ht="15.75" customHeight="1"/>
    <row r="11291" ht="15.75" customHeight="1"/>
    <row r="11292" ht="15.75" customHeight="1"/>
    <row r="11293" ht="15.75" customHeight="1"/>
    <row r="11294" ht="15.75" customHeight="1"/>
    <row r="11295" ht="15.75" customHeight="1"/>
    <row r="11296" ht="15.75" customHeight="1"/>
    <row r="11297" ht="15.75" customHeight="1"/>
    <row r="11298" ht="15.75" customHeight="1"/>
    <row r="11299" ht="15.75" customHeight="1"/>
    <row r="11300" ht="15.75" customHeight="1"/>
    <row r="11301" ht="15.75" customHeight="1"/>
    <row r="11302" ht="15.75" customHeight="1"/>
    <row r="11303" ht="15.75" customHeight="1"/>
    <row r="11304" ht="15.75" customHeight="1"/>
    <row r="11305" ht="15.75" customHeight="1"/>
    <row r="11306" ht="15.75" customHeight="1"/>
    <row r="11307" ht="15.75" customHeight="1"/>
    <row r="11308" ht="15.75" customHeight="1"/>
    <row r="11309" ht="15.75" customHeight="1"/>
    <row r="11310" ht="15.75" customHeight="1"/>
    <row r="11311" ht="15.75" customHeight="1"/>
    <row r="11312" ht="15.75" customHeight="1"/>
    <row r="11313" ht="15.75" customHeight="1"/>
    <row r="11314" ht="15.75" customHeight="1"/>
    <row r="11315" ht="15.75" customHeight="1"/>
    <row r="11316" ht="15.75" customHeight="1"/>
    <row r="11317" ht="15.75" customHeight="1"/>
    <row r="11318" ht="15.75" customHeight="1"/>
    <row r="11319" ht="15.75" customHeight="1"/>
    <row r="11320" ht="15.75" customHeight="1"/>
    <row r="11321" ht="15.75" customHeight="1"/>
    <row r="11322" ht="15.75" customHeight="1"/>
    <row r="11323" ht="15.75" customHeight="1"/>
    <row r="11324" ht="15.75" customHeight="1"/>
    <row r="11325" ht="15.75" customHeight="1"/>
    <row r="11326" ht="15.75" customHeight="1"/>
    <row r="11327" ht="15.75" customHeight="1"/>
    <row r="11328" ht="15.75" customHeight="1"/>
    <row r="11329" ht="15.75" customHeight="1"/>
    <row r="11330" ht="15.75" customHeight="1"/>
    <row r="11331" ht="15.75" customHeight="1"/>
    <row r="11332" ht="15.75" customHeight="1"/>
    <row r="11333" ht="15.75" customHeight="1"/>
    <row r="11334" ht="15.75" customHeight="1"/>
    <row r="11335" ht="15.75" customHeight="1"/>
    <row r="11336" ht="15.75" customHeight="1"/>
    <row r="11337" ht="15.75" customHeight="1"/>
    <row r="11338" ht="15.75" customHeight="1"/>
    <row r="11339" ht="15.75" customHeight="1"/>
    <row r="11340" ht="15.75" customHeight="1"/>
    <row r="11341" ht="15.75" customHeight="1"/>
    <row r="11342" ht="15.75" customHeight="1"/>
    <row r="11343" ht="15.75" customHeight="1"/>
    <row r="11344" ht="15.75" customHeight="1"/>
    <row r="11345" ht="15.75" customHeight="1"/>
    <row r="11346" ht="15.75" customHeight="1"/>
    <row r="11347" ht="15.75" customHeight="1"/>
    <row r="11348" ht="15.75" customHeight="1"/>
    <row r="11349" ht="15.75" customHeight="1"/>
    <row r="11350" ht="15.75" customHeight="1"/>
    <row r="11351" ht="15.75" customHeight="1"/>
    <row r="11352" ht="15.75" customHeight="1"/>
    <row r="11353" ht="15.75" customHeight="1"/>
    <row r="11354" ht="15.75" customHeight="1"/>
    <row r="11355" ht="15.75" customHeight="1"/>
    <row r="11356" ht="15.75" customHeight="1"/>
    <row r="11357" ht="15.75" customHeight="1"/>
    <row r="11358" ht="15.75" customHeight="1"/>
    <row r="11359" ht="15.75" customHeight="1"/>
    <row r="11360" ht="15.75" customHeight="1"/>
    <row r="11361" ht="15.75" customHeight="1"/>
    <row r="11362" ht="15.75" customHeight="1"/>
    <row r="11363" ht="15.75" customHeight="1"/>
    <row r="11364" ht="15.75" customHeight="1"/>
    <row r="11365" ht="15.75" customHeight="1"/>
    <row r="11366" ht="15.75" customHeight="1"/>
    <row r="11367" ht="15.75" customHeight="1"/>
    <row r="11368" ht="15.75" customHeight="1"/>
    <row r="11369" ht="15.75" customHeight="1"/>
    <row r="11370" ht="15.75" customHeight="1"/>
    <row r="11371" ht="15.75" customHeight="1"/>
    <row r="11372" ht="15.75" customHeight="1"/>
    <row r="11373" ht="15.75" customHeight="1"/>
    <row r="11374" ht="15.75" customHeight="1"/>
    <row r="11375" ht="15.75" customHeight="1"/>
    <row r="11376" ht="15.75" customHeight="1"/>
    <row r="11377" ht="15.75" customHeight="1"/>
    <row r="11378" ht="15.75" customHeight="1"/>
    <row r="11379" ht="15.75" customHeight="1"/>
    <row r="11380" ht="15.75" customHeight="1"/>
    <row r="11381" ht="15.75" customHeight="1"/>
    <row r="11382" ht="15.75" customHeight="1"/>
    <row r="11383" ht="15.75" customHeight="1"/>
    <row r="11384" ht="15.75" customHeight="1"/>
    <row r="11385" ht="15.75" customHeight="1"/>
    <row r="11386" ht="15.75" customHeight="1"/>
    <row r="11387" ht="15.75" customHeight="1"/>
    <row r="11388" ht="15.75" customHeight="1"/>
    <row r="11389" ht="15.75" customHeight="1"/>
    <row r="11390" ht="15.75" customHeight="1"/>
    <row r="11391" ht="15.75" customHeight="1"/>
    <row r="11392" ht="15.75" customHeight="1"/>
    <row r="11393" ht="15.75" customHeight="1"/>
    <row r="11394" ht="15.75" customHeight="1"/>
    <row r="11395" ht="15.75" customHeight="1"/>
    <row r="11396" ht="15.75" customHeight="1"/>
    <row r="11397" ht="15.75" customHeight="1"/>
    <row r="11398" ht="15.75" customHeight="1"/>
    <row r="11399" ht="15.75" customHeight="1"/>
    <row r="11400" ht="15.75" customHeight="1"/>
    <row r="11401" ht="15.75" customHeight="1"/>
    <row r="11402" ht="15.75" customHeight="1"/>
    <row r="11403" ht="15.75" customHeight="1"/>
    <row r="11404" ht="15.75" customHeight="1"/>
    <row r="11405" ht="15.75" customHeight="1"/>
    <row r="11406" ht="15.75" customHeight="1"/>
    <row r="11407" ht="15.75" customHeight="1"/>
    <row r="11408" ht="15.75" customHeight="1"/>
    <row r="11409" ht="15.75" customHeight="1"/>
    <row r="11410" ht="15.75" customHeight="1"/>
    <row r="11411" ht="15.75" customHeight="1"/>
    <row r="11412" ht="15.75" customHeight="1"/>
    <row r="11413" ht="15.75" customHeight="1"/>
    <row r="11414" ht="15.75" customHeight="1"/>
    <row r="11415" ht="15.75" customHeight="1"/>
    <row r="11416" ht="15.75" customHeight="1"/>
    <row r="11417" ht="15.75" customHeight="1"/>
    <row r="11418" ht="15.75" customHeight="1"/>
    <row r="11419" ht="15.75" customHeight="1"/>
    <row r="11420" ht="15.75" customHeight="1"/>
    <row r="11421" ht="15.75" customHeight="1"/>
    <row r="11422" ht="15.75" customHeight="1"/>
    <row r="11423" ht="15.75" customHeight="1"/>
    <row r="11424" ht="15.75" customHeight="1"/>
    <row r="11425" ht="15.75" customHeight="1"/>
    <row r="11426" ht="15.75" customHeight="1"/>
    <row r="11427" ht="15.75" customHeight="1"/>
    <row r="11428" ht="15.75" customHeight="1"/>
    <row r="11429" ht="15.75" customHeight="1"/>
    <row r="11430" ht="15.75" customHeight="1"/>
    <row r="11431" ht="15.75" customHeight="1"/>
    <row r="11432" ht="15.75" customHeight="1"/>
    <row r="11433" ht="15.75" customHeight="1"/>
    <row r="11434" ht="15.75" customHeight="1"/>
    <row r="11435" ht="15.75" customHeight="1"/>
    <row r="11436" ht="15.75" customHeight="1"/>
    <row r="11437" ht="15.75" customHeight="1"/>
    <row r="11438" ht="15.75" customHeight="1"/>
    <row r="11439" ht="15.75" customHeight="1"/>
    <row r="11440" ht="15.75" customHeight="1"/>
    <row r="11441" ht="15.75" customHeight="1"/>
    <row r="11442" ht="15.75" customHeight="1"/>
    <row r="11443" ht="15.75" customHeight="1"/>
    <row r="11444" ht="15.75" customHeight="1"/>
    <row r="11445" ht="15.75" customHeight="1"/>
    <row r="11446" ht="15.75" customHeight="1"/>
    <row r="11447" ht="15.75" customHeight="1"/>
    <row r="11448" ht="15.75" customHeight="1"/>
    <row r="11449" ht="15.75" customHeight="1"/>
    <row r="11450" ht="15.75" customHeight="1"/>
    <row r="11451" ht="15.75" customHeight="1"/>
    <row r="11452" ht="15.75" customHeight="1"/>
    <row r="11453" ht="15.75" customHeight="1"/>
    <row r="11454" ht="15.75" customHeight="1"/>
    <row r="11455" ht="15.75" customHeight="1"/>
    <row r="11456" ht="15.75" customHeight="1"/>
    <row r="11457" ht="15.75" customHeight="1"/>
    <row r="11458" ht="15.75" customHeight="1"/>
    <row r="11459" ht="15.75" customHeight="1"/>
    <row r="11460" ht="15.75" customHeight="1"/>
    <row r="11461" ht="15.75" customHeight="1"/>
    <row r="11462" ht="15.75" customHeight="1"/>
    <row r="11463" ht="15.75" customHeight="1"/>
    <row r="11464" ht="15.75" customHeight="1"/>
    <row r="11465" ht="15.75" customHeight="1"/>
    <row r="11466" ht="15.75" customHeight="1"/>
    <row r="11467" ht="15.75" customHeight="1"/>
    <row r="11468" ht="15.75" customHeight="1"/>
    <row r="11469" ht="15.75" customHeight="1"/>
    <row r="11470" ht="15.75" customHeight="1"/>
    <row r="11471" ht="15.75" customHeight="1"/>
    <row r="11472" ht="15.75" customHeight="1"/>
    <row r="11473" ht="15.75" customHeight="1"/>
    <row r="11474" ht="15.75" customHeight="1"/>
    <row r="11475" ht="15.75" customHeight="1"/>
    <row r="11476" ht="15.75" customHeight="1"/>
    <row r="11477" ht="15.75" customHeight="1"/>
    <row r="11478" ht="15.75" customHeight="1"/>
    <row r="11479" ht="15.75" customHeight="1"/>
    <row r="11480" ht="15.75" customHeight="1"/>
    <row r="11481" ht="15.75" customHeight="1"/>
    <row r="11482" ht="15.75" customHeight="1"/>
    <row r="11483" ht="15.75" customHeight="1"/>
    <row r="11484" ht="15.75" customHeight="1"/>
    <row r="11485" ht="15.75" customHeight="1"/>
    <row r="11486" ht="15.75" customHeight="1"/>
    <row r="11487" ht="15.75" customHeight="1"/>
    <row r="11488" ht="15.75" customHeight="1"/>
    <row r="11489" ht="15.75" customHeight="1"/>
    <row r="11490" ht="15.75" customHeight="1"/>
    <row r="11491" ht="15.75" customHeight="1"/>
    <row r="11492" ht="15.75" customHeight="1"/>
    <row r="11493" ht="15.75" customHeight="1"/>
    <row r="11494" ht="15.75" customHeight="1"/>
    <row r="11495" ht="15.75" customHeight="1"/>
    <row r="11496" ht="15.75" customHeight="1"/>
    <row r="11497" ht="15.75" customHeight="1"/>
    <row r="11498" ht="15.75" customHeight="1"/>
    <row r="11499" ht="15.75" customHeight="1"/>
    <row r="11500" ht="15.75" customHeight="1"/>
    <row r="11501" ht="15.75" customHeight="1"/>
    <row r="11502" ht="15.75" customHeight="1"/>
    <row r="11503" ht="15.75" customHeight="1"/>
    <row r="11504" ht="15.75" customHeight="1"/>
    <row r="11505" ht="15.75" customHeight="1"/>
    <row r="11506" ht="15.75" customHeight="1"/>
    <row r="11507" ht="15.75" customHeight="1"/>
    <row r="11508" ht="15.75" customHeight="1"/>
    <row r="11509" ht="15.75" customHeight="1"/>
    <row r="11510" ht="15.75" customHeight="1"/>
    <row r="11511" ht="15.75" customHeight="1"/>
    <row r="11512" ht="15.75" customHeight="1"/>
    <row r="11513" ht="15.75" customHeight="1"/>
    <row r="11514" ht="15.75" customHeight="1"/>
    <row r="11515" ht="15.75" customHeight="1"/>
    <row r="11516" ht="15.75" customHeight="1"/>
    <row r="11517" ht="15.75" customHeight="1"/>
    <row r="11518" ht="15.75" customHeight="1"/>
    <row r="11519" ht="15.75" customHeight="1"/>
    <row r="11520" ht="15.75" customHeight="1"/>
    <row r="11521" ht="15.75" customHeight="1"/>
    <row r="11522" ht="15.75" customHeight="1"/>
    <row r="11523" ht="15.75" customHeight="1"/>
    <row r="11524" ht="15.75" customHeight="1"/>
    <row r="11525" ht="15.75" customHeight="1"/>
    <row r="11526" ht="15.75" customHeight="1"/>
    <row r="11527" ht="15.75" customHeight="1"/>
    <row r="11528" ht="15.75" customHeight="1"/>
    <row r="11529" ht="15.75" customHeight="1"/>
    <row r="11530" ht="15.75" customHeight="1"/>
    <row r="11531" ht="15.75" customHeight="1"/>
    <row r="11532" ht="15.75" customHeight="1"/>
    <row r="11533" ht="15.75" customHeight="1"/>
    <row r="11534" ht="15.75" customHeight="1"/>
    <row r="11535" ht="15.75" customHeight="1"/>
    <row r="11536" ht="15.75" customHeight="1"/>
    <row r="11537" ht="15.75" customHeight="1"/>
    <row r="11538" ht="15.75" customHeight="1"/>
    <row r="11539" ht="15.75" customHeight="1"/>
    <row r="11540" ht="15.75" customHeight="1"/>
    <row r="11541" ht="15.75" customHeight="1"/>
    <row r="11542" ht="15.75" customHeight="1"/>
    <row r="11543" ht="15.75" customHeight="1"/>
    <row r="11544" ht="15.75" customHeight="1"/>
    <row r="11545" ht="15.75" customHeight="1"/>
    <row r="11546" ht="15.75" customHeight="1"/>
    <row r="11547" ht="15.75" customHeight="1"/>
    <row r="11548" ht="15.75" customHeight="1"/>
    <row r="11549" ht="15.75" customHeight="1"/>
    <row r="11550" ht="15.75" customHeight="1"/>
    <row r="11551" ht="15.75" customHeight="1"/>
    <row r="11552" ht="15.75" customHeight="1"/>
    <row r="11553" ht="15.75" customHeight="1"/>
    <row r="11554" ht="15.75" customHeight="1"/>
    <row r="11555" ht="15.75" customHeight="1"/>
    <row r="11556" ht="15.75" customHeight="1"/>
    <row r="11557" ht="15.75" customHeight="1"/>
    <row r="11558" ht="15.75" customHeight="1"/>
    <row r="11559" ht="15.75" customHeight="1"/>
    <row r="11560" ht="15.75" customHeight="1"/>
    <row r="11561" ht="15.75" customHeight="1"/>
    <row r="11562" ht="15.75" customHeight="1"/>
    <row r="11563" ht="15.75" customHeight="1"/>
    <row r="11564" ht="15.75" customHeight="1"/>
    <row r="11565" ht="15.75" customHeight="1"/>
    <row r="11566" ht="15.75" customHeight="1"/>
    <row r="11567" ht="15.75" customHeight="1"/>
    <row r="11568" ht="15.75" customHeight="1"/>
    <row r="11569" ht="15.75" customHeight="1"/>
    <row r="11570" ht="15.75" customHeight="1"/>
    <row r="11571" ht="15.75" customHeight="1"/>
    <row r="11572" ht="15.75" customHeight="1"/>
    <row r="11573" ht="15.75" customHeight="1"/>
    <row r="11574" ht="15.75" customHeight="1"/>
    <row r="11575" ht="15.75" customHeight="1"/>
    <row r="11576" ht="15.75" customHeight="1"/>
    <row r="11577" ht="15.75" customHeight="1"/>
    <row r="11578" ht="15.75" customHeight="1"/>
    <row r="11579" ht="15.75" customHeight="1"/>
    <row r="11580" ht="15.75" customHeight="1"/>
    <row r="11581" ht="15.75" customHeight="1"/>
    <row r="11582" ht="15.75" customHeight="1"/>
    <row r="11583" ht="15.75" customHeight="1"/>
    <row r="11584" ht="15.75" customHeight="1"/>
    <row r="11585" ht="15.75" customHeight="1"/>
    <row r="11586" ht="15.75" customHeight="1"/>
    <row r="11587" ht="15.75" customHeight="1"/>
    <row r="11588" ht="15.75" customHeight="1"/>
    <row r="11589" ht="15.75" customHeight="1"/>
    <row r="11590" ht="15.75" customHeight="1"/>
    <row r="11591" ht="15.75" customHeight="1"/>
    <row r="11592" ht="15.75" customHeight="1"/>
    <row r="11593" ht="15.75" customHeight="1"/>
    <row r="11594" ht="15.75" customHeight="1"/>
    <row r="11595" ht="15.75" customHeight="1"/>
    <row r="11596" ht="15.75" customHeight="1"/>
    <row r="11597" ht="15.75" customHeight="1"/>
    <row r="11598" ht="15.75" customHeight="1"/>
    <row r="11599" ht="15.75" customHeight="1"/>
    <row r="11600" ht="15.75" customHeight="1"/>
    <row r="11601" ht="15.75" customHeight="1"/>
    <row r="11602" ht="15.75" customHeight="1"/>
    <row r="11603" ht="15.75" customHeight="1"/>
    <row r="11604" ht="15.75" customHeight="1"/>
    <row r="11605" ht="15.75" customHeight="1"/>
    <row r="11606" ht="15.75" customHeight="1"/>
    <row r="11607" ht="15.75" customHeight="1"/>
    <row r="11608" ht="15.75" customHeight="1"/>
    <row r="11609" ht="15.75" customHeight="1"/>
    <row r="11610" ht="15.75" customHeight="1"/>
    <row r="11611" ht="15.75" customHeight="1"/>
    <row r="11612" ht="15.75" customHeight="1"/>
    <row r="11613" ht="15.75" customHeight="1"/>
    <row r="11614" ht="15.75" customHeight="1"/>
    <row r="11615" ht="15.75" customHeight="1"/>
    <row r="11616" ht="15.75" customHeight="1"/>
    <row r="11617" ht="15.75" customHeight="1"/>
    <row r="11618" ht="15.75" customHeight="1"/>
    <row r="11619" ht="15.75" customHeight="1"/>
    <row r="11620" ht="15.75" customHeight="1"/>
    <row r="11621" ht="15.75" customHeight="1"/>
    <row r="11622" ht="15.75" customHeight="1"/>
    <row r="11623" ht="15.75" customHeight="1"/>
    <row r="11624" ht="15.75" customHeight="1"/>
    <row r="11625" ht="15.75" customHeight="1"/>
    <row r="11626" ht="15.75" customHeight="1"/>
    <row r="11627" ht="15.75" customHeight="1"/>
    <row r="11628" ht="15.75" customHeight="1"/>
    <row r="11629" ht="15.75" customHeight="1"/>
    <row r="11630" ht="15.75" customHeight="1"/>
    <row r="11631" ht="15.75" customHeight="1"/>
    <row r="11632" ht="15.75" customHeight="1"/>
    <row r="11633" ht="15.75" customHeight="1"/>
    <row r="11634" ht="15.75" customHeight="1"/>
    <row r="11635" ht="15.75" customHeight="1"/>
    <row r="11636" ht="15.75" customHeight="1"/>
    <row r="11637" ht="15.75" customHeight="1"/>
    <row r="11638" ht="15.75" customHeight="1"/>
    <row r="11639" ht="15.75" customHeight="1"/>
    <row r="11640" ht="15.75" customHeight="1"/>
    <row r="11641" ht="15.75" customHeight="1"/>
    <row r="11642" ht="15.75" customHeight="1"/>
    <row r="11643" ht="15.75" customHeight="1"/>
    <row r="11644" ht="15.75" customHeight="1"/>
    <row r="11645" ht="15.75" customHeight="1"/>
    <row r="11646" ht="15.75" customHeight="1"/>
    <row r="11647" ht="15.75" customHeight="1"/>
    <row r="11648" ht="15.75" customHeight="1"/>
    <row r="11649" ht="15.75" customHeight="1"/>
    <row r="11650" ht="15.75" customHeight="1"/>
    <row r="11651" ht="15.75" customHeight="1"/>
    <row r="11652" ht="15.75" customHeight="1"/>
    <row r="11653" ht="15.75" customHeight="1"/>
    <row r="11654" ht="15.75" customHeight="1"/>
    <row r="11655" ht="15.75" customHeight="1"/>
    <row r="11656" ht="15.75" customHeight="1"/>
    <row r="11657" ht="15.75" customHeight="1"/>
    <row r="11658" ht="15.75" customHeight="1"/>
    <row r="11659" ht="15.75" customHeight="1"/>
    <row r="11660" ht="15.75" customHeight="1"/>
    <row r="11661" ht="15.75" customHeight="1"/>
    <row r="11662" ht="15.75" customHeight="1"/>
    <row r="11663" ht="15.75" customHeight="1"/>
    <row r="11664" ht="15.75" customHeight="1"/>
    <row r="11665" ht="15.75" customHeight="1"/>
    <row r="11666" ht="15.75" customHeight="1"/>
    <row r="11667" ht="15.75" customHeight="1"/>
    <row r="11668" ht="15.75" customHeight="1"/>
    <row r="11669" ht="15.75" customHeight="1"/>
    <row r="11670" ht="15.75" customHeight="1"/>
    <row r="11671" ht="15.75" customHeight="1"/>
    <row r="11672" ht="15.75" customHeight="1"/>
    <row r="11673" ht="15.75" customHeight="1"/>
    <row r="11674" ht="15.75" customHeight="1"/>
    <row r="11675" ht="15.75" customHeight="1"/>
    <row r="11676" ht="15.75" customHeight="1"/>
    <row r="11677" ht="15.75" customHeight="1"/>
    <row r="11678" ht="15.75" customHeight="1"/>
    <row r="11679" ht="15.75" customHeight="1"/>
    <row r="11680" ht="15.75" customHeight="1"/>
    <row r="11681" ht="15.75" customHeight="1"/>
    <row r="11682" ht="15.75" customHeight="1"/>
    <row r="11683" ht="15.75" customHeight="1"/>
    <row r="11684" ht="15.75" customHeight="1"/>
    <row r="11685" ht="15.75" customHeight="1"/>
    <row r="11686" ht="15.75" customHeight="1"/>
    <row r="11687" ht="15.75" customHeight="1"/>
    <row r="11688" ht="15.75" customHeight="1"/>
    <row r="11689" ht="15.75" customHeight="1"/>
    <row r="11690" ht="15.75" customHeight="1"/>
    <row r="11691" ht="15.75" customHeight="1"/>
    <row r="11692" ht="15.75" customHeight="1"/>
    <row r="11693" ht="15.75" customHeight="1"/>
    <row r="11694" ht="15.75" customHeight="1"/>
    <row r="11695" ht="15.75" customHeight="1"/>
    <row r="11696" ht="15.75" customHeight="1"/>
    <row r="11697" ht="15.75" customHeight="1"/>
    <row r="11698" ht="15.75" customHeight="1"/>
    <row r="11699" ht="15.75" customHeight="1"/>
    <row r="11700" ht="15.75" customHeight="1"/>
    <row r="11701" ht="15.75" customHeight="1"/>
    <row r="11702" ht="15.75" customHeight="1"/>
    <row r="11703" ht="15.75" customHeight="1"/>
    <row r="11704" ht="15.75" customHeight="1"/>
    <row r="11705" ht="15.75" customHeight="1"/>
    <row r="11706" ht="15.75" customHeight="1"/>
    <row r="11707" ht="15.75" customHeight="1"/>
    <row r="11708" ht="15.75" customHeight="1"/>
    <row r="11709" ht="15.75" customHeight="1"/>
    <row r="11710" ht="15.75" customHeight="1"/>
    <row r="11711" ht="15.75" customHeight="1"/>
    <row r="11712" ht="15.75" customHeight="1"/>
    <row r="11713" ht="15.75" customHeight="1"/>
    <row r="11714" ht="15.75" customHeight="1"/>
    <row r="11715" ht="15.75" customHeight="1"/>
    <row r="11716" ht="15.75" customHeight="1"/>
    <row r="11717" ht="15.75" customHeight="1"/>
    <row r="11718" ht="15.75" customHeight="1"/>
    <row r="11719" ht="15.75" customHeight="1"/>
    <row r="11720" ht="15.75" customHeight="1"/>
    <row r="11721" ht="15.75" customHeight="1"/>
    <row r="11722" ht="15.75" customHeight="1"/>
    <row r="11723" ht="15.75" customHeight="1"/>
    <row r="11724" ht="15.75" customHeight="1"/>
    <row r="11725" ht="15.75" customHeight="1"/>
    <row r="11726" ht="15.75" customHeight="1"/>
    <row r="11727" ht="15.75" customHeight="1"/>
    <row r="11728" ht="15.75" customHeight="1"/>
    <row r="11729" ht="15.75" customHeight="1"/>
    <row r="11730" ht="15.75" customHeight="1"/>
    <row r="11731" ht="15.75" customHeight="1"/>
    <row r="11732" ht="15.75" customHeight="1"/>
    <row r="11733" ht="15.75" customHeight="1"/>
    <row r="11734" ht="15.75" customHeight="1"/>
    <row r="11735" ht="15.75" customHeight="1"/>
    <row r="11736" ht="15.75" customHeight="1"/>
    <row r="11737" ht="15.75" customHeight="1"/>
    <row r="11738" ht="15.75" customHeight="1"/>
    <row r="11739" ht="15.75" customHeight="1"/>
    <row r="11740" ht="15.75" customHeight="1"/>
    <row r="11741" ht="15.75" customHeight="1"/>
    <row r="11742" ht="15.75" customHeight="1"/>
    <row r="11743" ht="15.75" customHeight="1"/>
    <row r="11744" ht="15.75" customHeight="1"/>
    <row r="11745" ht="15.75" customHeight="1"/>
    <row r="11746" ht="15.75" customHeight="1"/>
    <row r="11747" ht="15.75" customHeight="1"/>
    <row r="11748" ht="15.75" customHeight="1"/>
    <row r="11749" ht="15.75" customHeight="1"/>
    <row r="11750" ht="15.75" customHeight="1"/>
    <row r="11751" ht="15.75" customHeight="1"/>
    <row r="11752" ht="15.75" customHeight="1"/>
    <row r="11753" ht="15.75" customHeight="1"/>
    <row r="11754" ht="15.75" customHeight="1"/>
    <row r="11755" ht="15.75" customHeight="1"/>
    <row r="11756" ht="15.75" customHeight="1"/>
    <row r="11757" ht="15.75" customHeight="1"/>
    <row r="11758" ht="15.75" customHeight="1"/>
    <row r="11759" ht="15.75" customHeight="1"/>
    <row r="11760" ht="15.75" customHeight="1"/>
    <row r="11761" ht="15.75" customHeight="1"/>
    <row r="11762" ht="15.75" customHeight="1"/>
    <row r="11763" ht="15.75" customHeight="1"/>
    <row r="11764" ht="15.75" customHeight="1"/>
    <row r="11765" ht="15.75" customHeight="1"/>
    <row r="11766" ht="15.75" customHeight="1"/>
    <row r="11767" ht="15.75" customHeight="1"/>
    <row r="11768" ht="15.75" customHeight="1"/>
    <row r="11769" ht="15.75" customHeight="1"/>
    <row r="11770" ht="15.75" customHeight="1"/>
    <row r="11771" ht="15.75" customHeight="1"/>
    <row r="11772" ht="15.75" customHeight="1"/>
    <row r="11773" ht="15.75" customHeight="1"/>
    <row r="11774" ht="15.75" customHeight="1"/>
    <row r="11775" ht="15.75" customHeight="1"/>
    <row r="11776" ht="15.75" customHeight="1"/>
    <row r="11777" ht="15.75" customHeight="1"/>
    <row r="11778" ht="15.75" customHeight="1"/>
    <row r="11779" ht="15.75" customHeight="1"/>
    <row r="11780" ht="15.75" customHeight="1"/>
    <row r="11781" ht="15.75" customHeight="1"/>
    <row r="11782" ht="15.75" customHeight="1"/>
    <row r="11783" ht="15.75" customHeight="1"/>
    <row r="11784" ht="15.75" customHeight="1"/>
    <row r="11785" ht="15.75" customHeight="1"/>
    <row r="11786" ht="15.75" customHeight="1"/>
    <row r="11787" ht="15.75" customHeight="1"/>
    <row r="11788" ht="15.75" customHeight="1"/>
    <row r="11789" ht="15.75" customHeight="1"/>
    <row r="11790" ht="15.75" customHeight="1"/>
    <row r="11791" ht="15.75" customHeight="1"/>
    <row r="11792" ht="15.75" customHeight="1"/>
    <row r="11793" ht="15.75" customHeight="1"/>
    <row r="11794" ht="15.75" customHeight="1"/>
    <row r="11795" ht="15.75" customHeight="1"/>
    <row r="11796" ht="15.75" customHeight="1"/>
    <row r="11797" ht="15.75" customHeight="1"/>
    <row r="11798" ht="15.75" customHeight="1"/>
    <row r="11799" ht="15.75" customHeight="1"/>
    <row r="11800" ht="15.75" customHeight="1"/>
    <row r="11801" ht="15.75" customHeight="1"/>
    <row r="11802" ht="15.75" customHeight="1"/>
    <row r="11803" ht="15.75" customHeight="1"/>
    <row r="11804" ht="15.75" customHeight="1"/>
    <row r="11805" ht="15.75" customHeight="1"/>
    <row r="11806" ht="15.75" customHeight="1"/>
    <row r="11807" ht="15.75" customHeight="1"/>
    <row r="11808" ht="15.75" customHeight="1"/>
    <row r="11809" ht="15.75" customHeight="1"/>
    <row r="11810" ht="15.75" customHeight="1"/>
    <row r="11811" ht="15.75" customHeight="1"/>
    <row r="11812" ht="15.75" customHeight="1"/>
    <row r="11813" ht="15.75" customHeight="1"/>
    <row r="11814" ht="15.75" customHeight="1"/>
    <row r="11815" ht="15.75" customHeight="1"/>
    <row r="11816" ht="15.75" customHeight="1"/>
    <row r="11817" ht="15.75" customHeight="1"/>
    <row r="11818" ht="15.75" customHeight="1"/>
    <row r="11819" ht="15.75" customHeight="1"/>
    <row r="11820" ht="15.75" customHeight="1"/>
    <row r="11821" ht="15.75" customHeight="1"/>
    <row r="11822" ht="15.75" customHeight="1"/>
    <row r="11823" ht="15.75" customHeight="1"/>
    <row r="11824" ht="15.75" customHeight="1"/>
    <row r="11825" ht="15.75" customHeight="1"/>
    <row r="11826" ht="15.75" customHeight="1"/>
    <row r="11827" ht="15.75" customHeight="1"/>
    <row r="11828" ht="15.75" customHeight="1"/>
    <row r="11829" ht="15.75" customHeight="1"/>
    <row r="11830" ht="15.75" customHeight="1"/>
    <row r="11831" ht="15.75" customHeight="1"/>
    <row r="11832" ht="15.75" customHeight="1"/>
    <row r="11833" ht="15.75" customHeight="1"/>
    <row r="11834" ht="15.75" customHeight="1"/>
    <row r="11835" ht="15.75" customHeight="1"/>
    <row r="11836" ht="15.75" customHeight="1"/>
    <row r="11837" ht="15.75" customHeight="1"/>
    <row r="11838" ht="15.75" customHeight="1"/>
    <row r="11839" ht="15.75" customHeight="1"/>
    <row r="11840" ht="15.75" customHeight="1"/>
    <row r="11841" ht="15.75" customHeight="1"/>
    <row r="11842" ht="15.75" customHeight="1"/>
    <row r="11843" ht="15.75" customHeight="1"/>
    <row r="11844" ht="15.75" customHeight="1"/>
    <row r="11845" ht="15.75" customHeight="1"/>
    <row r="11846" ht="15.75" customHeight="1"/>
    <row r="11847" ht="15.75" customHeight="1"/>
    <row r="11848" ht="15.75" customHeight="1"/>
    <row r="11849" ht="15.75" customHeight="1"/>
    <row r="11850" ht="15.75" customHeight="1"/>
    <row r="11851" ht="15.75" customHeight="1"/>
    <row r="11852" ht="15.75" customHeight="1"/>
    <row r="11853" ht="15.75" customHeight="1"/>
    <row r="11854" ht="15.75" customHeight="1"/>
    <row r="11855" ht="15.75" customHeight="1"/>
    <row r="11856" ht="15.75" customHeight="1"/>
    <row r="11857" ht="15.75" customHeight="1"/>
    <row r="11858" ht="15.75" customHeight="1"/>
    <row r="11859" ht="15.75" customHeight="1"/>
    <row r="11860" ht="15.75" customHeight="1"/>
    <row r="11861" ht="15.75" customHeight="1"/>
    <row r="11862" ht="15.75" customHeight="1"/>
    <row r="11863" ht="15.75" customHeight="1"/>
    <row r="11864" ht="15.75" customHeight="1"/>
    <row r="11865" ht="15.75" customHeight="1"/>
    <row r="11866" ht="15.75" customHeight="1"/>
    <row r="11867" ht="15.75" customHeight="1"/>
    <row r="11868" ht="15.75" customHeight="1"/>
    <row r="11869" ht="15.75" customHeight="1"/>
    <row r="11870" ht="15.75" customHeight="1"/>
    <row r="11871" ht="15.75" customHeight="1"/>
    <row r="11872" ht="15.75" customHeight="1"/>
    <row r="11873" ht="15.75" customHeight="1"/>
    <row r="11874" ht="15.75" customHeight="1"/>
    <row r="11875" ht="15.75" customHeight="1"/>
    <row r="11876" ht="15.75" customHeight="1"/>
    <row r="11877" ht="15.75" customHeight="1"/>
    <row r="11878" ht="15.75" customHeight="1"/>
    <row r="11879" ht="15.75" customHeight="1"/>
    <row r="11880" ht="15.75" customHeight="1"/>
    <row r="11881" ht="15.75" customHeight="1"/>
    <row r="11882" ht="15.75" customHeight="1"/>
    <row r="11883" ht="15.75" customHeight="1"/>
    <row r="11884" ht="15.75" customHeight="1"/>
    <row r="11885" ht="15.75" customHeight="1"/>
    <row r="11886" ht="15.75" customHeight="1"/>
    <row r="11887" ht="15.75" customHeight="1"/>
    <row r="11888" ht="15.75" customHeight="1"/>
    <row r="11889" ht="15.75" customHeight="1"/>
    <row r="11890" ht="15.75" customHeight="1"/>
    <row r="11891" ht="15.75" customHeight="1"/>
    <row r="11892" ht="15.75" customHeight="1"/>
    <row r="11893" ht="15.75" customHeight="1"/>
    <row r="11894" ht="15.75" customHeight="1"/>
    <row r="11895" ht="15.75" customHeight="1"/>
    <row r="11896" ht="15.75" customHeight="1"/>
    <row r="11897" ht="15.75" customHeight="1"/>
    <row r="11898" ht="15.75" customHeight="1"/>
    <row r="11899" ht="15.75" customHeight="1"/>
    <row r="11900" ht="15.75" customHeight="1"/>
    <row r="11901" ht="15.75" customHeight="1"/>
    <row r="11902" ht="15.75" customHeight="1"/>
    <row r="11903" ht="15.75" customHeight="1"/>
    <row r="11904" ht="15.75" customHeight="1"/>
    <row r="11905" ht="15.75" customHeight="1"/>
    <row r="11906" ht="15.75" customHeight="1"/>
    <row r="11907" ht="15.75" customHeight="1"/>
    <row r="11908" ht="15.75" customHeight="1"/>
    <row r="11909" ht="15.75" customHeight="1"/>
    <row r="11910" ht="15.75" customHeight="1"/>
    <row r="11911" ht="15.75" customHeight="1"/>
    <row r="11912" ht="15.75" customHeight="1"/>
    <row r="11913" ht="15.75" customHeight="1"/>
    <row r="11914" ht="15.75" customHeight="1"/>
    <row r="11915" ht="15.75" customHeight="1"/>
    <row r="11916" ht="15.75" customHeight="1"/>
    <row r="11917" ht="15.75" customHeight="1"/>
    <row r="11918" ht="15.75" customHeight="1"/>
    <row r="11919" ht="15.75" customHeight="1"/>
    <row r="11920" ht="15.75" customHeight="1"/>
    <row r="11921" ht="15.75" customHeight="1"/>
    <row r="11922" ht="15.75" customHeight="1"/>
    <row r="11923" ht="15.75" customHeight="1"/>
    <row r="11924" ht="15.75" customHeight="1"/>
    <row r="11925" ht="15.75" customHeight="1"/>
    <row r="11926" ht="15.75" customHeight="1"/>
    <row r="11927" ht="15.75" customHeight="1"/>
    <row r="11928" ht="15.75" customHeight="1"/>
    <row r="11929" ht="15.75" customHeight="1"/>
    <row r="11930" ht="15.75" customHeight="1"/>
    <row r="11931" ht="15.75" customHeight="1"/>
    <row r="11932" ht="15.75" customHeight="1"/>
    <row r="11933" ht="15.75" customHeight="1"/>
    <row r="11934" ht="15.75" customHeight="1"/>
    <row r="11935" ht="15.75" customHeight="1"/>
    <row r="11936" ht="15.75" customHeight="1"/>
    <row r="11937" ht="15.75" customHeight="1"/>
    <row r="11938" ht="15.75" customHeight="1"/>
    <row r="11939" ht="15.75" customHeight="1"/>
    <row r="11940" ht="15.75" customHeight="1"/>
    <row r="11941" ht="15.75" customHeight="1"/>
    <row r="11942" ht="15.75" customHeight="1"/>
    <row r="11943" ht="15.75" customHeight="1"/>
    <row r="11944" ht="15.75" customHeight="1"/>
    <row r="11945" ht="15.75" customHeight="1"/>
    <row r="11946" ht="15.75" customHeight="1"/>
    <row r="11947" ht="15.75" customHeight="1"/>
    <row r="11948" ht="15.75" customHeight="1"/>
    <row r="11949" ht="15.75" customHeight="1"/>
    <row r="11950" ht="15.75" customHeight="1"/>
    <row r="11951" ht="15.75" customHeight="1"/>
    <row r="11952" ht="15.75" customHeight="1"/>
    <row r="11953" ht="15.75" customHeight="1"/>
    <row r="11954" ht="15.75" customHeight="1"/>
    <row r="11955" ht="15.75" customHeight="1"/>
    <row r="11956" ht="15.75" customHeight="1"/>
    <row r="11957" ht="15.75" customHeight="1"/>
    <row r="11958" ht="15.75" customHeight="1"/>
    <row r="11959" ht="15.75" customHeight="1"/>
    <row r="11960" ht="15.75" customHeight="1"/>
    <row r="11961" ht="15.75" customHeight="1"/>
    <row r="11962" ht="15.75" customHeight="1"/>
    <row r="11963" ht="15.75" customHeight="1"/>
    <row r="11964" ht="15.75" customHeight="1"/>
    <row r="11965" ht="15.75" customHeight="1"/>
    <row r="11966" ht="15.75" customHeight="1"/>
    <row r="11967" ht="15.75" customHeight="1"/>
    <row r="11968" ht="15.75" customHeight="1"/>
    <row r="11969" ht="15.75" customHeight="1"/>
    <row r="11970" ht="15.75" customHeight="1"/>
    <row r="11971" ht="15.75" customHeight="1"/>
    <row r="11972" ht="15.75" customHeight="1"/>
    <row r="11973" ht="15.75" customHeight="1"/>
    <row r="11974" ht="15.75" customHeight="1"/>
    <row r="11975" ht="15.75" customHeight="1"/>
    <row r="11976" ht="15.75" customHeight="1"/>
    <row r="11977" ht="15.75" customHeight="1"/>
    <row r="11978" ht="15.75" customHeight="1"/>
    <row r="11979" ht="15.75" customHeight="1"/>
    <row r="11980" ht="15.75" customHeight="1"/>
    <row r="11981" ht="15.75" customHeight="1"/>
    <row r="11982" ht="15.75" customHeight="1"/>
    <row r="11983" ht="15.75" customHeight="1"/>
    <row r="11984" ht="15.75" customHeight="1"/>
    <row r="11985" ht="15.75" customHeight="1"/>
    <row r="11986" ht="15.75" customHeight="1"/>
    <row r="11987" ht="15.75" customHeight="1"/>
    <row r="11988" ht="15.75" customHeight="1"/>
    <row r="11989" ht="15.75" customHeight="1"/>
    <row r="11990" ht="15.75" customHeight="1"/>
    <row r="11991" ht="15.75" customHeight="1"/>
    <row r="11992" ht="15.75" customHeight="1"/>
    <row r="11993" ht="15.75" customHeight="1"/>
    <row r="11994" ht="15.75" customHeight="1"/>
    <row r="11995" ht="15.75" customHeight="1"/>
    <row r="11996" ht="15.75" customHeight="1"/>
    <row r="11997" ht="15.75" customHeight="1"/>
    <row r="11998" ht="15.75" customHeight="1"/>
    <row r="11999" ht="15.75" customHeight="1"/>
    <row r="12000" ht="15.75" customHeight="1"/>
    <row r="12001" ht="15.75" customHeight="1"/>
    <row r="12002" ht="15.75" customHeight="1"/>
    <row r="12003" ht="15.75" customHeight="1"/>
    <row r="12004" ht="15.75" customHeight="1"/>
    <row r="12005" ht="15.75" customHeight="1"/>
    <row r="12006" ht="15.75" customHeight="1"/>
    <row r="12007" ht="15.75" customHeight="1"/>
    <row r="12008" ht="15.75" customHeight="1"/>
    <row r="12009" ht="15.75" customHeight="1"/>
    <row r="12010" ht="15.75" customHeight="1"/>
    <row r="12011" ht="15.75" customHeight="1"/>
    <row r="12012" ht="15.75" customHeight="1"/>
    <row r="12013" ht="15.75" customHeight="1"/>
    <row r="12014" ht="15.75" customHeight="1"/>
    <row r="12015" ht="15.75" customHeight="1"/>
    <row r="12016" ht="15.75" customHeight="1"/>
    <row r="12017" ht="15.75" customHeight="1"/>
    <row r="12018" ht="15.75" customHeight="1"/>
    <row r="12019" ht="15.75" customHeight="1"/>
    <row r="12020" ht="15.75" customHeight="1"/>
    <row r="12021" ht="15.75" customHeight="1"/>
    <row r="12022" ht="15.75" customHeight="1"/>
    <row r="12023" ht="15.75" customHeight="1"/>
    <row r="12024" ht="15.75" customHeight="1"/>
    <row r="12025" ht="15.75" customHeight="1"/>
    <row r="12026" ht="15.75" customHeight="1"/>
    <row r="12027" ht="15.75" customHeight="1"/>
    <row r="12028" ht="15.75" customHeight="1"/>
    <row r="12029" ht="15.75" customHeight="1"/>
    <row r="12030" ht="15.75" customHeight="1"/>
    <row r="12031" ht="15.75" customHeight="1"/>
    <row r="12032" ht="15.75" customHeight="1"/>
    <row r="12033" ht="15.75" customHeight="1"/>
    <row r="12034" ht="15.75" customHeight="1"/>
    <row r="12035" ht="15.75" customHeight="1"/>
    <row r="12036" ht="15.75" customHeight="1"/>
    <row r="12037" ht="15.75" customHeight="1"/>
    <row r="12038" ht="15.75" customHeight="1"/>
    <row r="12039" ht="15.75" customHeight="1"/>
    <row r="12040" ht="15.75" customHeight="1"/>
    <row r="12041" ht="15.75" customHeight="1"/>
    <row r="12042" ht="15.75" customHeight="1"/>
    <row r="12043" ht="15.75" customHeight="1"/>
    <row r="12044" ht="15.75" customHeight="1"/>
    <row r="12045" ht="15.75" customHeight="1"/>
    <row r="12046" ht="15.75" customHeight="1"/>
    <row r="12047" ht="15.75" customHeight="1"/>
    <row r="12048" ht="15.75" customHeight="1"/>
    <row r="12049" ht="15.75" customHeight="1"/>
    <row r="12050" ht="15.75" customHeight="1"/>
    <row r="12051" ht="15.75" customHeight="1"/>
    <row r="12052" ht="15.75" customHeight="1"/>
    <row r="12053" ht="15.75" customHeight="1"/>
    <row r="12054" ht="15.75" customHeight="1"/>
    <row r="12055" ht="15.75" customHeight="1"/>
    <row r="12056" ht="15.75" customHeight="1"/>
    <row r="12057" ht="15.75" customHeight="1"/>
    <row r="12058" ht="15.75" customHeight="1"/>
    <row r="12059" ht="15.75" customHeight="1"/>
    <row r="12060" ht="15.75" customHeight="1"/>
    <row r="12061" ht="15.75" customHeight="1"/>
    <row r="12062" ht="15.75" customHeight="1"/>
    <row r="12063" ht="15.75" customHeight="1"/>
    <row r="12064" ht="15.75" customHeight="1"/>
    <row r="12065" ht="15.75" customHeight="1"/>
    <row r="12066" ht="15.75" customHeight="1"/>
    <row r="12067" ht="15.75" customHeight="1"/>
    <row r="12068" ht="15.75" customHeight="1"/>
    <row r="12069" ht="15.75" customHeight="1"/>
    <row r="12070" ht="15.75" customHeight="1"/>
    <row r="12071" ht="15.75" customHeight="1"/>
    <row r="12072" ht="15.75" customHeight="1"/>
    <row r="12073" ht="15.75" customHeight="1"/>
    <row r="12074" ht="15.75" customHeight="1"/>
    <row r="12075" ht="15.75" customHeight="1"/>
    <row r="12076" ht="15.75" customHeight="1"/>
    <row r="12077" ht="15.75" customHeight="1"/>
    <row r="12078" ht="15.75" customHeight="1"/>
    <row r="12079" ht="15.75" customHeight="1"/>
    <row r="12080" ht="15.75" customHeight="1"/>
    <row r="12081" ht="15.75" customHeight="1"/>
    <row r="12082" ht="15.75" customHeight="1"/>
    <row r="12083" ht="15.75" customHeight="1"/>
    <row r="12084" ht="15.75" customHeight="1"/>
    <row r="12085" ht="15.75" customHeight="1"/>
    <row r="12086" ht="15.75" customHeight="1"/>
    <row r="12087" ht="15.75" customHeight="1"/>
    <row r="12088" ht="15.75" customHeight="1"/>
    <row r="12089" ht="15.75" customHeight="1"/>
    <row r="12090" ht="15.75" customHeight="1"/>
    <row r="12091" ht="15.75" customHeight="1"/>
    <row r="12092" ht="15.75" customHeight="1"/>
    <row r="12093" ht="15.75" customHeight="1"/>
    <row r="12094" ht="15.75" customHeight="1"/>
    <row r="12095" ht="15.75" customHeight="1"/>
    <row r="12096" ht="15.75" customHeight="1"/>
    <row r="12097" ht="15.75" customHeight="1"/>
    <row r="12098" ht="15.75" customHeight="1"/>
    <row r="12099" ht="15.75" customHeight="1"/>
    <row r="12100" ht="15.75" customHeight="1"/>
    <row r="12101" ht="15.75" customHeight="1"/>
    <row r="12102" ht="15.75" customHeight="1"/>
    <row r="12103" ht="15.75" customHeight="1"/>
    <row r="12104" ht="15.75" customHeight="1"/>
    <row r="12105" ht="15.75" customHeight="1"/>
    <row r="12106" ht="15.75" customHeight="1"/>
    <row r="12107" ht="15.75" customHeight="1"/>
    <row r="12108" ht="15.75" customHeight="1"/>
    <row r="12109" ht="15.75" customHeight="1"/>
    <row r="12110" ht="15.75" customHeight="1"/>
    <row r="12111" ht="15.75" customHeight="1"/>
    <row r="12112" ht="15.75" customHeight="1"/>
    <row r="12113" ht="15.75" customHeight="1"/>
    <row r="12114" ht="15.75" customHeight="1"/>
    <row r="12115" ht="15.75" customHeight="1"/>
    <row r="12116" ht="15.75" customHeight="1"/>
    <row r="12117" ht="15.75" customHeight="1"/>
    <row r="12118" ht="15.75" customHeight="1"/>
    <row r="12119" ht="15.75" customHeight="1"/>
    <row r="12120" ht="15.75" customHeight="1"/>
    <row r="12121" ht="15.75" customHeight="1"/>
    <row r="12122" ht="15.75" customHeight="1"/>
    <row r="12123" ht="15.75" customHeight="1"/>
    <row r="12124" ht="15.75" customHeight="1"/>
    <row r="12125" ht="15.75" customHeight="1"/>
    <row r="12126" ht="15.75" customHeight="1"/>
    <row r="12127" ht="15.75" customHeight="1"/>
    <row r="12128" ht="15.75" customHeight="1"/>
    <row r="12129" ht="15.75" customHeight="1"/>
    <row r="12130" ht="15.75" customHeight="1"/>
    <row r="12131" ht="15.75" customHeight="1"/>
    <row r="12132" ht="15.75" customHeight="1"/>
    <row r="12133" ht="15.75" customHeight="1"/>
    <row r="12134" ht="15.75" customHeight="1"/>
    <row r="12135" ht="15.75" customHeight="1"/>
    <row r="12136" ht="15.75" customHeight="1"/>
    <row r="12137" ht="15.75" customHeight="1"/>
    <row r="12138" ht="15.75" customHeight="1"/>
    <row r="12139" ht="15.75" customHeight="1"/>
    <row r="12140" ht="15.75" customHeight="1"/>
    <row r="12141" ht="15.75" customHeight="1"/>
    <row r="12142" ht="15.75" customHeight="1"/>
    <row r="12143" ht="15.75" customHeight="1"/>
    <row r="12144" ht="15.75" customHeight="1"/>
    <row r="12145" ht="15.75" customHeight="1"/>
    <row r="12146" ht="15.75" customHeight="1"/>
    <row r="12147" ht="15.75" customHeight="1"/>
    <row r="12148" ht="15.75" customHeight="1"/>
    <row r="12149" ht="15.75" customHeight="1"/>
    <row r="12150" ht="15.75" customHeight="1"/>
    <row r="12151" ht="15.75" customHeight="1"/>
    <row r="12152" ht="15.75" customHeight="1"/>
    <row r="12153" ht="15.75" customHeight="1"/>
    <row r="12154" ht="15.75" customHeight="1"/>
    <row r="12155" ht="15.75" customHeight="1"/>
    <row r="12156" ht="15.75" customHeight="1"/>
    <row r="12157" ht="15.75" customHeight="1"/>
    <row r="12158" ht="15.75" customHeight="1"/>
    <row r="12159" ht="15.75" customHeight="1"/>
    <row r="12160" ht="15.75" customHeight="1"/>
    <row r="12161" ht="15.75" customHeight="1"/>
    <row r="12162" ht="15.75" customHeight="1"/>
    <row r="12163" ht="15.75" customHeight="1"/>
    <row r="12164" ht="15.75" customHeight="1"/>
    <row r="12165" ht="15.75" customHeight="1"/>
    <row r="12166" ht="15.75" customHeight="1"/>
    <row r="12167" ht="15.75" customHeight="1"/>
    <row r="12168" ht="15.75" customHeight="1"/>
    <row r="12169" ht="15.75" customHeight="1"/>
    <row r="12170" ht="15.75" customHeight="1"/>
    <row r="12171" ht="15.75" customHeight="1"/>
    <row r="12172" ht="15.75" customHeight="1"/>
    <row r="12173" ht="15.75" customHeight="1"/>
    <row r="12174" ht="15.75" customHeight="1"/>
    <row r="12175" ht="15.75" customHeight="1"/>
    <row r="12176" ht="15.75" customHeight="1"/>
    <row r="12177" ht="15.75" customHeight="1"/>
    <row r="12178" ht="15.75" customHeight="1"/>
    <row r="12179" ht="15.75" customHeight="1"/>
    <row r="12180" ht="15.75" customHeight="1"/>
    <row r="12181" ht="15.75" customHeight="1"/>
    <row r="12182" ht="15.75" customHeight="1"/>
    <row r="12183" ht="15.75" customHeight="1"/>
    <row r="12184" ht="15.75" customHeight="1"/>
    <row r="12185" ht="15.75" customHeight="1"/>
    <row r="12186" ht="15.75" customHeight="1"/>
    <row r="12187" ht="15.75" customHeight="1"/>
    <row r="12188" ht="15.75" customHeight="1"/>
    <row r="12189" ht="15.75" customHeight="1"/>
    <row r="12190" ht="15.75" customHeight="1"/>
    <row r="12191" ht="15.75" customHeight="1"/>
    <row r="12192" ht="15.75" customHeight="1"/>
    <row r="12193" ht="15.75" customHeight="1"/>
    <row r="12194" ht="15.75" customHeight="1"/>
    <row r="12195" ht="15.75" customHeight="1"/>
    <row r="12196" ht="15.75" customHeight="1"/>
    <row r="12197" ht="15.75" customHeight="1"/>
    <row r="12198" ht="15.75" customHeight="1"/>
    <row r="12199" ht="15.75" customHeight="1"/>
    <row r="12200" ht="15.75" customHeight="1"/>
    <row r="12201" ht="15.75" customHeight="1"/>
    <row r="12202" ht="15.75" customHeight="1"/>
    <row r="12203" ht="15.75" customHeight="1"/>
    <row r="12204" ht="15.75" customHeight="1"/>
    <row r="12205" ht="15.75" customHeight="1"/>
    <row r="12206" ht="15.75" customHeight="1"/>
    <row r="12207" ht="15.75" customHeight="1"/>
    <row r="12208" ht="15.75" customHeight="1"/>
    <row r="12209" ht="15.75" customHeight="1"/>
    <row r="12210" ht="15.75" customHeight="1"/>
    <row r="12211" ht="15.75" customHeight="1"/>
    <row r="12212" ht="15.75" customHeight="1"/>
    <row r="12213" ht="15.75" customHeight="1"/>
    <row r="12214" ht="15.75" customHeight="1"/>
    <row r="12215" ht="15.75" customHeight="1"/>
    <row r="12216" ht="15.75" customHeight="1"/>
    <row r="12217" ht="15.75" customHeight="1"/>
    <row r="12218" ht="15.75" customHeight="1"/>
    <row r="12219" ht="15.75" customHeight="1"/>
    <row r="12220" ht="15.75" customHeight="1"/>
    <row r="12221" ht="15.75" customHeight="1"/>
    <row r="12222" ht="15.75" customHeight="1"/>
    <row r="12223" ht="15.75" customHeight="1"/>
    <row r="12224" ht="15.75" customHeight="1"/>
    <row r="12225" ht="15.75" customHeight="1"/>
    <row r="12226" ht="15.75" customHeight="1"/>
    <row r="12227" ht="15.75" customHeight="1"/>
    <row r="12228" ht="15.75" customHeight="1"/>
    <row r="12229" ht="15.75" customHeight="1"/>
    <row r="12230" ht="15.75" customHeight="1"/>
    <row r="12231" ht="15.75" customHeight="1"/>
    <row r="12232" ht="15.75" customHeight="1"/>
    <row r="12233" ht="15.75" customHeight="1"/>
    <row r="12234" ht="15.75" customHeight="1"/>
    <row r="12235" ht="15.75" customHeight="1"/>
    <row r="12236" ht="15.75" customHeight="1"/>
    <row r="12237" ht="15.75" customHeight="1"/>
    <row r="12238" ht="15.75" customHeight="1"/>
    <row r="12239" ht="15.75" customHeight="1"/>
    <row r="12240" ht="15.75" customHeight="1"/>
    <row r="12241" ht="15.75" customHeight="1"/>
    <row r="12242" ht="15.75" customHeight="1"/>
    <row r="12243" ht="15.75" customHeight="1"/>
    <row r="12244" ht="15.75" customHeight="1"/>
    <row r="12245" ht="15.75" customHeight="1"/>
    <row r="12246" ht="15.75" customHeight="1"/>
    <row r="12247" ht="15.75" customHeight="1"/>
    <row r="12248" ht="15.75" customHeight="1"/>
    <row r="12249" ht="15.75" customHeight="1"/>
    <row r="12250" ht="15.75" customHeight="1"/>
    <row r="12251" ht="15.75" customHeight="1"/>
    <row r="12252" ht="15.75" customHeight="1"/>
    <row r="12253" ht="15.75" customHeight="1"/>
    <row r="12254" ht="15.75" customHeight="1"/>
    <row r="12255" ht="15.75" customHeight="1"/>
    <row r="12256" ht="15.75" customHeight="1"/>
    <row r="12257" ht="15.75" customHeight="1"/>
    <row r="12258" ht="15.75" customHeight="1"/>
    <row r="12259" ht="15.75" customHeight="1"/>
    <row r="12260" ht="15.75" customHeight="1"/>
    <row r="12261" ht="15.75" customHeight="1"/>
    <row r="12262" ht="15.75" customHeight="1"/>
    <row r="12263" ht="15.75" customHeight="1"/>
    <row r="12264" ht="15.75" customHeight="1"/>
    <row r="12265" ht="15.75" customHeight="1"/>
    <row r="12266" ht="15.75" customHeight="1"/>
    <row r="12267" ht="15.75" customHeight="1"/>
    <row r="12268" ht="15.75" customHeight="1"/>
    <row r="12269" ht="15.75" customHeight="1"/>
    <row r="12270" ht="15.75" customHeight="1"/>
    <row r="12271" ht="15.75" customHeight="1"/>
    <row r="12272" ht="15.75" customHeight="1"/>
    <row r="12273" ht="15.75" customHeight="1"/>
    <row r="12274" ht="15.75" customHeight="1"/>
    <row r="12275" ht="15.75" customHeight="1"/>
    <row r="12276" ht="15.75" customHeight="1"/>
    <row r="12277" ht="15.75" customHeight="1"/>
    <row r="12278" ht="15.75" customHeight="1"/>
    <row r="12279" ht="15.75" customHeight="1"/>
    <row r="12280" ht="15.75" customHeight="1"/>
    <row r="12281" ht="15.75" customHeight="1"/>
    <row r="12282" ht="15.75" customHeight="1"/>
    <row r="12283" ht="15.75" customHeight="1"/>
    <row r="12284" ht="15.75" customHeight="1"/>
    <row r="12285" ht="15.75" customHeight="1"/>
    <row r="12286" ht="15.75" customHeight="1"/>
    <row r="12287" ht="15.75" customHeight="1"/>
    <row r="12288" ht="15.75" customHeight="1"/>
    <row r="12289" ht="15.75" customHeight="1"/>
    <row r="12290" ht="15.75" customHeight="1"/>
    <row r="12291" ht="15.75" customHeight="1"/>
    <row r="12292" ht="15.75" customHeight="1"/>
    <row r="12293" ht="15.75" customHeight="1"/>
    <row r="12294" ht="15.75" customHeight="1"/>
    <row r="12295" ht="15.75" customHeight="1"/>
    <row r="12296" ht="15.75" customHeight="1"/>
    <row r="12297" ht="15.75" customHeight="1"/>
    <row r="12298" ht="15.75" customHeight="1"/>
    <row r="12299" ht="15.75" customHeight="1"/>
    <row r="12300" ht="15.75" customHeight="1"/>
    <row r="12301" ht="15.75" customHeight="1"/>
    <row r="12302" ht="15.75" customHeight="1"/>
    <row r="12303" ht="15.75" customHeight="1"/>
    <row r="12304" ht="15.75" customHeight="1"/>
    <row r="12305" ht="15.75" customHeight="1"/>
    <row r="12306" ht="15.75" customHeight="1"/>
    <row r="12307" ht="15.75" customHeight="1"/>
    <row r="12308" ht="15.75" customHeight="1"/>
    <row r="12309" ht="15.75" customHeight="1"/>
    <row r="12310" ht="15.75" customHeight="1"/>
    <row r="12311" ht="15.75" customHeight="1"/>
    <row r="12312" ht="15.75" customHeight="1"/>
    <row r="12313" ht="15.75" customHeight="1"/>
    <row r="12314" ht="15.75" customHeight="1"/>
    <row r="12315" ht="15.75" customHeight="1"/>
    <row r="12316" ht="15.75" customHeight="1"/>
    <row r="12317" ht="15.75" customHeight="1"/>
    <row r="12318" ht="15.75" customHeight="1"/>
    <row r="12319" ht="15.75" customHeight="1"/>
    <row r="12320" ht="15.75" customHeight="1"/>
    <row r="12321" ht="15.75" customHeight="1"/>
    <row r="12322" ht="15.75" customHeight="1"/>
    <row r="12323" ht="15.75" customHeight="1"/>
    <row r="12324" ht="15.75" customHeight="1"/>
    <row r="12325" ht="15.75" customHeight="1"/>
    <row r="12326" ht="15.75" customHeight="1"/>
    <row r="12327" ht="15.75" customHeight="1"/>
    <row r="12328" ht="15.75" customHeight="1"/>
    <row r="12329" ht="15.75" customHeight="1"/>
    <row r="12330" ht="15.75" customHeight="1"/>
    <row r="12331" ht="15.75" customHeight="1"/>
    <row r="12332" ht="15.75" customHeight="1"/>
    <row r="12333" ht="15.75" customHeight="1"/>
    <row r="12334" ht="15.75" customHeight="1"/>
    <row r="12335" ht="15.75" customHeight="1"/>
    <row r="12336" ht="15.75" customHeight="1"/>
    <row r="12337" ht="15.75" customHeight="1"/>
    <row r="12338" ht="15.75" customHeight="1"/>
    <row r="12339" ht="15.75" customHeight="1"/>
    <row r="12340" ht="15.75" customHeight="1"/>
    <row r="12341" ht="15.75" customHeight="1"/>
    <row r="12342" ht="15.75" customHeight="1"/>
    <row r="12343" ht="15.75" customHeight="1"/>
    <row r="12344" ht="15.75" customHeight="1"/>
    <row r="12345" ht="15.75" customHeight="1"/>
    <row r="12346" ht="15.75" customHeight="1"/>
    <row r="12347" ht="15.75" customHeight="1"/>
    <row r="12348" ht="15.75" customHeight="1"/>
    <row r="12349" ht="15.75" customHeight="1"/>
    <row r="12350" ht="15.75" customHeight="1"/>
    <row r="12351" ht="15.75" customHeight="1"/>
    <row r="12352" ht="15.75" customHeight="1"/>
    <row r="12353" ht="15.75" customHeight="1"/>
    <row r="12354" ht="15.75" customHeight="1"/>
    <row r="12355" ht="15.75" customHeight="1"/>
    <row r="12356" ht="15.75" customHeight="1"/>
    <row r="12357" ht="15.75" customHeight="1"/>
    <row r="12358" ht="15.75" customHeight="1"/>
    <row r="12359" ht="15.75" customHeight="1"/>
    <row r="12360" ht="15.75" customHeight="1"/>
    <row r="12361" ht="15.75" customHeight="1"/>
    <row r="12362" ht="15.75" customHeight="1"/>
    <row r="12363" ht="15.75" customHeight="1"/>
    <row r="12364" ht="15.75" customHeight="1"/>
    <row r="12365" ht="15.75" customHeight="1"/>
    <row r="12366" ht="15.75" customHeight="1"/>
    <row r="12367" ht="15.75" customHeight="1"/>
    <row r="12368" ht="15.75" customHeight="1"/>
    <row r="12369" ht="15.75" customHeight="1"/>
    <row r="12370" ht="15.75" customHeight="1"/>
    <row r="12371" ht="15.75" customHeight="1"/>
    <row r="12372" ht="15.75" customHeight="1"/>
    <row r="12373" ht="15.75" customHeight="1"/>
    <row r="12374" ht="15.75" customHeight="1"/>
    <row r="12375" ht="15.75" customHeight="1"/>
    <row r="12376" ht="15.75" customHeight="1"/>
    <row r="12377" ht="15.75" customHeight="1"/>
    <row r="12378" ht="15.75" customHeight="1"/>
    <row r="12379" ht="15.75" customHeight="1"/>
    <row r="12380" ht="15.75" customHeight="1"/>
    <row r="12381" ht="15.75" customHeight="1"/>
    <row r="12382" ht="15.75" customHeight="1"/>
    <row r="12383" ht="15.75" customHeight="1"/>
    <row r="12384" ht="15.75" customHeight="1"/>
    <row r="12385" ht="15.75" customHeight="1"/>
    <row r="12386" ht="15.75" customHeight="1"/>
    <row r="12387" ht="15.75" customHeight="1"/>
    <row r="12388" ht="15.75" customHeight="1"/>
    <row r="12389" ht="15.75" customHeight="1"/>
    <row r="12390" ht="15.75" customHeight="1"/>
    <row r="12391" ht="15.75" customHeight="1"/>
    <row r="12392" ht="15.75" customHeight="1"/>
    <row r="12393" ht="15.75" customHeight="1"/>
    <row r="12394" ht="15.75" customHeight="1"/>
    <row r="12395" ht="15.75" customHeight="1"/>
    <row r="12396" ht="15.75" customHeight="1"/>
    <row r="12397" ht="15.75" customHeight="1"/>
    <row r="12398" ht="15.75" customHeight="1"/>
    <row r="12399" ht="15.75" customHeight="1"/>
    <row r="12400" ht="15.75" customHeight="1"/>
    <row r="12401" ht="15.75" customHeight="1"/>
    <row r="12402" ht="15.75" customHeight="1"/>
    <row r="12403" ht="15.75" customHeight="1"/>
    <row r="12404" ht="15.75" customHeight="1"/>
    <row r="12405" ht="15.75" customHeight="1"/>
    <row r="12406" ht="15.75" customHeight="1"/>
    <row r="12407" ht="15.75" customHeight="1"/>
    <row r="12408" ht="15.75" customHeight="1"/>
    <row r="12409" ht="15.75" customHeight="1"/>
    <row r="12410" ht="15.75" customHeight="1"/>
    <row r="12411" ht="15.75" customHeight="1"/>
    <row r="12412" ht="15.75" customHeight="1"/>
    <row r="12413" ht="15.75" customHeight="1"/>
    <row r="12414" ht="15.75" customHeight="1"/>
    <row r="12415" ht="15.75" customHeight="1"/>
    <row r="12416" ht="15.75" customHeight="1"/>
    <row r="12417" ht="15.75" customHeight="1"/>
    <row r="12418" ht="15.75" customHeight="1"/>
    <row r="12419" ht="15.75" customHeight="1"/>
    <row r="12420" ht="15.75" customHeight="1"/>
    <row r="12421" ht="15.75" customHeight="1"/>
    <row r="12422" ht="15.75" customHeight="1"/>
    <row r="12423" ht="15.75" customHeight="1"/>
    <row r="12424" ht="15.75" customHeight="1"/>
    <row r="12425" ht="15.75" customHeight="1"/>
    <row r="12426" ht="15.75" customHeight="1"/>
    <row r="12427" ht="15.75" customHeight="1"/>
    <row r="12428" ht="15.75" customHeight="1"/>
    <row r="12429" ht="15.75" customHeight="1"/>
    <row r="12430" ht="15.75" customHeight="1"/>
    <row r="12431" ht="15.75" customHeight="1"/>
    <row r="12432" ht="15.75" customHeight="1"/>
    <row r="12433" ht="15.75" customHeight="1"/>
    <row r="12434" ht="15.75" customHeight="1"/>
    <row r="12435" ht="15.75" customHeight="1"/>
    <row r="12436" ht="15.75" customHeight="1"/>
    <row r="12437" ht="15.75" customHeight="1"/>
    <row r="12438" ht="15.75" customHeight="1"/>
    <row r="12439" ht="15.75" customHeight="1"/>
    <row r="12440" ht="15.75" customHeight="1"/>
    <row r="12441" ht="15.75" customHeight="1"/>
    <row r="12442" ht="15.75" customHeight="1"/>
    <row r="12443" ht="15.75" customHeight="1"/>
    <row r="12444" ht="15.75" customHeight="1"/>
    <row r="12445" ht="15.75" customHeight="1"/>
    <row r="12446" ht="15.75" customHeight="1"/>
    <row r="12447" ht="15.75" customHeight="1"/>
    <row r="12448" ht="15.75" customHeight="1"/>
    <row r="12449" ht="15.75" customHeight="1"/>
    <row r="12450" ht="15.75" customHeight="1"/>
    <row r="12451" ht="15.75" customHeight="1"/>
    <row r="12452" ht="15.75" customHeight="1"/>
    <row r="12453" ht="15.75" customHeight="1"/>
    <row r="12454" ht="15.75" customHeight="1"/>
    <row r="12455" ht="15.75" customHeight="1"/>
    <row r="12456" ht="15.75" customHeight="1"/>
    <row r="12457" ht="15.75" customHeight="1"/>
    <row r="12458" ht="15.75" customHeight="1"/>
    <row r="12459" ht="15.75" customHeight="1"/>
    <row r="12460" ht="15.75" customHeight="1"/>
    <row r="12461" ht="15.75" customHeight="1"/>
    <row r="12462" ht="15.75" customHeight="1"/>
    <row r="12463" ht="15.75" customHeight="1"/>
    <row r="12464" ht="15.75" customHeight="1"/>
    <row r="12465" ht="15.75" customHeight="1"/>
    <row r="12466" ht="15.75" customHeight="1"/>
    <row r="12467" ht="15.75" customHeight="1"/>
    <row r="12468" ht="15.75" customHeight="1"/>
    <row r="12469" ht="15.75" customHeight="1"/>
    <row r="12470" ht="15.75" customHeight="1"/>
    <row r="12471" ht="15.75" customHeight="1"/>
    <row r="12472" ht="15.75" customHeight="1"/>
    <row r="12473" ht="15.75" customHeight="1"/>
    <row r="12474" ht="15.75" customHeight="1"/>
    <row r="12475" ht="15.75" customHeight="1"/>
    <row r="12476" ht="15.75" customHeight="1"/>
    <row r="12477" ht="15.75" customHeight="1"/>
    <row r="12478" ht="15.75" customHeight="1"/>
    <row r="12479" ht="15.75" customHeight="1"/>
    <row r="12480" ht="15.75" customHeight="1"/>
    <row r="12481" ht="15.75" customHeight="1"/>
    <row r="12482" ht="15.75" customHeight="1"/>
    <row r="12483" ht="15.75" customHeight="1"/>
    <row r="12484" ht="15.75" customHeight="1"/>
    <row r="12485" ht="15.75" customHeight="1"/>
    <row r="12486" ht="15.75" customHeight="1"/>
    <row r="12487" ht="15.75" customHeight="1"/>
    <row r="12488" ht="15.75" customHeight="1"/>
    <row r="12489" ht="15.75" customHeight="1"/>
    <row r="12490" ht="15.75" customHeight="1"/>
    <row r="12491" ht="15.75" customHeight="1"/>
    <row r="12492" ht="15.75" customHeight="1"/>
    <row r="12493" ht="15.75" customHeight="1"/>
    <row r="12494" ht="15.75" customHeight="1"/>
    <row r="12495" ht="15.75" customHeight="1"/>
    <row r="12496" ht="15.75" customHeight="1"/>
    <row r="12497" ht="15.75" customHeight="1"/>
    <row r="12498" ht="15.75" customHeight="1"/>
    <row r="12499" ht="15.75" customHeight="1"/>
    <row r="12500" ht="15.75" customHeight="1"/>
    <row r="12501" ht="15.75" customHeight="1"/>
    <row r="12502" ht="15.75" customHeight="1"/>
    <row r="12503" ht="15.75" customHeight="1"/>
    <row r="12504" ht="15.75" customHeight="1"/>
    <row r="12505" ht="15.75" customHeight="1"/>
    <row r="12506" ht="15.75" customHeight="1"/>
    <row r="12507" ht="15.75" customHeight="1"/>
    <row r="12508" ht="15.75" customHeight="1"/>
    <row r="12509" ht="15.75" customHeight="1"/>
    <row r="12510" ht="15.75" customHeight="1"/>
    <row r="12511" ht="15.75" customHeight="1"/>
    <row r="12512" ht="15.75" customHeight="1"/>
    <row r="12513" ht="15.75" customHeight="1"/>
    <row r="12514" ht="15.75" customHeight="1"/>
    <row r="12515" ht="15.75" customHeight="1"/>
    <row r="12516" ht="15.75" customHeight="1"/>
    <row r="12517" ht="15.75" customHeight="1"/>
    <row r="12518" ht="15.75" customHeight="1"/>
    <row r="12519" ht="15.75" customHeight="1"/>
    <row r="12520" ht="15.75" customHeight="1"/>
    <row r="12521" ht="15.75" customHeight="1"/>
    <row r="12522" ht="15.75" customHeight="1"/>
    <row r="12523" ht="15.75" customHeight="1"/>
    <row r="12524" ht="15.75" customHeight="1"/>
    <row r="12525" ht="15.75" customHeight="1"/>
    <row r="12526" ht="15.75" customHeight="1"/>
    <row r="12527" ht="15.75" customHeight="1"/>
    <row r="12528" ht="15.75" customHeight="1"/>
    <row r="12529" ht="15.75" customHeight="1"/>
    <row r="12530" ht="15.75" customHeight="1"/>
    <row r="12531" ht="15.75" customHeight="1"/>
    <row r="12532" ht="15.75" customHeight="1"/>
    <row r="12533" ht="15.75" customHeight="1"/>
    <row r="12534" ht="15.75" customHeight="1"/>
    <row r="12535" ht="15.75" customHeight="1"/>
    <row r="12536" ht="15.75" customHeight="1"/>
    <row r="12537" ht="15.75" customHeight="1"/>
    <row r="12538" ht="15.75" customHeight="1"/>
    <row r="12539" ht="15.75" customHeight="1"/>
    <row r="12540" ht="15.75" customHeight="1"/>
    <row r="12541" ht="15.75" customHeight="1"/>
    <row r="12542" ht="15.75" customHeight="1"/>
    <row r="12543" ht="15.75" customHeight="1"/>
    <row r="12544" ht="15.75" customHeight="1"/>
    <row r="12545" ht="15.75" customHeight="1"/>
    <row r="12546" ht="15.75" customHeight="1"/>
    <row r="12547" ht="15.75" customHeight="1"/>
    <row r="12548" ht="15.75" customHeight="1"/>
    <row r="12549" ht="15.75" customHeight="1"/>
    <row r="12550" ht="15.75" customHeight="1"/>
    <row r="12551" ht="15.75" customHeight="1"/>
    <row r="12552" ht="15.75" customHeight="1"/>
    <row r="12553" ht="15.75" customHeight="1"/>
    <row r="12554" ht="15.75" customHeight="1"/>
    <row r="12555" ht="15.75" customHeight="1"/>
    <row r="12556" ht="15.75" customHeight="1"/>
    <row r="12557" ht="15.75" customHeight="1"/>
    <row r="12558" ht="15.75" customHeight="1"/>
    <row r="12559" ht="15.75" customHeight="1"/>
    <row r="12560" ht="15.75" customHeight="1"/>
    <row r="12561" ht="15.75" customHeight="1"/>
    <row r="12562" ht="15.75" customHeight="1"/>
    <row r="12563" ht="15.75" customHeight="1"/>
    <row r="12564" ht="15.75" customHeight="1"/>
    <row r="12565" ht="15.75" customHeight="1"/>
    <row r="12566" ht="15.75" customHeight="1"/>
    <row r="12567" ht="15.75" customHeight="1"/>
    <row r="12568" ht="15.75" customHeight="1"/>
    <row r="12569" ht="15.75" customHeight="1"/>
    <row r="12570" ht="15.75" customHeight="1"/>
    <row r="12571" ht="15.75" customHeight="1"/>
    <row r="12572" ht="15.75" customHeight="1"/>
    <row r="12573" ht="15.75" customHeight="1"/>
    <row r="12574" ht="15.75" customHeight="1"/>
    <row r="12575" ht="15.75" customHeight="1"/>
    <row r="12576" ht="15.75" customHeight="1"/>
    <row r="12577" ht="15.75" customHeight="1"/>
    <row r="12578" ht="15.75" customHeight="1"/>
    <row r="12579" ht="15.75" customHeight="1"/>
    <row r="12580" ht="15.75" customHeight="1"/>
    <row r="12581" ht="15.75" customHeight="1"/>
    <row r="12582" ht="15.75" customHeight="1"/>
    <row r="12583" ht="15.75" customHeight="1"/>
    <row r="12584" ht="15.75" customHeight="1"/>
    <row r="12585" ht="15.75" customHeight="1"/>
    <row r="12586" ht="15.75" customHeight="1"/>
    <row r="12587" ht="15.75" customHeight="1"/>
    <row r="12588" ht="15.75" customHeight="1"/>
    <row r="12589" ht="15.75" customHeight="1"/>
    <row r="12590" ht="15.75" customHeight="1"/>
    <row r="12591" ht="15.75" customHeight="1"/>
    <row r="12592" ht="15.75" customHeight="1"/>
    <row r="12593" ht="15.75" customHeight="1"/>
    <row r="12594" ht="15.75" customHeight="1"/>
    <row r="12595" ht="15.75" customHeight="1"/>
    <row r="12596" ht="15.75" customHeight="1"/>
    <row r="12597" ht="15.75" customHeight="1"/>
    <row r="12598" ht="15.75" customHeight="1"/>
    <row r="12599" ht="15.75" customHeight="1"/>
    <row r="12600" ht="15.75" customHeight="1"/>
    <row r="12601" ht="15.75" customHeight="1"/>
    <row r="12602" ht="15.75" customHeight="1"/>
    <row r="12603" ht="15.75" customHeight="1"/>
    <row r="12604" ht="15.75" customHeight="1"/>
    <row r="12605" ht="15.75" customHeight="1"/>
    <row r="12606" ht="15.75" customHeight="1"/>
    <row r="12607" ht="15.75" customHeight="1"/>
    <row r="12608" ht="15.75" customHeight="1"/>
    <row r="12609" ht="15.75" customHeight="1"/>
    <row r="12610" ht="15.75" customHeight="1"/>
    <row r="12611" ht="15.75" customHeight="1"/>
    <row r="12612" ht="15.75" customHeight="1"/>
    <row r="12613" ht="15.75" customHeight="1"/>
    <row r="12614" ht="15.75" customHeight="1"/>
    <row r="12615" ht="15.75" customHeight="1"/>
    <row r="12616" ht="15.75" customHeight="1"/>
    <row r="12617" ht="15.75" customHeight="1"/>
    <row r="12618" ht="15.75" customHeight="1"/>
    <row r="12619" ht="15.75" customHeight="1"/>
    <row r="12620" ht="15.75" customHeight="1"/>
    <row r="12621" ht="15.75" customHeight="1"/>
    <row r="12622" ht="15.75" customHeight="1"/>
    <row r="12623" ht="15.75" customHeight="1"/>
    <row r="12624" ht="15.75" customHeight="1"/>
    <row r="12625" ht="15.75" customHeight="1"/>
    <row r="12626" ht="15.75" customHeight="1"/>
    <row r="12627" ht="15.75" customHeight="1"/>
    <row r="12628" ht="15.75" customHeight="1"/>
    <row r="12629" ht="15.75" customHeight="1"/>
    <row r="12630" ht="15.75" customHeight="1"/>
    <row r="12631" ht="15.75" customHeight="1"/>
    <row r="12632" ht="15.75" customHeight="1"/>
    <row r="12633" ht="15.75" customHeight="1"/>
    <row r="12634" ht="15.75" customHeight="1"/>
    <row r="12635" ht="15.75" customHeight="1"/>
    <row r="12636" ht="15.75" customHeight="1"/>
    <row r="12637" ht="15.75" customHeight="1"/>
    <row r="12638" ht="15.75" customHeight="1"/>
    <row r="12639" ht="15.75" customHeight="1"/>
    <row r="12640" ht="15.75" customHeight="1"/>
    <row r="12641" ht="15.75" customHeight="1"/>
    <row r="12642" ht="15.75" customHeight="1"/>
    <row r="12643" ht="15.75" customHeight="1"/>
    <row r="12644" ht="15.75" customHeight="1"/>
    <row r="12645" ht="15.75" customHeight="1"/>
    <row r="12646" ht="15.75" customHeight="1"/>
    <row r="12647" ht="15.75" customHeight="1"/>
    <row r="12648" ht="15.75" customHeight="1"/>
    <row r="12649" ht="15.75" customHeight="1"/>
    <row r="12650" ht="15.75" customHeight="1"/>
    <row r="12651" ht="15.75" customHeight="1"/>
    <row r="12652" ht="15.75" customHeight="1"/>
    <row r="12653" ht="15.75" customHeight="1"/>
    <row r="12654" ht="15.75" customHeight="1"/>
    <row r="12655" ht="15.75" customHeight="1"/>
    <row r="12656" ht="15.75" customHeight="1"/>
    <row r="12657" ht="15.75" customHeight="1"/>
    <row r="12658" ht="15.75" customHeight="1"/>
    <row r="12659" ht="15.75" customHeight="1"/>
    <row r="12660" ht="15.75" customHeight="1"/>
    <row r="12661" ht="15.75" customHeight="1"/>
    <row r="12662" ht="15.75" customHeight="1"/>
    <row r="12663" ht="15.75" customHeight="1"/>
    <row r="12664" ht="15.75" customHeight="1"/>
    <row r="12665" ht="15.75" customHeight="1"/>
    <row r="12666" ht="15.75" customHeight="1"/>
    <row r="12667" ht="15.75" customHeight="1"/>
    <row r="12668" ht="15.75" customHeight="1"/>
    <row r="12669" ht="15.75" customHeight="1"/>
    <row r="12670" ht="15.75" customHeight="1"/>
    <row r="12671" ht="15.75" customHeight="1"/>
    <row r="12672" ht="15.75" customHeight="1"/>
    <row r="12673" ht="15.75" customHeight="1"/>
    <row r="12674" ht="15.75" customHeight="1"/>
    <row r="12675" ht="15.75" customHeight="1"/>
    <row r="12676" ht="15.75" customHeight="1"/>
    <row r="12677" ht="15.75" customHeight="1"/>
    <row r="12678" ht="15.75" customHeight="1"/>
    <row r="12679" ht="15.75" customHeight="1"/>
    <row r="12680" ht="15.75" customHeight="1"/>
    <row r="12681" ht="15.75" customHeight="1"/>
    <row r="12682" ht="15.75" customHeight="1"/>
    <row r="12683" ht="15.75" customHeight="1"/>
    <row r="12684" ht="15.75" customHeight="1"/>
    <row r="12685" ht="15.75" customHeight="1"/>
    <row r="12686" ht="15.75" customHeight="1"/>
    <row r="12687" ht="15.75" customHeight="1"/>
    <row r="12688" ht="15.75" customHeight="1"/>
    <row r="12689" ht="15.75" customHeight="1"/>
    <row r="12690" ht="15.75" customHeight="1"/>
    <row r="12691" ht="15.75" customHeight="1"/>
    <row r="12692" ht="15.75" customHeight="1"/>
    <row r="12693" ht="15.75" customHeight="1"/>
    <row r="12694" ht="15.75" customHeight="1"/>
    <row r="12695" ht="15.75" customHeight="1"/>
    <row r="12696" ht="15.75" customHeight="1"/>
    <row r="12697" ht="15.75" customHeight="1"/>
    <row r="12698" ht="15.75" customHeight="1"/>
    <row r="12699" ht="15.75" customHeight="1"/>
    <row r="12700" ht="15.75" customHeight="1"/>
    <row r="12701" ht="15.75" customHeight="1"/>
    <row r="12702" ht="15.75" customHeight="1"/>
    <row r="12703" ht="15.75" customHeight="1"/>
    <row r="12704" ht="15.75" customHeight="1"/>
    <row r="12705" ht="15.75" customHeight="1"/>
    <row r="12706" ht="15.75" customHeight="1"/>
    <row r="12707" ht="15.75" customHeight="1"/>
    <row r="12708" ht="15.75" customHeight="1"/>
    <row r="12709" ht="15.75" customHeight="1"/>
    <row r="12710" ht="15.75" customHeight="1"/>
    <row r="12711" ht="15.75" customHeight="1"/>
    <row r="12712" ht="15.75" customHeight="1"/>
    <row r="12713" ht="15.75" customHeight="1"/>
    <row r="12714" ht="15.75" customHeight="1"/>
    <row r="12715" ht="15.75" customHeight="1"/>
    <row r="12716" ht="15.75" customHeight="1"/>
    <row r="12717" ht="15.75" customHeight="1"/>
    <row r="12718" ht="15.75" customHeight="1"/>
    <row r="12719" ht="15.75" customHeight="1"/>
    <row r="12720" ht="15.75" customHeight="1"/>
    <row r="12721" ht="15.75" customHeight="1"/>
    <row r="12722" ht="15.75" customHeight="1"/>
    <row r="12723" ht="15.75" customHeight="1"/>
    <row r="12724" ht="15.75" customHeight="1"/>
    <row r="12725" ht="15.75" customHeight="1"/>
    <row r="12726" ht="15.75" customHeight="1"/>
    <row r="12727" ht="15.75" customHeight="1"/>
    <row r="12728" ht="15.75" customHeight="1"/>
    <row r="12729" ht="15.75" customHeight="1"/>
    <row r="12730" ht="15.75" customHeight="1"/>
    <row r="12731" ht="15.75" customHeight="1"/>
    <row r="12732" ht="15.75" customHeight="1"/>
    <row r="12733" ht="15.75" customHeight="1"/>
    <row r="12734" ht="15.75" customHeight="1"/>
    <row r="12735" ht="15.75" customHeight="1"/>
    <row r="12736" ht="15.75" customHeight="1"/>
    <row r="12737" ht="15.75" customHeight="1"/>
    <row r="12738" ht="15.75" customHeight="1"/>
    <row r="12739" ht="15.75" customHeight="1"/>
    <row r="12740" ht="15.75" customHeight="1"/>
    <row r="12741" ht="15.75" customHeight="1"/>
    <row r="12742" ht="15.75" customHeight="1"/>
    <row r="12743" ht="15.75" customHeight="1"/>
    <row r="12744" ht="15.75" customHeight="1"/>
    <row r="12745" ht="15.75" customHeight="1"/>
    <row r="12746" ht="15.75" customHeight="1"/>
    <row r="12747" ht="15.75" customHeight="1"/>
    <row r="12748" ht="15.75" customHeight="1"/>
    <row r="12749" ht="15.75" customHeight="1"/>
    <row r="12750" ht="15.75" customHeight="1"/>
    <row r="12751" ht="15.75" customHeight="1"/>
    <row r="12752" ht="15.75" customHeight="1"/>
    <row r="12753" ht="15.75" customHeight="1"/>
    <row r="12754" ht="15.75" customHeight="1"/>
    <row r="12755" ht="15.75" customHeight="1"/>
    <row r="12756" ht="15.75" customHeight="1"/>
    <row r="12757" ht="15.75" customHeight="1"/>
    <row r="12758" ht="15.75" customHeight="1"/>
    <row r="12759" ht="15.75" customHeight="1"/>
    <row r="12760" ht="15.75" customHeight="1"/>
    <row r="12761" ht="15.75" customHeight="1"/>
    <row r="12762" ht="15.75" customHeight="1"/>
    <row r="12763" ht="15.75" customHeight="1"/>
    <row r="12764" ht="15.75" customHeight="1"/>
    <row r="12765" ht="15.75" customHeight="1"/>
    <row r="12766" ht="15.75" customHeight="1"/>
    <row r="12767" ht="15.75" customHeight="1"/>
    <row r="12768" ht="15.75" customHeight="1"/>
    <row r="12769" ht="15.75" customHeight="1"/>
    <row r="12770" ht="15.75" customHeight="1"/>
    <row r="12771" ht="15.75" customHeight="1"/>
    <row r="12772" ht="15.75" customHeight="1"/>
    <row r="12773" ht="15.75" customHeight="1"/>
    <row r="12774" ht="15.75" customHeight="1"/>
    <row r="12775" ht="15.75" customHeight="1"/>
    <row r="12776" ht="15.75" customHeight="1"/>
    <row r="12777" ht="15.75" customHeight="1"/>
    <row r="12778" ht="15.75" customHeight="1"/>
    <row r="12779" ht="15.75" customHeight="1"/>
    <row r="12780" ht="15.75" customHeight="1"/>
    <row r="12781" ht="15.75" customHeight="1"/>
    <row r="12782" ht="15.75" customHeight="1"/>
    <row r="12783" ht="15.75" customHeight="1"/>
    <row r="12784" ht="15.75" customHeight="1"/>
    <row r="12785" ht="15.75" customHeight="1"/>
    <row r="12786" ht="15.75" customHeight="1"/>
    <row r="12787" ht="15.75" customHeight="1"/>
    <row r="12788" ht="15.75" customHeight="1"/>
    <row r="12789" ht="15.75" customHeight="1"/>
    <row r="12790" ht="15.75" customHeight="1"/>
    <row r="12791" ht="15.75" customHeight="1"/>
    <row r="12792" ht="15.75" customHeight="1"/>
    <row r="12793" ht="15.75" customHeight="1"/>
    <row r="12794" ht="15.75" customHeight="1"/>
    <row r="12795" ht="15.75" customHeight="1"/>
    <row r="12796" ht="15.75" customHeight="1"/>
    <row r="12797" ht="15.75" customHeight="1"/>
    <row r="12798" ht="15.75" customHeight="1"/>
    <row r="12799" ht="15.75" customHeight="1"/>
    <row r="12800" ht="15.75" customHeight="1"/>
    <row r="12801" ht="15.75" customHeight="1"/>
    <row r="12802" ht="15.75" customHeight="1"/>
    <row r="12803" ht="15.75" customHeight="1"/>
    <row r="12804" ht="15.75" customHeight="1"/>
    <row r="12805" ht="15.75" customHeight="1"/>
    <row r="12806" ht="15.75" customHeight="1"/>
    <row r="12807" ht="15.75" customHeight="1"/>
    <row r="12808" ht="15.75" customHeight="1"/>
    <row r="12809" ht="15.75" customHeight="1"/>
    <row r="12810" ht="15.75" customHeight="1"/>
    <row r="12811" ht="15.75" customHeight="1"/>
    <row r="12812" ht="15.75" customHeight="1"/>
    <row r="12813" ht="15.75" customHeight="1"/>
    <row r="12814" ht="15.75" customHeight="1"/>
    <row r="12815" ht="15.75" customHeight="1"/>
    <row r="12816" ht="15.75" customHeight="1"/>
    <row r="12817" ht="15.75" customHeight="1"/>
    <row r="12818" ht="15.75" customHeight="1"/>
    <row r="12819" ht="15.75" customHeight="1"/>
    <row r="12820" ht="15.75" customHeight="1"/>
    <row r="12821" ht="15.75" customHeight="1"/>
    <row r="12822" ht="15.75" customHeight="1"/>
    <row r="12823" ht="15.75" customHeight="1"/>
    <row r="12824" ht="15.75" customHeight="1"/>
    <row r="12825" ht="15.75" customHeight="1"/>
    <row r="12826" ht="15.75" customHeight="1"/>
    <row r="12827" ht="15.75" customHeight="1"/>
    <row r="12828" ht="15.75" customHeight="1"/>
    <row r="12829" ht="15.75" customHeight="1"/>
    <row r="12830" ht="15.75" customHeight="1"/>
    <row r="12831" ht="15.75" customHeight="1"/>
    <row r="12832" ht="15.75" customHeight="1"/>
    <row r="12833" ht="15.75" customHeight="1"/>
    <row r="12834" ht="15.75" customHeight="1"/>
    <row r="12835" ht="15.75" customHeight="1"/>
    <row r="12836" ht="15.75" customHeight="1"/>
    <row r="12837" ht="15.75" customHeight="1"/>
    <row r="12838" ht="15.75" customHeight="1"/>
    <row r="12839" ht="15.75" customHeight="1"/>
    <row r="12840" ht="15.75" customHeight="1"/>
    <row r="12841" ht="15.75" customHeight="1"/>
    <row r="12842" ht="15.75" customHeight="1"/>
    <row r="12843" ht="15.75" customHeight="1"/>
    <row r="12844" ht="15.75" customHeight="1"/>
    <row r="12845" ht="15.75" customHeight="1"/>
    <row r="12846" ht="15.75" customHeight="1"/>
    <row r="12847" ht="15.75" customHeight="1"/>
    <row r="12848" ht="15.75" customHeight="1"/>
    <row r="12849" ht="15.75" customHeight="1"/>
    <row r="12850" ht="15.75" customHeight="1"/>
    <row r="12851" ht="15.75" customHeight="1"/>
    <row r="12852" ht="15.75" customHeight="1"/>
    <row r="12853" ht="15.75" customHeight="1"/>
    <row r="12854" ht="15.75" customHeight="1"/>
    <row r="12855" ht="15.75" customHeight="1"/>
    <row r="12856" ht="15.75" customHeight="1"/>
    <row r="12857" ht="15.75" customHeight="1"/>
    <row r="12858" ht="15.75" customHeight="1"/>
    <row r="12859" ht="15.75" customHeight="1"/>
    <row r="12860" ht="15.75" customHeight="1"/>
    <row r="12861" ht="15.75" customHeight="1"/>
    <row r="12862" ht="15.75" customHeight="1"/>
    <row r="12863" ht="15.75" customHeight="1"/>
    <row r="12864" ht="15.75" customHeight="1"/>
    <row r="12865" ht="15.75" customHeight="1"/>
    <row r="12866" ht="15.75" customHeight="1"/>
    <row r="12867" ht="15.75" customHeight="1"/>
    <row r="12868" ht="15.75" customHeight="1"/>
    <row r="12869" ht="15.75" customHeight="1"/>
    <row r="12870" ht="15.75" customHeight="1"/>
    <row r="12871" ht="15.75" customHeight="1"/>
    <row r="12872" ht="15.75" customHeight="1"/>
    <row r="12873" ht="15.75" customHeight="1"/>
    <row r="12874" ht="15.75" customHeight="1"/>
    <row r="12875" ht="15.75" customHeight="1"/>
    <row r="12876" ht="15.75" customHeight="1"/>
    <row r="12877" ht="15.75" customHeight="1"/>
    <row r="12878" ht="15.75" customHeight="1"/>
    <row r="12879" ht="15.75" customHeight="1"/>
    <row r="12880" ht="15.75" customHeight="1"/>
    <row r="12881" ht="15.75" customHeight="1"/>
    <row r="12882" ht="15.75" customHeight="1"/>
    <row r="12883" ht="15.75" customHeight="1"/>
    <row r="12884" ht="15.75" customHeight="1"/>
    <row r="12885" ht="15.75" customHeight="1"/>
    <row r="12886" ht="15.75" customHeight="1"/>
    <row r="12887" ht="15.75" customHeight="1"/>
    <row r="12888" ht="15.75" customHeight="1"/>
    <row r="12889" ht="15.75" customHeight="1"/>
    <row r="12890" ht="15.75" customHeight="1"/>
    <row r="12891" ht="15.75" customHeight="1"/>
    <row r="12892" ht="15.75" customHeight="1"/>
    <row r="12893" ht="15.75" customHeight="1"/>
    <row r="12894" ht="15.75" customHeight="1"/>
    <row r="12895" ht="15.75" customHeight="1"/>
    <row r="12896" ht="15.75" customHeight="1"/>
    <row r="12897" ht="15.75" customHeight="1"/>
    <row r="12898" ht="15.75" customHeight="1"/>
    <row r="12899" ht="15.75" customHeight="1"/>
    <row r="12900" ht="15.75" customHeight="1"/>
    <row r="12901" ht="15.75" customHeight="1"/>
    <row r="12902" ht="15.75" customHeight="1"/>
    <row r="12903" ht="15.75" customHeight="1"/>
    <row r="12904" ht="15.75" customHeight="1"/>
    <row r="12905" ht="15.75" customHeight="1"/>
    <row r="12906" ht="15.75" customHeight="1"/>
    <row r="12907" ht="15.75" customHeight="1"/>
    <row r="12908" ht="15.75" customHeight="1"/>
    <row r="12909" ht="15.75" customHeight="1"/>
    <row r="12910" ht="15.75" customHeight="1"/>
    <row r="12911" ht="15.75" customHeight="1"/>
    <row r="12912" ht="15.75" customHeight="1"/>
    <row r="12913" ht="15.75" customHeight="1"/>
    <row r="12914" ht="15.75" customHeight="1"/>
    <row r="12915" ht="15.75" customHeight="1"/>
    <row r="12916" ht="15.75" customHeight="1"/>
    <row r="12917" ht="15.75" customHeight="1"/>
    <row r="12918" ht="15.75" customHeight="1"/>
    <row r="12919" ht="15.75" customHeight="1"/>
    <row r="12920" ht="15.75" customHeight="1"/>
    <row r="12921" ht="15.75" customHeight="1"/>
    <row r="12922" ht="15.75" customHeight="1"/>
    <row r="12923" ht="15.75" customHeight="1"/>
    <row r="12924" ht="15.75" customHeight="1"/>
    <row r="12925" ht="15.75" customHeight="1"/>
    <row r="12926" ht="15.75" customHeight="1"/>
    <row r="12927" ht="15.75" customHeight="1"/>
    <row r="12928" ht="15.75" customHeight="1"/>
    <row r="12929" ht="15.75" customHeight="1"/>
    <row r="12930" ht="15.75" customHeight="1"/>
    <row r="12931" ht="15.75" customHeight="1"/>
    <row r="12932" ht="15.75" customHeight="1"/>
    <row r="12933" ht="15.75" customHeight="1"/>
    <row r="12934" ht="15.75" customHeight="1"/>
    <row r="12935" ht="15.75" customHeight="1"/>
    <row r="12936" ht="15.75" customHeight="1"/>
    <row r="12937" ht="15.75" customHeight="1"/>
    <row r="12938" ht="15.75" customHeight="1"/>
    <row r="12939" ht="15.75" customHeight="1"/>
    <row r="12940" ht="15.75" customHeight="1"/>
    <row r="12941" ht="15.75" customHeight="1"/>
    <row r="12942" ht="15.75" customHeight="1"/>
    <row r="12943" ht="15.75" customHeight="1"/>
    <row r="12944" ht="15.75" customHeight="1"/>
    <row r="12945" ht="15.75" customHeight="1"/>
    <row r="12946" ht="15.75" customHeight="1"/>
    <row r="12947" ht="15.75" customHeight="1"/>
    <row r="12948" ht="15.75" customHeight="1"/>
    <row r="12949" ht="15.75" customHeight="1"/>
    <row r="12950" ht="15.75" customHeight="1"/>
    <row r="12951" ht="15.75" customHeight="1"/>
    <row r="12952" ht="15.75" customHeight="1"/>
    <row r="12953" ht="15.75" customHeight="1"/>
    <row r="12954" ht="15.75" customHeight="1"/>
    <row r="12955" ht="15.75" customHeight="1"/>
    <row r="12956" ht="15.75" customHeight="1"/>
    <row r="12957" ht="15.75" customHeight="1"/>
    <row r="12958" ht="15.75" customHeight="1"/>
    <row r="12959" ht="15.75" customHeight="1"/>
    <row r="12960" ht="15.75" customHeight="1"/>
    <row r="12961" ht="15.75" customHeight="1"/>
    <row r="12962" ht="15.75" customHeight="1"/>
    <row r="12963" ht="15.75" customHeight="1"/>
    <row r="12964" ht="15.75" customHeight="1"/>
    <row r="12965" ht="15.75" customHeight="1"/>
    <row r="12966" ht="15.75" customHeight="1"/>
    <row r="12967" ht="15.75" customHeight="1"/>
    <row r="12968" ht="15.75" customHeight="1"/>
    <row r="12969" ht="15.75" customHeight="1"/>
    <row r="12970" ht="15.75" customHeight="1"/>
    <row r="12971" ht="15.75" customHeight="1"/>
    <row r="12972" ht="15.75" customHeight="1"/>
    <row r="12973" ht="15.75" customHeight="1"/>
    <row r="12974" ht="15.75" customHeight="1"/>
    <row r="12975" ht="15.75" customHeight="1"/>
    <row r="12976" ht="15.75" customHeight="1"/>
    <row r="12977" ht="15.75" customHeight="1"/>
    <row r="12978" ht="15.75" customHeight="1"/>
    <row r="12979" ht="15.75" customHeight="1"/>
    <row r="12980" ht="15.75" customHeight="1"/>
    <row r="12981" ht="15.75" customHeight="1"/>
    <row r="12982" ht="15.75" customHeight="1"/>
    <row r="12983" ht="15.75" customHeight="1"/>
    <row r="12984" ht="15.75" customHeight="1"/>
    <row r="12985" ht="15.75" customHeight="1"/>
    <row r="12986" ht="15.75" customHeight="1"/>
    <row r="12987" ht="15.75" customHeight="1"/>
    <row r="12988" ht="15.75" customHeight="1"/>
    <row r="12989" ht="15.75" customHeight="1"/>
    <row r="12990" ht="15.75" customHeight="1"/>
    <row r="12991" ht="15.75" customHeight="1"/>
    <row r="12992" ht="15.75" customHeight="1"/>
    <row r="12993" ht="15.75" customHeight="1"/>
    <row r="12994" ht="15.75" customHeight="1"/>
    <row r="12995" ht="15.75" customHeight="1"/>
    <row r="12996" ht="15.75" customHeight="1"/>
    <row r="12997" ht="15.75" customHeight="1"/>
    <row r="12998" ht="15.75" customHeight="1"/>
    <row r="12999" ht="15.75" customHeight="1"/>
    <row r="13000" ht="15.75" customHeight="1"/>
    <row r="13001" ht="15.75" customHeight="1"/>
    <row r="13002" ht="15.75" customHeight="1"/>
    <row r="13003" ht="15.75" customHeight="1"/>
    <row r="13004" ht="15.75" customHeight="1"/>
    <row r="13005" ht="15.75" customHeight="1"/>
    <row r="13006" ht="15.75" customHeight="1"/>
    <row r="13007" ht="15.75" customHeight="1"/>
    <row r="13008" ht="15.75" customHeight="1"/>
    <row r="13009" ht="15.75" customHeight="1"/>
    <row r="13010" ht="15.75" customHeight="1"/>
    <row r="13011" ht="15.75" customHeight="1"/>
    <row r="13012" ht="15.75" customHeight="1"/>
    <row r="13013" ht="15.75" customHeight="1"/>
    <row r="13014" ht="15.75" customHeight="1"/>
    <row r="13015" ht="15.75" customHeight="1"/>
    <row r="13016" ht="15.75" customHeight="1"/>
    <row r="13017" ht="15.75" customHeight="1"/>
    <row r="13018" ht="15.75" customHeight="1"/>
    <row r="13019" ht="15.75" customHeight="1"/>
    <row r="13020" ht="15.75" customHeight="1"/>
    <row r="13021" ht="15.75" customHeight="1"/>
    <row r="13022" ht="15.75" customHeight="1"/>
    <row r="13023" ht="15.75" customHeight="1"/>
    <row r="13024" ht="15.75" customHeight="1"/>
    <row r="13025" ht="15.75" customHeight="1"/>
    <row r="13026" ht="15.75" customHeight="1"/>
    <row r="13027" ht="15.75" customHeight="1"/>
    <row r="13028" ht="15.75" customHeight="1"/>
    <row r="13029" ht="15.75" customHeight="1"/>
    <row r="13030" ht="15.75" customHeight="1"/>
    <row r="13031" ht="15.75" customHeight="1"/>
    <row r="13032" ht="15.75" customHeight="1"/>
    <row r="13033" ht="15.75" customHeight="1"/>
    <row r="13034" ht="15.75" customHeight="1"/>
    <row r="13035" ht="15.75" customHeight="1"/>
    <row r="13036" ht="15.75" customHeight="1"/>
    <row r="13037" ht="15.75" customHeight="1"/>
    <row r="13038" ht="15.75" customHeight="1"/>
    <row r="13039" ht="15.75" customHeight="1"/>
    <row r="13040" ht="15.75" customHeight="1"/>
    <row r="13041" ht="15.75" customHeight="1"/>
    <row r="13042" ht="15.75" customHeight="1"/>
    <row r="13043" ht="15.75" customHeight="1"/>
    <row r="13044" ht="15.75" customHeight="1"/>
    <row r="13045" ht="15.75" customHeight="1"/>
    <row r="13046" ht="15.75" customHeight="1"/>
    <row r="13047" ht="15.75" customHeight="1"/>
    <row r="13048" ht="15.75" customHeight="1"/>
    <row r="13049" ht="15.75" customHeight="1"/>
    <row r="13050" ht="15.75" customHeight="1"/>
    <row r="13051" ht="15.75" customHeight="1"/>
    <row r="13052" ht="15.75" customHeight="1"/>
    <row r="13053" ht="15.75" customHeight="1"/>
    <row r="13054" ht="15.75" customHeight="1"/>
    <row r="13055" ht="15.75" customHeight="1"/>
    <row r="13056" ht="15.75" customHeight="1"/>
    <row r="13057" ht="15.75" customHeight="1"/>
    <row r="13058" ht="15.75" customHeight="1"/>
    <row r="13059" ht="15.75" customHeight="1"/>
    <row r="13060" ht="15.75" customHeight="1"/>
    <row r="13061" ht="15.75" customHeight="1"/>
    <row r="13062" ht="15.75" customHeight="1"/>
    <row r="13063" ht="15.75" customHeight="1"/>
    <row r="13064" ht="15.75" customHeight="1"/>
    <row r="13065" ht="15.75" customHeight="1"/>
    <row r="13066" ht="15.75" customHeight="1"/>
    <row r="13067" ht="15.75" customHeight="1"/>
    <row r="13068" ht="15.75" customHeight="1"/>
    <row r="13069" ht="15.75" customHeight="1"/>
    <row r="13070" ht="15.75" customHeight="1"/>
    <row r="13071" ht="15.75" customHeight="1"/>
    <row r="13072" ht="15.75" customHeight="1"/>
    <row r="13073" ht="15.75" customHeight="1"/>
    <row r="13074" ht="15.75" customHeight="1"/>
    <row r="13075" ht="15.75" customHeight="1"/>
    <row r="13076" ht="15.75" customHeight="1"/>
    <row r="13077" ht="15.75" customHeight="1"/>
    <row r="13078" ht="15.75" customHeight="1"/>
    <row r="13079" ht="15.75" customHeight="1"/>
    <row r="13080" ht="15.75" customHeight="1"/>
    <row r="13081" ht="15.75" customHeight="1"/>
    <row r="13082" ht="15.75" customHeight="1"/>
    <row r="13083" ht="15.75" customHeight="1"/>
    <row r="13084" ht="15.75" customHeight="1"/>
    <row r="13085" ht="15.75" customHeight="1"/>
    <row r="13086" ht="15.75" customHeight="1"/>
    <row r="13087" ht="15.75" customHeight="1"/>
    <row r="13088" ht="15.75" customHeight="1"/>
    <row r="13089" ht="15.75" customHeight="1"/>
    <row r="13090" ht="15.75" customHeight="1"/>
    <row r="13091" ht="15.75" customHeight="1"/>
    <row r="13092" ht="15.75" customHeight="1"/>
    <row r="13093" ht="15.75" customHeight="1"/>
    <row r="13094" ht="15.75" customHeight="1"/>
    <row r="13095" ht="15.75" customHeight="1"/>
    <row r="13096" ht="15.75" customHeight="1"/>
    <row r="13097" ht="15.75" customHeight="1"/>
    <row r="13098" ht="15.75" customHeight="1"/>
    <row r="13099" ht="15.75" customHeight="1"/>
    <row r="13100" ht="15.75" customHeight="1"/>
    <row r="13101" ht="15.75" customHeight="1"/>
    <row r="13102" ht="15.75" customHeight="1"/>
    <row r="13103" ht="15.75" customHeight="1"/>
    <row r="13104" ht="15.75" customHeight="1"/>
    <row r="13105" ht="15.75" customHeight="1"/>
    <row r="13106" ht="15.75" customHeight="1"/>
    <row r="13107" ht="15.75" customHeight="1"/>
    <row r="13108" ht="15.75" customHeight="1"/>
    <row r="13109" ht="15.75" customHeight="1"/>
    <row r="13110" ht="15.75" customHeight="1"/>
    <row r="13111" ht="15.75" customHeight="1"/>
    <row r="13112" ht="15.75" customHeight="1"/>
    <row r="13113" ht="15.75" customHeight="1"/>
    <row r="13114" ht="15.75" customHeight="1"/>
    <row r="13115" ht="15.75" customHeight="1"/>
    <row r="13116" ht="15.75" customHeight="1"/>
    <row r="13117" ht="15.75" customHeight="1"/>
    <row r="13118" ht="15.75" customHeight="1"/>
    <row r="13119" ht="15.75" customHeight="1"/>
    <row r="13120" ht="15.75" customHeight="1"/>
    <row r="13121" ht="15.75" customHeight="1"/>
    <row r="13122" ht="15.75" customHeight="1"/>
    <row r="13123" ht="15.75" customHeight="1"/>
    <row r="13124" ht="15.75" customHeight="1"/>
    <row r="13125" ht="15.75" customHeight="1"/>
    <row r="13126" ht="15.75" customHeight="1"/>
    <row r="13127" ht="15.75" customHeight="1"/>
    <row r="13128" ht="15.75" customHeight="1"/>
    <row r="13129" ht="15.75" customHeight="1"/>
    <row r="13130" ht="15.75" customHeight="1"/>
    <row r="13131" ht="15.75" customHeight="1"/>
    <row r="13132" ht="15.75" customHeight="1"/>
    <row r="13133" ht="15.75" customHeight="1"/>
    <row r="13134" ht="15.75" customHeight="1"/>
    <row r="13135" ht="15.75" customHeight="1"/>
    <row r="13136" ht="15.75" customHeight="1"/>
    <row r="13137" ht="15.75" customHeight="1"/>
    <row r="13138" ht="15.75" customHeight="1"/>
    <row r="13139" ht="15.75" customHeight="1"/>
    <row r="13140" ht="15.75" customHeight="1"/>
    <row r="13141" ht="15.75" customHeight="1"/>
    <row r="13142" ht="15.75" customHeight="1"/>
    <row r="13143" ht="15.75" customHeight="1"/>
    <row r="13144" ht="15.75" customHeight="1"/>
    <row r="13145" ht="15.75" customHeight="1"/>
    <row r="13146" ht="15.75" customHeight="1"/>
    <row r="13147" ht="15.75" customHeight="1"/>
    <row r="13148" ht="15.75" customHeight="1"/>
    <row r="13149" ht="15.75" customHeight="1"/>
    <row r="13150" ht="15.75" customHeight="1"/>
    <row r="13151" ht="15.75" customHeight="1"/>
    <row r="13152" ht="15.75" customHeight="1"/>
    <row r="13153" ht="15.75" customHeight="1"/>
    <row r="13154" ht="15.75" customHeight="1"/>
    <row r="13155" ht="15.75" customHeight="1"/>
    <row r="13156" ht="15.75" customHeight="1"/>
    <row r="13157" ht="15.75" customHeight="1"/>
    <row r="13158" ht="15.75" customHeight="1"/>
    <row r="13159" ht="15.75" customHeight="1"/>
    <row r="13160" ht="15.75" customHeight="1"/>
    <row r="13161" ht="15.75" customHeight="1"/>
    <row r="13162" ht="15.75" customHeight="1"/>
    <row r="13163" ht="15.75" customHeight="1"/>
    <row r="13164" ht="15.75" customHeight="1"/>
    <row r="13165" ht="15.75" customHeight="1"/>
    <row r="13166" ht="15.75" customHeight="1"/>
    <row r="13167" ht="15.75" customHeight="1"/>
    <row r="13168" ht="15.75" customHeight="1"/>
    <row r="13169" ht="15.75" customHeight="1"/>
    <row r="13170" ht="15.75" customHeight="1"/>
    <row r="13171" ht="15.75" customHeight="1"/>
    <row r="13172" ht="15.75" customHeight="1"/>
    <row r="13173" ht="15.75" customHeight="1"/>
    <row r="13174" ht="15.75" customHeight="1"/>
    <row r="13175" ht="15.75" customHeight="1"/>
    <row r="13176" ht="15.75" customHeight="1"/>
    <row r="13177" ht="15.75" customHeight="1"/>
    <row r="13178" ht="15.75" customHeight="1"/>
    <row r="13179" ht="15.75" customHeight="1"/>
    <row r="13180" ht="15.75" customHeight="1"/>
    <row r="13181" ht="15.75" customHeight="1"/>
    <row r="13182" ht="15.75" customHeight="1"/>
    <row r="13183" ht="15.75" customHeight="1"/>
    <row r="13184" ht="15.75" customHeight="1"/>
    <row r="13185" ht="15.75" customHeight="1"/>
    <row r="13186" ht="15.75" customHeight="1"/>
    <row r="13187" ht="15.75" customHeight="1"/>
    <row r="13188" ht="15.75" customHeight="1"/>
    <row r="13189" ht="15.75" customHeight="1"/>
    <row r="13190" ht="15.75" customHeight="1"/>
    <row r="13191" ht="15.75" customHeight="1"/>
    <row r="13192" ht="15.75" customHeight="1"/>
    <row r="13193" ht="15.75" customHeight="1"/>
    <row r="13194" ht="15.75" customHeight="1"/>
    <row r="13195" ht="15.75" customHeight="1"/>
    <row r="13196" ht="15.75" customHeight="1"/>
    <row r="13197" ht="15.75" customHeight="1"/>
    <row r="13198" ht="15.75" customHeight="1"/>
    <row r="13199" ht="15.75" customHeight="1"/>
    <row r="13200" ht="15.75" customHeight="1"/>
    <row r="13201" ht="15.75" customHeight="1"/>
    <row r="13202" ht="15.75" customHeight="1"/>
    <row r="13203" ht="15.75" customHeight="1"/>
    <row r="13204" ht="15.75" customHeight="1"/>
    <row r="13205" ht="15.75" customHeight="1"/>
    <row r="13206" ht="15.75" customHeight="1"/>
    <row r="13207" ht="15.75" customHeight="1"/>
    <row r="13208" ht="15.75" customHeight="1"/>
    <row r="13209" ht="15.75" customHeight="1"/>
    <row r="13210" ht="15.75" customHeight="1"/>
    <row r="13211" ht="15.75" customHeight="1"/>
    <row r="13212" ht="15.75" customHeight="1"/>
    <row r="13213" ht="15.75" customHeight="1"/>
    <row r="13214" ht="15.75" customHeight="1"/>
    <row r="13215" ht="15.75" customHeight="1"/>
    <row r="13216" ht="15.75" customHeight="1"/>
    <row r="13217" ht="15.75" customHeight="1"/>
    <row r="13218" ht="15.75" customHeight="1"/>
    <row r="13219" ht="15.75" customHeight="1"/>
    <row r="13220" ht="15.75" customHeight="1"/>
    <row r="13221" ht="15.75" customHeight="1"/>
    <row r="13222" ht="15.75" customHeight="1"/>
    <row r="13223" ht="15.75" customHeight="1"/>
    <row r="13224" ht="15.75" customHeight="1"/>
    <row r="13225" ht="15.75" customHeight="1"/>
    <row r="13226" ht="15.75" customHeight="1"/>
    <row r="13227" ht="15.75" customHeight="1"/>
    <row r="13228" ht="15.75" customHeight="1"/>
    <row r="13229" ht="15.75" customHeight="1"/>
    <row r="13230" ht="15.75" customHeight="1"/>
    <row r="13231" ht="15.75" customHeight="1"/>
    <row r="13232" ht="15.75" customHeight="1"/>
    <row r="13233" ht="15.75" customHeight="1"/>
    <row r="13234" ht="15.75" customHeight="1"/>
    <row r="13235" ht="15.75" customHeight="1"/>
    <row r="13236" ht="15.75" customHeight="1"/>
    <row r="13237" ht="15.75" customHeight="1"/>
    <row r="13238" ht="15.75" customHeight="1"/>
    <row r="13239" ht="15.75" customHeight="1"/>
    <row r="13240" ht="15.75" customHeight="1"/>
    <row r="13241" ht="15.75" customHeight="1"/>
    <row r="13242" ht="15.75" customHeight="1"/>
    <row r="13243" ht="15.75" customHeight="1"/>
    <row r="13244" ht="15.75" customHeight="1"/>
    <row r="13245" ht="15.75" customHeight="1"/>
    <row r="13246" ht="15.75" customHeight="1"/>
    <row r="13247" ht="15.75" customHeight="1"/>
    <row r="13248" ht="15.75" customHeight="1"/>
    <row r="13249" ht="15.75" customHeight="1"/>
    <row r="13250" ht="15.75" customHeight="1"/>
    <row r="13251" ht="15.75" customHeight="1"/>
    <row r="13252" ht="15.75" customHeight="1"/>
    <row r="13253" ht="15.75" customHeight="1"/>
    <row r="13254" ht="15.75" customHeight="1"/>
    <row r="13255" ht="15.75" customHeight="1"/>
    <row r="13256" ht="15.75" customHeight="1"/>
    <row r="13257" ht="15.75" customHeight="1"/>
    <row r="13258" ht="15.75" customHeight="1"/>
    <row r="13259" ht="15.75" customHeight="1"/>
    <row r="13260" ht="15.75" customHeight="1"/>
    <row r="13261" ht="15.75" customHeight="1"/>
    <row r="13262" ht="15.75" customHeight="1"/>
    <row r="13263" ht="15.75" customHeight="1"/>
    <row r="13264" ht="15.75" customHeight="1"/>
    <row r="13265" ht="15.75" customHeight="1"/>
    <row r="13266" ht="15.75" customHeight="1"/>
    <row r="13267" ht="15.75" customHeight="1"/>
    <row r="13268" ht="15.75" customHeight="1"/>
    <row r="13269" ht="15.75" customHeight="1"/>
    <row r="13270" ht="15.75" customHeight="1"/>
    <row r="13271" ht="15.75" customHeight="1"/>
    <row r="13272" ht="15.75" customHeight="1"/>
    <row r="13273" ht="15.75" customHeight="1"/>
    <row r="13274" ht="15.75" customHeight="1"/>
    <row r="13275" ht="15.75" customHeight="1"/>
    <row r="13276" ht="15.75" customHeight="1"/>
    <row r="13277" ht="15.75" customHeight="1"/>
    <row r="13278" ht="15.75" customHeight="1"/>
    <row r="13279" ht="15.75" customHeight="1"/>
    <row r="13280" ht="15.75" customHeight="1"/>
    <row r="13281" ht="15.75" customHeight="1"/>
    <row r="13282" ht="15.75" customHeight="1"/>
    <row r="13283" ht="15.75" customHeight="1"/>
    <row r="13284" ht="15.75" customHeight="1"/>
    <row r="13285" ht="15.75" customHeight="1"/>
    <row r="13286" ht="15.75" customHeight="1"/>
    <row r="13287" ht="15.75" customHeight="1"/>
    <row r="13288" ht="15.75" customHeight="1"/>
    <row r="13289" ht="15.75" customHeight="1"/>
    <row r="13290" ht="15.75" customHeight="1"/>
    <row r="13291" ht="15.75" customHeight="1"/>
    <row r="13292" ht="15.75" customHeight="1"/>
    <row r="13293" ht="15.75" customHeight="1"/>
    <row r="13294" ht="15.75" customHeight="1"/>
    <row r="13295" ht="15.75" customHeight="1"/>
    <row r="13296" ht="15.75" customHeight="1"/>
    <row r="13297" ht="15.75" customHeight="1"/>
    <row r="13298" ht="15.75" customHeight="1"/>
    <row r="13299" ht="15.75" customHeight="1"/>
    <row r="13300" ht="15.75" customHeight="1"/>
    <row r="13301" ht="15.75" customHeight="1"/>
    <row r="13302" ht="15.75" customHeight="1"/>
    <row r="13303" ht="15.75" customHeight="1"/>
    <row r="13304" ht="15.75" customHeight="1"/>
    <row r="13305" ht="15.75" customHeight="1"/>
    <row r="13306" ht="15.75" customHeight="1"/>
    <row r="13307" ht="15.75" customHeight="1"/>
    <row r="13308" ht="15.75" customHeight="1"/>
    <row r="13309" ht="15.75" customHeight="1"/>
    <row r="13310" ht="15.75" customHeight="1"/>
    <row r="13311" ht="15.75" customHeight="1"/>
    <row r="13312" ht="15.75" customHeight="1"/>
    <row r="13313" ht="15.75" customHeight="1"/>
    <row r="13314" ht="15.75" customHeight="1"/>
    <row r="13315" ht="15.75" customHeight="1"/>
    <row r="13316" ht="15.75" customHeight="1"/>
    <row r="13317" ht="15.75" customHeight="1"/>
    <row r="13318" ht="15.75" customHeight="1"/>
    <row r="13319" ht="15.75" customHeight="1"/>
    <row r="13320" ht="15.75" customHeight="1"/>
    <row r="13321" ht="15.75" customHeight="1"/>
    <row r="13322" ht="15.75" customHeight="1"/>
    <row r="13323" ht="15.75" customHeight="1"/>
    <row r="13324" ht="15.75" customHeight="1"/>
    <row r="13325" ht="15.75" customHeight="1"/>
    <row r="13326" ht="15.75" customHeight="1"/>
    <row r="13327" ht="15.75" customHeight="1"/>
    <row r="13328" ht="15.75" customHeight="1"/>
    <row r="13329" ht="15.75" customHeight="1"/>
    <row r="13330" ht="15.75" customHeight="1"/>
    <row r="13331" ht="15.75" customHeight="1"/>
    <row r="13332" ht="15.75" customHeight="1"/>
    <row r="13333" ht="15.75" customHeight="1"/>
    <row r="13334" ht="15.75" customHeight="1"/>
    <row r="13335" ht="15.75" customHeight="1"/>
    <row r="13336" ht="15.75" customHeight="1"/>
    <row r="13337" ht="15.75" customHeight="1"/>
    <row r="13338" ht="15.75" customHeight="1"/>
    <row r="13339" ht="15.75" customHeight="1"/>
    <row r="13340" ht="15.75" customHeight="1"/>
    <row r="13341" ht="15.75" customHeight="1"/>
    <row r="13342" ht="15.75" customHeight="1"/>
    <row r="13343" ht="15.75" customHeight="1"/>
    <row r="13344" ht="15.75" customHeight="1"/>
    <row r="13345" ht="15.75" customHeight="1"/>
    <row r="13346" ht="15.75" customHeight="1"/>
    <row r="13347" ht="15.75" customHeight="1"/>
    <row r="13348" ht="15.75" customHeight="1"/>
    <row r="13349" ht="15.75" customHeight="1"/>
    <row r="13350" ht="15.75" customHeight="1"/>
    <row r="13351" ht="15.75" customHeight="1"/>
    <row r="13352" ht="15.75" customHeight="1"/>
    <row r="13353" ht="15.75" customHeight="1"/>
    <row r="13354" ht="15.75" customHeight="1"/>
    <row r="13355" ht="15.75" customHeight="1"/>
    <row r="13356" ht="15.75" customHeight="1"/>
    <row r="13357" ht="15.75" customHeight="1"/>
    <row r="13358" ht="15.75" customHeight="1"/>
    <row r="13359" ht="15.75" customHeight="1"/>
    <row r="13360" ht="15.75" customHeight="1"/>
    <row r="13361" ht="15.75" customHeight="1"/>
    <row r="13362" ht="15.75" customHeight="1"/>
    <row r="13363" ht="15.75" customHeight="1"/>
    <row r="13364" ht="15.75" customHeight="1"/>
    <row r="13365" ht="15.75" customHeight="1"/>
    <row r="13366" ht="15.75" customHeight="1"/>
    <row r="13367" ht="15.75" customHeight="1"/>
    <row r="13368" ht="15.75" customHeight="1"/>
    <row r="13369" ht="15.75" customHeight="1"/>
    <row r="13370" ht="15.75" customHeight="1"/>
    <row r="13371" ht="15.75" customHeight="1"/>
    <row r="13372" ht="15.75" customHeight="1"/>
    <row r="13373" ht="15.75" customHeight="1"/>
    <row r="13374" ht="15.75" customHeight="1"/>
    <row r="13375" ht="15.75" customHeight="1"/>
    <row r="13376" ht="15.75" customHeight="1"/>
    <row r="13377" ht="15.75" customHeight="1"/>
    <row r="13378" ht="15.75" customHeight="1"/>
    <row r="13379" ht="15.75" customHeight="1"/>
    <row r="13380" ht="15.75" customHeight="1"/>
    <row r="13381" ht="15.75" customHeight="1"/>
    <row r="13382" ht="15.75" customHeight="1"/>
    <row r="13383" ht="15.75" customHeight="1"/>
    <row r="13384" ht="15.75" customHeight="1"/>
    <row r="13385" ht="15.75" customHeight="1"/>
    <row r="13386" ht="15.75" customHeight="1"/>
    <row r="13387" ht="15.75" customHeight="1"/>
    <row r="13388" ht="15.75" customHeight="1"/>
    <row r="13389" ht="15.75" customHeight="1"/>
    <row r="13390" ht="15.75" customHeight="1"/>
    <row r="13391" ht="15.75" customHeight="1"/>
    <row r="13392" ht="15.75" customHeight="1"/>
    <row r="13393" ht="15.75" customHeight="1"/>
    <row r="13394" ht="15.75" customHeight="1"/>
    <row r="13395" ht="15.75" customHeight="1"/>
    <row r="13396" ht="15.75" customHeight="1"/>
    <row r="13397" ht="15.75" customHeight="1"/>
    <row r="13398" ht="15.75" customHeight="1"/>
    <row r="13399" ht="15.75" customHeight="1"/>
    <row r="13400" ht="15.75" customHeight="1"/>
    <row r="13401" ht="15.75" customHeight="1"/>
    <row r="13402" ht="15.75" customHeight="1"/>
    <row r="13403" ht="15.75" customHeight="1"/>
    <row r="13404" ht="15.75" customHeight="1"/>
    <row r="13405" ht="15.75" customHeight="1"/>
    <row r="13406" ht="15.75" customHeight="1"/>
    <row r="13407" ht="15.75" customHeight="1"/>
    <row r="13408" ht="15.75" customHeight="1"/>
    <row r="13409" ht="15.75" customHeight="1"/>
    <row r="13410" ht="15.75" customHeight="1"/>
    <row r="13411" ht="15.75" customHeight="1"/>
    <row r="13412" ht="15.75" customHeight="1"/>
    <row r="13413" ht="15.75" customHeight="1"/>
    <row r="13414" ht="15.75" customHeight="1"/>
    <row r="13415" ht="15.75" customHeight="1"/>
    <row r="13416" ht="15.75" customHeight="1"/>
    <row r="13417" ht="15.75" customHeight="1"/>
    <row r="13418" ht="15.75" customHeight="1"/>
    <row r="13419" ht="15.75" customHeight="1"/>
    <row r="13420" ht="15.75" customHeight="1"/>
    <row r="13421" ht="15.75" customHeight="1"/>
    <row r="13422" ht="15.75" customHeight="1"/>
    <row r="13423" ht="15.75" customHeight="1"/>
    <row r="13424" ht="15.75" customHeight="1"/>
    <row r="13425" ht="15.75" customHeight="1"/>
    <row r="13426" ht="15.75" customHeight="1"/>
    <row r="13427" ht="15.75" customHeight="1"/>
    <row r="13428" ht="15.75" customHeight="1"/>
    <row r="13429" ht="15.75" customHeight="1"/>
    <row r="13430" ht="15.75" customHeight="1"/>
    <row r="13431" ht="15.75" customHeight="1"/>
    <row r="13432" ht="15.75" customHeight="1"/>
    <row r="13433" ht="15.75" customHeight="1"/>
    <row r="13434" ht="15.75" customHeight="1"/>
    <row r="13435" ht="15.75" customHeight="1"/>
    <row r="13436" ht="15.75" customHeight="1"/>
    <row r="13437" ht="15.75" customHeight="1"/>
    <row r="13438" ht="15.75" customHeight="1"/>
    <row r="13439" ht="15.75" customHeight="1"/>
    <row r="13440" ht="15.75" customHeight="1"/>
    <row r="13441" ht="15.75" customHeight="1"/>
    <row r="13442" ht="15.75" customHeight="1"/>
    <row r="13443" ht="15.75" customHeight="1"/>
    <row r="13444" ht="15.75" customHeight="1"/>
    <row r="13445" ht="15.75" customHeight="1"/>
    <row r="13446" ht="15.75" customHeight="1"/>
    <row r="13447" ht="15.75" customHeight="1"/>
    <row r="13448" ht="15.75" customHeight="1"/>
    <row r="13449" ht="15.75" customHeight="1"/>
    <row r="13450" ht="15.75" customHeight="1"/>
    <row r="13451" ht="15.75" customHeight="1"/>
    <row r="13452" ht="15.75" customHeight="1"/>
    <row r="13453" ht="15.75" customHeight="1"/>
    <row r="13454" ht="15.75" customHeight="1"/>
    <row r="13455" ht="15.75" customHeight="1"/>
    <row r="13456" ht="15.75" customHeight="1"/>
    <row r="13457" ht="15.75" customHeight="1"/>
    <row r="13458" ht="15.75" customHeight="1"/>
    <row r="13459" ht="15.75" customHeight="1"/>
    <row r="13460" ht="15.75" customHeight="1"/>
    <row r="13461" ht="15.75" customHeight="1"/>
    <row r="13462" ht="15.75" customHeight="1"/>
    <row r="13463" ht="15.75" customHeight="1"/>
    <row r="13464" ht="15.75" customHeight="1"/>
    <row r="13465" ht="15.75" customHeight="1"/>
    <row r="13466" ht="15.75" customHeight="1"/>
    <row r="13467" ht="15.75" customHeight="1"/>
    <row r="13468" ht="15.75" customHeight="1"/>
    <row r="13469" ht="15.75" customHeight="1"/>
    <row r="13470" ht="15.75" customHeight="1"/>
    <row r="13471" ht="15.75" customHeight="1"/>
    <row r="13472" ht="15.75" customHeight="1"/>
    <row r="13473" ht="15.75" customHeight="1"/>
    <row r="13474" ht="15.75" customHeight="1"/>
    <row r="13475" ht="15.75" customHeight="1"/>
    <row r="13476" ht="15.75" customHeight="1"/>
    <row r="13477" ht="15.75" customHeight="1"/>
    <row r="13478" ht="15.75" customHeight="1"/>
    <row r="13479" ht="15.75" customHeight="1"/>
    <row r="13480" ht="15.75" customHeight="1"/>
    <row r="13481" ht="15.75" customHeight="1"/>
    <row r="13482" ht="15.75" customHeight="1"/>
    <row r="13483" ht="15.75" customHeight="1"/>
    <row r="13484" ht="15.75" customHeight="1"/>
    <row r="13485" ht="15.75" customHeight="1"/>
    <row r="13486" ht="15.75" customHeight="1"/>
    <row r="13487" ht="15.75" customHeight="1"/>
    <row r="13488" ht="15.75" customHeight="1"/>
    <row r="13489" ht="15.75" customHeight="1"/>
    <row r="13490" ht="15.75" customHeight="1"/>
    <row r="13491" ht="15.75" customHeight="1"/>
    <row r="13492" ht="15.75" customHeight="1"/>
    <row r="13493" ht="15.75" customHeight="1"/>
    <row r="13494" ht="15.75" customHeight="1"/>
    <row r="13495" ht="15.75" customHeight="1"/>
    <row r="13496" ht="15.75" customHeight="1"/>
    <row r="13497" ht="15.75" customHeight="1"/>
    <row r="13498" ht="15.75" customHeight="1"/>
    <row r="13499" ht="15.75" customHeight="1"/>
    <row r="13500" ht="15.75" customHeight="1"/>
    <row r="13501" ht="15.75" customHeight="1"/>
    <row r="13502" ht="15.75" customHeight="1"/>
    <row r="13503" ht="15.75" customHeight="1"/>
    <row r="13504" ht="15.75" customHeight="1"/>
    <row r="13505" ht="15.75" customHeight="1"/>
    <row r="13506" ht="15.75" customHeight="1"/>
    <row r="13507" ht="15.75" customHeight="1"/>
    <row r="13508" ht="15.75" customHeight="1"/>
    <row r="13509" ht="15.75" customHeight="1"/>
    <row r="13510" ht="15.75" customHeight="1"/>
    <row r="13511" ht="15.75" customHeight="1"/>
    <row r="13512" ht="15.75" customHeight="1"/>
    <row r="13513" ht="15.75" customHeight="1"/>
    <row r="13514" ht="15.75" customHeight="1"/>
    <row r="13515" ht="15.75" customHeight="1"/>
    <row r="13516" ht="15.75" customHeight="1"/>
    <row r="13517" ht="15.75" customHeight="1"/>
    <row r="13518" ht="15.75" customHeight="1"/>
    <row r="13519" ht="15.75" customHeight="1"/>
    <row r="13520" ht="15.75" customHeight="1"/>
    <row r="13521" ht="15.75" customHeight="1"/>
    <row r="13522" ht="15.75" customHeight="1"/>
    <row r="13523" ht="15.75" customHeight="1"/>
    <row r="13524" ht="15.75" customHeight="1"/>
    <row r="13525" ht="15.75" customHeight="1"/>
    <row r="13526" ht="15.75" customHeight="1"/>
    <row r="13527" ht="15.75" customHeight="1"/>
    <row r="13528" ht="15.75" customHeight="1"/>
    <row r="13529" ht="15.75" customHeight="1"/>
    <row r="13530" ht="15.75" customHeight="1"/>
    <row r="13531" ht="15.75" customHeight="1"/>
    <row r="13532" ht="15.75" customHeight="1"/>
    <row r="13533" ht="15.75" customHeight="1"/>
    <row r="13534" ht="15.75" customHeight="1"/>
    <row r="13535" ht="15.75" customHeight="1"/>
    <row r="13536" ht="15.75" customHeight="1"/>
    <row r="13537" ht="15.75" customHeight="1"/>
    <row r="13538" ht="15.75" customHeight="1"/>
    <row r="13539" ht="15.75" customHeight="1"/>
    <row r="13540" ht="15.75" customHeight="1"/>
    <row r="13541" ht="15.75" customHeight="1"/>
    <row r="13542" ht="15.75" customHeight="1"/>
    <row r="13543" ht="15.75" customHeight="1"/>
    <row r="13544" ht="15.75" customHeight="1"/>
    <row r="13545" ht="15.75" customHeight="1"/>
    <row r="13546" ht="15.75" customHeight="1"/>
    <row r="13547" ht="15.75" customHeight="1"/>
    <row r="13548" ht="15.75" customHeight="1"/>
    <row r="13549" ht="15.75" customHeight="1"/>
    <row r="13550" ht="15.75" customHeight="1"/>
    <row r="13551" ht="15.75" customHeight="1"/>
    <row r="13552" ht="15.75" customHeight="1"/>
    <row r="13553" ht="15.75" customHeight="1"/>
    <row r="13554" ht="15.75" customHeight="1"/>
    <row r="13555" ht="15.75" customHeight="1"/>
    <row r="13556" ht="15.75" customHeight="1"/>
    <row r="13557" ht="15.75" customHeight="1"/>
    <row r="13558" ht="15.75" customHeight="1"/>
    <row r="13559" ht="15.75" customHeight="1"/>
    <row r="13560" ht="15.75" customHeight="1"/>
    <row r="13561" ht="15.75" customHeight="1"/>
    <row r="13562" ht="15.75" customHeight="1"/>
    <row r="13563" ht="15.75" customHeight="1"/>
    <row r="13564" ht="15.75" customHeight="1"/>
    <row r="13565" ht="15.75" customHeight="1"/>
    <row r="13566" ht="15.75" customHeight="1"/>
    <row r="13567" ht="15.75" customHeight="1"/>
    <row r="13568" ht="15.75" customHeight="1"/>
    <row r="13569" ht="15.75" customHeight="1"/>
    <row r="13570" ht="15.75" customHeight="1"/>
    <row r="13571" ht="15.75" customHeight="1"/>
    <row r="13572" ht="15.75" customHeight="1"/>
    <row r="13573" ht="15.75" customHeight="1"/>
    <row r="13574" ht="15.75" customHeight="1"/>
    <row r="13575" ht="15.75" customHeight="1"/>
    <row r="13576" ht="15.75" customHeight="1"/>
    <row r="13577" ht="15.75" customHeight="1"/>
    <row r="13578" ht="15.75" customHeight="1"/>
    <row r="13579" ht="15.75" customHeight="1"/>
    <row r="13580" ht="15.75" customHeight="1"/>
    <row r="13581" ht="15.75" customHeight="1"/>
    <row r="13582" ht="15.75" customHeight="1"/>
    <row r="13583" ht="15.75" customHeight="1"/>
    <row r="13584" ht="15.75" customHeight="1"/>
    <row r="13585" ht="15.75" customHeight="1"/>
    <row r="13586" ht="15.75" customHeight="1"/>
    <row r="13587" ht="15.75" customHeight="1"/>
    <row r="13588" ht="15.75" customHeight="1"/>
    <row r="13589" ht="15.75" customHeight="1"/>
    <row r="13590" ht="15.75" customHeight="1"/>
    <row r="13591" ht="15.75" customHeight="1"/>
    <row r="13592" ht="15.75" customHeight="1"/>
    <row r="13593" ht="15.75" customHeight="1"/>
    <row r="13594" ht="15.75" customHeight="1"/>
    <row r="13595" ht="15.75" customHeight="1"/>
    <row r="13596" ht="15.75" customHeight="1"/>
    <row r="13597" ht="15.75" customHeight="1"/>
    <row r="13598" ht="15.75" customHeight="1"/>
    <row r="13599" ht="15.75" customHeight="1"/>
    <row r="13600" ht="15.75" customHeight="1"/>
    <row r="13601" ht="15.75" customHeight="1"/>
    <row r="13602" ht="15.75" customHeight="1"/>
    <row r="13603" ht="15.75" customHeight="1"/>
    <row r="13604" ht="15.75" customHeight="1"/>
    <row r="13605" ht="15.75" customHeight="1"/>
    <row r="13606" ht="15.75" customHeight="1"/>
    <row r="13607" ht="15.75" customHeight="1"/>
    <row r="13608" ht="15.75" customHeight="1"/>
    <row r="13609" ht="15.75" customHeight="1"/>
    <row r="13610" ht="15.75" customHeight="1"/>
    <row r="13611" ht="15.75" customHeight="1"/>
    <row r="13612" ht="15.75" customHeight="1"/>
    <row r="13613" ht="15.75" customHeight="1"/>
    <row r="13614" ht="15.75" customHeight="1"/>
    <row r="13615" ht="15.75" customHeight="1"/>
    <row r="13616" ht="15.75" customHeight="1"/>
    <row r="13617" ht="15.75" customHeight="1"/>
    <row r="13618" ht="15.75" customHeight="1"/>
    <row r="13619" ht="15.75" customHeight="1"/>
    <row r="13620" ht="15.75" customHeight="1"/>
    <row r="13621" ht="15.75" customHeight="1"/>
    <row r="13622" ht="15.75" customHeight="1"/>
    <row r="13623" ht="15.75" customHeight="1"/>
    <row r="13624" ht="15.75" customHeight="1"/>
    <row r="13625" ht="15.75" customHeight="1"/>
    <row r="13626" ht="15.75" customHeight="1"/>
    <row r="13627" ht="15.75" customHeight="1"/>
    <row r="13628" ht="15.75" customHeight="1"/>
    <row r="13629" ht="15.75" customHeight="1"/>
    <row r="13630" ht="15.75" customHeight="1"/>
    <row r="13631" ht="15.75" customHeight="1"/>
    <row r="13632" ht="15.75" customHeight="1"/>
    <row r="13633" ht="15.75" customHeight="1"/>
    <row r="13634" ht="15.75" customHeight="1"/>
    <row r="13635" ht="15.75" customHeight="1"/>
    <row r="13636" ht="15.75" customHeight="1"/>
    <row r="13637" ht="15.75" customHeight="1"/>
    <row r="13638" ht="15.75" customHeight="1"/>
    <row r="13639" ht="15.75" customHeight="1"/>
    <row r="13640" ht="15.75" customHeight="1"/>
    <row r="13641" ht="15.75" customHeight="1"/>
    <row r="13642" ht="15.75" customHeight="1"/>
    <row r="13643" ht="15.75" customHeight="1"/>
    <row r="13644" ht="15.75" customHeight="1"/>
    <row r="13645" ht="15.75" customHeight="1"/>
    <row r="13646" ht="15.75" customHeight="1"/>
    <row r="13647" ht="15.75" customHeight="1"/>
    <row r="13648" ht="15.75" customHeight="1"/>
    <row r="13649" ht="15.75" customHeight="1"/>
    <row r="13650" ht="15.75" customHeight="1"/>
    <row r="13651" ht="15.75" customHeight="1"/>
    <row r="13652" ht="15.75" customHeight="1"/>
    <row r="13653" ht="15.75" customHeight="1"/>
    <row r="13654" ht="15.75" customHeight="1"/>
    <row r="13655" ht="15.75" customHeight="1"/>
    <row r="13656" ht="15.75" customHeight="1"/>
    <row r="13657" ht="15.75" customHeight="1"/>
    <row r="13658" ht="15.75" customHeight="1"/>
    <row r="13659" ht="15.75" customHeight="1"/>
    <row r="13660" ht="15.75" customHeight="1"/>
    <row r="13661" ht="15.75" customHeight="1"/>
    <row r="13662" ht="15.75" customHeight="1"/>
    <row r="13663" ht="15.75" customHeight="1"/>
    <row r="13664" ht="15.75" customHeight="1"/>
    <row r="13665" ht="15.75" customHeight="1"/>
    <row r="13666" ht="15.75" customHeight="1"/>
    <row r="13667" ht="15.75" customHeight="1"/>
    <row r="13668" ht="15.75" customHeight="1"/>
    <row r="13669" ht="15.75" customHeight="1"/>
    <row r="13670" ht="15.75" customHeight="1"/>
    <row r="13671" ht="15.75" customHeight="1"/>
    <row r="13672" ht="15.75" customHeight="1"/>
    <row r="13673" ht="15.75" customHeight="1"/>
    <row r="13674" ht="15.75" customHeight="1"/>
    <row r="13675" ht="15.75" customHeight="1"/>
    <row r="13676" ht="15.75" customHeight="1"/>
    <row r="13677" ht="15.75" customHeight="1"/>
    <row r="13678" ht="15.75" customHeight="1"/>
    <row r="13679" ht="15.75" customHeight="1"/>
    <row r="13680" ht="15.75" customHeight="1"/>
    <row r="13681" ht="15.75" customHeight="1"/>
    <row r="13682" ht="15.75" customHeight="1"/>
    <row r="13683" ht="15.75" customHeight="1"/>
    <row r="13684" ht="15.75" customHeight="1"/>
    <row r="13685" ht="15.75" customHeight="1"/>
    <row r="13686" ht="15.75" customHeight="1"/>
    <row r="13687" ht="15.75" customHeight="1"/>
    <row r="13688" ht="15.75" customHeight="1"/>
    <row r="13689" ht="15.75" customHeight="1"/>
    <row r="13690" ht="15.75" customHeight="1"/>
    <row r="13691" ht="15.75" customHeight="1"/>
    <row r="13692" ht="15.75" customHeight="1"/>
    <row r="13693" ht="15.75" customHeight="1"/>
    <row r="13694" ht="15.75" customHeight="1"/>
    <row r="13695" ht="15.75" customHeight="1"/>
    <row r="13696" ht="15.75" customHeight="1"/>
    <row r="13697" ht="15.75" customHeight="1"/>
    <row r="13698" ht="15.75" customHeight="1"/>
    <row r="13699" ht="15.75" customHeight="1"/>
    <row r="13700" ht="15.75" customHeight="1"/>
    <row r="13701" ht="15.75" customHeight="1"/>
    <row r="13702" ht="15.75" customHeight="1"/>
    <row r="13703" ht="15.75" customHeight="1"/>
    <row r="13704" ht="15.75" customHeight="1"/>
    <row r="13705" ht="15.75" customHeight="1"/>
    <row r="13706" ht="15.75" customHeight="1"/>
    <row r="13707" ht="15.75" customHeight="1"/>
    <row r="13708" ht="15.75" customHeight="1"/>
    <row r="13709" ht="15.75" customHeight="1"/>
    <row r="13710" ht="15.75" customHeight="1"/>
    <row r="13711" ht="15.75" customHeight="1"/>
    <row r="13712" ht="15.75" customHeight="1"/>
    <row r="13713" ht="15.75" customHeight="1"/>
    <row r="13714" ht="15.75" customHeight="1"/>
    <row r="13715" ht="15.75" customHeight="1"/>
    <row r="13716" ht="15.75" customHeight="1"/>
    <row r="13717" ht="15.75" customHeight="1"/>
    <row r="13718" ht="15.75" customHeight="1"/>
    <row r="13719" ht="15.75" customHeight="1"/>
    <row r="13720" ht="15.75" customHeight="1"/>
    <row r="13721" ht="15.75" customHeight="1"/>
    <row r="13722" ht="15.75" customHeight="1"/>
    <row r="13723" ht="15.75" customHeight="1"/>
    <row r="13724" ht="15.75" customHeight="1"/>
    <row r="13725" ht="15.75" customHeight="1"/>
    <row r="13726" ht="15.75" customHeight="1"/>
    <row r="13727" ht="15.75" customHeight="1"/>
    <row r="13728" ht="15.75" customHeight="1"/>
    <row r="13729" ht="15.75" customHeight="1"/>
    <row r="13730" ht="15.75" customHeight="1"/>
    <row r="13731" ht="15.75" customHeight="1"/>
    <row r="13732" ht="15.75" customHeight="1"/>
    <row r="13733" ht="15.75" customHeight="1"/>
    <row r="13734" ht="15.75" customHeight="1"/>
    <row r="13735" ht="15.75" customHeight="1"/>
    <row r="13736" ht="15.75" customHeight="1"/>
    <row r="13737" ht="15.75" customHeight="1"/>
    <row r="13738" ht="15.75" customHeight="1"/>
    <row r="13739" ht="15.75" customHeight="1"/>
    <row r="13740" ht="15.75" customHeight="1"/>
    <row r="13741" ht="15.75" customHeight="1"/>
    <row r="13742" ht="15.75" customHeight="1"/>
    <row r="13743" ht="15.75" customHeight="1"/>
    <row r="13744" ht="15.75" customHeight="1"/>
    <row r="13745" ht="15.75" customHeight="1"/>
    <row r="13746" ht="15.75" customHeight="1"/>
    <row r="13747" ht="15.75" customHeight="1"/>
    <row r="13748" ht="15.75" customHeight="1"/>
    <row r="13749" ht="15.75" customHeight="1"/>
    <row r="13750" ht="15.75" customHeight="1"/>
    <row r="13751" ht="15.75" customHeight="1"/>
    <row r="13752" ht="15.75" customHeight="1"/>
    <row r="13753" ht="15.75" customHeight="1"/>
    <row r="13754" ht="15.75" customHeight="1"/>
    <row r="13755" ht="15.75" customHeight="1"/>
    <row r="13756" ht="15.75" customHeight="1"/>
    <row r="13757" ht="15.75" customHeight="1"/>
    <row r="13758" ht="15.75" customHeight="1"/>
    <row r="13759" ht="15.75" customHeight="1"/>
    <row r="13760" ht="15.75" customHeight="1"/>
    <row r="13761" ht="15.75" customHeight="1"/>
    <row r="13762" ht="15.75" customHeight="1"/>
    <row r="13763" ht="15.75" customHeight="1"/>
    <row r="13764" ht="15.75" customHeight="1"/>
    <row r="13765" ht="15.75" customHeight="1"/>
    <row r="13766" ht="15.75" customHeight="1"/>
    <row r="13767" ht="15.75" customHeight="1"/>
    <row r="13768" ht="15.75" customHeight="1"/>
    <row r="13769" ht="15.75" customHeight="1"/>
    <row r="13770" ht="15.75" customHeight="1"/>
    <row r="13771" ht="15.75" customHeight="1"/>
    <row r="13772" ht="15.75" customHeight="1"/>
    <row r="13773" ht="15.75" customHeight="1"/>
    <row r="13774" ht="15.75" customHeight="1"/>
    <row r="13775" ht="15.75" customHeight="1"/>
    <row r="13776" ht="15.75" customHeight="1"/>
    <row r="13777" ht="15.75" customHeight="1"/>
    <row r="13778" ht="15.75" customHeight="1"/>
    <row r="13779" ht="15.75" customHeight="1"/>
    <row r="13780" ht="15.75" customHeight="1"/>
    <row r="13781" ht="15.75" customHeight="1"/>
    <row r="13782" ht="15.75" customHeight="1"/>
    <row r="13783" ht="15.75" customHeight="1"/>
    <row r="13784" ht="15.75" customHeight="1"/>
    <row r="13785" ht="15.75" customHeight="1"/>
    <row r="13786" ht="15.75" customHeight="1"/>
    <row r="13787" ht="15.75" customHeight="1"/>
    <row r="13788" ht="15.75" customHeight="1"/>
    <row r="13789" ht="15.75" customHeight="1"/>
    <row r="13790" ht="15.75" customHeight="1"/>
    <row r="13791" ht="15.75" customHeight="1"/>
    <row r="13792" ht="15.75" customHeight="1"/>
    <row r="13793" ht="15.75" customHeight="1"/>
    <row r="13794" ht="15.75" customHeight="1"/>
    <row r="13795" ht="15.75" customHeight="1"/>
    <row r="13796" ht="15.75" customHeight="1"/>
    <row r="13797" ht="15.75" customHeight="1"/>
    <row r="13798" ht="15.75" customHeight="1"/>
    <row r="13799" ht="15.75" customHeight="1"/>
    <row r="13800" ht="15.75" customHeight="1"/>
    <row r="13801" ht="15.75" customHeight="1"/>
    <row r="13802" ht="15.75" customHeight="1"/>
    <row r="13803" ht="15.75" customHeight="1"/>
    <row r="13804" ht="15.75" customHeight="1"/>
    <row r="13805" ht="15.75" customHeight="1"/>
    <row r="13806" ht="15.75" customHeight="1"/>
    <row r="13807" ht="15.75" customHeight="1"/>
    <row r="13808" ht="15.75" customHeight="1"/>
    <row r="13809" ht="15.75" customHeight="1"/>
    <row r="13810" ht="15.75" customHeight="1"/>
    <row r="13811" ht="15.75" customHeight="1"/>
    <row r="13812" ht="15.75" customHeight="1"/>
    <row r="13813" ht="15.75" customHeight="1"/>
    <row r="13814" ht="15.75" customHeight="1"/>
    <row r="13815" ht="15.75" customHeight="1"/>
    <row r="13816" ht="15.75" customHeight="1"/>
    <row r="13817" ht="15.75" customHeight="1"/>
    <row r="13818" ht="15.75" customHeight="1"/>
    <row r="13819" ht="15.75" customHeight="1"/>
    <row r="13820" ht="15.75" customHeight="1"/>
    <row r="13821" ht="15.75" customHeight="1"/>
    <row r="13822" ht="15.75" customHeight="1"/>
    <row r="13823" ht="15.75" customHeight="1"/>
    <row r="13824" ht="15.75" customHeight="1"/>
    <row r="13825" ht="15.75" customHeight="1"/>
    <row r="13826" ht="15.75" customHeight="1"/>
    <row r="13827" ht="15.75" customHeight="1"/>
    <row r="13828" ht="15.75" customHeight="1"/>
    <row r="13829" ht="15.75" customHeight="1"/>
    <row r="13830" ht="15.75" customHeight="1"/>
    <row r="13831" ht="15.75" customHeight="1"/>
    <row r="13832" ht="15.75" customHeight="1"/>
    <row r="13833" ht="15.75" customHeight="1"/>
    <row r="13834" ht="15.75" customHeight="1"/>
    <row r="13835" ht="15.75" customHeight="1"/>
    <row r="13836" ht="15.75" customHeight="1"/>
    <row r="13837" ht="15.75" customHeight="1"/>
    <row r="13838" ht="15.75" customHeight="1"/>
    <row r="13839" ht="15.75" customHeight="1"/>
    <row r="13840" ht="15.75" customHeight="1"/>
    <row r="13841" ht="15.75" customHeight="1"/>
    <row r="13842" ht="15.75" customHeight="1"/>
    <row r="13843" ht="15.75" customHeight="1"/>
    <row r="13844" ht="15.75" customHeight="1"/>
    <row r="13845" ht="15.75" customHeight="1"/>
    <row r="13846" ht="15.75" customHeight="1"/>
    <row r="13847" ht="15.75" customHeight="1"/>
    <row r="13848" ht="15.75" customHeight="1"/>
    <row r="13849" ht="15.75" customHeight="1"/>
    <row r="13850" ht="15.75" customHeight="1"/>
    <row r="13851" ht="15.75" customHeight="1"/>
    <row r="13852" ht="15.75" customHeight="1"/>
    <row r="13853" ht="15.75" customHeight="1"/>
    <row r="13854" ht="15.75" customHeight="1"/>
    <row r="13855" ht="15.75" customHeight="1"/>
    <row r="13856" ht="15.75" customHeight="1"/>
    <row r="13857" ht="15.75" customHeight="1"/>
    <row r="13858" ht="15.75" customHeight="1"/>
    <row r="13859" ht="15.75" customHeight="1"/>
    <row r="13860" ht="15.75" customHeight="1"/>
    <row r="13861" ht="15.75" customHeight="1"/>
    <row r="13862" ht="15.75" customHeight="1"/>
    <row r="13863" ht="15.75" customHeight="1"/>
    <row r="13864" ht="15.75" customHeight="1"/>
    <row r="13865" ht="15.75" customHeight="1"/>
    <row r="13866" ht="15.75" customHeight="1"/>
    <row r="13867" ht="15.75" customHeight="1"/>
    <row r="13868" ht="15.75" customHeight="1"/>
    <row r="13869" ht="15.75" customHeight="1"/>
    <row r="13870" ht="15.75" customHeight="1"/>
    <row r="13871" ht="15.75" customHeight="1"/>
    <row r="13872" ht="15.75" customHeight="1"/>
    <row r="13873" ht="15.75" customHeight="1"/>
    <row r="13874" ht="15.75" customHeight="1"/>
    <row r="13875" ht="15.75" customHeight="1"/>
    <row r="13876" ht="15.75" customHeight="1"/>
    <row r="13877" ht="15.75" customHeight="1"/>
    <row r="13878" ht="15.75" customHeight="1"/>
    <row r="13879" ht="15.75" customHeight="1"/>
    <row r="13880" ht="15.75" customHeight="1"/>
    <row r="13881" ht="15.75" customHeight="1"/>
    <row r="13882" ht="15.75" customHeight="1"/>
    <row r="13883" ht="15.75" customHeight="1"/>
    <row r="13884" ht="15.75" customHeight="1"/>
    <row r="13885" ht="15.75" customHeight="1"/>
    <row r="13886" ht="15.75" customHeight="1"/>
    <row r="13887" ht="15.75" customHeight="1"/>
    <row r="13888" ht="15.75" customHeight="1"/>
    <row r="13889" ht="15.75" customHeight="1"/>
    <row r="13890" ht="15.75" customHeight="1"/>
    <row r="13891" ht="15.75" customHeight="1"/>
    <row r="13892" ht="15.75" customHeight="1"/>
    <row r="13893" ht="15.75" customHeight="1"/>
    <row r="13894" ht="15.75" customHeight="1"/>
    <row r="13895" ht="15.75" customHeight="1"/>
    <row r="13896" ht="15.75" customHeight="1"/>
    <row r="13897" ht="15.75" customHeight="1"/>
    <row r="13898" ht="15.75" customHeight="1"/>
    <row r="13899" ht="15.75" customHeight="1"/>
    <row r="13900" ht="15.75" customHeight="1"/>
    <row r="13901" ht="15.75" customHeight="1"/>
    <row r="13902" ht="15.75" customHeight="1"/>
    <row r="13903" ht="15.75" customHeight="1"/>
    <row r="13904" ht="15.75" customHeight="1"/>
    <row r="13905" ht="15.75" customHeight="1"/>
    <row r="13906" ht="15.75" customHeight="1"/>
    <row r="13907" ht="15.75" customHeight="1"/>
    <row r="13908" ht="15.75" customHeight="1"/>
    <row r="13909" ht="15.75" customHeight="1"/>
    <row r="13910" ht="15.75" customHeight="1"/>
    <row r="13911" ht="15.75" customHeight="1"/>
    <row r="13912" ht="15.75" customHeight="1"/>
    <row r="13913" ht="15.75" customHeight="1"/>
    <row r="13914" ht="15.75" customHeight="1"/>
    <row r="13915" ht="15.75" customHeight="1"/>
    <row r="13916" ht="15.75" customHeight="1"/>
    <row r="13917" ht="15.75" customHeight="1"/>
    <row r="13918" ht="15.75" customHeight="1"/>
    <row r="13919" ht="15.75" customHeight="1"/>
    <row r="13920" ht="15.75" customHeight="1"/>
    <row r="13921" ht="15.75" customHeight="1"/>
    <row r="13922" ht="15.75" customHeight="1"/>
    <row r="13923" ht="15.75" customHeight="1"/>
    <row r="13924" ht="15.75" customHeight="1"/>
    <row r="13925" ht="15.75" customHeight="1"/>
    <row r="13926" ht="15.75" customHeight="1"/>
    <row r="13927" ht="15.75" customHeight="1"/>
    <row r="13928" ht="15.75" customHeight="1"/>
    <row r="13929" ht="15.75" customHeight="1"/>
    <row r="13930" ht="15.75" customHeight="1"/>
    <row r="13931" ht="15.75" customHeight="1"/>
    <row r="13932" ht="15.75" customHeight="1"/>
    <row r="13933" ht="15.75" customHeight="1"/>
    <row r="13934" ht="15.75" customHeight="1"/>
    <row r="13935" ht="15.75" customHeight="1"/>
    <row r="13936" ht="15.75" customHeight="1"/>
    <row r="13937" ht="15.75" customHeight="1"/>
    <row r="13938" ht="15.75" customHeight="1"/>
    <row r="13939" ht="15.75" customHeight="1"/>
    <row r="13940" ht="15.75" customHeight="1"/>
    <row r="13941" ht="15.75" customHeight="1"/>
    <row r="13942" ht="15.75" customHeight="1"/>
    <row r="13943" ht="15.75" customHeight="1"/>
    <row r="13944" ht="15.75" customHeight="1"/>
    <row r="13945" ht="15.75" customHeight="1"/>
    <row r="13946" ht="15.75" customHeight="1"/>
    <row r="13947" ht="15.75" customHeight="1"/>
    <row r="13948" ht="15.75" customHeight="1"/>
    <row r="13949" ht="15.75" customHeight="1"/>
    <row r="13950" ht="15.75" customHeight="1"/>
    <row r="13951" ht="15.75" customHeight="1"/>
    <row r="13952" ht="15.75" customHeight="1"/>
    <row r="13953" ht="15.75" customHeight="1"/>
    <row r="13954" ht="15.75" customHeight="1"/>
    <row r="13955" ht="15.75" customHeight="1"/>
    <row r="13956" ht="15.75" customHeight="1"/>
    <row r="13957" ht="15.75" customHeight="1"/>
    <row r="13958" ht="15.75" customHeight="1"/>
    <row r="13959" ht="15.75" customHeight="1"/>
    <row r="13960" ht="15.75" customHeight="1"/>
    <row r="13961" ht="15.75" customHeight="1"/>
    <row r="13962" ht="15.75" customHeight="1"/>
    <row r="13963" ht="15.75" customHeight="1"/>
    <row r="13964" ht="15.75" customHeight="1"/>
    <row r="13965" ht="15.75" customHeight="1"/>
    <row r="13966" ht="15.75" customHeight="1"/>
    <row r="13967" ht="15.75" customHeight="1"/>
    <row r="13968" ht="15.75" customHeight="1"/>
    <row r="13969" ht="15.75" customHeight="1"/>
    <row r="13970" ht="15.75" customHeight="1"/>
    <row r="13971" ht="15.75" customHeight="1"/>
    <row r="13972" ht="15.75" customHeight="1"/>
    <row r="13973" ht="15.75" customHeight="1"/>
    <row r="13974" ht="15.75" customHeight="1"/>
    <row r="13975" ht="15.75" customHeight="1"/>
    <row r="13976" ht="15.75" customHeight="1"/>
    <row r="13977" ht="15.75" customHeight="1"/>
    <row r="13978" ht="15.75" customHeight="1"/>
    <row r="13979" ht="15.75" customHeight="1"/>
    <row r="13980" ht="15.75" customHeight="1"/>
    <row r="13981" ht="15.75" customHeight="1"/>
    <row r="13982" ht="15.75" customHeight="1"/>
    <row r="13983" ht="15.75" customHeight="1"/>
    <row r="13984" ht="15.75" customHeight="1"/>
    <row r="13985" ht="15.75" customHeight="1"/>
    <row r="13986" ht="15.75" customHeight="1"/>
    <row r="13987" ht="15.75" customHeight="1"/>
    <row r="13988" ht="15.75" customHeight="1"/>
    <row r="13989" ht="15.75" customHeight="1"/>
    <row r="13990" ht="15.75" customHeight="1"/>
    <row r="13991" ht="15.75" customHeight="1"/>
    <row r="13992" ht="15.75" customHeight="1"/>
    <row r="13993" ht="15.75" customHeight="1"/>
    <row r="13994" ht="15.75" customHeight="1"/>
    <row r="13995" ht="15.75" customHeight="1"/>
    <row r="13996" ht="15.75" customHeight="1"/>
    <row r="13997" ht="15.75" customHeight="1"/>
    <row r="13998" ht="15.75" customHeight="1"/>
    <row r="13999" ht="15.75" customHeight="1"/>
    <row r="14000" ht="15.75" customHeight="1"/>
    <row r="14001" ht="15.75" customHeight="1"/>
    <row r="14002" ht="15.75" customHeight="1"/>
    <row r="14003" ht="15.75" customHeight="1"/>
    <row r="14004" ht="15.75" customHeight="1"/>
    <row r="14005" ht="15.75" customHeight="1"/>
    <row r="14006" ht="15.75" customHeight="1"/>
    <row r="14007" ht="15.75" customHeight="1"/>
    <row r="14008" ht="15.75" customHeight="1"/>
    <row r="14009" ht="15.75" customHeight="1"/>
    <row r="14010" ht="15.75" customHeight="1"/>
    <row r="14011" ht="15.75" customHeight="1"/>
    <row r="14012" ht="15.75" customHeight="1"/>
    <row r="14013" ht="15.75" customHeight="1"/>
    <row r="14014" ht="15.75" customHeight="1"/>
    <row r="14015" ht="15.75" customHeight="1"/>
    <row r="14016" ht="15.75" customHeight="1"/>
    <row r="14017" ht="15.75" customHeight="1"/>
    <row r="14018" ht="15.75" customHeight="1"/>
    <row r="14019" ht="15.75" customHeight="1"/>
    <row r="14020" ht="15.75" customHeight="1"/>
    <row r="14021" ht="15.75" customHeight="1"/>
    <row r="14022" ht="15.75" customHeight="1"/>
    <row r="14023" ht="15.75" customHeight="1"/>
    <row r="14024" ht="15.75" customHeight="1"/>
    <row r="14025" ht="15.75" customHeight="1"/>
    <row r="14026" ht="15.75" customHeight="1"/>
    <row r="14027" ht="15.75" customHeight="1"/>
    <row r="14028" ht="15.75" customHeight="1"/>
    <row r="14029" ht="15.75" customHeight="1"/>
    <row r="14030" ht="15.75" customHeight="1"/>
    <row r="14031" ht="15.75" customHeight="1"/>
    <row r="14032" ht="15.75" customHeight="1"/>
    <row r="14033" ht="15.75" customHeight="1"/>
    <row r="14034" ht="15.75" customHeight="1"/>
    <row r="14035" ht="15.75" customHeight="1"/>
    <row r="14036" ht="15.75" customHeight="1"/>
    <row r="14037" ht="15.75" customHeight="1"/>
    <row r="14038" ht="15.75" customHeight="1"/>
    <row r="14039" ht="15.75" customHeight="1"/>
    <row r="14040" ht="15.75" customHeight="1"/>
    <row r="14041" ht="15.75" customHeight="1"/>
    <row r="14042" ht="15.75" customHeight="1"/>
    <row r="14043" ht="15.75" customHeight="1"/>
    <row r="14044" ht="15.75" customHeight="1"/>
    <row r="14045" ht="15.75" customHeight="1"/>
    <row r="14046" ht="15.75" customHeight="1"/>
    <row r="14047" ht="15.75" customHeight="1"/>
    <row r="14048" ht="15.75" customHeight="1"/>
    <row r="14049" ht="15.75" customHeight="1"/>
    <row r="14050" ht="15.75" customHeight="1"/>
    <row r="14051" ht="15.75" customHeight="1"/>
    <row r="14052" ht="15.75" customHeight="1"/>
    <row r="14053" ht="15.75" customHeight="1"/>
    <row r="14054" ht="15.75" customHeight="1"/>
    <row r="14055" ht="15.75" customHeight="1"/>
    <row r="14056" ht="15.75" customHeight="1"/>
    <row r="14057" ht="15.75" customHeight="1"/>
    <row r="14058" ht="15.75" customHeight="1"/>
    <row r="14059" ht="15.75" customHeight="1"/>
    <row r="14060" ht="15.75" customHeight="1"/>
    <row r="14061" ht="15.75" customHeight="1"/>
    <row r="14062" ht="15.75" customHeight="1"/>
    <row r="14063" ht="15.75" customHeight="1"/>
    <row r="14064" ht="15.75" customHeight="1"/>
    <row r="14065" ht="15.75" customHeight="1"/>
    <row r="14066" ht="15.75" customHeight="1"/>
    <row r="14067" ht="15.75" customHeight="1"/>
    <row r="14068" ht="15.75" customHeight="1"/>
    <row r="14069" ht="15.75" customHeight="1"/>
    <row r="14070" ht="15.75" customHeight="1"/>
    <row r="14071" ht="15.75" customHeight="1"/>
    <row r="14072" ht="15.75" customHeight="1"/>
    <row r="14073" ht="15.75" customHeight="1"/>
    <row r="14074" ht="15.75" customHeight="1"/>
    <row r="14075" ht="15.75" customHeight="1"/>
    <row r="14076" ht="15.75" customHeight="1"/>
    <row r="14077" ht="15.75" customHeight="1"/>
    <row r="14078" ht="15.75" customHeight="1"/>
    <row r="14079" ht="15.75" customHeight="1"/>
    <row r="14080" ht="15.75" customHeight="1"/>
    <row r="14081" ht="15.75" customHeight="1"/>
    <row r="14082" ht="15.75" customHeight="1"/>
    <row r="14083" ht="15.75" customHeight="1"/>
    <row r="14084" ht="15.75" customHeight="1"/>
    <row r="14085" ht="15.75" customHeight="1"/>
    <row r="14086" ht="15.75" customHeight="1"/>
    <row r="14087" ht="15.75" customHeight="1"/>
    <row r="14088" ht="15.75" customHeight="1"/>
    <row r="14089" ht="15.75" customHeight="1"/>
    <row r="14090" ht="15.75" customHeight="1"/>
    <row r="14091" ht="15.75" customHeight="1"/>
    <row r="14092" ht="15.75" customHeight="1"/>
    <row r="14093" ht="15.75" customHeight="1"/>
    <row r="14094" ht="15.75" customHeight="1"/>
    <row r="14095" ht="15.75" customHeight="1"/>
    <row r="14096" ht="15.75" customHeight="1"/>
    <row r="14097" ht="15.75" customHeight="1"/>
    <row r="14098" ht="15.75" customHeight="1"/>
    <row r="14099" ht="15.75" customHeight="1"/>
    <row r="14100" ht="15.75" customHeight="1"/>
    <row r="14101" ht="15.75" customHeight="1"/>
    <row r="14102" ht="15.75" customHeight="1"/>
    <row r="14103" ht="15.75" customHeight="1"/>
    <row r="14104" ht="15.75" customHeight="1"/>
    <row r="14105" ht="15.75" customHeight="1"/>
    <row r="14106" ht="15.75" customHeight="1"/>
    <row r="14107" ht="15.75" customHeight="1"/>
    <row r="14108" ht="15.75" customHeight="1"/>
    <row r="14109" ht="15.75" customHeight="1"/>
    <row r="14110" ht="15.75" customHeight="1"/>
    <row r="14111" ht="15.75" customHeight="1"/>
    <row r="14112" ht="15.75" customHeight="1"/>
    <row r="14113" ht="15.75" customHeight="1"/>
    <row r="14114" ht="15.75" customHeight="1"/>
    <row r="14115" ht="15.75" customHeight="1"/>
    <row r="14116" ht="15.75" customHeight="1"/>
    <row r="14117" ht="15.75" customHeight="1"/>
    <row r="14118" ht="15.75" customHeight="1"/>
    <row r="14119" ht="15.75" customHeight="1"/>
    <row r="14120" ht="15.75" customHeight="1"/>
    <row r="14121" ht="15.75" customHeight="1"/>
    <row r="14122" ht="15.75" customHeight="1"/>
    <row r="14123" ht="15.75" customHeight="1"/>
    <row r="14124" ht="15.75" customHeight="1"/>
    <row r="14125" ht="15.75" customHeight="1"/>
    <row r="14126" ht="15.75" customHeight="1"/>
    <row r="14127" ht="15.75" customHeight="1"/>
    <row r="14128" ht="15.75" customHeight="1"/>
    <row r="14129" ht="15.75" customHeight="1"/>
    <row r="14130" ht="15.75" customHeight="1"/>
    <row r="14131" ht="15.75" customHeight="1"/>
    <row r="14132" ht="15.75" customHeight="1"/>
    <row r="14133" ht="15.75" customHeight="1"/>
    <row r="14134" ht="15.75" customHeight="1"/>
    <row r="14135" ht="15.75" customHeight="1"/>
    <row r="14136" ht="15.75" customHeight="1"/>
    <row r="14137" ht="15.75" customHeight="1"/>
    <row r="14138" ht="15.75" customHeight="1"/>
    <row r="14139" ht="15.75" customHeight="1"/>
    <row r="14140" ht="15.75" customHeight="1"/>
    <row r="14141" ht="15.75" customHeight="1"/>
    <row r="14142" ht="15.75" customHeight="1"/>
    <row r="14143" ht="15.75" customHeight="1"/>
    <row r="14144" ht="15.75" customHeight="1"/>
    <row r="14145" ht="15.75" customHeight="1"/>
    <row r="14146" ht="15.75" customHeight="1"/>
    <row r="14147" ht="15.75" customHeight="1"/>
    <row r="14148" ht="15.75" customHeight="1"/>
    <row r="14149" ht="15.75" customHeight="1"/>
    <row r="14150" ht="15.75" customHeight="1"/>
    <row r="14151" ht="15.75" customHeight="1"/>
    <row r="14152" ht="15.75" customHeight="1"/>
    <row r="14153" ht="15.75" customHeight="1"/>
    <row r="14154" ht="15.75" customHeight="1"/>
    <row r="14155" ht="15.75" customHeight="1"/>
    <row r="14156" ht="15.75" customHeight="1"/>
    <row r="14157" ht="15.75" customHeight="1"/>
    <row r="14158" ht="15.75" customHeight="1"/>
    <row r="14159" ht="15.75" customHeight="1"/>
    <row r="14160" ht="15.75" customHeight="1"/>
    <row r="14161" ht="15.75" customHeight="1"/>
    <row r="14162" ht="15.75" customHeight="1"/>
    <row r="14163" ht="15.75" customHeight="1"/>
    <row r="14164" ht="15.75" customHeight="1"/>
    <row r="14165" ht="15.75" customHeight="1"/>
    <row r="14166" ht="15.75" customHeight="1"/>
    <row r="14167" ht="15.75" customHeight="1"/>
    <row r="14168" ht="15.75" customHeight="1"/>
    <row r="14169" ht="15.75" customHeight="1"/>
    <row r="14170" ht="15.75" customHeight="1"/>
    <row r="14171" ht="15.75" customHeight="1"/>
    <row r="14172" ht="15.75" customHeight="1"/>
    <row r="14173" ht="15.75" customHeight="1"/>
    <row r="14174" ht="15.75" customHeight="1"/>
    <row r="14175" ht="15.75" customHeight="1"/>
    <row r="14176" ht="15.75" customHeight="1"/>
    <row r="14177" ht="15.75" customHeight="1"/>
    <row r="14178" ht="15.75" customHeight="1"/>
    <row r="14179" ht="15.75" customHeight="1"/>
    <row r="14180" ht="15.75" customHeight="1"/>
    <row r="14181" ht="15.75" customHeight="1"/>
    <row r="14182" ht="15.75" customHeight="1"/>
    <row r="14183" ht="15.75" customHeight="1"/>
    <row r="14184" ht="15.75" customHeight="1"/>
    <row r="14185" ht="15.75" customHeight="1"/>
    <row r="14186" ht="15.75" customHeight="1"/>
    <row r="14187" ht="15.75" customHeight="1"/>
    <row r="14188" ht="15.75" customHeight="1"/>
    <row r="14189" ht="15.75" customHeight="1"/>
    <row r="14190" ht="15.75" customHeight="1"/>
    <row r="14191" ht="15.75" customHeight="1"/>
    <row r="14192" ht="15.75" customHeight="1"/>
    <row r="14193" ht="15.75" customHeight="1"/>
    <row r="14194" ht="15.75" customHeight="1"/>
    <row r="14195" ht="15.75" customHeight="1"/>
    <row r="14196" ht="15.75" customHeight="1"/>
    <row r="14197" ht="15.75" customHeight="1"/>
    <row r="14198" ht="15.75" customHeight="1"/>
    <row r="14199" ht="15.75" customHeight="1"/>
    <row r="14200" ht="15.75" customHeight="1"/>
    <row r="14201" ht="15.75" customHeight="1"/>
    <row r="14202" ht="15.75" customHeight="1"/>
    <row r="14203" ht="15.75" customHeight="1"/>
    <row r="14204" ht="15.75" customHeight="1"/>
    <row r="14205" ht="15.75" customHeight="1"/>
    <row r="14206" ht="15.75" customHeight="1"/>
    <row r="14207" ht="15.75" customHeight="1"/>
    <row r="14208" ht="15.75" customHeight="1"/>
    <row r="14209" ht="15.75" customHeight="1"/>
    <row r="14210" ht="15.75" customHeight="1"/>
    <row r="14211" ht="15.75" customHeight="1"/>
    <row r="14212" ht="15.75" customHeight="1"/>
    <row r="14213" ht="15.75" customHeight="1"/>
    <row r="14214" ht="15.75" customHeight="1"/>
    <row r="14215" ht="15.75" customHeight="1"/>
    <row r="14216" ht="15.75" customHeight="1"/>
    <row r="14217" ht="15.75" customHeight="1"/>
    <row r="14218" ht="15.75" customHeight="1"/>
    <row r="14219" ht="15.75" customHeight="1"/>
    <row r="14220" ht="15.75" customHeight="1"/>
    <row r="14221" ht="15.75" customHeight="1"/>
    <row r="14222" ht="15.75" customHeight="1"/>
    <row r="14223" ht="15.75" customHeight="1"/>
    <row r="14224" ht="15.75" customHeight="1"/>
    <row r="14225" ht="15.75" customHeight="1"/>
    <row r="14226" ht="15.75" customHeight="1"/>
    <row r="14227" ht="15.75" customHeight="1"/>
    <row r="14228" ht="15.75" customHeight="1"/>
    <row r="14229" ht="15.75" customHeight="1"/>
    <row r="14230" ht="15.75" customHeight="1"/>
    <row r="14231" ht="15.75" customHeight="1"/>
    <row r="14232" ht="15.75" customHeight="1"/>
    <row r="14233" ht="15.75" customHeight="1"/>
    <row r="14234" ht="15.75" customHeight="1"/>
    <row r="14235" ht="15.75" customHeight="1"/>
    <row r="14236" ht="15.75" customHeight="1"/>
    <row r="14237" ht="15.75" customHeight="1"/>
    <row r="14238" ht="15.75" customHeight="1"/>
    <row r="14239" ht="15.75" customHeight="1"/>
    <row r="14240" ht="15.75" customHeight="1"/>
    <row r="14241" ht="15.75" customHeight="1"/>
    <row r="14242" ht="15.75" customHeight="1"/>
    <row r="14243" ht="15.75" customHeight="1"/>
    <row r="14244" ht="15.75" customHeight="1"/>
    <row r="14245" ht="15.75" customHeight="1"/>
    <row r="14246" ht="15.75" customHeight="1"/>
    <row r="14247" ht="15.75" customHeight="1"/>
    <row r="14248" ht="15.75" customHeight="1"/>
    <row r="14249" ht="15.75" customHeight="1"/>
    <row r="14250" ht="15.75" customHeight="1"/>
    <row r="14251" ht="15.75" customHeight="1"/>
    <row r="14252" ht="15.75" customHeight="1"/>
    <row r="14253" ht="15.75" customHeight="1"/>
    <row r="14254" ht="15.75" customHeight="1"/>
    <row r="14255" ht="15.75" customHeight="1"/>
    <row r="14256" ht="15.75" customHeight="1"/>
    <row r="14257" ht="15.75" customHeight="1"/>
    <row r="14258" ht="15.75" customHeight="1"/>
    <row r="14259" ht="15.75" customHeight="1"/>
    <row r="14260" ht="15.75" customHeight="1"/>
    <row r="14261" ht="15.75" customHeight="1"/>
    <row r="14262" ht="15.75" customHeight="1"/>
    <row r="14263" ht="15.75" customHeight="1"/>
    <row r="14264" ht="15.75" customHeight="1"/>
    <row r="14265" ht="15.75" customHeight="1"/>
    <row r="14266" ht="15.75" customHeight="1"/>
    <row r="14267" ht="15.75" customHeight="1"/>
    <row r="14268" ht="15.75" customHeight="1"/>
    <row r="14269" ht="15.75" customHeight="1"/>
    <row r="14270" ht="15.75" customHeight="1"/>
    <row r="14271" ht="15.75" customHeight="1"/>
    <row r="14272" ht="15.75" customHeight="1"/>
    <row r="14273" ht="15.75" customHeight="1"/>
    <row r="14274" ht="15.75" customHeight="1"/>
    <row r="14275" ht="15.75" customHeight="1"/>
    <row r="14276" ht="15.75" customHeight="1"/>
    <row r="14277" ht="15.75" customHeight="1"/>
    <row r="14278" ht="15.75" customHeight="1"/>
    <row r="14279" ht="15.75" customHeight="1"/>
    <row r="14280" ht="15.75" customHeight="1"/>
    <row r="14281" ht="15.75" customHeight="1"/>
    <row r="14282" ht="15.75" customHeight="1"/>
    <row r="14283" ht="15.75" customHeight="1"/>
    <row r="14284" ht="15.75" customHeight="1"/>
    <row r="14285" ht="15.75" customHeight="1"/>
    <row r="14286" ht="15.75" customHeight="1"/>
    <row r="14287" ht="15.75" customHeight="1"/>
    <row r="14288" ht="15.75" customHeight="1"/>
    <row r="14289" ht="15.75" customHeight="1"/>
    <row r="14290" ht="15.75" customHeight="1"/>
    <row r="14291" ht="15.75" customHeight="1"/>
    <row r="14292" ht="15.75" customHeight="1"/>
    <row r="14293" ht="15.75" customHeight="1"/>
    <row r="14294" ht="15.75" customHeight="1"/>
    <row r="14295" ht="15.75" customHeight="1"/>
    <row r="14296" ht="15.75" customHeight="1"/>
    <row r="14297" ht="15.75" customHeight="1"/>
    <row r="14298" ht="15.75" customHeight="1"/>
    <row r="14299" ht="15.75" customHeight="1"/>
    <row r="14300" ht="15.75" customHeight="1"/>
    <row r="14301" ht="15.75" customHeight="1"/>
    <row r="14302" ht="15.75" customHeight="1"/>
    <row r="14303" ht="15.75" customHeight="1"/>
    <row r="14304" ht="15.75" customHeight="1"/>
    <row r="14305" ht="15.75" customHeight="1"/>
    <row r="14306" ht="15.75" customHeight="1"/>
    <row r="14307" ht="15.75" customHeight="1"/>
    <row r="14308" ht="15.75" customHeight="1"/>
    <row r="14309" ht="15.75" customHeight="1"/>
    <row r="14310" ht="15.75" customHeight="1"/>
    <row r="14311" ht="15.75" customHeight="1"/>
    <row r="14312" ht="15.75" customHeight="1"/>
    <row r="14313" ht="15.75" customHeight="1"/>
    <row r="14314" ht="15.75" customHeight="1"/>
    <row r="14315" ht="15.75" customHeight="1"/>
    <row r="14316" ht="15.75" customHeight="1"/>
    <row r="14317" ht="15.75" customHeight="1"/>
    <row r="14318" ht="15.75" customHeight="1"/>
    <row r="14319" ht="15.75" customHeight="1"/>
    <row r="14320" ht="15.75" customHeight="1"/>
    <row r="14321" ht="15.75" customHeight="1"/>
    <row r="14322" ht="15.75" customHeight="1"/>
    <row r="14323" ht="15.75" customHeight="1"/>
    <row r="14324" ht="15.75" customHeight="1"/>
    <row r="14325" ht="15.75" customHeight="1"/>
    <row r="14326" ht="15.75" customHeight="1"/>
    <row r="14327" ht="15.75" customHeight="1"/>
    <row r="14328" ht="15.75" customHeight="1"/>
    <row r="14329" ht="15.75" customHeight="1"/>
    <row r="14330" ht="15.75" customHeight="1"/>
    <row r="14331" ht="15.75" customHeight="1"/>
    <row r="14332" ht="15.75" customHeight="1"/>
    <row r="14333" ht="15.75" customHeight="1"/>
    <row r="14334" ht="15.75" customHeight="1"/>
    <row r="14335" ht="15.75" customHeight="1"/>
    <row r="14336" ht="15.75" customHeight="1"/>
    <row r="14337" ht="15.75" customHeight="1"/>
    <row r="14338" ht="15.75" customHeight="1"/>
    <row r="14339" ht="15.75" customHeight="1"/>
    <row r="14340" ht="15.75" customHeight="1"/>
    <row r="14341" ht="15.75" customHeight="1"/>
    <row r="14342" ht="15.75" customHeight="1"/>
    <row r="14343" ht="15.75" customHeight="1"/>
    <row r="14344" ht="15.75" customHeight="1"/>
    <row r="14345" ht="15.75" customHeight="1"/>
    <row r="14346" ht="15.75" customHeight="1"/>
    <row r="14347" ht="15.75" customHeight="1"/>
    <row r="14348" ht="15.75" customHeight="1"/>
    <row r="14349" ht="15.75" customHeight="1"/>
    <row r="14350" ht="15.75" customHeight="1"/>
    <row r="14351" ht="15.75" customHeight="1"/>
    <row r="14352" ht="15.75" customHeight="1"/>
    <row r="14353" ht="15.75" customHeight="1"/>
    <row r="14354" ht="15.75" customHeight="1"/>
    <row r="14355" ht="15.75" customHeight="1"/>
    <row r="14356" ht="15.75" customHeight="1"/>
    <row r="14357" ht="15.75" customHeight="1"/>
    <row r="14358" ht="15.75" customHeight="1"/>
    <row r="14359" ht="15.75" customHeight="1"/>
    <row r="14360" ht="15.75" customHeight="1"/>
    <row r="14361" ht="15.75" customHeight="1"/>
    <row r="14362" ht="15.75" customHeight="1"/>
    <row r="14363" ht="15.75" customHeight="1"/>
    <row r="14364" ht="15.75" customHeight="1"/>
    <row r="14365" ht="15.75" customHeight="1"/>
    <row r="14366" ht="15.75" customHeight="1"/>
    <row r="14367" ht="15.75" customHeight="1"/>
    <row r="14368" ht="15.75" customHeight="1"/>
    <row r="14369" ht="15.75" customHeight="1"/>
    <row r="14370" ht="15.75" customHeight="1"/>
    <row r="14371" ht="15.75" customHeight="1"/>
    <row r="14372" ht="15.75" customHeight="1"/>
    <row r="14373" ht="15.75" customHeight="1"/>
    <row r="14374" ht="15.75" customHeight="1"/>
    <row r="14375" ht="15.75" customHeight="1"/>
    <row r="14376" ht="15.75" customHeight="1"/>
    <row r="14377" ht="15.75" customHeight="1"/>
    <row r="14378" ht="15.75" customHeight="1"/>
    <row r="14379" ht="15.75" customHeight="1"/>
    <row r="14380" ht="15.75" customHeight="1"/>
    <row r="14381" ht="15.75" customHeight="1"/>
    <row r="14382" ht="15.75" customHeight="1"/>
    <row r="14383" ht="15.75" customHeight="1"/>
    <row r="14384" ht="15.75" customHeight="1"/>
    <row r="14385" ht="15.75" customHeight="1"/>
    <row r="14386" ht="15.75" customHeight="1"/>
    <row r="14387" ht="15.75" customHeight="1"/>
    <row r="14388" ht="15.75" customHeight="1"/>
    <row r="14389" ht="15.75" customHeight="1"/>
    <row r="14390" ht="15.75" customHeight="1"/>
    <row r="14391" ht="15.75" customHeight="1"/>
    <row r="14392" ht="15.75" customHeight="1"/>
    <row r="14393" ht="15.75" customHeight="1"/>
    <row r="14394" ht="15.75" customHeight="1"/>
    <row r="14395" ht="15.75" customHeight="1"/>
    <row r="14396" ht="15.75" customHeight="1"/>
    <row r="14397" ht="15.75" customHeight="1"/>
    <row r="14398" ht="15.75" customHeight="1"/>
    <row r="14399" ht="15.75" customHeight="1"/>
    <row r="14400" ht="15.75" customHeight="1"/>
    <row r="14401" ht="15.75" customHeight="1"/>
    <row r="14402" ht="15.75" customHeight="1"/>
    <row r="14403" ht="15.75" customHeight="1"/>
    <row r="14404" ht="15.75" customHeight="1"/>
    <row r="14405" ht="15.75" customHeight="1"/>
    <row r="14406" ht="15.75" customHeight="1"/>
    <row r="14407" ht="15.75" customHeight="1"/>
    <row r="14408" ht="15.75" customHeight="1"/>
    <row r="14409" ht="15.75" customHeight="1"/>
    <row r="14410" ht="15.75" customHeight="1"/>
    <row r="14411" ht="15.75" customHeight="1"/>
    <row r="14412" ht="15.75" customHeight="1"/>
    <row r="14413" ht="15.75" customHeight="1"/>
    <row r="14414" ht="15.75" customHeight="1"/>
    <row r="14415" ht="15.75" customHeight="1"/>
    <row r="14416" ht="15.75" customHeight="1"/>
    <row r="14417" ht="15.75" customHeight="1"/>
    <row r="14418" ht="15.75" customHeight="1"/>
    <row r="14419" ht="15.75" customHeight="1"/>
    <row r="14420" ht="15.75" customHeight="1"/>
    <row r="14421" ht="15.75" customHeight="1"/>
    <row r="14422" ht="15.75" customHeight="1"/>
    <row r="14423" ht="15.75" customHeight="1"/>
    <row r="14424" ht="15.75" customHeight="1"/>
    <row r="14425" ht="15.75" customHeight="1"/>
    <row r="14426" ht="15.75" customHeight="1"/>
    <row r="14427" ht="15.75" customHeight="1"/>
    <row r="14428" ht="15.75" customHeight="1"/>
    <row r="14429" ht="15.75" customHeight="1"/>
    <row r="14430" ht="15.75" customHeight="1"/>
    <row r="14431" ht="15.75" customHeight="1"/>
    <row r="14432" ht="15.75" customHeight="1"/>
    <row r="14433" ht="15.75" customHeight="1"/>
    <row r="14434" ht="15.75" customHeight="1"/>
    <row r="14435" ht="15.75" customHeight="1"/>
    <row r="14436" ht="15.75" customHeight="1"/>
    <row r="14437" ht="15.75" customHeight="1"/>
    <row r="14438" ht="15.75" customHeight="1"/>
    <row r="14439" ht="15.75" customHeight="1"/>
    <row r="14440" ht="15.75" customHeight="1"/>
    <row r="14441" ht="15.75" customHeight="1"/>
    <row r="14442" ht="15.75" customHeight="1"/>
    <row r="14443" ht="15.75" customHeight="1"/>
    <row r="14444" ht="15.75" customHeight="1"/>
    <row r="14445" ht="15.75" customHeight="1"/>
    <row r="14446" ht="15.75" customHeight="1"/>
    <row r="14447" ht="15.75" customHeight="1"/>
    <row r="14448" ht="15.75" customHeight="1"/>
    <row r="14449" ht="15.75" customHeight="1"/>
    <row r="14450" ht="15.75" customHeight="1"/>
    <row r="14451" ht="15.75" customHeight="1"/>
    <row r="14452" ht="15.75" customHeight="1"/>
    <row r="14453" ht="15.75" customHeight="1"/>
    <row r="14454" ht="15.75" customHeight="1"/>
    <row r="14455" ht="15.75" customHeight="1"/>
    <row r="14456" ht="15.75" customHeight="1"/>
    <row r="14457" ht="15.75" customHeight="1"/>
    <row r="14458" ht="15.75" customHeight="1"/>
    <row r="14459" ht="15.75" customHeight="1"/>
    <row r="14460" ht="15.75" customHeight="1"/>
    <row r="14461" ht="15.75" customHeight="1"/>
    <row r="14462" ht="15.75" customHeight="1"/>
    <row r="14463" ht="15.75" customHeight="1"/>
    <row r="14464" ht="15.75" customHeight="1"/>
    <row r="14465" ht="15.75" customHeight="1"/>
    <row r="14466" ht="15.75" customHeight="1"/>
    <row r="14467" ht="15.75" customHeight="1"/>
    <row r="14468" ht="15.75" customHeight="1"/>
    <row r="14469" ht="15.75" customHeight="1"/>
    <row r="14470" ht="15.75" customHeight="1"/>
    <row r="14471" ht="15.75" customHeight="1"/>
    <row r="14472" ht="15.75" customHeight="1"/>
    <row r="14473" ht="15.75" customHeight="1"/>
    <row r="14474" ht="15.75" customHeight="1"/>
    <row r="14475" ht="15.75" customHeight="1"/>
    <row r="14476" ht="15.75" customHeight="1"/>
    <row r="14477" ht="15.75" customHeight="1"/>
    <row r="14478" ht="15.75" customHeight="1"/>
    <row r="14479" ht="15.75" customHeight="1"/>
    <row r="14480" ht="15.75" customHeight="1"/>
    <row r="14481" ht="15.75" customHeight="1"/>
    <row r="14482" ht="15.75" customHeight="1"/>
    <row r="14483" ht="15.75" customHeight="1"/>
    <row r="14484" ht="15.75" customHeight="1"/>
    <row r="14485" ht="15.75" customHeight="1"/>
    <row r="14486" ht="15.75" customHeight="1"/>
    <row r="14487" ht="15.75" customHeight="1"/>
    <row r="14488" ht="15.75" customHeight="1"/>
    <row r="14489" ht="15.75" customHeight="1"/>
    <row r="14490" ht="15.75" customHeight="1"/>
    <row r="14491" ht="15.75" customHeight="1"/>
    <row r="14492" ht="15.75" customHeight="1"/>
    <row r="14493" ht="15.75" customHeight="1"/>
    <row r="14494" ht="15.75" customHeight="1"/>
    <row r="14495" ht="15.75" customHeight="1"/>
    <row r="14496" ht="15.75" customHeight="1"/>
    <row r="14497" ht="15.75" customHeight="1"/>
    <row r="14498" ht="15.75" customHeight="1"/>
    <row r="14499" ht="15.75" customHeight="1"/>
    <row r="14500" ht="15.75" customHeight="1"/>
    <row r="14501" ht="15.75" customHeight="1"/>
    <row r="14502" ht="15.75" customHeight="1"/>
    <row r="14503" ht="15.75" customHeight="1"/>
    <row r="14504" ht="15.75" customHeight="1"/>
    <row r="14505" ht="15.75" customHeight="1"/>
    <row r="14506" ht="15.75" customHeight="1"/>
    <row r="14507" ht="15.75" customHeight="1"/>
    <row r="14508" ht="15.75" customHeight="1"/>
    <row r="14509" ht="15.75" customHeight="1"/>
    <row r="14510" ht="15.75" customHeight="1"/>
    <row r="14511" ht="15.75" customHeight="1"/>
    <row r="14512" ht="15.75" customHeight="1"/>
    <row r="14513" ht="15.75" customHeight="1"/>
    <row r="14514" ht="15.75" customHeight="1"/>
    <row r="14515" ht="15.75" customHeight="1"/>
    <row r="14516" ht="15.75" customHeight="1"/>
    <row r="14517" ht="15.75" customHeight="1"/>
    <row r="14518" ht="15.75" customHeight="1"/>
    <row r="14519" ht="15.75" customHeight="1"/>
    <row r="14520" ht="15.75" customHeight="1"/>
    <row r="14521" ht="15.75" customHeight="1"/>
    <row r="14522" ht="15.75" customHeight="1"/>
    <row r="14523" ht="15.75" customHeight="1"/>
    <row r="14524" ht="15.75" customHeight="1"/>
    <row r="14525" ht="15.75" customHeight="1"/>
    <row r="14526" ht="15.75" customHeight="1"/>
    <row r="14527" ht="15.75" customHeight="1"/>
    <row r="14528" ht="15.75" customHeight="1"/>
    <row r="14529" ht="15.75" customHeight="1"/>
    <row r="14530" ht="15.75" customHeight="1"/>
    <row r="14531" ht="15.75" customHeight="1"/>
    <row r="14532" ht="15.75" customHeight="1"/>
    <row r="14533" ht="15.75" customHeight="1"/>
    <row r="14534" ht="15.75" customHeight="1"/>
    <row r="14535" ht="15.75" customHeight="1"/>
    <row r="14536" ht="15.75" customHeight="1"/>
    <row r="14537" ht="15.75" customHeight="1"/>
    <row r="14538" ht="15.75" customHeight="1"/>
    <row r="14539" ht="15.75" customHeight="1"/>
    <row r="14540" ht="15.75" customHeight="1"/>
    <row r="14541" ht="15.75" customHeight="1"/>
    <row r="14542" ht="15.75" customHeight="1"/>
    <row r="14543" ht="15.75" customHeight="1"/>
    <row r="14544" ht="15.75" customHeight="1"/>
    <row r="14545" ht="15.75" customHeight="1"/>
    <row r="14546" ht="15.75" customHeight="1"/>
    <row r="14547" ht="15.75" customHeight="1"/>
    <row r="14548" ht="15.75" customHeight="1"/>
    <row r="14549" ht="15.75" customHeight="1"/>
    <row r="14550" ht="15.75" customHeight="1"/>
    <row r="14551" ht="15.75" customHeight="1"/>
    <row r="14552" ht="15.75" customHeight="1"/>
    <row r="14553" ht="15.75" customHeight="1"/>
    <row r="14554" ht="15.75" customHeight="1"/>
    <row r="14555" ht="15.75" customHeight="1"/>
    <row r="14556" ht="15.75" customHeight="1"/>
    <row r="14557" ht="15.75" customHeight="1"/>
    <row r="14558" ht="15.75" customHeight="1"/>
    <row r="14559" ht="15.75" customHeight="1"/>
    <row r="14560" ht="15.75" customHeight="1"/>
    <row r="14561" ht="15.75" customHeight="1"/>
    <row r="14562" ht="15.75" customHeight="1"/>
    <row r="14563" ht="15.75" customHeight="1"/>
    <row r="14564" ht="15.75" customHeight="1"/>
    <row r="14565" ht="15.75" customHeight="1"/>
    <row r="14566" ht="15.75" customHeight="1"/>
    <row r="14567" ht="15.75" customHeight="1"/>
    <row r="14568" ht="15.75" customHeight="1"/>
    <row r="14569" ht="15.75" customHeight="1"/>
    <row r="14570" ht="15.75" customHeight="1"/>
    <row r="14571" ht="15.75" customHeight="1"/>
    <row r="14572" ht="15.75" customHeight="1"/>
    <row r="14573" ht="15.75" customHeight="1"/>
    <row r="14574" ht="15.75" customHeight="1"/>
    <row r="14575" ht="15.75" customHeight="1"/>
    <row r="14576" ht="15.75" customHeight="1"/>
    <row r="14577" ht="15.75" customHeight="1"/>
    <row r="14578" ht="15.75" customHeight="1"/>
    <row r="14579" ht="15.75" customHeight="1"/>
    <row r="14580" ht="15.75" customHeight="1"/>
    <row r="14581" ht="15.75" customHeight="1"/>
    <row r="14582" ht="15.75" customHeight="1"/>
    <row r="14583" ht="15.75" customHeight="1"/>
    <row r="14584" ht="15.75" customHeight="1"/>
    <row r="14585" ht="15.75" customHeight="1"/>
    <row r="14586" ht="15.75" customHeight="1"/>
    <row r="14587" ht="15.75" customHeight="1"/>
    <row r="14588" ht="15.75" customHeight="1"/>
    <row r="14589" ht="15.75" customHeight="1"/>
    <row r="14590" ht="15.75" customHeight="1"/>
    <row r="14591" ht="15.75" customHeight="1"/>
    <row r="14592" ht="15.75" customHeight="1"/>
    <row r="14593" ht="15.75" customHeight="1"/>
    <row r="14594" ht="15.75" customHeight="1"/>
    <row r="14595" ht="15.75" customHeight="1"/>
    <row r="14596" ht="15.75" customHeight="1"/>
    <row r="14597" ht="15.75" customHeight="1"/>
    <row r="14598" ht="15.75" customHeight="1"/>
    <row r="14599" ht="15.75" customHeight="1"/>
    <row r="14600" ht="15.75" customHeight="1"/>
    <row r="14601" ht="15.75" customHeight="1"/>
    <row r="14602" ht="15.75" customHeight="1"/>
    <row r="14603" ht="15.75" customHeight="1"/>
    <row r="14604" ht="15.75" customHeight="1"/>
    <row r="14605" ht="15.75" customHeight="1"/>
    <row r="14606" ht="15.75" customHeight="1"/>
    <row r="14607" ht="15.75" customHeight="1"/>
    <row r="14608" ht="15.75" customHeight="1"/>
    <row r="14609" ht="15.75" customHeight="1"/>
    <row r="14610" ht="15.75" customHeight="1"/>
    <row r="14611" ht="15.75" customHeight="1"/>
    <row r="14612" ht="15.75" customHeight="1"/>
    <row r="14613" ht="15.75" customHeight="1"/>
    <row r="14614" ht="15.75" customHeight="1"/>
    <row r="14615" ht="15.75" customHeight="1"/>
    <row r="14616" ht="15.75" customHeight="1"/>
    <row r="14617" ht="15.75" customHeight="1"/>
    <row r="14618" ht="15.75" customHeight="1"/>
    <row r="14619" ht="15.75" customHeight="1"/>
    <row r="14620" ht="15.75" customHeight="1"/>
    <row r="14621" ht="15.75" customHeight="1"/>
    <row r="14622" ht="15.75" customHeight="1"/>
    <row r="14623" ht="15.75" customHeight="1"/>
    <row r="14624" ht="15.75" customHeight="1"/>
    <row r="14625" ht="15.75" customHeight="1"/>
    <row r="14626" ht="15.75" customHeight="1"/>
    <row r="14627" ht="15.75" customHeight="1"/>
    <row r="14628" ht="15.75" customHeight="1"/>
    <row r="14629" ht="15.75" customHeight="1"/>
    <row r="14630" ht="15.75" customHeight="1"/>
    <row r="14631" ht="15.75" customHeight="1"/>
    <row r="14632" ht="15.75" customHeight="1"/>
    <row r="14633" ht="15.75" customHeight="1"/>
    <row r="14634" ht="15.75" customHeight="1"/>
    <row r="14635" ht="15.75" customHeight="1"/>
    <row r="14636" ht="15.75" customHeight="1"/>
    <row r="14637" ht="15.75" customHeight="1"/>
    <row r="14638" ht="15.75" customHeight="1"/>
    <row r="14639" ht="15.75" customHeight="1"/>
    <row r="14640" ht="15.75" customHeight="1"/>
    <row r="14641" ht="15.75" customHeight="1"/>
    <row r="14642" ht="15.75" customHeight="1"/>
    <row r="14643" ht="15.75" customHeight="1"/>
    <row r="14644" ht="15.75" customHeight="1"/>
    <row r="14645" ht="15.75" customHeight="1"/>
    <row r="14646" ht="15.75" customHeight="1"/>
    <row r="14647" ht="15.75" customHeight="1"/>
    <row r="14648" ht="15.75" customHeight="1"/>
    <row r="14649" ht="15.75" customHeight="1"/>
    <row r="14650" ht="15.75" customHeight="1"/>
    <row r="14651" ht="15.75" customHeight="1"/>
    <row r="14652" ht="15.75" customHeight="1"/>
    <row r="14653" ht="15.75" customHeight="1"/>
    <row r="14654" ht="15.75" customHeight="1"/>
    <row r="14655" ht="15.75" customHeight="1"/>
    <row r="14656" ht="15.75" customHeight="1"/>
    <row r="14657" ht="15.75" customHeight="1"/>
    <row r="14658" ht="15.75" customHeight="1"/>
    <row r="14659" ht="15.75" customHeight="1"/>
    <row r="14660" ht="15.75" customHeight="1"/>
    <row r="14661" ht="15.75" customHeight="1"/>
    <row r="14662" ht="15.75" customHeight="1"/>
    <row r="14663" ht="15.75" customHeight="1"/>
    <row r="14664" ht="15.75" customHeight="1"/>
    <row r="14665" ht="15.75" customHeight="1"/>
    <row r="14666" ht="15.75" customHeight="1"/>
    <row r="14667" ht="15.75" customHeight="1"/>
    <row r="14668" ht="15.75" customHeight="1"/>
    <row r="14669" ht="15.75" customHeight="1"/>
    <row r="14670" ht="15.75" customHeight="1"/>
    <row r="14671" ht="15.75" customHeight="1"/>
    <row r="14672" ht="15.75" customHeight="1"/>
    <row r="14673" ht="15.75" customHeight="1"/>
    <row r="14674" ht="15.75" customHeight="1"/>
    <row r="14675" ht="15.75" customHeight="1"/>
    <row r="14676" ht="15.75" customHeight="1"/>
    <row r="14677" ht="15.75" customHeight="1"/>
    <row r="14678" ht="15.75" customHeight="1"/>
    <row r="14679" ht="15.75" customHeight="1"/>
    <row r="14680" ht="15.75" customHeight="1"/>
    <row r="14681" ht="15.75" customHeight="1"/>
    <row r="14682" ht="15.75" customHeight="1"/>
    <row r="14683" ht="15.75" customHeight="1"/>
    <row r="14684" ht="15.75" customHeight="1"/>
    <row r="14685" ht="15.75" customHeight="1"/>
    <row r="14686" ht="15.75" customHeight="1"/>
    <row r="14687" ht="15.75" customHeight="1"/>
    <row r="14688" ht="15.75" customHeight="1"/>
    <row r="14689" ht="15.75" customHeight="1"/>
    <row r="14690" ht="15.75" customHeight="1"/>
    <row r="14691" ht="15.75" customHeight="1"/>
    <row r="14692" ht="15.75" customHeight="1"/>
    <row r="14693" ht="15.75" customHeight="1"/>
    <row r="14694" ht="15.75" customHeight="1"/>
    <row r="14695" ht="15.75" customHeight="1"/>
    <row r="14696" ht="15.75" customHeight="1"/>
    <row r="14697" ht="15.75" customHeight="1"/>
    <row r="14698" ht="15.75" customHeight="1"/>
    <row r="14699" ht="15.75" customHeight="1"/>
    <row r="14700" ht="15.75" customHeight="1"/>
    <row r="14701" ht="15.75" customHeight="1"/>
    <row r="14702" ht="15.75" customHeight="1"/>
    <row r="14703" ht="15.75" customHeight="1"/>
    <row r="14704" ht="15.75" customHeight="1"/>
    <row r="14705" ht="15.75" customHeight="1"/>
    <row r="14706" ht="15.75" customHeight="1"/>
    <row r="14707" ht="15.75" customHeight="1"/>
    <row r="14708" ht="15.75" customHeight="1"/>
    <row r="14709" ht="15.75" customHeight="1"/>
    <row r="14710" ht="15.75" customHeight="1"/>
    <row r="14711" ht="15.75" customHeight="1"/>
    <row r="14712" ht="15.75" customHeight="1"/>
    <row r="14713" ht="15.75" customHeight="1"/>
    <row r="14714" ht="15.75" customHeight="1"/>
    <row r="14715" ht="15.75" customHeight="1"/>
    <row r="14716" ht="15.75" customHeight="1"/>
    <row r="14717" ht="15.75" customHeight="1"/>
    <row r="14718" ht="15.75" customHeight="1"/>
    <row r="14719" ht="15.75" customHeight="1"/>
    <row r="14720" ht="15.75" customHeight="1"/>
    <row r="14721" ht="15.75" customHeight="1"/>
    <row r="14722" ht="15.75" customHeight="1"/>
    <row r="14723" ht="15.75" customHeight="1"/>
    <row r="14724" ht="15.75" customHeight="1"/>
    <row r="14725" ht="15.75" customHeight="1"/>
    <row r="14726" ht="15.75" customHeight="1"/>
    <row r="14727" ht="15.75" customHeight="1"/>
    <row r="14728" ht="15.75" customHeight="1"/>
    <row r="14729" ht="15.75" customHeight="1"/>
    <row r="14730" ht="15.75" customHeight="1"/>
    <row r="14731" ht="15.75" customHeight="1"/>
    <row r="14732" ht="15.75" customHeight="1"/>
    <row r="14733" ht="15.75" customHeight="1"/>
    <row r="14734" ht="15.75" customHeight="1"/>
    <row r="14735" ht="15.75" customHeight="1"/>
    <row r="14736" ht="15.75" customHeight="1"/>
    <row r="14737" ht="15.75" customHeight="1"/>
    <row r="14738" ht="15.75" customHeight="1"/>
    <row r="14739" ht="15.75" customHeight="1"/>
    <row r="14740" ht="15.75" customHeight="1"/>
    <row r="14741" ht="15.75" customHeight="1"/>
    <row r="14742" ht="15.75" customHeight="1"/>
    <row r="14743" ht="15.75" customHeight="1"/>
    <row r="14744" ht="15.75" customHeight="1"/>
    <row r="14745" ht="15.75" customHeight="1"/>
    <row r="14746" ht="15.75" customHeight="1"/>
    <row r="14747" ht="15.75" customHeight="1"/>
    <row r="14748" ht="15.75" customHeight="1"/>
    <row r="14749" ht="15.75" customHeight="1"/>
    <row r="14750" ht="15.75" customHeight="1"/>
    <row r="14751" ht="15.75" customHeight="1"/>
    <row r="14752" ht="15.75" customHeight="1"/>
    <row r="14753" ht="15.75" customHeight="1"/>
    <row r="14754" ht="15.75" customHeight="1"/>
    <row r="14755" ht="15.75" customHeight="1"/>
    <row r="14756" ht="15.75" customHeight="1"/>
    <row r="14757" ht="15.75" customHeight="1"/>
    <row r="14758" ht="15.75" customHeight="1"/>
    <row r="14759" ht="15.75" customHeight="1"/>
    <row r="14760" ht="15.75" customHeight="1"/>
    <row r="14761" ht="15.75" customHeight="1"/>
    <row r="14762" ht="15.75" customHeight="1"/>
    <row r="14763" ht="15.75" customHeight="1"/>
    <row r="14764" ht="15.75" customHeight="1"/>
    <row r="14765" ht="15.75" customHeight="1"/>
    <row r="14766" ht="15.75" customHeight="1"/>
    <row r="14767" ht="15.75" customHeight="1"/>
    <row r="14768" ht="15.75" customHeight="1"/>
    <row r="14769" ht="15.75" customHeight="1"/>
    <row r="14770" ht="15.75" customHeight="1"/>
    <row r="14771" ht="15.75" customHeight="1"/>
    <row r="14772" ht="15.75" customHeight="1"/>
    <row r="14773" ht="15.75" customHeight="1"/>
    <row r="14774" ht="15.75" customHeight="1"/>
    <row r="14775" ht="15.75" customHeight="1"/>
    <row r="14776" ht="15.75" customHeight="1"/>
    <row r="14777" ht="15.75" customHeight="1"/>
    <row r="14778" ht="15.75" customHeight="1"/>
    <row r="14779" ht="15.75" customHeight="1"/>
    <row r="14780" ht="15.75" customHeight="1"/>
    <row r="14781" ht="15.75" customHeight="1"/>
    <row r="14782" ht="15.75" customHeight="1"/>
    <row r="14783" ht="15.75" customHeight="1"/>
    <row r="14784" ht="15.75" customHeight="1"/>
    <row r="14785" ht="15.75" customHeight="1"/>
    <row r="14786" ht="15.75" customHeight="1"/>
    <row r="14787" ht="15.75" customHeight="1"/>
    <row r="14788" ht="15.75" customHeight="1"/>
    <row r="14789" ht="15.75" customHeight="1"/>
    <row r="14790" ht="15.75" customHeight="1"/>
    <row r="14791" ht="15.75" customHeight="1"/>
    <row r="14792" ht="15.75" customHeight="1"/>
    <row r="14793" ht="15.75" customHeight="1"/>
    <row r="14794" ht="15.75" customHeight="1"/>
    <row r="14795" ht="15.75" customHeight="1"/>
    <row r="14796" ht="15.75" customHeight="1"/>
    <row r="14797" ht="15.75" customHeight="1"/>
    <row r="14798" ht="15.75" customHeight="1"/>
    <row r="14799" ht="15.75" customHeight="1"/>
    <row r="14800" ht="15.75" customHeight="1"/>
    <row r="14801" ht="15.75" customHeight="1"/>
    <row r="14802" ht="15.75" customHeight="1"/>
    <row r="14803" ht="15.75" customHeight="1"/>
    <row r="14804" ht="15.75" customHeight="1"/>
    <row r="14805" ht="15.75" customHeight="1"/>
    <row r="14806" ht="15.75" customHeight="1"/>
    <row r="14807" ht="15.75" customHeight="1"/>
    <row r="14808" ht="15.75" customHeight="1"/>
    <row r="14809" ht="15.75" customHeight="1"/>
    <row r="14810" ht="15.75" customHeight="1"/>
    <row r="14811" ht="15.75" customHeight="1"/>
    <row r="14812" ht="15.75" customHeight="1"/>
    <row r="14813" ht="15.75" customHeight="1"/>
    <row r="14814" ht="15.75" customHeight="1"/>
    <row r="14815" ht="15.75" customHeight="1"/>
    <row r="14816" ht="15.75" customHeight="1"/>
    <row r="14817" ht="15.75" customHeight="1"/>
    <row r="14818" ht="15.75" customHeight="1"/>
    <row r="14819" ht="15.75" customHeight="1"/>
    <row r="14820" ht="15.75" customHeight="1"/>
    <row r="14821" ht="15.75" customHeight="1"/>
    <row r="14822" ht="15.75" customHeight="1"/>
    <row r="14823" ht="15.75" customHeight="1"/>
    <row r="14824" ht="15.75" customHeight="1"/>
    <row r="14825" ht="15.75" customHeight="1"/>
    <row r="14826" ht="15.75" customHeight="1"/>
    <row r="14827" ht="15.75" customHeight="1"/>
    <row r="14828" ht="15.75" customHeight="1"/>
    <row r="14829" ht="15.75" customHeight="1"/>
    <row r="14830" ht="15.75" customHeight="1"/>
    <row r="14831" ht="15.75" customHeight="1"/>
    <row r="14832" ht="15.75" customHeight="1"/>
    <row r="14833" ht="15.75" customHeight="1"/>
    <row r="14834" ht="15.75" customHeight="1"/>
    <row r="14835" ht="15.75" customHeight="1"/>
    <row r="14836" ht="15.75" customHeight="1"/>
    <row r="14837" ht="15.75" customHeight="1"/>
    <row r="14838" ht="15.75" customHeight="1"/>
    <row r="14839" ht="15.75" customHeight="1"/>
    <row r="14840" ht="15.75" customHeight="1"/>
    <row r="14841" ht="15.75" customHeight="1"/>
    <row r="14842" ht="15.75" customHeight="1"/>
    <row r="14843" ht="15.75" customHeight="1"/>
    <row r="14844" ht="15.75" customHeight="1"/>
    <row r="14845" ht="15.75" customHeight="1"/>
    <row r="14846" ht="15.75" customHeight="1"/>
    <row r="14847" ht="15.75" customHeight="1"/>
    <row r="14848" ht="15.75" customHeight="1"/>
    <row r="14849" ht="15.75" customHeight="1"/>
    <row r="14850" ht="15.75" customHeight="1"/>
    <row r="14851" ht="15.75" customHeight="1"/>
    <row r="14852" ht="15.75" customHeight="1"/>
    <row r="14853" ht="15.75" customHeight="1"/>
    <row r="14854" ht="15.75" customHeight="1"/>
    <row r="14855" ht="15.75" customHeight="1"/>
    <row r="14856" ht="15.75" customHeight="1"/>
    <row r="14857" ht="15.75" customHeight="1"/>
    <row r="14858" ht="15.75" customHeight="1"/>
    <row r="14859" ht="15.75" customHeight="1"/>
    <row r="14860" ht="15.75" customHeight="1"/>
    <row r="14861" ht="15.75" customHeight="1"/>
    <row r="14862" ht="15.75" customHeight="1"/>
    <row r="14863" ht="15.75" customHeight="1"/>
    <row r="14864" ht="15.75" customHeight="1"/>
    <row r="14865" ht="15.75" customHeight="1"/>
    <row r="14866" ht="15.75" customHeight="1"/>
    <row r="14867" ht="15.75" customHeight="1"/>
    <row r="14868" ht="15.75" customHeight="1"/>
    <row r="14869" ht="15.75" customHeight="1"/>
    <row r="14870" ht="15.75" customHeight="1"/>
    <row r="14871" ht="15.75" customHeight="1"/>
    <row r="14872" ht="15.75" customHeight="1"/>
    <row r="14873" ht="15.75" customHeight="1"/>
    <row r="14874" ht="15.75" customHeight="1"/>
    <row r="14875" ht="15.75" customHeight="1"/>
    <row r="14876" ht="15.75" customHeight="1"/>
    <row r="14877" ht="15.75" customHeight="1"/>
    <row r="14878" ht="15.75" customHeight="1"/>
    <row r="14879" ht="15.75" customHeight="1"/>
    <row r="14880" ht="15.75" customHeight="1"/>
    <row r="14881" ht="15.75" customHeight="1"/>
    <row r="14882" ht="15.75" customHeight="1"/>
    <row r="14883" ht="15.75" customHeight="1"/>
    <row r="14884" ht="15.75" customHeight="1"/>
    <row r="14885" ht="15.75" customHeight="1"/>
    <row r="14886" ht="15.75" customHeight="1"/>
    <row r="14887" ht="15.75" customHeight="1"/>
    <row r="14888" ht="15.75" customHeight="1"/>
    <row r="14889" ht="15.75" customHeight="1"/>
    <row r="14890" ht="15.75" customHeight="1"/>
    <row r="14891" ht="15.75" customHeight="1"/>
    <row r="14892" ht="15.75" customHeight="1"/>
    <row r="14893" ht="15.75" customHeight="1"/>
    <row r="14894" ht="15.75" customHeight="1"/>
    <row r="14895" ht="15.75" customHeight="1"/>
    <row r="14896" ht="15.75" customHeight="1"/>
    <row r="14897" ht="15.75" customHeight="1"/>
    <row r="14898" ht="15.75" customHeight="1"/>
    <row r="14899" ht="15.75" customHeight="1"/>
    <row r="14900" ht="15.75" customHeight="1"/>
    <row r="14901" ht="15.75" customHeight="1"/>
    <row r="14902" ht="15.75" customHeight="1"/>
    <row r="14903" ht="15.75" customHeight="1"/>
    <row r="14904" ht="15.75" customHeight="1"/>
    <row r="14905" ht="15.75" customHeight="1"/>
    <row r="14906" ht="15.75" customHeight="1"/>
    <row r="14907" ht="15.75" customHeight="1"/>
    <row r="14908" ht="15.75" customHeight="1"/>
    <row r="14909" ht="15.75" customHeight="1"/>
    <row r="14910" ht="15.75" customHeight="1"/>
    <row r="14911" ht="15.75" customHeight="1"/>
    <row r="14912" ht="15.75" customHeight="1"/>
    <row r="14913" ht="15.75" customHeight="1"/>
    <row r="14914" ht="15.75" customHeight="1"/>
    <row r="14915" ht="15.75" customHeight="1"/>
    <row r="14916" ht="15.75" customHeight="1"/>
    <row r="14917" ht="15.75" customHeight="1"/>
    <row r="14918" ht="15.75" customHeight="1"/>
    <row r="14919" ht="15.75" customHeight="1"/>
    <row r="14920" ht="15.75" customHeight="1"/>
    <row r="14921" ht="15.75" customHeight="1"/>
    <row r="14922" ht="15.75" customHeight="1"/>
    <row r="14923" ht="15.75" customHeight="1"/>
    <row r="14924" ht="15.75" customHeight="1"/>
    <row r="14925" ht="15.75" customHeight="1"/>
    <row r="14926" ht="15.75" customHeight="1"/>
    <row r="14927" ht="15.75" customHeight="1"/>
    <row r="14928" ht="15.75" customHeight="1"/>
    <row r="14929" ht="15.75" customHeight="1"/>
    <row r="14930" ht="15.75" customHeight="1"/>
    <row r="14931" ht="15.75" customHeight="1"/>
    <row r="14932" ht="15.75" customHeight="1"/>
    <row r="14933" ht="15.75" customHeight="1"/>
    <row r="14934" ht="15.75" customHeight="1"/>
    <row r="14935" ht="15.75" customHeight="1"/>
    <row r="14936" ht="15.75" customHeight="1"/>
    <row r="14937" ht="15.75" customHeight="1"/>
    <row r="14938" ht="15.75" customHeight="1"/>
    <row r="14939" ht="15.75" customHeight="1"/>
    <row r="14940" ht="15.75" customHeight="1"/>
    <row r="14941" ht="15.75" customHeight="1"/>
    <row r="14942" ht="15.75" customHeight="1"/>
    <row r="14943" ht="15.75" customHeight="1"/>
    <row r="14944" ht="15.75" customHeight="1"/>
    <row r="14945" ht="15.75" customHeight="1"/>
    <row r="14946" ht="15.75" customHeight="1"/>
    <row r="14947" ht="15.75" customHeight="1"/>
    <row r="14948" ht="15.75" customHeight="1"/>
    <row r="14949" ht="15.75" customHeight="1"/>
    <row r="14950" ht="15.75" customHeight="1"/>
    <row r="14951" ht="15.75" customHeight="1"/>
    <row r="14952" ht="15.75" customHeight="1"/>
    <row r="14953" ht="15.75" customHeight="1"/>
    <row r="14954" ht="15.75" customHeight="1"/>
    <row r="14955" ht="15.75" customHeight="1"/>
    <row r="14956" ht="15.75" customHeight="1"/>
    <row r="14957" ht="15.75" customHeight="1"/>
    <row r="14958" ht="15.75" customHeight="1"/>
    <row r="14959" ht="15.75" customHeight="1"/>
    <row r="14960" ht="15.75" customHeight="1"/>
    <row r="14961" ht="15.75" customHeight="1"/>
    <row r="14962" ht="15.75" customHeight="1"/>
    <row r="14963" ht="15.75" customHeight="1"/>
    <row r="14964" ht="15.75" customHeight="1"/>
    <row r="14965" ht="15.75" customHeight="1"/>
    <row r="14966" ht="15.75" customHeight="1"/>
    <row r="14967" ht="15.75" customHeight="1"/>
    <row r="14968" ht="15.75" customHeight="1"/>
    <row r="14969" ht="15.75" customHeight="1"/>
    <row r="14970" ht="15.75" customHeight="1"/>
    <row r="14971" ht="15.75" customHeight="1"/>
    <row r="14972" ht="15.75" customHeight="1"/>
    <row r="14973" ht="15.75" customHeight="1"/>
    <row r="14974" ht="15.75" customHeight="1"/>
    <row r="14975" ht="15.75" customHeight="1"/>
    <row r="14976" ht="15.75" customHeight="1"/>
    <row r="14977" ht="15.75" customHeight="1"/>
    <row r="14978" ht="15.75" customHeight="1"/>
    <row r="14979" ht="15.75" customHeight="1"/>
    <row r="14980" ht="15.75" customHeight="1"/>
    <row r="14981" ht="15.75" customHeight="1"/>
    <row r="14982" ht="15.75" customHeight="1"/>
    <row r="14983" ht="15.75" customHeight="1"/>
    <row r="14984" ht="15.75" customHeight="1"/>
    <row r="14985" ht="15.75" customHeight="1"/>
    <row r="14986" ht="15.75" customHeight="1"/>
    <row r="14987" ht="15.75" customHeight="1"/>
    <row r="14988" ht="15.75" customHeight="1"/>
    <row r="14989" ht="15.75" customHeight="1"/>
    <row r="14990" ht="15.75" customHeight="1"/>
    <row r="14991" ht="15.75" customHeight="1"/>
    <row r="14992" ht="15.75" customHeight="1"/>
    <row r="14993" ht="15.75" customHeight="1"/>
    <row r="14994" ht="15.75" customHeight="1"/>
    <row r="14995" ht="15.75" customHeight="1"/>
    <row r="14996" ht="15.75" customHeight="1"/>
    <row r="14997" ht="15.75" customHeight="1"/>
    <row r="14998" ht="15.75" customHeight="1"/>
    <row r="14999" ht="15.75" customHeight="1"/>
    <row r="15000" ht="15.75" customHeight="1"/>
    <row r="15001" ht="15.75" customHeight="1"/>
    <row r="15002" ht="15.75" customHeight="1"/>
    <row r="15003" ht="15.75" customHeight="1"/>
    <row r="15004" ht="15.75" customHeight="1"/>
    <row r="15005" ht="15.75" customHeight="1"/>
    <row r="15006" ht="15.75" customHeight="1"/>
    <row r="15007" ht="15.75" customHeight="1"/>
    <row r="15008" ht="15.75" customHeight="1"/>
    <row r="15009" ht="15.75" customHeight="1"/>
    <row r="15010" ht="15.75" customHeight="1"/>
    <row r="15011" ht="15.75" customHeight="1"/>
    <row r="15012" ht="15.75" customHeight="1"/>
    <row r="15013" ht="15.75" customHeight="1"/>
    <row r="15014" ht="15.75" customHeight="1"/>
    <row r="15015" ht="15.75" customHeight="1"/>
    <row r="15016" ht="15.75" customHeight="1"/>
    <row r="15017" ht="15.75" customHeight="1"/>
    <row r="15018" ht="15.75" customHeight="1"/>
    <row r="15019" ht="15.75" customHeight="1"/>
    <row r="15020" ht="15.75" customHeight="1"/>
    <row r="15021" ht="15.75" customHeight="1"/>
    <row r="15022" ht="15.75" customHeight="1"/>
    <row r="15023" ht="15.75" customHeight="1"/>
    <row r="15024" ht="15.75" customHeight="1"/>
    <row r="15025" ht="15.75" customHeight="1"/>
    <row r="15026" ht="15.75" customHeight="1"/>
    <row r="15027" ht="15.75" customHeight="1"/>
    <row r="15028" ht="15.75" customHeight="1"/>
    <row r="15029" ht="15.75" customHeight="1"/>
    <row r="15030" ht="15.75" customHeight="1"/>
    <row r="15031" ht="15.75" customHeight="1"/>
    <row r="15032" ht="15.75" customHeight="1"/>
    <row r="15033" ht="15.75" customHeight="1"/>
    <row r="15034" ht="15.75" customHeight="1"/>
    <row r="15035" ht="15.75" customHeight="1"/>
    <row r="15036" ht="15.75" customHeight="1"/>
    <row r="15037" ht="15.75" customHeight="1"/>
    <row r="15038" ht="15.75" customHeight="1"/>
    <row r="15039" ht="15.75" customHeight="1"/>
    <row r="15040" ht="15.75" customHeight="1"/>
    <row r="15041" ht="15.75" customHeight="1"/>
    <row r="15042" ht="15.75" customHeight="1"/>
    <row r="15043" ht="15.75" customHeight="1"/>
    <row r="15044" ht="15.75" customHeight="1"/>
    <row r="15045" ht="15.75" customHeight="1"/>
    <row r="15046" ht="15.75" customHeight="1"/>
    <row r="15047" ht="15.75" customHeight="1"/>
    <row r="15048" ht="15.75" customHeight="1"/>
    <row r="15049" ht="15.75" customHeight="1"/>
    <row r="15050" ht="15.75" customHeight="1"/>
    <row r="15051" ht="15.75" customHeight="1"/>
    <row r="15052" ht="15.75" customHeight="1"/>
    <row r="15053" ht="15.75" customHeight="1"/>
    <row r="15054" ht="15.75" customHeight="1"/>
    <row r="15055" ht="15.75" customHeight="1"/>
    <row r="15056" ht="15.75" customHeight="1"/>
    <row r="15057" ht="15.75" customHeight="1"/>
    <row r="15058" ht="15.75" customHeight="1"/>
    <row r="15059" ht="15.75" customHeight="1"/>
    <row r="15060" ht="15.75" customHeight="1"/>
    <row r="15061" ht="15.75" customHeight="1"/>
    <row r="15062" ht="15.75" customHeight="1"/>
    <row r="15063" ht="15.75" customHeight="1"/>
    <row r="15064" ht="15.75" customHeight="1"/>
    <row r="15065" ht="15.75" customHeight="1"/>
    <row r="15066" ht="15.75" customHeight="1"/>
    <row r="15067" ht="15.75" customHeight="1"/>
    <row r="15068" ht="15.75" customHeight="1"/>
    <row r="15069" ht="15.75" customHeight="1"/>
    <row r="15070" ht="15.75" customHeight="1"/>
    <row r="15071" ht="15.75" customHeight="1"/>
    <row r="15072" ht="15.75" customHeight="1"/>
    <row r="15073" ht="15.75" customHeight="1"/>
    <row r="15074" ht="15.75" customHeight="1"/>
    <row r="15075" ht="15.75" customHeight="1"/>
    <row r="15076" ht="15.75" customHeight="1"/>
    <row r="15077" ht="15.75" customHeight="1"/>
    <row r="15078" ht="15.75" customHeight="1"/>
    <row r="15079" ht="15.75" customHeight="1"/>
    <row r="15080" ht="15.75" customHeight="1"/>
    <row r="15081" ht="15.75" customHeight="1"/>
    <row r="15082" ht="15.75" customHeight="1"/>
    <row r="15083" ht="15.75" customHeight="1"/>
    <row r="15084" ht="15.75" customHeight="1"/>
    <row r="15085" ht="15.75" customHeight="1"/>
    <row r="15086" ht="15.75" customHeight="1"/>
    <row r="15087" ht="15.75" customHeight="1"/>
    <row r="15088" ht="15.75" customHeight="1"/>
    <row r="15089" ht="15.75" customHeight="1"/>
    <row r="15090" ht="15.75" customHeight="1"/>
    <row r="15091" ht="15.75" customHeight="1"/>
    <row r="15092" ht="15.75" customHeight="1"/>
    <row r="15093" ht="15.75" customHeight="1"/>
    <row r="15094" ht="15.75" customHeight="1"/>
    <row r="15095" ht="15.75" customHeight="1"/>
    <row r="15096" ht="15.75" customHeight="1"/>
    <row r="15097" ht="15.75" customHeight="1"/>
    <row r="15098" ht="15.75" customHeight="1"/>
    <row r="15099" ht="15.75" customHeight="1"/>
    <row r="15100" ht="15.75" customHeight="1"/>
    <row r="15101" ht="15.75" customHeight="1"/>
    <row r="15102" ht="15.75" customHeight="1"/>
    <row r="15103" ht="15.75" customHeight="1"/>
    <row r="15104" ht="15.75" customHeight="1"/>
    <row r="15105" ht="15.75" customHeight="1"/>
    <row r="15106" ht="15.75" customHeight="1"/>
    <row r="15107" ht="15.75" customHeight="1"/>
    <row r="15108" ht="15.75" customHeight="1"/>
    <row r="15109" ht="15.75" customHeight="1"/>
    <row r="15110" ht="15.75" customHeight="1"/>
    <row r="15111" ht="15.75" customHeight="1"/>
    <row r="15112" ht="15.75" customHeight="1"/>
    <row r="15113" ht="15.75" customHeight="1"/>
    <row r="15114" ht="15.75" customHeight="1"/>
    <row r="15115" ht="15.75" customHeight="1"/>
    <row r="15116" ht="15.75" customHeight="1"/>
    <row r="15117" ht="15.75" customHeight="1"/>
    <row r="15118" ht="15.75" customHeight="1"/>
    <row r="15119" ht="15.75" customHeight="1"/>
    <row r="15120" ht="15.75" customHeight="1"/>
    <row r="15121" ht="15.75" customHeight="1"/>
    <row r="15122" ht="15.75" customHeight="1"/>
    <row r="15123" ht="15.75" customHeight="1"/>
    <row r="15124" ht="15.75" customHeight="1"/>
    <row r="15125" ht="15.75" customHeight="1"/>
    <row r="15126" ht="15.75" customHeight="1"/>
    <row r="15127" ht="15.75" customHeight="1"/>
    <row r="15128" ht="15.75" customHeight="1"/>
    <row r="15129" ht="15.75" customHeight="1"/>
    <row r="15130" ht="15.75" customHeight="1"/>
    <row r="15131" ht="15.75" customHeight="1"/>
    <row r="15132" ht="15.75" customHeight="1"/>
    <row r="15133" ht="15.75" customHeight="1"/>
    <row r="15134" ht="15.75" customHeight="1"/>
    <row r="15135" ht="15.75" customHeight="1"/>
    <row r="15136" ht="15.75" customHeight="1"/>
    <row r="15137" ht="15.75" customHeight="1"/>
    <row r="15138" ht="15.75" customHeight="1"/>
    <row r="15139" ht="15.75" customHeight="1"/>
    <row r="15140" ht="15.75" customHeight="1"/>
    <row r="15141" ht="15.75" customHeight="1"/>
    <row r="15142" ht="15.75" customHeight="1"/>
    <row r="15143" ht="15.75" customHeight="1"/>
    <row r="15144" ht="15.75" customHeight="1"/>
    <row r="15145" ht="15.75" customHeight="1"/>
    <row r="15146" ht="15.75" customHeight="1"/>
    <row r="15147" ht="15.75" customHeight="1"/>
    <row r="15148" ht="15.75" customHeight="1"/>
    <row r="15149" ht="15.75" customHeight="1"/>
    <row r="15150" ht="15.75" customHeight="1"/>
    <row r="15151" ht="15.75" customHeight="1"/>
    <row r="15152" ht="15.75" customHeight="1"/>
    <row r="15153" ht="15.75" customHeight="1"/>
    <row r="15154" ht="15.75" customHeight="1"/>
    <row r="15155" ht="15.75" customHeight="1"/>
    <row r="15156" ht="15.75" customHeight="1"/>
    <row r="15157" ht="15.75" customHeight="1"/>
    <row r="15158" ht="15.75" customHeight="1"/>
    <row r="15159" ht="15.75" customHeight="1"/>
    <row r="15160" ht="15.75" customHeight="1"/>
    <row r="15161" ht="15.75" customHeight="1"/>
    <row r="15162" ht="15.75" customHeight="1"/>
    <row r="15163" ht="15.75" customHeight="1"/>
    <row r="15164" ht="15.75" customHeight="1"/>
    <row r="15165" ht="15.75" customHeight="1"/>
    <row r="15166" ht="15.75" customHeight="1"/>
    <row r="15167" ht="15.75" customHeight="1"/>
    <row r="15168" ht="15.75" customHeight="1"/>
    <row r="15169" ht="15.75" customHeight="1"/>
    <row r="15170" ht="15.75" customHeight="1"/>
    <row r="15171" ht="15.75" customHeight="1"/>
    <row r="15172" ht="15.75" customHeight="1"/>
    <row r="15173" ht="15.75" customHeight="1"/>
    <row r="15174" ht="15.75" customHeight="1"/>
    <row r="15175" ht="15.75" customHeight="1"/>
    <row r="15176" ht="15.75" customHeight="1"/>
    <row r="15177" ht="15.75" customHeight="1"/>
    <row r="15178" ht="15.75" customHeight="1"/>
    <row r="15179" ht="15.75" customHeight="1"/>
    <row r="15180" ht="15.75" customHeight="1"/>
    <row r="15181" ht="15.75" customHeight="1"/>
    <row r="15182" ht="15.75" customHeight="1"/>
    <row r="15183" ht="15.75" customHeight="1"/>
    <row r="15184" ht="15.75" customHeight="1"/>
    <row r="15185" ht="15.75" customHeight="1"/>
    <row r="15186" ht="15.75" customHeight="1"/>
    <row r="15187" ht="15.75" customHeight="1"/>
    <row r="15188" ht="15.75" customHeight="1"/>
    <row r="15189" ht="15.75" customHeight="1"/>
    <row r="15190" ht="15.75" customHeight="1"/>
    <row r="15191" ht="15.75" customHeight="1"/>
    <row r="15192" ht="15.75" customHeight="1"/>
    <row r="15193" ht="15.75" customHeight="1"/>
    <row r="15194" ht="15.75" customHeight="1"/>
    <row r="15195" ht="15.75" customHeight="1"/>
    <row r="15196" ht="15.75" customHeight="1"/>
    <row r="15197" ht="15.75" customHeight="1"/>
    <row r="15198" ht="15.75" customHeight="1"/>
    <row r="15199" ht="15.75" customHeight="1"/>
    <row r="15200" ht="15.75" customHeight="1"/>
    <row r="15201" ht="15.75" customHeight="1"/>
    <row r="15202" ht="15.75" customHeight="1"/>
    <row r="15203" ht="15.75" customHeight="1"/>
    <row r="15204" ht="15.75" customHeight="1"/>
    <row r="15205" ht="15.75" customHeight="1"/>
    <row r="15206" ht="15.75" customHeight="1"/>
    <row r="15207" ht="15.75" customHeight="1"/>
    <row r="15208" ht="15.75" customHeight="1"/>
    <row r="15209" ht="15.75" customHeight="1"/>
    <row r="15210" ht="15.75" customHeight="1"/>
    <row r="15211" ht="15.75" customHeight="1"/>
    <row r="15212" ht="15.75" customHeight="1"/>
    <row r="15213" ht="15.75" customHeight="1"/>
    <row r="15214" ht="15.75" customHeight="1"/>
    <row r="15215" ht="15.75" customHeight="1"/>
    <row r="15216" ht="15.75" customHeight="1"/>
    <row r="15217" ht="15.75" customHeight="1"/>
    <row r="15218" ht="15.75" customHeight="1"/>
    <row r="15219" ht="15.75" customHeight="1"/>
    <row r="15220" ht="15.75" customHeight="1"/>
    <row r="15221" ht="15.75" customHeight="1"/>
    <row r="15222" ht="15.75" customHeight="1"/>
    <row r="15223" ht="15.75" customHeight="1"/>
    <row r="15224" ht="15.75" customHeight="1"/>
    <row r="15225" ht="15.75" customHeight="1"/>
    <row r="15226" ht="15.75" customHeight="1"/>
    <row r="15227" ht="15.75" customHeight="1"/>
    <row r="15228" ht="15.75" customHeight="1"/>
    <row r="15229" ht="15.75" customHeight="1"/>
    <row r="15230" ht="15.75" customHeight="1"/>
    <row r="15231" ht="15.75" customHeight="1"/>
    <row r="15232" ht="15.75" customHeight="1"/>
    <row r="15233" ht="15.75" customHeight="1"/>
    <row r="15234" ht="15.75" customHeight="1"/>
    <row r="15235" ht="15.75" customHeight="1"/>
    <row r="15236" ht="15.75" customHeight="1"/>
    <row r="15237" ht="15.75" customHeight="1"/>
    <row r="15238" ht="15.75" customHeight="1"/>
    <row r="15239" ht="15.75" customHeight="1"/>
    <row r="15240" ht="15.75" customHeight="1"/>
    <row r="15241" ht="15.75" customHeight="1"/>
    <row r="15242" ht="15.75" customHeight="1"/>
    <row r="15243" ht="15.75" customHeight="1"/>
    <row r="15244" ht="15.75" customHeight="1"/>
    <row r="15245" ht="15.75" customHeight="1"/>
    <row r="15246" ht="15.75" customHeight="1"/>
    <row r="15247" ht="15.75" customHeight="1"/>
    <row r="15248" ht="15.75" customHeight="1"/>
    <row r="15249" ht="15.75" customHeight="1"/>
    <row r="15250" ht="15.75" customHeight="1"/>
    <row r="15251" ht="15.75" customHeight="1"/>
    <row r="15252" ht="15.75" customHeight="1"/>
    <row r="15253" ht="15.75" customHeight="1"/>
    <row r="15254" ht="15.75" customHeight="1"/>
    <row r="15255" ht="15.75" customHeight="1"/>
    <row r="15256" ht="15.75" customHeight="1"/>
    <row r="15257" ht="15.75" customHeight="1"/>
    <row r="15258" ht="15.75" customHeight="1"/>
    <row r="15259" ht="15.75" customHeight="1"/>
    <row r="15260" ht="15.75" customHeight="1"/>
    <row r="15261" ht="15.75" customHeight="1"/>
    <row r="15262" ht="15.75" customHeight="1"/>
    <row r="15263" ht="15.75" customHeight="1"/>
    <row r="15264" ht="15.75" customHeight="1"/>
    <row r="15265" ht="15.75" customHeight="1"/>
    <row r="15266" ht="15.75" customHeight="1"/>
    <row r="15267" ht="15.75" customHeight="1"/>
    <row r="15268" ht="15.75" customHeight="1"/>
    <row r="15269" ht="15.75" customHeight="1"/>
    <row r="15270" ht="15.75" customHeight="1"/>
    <row r="15271" ht="15.75" customHeight="1"/>
    <row r="15272" ht="15.75" customHeight="1"/>
    <row r="15273" ht="15.75" customHeight="1"/>
    <row r="15274" ht="15.75" customHeight="1"/>
    <row r="15275" ht="15.75" customHeight="1"/>
    <row r="15276" ht="15.75" customHeight="1"/>
    <row r="15277" ht="15.75" customHeight="1"/>
    <row r="15278" ht="15.75" customHeight="1"/>
    <row r="15279" ht="15.75" customHeight="1"/>
    <row r="15280" ht="15.75" customHeight="1"/>
    <row r="15281" ht="15.75" customHeight="1"/>
    <row r="15282" ht="15.75" customHeight="1"/>
    <row r="15283" ht="15.75" customHeight="1"/>
    <row r="15284" ht="15.75" customHeight="1"/>
    <row r="15285" ht="15.75" customHeight="1"/>
    <row r="15286" ht="15.75" customHeight="1"/>
    <row r="15287" ht="15.75" customHeight="1"/>
    <row r="15288" ht="15.75" customHeight="1"/>
    <row r="15289" ht="15.75" customHeight="1"/>
    <row r="15290" ht="15.75" customHeight="1"/>
    <row r="15291" ht="15.75" customHeight="1"/>
    <row r="15292" ht="15.75" customHeight="1"/>
    <row r="15293" ht="15.75" customHeight="1"/>
    <row r="15294" ht="15.75" customHeight="1"/>
    <row r="15295" ht="15.75" customHeight="1"/>
    <row r="15296" ht="15.75" customHeight="1"/>
    <row r="15297" ht="15.75" customHeight="1"/>
    <row r="15298" ht="15.75" customHeight="1"/>
    <row r="15299" ht="15.75" customHeight="1"/>
    <row r="15300" ht="15.75" customHeight="1"/>
    <row r="15301" ht="15.75" customHeight="1"/>
    <row r="15302" ht="15.75" customHeight="1"/>
    <row r="15303" ht="15.75" customHeight="1"/>
    <row r="15304" ht="15.75" customHeight="1"/>
    <row r="15305" ht="15.75" customHeight="1"/>
    <row r="15306" ht="15.75" customHeight="1"/>
    <row r="15307" ht="15.75" customHeight="1"/>
    <row r="15308" ht="15.75" customHeight="1"/>
    <row r="15309" ht="15.75" customHeight="1"/>
    <row r="15310" ht="15.75" customHeight="1"/>
    <row r="15311" ht="15.75" customHeight="1"/>
    <row r="15312" ht="15.75" customHeight="1"/>
    <row r="15313" ht="15.75" customHeight="1"/>
    <row r="15314" ht="15.75" customHeight="1"/>
    <row r="15315" ht="15.75" customHeight="1"/>
    <row r="15316" ht="15.75" customHeight="1"/>
    <row r="15317" ht="15.75" customHeight="1"/>
    <row r="15318" ht="15.75" customHeight="1"/>
    <row r="15319" ht="15.75" customHeight="1"/>
    <row r="15320" ht="15.75" customHeight="1"/>
    <row r="15321" ht="15.75" customHeight="1"/>
    <row r="15322" ht="15.75" customHeight="1"/>
    <row r="15323" ht="15.75" customHeight="1"/>
    <row r="15324" ht="15.75" customHeight="1"/>
    <row r="15325" ht="15.75" customHeight="1"/>
    <row r="15326" ht="15.75" customHeight="1"/>
    <row r="15327" ht="15.75" customHeight="1"/>
    <row r="15328" ht="15.75" customHeight="1"/>
    <row r="15329" ht="15.75" customHeight="1"/>
    <row r="15330" ht="15.75" customHeight="1"/>
    <row r="15331" ht="15.75" customHeight="1"/>
    <row r="15332" ht="15.75" customHeight="1"/>
    <row r="15333" ht="15.75" customHeight="1"/>
    <row r="15334" ht="15.75" customHeight="1"/>
    <row r="15335" ht="15.75" customHeight="1"/>
    <row r="15336" ht="15.75" customHeight="1"/>
    <row r="15337" ht="15.75" customHeight="1"/>
    <row r="15338" ht="15.75" customHeight="1"/>
    <row r="15339" ht="15.75" customHeight="1"/>
    <row r="15340" ht="15.75" customHeight="1"/>
    <row r="15341" ht="15.75" customHeight="1"/>
    <row r="15342" ht="15.75" customHeight="1"/>
    <row r="15343" ht="15.75" customHeight="1"/>
    <row r="15344" ht="15.75" customHeight="1"/>
    <row r="15345" ht="15.75" customHeight="1"/>
    <row r="15346" ht="15.75" customHeight="1"/>
    <row r="15347" ht="15.75" customHeight="1"/>
    <row r="15348" ht="15.75" customHeight="1"/>
    <row r="15349" ht="15.75" customHeight="1"/>
    <row r="15350" ht="15.75" customHeight="1"/>
    <row r="15351" ht="15.75" customHeight="1"/>
    <row r="15352" ht="15.75" customHeight="1"/>
    <row r="15353" ht="15.75" customHeight="1"/>
    <row r="15354" ht="15.75" customHeight="1"/>
    <row r="15355" ht="15.75" customHeight="1"/>
    <row r="15356" ht="15.75" customHeight="1"/>
    <row r="15357" ht="15.75" customHeight="1"/>
    <row r="15358" ht="15.75" customHeight="1"/>
    <row r="15359" ht="15.75" customHeight="1"/>
    <row r="15360" ht="15.75" customHeight="1"/>
    <row r="15361" ht="15.75" customHeight="1"/>
    <row r="15362" ht="15.75" customHeight="1"/>
    <row r="15363" ht="15.75" customHeight="1"/>
    <row r="15364" ht="15.75" customHeight="1"/>
    <row r="15365" ht="15.75" customHeight="1"/>
    <row r="15366" ht="15.75" customHeight="1"/>
    <row r="15367" ht="15.75" customHeight="1"/>
    <row r="15368" ht="15.75" customHeight="1"/>
    <row r="15369" ht="15.75" customHeight="1"/>
    <row r="15370" ht="15.75" customHeight="1"/>
    <row r="15371" ht="15.75" customHeight="1"/>
    <row r="15372" ht="15.75" customHeight="1"/>
    <row r="15373" ht="15.75" customHeight="1"/>
    <row r="15374" ht="15.75" customHeight="1"/>
    <row r="15375" ht="15.75" customHeight="1"/>
    <row r="15376" ht="15.75" customHeight="1"/>
    <row r="15377" ht="15.75" customHeight="1"/>
    <row r="15378" ht="15.75" customHeight="1"/>
    <row r="15379" ht="15.75" customHeight="1"/>
    <row r="15380" ht="15.75" customHeight="1"/>
    <row r="15381" ht="15.75" customHeight="1"/>
    <row r="15382" ht="15.75" customHeight="1"/>
    <row r="15383" ht="15.75" customHeight="1"/>
    <row r="15384" ht="15.75" customHeight="1"/>
    <row r="15385" ht="15.75" customHeight="1"/>
    <row r="15386" ht="15.75" customHeight="1"/>
    <row r="15387" ht="15.75" customHeight="1"/>
    <row r="15388" ht="15.75" customHeight="1"/>
    <row r="15389" ht="15.75" customHeight="1"/>
    <row r="15390" ht="15.75" customHeight="1"/>
    <row r="15391" ht="15.75" customHeight="1"/>
    <row r="15392" ht="15.75" customHeight="1"/>
    <row r="15393" ht="15.75" customHeight="1"/>
    <row r="15394" ht="15.75" customHeight="1"/>
    <row r="15395" ht="15.75" customHeight="1"/>
    <row r="15396" ht="15.75" customHeight="1"/>
    <row r="15397" ht="15.75" customHeight="1"/>
    <row r="15398" ht="15.75" customHeight="1"/>
    <row r="15399" ht="15.75" customHeight="1"/>
    <row r="15400" ht="15.75" customHeight="1"/>
    <row r="15401" ht="15.75" customHeight="1"/>
    <row r="15402" ht="15.75" customHeight="1"/>
    <row r="15403" ht="15.75" customHeight="1"/>
    <row r="15404" ht="15.75" customHeight="1"/>
    <row r="15405" ht="15.75" customHeight="1"/>
    <row r="15406" ht="15.75" customHeight="1"/>
    <row r="15407" ht="15.75" customHeight="1"/>
    <row r="15408" ht="15.75" customHeight="1"/>
    <row r="15409" ht="15.75" customHeight="1"/>
    <row r="15410" ht="15.75" customHeight="1"/>
    <row r="15411" ht="15.75" customHeight="1"/>
    <row r="15412" ht="15.75" customHeight="1"/>
    <row r="15413" ht="15.75" customHeight="1"/>
    <row r="15414" ht="15.75" customHeight="1"/>
    <row r="15415" ht="15.75" customHeight="1"/>
    <row r="15416" ht="15.75" customHeight="1"/>
    <row r="15417" ht="15.75" customHeight="1"/>
    <row r="15418" ht="15.75" customHeight="1"/>
    <row r="15419" ht="15.75" customHeight="1"/>
    <row r="15420" ht="15.75" customHeight="1"/>
    <row r="15421" ht="15.75" customHeight="1"/>
    <row r="15422" ht="15.75" customHeight="1"/>
    <row r="15423" ht="15.75" customHeight="1"/>
    <row r="15424" ht="15.75" customHeight="1"/>
    <row r="15425" ht="15.75" customHeight="1"/>
    <row r="15426" ht="15.75" customHeight="1"/>
    <row r="15427" ht="15.75" customHeight="1"/>
    <row r="15428" ht="15.75" customHeight="1"/>
    <row r="15429" ht="15.75" customHeight="1"/>
    <row r="15430" ht="15.75" customHeight="1"/>
    <row r="15431" ht="15.75" customHeight="1"/>
    <row r="15432" ht="15.75" customHeight="1"/>
    <row r="15433" ht="15.75" customHeight="1"/>
    <row r="15434" ht="15.75" customHeight="1"/>
    <row r="15435" ht="15.75" customHeight="1"/>
    <row r="15436" ht="15.75" customHeight="1"/>
    <row r="15437" ht="15.75" customHeight="1"/>
    <row r="15438" ht="15.75" customHeight="1"/>
    <row r="15439" ht="15.75" customHeight="1"/>
    <row r="15440" ht="15.75" customHeight="1"/>
    <row r="15441" ht="15.75" customHeight="1"/>
    <row r="15442" ht="15.75" customHeight="1"/>
    <row r="15443" ht="15.75" customHeight="1"/>
    <row r="15444" ht="15.75" customHeight="1"/>
    <row r="15445" ht="15.75" customHeight="1"/>
    <row r="15446" ht="15.75" customHeight="1"/>
    <row r="15447" ht="15.75" customHeight="1"/>
    <row r="15448" ht="15.75" customHeight="1"/>
    <row r="15449" ht="15.75" customHeight="1"/>
    <row r="15450" ht="15.75" customHeight="1"/>
    <row r="15451" ht="15.75" customHeight="1"/>
    <row r="15452" ht="15.75" customHeight="1"/>
    <row r="15453" ht="15.75" customHeight="1"/>
    <row r="15454" ht="15.75" customHeight="1"/>
    <row r="15455" ht="15.75" customHeight="1"/>
    <row r="15456" ht="15.75" customHeight="1"/>
    <row r="15457" ht="15.75" customHeight="1"/>
    <row r="15458" ht="15.75" customHeight="1"/>
    <row r="15459" ht="15.75" customHeight="1"/>
    <row r="15460" ht="15.75" customHeight="1"/>
    <row r="15461" ht="15.75" customHeight="1"/>
    <row r="15462" ht="15.75" customHeight="1"/>
    <row r="15463" ht="15.75" customHeight="1"/>
    <row r="15464" ht="15.75" customHeight="1"/>
    <row r="15465" ht="15.75" customHeight="1"/>
    <row r="15466" ht="15.75" customHeight="1"/>
    <row r="15467" ht="15.75" customHeight="1"/>
    <row r="15468" ht="15.75" customHeight="1"/>
    <row r="15469" ht="15.75" customHeight="1"/>
    <row r="15470" ht="15.75" customHeight="1"/>
    <row r="15471" ht="15.75" customHeight="1"/>
    <row r="15472" ht="15.75" customHeight="1"/>
    <row r="15473" ht="15.75" customHeight="1"/>
    <row r="15474" ht="15.75" customHeight="1"/>
    <row r="15475" ht="15.75" customHeight="1"/>
    <row r="15476" ht="15.75" customHeight="1"/>
    <row r="15477" ht="15.75" customHeight="1"/>
    <row r="15478" ht="15.75" customHeight="1"/>
    <row r="15479" ht="15.75" customHeight="1"/>
    <row r="15480" ht="15.75" customHeight="1"/>
    <row r="15481" ht="15.75" customHeight="1"/>
    <row r="15482" ht="15.75" customHeight="1"/>
    <row r="15483" ht="15.75" customHeight="1"/>
    <row r="15484" ht="15.75" customHeight="1"/>
    <row r="15485" ht="15.75" customHeight="1"/>
    <row r="15486" ht="15.75" customHeight="1"/>
    <row r="15487" ht="15.75" customHeight="1"/>
    <row r="15488" ht="15.75" customHeight="1"/>
    <row r="15489" ht="15.75" customHeight="1"/>
    <row r="15490" ht="15.75" customHeight="1"/>
    <row r="15491" ht="15.75" customHeight="1"/>
    <row r="15492" ht="15.75" customHeight="1"/>
    <row r="15493" ht="15.75" customHeight="1"/>
    <row r="15494" ht="15.75" customHeight="1"/>
    <row r="15495" ht="15.75" customHeight="1"/>
    <row r="15496" ht="15.75" customHeight="1"/>
    <row r="15497" ht="15.75" customHeight="1"/>
    <row r="15498" ht="15.75" customHeight="1"/>
    <row r="15499" ht="15.75" customHeight="1"/>
    <row r="15500" ht="15.75" customHeight="1"/>
    <row r="15501" ht="15.75" customHeight="1"/>
    <row r="15502" ht="15.75" customHeight="1"/>
    <row r="15503" ht="15.75" customHeight="1"/>
    <row r="15504" ht="15.75" customHeight="1"/>
    <row r="15505" ht="15.75" customHeight="1"/>
    <row r="15506" ht="15.75" customHeight="1"/>
    <row r="15507" ht="15.75" customHeight="1"/>
    <row r="15508" ht="15.75" customHeight="1"/>
    <row r="15509" ht="15.75" customHeight="1"/>
    <row r="15510" ht="15.75" customHeight="1"/>
    <row r="15511" ht="15.75" customHeight="1"/>
    <row r="15512" ht="15.75" customHeight="1"/>
    <row r="15513" ht="15.75" customHeight="1"/>
    <row r="15514" ht="15.75" customHeight="1"/>
    <row r="15515" ht="15.75" customHeight="1"/>
    <row r="15516" ht="15.75" customHeight="1"/>
    <row r="15517" ht="15.75" customHeight="1"/>
    <row r="15518" ht="15.75" customHeight="1"/>
    <row r="15519" ht="15.75" customHeight="1"/>
    <row r="15520" ht="15.75" customHeight="1"/>
    <row r="15521" ht="15.75" customHeight="1"/>
    <row r="15522" ht="15.75" customHeight="1"/>
    <row r="15523" ht="15.75" customHeight="1"/>
    <row r="15524" ht="15.75" customHeight="1"/>
    <row r="15525" ht="15.75" customHeight="1"/>
    <row r="15526" ht="15.75" customHeight="1"/>
    <row r="15527" ht="15.75" customHeight="1"/>
    <row r="15528" ht="15.75" customHeight="1"/>
    <row r="15529" ht="15.75" customHeight="1"/>
    <row r="15530" ht="15.75" customHeight="1"/>
    <row r="15531" ht="15.75" customHeight="1"/>
    <row r="15532" ht="15.75" customHeight="1"/>
    <row r="15533" ht="15.75" customHeight="1"/>
    <row r="15534" ht="15.75" customHeight="1"/>
    <row r="15535" ht="15.75" customHeight="1"/>
    <row r="15536" ht="15.75" customHeight="1"/>
    <row r="15537" ht="15.75" customHeight="1"/>
    <row r="15538" ht="15.75" customHeight="1"/>
    <row r="15539" ht="15.75" customHeight="1"/>
    <row r="15540" ht="15.75" customHeight="1"/>
    <row r="15541" ht="15.75" customHeight="1"/>
    <row r="15542" ht="15.75" customHeight="1"/>
    <row r="15543" ht="15.75" customHeight="1"/>
    <row r="15544" ht="15.75" customHeight="1"/>
    <row r="15545" ht="15.75" customHeight="1"/>
    <row r="15546" ht="15.75" customHeight="1"/>
    <row r="15547" ht="15.75" customHeight="1"/>
    <row r="15548" ht="15.75" customHeight="1"/>
    <row r="15549" ht="15.75" customHeight="1"/>
    <row r="15550" ht="15.75" customHeight="1"/>
    <row r="15551" ht="15.75" customHeight="1"/>
    <row r="15552" ht="15.75" customHeight="1"/>
    <row r="15553" ht="15.75" customHeight="1"/>
    <row r="15554" ht="15.75" customHeight="1"/>
    <row r="15555" ht="15.75" customHeight="1"/>
    <row r="15556" ht="15.75" customHeight="1"/>
    <row r="15557" ht="15.75" customHeight="1"/>
    <row r="15558" ht="15.75" customHeight="1"/>
    <row r="15559" ht="15.75" customHeight="1"/>
    <row r="15560" ht="15.75" customHeight="1"/>
    <row r="15561" ht="15.75" customHeight="1"/>
    <row r="15562" ht="15.75" customHeight="1"/>
    <row r="15563" ht="15.75" customHeight="1"/>
    <row r="15564" ht="15.75" customHeight="1"/>
    <row r="15565" ht="15.75" customHeight="1"/>
    <row r="15566" ht="15.75" customHeight="1"/>
    <row r="15567" ht="15.75" customHeight="1"/>
    <row r="15568" ht="15.75" customHeight="1"/>
    <row r="15569" ht="15.75" customHeight="1"/>
    <row r="15570" ht="15.75" customHeight="1"/>
    <row r="15571" ht="15.75" customHeight="1"/>
    <row r="15572" ht="15.75" customHeight="1"/>
    <row r="15573" ht="15.75" customHeight="1"/>
    <row r="15574" ht="15.75" customHeight="1"/>
    <row r="15575" ht="15.75" customHeight="1"/>
    <row r="15576" ht="15.75" customHeight="1"/>
    <row r="15577" ht="15.75" customHeight="1"/>
    <row r="15578" ht="15.75" customHeight="1"/>
    <row r="15579" ht="15.75" customHeight="1"/>
    <row r="15580" ht="15.75" customHeight="1"/>
    <row r="15581" ht="15.75" customHeight="1"/>
    <row r="15582" ht="15.75" customHeight="1"/>
    <row r="15583" ht="15.75" customHeight="1"/>
    <row r="15584" ht="15.75" customHeight="1"/>
    <row r="15585" ht="15.75" customHeight="1"/>
    <row r="15586" ht="15.75" customHeight="1"/>
    <row r="15587" ht="15.75" customHeight="1"/>
    <row r="15588" ht="15.75" customHeight="1"/>
    <row r="15589" ht="15.75" customHeight="1"/>
    <row r="15590" ht="15.75" customHeight="1"/>
    <row r="15591" ht="15.75" customHeight="1"/>
    <row r="15592" ht="15.75" customHeight="1"/>
    <row r="15593" ht="15.75" customHeight="1"/>
    <row r="15594" ht="15.75" customHeight="1"/>
    <row r="15595" ht="15.75" customHeight="1"/>
    <row r="15596" ht="15.75" customHeight="1"/>
    <row r="15597" ht="15.75" customHeight="1"/>
    <row r="15598" ht="15.75" customHeight="1"/>
    <row r="15599" ht="15.75" customHeight="1"/>
    <row r="15600" ht="15.75" customHeight="1"/>
    <row r="15601" ht="15.75" customHeight="1"/>
    <row r="15602" ht="15.75" customHeight="1"/>
    <row r="15603" ht="15.75" customHeight="1"/>
    <row r="15604" ht="15.75" customHeight="1"/>
    <row r="15605" ht="15.75" customHeight="1"/>
    <row r="15606" ht="15.75" customHeight="1"/>
    <row r="15607" ht="15.75" customHeight="1"/>
    <row r="15608" ht="15.75" customHeight="1"/>
    <row r="15609" ht="15.75" customHeight="1"/>
    <row r="15610" ht="15.75" customHeight="1"/>
    <row r="15611" ht="15.75" customHeight="1"/>
    <row r="15612" ht="15.75" customHeight="1"/>
    <row r="15613" ht="15.75" customHeight="1"/>
    <row r="15614" ht="15.75" customHeight="1"/>
    <row r="15615" ht="15.75" customHeight="1"/>
    <row r="15616" ht="15.75" customHeight="1"/>
    <row r="15617" ht="15.75" customHeight="1"/>
    <row r="15618" ht="15.75" customHeight="1"/>
    <row r="15619" ht="15.75" customHeight="1"/>
    <row r="15620" ht="15.75" customHeight="1"/>
    <row r="15621" ht="15.75" customHeight="1"/>
    <row r="15622" ht="15.75" customHeight="1"/>
    <row r="15623" ht="15.75" customHeight="1"/>
    <row r="15624" ht="15.75" customHeight="1"/>
    <row r="15625" ht="15.75" customHeight="1"/>
    <row r="15626" ht="15.75" customHeight="1"/>
    <row r="15627" ht="15.75" customHeight="1"/>
    <row r="15628" ht="15.75" customHeight="1"/>
    <row r="15629" ht="15.75" customHeight="1"/>
    <row r="15630" ht="15.75" customHeight="1"/>
    <row r="15631" ht="15.75" customHeight="1"/>
    <row r="15632" ht="15.75" customHeight="1"/>
    <row r="15633" ht="15.75" customHeight="1"/>
    <row r="15634" ht="15.75" customHeight="1"/>
    <row r="15635" ht="15.75" customHeight="1"/>
    <row r="15636" ht="15.75" customHeight="1"/>
    <row r="15637" ht="15.75" customHeight="1"/>
    <row r="15638" ht="15.75" customHeight="1"/>
    <row r="15639" ht="15.75" customHeight="1"/>
    <row r="15640" ht="15.75" customHeight="1"/>
    <row r="15641" ht="15.75" customHeight="1"/>
    <row r="15642" ht="15.75" customHeight="1"/>
    <row r="15643" ht="15.75" customHeight="1"/>
    <row r="15644" ht="15.75" customHeight="1"/>
    <row r="15645" ht="15.75" customHeight="1"/>
    <row r="15646" ht="15.75" customHeight="1"/>
    <row r="15647" ht="15.75" customHeight="1"/>
    <row r="15648" ht="15.75" customHeight="1"/>
    <row r="15649" ht="15.75" customHeight="1"/>
    <row r="15650" ht="15.75" customHeight="1"/>
    <row r="15651" ht="15.75" customHeight="1"/>
    <row r="15652" ht="15.75" customHeight="1"/>
    <row r="15653" ht="15.75" customHeight="1"/>
    <row r="15654" ht="15.75" customHeight="1"/>
    <row r="15655" ht="15.75" customHeight="1"/>
    <row r="15656" ht="15.75" customHeight="1"/>
    <row r="15657" ht="15.75" customHeight="1"/>
    <row r="15658" ht="15.75" customHeight="1"/>
    <row r="15659" ht="15.75" customHeight="1"/>
    <row r="15660" ht="15.75" customHeight="1"/>
    <row r="15661" ht="15.75" customHeight="1"/>
    <row r="15662" ht="15.75" customHeight="1"/>
    <row r="15663" ht="15.75" customHeight="1"/>
    <row r="15664" ht="15.75" customHeight="1"/>
    <row r="15665" ht="15.75" customHeight="1"/>
    <row r="15666" ht="15.75" customHeight="1"/>
    <row r="15667" ht="15.75" customHeight="1"/>
    <row r="15668" ht="15.75" customHeight="1"/>
    <row r="15669" ht="15.75" customHeight="1"/>
    <row r="15670" ht="15.75" customHeight="1"/>
    <row r="15671" ht="15.75" customHeight="1"/>
    <row r="15672" ht="15.75" customHeight="1"/>
    <row r="15673" ht="15.75" customHeight="1"/>
    <row r="15674" ht="15.75" customHeight="1"/>
    <row r="15675" ht="15.75" customHeight="1"/>
    <row r="15676" ht="15.75" customHeight="1"/>
    <row r="15677" ht="15.75" customHeight="1"/>
    <row r="15678" ht="15.75" customHeight="1"/>
    <row r="15679" ht="15.75" customHeight="1"/>
    <row r="15680" ht="15.75" customHeight="1"/>
    <row r="15681" ht="15.75" customHeight="1"/>
    <row r="15682" ht="15.75" customHeight="1"/>
    <row r="15683" ht="15.75" customHeight="1"/>
    <row r="15684" ht="15.75" customHeight="1"/>
    <row r="15685" ht="15.75" customHeight="1"/>
    <row r="15686" ht="15.75" customHeight="1"/>
    <row r="15687" ht="15.75" customHeight="1"/>
    <row r="15688" ht="15.75" customHeight="1"/>
    <row r="15689" ht="15.75" customHeight="1"/>
    <row r="15690" ht="15.75" customHeight="1"/>
    <row r="15691" ht="15.75" customHeight="1"/>
    <row r="15692" ht="15.75" customHeight="1"/>
    <row r="15693" ht="15.75" customHeight="1"/>
    <row r="15694" ht="15.75" customHeight="1"/>
    <row r="15695" ht="15.75" customHeight="1"/>
    <row r="15696" ht="15.75" customHeight="1"/>
    <row r="15697" ht="15.75" customHeight="1"/>
    <row r="15698" ht="15.75" customHeight="1"/>
    <row r="15699" ht="15.75" customHeight="1"/>
    <row r="15700" ht="15.75" customHeight="1"/>
    <row r="15701" ht="15.75" customHeight="1"/>
    <row r="15702" ht="15.75" customHeight="1"/>
    <row r="15703" ht="15.75" customHeight="1"/>
    <row r="15704" ht="15.75" customHeight="1"/>
    <row r="15705" ht="15.75" customHeight="1"/>
    <row r="15706" ht="15.75" customHeight="1"/>
    <row r="15707" ht="15.75" customHeight="1"/>
    <row r="15708" ht="15.75" customHeight="1"/>
    <row r="15709" ht="15.75" customHeight="1"/>
    <row r="15710" ht="15.75" customHeight="1"/>
    <row r="15711" ht="15.75" customHeight="1"/>
    <row r="15712" ht="15.75" customHeight="1"/>
    <row r="15713" ht="15.75" customHeight="1"/>
    <row r="15714" ht="15.75" customHeight="1"/>
    <row r="15715" ht="15.75" customHeight="1"/>
    <row r="15716" ht="15.75" customHeight="1"/>
    <row r="15717" ht="15.75" customHeight="1"/>
    <row r="15718" ht="15.75" customHeight="1"/>
    <row r="15719" ht="15.75" customHeight="1"/>
    <row r="15720" ht="15.75" customHeight="1"/>
    <row r="15721" ht="15.75" customHeight="1"/>
    <row r="15722" ht="15.75" customHeight="1"/>
    <row r="15723" ht="15.75" customHeight="1"/>
    <row r="15724" ht="15.75" customHeight="1"/>
    <row r="15725" ht="15.75" customHeight="1"/>
    <row r="15726" ht="15.75" customHeight="1"/>
    <row r="15727" ht="15.75" customHeight="1"/>
    <row r="15728" ht="15.75" customHeight="1"/>
    <row r="15729" ht="15.75" customHeight="1"/>
    <row r="15730" ht="15.75" customHeight="1"/>
    <row r="15731" ht="15.75" customHeight="1"/>
    <row r="15732" ht="15.75" customHeight="1"/>
    <row r="15733" ht="15.75" customHeight="1"/>
    <row r="15734" ht="15.75" customHeight="1"/>
    <row r="15735" ht="15.75" customHeight="1"/>
    <row r="15736" ht="15.75" customHeight="1"/>
    <row r="15737" ht="15.75" customHeight="1"/>
    <row r="15738" ht="15.75" customHeight="1"/>
    <row r="15739" ht="15.75" customHeight="1"/>
    <row r="15740" ht="15.75" customHeight="1"/>
    <row r="15741" ht="15.75" customHeight="1"/>
    <row r="15742" ht="15.75" customHeight="1"/>
    <row r="15743" ht="15.75" customHeight="1"/>
    <row r="15744" ht="15.75" customHeight="1"/>
    <row r="15745" ht="15.75" customHeight="1"/>
    <row r="15746" ht="15.75" customHeight="1"/>
    <row r="15747" ht="15.75" customHeight="1"/>
    <row r="15748" ht="15.75" customHeight="1"/>
    <row r="15749" ht="15.75" customHeight="1"/>
    <row r="15750" ht="15.75" customHeight="1"/>
    <row r="15751" ht="15.75" customHeight="1"/>
    <row r="15752" ht="15.75" customHeight="1"/>
    <row r="15753" ht="15.75" customHeight="1"/>
    <row r="15754" ht="15.75" customHeight="1"/>
    <row r="15755" ht="15.75" customHeight="1"/>
    <row r="15756" ht="15.75" customHeight="1"/>
    <row r="15757" ht="15.75" customHeight="1"/>
    <row r="15758" ht="15.75" customHeight="1"/>
    <row r="15759" ht="15.75" customHeight="1"/>
    <row r="15760" ht="15.75" customHeight="1"/>
    <row r="15761" ht="15.75" customHeight="1"/>
    <row r="15762" ht="15.75" customHeight="1"/>
    <row r="15763" ht="15.75" customHeight="1"/>
    <row r="15764" ht="15.75" customHeight="1"/>
    <row r="15765" ht="15.75" customHeight="1"/>
    <row r="15766" ht="15.75" customHeight="1"/>
    <row r="15767" ht="15.75" customHeight="1"/>
    <row r="15768" ht="15.75" customHeight="1"/>
    <row r="15769" ht="15.75" customHeight="1"/>
    <row r="15770" ht="15.75" customHeight="1"/>
    <row r="15771" ht="15.75" customHeight="1"/>
    <row r="15772" ht="15.75" customHeight="1"/>
    <row r="15773" ht="15.75" customHeight="1"/>
    <row r="15774" ht="15.75" customHeight="1"/>
    <row r="15775" ht="15.75" customHeight="1"/>
    <row r="15776" ht="15.75" customHeight="1"/>
    <row r="15777" ht="15.75" customHeight="1"/>
    <row r="15778" ht="15.75" customHeight="1"/>
    <row r="15779" ht="15.75" customHeight="1"/>
    <row r="15780" ht="15.75" customHeight="1"/>
    <row r="15781" ht="15.75" customHeight="1"/>
    <row r="15782" ht="15.75" customHeight="1"/>
    <row r="15783" ht="15.75" customHeight="1"/>
    <row r="15784" ht="15.75" customHeight="1"/>
    <row r="15785" ht="15.75" customHeight="1"/>
    <row r="15786" ht="15.75" customHeight="1"/>
    <row r="15787" ht="15.75" customHeight="1"/>
    <row r="15788" ht="15.75" customHeight="1"/>
    <row r="15789" ht="15.75" customHeight="1"/>
    <row r="15790" ht="15.75" customHeight="1"/>
    <row r="15791" ht="15.75" customHeight="1"/>
    <row r="15792" ht="15.75" customHeight="1"/>
    <row r="15793" ht="15.75" customHeight="1"/>
    <row r="15794" ht="15.75" customHeight="1"/>
    <row r="15795" ht="15.75" customHeight="1"/>
    <row r="15796" ht="15.75" customHeight="1"/>
    <row r="15797" ht="15.75" customHeight="1"/>
    <row r="15798" ht="15.75" customHeight="1"/>
    <row r="15799" ht="15.75" customHeight="1"/>
    <row r="15800" ht="15.75" customHeight="1"/>
    <row r="15801" ht="15.75" customHeight="1"/>
    <row r="15802" ht="15.75" customHeight="1"/>
    <row r="15803" ht="15.75" customHeight="1"/>
    <row r="15804" ht="15.75" customHeight="1"/>
    <row r="15805" ht="15.75" customHeight="1"/>
    <row r="15806" ht="15.75" customHeight="1"/>
    <row r="15807" ht="15.75" customHeight="1"/>
    <row r="15808" ht="15.75" customHeight="1"/>
    <row r="15809" ht="15.75" customHeight="1"/>
    <row r="15810" ht="15.75" customHeight="1"/>
    <row r="15811" ht="15.75" customHeight="1"/>
    <row r="15812" ht="15.75" customHeight="1"/>
    <row r="15813" ht="15.75" customHeight="1"/>
    <row r="15814" ht="15.75" customHeight="1"/>
    <row r="15815" ht="15.75" customHeight="1"/>
    <row r="15816" ht="15.75" customHeight="1"/>
    <row r="15817" ht="15.75" customHeight="1"/>
    <row r="15818" ht="15.75" customHeight="1"/>
    <row r="15819" ht="15.75" customHeight="1"/>
    <row r="15820" ht="15.75" customHeight="1"/>
    <row r="15821" ht="15.75" customHeight="1"/>
    <row r="15822" ht="15.75" customHeight="1"/>
    <row r="15823" ht="15.75" customHeight="1"/>
    <row r="15824" ht="15.75" customHeight="1"/>
    <row r="15825" ht="15.75" customHeight="1"/>
    <row r="15826" ht="15.75" customHeight="1"/>
    <row r="15827" ht="15.75" customHeight="1"/>
    <row r="15828" ht="15.75" customHeight="1"/>
    <row r="15829" ht="15.75" customHeight="1"/>
    <row r="15830" ht="15.75" customHeight="1"/>
    <row r="15831" ht="15.75" customHeight="1"/>
    <row r="15832" ht="15.75" customHeight="1"/>
    <row r="15833" ht="15.75" customHeight="1"/>
    <row r="15834" ht="15.75" customHeight="1"/>
    <row r="15835" ht="15.75" customHeight="1"/>
    <row r="15836" ht="15.75" customHeight="1"/>
    <row r="15837" ht="15.75" customHeight="1"/>
    <row r="15838" ht="15.75" customHeight="1"/>
    <row r="15839" ht="15.75" customHeight="1"/>
    <row r="15840" ht="15.75" customHeight="1"/>
    <row r="15841" ht="15.75" customHeight="1"/>
    <row r="15842" ht="15.75" customHeight="1"/>
    <row r="15843" ht="15.75" customHeight="1"/>
    <row r="15844" ht="15.75" customHeight="1"/>
    <row r="15845" ht="15.75" customHeight="1"/>
    <row r="15846" ht="15.75" customHeight="1"/>
    <row r="15847" ht="15.75" customHeight="1"/>
    <row r="15848" ht="15.75" customHeight="1"/>
    <row r="15849" ht="15.75" customHeight="1"/>
    <row r="15850" ht="15.75" customHeight="1"/>
    <row r="15851" ht="15.75" customHeight="1"/>
    <row r="15852" ht="15.75" customHeight="1"/>
    <row r="15853" ht="15.75" customHeight="1"/>
    <row r="15854" ht="15.75" customHeight="1"/>
    <row r="15855" ht="15.75" customHeight="1"/>
    <row r="15856" ht="15.75" customHeight="1"/>
    <row r="15857" ht="15.75" customHeight="1"/>
    <row r="15858" ht="15.75" customHeight="1"/>
    <row r="15859" ht="15.75" customHeight="1"/>
    <row r="15860" ht="15.75" customHeight="1"/>
    <row r="15861" ht="15.75" customHeight="1"/>
    <row r="15862" ht="15.75" customHeight="1"/>
    <row r="15863" ht="15.75" customHeight="1"/>
    <row r="15864" ht="15.75" customHeight="1"/>
    <row r="15865" ht="15.75" customHeight="1"/>
    <row r="15866" ht="15.75" customHeight="1"/>
    <row r="15867" ht="15.75" customHeight="1"/>
    <row r="15868" ht="15.75" customHeight="1"/>
    <row r="15869" ht="15.75" customHeight="1"/>
    <row r="15870" ht="15.75" customHeight="1"/>
    <row r="15871" ht="15.75" customHeight="1"/>
    <row r="15872" ht="15.75" customHeight="1"/>
    <row r="15873" ht="15.75" customHeight="1"/>
    <row r="15874" ht="15.75" customHeight="1"/>
    <row r="15875" ht="15.75" customHeight="1"/>
    <row r="15876" ht="15.75" customHeight="1"/>
    <row r="15877" ht="15.75" customHeight="1"/>
    <row r="15878" ht="15.75" customHeight="1"/>
    <row r="15879" ht="15.75" customHeight="1"/>
    <row r="15880" ht="15.75" customHeight="1"/>
    <row r="15881" ht="15.75" customHeight="1"/>
    <row r="15882" ht="15.75" customHeight="1"/>
    <row r="15883" ht="15.75" customHeight="1"/>
    <row r="15884" ht="15.75" customHeight="1"/>
    <row r="15885" ht="15.75" customHeight="1"/>
    <row r="15886" ht="15.75" customHeight="1"/>
    <row r="15887" ht="15.75" customHeight="1"/>
    <row r="15888" ht="15.75" customHeight="1"/>
    <row r="15889" ht="15.75" customHeight="1"/>
    <row r="15890" ht="15.75" customHeight="1"/>
    <row r="15891" ht="15.75" customHeight="1"/>
    <row r="15892" ht="15.75" customHeight="1"/>
    <row r="15893" ht="15.75" customHeight="1"/>
    <row r="15894" ht="15.75" customHeight="1"/>
    <row r="15895" ht="15.75" customHeight="1"/>
    <row r="15896" ht="15.75" customHeight="1"/>
    <row r="15897" ht="15.75" customHeight="1"/>
    <row r="15898" ht="15.75" customHeight="1"/>
    <row r="15899" ht="15.75" customHeight="1"/>
    <row r="15900" ht="15.75" customHeight="1"/>
    <row r="15901" ht="15.75" customHeight="1"/>
    <row r="15902" ht="15.75" customHeight="1"/>
    <row r="15903" ht="15.75" customHeight="1"/>
    <row r="15904" ht="15.75" customHeight="1"/>
    <row r="15905" ht="15.75" customHeight="1"/>
    <row r="15906" ht="15.75" customHeight="1"/>
    <row r="15907" ht="15.75" customHeight="1"/>
    <row r="15908" ht="15.75" customHeight="1"/>
    <row r="15909" ht="15.75" customHeight="1"/>
    <row r="15910" ht="15.75" customHeight="1"/>
    <row r="15911" ht="15.75" customHeight="1"/>
    <row r="15912" ht="15.75" customHeight="1"/>
    <row r="15913" ht="15.75" customHeight="1"/>
    <row r="15914" ht="15.75" customHeight="1"/>
    <row r="15915" ht="15.75" customHeight="1"/>
    <row r="15916" ht="15.75" customHeight="1"/>
    <row r="15917" ht="15.75" customHeight="1"/>
    <row r="15918" ht="15.75" customHeight="1"/>
    <row r="15919" ht="15.75" customHeight="1"/>
    <row r="15920" ht="15.75" customHeight="1"/>
    <row r="15921" ht="15.75" customHeight="1"/>
    <row r="15922" ht="15.75" customHeight="1"/>
    <row r="15923" ht="15.75" customHeight="1"/>
    <row r="15924" ht="15.75" customHeight="1"/>
    <row r="15925" ht="15.75" customHeight="1"/>
    <row r="15926" ht="15.75" customHeight="1"/>
    <row r="15927" ht="15.75" customHeight="1"/>
    <row r="15928" ht="15.75" customHeight="1"/>
    <row r="15929" ht="15.75" customHeight="1"/>
    <row r="15930" ht="15.75" customHeight="1"/>
    <row r="15931" ht="15.75" customHeight="1"/>
    <row r="15932" ht="15.75" customHeight="1"/>
    <row r="15933" ht="15.75" customHeight="1"/>
    <row r="15934" ht="15.75" customHeight="1"/>
    <row r="15935" ht="15.75" customHeight="1"/>
    <row r="15936" ht="15.75" customHeight="1"/>
    <row r="15937" ht="15.75" customHeight="1"/>
    <row r="15938" ht="15.75" customHeight="1"/>
    <row r="15939" ht="15.75" customHeight="1"/>
    <row r="15940" ht="15.75" customHeight="1"/>
    <row r="15941" ht="15.75" customHeight="1"/>
    <row r="15942" ht="15.75" customHeight="1"/>
    <row r="15943" ht="15.75" customHeight="1"/>
    <row r="15944" ht="15.75" customHeight="1"/>
    <row r="15945" ht="15.75" customHeight="1"/>
    <row r="15946" ht="15.75" customHeight="1"/>
    <row r="15947" ht="15.75" customHeight="1"/>
    <row r="15948" ht="15.75" customHeight="1"/>
    <row r="15949" ht="15.75" customHeight="1"/>
    <row r="15950" ht="15.75" customHeight="1"/>
    <row r="15951" ht="15.75" customHeight="1"/>
    <row r="15952" ht="15.75" customHeight="1"/>
    <row r="15953" ht="15.75" customHeight="1"/>
    <row r="15954" ht="15.75" customHeight="1"/>
    <row r="15955" ht="15.75" customHeight="1"/>
    <row r="15956" ht="15.75" customHeight="1"/>
    <row r="15957" ht="15.75" customHeight="1"/>
    <row r="15958" ht="15.75" customHeight="1"/>
    <row r="15959" ht="15.75" customHeight="1"/>
    <row r="15960" ht="15.75" customHeight="1"/>
    <row r="15961" ht="15.75" customHeight="1"/>
    <row r="15962" ht="15.75" customHeight="1"/>
    <row r="15963" ht="15.75" customHeight="1"/>
    <row r="15964" ht="15.75" customHeight="1"/>
    <row r="15965" ht="15.75" customHeight="1"/>
    <row r="15966" ht="15.75" customHeight="1"/>
    <row r="15967" ht="15.75" customHeight="1"/>
    <row r="15968" ht="15.75" customHeight="1"/>
    <row r="15969" ht="15.75" customHeight="1"/>
    <row r="15970" ht="15.75" customHeight="1"/>
    <row r="15971" ht="15.75" customHeight="1"/>
    <row r="15972" ht="15.75" customHeight="1"/>
    <row r="15973" ht="15.75" customHeight="1"/>
    <row r="15974" ht="15.75" customHeight="1"/>
    <row r="15975" ht="15.75" customHeight="1"/>
    <row r="15976" ht="15.75" customHeight="1"/>
    <row r="15977" ht="15.75" customHeight="1"/>
    <row r="15978" ht="15.75" customHeight="1"/>
    <row r="15979" ht="15.75" customHeight="1"/>
    <row r="15980" ht="15.75" customHeight="1"/>
    <row r="15981" ht="15.75" customHeight="1"/>
    <row r="15982" ht="15.75" customHeight="1"/>
    <row r="15983" ht="15.75" customHeight="1"/>
    <row r="15984" ht="15.75" customHeight="1"/>
    <row r="15985" ht="15.75" customHeight="1"/>
    <row r="15986" ht="15.75" customHeight="1"/>
    <row r="15987" ht="15.75" customHeight="1"/>
    <row r="15988" ht="15.75" customHeight="1"/>
    <row r="15989" ht="15.75" customHeight="1"/>
    <row r="15990" ht="15.75" customHeight="1"/>
    <row r="15991" ht="15.75" customHeight="1"/>
    <row r="15992" ht="15.75" customHeight="1"/>
    <row r="15993" ht="15.75" customHeight="1"/>
    <row r="15994" ht="15.75" customHeight="1"/>
    <row r="15995" ht="15.75" customHeight="1"/>
    <row r="15996" ht="15.75" customHeight="1"/>
    <row r="15997" ht="15.75" customHeight="1"/>
    <row r="15998" ht="15.75" customHeight="1"/>
    <row r="15999" ht="15.75" customHeight="1"/>
    <row r="16000" ht="15.75" customHeight="1"/>
    <row r="16001" ht="15.75" customHeight="1"/>
    <row r="16002" ht="15.75" customHeight="1"/>
    <row r="16003" ht="15.75" customHeight="1"/>
    <row r="16004" ht="15.75" customHeight="1"/>
    <row r="16005" ht="15.75" customHeight="1"/>
    <row r="16006" ht="15.75" customHeight="1"/>
    <row r="16007" ht="15.75" customHeight="1"/>
    <row r="16008" ht="15.75" customHeight="1"/>
    <row r="16009" ht="15.75" customHeight="1"/>
    <row r="16010" ht="15.75" customHeight="1"/>
    <row r="16011" ht="15.75" customHeight="1"/>
    <row r="16012" ht="15.75" customHeight="1"/>
    <row r="16013" ht="15.75" customHeight="1"/>
    <row r="16014" ht="15.75" customHeight="1"/>
    <row r="16015" ht="15.75" customHeight="1"/>
    <row r="16016" ht="15.75" customHeight="1"/>
    <row r="16017" ht="15.75" customHeight="1"/>
    <row r="16018" ht="15.75" customHeight="1"/>
    <row r="16019" ht="15.75" customHeight="1"/>
    <row r="16020" ht="15.75" customHeight="1"/>
    <row r="16021" ht="15.75" customHeight="1"/>
    <row r="16022" ht="15.75" customHeight="1"/>
    <row r="16023" ht="15.75" customHeight="1"/>
    <row r="16024" ht="15.75" customHeight="1"/>
    <row r="16025" ht="15.75" customHeight="1"/>
    <row r="16026" ht="15.75" customHeight="1"/>
    <row r="16027" ht="15.75" customHeight="1"/>
    <row r="16028" ht="15.75" customHeight="1"/>
    <row r="16029" ht="15.75" customHeight="1"/>
    <row r="16030" ht="15.75" customHeight="1"/>
    <row r="16031" ht="15.75" customHeight="1"/>
    <row r="16032" ht="15.75" customHeight="1"/>
    <row r="16033" ht="15.75" customHeight="1"/>
    <row r="16034" ht="15.75" customHeight="1"/>
    <row r="16035" ht="15.75" customHeight="1"/>
    <row r="16036" ht="15.75" customHeight="1"/>
    <row r="16037" ht="15.75" customHeight="1"/>
    <row r="16038" ht="15.75" customHeight="1"/>
    <row r="16039" ht="15.75" customHeight="1"/>
    <row r="16040" ht="15.75" customHeight="1"/>
    <row r="16041" ht="15.75" customHeight="1"/>
    <row r="16042" ht="15.75" customHeight="1"/>
    <row r="16043" ht="15.75" customHeight="1"/>
    <row r="16044" ht="15.75" customHeight="1"/>
    <row r="16045" ht="15.75" customHeight="1"/>
    <row r="16046" ht="15.75" customHeight="1"/>
    <row r="16047" ht="15.75" customHeight="1"/>
    <row r="16048" ht="15.75" customHeight="1"/>
    <row r="16049" ht="15.75" customHeight="1"/>
    <row r="16050" ht="15.75" customHeight="1"/>
    <row r="16051" ht="15.75" customHeight="1"/>
    <row r="16052" ht="15.75" customHeight="1"/>
    <row r="16053" ht="15.75" customHeight="1"/>
    <row r="16054" ht="15.75" customHeight="1"/>
    <row r="16055" ht="15.75" customHeight="1"/>
    <row r="16056" ht="15.75" customHeight="1"/>
    <row r="16057" ht="15.75" customHeight="1"/>
    <row r="16058" ht="15.75" customHeight="1"/>
    <row r="16059" ht="15.75" customHeight="1"/>
    <row r="16060" ht="15.75" customHeight="1"/>
    <row r="16061" ht="15.75" customHeight="1"/>
    <row r="16062" ht="15.75" customHeight="1"/>
    <row r="16063" ht="15.75" customHeight="1"/>
    <row r="16064" ht="15.75" customHeight="1"/>
    <row r="16065" ht="15.75" customHeight="1"/>
    <row r="16066" ht="15.75" customHeight="1"/>
    <row r="16067" ht="15.75" customHeight="1"/>
    <row r="16068" ht="15.75" customHeight="1"/>
    <row r="16069" ht="15.75" customHeight="1"/>
    <row r="16070" ht="15.75" customHeight="1"/>
    <row r="16071" ht="15.75" customHeight="1"/>
    <row r="16072" ht="15.75" customHeight="1"/>
    <row r="16073" ht="15.75" customHeight="1"/>
    <row r="16074" ht="15.75" customHeight="1"/>
    <row r="16075" ht="15.75" customHeight="1"/>
    <row r="16076" ht="15.75" customHeight="1"/>
    <row r="16077" ht="15.75" customHeight="1"/>
    <row r="16078" ht="15.75" customHeight="1"/>
    <row r="16079" ht="15.75" customHeight="1"/>
    <row r="16080" ht="15.75" customHeight="1"/>
    <row r="16081" ht="15.75" customHeight="1"/>
    <row r="16082" ht="15.75" customHeight="1"/>
    <row r="16083" ht="15.75" customHeight="1"/>
    <row r="16084" ht="15.75" customHeight="1"/>
    <row r="16085" ht="15.75" customHeight="1"/>
    <row r="16086" ht="15.75" customHeight="1"/>
    <row r="16087" ht="15.75" customHeight="1"/>
    <row r="16088" ht="15.75" customHeight="1"/>
    <row r="16089" ht="15.75" customHeight="1"/>
    <row r="16090" ht="15.75" customHeight="1"/>
    <row r="16091" ht="15.75" customHeight="1"/>
    <row r="16092" ht="15.75" customHeight="1"/>
    <row r="16093" ht="15.75" customHeight="1"/>
    <row r="16094" ht="15.75" customHeight="1"/>
    <row r="16095" ht="15.75" customHeight="1"/>
    <row r="16096" ht="15.75" customHeight="1"/>
    <row r="16097" ht="15.75" customHeight="1"/>
    <row r="16098" ht="15.75" customHeight="1"/>
    <row r="16099" ht="15.75" customHeight="1"/>
    <row r="16100" ht="15.75" customHeight="1"/>
    <row r="16101" ht="15.75" customHeight="1"/>
    <row r="16102" ht="15.75" customHeight="1"/>
    <row r="16103" ht="15.75" customHeight="1"/>
    <row r="16104" ht="15.75" customHeight="1"/>
    <row r="16105" ht="15.75" customHeight="1"/>
    <row r="16106" ht="15.75" customHeight="1"/>
    <row r="16107" ht="15.75" customHeight="1"/>
    <row r="16108" ht="15.75" customHeight="1"/>
    <row r="16109" ht="15.75" customHeight="1"/>
    <row r="16110" ht="15.75" customHeight="1"/>
    <row r="16111" ht="15.75" customHeight="1"/>
    <row r="16112" ht="15.75" customHeight="1"/>
    <row r="16113" ht="15.75" customHeight="1"/>
    <row r="16114" ht="15.75" customHeight="1"/>
    <row r="16115" ht="15.75" customHeight="1"/>
    <row r="16116" ht="15.75" customHeight="1"/>
    <row r="16117" ht="15.75" customHeight="1"/>
    <row r="16118" ht="15.75" customHeight="1"/>
    <row r="16119" ht="15.75" customHeight="1"/>
    <row r="16120" ht="15.75" customHeight="1"/>
    <row r="16121" ht="15.75" customHeight="1"/>
    <row r="16122" ht="15.75" customHeight="1"/>
    <row r="16123" ht="15.75" customHeight="1"/>
    <row r="16124" ht="15.75" customHeight="1"/>
    <row r="16125" ht="15.75" customHeight="1"/>
    <row r="16126" ht="15.75" customHeight="1"/>
    <row r="16127" ht="15.75" customHeight="1"/>
    <row r="16128" ht="15.75" customHeight="1"/>
    <row r="16129" ht="15.75" customHeight="1"/>
    <row r="16130" ht="15.75" customHeight="1"/>
    <row r="16131" ht="15.75" customHeight="1"/>
    <row r="16132" ht="15.75" customHeight="1"/>
    <row r="16133" ht="15.75" customHeight="1"/>
    <row r="16134" ht="15.75" customHeight="1"/>
    <row r="16135" ht="15.75" customHeight="1"/>
    <row r="16136" ht="15.75" customHeight="1"/>
    <row r="16137" ht="15.75" customHeight="1"/>
    <row r="16138" ht="15.75" customHeight="1"/>
    <row r="16139" ht="15.75" customHeight="1"/>
    <row r="16140" ht="15.75" customHeight="1"/>
    <row r="16141" ht="15.75" customHeight="1"/>
    <row r="16142" ht="15.75" customHeight="1"/>
    <row r="16143" ht="15.75" customHeight="1"/>
    <row r="16144" ht="15.75" customHeight="1"/>
    <row r="16145" ht="15.75" customHeight="1"/>
    <row r="16146" ht="15.75" customHeight="1"/>
    <row r="16147" ht="15.75" customHeight="1"/>
    <row r="16148" ht="15.75" customHeight="1"/>
    <row r="16149" ht="15.75" customHeight="1"/>
    <row r="16150" ht="15.75" customHeight="1"/>
    <row r="16151" ht="15.75" customHeight="1"/>
    <row r="16152" ht="15.75" customHeight="1"/>
    <row r="16153" ht="15.75" customHeight="1"/>
    <row r="16154" ht="15.75" customHeight="1"/>
    <row r="16155" ht="15.75" customHeight="1"/>
    <row r="16156" ht="15.75" customHeight="1"/>
    <row r="16157" ht="15.75" customHeight="1"/>
    <row r="16158" ht="15.75" customHeight="1"/>
    <row r="16159" ht="15.75" customHeight="1"/>
    <row r="16160" ht="15.75" customHeight="1"/>
    <row r="16161" ht="15.75" customHeight="1"/>
    <row r="16162" ht="15.75" customHeight="1"/>
    <row r="16163" ht="15.75" customHeight="1"/>
    <row r="16164" ht="15.75" customHeight="1"/>
    <row r="16165" ht="15.75" customHeight="1"/>
    <row r="16166" ht="15.75" customHeight="1"/>
    <row r="16167" ht="15.75" customHeight="1"/>
    <row r="16168" ht="15.75" customHeight="1"/>
    <row r="16169" ht="15.75" customHeight="1"/>
    <row r="16170" ht="15.75" customHeight="1"/>
    <row r="16171" ht="15.75" customHeight="1"/>
    <row r="16172" ht="15.75" customHeight="1"/>
    <row r="16173" ht="15.75" customHeight="1"/>
    <row r="16174" ht="15.75" customHeight="1"/>
    <row r="16175" ht="15.75" customHeight="1"/>
    <row r="16176" ht="15.75" customHeight="1"/>
    <row r="16177" ht="15.75" customHeight="1"/>
    <row r="16178" ht="15.75" customHeight="1"/>
    <row r="16179" ht="15.75" customHeight="1"/>
    <row r="16180" ht="15.75" customHeight="1"/>
    <row r="16181" ht="15.75" customHeight="1"/>
    <row r="16182" ht="15.75" customHeight="1"/>
    <row r="16183" ht="15.75" customHeight="1"/>
    <row r="16184" ht="15.75" customHeight="1"/>
    <row r="16185" ht="15.75" customHeight="1"/>
    <row r="16186" ht="15.75" customHeight="1"/>
    <row r="16187" ht="15.75" customHeight="1"/>
    <row r="16188" ht="15.75" customHeight="1"/>
    <row r="16189" ht="15.75" customHeight="1"/>
    <row r="16190" ht="15.75" customHeight="1"/>
    <row r="16191" ht="15.75" customHeight="1"/>
    <row r="16192" ht="15.75" customHeight="1"/>
    <row r="16193" ht="15.75" customHeight="1"/>
    <row r="16194" ht="15.75" customHeight="1"/>
    <row r="16195" ht="15.75" customHeight="1"/>
    <row r="16196" ht="15.75" customHeight="1"/>
    <row r="16197" ht="15.75" customHeight="1"/>
    <row r="16198" ht="15.75" customHeight="1"/>
    <row r="16199" ht="15.75" customHeight="1"/>
    <row r="16200" ht="15.75" customHeight="1"/>
    <row r="16201" ht="15.75" customHeight="1"/>
    <row r="16202" ht="15.75" customHeight="1"/>
    <row r="16203" ht="15.75" customHeight="1"/>
    <row r="16204" ht="15.75" customHeight="1"/>
    <row r="16205" ht="15.75" customHeight="1"/>
    <row r="16206" ht="15.75" customHeight="1"/>
    <row r="16207" ht="15.75" customHeight="1"/>
    <row r="16208" ht="15.75" customHeight="1"/>
    <row r="16209" ht="15.75" customHeight="1"/>
    <row r="16210" ht="15.75" customHeight="1"/>
    <row r="16211" ht="15.75" customHeight="1"/>
    <row r="16212" ht="15.75" customHeight="1"/>
    <row r="16213" ht="15.75" customHeight="1"/>
    <row r="16214" ht="15.75" customHeight="1"/>
    <row r="16215" ht="15.75" customHeight="1"/>
    <row r="16216" ht="15.75" customHeight="1"/>
    <row r="16217" ht="15.75" customHeight="1"/>
    <row r="16218" ht="15.75" customHeight="1"/>
    <row r="16219" ht="15.75" customHeight="1"/>
    <row r="16220" ht="15.75" customHeight="1"/>
    <row r="16221" ht="15.75" customHeight="1"/>
    <row r="16222" ht="15.75" customHeight="1"/>
    <row r="16223" ht="15.75" customHeight="1"/>
    <row r="16224" ht="15.75" customHeight="1"/>
    <row r="16225" ht="15.75" customHeight="1"/>
    <row r="16226" ht="15.75" customHeight="1"/>
    <row r="16227" ht="15.75" customHeight="1"/>
    <row r="16228" ht="15.75" customHeight="1"/>
    <row r="16229" ht="15.75" customHeight="1"/>
    <row r="16230" ht="15.75" customHeight="1"/>
    <row r="16231" ht="15.75" customHeight="1"/>
    <row r="16232" ht="15.75" customHeight="1"/>
    <row r="16233" ht="15.75" customHeight="1"/>
    <row r="16234" ht="15.75" customHeight="1"/>
    <row r="16235" ht="15.75" customHeight="1"/>
    <row r="16236" ht="15.75" customHeight="1"/>
    <row r="16237" ht="15.75" customHeight="1"/>
    <row r="16238" ht="15.75" customHeight="1"/>
    <row r="16239" ht="15.75" customHeight="1"/>
    <row r="16240" ht="15.75" customHeight="1"/>
    <row r="16241" ht="15.75" customHeight="1"/>
    <row r="16242" ht="15.75" customHeight="1"/>
    <row r="16243" ht="15.75" customHeight="1"/>
    <row r="16244" ht="15.75" customHeight="1"/>
    <row r="16245" ht="15.75" customHeight="1"/>
    <row r="16246" ht="15.75" customHeight="1"/>
    <row r="16247" ht="15.75" customHeight="1"/>
    <row r="16248" ht="15.75" customHeight="1"/>
    <row r="16249" ht="15.75" customHeight="1"/>
    <row r="16250" ht="15.75" customHeight="1"/>
    <row r="16251" ht="15.75" customHeight="1"/>
    <row r="16252" ht="15.75" customHeight="1"/>
    <row r="16253" ht="15.75" customHeight="1"/>
    <row r="16254" ht="15.75" customHeight="1"/>
    <row r="16255" ht="15.75" customHeight="1"/>
    <row r="16256" ht="15.75" customHeight="1"/>
    <row r="16257" ht="15.75" customHeight="1"/>
    <row r="16258" ht="15.75" customHeight="1"/>
    <row r="16259" ht="15.75" customHeight="1"/>
    <row r="16260" ht="15.75" customHeight="1"/>
    <row r="16261" ht="15.75" customHeight="1"/>
    <row r="16262" ht="15.75" customHeight="1"/>
    <row r="16263" ht="15.75" customHeight="1"/>
    <row r="16264" ht="15.75" customHeight="1"/>
    <row r="16265" ht="15.75" customHeight="1"/>
    <row r="16266" ht="15.75" customHeight="1"/>
    <row r="16267" ht="15.75" customHeight="1"/>
    <row r="16268" ht="15.75" customHeight="1"/>
    <row r="16269" ht="15.75" customHeight="1"/>
    <row r="16270" ht="15.75" customHeight="1"/>
    <row r="16271" ht="15.75" customHeight="1"/>
    <row r="16272" ht="15.75" customHeight="1"/>
    <row r="16273" ht="15.75" customHeight="1"/>
    <row r="16274" ht="15.75" customHeight="1"/>
    <row r="16275" ht="15.75" customHeight="1"/>
    <row r="16276" ht="15.75" customHeight="1"/>
    <row r="16277" ht="15.75" customHeight="1"/>
    <row r="16278" ht="15.75" customHeight="1"/>
    <row r="16279" ht="15.75" customHeight="1"/>
    <row r="16280" ht="15.75" customHeight="1"/>
    <row r="16281" ht="15.75" customHeight="1"/>
    <row r="16282" ht="15.75" customHeight="1"/>
    <row r="16283" ht="15.75" customHeight="1"/>
    <row r="16284" ht="15.75" customHeight="1"/>
    <row r="16285" ht="15.75" customHeight="1"/>
    <row r="16286" ht="15.75" customHeight="1"/>
    <row r="16287" ht="15.75" customHeight="1"/>
    <row r="16288" ht="15.75" customHeight="1"/>
    <row r="16289" ht="15.75" customHeight="1"/>
    <row r="16290" ht="15.75" customHeight="1"/>
    <row r="16291" ht="15.75" customHeight="1"/>
    <row r="16292" ht="15.75" customHeight="1"/>
    <row r="16293" ht="15.75" customHeight="1"/>
    <row r="16294" ht="15.75" customHeight="1"/>
    <row r="16295" ht="15.75" customHeight="1"/>
    <row r="16296" ht="15.75" customHeight="1"/>
    <row r="16297" ht="15.75" customHeight="1"/>
    <row r="16298" ht="15.75" customHeight="1"/>
    <row r="16299" ht="15.75" customHeight="1"/>
    <row r="16300" ht="15.75" customHeight="1"/>
    <row r="16301" ht="15.75" customHeight="1"/>
    <row r="16302" ht="15.75" customHeight="1"/>
    <row r="16303" ht="15.75" customHeight="1"/>
    <row r="16304" ht="15.75" customHeight="1"/>
    <row r="16305" ht="15.75" customHeight="1"/>
    <row r="16306" ht="15.75" customHeight="1"/>
    <row r="16307" ht="15.75" customHeight="1"/>
    <row r="16308" ht="15.75" customHeight="1"/>
    <row r="16309" ht="15.75" customHeight="1"/>
    <row r="16310" ht="15.75" customHeight="1"/>
    <row r="16311" ht="15.75" customHeight="1"/>
    <row r="16312" ht="15.75" customHeight="1"/>
    <row r="16313" ht="15.75" customHeight="1"/>
    <row r="16314" ht="15.75" customHeight="1"/>
    <row r="16315" ht="15.75" customHeight="1"/>
    <row r="16316" ht="15.75" customHeight="1"/>
    <row r="16317" ht="15.75" customHeight="1"/>
    <row r="16318" ht="15.75" customHeight="1"/>
    <row r="16319" ht="15.75" customHeight="1"/>
    <row r="16320" ht="15.75" customHeight="1"/>
    <row r="16321" ht="15.75" customHeight="1"/>
    <row r="16322" ht="15.75" customHeight="1"/>
    <row r="16323" ht="15.75" customHeight="1"/>
    <row r="16324" ht="15.75" customHeight="1"/>
    <row r="16325" ht="15.75" customHeight="1"/>
    <row r="16326" ht="15.75" customHeight="1"/>
    <row r="16327" ht="15.75" customHeight="1"/>
    <row r="16328" ht="15.75" customHeight="1"/>
    <row r="16329" ht="15.75" customHeight="1"/>
    <row r="16330" ht="15.75" customHeight="1"/>
    <row r="16331" ht="15.75" customHeight="1"/>
    <row r="16332" ht="15.75" customHeight="1"/>
    <row r="16333" ht="15.75" customHeight="1"/>
    <row r="16334" ht="15.75" customHeight="1"/>
    <row r="16335" ht="15.75" customHeight="1"/>
    <row r="16336" ht="15.75" customHeight="1"/>
    <row r="16337" ht="15.75" customHeight="1"/>
    <row r="16338" ht="15.75" customHeight="1"/>
    <row r="16339" ht="15.75" customHeight="1"/>
    <row r="16340" ht="15.75" customHeight="1"/>
    <row r="16341" ht="15.75" customHeight="1"/>
    <row r="16342" ht="15.75" customHeight="1"/>
    <row r="16343" ht="15.75" customHeight="1"/>
    <row r="16344" ht="15.75" customHeight="1"/>
    <row r="16345" ht="15.75" customHeight="1"/>
    <row r="16346" ht="15.75" customHeight="1"/>
    <row r="16347" ht="15.75" customHeight="1"/>
    <row r="16348" ht="15.75" customHeight="1"/>
    <row r="16349" ht="15.75" customHeight="1"/>
    <row r="16350" ht="15.75" customHeight="1"/>
    <row r="16351" ht="15.75" customHeight="1"/>
    <row r="16352" ht="15.75" customHeight="1"/>
    <row r="16353" ht="15.75" customHeight="1"/>
    <row r="16354" ht="15.75" customHeight="1"/>
    <row r="16355" ht="15.75" customHeight="1"/>
    <row r="16356" ht="15.75" customHeight="1"/>
    <row r="16357" ht="15.75" customHeight="1"/>
    <row r="16358" ht="15.75" customHeight="1"/>
    <row r="16359" ht="15.75" customHeight="1"/>
    <row r="16360" ht="15.75" customHeight="1"/>
    <row r="16361" ht="15.75" customHeight="1"/>
    <row r="16362" ht="15.75" customHeight="1"/>
    <row r="16363" ht="15.75" customHeight="1"/>
    <row r="16364" ht="15.75" customHeight="1"/>
    <row r="16365" ht="15.75" customHeight="1"/>
    <row r="16366" ht="15.75" customHeight="1"/>
    <row r="16367" ht="15.75" customHeight="1"/>
    <row r="16368" ht="15.75" customHeight="1"/>
    <row r="16369" ht="15.75" customHeight="1"/>
    <row r="16370" ht="15.75" customHeight="1"/>
    <row r="16371" ht="15.75" customHeight="1"/>
    <row r="16372" ht="15.75" customHeight="1"/>
    <row r="16373" ht="15.75" customHeight="1"/>
    <row r="16374" ht="15.75" customHeight="1"/>
    <row r="16375" ht="15.75" customHeight="1"/>
    <row r="16376" ht="15.75" customHeight="1"/>
    <row r="16377" ht="15.75" customHeight="1"/>
    <row r="16378" ht="15.75" customHeight="1"/>
    <row r="16379" ht="15.75" customHeight="1"/>
    <row r="16380" ht="15.75" customHeight="1"/>
    <row r="16381" ht="15.75" customHeight="1"/>
    <row r="16382" ht="15.75" customHeight="1"/>
    <row r="16383" ht="15.75" customHeight="1"/>
    <row r="16384" ht="15.75" customHeight="1"/>
    <row r="16385" ht="15.75" customHeight="1"/>
    <row r="16386" ht="15.75" customHeight="1"/>
    <row r="16387" ht="15.75" customHeight="1"/>
    <row r="16388" ht="15.75" customHeight="1"/>
    <row r="16389" ht="15.75" customHeight="1"/>
    <row r="16390" ht="15.75" customHeight="1"/>
    <row r="16391" ht="15.75" customHeight="1"/>
    <row r="16392" ht="15.75" customHeight="1"/>
    <row r="16393" ht="15.75" customHeight="1"/>
    <row r="16394" ht="15.75" customHeight="1"/>
    <row r="16395" ht="15.75" customHeight="1"/>
    <row r="16396" ht="15.75" customHeight="1"/>
    <row r="16397" ht="15.75" customHeight="1"/>
    <row r="16398" ht="15.75" customHeight="1"/>
    <row r="16399" ht="15.75" customHeight="1"/>
    <row r="16400" ht="15.75" customHeight="1"/>
    <row r="16401" ht="15.75" customHeight="1"/>
    <row r="16402" ht="15.75" customHeight="1"/>
    <row r="16403" ht="15.75" customHeight="1"/>
    <row r="16404" ht="15.75" customHeight="1"/>
    <row r="16405" ht="15.75" customHeight="1"/>
    <row r="16406" ht="15.75" customHeight="1"/>
    <row r="16407" ht="15.75" customHeight="1"/>
    <row r="16408" ht="15.75" customHeight="1"/>
    <row r="16409" ht="15.75" customHeight="1"/>
    <row r="16410" ht="15.75" customHeight="1"/>
    <row r="16411" ht="15.75" customHeight="1"/>
    <row r="16412" ht="15.75" customHeight="1"/>
    <row r="16413" ht="15.75" customHeight="1"/>
    <row r="16414" ht="15.75" customHeight="1"/>
    <row r="16415" ht="15.75" customHeight="1"/>
    <row r="16416" ht="15.75" customHeight="1"/>
    <row r="16417" ht="15.75" customHeight="1"/>
    <row r="16418" ht="15.75" customHeight="1"/>
    <row r="16419" ht="15.75" customHeight="1"/>
    <row r="16420" ht="15.75" customHeight="1"/>
    <row r="16421" ht="15.75" customHeight="1"/>
    <row r="16422" ht="15.75" customHeight="1"/>
    <row r="16423" ht="15.75" customHeight="1"/>
    <row r="16424" ht="15.75" customHeight="1"/>
    <row r="16425" ht="15.75" customHeight="1"/>
    <row r="16426" ht="15.75" customHeight="1"/>
    <row r="16427" ht="15.75" customHeight="1"/>
    <row r="16428" ht="15.75" customHeight="1"/>
    <row r="16429" ht="15.75" customHeight="1"/>
    <row r="16430" ht="15.75" customHeight="1"/>
    <row r="16431" ht="15.75" customHeight="1"/>
    <row r="16432" ht="15.75" customHeight="1"/>
    <row r="16433" ht="15.75" customHeight="1"/>
    <row r="16434" ht="15.75" customHeight="1"/>
    <row r="16435" ht="15.75" customHeight="1"/>
    <row r="16436" ht="15.75" customHeight="1"/>
    <row r="16437" ht="15.75" customHeight="1"/>
    <row r="16438" ht="15.75" customHeight="1"/>
    <row r="16439" ht="15.75" customHeight="1"/>
    <row r="16440" ht="15.75" customHeight="1"/>
    <row r="16441" ht="15.75" customHeight="1"/>
    <row r="16442" ht="15.75" customHeight="1"/>
    <row r="16443" ht="15.75" customHeight="1"/>
    <row r="16444" ht="15.75" customHeight="1"/>
    <row r="16445" ht="15.75" customHeight="1"/>
    <row r="16446" ht="15.75" customHeight="1"/>
    <row r="16447" ht="15.75" customHeight="1"/>
    <row r="16448" ht="15.75" customHeight="1"/>
    <row r="16449" ht="15.75" customHeight="1"/>
    <row r="16450" ht="15.75" customHeight="1"/>
    <row r="16451" ht="15.75" customHeight="1"/>
    <row r="16452" ht="15.75" customHeight="1"/>
    <row r="16453" ht="15.75" customHeight="1"/>
    <row r="16454" ht="15.75" customHeight="1"/>
    <row r="16455" ht="15.75" customHeight="1"/>
    <row r="16456" ht="15.75" customHeight="1"/>
    <row r="16457" ht="15.75" customHeight="1"/>
    <row r="16458" ht="15.75" customHeight="1"/>
    <row r="16459" ht="15.75" customHeight="1"/>
    <row r="16460" ht="15.75" customHeight="1"/>
    <row r="16461" ht="15.75" customHeight="1"/>
    <row r="16462" ht="15.75" customHeight="1"/>
    <row r="16463" ht="15.75" customHeight="1"/>
    <row r="16464" ht="15.75" customHeight="1"/>
    <row r="16465" ht="15.75" customHeight="1"/>
    <row r="16466" ht="15.75" customHeight="1"/>
    <row r="16467" ht="15.75" customHeight="1"/>
    <row r="16468" ht="15.75" customHeight="1"/>
    <row r="16469" ht="15.75" customHeight="1"/>
    <row r="16470" ht="15.75" customHeight="1"/>
    <row r="16471" ht="15.75" customHeight="1"/>
    <row r="16472" ht="15.75" customHeight="1"/>
    <row r="16473" ht="15.75" customHeight="1"/>
    <row r="16474" ht="15.75" customHeight="1"/>
    <row r="16475" ht="15.75" customHeight="1"/>
    <row r="16476" ht="15.75" customHeight="1"/>
    <row r="16477" ht="15.75" customHeight="1"/>
    <row r="16478" ht="15.75" customHeight="1"/>
    <row r="16479" ht="15.75" customHeight="1"/>
    <row r="16480" ht="15.75" customHeight="1"/>
    <row r="16481" ht="15.75" customHeight="1"/>
    <row r="16482" ht="15.75" customHeight="1"/>
    <row r="16483" ht="15.75" customHeight="1"/>
    <row r="16484" ht="15.75" customHeight="1"/>
    <row r="16485" ht="15.75" customHeight="1"/>
    <row r="16486" ht="15.75" customHeight="1"/>
    <row r="16487" ht="15.75" customHeight="1"/>
    <row r="16488" ht="15.75" customHeight="1"/>
    <row r="16489" ht="15.75" customHeight="1"/>
    <row r="16490" ht="15.75" customHeight="1"/>
    <row r="16491" ht="15.75" customHeight="1"/>
    <row r="16492" ht="15.75" customHeight="1"/>
    <row r="16493" ht="15.75" customHeight="1"/>
    <row r="16494" ht="15.75" customHeight="1"/>
    <row r="16495" ht="15.75" customHeight="1"/>
    <row r="16496" ht="15.75" customHeight="1"/>
    <row r="16497" ht="15.75" customHeight="1"/>
    <row r="16498" ht="15.75" customHeight="1"/>
    <row r="16499" ht="15.75" customHeight="1"/>
    <row r="16500" ht="15.75" customHeight="1"/>
    <row r="16501" ht="15.75" customHeight="1"/>
    <row r="16502" ht="15.75" customHeight="1"/>
    <row r="16503" ht="15.75" customHeight="1"/>
    <row r="16504" ht="15.75" customHeight="1"/>
    <row r="16505" ht="15.75" customHeight="1"/>
    <row r="16506" ht="15.75" customHeight="1"/>
    <row r="16507" ht="15.75" customHeight="1"/>
    <row r="16508" ht="15.75" customHeight="1"/>
    <row r="16509" ht="15.75" customHeight="1"/>
    <row r="16510" ht="15.75" customHeight="1"/>
    <row r="16511" ht="15.75" customHeight="1"/>
    <row r="16512" ht="15.75" customHeight="1"/>
    <row r="16513" ht="15.75" customHeight="1"/>
    <row r="16514" ht="15.75" customHeight="1"/>
    <row r="16515" ht="15.75" customHeight="1"/>
    <row r="16516" ht="15.75" customHeight="1"/>
    <row r="16517" ht="15.75" customHeight="1"/>
    <row r="16518" ht="15.75" customHeight="1"/>
    <row r="16519" ht="15.75" customHeight="1"/>
    <row r="16520" ht="15.75" customHeight="1"/>
    <row r="16521" ht="15.75" customHeight="1"/>
    <row r="16522" ht="15.75" customHeight="1"/>
    <row r="16523" ht="15.75" customHeight="1"/>
    <row r="16524" ht="15.75" customHeight="1"/>
    <row r="16525" ht="15.75" customHeight="1"/>
    <row r="16526" ht="15.75" customHeight="1"/>
    <row r="16527" ht="15.75" customHeight="1"/>
    <row r="16528" ht="15.75" customHeight="1"/>
    <row r="16529" ht="15.75" customHeight="1"/>
    <row r="16530" ht="15.75" customHeight="1"/>
    <row r="16531" ht="15.75" customHeight="1"/>
    <row r="16532" ht="15.75" customHeight="1"/>
    <row r="16533" ht="15.75" customHeight="1"/>
    <row r="16534" ht="15.75" customHeight="1"/>
    <row r="16535" ht="15.75" customHeight="1"/>
    <row r="16536" ht="15.75" customHeight="1"/>
    <row r="16537" ht="15.75" customHeight="1"/>
    <row r="16538" ht="15.75" customHeight="1"/>
    <row r="16539" ht="15.75" customHeight="1"/>
    <row r="16540" ht="15.75" customHeight="1"/>
    <row r="16541" ht="15.75" customHeight="1"/>
    <row r="16542" ht="15.75" customHeight="1"/>
    <row r="16543" ht="15.75" customHeight="1"/>
    <row r="16544" ht="15.75" customHeight="1"/>
    <row r="16545" ht="15.75" customHeight="1"/>
    <row r="16546" ht="15.75" customHeight="1"/>
    <row r="16547" ht="15.75" customHeight="1"/>
    <row r="16548" ht="15.75" customHeight="1"/>
    <row r="16549" ht="15.75" customHeight="1"/>
    <row r="16550" ht="15.75" customHeight="1"/>
    <row r="16551" ht="15.75" customHeight="1"/>
    <row r="16552" ht="15.75" customHeight="1"/>
    <row r="16553" ht="15.75" customHeight="1"/>
    <row r="16554" ht="15.75" customHeight="1"/>
    <row r="16555" ht="15.75" customHeight="1"/>
    <row r="16556" ht="15.75" customHeight="1"/>
    <row r="16557" ht="15.75" customHeight="1"/>
    <row r="16558" ht="15.75" customHeight="1"/>
    <row r="16559" ht="15.75" customHeight="1"/>
    <row r="16560" ht="15.75" customHeight="1"/>
    <row r="16561" ht="15.75" customHeight="1"/>
    <row r="16562" ht="15.75" customHeight="1"/>
    <row r="16563" ht="15.75" customHeight="1"/>
    <row r="16564" ht="15.75" customHeight="1"/>
    <row r="16565" ht="15.75" customHeight="1"/>
    <row r="16566" ht="15.75" customHeight="1"/>
    <row r="16567" ht="15.75" customHeight="1"/>
    <row r="16568" ht="15.75" customHeight="1"/>
    <row r="16569" ht="15.75" customHeight="1"/>
    <row r="16570" ht="15.75" customHeight="1"/>
    <row r="16571" ht="15.75" customHeight="1"/>
    <row r="16572" ht="15.75" customHeight="1"/>
    <row r="16573" ht="15.75" customHeight="1"/>
    <row r="16574" ht="15.75" customHeight="1"/>
    <row r="16575" ht="15.75" customHeight="1"/>
    <row r="16576" ht="15.75" customHeight="1"/>
    <row r="16577" ht="15.75" customHeight="1"/>
    <row r="16578" ht="15.75" customHeight="1"/>
    <row r="16579" ht="15.75" customHeight="1"/>
    <row r="16580" ht="15.75" customHeight="1"/>
    <row r="16581" ht="15.75" customHeight="1"/>
    <row r="16582" ht="15.75" customHeight="1"/>
    <row r="16583" ht="15.75" customHeight="1"/>
    <row r="16584" ht="15.75" customHeight="1"/>
    <row r="16585" ht="15.75" customHeight="1"/>
    <row r="16586" ht="15.75" customHeight="1"/>
    <row r="16587" ht="15.75" customHeight="1"/>
    <row r="16588" ht="15.75" customHeight="1"/>
    <row r="16589" ht="15.75" customHeight="1"/>
    <row r="16590" ht="15.75" customHeight="1"/>
    <row r="16591" ht="15.75" customHeight="1"/>
    <row r="16592" ht="15.75" customHeight="1"/>
    <row r="16593" ht="15.75" customHeight="1"/>
    <row r="16594" ht="15.75" customHeight="1"/>
    <row r="16595" ht="15.75" customHeight="1"/>
    <row r="16596" ht="15.75" customHeight="1"/>
    <row r="16597" ht="15.75" customHeight="1"/>
    <row r="16598" ht="15.75" customHeight="1"/>
    <row r="16599" ht="15.75" customHeight="1"/>
    <row r="16600" ht="15.75" customHeight="1"/>
    <row r="16601" ht="15.75" customHeight="1"/>
    <row r="16602" ht="15.75" customHeight="1"/>
    <row r="16603" ht="15.75" customHeight="1"/>
    <row r="16604" ht="15.75" customHeight="1"/>
    <row r="16605" ht="15.75" customHeight="1"/>
    <row r="16606" ht="15.75" customHeight="1"/>
    <row r="16607" ht="15.75" customHeight="1"/>
    <row r="16608" ht="15.75" customHeight="1"/>
    <row r="16609" ht="15.75" customHeight="1"/>
    <row r="16610" ht="15.75" customHeight="1"/>
    <row r="16611" ht="15.75" customHeight="1"/>
    <row r="16612" ht="15.75" customHeight="1"/>
    <row r="16613" ht="15.75" customHeight="1"/>
    <row r="16614" ht="15.75" customHeight="1"/>
    <row r="16615" ht="15.75" customHeight="1"/>
    <row r="16616" ht="15.75" customHeight="1"/>
    <row r="16617" ht="15.75" customHeight="1"/>
    <row r="16618" ht="15.75" customHeight="1"/>
    <row r="16619" ht="15.75" customHeight="1"/>
    <row r="16620" ht="15.75" customHeight="1"/>
    <row r="16621" ht="15.75" customHeight="1"/>
    <row r="16622" ht="15.75" customHeight="1"/>
    <row r="16623" ht="15.75" customHeight="1"/>
    <row r="16624" ht="15.75" customHeight="1"/>
    <row r="16625" ht="15.75" customHeight="1"/>
    <row r="16626" ht="15.75" customHeight="1"/>
    <row r="16627" ht="15.75" customHeight="1"/>
    <row r="16628" ht="15.75" customHeight="1"/>
    <row r="16629" ht="15.75" customHeight="1"/>
    <row r="16630" ht="15.75" customHeight="1"/>
    <row r="16631" ht="15.75" customHeight="1"/>
    <row r="16632" ht="15.75" customHeight="1"/>
    <row r="16633" ht="15.75" customHeight="1"/>
    <row r="16634" ht="15.75" customHeight="1"/>
    <row r="16635" ht="15.75" customHeight="1"/>
    <row r="16636" ht="15.75" customHeight="1"/>
    <row r="16637" ht="15.75" customHeight="1"/>
    <row r="16638" ht="15.75" customHeight="1"/>
    <row r="16639" ht="15.75" customHeight="1"/>
    <row r="16640" ht="15.75" customHeight="1"/>
    <row r="16641" ht="15.75" customHeight="1"/>
    <row r="16642" ht="15.75" customHeight="1"/>
    <row r="16643" ht="15.75" customHeight="1"/>
    <row r="16644" ht="15.75" customHeight="1"/>
    <row r="16645" ht="15.75" customHeight="1"/>
    <row r="16646" ht="15.75" customHeight="1"/>
    <row r="16647" ht="15.75" customHeight="1"/>
    <row r="16648" ht="15.75" customHeight="1"/>
    <row r="16649" ht="15.75" customHeight="1"/>
    <row r="16650" ht="15.75" customHeight="1"/>
    <row r="16651" ht="15.75" customHeight="1"/>
    <row r="16652" ht="15.75" customHeight="1"/>
    <row r="16653" ht="15.75" customHeight="1"/>
    <row r="16654" ht="15.75" customHeight="1"/>
    <row r="16655" ht="15.75" customHeight="1"/>
    <row r="16656" ht="15.75" customHeight="1"/>
    <row r="16657" ht="15.75" customHeight="1"/>
    <row r="16658" ht="15.75" customHeight="1"/>
    <row r="16659" ht="15.75" customHeight="1"/>
    <row r="16660" ht="15.75" customHeight="1"/>
    <row r="16661" ht="15.75" customHeight="1"/>
    <row r="16662" ht="15.75" customHeight="1"/>
    <row r="16663" ht="15.75" customHeight="1"/>
    <row r="16664" ht="15.75" customHeight="1"/>
    <row r="16665" ht="15.75" customHeight="1"/>
    <row r="16666" ht="15.75" customHeight="1"/>
    <row r="16667" ht="15.75" customHeight="1"/>
    <row r="16668" ht="15.75" customHeight="1"/>
    <row r="16669" ht="15.75" customHeight="1"/>
    <row r="16670" ht="15.75" customHeight="1"/>
    <row r="16671" ht="15.75" customHeight="1"/>
    <row r="16672" ht="15.75" customHeight="1"/>
    <row r="16673" ht="15.75" customHeight="1"/>
    <row r="16674" ht="15.75" customHeight="1"/>
    <row r="16675" ht="15.75" customHeight="1"/>
    <row r="16676" ht="15.75" customHeight="1"/>
    <row r="16677" ht="15.75" customHeight="1"/>
    <row r="16678" ht="15.75" customHeight="1"/>
    <row r="16679" ht="15.75" customHeight="1"/>
    <row r="16680" ht="15.75" customHeight="1"/>
    <row r="16681" ht="15.75" customHeight="1"/>
    <row r="16682" ht="15.75" customHeight="1"/>
    <row r="16683" ht="15.75" customHeight="1"/>
    <row r="16684" ht="15.75" customHeight="1"/>
    <row r="16685" ht="15.75" customHeight="1"/>
    <row r="16686" ht="15.75" customHeight="1"/>
    <row r="16687" ht="15.75" customHeight="1"/>
    <row r="16688" ht="15.75" customHeight="1"/>
    <row r="16689" ht="15.75" customHeight="1"/>
    <row r="16690" ht="15.75" customHeight="1"/>
    <row r="16691" ht="15.75" customHeight="1"/>
    <row r="16692" ht="15.75" customHeight="1"/>
    <row r="16693" ht="15.75" customHeight="1"/>
    <row r="16694" ht="15.75" customHeight="1"/>
    <row r="16695" ht="15.75" customHeight="1"/>
    <row r="16696" ht="15.75" customHeight="1"/>
    <row r="16697" ht="15.75" customHeight="1"/>
    <row r="16698" ht="15.75" customHeight="1"/>
    <row r="16699" ht="15.75" customHeight="1"/>
    <row r="16700" ht="15.75" customHeight="1"/>
    <row r="16701" ht="15.75" customHeight="1"/>
    <row r="16702" ht="15.75" customHeight="1"/>
    <row r="16703" ht="15.75" customHeight="1"/>
    <row r="16704" ht="15.75" customHeight="1"/>
    <row r="16705" ht="15.75" customHeight="1"/>
    <row r="16706" ht="15.75" customHeight="1"/>
    <row r="16707" ht="15.75" customHeight="1"/>
    <row r="16708" ht="15.75" customHeight="1"/>
    <row r="16709" ht="15.75" customHeight="1"/>
    <row r="16710" ht="15.75" customHeight="1"/>
    <row r="16711" ht="15.75" customHeight="1"/>
    <row r="16712" ht="15.75" customHeight="1"/>
    <row r="16713" ht="15.75" customHeight="1"/>
    <row r="16714" ht="15.75" customHeight="1"/>
    <row r="16715" ht="15.75" customHeight="1"/>
    <row r="16716" ht="15.75" customHeight="1"/>
    <row r="16717" ht="15.75" customHeight="1"/>
    <row r="16718" ht="15.75" customHeight="1"/>
    <row r="16719" ht="15.75" customHeight="1"/>
    <row r="16720" ht="15.75" customHeight="1"/>
    <row r="16721" ht="15.75" customHeight="1"/>
    <row r="16722" ht="15.75" customHeight="1"/>
    <row r="16723" ht="15.75" customHeight="1"/>
    <row r="16724" ht="15.75" customHeight="1"/>
    <row r="16725" ht="15.75" customHeight="1"/>
    <row r="16726" ht="15.75" customHeight="1"/>
    <row r="16727" ht="15.75" customHeight="1"/>
    <row r="16728" ht="15.75" customHeight="1"/>
    <row r="16729" ht="15.75" customHeight="1"/>
    <row r="16730" ht="15.75" customHeight="1"/>
    <row r="16731" ht="15.75" customHeight="1"/>
    <row r="16732" ht="15.75" customHeight="1"/>
    <row r="16733" ht="15.75" customHeight="1"/>
    <row r="16734" ht="15.75" customHeight="1"/>
    <row r="16735" ht="15.75" customHeight="1"/>
    <row r="16736" ht="15.75" customHeight="1"/>
    <row r="16737" ht="15.75" customHeight="1"/>
    <row r="16738" ht="15.75" customHeight="1"/>
    <row r="16739" ht="15.75" customHeight="1"/>
    <row r="16740" ht="15.75" customHeight="1"/>
    <row r="16741" ht="15.75" customHeight="1"/>
    <row r="16742" ht="15.75" customHeight="1"/>
    <row r="16743" ht="15.75" customHeight="1"/>
    <row r="16744" ht="15.75" customHeight="1"/>
    <row r="16745" ht="15.75" customHeight="1"/>
    <row r="16746" ht="15.75" customHeight="1"/>
    <row r="16747" ht="15.75" customHeight="1"/>
    <row r="16748" ht="15.75" customHeight="1"/>
    <row r="16749" ht="15.75" customHeight="1"/>
    <row r="16750" ht="15.75" customHeight="1"/>
    <row r="16751" ht="15.75" customHeight="1"/>
    <row r="16752" ht="15.75" customHeight="1"/>
    <row r="16753" ht="15.75" customHeight="1"/>
    <row r="16754" ht="15.75" customHeight="1"/>
    <row r="16755" ht="15.75" customHeight="1"/>
    <row r="16756" ht="15.75" customHeight="1"/>
    <row r="16757" ht="15.75" customHeight="1"/>
    <row r="16758" ht="15.75" customHeight="1"/>
    <row r="16759" ht="15.75" customHeight="1"/>
    <row r="16760" ht="15.75" customHeight="1"/>
    <row r="16761" ht="15.75" customHeight="1"/>
    <row r="16762" ht="15.75" customHeight="1"/>
    <row r="16763" ht="15.75" customHeight="1"/>
    <row r="16764" ht="15.75" customHeight="1"/>
    <row r="16765" ht="15.75" customHeight="1"/>
    <row r="16766" ht="15.75" customHeight="1"/>
    <row r="16767" ht="15.75" customHeight="1"/>
    <row r="16768" ht="15.75" customHeight="1"/>
    <row r="16769" ht="15.75" customHeight="1"/>
    <row r="16770" ht="15.75" customHeight="1"/>
    <row r="16771" ht="15.75" customHeight="1"/>
    <row r="16772" ht="15.75" customHeight="1"/>
    <row r="16773" ht="15.75" customHeight="1"/>
    <row r="16774" ht="15.75" customHeight="1"/>
    <row r="16775" ht="15.75" customHeight="1"/>
    <row r="16776" ht="15.75" customHeight="1"/>
    <row r="16777" ht="15.75" customHeight="1"/>
    <row r="16778" ht="15.75" customHeight="1"/>
    <row r="16779" ht="15.75" customHeight="1"/>
    <row r="16780" ht="15.75" customHeight="1"/>
    <row r="16781" ht="15.75" customHeight="1"/>
    <row r="16782" ht="15.75" customHeight="1"/>
    <row r="16783" ht="15.75" customHeight="1"/>
    <row r="16784" ht="15.75" customHeight="1"/>
    <row r="16785" ht="15.75" customHeight="1"/>
    <row r="16786" ht="15.75" customHeight="1"/>
    <row r="16787" ht="15.75" customHeight="1"/>
    <row r="16788" ht="15.75" customHeight="1"/>
    <row r="16789" ht="15.75" customHeight="1"/>
    <row r="16790" ht="15.75" customHeight="1"/>
    <row r="16791" ht="15.75" customHeight="1"/>
    <row r="16792" ht="15.75" customHeight="1"/>
    <row r="16793" ht="15.75" customHeight="1"/>
    <row r="16794" ht="15.75" customHeight="1"/>
    <row r="16795" ht="15.75" customHeight="1"/>
    <row r="16796" ht="15.75" customHeight="1"/>
    <row r="16797" ht="15.75" customHeight="1"/>
    <row r="16798" ht="15.75" customHeight="1"/>
    <row r="16799" ht="15.75" customHeight="1"/>
    <row r="16800" ht="15.75" customHeight="1"/>
    <row r="16801" ht="15.75" customHeight="1"/>
    <row r="16802" ht="15.75" customHeight="1"/>
    <row r="16803" ht="15.75" customHeight="1"/>
    <row r="16804" ht="15.75" customHeight="1"/>
    <row r="16805" ht="15.75" customHeight="1"/>
    <row r="16806" ht="15.75" customHeight="1"/>
    <row r="16807" ht="15.75" customHeight="1"/>
    <row r="16808" ht="15.75" customHeight="1"/>
    <row r="16809" ht="15.75" customHeight="1"/>
    <row r="16810" ht="15.75" customHeight="1"/>
    <row r="16811" ht="15.75" customHeight="1"/>
    <row r="16812" ht="15.75" customHeight="1"/>
    <row r="16813" ht="15.75" customHeight="1"/>
    <row r="16814" ht="15.75" customHeight="1"/>
    <row r="16815" ht="15.75" customHeight="1"/>
    <row r="16816" ht="15.75" customHeight="1"/>
    <row r="16817" ht="15.75" customHeight="1"/>
    <row r="16818" ht="15.75" customHeight="1"/>
    <row r="16819" ht="15.75" customHeight="1"/>
    <row r="16820" ht="15.75" customHeight="1"/>
    <row r="16821" ht="15.75" customHeight="1"/>
    <row r="16822" ht="15.75" customHeight="1"/>
    <row r="16823" ht="15.75" customHeight="1"/>
    <row r="16824" ht="15.75" customHeight="1"/>
    <row r="16825" ht="15.75" customHeight="1"/>
    <row r="16826" ht="15.75" customHeight="1"/>
    <row r="16827" ht="15.75" customHeight="1"/>
    <row r="16828" ht="15.75" customHeight="1"/>
    <row r="16829" ht="15.75" customHeight="1"/>
    <row r="16830" ht="15.75" customHeight="1"/>
    <row r="16831" ht="15.75" customHeight="1"/>
    <row r="16832" ht="15.75" customHeight="1"/>
    <row r="16833" ht="15.75" customHeight="1"/>
    <row r="16834" ht="15.75" customHeight="1"/>
    <row r="16835" ht="15.75" customHeight="1"/>
    <row r="16836" ht="15.75" customHeight="1"/>
    <row r="16837" ht="15.75" customHeight="1"/>
    <row r="16838" ht="15.75" customHeight="1"/>
    <row r="16839" ht="15.75" customHeight="1"/>
    <row r="16840" ht="15.75" customHeight="1"/>
    <row r="16841" ht="15.75" customHeight="1"/>
    <row r="16842" ht="15.75" customHeight="1"/>
    <row r="16843" ht="15.75" customHeight="1"/>
    <row r="16844" ht="15.75" customHeight="1"/>
    <row r="16845" ht="15.75" customHeight="1"/>
    <row r="16846" ht="15.75" customHeight="1"/>
    <row r="16847" ht="15.75" customHeight="1"/>
    <row r="16848" ht="15.75" customHeight="1"/>
    <row r="16849" ht="15.75" customHeight="1"/>
    <row r="16850" ht="15.75" customHeight="1"/>
    <row r="16851" ht="15.75" customHeight="1"/>
    <row r="16852" ht="15.75" customHeight="1"/>
    <row r="16853" ht="15.75" customHeight="1"/>
    <row r="16854" ht="15.75" customHeight="1"/>
    <row r="16855" ht="15.75" customHeight="1"/>
    <row r="16856" ht="15.75" customHeight="1"/>
    <row r="16857" ht="15.75" customHeight="1"/>
    <row r="16858" ht="15.75" customHeight="1"/>
    <row r="16859" ht="15.75" customHeight="1"/>
    <row r="16860" ht="15.75" customHeight="1"/>
    <row r="16861" ht="15.75" customHeight="1"/>
    <row r="16862" ht="15.75" customHeight="1"/>
    <row r="16863" ht="15.75" customHeight="1"/>
    <row r="16864" ht="15.75" customHeight="1"/>
    <row r="16865" ht="15.75" customHeight="1"/>
    <row r="16866" ht="15.75" customHeight="1"/>
    <row r="16867" ht="15.75" customHeight="1"/>
    <row r="16868" ht="15.75" customHeight="1"/>
    <row r="16869" ht="15.75" customHeight="1"/>
    <row r="16870" ht="15.75" customHeight="1"/>
    <row r="16871" ht="15.75" customHeight="1"/>
    <row r="16872" ht="15.75" customHeight="1"/>
    <row r="16873" ht="15.75" customHeight="1"/>
    <row r="16874" ht="15.75" customHeight="1"/>
    <row r="16875" ht="15.75" customHeight="1"/>
    <row r="16876" ht="15.75" customHeight="1"/>
    <row r="16877" ht="15.75" customHeight="1"/>
    <row r="16878" ht="15.75" customHeight="1"/>
    <row r="16879" ht="15.75" customHeight="1"/>
    <row r="16880" ht="15.75" customHeight="1"/>
    <row r="16881" ht="15.75" customHeight="1"/>
    <row r="16882" ht="15.75" customHeight="1"/>
    <row r="16883" ht="15.75" customHeight="1"/>
    <row r="16884" ht="15.75" customHeight="1"/>
    <row r="16885" ht="15.75" customHeight="1"/>
    <row r="16886" ht="15.75" customHeight="1"/>
    <row r="16887" ht="15.75" customHeight="1"/>
    <row r="16888" ht="15.75" customHeight="1"/>
    <row r="16889" ht="15.75" customHeight="1"/>
    <row r="16890" ht="15.75" customHeight="1"/>
    <row r="16891" ht="15.75" customHeight="1"/>
    <row r="16892" ht="15.75" customHeight="1"/>
    <row r="16893" ht="15.75" customHeight="1"/>
    <row r="16894" ht="15.75" customHeight="1"/>
    <row r="16895" ht="15.75" customHeight="1"/>
    <row r="16896" ht="15.75" customHeight="1"/>
    <row r="16897" ht="15.75" customHeight="1"/>
    <row r="16898" ht="15.75" customHeight="1"/>
    <row r="16899" ht="15.75" customHeight="1"/>
    <row r="16900" ht="15.75" customHeight="1"/>
    <row r="16901" ht="15.75" customHeight="1"/>
    <row r="16902" ht="15.75" customHeight="1"/>
    <row r="16903" ht="15.75" customHeight="1"/>
    <row r="16904" ht="15.75" customHeight="1"/>
    <row r="16905" ht="15.75" customHeight="1"/>
    <row r="16906" ht="15.75" customHeight="1"/>
    <row r="16907" ht="15.75" customHeight="1"/>
    <row r="16908" ht="15.75" customHeight="1"/>
    <row r="16909" ht="15.75" customHeight="1"/>
    <row r="16910" ht="15.75" customHeight="1"/>
    <row r="16911" ht="15.75" customHeight="1"/>
    <row r="16912" ht="15.75" customHeight="1"/>
    <row r="16913" ht="15.75" customHeight="1"/>
    <row r="16914" ht="15.75" customHeight="1"/>
    <row r="16915" ht="15.75" customHeight="1"/>
    <row r="16916" ht="15.75" customHeight="1"/>
    <row r="16917" ht="15.75" customHeight="1"/>
    <row r="16918" ht="15.75" customHeight="1"/>
    <row r="16919" ht="15.75" customHeight="1"/>
    <row r="16920" ht="15.75" customHeight="1"/>
    <row r="16921" ht="15.75" customHeight="1"/>
    <row r="16922" ht="15.75" customHeight="1"/>
    <row r="16923" ht="15.75" customHeight="1"/>
    <row r="16924" ht="15.75" customHeight="1"/>
    <row r="16925" ht="15.75" customHeight="1"/>
    <row r="16926" ht="15.75" customHeight="1"/>
    <row r="16927" ht="15.75" customHeight="1"/>
    <row r="16928" ht="15.75" customHeight="1"/>
    <row r="16929" ht="15.75" customHeight="1"/>
    <row r="16930" ht="15.75" customHeight="1"/>
    <row r="16931" ht="15.75" customHeight="1"/>
    <row r="16932" ht="15.75" customHeight="1"/>
    <row r="16933" ht="15.75" customHeight="1"/>
    <row r="16934" ht="15.75" customHeight="1"/>
    <row r="16935" ht="15.75" customHeight="1"/>
    <row r="16936" ht="15.75" customHeight="1"/>
    <row r="16937" ht="15.75" customHeight="1"/>
    <row r="16938" ht="15.75" customHeight="1"/>
    <row r="16939" ht="15.75" customHeight="1"/>
    <row r="16940" ht="15.75" customHeight="1"/>
    <row r="16941" ht="15.75" customHeight="1"/>
    <row r="16942" ht="15.75" customHeight="1"/>
    <row r="16943" ht="15.75" customHeight="1"/>
    <row r="16944" ht="15.75" customHeight="1"/>
    <row r="16945" ht="15.75" customHeight="1"/>
    <row r="16946" ht="15.75" customHeight="1"/>
    <row r="16947" ht="15.75" customHeight="1"/>
    <row r="16948" ht="15.75" customHeight="1"/>
    <row r="16949" ht="15.75" customHeight="1"/>
    <row r="16950" ht="15.75" customHeight="1"/>
    <row r="16951" ht="15.75" customHeight="1"/>
    <row r="16952" ht="15.75" customHeight="1"/>
    <row r="16953" ht="15.75" customHeight="1"/>
    <row r="16954" ht="15.75" customHeight="1"/>
    <row r="16955" ht="15.75" customHeight="1"/>
    <row r="16956" ht="15.75" customHeight="1"/>
    <row r="16957" ht="15.75" customHeight="1"/>
    <row r="16958" ht="15.75" customHeight="1"/>
    <row r="16959" ht="15.75" customHeight="1"/>
    <row r="16960" ht="15.75" customHeight="1"/>
    <row r="16961" ht="15.75" customHeight="1"/>
    <row r="16962" ht="15.75" customHeight="1"/>
    <row r="16963" ht="15.75" customHeight="1"/>
    <row r="16964" ht="15.75" customHeight="1"/>
    <row r="16965" ht="15.75" customHeight="1"/>
    <row r="16966" ht="15.75" customHeight="1"/>
    <row r="16967" ht="15.75" customHeight="1"/>
    <row r="16968" ht="15.75" customHeight="1"/>
    <row r="16969" ht="15.75" customHeight="1"/>
    <row r="16970" ht="15.75" customHeight="1"/>
    <row r="16971" ht="15.75" customHeight="1"/>
    <row r="16972" ht="15.75" customHeight="1"/>
    <row r="16973" ht="15.75" customHeight="1"/>
    <row r="16974" ht="15.75" customHeight="1"/>
    <row r="16975" ht="15.75" customHeight="1"/>
    <row r="16976" ht="15.75" customHeight="1"/>
    <row r="16977" ht="15.75" customHeight="1"/>
    <row r="16978" ht="15.75" customHeight="1"/>
    <row r="16979" ht="15.75" customHeight="1"/>
    <row r="16980" ht="15.75" customHeight="1"/>
    <row r="16981" ht="15.75" customHeight="1"/>
    <row r="16982" ht="15.75" customHeight="1"/>
    <row r="16983" ht="15.75" customHeight="1"/>
    <row r="16984" ht="15.75" customHeight="1"/>
    <row r="16985" ht="15.75" customHeight="1"/>
    <row r="16986" ht="15.75" customHeight="1"/>
    <row r="16987" ht="15.75" customHeight="1"/>
    <row r="16988" ht="15.75" customHeight="1"/>
    <row r="16989" ht="15.75" customHeight="1"/>
    <row r="16990" ht="15.75" customHeight="1"/>
    <row r="16991" ht="15.75" customHeight="1"/>
    <row r="16992" ht="15.75" customHeight="1"/>
    <row r="16993" ht="15.75" customHeight="1"/>
    <row r="16994" ht="15.75" customHeight="1"/>
    <row r="16995" ht="15.75" customHeight="1"/>
    <row r="16996" ht="15.75" customHeight="1"/>
    <row r="16997" ht="15.75" customHeight="1"/>
    <row r="16998" ht="15.75" customHeight="1"/>
    <row r="16999" ht="15.75" customHeight="1"/>
    <row r="17000" ht="15.75" customHeight="1"/>
    <row r="17001" ht="15.75" customHeight="1"/>
    <row r="17002" ht="15.75" customHeight="1"/>
    <row r="17003" ht="15.75" customHeight="1"/>
    <row r="17004" ht="15.75" customHeight="1"/>
    <row r="17005" ht="15.75" customHeight="1"/>
    <row r="17006" ht="15.75" customHeight="1"/>
    <row r="17007" ht="15.75" customHeight="1"/>
    <row r="17008" ht="15.75" customHeight="1"/>
    <row r="17009" ht="15.75" customHeight="1"/>
    <row r="17010" ht="15.75" customHeight="1"/>
    <row r="17011" ht="15.75" customHeight="1"/>
    <row r="17012" ht="15.75" customHeight="1"/>
    <row r="17013" ht="15.75" customHeight="1"/>
    <row r="17014" ht="15.75" customHeight="1"/>
    <row r="17015" ht="15.75" customHeight="1"/>
    <row r="17016" ht="15.75" customHeight="1"/>
    <row r="17017" ht="15.75" customHeight="1"/>
    <row r="17018" ht="15.75" customHeight="1"/>
    <row r="17019" ht="15.75" customHeight="1"/>
    <row r="17020" ht="15.75" customHeight="1"/>
    <row r="17021" ht="15.75" customHeight="1"/>
    <row r="17022" ht="15.75" customHeight="1"/>
    <row r="17023" ht="15.75" customHeight="1"/>
    <row r="17024" ht="15.75" customHeight="1"/>
    <row r="17025" ht="15.75" customHeight="1"/>
    <row r="17026" ht="15.75" customHeight="1"/>
    <row r="17027" ht="15.75" customHeight="1"/>
    <row r="17028" ht="15.75" customHeight="1"/>
    <row r="17029" ht="15.75" customHeight="1"/>
    <row r="17030" ht="15.75" customHeight="1"/>
    <row r="17031" ht="15.75" customHeight="1"/>
    <row r="17032" ht="15.75" customHeight="1"/>
    <row r="17033" ht="15.75" customHeight="1"/>
    <row r="17034" ht="15.75" customHeight="1"/>
    <row r="17035" ht="15.75" customHeight="1"/>
    <row r="17036" ht="15.75" customHeight="1"/>
    <row r="17037" ht="15.75" customHeight="1"/>
    <row r="17038" ht="15.75" customHeight="1"/>
    <row r="17039" ht="15.75" customHeight="1"/>
    <row r="17040" ht="15.75" customHeight="1"/>
    <row r="17041" ht="15.75" customHeight="1"/>
    <row r="17042" ht="15.75" customHeight="1"/>
    <row r="17043" ht="15.75" customHeight="1"/>
    <row r="17044" ht="15.75" customHeight="1"/>
    <row r="17045" ht="15.75" customHeight="1"/>
    <row r="17046" ht="15.75" customHeight="1"/>
    <row r="17047" ht="15.75" customHeight="1"/>
    <row r="17048" ht="15.75" customHeight="1"/>
    <row r="17049" ht="15.75" customHeight="1"/>
    <row r="17050" ht="15.75" customHeight="1"/>
    <row r="17051" ht="15.75" customHeight="1"/>
    <row r="17052" ht="15.75" customHeight="1"/>
    <row r="17053" ht="15.75" customHeight="1"/>
    <row r="17054" ht="15.75" customHeight="1"/>
    <row r="17055" ht="15.75" customHeight="1"/>
    <row r="17056" ht="15.75" customHeight="1"/>
    <row r="17057" ht="15.75" customHeight="1"/>
    <row r="17058" ht="15.75" customHeight="1"/>
    <row r="17059" ht="15.75" customHeight="1"/>
    <row r="17060" ht="15.75" customHeight="1"/>
    <row r="17061" ht="15.75" customHeight="1"/>
    <row r="17062" ht="15.75" customHeight="1"/>
    <row r="17063" ht="15.75" customHeight="1"/>
    <row r="17064" ht="15.75" customHeight="1"/>
    <row r="17065" ht="15.75" customHeight="1"/>
    <row r="17066" ht="15.75" customHeight="1"/>
    <row r="17067" ht="15.75" customHeight="1"/>
    <row r="17068" ht="15.75" customHeight="1"/>
    <row r="17069" ht="15.75" customHeight="1"/>
    <row r="17070" ht="15.75" customHeight="1"/>
    <row r="17071" ht="15.75" customHeight="1"/>
    <row r="17072" ht="15.75" customHeight="1"/>
    <row r="17073" ht="15.75" customHeight="1"/>
    <row r="17074" ht="15.75" customHeight="1"/>
    <row r="17075" ht="15.75" customHeight="1"/>
    <row r="17076" ht="15.75" customHeight="1"/>
    <row r="17077" ht="15.75" customHeight="1"/>
    <row r="17078" ht="15.75" customHeight="1"/>
    <row r="17079" ht="15.75" customHeight="1"/>
    <row r="17080" ht="15.75" customHeight="1"/>
    <row r="17081" ht="15.75" customHeight="1"/>
    <row r="17082" ht="15.75" customHeight="1"/>
    <row r="17083" ht="15.75" customHeight="1"/>
    <row r="17084" ht="15.75" customHeight="1"/>
    <row r="17085" ht="15.75" customHeight="1"/>
    <row r="17086" ht="15.75" customHeight="1"/>
    <row r="17087" ht="15.75" customHeight="1"/>
    <row r="17088" ht="15.75" customHeight="1"/>
    <row r="17089" ht="15.75" customHeight="1"/>
    <row r="17090" ht="15.75" customHeight="1"/>
    <row r="17091" ht="15.75" customHeight="1"/>
    <row r="17092" ht="15.75" customHeight="1"/>
    <row r="17093" ht="15.75" customHeight="1"/>
    <row r="17094" ht="15.75" customHeight="1"/>
    <row r="17095" ht="15.75" customHeight="1"/>
    <row r="17096" ht="15.75" customHeight="1"/>
    <row r="17097" ht="15.75" customHeight="1"/>
    <row r="17098" ht="15.75" customHeight="1"/>
    <row r="17099" ht="15.75" customHeight="1"/>
    <row r="17100" ht="15.75" customHeight="1"/>
    <row r="17101" ht="15.75" customHeight="1"/>
    <row r="17102" ht="15.75" customHeight="1"/>
    <row r="17103" ht="15.75" customHeight="1"/>
    <row r="17104" ht="15.75" customHeight="1"/>
    <row r="17105" ht="15.75" customHeight="1"/>
    <row r="17106" ht="15.75" customHeight="1"/>
    <row r="17107" ht="15.75" customHeight="1"/>
    <row r="17108" ht="15.75" customHeight="1"/>
    <row r="17109" ht="15.75" customHeight="1"/>
    <row r="17110" ht="15.75" customHeight="1"/>
    <row r="17111" ht="15.75" customHeight="1"/>
    <row r="17112" ht="15.75" customHeight="1"/>
    <row r="17113" ht="15.75" customHeight="1"/>
    <row r="17114" ht="15.75" customHeight="1"/>
    <row r="17115" ht="15.75" customHeight="1"/>
    <row r="17116" ht="15.75" customHeight="1"/>
    <row r="17117" ht="15.75" customHeight="1"/>
    <row r="17118" ht="15.75" customHeight="1"/>
    <row r="17119" ht="15.75" customHeight="1"/>
    <row r="17120" ht="15.75" customHeight="1"/>
    <row r="17121" ht="15.75" customHeight="1"/>
    <row r="17122" ht="15.75" customHeight="1"/>
    <row r="17123" ht="15.75" customHeight="1"/>
    <row r="17124" ht="15.75" customHeight="1"/>
    <row r="17125" ht="15.75" customHeight="1"/>
    <row r="17126" ht="15.75" customHeight="1"/>
    <row r="17127" ht="15.75" customHeight="1"/>
    <row r="17128" ht="15.75" customHeight="1"/>
    <row r="17129" ht="15.75" customHeight="1"/>
    <row r="17130" ht="15.75" customHeight="1"/>
    <row r="17131" ht="15.75" customHeight="1"/>
    <row r="17132" ht="15.75" customHeight="1"/>
    <row r="17133" ht="15.75" customHeight="1"/>
    <row r="17134" ht="15.75" customHeight="1"/>
    <row r="17135" ht="15.75" customHeight="1"/>
    <row r="17136" ht="15.75" customHeight="1"/>
    <row r="17137" ht="15.75" customHeight="1"/>
    <row r="17138" ht="15.75" customHeight="1"/>
    <row r="17139" ht="15.75" customHeight="1"/>
    <row r="17140" ht="15.75" customHeight="1"/>
    <row r="17141" ht="15.75" customHeight="1"/>
    <row r="17142" ht="15.75" customHeight="1"/>
    <row r="17143" ht="15.75" customHeight="1"/>
    <row r="17144" ht="15.75" customHeight="1"/>
    <row r="17145" ht="15.75" customHeight="1"/>
    <row r="17146" ht="15.75" customHeight="1"/>
    <row r="17147" ht="15.75" customHeight="1"/>
    <row r="17148" ht="15.75" customHeight="1"/>
    <row r="17149" ht="15.75" customHeight="1"/>
    <row r="17150" ht="15.75" customHeight="1"/>
    <row r="17151" ht="15.75" customHeight="1"/>
    <row r="17152" ht="15.75" customHeight="1"/>
    <row r="17153" ht="15.75" customHeight="1"/>
    <row r="17154" ht="15.75" customHeight="1"/>
    <row r="17155" ht="15.75" customHeight="1"/>
    <row r="17156" ht="15.75" customHeight="1"/>
    <row r="17157" ht="15.75" customHeight="1"/>
    <row r="17158" ht="15.75" customHeight="1"/>
    <row r="17159" ht="15.75" customHeight="1"/>
    <row r="17160" ht="15.75" customHeight="1"/>
    <row r="17161" ht="15.75" customHeight="1"/>
    <row r="17162" ht="15.75" customHeight="1"/>
    <row r="17163" ht="15.75" customHeight="1"/>
    <row r="17164" ht="15.75" customHeight="1"/>
    <row r="17165" ht="15.75" customHeight="1"/>
    <row r="17166" ht="15.75" customHeight="1"/>
    <row r="17167" ht="15.75" customHeight="1"/>
    <row r="17168" ht="15.75" customHeight="1"/>
    <row r="17169" ht="15.75" customHeight="1"/>
    <row r="17170" ht="15.75" customHeight="1"/>
    <row r="17171" ht="15.75" customHeight="1"/>
    <row r="17172" ht="15.75" customHeight="1"/>
    <row r="17173" ht="15.75" customHeight="1"/>
    <row r="17174" ht="15.75" customHeight="1"/>
    <row r="17175" ht="15.75" customHeight="1"/>
    <row r="17176" ht="15.75" customHeight="1"/>
    <row r="17177" ht="15.75" customHeight="1"/>
    <row r="17178" ht="15.75" customHeight="1"/>
    <row r="17179" ht="15.75" customHeight="1"/>
    <row r="17180" ht="15.75" customHeight="1"/>
    <row r="17181" ht="15.75" customHeight="1"/>
    <row r="17182" ht="15.75" customHeight="1"/>
    <row r="17183" ht="15.75" customHeight="1"/>
    <row r="17184" ht="15.75" customHeight="1"/>
    <row r="17185" ht="15.75" customHeight="1"/>
    <row r="17186" ht="15.75" customHeight="1"/>
    <row r="17187" ht="15.75" customHeight="1"/>
    <row r="17188" ht="15.75" customHeight="1"/>
    <row r="17189" ht="15.75" customHeight="1"/>
    <row r="17190" ht="15.75" customHeight="1"/>
    <row r="17191" ht="15.75" customHeight="1"/>
    <row r="17192" ht="15.75" customHeight="1"/>
    <row r="17193" ht="15.75" customHeight="1"/>
    <row r="17194" ht="15.75" customHeight="1"/>
    <row r="17195" ht="15.75" customHeight="1"/>
    <row r="17196" ht="15.75" customHeight="1"/>
    <row r="17197" ht="15.75" customHeight="1"/>
    <row r="17198" ht="15.75" customHeight="1"/>
    <row r="17199" ht="15.75" customHeight="1"/>
    <row r="17200" ht="15.75" customHeight="1"/>
    <row r="17201" ht="15.75" customHeight="1"/>
    <row r="17202" ht="15.75" customHeight="1"/>
    <row r="17203" ht="15.75" customHeight="1"/>
    <row r="17204" ht="15.75" customHeight="1"/>
    <row r="17205" ht="15.75" customHeight="1"/>
    <row r="17206" ht="15.75" customHeight="1"/>
    <row r="17207" ht="15.75" customHeight="1"/>
    <row r="17208" ht="15.75" customHeight="1"/>
    <row r="17209" ht="15.75" customHeight="1"/>
    <row r="17210" ht="15.75" customHeight="1"/>
    <row r="17211" ht="15.75" customHeight="1"/>
    <row r="17212" ht="15.75" customHeight="1"/>
    <row r="17213" ht="15.75" customHeight="1"/>
    <row r="17214" ht="15.75" customHeight="1"/>
    <row r="17215" ht="15.75" customHeight="1"/>
    <row r="17216" ht="15.75" customHeight="1"/>
    <row r="17217" ht="15.75" customHeight="1"/>
    <row r="17218" ht="15.75" customHeight="1"/>
    <row r="17219" ht="15.75" customHeight="1"/>
    <row r="17220" ht="15.75" customHeight="1"/>
    <row r="17221" ht="15.75" customHeight="1"/>
    <row r="17222" ht="15.75" customHeight="1"/>
    <row r="17223" ht="15.75" customHeight="1"/>
    <row r="17224" ht="15.75" customHeight="1"/>
    <row r="17225" ht="15.75" customHeight="1"/>
    <row r="17226" ht="15.75" customHeight="1"/>
    <row r="17227" ht="15.75" customHeight="1"/>
    <row r="17228" ht="15.75" customHeight="1"/>
    <row r="17229" ht="15.75" customHeight="1"/>
    <row r="17230" ht="15.75" customHeight="1"/>
    <row r="17231" ht="15.75" customHeight="1"/>
    <row r="17232" ht="15.75" customHeight="1"/>
    <row r="17233" ht="15.75" customHeight="1"/>
    <row r="17234" ht="15.75" customHeight="1"/>
    <row r="17235" ht="15.75" customHeight="1"/>
    <row r="17236" ht="15.75" customHeight="1"/>
    <row r="17237" ht="15.75" customHeight="1"/>
    <row r="17238" ht="15.75" customHeight="1"/>
    <row r="17239" ht="15.75" customHeight="1"/>
    <row r="17240" ht="15.75" customHeight="1"/>
    <row r="17241" ht="15.75" customHeight="1"/>
    <row r="17242" ht="15.75" customHeight="1"/>
    <row r="17243" ht="15.75" customHeight="1"/>
    <row r="17244" ht="15.75" customHeight="1"/>
    <row r="17245" ht="15.75" customHeight="1"/>
    <row r="17246" ht="15.75" customHeight="1"/>
    <row r="17247" ht="15.75" customHeight="1"/>
    <row r="17248" ht="15.75" customHeight="1"/>
    <row r="17249" ht="15.75" customHeight="1"/>
    <row r="17250" ht="15.75" customHeight="1"/>
    <row r="17251" ht="15.75" customHeight="1"/>
    <row r="17252" ht="15.75" customHeight="1"/>
    <row r="17253" ht="15.75" customHeight="1"/>
    <row r="17254" ht="15.75" customHeight="1"/>
    <row r="17255" ht="15.75" customHeight="1"/>
    <row r="17256" ht="15.75" customHeight="1"/>
    <row r="17257" ht="15.75" customHeight="1"/>
    <row r="17258" ht="15.75" customHeight="1"/>
    <row r="17259" ht="15.75" customHeight="1"/>
    <row r="17260" ht="15.75" customHeight="1"/>
    <row r="17261" ht="15.75" customHeight="1"/>
    <row r="17262" ht="15.75" customHeight="1"/>
    <row r="17263" ht="15.75" customHeight="1"/>
    <row r="17264" ht="15.75" customHeight="1"/>
    <row r="17265" ht="15.75" customHeight="1"/>
    <row r="17266" ht="15.75" customHeight="1"/>
    <row r="17267" ht="15.75" customHeight="1"/>
    <row r="17268" ht="15.75" customHeight="1"/>
    <row r="17269" ht="15.75" customHeight="1"/>
    <row r="17270" ht="15.75" customHeight="1"/>
    <row r="17271" ht="15.75" customHeight="1"/>
    <row r="17272" ht="15.75" customHeight="1"/>
    <row r="17273" ht="15.75" customHeight="1"/>
    <row r="17274" ht="15.75" customHeight="1"/>
    <row r="17275" ht="15.75" customHeight="1"/>
    <row r="17276" ht="15.75" customHeight="1"/>
    <row r="17277" ht="15.75" customHeight="1"/>
    <row r="17278" ht="15.75" customHeight="1"/>
    <row r="17279" ht="15.75" customHeight="1"/>
    <row r="17280" ht="15.75" customHeight="1"/>
    <row r="17281" ht="15.75" customHeight="1"/>
    <row r="17282" ht="15.75" customHeight="1"/>
    <row r="17283" ht="15.75" customHeight="1"/>
    <row r="17284" ht="15.75" customHeight="1"/>
    <row r="17285" ht="15.75" customHeight="1"/>
    <row r="17286" ht="15.75" customHeight="1"/>
    <row r="17287" ht="15.75" customHeight="1"/>
    <row r="17288" ht="15.75" customHeight="1"/>
    <row r="17289" ht="15.75" customHeight="1"/>
    <row r="17290" ht="15.75" customHeight="1"/>
    <row r="17291" ht="15.75" customHeight="1"/>
    <row r="17292" ht="15.75" customHeight="1"/>
    <row r="17293" ht="15.75" customHeight="1"/>
    <row r="17294" ht="15.75" customHeight="1"/>
    <row r="17295" ht="15.75" customHeight="1"/>
    <row r="17296" ht="15.75" customHeight="1"/>
    <row r="17297" ht="15.75" customHeight="1"/>
    <row r="17298" ht="15.75" customHeight="1"/>
    <row r="17299" ht="15.75" customHeight="1"/>
    <row r="17300" ht="15.75" customHeight="1"/>
    <row r="17301" ht="15.75" customHeight="1"/>
    <row r="17302" ht="15.75" customHeight="1"/>
    <row r="17303" ht="15.75" customHeight="1"/>
    <row r="17304" ht="15.75" customHeight="1"/>
    <row r="17305" ht="15.75" customHeight="1"/>
    <row r="17306" ht="15.75" customHeight="1"/>
    <row r="17307" ht="15.75" customHeight="1"/>
    <row r="17308" ht="15.75" customHeight="1"/>
    <row r="17309" ht="15.75" customHeight="1"/>
    <row r="17310" ht="15.75" customHeight="1"/>
    <row r="17311" ht="15.75" customHeight="1"/>
    <row r="17312" ht="15.75" customHeight="1"/>
    <row r="17313" ht="15.75" customHeight="1"/>
    <row r="17314" ht="15.75" customHeight="1"/>
    <row r="17315" ht="15.75" customHeight="1"/>
    <row r="17316" ht="15.75" customHeight="1"/>
    <row r="17317" ht="15.75" customHeight="1"/>
    <row r="17318" ht="15.75" customHeight="1"/>
    <row r="17319" ht="15.75" customHeight="1"/>
    <row r="17320" ht="15.75" customHeight="1"/>
    <row r="17321" ht="15.75" customHeight="1"/>
    <row r="17322" ht="15.75" customHeight="1"/>
    <row r="17323" ht="15.75" customHeight="1"/>
    <row r="17324" ht="15.75" customHeight="1"/>
    <row r="17325" ht="15.75" customHeight="1"/>
    <row r="17326" ht="15.75" customHeight="1"/>
    <row r="17327" ht="15.75" customHeight="1"/>
    <row r="17328" ht="15.75" customHeight="1"/>
    <row r="17329" ht="15.75" customHeight="1"/>
    <row r="17330" ht="15.75" customHeight="1"/>
    <row r="17331" ht="15.75" customHeight="1"/>
    <row r="17332" ht="15.75" customHeight="1"/>
    <row r="17333" ht="15.75" customHeight="1"/>
    <row r="17334" ht="15.75" customHeight="1"/>
    <row r="17335" ht="15.75" customHeight="1"/>
    <row r="17336" ht="15.75" customHeight="1"/>
    <row r="17337" ht="15.75" customHeight="1"/>
    <row r="17338" ht="15.75" customHeight="1"/>
    <row r="17339" ht="15.75" customHeight="1"/>
    <row r="17340" ht="15.75" customHeight="1"/>
    <row r="17341" ht="15.75" customHeight="1"/>
    <row r="17342" ht="15.75" customHeight="1"/>
    <row r="17343" ht="15.75" customHeight="1"/>
    <row r="17344" ht="15.75" customHeight="1"/>
    <row r="17345" ht="15.75" customHeight="1"/>
    <row r="17346" ht="15.75" customHeight="1"/>
    <row r="17347" ht="15.75" customHeight="1"/>
    <row r="17348" ht="15.75" customHeight="1"/>
    <row r="17349" ht="15.75" customHeight="1"/>
    <row r="17350" ht="15.75" customHeight="1"/>
    <row r="17351" ht="15.75" customHeight="1"/>
    <row r="17352" ht="15.75" customHeight="1"/>
    <row r="17353" ht="15.75" customHeight="1"/>
    <row r="17354" ht="15.75" customHeight="1"/>
    <row r="17355" ht="15.75" customHeight="1"/>
    <row r="17356" ht="15.75" customHeight="1"/>
    <row r="17357" ht="15.75" customHeight="1"/>
    <row r="17358" ht="15.75" customHeight="1"/>
    <row r="17359" ht="15.75" customHeight="1"/>
    <row r="17360" ht="15.75" customHeight="1"/>
    <row r="17361" ht="15.75" customHeight="1"/>
    <row r="17362" ht="15.75" customHeight="1"/>
    <row r="17363" ht="15.75" customHeight="1"/>
    <row r="17364" ht="15.75" customHeight="1"/>
    <row r="17365" ht="15.75" customHeight="1"/>
    <row r="17366" ht="15.75" customHeight="1"/>
    <row r="17367" ht="15.75" customHeight="1"/>
    <row r="17368" ht="15.75" customHeight="1"/>
    <row r="17369" ht="15.75" customHeight="1"/>
    <row r="17370" ht="15.75" customHeight="1"/>
    <row r="17371" ht="15.75" customHeight="1"/>
    <row r="17372" ht="15.75" customHeight="1"/>
    <row r="17373" ht="15.75" customHeight="1"/>
    <row r="17374" ht="15.75" customHeight="1"/>
    <row r="17375" ht="15.75" customHeight="1"/>
    <row r="17376" ht="15.75" customHeight="1"/>
    <row r="17377" ht="15.75" customHeight="1"/>
    <row r="17378" ht="15.75" customHeight="1"/>
    <row r="17379" ht="15.75" customHeight="1"/>
    <row r="17380" ht="15.75" customHeight="1"/>
    <row r="17381" ht="15.75" customHeight="1"/>
    <row r="17382" ht="15.75" customHeight="1"/>
    <row r="17383" ht="15.75" customHeight="1"/>
    <row r="17384" ht="15.75" customHeight="1"/>
    <row r="17385" ht="15.75" customHeight="1"/>
    <row r="17386" ht="15.75" customHeight="1"/>
    <row r="17387" ht="15.75" customHeight="1"/>
    <row r="17388" ht="15.75" customHeight="1"/>
    <row r="17389" ht="15.75" customHeight="1"/>
    <row r="17390" ht="15.75" customHeight="1"/>
    <row r="17391" ht="15.75" customHeight="1"/>
    <row r="17392" ht="15.75" customHeight="1"/>
    <row r="17393" ht="15.75" customHeight="1"/>
    <row r="17394" ht="15.75" customHeight="1"/>
    <row r="17395" ht="15.75" customHeight="1"/>
    <row r="17396" ht="15.75" customHeight="1"/>
    <row r="17397" ht="15.75" customHeight="1"/>
    <row r="17398" ht="15.75" customHeight="1"/>
    <row r="17399" ht="15.75" customHeight="1"/>
    <row r="17400" ht="15.75" customHeight="1"/>
    <row r="17401" ht="15.75" customHeight="1"/>
    <row r="17402" ht="15.75" customHeight="1"/>
    <row r="17403" ht="15.75" customHeight="1"/>
    <row r="17404" ht="15.75" customHeight="1"/>
    <row r="17405" ht="15.75" customHeight="1"/>
    <row r="17406" ht="15.75" customHeight="1"/>
    <row r="17407" ht="15.75" customHeight="1"/>
    <row r="17408" ht="15.75" customHeight="1"/>
    <row r="17409" ht="15.75" customHeight="1"/>
    <row r="17410" ht="15.75" customHeight="1"/>
    <row r="17411" ht="15.75" customHeight="1"/>
    <row r="17412" ht="15.75" customHeight="1"/>
    <row r="17413" ht="15.75" customHeight="1"/>
    <row r="17414" ht="15.75" customHeight="1"/>
    <row r="17415" ht="15.75" customHeight="1"/>
    <row r="17416" ht="15.75" customHeight="1"/>
    <row r="17417" ht="15.75" customHeight="1"/>
    <row r="17418" ht="15.75" customHeight="1"/>
    <row r="17419" ht="15.75" customHeight="1"/>
    <row r="17420" ht="15.75" customHeight="1"/>
    <row r="17421" ht="15.75" customHeight="1"/>
    <row r="17422" ht="15.75" customHeight="1"/>
    <row r="17423" ht="15.75" customHeight="1"/>
    <row r="17424" ht="15.75" customHeight="1"/>
    <row r="17425" ht="15.75" customHeight="1"/>
    <row r="17426" ht="15.75" customHeight="1"/>
    <row r="17427" ht="15.75" customHeight="1"/>
    <row r="17428" ht="15.75" customHeight="1"/>
    <row r="17429" ht="15.75" customHeight="1"/>
    <row r="17430" ht="15.75" customHeight="1"/>
    <row r="17431" ht="15.75" customHeight="1"/>
    <row r="17432" ht="15.75" customHeight="1"/>
    <row r="17433" ht="15.75" customHeight="1"/>
    <row r="17434" ht="15.75" customHeight="1"/>
    <row r="17435" ht="15.75" customHeight="1"/>
    <row r="17436" ht="15.75" customHeight="1"/>
    <row r="17437" ht="15.75" customHeight="1"/>
    <row r="17438" ht="15.75" customHeight="1"/>
    <row r="17439" ht="15.75" customHeight="1"/>
    <row r="17440" ht="15.75" customHeight="1"/>
    <row r="17441" ht="15.75" customHeight="1"/>
    <row r="17442" ht="15.75" customHeight="1"/>
    <row r="17443" ht="15.75" customHeight="1"/>
    <row r="17444" ht="15.75" customHeight="1"/>
    <row r="17445" ht="15.75" customHeight="1"/>
    <row r="17446" ht="15.75" customHeight="1"/>
    <row r="17447" ht="15.75" customHeight="1"/>
    <row r="17448" ht="15.75" customHeight="1"/>
    <row r="17449" ht="15.75" customHeight="1"/>
    <row r="17450" ht="15.75" customHeight="1"/>
    <row r="17451" ht="15.75" customHeight="1"/>
    <row r="17452" ht="15.75" customHeight="1"/>
    <row r="17453" ht="15.75" customHeight="1"/>
    <row r="17454" ht="15.75" customHeight="1"/>
    <row r="17455" ht="15.75" customHeight="1"/>
    <row r="17456" ht="15.75" customHeight="1"/>
    <row r="17457" ht="15.75" customHeight="1"/>
    <row r="17458" ht="15.75" customHeight="1"/>
    <row r="17459" ht="15.75" customHeight="1"/>
    <row r="17460" ht="15.75" customHeight="1"/>
    <row r="17461" ht="15.75" customHeight="1"/>
    <row r="17462" ht="15.75" customHeight="1"/>
    <row r="17463" ht="15.75" customHeight="1"/>
    <row r="17464" ht="15.75" customHeight="1"/>
    <row r="17465" ht="15.75" customHeight="1"/>
    <row r="17466" ht="15.75" customHeight="1"/>
    <row r="17467" ht="15.75" customHeight="1"/>
    <row r="17468" ht="15.75" customHeight="1"/>
    <row r="17469" ht="15.75" customHeight="1"/>
    <row r="17470" ht="15.75" customHeight="1"/>
    <row r="17471" ht="15.75" customHeight="1"/>
    <row r="17472" ht="15.75" customHeight="1"/>
    <row r="17473" ht="15.75" customHeight="1"/>
    <row r="17474" ht="15.75" customHeight="1"/>
    <row r="17475" ht="15.75" customHeight="1"/>
    <row r="17476" ht="15.75" customHeight="1"/>
    <row r="17477" ht="15.75" customHeight="1"/>
    <row r="17478" ht="15.75" customHeight="1"/>
    <row r="17479" ht="15.75" customHeight="1"/>
    <row r="17480" ht="15.75" customHeight="1"/>
    <row r="17481" ht="15.75" customHeight="1"/>
    <row r="17482" ht="15.75" customHeight="1"/>
    <row r="17483" ht="15.75" customHeight="1"/>
    <row r="17484" ht="15.75" customHeight="1"/>
    <row r="17485" ht="15.75" customHeight="1"/>
    <row r="17486" ht="15.75" customHeight="1"/>
    <row r="17487" ht="15.75" customHeight="1"/>
    <row r="17488" ht="15.75" customHeight="1"/>
    <row r="17489" ht="15.75" customHeight="1"/>
    <row r="17490" ht="15.75" customHeight="1"/>
    <row r="17491" ht="15.75" customHeight="1"/>
    <row r="17492" ht="15.75" customHeight="1"/>
    <row r="17493" ht="15.75" customHeight="1"/>
    <row r="17494" ht="15.75" customHeight="1"/>
    <row r="17495" ht="15.75" customHeight="1"/>
    <row r="17496" ht="15.75" customHeight="1"/>
    <row r="17497" ht="15.75" customHeight="1"/>
    <row r="17498" ht="15.75" customHeight="1"/>
    <row r="17499" ht="15.75" customHeight="1"/>
    <row r="17500" ht="15.75" customHeight="1"/>
    <row r="17501" ht="15.75" customHeight="1"/>
    <row r="17502" ht="15.75" customHeight="1"/>
    <row r="17503" ht="15.75" customHeight="1"/>
    <row r="17504" ht="15.75" customHeight="1"/>
    <row r="17505" ht="15.75" customHeight="1"/>
    <row r="17506" ht="15.75" customHeight="1"/>
    <row r="17507" ht="15.75" customHeight="1"/>
    <row r="17508" ht="15.75" customHeight="1"/>
    <row r="17509" ht="15.75" customHeight="1"/>
    <row r="17510" ht="15.75" customHeight="1"/>
    <row r="17511" ht="15.75" customHeight="1"/>
    <row r="17512" ht="15.75" customHeight="1"/>
    <row r="17513" ht="15.75" customHeight="1"/>
    <row r="17514" ht="15.75" customHeight="1"/>
    <row r="17515" ht="15.75" customHeight="1"/>
    <row r="17516" ht="15.75" customHeight="1"/>
    <row r="17517" ht="15.75" customHeight="1"/>
    <row r="17518" ht="15.75" customHeight="1"/>
    <row r="17519" ht="15.75" customHeight="1"/>
    <row r="17520" ht="15.75" customHeight="1"/>
    <row r="17521" ht="15.75" customHeight="1"/>
    <row r="17522" ht="15.75" customHeight="1"/>
    <row r="17523" ht="15.75" customHeight="1"/>
    <row r="17524" ht="15.75" customHeight="1"/>
    <row r="17525" ht="15.75" customHeight="1"/>
    <row r="17526" ht="15.75" customHeight="1"/>
    <row r="17527" ht="15.75" customHeight="1"/>
    <row r="17528" ht="15.75" customHeight="1"/>
    <row r="17529" ht="15.75" customHeight="1"/>
    <row r="17530" ht="15.75" customHeight="1"/>
    <row r="17531" ht="15.75" customHeight="1"/>
    <row r="17532" ht="15.75" customHeight="1"/>
    <row r="17533" ht="15.75" customHeight="1"/>
    <row r="17534" ht="15.75" customHeight="1"/>
    <row r="17535" ht="15.75" customHeight="1"/>
    <row r="17536" ht="15.75" customHeight="1"/>
    <row r="17537" ht="15.75" customHeight="1"/>
    <row r="17538" ht="15.75" customHeight="1"/>
    <row r="17539" ht="15.75" customHeight="1"/>
    <row r="17540" ht="15.75" customHeight="1"/>
    <row r="17541" ht="15.75" customHeight="1"/>
    <row r="17542" ht="15.75" customHeight="1"/>
    <row r="17543" ht="15.75" customHeight="1"/>
    <row r="17544" ht="15.75" customHeight="1"/>
    <row r="17545" ht="15.75" customHeight="1"/>
    <row r="17546" ht="15.75" customHeight="1"/>
    <row r="17547" ht="15.75" customHeight="1"/>
    <row r="17548" ht="15.75" customHeight="1"/>
    <row r="17549" ht="15.75" customHeight="1"/>
    <row r="17550" ht="15.75" customHeight="1"/>
    <row r="17551" ht="15.75" customHeight="1"/>
    <row r="17552" ht="15.75" customHeight="1"/>
    <row r="17553" ht="15.75" customHeight="1"/>
    <row r="17554" ht="15.75" customHeight="1"/>
    <row r="17555" ht="15.75" customHeight="1"/>
    <row r="17556" ht="15.75" customHeight="1"/>
    <row r="17557" ht="15.75" customHeight="1"/>
    <row r="17558" ht="15.75" customHeight="1"/>
    <row r="17559" ht="15.75" customHeight="1"/>
    <row r="17560" ht="15.75" customHeight="1"/>
    <row r="17561" ht="15.75" customHeight="1"/>
    <row r="17562" ht="15.75" customHeight="1"/>
    <row r="17563" ht="15.75" customHeight="1"/>
    <row r="17564" ht="15.75" customHeight="1"/>
    <row r="17565" ht="15.75" customHeight="1"/>
    <row r="17566" ht="15.75" customHeight="1"/>
    <row r="17567" ht="15.75" customHeight="1"/>
    <row r="17568" ht="15.75" customHeight="1"/>
    <row r="17569" ht="15.75" customHeight="1"/>
    <row r="17570" ht="15.75" customHeight="1"/>
    <row r="17571" ht="15.75" customHeight="1"/>
    <row r="17572" ht="15.75" customHeight="1"/>
    <row r="17573" ht="15.75" customHeight="1"/>
    <row r="17574" ht="15.75" customHeight="1"/>
    <row r="17575" ht="15.75" customHeight="1"/>
    <row r="17576" ht="15.75" customHeight="1"/>
    <row r="17577" ht="15.75" customHeight="1"/>
    <row r="17578" ht="15.75" customHeight="1"/>
    <row r="17579" ht="15.75" customHeight="1"/>
    <row r="17580" ht="15.75" customHeight="1"/>
    <row r="17581" ht="15.75" customHeight="1"/>
    <row r="17582" ht="15.75" customHeight="1"/>
    <row r="17583" ht="15.75" customHeight="1"/>
    <row r="17584" ht="15.75" customHeight="1"/>
    <row r="17585" ht="15.75" customHeight="1"/>
    <row r="17586" ht="15.75" customHeight="1"/>
    <row r="17587" ht="15.75" customHeight="1"/>
    <row r="17588" ht="15.75" customHeight="1"/>
    <row r="17589" ht="15.75" customHeight="1"/>
    <row r="17590" ht="15.75" customHeight="1"/>
    <row r="17591" ht="15.75" customHeight="1"/>
    <row r="17592" ht="15.75" customHeight="1"/>
    <row r="17593" ht="15.75" customHeight="1"/>
    <row r="17594" ht="15.75" customHeight="1"/>
    <row r="17595" ht="15.75" customHeight="1"/>
    <row r="17596" ht="15.75" customHeight="1"/>
    <row r="17597" ht="15.75" customHeight="1"/>
    <row r="17598" ht="15.75" customHeight="1"/>
    <row r="17599" ht="15.75" customHeight="1"/>
    <row r="17600" ht="15.75" customHeight="1"/>
    <row r="17601" ht="15.75" customHeight="1"/>
    <row r="17602" ht="15.75" customHeight="1"/>
    <row r="17603" ht="15.75" customHeight="1"/>
    <row r="17604" ht="15.75" customHeight="1"/>
    <row r="17605" ht="15.75" customHeight="1"/>
    <row r="17606" ht="15.75" customHeight="1"/>
    <row r="17607" ht="15.75" customHeight="1"/>
    <row r="17608" ht="15.75" customHeight="1"/>
    <row r="17609" ht="15.75" customHeight="1"/>
    <row r="17610" ht="15.75" customHeight="1"/>
    <row r="17611" ht="15.75" customHeight="1"/>
    <row r="17612" ht="15.75" customHeight="1"/>
    <row r="17613" ht="15.75" customHeight="1"/>
    <row r="17614" ht="15.75" customHeight="1"/>
    <row r="17615" ht="15.75" customHeight="1"/>
    <row r="17616" ht="15.75" customHeight="1"/>
    <row r="17617" ht="15.75" customHeight="1"/>
    <row r="17618" ht="15.75" customHeight="1"/>
    <row r="17619" ht="15.75" customHeight="1"/>
    <row r="17620" ht="15.75" customHeight="1"/>
    <row r="17621" ht="15.75" customHeight="1"/>
    <row r="17622" ht="15.75" customHeight="1"/>
    <row r="17623" ht="15.75" customHeight="1"/>
    <row r="17624" ht="15.75" customHeight="1"/>
    <row r="17625" ht="15.75" customHeight="1"/>
    <row r="17626" ht="15.75" customHeight="1"/>
    <row r="17627" ht="15.75" customHeight="1"/>
    <row r="17628" ht="15.75" customHeight="1"/>
    <row r="17629" ht="15.75" customHeight="1"/>
    <row r="17630" ht="15.75" customHeight="1"/>
    <row r="17631" ht="15.75" customHeight="1"/>
    <row r="17632" ht="15.75" customHeight="1"/>
    <row r="17633" ht="15.75" customHeight="1"/>
    <row r="17634" ht="15.75" customHeight="1"/>
    <row r="17635" ht="15.75" customHeight="1"/>
    <row r="17636" ht="15.75" customHeight="1"/>
    <row r="17637" ht="15.75" customHeight="1"/>
    <row r="17638" ht="15.75" customHeight="1"/>
    <row r="17639" ht="15.75" customHeight="1"/>
    <row r="17640" ht="15.75" customHeight="1"/>
    <row r="17641" ht="15.75" customHeight="1"/>
    <row r="17642" ht="15.75" customHeight="1"/>
    <row r="17643" ht="15.75" customHeight="1"/>
    <row r="17644" ht="15.75" customHeight="1"/>
    <row r="17645" ht="15.75" customHeight="1"/>
    <row r="17646" ht="15.75" customHeight="1"/>
    <row r="17647" ht="15.75" customHeight="1"/>
    <row r="17648" ht="15.75" customHeight="1"/>
    <row r="17649" ht="15.75" customHeight="1"/>
    <row r="17650" ht="15.75" customHeight="1"/>
    <row r="17651" ht="15.75" customHeight="1"/>
    <row r="17652" ht="15.75" customHeight="1"/>
    <row r="17653" ht="15.75" customHeight="1"/>
    <row r="17654" ht="15.75" customHeight="1"/>
    <row r="17655" ht="15.75" customHeight="1"/>
    <row r="17656" ht="15.75" customHeight="1"/>
    <row r="17657" ht="15.75" customHeight="1"/>
    <row r="17658" ht="15.75" customHeight="1"/>
    <row r="17659" ht="15.75" customHeight="1"/>
    <row r="17660" ht="15.75" customHeight="1"/>
    <row r="17661" ht="15.75" customHeight="1"/>
    <row r="17662" ht="15.75" customHeight="1"/>
    <row r="17663" ht="15.75" customHeight="1"/>
    <row r="17664" ht="15.75" customHeight="1"/>
    <row r="17665" ht="15.75" customHeight="1"/>
    <row r="17666" ht="15.75" customHeight="1"/>
    <row r="17667" ht="15.75" customHeight="1"/>
    <row r="17668" ht="15.75" customHeight="1"/>
    <row r="17669" ht="15.75" customHeight="1"/>
    <row r="17670" ht="15.75" customHeight="1"/>
    <row r="17671" ht="15.75" customHeight="1"/>
    <row r="17672" ht="15.75" customHeight="1"/>
    <row r="17673" ht="15.75" customHeight="1"/>
    <row r="17674" ht="15.75" customHeight="1"/>
    <row r="17675" ht="15.75" customHeight="1"/>
    <row r="17676" ht="15.75" customHeight="1"/>
    <row r="17677" ht="15.75" customHeight="1"/>
    <row r="17678" ht="15.75" customHeight="1"/>
    <row r="17679" ht="15.75" customHeight="1"/>
    <row r="17680" ht="15.75" customHeight="1"/>
    <row r="17681" ht="15.75" customHeight="1"/>
    <row r="17682" ht="15.75" customHeight="1"/>
    <row r="17683" ht="15.75" customHeight="1"/>
    <row r="17684" ht="15.75" customHeight="1"/>
    <row r="17685" ht="15.75" customHeight="1"/>
    <row r="17686" ht="15.75" customHeight="1"/>
    <row r="17687" ht="15.75" customHeight="1"/>
    <row r="17688" ht="15.75" customHeight="1"/>
    <row r="17689" ht="15.75" customHeight="1"/>
    <row r="17690" ht="15.75" customHeight="1"/>
    <row r="17691" ht="15.75" customHeight="1"/>
    <row r="17692" ht="15.75" customHeight="1"/>
    <row r="17693" ht="15.75" customHeight="1"/>
    <row r="17694" ht="15.75" customHeight="1"/>
    <row r="17695" ht="15.75" customHeight="1"/>
    <row r="17696" ht="15.75" customHeight="1"/>
    <row r="17697" ht="15.75" customHeight="1"/>
    <row r="17698" ht="15.75" customHeight="1"/>
    <row r="17699" ht="15.75" customHeight="1"/>
    <row r="17700" ht="15.75" customHeight="1"/>
    <row r="17701" ht="15.75" customHeight="1"/>
    <row r="17702" ht="15.75" customHeight="1"/>
    <row r="17703" ht="15.75" customHeight="1"/>
    <row r="17704" ht="15.75" customHeight="1"/>
    <row r="17705" ht="15.75" customHeight="1"/>
    <row r="17706" ht="15.75" customHeight="1"/>
    <row r="17707" ht="15.75" customHeight="1"/>
    <row r="17708" ht="15.75" customHeight="1"/>
    <row r="17709" ht="15.75" customHeight="1"/>
    <row r="17710" ht="15.75" customHeight="1"/>
    <row r="17711" ht="15.75" customHeight="1"/>
    <row r="17712" ht="15.75" customHeight="1"/>
    <row r="17713" ht="15.75" customHeight="1"/>
    <row r="17714" ht="15.75" customHeight="1"/>
    <row r="17715" ht="15.75" customHeight="1"/>
    <row r="17716" ht="15.75" customHeight="1"/>
    <row r="17717" ht="15.75" customHeight="1"/>
    <row r="17718" ht="15.75" customHeight="1"/>
    <row r="17719" ht="15.75" customHeight="1"/>
    <row r="17720" ht="15.75" customHeight="1"/>
    <row r="17721" ht="15.75" customHeight="1"/>
    <row r="17722" ht="15.75" customHeight="1"/>
    <row r="17723" ht="15.75" customHeight="1"/>
    <row r="17724" ht="15.75" customHeight="1"/>
    <row r="17725" ht="15.75" customHeight="1"/>
    <row r="17726" ht="15.75" customHeight="1"/>
    <row r="17727" ht="15.75" customHeight="1"/>
    <row r="17728" ht="15.75" customHeight="1"/>
    <row r="17729" ht="15.75" customHeight="1"/>
    <row r="17730" ht="15.75" customHeight="1"/>
    <row r="17731" ht="15.75" customHeight="1"/>
    <row r="17732" ht="15.75" customHeight="1"/>
    <row r="17733" ht="15.75" customHeight="1"/>
    <row r="17734" ht="15.75" customHeight="1"/>
    <row r="17735" ht="15.75" customHeight="1"/>
    <row r="17736" ht="15.75" customHeight="1"/>
    <row r="17737" ht="15.75" customHeight="1"/>
    <row r="17738" ht="15.75" customHeight="1"/>
    <row r="17739" ht="15.75" customHeight="1"/>
    <row r="17740" ht="15.75" customHeight="1"/>
    <row r="17741" ht="15.75" customHeight="1"/>
    <row r="17742" ht="15.75" customHeight="1"/>
    <row r="17743" ht="15.75" customHeight="1"/>
    <row r="17744" ht="15.75" customHeight="1"/>
    <row r="17745" ht="15.75" customHeight="1"/>
    <row r="17746" ht="15.75" customHeight="1"/>
    <row r="17747" ht="15.75" customHeight="1"/>
    <row r="17748" ht="15.75" customHeight="1"/>
    <row r="17749" ht="15.75" customHeight="1"/>
    <row r="17750" ht="15.75" customHeight="1"/>
    <row r="17751" ht="15.75" customHeight="1"/>
    <row r="17752" ht="15.75" customHeight="1"/>
    <row r="17753" ht="15.75" customHeight="1"/>
    <row r="17754" ht="15.75" customHeight="1"/>
    <row r="17755" ht="15.75" customHeight="1"/>
    <row r="17756" ht="15.75" customHeight="1"/>
    <row r="17757" ht="15.75" customHeight="1"/>
    <row r="17758" ht="15.75" customHeight="1"/>
    <row r="17759" ht="15.75" customHeight="1"/>
    <row r="17760" ht="15.75" customHeight="1"/>
    <row r="17761" ht="15.75" customHeight="1"/>
    <row r="17762" ht="15.75" customHeight="1"/>
    <row r="17763" ht="15.75" customHeight="1"/>
    <row r="17764" ht="15.75" customHeight="1"/>
    <row r="17765" ht="15.75" customHeight="1"/>
    <row r="17766" ht="15.75" customHeight="1"/>
    <row r="17767" ht="15.75" customHeight="1"/>
    <row r="17768" ht="15.75" customHeight="1"/>
    <row r="17769" ht="15.75" customHeight="1"/>
    <row r="17770" ht="15.75" customHeight="1"/>
    <row r="17771" ht="15.75" customHeight="1"/>
    <row r="17772" ht="15.75" customHeight="1"/>
    <row r="17773" ht="15.75" customHeight="1"/>
    <row r="17774" ht="15.75" customHeight="1"/>
    <row r="17775" ht="15.75" customHeight="1"/>
    <row r="17776" ht="15.75" customHeight="1"/>
    <row r="17777" ht="15.75" customHeight="1"/>
    <row r="17778" ht="15.75" customHeight="1"/>
    <row r="17779" ht="15.75" customHeight="1"/>
    <row r="17780" ht="15.75" customHeight="1"/>
    <row r="17781" ht="15.75" customHeight="1"/>
    <row r="17782" ht="15.75" customHeight="1"/>
    <row r="17783" ht="15.75" customHeight="1"/>
    <row r="17784" ht="15.75" customHeight="1"/>
    <row r="17785" ht="15.75" customHeight="1"/>
    <row r="17786" ht="15.75" customHeight="1"/>
    <row r="17787" ht="15.75" customHeight="1"/>
    <row r="17788" ht="15.75" customHeight="1"/>
    <row r="17789" ht="15.75" customHeight="1"/>
    <row r="17790" ht="15.75" customHeight="1"/>
    <row r="17791" ht="15.75" customHeight="1"/>
    <row r="17792" ht="15.75" customHeight="1"/>
    <row r="17793" ht="15.75" customHeight="1"/>
    <row r="17794" ht="15.75" customHeight="1"/>
    <row r="17795" ht="15.75" customHeight="1"/>
    <row r="17796" ht="15.75" customHeight="1"/>
    <row r="17797" ht="15.75" customHeight="1"/>
    <row r="17798" ht="15.75" customHeight="1"/>
    <row r="17799" ht="15.75" customHeight="1"/>
    <row r="17800" ht="15.75" customHeight="1"/>
    <row r="17801" ht="15.75" customHeight="1"/>
    <row r="17802" ht="15.75" customHeight="1"/>
    <row r="17803" ht="15.75" customHeight="1"/>
    <row r="17804" ht="15.75" customHeight="1"/>
    <row r="17805" ht="15.75" customHeight="1"/>
    <row r="17806" ht="15.75" customHeight="1"/>
    <row r="17807" ht="15.75" customHeight="1"/>
    <row r="17808" ht="15.75" customHeight="1"/>
    <row r="17809" ht="15.75" customHeight="1"/>
    <row r="17810" ht="15.75" customHeight="1"/>
    <row r="17811" ht="15.75" customHeight="1"/>
    <row r="17812" ht="15.75" customHeight="1"/>
    <row r="17813" ht="15.75" customHeight="1"/>
    <row r="17814" ht="15.75" customHeight="1"/>
    <row r="17815" ht="15.75" customHeight="1"/>
    <row r="17816" ht="15.75" customHeight="1"/>
    <row r="17817" ht="15.75" customHeight="1"/>
    <row r="17818" ht="15.75" customHeight="1"/>
    <row r="17819" ht="15.75" customHeight="1"/>
    <row r="17820" ht="15.75" customHeight="1"/>
    <row r="17821" ht="15.75" customHeight="1"/>
    <row r="17822" ht="15.75" customHeight="1"/>
    <row r="17823" ht="15.75" customHeight="1"/>
    <row r="17824" ht="15.75" customHeight="1"/>
    <row r="17825" ht="15.75" customHeight="1"/>
    <row r="17826" ht="15.75" customHeight="1"/>
    <row r="17827" ht="15.75" customHeight="1"/>
    <row r="17828" ht="15.75" customHeight="1"/>
    <row r="17829" ht="15.75" customHeight="1"/>
    <row r="17830" ht="15.75" customHeight="1"/>
    <row r="17831" ht="15.75" customHeight="1"/>
    <row r="17832" ht="15.75" customHeight="1"/>
    <row r="17833" ht="15.75" customHeight="1"/>
    <row r="17834" ht="15.75" customHeight="1"/>
    <row r="17835" ht="15.75" customHeight="1"/>
    <row r="17836" ht="15.75" customHeight="1"/>
    <row r="17837" ht="15.75" customHeight="1"/>
    <row r="17838" ht="15.75" customHeight="1"/>
    <row r="17839" ht="15.75" customHeight="1"/>
    <row r="17840" ht="15.75" customHeight="1"/>
    <row r="17841" ht="15.75" customHeight="1"/>
    <row r="17842" ht="15.75" customHeight="1"/>
    <row r="17843" ht="15.75" customHeight="1"/>
    <row r="17844" ht="15.75" customHeight="1"/>
    <row r="17845" ht="15.75" customHeight="1"/>
    <row r="17846" ht="15.75" customHeight="1"/>
    <row r="17847" ht="15.75" customHeight="1"/>
    <row r="17848" ht="15.75" customHeight="1"/>
    <row r="17849" ht="15.75" customHeight="1"/>
    <row r="17850" ht="15.75" customHeight="1"/>
    <row r="17851" ht="15.75" customHeight="1"/>
    <row r="17852" ht="15.75" customHeight="1"/>
    <row r="17853" ht="15.75" customHeight="1"/>
    <row r="17854" ht="15.75" customHeight="1"/>
    <row r="17855" ht="15.75" customHeight="1"/>
    <row r="17856" ht="15.75" customHeight="1"/>
    <row r="17857" ht="15.75" customHeight="1"/>
    <row r="17858" ht="15.75" customHeight="1"/>
    <row r="17859" ht="15.75" customHeight="1"/>
    <row r="17860" ht="15.75" customHeight="1"/>
    <row r="17861" ht="15.75" customHeight="1"/>
    <row r="17862" ht="15.75" customHeight="1"/>
    <row r="17863" ht="15.75" customHeight="1"/>
    <row r="17864" ht="15.75" customHeight="1"/>
    <row r="17865" ht="15.75" customHeight="1"/>
    <row r="17866" ht="15.75" customHeight="1"/>
    <row r="17867" ht="15.75" customHeight="1"/>
    <row r="17868" ht="15.75" customHeight="1"/>
    <row r="17869" ht="15.75" customHeight="1"/>
    <row r="17870" ht="15.75" customHeight="1"/>
    <row r="17871" ht="15.75" customHeight="1"/>
    <row r="17872" ht="15.75" customHeight="1"/>
    <row r="17873" ht="15.75" customHeight="1"/>
    <row r="17874" ht="15.75" customHeight="1"/>
    <row r="17875" ht="15.75" customHeight="1"/>
    <row r="17876" ht="15.75" customHeight="1"/>
    <row r="17877" ht="15.75" customHeight="1"/>
    <row r="17878" ht="15.75" customHeight="1"/>
    <row r="17879" ht="15.75" customHeight="1"/>
    <row r="17880" ht="15.75" customHeight="1"/>
    <row r="17881" ht="15.75" customHeight="1"/>
    <row r="17882" ht="15.75" customHeight="1"/>
    <row r="17883" ht="15.75" customHeight="1"/>
    <row r="17884" ht="15.75" customHeight="1"/>
    <row r="17885" ht="15.75" customHeight="1"/>
    <row r="17886" ht="15.75" customHeight="1"/>
    <row r="17887" ht="15.75" customHeight="1"/>
    <row r="17888" ht="15.75" customHeight="1"/>
    <row r="17889" ht="15.75" customHeight="1"/>
    <row r="17890" ht="15.75" customHeight="1"/>
    <row r="17891" ht="15.75" customHeight="1"/>
    <row r="17892" ht="15.75" customHeight="1"/>
    <row r="17893" ht="15.75" customHeight="1"/>
    <row r="17894" ht="15.75" customHeight="1"/>
    <row r="17895" ht="15.75" customHeight="1"/>
    <row r="17896" ht="15.75" customHeight="1"/>
    <row r="17897" ht="15.75" customHeight="1"/>
    <row r="17898" ht="15.75" customHeight="1"/>
    <row r="17899" ht="15.75" customHeight="1"/>
    <row r="17900" ht="15.75" customHeight="1"/>
    <row r="17901" ht="15.75" customHeight="1"/>
    <row r="17902" ht="15.75" customHeight="1"/>
    <row r="17903" ht="15.75" customHeight="1"/>
    <row r="17904" ht="15.75" customHeight="1"/>
    <row r="17905" ht="15.75" customHeight="1"/>
    <row r="17906" ht="15.75" customHeight="1"/>
    <row r="17907" ht="15.75" customHeight="1"/>
    <row r="17908" ht="15.75" customHeight="1"/>
    <row r="17909" ht="15.75" customHeight="1"/>
    <row r="17910" ht="15.75" customHeight="1"/>
    <row r="17911" ht="15.75" customHeight="1"/>
    <row r="17912" ht="15.75" customHeight="1"/>
    <row r="17913" ht="15.75" customHeight="1"/>
    <row r="17914" ht="15.75" customHeight="1"/>
    <row r="17915" ht="15.75" customHeight="1"/>
    <row r="17916" ht="15.75" customHeight="1"/>
    <row r="17917" ht="15.75" customHeight="1"/>
    <row r="17918" ht="15.75" customHeight="1"/>
    <row r="17919" ht="15.75" customHeight="1"/>
    <row r="17920" ht="15.75" customHeight="1"/>
    <row r="17921" ht="15.75" customHeight="1"/>
    <row r="17922" ht="15.75" customHeight="1"/>
    <row r="17923" ht="15.75" customHeight="1"/>
    <row r="17924" ht="15.75" customHeight="1"/>
    <row r="17925" ht="15.75" customHeight="1"/>
    <row r="17926" ht="15.75" customHeight="1"/>
    <row r="17927" ht="15.75" customHeight="1"/>
    <row r="17928" ht="15.75" customHeight="1"/>
    <row r="17929" ht="15.75" customHeight="1"/>
    <row r="17930" ht="15.75" customHeight="1"/>
    <row r="17931" ht="15.75" customHeight="1"/>
    <row r="17932" ht="15.75" customHeight="1"/>
    <row r="17933" ht="15.75" customHeight="1"/>
    <row r="17934" ht="15.75" customHeight="1"/>
    <row r="17935" ht="15.75" customHeight="1"/>
    <row r="17936" ht="15.75" customHeight="1"/>
    <row r="17937" ht="15.75" customHeight="1"/>
    <row r="17938" ht="15.75" customHeight="1"/>
    <row r="17939" ht="15.75" customHeight="1"/>
    <row r="17940" ht="15.75" customHeight="1"/>
    <row r="17941" ht="15.75" customHeight="1"/>
    <row r="17942" ht="15.75" customHeight="1"/>
    <row r="17943" ht="15.75" customHeight="1"/>
    <row r="17944" ht="15.75" customHeight="1"/>
    <row r="17945" ht="15.75" customHeight="1"/>
    <row r="17946" ht="15.75" customHeight="1"/>
    <row r="17947" ht="15.75" customHeight="1"/>
    <row r="17948" ht="15.75" customHeight="1"/>
    <row r="17949" ht="15.75" customHeight="1"/>
    <row r="17950" ht="15.75" customHeight="1"/>
    <row r="17951" ht="15.75" customHeight="1"/>
    <row r="17952" ht="15.75" customHeight="1"/>
    <row r="17953" ht="15.75" customHeight="1"/>
    <row r="17954" ht="15.75" customHeight="1"/>
    <row r="17955" ht="15.75" customHeight="1"/>
    <row r="17956" ht="15.75" customHeight="1"/>
    <row r="17957" ht="15.75" customHeight="1"/>
    <row r="17958" ht="15.75" customHeight="1"/>
    <row r="17959" ht="15.75" customHeight="1"/>
    <row r="17960" ht="15.75" customHeight="1"/>
    <row r="17961" ht="15.75" customHeight="1"/>
    <row r="17962" ht="15.75" customHeight="1"/>
    <row r="17963" ht="15.75" customHeight="1"/>
    <row r="17964" ht="15.75" customHeight="1"/>
    <row r="17965" ht="15.75" customHeight="1"/>
    <row r="17966" ht="15.75" customHeight="1"/>
    <row r="17967" ht="15.75" customHeight="1"/>
    <row r="17968" ht="15.75" customHeight="1"/>
    <row r="17969" ht="15.75" customHeight="1"/>
    <row r="17970" ht="15.75" customHeight="1"/>
    <row r="17971" ht="15.75" customHeight="1"/>
    <row r="17972" ht="15.75" customHeight="1"/>
    <row r="17973" ht="15.75" customHeight="1"/>
    <row r="17974" ht="15.75" customHeight="1"/>
    <row r="17975" ht="15.75" customHeight="1"/>
    <row r="17976" ht="15.75" customHeight="1"/>
    <row r="17977" ht="15.75" customHeight="1"/>
    <row r="17978" ht="15.75" customHeight="1"/>
    <row r="17979" ht="15.75" customHeight="1"/>
    <row r="17980" ht="15.75" customHeight="1"/>
    <row r="17981" ht="15.75" customHeight="1"/>
    <row r="17982" ht="15.75" customHeight="1"/>
    <row r="17983" ht="15.75" customHeight="1"/>
    <row r="17984" ht="15.75" customHeight="1"/>
    <row r="17985" ht="15.75" customHeight="1"/>
    <row r="17986" ht="15.75" customHeight="1"/>
    <row r="17987" ht="15.75" customHeight="1"/>
    <row r="17988" ht="15.75" customHeight="1"/>
    <row r="17989" ht="15.75" customHeight="1"/>
    <row r="17990" ht="15.75" customHeight="1"/>
    <row r="17991" ht="15.75" customHeight="1"/>
    <row r="17992" ht="15.75" customHeight="1"/>
    <row r="17993" ht="15.75" customHeight="1"/>
    <row r="17994" ht="15.75" customHeight="1"/>
    <row r="17995" ht="15.75" customHeight="1"/>
    <row r="17996" ht="15.75" customHeight="1"/>
    <row r="17997" ht="15.75" customHeight="1"/>
    <row r="17998" ht="15.75" customHeight="1"/>
    <row r="17999" ht="15.75" customHeight="1"/>
    <row r="18000" ht="15.75" customHeight="1"/>
    <row r="18001" ht="15.75" customHeight="1"/>
    <row r="18002" ht="15.75" customHeight="1"/>
    <row r="18003" ht="15.75" customHeight="1"/>
    <row r="18004" ht="15.75" customHeight="1"/>
    <row r="18005" ht="15.75" customHeight="1"/>
    <row r="18006" ht="15.75" customHeight="1"/>
    <row r="18007" ht="15.75" customHeight="1"/>
    <row r="18008" ht="15.75" customHeight="1"/>
    <row r="18009" ht="15.75" customHeight="1"/>
    <row r="18010" ht="15.75" customHeight="1"/>
    <row r="18011" ht="15.75" customHeight="1"/>
    <row r="18012" ht="15.75" customHeight="1"/>
    <row r="18013" ht="15.75" customHeight="1"/>
    <row r="18014" ht="15.75" customHeight="1"/>
    <row r="18015" ht="15.75" customHeight="1"/>
    <row r="18016" ht="15.75" customHeight="1"/>
    <row r="18017" ht="15.75" customHeight="1"/>
    <row r="18018" ht="15.75" customHeight="1"/>
    <row r="18019" ht="15.75" customHeight="1"/>
    <row r="18020" ht="15.75" customHeight="1"/>
    <row r="18021" ht="15.75" customHeight="1"/>
    <row r="18022" ht="15.75" customHeight="1"/>
    <row r="18023" ht="15.75" customHeight="1"/>
    <row r="18024" ht="15.75" customHeight="1"/>
    <row r="18025" ht="15.75" customHeight="1"/>
    <row r="18026" ht="15.75" customHeight="1"/>
    <row r="18027" ht="15.75" customHeight="1"/>
    <row r="18028" ht="15.75" customHeight="1"/>
    <row r="18029" ht="15.75" customHeight="1"/>
    <row r="18030" ht="15.75" customHeight="1"/>
    <row r="18031" ht="15.75" customHeight="1"/>
    <row r="18032" ht="15.75" customHeight="1"/>
    <row r="18033" ht="15.75" customHeight="1"/>
    <row r="18034" ht="15.75" customHeight="1"/>
    <row r="18035" ht="15.75" customHeight="1"/>
    <row r="18036" ht="15.75" customHeight="1"/>
    <row r="18037" ht="15.75" customHeight="1"/>
    <row r="18038" ht="15.75" customHeight="1"/>
    <row r="18039" ht="15.75" customHeight="1"/>
    <row r="18040" ht="15.75" customHeight="1"/>
    <row r="18041" ht="15.75" customHeight="1"/>
    <row r="18042" ht="15.75" customHeight="1"/>
    <row r="18043" ht="15.75" customHeight="1"/>
    <row r="18044" ht="15.75" customHeight="1"/>
    <row r="18045" ht="15.75" customHeight="1"/>
    <row r="18046" ht="15.75" customHeight="1"/>
    <row r="18047" ht="15.75" customHeight="1"/>
    <row r="18048" ht="15.75" customHeight="1"/>
    <row r="18049" ht="15.75" customHeight="1"/>
    <row r="18050" ht="15.75" customHeight="1"/>
    <row r="18051" ht="15.75" customHeight="1"/>
    <row r="18052" ht="15.75" customHeight="1"/>
    <row r="18053" ht="15.75" customHeight="1"/>
    <row r="18054" ht="15.75" customHeight="1"/>
    <row r="18055" ht="15.75" customHeight="1"/>
    <row r="18056" ht="15.75" customHeight="1"/>
    <row r="18057" ht="15.75" customHeight="1"/>
    <row r="18058" ht="15.75" customHeight="1"/>
    <row r="18059" ht="15.75" customHeight="1"/>
    <row r="18060" ht="15.75" customHeight="1"/>
    <row r="18061" ht="15.75" customHeight="1"/>
    <row r="18062" ht="15.75" customHeight="1"/>
    <row r="18063" ht="15.75" customHeight="1"/>
    <row r="18064" ht="15.75" customHeight="1"/>
    <row r="18065" ht="15.75" customHeight="1"/>
    <row r="18066" ht="15.75" customHeight="1"/>
    <row r="18067" ht="15.75" customHeight="1"/>
    <row r="18068" ht="15.75" customHeight="1"/>
    <row r="18069" ht="15.75" customHeight="1"/>
    <row r="18070" ht="15.75" customHeight="1"/>
    <row r="18071" ht="15.75" customHeight="1"/>
    <row r="18072" ht="15.75" customHeight="1"/>
    <row r="18073" ht="15.75" customHeight="1"/>
    <row r="18074" ht="15.75" customHeight="1"/>
    <row r="18075" ht="15.75" customHeight="1"/>
    <row r="18076" ht="15.75" customHeight="1"/>
    <row r="18077" ht="15.75" customHeight="1"/>
    <row r="18078" ht="15.75" customHeight="1"/>
    <row r="18079" ht="15.75" customHeight="1"/>
    <row r="18080" ht="15.75" customHeight="1"/>
    <row r="18081" ht="15.75" customHeight="1"/>
    <row r="18082" ht="15.75" customHeight="1"/>
    <row r="18083" ht="15.75" customHeight="1"/>
    <row r="18084" ht="15.75" customHeight="1"/>
    <row r="18085" ht="15.75" customHeight="1"/>
    <row r="18086" ht="15.75" customHeight="1"/>
    <row r="18087" ht="15.75" customHeight="1"/>
    <row r="18088" ht="15.75" customHeight="1"/>
    <row r="18089" ht="15.75" customHeight="1"/>
    <row r="18090" ht="15.75" customHeight="1"/>
    <row r="18091" ht="15.75" customHeight="1"/>
    <row r="18092" ht="15.75" customHeight="1"/>
    <row r="18093" ht="15.75" customHeight="1"/>
    <row r="18094" ht="15.75" customHeight="1"/>
    <row r="18095" ht="15.75" customHeight="1"/>
    <row r="18096" ht="15.75" customHeight="1"/>
    <row r="18097" ht="15.75" customHeight="1"/>
    <row r="18098" ht="15.75" customHeight="1"/>
    <row r="18099" ht="15.75" customHeight="1"/>
    <row r="18100" ht="15.75" customHeight="1"/>
    <row r="18101" ht="15.75" customHeight="1"/>
    <row r="18102" ht="15.75" customHeight="1"/>
    <row r="18103" ht="15.75" customHeight="1"/>
    <row r="18104" ht="15.75" customHeight="1"/>
    <row r="18105" ht="15.75" customHeight="1"/>
    <row r="18106" ht="15.75" customHeight="1"/>
    <row r="18107" ht="15.75" customHeight="1"/>
    <row r="18108" ht="15.75" customHeight="1"/>
    <row r="18109" ht="15.75" customHeight="1"/>
    <row r="18110" ht="15.75" customHeight="1"/>
    <row r="18111" ht="15.75" customHeight="1"/>
    <row r="18112" ht="15.75" customHeight="1"/>
    <row r="18113" ht="15.75" customHeight="1"/>
    <row r="18114" ht="15.75" customHeight="1"/>
    <row r="18115" ht="15.75" customHeight="1"/>
    <row r="18116" ht="15.75" customHeight="1"/>
    <row r="18117" ht="15.75" customHeight="1"/>
    <row r="18118" ht="15.75" customHeight="1"/>
    <row r="18119" ht="15.75" customHeight="1"/>
    <row r="18120" ht="15.75" customHeight="1"/>
    <row r="18121" ht="15.75" customHeight="1"/>
    <row r="18122" ht="15.75" customHeight="1"/>
    <row r="18123" ht="15.75" customHeight="1"/>
    <row r="18124" ht="15.75" customHeight="1"/>
    <row r="18125" ht="15.75" customHeight="1"/>
    <row r="18126" ht="15.75" customHeight="1"/>
    <row r="18127" ht="15.75" customHeight="1"/>
    <row r="18128" ht="15.75" customHeight="1"/>
    <row r="18129" ht="15.75" customHeight="1"/>
    <row r="18130" ht="15.75" customHeight="1"/>
    <row r="18131" ht="15.75" customHeight="1"/>
    <row r="18132" ht="15.75" customHeight="1"/>
    <row r="18133" ht="15.75" customHeight="1"/>
    <row r="18134" ht="15.75" customHeight="1"/>
    <row r="18135" ht="15.75" customHeight="1"/>
    <row r="18136" ht="15.75" customHeight="1"/>
    <row r="18137" ht="15.75" customHeight="1"/>
    <row r="18138" ht="15.75" customHeight="1"/>
    <row r="18139" ht="15.75" customHeight="1"/>
    <row r="18140" ht="15.75" customHeight="1"/>
    <row r="18141" ht="15.75" customHeight="1"/>
    <row r="18142" ht="15.75" customHeight="1"/>
    <row r="18143" ht="15.75" customHeight="1"/>
    <row r="18144" ht="15.75" customHeight="1"/>
    <row r="18145" ht="15.75" customHeight="1"/>
    <row r="18146" ht="15.75" customHeight="1"/>
    <row r="18147" ht="15.75" customHeight="1"/>
    <row r="18148" ht="15.75" customHeight="1"/>
    <row r="18149" ht="15.75" customHeight="1"/>
    <row r="18150" ht="15.75" customHeight="1"/>
    <row r="18151" ht="15.75" customHeight="1"/>
    <row r="18152" ht="15.75" customHeight="1"/>
    <row r="18153" ht="15.75" customHeight="1"/>
    <row r="18154" ht="15.75" customHeight="1"/>
    <row r="18155" ht="15.75" customHeight="1"/>
    <row r="18156" ht="15.75" customHeight="1"/>
    <row r="18157" ht="15.75" customHeight="1"/>
    <row r="18158" ht="15.75" customHeight="1"/>
    <row r="18159" ht="15.75" customHeight="1"/>
    <row r="18160" ht="15.75" customHeight="1"/>
    <row r="18161" ht="15.75" customHeight="1"/>
    <row r="18162" ht="15.75" customHeight="1"/>
    <row r="18163" ht="15.75" customHeight="1"/>
    <row r="18164" ht="15.75" customHeight="1"/>
    <row r="18165" ht="15.75" customHeight="1"/>
    <row r="18166" ht="15.75" customHeight="1"/>
    <row r="18167" ht="15.75" customHeight="1"/>
    <row r="18168" ht="15.75" customHeight="1"/>
    <row r="18169" ht="15.75" customHeight="1"/>
    <row r="18170" ht="15.75" customHeight="1"/>
    <row r="18171" ht="15.75" customHeight="1"/>
    <row r="18172" ht="15.75" customHeight="1"/>
    <row r="18173" ht="15.75" customHeight="1"/>
    <row r="18174" ht="15.75" customHeight="1"/>
    <row r="18175" ht="15.75" customHeight="1"/>
    <row r="18176" ht="15.75" customHeight="1"/>
    <row r="18177" ht="15.75" customHeight="1"/>
    <row r="18178" ht="15.75" customHeight="1"/>
    <row r="18179" ht="15.75" customHeight="1"/>
    <row r="18180" ht="15.75" customHeight="1"/>
    <row r="18181" ht="15.75" customHeight="1"/>
    <row r="18182" ht="15.75" customHeight="1"/>
    <row r="18183" ht="15.75" customHeight="1"/>
    <row r="18184" ht="15.75" customHeight="1"/>
    <row r="18185" ht="15.75" customHeight="1"/>
    <row r="18186" ht="15.75" customHeight="1"/>
    <row r="18187" ht="15.75" customHeight="1"/>
    <row r="18188" ht="15.75" customHeight="1"/>
    <row r="18189" ht="15.75" customHeight="1"/>
    <row r="18190" ht="15.75" customHeight="1"/>
    <row r="18191" ht="15.75" customHeight="1"/>
    <row r="18192" ht="15.75" customHeight="1"/>
    <row r="18193" ht="15.75" customHeight="1"/>
    <row r="18194" ht="15.75" customHeight="1"/>
    <row r="18195" ht="15.75" customHeight="1"/>
    <row r="18196" ht="15.75" customHeight="1"/>
    <row r="18197" ht="15.75" customHeight="1"/>
    <row r="18198" ht="15.75" customHeight="1"/>
    <row r="18199" ht="15.75" customHeight="1"/>
    <row r="18200" ht="15.75" customHeight="1"/>
    <row r="18201" ht="15.75" customHeight="1"/>
    <row r="18202" ht="15.75" customHeight="1"/>
    <row r="18203" ht="15.75" customHeight="1"/>
    <row r="18204" ht="15.75" customHeight="1"/>
    <row r="18205" ht="15.75" customHeight="1"/>
    <row r="18206" ht="15.75" customHeight="1"/>
    <row r="18207" ht="15.75" customHeight="1"/>
    <row r="18208" ht="15.75" customHeight="1"/>
    <row r="18209" ht="15.75" customHeight="1"/>
    <row r="18210" ht="15.75" customHeight="1"/>
    <row r="18211" ht="15.75" customHeight="1"/>
    <row r="18212" ht="15.75" customHeight="1"/>
    <row r="18213" ht="15.75" customHeight="1"/>
    <row r="18214" ht="15.75" customHeight="1"/>
    <row r="18215" ht="15.75" customHeight="1"/>
    <row r="18216" ht="15.75" customHeight="1"/>
    <row r="18217" ht="15.75" customHeight="1"/>
    <row r="18218" ht="15.75" customHeight="1"/>
    <row r="18219" ht="15.75" customHeight="1"/>
    <row r="18220" ht="15.75" customHeight="1"/>
    <row r="18221" ht="15.75" customHeight="1"/>
    <row r="18222" ht="15.75" customHeight="1"/>
    <row r="18223" ht="15.75" customHeight="1"/>
    <row r="18224" ht="15.75" customHeight="1"/>
    <row r="18225" ht="15.75" customHeight="1"/>
    <row r="18226" ht="15.75" customHeight="1"/>
    <row r="18227" ht="15.75" customHeight="1"/>
    <row r="18228" ht="15.75" customHeight="1"/>
    <row r="18229" ht="15.75" customHeight="1"/>
    <row r="18230" ht="15.75" customHeight="1"/>
    <row r="18231" ht="15.75" customHeight="1"/>
    <row r="18232" ht="15.75" customHeight="1"/>
    <row r="18233" ht="15.75" customHeight="1"/>
    <row r="18234" ht="15.75" customHeight="1"/>
    <row r="18235" ht="15.75" customHeight="1"/>
    <row r="18236" ht="15.75" customHeight="1"/>
    <row r="18237" ht="15.75" customHeight="1"/>
    <row r="18238" ht="15.75" customHeight="1"/>
    <row r="18239" ht="15.75" customHeight="1"/>
    <row r="18240" ht="15.75" customHeight="1"/>
    <row r="18241" ht="15.75" customHeight="1"/>
    <row r="18242" ht="15.75" customHeight="1"/>
    <row r="18243" ht="15.75" customHeight="1"/>
    <row r="18244" ht="15.75" customHeight="1"/>
    <row r="18245" ht="15.75" customHeight="1"/>
    <row r="18246" ht="15.75" customHeight="1"/>
    <row r="18247" ht="15.75" customHeight="1"/>
    <row r="18248" ht="15.75" customHeight="1"/>
    <row r="18249" ht="15.75" customHeight="1"/>
    <row r="18250" ht="15.75" customHeight="1"/>
    <row r="18251" ht="15.75" customHeight="1"/>
    <row r="18252" ht="15.75" customHeight="1"/>
    <row r="18253" ht="15.75" customHeight="1"/>
    <row r="18254" ht="15.75" customHeight="1"/>
    <row r="18255" ht="15.75" customHeight="1"/>
    <row r="18256" ht="15.75" customHeight="1"/>
    <row r="18257" ht="15.75" customHeight="1"/>
    <row r="18258" ht="15.75" customHeight="1"/>
    <row r="18259" ht="15.75" customHeight="1"/>
    <row r="18260" ht="15.75" customHeight="1"/>
    <row r="18261" ht="15.75" customHeight="1"/>
    <row r="18262" ht="15.75" customHeight="1"/>
    <row r="18263" ht="15.75" customHeight="1"/>
    <row r="18264" ht="15.75" customHeight="1"/>
    <row r="18265" ht="15.75" customHeight="1"/>
    <row r="18266" ht="15.75" customHeight="1"/>
    <row r="18267" ht="15.75" customHeight="1"/>
    <row r="18268" ht="15.75" customHeight="1"/>
    <row r="18269" ht="15.75" customHeight="1"/>
    <row r="18270" ht="15.75" customHeight="1"/>
    <row r="18271" ht="15.75" customHeight="1"/>
    <row r="18272" ht="15.75" customHeight="1"/>
    <row r="18273" ht="15.75" customHeight="1"/>
    <row r="18274" ht="15.75" customHeight="1"/>
    <row r="18275" ht="15.75" customHeight="1"/>
    <row r="18276" ht="15.75" customHeight="1"/>
    <row r="18277" ht="15.75" customHeight="1"/>
    <row r="18278" ht="15.75" customHeight="1"/>
    <row r="18279" ht="15.75" customHeight="1"/>
    <row r="18280" ht="15.75" customHeight="1"/>
    <row r="18281" ht="15.75" customHeight="1"/>
    <row r="18282" ht="15.75" customHeight="1"/>
    <row r="18283" ht="15.75" customHeight="1"/>
    <row r="18284" ht="15.75" customHeight="1"/>
    <row r="18285" ht="15.75" customHeight="1"/>
    <row r="18286" ht="15.75" customHeight="1"/>
    <row r="18287" ht="15.75" customHeight="1"/>
    <row r="18288" ht="15.75" customHeight="1"/>
    <row r="18289" ht="15.75" customHeight="1"/>
    <row r="18290" ht="15.75" customHeight="1"/>
    <row r="18291" ht="15.75" customHeight="1"/>
    <row r="18292" ht="15.75" customHeight="1"/>
    <row r="18293" ht="15.75" customHeight="1"/>
    <row r="18294" ht="15.75" customHeight="1"/>
    <row r="18295" ht="15.75" customHeight="1"/>
    <row r="18296" ht="15.75" customHeight="1"/>
    <row r="18297" ht="15.75" customHeight="1"/>
    <row r="18298" ht="15.75" customHeight="1"/>
    <row r="18299" ht="15.75" customHeight="1"/>
    <row r="18300" ht="15.75" customHeight="1"/>
    <row r="18301" ht="15.75" customHeight="1"/>
    <row r="18302" ht="15.75" customHeight="1"/>
    <row r="18303" ht="15.75" customHeight="1"/>
    <row r="18304" ht="15.75" customHeight="1"/>
    <row r="18305" ht="15.75" customHeight="1"/>
    <row r="18306" ht="15.75" customHeight="1"/>
    <row r="18307" ht="15.75" customHeight="1"/>
    <row r="18308" ht="15.75" customHeight="1"/>
    <row r="18309" ht="15.75" customHeight="1"/>
    <row r="18310" ht="15.75" customHeight="1"/>
    <row r="18311" ht="15.75" customHeight="1"/>
    <row r="18312" ht="15.75" customHeight="1"/>
    <row r="18313" ht="15.75" customHeight="1"/>
    <row r="18314" ht="15.75" customHeight="1"/>
    <row r="18315" ht="15.75" customHeight="1"/>
    <row r="18316" ht="15.75" customHeight="1"/>
    <row r="18317" ht="15.75" customHeight="1"/>
    <row r="18318" ht="15.75" customHeight="1"/>
    <row r="18319" ht="15.75" customHeight="1"/>
    <row r="18320" ht="15.75" customHeight="1"/>
    <row r="18321" ht="15.75" customHeight="1"/>
    <row r="18322" ht="15.75" customHeight="1"/>
    <row r="18323" ht="15.75" customHeight="1"/>
    <row r="18324" ht="15.75" customHeight="1"/>
    <row r="18325" ht="15.75" customHeight="1"/>
    <row r="18326" ht="15.75" customHeight="1"/>
    <row r="18327" ht="15.75" customHeight="1"/>
    <row r="18328" ht="15.75" customHeight="1"/>
    <row r="18329" ht="15.75" customHeight="1"/>
    <row r="18330" ht="15.75" customHeight="1"/>
    <row r="18331" ht="15.75" customHeight="1"/>
    <row r="18332" ht="15.75" customHeight="1"/>
    <row r="18333" ht="15.75" customHeight="1"/>
    <row r="18334" ht="15.75" customHeight="1"/>
    <row r="18335" ht="15.75" customHeight="1"/>
    <row r="18336" ht="15.75" customHeight="1"/>
    <row r="18337" ht="15.75" customHeight="1"/>
    <row r="18338" ht="15.75" customHeight="1"/>
    <row r="18339" ht="15.75" customHeight="1"/>
    <row r="18340" ht="15.75" customHeight="1"/>
    <row r="18341" ht="15.75" customHeight="1"/>
    <row r="18342" ht="15.75" customHeight="1"/>
    <row r="18343" ht="15.75" customHeight="1"/>
    <row r="18344" ht="15.75" customHeight="1"/>
    <row r="18345" ht="15.75" customHeight="1"/>
    <row r="18346" ht="15.75" customHeight="1"/>
    <row r="18347" ht="15.75" customHeight="1"/>
    <row r="18348" ht="15.75" customHeight="1"/>
    <row r="18349" ht="15.75" customHeight="1"/>
    <row r="18350" ht="15.75" customHeight="1"/>
    <row r="18351" ht="15.75" customHeight="1"/>
    <row r="18352" ht="15.75" customHeight="1"/>
    <row r="18353" ht="15.75" customHeight="1"/>
    <row r="18354" ht="15.75" customHeight="1"/>
    <row r="18355" ht="15.75" customHeight="1"/>
    <row r="18356" ht="15.75" customHeight="1"/>
    <row r="18357" ht="15.75" customHeight="1"/>
    <row r="18358" ht="15.75" customHeight="1"/>
    <row r="18359" ht="15.75" customHeight="1"/>
    <row r="18360" ht="15.75" customHeight="1"/>
    <row r="18361" ht="15.75" customHeight="1"/>
    <row r="18362" ht="15.75" customHeight="1"/>
    <row r="18363" ht="15.75" customHeight="1"/>
    <row r="18364" ht="15.75" customHeight="1"/>
    <row r="18365" ht="15.75" customHeight="1"/>
    <row r="18366" ht="15.75" customHeight="1"/>
    <row r="18367" ht="15.75" customHeight="1"/>
    <row r="18368" ht="15.75" customHeight="1"/>
    <row r="18369" ht="15.75" customHeight="1"/>
    <row r="18370" ht="15.75" customHeight="1"/>
    <row r="18371" ht="15.75" customHeight="1"/>
    <row r="18372" ht="15.75" customHeight="1"/>
    <row r="18373" ht="15.75" customHeight="1"/>
    <row r="18374" ht="15.75" customHeight="1"/>
    <row r="18375" ht="15.75" customHeight="1"/>
    <row r="18376" ht="15.75" customHeight="1"/>
    <row r="18377" ht="15.75" customHeight="1"/>
    <row r="18378" ht="15.75" customHeight="1"/>
    <row r="18379" ht="15.75" customHeight="1"/>
    <row r="18380" ht="15.75" customHeight="1"/>
    <row r="18381" ht="15.75" customHeight="1"/>
    <row r="18382" ht="15.75" customHeight="1"/>
    <row r="18383" ht="15.75" customHeight="1"/>
    <row r="18384" ht="15.75" customHeight="1"/>
    <row r="18385" ht="15.75" customHeight="1"/>
    <row r="18386" ht="15.75" customHeight="1"/>
    <row r="18387" ht="15.75" customHeight="1"/>
    <row r="18388" ht="15.75" customHeight="1"/>
    <row r="18389" ht="15.75" customHeight="1"/>
    <row r="18390" ht="15.75" customHeight="1"/>
    <row r="18391" ht="15.75" customHeight="1"/>
    <row r="18392" ht="15.75" customHeight="1"/>
    <row r="18393" ht="15.75" customHeight="1"/>
    <row r="18394" ht="15.75" customHeight="1"/>
    <row r="18395" ht="15.75" customHeight="1"/>
    <row r="18396" ht="15.75" customHeight="1"/>
    <row r="18397" ht="15.75" customHeight="1"/>
    <row r="18398" ht="15.75" customHeight="1"/>
    <row r="18399" ht="15.75" customHeight="1"/>
    <row r="18400" ht="15.75" customHeight="1"/>
    <row r="18401" ht="15.75" customHeight="1"/>
    <row r="18402" ht="15.75" customHeight="1"/>
    <row r="18403" ht="15.75" customHeight="1"/>
    <row r="18404" ht="15.75" customHeight="1"/>
    <row r="18405" ht="15.75" customHeight="1"/>
    <row r="18406" ht="15.75" customHeight="1"/>
    <row r="18407" ht="15.75" customHeight="1"/>
    <row r="18408" ht="15.75" customHeight="1"/>
    <row r="18409" ht="15.75" customHeight="1"/>
    <row r="18410" ht="15.75" customHeight="1"/>
    <row r="18411" ht="15.75" customHeight="1"/>
    <row r="18412" ht="15.75" customHeight="1"/>
    <row r="18413" ht="15.75" customHeight="1"/>
    <row r="18414" ht="15.75" customHeight="1"/>
    <row r="18415" ht="15.75" customHeight="1"/>
    <row r="18416" ht="15.75" customHeight="1"/>
    <row r="18417" ht="15.75" customHeight="1"/>
    <row r="18418" ht="15.75" customHeight="1"/>
    <row r="18419" ht="15.75" customHeight="1"/>
    <row r="18420" ht="15.75" customHeight="1"/>
    <row r="18421" ht="15.75" customHeight="1"/>
    <row r="18422" ht="15.75" customHeight="1"/>
    <row r="18423" ht="15.75" customHeight="1"/>
    <row r="18424" ht="15.75" customHeight="1"/>
    <row r="18425" ht="15.75" customHeight="1"/>
    <row r="18426" ht="15.75" customHeight="1"/>
    <row r="18427" ht="15.75" customHeight="1"/>
    <row r="18428" ht="15.75" customHeight="1"/>
    <row r="18429" ht="15.75" customHeight="1"/>
    <row r="18430" ht="15.75" customHeight="1"/>
    <row r="18431" ht="15.75" customHeight="1"/>
    <row r="18432" ht="15.75" customHeight="1"/>
    <row r="18433" ht="15.75" customHeight="1"/>
    <row r="18434" ht="15.75" customHeight="1"/>
    <row r="18435" ht="15.75" customHeight="1"/>
    <row r="18436" ht="15.75" customHeight="1"/>
    <row r="18437" ht="15.75" customHeight="1"/>
    <row r="18438" ht="15.75" customHeight="1"/>
    <row r="18439" ht="15.75" customHeight="1"/>
    <row r="18440" ht="15.75" customHeight="1"/>
    <row r="18441" ht="15.75" customHeight="1"/>
    <row r="18442" ht="15.75" customHeight="1"/>
    <row r="18443" ht="15.75" customHeight="1"/>
    <row r="18444" ht="15.75" customHeight="1"/>
    <row r="18445" ht="15.75" customHeight="1"/>
    <row r="18446" ht="15.75" customHeight="1"/>
    <row r="18447" ht="15.75" customHeight="1"/>
    <row r="18448" ht="15.75" customHeight="1"/>
    <row r="18449" ht="15.75" customHeight="1"/>
    <row r="18450" ht="15.75" customHeight="1"/>
    <row r="18451" ht="15.75" customHeight="1"/>
    <row r="18452" ht="15.75" customHeight="1"/>
    <row r="18453" ht="15.75" customHeight="1"/>
    <row r="18454" ht="15.75" customHeight="1"/>
    <row r="18455" ht="15.75" customHeight="1"/>
    <row r="18456" ht="15.75" customHeight="1"/>
    <row r="18457" ht="15.75" customHeight="1"/>
    <row r="18458" ht="15.75" customHeight="1"/>
    <row r="18459" ht="15.75" customHeight="1"/>
    <row r="18460" ht="15.75" customHeight="1"/>
    <row r="18461" ht="15.75" customHeight="1"/>
    <row r="18462" ht="15.75" customHeight="1"/>
    <row r="18463" ht="15.75" customHeight="1"/>
    <row r="18464" ht="15.75" customHeight="1"/>
    <row r="18465" ht="15.75" customHeight="1"/>
    <row r="18466" ht="15.75" customHeight="1"/>
    <row r="18467" ht="15.75" customHeight="1"/>
    <row r="18468" ht="15.75" customHeight="1"/>
    <row r="18469" ht="15.75" customHeight="1"/>
    <row r="18470" ht="15.75" customHeight="1"/>
    <row r="18471" ht="15.75" customHeight="1"/>
    <row r="18472" ht="15.75" customHeight="1"/>
    <row r="18473" ht="15.75" customHeight="1"/>
    <row r="18474" ht="15.75" customHeight="1"/>
    <row r="18475" ht="15.75" customHeight="1"/>
    <row r="18476" ht="15.75" customHeight="1"/>
    <row r="18477" ht="15.75" customHeight="1"/>
    <row r="18478" ht="15.75" customHeight="1"/>
    <row r="18479" ht="15.75" customHeight="1"/>
    <row r="18480" ht="15.75" customHeight="1"/>
    <row r="18481" ht="15.75" customHeight="1"/>
    <row r="18482" ht="15.75" customHeight="1"/>
    <row r="18483" ht="15.75" customHeight="1"/>
    <row r="18484" ht="15.75" customHeight="1"/>
    <row r="18485" ht="15.75" customHeight="1"/>
    <row r="18486" ht="15.75" customHeight="1"/>
    <row r="18487" ht="15.75" customHeight="1"/>
    <row r="18488" ht="15.75" customHeight="1"/>
    <row r="18489" ht="15.75" customHeight="1"/>
    <row r="18490" ht="15.75" customHeight="1"/>
    <row r="18491" ht="15.75" customHeight="1"/>
    <row r="18492" ht="15.75" customHeight="1"/>
    <row r="18493" ht="15.75" customHeight="1"/>
    <row r="18494" ht="15.75" customHeight="1"/>
    <row r="18495" ht="15.75" customHeight="1"/>
    <row r="18496" ht="15.75" customHeight="1"/>
    <row r="18497" ht="15.75" customHeight="1"/>
    <row r="18498" ht="15.75" customHeight="1"/>
    <row r="18499" ht="15.75" customHeight="1"/>
    <row r="18500" ht="15.75" customHeight="1"/>
    <row r="18501" ht="15.75" customHeight="1"/>
    <row r="18502" ht="15.75" customHeight="1"/>
    <row r="18503" ht="15.75" customHeight="1"/>
    <row r="18504" ht="15.75" customHeight="1"/>
    <row r="18505" ht="15.75" customHeight="1"/>
    <row r="18506" ht="15.75" customHeight="1"/>
    <row r="18507" ht="15.75" customHeight="1"/>
    <row r="18508" ht="15.75" customHeight="1"/>
    <row r="18509" ht="15.75" customHeight="1"/>
    <row r="18510" ht="15.75" customHeight="1"/>
    <row r="18511" ht="15.75" customHeight="1"/>
    <row r="18512" ht="15.75" customHeight="1"/>
    <row r="18513" ht="15.75" customHeight="1"/>
    <row r="18514" ht="15.75" customHeight="1"/>
    <row r="18515" ht="15.75" customHeight="1"/>
    <row r="18516" ht="15.75" customHeight="1"/>
    <row r="18517" ht="15.75" customHeight="1"/>
    <row r="18518" ht="15.75" customHeight="1"/>
    <row r="18519" ht="15.75" customHeight="1"/>
    <row r="18520" ht="15.75" customHeight="1"/>
    <row r="18521" ht="15.75" customHeight="1"/>
    <row r="18522" ht="15.75" customHeight="1"/>
    <row r="18523" ht="15.75" customHeight="1"/>
    <row r="18524" ht="15.75" customHeight="1"/>
    <row r="18525" ht="15.75" customHeight="1"/>
    <row r="18526" ht="15.75" customHeight="1"/>
    <row r="18527" ht="15.75" customHeight="1"/>
    <row r="18528" ht="15.75" customHeight="1"/>
    <row r="18529" ht="15.75" customHeight="1"/>
    <row r="18530" ht="15.75" customHeight="1"/>
    <row r="18531" ht="15.75" customHeight="1"/>
    <row r="18532" ht="15.75" customHeight="1"/>
    <row r="18533" ht="15.75" customHeight="1"/>
    <row r="18534" ht="15.75" customHeight="1"/>
    <row r="18535" ht="15.75" customHeight="1"/>
    <row r="18536" ht="15.75" customHeight="1"/>
    <row r="18537" ht="15.75" customHeight="1"/>
    <row r="18538" ht="15.75" customHeight="1"/>
    <row r="18539" ht="15.75" customHeight="1"/>
    <row r="18540" ht="15.75" customHeight="1"/>
    <row r="18541" ht="15.75" customHeight="1"/>
    <row r="18542" ht="15.75" customHeight="1"/>
    <row r="18543" ht="15.75" customHeight="1"/>
    <row r="18544" ht="15.75" customHeight="1"/>
    <row r="18545" ht="15.75" customHeight="1"/>
    <row r="18546" ht="15.75" customHeight="1"/>
    <row r="18547" ht="15.75" customHeight="1"/>
    <row r="18548" ht="15.75" customHeight="1"/>
    <row r="18549" ht="15.75" customHeight="1"/>
    <row r="18550" ht="15.75" customHeight="1"/>
    <row r="18551" ht="15.75" customHeight="1"/>
    <row r="18552" ht="15.75" customHeight="1"/>
    <row r="18553" ht="15.75" customHeight="1"/>
    <row r="18554" ht="15.75" customHeight="1"/>
    <row r="18555" ht="15.75" customHeight="1"/>
    <row r="18556" ht="15.75" customHeight="1"/>
    <row r="18557" ht="15.75" customHeight="1"/>
    <row r="18558" ht="15.75" customHeight="1"/>
    <row r="18559" ht="15.75" customHeight="1"/>
    <row r="18560" ht="15.75" customHeight="1"/>
    <row r="18561" ht="15.75" customHeight="1"/>
    <row r="18562" ht="15.75" customHeight="1"/>
    <row r="18563" ht="15.75" customHeight="1"/>
    <row r="18564" ht="15.75" customHeight="1"/>
    <row r="18565" ht="15.75" customHeight="1"/>
    <row r="18566" ht="15.75" customHeight="1"/>
    <row r="18567" ht="15.75" customHeight="1"/>
    <row r="18568" ht="15.75" customHeight="1"/>
    <row r="18569" ht="15.75" customHeight="1"/>
    <row r="18570" ht="15.75" customHeight="1"/>
    <row r="18571" ht="15.75" customHeight="1"/>
    <row r="18572" ht="15.75" customHeight="1"/>
    <row r="18573" ht="15.75" customHeight="1"/>
    <row r="18574" ht="15.75" customHeight="1"/>
    <row r="18575" ht="15.75" customHeight="1"/>
    <row r="18576" ht="15.75" customHeight="1"/>
    <row r="18577" ht="15.75" customHeight="1"/>
    <row r="18578" ht="15.75" customHeight="1"/>
    <row r="18579" ht="15.75" customHeight="1"/>
    <row r="18580" ht="15.75" customHeight="1"/>
    <row r="18581" ht="15.75" customHeight="1"/>
    <row r="18582" ht="15.75" customHeight="1"/>
    <row r="18583" ht="15.75" customHeight="1"/>
    <row r="18584" ht="15.75" customHeight="1"/>
    <row r="18585" ht="15.75" customHeight="1"/>
    <row r="18586" ht="15.75" customHeight="1"/>
    <row r="18587" ht="15.75" customHeight="1"/>
    <row r="18588" ht="15.75" customHeight="1"/>
    <row r="18589" ht="15.75" customHeight="1"/>
    <row r="18590" ht="15.75" customHeight="1"/>
    <row r="18591" ht="15.75" customHeight="1"/>
    <row r="18592" ht="15.75" customHeight="1"/>
    <row r="18593" ht="15.75" customHeight="1"/>
    <row r="18594" ht="15.75" customHeight="1"/>
    <row r="18595" ht="15.75" customHeight="1"/>
    <row r="18596" ht="15.75" customHeight="1"/>
    <row r="18597" ht="15.75" customHeight="1"/>
    <row r="18598" ht="15.75" customHeight="1"/>
    <row r="18599" ht="15.75" customHeight="1"/>
    <row r="18600" ht="15.75" customHeight="1"/>
    <row r="18601" ht="15.75" customHeight="1"/>
    <row r="18602" ht="15.75" customHeight="1"/>
    <row r="18603" ht="15.75" customHeight="1"/>
    <row r="18604" ht="15.75" customHeight="1"/>
    <row r="18605" ht="15.75" customHeight="1"/>
    <row r="18606" ht="15.75" customHeight="1"/>
    <row r="18607" ht="15.75" customHeight="1"/>
    <row r="18608" ht="15.75" customHeight="1"/>
    <row r="18609" ht="15.75" customHeight="1"/>
    <row r="18610" ht="15.75" customHeight="1"/>
    <row r="18611" ht="15.75" customHeight="1"/>
    <row r="18612" ht="15.75" customHeight="1"/>
    <row r="18613" ht="15.75" customHeight="1"/>
    <row r="18614" ht="15.75" customHeight="1"/>
    <row r="18615" ht="15.75" customHeight="1"/>
    <row r="18616" ht="15.75" customHeight="1"/>
    <row r="18617" ht="15.75" customHeight="1"/>
    <row r="18618" ht="15.75" customHeight="1"/>
    <row r="18619" ht="15.75" customHeight="1"/>
    <row r="18620" ht="15.75" customHeight="1"/>
    <row r="18621" ht="15.75" customHeight="1"/>
    <row r="18622" ht="15.75" customHeight="1"/>
    <row r="18623" ht="15.75" customHeight="1"/>
    <row r="18624" ht="15.75" customHeight="1"/>
    <row r="18625" ht="15.75" customHeight="1"/>
    <row r="18626" ht="15.75" customHeight="1"/>
    <row r="18627" ht="15.75" customHeight="1"/>
    <row r="18628" ht="15.75" customHeight="1"/>
    <row r="18629" ht="15.75" customHeight="1"/>
    <row r="18630" ht="15.75" customHeight="1"/>
    <row r="18631" ht="15.75" customHeight="1"/>
    <row r="18632" ht="15.75" customHeight="1"/>
    <row r="18633" ht="15.75" customHeight="1"/>
    <row r="18634" ht="15.75" customHeight="1"/>
    <row r="18635" ht="15.75" customHeight="1"/>
    <row r="18636" ht="15.75" customHeight="1"/>
    <row r="18637" ht="15.75" customHeight="1"/>
    <row r="18638" ht="15.75" customHeight="1"/>
    <row r="18639" ht="15.75" customHeight="1"/>
    <row r="18640" ht="15.75" customHeight="1"/>
    <row r="18641" ht="15.75" customHeight="1"/>
    <row r="18642" ht="15.75" customHeight="1"/>
    <row r="18643" ht="15.75" customHeight="1"/>
    <row r="18644" ht="15.75" customHeight="1"/>
    <row r="18645" ht="15.75" customHeight="1"/>
    <row r="18646" ht="15.75" customHeight="1"/>
    <row r="18647" ht="15.75" customHeight="1"/>
    <row r="18648" ht="15.75" customHeight="1"/>
    <row r="18649" ht="15.75" customHeight="1"/>
    <row r="18650" ht="15.75" customHeight="1"/>
    <row r="18651" ht="15.75" customHeight="1"/>
    <row r="18652" ht="15.75" customHeight="1"/>
    <row r="18653" ht="15.75" customHeight="1"/>
    <row r="18654" ht="15.75" customHeight="1"/>
    <row r="18655" ht="15.75" customHeight="1"/>
    <row r="18656" ht="15.75" customHeight="1"/>
    <row r="18657" ht="15.75" customHeight="1"/>
    <row r="18658" ht="15.75" customHeight="1"/>
    <row r="18659" ht="15.75" customHeight="1"/>
    <row r="18660" ht="15.75" customHeight="1"/>
    <row r="18661" ht="15.75" customHeight="1"/>
    <row r="18662" ht="15.75" customHeight="1"/>
    <row r="18663" ht="15.75" customHeight="1"/>
    <row r="18664" ht="15.75" customHeight="1"/>
    <row r="18665" ht="15.75" customHeight="1"/>
    <row r="18666" ht="15.75" customHeight="1"/>
    <row r="18667" ht="15.75" customHeight="1"/>
    <row r="18668" ht="15.75" customHeight="1"/>
    <row r="18669" ht="15.75" customHeight="1"/>
    <row r="18670" ht="15.75" customHeight="1"/>
    <row r="18671" ht="15.75" customHeight="1"/>
    <row r="18672" ht="15.75" customHeight="1"/>
    <row r="18673" ht="15.75" customHeight="1"/>
    <row r="18674" ht="15.75" customHeight="1"/>
    <row r="18675" ht="15.75" customHeight="1"/>
    <row r="18676" ht="15.75" customHeight="1"/>
    <row r="18677" ht="15.75" customHeight="1"/>
    <row r="18678" ht="15.75" customHeight="1"/>
    <row r="18679" ht="15.75" customHeight="1"/>
    <row r="18680" ht="15.75" customHeight="1"/>
    <row r="18681" ht="15.75" customHeight="1"/>
    <row r="18682" ht="15.75" customHeight="1"/>
    <row r="18683" ht="15.75" customHeight="1"/>
    <row r="18684" ht="15.75" customHeight="1"/>
    <row r="18685" ht="15.75" customHeight="1"/>
    <row r="18686" ht="15.75" customHeight="1"/>
    <row r="18687" ht="15.75" customHeight="1"/>
    <row r="18688" ht="15.75" customHeight="1"/>
    <row r="18689" ht="15.75" customHeight="1"/>
    <row r="18690" ht="15.75" customHeight="1"/>
    <row r="18691" ht="15.75" customHeight="1"/>
    <row r="18692" ht="15.75" customHeight="1"/>
    <row r="18693" ht="15.75" customHeight="1"/>
    <row r="18694" ht="15.75" customHeight="1"/>
    <row r="18695" ht="15.75" customHeight="1"/>
    <row r="18696" ht="15.75" customHeight="1"/>
    <row r="18697" ht="15.75" customHeight="1"/>
    <row r="18698" ht="15.75" customHeight="1"/>
    <row r="18699" ht="15.75" customHeight="1"/>
    <row r="18700" ht="15.75" customHeight="1"/>
    <row r="18701" ht="15.75" customHeight="1"/>
    <row r="18702" ht="15.75" customHeight="1"/>
    <row r="18703" ht="15.75" customHeight="1"/>
    <row r="18704" ht="15.75" customHeight="1"/>
    <row r="18705" ht="15.75" customHeight="1"/>
    <row r="18706" ht="15.75" customHeight="1"/>
    <row r="18707" ht="15.75" customHeight="1"/>
    <row r="18708" ht="15.75" customHeight="1"/>
    <row r="18709" ht="15.75" customHeight="1"/>
    <row r="18710" ht="15.75" customHeight="1"/>
    <row r="18711" ht="15.75" customHeight="1"/>
    <row r="18712" ht="15.75" customHeight="1"/>
    <row r="18713" ht="15.75" customHeight="1"/>
    <row r="18714" ht="15.75" customHeight="1"/>
    <row r="18715" ht="15.75" customHeight="1"/>
    <row r="18716" ht="15.75" customHeight="1"/>
    <row r="18717" ht="15.75" customHeight="1"/>
    <row r="18718" ht="15.75" customHeight="1"/>
    <row r="18719" ht="15.75" customHeight="1"/>
    <row r="18720" ht="15.75" customHeight="1"/>
    <row r="18721" ht="15.75" customHeight="1"/>
    <row r="18722" ht="15.75" customHeight="1"/>
    <row r="18723" ht="15.75" customHeight="1"/>
    <row r="18724" ht="15.75" customHeight="1"/>
    <row r="18725" ht="15.75" customHeight="1"/>
    <row r="18726" ht="15.75" customHeight="1"/>
    <row r="18727" ht="15.75" customHeight="1"/>
    <row r="18728" ht="15.75" customHeight="1"/>
    <row r="18729" ht="15.75" customHeight="1"/>
    <row r="18730" ht="15.75" customHeight="1"/>
    <row r="18731" ht="15.75" customHeight="1"/>
    <row r="18732" ht="15.75" customHeight="1"/>
    <row r="18733" ht="15.75" customHeight="1"/>
    <row r="18734" ht="15.75" customHeight="1"/>
    <row r="18735" ht="15.75" customHeight="1"/>
    <row r="18736" ht="15.75" customHeight="1"/>
    <row r="18737" ht="15.75" customHeight="1"/>
    <row r="18738" ht="15.75" customHeight="1"/>
    <row r="18739" ht="15.75" customHeight="1"/>
    <row r="18740" ht="15.75" customHeight="1"/>
    <row r="18741" ht="15.75" customHeight="1"/>
    <row r="18742" ht="15.75" customHeight="1"/>
    <row r="18743" ht="15.75" customHeight="1"/>
    <row r="18744" ht="15.75" customHeight="1"/>
    <row r="18745" ht="15.75" customHeight="1"/>
    <row r="18746" ht="15.75" customHeight="1"/>
    <row r="18747" ht="15.75" customHeight="1"/>
    <row r="18748" ht="15.75" customHeight="1"/>
    <row r="18749" ht="15.75" customHeight="1"/>
    <row r="18750" ht="15.75" customHeight="1"/>
    <row r="18751" ht="15.75" customHeight="1"/>
    <row r="18752" ht="15.75" customHeight="1"/>
    <row r="18753" ht="15.75" customHeight="1"/>
    <row r="18754" ht="15.75" customHeight="1"/>
    <row r="18755" ht="15.75" customHeight="1"/>
    <row r="18756" ht="15.75" customHeight="1"/>
    <row r="18757" ht="15.75" customHeight="1"/>
    <row r="18758" ht="15.75" customHeight="1"/>
    <row r="18759" ht="15.75" customHeight="1"/>
    <row r="18760" ht="15.75" customHeight="1"/>
    <row r="18761" ht="15.75" customHeight="1"/>
    <row r="18762" ht="15.75" customHeight="1"/>
    <row r="18763" ht="15.75" customHeight="1"/>
    <row r="18764" ht="15.75" customHeight="1"/>
    <row r="18765" ht="15.75" customHeight="1"/>
    <row r="18766" ht="15.75" customHeight="1"/>
    <row r="18767" ht="15.75" customHeight="1"/>
    <row r="18768" ht="15.75" customHeight="1"/>
    <row r="18769" ht="15.75" customHeight="1"/>
    <row r="18770" ht="15.75" customHeight="1"/>
    <row r="18771" ht="15.75" customHeight="1"/>
    <row r="18772" ht="15.75" customHeight="1"/>
    <row r="18773" ht="15.75" customHeight="1"/>
    <row r="18774" ht="15.75" customHeight="1"/>
    <row r="18775" ht="15.75" customHeight="1"/>
    <row r="18776" ht="15.75" customHeight="1"/>
    <row r="18777" ht="15.75" customHeight="1"/>
    <row r="18778" ht="15.75" customHeight="1"/>
    <row r="18779" ht="15.75" customHeight="1"/>
    <row r="18780" ht="15.75" customHeight="1"/>
    <row r="18781" ht="15.75" customHeight="1"/>
    <row r="18782" ht="15.75" customHeight="1"/>
    <row r="18783" ht="15.75" customHeight="1"/>
    <row r="18784" ht="15.75" customHeight="1"/>
    <row r="18785" ht="15.75" customHeight="1"/>
    <row r="18786" ht="15.75" customHeight="1"/>
    <row r="18787" ht="15.75" customHeight="1"/>
    <row r="18788" ht="15.75" customHeight="1"/>
    <row r="18789" ht="15.75" customHeight="1"/>
    <row r="18790" ht="15.75" customHeight="1"/>
    <row r="18791" ht="15.75" customHeight="1"/>
    <row r="18792" ht="15.75" customHeight="1"/>
    <row r="18793" ht="15.75" customHeight="1"/>
    <row r="18794" ht="15.75" customHeight="1"/>
    <row r="18795" ht="15.75" customHeight="1"/>
    <row r="18796" ht="15.75" customHeight="1"/>
    <row r="18797" ht="15.75" customHeight="1"/>
    <row r="18798" ht="15.75" customHeight="1"/>
    <row r="18799" ht="15.75" customHeight="1"/>
    <row r="18800" ht="15.75" customHeight="1"/>
    <row r="18801" ht="15.75" customHeight="1"/>
    <row r="18802" ht="15.75" customHeight="1"/>
    <row r="18803" ht="15.75" customHeight="1"/>
    <row r="18804" ht="15.75" customHeight="1"/>
    <row r="18805" ht="15.75" customHeight="1"/>
    <row r="18806" ht="15.75" customHeight="1"/>
    <row r="18807" ht="15.75" customHeight="1"/>
    <row r="18808" ht="15.75" customHeight="1"/>
    <row r="18809" ht="15.75" customHeight="1"/>
    <row r="18810" ht="15.75" customHeight="1"/>
    <row r="18811" ht="15.75" customHeight="1"/>
    <row r="18812" ht="15.75" customHeight="1"/>
    <row r="18813" ht="15.75" customHeight="1"/>
    <row r="18814" ht="15.75" customHeight="1"/>
    <row r="18815" ht="15.75" customHeight="1"/>
    <row r="18816" ht="15.75" customHeight="1"/>
    <row r="18817" ht="15.75" customHeight="1"/>
    <row r="18818" ht="15.75" customHeight="1"/>
    <row r="18819" ht="15.75" customHeight="1"/>
    <row r="18820" ht="15.75" customHeight="1"/>
    <row r="18821" ht="15.75" customHeight="1"/>
    <row r="18822" ht="15.75" customHeight="1"/>
    <row r="18823" ht="15.75" customHeight="1"/>
    <row r="18824" ht="15.75" customHeight="1"/>
    <row r="18825" ht="15.75" customHeight="1"/>
    <row r="18826" ht="15.75" customHeight="1"/>
    <row r="18827" ht="15.75" customHeight="1"/>
    <row r="18828" ht="15.75" customHeight="1"/>
    <row r="18829" ht="15.75" customHeight="1"/>
    <row r="18830" ht="15.75" customHeight="1"/>
    <row r="18831" ht="15.75" customHeight="1"/>
    <row r="18832" ht="15.75" customHeight="1"/>
    <row r="18833" ht="15.75" customHeight="1"/>
    <row r="18834" ht="15.75" customHeight="1"/>
    <row r="18835" ht="15.75" customHeight="1"/>
    <row r="18836" ht="15.75" customHeight="1"/>
    <row r="18837" ht="15.75" customHeight="1"/>
    <row r="18838" ht="15.75" customHeight="1"/>
    <row r="18839" ht="15.75" customHeight="1"/>
    <row r="18840" ht="15.75" customHeight="1"/>
    <row r="18841" ht="15.75" customHeight="1"/>
    <row r="18842" ht="15.75" customHeight="1"/>
    <row r="18843" ht="15.75" customHeight="1"/>
    <row r="18844" ht="15.75" customHeight="1"/>
    <row r="18845" ht="15.75" customHeight="1"/>
    <row r="18846" ht="15.75" customHeight="1"/>
    <row r="18847" ht="15.75" customHeight="1"/>
    <row r="18848" ht="15.75" customHeight="1"/>
    <row r="18849" ht="15.75" customHeight="1"/>
    <row r="18850" ht="15.75" customHeight="1"/>
    <row r="18851" ht="15.75" customHeight="1"/>
    <row r="18852" ht="15.75" customHeight="1"/>
    <row r="18853" ht="15.75" customHeight="1"/>
    <row r="18854" ht="15.75" customHeight="1"/>
    <row r="18855" ht="15.75" customHeight="1"/>
    <row r="18856" ht="15.75" customHeight="1"/>
    <row r="18857" ht="15.75" customHeight="1"/>
    <row r="18858" ht="15.75" customHeight="1"/>
    <row r="18859" ht="15.75" customHeight="1"/>
    <row r="18860" ht="15.75" customHeight="1"/>
    <row r="18861" ht="15.75" customHeight="1"/>
    <row r="18862" ht="15.75" customHeight="1"/>
    <row r="18863" ht="15.75" customHeight="1"/>
    <row r="18864" ht="15.75" customHeight="1"/>
    <row r="18865" ht="15.75" customHeight="1"/>
    <row r="18866" ht="15.75" customHeight="1"/>
    <row r="18867" ht="15.75" customHeight="1"/>
    <row r="18868" ht="15.75" customHeight="1"/>
    <row r="18869" ht="15.75" customHeight="1"/>
    <row r="18870" ht="15.75" customHeight="1"/>
    <row r="18871" ht="15.75" customHeight="1"/>
    <row r="18872" ht="15.75" customHeight="1"/>
    <row r="18873" ht="15.75" customHeight="1"/>
    <row r="18874" ht="15.75" customHeight="1"/>
    <row r="18875" ht="15.75" customHeight="1"/>
    <row r="18876" ht="15.75" customHeight="1"/>
    <row r="18877" ht="15.75" customHeight="1"/>
    <row r="18878" ht="15.75" customHeight="1"/>
    <row r="18879" ht="15.75" customHeight="1"/>
    <row r="18880" ht="15.75" customHeight="1"/>
    <row r="18881" ht="15.75" customHeight="1"/>
    <row r="18882" ht="15.75" customHeight="1"/>
    <row r="18883" ht="15.75" customHeight="1"/>
    <row r="18884" ht="15.75" customHeight="1"/>
    <row r="18885" ht="15.75" customHeight="1"/>
    <row r="18886" ht="15.75" customHeight="1"/>
    <row r="18887" ht="15.75" customHeight="1"/>
    <row r="18888" ht="15.75" customHeight="1"/>
    <row r="18889" ht="15.75" customHeight="1"/>
    <row r="18890" ht="15.75" customHeight="1"/>
    <row r="18891" ht="15.75" customHeight="1"/>
    <row r="18892" ht="15.75" customHeight="1"/>
    <row r="18893" ht="15.75" customHeight="1"/>
    <row r="18894" ht="15.75" customHeight="1"/>
    <row r="18895" ht="15.75" customHeight="1"/>
    <row r="18896" ht="15.75" customHeight="1"/>
    <row r="18897" ht="15.75" customHeight="1"/>
    <row r="18898" ht="15.75" customHeight="1"/>
    <row r="18899" ht="15.75" customHeight="1"/>
    <row r="18900" ht="15.75" customHeight="1"/>
    <row r="18901" ht="15.75" customHeight="1"/>
    <row r="18902" ht="15.75" customHeight="1"/>
    <row r="18903" ht="15.75" customHeight="1"/>
    <row r="18904" ht="15.75" customHeight="1"/>
    <row r="18905" ht="15.75" customHeight="1"/>
    <row r="18906" ht="15.75" customHeight="1"/>
    <row r="18907" ht="15.75" customHeight="1"/>
    <row r="18908" ht="15.75" customHeight="1"/>
    <row r="18909" ht="15.75" customHeight="1"/>
    <row r="18910" ht="15.75" customHeight="1"/>
    <row r="18911" ht="15.75" customHeight="1"/>
    <row r="18912" ht="15.75" customHeight="1"/>
    <row r="18913" ht="15.75" customHeight="1"/>
    <row r="18914" ht="15.75" customHeight="1"/>
    <row r="18915" ht="15.75" customHeight="1"/>
    <row r="18916" ht="15.75" customHeight="1"/>
    <row r="18917" ht="15.75" customHeight="1"/>
    <row r="18918" ht="15.75" customHeight="1"/>
    <row r="18919" ht="15.75" customHeight="1"/>
    <row r="18920" ht="15.75" customHeight="1"/>
    <row r="18921" ht="15.75" customHeight="1"/>
    <row r="18922" ht="15.75" customHeight="1"/>
    <row r="18923" ht="15.75" customHeight="1"/>
    <row r="18924" ht="15.75" customHeight="1"/>
    <row r="18925" ht="15.75" customHeight="1"/>
    <row r="18926" ht="15.75" customHeight="1"/>
    <row r="18927" ht="15.75" customHeight="1"/>
    <row r="18928" ht="15.75" customHeight="1"/>
    <row r="18929" ht="15.75" customHeight="1"/>
    <row r="18930" ht="15.75" customHeight="1"/>
    <row r="18931" ht="15.75" customHeight="1"/>
    <row r="18932" ht="15.75" customHeight="1"/>
    <row r="18933" ht="15.75" customHeight="1"/>
    <row r="18934" ht="15.75" customHeight="1"/>
    <row r="18935" ht="15.75" customHeight="1"/>
    <row r="18936" ht="15.75" customHeight="1"/>
    <row r="18937" ht="15.75" customHeight="1"/>
    <row r="18938" ht="15.75" customHeight="1"/>
    <row r="18939" ht="15.75" customHeight="1"/>
    <row r="18940" ht="15.75" customHeight="1"/>
    <row r="18941" ht="15.75" customHeight="1"/>
    <row r="18942" ht="15.75" customHeight="1"/>
    <row r="18943" ht="15.75" customHeight="1"/>
    <row r="18944" ht="15.75" customHeight="1"/>
    <row r="18945" ht="15.75" customHeight="1"/>
    <row r="18946" ht="15.75" customHeight="1"/>
    <row r="18947" ht="15.75" customHeight="1"/>
    <row r="18948" ht="15.75" customHeight="1"/>
    <row r="18949" ht="15.75" customHeight="1"/>
    <row r="18950" ht="15.75" customHeight="1"/>
    <row r="18951" ht="15.75" customHeight="1"/>
    <row r="18952" ht="15.75" customHeight="1"/>
    <row r="18953" ht="15.75" customHeight="1"/>
    <row r="18954" ht="15.75" customHeight="1"/>
    <row r="18955" ht="15.75" customHeight="1"/>
    <row r="18956" ht="15.75" customHeight="1"/>
    <row r="18957" ht="15.75" customHeight="1"/>
    <row r="18958" ht="15.75" customHeight="1"/>
    <row r="18959" ht="15.75" customHeight="1"/>
    <row r="18960" ht="15.75" customHeight="1"/>
    <row r="18961" ht="15.75" customHeight="1"/>
    <row r="18962" ht="15.75" customHeight="1"/>
    <row r="18963" ht="15.75" customHeight="1"/>
    <row r="18964" ht="15.75" customHeight="1"/>
    <row r="18965" ht="15.75" customHeight="1"/>
    <row r="18966" ht="15.75" customHeight="1"/>
    <row r="18967" ht="15.75" customHeight="1"/>
    <row r="18968" ht="15.75" customHeight="1"/>
    <row r="18969" ht="15.75" customHeight="1"/>
    <row r="18970" ht="15.75" customHeight="1"/>
    <row r="18971" ht="15.75" customHeight="1"/>
    <row r="18972" ht="15.75" customHeight="1"/>
    <row r="18973" ht="15.75" customHeight="1"/>
    <row r="18974" ht="15.75" customHeight="1"/>
    <row r="18975" ht="15.75" customHeight="1"/>
    <row r="18976" ht="15.75" customHeight="1"/>
    <row r="18977" ht="15.75" customHeight="1"/>
    <row r="18978" ht="15.75" customHeight="1"/>
    <row r="18979" ht="15.75" customHeight="1"/>
    <row r="18980" ht="15.75" customHeight="1"/>
    <row r="18981" ht="15.75" customHeight="1"/>
    <row r="18982" ht="15.75" customHeight="1"/>
    <row r="18983" ht="15.75" customHeight="1"/>
    <row r="18984" ht="15.75" customHeight="1"/>
    <row r="18985" ht="15.75" customHeight="1"/>
    <row r="18986" ht="15.75" customHeight="1"/>
    <row r="18987" ht="15.75" customHeight="1"/>
    <row r="18988" ht="15.75" customHeight="1"/>
    <row r="18989" ht="15.75" customHeight="1"/>
    <row r="18990" ht="15.75" customHeight="1"/>
    <row r="18991" ht="15.75" customHeight="1"/>
    <row r="18992" ht="15.75" customHeight="1"/>
    <row r="18993" ht="15.75" customHeight="1"/>
    <row r="18994" ht="15.75" customHeight="1"/>
    <row r="18995" ht="15.75" customHeight="1"/>
    <row r="18996" ht="15.75" customHeight="1"/>
    <row r="18997" ht="15.75" customHeight="1"/>
    <row r="18998" ht="15.75" customHeight="1"/>
    <row r="18999" ht="15.75" customHeight="1"/>
    <row r="19000" ht="15.75" customHeight="1"/>
    <row r="19001" ht="15.75" customHeight="1"/>
    <row r="19002" ht="15.75" customHeight="1"/>
    <row r="19003" ht="15.75" customHeight="1"/>
    <row r="19004" ht="15.75" customHeight="1"/>
    <row r="19005" ht="15.75" customHeight="1"/>
    <row r="19006" ht="15.75" customHeight="1"/>
    <row r="19007" ht="15.75" customHeight="1"/>
    <row r="19008" ht="15.75" customHeight="1"/>
    <row r="19009" ht="15.75" customHeight="1"/>
    <row r="19010" ht="15.75" customHeight="1"/>
    <row r="19011" ht="15.75" customHeight="1"/>
    <row r="19012" ht="15.75" customHeight="1"/>
    <row r="19013" ht="15.75" customHeight="1"/>
    <row r="19014" ht="15.75" customHeight="1"/>
    <row r="19015" ht="15.75" customHeight="1"/>
    <row r="19016" ht="15.75" customHeight="1"/>
    <row r="19017" ht="15.75" customHeight="1"/>
    <row r="19018" ht="15.75" customHeight="1"/>
    <row r="19019" ht="15.75" customHeight="1"/>
    <row r="19020" ht="15.75" customHeight="1"/>
    <row r="19021" ht="15.75" customHeight="1"/>
    <row r="19022" ht="15.75" customHeight="1"/>
    <row r="19023" ht="15.75" customHeight="1"/>
    <row r="19024" ht="15.75" customHeight="1"/>
    <row r="19025" ht="15.75" customHeight="1"/>
    <row r="19026" ht="15.75" customHeight="1"/>
    <row r="19027" ht="15.75" customHeight="1"/>
    <row r="19028" ht="15.75" customHeight="1"/>
    <row r="19029" ht="15.75" customHeight="1"/>
    <row r="19030" ht="15.75" customHeight="1"/>
    <row r="19031" ht="15.75" customHeight="1"/>
    <row r="19032" ht="15.75" customHeight="1"/>
    <row r="19033" ht="15.75" customHeight="1"/>
    <row r="19034" ht="15.75" customHeight="1"/>
    <row r="19035" ht="15.75" customHeight="1"/>
    <row r="19036" ht="15.75" customHeight="1"/>
    <row r="19037" ht="15.75" customHeight="1"/>
    <row r="19038" ht="15.75" customHeight="1"/>
    <row r="19039" ht="15.75" customHeight="1"/>
    <row r="19040" ht="15.75" customHeight="1"/>
    <row r="19041" ht="15.75" customHeight="1"/>
    <row r="19042" ht="15.75" customHeight="1"/>
    <row r="19043" ht="15.75" customHeight="1"/>
    <row r="19044" ht="15.75" customHeight="1"/>
    <row r="19045" ht="15.75" customHeight="1"/>
    <row r="19046" ht="15.75" customHeight="1"/>
    <row r="19047" ht="15.75" customHeight="1"/>
    <row r="19048" ht="15.75" customHeight="1"/>
    <row r="19049" ht="15.75" customHeight="1"/>
    <row r="19050" ht="15.75" customHeight="1"/>
    <row r="19051" ht="15.75" customHeight="1"/>
    <row r="19052" ht="15.75" customHeight="1"/>
    <row r="19053" ht="15.75" customHeight="1"/>
    <row r="19054" ht="15.75" customHeight="1"/>
    <row r="19055" ht="15.75" customHeight="1"/>
    <row r="19056" ht="15.75" customHeight="1"/>
    <row r="19057" ht="15.75" customHeight="1"/>
    <row r="19058" ht="15.75" customHeight="1"/>
    <row r="19059" ht="15.75" customHeight="1"/>
    <row r="19060" ht="15.75" customHeight="1"/>
    <row r="19061" ht="15.75" customHeight="1"/>
    <row r="19062" ht="15.75" customHeight="1"/>
    <row r="19063" ht="15.75" customHeight="1"/>
    <row r="19064" ht="15.75" customHeight="1"/>
    <row r="19065" ht="15.75" customHeight="1"/>
    <row r="19066" ht="15.75" customHeight="1"/>
    <row r="19067" ht="15.75" customHeight="1"/>
    <row r="19068" ht="15.75" customHeight="1"/>
    <row r="19069" ht="15.75" customHeight="1"/>
    <row r="19070" ht="15.75" customHeight="1"/>
    <row r="19071" ht="15.75" customHeight="1"/>
    <row r="19072" ht="15.75" customHeight="1"/>
    <row r="19073" ht="15.75" customHeight="1"/>
    <row r="19074" ht="15.75" customHeight="1"/>
    <row r="19075" ht="15.75" customHeight="1"/>
    <row r="19076" ht="15.75" customHeight="1"/>
    <row r="19077" ht="15.75" customHeight="1"/>
    <row r="19078" ht="15.75" customHeight="1"/>
    <row r="19079" ht="15.75" customHeight="1"/>
    <row r="19080" ht="15.75" customHeight="1"/>
    <row r="19081" ht="15.75" customHeight="1"/>
    <row r="19082" ht="15.75" customHeight="1"/>
    <row r="19083" ht="15.75" customHeight="1"/>
    <row r="19084" ht="15.75" customHeight="1"/>
    <row r="19085" ht="15.75" customHeight="1"/>
    <row r="19086" ht="15.75" customHeight="1"/>
    <row r="19087" ht="15.75" customHeight="1"/>
    <row r="19088" ht="15.75" customHeight="1"/>
    <row r="19089" ht="15.75" customHeight="1"/>
    <row r="19090" ht="15.75" customHeight="1"/>
    <row r="19091" ht="15.75" customHeight="1"/>
    <row r="19092" ht="15.75" customHeight="1"/>
    <row r="19093" ht="15.75" customHeight="1"/>
    <row r="19094" ht="15.75" customHeight="1"/>
    <row r="19095" ht="15.75" customHeight="1"/>
    <row r="19096" ht="15.75" customHeight="1"/>
    <row r="19097" ht="15.75" customHeight="1"/>
    <row r="19098" ht="15.75" customHeight="1"/>
    <row r="19099" ht="15.75" customHeight="1"/>
    <row r="19100" ht="15.75" customHeight="1"/>
    <row r="19101" ht="15.75" customHeight="1"/>
    <row r="19102" ht="15.75" customHeight="1"/>
    <row r="19103" ht="15.75" customHeight="1"/>
    <row r="19104" ht="15.75" customHeight="1"/>
    <row r="19105" ht="15.75" customHeight="1"/>
    <row r="19106" ht="15.75" customHeight="1"/>
    <row r="19107" ht="15.75" customHeight="1"/>
    <row r="19108" ht="15.75" customHeight="1"/>
    <row r="19109" ht="15.75" customHeight="1"/>
    <row r="19110" ht="15.75" customHeight="1"/>
    <row r="19111" ht="15.75" customHeight="1"/>
    <row r="19112" ht="15.75" customHeight="1"/>
    <row r="19113" ht="15.75" customHeight="1"/>
    <row r="19114" ht="15.75" customHeight="1"/>
    <row r="19115" ht="15.75" customHeight="1"/>
    <row r="19116" ht="15.75" customHeight="1"/>
    <row r="19117" ht="15.75" customHeight="1"/>
    <row r="19118" ht="15.75" customHeight="1"/>
    <row r="19119" ht="15.75" customHeight="1"/>
    <row r="19120" ht="15.75" customHeight="1"/>
    <row r="19121" ht="15.75" customHeight="1"/>
    <row r="19122" ht="15.75" customHeight="1"/>
    <row r="19123" ht="15.75" customHeight="1"/>
    <row r="19124" ht="15.75" customHeight="1"/>
    <row r="19125" ht="15.75" customHeight="1"/>
    <row r="19126" ht="15.75" customHeight="1"/>
    <row r="19127" ht="15.75" customHeight="1"/>
    <row r="19128" ht="15.75" customHeight="1"/>
    <row r="19129" ht="15.75" customHeight="1"/>
    <row r="19130" ht="15.75" customHeight="1"/>
    <row r="19131" ht="15.75" customHeight="1"/>
    <row r="19132" ht="15.75" customHeight="1"/>
    <row r="19133" ht="15.75" customHeight="1"/>
    <row r="19134" ht="15.75" customHeight="1"/>
    <row r="19135" ht="15.75" customHeight="1"/>
    <row r="19136" ht="15.75" customHeight="1"/>
    <row r="19137" ht="15.75" customHeight="1"/>
    <row r="19138" ht="15.75" customHeight="1"/>
    <row r="19139" ht="15.75" customHeight="1"/>
    <row r="19140" ht="15.75" customHeight="1"/>
    <row r="19141" ht="15.75" customHeight="1"/>
    <row r="19142" ht="15.75" customHeight="1"/>
    <row r="19143" ht="15.75" customHeight="1"/>
    <row r="19144" ht="15.75" customHeight="1"/>
    <row r="19145" ht="15.75" customHeight="1"/>
    <row r="19146" ht="15.75" customHeight="1"/>
    <row r="19147" ht="15.75" customHeight="1"/>
    <row r="19148" ht="15.75" customHeight="1"/>
    <row r="19149" ht="15.75" customHeight="1"/>
    <row r="19150" ht="15.75" customHeight="1"/>
    <row r="19151" ht="15.75" customHeight="1"/>
    <row r="19152" ht="15.75" customHeight="1"/>
    <row r="19153" ht="15.75" customHeight="1"/>
    <row r="19154" ht="15.75" customHeight="1"/>
    <row r="19155" ht="15.75" customHeight="1"/>
    <row r="19156" ht="15.75" customHeight="1"/>
    <row r="19157" ht="15.75" customHeight="1"/>
    <row r="19158" ht="15.75" customHeight="1"/>
    <row r="19159" ht="15.75" customHeight="1"/>
    <row r="19160" ht="15.75" customHeight="1"/>
    <row r="19161" ht="15.75" customHeight="1"/>
    <row r="19162" ht="15.75" customHeight="1"/>
    <row r="19163" ht="15.75" customHeight="1"/>
    <row r="19164" ht="15.75" customHeight="1"/>
    <row r="19165" ht="15.75" customHeight="1"/>
    <row r="19166" ht="15.75" customHeight="1"/>
    <row r="19167" ht="15.75" customHeight="1"/>
    <row r="19168" ht="15.75" customHeight="1"/>
    <row r="19169" ht="15.75" customHeight="1"/>
    <row r="19170" ht="15.75" customHeight="1"/>
    <row r="19171" ht="15.75" customHeight="1"/>
    <row r="19172" ht="15.75" customHeight="1"/>
    <row r="19173" ht="15.75" customHeight="1"/>
    <row r="19174" ht="15.75" customHeight="1"/>
    <row r="19175" ht="15.75" customHeight="1"/>
    <row r="19176" ht="15.75" customHeight="1"/>
    <row r="19177" ht="15.75" customHeight="1"/>
    <row r="19178" ht="15.75" customHeight="1"/>
    <row r="19179" ht="15.75" customHeight="1"/>
    <row r="19180" ht="15.75" customHeight="1"/>
    <row r="19181" ht="15.75" customHeight="1"/>
    <row r="19182" ht="15.75" customHeight="1"/>
    <row r="19183" ht="15.75" customHeight="1"/>
    <row r="19184" ht="15.75" customHeight="1"/>
    <row r="19185" ht="15.75" customHeight="1"/>
    <row r="19186" ht="15.75" customHeight="1"/>
    <row r="19187" ht="15.75" customHeight="1"/>
    <row r="19188" ht="15.75" customHeight="1"/>
    <row r="19189" ht="15.75" customHeight="1"/>
    <row r="19190" ht="15.75" customHeight="1"/>
    <row r="19191" ht="15.75" customHeight="1"/>
    <row r="19192" ht="15.75" customHeight="1"/>
    <row r="19193" ht="15.75" customHeight="1"/>
    <row r="19194" ht="15.75" customHeight="1"/>
    <row r="19195" ht="15.75" customHeight="1"/>
    <row r="19196" ht="15.75" customHeight="1"/>
    <row r="19197" ht="15.75" customHeight="1"/>
    <row r="19198" ht="15.75" customHeight="1"/>
    <row r="19199" ht="15.75" customHeight="1"/>
    <row r="19200" ht="15.75" customHeight="1"/>
    <row r="19201" ht="15.75" customHeight="1"/>
    <row r="19202" ht="15.75" customHeight="1"/>
    <row r="19203" ht="15.75" customHeight="1"/>
    <row r="19204" ht="15.75" customHeight="1"/>
    <row r="19205" ht="15.75" customHeight="1"/>
    <row r="19206" ht="15.75" customHeight="1"/>
    <row r="19207" ht="15.75" customHeight="1"/>
    <row r="19208" ht="15.75" customHeight="1"/>
    <row r="19209" ht="15.75" customHeight="1"/>
    <row r="19210" ht="15.75" customHeight="1"/>
    <row r="19211" ht="15.75" customHeight="1"/>
    <row r="19212" ht="15.75" customHeight="1"/>
    <row r="19213" ht="15.75" customHeight="1"/>
    <row r="19214" ht="15.75" customHeight="1"/>
    <row r="19215" ht="15.75" customHeight="1"/>
    <row r="19216" ht="15.75" customHeight="1"/>
    <row r="19217" ht="15.75" customHeight="1"/>
    <row r="19218" ht="15.75" customHeight="1"/>
    <row r="19219" ht="15.75" customHeight="1"/>
    <row r="19220" ht="15.75" customHeight="1"/>
    <row r="19221" ht="15.75" customHeight="1"/>
    <row r="19222" ht="15.75" customHeight="1"/>
    <row r="19223" ht="15.75" customHeight="1"/>
    <row r="19224" ht="15.75" customHeight="1"/>
    <row r="19225" ht="15.75" customHeight="1"/>
    <row r="19226" ht="15.75" customHeight="1"/>
    <row r="19227" ht="15.75" customHeight="1"/>
    <row r="19228" ht="15.75" customHeight="1"/>
    <row r="19229" ht="15.75" customHeight="1"/>
    <row r="19230" ht="15.75" customHeight="1"/>
    <row r="19231" ht="15.75" customHeight="1"/>
    <row r="19232" ht="15.75" customHeight="1"/>
    <row r="19233" ht="15.75" customHeight="1"/>
    <row r="19234" ht="15.75" customHeight="1"/>
    <row r="19235" ht="15.75" customHeight="1"/>
    <row r="19236" ht="15.75" customHeight="1"/>
    <row r="19237" ht="15.75" customHeight="1"/>
    <row r="19238" ht="15.75" customHeight="1"/>
    <row r="19239" ht="15.75" customHeight="1"/>
    <row r="19240" ht="15.75" customHeight="1"/>
    <row r="19241" ht="15.75" customHeight="1"/>
    <row r="19242" ht="15.75" customHeight="1"/>
    <row r="19243" ht="15.75" customHeight="1"/>
    <row r="19244" ht="15.75" customHeight="1"/>
    <row r="19245" ht="15.75" customHeight="1"/>
    <row r="19246" ht="15.75" customHeight="1"/>
    <row r="19247" ht="15.75" customHeight="1"/>
    <row r="19248" ht="15.75" customHeight="1"/>
    <row r="19249" ht="15.75" customHeight="1"/>
    <row r="19250" ht="15.75" customHeight="1"/>
    <row r="19251" ht="15.75" customHeight="1"/>
    <row r="19252" ht="15.75" customHeight="1"/>
    <row r="19253" ht="15.75" customHeight="1"/>
    <row r="19254" ht="15.75" customHeight="1"/>
    <row r="19255" ht="15.75" customHeight="1"/>
    <row r="19256" ht="15.75" customHeight="1"/>
    <row r="19257" ht="15.75" customHeight="1"/>
    <row r="19258" ht="15.75" customHeight="1"/>
    <row r="19259" ht="15.75" customHeight="1"/>
    <row r="19260" ht="15.75" customHeight="1"/>
    <row r="19261" ht="15.75" customHeight="1"/>
    <row r="19262" ht="15.75" customHeight="1"/>
    <row r="19263" ht="15.75" customHeight="1"/>
    <row r="19264" ht="15.75" customHeight="1"/>
    <row r="19265" ht="15.75" customHeight="1"/>
    <row r="19266" ht="15.75" customHeight="1"/>
    <row r="19267" ht="15.75" customHeight="1"/>
    <row r="19268" ht="15.75" customHeight="1"/>
    <row r="19269" ht="15.75" customHeight="1"/>
    <row r="19270" ht="15.75" customHeight="1"/>
    <row r="19271" ht="15.75" customHeight="1"/>
    <row r="19272" ht="15.75" customHeight="1"/>
    <row r="19273" ht="15.75" customHeight="1"/>
    <row r="19274" ht="15.75" customHeight="1"/>
    <row r="19275" ht="15.75" customHeight="1"/>
    <row r="19276" ht="15.75" customHeight="1"/>
    <row r="19277" ht="15.75" customHeight="1"/>
    <row r="19278" ht="15.75" customHeight="1"/>
    <row r="19279" ht="15.75" customHeight="1"/>
    <row r="19280" ht="15.75" customHeight="1"/>
    <row r="19281" ht="15.75" customHeight="1"/>
    <row r="19282" ht="15.75" customHeight="1"/>
    <row r="19283" ht="15.75" customHeight="1"/>
    <row r="19284" ht="15.75" customHeight="1"/>
    <row r="19285" ht="15.75" customHeight="1"/>
    <row r="19286" ht="15.75" customHeight="1"/>
    <row r="19287" ht="15.75" customHeight="1"/>
    <row r="19288" ht="15.75" customHeight="1"/>
    <row r="19289" ht="15.75" customHeight="1"/>
    <row r="19290" ht="15.75" customHeight="1"/>
    <row r="19291" ht="15.75" customHeight="1"/>
    <row r="19292" ht="15.75" customHeight="1"/>
    <row r="19293" ht="15.75" customHeight="1"/>
    <row r="19294" ht="15.75" customHeight="1"/>
    <row r="19295" ht="15.75" customHeight="1"/>
    <row r="19296" ht="15.75" customHeight="1"/>
    <row r="19297" ht="15.75" customHeight="1"/>
    <row r="19298" ht="15.75" customHeight="1"/>
    <row r="19299" ht="15.75" customHeight="1"/>
    <row r="19300" ht="15.75" customHeight="1"/>
    <row r="19301" ht="15.75" customHeight="1"/>
    <row r="19302" ht="15.75" customHeight="1"/>
    <row r="19303" ht="15.75" customHeight="1"/>
    <row r="19304" ht="15.75" customHeight="1"/>
    <row r="19305" ht="15.75" customHeight="1"/>
    <row r="19306" ht="15.75" customHeight="1"/>
    <row r="19307" ht="15.75" customHeight="1"/>
    <row r="19308" ht="15.75" customHeight="1"/>
    <row r="19309" ht="15.75" customHeight="1"/>
    <row r="19310" ht="15.75" customHeight="1"/>
    <row r="19311" ht="15.75" customHeight="1"/>
    <row r="19312" ht="15.75" customHeight="1"/>
    <row r="19313" ht="15.75" customHeight="1"/>
    <row r="19314" ht="15.75" customHeight="1"/>
    <row r="19315" ht="15.75" customHeight="1"/>
    <row r="19316" ht="15.75" customHeight="1"/>
    <row r="19317" ht="15.75" customHeight="1"/>
    <row r="19318" ht="15.75" customHeight="1"/>
    <row r="19319" ht="15.75" customHeight="1"/>
    <row r="19320" ht="15.75" customHeight="1"/>
    <row r="19321" ht="15.75" customHeight="1"/>
    <row r="19322" ht="15.75" customHeight="1"/>
    <row r="19323" ht="15.75" customHeight="1"/>
    <row r="19324" ht="15.75" customHeight="1"/>
    <row r="19325" ht="15.75" customHeight="1"/>
    <row r="19326" ht="15.75" customHeight="1"/>
    <row r="19327" ht="15.75" customHeight="1"/>
    <row r="19328" ht="15.75" customHeight="1"/>
    <row r="19329" ht="15.75" customHeight="1"/>
    <row r="19330" ht="15.75" customHeight="1"/>
    <row r="19331" ht="15.75" customHeight="1"/>
    <row r="19332" ht="15.75" customHeight="1"/>
    <row r="19333" ht="15.75" customHeight="1"/>
    <row r="19334" ht="15.75" customHeight="1"/>
    <row r="19335" ht="15.75" customHeight="1"/>
    <row r="19336" ht="15.75" customHeight="1"/>
    <row r="19337" ht="15.75" customHeight="1"/>
    <row r="19338" ht="15.75" customHeight="1"/>
    <row r="19339" ht="15.75" customHeight="1"/>
    <row r="19340" ht="15.75" customHeight="1"/>
    <row r="19341" ht="15.75" customHeight="1"/>
    <row r="19342" ht="15.75" customHeight="1"/>
    <row r="19343" ht="15.75" customHeight="1"/>
    <row r="19344" ht="15.75" customHeight="1"/>
    <row r="19345" ht="15.75" customHeight="1"/>
    <row r="19346" ht="15.75" customHeight="1"/>
    <row r="19347" ht="15.75" customHeight="1"/>
    <row r="19348" ht="15.75" customHeight="1"/>
    <row r="19349" ht="15.75" customHeight="1"/>
    <row r="19350" ht="15.75" customHeight="1"/>
    <row r="19351" ht="15.75" customHeight="1"/>
    <row r="19352" ht="15.75" customHeight="1"/>
    <row r="19353" ht="15.75" customHeight="1"/>
    <row r="19354" ht="15.75" customHeight="1"/>
    <row r="19355" ht="15.75" customHeight="1"/>
    <row r="19356" ht="15.75" customHeight="1"/>
    <row r="19357" ht="15.75" customHeight="1"/>
    <row r="19358" ht="15.75" customHeight="1"/>
    <row r="19359" ht="15.75" customHeight="1"/>
    <row r="19360" ht="15.75" customHeight="1"/>
    <row r="19361" ht="15.75" customHeight="1"/>
    <row r="19362" ht="15.75" customHeight="1"/>
    <row r="19363" ht="15.75" customHeight="1"/>
    <row r="19364" ht="15.75" customHeight="1"/>
    <row r="19365" ht="15.75" customHeight="1"/>
    <row r="19366" ht="15.75" customHeight="1"/>
    <row r="19367" ht="15.75" customHeight="1"/>
    <row r="19368" ht="15.75" customHeight="1"/>
    <row r="19369" ht="15.75" customHeight="1"/>
    <row r="19370" ht="15.75" customHeight="1"/>
    <row r="19371" ht="15.75" customHeight="1"/>
    <row r="19372" ht="15.75" customHeight="1"/>
    <row r="19373" ht="15.75" customHeight="1"/>
    <row r="19374" ht="15.75" customHeight="1"/>
    <row r="19375" ht="15.75" customHeight="1"/>
    <row r="19376" ht="15.75" customHeight="1"/>
    <row r="19377" ht="15.75" customHeight="1"/>
    <row r="19378" ht="15.75" customHeight="1"/>
    <row r="19379" ht="15.75" customHeight="1"/>
    <row r="19380" ht="15.75" customHeight="1"/>
    <row r="19381" ht="15.75" customHeight="1"/>
    <row r="19382" ht="15.75" customHeight="1"/>
    <row r="19383" ht="15.75" customHeight="1"/>
    <row r="19384" ht="15.75" customHeight="1"/>
    <row r="19385" ht="15.75" customHeight="1"/>
    <row r="19386" ht="15.75" customHeight="1"/>
    <row r="19387" ht="15.75" customHeight="1"/>
    <row r="19388" ht="15.75" customHeight="1"/>
    <row r="19389" ht="15.75" customHeight="1"/>
    <row r="19390" ht="15.75" customHeight="1"/>
    <row r="19391" ht="15.75" customHeight="1"/>
    <row r="19392" ht="15.75" customHeight="1"/>
    <row r="19393" ht="15.75" customHeight="1"/>
    <row r="19394" ht="15.75" customHeight="1"/>
    <row r="19395" ht="15.75" customHeight="1"/>
    <row r="19396" ht="15.75" customHeight="1"/>
    <row r="19397" ht="15.75" customHeight="1"/>
    <row r="19398" ht="15.75" customHeight="1"/>
    <row r="19399" ht="15.75" customHeight="1"/>
    <row r="19400" ht="15.75" customHeight="1"/>
    <row r="19401" ht="15.75" customHeight="1"/>
    <row r="19402" ht="15.75" customHeight="1"/>
    <row r="19403" ht="15.75" customHeight="1"/>
    <row r="19404" ht="15.75" customHeight="1"/>
    <row r="19405" ht="15.75" customHeight="1"/>
    <row r="19406" ht="15.75" customHeight="1"/>
    <row r="19407" ht="15.75" customHeight="1"/>
    <row r="19408" ht="15.75" customHeight="1"/>
    <row r="19409" ht="15.75" customHeight="1"/>
    <row r="19410" ht="15.75" customHeight="1"/>
    <row r="19411" ht="15.75" customHeight="1"/>
    <row r="19412" ht="15.75" customHeight="1"/>
    <row r="19413" ht="15.75" customHeight="1"/>
    <row r="19414" ht="15.75" customHeight="1"/>
    <row r="19415" ht="15.75" customHeight="1"/>
    <row r="19416" ht="15.75" customHeight="1"/>
    <row r="19417" ht="15.75" customHeight="1"/>
    <row r="19418" ht="15.75" customHeight="1"/>
    <row r="19419" ht="15.75" customHeight="1"/>
    <row r="19420" ht="15.75" customHeight="1"/>
    <row r="19421" ht="15.75" customHeight="1"/>
    <row r="19422" ht="15.75" customHeight="1"/>
    <row r="19423" ht="15.75" customHeight="1"/>
    <row r="19424" ht="15.75" customHeight="1"/>
    <row r="19425" ht="15.75" customHeight="1"/>
    <row r="19426" ht="15.75" customHeight="1"/>
    <row r="19427" ht="15.75" customHeight="1"/>
    <row r="19428" ht="15.75" customHeight="1"/>
    <row r="19429" ht="15.75" customHeight="1"/>
    <row r="19430" ht="15.75" customHeight="1"/>
    <row r="19431" ht="15.75" customHeight="1"/>
    <row r="19432" ht="15.75" customHeight="1"/>
    <row r="19433" ht="15.75" customHeight="1"/>
    <row r="19434" ht="15.75" customHeight="1"/>
    <row r="19435" ht="15.75" customHeight="1"/>
    <row r="19436" ht="15.75" customHeight="1"/>
    <row r="19437" ht="15.75" customHeight="1"/>
    <row r="19438" ht="15.75" customHeight="1"/>
    <row r="19439" ht="15.75" customHeight="1"/>
    <row r="19440" ht="15.75" customHeight="1"/>
    <row r="19441" ht="15.75" customHeight="1"/>
    <row r="19442" ht="15.75" customHeight="1"/>
    <row r="19443" ht="15.75" customHeight="1"/>
    <row r="19444" ht="15.75" customHeight="1"/>
    <row r="19445" ht="15.75" customHeight="1"/>
    <row r="19446" ht="15.75" customHeight="1"/>
    <row r="19447" ht="15.75" customHeight="1"/>
    <row r="19448" ht="15.75" customHeight="1"/>
    <row r="19449" ht="15.75" customHeight="1"/>
    <row r="19450" ht="15.75" customHeight="1"/>
    <row r="19451" ht="15.75" customHeight="1"/>
    <row r="19452" ht="15.75" customHeight="1"/>
    <row r="19453" ht="15.75" customHeight="1"/>
    <row r="19454" ht="15.75" customHeight="1"/>
    <row r="19455" ht="15.75" customHeight="1"/>
    <row r="19456" ht="15.75" customHeight="1"/>
    <row r="19457" ht="15.75" customHeight="1"/>
    <row r="19458" ht="15.75" customHeight="1"/>
    <row r="19459" ht="15.75" customHeight="1"/>
    <row r="19460" ht="15.75" customHeight="1"/>
    <row r="19461" ht="15.75" customHeight="1"/>
    <row r="19462" ht="15.75" customHeight="1"/>
    <row r="19463" ht="15.75" customHeight="1"/>
    <row r="19464" ht="15.75" customHeight="1"/>
    <row r="19465" ht="15.75" customHeight="1"/>
    <row r="19466" ht="15.75" customHeight="1"/>
    <row r="19467" ht="15.75" customHeight="1"/>
    <row r="19468" ht="15.75" customHeight="1"/>
    <row r="19469" ht="15.75" customHeight="1"/>
    <row r="19470" ht="15.75" customHeight="1"/>
    <row r="19471" ht="15.75" customHeight="1"/>
    <row r="19472" ht="15.75" customHeight="1"/>
    <row r="19473" ht="15.75" customHeight="1"/>
    <row r="19474" ht="15.75" customHeight="1"/>
    <row r="19475" ht="15.75" customHeight="1"/>
    <row r="19476" ht="15.75" customHeight="1"/>
    <row r="19477" ht="15.75" customHeight="1"/>
    <row r="19478" ht="15.75" customHeight="1"/>
    <row r="19479" ht="15.75" customHeight="1"/>
    <row r="19480" ht="15.75" customHeight="1"/>
    <row r="19481" ht="15.75" customHeight="1"/>
    <row r="19482" ht="15.75" customHeight="1"/>
    <row r="19483" ht="15.75" customHeight="1"/>
    <row r="19484" ht="15.75" customHeight="1"/>
    <row r="19485" ht="15.75" customHeight="1"/>
    <row r="19486" ht="15.75" customHeight="1"/>
    <row r="19487" ht="15.75" customHeight="1"/>
    <row r="19488" ht="15.75" customHeight="1"/>
    <row r="19489" ht="15.75" customHeight="1"/>
    <row r="19490" ht="15.75" customHeight="1"/>
    <row r="19491" ht="15.75" customHeight="1"/>
    <row r="19492" ht="15.75" customHeight="1"/>
    <row r="19493" ht="15.75" customHeight="1"/>
    <row r="19494" ht="15.75" customHeight="1"/>
    <row r="19495" ht="15.75" customHeight="1"/>
    <row r="19496" ht="15.75" customHeight="1"/>
    <row r="19497" ht="15.75" customHeight="1"/>
    <row r="19498" ht="15.75" customHeight="1"/>
    <row r="19499" ht="15.75" customHeight="1"/>
    <row r="19500" ht="15.75" customHeight="1"/>
    <row r="19501" ht="15.75" customHeight="1"/>
    <row r="19502" ht="15.75" customHeight="1"/>
    <row r="19503" ht="15.75" customHeight="1"/>
    <row r="19504" ht="15.75" customHeight="1"/>
    <row r="19505" ht="15.75" customHeight="1"/>
    <row r="19506" ht="15.75" customHeight="1"/>
    <row r="19507" ht="15.75" customHeight="1"/>
    <row r="19508" ht="15.75" customHeight="1"/>
    <row r="19509" ht="15.75" customHeight="1"/>
    <row r="19510" ht="15.75" customHeight="1"/>
    <row r="19511" ht="15.75" customHeight="1"/>
    <row r="19512" ht="15.75" customHeight="1"/>
    <row r="19513" ht="15.75" customHeight="1"/>
    <row r="19514" ht="15.75" customHeight="1"/>
    <row r="19515" ht="15.75" customHeight="1"/>
    <row r="19516" ht="15.75" customHeight="1"/>
    <row r="19517" ht="15.75" customHeight="1"/>
    <row r="19518" ht="15.75" customHeight="1"/>
    <row r="19519" ht="15.75" customHeight="1"/>
    <row r="19520" ht="15.75" customHeight="1"/>
    <row r="19521" ht="15.75" customHeight="1"/>
    <row r="19522" ht="15.75" customHeight="1"/>
    <row r="19523" ht="15.75" customHeight="1"/>
    <row r="19524" ht="15.75" customHeight="1"/>
    <row r="19525" ht="15.75" customHeight="1"/>
    <row r="19526" ht="15.75" customHeight="1"/>
    <row r="19527" ht="15.75" customHeight="1"/>
    <row r="19528" ht="15.75" customHeight="1"/>
    <row r="19529" ht="15.75" customHeight="1"/>
    <row r="19530" ht="15.75" customHeight="1"/>
    <row r="19531" ht="15.75" customHeight="1"/>
    <row r="19532" ht="15.75" customHeight="1"/>
    <row r="19533" ht="15.75" customHeight="1"/>
    <row r="19534" ht="15.75" customHeight="1"/>
    <row r="19535" ht="15.75" customHeight="1"/>
    <row r="19536" ht="15.75" customHeight="1"/>
    <row r="19537" ht="15.75" customHeight="1"/>
    <row r="19538" ht="15.75" customHeight="1"/>
    <row r="19539" ht="15.75" customHeight="1"/>
    <row r="19540" ht="15.75" customHeight="1"/>
    <row r="19541" ht="15.75" customHeight="1"/>
    <row r="19542" ht="15.75" customHeight="1"/>
    <row r="19543" ht="15.75" customHeight="1"/>
    <row r="19544" ht="15.75" customHeight="1"/>
    <row r="19545" ht="15.75" customHeight="1"/>
    <row r="19546" ht="15.75" customHeight="1"/>
    <row r="19547" ht="15.75" customHeight="1"/>
    <row r="19548" ht="15.75" customHeight="1"/>
    <row r="19549" ht="15.75" customHeight="1"/>
    <row r="19550" ht="15.75" customHeight="1"/>
    <row r="19551" ht="15.75" customHeight="1"/>
    <row r="19552" ht="15.75" customHeight="1"/>
    <row r="19553" ht="15.75" customHeight="1"/>
    <row r="19554" ht="15.75" customHeight="1"/>
    <row r="19555" ht="15.75" customHeight="1"/>
    <row r="19556" ht="15.75" customHeight="1"/>
    <row r="19557" ht="15.75" customHeight="1"/>
    <row r="19558" ht="15.75" customHeight="1"/>
    <row r="19559" ht="15.75" customHeight="1"/>
    <row r="19560" ht="15.75" customHeight="1"/>
    <row r="19561" ht="15.75" customHeight="1"/>
    <row r="19562" ht="15.75" customHeight="1"/>
    <row r="19563" ht="15.75" customHeight="1"/>
    <row r="19564" ht="15.75" customHeight="1"/>
    <row r="19565" ht="15.75" customHeight="1"/>
    <row r="19566" ht="15.75" customHeight="1"/>
    <row r="19567" ht="15.75" customHeight="1"/>
    <row r="19568" ht="15.75" customHeight="1"/>
    <row r="19569" ht="15.75" customHeight="1"/>
    <row r="19570" ht="15.75" customHeight="1"/>
    <row r="19571" ht="15.75" customHeight="1"/>
    <row r="19572" ht="15.75" customHeight="1"/>
    <row r="19573" ht="15.75" customHeight="1"/>
    <row r="19574" ht="15.75" customHeight="1"/>
    <row r="19575" ht="15.75" customHeight="1"/>
    <row r="19576" ht="15.75" customHeight="1"/>
    <row r="19577" ht="15.75" customHeight="1"/>
    <row r="19578" ht="15.75" customHeight="1"/>
    <row r="19579" ht="15.75" customHeight="1"/>
    <row r="19580" ht="15.75" customHeight="1"/>
    <row r="19581" ht="15.75" customHeight="1"/>
    <row r="19582" ht="15.75" customHeight="1"/>
    <row r="19583" ht="15.75" customHeight="1"/>
    <row r="19584" ht="15.75" customHeight="1"/>
    <row r="19585" ht="15.75" customHeight="1"/>
    <row r="19586" ht="15.75" customHeight="1"/>
    <row r="19587" ht="15.75" customHeight="1"/>
    <row r="19588" ht="15.75" customHeight="1"/>
    <row r="19589" ht="15.75" customHeight="1"/>
    <row r="19590" ht="15.75" customHeight="1"/>
    <row r="19591" ht="15.75" customHeight="1"/>
    <row r="19592" ht="15.75" customHeight="1"/>
    <row r="19593" ht="15.75" customHeight="1"/>
    <row r="19594" ht="15.75" customHeight="1"/>
    <row r="19595" ht="15.75" customHeight="1"/>
    <row r="19596" ht="15.75" customHeight="1"/>
    <row r="19597" ht="15.75" customHeight="1"/>
    <row r="19598" ht="15.75" customHeight="1"/>
    <row r="19599" ht="15.75" customHeight="1"/>
    <row r="19600" ht="15.75" customHeight="1"/>
    <row r="19601" ht="15.75" customHeight="1"/>
    <row r="19602" ht="15.75" customHeight="1"/>
    <row r="19603" ht="15.75" customHeight="1"/>
    <row r="19604" ht="15.75" customHeight="1"/>
    <row r="19605" ht="15.75" customHeight="1"/>
    <row r="19606" ht="15.75" customHeight="1"/>
    <row r="19607" ht="15.75" customHeight="1"/>
    <row r="19608" ht="15.75" customHeight="1"/>
    <row r="19609" ht="15.75" customHeight="1"/>
    <row r="19610" ht="15.75" customHeight="1"/>
    <row r="19611" ht="15.75" customHeight="1"/>
    <row r="19612" ht="15.75" customHeight="1"/>
    <row r="19613" ht="15.75" customHeight="1"/>
    <row r="19614" ht="15.75" customHeight="1"/>
    <row r="19615" ht="15.75" customHeight="1"/>
    <row r="19616" ht="15.75" customHeight="1"/>
    <row r="19617" ht="15.75" customHeight="1"/>
    <row r="19618" ht="15.75" customHeight="1"/>
    <row r="19619" ht="15.75" customHeight="1"/>
    <row r="19620" ht="15.75" customHeight="1"/>
    <row r="19621" ht="15.75" customHeight="1"/>
    <row r="19622" ht="15.75" customHeight="1"/>
    <row r="19623" ht="15.75" customHeight="1"/>
    <row r="19624" ht="15.75" customHeight="1"/>
    <row r="19625" ht="15.75" customHeight="1"/>
    <row r="19626" ht="15.75" customHeight="1"/>
    <row r="19627" ht="15.75" customHeight="1"/>
    <row r="19628" ht="15.75" customHeight="1"/>
    <row r="19629" ht="15.75" customHeight="1"/>
    <row r="19630" ht="15.75" customHeight="1"/>
    <row r="19631" ht="15.75" customHeight="1"/>
    <row r="19632" ht="15.75" customHeight="1"/>
    <row r="19633" ht="15.75" customHeight="1"/>
    <row r="19634" ht="15.75" customHeight="1"/>
    <row r="19635" ht="15.75" customHeight="1"/>
    <row r="19636" ht="15.75" customHeight="1"/>
    <row r="19637" ht="15.75" customHeight="1"/>
    <row r="19638" ht="15.75" customHeight="1"/>
    <row r="19639" ht="15.75" customHeight="1"/>
    <row r="19640" ht="15.75" customHeight="1"/>
    <row r="19641" ht="15.75" customHeight="1"/>
    <row r="19642" ht="15.75" customHeight="1"/>
    <row r="19643" ht="15.75" customHeight="1"/>
    <row r="19644" ht="15.75" customHeight="1"/>
    <row r="19645" ht="15.75" customHeight="1"/>
    <row r="19646" ht="15.75" customHeight="1"/>
    <row r="19647" ht="15.75" customHeight="1"/>
    <row r="19648" ht="15.75" customHeight="1"/>
    <row r="19649" ht="15.75" customHeight="1"/>
    <row r="19650" ht="15.75" customHeight="1"/>
    <row r="19651" ht="15.75" customHeight="1"/>
    <row r="19652" ht="15.75" customHeight="1"/>
    <row r="19653" ht="15.75" customHeight="1"/>
    <row r="19654" ht="15.75" customHeight="1"/>
    <row r="19655" ht="15.75" customHeight="1"/>
    <row r="19656" ht="15.75" customHeight="1"/>
    <row r="19657" ht="15.75" customHeight="1"/>
    <row r="19658" ht="15.75" customHeight="1"/>
    <row r="19659" ht="15.75" customHeight="1"/>
    <row r="19660" ht="15.75" customHeight="1"/>
    <row r="19661" ht="15.75" customHeight="1"/>
    <row r="19662" ht="15.75" customHeight="1"/>
    <row r="19663" ht="15.75" customHeight="1"/>
    <row r="19664" ht="15.75" customHeight="1"/>
    <row r="19665" ht="15.75" customHeight="1"/>
    <row r="19666" ht="15.75" customHeight="1"/>
    <row r="19667" ht="15.75" customHeight="1"/>
    <row r="19668" ht="15.75" customHeight="1"/>
    <row r="19669" ht="15.75" customHeight="1"/>
    <row r="19670" ht="15.75" customHeight="1"/>
    <row r="19671" ht="15.75" customHeight="1"/>
    <row r="19672" ht="15.75" customHeight="1"/>
    <row r="19673" ht="15.75" customHeight="1"/>
    <row r="19674" ht="15.75" customHeight="1"/>
    <row r="19675" ht="15.75" customHeight="1"/>
    <row r="19676" ht="15.75" customHeight="1"/>
    <row r="19677" ht="15.75" customHeight="1"/>
    <row r="19678" ht="15.75" customHeight="1"/>
    <row r="19679" ht="15.75" customHeight="1"/>
    <row r="19680" ht="15.75" customHeight="1"/>
    <row r="19681" ht="15.75" customHeight="1"/>
    <row r="19682" ht="15.75" customHeight="1"/>
    <row r="19683" ht="15.75" customHeight="1"/>
    <row r="19684" ht="15.75" customHeight="1"/>
    <row r="19685" ht="15.75" customHeight="1"/>
    <row r="19686" ht="15.75" customHeight="1"/>
    <row r="19687" ht="15.75" customHeight="1"/>
    <row r="19688" ht="15.75" customHeight="1"/>
    <row r="19689" ht="15.75" customHeight="1"/>
    <row r="19690" ht="15.75" customHeight="1"/>
    <row r="19691" ht="15.75" customHeight="1"/>
    <row r="19692" ht="15.75" customHeight="1"/>
    <row r="19693" ht="15.75" customHeight="1"/>
    <row r="19694" ht="15.75" customHeight="1"/>
    <row r="19695" ht="15.75" customHeight="1"/>
    <row r="19696" ht="15.75" customHeight="1"/>
    <row r="19697" ht="15.75" customHeight="1"/>
    <row r="19698" ht="15.75" customHeight="1"/>
    <row r="19699" ht="15.75" customHeight="1"/>
    <row r="19700" ht="15.75" customHeight="1"/>
    <row r="19701" ht="15.75" customHeight="1"/>
    <row r="19702" ht="15.75" customHeight="1"/>
    <row r="19703" ht="15.75" customHeight="1"/>
    <row r="19704" ht="15.75" customHeight="1"/>
    <row r="19705" ht="15.75" customHeight="1"/>
    <row r="19706" ht="15.75" customHeight="1"/>
    <row r="19707" ht="15.75" customHeight="1"/>
    <row r="19708" ht="15.75" customHeight="1"/>
    <row r="19709" ht="15.75" customHeight="1"/>
    <row r="19710" ht="15.75" customHeight="1"/>
    <row r="19711" ht="15.75" customHeight="1"/>
    <row r="19712" ht="15.75" customHeight="1"/>
    <row r="19713" ht="15.75" customHeight="1"/>
    <row r="19714" ht="15.75" customHeight="1"/>
    <row r="19715" ht="15.75" customHeight="1"/>
    <row r="19716" ht="15.75" customHeight="1"/>
    <row r="19717" ht="15.75" customHeight="1"/>
    <row r="19718" ht="15.75" customHeight="1"/>
    <row r="19719" ht="15.75" customHeight="1"/>
    <row r="19720" ht="15.75" customHeight="1"/>
    <row r="19721" ht="15.75" customHeight="1"/>
    <row r="19722" ht="15.75" customHeight="1"/>
    <row r="19723" ht="15.75" customHeight="1"/>
    <row r="19724" ht="15.75" customHeight="1"/>
    <row r="19725" ht="15.75" customHeight="1"/>
    <row r="19726" ht="15.75" customHeight="1"/>
    <row r="19727" ht="15.75" customHeight="1"/>
    <row r="19728" ht="15.75" customHeight="1"/>
    <row r="19729" ht="15.75" customHeight="1"/>
    <row r="19730" ht="15.75" customHeight="1"/>
    <row r="19731" ht="15.75" customHeight="1"/>
    <row r="19732" ht="15.75" customHeight="1"/>
    <row r="19733" ht="15.75" customHeight="1"/>
    <row r="19734" ht="15.75" customHeight="1"/>
    <row r="19735" ht="15.75" customHeight="1"/>
    <row r="19736" ht="15.75" customHeight="1"/>
    <row r="19737" ht="15.75" customHeight="1"/>
    <row r="19738" ht="15.75" customHeight="1"/>
    <row r="19739" ht="15.75" customHeight="1"/>
    <row r="19740" ht="15.75" customHeight="1"/>
    <row r="19741" ht="15.75" customHeight="1"/>
    <row r="19742" ht="15.75" customHeight="1"/>
    <row r="19743" ht="15.75" customHeight="1"/>
    <row r="19744" ht="15.75" customHeight="1"/>
    <row r="19745" ht="15.75" customHeight="1"/>
    <row r="19746" ht="15.75" customHeight="1"/>
    <row r="19747" ht="15.75" customHeight="1"/>
    <row r="19748" ht="15.75" customHeight="1"/>
    <row r="19749" ht="15.75" customHeight="1"/>
    <row r="19750" ht="15.75" customHeight="1"/>
    <row r="19751" ht="15.75" customHeight="1"/>
    <row r="19752" ht="15.75" customHeight="1"/>
    <row r="19753" ht="15.75" customHeight="1"/>
    <row r="19754" ht="15.75" customHeight="1"/>
    <row r="19755" ht="15.75" customHeight="1"/>
    <row r="19756" ht="15.75" customHeight="1"/>
    <row r="19757" ht="15.75" customHeight="1"/>
    <row r="19758" ht="15.75" customHeight="1"/>
    <row r="19759" ht="15.75" customHeight="1"/>
    <row r="19760" ht="15.75" customHeight="1"/>
    <row r="19761" ht="15.75" customHeight="1"/>
    <row r="19762" ht="15.75" customHeight="1"/>
    <row r="19763" ht="15.75" customHeight="1"/>
    <row r="19764" ht="15.75" customHeight="1"/>
    <row r="19765" ht="15.75" customHeight="1"/>
    <row r="19766" ht="15.75" customHeight="1"/>
    <row r="19767" ht="15.75" customHeight="1"/>
    <row r="19768" ht="15.75" customHeight="1"/>
    <row r="19769" ht="15.75" customHeight="1"/>
    <row r="19770" ht="15.75" customHeight="1"/>
    <row r="19771" ht="15.75" customHeight="1"/>
    <row r="19772" ht="15.75" customHeight="1"/>
    <row r="19773" ht="15.75" customHeight="1"/>
    <row r="19774" ht="15.75" customHeight="1"/>
    <row r="19775" ht="15.75" customHeight="1"/>
    <row r="19776" ht="15.75" customHeight="1"/>
    <row r="19777" ht="15.75" customHeight="1"/>
    <row r="19778" ht="15.75" customHeight="1"/>
    <row r="19779" ht="15.75" customHeight="1"/>
    <row r="19780" ht="15.75" customHeight="1"/>
    <row r="19781" ht="15.75" customHeight="1"/>
    <row r="19782" ht="15.75" customHeight="1"/>
    <row r="19783" ht="15.75" customHeight="1"/>
    <row r="19784" ht="15.75" customHeight="1"/>
    <row r="19785" ht="15.75" customHeight="1"/>
    <row r="19786" ht="15.75" customHeight="1"/>
    <row r="19787" ht="15.75" customHeight="1"/>
    <row r="19788" ht="15.75" customHeight="1"/>
    <row r="19789" ht="15.75" customHeight="1"/>
    <row r="19790" ht="15.75" customHeight="1"/>
    <row r="19791" ht="15.75" customHeight="1"/>
    <row r="19792" ht="15.75" customHeight="1"/>
    <row r="19793" ht="15.75" customHeight="1"/>
    <row r="19794" ht="15.75" customHeight="1"/>
    <row r="19795" ht="15.75" customHeight="1"/>
    <row r="19796" ht="15.75" customHeight="1"/>
    <row r="19797" ht="15.75" customHeight="1"/>
    <row r="19798" ht="15.75" customHeight="1"/>
    <row r="19799" ht="15.75" customHeight="1"/>
    <row r="19800" ht="15.75" customHeight="1"/>
    <row r="19801" ht="15.75" customHeight="1"/>
    <row r="19802" ht="15.75" customHeight="1"/>
    <row r="19803" ht="15.75" customHeight="1"/>
    <row r="19804" ht="15.75" customHeight="1"/>
    <row r="19805" ht="15.75" customHeight="1"/>
    <row r="19806" ht="15.75" customHeight="1"/>
    <row r="19807" ht="15.75" customHeight="1"/>
    <row r="19808" ht="15.75" customHeight="1"/>
    <row r="19809" ht="15.75" customHeight="1"/>
    <row r="19810" ht="15.75" customHeight="1"/>
    <row r="19811" ht="15.75" customHeight="1"/>
    <row r="19812" ht="15.75" customHeight="1"/>
    <row r="19813" ht="15.75" customHeight="1"/>
    <row r="19814" ht="15.75" customHeight="1"/>
    <row r="19815" ht="15.75" customHeight="1"/>
    <row r="19816" ht="15.75" customHeight="1"/>
    <row r="19817" ht="15.75" customHeight="1"/>
    <row r="19818" ht="15.75" customHeight="1"/>
    <row r="19819" ht="15.75" customHeight="1"/>
    <row r="19820" ht="15.75" customHeight="1"/>
    <row r="19821" ht="15.75" customHeight="1"/>
    <row r="19822" ht="15.75" customHeight="1"/>
    <row r="19823" ht="15.75" customHeight="1"/>
    <row r="19824" ht="15.75" customHeight="1"/>
    <row r="19825" ht="15.75" customHeight="1"/>
    <row r="19826" ht="15.75" customHeight="1"/>
    <row r="19827" ht="15.75" customHeight="1"/>
    <row r="19828" ht="15.75" customHeight="1"/>
    <row r="19829" ht="15.75" customHeight="1"/>
    <row r="19830" ht="15.75" customHeight="1"/>
    <row r="19831" ht="15.75" customHeight="1"/>
    <row r="19832" ht="15.75" customHeight="1"/>
    <row r="19833" ht="15.75" customHeight="1"/>
    <row r="19834" ht="15.75" customHeight="1"/>
    <row r="19835" ht="15.75" customHeight="1"/>
    <row r="19836" ht="15.75" customHeight="1"/>
    <row r="19837" ht="15.75" customHeight="1"/>
    <row r="19838" ht="15.75" customHeight="1"/>
    <row r="19839" ht="15.75" customHeight="1"/>
    <row r="19840" ht="15.75" customHeight="1"/>
    <row r="19841" ht="15.75" customHeight="1"/>
    <row r="19842" ht="15.75" customHeight="1"/>
    <row r="19843" ht="15.75" customHeight="1"/>
    <row r="19844" ht="15.75" customHeight="1"/>
    <row r="19845" ht="15.75" customHeight="1"/>
    <row r="19846" ht="15.75" customHeight="1"/>
    <row r="19847" ht="15.75" customHeight="1"/>
    <row r="19848" ht="15.75" customHeight="1"/>
    <row r="19849" ht="15.75" customHeight="1"/>
    <row r="19850" ht="15.75" customHeight="1"/>
    <row r="19851" ht="15.75" customHeight="1"/>
    <row r="19852" ht="15.75" customHeight="1"/>
    <row r="19853" ht="15.75" customHeight="1"/>
    <row r="19854" ht="15.75" customHeight="1"/>
    <row r="19855" ht="15.75" customHeight="1"/>
    <row r="19856" ht="15.75" customHeight="1"/>
    <row r="19857" ht="15.75" customHeight="1"/>
    <row r="19858" ht="15.75" customHeight="1"/>
    <row r="19859" ht="15.75" customHeight="1"/>
    <row r="19860" ht="15.75" customHeight="1"/>
    <row r="19861" ht="15.75" customHeight="1"/>
    <row r="19862" ht="15.75" customHeight="1"/>
    <row r="19863" ht="15.75" customHeight="1"/>
    <row r="19864" ht="15.75" customHeight="1"/>
    <row r="19865" ht="15.75" customHeight="1"/>
    <row r="19866" ht="15.75" customHeight="1"/>
    <row r="19867" ht="15.75" customHeight="1"/>
    <row r="19868" ht="15.75" customHeight="1"/>
    <row r="19869" ht="15.75" customHeight="1"/>
    <row r="19870" ht="15.75" customHeight="1"/>
    <row r="19871" ht="15.75" customHeight="1"/>
    <row r="19872" ht="15.75" customHeight="1"/>
    <row r="19873" ht="15.75" customHeight="1"/>
    <row r="19874" ht="15.75" customHeight="1"/>
    <row r="19875" ht="15.75" customHeight="1"/>
    <row r="19876" ht="15.75" customHeight="1"/>
    <row r="19877" ht="15.75" customHeight="1"/>
    <row r="19878" ht="15.75" customHeight="1"/>
    <row r="19879" ht="15.75" customHeight="1"/>
    <row r="19880" ht="15.75" customHeight="1"/>
    <row r="19881" ht="15.75" customHeight="1"/>
    <row r="19882" ht="15.75" customHeight="1"/>
    <row r="19883" ht="15.75" customHeight="1"/>
    <row r="19884" ht="15.75" customHeight="1"/>
    <row r="19885" ht="15.75" customHeight="1"/>
    <row r="19886" ht="15.75" customHeight="1"/>
    <row r="19887" ht="15.75" customHeight="1"/>
    <row r="19888" ht="15.75" customHeight="1"/>
    <row r="19889" ht="15.75" customHeight="1"/>
    <row r="19890" ht="15.75" customHeight="1"/>
    <row r="19891" ht="15.75" customHeight="1"/>
    <row r="19892" ht="15.75" customHeight="1"/>
    <row r="19893" ht="15.75" customHeight="1"/>
    <row r="19894" ht="15.75" customHeight="1"/>
    <row r="19895" ht="15.75" customHeight="1"/>
    <row r="19896" ht="15.75" customHeight="1"/>
    <row r="19897" ht="15.75" customHeight="1"/>
    <row r="19898" ht="15.75" customHeight="1"/>
    <row r="19899" ht="15.75" customHeight="1"/>
    <row r="19900" ht="15.75" customHeight="1"/>
    <row r="19901" ht="15.75" customHeight="1"/>
    <row r="19902" ht="15.75" customHeight="1"/>
    <row r="19903" ht="15.75" customHeight="1"/>
    <row r="19904" ht="15.75" customHeight="1"/>
    <row r="19905" ht="15.75" customHeight="1"/>
    <row r="19906" ht="15.75" customHeight="1"/>
    <row r="19907" ht="15.75" customHeight="1"/>
    <row r="19908" ht="15.75" customHeight="1"/>
    <row r="19909" ht="15.75" customHeight="1"/>
    <row r="19910" ht="15.75" customHeight="1"/>
    <row r="19911" ht="15.75" customHeight="1"/>
    <row r="19912" ht="15.75" customHeight="1"/>
    <row r="19913" ht="15.75" customHeight="1"/>
    <row r="19914" ht="15.75" customHeight="1"/>
    <row r="19915" ht="15.75" customHeight="1"/>
    <row r="19916" ht="15.75" customHeight="1"/>
    <row r="19917" ht="15.75" customHeight="1"/>
    <row r="19918" ht="15.75" customHeight="1"/>
    <row r="19919" ht="15.75" customHeight="1"/>
    <row r="19920" ht="15.75" customHeight="1"/>
    <row r="19921" ht="15.75" customHeight="1"/>
    <row r="19922" ht="15.75" customHeight="1"/>
    <row r="19923" ht="15.75" customHeight="1"/>
    <row r="19924" ht="15.75" customHeight="1"/>
    <row r="19925" ht="15.75" customHeight="1"/>
    <row r="19926" ht="15.75" customHeight="1"/>
    <row r="19927" ht="15.75" customHeight="1"/>
    <row r="19928" ht="15.75" customHeight="1"/>
    <row r="19929" ht="15.75" customHeight="1"/>
    <row r="19930" ht="15.75" customHeight="1"/>
    <row r="19931" ht="15.75" customHeight="1"/>
    <row r="19932" ht="15.75" customHeight="1"/>
    <row r="19933" ht="15.75" customHeight="1"/>
    <row r="19934" ht="15.75" customHeight="1"/>
    <row r="19935" ht="15.75" customHeight="1"/>
    <row r="19936" ht="15.75" customHeight="1"/>
    <row r="19937" ht="15.75" customHeight="1"/>
    <row r="19938" ht="15.75" customHeight="1"/>
    <row r="19939" ht="15.75" customHeight="1"/>
    <row r="19940" ht="15.75" customHeight="1"/>
    <row r="19941" ht="15.75" customHeight="1"/>
    <row r="19942" ht="15.75" customHeight="1"/>
    <row r="19943" ht="15.75" customHeight="1"/>
    <row r="19944" ht="15.75" customHeight="1"/>
    <row r="19945" ht="15.75" customHeight="1"/>
    <row r="19946" ht="15.75" customHeight="1"/>
    <row r="19947" ht="15.75" customHeight="1"/>
    <row r="19948" ht="15.75" customHeight="1"/>
    <row r="19949" ht="15.75" customHeight="1"/>
    <row r="19950" ht="15.75" customHeight="1"/>
    <row r="19951" ht="15.75" customHeight="1"/>
    <row r="19952" ht="15.75" customHeight="1"/>
    <row r="19953" ht="15.75" customHeight="1"/>
    <row r="19954" ht="15.75" customHeight="1"/>
    <row r="19955" ht="15.75" customHeight="1"/>
    <row r="19956" ht="15.75" customHeight="1"/>
    <row r="19957" ht="15.75" customHeight="1"/>
    <row r="19958" ht="15.75" customHeight="1"/>
    <row r="19959" ht="15.75" customHeight="1"/>
    <row r="19960" ht="15.75" customHeight="1"/>
    <row r="19961" ht="15.75" customHeight="1"/>
    <row r="19962" ht="15.75" customHeight="1"/>
    <row r="19963" ht="15.75" customHeight="1"/>
    <row r="19964" ht="15.75" customHeight="1"/>
    <row r="19965" ht="15.75" customHeight="1"/>
    <row r="19966" ht="15.75" customHeight="1"/>
    <row r="19967" ht="15.75" customHeight="1"/>
    <row r="19968" ht="15.75" customHeight="1"/>
    <row r="19969" ht="15.75" customHeight="1"/>
    <row r="19970" ht="15.75" customHeight="1"/>
    <row r="19971" ht="15.75" customHeight="1"/>
    <row r="19972" ht="15.75" customHeight="1"/>
    <row r="19973" ht="15.75" customHeight="1"/>
    <row r="19974" ht="15.75" customHeight="1"/>
    <row r="19975" ht="15.75" customHeight="1"/>
    <row r="19976" ht="15.75" customHeight="1"/>
    <row r="19977" ht="15.75" customHeight="1"/>
    <row r="19978" ht="15.75" customHeight="1"/>
    <row r="19979" ht="15.75" customHeight="1"/>
    <row r="19980" ht="15.75" customHeight="1"/>
    <row r="19981" ht="15.75" customHeight="1"/>
    <row r="19982" ht="15.75" customHeight="1"/>
    <row r="19983" ht="15.75" customHeight="1"/>
    <row r="19984" ht="15.75" customHeight="1"/>
    <row r="19985" ht="15.75" customHeight="1"/>
    <row r="19986" ht="15.75" customHeight="1"/>
    <row r="19987" ht="15.75" customHeight="1"/>
    <row r="19988" ht="15.75" customHeight="1"/>
    <row r="19989" ht="15.75" customHeight="1"/>
    <row r="19990" ht="15.75" customHeight="1"/>
    <row r="19991" ht="15.75" customHeight="1"/>
    <row r="19992" ht="15.75" customHeight="1"/>
    <row r="19993" ht="15.75" customHeight="1"/>
    <row r="19994" ht="15.75" customHeight="1"/>
    <row r="19995" ht="15.75" customHeight="1"/>
    <row r="19996" ht="15.75" customHeight="1"/>
    <row r="19997" ht="15.75" customHeight="1"/>
    <row r="19998" ht="15.75" customHeight="1"/>
    <row r="19999" ht="15.75" customHeight="1"/>
    <row r="20000" ht="15.75" customHeight="1"/>
    <row r="20001" ht="15.75" customHeight="1"/>
    <row r="20002" ht="15.75" customHeight="1"/>
    <row r="20003" ht="15.75" customHeight="1"/>
    <row r="20004" ht="15.75" customHeight="1"/>
    <row r="20005" ht="15.75" customHeight="1"/>
    <row r="20006" ht="15.75" customHeight="1"/>
    <row r="20007" ht="15.75" customHeight="1"/>
    <row r="20008" ht="15.75" customHeight="1"/>
    <row r="20009" ht="15.75" customHeight="1"/>
    <row r="20010" ht="15.75" customHeight="1"/>
    <row r="20011" ht="15.75" customHeight="1"/>
    <row r="20012" ht="15.75" customHeight="1"/>
    <row r="20013" ht="15.75" customHeight="1"/>
    <row r="20014" ht="15.75" customHeight="1"/>
    <row r="20015" ht="15.75" customHeight="1"/>
    <row r="20016" ht="15.75" customHeight="1"/>
    <row r="20017" ht="15.75" customHeight="1"/>
    <row r="20018" ht="15.75" customHeight="1"/>
    <row r="20019" ht="15.75" customHeight="1"/>
    <row r="20020" ht="15.75" customHeight="1"/>
    <row r="20021" ht="15.75" customHeight="1"/>
    <row r="20022" ht="15.75" customHeight="1"/>
    <row r="20023" ht="15.75" customHeight="1"/>
    <row r="20024" ht="15.75" customHeight="1"/>
    <row r="20025" ht="15.75" customHeight="1"/>
    <row r="20026" ht="15.75" customHeight="1"/>
    <row r="20027" ht="15.75" customHeight="1"/>
    <row r="20028" ht="15.75" customHeight="1"/>
    <row r="20029" ht="15.75" customHeight="1"/>
    <row r="20030" ht="15.75" customHeight="1"/>
    <row r="20031" ht="15.75" customHeight="1"/>
    <row r="20032" ht="15.75" customHeight="1"/>
    <row r="20033" ht="15.75" customHeight="1"/>
    <row r="20034" ht="15.75" customHeight="1"/>
    <row r="20035" ht="15.75" customHeight="1"/>
    <row r="20036" ht="15.75" customHeight="1"/>
    <row r="20037" ht="15.75" customHeight="1"/>
    <row r="20038" ht="15.75" customHeight="1"/>
    <row r="20039" ht="15.75" customHeight="1"/>
    <row r="20040" ht="15.75" customHeight="1"/>
    <row r="20041" ht="15.75" customHeight="1"/>
    <row r="20042" ht="15.75" customHeight="1"/>
    <row r="20043" ht="15.75" customHeight="1"/>
    <row r="20044" ht="15.75" customHeight="1"/>
    <row r="20045" ht="15.75" customHeight="1"/>
    <row r="20046" ht="15.75" customHeight="1"/>
    <row r="20047" ht="15.75" customHeight="1"/>
    <row r="20048" ht="15.75" customHeight="1"/>
    <row r="20049" ht="15.75" customHeight="1"/>
    <row r="20050" ht="15.75" customHeight="1"/>
    <row r="20051" ht="15.75" customHeight="1"/>
    <row r="20052" ht="15.75" customHeight="1"/>
    <row r="20053" ht="15.75" customHeight="1"/>
    <row r="20054" ht="15.75" customHeight="1"/>
    <row r="20055" ht="15.75" customHeight="1"/>
    <row r="20056" ht="15.75" customHeight="1"/>
    <row r="20057" ht="15.75" customHeight="1"/>
    <row r="20058" ht="15.75" customHeight="1"/>
    <row r="20059" ht="15.75" customHeight="1"/>
    <row r="20060" ht="15.75" customHeight="1"/>
    <row r="20061" ht="15.75" customHeight="1"/>
    <row r="20062" ht="15.75" customHeight="1"/>
    <row r="20063" ht="15.75" customHeight="1"/>
    <row r="20064" ht="15.75" customHeight="1"/>
    <row r="20065" ht="15.75" customHeight="1"/>
    <row r="20066" ht="15.75" customHeight="1"/>
    <row r="20067" ht="15.75" customHeight="1"/>
    <row r="20068" ht="15.75" customHeight="1"/>
    <row r="20069" ht="15.75" customHeight="1"/>
    <row r="20070" ht="15.75" customHeight="1"/>
    <row r="20071" ht="15.75" customHeight="1"/>
    <row r="20072" ht="15.75" customHeight="1"/>
    <row r="20073" ht="15.75" customHeight="1"/>
    <row r="20074" ht="15.75" customHeight="1"/>
    <row r="20075" ht="15.75" customHeight="1"/>
    <row r="20076" ht="15.75" customHeight="1"/>
    <row r="20077" ht="15.75" customHeight="1"/>
    <row r="20078" ht="15.75" customHeight="1"/>
    <row r="20079" ht="15.75" customHeight="1"/>
    <row r="20080" ht="15.75" customHeight="1"/>
    <row r="20081" ht="15.75" customHeight="1"/>
    <row r="20082" ht="15.75" customHeight="1"/>
    <row r="20083" ht="15.75" customHeight="1"/>
    <row r="20084" ht="15.75" customHeight="1"/>
    <row r="20085" ht="15.75" customHeight="1"/>
    <row r="20086" ht="15.75" customHeight="1"/>
    <row r="20087" ht="15.75" customHeight="1"/>
    <row r="20088" ht="15.75" customHeight="1"/>
    <row r="20089" ht="15.75" customHeight="1"/>
    <row r="20090" ht="15.75" customHeight="1"/>
    <row r="20091" ht="15.75" customHeight="1"/>
    <row r="20092" ht="15.75" customHeight="1"/>
    <row r="20093" ht="15.75" customHeight="1"/>
    <row r="20094" ht="15.75" customHeight="1"/>
    <row r="20095" ht="15.75" customHeight="1"/>
    <row r="20096" ht="15.75" customHeight="1"/>
    <row r="20097" ht="15.75" customHeight="1"/>
    <row r="20098" ht="15.75" customHeight="1"/>
    <row r="20099" ht="15.75" customHeight="1"/>
    <row r="20100" ht="15.75" customHeight="1"/>
    <row r="20101" ht="15.75" customHeight="1"/>
    <row r="20102" ht="15.75" customHeight="1"/>
    <row r="20103" ht="15.75" customHeight="1"/>
    <row r="20104" ht="15.75" customHeight="1"/>
    <row r="20105" ht="15.75" customHeight="1"/>
    <row r="20106" ht="15.75" customHeight="1"/>
    <row r="20107" ht="15.75" customHeight="1"/>
    <row r="20108" ht="15.75" customHeight="1"/>
    <row r="20109" ht="15.75" customHeight="1"/>
    <row r="20110" ht="15.75" customHeight="1"/>
    <row r="20111" ht="15.75" customHeight="1"/>
    <row r="20112" ht="15.75" customHeight="1"/>
    <row r="20113" ht="15.75" customHeight="1"/>
    <row r="20114" ht="15.75" customHeight="1"/>
    <row r="20115" ht="15.75" customHeight="1"/>
    <row r="20116" ht="15.75" customHeight="1"/>
    <row r="20117" ht="15.75" customHeight="1"/>
    <row r="20118" ht="15.75" customHeight="1"/>
    <row r="20119" ht="15.75" customHeight="1"/>
    <row r="20120" ht="15.75" customHeight="1"/>
    <row r="20121" ht="15.75" customHeight="1"/>
    <row r="20122" ht="15.75" customHeight="1"/>
    <row r="20123" ht="15.75" customHeight="1"/>
    <row r="20124" ht="15.75" customHeight="1"/>
    <row r="20125" ht="15.75" customHeight="1"/>
    <row r="20126" ht="15.75" customHeight="1"/>
    <row r="20127" ht="15.75" customHeight="1"/>
    <row r="20128" ht="15.75" customHeight="1"/>
    <row r="20129" ht="15.75" customHeight="1"/>
    <row r="20130" ht="15.75" customHeight="1"/>
    <row r="20131" ht="15.75" customHeight="1"/>
    <row r="20132" ht="15.75" customHeight="1"/>
    <row r="20133" ht="15.75" customHeight="1"/>
    <row r="20134" ht="15.75" customHeight="1"/>
    <row r="20135" ht="15.75" customHeight="1"/>
    <row r="20136" ht="15.75" customHeight="1"/>
    <row r="20137" ht="15.75" customHeight="1"/>
    <row r="20138" ht="15.75" customHeight="1"/>
    <row r="20139" ht="15.75" customHeight="1"/>
    <row r="20140" ht="15.75" customHeight="1"/>
    <row r="20141" ht="15.75" customHeight="1"/>
    <row r="20142" ht="15.75" customHeight="1"/>
    <row r="20143" ht="15.75" customHeight="1"/>
    <row r="20144" ht="15.75" customHeight="1"/>
    <row r="20145" ht="15.75" customHeight="1"/>
    <row r="20146" ht="15.75" customHeight="1"/>
    <row r="20147" ht="15.75" customHeight="1"/>
    <row r="20148" ht="15.75" customHeight="1"/>
    <row r="20149" ht="15.75" customHeight="1"/>
    <row r="20150" ht="15.75" customHeight="1"/>
    <row r="20151" ht="15.75" customHeight="1"/>
    <row r="20152" ht="15.75" customHeight="1"/>
    <row r="20153" ht="15.75" customHeight="1"/>
    <row r="20154" ht="15.75" customHeight="1"/>
    <row r="20155" ht="15.75" customHeight="1"/>
    <row r="20156" ht="15.75" customHeight="1"/>
    <row r="20157" ht="15.75" customHeight="1"/>
    <row r="20158" ht="15.75" customHeight="1"/>
    <row r="20159" ht="15.75" customHeight="1"/>
    <row r="20160" ht="15.75" customHeight="1"/>
    <row r="20161" ht="15.75" customHeight="1"/>
    <row r="20162" ht="15.75" customHeight="1"/>
    <row r="20163" ht="15.75" customHeight="1"/>
    <row r="20164" ht="15.75" customHeight="1"/>
    <row r="20165" ht="15.75" customHeight="1"/>
    <row r="20166" ht="15.75" customHeight="1"/>
    <row r="20167" ht="15.75" customHeight="1"/>
    <row r="20168" ht="15.75" customHeight="1"/>
    <row r="20169" ht="15.75" customHeight="1"/>
    <row r="20170" ht="15.75" customHeight="1"/>
    <row r="20171" ht="15.75" customHeight="1"/>
    <row r="20172" ht="15.75" customHeight="1"/>
    <row r="20173" ht="15.75" customHeight="1"/>
    <row r="20174" ht="15.75" customHeight="1"/>
    <row r="20175" ht="15.75" customHeight="1"/>
    <row r="20176" ht="15.75" customHeight="1"/>
    <row r="20177" ht="15.75" customHeight="1"/>
    <row r="20178" ht="15.75" customHeight="1"/>
    <row r="20179" ht="15.75" customHeight="1"/>
    <row r="20180" ht="15.75" customHeight="1"/>
    <row r="20181" ht="15.75" customHeight="1"/>
    <row r="20182" ht="15.75" customHeight="1"/>
    <row r="20183" ht="15.75" customHeight="1"/>
    <row r="20184" ht="15.75" customHeight="1"/>
    <row r="20185" ht="15.75" customHeight="1"/>
    <row r="20186" ht="15.75" customHeight="1"/>
    <row r="20187" ht="15.75" customHeight="1"/>
    <row r="20188" ht="15.75" customHeight="1"/>
    <row r="20189" ht="15.75" customHeight="1"/>
    <row r="20190" ht="15.75" customHeight="1"/>
    <row r="20191" ht="15.75" customHeight="1"/>
    <row r="20192" ht="15.75" customHeight="1"/>
    <row r="20193" ht="15.75" customHeight="1"/>
    <row r="20194" ht="15.75" customHeight="1"/>
    <row r="20195" ht="15.75" customHeight="1"/>
    <row r="20196" ht="15.75" customHeight="1"/>
    <row r="20197" ht="15.75" customHeight="1"/>
    <row r="20198" ht="15.75" customHeight="1"/>
    <row r="20199" ht="15.75" customHeight="1"/>
    <row r="20200" ht="15.75" customHeight="1"/>
    <row r="20201" ht="15.75" customHeight="1"/>
    <row r="20202" ht="15.75" customHeight="1"/>
    <row r="20203" ht="15.75" customHeight="1"/>
    <row r="20204" ht="15.75" customHeight="1"/>
    <row r="20205" ht="15.75" customHeight="1"/>
    <row r="20206" ht="15.75" customHeight="1"/>
    <row r="20207" ht="15.75" customHeight="1"/>
    <row r="20208" ht="15.75" customHeight="1"/>
    <row r="20209" ht="15.75" customHeight="1"/>
    <row r="20210" ht="15.75" customHeight="1"/>
    <row r="20211" ht="15.75" customHeight="1"/>
    <row r="20212" ht="15.75" customHeight="1"/>
    <row r="20213" ht="15.75" customHeight="1"/>
    <row r="20214" ht="15.75" customHeight="1"/>
    <row r="20215" ht="15.75" customHeight="1"/>
    <row r="20216" ht="15.75" customHeight="1"/>
    <row r="20217" ht="15.75" customHeight="1"/>
    <row r="20218" ht="15.75" customHeight="1"/>
    <row r="20219" ht="15.75" customHeight="1"/>
    <row r="20220" ht="15.75" customHeight="1"/>
    <row r="20221" ht="15.75" customHeight="1"/>
    <row r="20222" ht="15.75" customHeight="1"/>
    <row r="20223" ht="15.75" customHeight="1"/>
    <row r="20224" ht="15.75" customHeight="1"/>
    <row r="20225" ht="15.75" customHeight="1"/>
    <row r="20226" ht="15.75" customHeight="1"/>
    <row r="20227" ht="15.75" customHeight="1"/>
    <row r="20228" ht="15.75" customHeight="1"/>
    <row r="20229" ht="15.75" customHeight="1"/>
    <row r="20230" ht="15.75" customHeight="1"/>
    <row r="20231" ht="15.75" customHeight="1"/>
    <row r="20232" ht="15.75" customHeight="1"/>
    <row r="20233" ht="15.75" customHeight="1"/>
    <row r="20234" ht="15.75" customHeight="1"/>
    <row r="20235" ht="15.75" customHeight="1"/>
    <row r="20236" ht="15.75" customHeight="1"/>
    <row r="20237" ht="15.75" customHeight="1"/>
    <row r="20238" ht="15.75" customHeight="1"/>
    <row r="20239" ht="15.75" customHeight="1"/>
    <row r="20240" ht="15.75" customHeight="1"/>
    <row r="20241" ht="15.75" customHeight="1"/>
    <row r="20242" ht="15.75" customHeight="1"/>
    <row r="20243" ht="15.75" customHeight="1"/>
    <row r="20244" ht="15.75" customHeight="1"/>
    <row r="20245" ht="15.75" customHeight="1"/>
    <row r="20246" ht="15.75" customHeight="1"/>
    <row r="20247" ht="15.75" customHeight="1"/>
    <row r="20248" ht="15.75" customHeight="1"/>
    <row r="20249" ht="15.75" customHeight="1"/>
    <row r="20250" ht="15.75" customHeight="1"/>
    <row r="20251" ht="15.75" customHeight="1"/>
    <row r="20252" ht="15.75" customHeight="1"/>
    <row r="20253" ht="15.75" customHeight="1"/>
    <row r="20254" ht="15.75" customHeight="1"/>
    <row r="20255" ht="15.75" customHeight="1"/>
    <row r="20256" ht="15.75" customHeight="1"/>
    <row r="20257" ht="15.75" customHeight="1"/>
    <row r="20258" ht="15.75" customHeight="1"/>
    <row r="20259" ht="15.75" customHeight="1"/>
    <row r="20260" ht="15.75" customHeight="1"/>
    <row r="20261" ht="15.75" customHeight="1"/>
    <row r="20262" ht="15.75" customHeight="1"/>
    <row r="20263" ht="15.75" customHeight="1"/>
    <row r="20264" ht="15.75" customHeight="1"/>
    <row r="20265" ht="15.75" customHeight="1"/>
    <row r="20266" ht="15.75" customHeight="1"/>
    <row r="20267" ht="15.75" customHeight="1"/>
    <row r="20268" ht="15.75" customHeight="1"/>
    <row r="20269" ht="15.75" customHeight="1"/>
    <row r="20270" ht="15.75" customHeight="1"/>
    <row r="20271" ht="15.75" customHeight="1"/>
    <row r="20272" ht="15.75" customHeight="1"/>
    <row r="20273" ht="15.75" customHeight="1"/>
    <row r="20274" ht="15.75" customHeight="1"/>
    <row r="20275" ht="15.75" customHeight="1"/>
    <row r="20276" ht="15.75" customHeight="1"/>
    <row r="20277" ht="15.75" customHeight="1"/>
    <row r="20278" ht="15.75" customHeight="1"/>
    <row r="20279" ht="15.75" customHeight="1"/>
    <row r="20280" ht="15.75" customHeight="1"/>
    <row r="20281" ht="15.75" customHeight="1"/>
    <row r="20282" ht="15.75" customHeight="1"/>
    <row r="20283" ht="15.75" customHeight="1"/>
    <row r="20284" ht="15.75" customHeight="1"/>
    <row r="20285" ht="15.75" customHeight="1"/>
    <row r="20286" ht="15.75" customHeight="1"/>
    <row r="20287" ht="15.75" customHeight="1"/>
    <row r="20288" ht="15.75" customHeight="1"/>
    <row r="20289" ht="15.75" customHeight="1"/>
    <row r="20290" ht="15.75" customHeight="1"/>
    <row r="20291" ht="15.75" customHeight="1"/>
    <row r="20292" ht="15.75" customHeight="1"/>
    <row r="20293" ht="15.75" customHeight="1"/>
    <row r="20294" ht="15.75" customHeight="1"/>
    <row r="20295" ht="15.75" customHeight="1"/>
    <row r="20296" ht="15.75" customHeight="1"/>
    <row r="20297" ht="15.75" customHeight="1"/>
    <row r="20298" ht="15.75" customHeight="1"/>
    <row r="20299" ht="15.75" customHeight="1"/>
    <row r="20300" ht="15.75" customHeight="1"/>
    <row r="20301" ht="15.75" customHeight="1"/>
    <row r="20302" ht="15.75" customHeight="1"/>
    <row r="20303" ht="15.75" customHeight="1"/>
    <row r="20304" ht="15.75" customHeight="1"/>
    <row r="20305" ht="15.75" customHeight="1"/>
    <row r="20306" ht="15.75" customHeight="1"/>
    <row r="20307" ht="15.75" customHeight="1"/>
    <row r="20308" ht="15.75" customHeight="1"/>
    <row r="20309" ht="15.75" customHeight="1"/>
    <row r="20310" ht="15.75" customHeight="1"/>
    <row r="20311" ht="15.75" customHeight="1"/>
    <row r="20312" ht="15.75" customHeight="1"/>
    <row r="20313" ht="15.75" customHeight="1"/>
    <row r="20314" ht="15.75" customHeight="1"/>
    <row r="20315" ht="15.75" customHeight="1"/>
    <row r="20316" ht="15.75" customHeight="1"/>
    <row r="20317" ht="15.75" customHeight="1"/>
    <row r="20318" ht="15.75" customHeight="1"/>
    <row r="20319" ht="15.75" customHeight="1"/>
    <row r="20320" ht="15.75" customHeight="1"/>
    <row r="20321" ht="15.75" customHeight="1"/>
    <row r="20322" ht="15.75" customHeight="1"/>
    <row r="20323" ht="15.75" customHeight="1"/>
    <row r="20324" ht="15.75" customHeight="1"/>
    <row r="20325" ht="15.75" customHeight="1"/>
    <row r="20326" ht="15.75" customHeight="1"/>
    <row r="20327" ht="15.75" customHeight="1"/>
    <row r="20328" ht="15.75" customHeight="1"/>
    <row r="20329" ht="15.75" customHeight="1"/>
    <row r="20330" ht="15.75" customHeight="1"/>
    <row r="20331" ht="15.75" customHeight="1"/>
    <row r="20332" ht="15.75" customHeight="1"/>
    <row r="20333" ht="15.75" customHeight="1"/>
    <row r="20334" ht="15.75" customHeight="1"/>
    <row r="20335" ht="15.75" customHeight="1"/>
    <row r="20336" ht="15.75" customHeight="1"/>
    <row r="20337" ht="15.75" customHeight="1"/>
    <row r="20338" ht="15.75" customHeight="1"/>
    <row r="20339" ht="15.75" customHeight="1"/>
    <row r="20340" ht="15.75" customHeight="1"/>
    <row r="20341" ht="15.75" customHeight="1"/>
    <row r="20342" ht="15.75" customHeight="1"/>
    <row r="20343" ht="15.75" customHeight="1"/>
    <row r="20344" ht="15.75" customHeight="1"/>
    <row r="20345" ht="15.75" customHeight="1"/>
    <row r="20346" ht="15.75" customHeight="1"/>
    <row r="20347" ht="15.75" customHeight="1"/>
    <row r="20348" ht="15.75" customHeight="1"/>
    <row r="20349" ht="15.75" customHeight="1"/>
    <row r="20350" ht="15.75" customHeight="1"/>
    <row r="20351" ht="15.75" customHeight="1"/>
    <row r="20352" ht="15.75" customHeight="1"/>
    <row r="20353" ht="15.75" customHeight="1"/>
    <row r="20354" ht="15.75" customHeight="1"/>
    <row r="20355" ht="15.75" customHeight="1"/>
    <row r="20356" ht="15.75" customHeight="1"/>
    <row r="20357" ht="15.75" customHeight="1"/>
    <row r="20358" ht="15.75" customHeight="1"/>
    <row r="20359" ht="15.75" customHeight="1"/>
    <row r="20360" ht="15.75" customHeight="1"/>
    <row r="20361" ht="15.75" customHeight="1"/>
    <row r="20362" ht="15.75" customHeight="1"/>
    <row r="20363" ht="15.75" customHeight="1"/>
    <row r="20364" ht="15.75" customHeight="1"/>
    <row r="20365" ht="15.75" customHeight="1"/>
    <row r="20366" ht="15.75" customHeight="1"/>
    <row r="20367" ht="15.75" customHeight="1"/>
    <row r="20368" ht="15.75" customHeight="1"/>
    <row r="20369" ht="15.75" customHeight="1"/>
    <row r="20370" ht="15.75" customHeight="1"/>
    <row r="20371" ht="15.75" customHeight="1"/>
    <row r="20372" ht="15.75" customHeight="1"/>
    <row r="20373" ht="15.75" customHeight="1"/>
    <row r="20374" ht="15.75" customHeight="1"/>
    <row r="20375" ht="15.75" customHeight="1"/>
    <row r="20376" ht="15.75" customHeight="1"/>
    <row r="20377" ht="15.75" customHeight="1"/>
    <row r="20378" ht="15.75" customHeight="1"/>
    <row r="20379" ht="15.75" customHeight="1"/>
    <row r="20380" ht="15.75" customHeight="1"/>
    <row r="20381" ht="15.75" customHeight="1"/>
    <row r="20382" ht="15.75" customHeight="1"/>
    <row r="20383" ht="15.75" customHeight="1"/>
    <row r="20384" ht="15.75" customHeight="1"/>
    <row r="20385" ht="15.75" customHeight="1"/>
    <row r="20386" ht="15.75" customHeight="1"/>
    <row r="20387" ht="15.75" customHeight="1"/>
    <row r="20388" ht="15.75" customHeight="1"/>
    <row r="20389" ht="15.75" customHeight="1"/>
    <row r="20390" ht="15.75" customHeight="1"/>
    <row r="20391" ht="15.75" customHeight="1"/>
    <row r="20392" ht="15.75" customHeight="1"/>
    <row r="20393" ht="15.75" customHeight="1"/>
    <row r="20394" ht="15.75" customHeight="1"/>
    <row r="20395" ht="15.75" customHeight="1"/>
    <row r="20396" ht="15.75" customHeight="1"/>
    <row r="20397" ht="15.75" customHeight="1"/>
    <row r="20398" ht="15.75" customHeight="1"/>
    <row r="20399" ht="15.75" customHeight="1"/>
    <row r="20400" ht="15.75" customHeight="1"/>
    <row r="20401" ht="15.75" customHeight="1"/>
    <row r="20402" ht="15.75" customHeight="1"/>
    <row r="20403" ht="15.75" customHeight="1"/>
    <row r="20404" ht="15.75" customHeight="1"/>
    <row r="20405" ht="15.75" customHeight="1"/>
    <row r="20406" ht="15.75" customHeight="1"/>
    <row r="20407" ht="15.75" customHeight="1"/>
    <row r="20408" ht="15.75" customHeight="1"/>
    <row r="20409" ht="15.75" customHeight="1"/>
    <row r="20410" ht="15.75" customHeight="1"/>
    <row r="20411" ht="15.75" customHeight="1"/>
    <row r="20412" ht="15.75" customHeight="1"/>
    <row r="20413" ht="15.75" customHeight="1"/>
    <row r="20414" ht="15.75" customHeight="1"/>
    <row r="20415" ht="15.75" customHeight="1"/>
    <row r="20416" ht="15.75" customHeight="1"/>
    <row r="20417" ht="15.75" customHeight="1"/>
    <row r="20418" ht="15.75" customHeight="1"/>
    <row r="20419" ht="15.75" customHeight="1"/>
    <row r="20420" ht="15.75" customHeight="1"/>
    <row r="20421" ht="15.75" customHeight="1"/>
    <row r="20422" ht="15.75" customHeight="1"/>
    <row r="20423" ht="15.75" customHeight="1"/>
    <row r="20424" ht="15.75" customHeight="1"/>
    <row r="20425" ht="15.75" customHeight="1"/>
    <row r="20426" ht="15.75" customHeight="1"/>
    <row r="20427" ht="15.75" customHeight="1"/>
    <row r="20428" ht="15.75" customHeight="1"/>
    <row r="20429" ht="15.75" customHeight="1"/>
    <row r="20430" ht="15.75" customHeight="1"/>
    <row r="20431" ht="15.75" customHeight="1"/>
    <row r="20432" ht="15.75" customHeight="1"/>
    <row r="20433" ht="15.75" customHeight="1"/>
    <row r="20434" ht="15.75" customHeight="1"/>
    <row r="20435" ht="15.75" customHeight="1"/>
    <row r="20436" ht="15.75" customHeight="1"/>
    <row r="20437" ht="15.75" customHeight="1"/>
    <row r="20438" ht="15.75" customHeight="1"/>
    <row r="20439" ht="15.75" customHeight="1"/>
    <row r="20440" ht="15.75" customHeight="1"/>
    <row r="20441" ht="15.75" customHeight="1"/>
    <row r="20442" ht="15.75" customHeight="1"/>
    <row r="20443" ht="15.75" customHeight="1"/>
    <row r="20444" ht="15.75" customHeight="1"/>
    <row r="20445" ht="15.75" customHeight="1"/>
    <row r="20446" ht="15.75" customHeight="1"/>
    <row r="20447" ht="15.75" customHeight="1"/>
    <row r="20448" ht="15.75" customHeight="1"/>
    <row r="20449" ht="15.75" customHeight="1"/>
    <row r="20450" ht="15.75" customHeight="1"/>
    <row r="20451" ht="15.75" customHeight="1"/>
    <row r="20452" ht="15.75" customHeight="1"/>
    <row r="20453" ht="15.75" customHeight="1"/>
    <row r="20454" ht="15.75" customHeight="1"/>
    <row r="20455" ht="15.75" customHeight="1"/>
    <row r="20456" ht="15.75" customHeight="1"/>
    <row r="20457" ht="15.75" customHeight="1"/>
    <row r="20458" ht="15.75" customHeight="1"/>
    <row r="20459" ht="15.75" customHeight="1"/>
    <row r="20460" ht="15.75" customHeight="1"/>
    <row r="20461" ht="15.75" customHeight="1"/>
    <row r="20462" ht="15.75" customHeight="1"/>
    <row r="20463" ht="15.75" customHeight="1"/>
    <row r="20464" ht="15.75" customHeight="1"/>
    <row r="20465" ht="15.75" customHeight="1"/>
    <row r="20466" ht="15.75" customHeight="1"/>
    <row r="20467" ht="15.75" customHeight="1"/>
    <row r="20468" ht="15.75" customHeight="1"/>
    <row r="20469" ht="15.75" customHeight="1"/>
    <row r="20470" ht="15.75" customHeight="1"/>
    <row r="20471" ht="15.75" customHeight="1"/>
    <row r="20472" ht="15.75" customHeight="1"/>
    <row r="20473" ht="15.75" customHeight="1"/>
    <row r="20474" ht="15.75" customHeight="1"/>
    <row r="20475" ht="15.75" customHeight="1"/>
    <row r="20476" ht="15.75" customHeight="1"/>
    <row r="20477" ht="15.75" customHeight="1"/>
    <row r="20478" ht="15.75" customHeight="1"/>
    <row r="20479" ht="15.75" customHeight="1"/>
    <row r="20480" ht="15.75" customHeight="1"/>
    <row r="20481" ht="15.75" customHeight="1"/>
    <row r="20482" ht="15.75" customHeight="1"/>
    <row r="20483" ht="15.75" customHeight="1"/>
    <row r="20484" ht="15.75" customHeight="1"/>
    <row r="20485" ht="15.75" customHeight="1"/>
    <row r="20486" ht="15.75" customHeight="1"/>
    <row r="20487" ht="15.75" customHeight="1"/>
    <row r="20488" ht="15.75" customHeight="1"/>
    <row r="20489" ht="15.75" customHeight="1"/>
    <row r="20490" ht="15.75" customHeight="1"/>
    <row r="20491" ht="15.75" customHeight="1"/>
    <row r="20492" ht="15.75" customHeight="1"/>
    <row r="20493" ht="15.75" customHeight="1"/>
    <row r="20494" ht="15.75" customHeight="1"/>
    <row r="20495" ht="15.75" customHeight="1"/>
    <row r="20496" ht="15.75" customHeight="1"/>
    <row r="20497" ht="15.75" customHeight="1"/>
    <row r="20498" ht="15.75" customHeight="1"/>
    <row r="20499" ht="15.75" customHeight="1"/>
    <row r="20500" ht="15.75" customHeight="1"/>
    <row r="20501" ht="15.75" customHeight="1"/>
    <row r="20502" ht="15.75" customHeight="1"/>
    <row r="20503" ht="15.75" customHeight="1"/>
    <row r="20504" ht="15.75" customHeight="1"/>
    <row r="20505" ht="15.75" customHeight="1"/>
    <row r="20506" ht="15.75" customHeight="1"/>
    <row r="20507" ht="15.75" customHeight="1"/>
    <row r="20508" ht="15.75" customHeight="1"/>
    <row r="20509" ht="15.75" customHeight="1"/>
    <row r="20510" ht="15.75" customHeight="1"/>
    <row r="20511" ht="15.75" customHeight="1"/>
    <row r="20512" ht="15.75" customHeight="1"/>
    <row r="20513" ht="15.75" customHeight="1"/>
    <row r="20514" ht="15.75" customHeight="1"/>
    <row r="20515" ht="15.75" customHeight="1"/>
    <row r="20516" ht="15.75" customHeight="1"/>
    <row r="20517" ht="15.75" customHeight="1"/>
    <row r="20518" ht="15.75" customHeight="1"/>
    <row r="20519" ht="15.75" customHeight="1"/>
    <row r="20520" ht="15.75" customHeight="1"/>
    <row r="20521" ht="15.75" customHeight="1"/>
    <row r="20522" ht="15.75" customHeight="1"/>
    <row r="20523" ht="15.75" customHeight="1"/>
    <row r="20524" ht="15.75" customHeight="1"/>
    <row r="20525" ht="15.75" customHeight="1"/>
    <row r="20526" ht="15.75" customHeight="1"/>
    <row r="20527" ht="15.75" customHeight="1"/>
    <row r="20528" ht="15.75" customHeight="1"/>
    <row r="20529" ht="15.75" customHeight="1"/>
    <row r="20530" ht="15.75" customHeight="1"/>
    <row r="20531" ht="15.75" customHeight="1"/>
    <row r="20532" ht="15.75" customHeight="1"/>
    <row r="20533" ht="15.75" customHeight="1"/>
    <row r="20534" ht="15.75" customHeight="1"/>
    <row r="20535" ht="15.75" customHeight="1"/>
    <row r="20536" ht="15.75" customHeight="1"/>
    <row r="20537" ht="15.75" customHeight="1"/>
    <row r="20538" ht="15.75" customHeight="1"/>
    <row r="20539" ht="15.75" customHeight="1"/>
    <row r="20540" ht="15.75" customHeight="1"/>
    <row r="20541" ht="15.75" customHeight="1"/>
    <row r="20542" ht="15.75" customHeight="1"/>
    <row r="20543" ht="15.75" customHeight="1"/>
    <row r="20544" ht="15.75" customHeight="1"/>
    <row r="20545" ht="15.75" customHeight="1"/>
    <row r="20546" ht="15.75" customHeight="1"/>
    <row r="20547" ht="15.75" customHeight="1"/>
    <row r="20548" ht="15.75" customHeight="1"/>
    <row r="20549" ht="15.75" customHeight="1"/>
    <row r="20550" ht="15.75" customHeight="1"/>
    <row r="20551" ht="15.75" customHeight="1"/>
    <row r="20552" ht="15.75" customHeight="1"/>
    <row r="20553" ht="15.75" customHeight="1"/>
    <row r="20554" ht="15.75" customHeight="1"/>
    <row r="20555" ht="15.75" customHeight="1"/>
    <row r="20556" ht="15.75" customHeight="1"/>
    <row r="20557" ht="15.75" customHeight="1"/>
    <row r="20558" ht="15.75" customHeight="1"/>
    <row r="20559" ht="15.75" customHeight="1"/>
    <row r="20560" ht="15.75" customHeight="1"/>
    <row r="20561" ht="15.75" customHeight="1"/>
    <row r="20562" ht="15.75" customHeight="1"/>
    <row r="20563" ht="15.75" customHeight="1"/>
    <row r="20564" ht="15.75" customHeight="1"/>
    <row r="20565" ht="15.75" customHeight="1"/>
    <row r="20566" ht="15.75" customHeight="1"/>
    <row r="20567" ht="15.75" customHeight="1"/>
    <row r="20568" ht="15.75" customHeight="1"/>
    <row r="20569" ht="15.75" customHeight="1"/>
    <row r="20570" ht="15.75" customHeight="1"/>
    <row r="20571" ht="15.75" customHeight="1"/>
    <row r="20572" ht="15.75" customHeight="1"/>
    <row r="20573" ht="15.75" customHeight="1"/>
    <row r="20574" ht="15.75" customHeight="1"/>
    <row r="20575" ht="15.75" customHeight="1"/>
    <row r="20576" ht="15.75" customHeight="1"/>
    <row r="20577" ht="15.75" customHeight="1"/>
    <row r="20578" ht="15.75" customHeight="1"/>
    <row r="20579" ht="15.75" customHeight="1"/>
    <row r="20580" ht="15.75" customHeight="1"/>
    <row r="20581" ht="15.75" customHeight="1"/>
    <row r="20582" ht="15.75" customHeight="1"/>
    <row r="20583" ht="15.75" customHeight="1"/>
    <row r="20584" ht="15.75" customHeight="1"/>
    <row r="20585" ht="15.75" customHeight="1"/>
    <row r="20586" ht="15.75" customHeight="1"/>
    <row r="20587" ht="15.75" customHeight="1"/>
    <row r="20588" ht="15.75" customHeight="1"/>
    <row r="20589" ht="15.75" customHeight="1"/>
    <row r="20590" ht="15.75" customHeight="1"/>
    <row r="20591" ht="15.75" customHeight="1"/>
    <row r="20592" ht="15.75" customHeight="1"/>
    <row r="20593" ht="15.75" customHeight="1"/>
    <row r="20594" ht="15.75" customHeight="1"/>
    <row r="20595" ht="15.75" customHeight="1"/>
    <row r="20596" ht="15.75" customHeight="1"/>
    <row r="20597" ht="15.75" customHeight="1"/>
    <row r="20598" ht="15.75" customHeight="1"/>
    <row r="20599" ht="15.75" customHeight="1"/>
    <row r="20600" ht="15.75" customHeight="1"/>
    <row r="20601" ht="15.75" customHeight="1"/>
    <row r="20602" ht="15.75" customHeight="1"/>
    <row r="20603" ht="15.75" customHeight="1"/>
    <row r="20604" ht="15.75" customHeight="1"/>
    <row r="20605" ht="15.75" customHeight="1"/>
    <row r="20606" ht="15.75" customHeight="1"/>
    <row r="20607" ht="15.75" customHeight="1"/>
    <row r="20608" ht="15.75" customHeight="1"/>
    <row r="20609" ht="15.75" customHeight="1"/>
    <row r="20610" ht="15.75" customHeight="1"/>
    <row r="20611" ht="15.75" customHeight="1"/>
    <row r="20612" ht="15.75" customHeight="1"/>
    <row r="20613" ht="15.75" customHeight="1"/>
    <row r="20614" ht="15.75" customHeight="1"/>
    <row r="20615" ht="15.75" customHeight="1"/>
    <row r="20616" ht="15.75" customHeight="1"/>
    <row r="20617" ht="15.75" customHeight="1"/>
    <row r="20618" ht="15.75" customHeight="1"/>
    <row r="20619" ht="15.75" customHeight="1"/>
    <row r="20620" ht="15.75" customHeight="1"/>
    <row r="20621" ht="15.75" customHeight="1"/>
    <row r="20622" ht="15.75" customHeight="1"/>
    <row r="20623" ht="15.75" customHeight="1"/>
    <row r="20624" ht="15.75" customHeight="1"/>
    <row r="20625" ht="15.75" customHeight="1"/>
    <row r="20626" ht="15.75" customHeight="1"/>
    <row r="20627" ht="15.75" customHeight="1"/>
    <row r="20628" ht="15.75" customHeight="1"/>
    <row r="20629" ht="15.75" customHeight="1"/>
    <row r="20630" ht="15.75" customHeight="1"/>
    <row r="20631" ht="15.75" customHeight="1"/>
    <row r="20632" ht="15.75" customHeight="1"/>
    <row r="20633" ht="15.75" customHeight="1"/>
    <row r="20634" ht="15.75" customHeight="1"/>
    <row r="20635" ht="15.75" customHeight="1"/>
    <row r="20636" ht="15.75" customHeight="1"/>
    <row r="20637" ht="15.75" customHeight="1"/>
    <row r="20638" ht="15.75" customHeight="1"/>
    <row r="20639" ht="15.75" customHeight="1"/>
    <row r="20640" ht="15.75" customHeight="1"/>
    <row r="20641" ht="15.75" customHeight="1"/>
    <row r="20642" ht="15.75" customHeight="1"/>
    <row r="20643" ht="15.75" customHeight="1"/>
    <row r="20644" ht="15.75" customHeight="1"/>
    <row r="20645" ht="15.75" customHeight="1"/>
    <row r="20646" ht="15.75" customHeight="1"/>
    <row r="20647" ht="15.75" customHeight="1"/>
    <row r="20648" ht="15.75" customHeight="1"/>
    <row r="20649" ht="15.75" customHeight="1"/>
    <row r="20650" ht="15.75" customHeight="1"/>
    <row r="20651" ht="15.75" customHeight="1"/>
    <row r="20652" ht="15.75" customHeight="1"/>
    <row r="20653" ht="15.75" customHeight="1"/>
    <row r="20654" ht="15.75" customHeight="1"/>
    <row r="20655" ht="15.75" customHeight="1"/>
    <row r="20656" ht="15.75" customHeight="1"/>
    <row r="20657" ht="15.75" customHeight="1"/>
    <row r="20658" ht="15.75" customHeight="1"/>
    <row r="20659" ht="15.75" customHeight="1"/>
    <row r="20660" ht="15.75" customHeight="1"/>
    <row r="20661" ht="15.75" customHeight="1"/>
    <row r="20662" ht="15.75" customHeight="1"/>
    <row r="20663" ht="15.75" customHeight="1"/>
    <row r="20664" ht="15.75" customHeight="1"/>
    <row r="20665" ht="15.75" customHeight="1"/>
    <row r="20666" ht="15.75" customHeight="1"/>
    <row r="20667" ht="15.75" customHeight="1"/>
    <row r="20668" ht="15.75" customHeight="1"/>
    <row r="20669" ht="15.75" customHeight="1"/>
    <row r="20670" ht="15.75" customHeight="1"/>
    <row r="20671" ht="15.75" customHeight="1"/>
    <row r="20672" ht="15.75" customHeight="1"/>
    <row r="20673" ht="15.75" customHeight="1"/>
    <row r="20674" ht="15.75" customHeight="1"/>
    <row r="20675" ht="15.75" customHeight="1"/>
    <row r="20676" ht="15.75" customHeight="1"/>
    <row r="20677" ht="15.75" customHeight="1"/>
    <row r="20678" ht="15.75" customHeight="1"/>
    <row r="20679" ht="15.75" customHeight="1"/>
    <row r="20680" ht="15.75" customHeight="1"/>
    <row r="20681" ht="15.75" customHeight="1"/>
    <row r="20682" ht="15.75" customHeight="1"/>
    <row r="20683" ht="15.75" customHeight="1"/>
    <row r="20684" ht="15.75" customHeight="1"/>
    <row r="20685" ht="15.75" customHeight="1"/>
    <row r="20686" ht="15.75" customHeight="1"/>
    <row r="20687" ht="15.75" customHeight="1"/>
    <row r="20688" ht="15.75" customHeight="1"/>
    <row r="20689" ht="15.75" customHeight="1"/>
    <row r="20690" ht="15.75" customHeight="1"/>
    <row r="20691" ht="15.75" customHeight="1"/>
    <row r="20692" ht="15.75" customHeight="1"/>
    <row r="20693" ht="15.75" customHeight="1"/>
    <row r="20694" ht="15.75" customHeight="1"/>
    <row r="20695" ht="15.75" customHeight="1"/>
    <row r="20696" ht="15.75" customHeight="1"/>
    <row r="20697" ht="15.75" customHeight="1"/>
    <row r="20698" ht="15.75" customHeight="1"/>
    <row r="20699" ht="15.75" customHeight="1"/>
    <row r="20700" ht="15.75" customHeight="1"/>
    <row r="20701" ht="15.75" customHeight="1"/>
    <row r="20702" ht="15.75" customHeight="1"/>
    <row r="20703" ht="15.75" customHeight="1"/>
    <row r="20704" ht="15.75" customHeight="1"/>
    <row r="20705" ht="15.75" customHeight="1"/>
    <row r="20706" ht="15.75" customHeight="1"/>
    <row r="20707" ht="15.75" customHeight="1"/>
    <row r="20708" ht="15.75" customHeight="1"/>
    <row r="20709" ht="15.75" customHeight="1"/>
    <row r="20710" ht="15.75" customHeight="1"/>
    <row r="20711" ht="15.75" customHeight="1"/>
    <row r="20712" ht="15.75" customHeight="1"/>
    <row r="20713" ht="15.75" customHeight="1"/>
    <row r="20714" ht="15.75" customHeight="1"/>
    <row r="20715" ht="15.75" customHeight="1"/>
    <row r="20716" ht="15.75" customHeight="1"/>
    <row r="20717" ht="15.75" customHeight="1"/>
    <row r="20718" ht="15.75" customHeight="1"/>
    <row r="20719" ht="15.75" customHeight="1"/>
    <row r="20720" ht="15.75" customHeight="1"/>
    <row r="20721" ht="15.75" customHeight="1"/>
    <row r="20722" ht="15.75" customHeight="1"/>
    <row r="20723" ht="15.75" customHeight="1"/>
    <row r="20724" ht="15.75" customHeight="1"/>
    <row r="20725" ht="15.75" customHeight="1"/>
    <row r="20726" ht="15.75" customHeight="1"/>
    <row r="20727" ht="15.75" customHeight="1"/>
    <row r="20728" ht="15.75" customHeight="1"/>
    <row r="20729" ht="15.75" customHeight="1"/>
    <row r="20730" ht="15.75" customHeight="1"/>
    <row r="20731" ht="15.75" customHeight="1"/>
    <row r="20732" ht="15.75" customHeight="1"/>
    <row r="20733" ht="15.75" customHeight="1"/>
    <row r="20734" ht="15.75" customHeight="1"/>
    <row r="20735" ht="15.75" customHeight="1"/>
    <row r="20736" ht="15.75" customHeight="1"/>
    <row r="20737" ht="15.75" customHeight="1"/>
    <row r="20738" ht="15.75" customHeight="1"/>
    <row r="20739" ht="15.75" customHeight="1"/>
    <row r="20740" ht="15.75" customHeight="1"/>
    <row r="20741" ht="15.75" customHeight="1"/>
    <row r="20742" ht="15.75" customHeight="1"/>
    <row r="20743" ht="15.75" customHeight="1"/>
    <row r="20744" ht="15.75" customHeight="1"/>
    <row r="20745" ht="15.75" customHeight="1"/>
    <row r="20746" ht="15.75" customHeight="1"/>
    <row r="20747" ht="15.75" customHeight="1"/>
    <row r="20748" ht="15.75" customHeight="1"/>
    <row r="20749" ht="15.75" customHeight="1"/>
    <row r="20750" ht="15.75" customHeight="1"/>
    <row r="20751" ht="15.75" customHeight="1"/>
    <row r="20752" ht="15.75" customHeight="1"/>
    <row r="20753" ht="15.75" customHeight="1"/>
    <row r="20754" ht="15.75" customHeight="1"/>
    <row r="20755" ht="15.75" customHeight="1"/>
    <row r="20756" ht="15.75" customHeight="1"/>
    <row r="20757" ht="15.75" customHeight="1"/>
    <row r="20758" ht="15.75" customHeight="1"/>
    <row r="20759" ht="15.75" customHeight="1"/>
    <row r="20760" ht="15.75" customHeight="1"/>
    <row r="20761" ht="15.75" customHeight="1"/>
    <row r="20762" ht="15.75" customHeight="1"/>
    <row r="20763" ht="15.75" customHeight="1"/>
    <row r="20764" ht="15.75" customHeight="1"/>
    <row r="20765" ht="15.75" customHeight="1"/>
    <row r="20766" ht="15.75" customHeight="1"/>
    <row r="20767" ht="15.75" customHeight="1"/>
    <row r="20768" ht="15.75" customHeight="1"/>
    <row r="20769" ht="15.75" customHeight="1"/>
    <row r="20770" ht="15.75" customHeight="1"/>
    <row r="20771" ht="15.75" customHeight="1"/>
    <row r="20772" ht="15.75" customHeight="1"/>
    <row r="20773" ht="15.75" customHeight="1"/>
    <row r="20774" ht="15.75" customHeight="1"/>
    <row r="20775" ht="15.75" customHeight="1"/>
    <row r="20776" ht="15.75" customHeight="1"/>
    <row r="20777" ht="15.75" customHeight="1"/>
    <row r="20778" ht="15.75" customHeight="1"/>
    <row r="20779" ht="15.75" customHeight="1"/>
    <row r="20780" ht="15.75" customHeight="1"/>
    <row r="20781" ht="15.75" customHeight="1"/>
    <row r="20782" ht="15.75" customHeight="1"/>
    <row r="20783" ht="15.75" customHeight="1"/>
    <row r="20784" ht="15.75" customHeight="1"/>
    <row r="20785" ht="15.75" customHeight="1"/>
    <row r="20786" ht="15.75" customHeight="1"/>
    <row r="20787" ht="15.75" customHeight="1"/>
    <row r="20788" ht="15.75" customHeight="1"/>
    <row r="20789" ht="15.75" customHeight="1"/>
    <row r="20790" ht="15.75" customHeight="1"/>
    <row r="20791" ht="15.75" customHeight="1"/>
    <row r="20792" ht="15.75" customHeight="1"/>
    <row r="20793" ht="15.75" customHeight="1"/>
    <row r="20794" ht="15.75" customHeight="1"/>
    <row r="20795" ht="15.75" customHeight="1"/>
    <row r="20796" ht="15.75" customHeight="1"/>
    <row r="20797" ht="15.75" customHeight="1"/>
    <row r="20798" ht="15.75" customHeight="1"/>
    <row r="20799" ht="15.75" customHeight="1"/>
    <row r="20800" ht="15.75" customHeight="1"/>
    <row r="20801" ht="15.75" customHeight="1"/>
    <row r="20802" ht="15.75" customHeight="1"/>
    <row r="20803" ht="15.75" customHeight="1"/>
    <row r="20804" ht="15.75" customHeight="1"/>
    <row r="20805" ht="15.75" customHeight="1"/>
    <row r="20806" ht="15.75" customHeight="1"/>
    <row r="20807" ht="15.75" customHeight="1"/>
    <row r="20808" ht="15.75" customHeight="1"/>
    <row r="20809" ht="15.75" customHeight="1"/>
    <row r="20810" ht="15.75" customHeight="1"/>
    <row r="20811" ht="15.75" customHeight="1"/>
    <row r="20812" ht="15.75" customHeight="1"/>
    <row r="20813" ht="15.75" customHeight="1"/>
    <row r="20814" ht="15.75" customHeight="1"/>
    <row r="20815" ht="15.75" customHeight="1"/>
    <row r="20816" ht="15.75" customHeight="1"/>
    <row r="20817" ht="15.75" customHeight="1"/>
    <row r="20818" ht="15.75" customHeight="1"/>
    <row r="20819" ht="15.75" customHeight="1"/>
    <row r="20820" ht="15.75" customHeight="1"/>
    <row r="20821" ht="15.75" customHeight="1"/>
    <row r="20822" ht="15.75" customHeight="1"/>
    <row r="20823" ht="15.75" customHeight="1"/>
    <row r="20824" ht="15.75" customHeight="1"/>
    <row r="20825" ht="15.75" customHeight="1"/>
    <row r="20826" ht="15.75" customHeight="1"/>
    <row r="20827" ht="15.75" customHeight="1"/>
    <row r="20828" ht="15.75" customHeight="1"/>
    <row r="20829" ht="15.75" customHeight="1"/>
    <row r="20830" ht="15.75" customHeight="1"/>
    <row r="20831" ht="15.75" customHeight="1"/>
    <row r="20832" ht="15.75" customHeight="1"/>
    <row r="20833" ht="15.75" customHeight="1"/>
    <row r="20834" ht="15.75" customHeight="1"/>
    <row r="20835" ht="15.75" customHeight="1"/>
    <row r="20836" ht="15.75" customHeight="1"/>
    <row r="20837" ht="15.75" customHeight="1"/>
    <row r="20838" ht="15.75" customHeight="1"/>
    <row r="20839" ht="15.75" customHeight="1"/>
    <row r="20840" ht="15.75" customHeight="1"/>
    <row r="20841" ht="15.75" customHeight="1"/>
    <row r="20842" ht="15.75" customHeight="1"/>
    <row r="20843" ht="15.75" customHeight="1"/>
    <row r="20844" ht="15.75" customHeight="1"/>
    <row r="20845" ht="15.75" customHeight="1"/>
    <row r="20846" ht="15.75" customHeight="1"/>
    <row r="20847" ht="15.75" customHeight="1"/>
    <row r="20848" ht="15.75" customHeight="1"/>
    <row r="20849" ht="15.75" customHeight="1"/>
    <row r="20850" ht="15.75" customHeight="1"/>
    <row r="20851" ht="15.75" customHeight="1"/>
    <row r="20852" ht="15.75" customHeight="1"/>
    <row r="20853" ht="15.75" customHeight="1"/>
    <row r="20854" ht="15.75" customHeight="1"/>
    <row r="20855" ht="15.75" customHeight="1"/>
    <row r="20856" ht="15.75" customHeight="1"/>
    <row r="20857" ht="15.75" customHeight="1"/>
    <row r="20858" ht="15.75" customHeight="1"/>
    <row r="20859" ht="15.75" customHeight="1"/>
    <row r="20860" ht="15.75" customHeight="1"/>
    <row r="20861" ht="15.75" customHeight="1"/>
    <row r="20862" ht="15.75" customHeight="1"/>
    <row r="20863" ht="15.75" customHeight="1"/>
    <row r="20864" ht="15.75" customHeight="1"/>
    <row r="20865" ht="15.75" customHeight="1"/>
    <row r="20866" ht="15.75" customHeight="1"/>
    <row r="20867" ht="15.75" customHeight="1"/>
    <row r="20868" ht="15.75" customHeight="1"/>
    <row r="20869" ht="15.75" customHeight="1"/>
    <row r="20870" ht="15.75" customHeight="1"/>
    <row r="20871" ht="15.75" customHeight="1"/>
    <row r="20872" ht="15.75" customHeight="1"/>
    <row r="20873" ht="15.75" customHeight="1"/>
    <row r="20874" ht="15.75" customHeight="1"/>
    <row r="20875" ht="15.75" customHeight="1"/>
    <row r="20876" ht="15.75" customHeight="1"/>
    <row r="20877" ht="15.75" customHeight="1"/>
    <row r="20878" ht="15.75" customHeight="1"/>
    <row r="20879" ht="15.75" customHeight="1"/>
    <row r="20880" ht="15.75" customHeight="1"/>
    <row r="20881" ht="15.75" customHeight="1"/>
    <row r="20882" ht="15.75" customHeight="1"/>
    <row r="20883" ht="15.75" customHeight="1"/>
    <row r="20884" ht="15.75" customHeight="1"/>
    <row r="20885" ht="15.75" customHeight="1"/>
    <row r="20886" ht="15.75" customHeight="1"/>
    <row r="20887" ht="15.75" customHeight="1"/>
    <row r="20888" ht="15.75" customHeight="1"/>
    <row r="20889" ht="15.75" customHeight="1"/>
    <row r="20890" ht="15.75" customHeight="1"/>
    <row r="20891" ht="15.75" customHeight="1"/>
    <row r="20892" ht="15.75" customHeight="1"/>
    <row r="20893" ht="15.75" customHeight="1"/>
    <row r="20894" ht="15.75" customHeight="1"/>
    <row r="20895" ht="15.75" customHeight="1"/>
    <row r="20896" ht="15.75" customHeight="1"/>
    <row r="20897" ht="15.75" customHeight="1"/>
    <row r="20898" ht="15.75" customHeight="1"/>
    <row r="20899" ht="15.75" customHeight="1"/>
    <row r="20900" ht="15.75" customHeight="1"/>
    <row r="20901" ht="15.75" customHeight="1"/>
    <row r="20902" ht="15.75" customHeight="1"/>
    <row r="20903" ht="15.75" customHeight="1"/>
    <row r="20904" ht="15.75" customHeight="1"/>
    <row r="20905" ht="15.75" customHeight="1"/>
    <row r="20906" ht="15.75" customHeight="1"/>
    <row r="20907" ht="15.75" customHeight="1"/>
    <row r="20908" ht="15.75" customHeight="1"/>
    <row r="20909" ht="15.75" customHeight="1"/>
    <row r="20910" ht="15.75" customHeight="1"/>
    <row r="20911" ht="15.75" customHeight="1"/>
    <row r="20912" ht="15.75" customHeight="1"/>
    <row r="20913" ht="15.75" customHeight="1"/>
    <row r="20914" ht="15.75" customHeight="1"/>
    <row r="20915" ht="15.75" customHeight="1"/>
    <row r="20916" ht="15.75" customHeight="1"/>
    <row r="20917" ht="15.75" customHeight="1"/>
    <row r="20918" ht="15.75" customHeight="1"/>
    <row r="20919" ht="15.75" customHeight="1"/>
    <row r="20920" ht="15.75" customHeight="1"/>
    <row r="20921" ht="15.75" customHeight="1"/>
    <row r="20922" ht="15.75" customHeight="1"/>
    <row r="20923" ht="15.75" customHeight="1"/>
    <row r="20924" ht="15.75" customHeight="1"/>
    <row r="20925" ht="15.75" customHeight="1"/>
    <row r="20926" ht="15.75" customHeight="1"/>
    <row r="20927" ht="15.75" customHeight="1"/>
    <row r="20928" ht="15.75" customHeight="1"/>
    <row r="20929" ht="15.75" customHeight="1"/>
    <row r="20930" ht="15.75" customHeight="1"/>
    <row r="20931" ht="15.75" customHeight="1"/>
    <row r="20932" ht="15.75" customHeight="1"/>
    <row r="20933" ht="15.75" customHeight="1"/>
    <row r="20934" ht="15.75" customHeight="1"/>
    <row r="20935" ht="15.75" customHeight="1"/>
    <row r="20936" ht="15.75" customHeight="1"/>
    <row r="20937" ht="15.75" customHeight="1"/>
    <row r="20938" ht="15.75" customHeight="1"/>
    <row r="20939" ht="15.75" customHeight="1"/>
    <row r="20940" ht="15.75" customHeight="1"/>
    <row r="20941" ht="15.75" customHeight="1"/>
    <row r="20942" ht="15.75" customHeight="1"/>
    <row r="20943" ht="15.75" customHeight="1"/>
    <row r="20944" ht="15.75" customHeight="1"/>
    <row r="20945" ht="15.75" customHeight="1"/>
    <row r="20946" ht="15.75" customHeight="1"/>
    <row r="20947" ht="15.75" customHeight="1"/>
    <row r="20948" ht="15.75" customHeight="1"/>
    <row r="20949" ht="15.75" customHeight="1"/>
    <row r="20950" ht="15.75" customHeight="1"/>
    <row r="20951" ht="15.75" customHeight="1"/>
    <row r="20952" ht="15.75" customHeight="1"/>
    <row r="20953" ht="15.75" customHeight="1"/>
    <row r="20954" ht="15.75" customHeight="1"/>
    <row r="20955" ht="15.75" customHeight="1"/>
    <row r="20956" ht="15.75" customHeight="1"/>
    <row r="20957" ht="15.75" customHeight="1"/>
    <row r="20958" ht="15.75" customHeight="1"/>
    <row r="20959" ht="15.75" customHeight="1"/>
    <row r="20960" ht="15.75" customHeight="1"/>
    <row r="20961" ht="15.75" customHeight="1"/>
    <row r="20962" ht="15.75" customHeight="1"/>
    <row r="20963" ht="15.75" customHeight="1"/>
    <row r="20964" ht="15.75" customHeight="1"/>
    <row r="20965" ht="15.75" customHeight="1"/>
    <row r="20966" ht="15.75" customHeight="1"/>
    <row r="20967" ht="15.75" customHeight="1"/>
    <row r="20968" ht="15.75" customHeight="1"/>
    <row r="20969" ht="15.75" customHeight="1"/>
    <row r="20970" ht="15.75" customHeight="1"/>
    <row r="20971" ht="15.75" customHeight="1"/>
    <row r="20972" ht="15.75" customHeight="1"/>
    <row r="20973" ht="15.75" customHeight="1"/>
    <row r="20974" ht="15.75" customHeight="1"/>
    <row r="20975" ht="15.75" customHeight="1"/>
    <row r="20976" ht="15.75" customHeight="1"/>
    <row r="20977" ht="15.75" customHeight="1"/>
    <row r="20978" ht="15.75" customHeight="1"/>
    <row r="20979" ht="15.75" customHeight="1"/>
    <row r="20980" ht="15.75" customHeight="1"/>
    <row r="20981" ht="15.75" customHeight="1"/>
    <row r="20982" ht="15.75" customHeight="1"/>
    <row r="20983" ht="15.75" customHeight="1"/>
    <row r="20984" ht="15.75" customHeight="1"/>
    <row r="20985" ht="15.75" customHeight="1"/>
    <row r="20986" ht="15.75" customHeight="1"/>
    <row r="20987" ht="15.75" customHeight="1"/>
    <row r="20988" ht="15.75" customHeight="1"/>
    <row r="20989" ht="15.75" customHeight="1"/>
    <row r="20990" ht="15.75" customHeight="1"/>
    <row r="20991" ht="15.75" customHeight="1"/>
    <row r="20992" ht="15.75" customHeight="1"/>
    <row r="20993" ht="15.75" customHeight="1"/>
    <row r="20994" ht="15.75" customHeight="1"/>
    <row r="20995" ht="15.75" customHeight="1"/>
    <row r="20996" ht="15.75" customHeight="1"/>
    <row r="20997" ht="15.75" customHeight="1"/>
    <row r="20998" ht="15.75" customHeight="1"/>
    <row r="20999" ht="15.75" customHeight="1"/>
    <row r="21000" ht="15.75" customHeight="1"/>
    <row r="21001" ht="15.75" customHeight="1"/>
    <row r="21002" ht="15.75" customHeight="1"/>
    <row r="21003" ht="15.75" customHeight="1"/>
    <row r="21004" ht="15.75" customHeight="1"/>
    <row r="21005" ht="15.75" customHeight="1"/>
    <row r="21006" ht="15.75" customHeight="1"/>
    <row r="21007" ht="15.75" customHeight="1"/>
    <row r="21008" ht="15.75" customHeight="1"/>
    <row r="21009" ht="15.75" customHeight="1"/>
    <row r="21010" ht="15.75" customHeight="1"/>
    <row r="21011" ht="15.75" customHeight="1"/>
    <row r="21012" ht="15.75" customHeight="1"/>
    <row r="21013" ht="15.75" customHeight="1"/>
    <row r="21014" ht="15.75" customHeight="1"/>
    <row r="21015" ht="15.75" customHeight="1"/>
    <row r="21016" ht="15.75" customHeight="1"/>
    <row r="21017" ht="15.75" customHeight="1"/>
    <row r="21018" ht="15.75" customHeight="1"/>
    <row r="21019" ht="15.75" customHeight="1"/>
    <row r="21020" ht="15.75" customHeight="1"/>
    <row r="21021" ht="15.75" customHeight="1"/>
    <row r="21022" ht="15.75" customHeight="1"/>
    <row r="21023" ht="15.75" customHeight="1"/>
    <row r="21024" ht="15.75" customHeight="1"/>
    <row r="21025" ht="15.75" customHeight="1"/>
    <row r="21026" ht="15.75" customHeight="1"/>
    <row r="21027" ht="15.75" customHeight="1"/>
    <row r="21028" ht="15.75" customHeight="1"/>
    <row r="21029" ht="15.75" customHeight="1"/>
    <row r="21030" ht="15.75" customHeight="1"/>
    <row r="21031" ht="15.75" customHeight="1"/>
    <row r="21032" ht="15.75" customHeight="1"/>
    <row r="21033" ht="15.75" customHeight="1"/>
    <row r="21034" ht="15.75" customHeight="1"/>
    <row r="21035" ht="15.75" customHeight="1"/>
    <row r="21036" ht="15.75" customHeight="1"/>
    <row r="21037" ht="15.75" customHeight="1"/>
    <row r="21038" ht="15.75" customHeight="1"/>
    <row r="21039" ht="15.75" customHeight="1"/>
    <row r="21040" ht="15.75" customHeight="1"/>
    <row r="21041" ht="15.75" customHeight="1"/>
    <row r="21042" ht="15.75" customHeight="1"/>
    <row r="21043" ht="15.75" customHeight="1"/>
    <row r="21044" ht="15.75" customHeight="1"/>
    <row r="21045" ht="15.75" customHeight="1"/>
    <row r="21046" ht="15.75" customHeight="1"/>
    <row r="21047" ht="15.75" customHeight="1"/>
    <row r="21048" ht="15.75" customHeight="1"/>
    <row r="21049" ht="15.75" customHeight="1"/>
    <row r="21050" ht="15.75" customHeight="1"/>
    <row r="21051" ht="15.75" customHeight="1"/>
    <row r="21052" ht="15.75" customHeight="1"/>
    <row r="21053" ht="15.75" customHeight="1"/>
    <row r="21054" ht="15.75" customHeight="1"/>
    <row r="21055" ht="15.75" customHeight="1"/>
    <row r="21056" ht="15.75" customHeight="1"/>
    <row r="21057" ht="15.75" customHeight="1"/>
    <row r="21058" ht="15.75" customHeight="1"/>
    <row r="21059" ht="15.75" customHeight="1"/>
    <row r="21060" ht="15.75" customHeight="1"/>
    <row r="21061" ht="15.75" customHeight="1"/>
    <row r="21062" ht="15.75" customHeight="1"/>
    <row r="21063" ht="15.75" customHeight="1"/>
    <row r="21064" ht="15.75" customHeight="1"/>
    <row r="21065" ht="15.75" customHeight="1"/>
    <row r="21066" ht="15.75" customHeight="1"/>
    <row r="21067" ht="15.75" customHeight="1"/>
    <row r="21068" ht="15.75" customHeight="1"/>
    <row r="21069" ht="15.75" customHeight="1"/>
    <row r="21070" ht="15.75" customHeight="1"/>
    <row r="21071" ht="15.75" customHeight="1"/>
    <row r="21072" ht="15.75" customHeight="1"/>
    <row r="21073" ht="15.75" customHeight="1"/>
    <row r="21074" ht="15.75" customHeight="1"/>
    <row r="21075" ht="15.75" customHeight="1"/>
    <row r="21076" ht="15.75" customHeight="1"/>
    <row r="21077" ht="15.75" customHeight="1"/>
    <row r="21078" ht="15.75" customHeight="1"/>
    <row r="21079" ht="15.75" customHeight="1"/>
    <row r="21080" ht="15.75" customHeight="1"/>
    <row r="21081" ht="15.75" customHeight="1"/>
    <row r="21082" ht="15.75" customHeight="1"/>
    <row r="21083" ht="15.75" customHeight="1"/>
    <row r="21084" ht="15.75" customHeight="1"/>
    <row r="21085" ht="15.75" customHeight="1"/>
    <row r="21086" ht="15.75" customHeight="1"/>
    <row r="21087" ht="15.75" customHeight="1"/>
    <row r="21088" ht="15.75" customHeight="1"/>
    <row r="21089" ht="15.75" customHeight="1"/>
    <row r="21090" ht="15.75" customHeight="1"/>
    <row r="21091" ht="15.75" customHeight="1"/>
    <row r="21092" ht="15.75" customHeight="1"/>
    <row r="21093" ht="15.75" customHeight="1"/>
    <row r="21094" ht="15.75" customHeight="1"/>
    <row r="21095" ht="15.75" customHeight="1"/>
    <row r="21096" ht="15.75" customHeight="1"/>
    <row r="21097" ht="15.75" customHeight="1"/>
    <row r="21098" ht="15.75" customHeight="1"/>
    <row r="21099" ht="15.75" customHeight="1"/>
    <row r="21100" ht="15.75" customHeight="1"/>
    <row r="21101" ht="15.75" customHeight="1"/>
    <row r="21102" ht="15.75" customHeight="1"/>
    <row r="21103" ht="15.75" customHeight="1"/>
    <row r="21104" ht="15.75" customHeight="1"/>
    <row r="21105" ht="15.75" customHeight="1"/>
    <row r="21106" ht="15.75" customHeight="1"/>
    <row r="21107" ht="15.75" customHeight="1"/>
    <row r="21108" ht="15.75" customHeight="1"/>
    <row r="21109" ht="15.75" customHeight="1"/>
    <row r="21110" ht="15.75" customHeight="1"/>
    <row r="21111" ht="15.75" customHeight="1"/>
    <row r="21112" ht="15.75" customHeight="1"/>
    <row r="21113" ht="15.75" customHeight="1"/>
    <row r="21114" ht="15.75" customHeight="1"/>
    <row r="21115" ht="15.75" customHeight="1"/>
    <row r="21116" ht="15.75" customHeight="1"/>
    <row r="21117" ht="15.75" customHeight="1"/>
    <row r="21118" ht="15.75" customHeight="1"/>
    <row r="21119" ht="15.75" customHeight="1"/>
    <row r="21120" ht="15.75" customHeight="1"/>
    <row r="21121" ht="15.75" customHeight="1"/>
    <row r="21122" ht="15.75" customHeight="1"/>
    <row r="21123" ht="15.75" customHeight="1"/>
    <row r="21124" ht="15.75" customHeight="1"/>
    <row r="21125" ht="15.75" customHeight="1"/>
    <row r="21126" ht="15.75" customHeight="1"/>
    <row r="21127" ht="15.75" customHeight="1"/>
    <row r="21128" ht="15.75" customHeight="1"/>
    <row r="21129" ht="15.75" customHeight="1"/>
    <row r="21130" ht="15.75" customHeight="1"/>
    <row r="21131" ht="15.75" customHeight="1"/>
    <row r="21132" ht="15.75" customHeight="1"/>
    <row r="21133" ht="15.75" customHeight="1"/>
    <row r="21134" ht="15.75" customHeight="1"/>
    <row r="21135" ht="15.75" customHeight="1"/>
    <row r="21136" ht="15.75" customHeight="1"/>
    <row r="21137" ht="15.75" customHeight="1"/>
    <row r="21138" ht="15.75" customHeight="1"/>
    <row r="21139" ht="15.75" customHeight="1"/>
    <row r="21140" ht="15.75" customHeight="1"/>
    <row r="21141" ht="15.75" customHeight="1"/>
    <row r="21142" ht="15.75" customHeight="1"/>
    <row r="21143" ht="15.75" customHeight="1"/>
    <row r="21144" ht="15.75" customHeight="1"/>
    <row r="21145" ht="15.75" customHeight="1"/>
    <row r="21146" ht="15.75" customHeight="1"/>
    <row r="21147" ht="15.75" customHeight="1"/>
    <row r="21148" ht="15.75" customHeight="1"/>
    <row r="21149" ht="15.75" customHeight="1"/>
    <row r="21150" ht="15.75" customHeight="1"/>
    <row r="21151" ht="15.75" customHeight="1"/>
    <row r="21152" ht="15.75" customHeight="1"/>
    <row r="21153" ht="15.75" customHeight="1"/>
    <row r="21154" ht="15.75" customHeight="1"/>
    <row r="21155" ht="15.75" customHeight="1"/>
    <row r="21156" ht="15.75" customHeight="1"/>
    <row r="21157" ht="15.75" customHeight="1"/>
    <row r="21158" ht="15.75" customHeight="1"/>
    <row r="21159" ht="15.75" customHeight="1"/>
    <row r="21160" ht="15.75" customHeight="1"/>
    <row r="21161" ht="15.75" customHeight="1"/>
    <row r="21162" ht="15.75" customHeight="1"/>
    <row r="21163" ht="15.75" customHeight="1"/>
    <row r="21164" ht="15.75" customHeight="1"/>
    <row r="21165" ht="15.75" customHeight="1"/>
    <row r="21166" ht="15.75" customHeight="1"/>
    <row r="21167" ht="15.75" customHeight="1"/>
    <row r="21168" ht="15.75" customHeight="1"/>
    <row r="21169" ht="15.75" customHeight="1"/>
    <row r="21170" ht="15.75" customHeight="1"/>
    <row r="21171" ht="15.75" customHeight="1"/>
    <row r="21172" ht="15.75" customHeight="1"/>
    <row r="21173" ht="15.75" customHeight="1"/>
    <row r="21174" ht="15.75" customHeight="1"/>
    <row r="21175" ht="15.75" customHeight="1"/>
    <row r="21176" ht="15.75" customHeight="1"/>
    <row r="21177" ht="15.75" customHeight="1"/>
    <row r="21178" ht="15.75" customHeight="1"/>
    <row r="21179" ht="15.75" customHeight="1"/>
    <row r="21180" ht="15.75" customHeight="1"/>
    <row r="21181" ht="15.75" customHeight="1"/>
    <row r="21182" ht="15.75" customHeight="1"/>
    <row r="21183" ht="15.75" customHeight="1"/>
    <row r="21184" ht="15.75" customHeight="1"/>
    <row r="21185" ht="15.75" customHeight="1"/>
    <row r="21186" ht="15.75" customHeight="1"/>
    <row r="21187" ht="15.75" customHeight="1"/>
    <row r="21188" ht="15.75" customHeight="1"/>
    <row r="21189" ht="15.75" customHeight="1"/>
    <row r="21190" ht="15.75" customHeight="1"/>
    <row r="21191" ht="15.75" customHeight="1"/>
    <row r="21192" ht="15.75" customHeight="1"/>
    <row r="21193" ht="15.75" customHeight="1"/>
    <row r="21194" ht="15.75" customHeight="1"/>
    <row r="21195" ht="15.75" customHeight="1"/>
    <row r="21196" ht="15.75" customHeight="1"/>
    <row r="21197" ht="15.75" customHeight="1"/>
    <row r="21198" ht="15.75" customHeight="1"/>
    <row r="21199" ht="15.75" customHeight="1"/>
    <row r="21200" ht="15.75" customHeight="1"/>
    <row r="21201" ht="15.75" customHeight="1"/>
    <row r="21202" ht="15.75" customHeight="1"/>
    <row r="21203" ht="15.75" customHeight="1"/>
    <row r="21204" ht="15.75" customHeight="1"/>
    <row r="21205" ht="15.75" customHeight="1"/>
    <row r="21206" ht="15.75" customHeight="1"/>
    <row r="21207" ht="15.75" customHeight="1"/>
    <row r="21208" ht="15.75" customHeight="1"/>
    <row r="21209" ht="15.75" customHeight="1"/>
    <row r="21210" ht="15.75" customHeight="1"/>
    <row r="21211" ht="15.75" customHeight="1"/>
    <row r="21212" ht="15.75" customHeight="1"/>
    <row r="21213" ht="15.75" customHeight="1"/>
    <row r="21214" ht="15.75" customHeight="1"/>
    <row r="21215" ht="15.75" customHeight="1"/>
    <row r="21216" ht="15.75" customHeight="1"/>
    <row r="21217" ht="15.75" customHeight="1"/>
    <row r="21218" ht="15.75" customHeight="1"/>
    <row r="21219" ht="15.75" customHeight="1"/>
    <row r="21220" ht="15.75" customHeight="1"/>
    <row r="21221" ht="15.75" customHeight="1"/>
    <row r="21222" ht="15.75" customHeight="1"/>
    <row r="21223" ht="15.75" customHeight="1"/>
    <row r="21224" ht="15.75" customHeight="1"/>
    <row r="21225" ht="15.75" customHeight="1"/>
    <row r="21226" ht="15.75" customHeight="1"/>
    <row r="21227" ht="15.75" customHeight="1"/>
    <row r="21228" ht="15.75" customHeight="1"/>
    <row r="21229" ht="15.75" customHeight="1"/>
    <row r="21230" ht="15.75" customHeight="1"/>
    <row r="21231" ht="15.75" customHeight="1"/>
    <row r="21232" ht="15.75" customHeight="1"/>
    <row r="21233" ht="15.75" customHeight="1"/>
    <row r="21234" ht="15.75" customHeight="1"/>
    <row r="21235" ht="15.75" customHeight="1"/>
    <row r="21236" ht="15.75" customHeight="1"/>
    <row r="21237" ht="15.75" customHeight="1"/>
    <row r="21238" ht="15.75" customHeight="1"/>
    <row r="21239" ht="15.75" customHeight="1"/>
    <row r="21240" ht="15.75" customHeight="1"/>
    <row r="21241" ht="15.75" customHeight="1"/>
    <row r="21242" ht="15.75" customHeight="1"/>
    <row r="21243" ht="15.75" customHeight="1"/>
    <row r="21244" ht="15.75" customHeight="1"/>
    <row r="21245" ht="15.75" customHeight="1"/>
    <row r="21246" ht="15.75" customHeight="1"/>
    <row r="21247" ht="15.75" customHeight="1"/>
    <row r="21248" ht="15.75" customHeight="1"/>
    <row r="21249" ht="15.75" customHeight="1"/>
    <row r="21250" ht="15.75" customHeight="1"/>
    <row r="21251" ht="15.75" customHeight="1"/>
    <row r="21252" ht="15.75" customHeight="1"/>
    <row r="21253" ht="15.75" customHeight="1"/>
    <row r="21254" ht="15.75" customHeight="1"/>
    <row r="21255" ht="15.75" customHeight="1"/>
    <row r="21256" ht="15.75" customHeight="1"/>
    <row r="21257" ht="15.75" customHeight="1"/>
    <row r="21258" ht="15.75" customHeight="1"/>
    <row r="21259" ht="15.75" customHeight="1"/>
    <row r="21260" ht="15.75" customHeight="1"/>
    <row r="21261" ht="15.75" customHeight="1"/>
    <row r="21262" ht="15.75" customHeight="1"/>
    <row r="21263" ht="15.75" customHeight="1"/>
    <row r="21264" ht="15.75" customHeight="1"/>
    <row r="21265" ht="15.75" customHeight="1"/>
    <row r="21266" ht="15.75" customHeight="1"/>
    <row r="21267" ht="15.75" customHeight="1"/>
    <row r="21268" ht="15.75" customHeight="1"/>
    <row r="21269" ht="15.75" customHeight="1"/>
    <row r="21270" ht="15.75" customHeight="1"/>
    <row r="21271" ht="15.75" customHeight="1"/>
    <row r="21272" ht="15.75" customHeight="1"/>
    <row r="21273" ht="15.75" customHeight="1"/>
    <row r="21274" ht="15.75" customHeight="1"/>
    <row r="21275" ht="15.75" customHeight="1"/>
    <row r="21276" ht="15.75" customHeight="1"/>
    <row r="21277" ht="15.75" customHeight="1"/>
    <row r="21278" ht="15.75" customHeight="1"/>
    <row r="21279" ht="15.75" customHeight="1"/>
    <row r="21280" ht="15.75" customHeight="1"/>
    <row r="21281" ht="15.75" customHeight="1"/>
    <row r="21282" ht="15.75" customHeight="1"/>
    <row r="21283" ht="15.75" customHeight="1"/>
    <row r="21284" ht="15.75" customHeight="1"/>
    <row r="21285" ht="15.75" customHeight="1"/>
    <row r="21286" ht="15.75" customHeight="1"/>
    <row r="21287" ht="15.75" customHeight="1"/>
    <row r="21288" ht="15.75" customHeight="1"/>
    <row r="21289" ht="15.75" customHeight="1"/>
    <row r="21290" ht="15.75" customHeight="1"/>
    <row r="21291" ht="15.75" customHeight="1"/>
    <row r="21292" ht="15.75" customHeight="1"/>
    <row r="21293" ht="15.75" customHeight="1"/>
    <row r="21294" ht="15.75" customHeight="1"/>
    <row r="21295" ht="15.75" customHeight="1"/>
    <row r="21296" ht="15.75" customHeight="1"/>
    <row r="21297" ht="15.75" customHeight="1"/>
    <row r="21298" ht="15.75" customHeight="1"/>
    <row r="21299" ht="15.75" customHeight="1"/>
    <row r="21300" ht="15.75" customHeight="1"/>
    <row r="21301" ht="15.75" customHeight="1"/>
    <row r="21302" ht="15.75" customHeight="1"/>
    <row r="21303" ht="15.75" customHeight="1"/>
    <row r="21304" ht="15.75" customHeight="1"/>
    <row r="21305" ht="15.75" customHeight="1"/>
    <row r="21306" ht="15.75" customHeight="1"/>
    <row r="21307" ht="15.75" customHeight="1"/>
    <row r="21308" ht="15.75" customHeight="1"/>
    <row r="21309" ht="15.75" customHeight="1"/>
    <row r="21310" ht="15.75" customHeight="1"/>
    <row r="21311" ht="15.75" customHeight="1"/>
    <row r="21312" ht="15.75" customHeight="1"/>
    <row r="21313" ht="15.75" customHeight="1"/>
    <row r="21314" ht="15.75" customHeight="1"/>
    <row r="21315" ht="15.75" customHeight="1"/>
    <row r="21316" ht="15.75" customHeight="1"/>
    <row r="21317" ht="15.75" customHeight="1"/>
    <row r="21318" ht="15.75" customHeight="1"/>
    <row r="21319" ht="15.75" customHeight="1"/>
    <row r="21320" ht="15.75" customHeight="1"/>
    <row r="21321" ht="15.75" customHeight="1"/>
    <row r="21322" ht="15.75" customHeight="1"/>
    <row r="21323" ht="15.75" customHeight="1"/>
    <row r="21324" ht="15.75" customHeight="1"/>
    <row r="21325" ht="15.75" customHeight="1"/>
    <row r="21326" ht="15.75" customHeight="1"/>
    <row r="21327" ht="15.75" customHeight="1"/>
    <row r="21328" ht="15.75" customHeight="1"/>
    <row r="21329" ht="15.75" customHeight="1"/>
    <row r="21330" ht="15.75" customHeight="1"/>
    <row r="21331" ht="15.75" customHeight="1"/>
    <row r="21332" ht="15.75" customHeight="1"/>
    <row r="21333" ht="15.75" customHeight="1"/>
    <row r="21334" ht="15.75" customHeight="1"/>
    <row r="21335" ht="15.75" customHeight="1"/>
    <row r="21336" ht="15.75" customHeight="1"/>
    <row r="21337" ht="15.75" customHeight="1"/>
    <row r="21338" ht="15.75" customHeight="1"/>
    <row r="21339" ht="15.75" customHeight="1"/>
    <row r="21340" ht="15.75" customHeight="1"/>
    <row r="21341" ht="15.75" customHeight="1"/>
    <row r="21342" ht="15.75" customHeight="1"/>
    <row r="21343" ht="15.75" customHeight="1"/>
    <row r="21344" ht="15.75" customHeight="1"/>
    <row r="21345" ht="15.75" customHeight="1"/>
    <row r="21346" ht="15.75" customHeight="1"/>
    <row r="21347" ht="15.75" customHeight="1"/>
    <row r="21348" ht="15.75" customHeight="1"/>
    <row r="21349" ht="15.75" customHeight="1"/>
    <row r="21350" ht="15.75" customHeight="1"/>
    <row r="21351" ht="15.75" customHeight="1"/>
    <row r="21352" ht="15.75" customHeight="1"/>
    <row r="21353" ht="15.75" customHeight="1"/>
    <row r="21354" ht="15.75" customHeight="1"/>
    <row r="21355" ht="15.75" customHeight="1"/>
    <row r="21356" ht="15.75" customHeight="1"/>
    <row r="21357" ht="15.75" customHeight="1"/>
    <row r="21358" ht="15.75" customHeight="1"/>
    <row r="21359" ht="15.75" customHeight="1"/>
    <row r="21360" ht="15.75" customHeight="1"/>
    <row r="21361" ht="15.75" customHeight="1"/>
    <row r="21362" ht="15.75" customHeight="1"/>
    <row r="21363" ht="15.75" customHeight="1"/>
    <row r="21364" ht="15.75" customHeight="1"/>
    <row r="21365" ht="15.75" customHeight="1"/>
    <row r="21366" ht="15.75" customHeight="1"/>
    <row r="21367" ht="15.75" customHeight="1"/>
    <row r="21368" ht="15.75" customHeight="1"/>
    <row r="21369" ht="15.75" customHeight="1"/>
    <row r="21370" ht="15.75" customHeight="1"/>
    <row r="21371" ht="15.75" customHeight="1"/>
    <row r="21372" ht="15.75" customHeight="1"/>
    <row r="21373" ht="15.75" customHeight="1"/>
    <row r="21374" ht="15.75" customHeight="1"/>
    <row r="21375" ht="15.75" customHeight="1"/>
    <row r="21376" ht="15.75" customHeight="1"/>
    <row r="21377" ht="15.75" customHeight="1"/>
    <row r="21378" ht="15.75" customHeight="1"/>
    <row r="21379" ht="15.75" customHeight="1"/>
    <row r="21380" ht="15.75" customHeight="1"/>
    <row r="21381" ht="15.75" customHeight="1"/>
    <row r="21382" ht="15.75" customHeight="1"/>
    <row r="21383" ht="15.75" customHeight="1"/>
    <row r="21384" ht="15.75" customHeight="1"/>
    <row r="21385" ht="15.75" customHeight="1"/>
    <row r="21386" ht="15.75" customHeight="1"/>
    <row r="21387" ht="15.75" customHeight="1"/>
    <row r="21388" ht="15.75" customHeight="1"/>
    <row r="21389" ht="15.75" customHeight="1"/>
    <row r="21390" ht="15.75" customHeight="1"/>
    <row r="21391" ht="15.75" customHeight="1"/>
    <row r="21392" ht="15.75" customHeight="1"/>
    <row r="21393" ht="15.75" customHeight="1"/>
    <row r="21394" ht="15.75" customHeight="1"/>
    <row r="21395" ht="15.75" customHeight="1"/>
    <row r="21396" ht="15.75" customHeight="1"/>
    <row r="21397" ht="15.75" customHeight="1"/>
    <row r="21398" ht="15.75" customHeight="1"/>
    <row r="21399" ht="15.75" customHeight="1"/>
    <row r="21400" ht="15.75" customHeight="1"/>
    <row r="21401" ht="15.75" customHeight="1"/>
    <row r="21402" ht="15.75" customHeight="1"/>
    <row r="21403" ht="15.75" customHeight="1"/>
    <row r="21404" ht="15.75" customHeight="1"/>
    <row r="21405" ht="15.75" customHeight="1"/>
    <row r="21406" ht="15.75" customHeight="1"/>
    <row r="21407" ht="15.75" customHeight="1"/>
    <row r="21408" ht="15.75" customHeight="1"/>
    <row r="21409" ht="15.75" customHeight="1"/>
    <row r="21410" ht="15.75" customHeight="1"/>
    <row r="21411" ht="15.75" customHeight="1"/>
    <row r="21412" ht="15.75" customHeight="1"/>
    <row r="21413" ht="15.75" customHeight="1"/>
    <row r="21414" ht="15.75" customHeight="1"/>
    <row r="21415" ht="15.75" customHeight="1"/>
    <row r="21416" ht="15.75" customHeight="1"/>
    <row r="21417" ht="15.75" customHeight="1"/>
    <row r="21418" ht="15.75" customHeight="1"/>
    <row r="21419" ht="15.75" customHeight="1"/>
    <row r="21420" ht="15.75" customHeight="1"/>
    <row r="21421" ht="15.75" customHeight="1"/>
    <row r="21422" ht="15.75" customHeight="1"/>
    <row r="21423" ht="15.75" customHeight="1"/>
    <row r="21424" ht="15.75" customHeight="1"/>
    <row r="21425" ht="15.75" customHeight="1"/>
    <row r="21426" ht="15.75" customHeight="1"/>
    <row r="21427" ht="15.75" customHeight="1"/>
    <row r="21428" ht="15.75" customHeight="1"/>
    <row r="21429" ht="15.75" customHeight="1"/>
    <row r="21430" ht="15.75" customHeight="1"/>
    <row r="21431" ht="15.75" customHeight="1"/>
    <row r="21432" ht="15.75" customHeight="1"/>
    <row r="21433" ht="15.75" customHeight="1"/>
    <row r="21434" ht="15.75" customHeight="1"/>
    <row r="21435" ht="15.75" customHeight="1"/>
    <row r="21436" ht="15.75" customHeight="1"/>
    <row r="21437" ht="15.75" customHeight="1"/>
    <row r="21438" ht="15.75" customHeight="1"/>
    <row r="21439" ht="15.75" customHeight="1"/>
    <row r="21440" ht="15.75" customHeight="1"/>
    <row r="21441" ht="15.75" customHeight="1"/>
    <row r="21442" ht="15.75" customHeight="1"/>
    <row r="21443" ht="15.75" customHeight="1"/>
    <row r="21444" ht="15.75" customHeight="1"/>
    <row r="21445" ht="15.75" customHeight="1"/>
    <row r="21446" ht="15.75" customHeight="1"/>
    <row r="21447" ht="15.75" customHeight="1"/>
    <row r="21448" ht="15.75" customHeight="1"/>
    <row r="21449" ht="15.75" customHeight="1"/>
    <row r="21450" ht="15.75" customHeight="1"/>
    <row r="21451" ht="15.75" customHeight="1"/>
    <row r="21452" ht="15.75" customHeight="1"/>
    <row r="21453" ht="15.75" customHeight="1"/>
    <row r="21454" ht="15.75" customHeight="1"/>
    <row r="21455" ht="15.75" customHeight="1"/>
    <row r="21456" ht="15.75" customHeight="1"/>
    <row r="21457" ht="15.75" customHeight="1"/>
    <row r="21458" ht="15.75" customHeight="1"/>
    <row r="21459" ht="15.75" customHeight="1"/>
    <row r="21460" ht="15.75" customHeight="1"/>
    <row r="21461" ht="15.75" customHeight="1"/>
    <row r="21462" ht="15.75" customHeight="1"/>
    <row r="21463" ht="15.75" customHeight="1"/>
    <row r="21464" ht="15.75" customHeight="1"/>
    <row r="21465" ht="15.75" customHeight="1"/>
    <row r="21466" ht="15.75" customHeight="1"/>
    <row r="21467" ht="15.75" customHeight="1"/>
    <row r="21468" ht="15.75" customHeight="1"/>
    <row r="21469" ht="15.75" customHeight="1"/>
    <row r="21470" ht="15.75" customHeight="1"/>
    <row r="21471" ht="15.75" customHeight="1"/>
    <row r="21472" ht="15.75" customHeight="1"/>
    <row r="21473" ht="15.75" customHeight="1"/>
    <row r="21474" ht="15.75" customHeight="1"/>
    <row r="21475" ht="15.75" customHeight="1"/>
    <row r="21476" ht="15.75" customHeight="1"/>
    <row r="21477" ht="15.75" customHeight="1"/>
    <row r="21478" ht="15.75" customHeight="1"/>
    <row r="21479" ht="15.75" customHeight="1"/>
    <row r="21480" ht="15.75" customHeight="1"/>
    <row r="21481" ht="15.75" customHeight="1"/>
    <row r="21482" ht="15.75" customHeight="1"/>
    <row r="21483" ht="15.75" customHeight="1"/>
    <row r="21484" ht="15.75" customHeight="1"/>
    <row r="21485" ht="15.75" customHeight="1"/>
    <row r="21486" ht="15.75" customHeight="1"/>
    <row r="21487" ht="15.75" customHeight="1"/>
    <row r="21488" ht="15.75" customHeight="1"/>
    <row r="21489" ht="15.75" customHeight="1"/>
    <row r="21490" ht="15.75" customHeight="1"/>
    <row r="21491" ht="15.75" customHeight="1"/>
    <row r="21492" ht="15.75" customHeight="1"/>
    <row r="21493" ht="15.75" customHeight="1"/>
    <row r="21494" ht="15.75" customHeight="1"/>
    <row r="21495" ht="15.75" customHeight="1"/>
    <row r="21496" ht="15.75" customHeight="1"/>
    <row r="21497" ht="15.75" customHeight="1"/>
    <row r="21498" ht="15.75" customHeight="1"/>
    <row r="21499" ht="15.75" customHeight="1"/>
    <row r="21500" ht="15.75" customHeight="1"/>
    <row r="21501" ht="15.75" customHeight="1"/>
    <row r="21502" ht="15.75" customHeight="1"/>
    <row r="21503" ht="15.75" customHeight="1"/>
    <row r="21504" ht="15.75" customHeight="1"/>
    <row r="21505" ht="15.75" customHeight="1"/>
    <row r="21506" ht="15.75" customHeight="1"/>
    <row r="21507" ht="15.75" customHeight="1"/>
    <row r="21508" ht="15.75" customHeight="1"/>
    <row r="21509" ht="15.75" customHeight="1"/>
    <row r="21510" ht="15.75" customHeight="1"/>
    <row r="21511" ht="15.75" customHeight="1"/>
    <row r="21512" ht="15.75" customHeight="1"/>
    <row r="21513" ht="15.75" customHeight="1"/>
    <row r="21514" ht="15.75" customHeight="1"/>
    <row r="21515" ht="15.75" customHeight="1"/>
    <row r="21516" ht="15.75" customHeight="1"/>
    <row r="21517" ht="15.75" customHeight="1"/>
    <row r="21518" ht="15.75" customHeight="1"/>
    <row r="21519" ht="15.75" customHeight="1"/>
    <row r="21520" ht="15.75" customHeight="1"/>
    <row r="21521" ht="15.75" customHeight="1"/>
    <row r="21522" ht="15.75" customHeight="1"/>
    <row r="21523" ht="15.75" customHeight="1"/>
    <row r="21524" ht="15.75" customHeight="1"/>
    <row r="21525" ht="15.75" customHeight="1"/>
    <row r="21526" ht="15.75" customHeight="1"/>
    <row r="21527" ht="15.75" customHeight="1"/>
    <row r="21528" ht="15.75" customHeight="1"/>
    <row r="21529" ht="15.75" customHeight="1"/>
    <row r="21530" ht="15.75" customHeight="1"/>
    <row r="21531" ht="15.75" customHeight="1"/>
    <row r="21532" ht="15.75" customHeight="1"/>
    <row r="21533" ht="15.75" customHeight="1"/>
    <row r="21534" ht="15.75" customHeight="1"/>
    <row r="21535" ht="15.75" customHeight="1"/>
    <row r="21536" ht="15.75" customHeight="1"/>
    <row r="21537" ht="15.75" customHeight="1"/>
    <row r="21538" ht="15.75" customHeight="1"/>
    <row r="21539" ht="15.75" customHeight="1"/>
    <row r="21540" ht="15.75" customHeight="1"/>
    <row r="21541" ht="15.75" customHeight="1"/>
    <row r="21542" ht="15.75" customHeight="1"/>
    <row r="21543" ht="15.75" customHeight="1"/>
    <row r="21544" ht="15.75" customHeight="1"/>
    <row r="21545" ht="15.75" customHeight="1"/>
    <row r="21546" ht="15.75" customHeight="1"/>
    <row r="21547" ht="15.75" customHeight="1"/>
    <row r="21548" ht="15.75" customHeight="1"/>
    <row r="21549" ht="15.75" customHeight="1"/>
    <row r="21550" ht="15.75" customHeight="1"/>
    <row r="21551" ht="15.75" customHeight="1"/>
    <row r="21552" ht="15.75" customHeight="1"/>
    <row r="21553" ht="15.75" customHeight="1"/>
    <row r="21554" ht="15.75" customHeight="1"/>
    <row r="21555" ht="15.75" customHeight="1"/>
    <row r="21556" ht="15.75" customHeight="1"/>
    <row r="21557" ht="15.75" customHeight="1"/>
    <row r="21558" ht="15.75" customHeight="1"/>
    <row r="21559" ht="15.75" customHeight="1"/>
    <row r="21560" ht="15.75" customHeight="1"/>
    <row r="21561" ht="15.75" customHeight="1"/>
    <row r="21562" ht="15.75" customHeight="1"/>
    <row r="21563" ht="15.75" customHeight="1"/>
    <row r="21564" ht="15.75" customHeight="1"/>
    <row r="21565" ht="15.75" customHeight="1"/>
    <row r="21566" ht="15.75" customHeight="1"/>
    <row r="21567" ht="15.75" customHeight="1"/>
    <row r="21568" ht="15.75" customHeight="1"/>
    <row r="21569" ht="15.75" customHeight="1"/>
    <row r="21570" ht="15.75" customHeight="1"/>
    <row r="21571" ht="15.75" customHeight="1"/>
    <row r="21572" ht="15.75" customHeight="1"/>
    <row r="21573" ht="15.75" customHeight="1"/>
    <row r="21574" ht="15.75" customHeight="1"/>
    <row r="21575" ht="15.75" customHeight="1"/>
    <row r="21576" ht="15.75" customHeight="1"/>
    <row r="21577" ht="15.75" customHeight="1"/>
    <row r="21578" ht="15.75" customHeight="1"/>
    <row r="21579" ht="15.75" customHeight="1"/>
    <row r="21580" ht="15.75" customHeight="1"/>
    <row r="21581" ht="15.75" customHeight="1"/>
    <row r="21582" ht="15.75" customHeight="1"/>
    <row r="21583" ht="15.75" customHeight="1"/>
    <row r="21584" ht="15.75" customHeight="1"/>
    <row r="21585" ht="15.75" customHeight="1"/>
    <row r="21586" ht="15.75" customHeight="1"/>
    <row r="21587" ht="15.75" customHeight="1"/>
    <row r="21588" ht="15.75" customHeight="1"/>
    <row r="21589" ht="15.75" customHeight="1"/>
    <row r="21590" ht="15.75" customHeight="1"/>
    <row r="21591" ht="15.75" customHeight="1"/>
    <row r="21592" ht="15.75" customHeight="1"/>
    <row r="21593" ht="15.75" customHeight="1"/>
    <row r="21594" ht="15.75" customHeight="1"/>
    <row r="21595" ht="15.75" customHeight="1"/>
    <row r="21596" ht="15.75" customHeight="1"/>
    <row r="21597" ht="15.75" customHeight="1"/>
    <row r="21598" ht="15.75" customHeight="1"/>
    <row r="21599" ht="15.75" customHeight="1"/>
    <row r="21600" ht="15.75" customHeight="1"/>
    <row r="21601" ht="15.75" customHeight="1"/>
    <row r="21602" ht="15.75" customHeight="1"/>
    <row r="21603" ht="15.75" customHeight="1"/>
    <row r="21604" ht="15.75" customHeight="1"/>
    <row r="21605" ht="15.75" customHeight="1"/>
    <row r="21606" ht="15.75" customHeight="1"/>
    <row r="21607" ht="15.75" customHeight="1"/>
    <row r="21608" ht="15.75" customHeight="1"/>
    <row r="21609" ht="15.75" customHeight="1"/>
    <row r="21610" ht="15.75" customHeight="1"/>
    <row r="21611" ht="15.75" customHeight="1"/>
    <row r="21612" ht="15.75" customHeight="1"/>
    <row r="21613" ht="15.75" customHeight="1"/>
    <row r="21614" ht="15.75" customHeight="1"/>
    <row r="21615" ht="15.75" customHeight="1"/>
    <row r="21616" ht="15.75" customHeight="1"/>
    <row r="21617" ht="15.75" customHeight="1"/>
    <row r="21618" ht="15.75" customHeight="1"/>
    <row r="21619" ht="15.75" customHeight="1"/>
    <row r="21620" ht="15.75" customHeight="1"/>
    <row r="21621" ht="15.75" customHeight="1"/>
    <row r="21622" ht="15.75" customHeight="1"/>
    <row r="21623" ht="15.75" customHeight="1"/>
    <row r="21624" ht="15.75" customHeight="1"/>
    <row r="21625" ht="15.75" customHeight="1"/>
    <row r="21626" ht="15.75" customHeight="1"/>
    <row r="21627" ht="15.75" customHeight="1"/>
    <row r="21628" ht="15.75" customHeight="1"/>
    <row r="21629" ht="15.75" customHeight="1"/>
    <row r="21630" ht="15.75" customHeight="1"/>
    <row r="21631" ht="15.75" customHeight="1"/>
    <row r="21632" ht="15.75" customHeight="1"/>
    <row r="21633" ht="15.75" customHeight="1"/>
    <row r="21634" ht="15.75" customHeight="1"/>
    <row r="21635" ht="15.75" customHeight="1"/>
    <row r="21636" ht="15.75" customHeight="1"/>
    <row r="21637" ht="15.75" customHeight="1"/>
    <row r="21638" ht="15.75" customHeight="1"/>
    <row r="21639" ht="15.75" customHeight="1"/>
    <row r="21640" ht="15.75" customHeight="1"/>
    <row r="21641" ht="15.75" customHeight="1"/>
    <row r="21642" ht="15.75" customHeight="1"/>
    <row r="21643" ht="15.75" customHeight="1"/>
    <row r="21644" ht="15.75" customHeight="1"/>
    <row r="21645" ht="15.75" customHeight="1"/>
    <row r="21646" ht="15.75" customHeight="1"/>
    <row r="21647" ht="15.75" customHeight="1"/>
    <row r="21648" ht="15.75" customHeight="1"/>
    <row r="21649" ht="15.75" customHeight="1"/>
    <row r="21650" ht="15.75" customHeight="1"/>
    <row r="21651" ht="15.75" customHeight="1"/>
    <row r="21652" ht="15.75" customHeight="1"/>
    <row r="21653" ht="15.75" customHeight="1"/>
    <row r="21654" ht="15.75" customHeight="1"/>
    <row r="21655" ht="15.75" customHeight="1"/>
    <row r="21656" ht="15.75" customHeight="1"/>
    <row r="21657" ht="15.75" customHeight="1"/>
    <row r="21658" ht="15.75" customHeight="1"/>
    <row r="21659" ht="15.75" customHeight="1"/>
    <row r="21660" ht="15.75" customHeight="1"/>
    <row r="21661" ht="15.75" customHeight="1"/>
    <row r="21662" ht="15.75" customHeight="1"/>
    <row r="21663" ht="15.75" customHeight="1"/>
    <row r="21664" ht="15.75" customHeight="1"/>
    <row r="21665" ht="15.75" customHeight="1"/>
    <row r="21666" ht="15.75" customHeight="1"/>
    <row r="21667" ht="15.75" customHeight="1"/>
    <row r="21668" ht="15.75" customHeight="1"/>
    <row r="21669" ht="15.75" customHeight="1"/>
    <row r="21670" ht="15.75" customHeight="1"/>
    <row r="21671" ht="15.75" customHeight="1"/>
    <row r="21672" ht="15.75" customHeight="1"/>
    <row r="21673" ht="15.75" customHeight="1"/>
    <row r="21674" ht="15.75" customHeight="1"/>
    <row r="21675" ht="15.75" customHeight="1"/>
    <row r="21676" ht="15.75" customHeight="1"/>
    <row r="21677" ht="15.75" customHeight="1"/>
    <row r="21678" ht="15.75" customHeight="1"/>
    <row r="21679" ht="15.75" customHeight="1"/>
    <row r="21680" ht="15.75" customHeight="1"/>
    <row r="21681" ht="15.75" customHeight="1"/>
    <row r="21682" ht="15.75" customHeight="1"/>
    <row r="21683" ht="15.75" customHeight="1"/>
    <row r="21684" ht="15.75" customHeight="1"/>
    <row r="21685" ht="15.75" customHeight="1"/>
    <row r="21686" ht="15.75" customHeight="1"/>
    <row r="21687" ht="15.75" customHeight="1"/>
    <row r="21688" ht="15.75" customHeight="1"/>
    <row r="21689" ht="15.75" customHeight="1"/>
    <row r="21690" ht="15.75" customHeight="1"/>
    <row r="21691" ht="15.75" customHeight="1"/>
    <row r="21692" ht="15.75" customHeight="1"/>
    <row r="21693" ht="15.75" customHeight="1"/>
    <row r="21694" ht="15.75" customHeight="1"/>
    <row r="21695" ht="15.75" customHeight="1"/>
    <row r="21696" ht="15.75" customHeight="1"/>
    <row r="21697" ht="15.75" customHeight="1"/>
    <row r="21698" ht="15.75" customHeight="1"/>
    <row r="21699" ht="15.75" customHeight="1"/>
    <row r="21700" ht="15.75" customHeight="1"/>
    <row r="21701" ht="15.75" customHeight="1"/>
    <row r="21702" ht="15.75" customHeight="1"/>
    <row r="21703" ht="15.75" customHeight="1"/>
    <row r="21704" ht="15.75" customHeight="1"/>
    <row r="21705" ht="15.75" customHeight="1"/>
    <row r="21706" ht="15.75" customHeight="1"/>
    <row r="21707" ht="15.75" customHeight="1"/>
    <row r="21708" ht="15.75" customHeight="1"/>
    <row r="21709" ht="15.75" customHeight="1"/>
    <row r="21710" ht="15.75" customHeight="1"/>
    <row r="21711" ht="15.75" customHeight="1"/>
    <row r="21712" ht="15.75" customHeight="1"/>
    <row r="21713" ht="15.75" customHeight="1"/>
    <row r="21714" ht="15.75" customHeight="1"/>
    <row r="21715" ht="15.75" customHeight="1"/>
    <row r="21716" ht="15.75" customHeight="1"/>
    <row r="21717" ht="15.75" customHeight="1"/>
    <row r="21718" ht="15.75" customHeight="1"/>
    <row r="21719" ht="15.75" customHeight="1"/>
    <row r="21720" ht="15.75" customHeight="1"/>
    <row r="21721" ht="15.75" customHeight="1"/>
    <row r="21722" ht="15.75" customHeight="1"/>
    <row r="21723" ht="15.75" customHeight="1"/>
    <row r="21724" ht="15.75" customHeight="1"/>
    <row r="21725" ht="15.75" customHeight="1"/>
    <row r="21726" ht="15.75" customHeight="1"/>
    <row r="21727" ht="15.75" customHeight="1"/>
    <row r="21728" ht="15.75" customHeight="1"/>
    <row r="21729" ht="15.75" customHeight="1"/>
    <row r="21730" ht="15.75" customHeight="1"/>
    <row r="21731" ht="15.75" customHeight="1"/>
    <row r="21732" ht="15.75" customHeight="1"/>
    <row r="21733" ht="15.75" customHeight="1"/>
    <row r="21734" ht="15.75" customHeight="1"/>
    <row r="21735" ht="15.75" customHeight="1"/>
    <row r="21736" ht="15.75" customHeight="1"/>
    <row r="21737" ht="15.75" customHeight="1"/>
    <row r="21738" ht="15.75" customHeight="1"/>
    <row r="21739" ht="15.75" customHeight="1"/>
    <row r="21740" ht="15.75" customHeight="1"/>
    <row r="21741" ht="15.75" customHeight="1"/>
    <row r="21742" ht="15.75" customHeight="1"/>
    <row r="21743" ht="15.75" customHeight="1"/>
    <row r="21744" ht="15.75" customHeight="1"/>
    <row r="21745" ht="15.75" customHeight="1"/>
    <row r="21746" ht="15.75" customHeight="1"/>
    <row r="21747" ht="15.75" customHeight="1"/>
    <row r="21748" ht="15.75" customHeight="1"/>
    <row r="21749" ht="15.75" customHeight="1"/>
    <row r="21750" ht="15.75" customHeight="1"/>
    <row r="21751" ht="15.75" customHeight="1"/>
    <row r="21752" ht="15.75" customHeight="1"/>
    <row r="21753" ht="15.75" customHeight="1"/>
    <row r="21754" ht="15.75" customHeight="1"/>
    <row r="21755" ht="15.75" customHeight="1"/>
    <row r="21756" ht="15.75" customHeight="1"/>
    <row r="21757" ht="15.75" customHeight="1"/>
    <row r="21758" ht="15.75" customHeight="1"/>
    <row r="21759" ht="15.75" customHeight="1"/>
    <row r="21760" ht="15.75" customHeight="1"/>
    <row r="21761" ht="15.75" customHeight="1"/>
    <row r="21762" ht="15.75" customHeight="1"/>
    <row r="21763" ht="15.75" customHeight="1"/>
    <row r="21764" ht="15.75" customHeight="1"/>
    <row r="21765" ht="15.75" customHeight="1"/>
    <row r="21766" ht="15.75" customHeight="1"/>
    <row r="21767" ht="15.75" customHeight="1"/>
    <row r="21768" ht="15.75" customHeight="1"/>
    <row r="21769" ht="15.75" customHeight="1"/>
    <row r="21770" ht="15.75" customHeight="1"/>
    <row r="21771" ht="15.75" customHeight="1"/>
    <row r="21772" ht="15.75" customHeight="1"/>
    <row r="21773" ht="15.75" customHeight="1"/>
    <row r="21774" ht="15.75" customHeight="1"/>
    <row r="21775" ht="15.75" customHeight="1"/>
    <row r="21776" ht="15.75" customHeight="1"/>
    <row r="21777" ht="15.75" customHeight="1"/>
    <row r="21778" ht="15.75" customHeight="1"/>
    <row r="21779" ht="15.75" customHeight="1"/>
    <row r="21780" ht="15.75" customHeight="1"/>
    <row r="21781" ht="15.75" customHeight="1"/>
    <row r="21782" ht="15.75" customHeight="1"/>
    <row r="21783" ht="15.75" customHeight="1"/>
    <row r="21784" ht="15.75" customHeight="1"/>
    <row r="21785" ht="15.75" customHeight="1"/>
    <row r="21786" ht="15.75" customHeight="1"/>
    <row r="21787" ht="15.75" customHeight="1"/>
    <row r="21788" ht="15.75" customHeight="1"/>
    <row r="21789" ht="15.75" customHeight="1"/>
    <row r="21790" ht="15.75" customHeight="1"/>
    <row r="21791" ht="15.75" customHeight="1"/>
    <row r="21792" ht="15.75" customHeight="1"/>
    <row r="21793" ht="15.75" customHeight="1"/>
    <row r="21794" ht="15.75" customHeight="1"/>
    <row r="21795" ht="15.75" customHeight="1"/>
    <row r="21796" ht="15.75" customHeight="1"/>
    <row r="21797" ht="15.75" customHeight="1"/>
    <row r="21798" ht="15.75" customHeight="1"/>
    <row r="21799" ht="15.75" customHeight="1"/>
    <row r="21800" ht="15.75" customHeight="1"/>
    <row r="21801" ht="15.75" customHeight="1"/>
    <row r="21802" ht="15.75" customHeight="1"/>
    <row r="21803" ht="15.75" customHeight="1"/>
    <row r="21804" ht="15.75" customHeight="1"/>
    <row r="21805" ht="15.75" customHeight="1"/>
    <row r="21806" ht="15.75" customHeight="1"/>
    <row r="21807" ht="15.75" customHeight="1"/>
    <row r="21808" ht="15.75" customHeight="1"/>
    <row r="21809" ht="15.75" customHeight="1"/>
    <row r="21810" ht="15.75" customHeight="1"/>
    <row r="21811" ht="15.75" customHeight="1"/>
    <row r="21812" ht="15.75" customHeight="1"/>
    <row r="21813" ht="15.75" customHeight="1"/>
    <row r="21814" ht="15.75" customHeight="1"/>
    <row r="21815" ht="15.75" customHeight="1"/>
    <row r="21816" ht="15.75" customHeight="1"/>
    <row r="21817" ht="15.75" customHeight="1"/>
    <row r="21818" ht="15.75" customHeight="1"/>
    <row r="21819" ht="15.75" customHeight="1"/>
    <row r="21820" ht="15.75" customHeight="1"/>
    <row r="21821" ht="15.75" customHeight="1"/>
    <row r="21822" ht="15.75" customHeight="1"/>
    <row r="21823" ht="15.75" customHeight="1"/>
    <row r="21824" ht="15.75" customHeight="1"/>
    <row r="21825" ht="15.75" customHeight="1"/>
    <row r="21826" ht="15.75" customHeight="1"/>
    <row r="21827" ht="15.75" customHeight="1"/>
    <row r="21828" ht="15.75" customHeight="1"/>
    <row r="21829" ht="15.75" customHeight="1"/>
    <row r="21830" ht="15.75" customHeight="1"/>
    <row r="21831" ht="15.75" customHeight="1"/>
    <row r="21832" ht="15.75" customHeight="1"/>
    <row r="21833" ht="15.75" customHeight="1"/>
    <row r="21834" ht="15.75" customHeight="1"/>
    <row r="21835" ht="15.75" customHeight="1"/>
    <row r="21836" ht="15.75" customHeight="1"/>
    <row r="21837" ht="15.75" customHeight="1"/>
    <row r="21838" ht="15.75" customHeight="1"/>
    <row r="21839" ht="15.75" customHeight="1"/>
    <row r="21840" ht="15.75" customHeight="1"/>
    <row r="21841" ht="15.75" customHeight="1"/>
    <row r="21842" ht="15.75" customHeight="1"/>
    <row r="21843" ht="15.75" customHeight="1"/>
    <row r="21844" ht="15.75" customHeight="1"/>
    <row r="21845" ht="15.75" customHeight="1"/>
    <row r="21846" ht="15.75" customHeight="1"/>
    <row r="21847" ht="15.75" customHeight="1"/>
    <row r="21848" ht="15.75" customHeight="1"/>
    <row r="21849" ht="15.75" customHeight="1"/>
    <row r="21850" ht="15.75" customHeight="1"/>
    <row r="21851" ht="15.75" customHeight="1"/>
    <row r="21852" ht="15.75" customHeight="1"/>
    <row r="21853" ht="15.75" customHeight="1"/>
    <row r="21854" ht="15.75" customHeight="1"/>
    <row r="21855" ht="15.75" customHeight="1"/>
    <row r="21856" ht="15.75" customHeight="1"/>
    <row r="21857" ht="15.75" customHeight="1"/>
    <row r="21858" ht="15.75" customHeight="1"/>
    <row r="21859" ht="15.75" customHeight="1"/>
    <row r="21860" ht="15.75" customHeight="1"/>
    <row r="21861" ht="15.75" customHeight="1"/>
    <row r="21862" ht="15.75" customHeight="1"/>
    <row r="21863" ht="15.75" customHeight="1"/>
    <row r="21864" ht="15.75" customHeight="1"/>
    <row r="21865" ht="15.75" customHeight="1"/>
    <row r="21866" ht="15.75" customHeight="1"/>
    <row r="21867" ht="15.75" customHeight="1"/>
    <row r="21868" ht="15.75" customHeight="1"/>
    <row r="21869" ht="15.75" customHeight="1"/>
    <row r="21870" ht="15.75" customHeight="1"/>
    <row r="21871" ht="15.75" customHeight="1"/>
    <row r="21872" ht="15.75" customHeight="1"/>
    <row r="21873" ht="15.75" customHeight="1"/>
    <row r="21874" ht="15.75" customHeight="1"/>
    <row r="21875" ht="15.75" customHeight="1"/>
    <row r="21876" ht="15.75" customHeight="1"/>
    <row r="21877" ht="15.75" customHeight="1"/>
    <row r="21878" ht="15.75" customHeight="1"/>
    <row r="21879" ht="15.75" customHeight="1"/>
    <row r="21880" ht="15.75" customHeight="1"/>
    <row r="21881" ht="15.75" customHeight="1"/>
    <row r="21882" ht="15.75" customHeight="1"/>
    <row r="21883" ht="15.75" customHeight="1"/>
    <row r="21884" ht="15.75" customHeight="1"/>
    <row r="21885" ht="15.75" customHeight="1"/>
    <row r="21886" ht="15.75" customHeight="1"/>
    <row r="21887" ht="15.75" customHeight="1"/>
    <row r="21888" ht="15.75" customHeight="1"/>
    <row r="21889" ht="15.75" customHeight="1"/>
    <row r="21890" ht="15.75" customHeight="1"/>
    <row r="21891" ht="15.75" customHeight="1"/>
    <row r="21892" ht="15.75" customHeight="1"/>
    <row r="21893" ht="15.75" customHeight="1"/>
    <row r="21894" ht="15.75" customHeight="1"/>
    <row r="21895" ht="15.75" customHeight="1"/>
    <row r="21896" ht="15.75" customHeight="1"/>
    <row r="21897" ht="15.75" customHeight="1"/>
    <row r="21898" ht="15.75" customHeight="1"/>
    <row r="21899" ht="15.75" customHeight="1"/>
    <row r="21900" ht="15.75" customHeight="1"/>
    <row r="21901" ht="15.75" customHeight="1"/>
    <row r="21902" ht="15.75" customHeight="1"/>
    <row r="21903" ht="15.75" customHeight="1"/>
    <row r="21904" ht="15.75" customHeight="1"/>
    <row r="21905" ht="15.75" customHeight="1"/>
    <row r="21906" ht="15.75" customHeight="1"/>
    <row r="21907" ht="15.75" customHeight="1"/>
    <row r="21908" ht="15.75" customHeight="1"/>
    <row r="21909" ht="15.75" customHeight="1"/>
    <row r="21910" ht="15.75" customHeight="1"/>
    <row r="21911" ht="15.75" customHeight="1"/>
    <row r="21912" ht="15.75" customHeight="1"/>
    <row r="21913" ht="15.75" customHeight="1"/>
    <row r="21914" ht="15.75" customHeight="1"/>
    <row r="21915" ht="15.75" customHeight="1"/>
    <row r="21916" ht="15.75" customHeight="1"/>
    <row r="21917" ht="15.75" customHeight="1"/>
    <row r="21918" ht="15.75" customHeight="1"/>
    <row r="21919" ht="15.75" customHeight="1"/>
    <row r="21920" ht="15.75" customHeight="1"/>
    <row r="21921" ht="15.75" customHeight="1"/>
    <row r="21922" ht="15.75" customHeight="1"/>
    <row r="21923" ht="15.75" customHeight="1"/>
    <row r="21924" ht="15.75" customHeight="1"/>
    <row r="21925" ht="15.75" customHeight="1"/>
    <row r="21926" ht="15.75" customHeight="1"/>
    <row r="21927" ht="15.75" customHeight="1"/>
    <row r="21928" ht="15.75" customHeight="1"/>
    <row r="21929" ht="15.75" customHeight="1"/>
    <row r="21930" ht="15.75" customHeight="1"/>
    <row r="21931" ht="15.75" customHeight="1"/>
    <row r="21932" ht="15.75" customHeight="1"/>
    <row r="21933" ht="15.75" customHeight="1"/>
    <row r="21934" ht="15.75" customHeight="1"/>
    <row r="21935" ht="15.75" customHeight="1"/>
    <row r="21936" ht="15.75" customHeight="1"/>
    <row r="21937" ht="15.75" customHeight="1"/>
    <row r="21938" ht="15.75" customHeight="1"/>
    <row r="21939" ht="15.75" customHeight="1"/>
    <row r="21940" ht="15.75" customHeight="1"/>
    <row r="21941" ht="15.75" customHeight="1"/>
    <row r="21942" ht="15.75" customHeight="1"/>
    <row r="21943" ht="15.75" customHeight="1"/>
    <row r="21944" ht="15.75" customHeight="1"/>
    <row r="21945" ht="15.75" customHeight="1"/>
    <row r="21946" ht="15.75" customHeight="1"/>
    <row r="21947" ht="15.75" customHeight="1"/>
    <row r="21948" ht="15.75" customHeight="1"/>
    <row r="21949" ht="15.75" customHeight="1"/>
    <row r="21950" ht="15.75" customHeight="1"/>
    <row r="21951" ht="15.75" customHeight="1"/>
    <row r="21952" ht="15.75" customHeight="1"/>
    <row r="21953" ht="15.75" customHeight="1"/>
    <row r="21954" ht="15.75" customHeight="1"/>
    <row r="21955" ht="15.75" customHeight="1"/>
    <row r="21956" ht="15.75" customHeight="1"/>
    <row r="21957" ht="15.75" customHeight="1"/>
    <row r="21958" ht="15.75" customHeight="1"/>
    <row r="21959" ht="15.75" customHeight="1"/>
    <row r="21960" ht="15.75" customHeight="1"/>
    <row r="21961" ht="15.75" customHeight="1"/>
    <row r="21962" ht="15.75" customHeight="1"/>
    <row r="21963" ht="15.75" customHeight="1"/>
    <row r="21964" ht="15.75" customHeight="1"/>
    <row r="21965" ht="15.75" customHeight="1"/>
    <row r="21966" ht="15.75" customHeight="1"/>
    <row r="21967" ht="15.75" customHeight="1"/>
    <row r="21968" ht="15.75" customHeight="1"/>
    <row r="21969" ht="15.75" customHeight="1"/>
    <row r="21970" ht="15.75" customHeight="1"/>
    <row r="21971" ht="15.75" customHeight="1"/>
    <row r="21972" ht="15.75" customHeight="1"/>
    <row r="21973" ht="15.75" customHeight="1"/>
    <row r="21974" ht="15.75" customHeight="1"/>
    <row r="21975" ht="15.75" customHeight="1"/>
    <row r="21976" ht="15.75" customHeight="1"/>
    <row r="21977" ht="15.75" customHeight="1"/>
    <row r="21978" ht="15.75" customHeight="1"/>
    <row r="21979" ht="15.75" customHeight="1"/>
    <row r="21980" ht="15.75" customHeight="1"/>
    <row r="21981" ht="15.75" customHeight="1"/>
    <row r="21982" ht="15.75" customHeight="1"/>
    <row r="21983" ht="15.75" customHeight="1"/>
    <row r="21984" ht="15.75" customHeight="1"/>
    <row r="21985" ht="15.75" customHeight="1"/>
    <row r="21986" ht="15.75" customHeight="1"/>
    <row r="21987" ht="15.75" customHeight="1"/>
    <row r="21988" ht="15.75" customHeight="1"/>
    <row r="21989" ht="15.75" customHeight="1"/>
    <row r="21990" ht="15.75" customHeight="1"/>
    <row r="21991" ht="15.75" customHeight="1"/>
    <row r="21992" ht="15.75" customHeight="1"/>
    <row r="21993" ht="15.75" customHeight="1"/>
    <row r="21994" ht="15.75" customHeight="1"/>
    <row r="21995" ht="15.75" customHeight="1"/>
    <row r="21996" ht="15.75" customHeight="1"/>
    <row r="21997" ht="15.75" customHeight="1"/>
    <row r="21998" ht="15.75" customHeight="1"/>
    <row r="21999" ht="15.75" customHeight="1"/>
    <row r="22000" ht="15.75" customHeight="1"/>
    <row r="22001" ht="15.75" customHeight="1"/>
    <row r="22002" ht="15.75" customHeight="1"/>
    <row r="22003" ht="15.75" customHeight="1"/>
    <row r="22004" ht="15.75" customHeight="1"/>
    <row r="22005" ht="15.75" customHeight="1"/>
    <row r="22006" ht="15.75" customHeight="1"/>
    <row r="22007" ht="15.75" customHeight="1"/>
    <row r="22008" ht="15.75" customHeight="1"/>
    <row r="22009" ht="15.75" customHeight="1"/>
    <row r="22010" ht="15.75" customHeight="1"/>
    <row r="22011" ht="15.75" customHeight="1"/>
    <row r="22012" ht="15.75" customHeight="1"/>
    <row r="22013" ht="15.75" customHeight="1"/>
    <row r="22014" ht="15.75" customHeight="1"/>
    <row r="22015" ht="15.75" customHeight="1"/>
    <row r="22016" ht="15.75" customHeight="1"/>
    <row r="22017" ht="15.75" customHeight="1"/>
    <row r="22018" ht="15.75" customHeight="1"/>
    <row r="22019" ht="15.75" customHeight="1"/>
    <row r="22020" ht="15.75" customHeight="1"/>
    <row r="22021" ht="15.75" customHeight="1"/>
    <row r="22022" ht="15.75" customHeight="1"/>
    <row r="22023" ht="15.75" customHeight="1"/>
    <row r="22024" ht="15.75" customHeight="1"/>
    <row r="22025" ht="15.75" customHeight="1"/>
    <row r="22026" ht="15.75" customHeight="1"/>
    <row r="22027" ht="15.75" customHeight="1"/>
    <row r="22028" ht="15.75" customHeight="1"/>
    <row r="22029" ht="15.75" customHeight="1"/>
    <row r="22030" ht="15.75" customHeight="1"/>
    <row r="22031" ht="15.75" customHeight="1"/>
    <row r="22032" ht="15.75" customHeight="1"/>
    <row r="22033" ht="15.75" customHeight="1"/>
    <row r="22034" ht="15.75" customHeight="1"/>
    <row r="22035" ht="15.75" customHeight="1"/>
    <row r="22036" ht="15.75" customHeight="1"/>
    <row r="22037" ht="15.75" customHeight="1"/>
    <row r="22038" ht="15.75" customHeight="1"/>
    <row r="22039" ht="15.75" customHeight="1"/>
    <row r="22040" ht="15.75" customHeight="1"/>
    <row r="22041" ht="15.75" customHeight="1"/>
    <row r="22042" ht="15.75" customHeight="1"/>
    <row r="22043" ht="15.75" customHeight="1"/>
    <row r="22044" ht="15.75" customHeight="1"/>
    <row r="22045" ht="15.75" customHeight="1"/>
    <row r="22046" ht="15.75" customHeight="1"/>
    <row r="22047" ht="15.75" customHeight="1"/>
    <row r="22048" ht="15.75" customHeight="1"/>
    <row r="22049" ht="15.75" customHeight="1"/>
    <row r="22050" ht="15.75" customHeight="1"/>
    <row r="22051" ht="15.75" customHeight="1"/>
    <row r="22052" ht="15.75" customHeight="1"/>
    <row r="22053" ht="15.75" customHeight="1"/>
    <row r="22054" ht="15.75" customHeight="1"/>
    <row r="22055" ht="15.75" customHeight="1"/>
    <row r="22056" ht="15.75" customHeight="1"/>
    <row r="22057" ht="15.75" customHeight="1"/>
    <row r="22058" ht="15.75" customHeight="1"/>
    <row r="22059" ht="15.75" customHeight="1"/>
    <row r="22060" ht="15.75" customHeight="1"/>
    <row r="22061" ht="15.75" customHeight="1"/>
    <row r="22062" ht="15.75" customHeight="1"/>
    <row r="22063" ht="15.75" customHeight="1"/>
    <row r="22064" ht="15.75" customHeight="1"/>
    <row r="22065" ht="15.75" customHeight="1"/>
    <row r="22066" ht="15.75" customHeight="1"/>
    <row r="22067" ht="15.75" customHeight="1"/>
    <row r="22068" ht="15.75" customHeight="1"/>
    <row r="22069" ht="15.75" customHeight="1"/>
    <row r="22070" ht="15.75" customHeight="1"/>
    <row r="22071" ht="15.75" customHeight="1"/>
    <row r="22072" ht="15.75" customHeight="1"/>
    <row r="22073" ht="15.75" customHeight="1"/>
    <row r="22074" ht="15.75" customHeight="1"/>
    <row r="22075" ht="15.75" customHeight="1"/>
    <row r="22076" ht="15.75" customHeight="1"/>
    <row r="22077" ht="15.75" customHeight="1"/>
    <row r="22078" ht="15.75" customHeight="1"/>
    <row r="22079" ht="15.75" customHeight="1"/>
    <row r="22080" ht="15.75" customHeight="1"/>
    <row r="22081" ht="15.75" customHeight="1"/>
    <row r="22082" ht="15.75" customHeight="1"/>
    <row r="22083" ht="15.75" customHeight="1"/>
    <row r="22084" ht="15.75" customHeight="1"/>
    <row r="22085" ht="15.75" customHeight="1"/>
    <row r="22086" ht="15.75" customHeight="1"/>
    <row r="22087" ht="15.75" customHeight="1"/>
    <row r="22088" ht="15.75" customHeight="1"/>
    <row r="22089" ht="15.75" customHeight="1"/>
    <row r="22090" ht="15.75" customHeight="1"/>
    <row r="22091" ht="15.75" customHeight="1"/>
    <row r="22092" ht="15.75" customHeight="1"/>
    <row r="22093" ht="15.75" customHeight="1"/>
    <row r="22094" ht="15.75" customHeight="1"/>
    <row r="22095" ht="15.75" customHeight="1"/>
    <row r="22096" ht="15.75" customHeight="1"/>
    <row r="22097" ht="15.75" customHeight="1"/>
    <row r="22098" ht="15.75" customHeight="1"/>
    <row r="22099" ht="15.75" customHeight="1"/>
    <row r="22100" ht="15.75" customHeight="1"/>
    <row r="22101" ht="15.75" customHeight="1"/>
    <row r="22102" ht="15.75" customHeight="1"/>
    <row r="22103" ht="15.75" customHeight="1"/>
    <row r="22104" ht="15.75" customHeight="1"/>
    <row r="22105" ht="15.75" customHeight="1"/>
    <row r="22106" ht="15.75" customHeight="1"/>
    <row r="22107" ht="15.75" customHeight="1"/>
    <row r="22108" ht="15.75" customHeight="1"/>
    <row r="22109" ht="15.75" customHeight="1"/>
    <row r="22110" ht="15.75" customHeight="1"/>
    <row r="22111" ht="15.75" customHeight="1"/>
    <row r="22112" ht="15.75" customHeight="1"/>
    <row r="22113" ht="15.75" customHeight="1"/>
    <row r="22114" ht="15.75" customHeight="1"/>
    <row r="22115" ht="15.75" customHeight="1"/>
    <row r="22116" ht="15.75" customHeight="1"/>
    <row r="22117" ht="15.75" customHeight="1"/>
    <row r="22118" ht="15.75" customHeight="1"/>
    <row r="22119" ht="15.75" customHeight="1"/>
    <row r="22120" ht="15.75" customHeight="1"/>
    <row r="22121" ht="15.75" customHeight="1"/>
    <row r="22122" ht="15.75" customHeight="1"/>
    <row r="22123" ht="15.75" customHeight="1"/>
    <row r="22124" ht="15.75" customHeight="1"/>
    <row r="22125" ht="15.75" customHeight="1"/>
    <row r="22126" ht="15.75" customHeight="1"/>
    <row r="22127" ht="15.75" customHeight="1"/>
    <row r="22128" ht="15.75" customHeight="1"/>
    <row r="22129" ht="15.75" customHeight="1"/>
    <row r="22130" ht="15.75" customHeight="1"/>
    <row r="22131" ht="15.75" customHeight="1"/>
    <row r="22132" ht="15.75" customHeight="1"/>
    <row r="22133" ht="15.75" customHeight="1"/>
    <row r="22134" ht="15.75" customHeight="1"/>
    <row r="22135" ht="15.75" customHeight="1"/>
    <row r="22136" ht="15.75" customHeight="1"/>
    <row r="22137" ht="15.75" customHeight="1"/>
    <row r="22138" ht="15.75" customHeight="1"/>
    <row r="22139" ht="15.75" customHeight="1"/>
    <row r="22140" ht="15.75" customHeight="1"/>
    <row r="22141" ht="15.75" customHeight="1"/>
    <row r="22142" ht="15.75" customHeight="1"/>
    <row r="22143" ht="15.75" customHeight="1"/>
    <row r="22144" ht="15.75" customHeight="1"/>
    <row r="22145" ht="15.75" customHeight="1"/>
    <row r="22146" ht="15.75" customHeight="1"/>
    <row r="22147" ht="15.75" customHeight="1"/>
    <row r="22148" ht="15.75" customHeight="1"/>
    <row r="22149" ht="15.75" customHeight="1"/>
    <row r="22150" ht="15.75" customHeight="1"/>
    <row r="22151" ht="15.75" customHeight="1"/>
    <row r="22152" ht="15.75" customHeight="1"/>
    <row r="22153" ht="15.75" customHeight="1"/>
    <row r="22154" ht="15.75" customHeight="1"/>
    <row r="22155" ht="15.75" customHeight="1"/>
    <row r="22156" ht="15.75" customHeight="1"/>
    <row r="22157" ht="15.75" customHeight="1"/>
    <row r="22158" ht="15.75" customHeight="1"/>
    <row r="22159" ht="15.75" customHeight="1"/>
    <row r="22160" ht="15.75" customHeight="1"/>
    <row r="22161" ht="15.75" customHeight="1"/>
    <row r="22162" ht="15.75" customHeight="1"/>
    <row r="22163" ht="15.75" customHeight="1"/>
    <row r="22164" ht="15.75" customHeight="1"/>
    <row r="22165" ht="15.75" customHeight="1"/>
    <row r="22166" ht="15.75" customHeight="1"/>
    <row r="22167" ht="15.75" customHeight="1"/>
    <row r="22168" ht="15.75" customHeight="1"/>
    <row r="22169" ht="15.75" customHeight="1"/>
    <row r="22170" ht="15.75" customHeight="1"/>
    <row r="22171" ht="15.75" customHeight="1"/>
    <row r="22172" ht="15.75" customHeight="1"/>
    <row r="22173" ht="15.75" customHeight="1"/>
    <row r="22174" ht="15.75" customHeight="1"/>
    <row r="22175" ht="15.75" customHeight="1"/>
    <row r="22176" ht="15.75" customHeight="1"/>
    <row r="22177" ht="15.75" customHeight="1"/>
    <row r="22178" ht="15.75" customHeight="1"/>
    <row r="22179" ht="15.75" customHeight="1"/>
    <row r="22180" ht="15.75" customHeight="1"/>
    <row r="22181" ht="15.75" customHeight="1"/>
    <row r="22182" ht="15.75" customHeight="1"/>
    <row r="22183" ht="15.75" customHeight="1"/>
    <row r="22184" ht="15.75" customHeight="1"/>
    <row r="22185" ht="15.75" customHeight="1"/>
    <row r="22186" ht="15.75" customHeight="1"/>
    <row r="22187" ht="15.75" customHeight="1"/>
    <row r="22188" ht="15.75" customHeight="1"/>
    <row r="22189" ht="15.75" customHeight="1"/>
    <row r="22190" ht="15.75" customHeight="1"/>
    <row r="22191" ht="15.75" customHeight="1"/>
    <row r="22192" ht="15.75" customHeight="1"/>
    <row r="22193" ht="15.75" customHeight="1"/>
    <row r="22194" ht="15.75" customHeight="1"/>
    <row r="22195" ht="15.75" customHeight="1"/>
    <row r="22196" ht="15.75" customHeight="1"/>
    <row r="22197" ht="15.75" customHeight="1"/>
    <row r="22198" ht="15.75" customHeight="1"/>
    <row r="22199" ht="15.75" customHeight="1"/>
    <row r="22200" ht="15.75" customHeight="1"/>
    <row r="22201" ht="15.75" customHeight="1"/>
    <row r="22202" ht="15.75" customHeight="1"/>
    <row r="22203" ht="15.75" customHeight="1"/>
    <row r="22204" ht="15.75" customHeight="1"/>
    <row r="22205" ht="15.75" customHeight="1"/>
    <row r="22206" ht="15.75" customHeight="1"/>
    <row r="22207" ht="15.75" customHeight="1"/>
    <row r="22208" ht="15.75" customHeight="1"/>
    <row r="22209" ht="15.75" customHeight="1"/>
    <row r="22210" ht="15.75" customHeight="1"/>
    <row r="22211" ht="15.75" customHeight="1"/>
    <row r="22212" ht="15.75" customHeight="1"/>
    <row r="22213" ht="15.75" customHeight="1"/>
    <row r="22214" ht="15.75" customHeight="1"/>
    <row r="22215" ht="15.75" customHeight="1"/>
    <row r="22216" ht="15.75" customHeight="1"/>
    <row r="22217" ht="15.75" customHeight="1"/>
    <row r="22218" ht="15.75" customHeight="1"/>
    <row r="22219" ht="15.75" customHeight="1"/>
    <row r="22220" ht="15.75" customHeight="1"/>
    <row r="22221" ht="15.75" customHeight="1"/>
    <row r="22222" ht="15.75" customHeight="1"/>
    <row r="22223" ht="15.75" customHeight="1"/>
    <row r="22224" ht="15.75" customHeight="1"/>
    <row r="22225" ht="15.75" customHeight="1"/>
    <row r="22226" ht="15.75" customHeight="1"/>
    <row r="22227" ht="15.75" customHeight="1"/>
    <row r="22228" ht="15.75" customHeight="1"/>
    <row r="22229" ht="15.75" customHeight="1"/>
    <row r="22230" ht="15.75" customHeight="1"/>
    <row r="22231" ht="15.75" customHeight="1"/>
    <row r="22232" ht="15.75" customHeight="1"/>
    <row r="22233" ht="15.75" customHeight="1"/>
    <row r="22234" ht="15.75" customHeight="1"/>
    <row r="22235" ht="15.75" customHeight="1"/>
    <row r="22236" ht="15.75" customHeight="1"/>
    <row r="22237" ht="15.75" customHeight="1"/>
    <row r="22238" ht="15.75" customHeight="1"/>
    <row r="22239" ht="15.75" customHeight="1"/>
    <row r="22240" ht="15.75" customHeight="1"/>
    <row r="22241" ht="15.75" customHeight="1"/>
    <row r="22242" ht="15.75" customHeight="1"/>
    <row r="22243" ht="15.75" customHeight="1"/>
    <row r="22244" ht="15.75" customHeight="1"/>
    <row r="22245" ht="15.75" customHeight="1"/>
    <row r="22246" ht="15.75" customHeight="1"/>
    <row r="22247" ht="15.75" customHeight="1"/>
    <row r="22248" ht="15.75" customHeight="1"/>
    <row r="22249" ht="15.75" customHeight="1"/>
    <row r="22250" ht="15.75" customHeight="1"/>
    <row r="22251" ht="15.75" customHeight="1"/>
    <row r="22252" ht="15.75" customHeight="1"/>
    <row r="22253" ht="15.75" customHeight="1"/>
    <row r="22254" ht="15.75" customHeight="1"/>
    <row r="22255" ht="15.75" customHeight="1"/>
    <row r="22256" ht="15.75" customHeight="1"/>
    <row r="22257" ht="15.75" customHeight="1"/>
    <row r="22258" ht="15.75" customHeight="1"/>
    <row r="22259" ht="15.75" customHeight="1"/>
    <row r="22260" ht="15.75" customHeight="1"/>
    <row r="22261" ht="15.75" customHeight="1"/>
    <row r="22262" ht="15.75" customHeight="1"/>
    <row r="22263" ht="15.75" customHeight="1"/>
    <row r="22264" ht="15.75" customHeight="1"/>
    <row r="22265" ht="15.75" customHeight="1"/>
    <row r="22266" ht="15.75" customHeight="1"/>
    <row r="22267" ht="15.75" customHeight="1"/>
    <row r="22268" ht="15.75" customHeight="1"/>
    <row r="22269" ht="15.75" customHeight="1"/>
    <row r="22270" ht="15.75" customHeight="1"/>
    <row r="22271" ht="15.75" customHeight="1"/>
    <row r="22272" ht="15.75" customHeight="1"/>
    <row r="22273" ht="15.75" customHeight="1"/>
    <row r="22274" ht="15.75" customHeight="1"/>
    <row r="22275" ht="15.75" customHeight="1"/>
    <row r="22276" ht="15.75" customHeight="1"/>
    <row r="22277" ht="15.75" customHeight="1"/>
    <row r="22278" ht="15.75" customHeight="1"/>
    <row r="22279" ht="15.75" customHeight="1"/>
    <row r="22280" ht="15.75" customHeight="1"/>
    <row r="22281" ht="15.75" customHeight="1"/>
    <row r="22282" ht="15.75" customHeight="1"/>
    <row r="22283" ht="15.75" customHeight="1"/>
    <row r="22284" ht="15.75" customHeight="1"/>
    <row r="22285" ht="15.75" customHeight="1"/>
    <row r="22286" ht="15.75" customHeight="1"/>
    <row r="22287" ht="15.75" customHeight="1"/>
    <row r="22288" ht="15.75" customHeight="1"/>
    <row r="22289" ht="15.75" customHeight="1"/>
    <row r="22290" ht="15.75" customHeight="1"/>
    <row r="22291" ht="15.75" customHeight="1"/>
    <row r="22292" ht="15.75" customHeight="1"/>
    <row r="22293" ht="15.75" customHeight="1"/>
    <row r="22294" ht="15.75" customHeight="1"/>
    <row r="22295" ht="15.75" customHeight="1"/>
    <row r="22296" ht="15.75" customHeight="1"/>
    <row r="22297" ht="15.75" customHeight="1"/>
    <row r="22298" ht="15.75" customHeight="1"/>
    <row r="22299" ht="15.75" customHeight="1"/>
    <row r="22300" ht="15.75" customHeight="1"/>
    <row r="22301" ht="15.75" customHeight="1"/>
    <row r="22302" ht="15.75" customHeight="1"/>
    <row r="22303" ht="15.75" customHeight="1"/>
    <row r="22304" ht="15.75" customHeight="1"/>
    <row r="22305" ht="15.75" customHeight="1"/>
    <row r="22306" ht="15.75" customHeight="1"/>
    <row r="22307" ht="15.75" customHeight="1"/>
    <row r="22308" ht="15.75" customHeight="1"/>
    <row r="22309" ht="15.75" customHeight="1"/>
    <row r="22310" ht="15.75" customHeight="1"/>
    <row r="22311" ht="15.75" customHeight="1"/>
    <row r="22312" ht="15.75" customHeight="1"/>
    <row r="22313" ht="15.75" customHeight="1"/>
    <row r="22314" ht="15.75" customHeight="1"/>
    <row r="22315" ht="15.75" customHeight="1"/>
    <row r="22316" ht="15.75" customHeight="1"/>
    <row r="22317" ht="15.75" customHeight="1"/>
    <row r="22318" ht="15.75" customHeight="1"/>
    <row r="22319" ht="15.75" customHeight="1"/>
    <row r="22320" ht="15.75" customHeight="1"/>
    <row r="22321" ht="15.75" customHeight="1"/>
    <row r="22322" ht="15.75" customHeight="1"/>
    <row r="22323" ht="15.75" customHeight="1"/>
    <row r="22324" ht="15.75" customHeight="1"/>
    <row r="22325" ht="15.75" customHeight="1"/>
    <row r="22326" ht="15.75" customHeight="1"/>
    <row r="22327" ht="15.75" customHeight="1"/>
    <row r="22328" ht="15.75" customHeight="1"/>
    <row r="22329" ht="15.75" customHeight="1"/>
    <row r="22330" ht="15.75" customHeight="1"/>
    <row r="22331" ht="15.75" customHeight="1"/>
    <row r="22332" ht="15.75" customHeight="1"/>
    <row r="22333" ht="15.75" customHeight="1"/>
    <row r="22334" ht="15.75" customHeight="1"/>
    <row r="22335" ht="15.75" customHeight="1"/>
    <row r="22336" ht="15.75" customHeight="1"/>
    <row r="22337" ht="15.75" customHeight="1"/>
    <row r="22338" ht="15.75" customHeight="1"/>
    <row r="22339" ht="15.75" customHeight="1"/>
    <row r="22340" ht="15.75" customHeight="1"/>
    <row r="22341" ht="15.75" customHeight="1"/>
    <row r="22342" ht="15.75" customHeight="1"/>
    <row r="22343" ht="15.75" customHeight="1"/>
    <row r="22344" ht="15.75" customHeight="1"/>
    <row r="22345" ht="15.75" customHeight="1"/>
    <row r="22346" ht="15.75" customHeight="1"/>
    <row r="22347" ht="15.75" customHeight="1"/>
    <row r="22348" ht="15.75" customHeight="1"/>
    <row r="22349" ht="15.75" customHeight="1"/>
    <row r="22350" ht="15.75" customHeight="1"/>
    <row r="22351" ht="15.75" customHeight="1"/>
    <row r="22352" ht="15.75" customHeight="1"/>
    <row r="22353" ht="15.75" customHeight="1"/>
    <row r="22354" ht="15.75" customHeight="1"/>
    <row r="22355" ht="15.75" customHeight="1"/>
    <row r="22356" ht="15.75" customHeight="1"/>
    <row r="22357" ht="15.75" customHeight="1"/>
    <row r="22358" ht="15.75" customHeight="1"/>
    <row r="22359" ht="15.75" customHeight="1"/>
    <row r="22360" ht="15.75" customHeight="1"/>
    <row r="22361" ht="15.75" customHeight="1"/>
    <row r="22362" ht="15.75" customHeight="1"/>
    <row r="22363" ht="15.75" customHeight="1"/>
    <row r="22364" ht="15.75" customHeight="1"/>
    <row r="22365" ht="15.75" customHeight="1"/>
    <row r="22366" ht="15.75" customHeight="1"/>
    <row r="22367" ht="15.75" customHeight="1"/>
    <row r="22368" ht="15.75" customHeight="1"/>
    <row r="22369" ht="15.75" customHeight="1"/>
    <row r="22370" ht="15.75" customHeight="1"/>
    <row r="22371" ht="15.75" customHeight="1"/>
    <row r="22372" ht="15.75" customHeight="1"/>
    <row r="22373" ht="15.75" customHeight="1"/>
    <row r="22374" ht="15.75" customHeight="1"/>
    <row r="22375" ht="15.75" customHeight="1"/>
    <row r="22376" ht="15.75" customHeight="1"/>
    <row r="22377" ht="15.75" customHeight="1"/>
    <row r="22378" ht="15.75" customHeight="1"/>
    <row r="22379" ht="15.75" customHeight="1"/>
    <row r="22380" ht="15.75" customHeight="1"/>
    <row r="22381" ht="15.75" customHeight="1"/>
    <row r="22382" ht="15.75" customHeight="1"/>
    <row r="22383" ht="15.75" customHeight="1"/>
    <row r="22384" ht="15.75" customHeight="1"/>
    <row r="22385" ht="15.75" customHeight="1"/>
    <row r="22386" ht="15.75" customHeight="1"/>
    <row r="22387" ht="15.75" customHeight="1"/>
    <row r="22388" ht="15.75" customHeight="1"/>
    <row r="22389" ht="15.75" customHeight="1"/>
    <row r="22390" ht="15.75" customHeight="1"/>
    <row r="22391" ht="15.75" customHeight="1"/>
    <row r="22392" ht="15.75" customHeight="1"/>
    <row r="22393" ht="15.75" customHeight="1"/>
    <row r="22394" ht="15.75" customHeight="1"/>
    <row r="22395" ht="15.75" customHeight="1"/>
    <row r="22396" ht="15.75" customHeight="1"/>
    <row r="22397" ht="15.75" customHeight="1"/>
    <row r="22398" ht="15.75" customHeight="1"/>
    <row r="22399" ht="15.75" customHeight="1"/>
    <row r="22400" ht="15.75" customHeight="1"/>
    <row r="22401" ht="15.75" customHeight="1"/>
    <row r="22402" ht="15.75" customHeight="1"/>
    <row r="22403" ht="15.75" customHeight="1"/>
    <row r="22404" ht="15.75" customHeight="1"/>
    <row r="22405" ht="15.75" customHeight="1"/>
    <row r="22406" ht="15.75" customHeight="1"/>
    <row r="22407" ht="15.75" customHeight="1"/>
    <row r="22408" ht="15.75" customHeight="1"/>
    <row r="22409" ht="15.75" customHeight="1"/>
    <row r="22410" ht="15.75" customHeight="1"/>
    <row r="22411" ht="15.75" customHeight="1"/>
    <row r="22412" ht="15.75" customHeight="1"/>
    <row r="22413" ht="15.75" customHeight="1"/>
    <row r="22414" ht="15.75" customHeight="1"/>
    <row r="22415" ht="15.75" customHeight="1"/>
    <row r="22416" ht="15.75" customHeight="1"/>
    <row r="22417" ht="15.75" customHeight="1"/>
    <row r="22418" ht="15.75" customHeight="1"/>
    <row r="22419" ht="15.75" customHeight="1"/>
    <row r="22420" ht="15.75" customHeight="1"/>
    <row r="22421" ht="15.75" customHeight="1"/>
    <row r="22422" ht="15.75" customHeight="1"/>
    <row r="22423" ht="15.75" customHeight="1"/>
    <row r="22424" ht="15.75" customHeight="1"/>
    <row r="22425" ht="15.75" customHeight="1"/>
    <row r="22426" ht="15.75" customHeight="1"/>
    <row r="22427" ht="15.75" customHeight="1"/>
    <row r="22428" ht="15.75" customHeight="1"/>
    <row r="22429" ht="15.75" customHeight="1"/>
    <row r="22430" ht="15.75" customHeight="1"/>
    <row r="22431" ht="15.75" customHeight="1"/>
    <row r="22432" ht="15.75" customHeight="1"/>
    <row r="22433" ht="15.75" customHeight="1"/>
    <row r="22434" ht="15.75" customHeight="1"/>
    <row r="22435" ht="15.75" customHeight="1"/>
    <row r="22436" ht="15.75" customHeight="1"/>
    <row r="22437" ht="15.75" customHeight="1"/>
    <row r="22438" ht="15.75" customHeight="1"/>
    <row r="22439" ht="15.75" customHeight="1"/>
    <row r="22440" ht="15.75" customHeight="1"/>
    <row r="22441" ht="15.75" customHeight="1"/>
    <row r="22442" ht="15.75" customHeight="1"/>
    <row r="22443" ht="15.75" customHeight="1"/>
    <row r="22444" ht="15.75" customHeight="1"/>
    <row r="22445" ht="15.75" customHeight="1"/>
    <row r="22446" ht="15.75" customHeight="1"/>
    <row r="22447" ht="15.75" customHeight="1"/>
    <row r="22448" ht="15.75" customHeight="1"/>
    <row r="22449" ht="15.75" customHeight="1"/>
    <row r="22450" ht="15.75" customHeight="1"/>
    <row r="22451" ht="15.75" customHeight="1"/>
    <row r="22452" ht="15.75" customHeight="1"/>
    <row r="22453" ht="15.75" customHeight="1"/>
    <row r="22454" ht="15.75" customHeight="1"/>
    <row r="22455" ht="15.75" customHeight="1"/>
    <row r="22456" ht="15.75" customHeight="1"/>
    <row r="22457" ht="15.75" customHeight="1"/>
    <row r="22458" ht="15.75" customHeight="1"/>
    <row r="22459" ht="15.75" customHeight="1"/>
    <row r="22460" ht="15.75" customHeight="1"/>
    <row r="22461" ht="15.75" customHeight="1"/>
    <row r="22462" ht="15.75" customHeight="1"/>
    <row r="22463" ht="15.75" customHeight="1"/>
    <row r="22464" ht="15.75" customHeight="1"/>
    <row r="22465" ht="15.75" customHeight="1"/>
    <row r="22466" ht="15.75" customHeight="1"/>
    <row r="22467" ht="15.75" customHeight="1"/>
    <row r="22468" ht="15.75" customHeight="1"/>
    <row r="22469" ht="15.75" customHeight="1"/>
    <row r="22470" ht="15.75" customHeight="1"/>
    <row r="22471" ht="15.75" customHeight="1"/>
    <row r="22472" ht="15.75" customHeight="1"/>
    <row r="22473" ht="15.75" customHeight="1"/>
    <row r="22474" ht="15.75" customHeight="1"/>
    <row r="22475" ht="15.75" customHeight="1"/>
    <row r="22476" ht="15.75" customHeight="1"/>
    <row r="22477" ht="15.75" customHeight="1"/>
    <row r="22478" ht="15.75" customHeight="1"/>
    <row r="22479" ht="15.75" customHeight="1"/>
    <row r="22480" ht="15.75" customHeight="1"/>
    <row r="22481" ht="15.75" customHeight="1"/>
    <row r="22482" ht="15.75" customHeight="1"/>
    <row r="22483" ht="15.75" customHeight="1"/>
    <row r="22484" ht="15.75" customHeight="1"/>
    <row r="22485" ht="15.75" customHeight="1"/>
    <row r="22486" ht="15.75" customHeight="1"/>
    <row r="22487" ht="15.75" customHeight="1"/>
    <row r="22488" ht="15.75" customHeight="1"/>
    <row r="22489" ht="15.75" customHeight="1"/>
    <row r="22490" ht="15.75" customHeight="1"/>
    <row r="22491" ht="15.75" customHeight="1"/>
    <row r="22492" ht="15.75" customHeight="1"/>
    <row r="22493" ht="15.75" customHeight="1"/>
    <row r="22494" ht="15.75" customHeight="1"/>
    <row r="22495" ht="15.75" customHeight="1"/>
    <row r="22496" ht="15.75" customHeight="1"/>
    <row r="22497" ht="15.75" customHeight="1"/>
    <row r="22498" ht="15.75" customHeight="1"/>
    <row r="22499" ht="15.75" customHeight="1"/>
    <row r="22500" ht="15.75" customHeight="1"/>
    <row r="22501" ht="15.75" customHeight="1"/>
    <row r="22502" ht="15.75" customHeight="1"/>
    <row r="22503" ht="15.75" customHeight="1"/>
    <row r="22504" ht="15.75" customHeight="1"/>
    <row r="22505" ht="15.75" customHeight="1"/>
    <row r="22506" ht="15.75" customHeight="1"/>
    <row r="22507" ht="15.75" customHeight="1"/>
    <row r="22508" ht="15.75" customHeight="1"/>
    <row r="22509" ht="15.75" customHeight="1"/>
    <row r="22510" ht="15.75" customHeight="1"/>
    <row r="22511" ht="15.75" customHeight="1"/>
    <row r="22512" ht="15.75" customHeight="1"/>
    <row r="22513" ht="15.75" customHeight="1"/>
    <row r="22514" ht="15.75" customHeight="1"/>
    <row r="22515" ht="15.75" customHeight="1"/>
    <row r="22516" ht="15.75" customHeight="1"/>
    <row r="22517" ht="15.75" customHeight="1"/>
    <row r="22518" ht="15.75" customHeight="1"/>
    <row r="22519" ht="15.75" customHeight="1"/>
    <row r="22520" ht="15.75" customHeight="1"/>
    <row r="22521" ht="15.75" customHeight="1"/>
    <row r="22522" ht="15.75" customHeight="1"/>
    <row r="22523" ht="15.75" customHeight="1"/>
    <row r="22524" ht="15.75" customHeight="1"/>
    <row r="22525" ht="15.75" customHeight="1"/>
    <row r="22526" ht="15.75" customHeight="1"/>
    <row r="22527" ht="15.75" customHeight="1"/>
    <row r="22528" ht="15.75" customHeight="1"/>
    <row r="22529" ht="15.75" customHeight="1"/>
    <row r="22530" ht="15.75" customHeight="1"/>
    <row r="22531" ht="15.75" customHeight="1"/>
    <row r="22532" ht="15.75" customHeight="1"/>
    <row r="22533" ht="15.75" customHeight="1"/>
    <row r="22534" ht="15.75" customHeight="1"/>
    <row r="22535" ht="15.75" customHeight="1"/>
    <row r="22536" ht="15.75" customHeight="1"/>
    <row r="22537" ht="15.75" customHeight="1"/>
    <row r="22538" ht="15.75" customHeight="1"/>
    <row r="22539" ht="15.75" customHeight="1"/>
    <row r="22540" ht="15.75" customHeight="1"/>
    <row r="22541" ht="15.75" customHeight="1"/>
    <row r="22542" ht="15.75" customHeight="1"/>
    <row r="22543" ht="15.75" customHeight="1"/>
    <row r="22544" ht="15.75" customHeight="1"/>
    <row r="22545" ht="15.75" customHeight="1"/>
    <row r="22546" ht="15.75" customHeight="1"/>
    <row r="22547" ht="15.75" customHeight="1"/>
    <row r="22548" ht="15.75" customHeight="1"/>
    <row r="22549" ht="15.75" customHeight="1"/>
    <row r="22550" ht="15.75" customHeight="1"/>
    <row r="22551" ht="15.75" customHeight="1"/>
    <row r="22552" ht="15.75" customHeight="1"/>
    <row r="22553" ht="15.75" customHeight="1"/>
    <row r="22554" ht="15.75" customHeight="1"/>
    <row r="22555" ht="15.75" customHeight="1"/>
    <row r="22556" ht="15.75" customHeight="1"/>
    <row r="22557" ht="15.75" customHeight="1"/>
    <row r="22558" ht="15.75" customHeight="1"/>
    <row r="22559" ht="15.75" customHeight="1"/>
    <row r="22560" ht="15.75" customHeight="1"/>
    <row r="22561" ht="15.75" customHeight="1"/>
    <row r="22562" ht="15.75" customHeight="1"/>
    <row r="22563" ht="15.75" customHeight="1"/>
    <row r="22564" ht="15.75" customHeight="1"/>
    <row r="22565" ht="15.75" customHeight="1"/>
    <row r="22566" ht="15.75" customHeight="1"/>
    <row r="22567" ht="15.75" customHeight="1"/>
    <row r="22568" ht="15.75" customHeight="1"/>
    <row r="22569" ht="15.75" customHeight="1"/>
    <row r="22570" ht="15.75" customHeight="1"/>
    <row r="22571" ht="15.75" customHeight="1"/>
    <row r="22572" ht="15.75" customHeight="1"/>
    <row r="22573" ht="15.75" customHeight="1"/>
    <row r="22574" ht="15.75" customHeight="1"/>
    <row r="22575" ht="15.75" customHeight="1"/>
    <row r="22576" ht="15.75" customHeight="1"/>
    <row r="22577" ht="15.75" customHeight="1"/>
    <row r="22578" ht="15.75" customHeight="1"/>
    <row r="22579" ht="15.75" customHeight="1"/>
    <row r="22580" ht="15.75" customHeight="1"/>
    <row r="22581" ht="15.75" customHeight="1"/>
    <row r="22582" ht="15.75" customHeight="1"/>
    <row r="22583" ht="15.75" customHeight="1"/>
    <row r="22584" ht="15.75" customHeight="1"/>
    <row r="22585" ht="15.75" customHeight="1"/>
    <row r="22586" ht="15.75" customHeight="1"/>
    <row r="22587" ht="15.75" customHeight="1"/>
    <row r="22588" ht="15.75" customHeight="1"/>
    <row r="22589" ht="15.75" customHeight="1"/>
    <row r="22590" ht="15.75" customHeight="1"/>
    <row r="22591" ht="15.75" customHeight="1"/>
    <row r="22592" ht="15.75" customHeight="1"/>
    <row r="22593" ht="15.75" customHeight="1"/>
    <row r="22594" ht="15.75" customHeight="1"/>
    <row r="22595" ht="15.75" customHeight="1"/>
    <row r="22596" ht="15.75" customHeight="1"/>
    <row r="22597" ht="15.75" customHeight="1"/>
    <row r="22598" ht="15.75" customHeight="1"/>
    <row r="22599" ht="15.75" customHeight="1"/>
    <row r="22600" ht="15.75" customHeight="1"/>
    <row r="22601" ht="15.75" customHeight="1"/>
    <row r="22602" ht="15.75" customHeight="1"/>
    <row r="22603" ht="15.75" customHeight="1"/>
    <row r="22604" ht="15.75" customHeight="1"/>
    <row r="22605" ht="15.75" customHeight="1"/>
    <row r="22606" ht="15.75" customHeight="1"/>
    <row r="22607" ht="15.75" customHeight="1"/>
    <row r="22608" ht="15.75" customHeight="1"/>
    <row r="22609" ht="15.75" customHeight="1"/>
    <row r="22610" ht="15.75" customHeight="1"/>
    <row r="22611" ht="15.75" customHeight="1"/>
    <row r="22612" ht="15.75" customHeight="1"/>
    <row r="22613" ht="15.75" customHeight="1"/>
    <row r="22614" ht="15.75" customHeight="1"/>
    <row r="22615" ht="15.75" customHeight="1"/>
    <row r="22616" ht="15.75" customHeight="1"/>
    <row r="22617" ht="15.75" customHeight="1"/>
    <row r="22618" ht="15.75" customHeight="1"/>
    <row r="22619" ht="15.75" customHeight="1"/>
    <row r="22620" ht="15.75" customHeight="1"/>
    <row r="22621" ht="15.75" customHeight="1"/>
    <row r="22622" ht="15.75" customHeight="1"/>
    <row r="22623" ht="15.75" customHeight="1"/>
    <row r="22624" ht="15.75" customHeight="1"/>
    <row r="22625" ht="15.75" customHeight="1"/>
    <row r="22626" ht="15.75" customHeight="1"/>
    <row r="22627" ht="15.75" customHeight="1"/>
    <row r="22628" ht="15.75" customHeight="1"/>
    <row r="22629" ht="15.75" customHeight="1"/>
    <row r="22630" ht="15.75" customHeight="1"/>
    <row r="22631" ht="15.75" customHeight="1"/>
    <row r="22632" ht="15.75" customHeight="1"/>
    <row r="22633" ht="15.75" customHeight="1"/>
    <row r="22634" ht="15.75" customHeight="1"/>
    <row r="22635" ht="15.75" customHeight="1"/>
    <row r="22636" ht="15.75" customHeight="1"/>
    <row r="22637" ht="15.75" customHeight="1"/>
    <row r="22638" ht="15.75" customHeight="1"/>
    <row r="22639" ht="15.75" customHeight="1"/>
    <row r="22640" ht="15.75" customHeight="1"/>
    <row r="22641" ht="15.75" customHeight="1"/>
    <row r="22642" ht="15.75" customHeight="1"/>
    <row r="22643" ht="15.75" customHeight="1"/>
    <row r="22644" ht="15.75" customHeight="1"/>
    <row r="22645" ht="15.75" customHeight="1"/>
    <row r="22646" ht="15.75" customHeight="1"/>
    <row r="22647" ht="15.75" customHeight="1"/>
    <row r="22648" ht="15.75" customHeight="1"/>
    <row r="22649" ht="15.75" customHeight="1"/>
    <row r="22650" ht="15.75" customHeight="1"/>
    <row r="22651" ht="15.75" customHeight="1"/>
    <row r="22652" ht="15.75" customHeight="1"/>
    <row r="22653" ht="15.75" customHeight="1"/>
    <row r="22654" ht="15.75" customHeight="1"/>
    <row r="22655" ht="15.75" customHeight="1"/>
    <row r="22656" ht="15.75" customHeight="1"/>
    <row r="22657" ht="15.75" customHeight="1"/>
    <row r="22658" ht="15.75" customHeight="1"/>
    <row r="22659" ht="15.75" customHeight="1"/>
    <row r="22660" ht="15.75" customHeight="1"/>
    <row r="22661" ht="15.75" customHeight="1"/>
    <row r="22662" ht="15.75" customHeight="1"/>
    <row r="22663" ht="15.75" customHeight="1"/>
    <row r="22664" ht="15.75" customHeight="1"/>
    <row r="22665" ht="15.75" customHeight="1"/>
    <row r="22666" ht="15.75" customHeight="1"/>
    <row r="22667" ht="15.75" customHeight="1"/>
    <row r="22668" ht="15.75" customHeight="1"/>
    <row r="22669" ht="15.75" customHeight="1"/>
    <row r="22670" ht="15.75" customHeight="1"/>
    <row r="22671" ht="15.75" customHeight="1"/>
    <row r="22672" ht="15.75" customHeight="1"/>
    <row r="22673" ht="15.75" customHeight="1"/>
    <row r="22674" ht="15.75" customHeight="1"/>
    <row r="22675" ht="15.75" customHeight="1"/>
    <row r="22676" ht="15.75" customHeight="1"/>
    <row r="22677" ht="15.75" customHeight="1"/>
    <row r="22678" ht="15.75" customHeight="1"/>
    <row r="22679" ht="15.75" customHeight="1"/>
    <row r="22680" ht="15.75" customHeight="1"/>
    <row r="22681" ht="15.75" customHeight="1"/>
    <row r="22682" ht="15.75" customHeight="1"/>
    <row r="22683" ht="15.75" customHeight="1"/>
    <row r="22684" ht="15.75" customHeight="1"/>
    <row r="22685" ht="15.75" customHeight="1"/>
    <row r="22686" ht="15.75" customHeight="1"/>
    <row r="22687" ht="15.75" customHeight="1"/>
    <row r="22688" ht="15.75" customHeight="1"/>
    <row r="22689" ht="15.75" customHeight="1"/>
    <row r="22690" ht="15.75" customHeight="1"/>
    <row r="22691" ht="15.75" customHeight="1"/>
    <row r="22692" ht="15.75" customHeight="1"/>
    <row r="22693" ht="15.75" customHeight="1"/>
    <row r="22694" ht="15.75" customHeight="1"/>
    <row r="22695" ht="15.75" customHeight="1"/>
    <row r="22696" ht="15.75" customHeight="1"/>
    <row r="22697" ht="15.75" customHeight="1"/>
    <row r="22698" ht="15.75" customHeight="1"/>
    <row r="22699" ht="15.75" customHeight="1"/>
    <row r="22700" ht="15.75" customHeight="1"/>
    <row r="22701" ht="15.75" customHeight="1"/>
    <row r="22702" ht="15.75" customHeight="1"/>
    <row r="22703" ht="15.75" customHeight="1"/>
    <row r="22704" ht="15.75" customHeight="1"/>
    <row r="22705" ht="15.75" customHeight="1"/>
    <row r="22706" ht="15.75" customHeight="1"/>
    <row r="22707" ht="15.75" customHeight="1"/>
    <row r="22708" ht="15.75" customHeight="1"/>
    <row r="22709" ht="15.75" customHeight="1"/>
    <row r="22710" ht="15.75" customHeight="1"/>
    <row r="22711" ht="15.75" customHeight="1"/>
    <row r="22712" ht="15.75" customHeight="1"/>
    <row r="22713" ht="15.75" customHeight="1"/>
    <row r="22714" ht="15.75" customHeight="1"/>
    <row r="22715" ht="15.75" customHeight="1"/>
    <row r="22716" ht="15.75" customHeight="1"/>
    <row r="22717" ht="15.75" customHeight="1"/>
    <row r="22718" ht="15.75" customHeight="1"/>
    <row r="22719" ht="15.75" customHeight="1"/>
    <row r="22720" ht="15.75" customHeight="1"/>
    <row r="22721" ht="15.75" customHeight="1"/>
    <row r="22722" ht="15.75" customHeight="1"/>
    <row r="22723" ht="15.75" customHeight="1"/>
    <row r="22724" ht="15.75" customHeight="1"/>
    <row r="22725" ht="15.75" customHeight="1"/>
    <row r="22726" ht="15.75" customHeight="1"/>
    <row r="22727" ht="15.75" customHeight="1"/>
    <row r="22728" ht="15.75" customHeight="1"/>
    <row r="22729" ht="15.75" customHeight="1"/>
    <row r="22730" ht="15.75" customHeight="1"/>
    <row r="22731" ht="15.75" customHeight="1"/>
    <row r="22732" ht="15.75" customHeight="1"/>
    <row r="22733" ht="15.75" customHeight="1"/>
    <row r="22734" ht="15.75" customHeight="1"/>
    <row r="22735" ht="15.75" customHeight="1"/>
    <row r="22736" ht="15.75" customHeight="1"/>
    <row r="22737" ht="15.75" customHeight="1"/>
    <row r="22738" ht="15.75" customHeight="1"/>
    <row r="22739" ht="15.75" customHeight="1"/>
    <row r="22740" ht="15.75" customHeight="1"/>
    <row r="22741" ht="15.75" customHeight="1"/>
    <row r="22742" ht="15.75" customHeight="1"/>
    <row r="22743" ht="15.75" customHeight="1"/>
    <row r="22744" ht="15.75" customHeight="1"/>
    <row r="22745" ht="15.75" customHeight="1"/>
    <row r="22746" ht="15.75" customHeight="1"/>
    <row r="22747" ht="15.75" customHeight="1"/>
    <row r="22748" ht="15.75" customHeight="1"/>
    <row r="22749" ht="15.75" customHeight="1"/>
    <row r="22750" ht="15.75" customHeight="1"/>
    <row r="22751" ht="15.75" customHeight="1"/>
    <row r="22752" ht="15.75" customHeight="1"/>
    <row r="22753" ht="15.75" customHeight="1"/>
    <row r="22754" ht="15.75" customHeight="1"/>
    <row r="22755" ht="15.75" customHeight="1"/>
    <row r="22756" ht="15.75" customHeight="1"/>
    <row r="22757" ht="15.75" customHeight="1"/>
    <row r="22758" ht="15.75" customHeight="1"/>
    <row r="22759" ht="15.75" customHeight="1"/>
    <row r="22760" ht="15.75" customHeight="1"/>
    <row r="22761" ht="15.75" customHeight="1"/>
    <row r="22762" ht="15.75" customHeight="1"/>
    <row r="22763" ht="15.75" customHeight="1"/>
    <row r="22764" ht="15.75" customHeight="1"/>
    <row r="22765" ht="15.75" customHeight="1"/>
    <row r="22766" ht="15.75" customHeight="1"/>
    <row r="22767" ht="15.75" customHeight="1"/>
    <row r="22768" ht="15.75" customHeight="1"/>
    <row r="22769" ht="15.75" customHeight="1"/>
    <row r="22770" ht="15.75" customHeight="1"/>
    <row r="22771" ht="15.75" customHeight="1"/>
    <row r="22772" ht="15.75" customHeight="1"/>
    <row r="22773" ht="15.75" customHeight="1"/>
    <row r="22774" ht="15.75" customHeight="1"/>
    <row r="22775" ht="15.75" customHeight="1"/>
    <row r="22776" ht="15.75" customHeight="1"/>
    <row r="22777" ht="15.75" customHeight="1"/>
    <row r="22778" ht="15.75" customHeight="1"/>
    <row r="22779" ht="15.75" customHeight="1"/>
    <row r="22780" ht="15.75" customHeight="1"/>
    <row r="22781" ht="15.75" customHeight="1"/>
    <row r="22782" ht="15.75" customHeight="1"/>
    <row r="22783" ht="15.75" customHeight="1"/>
    <row r="22784" ht="15.75" customHeight="1"/>
    <row r="22785" ht="15.75" customHeight="1"/>
    <row r="22786" ht="15.75" customHeight="1"/>
    <row r="22787" ht="15.75" customHeight="1"/>
    <row r="22788" ht="15.75" customHeight="1"/>
    <row r="22789" ht="15.75" customHeight="1"/>
    <row r="22790" ht="15.75" customHeight="1"/>
    <row r="22791" ht="15.75" customHeight="1"/>
    <row r="22792" ht="15.75" customHeight="1"/>
    <row r="22793" ht="15.75" customHeight="1"/>
    <row r="22794" ht="15.75" customHeight="1"/>
    <row r="22795" ht="15.75" customHeight="1"/>
    <row r="22796" ht="15.75" customHeight="1"/>
    <row r="22797" ht="15.75" customHeight="1"/>
    <row r="22798" ht="15.75" customHeight="1"/>
    <row r="22799" ht="15.75" customHeight="1"/>
    <row r="22800" ht="15.75" customHeight="1"/>
    <row r="22801" ht="15.75" customHeight="1"/>
    <row r="22802" ht="15.75" customHeight="1"/>
    <row r="22803" ht="15.75" customHeight="1"/>
    <row r="22804" ht="15.75" customHeight="1"/>
    <row r="22805" ht="15.75" customHeight="1"/>
    <row r="22806" ht="15.75" customHeight="1"/>
    <row r="22807" ht="15.75" customHeight="1"/>
    <row r="22808" ht="15.75" customHeight="1"/>
    <row r="22809" ht="15.75" customHeight="1"/>
    <row r="22810" ht="15.75" customHeight="1"/>
    <row r="22811" ht="15.75" customHeight="1"/>
    <row r="22812" ht="15.75" customHeight="1"/>
    <row r="22813" ht="15.75" customHeight="1"/>
    <row r="22814" ht="15.75" customHeight="1"/>
    <row r="22815" ht="15.75" customHeight="1"/>
    <row r="22816" ht="15.75" customHeight="1"/>
    <row r="22817" ht="15.75" customHeight="1"/>
    <row r="22818" ht="15.75" customHeight="1"/>
    <row r="22819" ht="15.75" customHeight="1"/>
    <row r="22820" ht="15.75" customHeight="1"/>
    <row r="22821" ht="15.75" customHeight="1"/>
    <row r="22822" ht="15.75" customHeight="1"/>
    <row r="22823" ht="15.75" customHeight="1"/>
    <row r="22824" ht="15.75" customHeight="1"/>
    <row r="22825" ht="15.75" customHeight="1"/>
    <row r="22826" ht="15.75" customHeight="1"/>
    <row r="22827" ht="15.75" customHeight="1"/>
    <row r="22828" ht="15.75" customHeight="1"/>
    <row r="22829" ht="15.75" customHeight="1"/>
    <row r="22830" ht="15.75" customHeight="1"/>
    <row r="22831" ht="15.75" customHeight="1"/>
    <row r="22832" ht="15.75" customHeight="1"/>
    <row r="22833" ht="15.75" customHeight="1"/>
    <row r="22834" ht="15.75" customHeight="1"/>
    <row r="22835" ht="15.75" customHeight="1"/>
    <row r="22836" ht="15.75" customHeight="1"/>
    <row r="22837" ht="15.75" customHeight="1"/>
    <row r="22838" ht="15.75" customHeight="1"/>
    <row r="22839" ht="15.75" customHeight="1"/>
    <row r="22840" ht="15.75" customHeight="1"/>
    <row r="22841" ht="15.75" customHeight="1"/>
    <row r="22842" ht="15.75" customHeight="1"/>
    <row r="22843" ht="15.75" customHeight="1"/>
    <row r="22844" ht="15.75" customHeight="1"/>
    <row r="22845" ht="15.75" customHeight="1"/>
    <row r="22846" ht="15.75" customHeight="1"/>
    <row r="22847" ht="15.75" customHeight="1"/>
    <row r="22848" ht="15.75" customHeight="1"/>
    <row r="22849" ht="15.75" customHeight="1"/>
    <row r="22850" ht="15.75" customHeight="1"/>
    <row r="22851" ht="15.75" customHeight="1"/>
    <row r="22852" ht="15.75" customHeight="1"/>
    <row r="22853" ht="15.75" customHeight="1"/>
    <row r="22854" ht="15.75" customHeight="1"/>
    <row r="22855" ht="15.75" customHeight="1"/>
    <row r="22856" ht="15.75" customHeight="1"/>
    <row r="22857" ht="15.75" customHeight="1"/>
    <row r="22858" ht="15.75" customHeight="1"/>
    <row r="22859" ht="15.75" customHeight="1"/>
    <row r="22860" ht="15.75" customHeight="1"/>
    <row r="22861" ht="15.75" customHeight="1"/>
    <row r="22862" ht="15.75" customHeight="1"/>
    <row r="22863" ht="15.75" customHeight="1"/>
    <row r="22864" ht="15.75" customHeight="1"/>
    <row r="22865" ht="15.75" customHeight="1"/>
    <row r="22866" ht="15.75" customHeight="1"/>
    <row r="22867" ht="15.75" customHeight="1"/>
    <row r="22868" ht="15.75" customHeight="1"/>
    <row r="22869" ht="15.75" customHeight="1"/>
    <row r="22870" ht="15.75" customHeight="1"/>
    <row r="22871" ht="15.75" customHeight="1"/>
    <row r="22872" ht="15.75" customHeight="1"/>
    <row r="22873" ht="15.75" customHeight="1"/>
    <row r="22874" ht="15.75" customHeight="1"/>
    <row r="22875" ht="15.75" customHeight="1"/>
    <row r="22876" ht="15.75" customHeight="1"/>
    <row r="22877" ht="15.75" customHeight="1"/>
    <row r="22878" ht="15.75" customHeight="1"/>
    <row r="22879" ht="15.75" customHeight="1"/>
    <row r="22880" ht="15.75" customHeight="1"/>
    <row r="22881" ht="15.75" customHeight="1"/>
    <row r="22882" ht="15.75" customHeight="1"/>
    <row r="22883" ht="15.75" customHeight="1"/>
    <row r="22884" ht="15.75" customHeight="1"/>
    <row r="22885" ht="15.75" customHeight="1"/>
    <row r="22886" ht="15.75" customHeight="1"/>
    <row r="22887" ht="15.75" customHeight="1"/>
    <row r="22888" ht="15.75" customHeight="1"/>
    <row r="22889" ht="15.75" customHeight="1"/>
    <row r="22890" ht="15.75" customHeight="1"/>
    <row r="22891" ht="15.75" customHeight="1"/>
    <row r="22892" ht="15.75" customHeight="1"/>
    <row r="22893" ht="15.75" customHeight="1"/>
    <row r="22894" ht="15.75" customHeight="1"/>
    <row r="22895" ht="15.75" customHeight="1"/>
    <row r="22896" ht="15.75" customHeight="1"/>
    <row r="22897" ht="15.75" customHeight="1"/>
    <row r="22898" ht="15.75" customHeight="1"/>
    <row r="22899" ht="15.75" customHeight="1"/>
    <row r="22900" ht="15.75" customHeight="1"/>
    <row r="22901" ht="15.75" customHeight="1"/>
    <row r="22902" ht="15.75" customHeight="1"/>
    <row r="22903" ht="15.75" customHeight="1"/>
    <row r="22904" ht="15.75" customHeight="1"/>
    <row r="22905" ht="15.75" customHeight="1"/>
    <row r="22906" ht="15.75" customHeight="1"/>
    <row r="22907" ht="15.75" customHeight="1"/>
    <row r="22908" ht="15.75" customHeight="1"/>
    <row r="22909" ht="15.75" customHeight="1"/>
    <row r="22910" ht="15.75" customHeight="1"/>
    <row r="22911" ht="15.75" customHeight="1"/>
    <row r="22912" ht="15.75" customHeight="1"/>
    <row r="22913" ht="15.75" customHeight="1"/>
    <row r="22914" ht="15.75" customHeight="1"/>
    <row r="22915" ht="15.75" customHeight="1"/>
    <row r="22916" ht="15.75" customHeight="1"/>
    <row r="22917" ht="15.75" customHeight="1"/>
    <row r="22918" ht="15.75" customHeight="1"/>
    <row r="22919" ht="15.75" customHeight="1"/>
    <row r="22920" ht="15.75" customHeight="1"/>
    <row r="22921" ht="15.75" customHeight="1"/>
    <row r="22922" ht="15.75" customHeight="1"/>
    <row r="22923" ht="15.75" customHeight="1"/>
    <row r="22924" ht="15.75" customHeight="1"/>
    <row r="22925" ht="15.75" customHeight="1"/>
    <row r="22926" ht="15.75" customHeight="1"/>
    <row r="22927" ht="15.75" customHeight="1"/>
    <row r="22928" ht="15.75" customHeight="1"/>
    <row r="22929" ht="15.75" customHeight="1"/>
    <row r="22930" ht="15.75" customHeight="1"/>
    <row r="22931" ht="15.75" customHeight="1"/>
    <row r="22932" ht="15.75" customHeight="1"/>
    <row r="22933" ht="15.75" customHeight="1"/>
    <row r="22934" ht="15.75" customHeight="1"/>
    <row r="22935" ht="15.75" customHeight="1"/>
    <row r="22936" ht="15.75" customHeight="1"/>
    <row r="22937" ht="15.75" customHeight="1"/>
    <row r="22938" ht="15.75" customHeight="1"/>
    <row r="22939" ht="15.75" customHeight="1"/>
    <row r="22940" ht="15.75" customHeight="1"/>
    <row r="22941" ht="15.75" customHeight="1"/>
    <row r="22942" ht="15.75" customHeight="1"/>
    <row r="22943" ht="15.75" customHeight="1"/>
    <row r="22944" ht="15.75" customHeight="1"/>
    <row r="22945" ht="15.75" customHeight="1"/>
    <row r="22946" ht="15.75" customHeight="1"/>
    <row r="22947" ht="15.75" customHeight="1"/>
    <row r="22948" ht="15.75" customHeight="1"/>
    <row r="22949" ht="15.75" customHeight="1"/>
    <row r="22950" ht="15.75" customHeight="1"/>
    <row r="22951" ht="15.75" customHeight="1"/>
    <row r="22952" ht="15.75" customHeight="1"/>
    <row r="22953" ht="15.75" customHeight="1"/>
    <row r="22954" ht="15.75" customHeight="1"/>
    <row r="22955" ht="15.75" customHeight="1"/>
    <row r="22956" ht="15.75" customHeight="1"/>
    <row r="22957" ht="15.75" customHeight="1"/>
    <row r="22958" ht="15.75" customHeight="1"/>
    <row r="22959" ht="15.75" customHeight="1"/>
    <row r="22960" ht="15.75" customHeight="1"/>
    <row r="22961" ht="15.75" customHeight="1"/>
    <row r="22962" ht="15.75" customHeight="1"/>
    <row r="22963" ht="15.75" customHeight="1"/>
    <row r="22964" ht="15.75" customHeight="1"/>
    <row r="22965" ht="15.75" customHeight="1"/>
    <row r="22966" ht="15.75" customHeight="1"/>
    <row r="22967" ht="15.75" customHeight="1"/>
    <row r="22968" ht="15.75" customHeight="1"/>
    <row r="22969" ht="15.75" customHeight="1"/>
    <row r="22970" ht="15.75" customHeight="1"/>
    <row r="22971" ht="15.75" customHeight="1"/>
    <row r="22972" ht="15.75" customHeight="1"/>
    <row r="22973" ht="15.75" customHeight="1"/>
    <row r="22974" ht="15.75" customHeight="1"/>
    <row r="22975" ht="15.75" customHeight="1"/>
    <row r="22976" ht="15.75" customHeight="1"/>
    <row r="22977" ht="15.75" customHeight="1"/>
    <row r="22978" ht="15.75" customHeight="1"/>
    <row r="22979" ht="15.75" customHeight="1"/>
    <row r="22980" ht="15.75" customHeight="1"/>
    <row r="22981" ht="15.75" customHeight="1"/>
    <row r="22982" ht="15.75" customHeight="1"/>
    <row r="22983" ht="15.75" customHeight="1"/>
    <row r="22984" ht="15.75" customHeight="1"/>
    <row r="22985" ht="15.75" customHeight="1"/>
    <row r="22986" ht="15.75" customHeight="1"/>
    <row r="22987" ht="15.75" customHeight="1"/>
    <row r="22988" ht="15.75" customHeight="1"/>
    <row r="22989" ht="15.75" customHeight="1"/>
    <row r="22990" ht="15.75" customHeight="1"/>
    <row r="22991" ht="15.75" customHeight="1"/>
    <row r="22992" ht="15.75" customHeight="1"/>
    <row r="22993" ht="15.75" customHeight="1"/>
    <row r="22994" ht="15.75" customHeight="1"/>
    <row r="22995" ht="15.75" customHeight="1"/>
    <row r="22996" ht="15.75" customHeight="1"/>
    <row r="22997" ht="15.75" customHeight="1"/>
    <row r="22998" ht="15.75" customHeight="1"/>
    <row r="22999" ht="15.75" customHeight="1"/>
    <row r="23000" ht="15.75" customHeight="1"/>
    <row r="23001" ht="15.75" customHeight="1"/>
    <row r="23002" ht="15.75" customHeight="1"/>
    <row r="23003" ht="15.75" customHeight="1"/>
    <row r="23004" ht="15.75" customHeight="1"/>
    <row r="23005" ht="15.75" customHeight="1"/>
    <row r="23006" ht="15.75" customHeight="1"/>
    <row r="23007" ht="15.75" customHeight="1"/>
    <row r="23008" ht="15.75" customHeight="1"/>
    <row r="23009" ht="15.75" customHeight="1"/>
    <row r="23010" ht="15.75" customHeight="1"/>
    <row r="23011" ht="15.75" customHeight="1"/>
    <row r="23012" ht="15.75" customHeight="1"/>
    <row r="23013" ht="15.75" customHeight="1"/>
    <row r="23014" ht="15.75" customHeight="1"/>
    <row r="23015" ht="15.75" customHeight="1"/>
    <row r="23016" ht="15.75" customHeight="1"/>
    <row r="23017" ht="15.75" customHeight="1"/>
    <row r="23018" ht="15.75" customHeight="1"/>
    <row r="23019" ht="15.75" customHeight="1"/>
    <row r="23020" ht="15.75" customHeight="1"/>
    <row r="23021" ht="15.75" customHeight="1"/>
    <row r="23022" ht="15.75" customHeight="1"/>
    <row r="23023" ht="15.75" customHeight="1"/>
    <row r="23024" ht="15.75" customHeight="1"/>
    <row r="23025" ht="15.75" customHeight="1"/>
    <row r="23026" ht="15.75" customHeight="1"/>
    <row r="23027" ht="15.75" customHeight="1"/>
    <row r="23028" ht="15.75" customHeight="1"/>
    <row r="23029" ht="15.75" customHeight="1"/>
    <row r="23030" ht="15.75" customHeight="1"/>
    <row r="23031" ht="15.75" customHeight="1"/>
    <row r="23032" ht="15.75" customHeight="1"/>
    <row r="23033" ht="15.75" customHeight="1"/>
    <row r="23034" ht="15.75" customHeight="1"/>
    <row r="23035" ht="15.75" customHeight="1"/>
    <row r="23036" ht="15.75" customHeight="1"/>
    <row r="23037" ht="15.75" customHeight="1"/>
    <row r="23038" ht="15.75" customHeight="1"/>
    <row r="23039" ht="15.75" customHeight="1"/>
    <row r="23040" ht="15.75" customHeight="1"/>
    <row r="23041" ht="15.75" customHeight="1"/>
    <row r="23042" ht="15.75" customHeight="1"/>
    <row r="23043" ht="15.75" customHeight="1"/>
    <row r="23044" ht="15.75" customHeight="1"/>
    <row r="23045" ht="15.75" customHeight="1"/>
    <row r="23046" ht="15.75" customHeight="1"/>
    <row r="23047" ht="15.75" customHeight="1"/>
    <row r="23048" ht="15.75" customHeight="1"/>
    <row r="23049" ht="15.75" customHeight="1"/>
    <row r="23050" ht="15.75" customHeight="1"/>
    <row r="23051" ht="15.75" customHeight="1"/>
    <row r="23052" ht="15.75" customHeight="1"/>
    <row r="23053" ht="15.75" customHeight="1"/>
    <row r="23054" ht="15.75" customHeight="1"/>
    <row r="23055" ht="15.75" customHeight="1"/>
    <row r="23056" ht="15.75" customHeight="1"/>
    <row r="23057" ht="15.75" customHeight="1"/>
    <row r="23058" ht="15.75" customHeight="1"/>
    <row r="23059" ht="15.75" customHeight="1"/>
    <row r="23060" ht="15.75" customHeight="1"/>
    <row r="23061" ht="15.75" customHeight="1"/>
    <row r="23062" ht="15.75" customHeight="1"/>
    <row r="23063" ht="15.75" customHeight="1"/>
    <row r="23064" ht="15.75" customHeight="1"/>
    <row r="23065" ht="15.75" customHeight="1"/>
    <row r="23066" ht="15.75" customHeight="1"/>
    <row r="23067" ht="15.75" customHeight="1"/>
    <row r="23068" ht="15.75" customHeight="1"/>
    <row r="23069" ht="15.75" customHeight="1"/>
    <row r="23070" ht="15.75" customHeight="1"/>
    <row r="23071" ht="15.75" customHeight="1"/>
    <row r="23072" ht="15.75" customHeight="1"/>
    <row r="23073" ht="15.75" customHeight="1"/>
    <row r="23074" ht="15.75" customHeight="1"/>
    <row r="23075" ht="15.75" customHeight="1"/>
    <row r="23076" ht="15.75" customHeight="1"/>
    <row r="23077" ht="15.75" customHeight="1"/>
    <row r="23078" ht="15.75" customHeight="1"/>
    <row r="23079" ht="15.75" customHeight="1"/>
    <row r="23080" ht="15.75" customHeight="1"/>
    <row r="23081" ht="15.75" customHeight="1"/>
    <row r="23082" ht="15.75" customHeight="1"/>
    <row r="23083" ht="15.75" customHeight="1"/>
    <row r="23084" ht="15.75" customHeight="1"/>
    <row r="23085" ht="15.75" customHeight="1"/>
    <row r="23086" ht="15.75" customHeight="1"/>
    <row r="23087" ht="15.75" customHeight="1"/>
    <row r="23088" ht="15.75" customHeight="1"/>
    <row r="23089" ht="15.75" customHeight="1"/>
    <row r="23090" ht="15.75" customHeight="1"/>
    <row r="23091" ht="15.75" customHeight="1"/>
    <row r="23092" ht="15.75" customHeight="1"/>
    <row r="23093" ht="15.75" customHeight="1"/>
    <row r="23094" ht="15.75" customHeight="1"/>
    <row r="23095" ht="15.75" customHeight="1"/>
    <row r="23096" ht="15.75" customHeight="1"/>
    <row r="23097" ht="15.75" customHeight="1"/>
    <row r="23098" ht="15.75" customHeight="1"/>
    <row r="23099" ht="15.75" customHeight="1"/>
    <row r="23100" ht="15.75" customHeight="1"/>
    <row r="23101" ht="15.75" customHeight="1"/>
    <row r="23102" ht="15.75" customHeight="1"/>
    <row r="23103" ht="15.75" customHeight="1"/>
    <row r="23104" ht="15.75" customHeight="1"/>
    <row r="23105" ht="15.75" customHeight="1"/>
    <row r="23106" ht="15.75" customHeight="1"/>
    <row r="23107" ht="15.75" customHeight="1"/>
    <row r="23108" ht="15.75" customHeight="1"/>
    <row r="23109" ht="15.75" customHeight="1"/>
    <row r="23110" ht="15.75" customHeight="1"/>
    <row r="23111" ht="15.75" customHeight="1"/>
    <row r="23112" ht="15.75" customHeight="1"/>
    <row r="23113" ht="15.75" customHeight="1"/>
    <row r="23114" ht="15.75" customHeight="1"/>
    <row r="23115" ht="15.75" customHeight="1"/>
    <row r="23116" ht="15.75" customHeight="1"/>
    <row r="23117" ht="15.75" customHeight="1"/>
    <row r="23118" ht="15.75" customHeight="1"/>
    <row r="23119" ht="15.75" customHeight="1"/>
    <row r="23120" ht="15.75" customHeight="1"/>
    <row r="23121" ht="15.75" customHeight="1"/>
    <row r="23122" ht="15.75" customHeight="1"/>
    <row r="23123" ht="15.75" customHeight="1"/>
    <row r="23124" ht="15.75" customHeight="1"/>
    <row r="23125" ht="15.75" customHeight="1"/>
    <row r="23126" ht="15.75" customHeight="1"/>
    <row r="23127" ht="15.75" customHeight="1"/>
    <row r="23128" ht="15.75" customHeight="1"/>
    <row r="23129" ht="15.75" customHeight="1"/>
    <row r="23130" ht="15.75" customHeight="1"/>
    <row r="23131" ht="15.75" customHeight="1"/>
    <row r="23132" ht="15.75" customHeight="1"/>
    <row r="23133" ht="15.75" customHeight="1"/>
    <row r="23134" ht="15.75" customHeight="1"/>
    <row r="23135" ht="15.75" customHeight="1"/>
    <row r="23136" ht="15.75" customHeight="1"/>
    <row r="23137" ht="15.75" customHeight="1"/>
    <row r="23138" ht="15.75" customHeight="1"/>
    <row r="23139" ht="15.75" customHeight="1"/>
    <row r="23140" ht="15.75" customHeight="1"/>
    <row r="23141" ht="15.75" customHeight="1"/>
    <row r="23142" ht="15.75" customHeight="1"/>
    <row r="23143" ht="15.75" customHeight="1"/>
    <row r="23144" ht="15.75" customHeight="1"/>
    <row r="23145" ht="15.75" customHeight="1"/>
    <row r="23146" ht="15.75" customHeight="1"/>
    <row r="23147" ht="15.75" customHeight="1"/>
    <row r="23148" ht="15.75" customHeight="1"/>
    <row r="23149" ht="15.75" customHeight="1"/>
    <row r="23150" ht="15.75" customHeight="1"/>
    <row r="23151" ht="15.75" customHeight="1"/>
    <row r="23152" ht="15.75" customHeight="1"/>
    <row r="23153" ht="15.75" customHeight="1"/>
    <row r="23154" ht="15.75" customHeight="1"/>
    <row r="23155" ht="15.75" customHeight="1"/>
    <row r="23156" ht="15.75" customHeight="1"/>
    <row r="23157" ht="15.75" customHeight="1"/>
    <row r="23158" ht="15.75" customHeight="1"/>
    <row r="23159" ht="15.75" customHeight="1"/>
    <row r="23160" ht="15.75" customHeight="1"/>
    <row r="23161" ht="15.75" customHeight="1"/>
    <row r="23162" ht="15.75" customHeight="1"/>
    <row r="23163" ht="15.75" customHeight="1"/>
    <row r="23164" ht="15.75" customHeight="1"/>
    <row r="23165" ht="15.75" customHeight="1"/>
    <row r="23166" ht="15.75" customHeight="1"/>
    <row r="23167" ht="15.75" customHeight="1"/>
    <row r="23168" ht="15.75" customHeight="1"/>
    <row r="23169" ht="15.75" customHeight="1"/>
    <row r="23170" ht="15.75" customHeight="1"/>
    <row r="23171" ht="15.75" customHeight="1"/>
    <row r="23172" ht="15.75" customHeight="1"/>
    <row r="23173" ht="15.75" customHeight="1"/>
    <row r="23174" ht="15.75" customHeight="1"/>
    <row r="23175" ht="15.75" customHeight="1"/>
    <row r="23176" ht="15.75" customHeight="1"/>
    <row r="23177" ht="15.75" customHeight="1"/>
    <row r="23178" ht="15.75" customHeight="1"/>
    <row r="23179" ht="15.75" customHeight="1"/>
    <row r="23180" ht="15.75" customHeight="1"/>
    <row r="23181" ht="15.75" customHeight="1"/>
    <row r="23182" ht="15.75" customHeight="1"/>
    <row r="23183" ht="15.75" customHeight="1"/>
    <row r="23184" ht="15.75" customHeight="1"/>
    <row r="23185" ht="15.75" customHeight="1"/>
    <row r="23186" ht="15.75" customHeight="1"/>
    <row r="23187" ht="15.75" customHeight="1"/>
    <row r="23188" ht="15.75" customHeight="1"/>
    <row r="23189" ht="15.75" customHeight="1"/>
    <row r="23190" ht="15.75" customHeight="1"/>
    <row r="23191" ht="15.75" customHeight="1"/>
    <row r="23192" ht="15.75" customHeight="1"/>
    <row r="23193" ht="15.75" customHeight="1"/>
    <row r="23194" ht="15.75" customHeight="1"/>
    <row r="23195" ht="15.75" customHeight="1"/>
    <row r="23196" ht="15.75" customHeight="1"/>
    <row r="23197" ht="15.75" customHeight="1"/>
    <row r="23198" ht="15.75" customHeight="1"/>
    <row r="23199" ht="15.75" customHeight="1"/>
    <row r="23200" ht="15.75" customHeight="1"/>
    <row r="23201" ht="15.75" customHeight="1"/>
    <row r="23202" ht="15.75" customHeight="1"/>
    <row r="23203" ht="15.75" customHeight="1"/>
    <row r="23204" ht="15.75" customHeight="1"/>
    <row r="23205" ht="15.75" customHeight="1"/>
    <row r="23206" ht="15.75" customHeight="1"/>
    <row r="23207" ht="15.75" customHeight="1"/>
    <row r="23208" ht="15.75" customHeight="1"/>
    <row r="23209" ht="15.75" customHeight="1"/>
    <row r="23210" ht="15.75" customHeight="1"/>
    <row r="23211" ht="15.75" customHeight="1"/>
    <row r="23212" ht="15.75" customHeight="1"/>
    <row r="23213" ht="15.75" customHeight="1"/>
    <row r="23214" ht="15.75" customHeight="1"/>
    <row r="23215" ht="15.75" customHeight="1"/>
    <row r="23216" ht="15.75" customHeight="1"/>
    <row r="23217" ht="15.75" customHeight="1"/>
    <row r="23218" ht="15.75" customHeight="1"/>
    <row r="23219" ht="15.75" customHeight="1"/>
    <row r="23220" ht="15.75" customHeight="1"/>
    <row r="23221" ht="15.75" customHeight="1"/>
    <row r="23222" ht="15.75" customHeight="1"/>
    <row r="23223" ht="15.75" customHeight="1"/>
    <row r="23224" ht="15.75" customHeight="1"/>
    <row r="23225" ht="15.75" customHeight="1"/>
    <row r="23226" ht="15.75" customHeight="1"/>
    <row r="23227" ht="15.75" customHeight="1"/>
    <row r="23228" ht="15.75" customHeight="1"/>
    <row r="23229" ht="15.75" customHeight="1"/>
    <row r="23230" ht="15.75" customHeight="1"/>
    <row r="23231" ht="15.75" customHeight="1"/>
    <row r="23232" ht="15.75" customHeight="1"/>
    <row r="23233" ht="15.75" customHeight="1"/>
    <row r="23234" ht="15.75" customHeight="1"/>
    <row r="23235" ht="15.75" customHeight="1"/>
    <row r="23236" ht="15.75" customHeight="1"/>
    <row r="23237" ht="15.75" customHeight="1"/>
    <row r="23238" ht="15.75" customHeight="1"/>
    <row r="23239" ht="15.75" customHeight="1"/>
    <row r="23240" ht="15.75" customHeight="1"/>
    <row r="23241" ht="15.75" customHeight="1"/>
    <row r="23242" ht="15.75" customHeight="1"/>
    <row r="23243" ht="15.75" customHeight="1"/>
    <row r="23244" ht="15.75" customHeight="1"/>
    <row r="23245" ht="15.75" customHeight="1"/>
    <row r="23246" ht="15.75" customHeight="1"/>
    <row r="23247" ht="15.75" customHeight="1"/>
    <row r="23248" ht="15.75" customHeight="1"/>
    <row r="23249" ht="15.75" customHeight="1"/>
    <row r="23250" ht="15.75" customHeight="1"/>
    <row r="23251" ht="15.75" customHeight="1"/>
    <row r="23252" ht="15.75" customHeight="1"/>
    <row r="23253" ht="15.75" customHeight="1"/>
    <row r="23254" ht="15.75" customHeight="1"/>
    <row r="23255" ht="15.75" customHeight="1"/>
    <row r="23256" ht="15.75" customHeight="1"/>
    <row r="23257" ht="15.75" customHeight="1"/>
    <row r="23258" ht="15.75" customHeight="1"/>
    <row r="23259" ht="15.75" customHeight="1"/>
    <row r="23260" ht="15.75" customHeight="1"/>
    <row r="23261" ht="15.75" customHeight="1"/>
    <row r="23262" ht="15.75" customHeight="1"/>
    <row r="23263" ht="15.75" customHeight="1"/>
    <row r="23264" ht="15.75" customHeight="1"/>
    <row r="23265" ht="15.75" customHeight="1"/>
    <row r="23266" ht="15.75" customHeight="1"/>
    <row r="23267" ht="15.75" customHeight="1"/>
    <row r="23268" ht="15.75" customHeight="1"/>
    <row r="23269" ht="15.75" customHeight="1"/>
    <row r="23270" ht="15.75" customHeight="1"/>
    <row r="23271" ht="15.75" customHeight="1"/>
    <row r="23272" ht="15.75" customHeight="1"/>
    <row r="23273" ht="15.75" customHeight="1"/>
    <row r="23274" ht="15.75" customHeight="1"/>
    <row r="23275" ht="15.75" customHeight="1"/>
    <row r="23276" ht="15.75" customHeight="1"/>
    <row r="23277" ht="15.75" customHeight="1"/>
    <row r="23278" ht="15.75" customHeight="1"/>
    <row r="23279" ht="15.75" customHeight="1"/>
    <row r="23280" ht="15.75" customHeight="1"/>
    <row r="23281" ht="15.75" customHeight="1"/>
    <row r="23282" ht="15.75" customHeight="1"/>
    <row r="23283" ht="15.75" customHeight="1"/>
    <row r="23284" ht="15.75" customHeight="1"/>
    <row r="23285" ht="15.75" customHeight="1"/>
    <row r="23286" ht="15.75" customHeight="1"/>
    <row r="23287" ht="15.75" customHeight="1"/>
    <row r="23288" ht="15.75" customHeight="1"/>
    <row r="23289" ht="15.75" customHeight="1"/>
    <row r="23290" ht="15.75" customHeight="1"/>
    <row r="23291" ht="15.75" customHeight="1"/>
    <row r="23292" ht="15.75" customHeight="1"/>
    <row r="23293" ht="15.75" customHeight="1"/>
    <row r="23294" ht="15.75" customHeight="1"/>
    <row r="23295" ht="15.75" customHeight="1"/>
    <row r="23296" ht="15.75" customHeight="1"/>
    <row r="23297" ht="15.75" customHeight="1"/>
    <row r="23298" ht="15.75" customHeight="1"/>
    <row r="23299" ht="15.75" customHeight="1"/>
    <row r="23300" ht="15.75" customHeight="1"/>
    <row r="23301" ht="15.75" customHeight="1"/>
    <row r="23302" ht="15.75" customHeight="1"/>
    <row r="23303" ht="15.75" customHeight="1"/>
    <row r="23304" ht="15.75" customHeight="1"/>
    <row r="23305" ht="15.75" customHeight="1"/>
    <row r="23306" ht="15.75" customHeight="1"/>
    <row r="23307" ht="15.75" customHeight="1"/>
    <row r="23308" ht="15.75" customHeight="1"/>
    <row r="23309" ht="15.75" customHeight="1"/>
    <row r="23310" ht="15.75" customHeight="1"/>
    <row r="23311" ht="15.75" customHeight="1"/>
    <row r="23312" ht="15.75" customHeight="1"/>
    <row r="23313" ht="15.75" customHeight="1"/>
    <row r="23314" ht="15.75" customHeight="1"/>
    <row r="23315" ht="15.75" customHeight="1"/>
    <row r="23316" ht="15.75" customHeight="1"/>
    <row r="23317" ht="15.75" customHeight="1"/>
    <row r="23318" ht="15.75" customHeight="1"/>
    <row r="23319" ht="15.75" customHeight="1"/>
    <row r="23320" ht="15.75" customHeight="1"/>
    <row r="23321" ht="15.75" customHeight="1"/>
    <row r="23322" ht="15.75" customHeight="1"/>
    <row r="23323" ht="15.75" customHeight="1"/>
    <row r="23324" ht="15.75" customHeight="1"/>
    <row r="23325" ht="15.75" customHeight="1"/>
    <row r="23326" ht="15.75" customHeight="1"/>
    <row r="23327" ht="15.75" customHeight="1"/>
    <row r="23328" ht="15.75" customHeight="1"/>
    <row r="23329" ht="15.75" customHeight="1"/>
    <row r="23330" ht="15.75" customHeight="1"/>
    <row r="23331" ht="15.75" customHeight="1"/>
    <row r="23332" ht="15.75" customHeight="1"/>
    <row r="23333" ht="15.75" customHeight="1"/>
    <row r="23334" ht="15.75" customHeight="1"/>
    <row r="23335" ht="15.75" customHeight="1"/>
    <row r="23336" ht="15.75" customHeight="1"/>
    <row r="23337" ht="15.75" customHeight="1"/>
    <row r="23338" ht="15.75" customHeight="1"/>
    <row r="23339" ht="15.75" customHeight="1"/>
    <row r="23340" ht="15.75" customHeight="1"/>
    <row r="23341" ht="15.75" customHeight="1"/>
    <row r="23342" ht="15.75" customHeight="1"/>
    <row r="23343" ht="15.75" customHeight="1"/>
    <row r="23344" ht="15.75" customHeight="1"/>
    <row r="23345" ht="15.75" customHeight="1"/>
    <row r="23346" ht="15.75" customHeight="1"/>
    <row r="23347" ht="15.75" customHeight="1"/>
    <row r="23348" ht="15.75" customHeight="1"/>
    <row r="23349" ht="15.75" customHeight="1"/>
    <row r="23350" ht="15.75" customHeight="1"/>
    <row r="23351" ht="15.75" customHeight="1"/>
    <row r="23352" ht="15.75" customHeight="1"/>
    <row r="23353" ht="15.75" customHeight="1"/>
    <row r="23354" ht="15.75" customHeight="1"/>
    <row r="23355" ht="15.75" customHeight="1"/>
    <row r="23356" ht="15.75" customHeight="1"/>
    <row r="23357" ht="15.75" customHeight="1"/>
    <row r="23358" ht="15.75" customHeight="1"/>
    <row r="23359" ht="15.75" customHeight="1"/>
    <row r="23360" ht="15.75" customHeight="1"/>
    <row r="23361" ht="15.75" customHeight="1"/>
    <row r="23362" ht="15.75" customHeight="1"/>
    <row r="23363" ht="15.75" customHeight="1"/>
    <row r="23364" ht="15.75" customHeight="1"/>
    <row r="23365" ht="15.75" customHeight="1"/>
    <row r="23366" ht="15.75" customHeight="1"/>
    <row r="23367" ht="15.75" customHeight="1"/>
    <row r="23368" ht="15.75" customHeight="1"/>
    <row r="23369" ht="15.75" customHeight="1"/>
    <row r="23370" ht="15.75" customHeight="1"/>
    <row r="23371" ht="15.75" customHeight="1"/>
    <row r="23372" ht="15.75" customHeight="1"/>
    <row r="23373" ht="15.75" customHeight="1"/>
    <row r="23374" ht="15.75" customHeight="1"/>
    <row r="23375" ht="15.75" customHeight="1"/>
    <row r="23376" ht="15.75" customHeight="1"/>
    <row r="23377" ht="15.75" customHeight="1"/>
    <row r="23378" ht="15.75" customHeight="1"/>
    <row r="23379" ht="15.75" customHeight="1"/>
    <row r="23380" ht="15.75" customHeight="1"/>
    <row r="23381" ht="15.75" customHeight="1"/>
    <row r="23382" ht="15.75" customHeight="1"/>
    <row r="23383" ht="15.75" customHeight="1"/>
    <row r="23384" ht="15.75" customHeight="1"/>
    <row r="23385" ht="15.75" customHeight="1"/>
    <row r="23386" ht="15.75" customHeight="1"/>
    <row r="23387" ht="15.75" customHeight="1"/>
    <row r="23388" ht="15.75" customHeight="1"/>
    <row r="23389" ht="15.75" customHeight="1"/>
    <row r="23390" ht="15.75" customHeight="1"/>
    <row r="23391" ht="15.75" customHeight="1"/>
    <row r="23392" ht="15.75" customHeight="1"/>
    <row r="23393" ht="15.75" customHeight="1"/>
    <row r="23394" ht="15.75" customHeight="1"/>
    <row r="23395" ht="15.75" customHeight="1"/>
    <row r="23396" ht="15.75" customHeight="1"/>
    <row r="23397" ht="15.75" customHeight="1"/>
    <row r="23398" ht="15.75" customHeight="1"/>
    <row r="23399" ht="15.75" customHeight="1"/>
    <row r="23400" ht="15.75" customHeight="1"/>
    <row r="23401" ht="15.75" customHeight="1"/>
    <row r="23402" ht="15.75" customHeight="1"/>
    <row r="23403" ht="15.75" customHeight="1"/>
    <row r="23404" ht="15.75" customHeight="1"/>
    <row r="23405" ht="15.75" customHeight="1"/>
    <row r="23406" ht="15.75" customHeight="1"/>
    <row r="23407" ht="15.75" customHeight="1"/>
    <row r="23408" ht="15.75" customHeight="1"/>
    <row r="23409" ht="15.75" customHeight="1"/>
    <row r="23410" ht="15.75" customHeight="1"/>
    <row r="23411" ht="15.75" customHeight="1"/>
    <row r="23412" ht="15.75" customHeight="1"/>
    <row r="23413" ht="15.75" customHeight="1"/>
    <row r="23414" ht="15.75" customHeight="1"/>
    <row r="23415" ht="15.75" customHeight="1"/>
    <row r="23416" ht="15.75" customHeight="1"/>
    <row r="23417" ht="15.75" customHeight="1"/>
    <row r="23418" ht="15.75" customHeight="1"/>
    <row r="23419" ht="15.75" customHeight="1"/>
    <row r="23420" ht="15.75" customHeight="1"/>
    <row r="23421" ht="15.75" customHeight="1"/>
    <row r="23422" ht="15.75" customHeight="1"/>
    <row r="23423" ht="15.75" customHeight="1"/>
    <row r="23424" ht="15.75" customHeight="1"/>
    <row r="23425" ht="15.75" customHeight="1"/>
    <row r="23426" ht="15.75" customHeight="1"/>
    <row r="23427" ht="15.75" customHeight="1"/>
    <row r="23428" ht="15.75" customHeight="1"/>
    <row r="23429" ht="15.75" customHeight="1"/>
    <row r="23430" ht="15.75" customHeight="1"/>
    <row r="23431" ht="15.75" customHeight="1"/>
    <row r="23432" ht="15.75" customHeight="1"/>
    <row r="23433" ht="15.75" customHeight="1"/>
    <row r="23434" ht="15.75" customHeight="1"/>
    <row r="23435" ht="15.75" customHeight="1"/>
    <row r="23436" ht="15.75" customHeight="1"/>
    <row r="23437" ht="15.75" customHeight="1"/>
    <row r="23438" ht="15.75" customHeight="1"/>
    <row r="23439" ht="15.75" customHeight="1"/>
    <row r="23440" ht="15.75" customHeight="1"/>
    <row r="23441" ht="15.75" customHeight="1"/>
    <row r="23442" ht="15.75" customHeight="1"/>
    <row r="23443" ht="15.75" customHeight="1"/>
    <row r="23444" ht="15.75" customHeight="1"/>
    <row r="23445" ht="15.75" customHeight="1"/>
    <row r="23446" ht="15.75" customHeight="1"/>
    <row r="23447" ht="15.75" customHeight="1"/>
    <row r="23448" ht="15.75" customHeight="1"/>
    <row r="23449" ht="15.75" customHeight="1"/>
    <row r="23450" ht="15.75" customHeight="1"/>
    <row r="23451" ht="15.75" customHeight="1"/>
    <row r="23452" ht="15.75" customHeight="1"/>
    <row r="23453" ht="15.75" customHeight="1"/>
    <row r="23454" ht="15.75" customHeight="1"/>
    <row r="23455" ht="15.75" customHeight="1"/>
    <row r="23456" ht="15.75" customHeight="1"/>
    <row r="23457" ht="15.75" customHeight="1"/>
    <row r="23458" ht="15.75" customHeight="1"/>
    <row r="23459" ht="15.75" customHeight="1"/>
    <row r="23460" ht="15.75" customHeight="1"/>
    <row r="23461" ht="15.75" customHeight="1"/>
    <row r="23462" ht="15.75" customHeight="1"/>
    <row r="23463" ht="15.75" customHeight="1"/>
    <row r="23464" ht="15.75" customHeight="1"/>
    <row r="23465" ht="15.75" customHeight="1"/>
    <row r="23466" ht="15.75" customHeight="1"/>
    <row r="23467" ht="15.75" customHeight="1"/>
    <row r="23468" ht="15.75" customHeight="1"/>
    <row r="23469" ht="15.75" customHeight="1"/>
    <row r="23470" ht="15.75" customHeight="1"/>
    <row r="23471" ht="15.75" customHeight="1"/>
    <row r="23472" ht="15.75" customHeight="1"/>
    <row r="23473" ht="15.75" customHeight="1"/>
    <row r="23474" ht="15.75" customHeight="1"/>
    <row r="23475" ht="15.75" customHeight="1"/>
    <row r="23476" ht="15.75" customHeight="1"/>
    <row r="23477" ht="15.75" customHeight="1"/>
    <row r="23478" ht="15.75" customHeight="1"/>
    <row r="23479" ht="15.75" customHeight="1"/>
    <row r="23480" ht="15.75" customHeight="1"/>
    <row r="23481" ht="15.75" customHeight="1"/>
    <row r="23482" ht="15.75" customHeight="1"/>
    <row r="23483" ht="15.75" customHeight="1"/>
    <row r="23484" ht="15.75" customHeight="1"/>
    <row r="23485" ht="15.75" customHeight="1"/>
    <row r="23486" ht="15.75" customHeight="1"/>
    <row r="23487" ht="15.75" customHeight="1"/>
    <row r="23488" ht="15.75" customHeight="1"/>
    <row r="23489" ht="15.75" customHeight="1"/>
    <row r="23490" ht="15.75" customHeight="1"/>
    <row r="23491" ht="15.75" customHeight="1"/>
    <row r="23492" ht="15.75" customHeight="1"/>
    <row r="23493" ht="15.75" customHeight="1"/>
    <row r="23494" ht="15.75" customHeight="1"/>
    <row r="23495" ht="15.75" customHeight="1"/>
    <row r="23496" ht="15.75" customHeight="1"/>
    <row r="23497" ht="15.75" customHeight="1"/>
    <row r="23498" ht="15.75" customHeight="1"/>
    <row r="23499" ht="15.75" customHeight="1"/>
    <row r="23500" ht="15.75" customHeight="1"/>
    <row r="23501" ht="15.75" customHeight="1"/>
    <row r="23502" ht="15.75" customHeight="1"/>
    <row r="23503" ht="15.75" customHeight="1"/>
    <row r="23504" ht="15.75" customHeight="1"/>
    <row r="23505" ht="15.75" customHeight="1"/>
    <row r="23506" ht="15.75" customHeight="1"/>
    <row r="23507" ht="15.75" customHeight="1"/>
    <row r="23508" ht="15.75" customHeight="1"/>
    <row r="23509" ht="15.75" customHeight="1"/>
    <row r="23510" ht="15.75" customHeight="1"/>
    <row r="23511" ht="15.75" customHeight="1"/>
    <row r="23512" ht="15.75" customHeight="1"/>
    <row r="23513" ht="15.75" customHeight="1"/>
    <row r="23514" ht="15.75" customHeight="1"/>
    <row r="23515" ht="15.75" customHeight="1"/>
    <row r="23516" ht="15.75" customHeight="1"/>
    <row r="23517" ht="15.75" customHeight="1"/>
    <row r="23518" ht="15.75" customHeight="1"/>
    <row r="23519" ht="15.75" customHeight="1"/>
    <row r="23520" ht="15.75" customHeight="1"/>
    <row r="23521" ht="15.75" customHeight="1"/>
    <row r="23522" ht="15.75" customHeight="1"/>
    <row r="23523" ht="15.75" customHeight="1"/>
    <row r="23524" ht="15.75" customHeight="1"/>
    <row r="23525" ht="15.75" customHeight="1"/>
    <row r="23526" ht="15.75" customHeight="1"/>
    <row r="23527" ht="15.75" customHeight="1"/>
    <row r="23528" ht="15.75" customHeight="1"/>
    <row r="23529" ht="15.75" customHeight="1"/>
    <row r="23530" ht="15.75" customHeight="1"/>
    <row r="23531" ht="15.75" customHeight="1"/>
    <row r="23532" ht="15.75" customHeight="1"/>
    <row r="23533" ht="15.75" customHeight="1"/>
    <row r="23534" ht="15.75" customHeight="1"/>
    <row r="23535" ht="15.75" customHeight="1"/>
    <row r="23536" ht="15.75" customHeight="1"/>
    <row r="23537" ht="15.75" customHeight="1"/>
    <row r="23538" ht="15.75" customHeight="1"/>
    <row r="23539" ht="15.75" customHeight="1"/>
    <row r="23540" ht="15.75" customHeight="1"/>
    <row r="23541" ht="15.75" customHeight="1"/>
    <row r="23542" ht="15.75" customHeight="1"/>
    <row r="23543" ht="15.75" customHeight="1"/>
    <row r="23544" ht="15.75" customHeight="1"/>
    <row r="23545" ht="15.75" customHeight="1"/>
    <row r="23546" ht="15.75" customHeight="1"/>
    <row r="23547" ht="15.75" customHeight="1"/>
    <row r="23548" ht="15.75" customHeight="1"/>
    <row r="23549" ht="15.75" customHeight="1"/>
    <row r="23550" ht="15.75" customHeight="1"/>
    <row r="23551" ht="15.75" customHeight="1"/>
    <row r="23552" ht="15.75" customHeight="1"/>
    <row r="23553" ht="15.75" customHeight="1"/>
    <row r="23554" ht="15.75" customHeight="1"/>
    <row r="23555" ht="15.75" customHeight="1"/>
    <row r="23556" ht="15.75" customHeight="1"/>
    <row r="23557" ht="15.75" customHeight="1"/>
    <row r="23558" ht="15.75" customHeight="1"/>
    <row r="23559" ht="15.75" customHeight="1"/>
    <row r="23560" ht="15.75" customHeight="1"/>
    <row r="23561" ht="15.75" customHeight="1"/>
    <row r="23562" ht="15.75" customHeight="1"/>
    <row r="23563" ht="15.75" customHeight="1"/>
    <row r="23564" ht="15.75" customHeight="1"/>
    <row r="23565" ht="15.75" customHeight="1"/>
    <row r="23566" ht="15.75" customHeight="1"/>
    <row r="23567" ht="15.75" customHeight="1"/>
    <row r="23568" ht="15.75" customHeight="1"/>
    <row r="23569" ht="15.75" customHeight="1"/>
    <row r="23570" ht="15.75" customHeight="1"/>
    <row r="23571" ht="15.75" customHeight="1"/>
    <row r="23572" ht="15.75" customHeight="1"/>
    <row r="23573" ht="15.75" customHeight="1"/>
    <row r="23574" ht="15.75" customHeight="1"/>
    <row r="23575" ht="15.75" customHeight="1"/>
    <row r="23576" ht="15.75" customHeight="1"/>
    <row r="23577" ht="15.75" customHeight="1"/>
    <row r="23578" ht="15.75" customHeight="1"/>
    <row r="23579" ht="15.75" customHeight="1"/>
    <row r="23580" ht="15.75" customHeight="1"/>
    <row r="23581" ht="15.75" customHeight="1"/>
    <row r="23582" ht="15.75" customHeight="1"/>
    <row r="23583" ht="15.75" customHeight="1"/>
    <row r="23584" ht="15.75" customHeight="1"/>
    <row r="23585" ht="15.75" customHeight="1"/>
    <row r="23586" ht="15.75" customHeight="1"/>
    <row r="23587" ht="15.75" customHeight="1"/>
    <row r="23588" ht="15.75" customHeight="1"/>
    <row r="23589" ht="15.75" customHeight="1"/>
    <row r="23590" ht="15.75" customHeight="1"/>
    <row r="23591" ht="15.75" customHeight="1"/>
    <row r="23592" ht="15.75" customHeight="1"/>
    <row r="23593" ht="15.75" customHeight="1"/>
    <row r="23594" ht="15.75" customHeight="1"/>
    <row r="23595" ht="15.75" customHeight="1"/>
    <row r="23596" ht="15.75" customHeight="1"/>
    <row r="23597" ht="15.75" customHeight="1"/>
    <row r="23598" ht="15.75" customHeight="1"/>
    <row r="23599" ht="15.75" customHeight="1"/>
    <row r="23600" ht="15.75" customHeight="1"/>
    <row r="23601" ht="15.75" customHeight="1"/>
    <row r="23602" ht="15.75" customHeight="1"/>
    <row r="23603" ht="15.75" customHeight="1"/>
    <row r="23604" ht="15.75" customHeight="1"/>
    <row r="23605" ht="15.75" customHeight="1"/>
    <row r="23606" ht="15.75" customHeight="1"/>
    <row r="23607" ht="15.75" customHeight="1"/>
    <row r="23608" ht="15.75" customHeight="1"/>
    <row r="23609" ht="15.75" customHeight="1"/>
    <row r="23610" ht="15.75" customHeight="1"/>
    <row r="23611" ht="15.75" customHeight="1"/>
    <row r="23612" ht="15.75" customHeight="1"/>
    <row r="23613" ht="15.75" customHeight="1"/>
    <row r="23614" ht="15.75" customHeight="1"/>
    <row r="23615" ht="15.75" customHeight="1"/>
    <row r="23616" ht="15.75" customHeight="1"/>
    <row r="23617" ht="15.75" customHeight="1"/>
    <row r="23618" ht="15.75" customHeight="1"/>
    <row r="23619" ht="15.75" customHeight="1"/>
    <row r="23620" ht="15.75" customHeight="1"/>
    <row r="23621" ht="15.75" customHeight="1"/>
    <row r="23622" ht="15.75" customHeight="1"/>
    <row r="23623" ht="15.75" customHeight="1"/>
    <row r="23624" ht="15.75" customHeight="1"/>
    <row r="23625" ht="15.75" customHeight="1"/>
    <row r="23626" ht="15.75" customHeight="1"/>
    <row r="23627" ht="15.75" customHeight="1"/>
    <row r="23628" ht="15.75" customHeight="1"/>
    <row r="23629" ht="15.75" customHeight="1"/>
    <row r="23630" ht="15.75" customHeight="1"/>
    <row r="23631" ht="15.75" customHeight="1"/>
    <row r="23632" ht="15.75" customHeight="1"/>
    <row r="23633" ht="15.75" customHeight="1"/>
    <row r="23634" ht="15.75" customHeight="1"/>
    <row r="23635" ht="15.75" customHeight="1"/>
    <row r="23636" ht="15.75" customHeight="1"/>
    <row r="23637" ht="15.75" customHeight="1"/>
    <row r="23638" ht="15.75" customHeight="1"/>
    <row r="23639" ht="15.75" customHeight="1"/>
    <row r="23640" ht="15.75" customHeight="1"/>
    <row r="23641" ht="15.75" customHeight="1"/>
    <row r="23642" ht="15.75" customHeight="1"/>
    <row r="23643" ht="15.75" customHeight="1"/>
    <row r="23644" ht="15.75" customHeight="1"/>
    <row r="23645" ht="15.75" customHeight="1"/>
    <row r="23646" ht="15.75" customHeight="1"/>
    <row r="23647" ht="15.75" customHeight="1"/>
    <row r="23648" ht="15.75" customHeight="1"/>
    <row r="23649" ht="15.75" customHeight="1"/>
    <row r="23650" ht="15.75" customHeight="1"/>
    <row r="23651" ht="15.75" customHeight="1"/>
    <row r="23652" ht="15.75" customHeight="1"/>
    <row r="23653" ht="15.75" customHeight="1"/>
    <row r="23654" ht="15.75" customHeight="1"/>
    <row r="23655" ht="15.75" customHeight="1"/>
    <row r="23656" ht="15.75" customHeight="1"/>
    <row r="23657" ht="15.75" customHeight="1"/>
    <row r="23658" ht="15.75" customHeight="1"/>
    <row r="23659" ht="15.75" customHeight="1"/>
    <row r="23660" ht="15.75" customHeight="1"/>
    <row r="23661" ht="15.75" customHeight="1"/>
    <row r="23662" ht="15.75" customHeight="1"/>
    <row r="23663" ht="15.75" customHeight="1"/>
    <row r="23664" ht="15.75" customHeight="1"/>
    <row r="23665" ht="15.75" customHeight="1"/>
    <row r="23666" ht="15.75" customHeight="1"/>
    <row r="23667" ht="15.75" customHeight="1"/>
    <row r="23668" ht="15.75" customHeight="1"/>
    <row r="23669" ht="15.75" customHeight="1"/>
    <row r="23670" ht="15.75" customHeight="1"/>
    <row r="23671" ht="15.75" customHeight="1"/>
    <row r="23672" ht="15.75" customHeight="1"/>
    <row r="23673" ht="15.75" customHeight="1"/>
    <row r="23674" ht="15.75" customHeight="1"/>
    <row r="23675" ht="15.75" customHeight="1"/>
    <row r="23676" ht="15.75" customHeight="1"/>
    <row r="23677" ht="15.75" customHeight="1"/>
    <row r="23678" ht="15.75" customHeight="1"/>
    <row r="23679" ht="15.75" customHeight="1"/>
    <row r="23680" ht="15.75" customHeight="1"/>
    <row r="23681" ht="15.75" customHeight="1"/>
    <row r="23682" ht="15.75" customHeight="1"/>
    <row r="23683" ht="15.75" customHeight="1"/>
    <row r="23684" ht="15.75" customHeight="1"/>
    <row r="23685" ht="15.75" customHeight="1"/>
    <row r="23686" ht="15.75" customHeight="1"/>
    <row r="23687" ht="15.75" customHeight="1"/>
    <row r="23688" ht="15.75" customHeight="1"/>
    <row r="23689" ht="15.75" customHeight="1"/>
    <row r="23690" ht="15.75" customHeight="1"/>
    <row r="23691" ht="15.75" customHeight="1"/>
    <row r="23692" ht="15.75" customHeight="1"/>
    <row r="23693" ht="15.75" customHeight="1"/>
    <row r="23694" ht="15.75" customHeight="1"/>
    <row r="23695" ht="15.75" customHeight="1"/>
    <row r="23696" ht="15.75" customHeight="1"/>
    <row r="23697" ht="15.75" customHeight="1"/>
    <row r="23698" ht="15.75" customHeight="1"/>
    <row r="23699" ht="15.75" customHeight="1"/>
    <row r="23700" ht="15.75" customHeight="1"/>
    <row r="23701" ht="15.75" customHeight="1"/>
    <row r="23702" ht="15.75" customHeight="1"/>
    <row r="23703" ht="15.75" customHeight="1"/>
    <row r="23704" ht="15.75" customHeight="1"/>
    <row r="23705" ht="15.75" customHeight="1"/>
    <row r="23706" ht="15.75" customHeight="1"/>
    <row r="23707" ht="15.75" customHeight="1"/>
    <row r="23708" ht="15.75" customHeight="1"/>
    <row r="23709" ht="15.75" customHeight="1"/>
    <row r="23710" ht="15.75" customHeight="1"/>
    <row r="23711" ht="15.75" customHeight="1"/>
    <row r="23712" ht="15.75" customHeight="1"/>
    <row r="23713" ht="15.75" customHeight="1"/>
    <row r="23714" ht="15.75" customHeight="1"/>
    <row r="23715" ht="15.75" customHeight="1"/>
    <row r="23716" ht="15.75" customHeight="1"/>
    <row r="23717" ht="15.75" customHeight="1"/>
    <row r="23718" ht="15.75" customHeight="1"/>
    <row r="23719" ht="15.75" customHeight="1"/>
    <row r="23720" ht="15.75" customHeight="1"/>
    <row r="23721" ht="15.75" customHeight="1"/>
    <row r="23722" ht="15.75" customHeight="1"/>
    <row r="23723" ht="15.75" customHeight="1"/>
    <row r="23724" ht="15.75" customHeight="1"/>
    <row r="23725" ht="15.75" customHeight="1"/>
    <row r="23726" ht="15.75" customHeight="1"/>
    <row r="23727" ht="15.75" customHeight="1"/>
    <row r="23728" ht="15.75" customHeight="1"/>
    <row r="23729" ht="15.75" customHeight="1"/>
    <row r="23730" ht="15.75" customHeight="1"/>
    <row r="23731" ht="15.75" customHeight="1"/>
    <row r="23732" ht="15.75" customHeight="1"/>
    <row r="23733" ht="15.75" customHeight="1"/>
    <row r="23734" ht="15.75" customHeight="1"/>
    <row r="23735" ht="15.75" customHeight="1"/>
    <row r="23736" ht="15.75" customHeight="1"/>
    <row r="23737" ht="15.75" customHeight="1"/>
    <row r="23738" ht="15.75" customHeight="1"/>
    <row r="23739" ht="15.75" customHeight="1"/>
    <row r="23740" ht="15.75" customHeight="1"/>
    <row r="23741" ht="15.75" customHeight="1"/>
    <row r="23742" ht="15.75" customHeight="1"/>
    <row r="23743" ht="15.75" customHeight="1"/>
    <row r="23744" ht="15.75" customHeight="1"/>
    <row r="23745" ht="15.75" customHeight="1"/>
    <row r="23746" ht="15.75" customHeight="1"/>
    <row r="23747" ht="15.75" customHeight="1"/>
    <row r="23748" ht="15.75" customHeight="1"/>
    <row r="23749" ht="15.75" customHeight="1"/>
    <row r="23750" ht="15.75" customHeight="1"/>
    <row r="23751" ht="15.75" customHeight="1"/>
    <row r="23752" ht="15.75" customHeight="1"/>
    <row r="23753" ht="15.75" customHeight="1"/>
    <row r="23754" ht="15.75" customHeight="1"/>
    <row r="23755" ht="15.75" customHeight="1"/>
    <row r="23756" ht="15.75" customHeight="1"/>
    <row r="23757" ht="15.75" customHeight="1"/>
    <row r="23758" ht="15.75" customHeight="1"/>
    <row r="23759" ht="15.75" customHeight="1"/>
    <row r="23760" ht="15.75" customHeight="1"/>
    <row r="23761" ht="15.75" customHeight="1"/>
    <row r="23762" ht="15.75" customHeight="1"/>
    <row r="23763" ht="15.75" customHeight="1"/>
    <row r="23764" ht="15.75" customHeight="1"/>
    <row r="23765" ht="15.75" customHeight="1"/>
    <row r="23766" ht="15.75" customHeight="1"/>
    <row r="23767" ht="15.75" customHeight="1"/>
    <row r="23768" ht="15.75" customHeight="1"/>
    <row r="23769" ht="15.75" customHeight="1"/>
    <row r="23770" ht="15.75" customHeight="1"/>
    <row r="23771" ht="15.75" customHeight="1"/>
    <row r="23772" ht="15.75" customHeight="1"/>
    <row r="23773" ht="15.75" customHeight="1"/>
    <row r="23774" ht="15.75" customHeight="1"/>
    <row r="23775" ht="15.75" customHeight="1"/>
    <row r="23776" ht="15.75" customHeight="1"/>
    <row r="23777" ht="15.75" customHeight="1"/>
    <row r="23778" ht="15.75" customHeight="1"/>
    <row r="23779" ht="15.75" customHeight="1"/>
    <row r="23780" ht="15.75" customHeight="1"/>
    <row r="23781" ht="15.75" customHeight="1"/>
    <row r="23782" ht="15.75" customHeight="1"/>
    <row r="23783" ht="15.75" customHeight="1"/>
    <row r="23784" ht="15.75" customHeight="1"/>
    <row r="23785" ht="15.75" customHeight="1"/>
    <row r="23786" ht="15.75" customHeight="1"/>
    <row r="23787" ht="15.75" customHeight="1"/>
    <row r="23788" ht="15.75" customHeight="1"/>
    <row r="23789" ht="15.75" customHeight="1"/>
    <row r="23790" ht="15.75" customHeight="1"/>
    <row r="23791" ht="15.75" customHeight="1"/>
    <row r="23792" ht="15.75" customHeight="1"/>
    <row r="23793" ht="15.75" customHeight="1"/>
    <row r="23794" ht="15.75" customHeight="1"/>
    <row r="23795" ht="15.75" customHeight="1"/>
    <row r="23796" ht="15.75" customHeight="1"/>
    <row r="23797" ht="15.75" customHeight="1"/>
    <row r="23798" ht="15.75" customHeight="1"/>
    <row r="23799" ht="15.75" customHeight="1"/>
    <row r="23800" ht="15.75" customHeight="1"/>
    <row r="23801" ht="15.75" customHeight="1"/>
    <row r="23802" ht="15.75" customHeight="1"/>
    <row r="23803" ht="15.75" customHeight="1"/>
    <row r="23804" ht="15.75" customHeight="1"/>
    <row r="23805" ht="15.75" customHeight="1"/>
    <row r="23806" ht="15.75" customHeight="1"/>
    <row r="23807" ht="15.75" customHeight="1"/>
    <row r="23808" ht="15.75" customHeight="1"/>
    <row r="23809" ht="15.75" customHeight="1"/>
    <row r="23810" ht="15.75" customHeight="1"/>
    <row r="23811" ht="15.75" customHeight="1"/>
    <row r="23812" ht="15.75" customHeight="1"/>
    <row r="23813" ht="15.75" customHeight="1"/>
    <row r="23814" ht="15.75" customHeight="1"/>
    <row r="23815" ht="15.75" customHeight="1"/>
    <row r="23816" ht="15.75" customHeight="1"/>
    <row r="23817" ht="15.75" customHeight="1"/>
    <row r="23818" ht="15.75" customHeight="1"/>
    <row r="23819" ht="15.75" customHeight="1"/>
    <row r="23820" ht="15.75" customHeight="1"/>
    <row r="23821" ht="15.75" customHeight="1"/>
    <row r="23822" ht="15.75" customHeight="1"/>
    <row r="23823" ht="15.75" customHeight="1"/>
    <row r="23824" ht="15.75" customHeight="1"/>
    <row r="23825" ht="15.75" customHeight="1"/>
    <row r="23826" ht="15.75" customHeight="1"/>
    <row r="23827" ht="15.75" customHeight="1"/>
    <row r="23828" ht="15.75" customHeight="1"/>
    <row r="23829" ht="15.75" customHeight="1"/>
    <row r="23830" ht="15.75" customHeight="1"/>
    <row r="23831" ht="15.75" customHeight="1"/>
    <row r="23832" ht="15.75" customHeight="1"/>
    <row r="23833" ht="15.75" customHeight="1"/>
    <row r="23834" ht="15.75" customHeight="1"/>
    <row r="23835" ht="15.75" customHeight="1"/>
    <row r="23836" ht="15.75" customHeight="1"/>
    <row r="23837" ht="15.75" customHeight="1"/>
    <row r="23838" ht="15.75" customHeight="1"/>
    <row r="23839" ht="15.75" customHeight="1"/>
    <row r="23840" ht="15.75" customHeight="1"/>
    <row r="23841" ht="15.75" customHeight="1"/>
    <row r="23842" ht="15.75" customHeight="1"/>
    <row r="23843" ht="15.75" customHeight="1"/>
    <row r="23844" ht="15.75" customHeight="1"/>
    <row r="23845" ht="15.75" customHeight="1"/>
    <row r="23846" ht="15.75" customHeight="1"/>
    <row r="23847" ht="15.75" customHeight="1"/>
    <row r="23848" ht="15.75" customHeight="1"/>
    <row r="23849" ht="15.75" customHeight="1"/>
    <row r="23850" ht="15.75" customHeight="1"/>
    <row r="23851" ht="15.75" customHeight="1"/>
    <row r="23852" ht="15.75" customHeight="1"/>
    <row r="23853" ht="15.75" customHeight="1"/>
    <row r="23854" ht="15.75" customHeight="1"/>
    <row r="23855" ht="15.75" customHeight="1"/>
    <row r="23856" ht="15.75" customHeight="1"/>
    <row r="23857" ht="15.75" customHeight="1"/>
    <row r="23858" ht="15.75" customHeight="1"/>
    <row r="23859" ht="15.75" customHeight="1"/>
    <row r="23860" ht="15.75" customHeight="1"/>
    <row r="23861" ht="15.75" customHeight="1"/>
    <row r="23862" ht="15.75" customHeight="1"/>
    <row r="23863" ht="15.75" customHeight="1"/>
    <row r="23864" ht="15.75" customHeight="1"/>
    <row r="23865" ht="15.75" customHeight="1"/>
    <row r="23866" ht="15.75" customHeight="1"/>
    <row r="23867" ht="15.75" customHeight="1"/>
    <row r="23868" ht="15.75" customHeight="1"/>
    <row r="23869" ht="15.75" customHeight="1"/>
    <row r="23870" ht="15.75" customHeight="1"/>
    <row r="23871" ht="15.75" customHeight="1"/>
    <row r="23872" ht="15.75" customHeight="1"/>
    <row r="23873" ht="15.75" customHeight="1"/>
    <row r="23874" ht="15.75" customHeight="1"/>
    <row r="23875" ht="15.75" customHeight="1"/>
    <row r="23876" ht="15.75" customHeight="1"/>
    <row r="23877" ht="15.75" customHeight="1"/>
    <row r="23878" ht="15.75" customHeight="1"/>
    <row r="23879" ht="15.75" customHeight="1"/>
    <row r="23880" ht="15.75" customHeight="1"/>
    <row r="23881" ht="15.75" customHeight="1"/>
    <row r="23882" ht="15.75" customHeight="1"/>
    <row r="23883" ht="15.75" customHeight="1"/>
    <row r="23884" ht="15.75" customHeight="1"/>
    <row r="23885" ht="15.75" customHeight="1"/>
    <row r="23886" ht="15.75" customHeight="1"/>
    <row r="23887" ht="15.75" customHeight="1"/>
    <row r="23888" ht="15.75" customHeight="1"/>
    <row r="23889" ht="15.75" customHeight="1"/>
    <row r="23890" ht="15.75" customHeight="1"/>
    <row r="23891" ht="15.75" customHeight="1"/>
    <row r="23892" ht="15.75" customHeight="1"/>
    <row r="23893" ht="15.75" customHeight="1"/>
    <row r="23894" ht="15.75" customHeight="1"/>
    <row r="23895" ht="15.75" customHeight="1"/>
    <row r="23896" ht="15.75" customHeight="1"/>
    <row r="23897" ht="15.75" customHeight="1"/>
    <row r="23898" ht="15.75" customHeight="1"/>
    <row r="23899" ht="15.75" customHeight="1"/>
    <row r="23900" ht="15.75" customHeight="1"/>
    <row r="23901" ht="15.75" customHeight="1"/>
    <row r="23902" ht="15.75" customHeight="1"/>
    <row r="23903" ht="15.75" customHeight="1"/>
    <row r="23904" ht="15.75" customHeight="1"/>
    <row r="23905" ht="15.75" customHeight="1"/>
    <row r="23906" ht="15.75" customHeight="1"/>
    <row r="23907" ht="15.75" customHeight="1"/>
    <row r="23908" ht="15.75" customHeight="1"/>
    <row r="23909" ht="15.75" customHeight="1"/>
    <row r="23910" ht="15.75" customHeight="1"/>
    <row r="23911" ht="15.75" customHeight="1"/>
    <row r="23912" ht="15.75" customHeight="1"/>
    <row r="23913" ht="15.75" customHeight="1"/>
    <row r="23914" ht="15.75" customHeight="1"/>
    <row r="23915" ht="15.75" customHeight="1"/>
    <row r="23916" ht="15.75" customHeight="1"/>
    <row r="23917" ht="15.75" customHeight="1"/>
    <row r="23918" ht="15.75" customHeight="1"/>
    <row r="23919" ht="15.75" customHeight="1"/>
    <row r="23920" ht="15.75" customHeight="1"/>
    <row r="23921" ht="15.75" customHeight="1"/>
    <row r="23922" ht="15.75" customHeight="1"/>
    <row r="23923" ht="15.75" customHeight="1"/>
    <row r="23924" ht="15.75" customHeight="1"/>
    <row r="23925" ht="15.75" customHeight="1"/>
    <row r="23926" ht="15.75" customHeight="1"/>
    <row r="23927" ht="15.75" customHeight="1"/>
    <row r="23928" ht="15.75" customHeight="1"/>
    <row r="23929" ht="15.75" customHeight="1"/>
    <row r="23930" ht="15.75" customHeight="1"/>
    <row r="23931" ht="15.75" customHeight="1"/>
    <row r="23932" ht="15.75" customHeight="1"/>
    <row r="23933" ht="15.75" customHeight="1"/>
    <row r="23934" ht="15.75" customHeight="1"/>
    <row r="23935" ht="15.75" customHeight="1"/>
    <row r="23936" ht="15.75" customHeight="1"/>
    <row r="23937" ht="15.75" customHeight="1"/>
    <row r="23938" ht="15.75" customHeight="1"/>
    <row r="23939" ht="15.75" customHeight="1"/>
    <row r="23940" ht="15.75" customHeight="1"/>
    <row r="23941" ht="15.75" customHeight="1"/>
    <row r="23942" ht="15.75" customHeight="1"/>
    <row r="23943" ht="15.75" customHeight="1"/>
    <row r="23944" ht="15.75" customHeight="1"/>
    <row r="23945" ht="15.75" customHeight="1"/>
    <row r="23946" ht="15.75" customHeight="1"/>
    <row r="23947" ht="15.75" customHeight="1"/>
    <row r="23948" ht="15.75" customHeight="1"/>
    <row r="23949" ht="15.75" customHeight="1"/>
    <row r="23950" ht="15.75" customHeight="1"/>
    <row r="23951" ht="15.75" customHeight="1"/>
    <row r="23952" ht="15.75" customHeight="1"/>
    <row r="23953" ht="15.75" customHeight="1"/>
    <row r="23954" ht="15.75" customHeight="1"/>
    <row r="23955" ht="15.75" customHeight="1"/>
    <row r="23956" ht="15.75" customHeight="1"/>
    <row r="23957" ht="15.75" customHeight="1"/>
    <row r="23958" ht="15.75" customHeight="1"/>
    <row r="23959" ht="15.75" customHeight="1"/>
    <row r="23960" ht="15.75" customHeight="1"/>
    <row r="23961" ht="15.75" customHeight="1"/>
    <row r="23962" ht="15.75" customHeight="1"/>
    <row r="23963" ht="15.75" customHeight="1"/>
    <row r="23964" ht="15.75" customHeight="1"/>
    <row r="23965" ht="15.75" customHeight="1"/>
    <row r="23966" ht="15.75" customHeight="1"/>
    <row r="23967" ht="15.75" customHeight="1"/>
    <row r="23968" ht="15.75" customHeight="1"/>
    <row r="23969" ht="15.75" customHeight="1"/>
    <row r="23970" ht="15.75" customHeight="1"/>
    <row r="23971" ht="15.75" customHeight="1"/>
    <row r="23972" ht="15.75" customHeight="1"/>
    <row r="23973" ht="15.75" customHeight="1"/>
    <row r="23974" ht="15.75" customHeight="1"/>
    <row r="23975" ht="15.75" customHeight="1"/>
    <row r="23976" ht="15.75" customHeight="1"/>
    <row r="23977" ht="15.75" customHeight="1"/>
    <row r="23978" ht="15.75" customHeight="1"/>
    <row r="23979" ht="15.75" customHeight="1"/>
    <row r="23980" ht="15.75" customHeight="1"/>
    <row r="23981" ht="15.75" customHeight="1"/>
    <row r="23982" ht="15.75" customHeight="1"/>
    <row r="23983" ht="15.75" customHeight="1"/>
    <row r="23984" ht="15.75" customHeight="1"/>
    <row r="23985" ht="15.75" customHeight="1"/>
    <row r="23986" ht="15.75" customHeight="1"/>
    <row r="23987" ht="15.75" customHeight="1"/>
    <row r="23988" ht="15.75" customHeight="1"/>
    <row r="23989" ht="15.75" customHeight="1"/>
    <row r="23990" ht="15.75" customHeight="1"/>
    <row r="23991" ht="15.75" customHeight="1"/>
    <row r="23992" ht="15.75" customHeight="1"/>
    <row r="23993" ht="15.75" customHeight="1"/>
    <row r="23994" ht="15.75" customHeight="1"/>
    <row r="23995" ht="15.75" customHeight="1"/>
    <row r="23996" ht="15.75" customHeight="1"/>
    <row r="23997" ht="15.75" customHeight="1"/>
    <row r="23998" ht="15.75" customHeight="1"/>
    <row r="23999" ht="15.75" customHeight="1"/>
    <row r="24000" ht="15.75" customHeight="1"/>
    <row r="24001" ht="15.75" customHeight="1"/>
    <row r="24002" ht="15.75" customHeight="1"/>
    <row r="24003" ht="15.75" customHeight="1"/>
    <row r="24004" ht="15.75" customHeight="1"/>
    <row r="24005" ht="15.75" customHeight="1"/>
    <row r="24006" ht="15.75" customHeight="1"/>
    <row r="24007" ht="15.75" customHeight="1"/>
    <row r="24008" ht="15.75" customHeight="1"/>
    <row r="24009" ht="15.75" customHeight="1"/>
    <row r="24010" ht="15.75" customHeight="1"/>
    <row r="24011" ht="15.75" customHeight="1"/>
    <row r="24012" ht="15.75" customHeight="1"/>
    <row r="24013" ht="15.75" customHeight="1"/>
    <row r="24014" ht="15.75" customHeight="1"/>
    <row r="24015" ht="15.75" customHeight="1"/>
    <row r="24016" ht="15.75" customHeight="1"/>
    <row r="24017" ht="15.75" customHeight="1"/>
    <row r="24018" ht="15.75" customHeight="1"/>
    <row r="24019" ht="15.75" customHeight="1"/>
    <row r="24020" ht="15.75" customHeight="1"/>
    <row r="24021" ht="15.75" customHeight="1"/>
    <row r="24022" ht="15.75" customHeight="1"/>
    <row r="24023" ht="15.75" customHeight="1"/>
    <row r="24024" ht="15.75" customHeight="1"/>
    <row r="24025" ht="15.75" customHeight="1"/>
    <row r="24026" ht="15.75" customHeight="1"/>
    <row r="24027" ht="15.75" customHeight="1"/>
    <row r="24028" ht="15.75" customHeight="1"/>
    <row r="24029" ht="15.75" customHeight="1"/>
    <row r="24030" ht="15.75" customHeight="1"/>
    <row r="24031" ht="15.75" customHeight="1"/>
    <row r="24032" ht="15.75" customHeight="1"/>
    <row r="24033" ht="15.75" customHeight="1"/>
    <row r="24034" ht="15.75" customHeight="1"/>
    <row r="24035" ht="15.75" customHeight="1"/>
    <row r="24036" ht="15.75" customHeight="1"/>
    <row r="24037" ht="15.75" customHeight="1"/>
    <row r="24038" ht="15.75" customHeight="1"/>
    <row r="24039" ht="15.75" customHeight="1"/>
    <row r="24040" ht="15.75" customHeight="1"/>
    <row r="24041" ht="15.75" customHeight="1"/>
    <row r="24042" ht="15.75" customHeight="1"/>
    <row r="24043" ht="15.75" customHeight="1"/>
    <row r="24044" ht="15.75" customHeight="1"/>
    <row r="24045" ht="15.75" customHeight="1"/>
    <row r="24046" ht="15.75" customHeight="1"/>
    <row r="24047" ht="15.75" customHeight="1"/>
    <row r="24048" ht="15.75" customHeight="1"/>
    <row r="24049" ht="15.75" customHeight="1"/>
    <row r="24050" ht="15.75" customHeight="1"/>
    <row r="24051" ht="15.75" customHeight="1"/>
    <row r="24052" ht="15.75" customHeight="1"/>
    <row r="24053" ht="15.75" customHeight="1"/>
    <row r="24054" ht="15.75" customHeight="1"/>
    <row r="24055" ht="15.75" customHeight="1"/>
    <row r="24056" ht="15.75" customHeight="1"/>
    <row r="24057" ht="15.75" customHeight="1"/>
    <row r="24058" ht="15.75" customHeight="1"/>
    <row r="24059" ht="15.75" customHeight="1"/>
    <row r="24060" ht="15.75" customHeight="1"/>
    <row r="24061" ht="15.75" customHeight="1"/>
    <row r="24062" ht="15.75" customHeight="1"/>
    <row r="24063" ht="15.75" customHeight="1"/>
    <row r="24064" ht="15.75" customHeight="1"/>
    <row r="24065" ht="15.75" customHeight="1"/>
    <row r="24066" ht="15.75" customHeight="1"/>
    <row r="24067" ht="15.75" customHeight="1"/>
    <row r="24068" ht="15.75" customHeight="1"/>
    <row r="24069" ht="15.75" customHeight="1"/>
    <row r="24070" ht="15.75" customHeight="1"/>
    <row r="24071" ht="15.75" customHeight="1"/>
    <row r="24072" ht="15.75" customHeight="1"/>
    <row r="24073" ht="15.75" customHeight="1"/>
    <row r="24074" ht="15.75" customHeight="1"/>
    <row r="24075" ht="15.75" customHeight="1"/>
    <row r="24076" ht="15.75" customHeight="1"/>
    <row r="24077" ht="15.75" customHeight="1"/>
    <row r="24078" ht="15.75" customHeight="1"/>
    <row r="24079" ht="15.75" customHeight="1"/>
    <row r="24080" ht="15.75" customHeight="1"/>
    <row r="24081" ht="15.75" customHeight="1"/>
    <row r="24082" ht="15.75" customHeight="1"/>
    <row r="24083" ht="15.75" customHeight="1"/>
    <row r="24084" ht="15.75" customHeight="1"/>
    <row r="24085" ht="15.75" customHeight="1"/>
    <row r="24086" ht="15.75" customHeight="1"/>
    <row r="24087" ht="15.75" customHeight="1"/>
    <row r="24088" ht="15.75" customHeight="1"/>
    <row r="24089" ht="15.75" customHeight="1"/>
    <row r="24090" ht="15.75" customHeight="1"/>
    <row r="24091" ht="15.75" customHeight="1"/>
    <row r="24092" ht="15.75" customHeight="1"/>
    <row r="24093" ht="15.75" customHeight="1"/>
    <row r="24094" ht="15.75" customHeight="1"/>
    <row r="24095" ht="15.75" customHeight="1"/>
    <row r="24096" ht="15.75" customHeight="1"/>
    <row r="24097" ht="15.75" customHeight="1"/>
    <row r="24098" ht="15.75" customHeight="1"/>
    <row r="24099" ht="15.75" customHeight="1"/>
    <row r="24100" ht="15.75" customHeight="1"/>
    <row r="24101" ht="15.75" customHeight="1"/>
    <row r="24102" ht="15.75" customHeight="1"/>
    <row r="24103" ht="15.75" customHeight="1"/>
    <row r="24104" ht="15.75" customHeight="1"/>
    <row r="24105" ht="15.75" customHeight="1"/>
    <row r="24106" ht="15.75" customHeight="1"/>
    <row r="24107" ht="15.75" customHeight="1"/>
    <row r="24108" ht="15.75" customHeight="1"/>
    <row r="24109" ht="15.75" customHeight="1"/>
    <row r="24110" ht="15.75" customHeight="1"/>
    <row r="24111" ht="15.75" customHeight="1"/>
    <row r="24112" ht="15.75" customHeight="1"/>
    <row r="24113" ht="15.75" customHeight="1"/>
    <row r="24114" ht="15.75" customHeight="1"/>
    <row r="24115" ht="15.75" customHeight="1"/>
    <row r="24116" ht="15.75" customHeight="1"/>
    <row r="24117" ht="15.75" customHeight="1"/>
    <row r="24118" ht="15.75" customHeight="1"/>
    <row r="24119" ht="15.75" customHeight="1"/>
    <row r="24120" ht="15.75" customHeight="1"/>
    <row r="24121" ht="15.75" customHeight="1"/>
    <row r="24122" ht="15.75" customHeight="1"/>
    <row r="24123" ht="15.75" customHeight="1"/>
    <row r="24124" ht="15.75" customHeight="1"/>
    <row r="24125" ht="15.75" customHeight="1"/>
    <row r="24126" ht="15.75" customHeight="1"/>
    <row r="24127" ht="15.75" customHeight="1"/>
    <row r="24128" ht="15.75" customHeight="1"/>
    <row r="24129" ht="15.75" customHeight="1"/>
    <row r="24130" ht="15.75" customHeight="1"/>
    <row r="24131" ht="15.75" customHeight="1"/>
    <row r="24132" ht="15.75" customHeight="1"/>
    <row r="24133" ht="15.75" customHeight="1"/>
    <row r="24134" ht="15.75" customHeight="1"/>
    <row r="24135" ht="15.75" customHeight="1"/>
    <row r="24136" ht="15.75" customHeight="1"/>
    <row r="24137" ht="15.75" customHeight="1"/>
    <row r="24138" ht="15.75" customHeight="1"/>
    <row r="24139" ht="15.75" customHeight="1"/>
    <row r="24140" ht="15.75" customHeight="1"/>
    <row r="24141" ht="15.75" customHeight="1"/>
    <row r="24142" ht="15.75" customHeight="1"/>
    <row r="24143" ht="15.75" customHeight="1"/>
    <row r="24144" ht="15.75" customHeight="1"/>
    <row r="24145" ht="15.75" customHeight="1"/>
    <row r="24146" ht="15.75" customHeight="1"/>
    <row r="24147" ht="15.75" customHeight="1"/>
    <row r="24148" ht="15.75" customHeight="1"/>
    <row r="24149" ht="15.75" customHeight="1"/>
    <row r="24150" ht="15.75" customHeight="1"/>
    <row r="24151" ht="15.75" customHeight="1"/>
    <row r="24152" ht="15.75" customHeight="1"/>
    <row r="24153" ht="15.75" customHeight="1"/>
    <row r="24154" ht="15.75" customHeight="1"/>
    <row r="24155" ht="15.75" customHeight="1"/>
    <row r="24156" ht="15.75" customHeight="1"/>
    <row r="24157" ht="15.75" customHeight="1"/>
    <row r="24158" ht="15.75" customHeight="1"/>
    <row r="24159" ht="15.75" customHeight="1"/>
    <row r="24160" ht="15.75" customHeight="1"/>
    <row r="24161" ht="15.75" customHeight="1"/>
    <row r="24162" ht="15.75" customHeight="1"/>
    <row r="24163" ht="15.75" customHeight="1"/>
    <row r="24164" ht="15.75" customHeight="1"/>
    <row r="24165" ht="15.75" customHeight="1"/>
    <row r="24166" ht="15.75" customHeight="1"/>
    <row r="24167" ht="15.75" customHeight="1"/>
    <row r="24168" ht="15.75" customHeight="1"/>
    <row r="24169" ht="15.75" customHeight="1"/>
    <row r="24170" ht="15.75" customHeight="1"/>
    <row r="24171" ht="15.75" customHeight="1"/>
    <row r="24172" ht="15.75" customHeight="1"/>
    <row r="24173" ht="15.75" customHeight="1"/>
    <row r="24174" ht="15.75" customHeight="1"/>
    <row r="24175" ht="15.75" customHeight="1"/>
    <row r="24176" ht="15.75" customHeight="1"/>
    <row r="24177" ht="15.75" customHeight="1"/>
    <row r="24178" ht="15.75" customHeight="1"/>
    <row r="24179" ht="15.75" customHeight="1"/>
    <row r="24180" ht="15.75" customHeight="1"/>
    <row r="24181" ht="15.75" customHeight="1"/>
    <row r="24182" ht="15.75" customHeight="1"/>
    <row r="24183" ht="15.75" customHeight="1"/>
    <row r="24184" ht="15.75" customHeight="1"/>
    <row r="24185" ht="15.75" customHeight="1"/>
    <row r="24186" ht="15.75" customHeight="1"/>
    <row r="24187" ht="15.75" customHeight="1"/>
    <row r="24188" ht="15.75" customHeight="1"/>
    <row r="24189" ht="15.75" customHeight="1"/>
    <row r="24190" ht="15.75" customHeight="1"/>
    <row r="24191" ht="15.75" customHeight="1"/>
    <row r="24192" ht="15.75" customHeight="1"/>
    <row r="24193" ht="15.75" customHeight="1"/>
    <row r="24194" ht="15.75" customHeight="1"/>
    <row r="24195" ht="15.75" customHeight="1"/>
    <row r="24196" ht="15.75" customHeight="1"/>
    <row r="24197" ht="15.75" customHeight="1"/>
    <row r="24198" ht="15.75" customHeight="1"/>
    <row r="24199" ht="15.75" customHeight="1"/>
    <row r="24200" ht="15.75" customHeight="1"/>
    <row r="24201" ht="15.75" customHeight="1"/>
    <row r="24202" ht="15.75" customHeight="1"/>
    <row r="24203" ht="15.75" customHeight="1"/>
    <row r="24204" ht="15.75" customHeight="1"/>
    <row r="24205" ht="15.75" customHeight="1"/>
    <row r="24206" ht="15.75" customHeight="1"/>
    <row r="24207" ht="15.75" customHeight="1"/>
    <row r="24208" ht="15.75" customHeight="1"/>
    <row r="24209" ht="15.75" customHeight="1"/>
    <row r="24210" ht="15.75" customHeight="1"/>
    <row r="24211" ht="15.75" customHeight="1"/>
    <row r="24212" ht="15.75" customHeight="1"/>
    <row r="24213" ht="15.75" customHeight="1"/>
    <row r="24214" ht="15.75" customHeight="1"/>
    <row r="24215" ht="15.75" customHeight="1"/>
    <row r="24216" ht="15.75" customHeight="1"/>
    <row r="24217" ht="15.75" customHeight="1"/>
    <row r="24218" ht="15.75" customHeight="1"/>
    <row r="24219" ht="15.75" customHeight="1"/>
    <row r="24220" ht="15.75" customHeight="1"/>
    <row r="24221" ht="15.75" customHeight="1"/>
    <row r="24222" ht="15.75" customHeight="1"/>
    <row r="24223" ht="15.75" customHeight="1"/>
    <row r="24224" ht="15.75" customHeight="1"/>
    <row r="24225" ht="15.75" customHeight="1"/>
    <row r="24226" ht="15.75" customHeight="1"/>
    <row r="24227" ht="15.75" customHeight="1"/>
    <row r="24228" ht="15.75" customHeight="1"/>
    <row r="24229" ht="15.75" customHeight="1"/>
    <row r="24230" ht="15.75" customHeight="1"/>
    <row r="24231" ht="15.75" customHeight="1"/>
    <row r="24232" ht="15.75" customHeight="1"/>
    <row r="24233" ht="15.75" customHeight="1"/>
    <row r="24234" ht="15.75" customHeight="1"/>
    <row r="24235" ht="15.75" customHeight="1"/>
    <row r="24236" ht="15.75" customHeight="1"/>
    <row r="24237" ht="15.75" customHeight="1"/>
    <row r="24238" ht="15.75" customHeight="1"/>
    <row r="24239" ht="15.75" customHeight="1"/>
    <row r="24240" ht="15.75" customHeight="1"/>
    <row r="24241" ht="15.75" customHeight="1"/>
    <row r="24242" ht="15.75" customHeight="1"/>
    <row r="24243" ht="15.75" customHeight="1"/>
    <row r="24244" ht="15.75" customHeight="1"/>
    <row r="24245" ht="15.75" customHeight="1"/>
    <row r="24246" ht="15.75" customHeight="1"/>
    <row r="24247" ht="15.75" customHeight="1"/>
    <row r="24248" ht="15.75" customHeight="1"/>
    <row r="24249" ht="15.75" customHeight="1"/>
    <row r="24250" ht="15.75" customHeight="1"/>
    <row r="24251" ht="15.75" customHeight="1"/>
    <row r="24252" ht="15.75" customHeight="1"/>
    <row r="24253" ht="15.75" customHeight="1"/>
    <row r="24254" ht="15.75" customHeight="1"/>
    <row r="24255" ht="15.75" customHeight="1"/>
    <row r="24256" ht="15.75" customHeight="1"/>
    <row r="24257" ht="15.75" customHeight="1"/>
    <row r="24258" ht="15.75" customHeight="1"/>
    <row r="24259" ht="15.75" customHeight="1"/>
    <row r="24260" ht="15.75" customHeight="1"/>
    <row r="24261" ht="15.75" customHeight="1"/>
    <row r="24262" ht="15.75" customHeight="1"/>
    <row r="24263" ht="15.75" customHeight="1"/>
    <row r="24264" ht="15.75" customHeight="1"/>
    <row r="24265" ht="15.75" customHeight="1"/>
    <row r="24266" ht="15.75" customHeight="1"/>
    <row r="24267" ht="15.75" customHeight="1"/>
    <row r="24268" ht="15.75" customHeight="1"/>
    <row r="24269" ht="15.75" customHeight="1"/>
    <row r="24270" ht="15.75" customHeight="1"/>
    <row r="24271" ht="15.75" customHeight="1"/>
    <row r="24272" ht="15.75" customHeight="1"/>
    <row r="24273" ht="15.75" customHeight="1"/>
    <row r="24274" ht="15.75" customHeight="1"/>
    <row r="24275" ht="15.75" customHeight="1"/>
    <row r="24276" ht="15.75" customHeight="1"/>
    <row r="24277" ht="15.75" customHeight="1"/>
    <row r="24278" ht="15.75" customHeight="1"/>
    <row r="24279" ht="15.75" customHeight="1"/>
    <row r="24280" ht="15.75" customHeight="1"/>
    <row r="24281" ht="15.75" customHeight="1"/>
    <row r="24282" ht="15.75" customHeight="1"/>
    <row r="24283" ht="15.75" customHeight="1"/>
    <row r="24284" ht="15.75" customHeight="1"/>
    <row r="24285" ht="15.75" customHeight="1"/>
    <row r="24286" ht="15.75" customHeight="1"/>
    <row r="24287" ht="15.75" customHeight="1"/>
    <row r="24288" ht="15.75" customHeight="1"/>
    <row r="24289" ht="15.75" customHeight="1"/>
    <row r="24290" ht="15.75" customHeight="1"/>
    <row r="24291" ht="15.75" customHeight="1"/>
    <row r="24292" ht="15.75" customHeight="1"/>
    <row r="24293" ht="15.75" customHeight="1"/>
    <row r="24294" ht="15.75" customHeight="1"/>
    <row r="24295" ht="15.75" customHeight="1"/>
    <row r="24296" ht="15.75" customHeight="1"/>
    <row r="24297" ht="15.75" customHeight="1"/>
    <row r="24298" ht="15.75" customHeight="1"/>
    <row r="24299" ht="15.75" customHeight="1"/>
    <row r="24300" ht="15.75" customHeight="1"/>
    <row r="24301" ht="15.75" customHeight="1"/>
    <row r="24302" ht="15.75" customHeight="1"/>
    <row r="24303" ht="15.75" customHeight="1"/>
    <row r="24304" ht="15.75" customHeight="1"/>
    <row r="24305" ht="15.75" customHeight="1"/>
    <row r="24306" ht="15.75" customHeight="1"/>
    <row r="24307" ht="15.75" customHeight="1"/>
    <row r="24308" ht="15.75" customHeight="1"/>
    <row r="24309" ht="15.75" customHeight="1"/>
    <row r="24310" ht="15.75" customHeight="1"/>
    <row r="24311" ht="15.75" customHeight="1"/>
    <row r="24312" ht="15.75" customHeight="1"/>
    <row r="24313" ht="15.75" customHeight="1"/>
    <row r="24314" ht="15.75" customHeight="1"/>
    <row r="24315" ht="15.75" customHeight="1"/>
    <row r="24316" ht="15.75" customHeight="1"/>
    <row r="24317" ht="15.75" customHeight="1"/>
    <row r="24318" ht="15.75" customHeight="1"/>
    <row r="24319" ht="15.75" customHeight="1"/>
    <row r="24320" ht="15.75" customHeight="1"/>
    <row r="24321" ht="15.75" customHeight="1"/>
    <row r="24322" ht="15.75" customHeight="1"/>
    <row r="24323" ht="15.75" customHeight="1"/>
    <row r="24324" ht="15.75" customHeight="1"/>
    <row r="24325" ht="15.75" customHeight="1"/>
    <row r="24326" ht="15.75" customHeight="1"/>
    <row r="24327" ht="15.75" customHeight="1"/>
    <row r="24328" ht="15.75" customHeight="1"/>
    <row r="24329" ht="15.75" customHeight="1"/>
    <row r="24330" ht="15.75" customHeight="1"/>
    <row r="24331" ht="15.75" customHeight="1"/>
    <row r="24332" ht="15.75" customHeight="1"/>
    <row r="24333" ht="15.75" customHeight="1"/>
    <row r="24334" ht="15.75" customHeight="1"/>
    <row r="24335" ht="15.75" customHeight="1"/>
    <row r="24336" ht="15.75" customHeight="1"/>
    <row r="24337" ht="15.75" customHeight="1"/>
    <row r="24338" ht="15.75" customHeight="1"/>
    <row r="24339" ht="15.75" customHeight="1"/>
    <row r="24340" ht="15.75" customHeight="1"/>
    <row r="24341" ht="15.75" customHeight="1"/>
    <row r="24342" ht="15.75" customHeight="1"/>
    <row r="24343" ht="15.75" customHeight="1"/>
    <row r="24344" ht="15.75" customHeight="1"/>
    <row r="24345" ht="15.75" customHeight="1"/>
    <row r="24346" ht="15.75" customHeight="1"/>
    <row r="24347" ht="15.75" customHeight="1"/>
    <row r="24348" ht="15.75" customHeight="1"/>
    <row r="24349" ht="15.75" customHeight="1"/>
    <row r="24350" ht="15.75" customHeight="1"/>
    <row r="24351" ht="15.75" customHeight="1"/>
    <row r="24352" ht="15.75" customHeight="1"/>
    <row r="24353" ht="15.75" customHeight="1"/>
    <row r="24354" ht="15.75" customHeight="1"/>
    <row r="24355" ht="15.75" customHeight="1"/>
    <row r="24356" ht="15.75" customHeight="1"/>
    <row r="24357" ht="15.75" customHeight="1"/>
    <row r="24358" ht="15.75" customHeight="1"/>
    <row r="24359" ht="15.75" customHeight="1"/>
    <row r="24360" ht="15.75" customHeight="1"/>
    <row r="24361" ht="15.75" customHeight="1"/>
    <row r="24362" ht="15.75" customHeight="1"/>
    <row r="24363" ht="15.75" customHeight="1"/>
    <row r="24364" ht="15.75" customHeight="1"/>
    <row r="24365" ht="15.75" customHeight="1"/>
    <row r="24366" ht="15.75" customHeight="1"/>
    <row r="24367" ht="15.75" customHeight="1"/>
    <row r="24368" ht="15.75" customHeight="1"/>
    <row r="24369" ht="15.75" customHeight="1"/>
    <row r="24370" ht="15.75" customHeight="1"/>
    <row r="24371" ht="15.75" customHeight="1"/>
    <row r="24372" ht="15.75" customHeight="1"/>
    <row r="24373" ht="15.75" customHeight="1"/>
    <row r="24374" ht="15.75" customHeight="1"/>
    <row r="24375" ht="15.75" customHeight="1"/>
    <row r="24376" ht="15.75" customHeight="1"/>
    <row r="24377" ht="15.75" customHeight="1"/>
    <row r="24378" ht="15.75" customHeight="1"/>
    <row r="24379" ht="15.75" customHeight="1"/>
    <row r="24380" ht="15.75" customHeight="1"/>
    <row r="24381" ht="15.75" customHeight="1"/>
    <row r="24382" ht="15.75" customHeight="1"/>
    <row r="24383" ht="15.75" customHeight="1"/>
    <row r="24384" ht="15.75" customHeight="1"/>
    <row r="24385" ht="15.75" customHeight="1"/>
    <row r="24386" ht="15.75" customHeight="1"/>
    <row r="24387" ht="15.75" customHeight="1"/>
    <row r="24388" ht="15.75" customHeight="1"/>
    <row r="24389" ht="15.75" customHeight="1"/>
    <row r="24390" ht="15.75" customHeight="1"/>
    <row r="24391" ht="15.75" customHeight="1"/>
    <row r="24392" ht="15.75" customHeight="1"/>
    <row r="24393" ht="15.75" customHeight="1"/>
    <row r="24394" ht="15.75" customHeight="1"/>
    <row r="24395" ht="15.75" customHeight="1"/>
    <row r="24396" ht="15.75" customHeight="1"/>
    <row r="24397" ht="15.75" customHeight="1"/>
    <row r="24398" ht="15.75" customHeight="1"/>
    <row r="24399" ht="15.75" customHeight="1"/>
    <row r="24400" ht="15.75" customHeight="1"/>
    <row r="24401" ht="15.75" customHeight="1"/>
    <row r="24402" ht="15.75" customHeight="1"/>
    <row r="24403" ht="15.75" customHeight="1"/>
    <row r="24404" ht="15.75" customHeight="1"/>
    <row r="24405" ht="15.75" customHeight="1"/>
    <row r="24406" ht="15.75" customHeight="1"/>
    <row r="24407" ht="15.75" customHeight="1"/>
    <row r="24408" ht="15.75" customHeight="1"/>
    <row r="24409" ht="15.75" customHeight="1"/>
    <row r="24410" ht="15.75" customHeight="1"/>
    <row r="24411" ht="15.75" customHeight="1"/>
    <row r="24412" ht="15.75" customHeight="1"/>
    <row r="24413" ht="15.75" customHeight="1"/>
    <row r="24414" ht="15.75" customHeight="1"/>
    <row r="24415" ht="15.75" customHeight="1"/>
    <row r="24416" ht="15.75" customHeight="1"/>
    <row r="24417" ht="15.75" customHeight="1"/>
    <row r="24418" ht="15.75" customHeight="1"/>
    <row r="24419" ht="15.75" customHeight="1"/>
    <row r="24420" ht="15.75" customHeight="1"/>
    <row r="24421" ht="15.75" customHeight="1"/>
    <row r="24422" ht="15.75" customHeight="1"/>
    <row r="24423" ht="15.75" customHeight="1"/>
    <row r="24424" ht="15.75" customHeight="1"/>
    <row r="24425" ht="15.75" customHeight="1"/>
    <row r="24426" ht="15.75" customHeight="1"/>
    <row r="24427" ht="15.75" customHeight="1"/>
    <row r="24428" ht="15.75" customHeight="1"/>
    <row r="24429" ht="15.75" customHeight="1"/>
    <row r="24430" ht="15.75" customHeight="1"/>
    <row r="24431" ht="15.75" customHeight="1"/>
    <row r="24432" ht="15.75" customHeight="1"/>
    <row r="24433" ht="15.75" customHeight="1"/>
    <row r="24434" ht="15.75" customHeight="1"/>
    <row r="24435" ht="15.75" customHeight="1"/>
    <row r="24436" ht="15.75" customHeight="1"/>
    <row r="24437" ht="15.75" customHeight="1"/>
    <row r="24438" ht="15.75" customHeight="1"/>
    <row r="24439" ht="15.75" customHeight="1"/>
    <row r="24440" ht="15.75" customHeight="1"/>
    <row r="24441" ht="15.75" customHeight="1"/>
    <row r="24442" ht="15.75" customHeight="1"/>
    <row r="24443" ht="15.75" customHeight="1"/>
    <row r="24444" ht="15.75" customHeight="1"/>
    <row r="24445" ht="15.75" customHeight="1"/>
    <row r="24446" ht="15.75" customHeight="1"/>
    <row r="24447" ht="15.75" customHeight="1"/>
    <row r="24448" ht="15.75" customHeight="1"/>
    <row r="24449" ht="15.75" customHeight="1"/>
    <row r="24450" ht="15.75" customHeight="1"/>
    <row r="24451" ht="15.75" customHeight="1"/>
    <row r="24452" ht="15.75" customHeight="1"/>
    <row r="24453" ht="15.75" customHeight="1"/>
    <row r="24454" ht="15.75" customHeight="1"/>
    <row r="24455" ht="15.75" customHeight="1"/>
    <row r="24456" ht="15.75" customHeight="1"/>
    <row r="24457" ht="15.75" customHeight="1"/>
    <row r="24458" ht="15.75" customHeight="1"/>
    <row r="24459" ht="15.75" customHeight="1"/>
    <row r="24460" ht="15.75" customHeight="1"/>
    <row r="24461" ht="15.75" customHeight="1"/>
    <row r="24462" ht="15.75" customHeight="1"/>
    <row r="24463" ht="15.75" customHeight="1"/>
    <row r="24464" ht="15.75" customHeight="1"/>
    <row r="24465" ht="15.75" customHeight="1"/>
    <row r="24466" ht="15.75" customHeight="1"/>
    <row r="24467" ht="15.75" customHeight="1"/>
    <row r="24468" ht="15.75" customHeight="1"/>
    <row r="24469" ht="15.75" customHeight="1"/>
    <row r="24470" ht="15.75" customHeight="1"/>
    <row r="24471" ht="15.75" customHeight="1"/>
    <row r="24472" ht="15.75" customHeight="1"/>
    <row r="24473" ht="15.75" customHeight="1"/>
    <row r="24474" ht="15.75" customHeight="1"/>
    <row r="24475" ht="15.75" customHeight="1"/>
    <row r="24476" ht="15.75" customHeight="1"/>
    <row r="24477" ht="15.75" customHeight="1"/>
    <row r="24478" ht="15.75" customHeight="1"/>
    <row r="24479" ht="15.75" customHeight="1"/>
    <row r="24480" ht="15.75" customHeight="1"/>
    <row r="24481" ht="15.75" customHeight="1"/>
    <row r="24482" ht="15.75" customHeight="1"/>
    <row r="24483" ht="15.75" customHeight="1"/>
    <row r="24484" ht="15.75" customHeight="1"/>
    <row r="24485" ht="15.75" customHeight="1"/>
    <row r="24486" ht="15.75" customHeight="1"/>
    <row r="24487" ht="15.75" customHeight="1"/>
    <row r="24488" ht="15.75" customHeight="1"/>
    <row r="24489" ht="15.75" customHeight="1"/>
    <row r="24490" ht="15.75" customHeight="1"/>
    <row r="24491" ht="15.75" customHeight="1"/>
    <row r="24492" ht="15.75" customHeight="1"/>
    <row r="24493" ht="15.75" customHeight="1"/>
    <row r="24494" ht="15.75" customHeight="1"/>
    <row r="24495" ht="15.75" customHeight="1"/>
    <row r="24496" ht="15.75" customHeight="1"/>
    <row r="24497" ht="15.75" customHeight="1"/>
    <row r="24498" ht="15.75" customHeight="1"/>
    <row r="24499" ht="15.75" customHeight="1"/>
    <row r="24500" ht="15.75" customHeight="1"/>
    <row r="24501" ht="15.75" customHeight="1"/>
    <row r="24502" ht="15.75" customHeight="1"/>
    <row r="24503" ht="15.75" customHeight="1"/>
    <row r="24504" ht="15.75" customHeight="1"/>
    <row r="24505" ht="15.75" customHeight="1"/>
    <row r="24506" ht="15.75" customHeight="1"/>
    <row r="24507" ht="15.75" customHeight="1"/>
    <row r="24508" ht="15.75" customHeight="1"/>
    <row r="24509" ht="15.75" customHeight="1"/>
    <row r="24510" ht="15.75" customHeight="1"/>
    <row r="24511" ht="15.75" customHeight="1"/>
    <row r="24512" ht="15.75" customHeight="1"/>
    <row r="24513" ht="15.75" customHeight="1"/>
    <row r="24514" ht="15.75" customHeight="1"/>
    <row r="24515" ht="15.75" customHeight="1"/>
    <row r="24516" ht="15.75" customHeight="1"/>
    <row r="24517" ht="15.75" customHeight="1"/>
    <row r="24518" ht="15.75" customHeight="1"/>
    <row r="24519" ht="15.75" customHeight="1"/>
    <row r="24520" ht="15.75" customHeight="1"/>
    <row r="24521" ht="15.75" customHeight="1"/>
    <row r="24522" ht="15.75" customHeight="1"/>
    <row r="24523" ht="15.75" customHeight="1"/>
    <row r="24524" ht="15.75" customHeight="1"/>
    <row r="24525" ht="15.75" customHeight="1"/>
    <row r="24526" ht="15.75" customHeight="1"/>
    <row r="24527" ht="15.75" customHeight="1"/>
    <row r="24528" ht="15.75" customHeight="1"/>
    <row r="24529" ht="15.75" customHeight="1"/>
    <row r="24530" ht="15.75" customHeight="1"/>
    <row r="24531" ht="15.75" customHeight="1"/>
    <row r="24532" ht="15.75" customHeight="1"/>
    <row r="24533" ht="15.75" customHeight="1"/>
    <row r="24534" ht="15.75" customHeight="1"/>
    <row r="24535" ht="15.75" customHeight="1"/>
    <row r="24536" ht="15.75" customHeight="1"/>
    <row r="24537" ht="15.75" customHeight="1"/>
    <row r="24538" ht="15.75" customHeight="1"/>
    <row r="24539" ht="15.75" customHeight="1"/>
    <row r="24540" ht="15.75" customHeight="1"/>
    <row r="24541" ht="15.75" customHeight="1"/>
    <row r="24542" ht="15.75" customHeight="1"/>
    <row r="24543" ht="15.75" customHeight="1"/>
    <row r="24544" ht="15.75" customHeight="1"/>
    <row r="24545" ht="15.75" customHeight="1"/>
    <row r="24546" ht="15.75" customHeight="1"/>
    <row r="24547" ht="15.75" customHeight="1"/>
    <row r="24548" ht="15.75" customHeight="1"/>
    <row r="24549" ht="15.75" customHeight="1"/>
    <row r="24550" ht="15.75" customHeight="1"/>
    <row r="24551" ht="15.75" customHeight="1"/>
    <row r="24552" ht="15.75" customHeight="1"/>
    <row r="24553" ht="15.75" customHeight="1"/>
    <row r="24554" ht="15.75" customHeight="1"/>
    <row r="24555" ht="15.75" customHeight="1"/>
    <row r="24556" ht="15.75" customHeight="1"/>
    <row r="24557" ht="15.75" customHeight="1"/>
    <row r="24558" ht="15.75" customHeight="1"/>
    <row r="24559" ht="15.75" customHeight="1"/>
    <row r="24560" ht="15.75" customHeight="1"/>
    <row r="24561" ht="15.75" customHeight="1"/>
    <row r="24562" ht="15.75" customHeight="1"/>
    <row r="24563" ht="15.75" customHeight="1"/>
    <row r="24564" ht="15.75" customHeight="1"/>
    <row r="24565" ht="15.75" customHeight="1"/>
    <row r="24566" ht="15.75" customHeight="1"/>
    <row r="24567" ht="15.75" customHeight="1"/>
    <row r="24568" ht="15.75" customHeight="1"/>
    <row r="24569" ht="15.75" customHeight="1"/>
    <row r="24570" ht="15.75" customHeight="1"/>
    <row r="24571" ht="15.75" customHeight="1"/>
    <row r="24572" ht="15.75" customHeight="1"/>
    <row r="24573" ht="15.75" customHeight="1"/>
    <row r="24574" ht="15.75" customHeight="1"/>
    <row r="24575" ht="15.75" customHeight="1"/>
    <row r="24576" ht="15.75" customHeight="1"/>
    <row r="24577" ht="15.75" customHeight="1"/>
    <row r="24578" ht="15.75" customHeight="1"/>
    <row r="24579" ht="15.75" customHeight="1"/>
    <row r="24580" ht="15.75" customHeight="1"/>
    <row r="24581" ht="15.75" customHeight="1"/>
    <row r="24582" ht="15.75" customHeight="1"/>
    <row r="24583" ht="15.75" customHeight="1"/>
    <row r="24584" ht="15.75" customHeight="1"/>
    <row r="24585" ht="15.75" customHeight="1"/>
    <row r="24586" ht="15.75" customHeight="1"/>
    <row r="24587" ht="15.75" customHeight="1"/>
    <row r="24588" ht="15.75" customHeight="1"/>
    <row r="24589" ht="15.75" customHeight="1"/>
    <row r="24590" ht="15.75" customHeight="1"/>
    <row r="24591" ht="15.75" customHeight="1"/>
    <row r="24592" ht="15.75" customHeight="1"/>
    <row r="24593" ht="15.75" customHeight="1"/>
    <row r="24594" ht="15.75" customHeight="1"/>
    <row r="24595" ht="15.75" customHeight="1"/>
    <row r="24596" ht="15.75" customHeight="1"/>
    <row r="24597" ht="15.75" customHeight="1"/>
    <row r="24598" ht="15.75" customHeight="1"/>
    <row r="24599" ht="15.75" customHeight="1"/>
    <row r="24600" ht="15.75" customHeight="1"/>
    <row r="24601" ht="15.75" customHeight="1"/>
    <row r="24602" ht="15.75" customHeight="1"/>
    <row r="24603" ht="15.75" customHeight="1"/>
    <row r="24604" ht="15.75" customHeight="1"/>
    <row r="24605" ht="15.75" customHeight="1"/>
    <row r="24606" ht="15.75" customHeight="1"/>
    <row r="24607" ht="15.75" customHeight="1"/>
    <row r="24608" ht="15.75" customHeight="1"/>
    <row r="24609" ht="15.75" customHeight="1"/>
    <row r="24610" ht="15.75" customHeight="1"/>
    <row r="24611" ht="15.75" customHeight="1"/>
    <row r="24612" ht="15.75" customHeight="1"/>
    <row r="24613" ht="15.75" customHeight="1"/>
    <row r="24614" ht="15.75" customHeight="1"/>
    <row r="24615" ht="15.75" customHeight="1"/>
    <row r="24616" ht="15.75" customHeight="1"/>
    <row r="24617" ht="15.75" customHeight="1"/>
    <row r="24618" ht="15.75" customHeight="1"/>
    <row r="24619" ht="15.75" customHeight="1"/>
    <row r="24620" ht="15.75" customHeight="1"/>
    <row r="24621" ht="15.75" customHeight="1"/>
    <row r="24622" ht="15.75" customHeight="1"/>
    <row r="24623" ht="15.75" customHeight="1"/>
    <row r="24624" ht="15.75" customHeight="1"/>
    <row r="24625" ht="15.75" customHeight="1"/>
    <row r="24626" ht="15.75" customHeight="1"/>
    <row r="24627" ht="15.75" customHeight="1"/>
    <row r="24628" ht="15.75" customHeight="1"/>
    <row r="24629" ht="15.75" customHeight="1"/>
    <row r="24630" ht="15.75" customHeight="1"/>
    <row r="24631" ht="15.75" customHeight="1"/>
    <row r="24632" ht="15.75" customHeight="1"/>
    <row r="24633" ht="15.75" customHeight="1"/>
    <row r="24634" ht="15.75" customHeight="1"/>
    <row r="24635" ht="15.75" customHeight="1"/>
    <row r="24636" ht="15.75" customHeight="1"/>
    <row r="24637" ht="15.75" customHeight="1"/>
    <row r="24638" ht="15.75" customHeight="1"/>
    <row r="24639" ht="15.75" customHeight="1"/>
    <row r="24640" ht="15.75" customHeight="1"/>
    <row r="24641" ht="15.75" customHeight="1"/>
    <row r="24642" ht="15.75" customHeight="1"/>
    <row r="24643" ht="15.75" customHeight="1"/>
    <row r="24644" ht="15.75" customHeight="1"/>
    <row r="24645" ht="15.75" customHeight="1"/>
    <row r="24646" ht="15.75" customHeight="1"/>
    <row r="24647" ht="15.75" customHeight="1"/>
    <row r="24648" ht="15.75" customHeight="1"/>
    <row r="24649" ht="15.75" customHeight="1"/>
    <row r="24650" ht="15.75" customHeight="1"/>
    <row r="24651" ht="15.75" customHeight="1"/>
    <row r="24652" ht="15.75" customHeight="1"/>
    <row r="24653" ht="15.75" customHeight="1"/>
    <row r="24654" ht="15.75" customHeight="1"/>
    <row r="24655" ht="15.75" customHeight="1"/>
    <row r="24656" ht="15.75" customHeight="1"/>
    <row r="24657" ht="15.75" customHeight="1"/>
    <row r="24658" ht="15.75" customHeight="1"/>
    <row r="24659" ht="15.75" customHeight="1"/>
    <row r="24660" ht="15.75" customHeight="1"/>
    <row r="24661" ht="15.75" customHeight="1"/>
    <row r="24662" ht="15.75" customHeight="1"/>
    <row r="24663" ht="15.75" customHeight="1"/>
    <row r="24664" ht="15.75" customHeight="1"/>
    <row r="24665" ht="15.75" customHeight="1"/>
    <row r="24666" ht="15.75" customHeight="1"/>
    <row r="24667" ht="15.75" customHeight="1"/>
    <row r="24668" ht="15.75" customHeight="1"/>
    <row r="24669" ht="15.75" customHeight="1"/>
    <row r="24670" ht="15.75" customHeight="1"/>
    <row r="24671" ht="15.75" customHeight="1"/>
    <row r="24672" ht="15.75" customHeight="1"/>
    <row r="24673" ht="15.75" customHeight="1"/>
    <row r="24674" ht="15.75" customHeight="1"/>
    <row r="24675" ht="15.75" customHeight="1"/>
    <row r="24676" ht="15.75" customHeight="1"/>
    <row r="24677" ht="15.75" customHeight="1"/>
    <row r="24678" ht="15.75" customHeight="1"/>
    <row r="24679" ht="15.75" customHeight="1"/>
    <row r="24680" ht="15.75" customHeight="1"/>
    <row r="24681" ht="15.75" customHeight="1"/>
    <row r="24682" ht="15.75" customHeight="1"/>
    <row r="24683" ht="15.75" customHeight="1"/>
    <row r="24684" ht="15.75" customHeight="1"/>
    <row r="24685" ht="15.75" customHeight="1"/>
    <row r="24686" ht="15.75" customHeight="1"/>
    <row r="24687" ht="15.75" customHeight="1"/>
    <row r="24688" ht="15.75" customHeight="1"/>
    <row r="24689" ht="15.75" customHeight="1"/>
    <row r="24690" ht="15.75" customHeight="1"/>
    <row r="24691" ht="15.75" customHeight="1"/>
    <row r="24692" ht="15.75" customHeight="1"/>
    <row r="24693" ht="15.75" customHeight="1"/>
    <row r="24694" ht="15.75" customHeight="1"/>
    <row r="24695" ht="15.75" customHeight="1"/>
    <row r="24696" ht="15.75" customHeight="1"/>
    <row r="24697" ht="15.75" customHeight="1"/>
    <row r="24698" ht="15.75" customHeight="1"/>
    <row r="24699" ht="15.75" customHeight="1"/>
    <row r="24700" ht="15.75" customHeight="1"/>
    <row r="24701" ht="15.75" customHeight="1"/>
    <row r="24702" ht="15.75" customHeight="1"/>
    <row r="24703" ht="15.75" customHeight="1"/>
    <row r="24704" ht="15.75" customHeight="1"/>
    <row r="24705" ht="15.75" customHeight="1"/>
    <row r="24706" ht="15.75" customHeight="1"/>
    <row r="24707" ht="15.75" customHeight="1"/>
    <row r="24708" ht="15.75" customHeight="1"/>
    <row r="24709" ht="15.75" customHeight="1"/>
    <row r="24710" ht="15.75" customHeight="1"/>
    <row r="24711" ht="15.75" customHeight="1"/>
    <row r="24712" ht="15.75" customHeight="1"/>
    <row r="24713" ht="15.75" customHeight="1"/>
    <row r="24714" ht="15.75" customHeight="1"/>
    <row r="24715" ht="15.75" customHeight="1"/>
    <row r="24716" ht="15.75" customHeight="1"/>
    <row r="24717" ht="15.75" customHeight="1"/>
    <row r="24718" ht="15.75" customHeight="1"/>
    <row r="24719" ht="15.75" customHeight="1"/>
    <row r="24720" ht="15.75" customHeight="1"/>
    <row r="24721" ht="15.75" customHeight="1"/>
    <row r="24722" ht="15.75" customHeight="1"/>
    <row r="24723" ht="15.75" customHeight="1"/>
    <row r="24724" ht="15.75" customHeight="1"/>
    <row r="24725" ht="15.75" customHeight="1"/>
    <row r="24726" ht="15.75" customHeight="1"/>
    <row r="24727" ht="15.75" customHeight="1"/>
    <row r="24728" ht="15.75" customHeight="1"/>
    <row r="24729" ht="15.75" customHeight="1"/>
    <row r="24730" ht="15.75" customHeight="1"/>
    <row r="24731" ht="15.75" customHeight="1"/>
    <row r="24732" ht="15.75" customHeight="1"/>
    <row r="24733" ht="15.75" customHeight="1"/>
    <row r="24734" ht="15.75" customHeight="1"/>
    <row r="24735" ht="15.75" customHeight="1"/>
    <row r="24736" ht="15.75" customHeight="1"/>
    <row r="24737" ht="15.75" customHeight="1"/>
    <row r="24738" ht="15.75" customHeight="1"/>
    <row r="24739" ht="15.75" customHeight="1"/>
    <row r="24740" ht="15.75" customHeight="1"/>
    <row r="24741" ht="15.75" customHeight="1"/>
    <row r="24742" ht="15.75" customHeight="1"/>
    <row r="24743" ht="15.75" customHeight="1"/>
    <row r="24744" ht="15.75" customHeight="1"/>
    <row r="24745" ht="15.75" customHeight="1"/>
    <row r="24746" ht="15.75" customHeight="1"/>
    <row r="24747" ht="15.75" customHeight="1"/>
    <row r="24748" ht="15.75" customHeight="1"/>
    <row r="24749" ht="15.75" customHeight="1"/>
    <row r="24750" ht="15.75" customHeight="1"/>
    <row r="24751" ht="15.75" customHeight="1"/>
    <row r="24752" ht="15.75" customHeight="1"/>
    <row r="24753" ht="15.75" customHeight="1"/>
    <row r="24754" ht="15.75" customHeight="1"/>
    <row r="24755" ht="15.75" customHeight="1"/>
    <row r="24756" ht="15.75" customHeight="1"/>
    <row r="24757" ht="15.75" customHeight="1"/>
    <row r="24758" ht="15.75" customHeight="1"/>
    <row r="24759" ht="15.75" customHeight="1"/>
    <row r="24760" ht="15.75" customHeight="1"/>
    <row r="24761" ht="15.75" customHeight="1"/>
    <row r="24762" ht="15.75" customHeight="1"/>
    <row r="24763" ht="15.75" customHeight="1"/>
    <row r="24764" ht="15.75" customHeight="1"/>
    <row r="24765" ht="15.75" customHeight="1"/>
    <row r="24766" ht="15.75" customHeight="1"/>
    <row r="24767" ht="15.75" customHeight="1"/>
    <row r="24768" ht="15.75" customHeight="1"/>
    <row r="24769" ht="15.75" customHeight="1"/>
    <row r="24770" ht="15.75" customHeight="1"/>
    <row r="24771" ht="15.75" customHeight="1"/>
    <row r="24772" ht="15.75" customHeight="1"/>
    <row r="24773" ht="15.75" customHeight="1"/>
    <row r="24774" ht="15.75" customHeight="1"/>
    <row r="24775" ht="15.75" customHeight="1"/>
    <row r="24776" ht="15.75" customHeight="1"/>
    <row r="24777" ht="15.75" customHeight="1"/>
    <row r="24778" ht="15.75" customHeight="1"/>
    <row r="24779" ht="15.75" customHeight="1"/>
    <row r="24780" ht="15.75" customHeight="1"/>
    <row r="24781" ht="15.75" customHeight="1"/>
    <row r="24782" ht="15.75" customHeight="1"/>
    <row r="24783" ht="15.75" customHeight="1"/>
    <row r="24784" ht="15.75" customHeight="1"/>
    <row r="24785" ht="15.75" customHeight="1"/>
    <row r="24786" ht="15.75" customHeight="1"/>
    <row r="24787" ht="15.75" customHeight="1"/>
    <row r="24788" ht="15.75" customHeight="1"/>
    <row r="24789" ht="15.75" customHeight="1"/>
    <row r="24790" ht="15.75" customHeight="1"/>
    <row r="24791" ht="15.75" customHeight="1"/>
    <row r="24792" ht="15.75" customHeight="1"/>
    <row r="24793" ht="15.75" customHeight="1"/>
    <row r="24794" ht="15.75" customHeight="1"/>
    <row r="24795" ht="15.75" customHeight="1"/>
    <row r="24796" ht="15.75" customHeight="1"/>
    <row r="24797" ht="15.75" customHeight="1"/>
    <row r="24798" ht="15.75" customHeight="1"/>
    <row r="24799" ht="15.75" customHeight="1"/>
    <row r="24800" ht="15.75" customHeight="1"/>
    <row r="24801" ht="15.75" customHeight="1"/>
    <row r="24802" ht="15.75" customHeight="1"/>
    <row r="24803" ht="15.75" customHeight="1"/>
    <row r="24804" ht="15.75" customHeight="1"/>
    <row r="24805" ht="15.75" customHeight="1"/>
    <row r="24806" ht="15.75" customHeight="1"/>
    <row r="24807" ht="15.75" customHeight="1"/>
    <row r="24808" ht="15.75" customHeight="1"/>
    <row r="24809" ht="15.75" customHeight="1"/>
    <row r="24810" ht="15.75" customHeight="1"/>
    <row r="24811" ht="15.75" customHeight="1"/>
    <row r="24812" ht="15.75" customHeight="1"/>
    <row r="24813" ht="15.75" customHeight="1"/>
    <row r="24814" ht="15.75" customHeight="1"/>
    <row r="24815" ht="15.75" customHeight="1"/>
    <row r="24816" ht="15.75" customHeight="1"/>
    <row r="24817" ht="15.75" customHeight="1"/>
    <row r="24818" ht="15.75" customHeight="1"/>
    <row r="24819" ht="15.75" customHeight="1"/>
    <row r="24820" ht="15.75" customHeight="1"/>
    <row r="24821" ht="15.75" customHeight="1"/>
    <row r="24822" ht="15.75" customHeight="1"/>
    <row r="24823" ht="15.75" customHeight="1"/>
    <row r="24824" ht="15.75" customHeight="1"/>
    <row r="24825" ht="15.75" customHeight="1"/>
    <row r="24826" ht="15.75" customHeight="1"/>
    <row r="24827" ht="15.75" customHeight="1"/>
    <row r="24828" ht="15.75" customHeight="1"/>
    <row r="24829" ht="15.75" customHeight="1"/>
    <row r="24830" ht="15.75" customHeight="1"/>
    <row r="24831" ht="15.75" customHeight="1"/>
    <row r="24832" ht="15.75" customHeight="1"/>
    <row r="24833" ht="15.75" customHeight="1"/>
    <row r="24834" ht="15.75" customHeight="1"/>
    <row r="24835" ht="15.75" customHeight="1"/>
    <row r="24836" ht="15.75" customHeight="1"/>
    <row r="24837" ht="15.75" customHeight="1"/>
    <row r="24838" ht="15.75" customHeight="1"/>
    <row r="24839" ht="15.75" customHeight="1"/>
    <row r="24840" ht="15.75" customHeight="1"/>
    <row r="24841" ht="15.75" customHeight="1"/>
    <row r="24842" ht="15.75" customHeight="1"/>
    <row r="24843" ht="15.75" customHeight="1"/>
    <row r="24844" ht="15.75" customHeight="1"/>
    <row r="24845" ht="15.75" customHeight="1"/>
    <row r="24846" ht="15.75" customHeight="1"/>
    <row r="24847" ht="15.75" customHeight="1"/>
    <row r="24848" ht="15.75" customHeight="1"/>
    <row r="24849" ht="15.75" customHeight="1"/>
    <row r="24850" ht="15.75" customHeight="1"/>
    <row r="24851" ht="15.75" customHeight="1"/>
    <row r="24852" ht="15.75" customHeight="1"/>
    <row r="24853" ht="15.75" customHeight="1"/>
    <row r="24854" ht="15.75" customHeight="1"/>
    <row r="24855" ht="15.75" customHeight="1"/>
    <row r="24856" ht="15.75" customHeight="1"/>
    <row r="24857" ht="15.75" customHeight="1"/>
    <row r="24858" ht="15.75" customHeight="1"/>
    <row r="24859" ht="15.75" customHeight="1"/>
    <row r="24860" ht="15.75" customHeight="1"/>
    <row r="24861" ht="15.75" customHeight="1"/>
    <row r="24862" ht="15.75" customHeight="1"/>
    <row r="24863" ht="15.75" customHeight="1"/>
    <row r="24864" ht="15.75" customHeight="1"/>
    <row r="24865" ht="15.75" customHeight="1"/>
    <row r="24866" ht="15.75" customHeight="1"/>
    <row r="24867" ht="15.75" customHeight="1"/>
    <row r="24868" ht="15.75" customHeight="1"/>
    <row r="24869" ht="15.75" customHeight="1"/>
    <row r="24870" ht="15.75" customHeight="1"/>
    <row r="24871" ht="15.75" customHeight="1"/>
    <row r="24872" ht="15.75" customHeight="1"/>
    <row r="24873" ht="15.75" customHeight="1"/>
    <row r="24874" ht="15.75" customHeight="1"/>
    <row r="24875" ht="15.75" customHeight="1"/>
    <row r="24876" ht="15.75" customHeight="1"/>
    <row r="24877" ht="15.75" customHeight="1"/>
    <row r="24878" ht="15.75" customHeight="1"/>
    <row r="24879" ht="15.75" customHeight="1"/>
    <row r="24880" ht="15.75" customHeight="1"/>
    <row r="24881" ht="15.75" customHeight="1"/>
    <row r="24882" ht="15.75" customHeight="1"/>
    <row r="24883" ht="15.75" customHeight="1"/>
    <row r="24884" ht="15.75" customHeight="1"/>
    <row r="24885" ht="15.75" customHeight="1"/>
    <row r="24886" ht="15.75" customHeight="1"/>
    <row r="24887" ht="15.75" customHeight="1"/>
    <row r="24888" ht="15.75" customHeight="1"/>
    <row r="24889" ht="15.75" customHeight="1"/>
    <row r="24890" ht="15.75" customHeight="1"/>
    <row r="24891" ht="15.75" customHeight="1"/>
    <row r="24892" ht="15.75" customHeight="1"/>
    <row r="24893" ht="15.75" customHeight="1"/>
    <row r="24894" ht="15.75" customHeight="1"/>
    <row r="24895" ht="15.75" customHeight="1"/>
    <row r="24896" ht="15.75" customHeight="1"/>
    <row r="24897" ht="15.75" customHeight="1"/>
    <row r="24898" ht="15.75" customHeight="1"/>
    <row r="24899" ht="15.75" customHeight="1"/>
    <row r="24900" ht="15.75" customHeight="1"/>
    <row r="24901" ht="15.75" customHeight="1"/>
    <row r="24902" ht="15.75" customHeight="1"/>
    <row r="24903" ht="15.75" customHeight="1"/>
    <row r="24904" ht="15.75" customHeight="1"/>
    <row r="24905" ht="15.75" customHeight="1"/>
    <row r="24906" ht="15.75" customHeight="1"/>
    <row r="24907" ht="15.75" customHeight="1"/>
    <row r="24908" ht="15.75" customHeight="1"/>
    <row r="24909" ht="15.75" customHeight="1"/>
    <row r="24910" ht="15.75" customHeight="1"/>
    <row r="24911" ht="15.75" customHeight="1"/>
    <row r="24912" ht="15.75" customHeight="1"/>
    <row r="24913" ht="15.75" customHeight="1"/>
    <row r="24914" ht="15.75" customHeight="1"/>
    <row r="24915" ht="15.75" customHeight="1"/>
    <row r="24916" ht="15.75" customHeight="1"/>
    <row r="24917" ht="15.75" customHeight="1"/>
    <row r="24918" ht="15.75" customHeight="1"/>
    <row r="24919" ht="15.75" customHeight="1"/>
    <row r="24920" ht="15.75" customHeight="1"/>
    <row r="24921" ht="15.75" customHeight="1"/>
    <row r="24922" ht="15.75" customHeight="1"/>
    <row r="24923" ht="15.75" customHeight="1"/>
    <row r="24924" ht="15.75" customHeight="1"/>
    <row r="24925" ht="15.75" customHeight="1"/>
    <row r="24926" ht="15.75" customHeight="1"/>
    <row r="24927" ht="15.75" customHeight="1"/>
    <row r="24928" ht="15.75" customHeight="1"/>
    <row r="24929" ht="15.75" customHeight="1"/>
    <row r="24930" ht="15.75" customHeight="1"/>
    <row r="24931" ht="15.75" customHeight="1"/>
    <row r="24932" ht="15.75" customHeight="1"/>
    <row r="24933" ht="15.75" customHeight="1"/>
    <row r="24934" ht="15.75" customHeight="1"/>
    <row r="24935" ht="15.75" customHeight="1"/>
    <row r="24936" ht="15.75" customHeight="1"/>
    <row r="24937" ht="15.75" customHeight="1"/>
    <row r="24938" ht="15.75" customHeight="1"/>
    <row r="24939" ht="15.75" customHeight="1"/>
    <row r="24940" ht="15.75" customHeight="1"/>
    <row r="24941" ht="15.75" customHeight="1"/>
    <row r="24942" ht="15.75" customHeight="1"/>
    <row r="24943" ht="15.75" customHeight="1"/>
    <row r="24944" ht="15.75" customHeight="1"/>
    <row r="24945" ht="15.75" customHeight="1"/>
    <row r="24946" ht="15.75" customHeight="1"/>
    <row r="24947" ht="15.75" customHeight="1"/>
    <row r="24948" ht="15.75" customHeight="1"/>
    <row r="24949" ht="15.75" customHeight="1"/>
    <row r="24950" ht="15.75" customHeight="1"/>
    <row r="24951" ht="15.75" customHeight="1"/>
    <row r="24952" ht="15.75" customHeight="1"/>
    <row r="24953" ht="15.75" customHeight="1"/>
    <row r="24954" ht="15.75" customHeight="1"/>
    <row r="24955" ht="15.75" customHeight="1"/>
    <row r="24956" ht="15.75" customHeight="1"/>
    <row r="24957" ht="15.75" customHeight="1"/>
    <row r="24958" ht="15.75" customHeight="1"/>
    <row r="24959" ht="15.75" customHeight="1"/>
    <row r="24960" ht="15.75" customHeight="1"/>
    <row r="24961" ht="15.75" customHeight="1"/>
    <row r="24962" ht="15.75" customHeight="1"/>
    <row r="24963" ht="15.75" customHeight="1"/>
    <row r="24964" ht="15.75" customHeight="1"/>
    <row r="24965" ht="15.75" customHeight="1"/>
    <row r="24966" ht="15.75" customHeight="1"/>
    <row r="24967" ht="15.75" customHeight="1"/>
    <row r="24968" ht="15.75" customHeight="1"/>
    <row r="24969" ht="15.75" customHeight="1"/>
    <row r="24970" ht="15.75" customHeight="1"/>
    <row r="24971" ht="15.75" customHeight="1"/>
    <row r="24972" ht="15.75" customHeight="1"/>
    <row r="24973" ht="15.75" customHeight="1"/>
    <row r="24974" ht="15.75" customHeight="1"/>
    <row r="24975" ht="15.75" customHeight="1"/>
    <row r="24976" ht="15.75" customHeight="1"/>
    <row r="24977" ht="15.75" customHeight="1"/>
    <row r="24978" ht="15.75" customHeight="1"/>
    <row r="24979" ht="15.75" customHeight="1"/>
    <row r="24980" ht="15.75" customHeight="1"/>
    <row r="24981" ht="15.75" customHeight="1"/>
    <row r="24982" ht="15.75" customHeight="1"/>
    <row r="24983" ht="15.75" customHeight="1"/>
    <row r="24984" ht="15.75" customHeight="1"/>
    <row r="24985" ht="15.75" customHeight="1"/>
    <row r="24986" ht="15.75" customHeight="1"/>
    <row r="24987" ht="15.75" customHeight="1"/>
    <row r="24988" ht="15.75" customHeight="1"/>
    <row r="24989" ht="15.75" customHeight="1"/>
    <row r="24990" ht="15.75" customHeight="1"/>
    <row r="24991" ht="15.75" customHeight="1"/>
    <row r="24992" ht="15.75" customHeight="1"/>
    <row r="24993" ht="15.75" customHeight="1"/>
    <row r="24994" ht="15.75" customHeight="1"/>
    <row r="24995" ht="15.75" customHeight="1"/>
    <row r="24996" ht="15.75" customHeight="1"/>
    <row r="24997" ht="15.75" customHeight="1"/>
    <row r="24998" ht="15.75" customHeight="1"/>
    <row r="24999" ht="15.75" customHeight="1"/>
    <row r="25000" ht="15.75" customHeight="1"/>
    <row r="25001" ht="15.75" customHeight="1"/>
    <row r="25002" ht="15.75" customHeight="1"/>
    <row r="25003" ht="15.75" customHeight="1"/>
    <row r="25004" ht="15.75" customHeight="1"/>
    <row r="25005" ht="15.75" customHeight="1"/>
    <row r="25006" ht="15.75" customHeight="1"/>
    <row r="25007" ht="15.75" customHeight="1"/>
    <row r="25008" ht="15.75" customHeight="1"/>
    <row r="25009" ht="15.75" customHeight="1"/>
    <row r="25010" ht="15.75" customHeight="1"/>
    <row r="25011" ht="15.75" customHeight="1"/>
    <row r="25012" ht="15.75" customHeight="1"/>
    <row r="25013" ht="15.75" customHeight="1"/>
    <row r="25014" ht="15.75" customHeight="1"/>
    <row r="25015" ht="15.75" customHeight="1"/>
    <row r="25016" ht="15.75" customHeight="1"/>
    <row r="25017" ht="15.75" customHeight="1"/>
    <row r="25018" ht="15.75" customHeight="1"/>
    <row r="25019" ht="15.75" customHeight="1"/>
    <row r="25020" ht="15.75" customHeight="1"/>
    <row r="25021" ht="15.75" customHeight="1"/>
    <row r="25022" ht="15.75" customHeight="1"/>
    <row r="25023" ht="15.75" customHeight="1"/>
    <row r="25024" ht="15.75" customHeight="1"/>
    <row r="25025" ht="15.75" customHeight="1"/>
    <row r="25026" ht="15.75" customHeight="1"/>
    <row r="25027" ht="15.75" customHeight="1"/>
    <row r="25028" ht="15.75" customHeight="1"/>
    <row r="25029" ht="15.75" customHeight="1"/>
    <row r="25030" ht="15.75" customHeight="1"/>
    <row r="25031" ht="15.75" customHeight="1"/>
    <row r="25032" ht="15.75" customHeight="1"/>
    <row r="25033" ht="15.75" customHeight="1"/>
    <row r="25034" ht="15.75" customHeight="1"/>
    <row r="25035" ht="15.75" customHeight="1"/>
    <row r="25036" ht="15.75" customHeight="1"/>
    <row r="25037" ht="15.75" customHeight="1"/>
    <row r="25038" ht="15.75" customHeight="1"/>
    <row r="25039" ht="15.75" customHeight="1"/>
    <row r="25040" ht="15.75" customHeight="1"/>
    <row r="25041" ht="15.75" customHeight="1"/>
    <row r="25042" ht="15.75" customHeight="1"/>
    <row r="25043" ht="15.75" customHeight="1"/>
    <row r="25044" ht="15.75" customHeight="1"/>
    <row r="25045" ht="15.75" customHeight="1"/>
    <row r="25046" ht="15.75" customHeight="1"/>
    <row r="25047" ht="15.75" customHeight="1"/>
    <row r="25048" ht="15.75" customHeight="1"/>
    <row r="25049" ht="15.75" customHeight="1"/>
    <row r="25050" ht="15.75" customHeight="1"/>
    <row r="25051" ht="15.75" customHeight="1"/>
    <row r="25052" ht="15.75" customHeight="1"/>
    <row r="25053" ht="15.75" customHeight="1"/>
    <row r="25054" ht="15.75" customHeight="1"/>
    <row r="25055" ht="15.75" customHeight="1"/>
    <row r="25056" ht="15.75" customHeight="1"/>
    <row r="25057" ht="15.75" customHeight="1"/>
    <row r="25058" ht="15.75" customHeight="1"/>
    <row r="25059" ht="15.75" customHeight="1"/>
    <row r="25060" ht="15.75" customHeight="1"/>
    <row r="25061" ht="15.75" customHeight="1"/>
    <row r="25062" ht="15.75" customHeight="1"/>
    <row r="25063" ht="15.75" customHeight="1"/>
    <row r="25064" ht="15.75" customHeight="1"/>
    <row r="25065" ht="15.75" customHeight="1"/>
    <row r="25066" ht="15.75" customHeight="1"/>
    <row r="25067" ht="15.75" customHeight="1"/>
    <row r="25068" ht="15.75" customHeight="1"/>
    <row r="25069" ht="15.75" customHeight="1"/>
    <row r="25070" ht="15.75" customHeight="1"/>
    <row r="25071" ht="15.75" customHeight="1"/>
    <row r="25072" ht="15.75" customHeight="1"/>
    <row r="25073" ht="15.75" customHeight="1"/>
    <row r="25074" ht="15.75" customHeight="1"/>
    <row r="25075" ht="15.75" customHeight="1"/>
    <row r="25076" ht="15.75" customHeight="1"/>
    <row r="25077" ht="15.75" customHeight="1"/>
    <row r="25078" ht="15.75" customHeight="1"/>
    <row r="25079" ht="15.75" customHeight="1"/>
    <row r="25080" ht="15.75" customHeight="1"/>
    <row r="25081" ht="15.75" customHeight="1"/>
    <row r="25082" ht="15.75" customHeight="1"/>
    <row r="25083" ht="15.75" customHeight="1"/>
    <row r="25084" ht="15.75" customHeight="1"/>
    <row r="25085" ht="15.75" customHeight="1"/>
    <row r="25086" ht="15.75" customHeight="1"/>
    <row r="25087" ht="15.75" customHeight="1"/>
    <row r="25088" ht="15.75" customHeight="1"/>
    <row r="25089" ht="15.75" customHeight="1"/>
    <row r="25090" ht="15.75" customHeight="1"/>
    <row r="25091" ht="15.75" customHeight="1"/>
    <row r="25092" ht="15.75" customHeight="1"/>
    <row r="25093" ht="15.75" customHeight="1"/>
    <row r="25094" ht="15.75" customHeight="1"/>
    <row r="25095" ht="15.75" customHeight="1"/>
    <row r="25096" ht="15.75" customHeight="1"/>
    <row r="25097" ht="15.75" customHeight="1"/>
    <row r="25098" ht="15.75" customHeight="1"/>
    <row r="25099" ht="15.75" customHeight="1"/>
    <row r="25100" ht="15.75" customHeight="1"/>
    <row r="25101" ht="15.75" customHeight="1"/>
    <row r="25102" ht="15.75" customHeight="1"/>
    <row r="25103" ht="15.75" customHeight="1"/>
    <row r="25104" ht="15.75" customHeight="1"/>
    <row r="25105" ht="15.75" customHeight="1"/>
    <row r="25106" ht="15.75" customHeight="1"/>
    <row r="25107" ht="15.75" customHeight="1"/>
    <row r="25108" ht="15.75" customHeight="1"/>
    <row r="25109" ht="15.75" customHeight="1"/>
    <row r="25110" ht="15.75" customHeight="1"/>
    <row r="25111" ht="15.75" customHeight="1"/>
    <row r="25112" ht="15.75" customHeight="1"/>
    <row r="25113" ht="15.75" customHeight="1"/>
    <row r="25114" ht="15.75" customHeight="1"/>
    <row r="25115" ht="15.75" customHeight="1"/>
    <row r="25116" ht="15.75" customHeight="1"/>
    <row r="25117" ht="15.75" customHeight="1"/>
    <row r="25118" ht="15.75" customHeight="1"/>
    <row r="25119" ht="15.75" customHeight="1"/>
    <row r="25120" ht="15.75" customHeight="1"/>
    <row r="25121" ht="15.75" customHeight="1"/>
    <row r="25122" ht="15.75" customHeight="1"/>
    <row r="25123" ht="15.75" customHeight="1"/>
    <row r="25124" ht="15.75" customHeight="1"/>
    <row r="25125" ht="15.75" customHeight="1"/>
    <row r="25126" ht="15.75" customHeight="1"/>
    <row r="25127" ht="15.75" customHeight="1"/>
    <row r="25128" ht="15.75" customHeight="1"/>
    <row r="25129" ht="15.75" customHeight="1"/>
    <row r="25130" ht="15.75" customHeight="1"/>
    <row r="25131" ht="15.75" customHeight="1"/>
    <row r="25132" ht="15.75" customHeight="1"/>
    <row r="25133" ht="15.75" customHeight="1"/>
    <row r="25134" ht="15.75" customHeight="1"/>
    <row r="25135" ht="15.75" customHeight="1"/>
    <row r="25136" ht="15.75" customHeight="1"/>
    <row r="25137" ht="15.75" customHeight="1"/>
    <row r="25138" ht="15.75" customHeight="1"/>
    <row r="25139" ht="15.75" customHeight="1"/>
    <row r="25140" ht="15.75" customHeight="1"/>
    <row r="25141" ht="15.75" customHeight="1"/>
    <row r="25142" ht="15.75" customHeight="1"/>
    <row r="25143" ht="15.75" customHeight="1"/>
    <row r="25144" ht="15.75" customHeight="1"/>
    <row r="25145" ht="15.75" customHeight="1"/>
    <row r="25146" ht="15.75" customHeight="1"/>
    <row r="25147" ht="15.75" customHeight="1"/>
    <row r="25148" ht="15.75" customHeight="1"/>
    <row r="25149" ht="15.75" customHeight="1"/>
    <row r="25150" ht="15.75" customHeight="1"/>
    <row r="25151" ht="15.75" customHeight="1"/>
    <row r="25152" ht="15.75" customHeight="1"/>
    <row r="25153" ht="15.75" customHeight="1"/>
    <row r="25154" ht="15.75" customHeight="1"/>
    <row r="25155" ht="15.75" customHeight="1"/>
    <row r="25156" ht="15.75" customHeight="1"/>
    <row r="25157" ht="15.75" customHeight="1"/>
    <row r="25158" ht="15.75" customHeight="1"/>
    <row r="25159" ht="15.75" customHeight="1"/>
    <row r="25160" ht="15.75" customHeight="1"/>
    <row r="25161" ht="15.75" customHeight="1"/>
    <row r="25162" ht="15.75" customHeight="1"/>
    <row r="25163" ht="15.75" customHeight="1"/>
    <row r="25164" ht="15.75" customHeight="1"/>
    <row r="25165" ht="15.75" customHeight="1"/>
    <row r="25166" ht="15.75" customHeight="1"/>
    <row r="25167" ht="15.75" customHeight="1"/>
    <row r="25168" ht="15.75" customHeight="1"/>
    <row r="25169" ht="15.75" customHeight="1"/>
    <row r="25170" ht="15.75" customHeight="1"/>
    <row r="25171" ht="15.75" customHeight="1"/>
    <row r="25172" ht="15.75" customHeight="1"/>
    <row r="25173" ht="15.75" customHeight="1"/>
    <row r="25174" ht="15.75" customHeight="1"/>
    <row r="25175" ht="15.75" customHeight="1"/>
    <row r="25176" ht="15.75" customHeight="1"/>
    <row r="25177" ht="15.75" customHeight="1"/>
    <row r="25178" ht="15.75" customHeight="1"/>
    <row r="25179" ht="15.75" customHeight="1"/>
    <row r="25180" ht="15.75" customHeight="1"/>
    <row r="25181" ht="15.75" customHeight="1"/>
    <row r="25182" ht="15.75" customHeight="1"/>
    <row r="25183" ht="15.75" customHeight="1"/>
    <row r="25184" ht="15.75" customHeight="1"/>
    <row r="25185" ht="15.75" customHeight="1"/>
    <row r="25186" ht="15.75" customHeight="1"/>
    <row r="25187" ht="15.75" customHeight="1"/>
    <row r="25188" ht="15.75" customHeight="1"/>
    <row r="25189" ht="15.75" customHeight="1"/>
    <row r="25190" ht="15.75" customHeight="1"/>
    <row r="25191" ht="15.75" customHeight="1"/>
    <row r="25192" ht="15.75" customHeight="1"/>
    <row r="25193" ht="15.75" customHeight="1"/>
    <row r="25194" ht="15.75" customHeight="1"/>
    <row r="25195" ht="15.75" customHeight="1"/>
    <row r="25196" ht="15.75" customHeight="1"/>
    <row r="25197" ht="15.75" customHeight="1"/>
    <row r="25198" ht="15.75" customHeight="1"/>
    <row r="25199" ht="15.75" customHeight="1"/>
    <row r="25200" ht="15.75" customHeight="1"/>
    <row r="25201" ht="15.75" customHeight="1"/>
    <row r="25202" ht="15.75" customHeight="1"/>
    <row r="25203" ht="15.75" customHeight="1"/>
    <row r="25204" ht="15.75" customHeight="1"/>
    <row r="25205" ht="15.75" customHeight="1"/>
    <row r="25206" ht="15.75" customHeight="1"/>
    <row r="25207" ht="15.75" customHeight="1"/>
    <row r="25208" ht="15.75" customHeight="1"/>
    <row r="25209" ht="15.75" customHeight="1"/>
    <row r="25210" ht="15.75" customHeight="1"/>
    <row r="25211" ht="15.75" customHeight="1"/>
    <row r="25212" ht="15.75" customHeight="1"/>
    <row r="25213" ht="15.75" customHeight="1"/>
    <row r="25214" ht="15.75" customHeight="1"/>
    <row r="25215" ht="15.75" customHeight="1"/>
    <row r="25216" ht="15.75" customHeight="1"/>
    <row r="25217" ht="15.75" customHeight="1"/>
    <row r="25218" ht="15.75" customHeight="1"/>
    <row r="25219" ht="15.75" customHeight="1"/>
    <row r="25220" ht="15.75" customHeight="1"/>
    <row r="25221" ht="15.75" customHeight="1"/>
    <row r="25222" ht="15.75" customHeight="1"/>
    <row r="25223" ht="15.75" customHeight="1"/>
    <row r="25224" ht="15.75" customHeight="1"/>
    <row r="25225" ht="15.75" customHeight="1"/>
    <row r="25226" ht="15.75" customHeight="1"/>
    <row r="25227" ht="15.75" customHeight="1"/>
    <row r="25228" ht="15.75" customHeight="1"/>
    <row r="25229" ht="15.75" customHeight="1"/>
    <row r="25230" ht="15.75" customHeight="1"/>
    <row r="25231" ht="15.75" customHeight="1"/>
    <row r="25232" ht="15.75" customHeight="1"/>
    <row r="25233" ht="15.75" customHeight="1"/>
    <row r="25234" ht="15.75" customHeight="1"/>
    <row r="25235" ht="15.75" customHeight="1"/>
    <row r="25236" ht="15.75" customHeight="1"/>
    <row r="25237" ht="15.75" customHeight="1"/>
    <row r="25238" ht="15.75" customHeight="1"/>
    <row r="25239" ht="15.75" customHeight="1"/>
    <row r="25240" ht="15.75" customHeight="1"/>
    <row r="25241" ht="15.75" customHeight="1"/>
    <row r="25242" ht="15.75" customHeight="1"/>
    <row r="25243" ht="15.75" customHeight="1"/>
    <row r="25244" ht="15.75" customHeight="1"/>
    <row r="25245" ht="15.75" customHeight="1"/>
    <row r="25246" ht="15.75" customHeight="1"/>
    <row r="25247" ht="15.75" customHeight="1"/>
    <row r="25248" ht="15.75" customHeight="1"/>
    <row r="25249" ht="15.75" customHeight="1"/>
    <row r="25250" ht="15.75" customHeight="1"/>
    <row r="25251" ht="15.75" customHeight="1"/>
    <row r="25252" ht="15.75" customHeight="1"/>
    <row r="25253" ht="15.75" customHeight="1"/>
    <row r="25254" ht="15.75" customHeight="1"/>
    <row r="25255" ht="15.75" customHeight="1"/>
    <row r="25256" ht="15.75" customHeight="1"/>
    <row r="25257" ht="15.75" customHeight="1"/>
    <row r="25258" ht="15.75" customHeight="1"/>
    <row r="25259" ht="15.75" customHeight="1"/>
    <row r="25260" ht="15.75" customHeight="1"/>
    <row r="25261" ht="15.75" customHeight="1"/>
    <row r="25262" ht="15.75" customHeight="1"/>
    <row r="25263" ht="15.75" customHeight="1"/>
    <row r="25264" ht="15.75" customHeight="1"/>
    <row r="25265" ht="15.75" customHeight="1"/>
    <row r="25266" ht="15.75" customHeight="1"/>
    <row r="25267" ht="15.75" customHeight="1"/>
    <row r="25268" ht="15.75" customHeight="1"/>
    <row r="25269" ht="15.75" customHeight="1"/>
    <row r="25270" ht="15.75" customHeight="1"/>
    <row r="25271" ht="15.75" customHeight="1"/>
    <row r="25272" ht="15.75" customHeight="1"/>
    <row r="25273" ht="15.75" customHeight="1"/>
    <row r="25274" ht="15.75" customHeight="1"/>
    <row r="25275" ht="15.75" customHeight="1"/>
    <row r="25276" ht="15.75" customHeight="1"/>
    <row r="25277" ht="15.75" customHeight="1"/>
    <row r="25278" ht="15.75" customHeight="1"/>
    <row r="25279" ht="15.75" customHeight="1"/>
    <row r="25280" ht="15.75" customHeight="1"/>
    <row r="25281" ht="15.75" customHeight="1"/>
    <row r="25282" ht="15.75" customHeight="1"/>
    <row r="25283" ht="15.75" customHeight="1"/>
    <row r="25284" ht="15.75" customHeight="1"/>
    <row r="25285" ht="15.75" customHeight="1"/>
    <row r="25286" ht="15.75" customHeight="1"/>
    <row r="25287" ht="15.75" customHeight="1"/>
    <row r="25288" ht="15.75" customHeight="1"/>
    <row r="25289" ht="15.75" customHeight="1"/>
    <row r="25290" ht="15.75" customHeight="1"/>
    <row r="25291" ht="15.75" customHeight="1"/>
    <row r="25292" ht="15.75" customHeight="1"/>
    <row r="25293" ht="15.75" customHeight="1"/>
    <row r="25294" ht="15.75" customHeight="1"/>
    <row r="25295" ht="15.75" customHeight="1"/>
    <row r="25296" ht="15.75" customHeight="1"/>
    <row r="25297" ht="15.75" customHeight="1"/>
    <row r="25298" ht="15.75" customHeight="1"/>
    <row r="25299" ht="15.75" customHeight="1"/>
    <row r="25300" ht="15.75" customHeight="1"/>
    <row r="25301" ht="15.75" customHeight="1"/>
    <row r="25302" ht="15.75" customHeight="1"/>
    <row r="25303" ht="15.75" customHeight="1"/>
    <row r="25304" ht="15.75" customHeight="1"/>
    <row r="25305" ht="15.75" customHeight="1"/>
    <row r="25306" ht="15.75" customHeight="1"/>
    <row r="25307" ht="15.75" customHeight="1"/>
    <row r="25308" ht="15.75" customHeight="1"/>
    <row r="25309" ht="15.75" customHeight="1"/>
    <row r="25310" ht="15.75" customHeight="1"/>
    <row r="25311" ht="15.75" customHeight="1"/>
    <row r="25312" ht="15.75" customHeight="1"/>
    <row r="25313" ht="15.75" customHeight="1"/>
    <row r="25314" ht="15.75" customHeight="1"/>
    <row r="25315" ht="15.75" customHeight="1"/>
    <row r="25316" ht="15.75" customHeight="1"/>
    <row r="25317" ht="15.75" customHeight="1"/>
    <row r="25318" ht="15.75" customHeight="1"/>
    <row r="25319" ht="15.75" customHeight="1"/>
    <row r="25320" ht="15.75" customHeight="1"/>
    <row r="25321" ht="15.75" customHeight="1"/>
    <row r="25322" ht="15.75" customHeight="1"/>
    <row r="25323" ht="15.75" customHeight="1"/>
    <row r="25324" ht="15.75" customHeight="1"/>
    <row r="25325" ht="15.75" customHeight="1"/>
    <row r="25326" ht="15.75" customHeight="1"/>
    <row r="25327" ht="15.75" customHeight="1"/>
    <row r="25328" ht="15.75" customHeight="1"/>
    <row r="25329" ht="15.75" customHeight="1"/>
    <row r="25330" ht="15.75" customHeight="1"/>
    <row r="25331" ht="15.75" customHeight="1"/>
    <row r="25332" ht="15.75" customHeight="1"/>
    <row r="25333" ht="15.75" customHeight="1"/>
    <row r="25334" ht="15.75" customHeight="1"/>
    <row r="25335" ht="15.75" customHeight="1"/>
    <row r="25336" ht="15.75" customHeight="1"/>
    <row r="25337" ht="15.75" customHeight="1"/>
    <row r="25338" ht="15.75" customHeight="1"/>
    <row r="25339" ht="15.75" customHeight="1"/>
    <row r="25340" ht="15.75" customHeight="1"/>
    <row r="25341" ht="15.75" customHeight="1"/>
    <row r="25342" ht="15.75" customHeight="1"/>
    <row r="25343" ht="15.75" customHeight="1"/>
    <row r="25344" ht="15.75" customHeight="1"/>
    <row r="25345" ht="15.75" customHeight="1"/>
    <row r="25346" ht="15.75" customHeight="1"/>
    <row r="25347" ht="15.75" customHeight="1"/>
    <row r="25348" ht="15.75" customHeight="1"/>
    <row r="25349" ht="15.75" customHeight="1"/>
    <row r="25350" ht="15.75" customHeight="1"/>
    <row r="25351" ht="15.75" customHeight="1"/>
    <row r="25352" ht="15.75" customHeight="1"/>
    <row r="25353" ht="15.75" customHeight="1"/>
    <row r="25354" ht="15.75" customHeight="1"/>
    <row r="25355" ht="15.75" customHeight="1"/>
    <row r="25356" ht="15.75" customHeight="1"/>
    <row r="25357" ht="15.75" customHeight="1"/>
    <row r="25358" ht="15.75" customHeight="1"/>
    <row r="25359" ht="15.75" customHeight="1"/>
    <row r="25360" ht="15.75" customHeight="1"/>
    <row r="25361" ht="15.75" customHeight="1"/>
    <row r="25362" ht="15.75" customHeight="1"/>
    <row r="25363" ht="15.75" customHeight="1"/>
    <row r="25364" ht="15.75" customHeight="1"/>
    <row r="25365" ht="15.75" customHeight="1"/>
    <row r="25366" ht="15.75" customHeight="1"/>
    <row r="25367" ht="15.75" customHeight="1"/>
    <row r="25368" ht="15.75" customHeight="1"/>
    <row r="25369" ht="15.75" customHeight="1"/>
    <row r="25370" ht="15.75" customHeight="1"/>
    <row r="25371" ht="15.75" customHeight="1"/>
    <row r="25372" ht="15.75" customHeight="1"/>
    <row r="25373" ht="15.75" customHeight="1"/>
    <row r="25374" ht="15.75" customHeight="1"/>
    <row r="25375" ht="15.75" customHeight="1"/>
    <row r="25376" ht="15.75" customHeight="1"/>
    <row r="25377" ht="15.75" customHeight="1"/>
    <row r="25378" ht="15.75" customHeight="1"/>
    <row r="25379" ht="15.75" customHeight="1"/>
    <row r="25380" ht="15.75" customHeight="1"/>
    <row r="25381" ht="15.75" customHeight="1"/>
    <row r="25382" ht="15.75" customHeight="1"/>
    <row r="25383" ht="15.75" customHeight="1"/>
    <row r="25384" ht="15.75" customHeight="1"/>
    <row r="25385" ht="15.75" customHeight="1"/>
    <row r="25386" ht="15.75" customHeight="1"/>
    <row r="25387" ht="15.75" customHeight="1"/>
    <row r="25388" ht="15.75" customHeight="1"/>
    <row r="25389" ht="15.75" customHeight="1"/>
    <row r="25390" ht="15.75" customHeight="1"/>
    <row r="25391" ht="15.75" customHeight="1"/>
    <row r="25392" ht="15.75" customHeight="1"/>
    <row r="25393" ht="15.75" customHeight="1"/>
    <row r="25394" ht="15.75" customHeight="1"/>
    <row r="25395" ht="15.75" customHeight="1"/>
    <row r="25396" ht="15.75" customHeight="1"/>
    <row r="25397" ht="15.75" customHeight="1"/>
    <row r="25398" ht="15.75" customHeight="1"/>
    <row r="25399" ht="15.75" customHeight="1"/>
    <row r="25400" ht="15.75" customHeight="1"/>
    <row r="25401" ht="15.75" customHeight="1"/>
    <row r="25402" ht="15.75" customHeight="1"/>
    <row r="25403" ht="15.75" customHeight="1"/>
    <row r="25404" ht="15.75" customHeight="1"/>
    <row r="25405" ht="15.75" customHeight="1"/>
    <row r="25406" ht="15.75" customHeight="1"/>
    <row r="25407" ht="15.75" customHeight="1"/>
    <row r="25408" ht="15.75" customHeight="1"/>
    <row r="25409" ht="15.75" customHeight="1"/>
    <row r="25410" ht="15.75" customHeight="1"/>
    <row r="25411" ht="15.75" customHeight="1"/>
    <row r="25412" ht="15.75" customHeight="1"/>
    <row r="25413" ht="15.75" customHeight="1"/>
    <row r="25414" ht="15.75" customHeight="1"/>
    <row r="25415" ht="15.75" customHeight="1"/>
    <row r="25416" ht="15.75" customHeight="1"/>
    <row r="25417" ht="15.75" customHeight="1"/>
    <row r="25418" ht="15.75" customHeight="1"/>
    <row r="25419" ht="15.75" customHeight="1"/>
    <row r="25420" ht="15.75" customHeight="1"/>
    <row r="25421" ht="15.75" customHeight="1"/>
    <row r="25422" ht="15.75" customHeight="1"/>
    <row r="25423" ht="15.75" customHeight="1"/>
    <row r="25424" ht="15.75" customHeight="1"/>
    <row r="25425" ht="15.75" customHeight="1"/>
    <row r="25426" ht="15.75" customHeight="1"/>
    <row r="25427" ht="15.75" customHeight="1"/>
    <row r="25428" ht="15.75" customHeight="1"/>
    <row r="25429" ht="15.75" customHeight="1"/>
    <row r="25430" ht="15.75" customHeight="1"/>
    <row r="25431" ht="15.75" customHeight="1"/>
    <row r="25432" ht="15.75" customHeight="1"/>
    <row r="25433" ht="15.75" customHeight="1"/>
    <row r="25434" ht="15.75" customHeight="1"/>
    <row r="25435" ht="15.75" customHeight="1"/>
    <row r="25436" ht="15.75" customHeight="1"/>
    <row r="25437" ht="15.75" customHeight="1"/>
    <row r="25438" ht="15.75" customHeight="1"/>
    <row r="25439" ht="15.75" customHeight="1"/>
    <row r="25440" ht="15.75" customHeight="1"/>
    <row r="25441" ht="15.75" customHeight="1"/>
    <row r="25442" ht="15.75" customHeight="1"/>
    <row r="25443" ht="15.75" customHeight="1"/>
    <row r="25444" ht="15.75" customHeight="1"/>
    <row r="25445" ht="15.75" customHeight="1"/>
    <row r="25446" ht="15.75" customHeight="1"/>
    <row r="25447" ht="15.75" customHeight="1"/>
    <row r="25448" ht="15.75" customHeight="1"/>
    <row r="25449" ht="15.75" customHeight="1"/>
    <row r="25450" ht="15.75" customHeight="1"/>
    <row r="25451" ht="15.75" customHeight="1"/>
    <row r="25452" ht="15.75" customHeight="1"/>
    <row r="25453" ht="15.75" customHeight="1"/>
    <row r="25454" ht="15.75" customHeight="1"/>
    <row r="25455" ht="15.75" customHeight="1"/>
    <row r="25456" ht="15.75" customHeight="1"/>
    <row r="25457" ht="15.75" customHeight="1"/>
    <row r="25458" ht="15.75" customHeight="1"/>
    <row r="25459" ht="15.75" customHeight="1"/>
    <row r="25460" ht="15.75" customHeight="1"/>
    <row r="25461" ht="15.75" customHeight="1"/>
    <row r="25462" ht="15.75" customHeight="1"/>
    <row r="25463" ht="15.75" customHeight="1"/>
    <row r="25464" ht="15.75" customHeight="1"/>
    <row r="25465" ht="15.75" customHeight="1"/>
    <row r="25466" ht="15.75" customHeight="1"/>
    <row r="25467" ht="15.75" customHeight="1"/>
    <row r="25468" ht="15.75" customHeight="1"/>
    <row r="25469" ht="15.75" customHeight="1"/>
    <row r="25470" ht="15.75" customHeight="1"/>
    <row r="25471" ht="15.75" customHeight="1"/>
    <row r="25472" ht="15.75" customHeight="1"/>
    <row r="25473" ht="15.75" customHeight="1"/>
    <row r="25474" ht="15.75" customHeight="1"/>
    <row r="25475" ht="15.75" customHeight="1"/>
    <row r="25476" ht="15.75" customHeight="1"/>
    <row r="25477" ht="15.75" customHeight="1"/>
    <row r="25478" ht="15.75" customHeight="1"/>
    <row r="25479" ht="15.75" customHeight="1"/>
    <row r="25480" ht="15.75" customHeight="1"/>
    <row r="25481" ht="15.75" customHeight="1"/>
    <row r="25482" ht="15.75" customHeight="1"/>
    <row r="25483" ht="15.75" customHeight="1"/>
    <row r="25484" ht="15.75" customHeight="1"/>
    <row r="25485" ht="15.75" customHeight="1"/>
    <row r="25486" ht="15.75" customHeight="1"/>
    <row r="25487" ht="15.75" customHeight="1"/>
    <row r="25488" ht="15.75" customHeight="1"/>
    <row r="25489" ht="15.75" customHeight="1"/>
    <row r="25490" ht="15.75" customHeight="1"/>
    <row r="25491" ht="15.75" customHeight="1"/>
    <row r="25492" ht="15.75" customHeight="1"/>
    <row r="25493" ht="15.75" customHeight="1"/>
    <row r="25494" ht="15.75" customHeight="1"/>
    <row r="25495" ht="15.75" customHeight="1"/>
    <row r="25496" ht="15.75" customHeight="1"/>
    <row r="25497" ht="15.75" customHeight="1"/>
    <row r="25498" ht="15.75" customHeight="1"/>
    <row r="25499" ht="15.75" customHeight="1"/>
    <row r="25500" ht="15.75" customHeight="1"/>
    <row r="25501" ht="15.75" customHeight="1"/>
    <row r="25502" ht="15.75" customHeight="1"/>
    <row r="25503" ht="15.75" customHeight="1"/>
    <row r="25504" ht="15.75" customHeight="1"/>
    <row r="25505" ht="15.75" customHeight="1"/>
    <row r="25506" ht="15.75" customHeight="1"/>
    <row r="25507" ht="15.75" customHeight="1"/>
    <row r="25508" ht="15.75" customHeight="1"/>
    <row r="25509" ht="15.75" customHeight="1"/>
    <row r="25510" ht="15.75" customHeight="1"/>
    <row r="25511" ht="15.75" customHeight="1"/>
    <row r="25512" ht="15.75" customHeight="1"/>
    <row r="25513" ht="15.75" customHeight="1"/>
    <row r="25514" ht="15.75" customHeight="1"/>
    <row r="25515" ht="15.75" customHeight="1"/>
    <row r="25516" ht="15.75" customHeight="1"/>
    <row r="25517" ht="15.75" customHeight="1"/>
    <row r="25518" ht="15.75" customHeight="1"/>
    <row r="25519" ht="15.75" customHeight="1"/>
    <row r="25520" ht="15.75" customHeight="1"/>
    <row r="25521" ht="15.75" customHeight="1"/>
    <row r="25522" ht="15.75" customHeight="1"/>
    <row r="25523" ht="15.75" customHeight="1"/>
    <row r="25524" ht="15.75" customHeight="1"/>
    <row r="25525" ht="15.75" customHeight="1"/>
    <row r="25526" ht="15.75" customHeight="1"/>
    <row r="25527" ht="15.75" customHeight="1"/>
    <row r="25528" ht="15.75" customHeight="1"/>
    <row r="25529" ht="15.75" customHeight="1"/>
    <row r="25530" ht="15.75" customHeight="1"/>
    <row r="25531" ht="15.75" customHeight="1"/>
    <row r="25532" ht="15.75" customHeight="1"/>
    <row r="25533" ht="15.75" customHeight="1"/>
    <row r="25534" ht="15.75" customHeight="1"/>
    <row r="25535" ht="15.75" customHeight="1"/>
    <row r="25536" ht="15.75" customHeight="1"/>
    <row r="25537" ht="15.75" customHeight="1"/>
    <row r="25538" ht="15.75" customHeight="1"/>
    <row r="25539" ht="15.75" customHeight="1"/>
    <row r="25540" ht="15.75" customHeight="1"/>
    <row r="25541" ht="15.75" customHeight="1"/>
    <row r="25542" ht="15.75" customHeight="1"/>
    <row r="25543" ht="15.75" customHeight="1"/>
    <row r="25544" ht="15.75" customHeight="1"/>
    <row r="25545" ht="15.75" customHeight="1"/>
    <row r="25546" ht="15.75" customHeight="1"/>
    <row r="25547" ht="15.75" customHeight="1"/>
    <row r="25548" ht="15.75" customHeight="1"/>
    <row r="25549" ht="15.75" customHeight="1"/>
    <row r="25550" ht="15.75" customHeight="1"/>
    <row r="25551" ht="15.75" customHeight="1"/>
    <row r="25552" ht="15.75" customHeight="1"/>
    <row r="25553" ht="15.75" customHeight="1"/>
    <row r="25554" ht="15.75" customHeight="1"/>
    <row r="25555" ht="15.75" customHeight="1"/>
    <row r="25556" ht="15.75" customHeight="1"/>
    <row r="25557" ht="15.75" customHeight="1"/>
    <row r="25558" ht="15.75" customHeight="1"/>
    <row r="25559" ht="15.75" customHeight="1"/>
    <row r="25560" ht="15.75" customHeight="1"/>
    <row r="25561" ht="15.75" customHeight="1"/>
    <row r="25562" ht="15.75" customHeight="1"/>
    <row r="25563" ht="15.75" customHeight="1"/>
    <row r="25564" ht="15.75" customHeight="1"/>
    <row r="25565" ht="15.75" customHeight="1"/>
    <row r="25566" ht="15.75" customHeight="1"/>
    <row r="25567" ht="15.75" customHeight="1"/>
    <row r="25568" ht="15.75" customHeight="1"/>
    <row r="25569" ht="15.75" customHeight="1"/>
    <row r="25570" ht="15.75" customHeight="1"/>
    <row r="25571" ht="15.75" customHeight="1"/>
    <row r="25572" ht="15.75" customHeight="1"/>
    <row r="25573" ht="15.75" customHeight="1"/>
    <row r="25574" ht="15.75" customHeight="1"/>
    <row r="25575" ht="15.75" customHeight="1"/>
    <row r="25576" ht="15.75" customHeight="1"/>
    <row r="25577" ht="15.75" customHeight="1"/>
    <row r="25578" ht="15.75" customHeight="1"/>
    <row r="25579" ht="15.75" customHeight="1"/>
    <row r="25580" ht="15.75" customHeight="1"/>
    <row r="25581" ht="15.75" customHeight="1"/>
    <row r="25582" ht="15.75" customHeight="1"/>
    <row r="25583" ht="15.75" customHeight="1"/>
    <row r="25584" ht="15.75" customHeight="1"/>
    <row r="25585" ht="15.75" customHeight="1"/>
    <row r="25586" ht="15.75" customHeight="1"/>
    <row r="25587" ht="15.75" customHeight="1"/>
    <row r="25588" ht="15.75" customHeight="1"/>
    <row r="25589" ht="15.75" customHeight="1"/>
    <row r="25590" ht="15.75" customHeight="1"/>
    <row r="25591" ht="15.75" customHeight="1"/>
    <row r="25592" ht="15.75" customHeight="1"/>
    <row r="25593" ht="15.75" customHeight="1"/>
    <row r="25594" ht="15.75" customHeight="1"/>
    <row r="25595" ht="15.75" customHeight="1"/>
    <row r="25596" ht="15.75" customHeight="1"/>
    <row r="25597" ht="15.75" customHeight="1"/>
    <row r="25598" ht="15.75" customHeight="1"/>
    <row r="25599" ht="15.75" customHeight="1"/>
    <row r="25600" ht="15.75" customHeight="1"/>
    <row r="25601" ht="15.75" customHeight="1"/>
    <row r="25602" ht="15.75" customHeight="1"/>
    <row r="25603" ht="15.75" customHeight="1"/>
    <row r="25604" ht="15.75" customHeight="1"/>
    <row r="25605" ht="15.75" customHeight="1"/>
    <row r="25606" ht="15.75" customHeight="1"/>
    <row r="25607" ht="15.75" customHeight="1"/>
    <row r="25608" ht="15.75" customHeight="1"/>
    <row r="25609" ht="15.75" customHeight="1"/>
    <row r="25610" ht="15.75" customHeight="1"/>
    <row r="25611" ht="15.75" customHeight="1"/>
    <row r="25612" ht="15.75" customHeight="1"/>
    <row r="25613" ht="15.75" customHeight="1"/>
    <row r="25614" ht="15.75" customHeight="1"/>
    <row r="25615" ht="15.75" customHeight="1"/>
    <row r="25616" ht="15.75" customHeight="1"/>
    <row r="25617" ht="15.75" customHeight="1"/>
    <row r="25618" ht="15.75" customHeight="1"/>
    <row r="25619" ht="15.75" customHeight="1"/>
    <row r="25620" ht="15.75" customHeight="1"/>
    <row r="25621" ht="15.75" customHeight="1"/>
    <row r="25622" ht="15.75" customHeight="1"/>
    <row r="25623" ht="15.75" customHeight="1"/>
    <row r="25624" ht="15.75" customHeight="1"/>
    <row r="25625" ht="15.75" customHeight="1"/>
    <row r="25626" ht="15.75" customHeight="1"/>
    <row r="25627" ht="15.75" customHeight="1"/>
    <row r="25628" ht="15.75" customHeight="1"/>
    <row r="25629" ht="15.75" customHeight="1"/>
    <row r="25630" ht="15.75" customHeight="1"/>
    <row r="25631" ht="15.75" customHeight="1"/>
    <row r="25632" ht="15.75" customHeight="1"/>
    <row r="25633" ht="15.75" customHeight="1"/>
    <row r="25634" ht="15.75" customHeight="1"/>
    <row r="25635" ht="15.75" customHeight="1"/>
    <row r="25636" ht="15.75" customHeight="1"/>
    <row r="25637" ht="15.75" customHeight="1"/>
    <row r="25638" ht="15.75" customHeight="1"/>
    <row r="25639" ht="15.75" customHeight="1"/>
    <row r="25640" ht="15.75" customHeight="1"/>
    <row r="25641" ht="15.75" customHeight="1"/>
    <row r="25642" ht="15.75" customHeight="1"/>
    <row r="25643" ht="15.75" customHeight="1"/>
    <row r="25644" ht="15.75" customHeight="1"/>
    <row r="25645" ht="15.75" customHeight="1"/>
    <row r="25646" ht="15.75" customHeight="1"/>
    <row r="25647" ht="15.75" customHeight="1"/>
    <row r="25648" ht="15.75" customHeight="1"/>
    <row r="25649" ht="15.75" customHeight="1"/>
    <row r="25650" ht="15.75" customHeight="1"/>
    <row r="25651" ht="15.75" customHeight="1"/>
    <row r="25652" ht="15.75" customHeight="1"/>
    <row r="25653" ht="15.75" customHeight="1"/>
    <row r="25654" ht="15.75" customHeight="1"/>
    <row r="25655" ht="15.75" customHeight="1"/>
    <row r="25656" ht="15.75" customHeight="1"/>
    <row r="25657" ht="15.75" customHeight="1"/>
    <row r="25658" ht="15.75" customHeight="1"/>
    <row r="25659" ht="15.75" customHeight="1"/>
    <row r="25660" ht="15.75" customHeight="1"/>
    <row r="25661" ht="15.75" customHeight="1"/>
    <row r="25662" ht="15.75" customHeight="1"/>
    <row r="25663" ht="15.75" customHeight="1"/>
    <row r="25664" ht="15.75" customHeight="1"/>
    <row r="25665" ht="15.75" customHeight="1"/>
    <row r="25666" ht="15.75" customHeight="1"/>
    <row r="25667" ht="15.75" customHeight="1"/>
    <row r="25668" ht="15.75" customHeight="1"/>
    <row r="25669" ht="15.75" customHeight="1"/>
    <row r="25670" ht="15.75" customHeight="1"/>
    <row r="25671" ht="15.75" customHeight="1"/>
    <row r="25672" ht="15.75" customHeight="1"/>
    <row r="25673" ht="15.75" customHeight="1"/>
    <row r="25674" ht="15.75" customHeight="1"/>
    <row r="25675" ht="15.75" customHeight="1"/>
    <row r="25676" ht="15.75" customHeight="1"/>
    <row r="25677" ht="15.75" customHeight="1"/>
    <row r="25678" ht="15.75" customHeight="1"/>
    <row r="25679" ht="15.75" customHeight="1"/>
    <row r="25680" ht="15.75" customHeight="1"/>
    <row r="25681" ht="15.75" customHeight="1"/>
    <row r="25682" ht="15.75" customHeight="1"/>
    <row r="25683" ht="15.75" customHeight="1"/>
    <row r="25684" ht="15.75" customHeight="1"/>
    <row r="25685" ht="15.75" customHeight="1"/>
    <row r="25686" ht="15.75" customHeight="1"/>
    <row r="25687" ht="15.75" customHeight="1"/>
    <row r="25688" ht="15.75" customHeight="1"/>
    <row r="25689" ht="15.75" customHeight="1"/>
    <row r="25690" ht="15.75" customHeight="1"/>
    <row r="25691" ht="15.75" customHeight="1"/>
    <row r="25692" ht="15.75" customHeight="1"/>
    <row r="25693" ht="15.75" customHeight="1"/>
    <row r="25694" ht="15.75" customHeight="1"/>
    <row r="25695" ht="15.75" customHeight="1"/>
    <row r="25696" ht="15.75" customHeight="1"/>
    <row r="25697" ht="15.75" customHeight="1"/>
    <row r="25698" ht="15.75" customHeight="1"/>
    <row r="25699" ht="15.75" customHeight="1"/>
    <row r="25700" ht="15.75" customHeight="1"/>
    <row r="25701" ht="15.75" customHeight="1"/>
    <row r="25702" ht="15.75" customHeight="1"/>
    <row r="25703" ht="15.75" customHeight="1"/>
    <row r="25704" ht="15.75" customHeight="1"/>
    <row r="25705" ht="15.75" customHeight="1"/>
    <row r="25706" ht="15.75" customHeight="1"/>
    <row r="25707" ht="15.75" customHeight="1"/>
    <row r="25708" ht="15.75" customHeight="1"/>
    <row r="25709" ht="15.75" customHeight="1"/>
    <row r="25710" ht="15.75" customHeight="1"/>
    <row r="25711" ht="15.75" customHeight="1"/>
    <row r="25712" ht="15.75" customHeight="1"/>
    <row r="25713" ht="15.75" customHeight="1"/>
    <row r="25714" ht="15.75" customHeight="1"/>
    <row r="25715" ht="15.75" customHeight="1"/>
    <row r="25716" ht="15.75" customHeight="1"/>
    <row r="25717" ht="15.75" customHeight="1"/>
    <row r="25718" ht="15.75" customHeight="1"/>
    <row r="25719" ht="15.75" customHeight="1"/>
    <row r="25720" ht="15.75" customHeight="1"/>
    <row r="25721" ht="15.75" customHeight="1"/>
    <row r="25722" ht="15.75" customHeight="1"/>
    <row r="25723" ht="15.75" customHeight="1"/>
    <row r="25724" ht="15.75" customHeight="1"/>
    <row r="25725" ht="15.75" customHeight="1"/>
    <row r="25726" ht="15.75" customHeight="1"/>
    <row r="25727" ht="15.75" customHeight="1"/>
    <row r="25728" ht="15.75" customHeight="1"/>
    <row r="25729" ht="15.75" customHeight="1"/>
    <row r="25730" ht="15.75" customHeight="1"/>
    <row r="25731" ht="15.75" customHeight="1"/>
    <row r="25732" ht="15.75" customHeight="1"/>
    <row r="25733" ht="15.75" customHeight="1"/>
    <row r="25734" ht="15.75" customHeight="1"/>
    <row r="25735" ht="15.75" customHeight="1"/>
    <row r="25736" ht="15.75" customHeight="1"/>
    <row r="25737" ht="15.75" customHeight="1"/>
    <row r="25738" ht="15.75" customHeight="1"/>
    <row r="25739" ht="15.75" customHeight="1"/>
    <row r="25740" ht="15.75" customHeight="1"/>
    <row r="25741" ht="15.75" customHeight="1"/>
    <row r="25742" ht="15.75" customHeight="1"/>
    <row r="25743" ht="15.75" customHeight="1"/>
    <row r="25744" ht="15.75" customHeight="1"/>
    <row r="25745" ht="15.75" customHeight="1"/>
    <row r="25746" ht="15.75" customHeight="1"/>
    <row r="25747" ht="15.75" customHeight="1"/>
    <row r="25748" ht="15.75" customHeight="1"/>
    <row r="25749" ht="15.75" customHeight="1"/>
    <row r="25750" ht="15.75" customHeight="1"/>
    <row r="25751" ht="15.75" customHeight="1"/>
    <row r="25752" ht="15.75" customHeight="1"/>
    <row r="25753" ht="15.75" customHeight="1"/>
    <row r="25754" ht="15.75" customHeight="1"/>
    <row r="25755" ht="15.75" customHeight="1"/>
    <row r="25756" ht="15.75" customHeight="1"/>
    <row r="25757" ht="15.75" customHeight="1"/>
    <row r="25758" ht="15.75" customHeight="1"/>
    <row r="25759" ht="15.75" customHeight="1"/>
    <row r="25760" ht="15.75" customHeight="1"/>
    <row r="25761" ht="15.75" customHeight="1"/>
    <row r="25762" ht="15.75" customHeight="1"/>
    <row r="25763" ht="15.75" customHeight="1"/>
    <row r="25764" ht="15.75" customHeight="1"/>
    <row r="25765" ht="15.75" customHeight="1"/>
    <row r="25766" ht="15.75" customHeight="1"/>
    <row r="25767" ht="15.75" customHeight="1"/>
    <row r="25768" ht="15.75" customHeight="1"/>
    <row r="25769" ht="15.75" customHeight="1"/>
    <row r="25770" ht="15.75" customHeight="1"/>
    <row r="25771" ht="15.75" customHeight="1"/>
    <row r="25772" ht="15.75" customHeight="1"/>
    <row r="25773" ht="15.75" customHeight="1"/>
    <row r="25774" ht="15.75" customHeight="1"/>
    <row r="25775" ht="15.75" customHeight="1"/>
    <row r="25776" ht="15.75" customHeight="1"/>
    <row r="25777" ht="15.75" customHeight="1"/>
    <row r="25778" ht="15.75" customHeight="1"/>
    <row r="25779" ht="15.75" customHeight="1"/>
    <row r="25780" ht="15.75" customHeight="1"/>
    <row r="25781" ht="15.75" customHeight="1"/>
    <row r="25782" ht="15.75" customHeight="1"/>
    <row r="25783" ht="15.75" customHeight="1"/>
    <row r="25784" ht="15.75" customHeight="1"/>
    <row r="25785" ht="15.75" customHeight="1"/>
    <row r="25786" ht="15.75" customHeight="1"/>
    <row r="25787" ht="15.75" customHeight="1"/>
    <row r="25788" ht="15.75" customHeight="1"/>
    <row r="25789" ht="15.75" customHeight="1"/>
    <row r="25790" ht="15.75" customHeight="1"/>
    <row r="25791" ht="15.75" customHeight="1"/>
    <row r="25792" ht="15.75" customHeight="1"/>
    <row r="25793" ht="15.75" customHeight="1"/>
    <row r="25794" ht="15.75" customHeight="1"/>
    <row r="25795" ht="15.75" customHeight="1"/>
    <row r="25796" ht="15.75" customHeight="1"/>
    <row r="25797" ht="15.75" customHeight="1"/>
    <row r="25798" ht="15.75" customHeight="1"/>
    <row r="25799" ht="15.75" customHeight="1"/>
    <row r="25800" ht="15.75" customHeight="1"/>
    <row r="25801" ht="15.75" customHeight="1"/>
    <row r="25802" ht="15.75" customHeight="1"/>
    <row r="25803" ht="15.75" customHeight="1"/>
    <row r="25804" ht="15.75" customHeight="1"/>
    <row r="25805" ht="15.75" customHeight="1"/>
    <row r="25806" ht="15.75" customHeight="1"/>
    <row r="25807" ht="15.75" customHeight="1"/>
    <row r="25808" ht="15.75" customHeight="1"/>
    <row r="25809" ht="15.75" customHeight="1"/>
    <row r="25810" ht="15.75" customHeight="1"/>
    <row r="25811" ht="15.75" customHeight="1"/>
    <row r="25812" ht="15.75" customHeight="1"/>
    <row r="25813" ht="15.75" customHeight="1"/>
    <row r="25814" ht="15.75" customHeight="1"/>
    <row r="25815" ht="15.75" customHeight="1"/>
    <row r="25816" ht="15.75" customHeight="1"/>
    <row r="25817" ht="15.75" customHeight="1"/>
    <row r="25818" ht="15.75" customHeight="1"/>
    <row r="25819" ht="15.75" customHeight="1"/>
    <row r="25820" ht="15.75" customHeight="1"/>
    <row r="25821" ht="15.75" customHeight="1"/>
    <row r="25822" ht="15.75" customHeight="1"/>
    <row r="25823" ht="15.75" customHeight="1"/>
    <row r="25824" ht="15.75" customHeight="1"/>
    <row r="25825" ht="15.75" customHeight="1"/>
    <row r="25826" ht="15.75" customHeight="1"/>
    <row r="25827" ht="15.75" customHeight="1"/>
    <row r="25828" ht="15.75" customHeight="1"/>
    <row r="25829" ht="15.75" customHeight="1"/>
    <row r="25830" ht="15.75" customHeight="1"/>
    <row r="25831" ht="15.75" customHeight="1"/>
    <row r="25832" ht="15.75" customHeight="1"/>
    <row r="25833" ht="15.75" customHeight="1"/>
    <row r="25834" ht="15.75" customHeight="1"/>
    <row r="25835" ht="15.75" customHeight="1"/>
    <row r="25836" ht="15.75" customHeight="1"/>
    <row r="25837" ht="15.75" customHeight="1"/>
    <row r="25838" ht="15.75" customHeight="1"/>
    <row r="25839" ht="15.75" customHeight="1"/>
    <row r="25840" ht="15.75" customHeight="1"/>
    <row r="25841" ht="15.75" customHeight="1"/>
    <row r="25842" ht="15.75" customHeight="1"/>
    <row r="25843" ht="15.75" customHeight="1"/>
    <row r="25844" ht="15.75" customHeight="1"/>
    <row r="25845" ht="15.75" customHeight="1"/>
    <row r="25846" ht="15.75" customHeight="1"/>
    <row r="25847" ht="15.75" customHeight="1"/>
    <row r="25848" ht="15.75" customHeight="1"/>
    <row r="25849" ht="15.75" customHeight="1"/>
    <row r="25850" ht="15.75" customHeight="1"/>
    <row r="25851" ht="15.75" customHeight="1"/>
    <row r="25852" ht="15.75" customHeight="1"/>
    <row r="25853" ht="15.75" customHeight="1"/>
    <row r="25854" ht="15.75" customHeight="1"/>
    <row r="25855" ht="15.75" customHeight="1"/>
    <row r="25856" ht="15.75" customHeight="1"/>
    <row r="25857" ht="15.75" customHeight="1"/>
    <row r="25858" ht="15.75" customHeight="1"/>
    <row r="25859" ht="15.75" customHeight="1"/>
    <row r="25860" ht="15.75" customHeight="1"/>
    <row r="25861" ht="15.75" customHeight="1"/>
    <row r="25862" ht="15.75" customHeight="1"/>
    <row r="25863" ht="15.75" customHeight="1"/>
    <row r="25864" ht="15.75" customHeight="1"/>
    <row r="25865" ht="15.75" customHeight="1"/>
    <row r="25866" ht="15.75" customHeight="1"/>
    <row r="25867" ht="15.75" customHeight="1"/>
    <row r="25868" ht="15.75" customHeight="1"/>
    <row r="25869" ht="15.75" customHeight="1"/>
    <row r="25870" ht="15.75" customHeight="1"/>
    <row r="25871" ht="15.75" customHeight="1"/>
    <row r="25872" ht="15.75" customHeight="1"/>
    <row r="25873" ht="15.75" customHeight="1"/>
    <row r="25874" ht="15.75" customHeight="1"/>
    <row r="25875" ht="15.75" customHeight="1"/>
    <row r="25876" ht="15.75" customHeight="1"/>
    <row r="25877" ht="15.75" customHeight="1"/>
    <row r="25878" ht="15.75" customHeight="1"/>
    <row r="25879" ht="15.75" customHeight="1"/>
    <row r="25880" ht="15.75" customHeight="1"/>
    <row r="25881" ht="15.75" customHeight="1"/>
    <row r="25882" ht="15.75" customHeight="1"/>
    <row r="25883" ht="15.75" customHeight="1"/>
    <row r="25884" ht="15.75" customHeight="1"/>
    <row r="25885" ht="15.75" customHeight="1"/>
    <row r="25886" ht="15.75" customHeight="1"/>
    <row r="25887" ht="15.75" customHeight="1"/>
    <row r="25888" ht="15.75" customHeight="1"/>
    <row r="25889" ht="15.75" customHeight="1"/>
    <row r="25890" ht="15.75" customHeight="1"/>
    <row r="25891" ht="15.75" customHeight="1"/>
    <row r="25892" ht="15.75" customHeight="1"/>
    <row r="25893" ht="15.75" customHeight="1"/>
    <row r="25894" ht="15.75" customHeight="1"/>
    <row r="25895" ht="15.75" customHeight="1"/>
    <row r="25896" ht="15.75" customHeight="1"/>
    <row r="25897" ht="15.75" customHeight="1"/>
    <row r="25898" ht="15.75" customHeight="1"/>
    <row r="25899" ht="15.75" customHeight="1"/>
    <row r="25900" ht="15.75" customHeight="1"/>
    <row r="25901" ht="15.75" customHeight="1"/>
    <row r="25902" ht="15.75" customHeight="1"/>
    <row r="25903" ht="15.75" customHeight="1"/>
    <row r="25904" ht="15.75" customHeight="1"/>
    <row r="25905" ht="15.75" customHeight="1"/>
    <row r="25906" ht="15.75" customHeight="1"/>
    <row r="25907" ht="15.75" customHeight="1"/>
    <row r="25908" ht="15.75" customHeight="1"/>
    <row r="25909" ht="15.75" customHeight="1"/>
    <row r="25910" ht="15.75" customHeight="1"/>
    <row r="25911" ht="15.75" customHeight="1"/>
    <row r="25912" ht="15.75" customHeight="1"/>
    <row r="25913" ht="15.75" customHeight="1"/>
    <row r="25914" ht="15.75" customHeight="1"/>
    <row r="25915" ht="15.75" customHeight="1"/>
    <row r="25916" ht="15.75" customHeight="1"/>
    <row r="25917" ht="15.75" customHeight="1"/>
    <row r="25918" ht="15.75" customHeight="1"/>
    <row r="25919" ht="15.75" customHeight="1"/>
    <row r="25920" ht="15.75" customHeight="1"/>
    <row r="25921" ht="15.75" customHeight="1"/>
    <row r="25922" ht="15.75" customHeight="1"/>
    <row r="25923" ht="15.75" customHeight="1"/>
    <row r="25924" ht="15.75" customHeight="1"/>
    <row r="25925" ht="15.75" customHeight="1"/>
    <row r="25926" ht="15.75" customHeight="1"/>
    <row r="25927" ht="15.75" customHeight="1"/>
    <row r="25928" ht="15.75" customHeight="1"/>
    <row r="25929" ht="15.75" customHeight="1"/>
    <row r="25930" ht="15.75" customHeight="1"/>
    <row r="25931" ht="15.75" customHeight="1"/>
    <row r="25932" ht="15.75" customHeight="1"/>
    <row r="25933" ht="15.75" customHeight="1"/>
    <row r="25934" ht="15.75" customHeight="1"/>
    <row r="25935" ht="15.75" customHeight="1"/>
    <row r="25936" ht="15.75" customHeight="1"/>
    <row r="25937" ht="15.75" customHeight="1"/>
    <row r="25938" ht="15.75" customHeight="1"/>
    <row r="25939" ht="15.75" customHeight="1"/>
    <row r="25940" ht="15.75" customHeight="1"/>
    <row r="25941" ht="15.75" customHeight="1"/>
    <row r="25942" ht="15.75" customHeight="1"/>
    <row r="25943" ht="15.75" customHeight="1"/>
    <row r="25944" ht="15.75" customHeight="1"/>
    <row r="25945" ht="15.75" customHeight="1"/>
    <row r="25946" ht="15.75" customHeight="1"/>
    <row r="25947" ht="15.75" customHeight="1"/>
    <row r="25948" ht="15.75" customHeight="1"/>
    <row r="25949" ht="15.75" customHeight="1"/>
    <row r="25950" ht="15.75" customHeight="1"/>
    <row r="25951" ht="15.75" customHeight="1"/>
    <row r="25952" ht="15.75" customHeight="1"/>
    <row r="25953" ht="15.75" customHeight="1"/>
    <row r="25954" ht="15.75" customHeight="1"/>
    <row r="25955" ht="15.75" customHeight="1"/>
    <row r="25956" ht="15.75" customHeight="1"/>
    <row r="25957" ht="15.75" customHeight="1"/>
    <row r="25958" ht="15.75" customHeight="1"/>
    <row r="25959" ht="15.75" customHeight="1"/>
    <row r="25960" ht="15.75" customHeight="1"/>
    <row r="25961" ht="15.75" customHeight="1"/>
    <row r="25962" ht="15.75" customHeight="1"/>
    <row r="25963" ht="15.75" customHeight="1"/>
    <row r="25964" ht="15.75" customHeight="1"/>
    <row r="25965" ht="15.75" customHeight="1"/>
    <row r="25966" ht="15.75" customHeight="1"/>
    <row r="25967" ht="15.75" customHeight="1"/>
    <row r="25968" ht="15.75" customHeight="1"/>
    <row r="25969" ht="15.75" customHeight="1"/>
    <row r="25970" ht="15.75" customHeight="1"/>
    <row r="25971" ht="15.75" customHeight="1"/>
    <row r="25972" ht="15.75" customHeight="1"/>
    <row r="25973" ht="15.75" customHeight="1"/>
    <row r="25974" ht="15.75" customHeight="1"/>
    <row r="25975" ht="15.75" customHeight="1"/>
    <row r="25976" ht="15.75" customHeight="1"/>
    <row r="25977" ht="15.75" customHeight="1"/>
    <row r="25978" ht="15.75" customHeight="1"/>
    <row r="25979" ht="15.75" customHeight="1"/>
    <row r="25980" ht="15.75" customHeight="1"/>
    <row r="25981" ht="15.75" customHeight="1"/>
    <row r="25982" ht="15.75" customHeight="1"/>
    <row r="25983" ht="15.75" customHeight="1"/>
    <row r="25984" ht="15.75" customHeight="1"/>
    <row r="25985" ht="15.75" customHeight="1"/>
    <row r="25986" ht="15.75" customHeight="1"/>
    <row r="25987" ht="15.75" customHeight="1"/>
    <row r="25988" ht="15.75" customHeight="1"/>
    <row r="25989" ht="15.75" customHeight="1"/>
    <row r="25990" ht="15.75" customHeight="1"/>
    <row r="25991" ht="15.75" customHeight="1"/>
    <row r="25992" ht="15.75" customHeight="1"/>
    <row r="25993" ht="15.75" customHeight="1"/>
    <row r="25994" ht="15.75" customHeight="1"/>
    <row r="25995" ht="15.75" customHeight="1"/>
    <row r="25996" ht="15.75" customHeight="1"/>
    <row r="25997" ht="15.75" customHeight="1"/>
    <row r="25998" ht="15.75" customHeight="1"/>
    <row r="25999" ht="15.75" customHeight="1"/>
    <row r="26000" ht="15.75" customHeight="1"/>
    <row r="26001" ht="15.75" customHeight="1"/>
    <row r="26002" ht="15.75" customHeight="1"/>
    <row r="26003" ht="15.75" customHeight="1"/>
    <row r="26004" ht="15.75" customHeight="1"/>
    <row r="26005" ht="15.75" customHeight="1"/>
    <row r="26006" ht="15.75" customHeight="1"/>
    <row r="26007" ht="15.75" customHeight="1"/>
    <row r="26008" ht="15.75" customHeight="1"/>
    <row r="26009" ht="15.75" customHeight="1"/>
    <row r="26010" ht="15.75" customHeight="1"/>
    <row r="26011" ht="15.75" customHeight="1"/>
    <row r="26012" ht="15.75" customHeight="1"/>
    <row r="26013" ht="15.75" customHeight="1"/>
    <row r="26014" ht="15.75" customHeight="1"/>
    <row r="26015" ht="15.75" customHeight="1"/>
    <row r="26016" ht="15.75" customHeight="1"/>
    <row r="26017" ht="15.75" customHeight="1"/>
    <row r="26018" ht="15.75" customHeight="1"/>
    <row r="26019" ht="15.75" customHeight="1"/>
    <row r="26020" ht="15.75" customHeight="1"/>
    <row r="26021" ht="15.75" customHeight="1"/>
    <row r="26022" ht="15.75" customHeight="1"/>
    <row r="26023" ht="15.75" customHeight="1"/>
    <row r="26024" ht="15.75" customHeight="1"/>
    <row r="26025" ht="15.75" customHeight="1"/>
    <row r="26026" ht="15.75" customHeight="1"/>
    <row r="26027" ht="15.75" customHeight="1"/>
    <row r="26028" ht="15.75" customHeight="1"/>
    <row r="26029" ht="15.75" customHeight="1"/>
    <row r="26030" ht="15.75" customHeight="1"/>
    <row r="26031" ht="15.75" customHeight="1"/>
    <row r="26032" ht="15.75" customHeight="1"/>
    <row r="26033" ht="15.75" customHeight="1"/>
    <row r="26034" ht="15.75" customHeight="1"/>
    <row r="26035" ht="15.75" customHeight="1"/>
    <row r="26036" ht="15.75" customHeight="1"/>
    <row r="26037" ht="15.75" customHeight="1"/>
    <row r="26038" ht="15.75" customHeight="1"/>
    <row r="26039" ht="15.75" customHeight="1"/>
    <row r="26040" ht="15.75" customHeight="1"/>
    <row r="26041" ht="15.75" customHeight="1"/>
    <row r="26042" ht="15.75" customHeight="1"/>
    <row r="26043" ht="15.75" customHeight="1"/>
    <row r="26044" ht="15.75" customHeight="1"/>
    <row r="26045" ht="15.75" customHeight="1"/>
    <row r="26046" ht="15.75" customHeight="1"/>
    <row r="26047" ht="15.75" customHeight="1"/>
    <row r="26048" ht="15.75" customHeight="1"/>
    <row r="26049" ht="15.75" customHeight="1"/>
    <row r="26050" ht="15.75" customHeight="1"/>
    <row r="26051" ht="15.75" customHeight="1"/>
    <row r="26052" ht="15.75" customHeight="1"/>
    <row r="26053" ht="15.75" customHeight="1"/>
    <row r="26054" ht="15.75" customHeight="1"/>
    <row r="26055" ht="15.75" customHeight="1"/>
    <row r="26056" ht="15.75" customHeight="1"/>
    <row r="26057" ht="15.75" customHeight="1"/>
    <row r="26058" ht="15.75" customHeight="1"/>
    <row r="26059" ht="15.75" customHeight="1"/>
    <row r="26060" ht="15.75" customHeight="1"/>
    <row r="26061" ht="15.75" customHeight="1"/>
    <row r="26062" ht="15.75" customHeight="1"/>
    <row r="26063" ht="15.75" customHeight="1"/>
    <row r="26064" ht="15.75" customHeight="1"/>
    <row r="26065" ht="15.75" customHeight="1"/>
    <row r="26066" ht="15.75" customHeight="1"/>
    <row r="26067" ht="15.75" customHeight="1"/>
    <row r="26068" ht="15.75" customHeight="1"/>
    <row r="26069" ht="15.75" customHeight="1"/>
    <row r="26070" ht="15.75" customHeight="1"/>
    <row r="26071" ht="15.75" customHeight="1"/>
    <row r="26072" ht="15.75" customHeight="1"/>
    <row r="26073" ht="15.75" customHeight="1"/>
    <row r="26074" ht="15.75" customHeight="1"/>
    <row r="26075" ht="15.75" customHeight="1"/>
    <row r="26076" ht="15.75" customHeight="1"/>
    <row r="26077" ht="15.75" customHeight="1"/>
    <row r="26078" ht="15.75" customHeight="1"/>
    <row r="26079" ht="15.75" customHeight="1"/>
    <row r="26080" ht="15.75" customHeight="1"/>
    <row r="26081" ht="15.75" customHeight="1"/>
    <row r="26082" ht="15.75" customHeight="1"/>
    <row r="26083" ht="15.75" customHeight="1"/>
    <row r="26084" ht="15.75" customHeight="1"/>
    <row r="26085" ht="15.75" customHeight="1"/>
    <row r="26086" ht="15.75" customHeight="1"/>
    <row r="26087" ht="15.75" customHeight="1"/>
    <row r="26088" ht="15.75" customHeight="1"/>
    <row r="26089" ht="15.75" customHeight="1"/>
    <row r="26090" ht="15.75" customHeight="1"/>
    <row r="26091" ht="15.75" customHeight="1"/>
    <row r="26092" ht="15.75" customHeight="1"/>
    <row r="26093" ht="15.75" customHeight="1"/>
    <row r="26094" ht="15.75" customHeight="1"/>
    <row r="26095" ht="15.75" customHeight="1"/>
    <row r="26096" ht="15.75" customHeight="1"/>
    <row r="26097" ht="15.75" customHeight="1"/>
    <row r="26098" ht="15.75" customHeight="1"/>
    <row r="26099" ht="15.75" customHeight="1"/>
    <row r="26100" ht="15.75" customHeight="1"/>
    <row r="26101" ht="15.75" customHeight="1"/>
    <row r="26102" ht="15.75" customHeight="1"/>
    <row r="26103" ht="15.75" customHeight="1"/>
    <row r="26104" ht="15.75" customHeight="1"/>
    <row r="26105" ht="15.75" customHeight="1"/>
    <row r="26106" ht="15.75" customHeight="1"/>
    <row r="26107" ht="15.75" customHeight="1"/>
    <row r="26108" ht="15.75" customHeight="1"/>
    <row r="26109" ht="15.75" customHeight="1"/>
    <row r="26110" ht="15.75" customHeight="1"/>
    <row r="26111" ht="15.75" customHeight="1"/>
    <row r="26112" ht="15.75" customHeight="1"/>
    <row r="26113" ht="15.75" customHeight="1"/>
    <row r="26114" ht="15.75" customHeight="1"/>
    <row r="26115" ht="15.75" customHeight="1"/>
    <row r="26116" ht="15.75" customHeight="1"/>
    <row r="26117" ht="15.75" customHeight="1"/>
    <row r="26118" ht="15.75" customHeight="1"/>
    <row r="26119" ht="15.75" customHeight="1"/>
    <row r="26120" ht="15.75" customHeight="1"/>
    <row r="26121" ht="15.75" customHeight="1"/>
    <row r="26122" ht="15.75" customHeight="1"/>
    <row r="26123" ht="15.75" customHeight="1"/>
    <row r="26124" ht="15.75" customHeight="1"/>
    <row r="26125" ht="15.75" customHeight="1"/>
    <row r="26126" ht="15.75" customHeight="1"/>
    <row r="26127" ht="15.75" customHeight="1"/>
    <row r="26128" ht="15.75" customHeight="1"/>
    <row r="26129" ht="15.75" customHeight="1"/>
    <row r="26130" ht="15.75" customHeight="1"/>
    <row r="26131" ht="15.75" customHeight="1"/>
    <row r="26132" ht="15.75" customHeight="1"/>
    <row r="26133" ht="15.75" customHeight="1"/>
    <row r="26134" ht="15.75" customHeight="1"/>
    <row r="26135" ht="15.75" customHeight="1"/>
    <row r="26136" ht="15.75" customHeight="1"/>
    <row r="26137" ht="15.75" customHeight="1"/>
    <row r="26138" ht="15.75" customHeight="1"/>
    <row r="26139" ht="15.75" customHeight="1"/>
    <row r="26140" ht="15.75" customHeight="1"/>
    <row r="26141" ht="15.75" customHeight="1"/>
    <row r="26142" ht="15.75" customHeight="1"/>
    <row r="26143" ht="15.75" customHeight="1"/>
    <row r="26144" ht="15.75" customHeight="1"/>
    <row r="26145" ht="15.75" customHeight="1"/>
    <row r="26146" ht="15.75" customHeight="1"/>
    <row r="26147" ht="15.75" customHeight="1"/>
    <row r="26148" ht="15.75" customHeight="1"/>
    <row r="26149" ht="15.75" customHeight="1"/>
    <row r="26150" ht="15.75" customHeight="1"/>
    <row r="26151" ht="15.75" customHeight="1"/>
    <row r="26152" ht="15.75" customHeight="1"/>
    <row r="26153" ht="15.75" customHeight="1"/>
    <row r="26154" ht="15.75" customHeight="1"/>
    <row r="26155" ht="15.75" customHeight="1"/>
    <row r="26156" ht="15.75" customHeight="1"/>
    <row r="26157" ht="15.75" customHeight="1"/>
    <row r="26158" ht="15.75" customHeight="1"/>
    <row r="26159" ht="15.75" customHeight="1"/>
    <row r="26160" ht="15.75" customHeight="1"/>
    <row r="26161" ht="15.75" customHeight="1"/>
    <row r="26162" ht="15.75" customHeight="1"/>
    <row r="26163" ht="15.75" customHeight="1"/>
    <row r="26164" ht="15.75" customHeight="1"/>
    <row r="26165" ht="15.75" customHeight="1"/>
    <row r="26166" ht="15.75" customHeight="1"/>
    <row r="26167" ht="15.75" customHeight="1"/>
    <row r="26168" ht="15.75" customHeight="1"/>
    <row r="26169" ht="15.75" customHeight="1"/>
    <row r="26170" ht="15.75" customHeight="1"/>
    <row r="26171" ht="15.75" customHeight="1"/>
    <row r="26172" ht="15.75" customHeight="1"/>
    <row r="26173" ht="15.75" customHeight="1"/>
    <row r="26174" ht="15.75" customHeight="1"/>
    <row r="26175" ht="15.75" customHeight="1"/>
    <row r="26176" ht="15.75" customHeight="1"/>
    <row r="26177" ht="15.75" customHeight="1"/>
    <row r="26178" ht="15.75" customHeight="1"/>
    <row r="26179" ht="15.75" customHeight="1"/>
    <row r="26180" ht="15.75" customHeight="1"/>
    <row r="26181" ht="15.75" customHeight="1"/>
    <row r="26182" ht="15.75" customHeight="1"/>
    <row r="26183" ht="15.75" customHeight="1"/>
    <row r="26184" ht="15.75" customHeight="1"/>
    <row r="26185" ht="15.75" customHeight="1"/>
    <row r="26186" ht="15.75" customHeight="1"/>
    <row r="26187" ht="15.75" customHeight="1"/>
    <row r="26188" ht="15.75" customHeight="1"/>
    <row r="26189" ht="15.75" customHeight="1"/>
    <row r="26190" ht="15.75" customHeight="1"/>
    <row r="26191" ht="15.75" customHeight="1"/>
    <row r="26192" ht="15.75" customHeight="1"/>
    <row r="26193" ht="15.75" customHeight="1"/>
    <row r="26194" ht="15.75" customHeight="1"/>
    <row r="26195" ht="15.75" customHeight="1"/>
    <row r="26196" ht="15.75" customHeight="1"/>
    <row r="26197" ht="15.75" customHeight="1"/>
    <row r="26198" ht="15.75" customHeight="1"/>
    <row r="26199" ht="15.75" customHeight="1"/>
    <row r="26200" ht="15.75" customHeight="1"/>
    <row r="26201" ht="15.75" customHeight="1"/>
    <row r="26202" ht="15.75" customHeight="1"/>
    <row r="26203" ht="15.75" customHeight="1"/>
    <row r="26204" ht="15.75" customHeight="1"/>
    <row r="26205" ht="15.75" customHeight="1"/>
    <row r="26206" ht="15.75" customHeight="1"/>
    <row r="26207" ht="15.75" customHeight="1"/>
    <row r="26208" ht="15.75" customHeight="1"/>
    <row r="26209" ht="15.75" customHeight="1"/>
    <row r="26210" ht="15.75" customHeight="1"/>
    <row r="26211" ht="15.75" customHeight="1"/>
    <row r="26212" ht="15.75" customHeight="1"/>
    <row r="26213" ht="15.75" customHeight="1"/>
    <row r="26214" ht="15.75" customHeight="1"/>
    <row r="26215" ht="15.75" customHeight="1"/>
    <row r="26216" ht="15.75" customHeight="1"/>
    <row r="26217" ht="15.75" customHeight="1"/>
    <row r="26218" ht="15.75" customHeight="1"/>
    <row r="26219" ht="15.75" customHeight="1"/>
    <row r="26220" ht="15.75" customHeight="1"/>
    <row r="26221" ht="15.75" customHeight="1"/>
    <row r="26222" ht="15.75" customHeight="1"/>
    <row r="26223" ht="15.75" customHeight="1"/>
    <row r="26224" ht="15.75" customHeight="1"/>
    <row r="26225" ht="15.75" customHeight="1"/>
    <row r="26226" ht="15.75" customHeight="1"/>
    <row r="26227" ht="15.75" customHeight="1"/>
    <row r="26228" ht="15.75" customHeight="1"/>
    <row r="26229" ht="15.75" customHeight="1"/>
    <row r="26230" ht="15.75" customHeight="1"/>
    <row r="26231" ht="15.75" customHeight="1"/>
    <row r="26232" ht="15.75" customHeight="1"/>
    <row r="26233" ht="15.75" customHeight="1"/>
    <row r="26234" ht="15.75" customHeight="1"/>
    <row r="26235" ht="15.75" customHeight="1"/>
    <row r="26236" ht="15.75" customHeight="1"/>
    <row r="26237" ht="15.75" customHeight="1"/>
    <row r="26238" ht="15.75" customHeight="1"/>
    <row r="26239" ht="15.75" customHeight="1"/>
    <row r="26240" ht="15.75" customHeight="1"/>
    <row r="26241" ht="15.75" customHeight="1"/>
    <row r="26242" ht="15.75" customHeight="1"/>
    <row r="26243" ht="15.75" customHeight="1"/>
    <row r="26244" ht="15.75" customHeight="1"/>
    <row r="26245" ht="15.75" customHeight="1"/>
    <row r="26246" ht="15.75" customHeight="1"/>
    <row r="26247" ht="15.75" customHeight="1"/>
    <row r="26248" ht="15.75" customHeight="1"/>
    <row r="26249" ht="15.75" customHeight="1"/>
    <row r="26250" ht="15.75" customHeight="1"/>
    <row r="26251" ht="15.75" customHeight="1"/>
    <row r="26252" ht="15.75" customHeight="1"/>
    <row r="26253" ht="15.75" customHeight="1"/>
    <row r="26254" ht="15.75" customHeight="1"/>
    <row r="26255" ht="15.75" customHeight="1"/>
    <row r="26256" ht="15.75" customHeight="1"/>
    <row r="26257" ht="15.75" customHeight="1"/>
    <row r="26258" ht="15.75" customHeight="1"/>
    <row r="26259" ht="15.75" customHeight="1"/>
    <row r="26260" ht="15.75" customHeight="1"/>
    <row r="26261" ht="15.75" customHeight="1"/>
    <row r="26262" ht="15.75" customHeight="1"/>
    <row r="26263" ht="15.75" customHeight="1"/>
    <row r="26264" ht="15.75" customHeight="1"/>
    <row r="26265" ht="15.75" customHeight="1"/>
    <row r="26266" ht="15.75" customHeight="1"/>
    <row r="26267" ht="15.75" customHeight="1"/>
    <row r="26268" ht="15.75" customHeight="1"/>
    <row r="26269" ht="15.75" customHeight="1"/>
    <row r="26270" ht="15.75" customHeight="1"/>
    <row r="26271" ht="15.75" customHeight="1"/>
    <row r="26272" ht="15.75" customHeight="1"/>
    <row r="26273" ht="15.75" customHeight="1"/>
    <row r="26274" ht="15.75" customHeight="1"/>
    <row r="26275" ht="15.75" customHeight="1"/>
    <row r="26276" ht="15.75" customHeight="1"/>
    <row r="26277" ht="15.75" customHeight="1"/>
    <row r="26278" ht="15.75" customHeight="1"/>
    <row r="26279" ht="15.75" customHeight="1"/>
    <row r="26280" ht="15.75" customHeight="1"/>
    <row r="26281" ht="15.75" customHeight="1"/>
    <row r="26282" ht="15.75" customHeight="1"/>
    <row r="26283" ht="15.75" customHeight="1"/>
    <row r="26284" ht="15.75" customHeight="1"/>
    <row r="26285" ht="15.75" customHeight="1"/>
    <row r="26286" ht="15.75" customHeight="1"/>
    <row r="26287" ht="15.75" customHeight="1"/>
    <row r="26288" ht="15.75" customHeight="1"/>
    <row r="26289" ht="15.75" customHeight="1"/>
    <row r="26290" ht="15.75" customHeight="1"/>
    <row r="26291" ht="15.75" customHeight="1"/>
    <row r="26292" ht="15.75" customHeight="1"/>
    <row r="26293" ht="15.75" customHeight="1"/>
    <row r="26294" ht="15.75" customHeight="1"/>
    <row r="26295" ht="15.75" customHeight="1"/>
    <row r="26296" ht="15.75" customHeight="1"/>
    <row r="26297" ht="15.75" customHeight="1"/>
    <row r="26298" ht="15.75" customHeight="1"/>
    <row r="26299" ht="15.75" customHeight="1"/>
    <row r="26300" ht="15.75" customHeight="1"/>
    <row r="26301" ht="15.75" customHeight="1"/>
    <row r="26302" ht="15.75" customHeight="1"/>
    <row r="26303" ht="15.75" customHeight="1"/>
    <row r="26304" ht="15.75" customHeight="1"/>
    <row r="26305" ht="15.75" customHeight="1"/>
    <row r="26306" ht="15.75" customHeight="1"/>
    <row r="26307" ht="15.75" customHeight="1"/>
    <row r="26308" ht="15.75" customHeight="1"/>
    <row r="26309" ht="15.75" customHeight="1"/>
    <row r="26310" ht="15.75" customHeight="1"/>
    <row r="26311" ht="15.75" customHeight="1"/>
    <row r="26312" ht="15.75" customHeight="1"/>
    <row r="26313" ht="15.75" customHeight="1"/>
    <row r="26314" ht="15.75" customHeight="1"/>
    <row r="26315" ht="15.75" customHeight="1"/>
    <row r="26316" ht="15.75" customHeight="1"/>
    <row r="26317" ht="15.75" customHeight="1"/>
    <row r="26318" ht="15.75" customHeight="1"/>
    <row r="26319" ht="15.75" customHeight="1"/>
    <row r="26320" ht="15.75" customHeight="1"/>
    <row r="26321" ht="15.75" customHeight="1"/>
    <row r="26322" ht="15.75" customHeight="1"/>
    <row r="26323" ht="15.75" customHeight="1"/>
    <row r="26324" ht="15.75" customHeight="1"/>
    <row r="26325" ht="15.75" customHeight="1"/>
    <row r="26326" ht="15.75" customHeight="1"/>
    <row r="26327" ht="15.75" customHeight="1"/>
    <row r="26328" ht="15.75" customHeight="1"/>
    <row r="26329" ht="15.75" customHeight="1"/>
    <row r="26330" ht="15.75" customHeight="1"/>
    <row r="26331" ht="15.75" customHeight="1"/>
    <row r="26332" ht="15.75" customHeight="1"/>
    <row r="26333" ht="15.75" customHeight="1"/>
    <row r="26334" ht="15.75" customHeight="1"/>
    <row r="26335" ht="15.75" customHeight="1"/>
    <row r="26336" ht="15.75" customHeight="1"/>
    <row r="26337" ht="15.75" customHeight="1"/>
    <row r="26338" ht="15.75" customHeight="1"/>
    <row r="26339" ht="15.75" customHeight="1"/>
    <row r="26340" ht="15.75" customHeight="1"/>
    <row r="26341" ht="15.75" customHeight="1"/>
    <row r="26342" ht="15.75" customHeight="1"/>
    <row r="26343" ht="15.75" customHeight="1"/>
    <row r="26344" ht="15.75" customHeight="1"/>
    <row r="26345" ht="15.75" customHeight="1"/>
    <row r="26346" ht="15.75" customHeight="1"/>
    <row r="26347" ht="15.75" customHeight="1"/>
    <row r="26348" ht="15.75" customHeight="1"/>
    <row r="26349" ht="15.75" customHeight="1"/>
    <row r="26350" ht="15.75" customHeight="1"/>
    <row r="26351" ht="15.75" customHeight="1"/>
    <row r="26352" ht="15.75" customHeight="1"/>
    <row r="26353" ht="15.75" customHeight="1"/>
    <row r="26354" ht="15.75" customHeight="1"/>
    <row r="26355" ht="15.75" customHeight="1"/>
    <row r="26356" ht="15.75" customHeight="1"/>
    <row r="26357" ht="15.75" customHeight="1"/>
    <row r="26358" ht="15.75" customHeight="1"/>
    <row r="26359" ht="15.75" customHeight="1"/>
    <row r="26360" ht="15.75" customHeight="1"/>
    <row r="26361" ht="15.75" customHeight="1"/>
    <row r="26362" ht="15.75" customHeight="1"/>
    <row r="26363" ht="15.75" customHeight="1"/>
    <row r="26364" ht="15.75" customHeight="1"/>
    <row r="26365" ht="15.75" customHeight="1"/>
    <row r="26366" ht="15.75" customHeight="1"/>
    <row r="26367" ht="15.75" customHeight="1"/>
    <row r="26368" ht="15.75" customHeight="1"/>
    <row r="26369" ht="15.75" customHeight="1"/>
    <row r="26370" ht="15.75" customHeight="1"/>
    <row r="26371" ht="15.75" customHeight="1"/>
    <row r="26372" ht="15.75" customHeight="1"/>
    <row r="26373" ht="15.75" customHeight="1"/>
    <row r="26374" ht="15.75" customHeight="1"/>
    <row r="26375" ht="15.75" customHeight="1"/>
    <row r="26376" ht="15.75" customHeight="1"/>
    <row r="26377" ht="15.75" customHeight="1"/>
    <row r="26378" ht="15.75" customHeight="1"/>
    <row r="26379" ht="15.75" customHeight="1"/>
    <row r="26380" ht="15.75" customHeight="1"/>
    <row r="26381" ht="15.75" customHeight="1"/>
    <row r="26382" ht="15.75" customHeight="1"/>
    <row r="26383" ht="15.75" customHeight="1"/>
    <row r="26384" ht="15.75" customHeight="1"/>
    <row r="26385" ht="15.75" customHeight="1"/>
    <row r="26386" ht="15.75" customHeight="1"/>
    <row r="26387" ht="15.75" customHeight="1"/>
    <row r="26388" ht="15.75" customHeight="1"/>
    <row r="26389" ht="15.75" customHeight="1"/>
    <row r="26390" ht="15.75" customHeight="1"/>
    <row r="26391" ht="15.75" customHeight="1"/>
    <row r="26392" ht="15.75" customHeight="1"/>
    <row r="26393" ht="15.75" customHeight="1"/>
    <row r="26394" ht="15.75" customHeight="1"/>
    <row r="26395" ht="15.75" customHeight="1"/>
    <row r="26396" ht="15.75" customHeight="1"/>
    <row r="26397" ht="15.75" customHeight="1"/>
    <row r="26398" ht="15.75" customHeight="1"/>
    <row r="26399" ht="15.75" customHeight="1"/>
    <row r="26400" ht="15.75" customHeight="1"/>
    <row r="26401" ht="15.75" customHeight="1"/>
    <row r="26402" ht="15.75" customHeight="1"/>
    <row r="26403" ht="15.75" customHeight="1"/>
    <row r="26404" ht="15.75" customHeight="1"/>
    <row r="26405" ht="15.75" customHeight="1"/>
    <row r="26406" ht="15.75" customHeight="1"/>
    <row r="26407" ht="15.75" customHeight="1"/>
    <row r="26408" ht="15.75" customHeight="1"/>
    <row r="26409" ht="15.75" customHeight="1"/>
    <row r="26410" ht="15.75" customHeight="1"/>
    <row r="26411" ht="15.75" customHeight="1"/>
    <row r="26412" ht="15.75" customHeight="1"/>
    <row r="26413" ht="15.75" customHeight="1"/>
    <row r="26414" ht="15.75" customHeight="1"/>
    <row r="26415" ht="15.75" customHeight="1"/>
    <row r="26416" ht="15.75" customHeight="1"/>
    <row r="26417" ht="15.75" customHeight="1"/>
    <row r="26418" ht="15.75" customHeight="1"/>
    <row r="26419" ht="15.75" customHeight="1"/>
    <row r="26420" ht="15.75" customHeight="1"/>
    <row r="26421" ht="15.75" customHeight="1"/>
    <row r="26422" ht="15.75" customHeight="1"/>
    <row r="26423" ht="15.75" customHeight="1"/>
    <row r="26424" ht="15.75" customHeight="1"/>
    <row r="26425" ht="15.75" customHeight="1"/>
    <row r="26426" ht="15.75" customHeight="1"/>
    <row r="26427" ht="15.75" customHeight="1"/>
    <row r="26428" ht="15.75" customHeight="1"/>
    <row r="26429" ht="15.75" customHeight="1"/>
    <row r="26430" ht="15.75" customHeight="1"/>
    <row r="26431" ht="15.75" customHeight="1"/>
    <row r="26432" ht="15.75" customHeight="1"/>
    <row r="26433" ht="15.75" customHeight="1"/>
    <row r="26434" ht="15.75" customHeight="1"/>
    <row r="26435" ht="15.75" customHeight="1"/>
    <row r="26436" ht="15.75" customHeight="1"/>
    <row r="26437" ht="15.75" customHeight="1"/>
    <row r="26438" ht="15.75" customHeight="1"/>
    <row r="26439" ht="15.75" customHeight="1"/>
    <row r="26440" ht="15.75" customHeight="1"/>
    <row r="26441" ht="15.75" customHeight="1"/>
    <row r="26442" ht="15.75" customHeight="1"/>
    <row r="26443" ht="15.75" customHeight="1"/>
    <row r="26444" ht="15.75" customHeight="1"/>
    <row r="26445" ht="15.75" customHeight="1"/>
    <row r="26446" ht="15.75" customHeight="1"/>
    <row r="26447" ht="15.75" customHeight="1"/>
    <row r="26448" ht="15.75" customHeight="1"/>
    <row r="26449" ht="15.75" customHeight="1"/>
    <row r="26450" ht="15.75" customHeight="1"/>
    <row r="26451" ht="15.75" customHeight="1"/>
    <row r="26452" ht="15.75" customHeight="1"/>
    <row r="26453" ht="15.75" customHeight="1"/>
    <row r="26454" ht="15.75" customHeight="1"/>
    <row r="26455" ht="15.75" customHeight="1"/>
    <row r="26456" ht="15.75" customHeight="1"/>
    <row r="26457" ht="15.75" customHeight="1"/>
    <row r="26458" ht="15.75" customHeight="1"/>
    <row r="26459" ht="15.75" customHeight="1"/>
    <row r="26460" ht="15.75" customHeight="1"/>
    <row r="26461" ht="15.75" customHeight="1"/>
    <row r="26462" ht="15.75" customHeight="1"/>
    <row r="26463" ht="15.75" customHeight="1"/>
    <row r="26464" ht="15.75" customHeight="1"/>
    <row r="26465" ht="15.75" customHeight="1"/>
    <row r="26466" ht="15.75" customHeight="1"/>
    <row r="26467" ht="15.75" customHeight="1"/>
    <row r="26468" ht="15.75" customHeight="1"/>
    <row r="26469" ht="15.75" customHeight="1"/>
    <row r="26470" ht="15.75" customHeight="1"/>
    <row r="26471" ht="15.75" customHeight="1"/>
    <row r="26472" ht="15.75" customHeight="1"/>
    <row r="26473" ht="15.75" customHeight="1"/>
    <row r="26474" ht="15.75" customHeight="1"/>
    <row r="26475" ht="15.75" customHeight="1"/>
    <row r="26476" ht="15.75" customHeight="1"/>
    <row r="26477" ht="15.75" customHeight="1"/>
    <row r="26478" ht="15.75" customHeight="1"/>
    <row r="26479" ht="15.75" customHeight="1"/>
    <row r="26480" ht="15.75" customHeight="1"/>
    <row r="26481" ht="15.75" customHeight="1"/>
    <row r="26482" ht="15.75" customHeight="1"/>
    <row r="26483" ht="15.75" customHeight="1"/>
    <row r="26484" ht="15.75" customHeight="1"/>
    <row r="26485" ht="15.75" customHeight="1"/>
    <row r="26486" ht="15.75" customHeight="1"/>
    <row r="26487" ht="15.75" customHeight="1"/>
    <row r="26488" ht="15.75" customHeight="1"/>
    <row r="26489" ht="15.75" customHeight="1"/>
    <row r="26490" ht="15.75" customHeight="1"/>
    <row r="26491" ht="15.75" customHeight="1"/>
    <row r="26492" ht="15.75" customHeight="1"/>
    <row r="26493" ht="15.75" customHeight="1"/>
    <row r="26494" ht="15.75" customHeight="1"/>
    <row r="26495" ht="15.75" customHeight="1"/>
    <row r="26496" ht="15.75" customHeight="1"/>
    <row r="26497" ht="15.75" customHeight="1"/>
    <row r="26498" ht="15.75" customHeight="1"/>
    <row r="26499" ht="15.75" customHeight="1"/>
    <row r="26500" ht="15.75" customHeight="1"/>
    <row r="26501" ht="15.75" customHeight="1"/>
    <row r="26502" ht="15.75" customHeight="1"/>
    <row r="26503" ht="15.75" customHeight="1"/>
    <row r="26504" ht="15.75" customHeight="1"/>
    <row r="26505" ht="15.75" customHeight="1"/>
    <row r="26506" ht="15.75" customHeight="1"/>
    <row r="26507" ht="15.75" customHeight="1"/>
    <row r="26508" ht="15.75" customHeight="1"/>
    <row r="26509" ht="15.75" customHeight="1"/>
    <row r="26510" ht="15.75" customHeight="1"/>
    <row r="26511" ht="15.75" customHeight="1"/>
    <row r="26512" ht="15.75" customHeight="1"/>
    <row r="26513" ht="15.75" customHeight="1"/>
    <row r="26514" ht="15.75" customHeight="1"/>
    <row r="26515" ht="15.75" customHeight="1"/>
    <row r="26516" ht="15.75" customHeight="1"/>
    <row r="26517" ht="15.75" customHeight="1"/>
    <row r="26518" ht="15.75" customHeight="1"/>
    <row r="26519" ht="15.75" customHeight="1"/>
    <row r="26520" ht="15.75" customHeight="1"/>
    <row r="26521" ht="15.75" customHeight="1"/>
    <row r="26522" ht="15.75" customHeight="1"/>
    <row r="26523" ht="15.75" customHeight="1"/>
    <row r="26524" ht="15.75" customHeight="1"/>
    <row r="26525" ht="15.75" customHeight="1"/>
    <row r="26526" ht="15.75" customHeight="1"/>
    <row r="26527" ht="15.75" customHeight="1"/>
    <row r="26528" ht="15.75" customHeight="1"/>
    <row r="26529" ht="15.75" customHeight="1"/>
    <row r="26530" ht="15.75" customHeight="1"/>
    <row r="26531" ht="15.75" customHeight="1"/>
    <row r="26532" ht="15.75" customHeight="1"/>
    <row r="26533" ht="15.75" customHeight="1"/>
    <row r="26534" ht="15.75" customHeight="1"/>
    <row r="26535" ht="15.75" customHeight="1"/>
    <row r="26536" ht="15.75" customHeight="1"/>
    <row r="26537" ht="15.75" customHeight="1"/>
    <row r="26538" ht="15.75" customHeight="1"/>
    <row r="26539" ht="15.75" customHeight="1"/>
    <row r="26540" ht="15.75" customHeight="1"/>
    <row r="26541" ht="15.75" customHeight="1"/>
    <row r="26542" ht="15.75" customHeight="1"/>
    <row r="26543" ht="15.75" customHeight="1"/>
    <row r="26544" ht="15.75" customHeight="1"/>
    <row r="26545" ht="15.75" customHeight="1"/>
    <row r="26546" ht="15.75" customHeight="1"/>
    <row r="26547" ht="15.75" customHeight="1"/>
    <row r="26548" ht="15.75" customHeight="1"/>
    <row r="26549" ht="15.75" customHeight="1"/>
    <row r="26550" ht="15.75" customHeight="1"/>
    <row r="26551" ht="15.75" customHeight="1"/>
    <row r="26552" ht="15.75" customHeight="1"/>
    <row r="26553" ht="15.75" customHeight="1"/>
    <row r="26554" ht="15.75" customHeight="1"/>
    <row r="26555" ht="15.75" customHeight="1"/>
    <row r="26556" ht="15.75" customHeight="1"/>
    <row r="26557" ht="15.75" customHeight="1"/>
    <row r="26558" ht="15.75" customHeight="1"/>
    <row r="26559" ht="15.75" customHeight="1"/>
    <row r="26560" ht="15.75" customHeight="1"/>
    <row r="26561" ht="15.75" customHeight="1"/>
    <row r="26562" ht="15.75" customHeight="1"/>
    <row r="26563" ht="15.75" customHeight="1"/>
    <row r="26564" ht="15.75" customHeight="1"/>
    <row r="26565" ht="15.75" customHeight="1"/>
    <row r="26566" ht="15.75" customHeight="1"/>
    <row r="26567" ht="15.75" customHeight="1"/>
    <row r="26568" ht="15.75" customHeight="1"/>
    <row r="26569" ht="15.75" customHeight="1"/>
    <row r="26570" ht="15.75" customHeight="1"/>
    <row r="26571" ht="15.75" customHeight="1"/>
    <row r="26572" ht="15.75" customHeight="1"/>
    <row r="26573" ht="15.75" customHeight="1"/>
    <row r="26574" ht="15.75" customHeight="1"/>
    <row r="26575" ht="15.75" customHeight="1"/>
    <row r="26576" ht="15.75" customHeight="1"/>
    <row r="26577" ht="15.75" customHeight="1"/>
    <row r="26578" ht="15.75" customHeight="1"/>
    <row r="26579" ht="15.75" customHeight="1"/>
    <row r="26580" ht="15.75" customHeight="1"/>
    <row r="26581" ht="15.75" customHeight="1"/>
    <row r="26582" ht="15.75" customHeight="1"/>
    <row r="26583" ht="15.75" customHeight="1"/>
    <row r="26584" ht="15.75" customHeight="1"/>
    <row r="26585" ht="15.75" customHeight="1"/>
    <row r="26586" ht="15.75" customHeight="1"/>
    <row r="26587" ht="15.75" customHeight="1"/>
    <row r="26588" ht="15.75" customHeight="1"/>
    <row r="26589" ht="15.75" customHeight="1"/>
    <row r="26590" ht="15.75" customHeight="1"/>
    <row r="26591" ht="15.75" customHeight="1"/>
    <row r="26592" ht="15.75" customHeight="1"/>
    <row r="26593" ht="15.75" customHeight="1"/>
    <row r="26594" ht="15.75" customHeight="1"/>
    <row r="26595" ht="15.75" customHeight="1"/>
    <row r="26596" ht="15.75" customHeight="1"/>
    <row r="26597" ht="15.75" customHeight="1"/>
    <row r="26598" ht="15.75" customHeight="1"/>
    <row r="26599" ht="15.75" customHeight="1"/>
    <row r="26600" ht="15.75" customHeight="1"/>
    <row r="26601" ht="15.75" customHeight="1"/>
    <row r="26602" ht="15.75" customHeight="1"/>
    <row r="26603" ht="15.75" customHeight="1"/>
    <row r="26604" ht="15.75" customHeight="1"/>
    <row r="26605" ht="15.75" customHeight="1"/>
    <row r="26606" ht="15.75" customHeight="1"/>
    <row r="26607" ht="15.75" customHeight="1"/>
    <row r="26608" ht="15.75" customHeight="1"/>
    <row r="26609" ht="15.75" customHeight="1"/>
    <row r="26610" ht="15.75" customHeight="1"/>
    <row r="26611" ht="15.75" customHeight="1"/>
    <row r="26612" ht="15.75" customHeight="1"/>
    <row r="26613" ht="15.75" customHeight="1"/>
    <row r="26614" ht="15.75" customHeight="1"/>
    <row r="26615" ht="15.75" customHeight="1"/>
    <row r="26616" ht="15.75" customHeight="1"/>
    <row r="26617" ht="15.75" customHeight="1"/>
    <row r="26618" ht="15.75" customHeight="1"/>
    <row r="26619" ht="15.75" customHeight="1"/>
    <row r="26620" ht="15.75" customHeight="1"/>
    <row r="26621" ht="15.75" customHeight="1"/>
    <row r="26622" ht="15.75" customHeight="1"/>
    <row r="26623" ht="15.75" customHeight="1"/>
    <row r="26624" ht="15.75" customHeight="1"/>
    <row r="26625" ht="15.75" customHeight="1"/>
    <row r="26626" ht="15.75" customHeight="1"/>
    <row r="26627" ht="15.75" customHeight="1"/>
    <row r="26628" ht="15.75" customHeight="1"/>
    <row r="26629" ht="15.75" customHeight="1"/>
    <row r="26630" ht="15.75" customHeight="1"/>
    <row r="26631" ht="15.75" customHeight="1"/>
    <row r="26632" ht="15.75" customHeight="1"/>
    <row r="26633" ht="15.75" customHeight="1"/>
    <row r="26634" ht="15.75" customHeight="1"/>
    <row r="26635" ht="15.75" customHeight="1"/>
    <row r="26636" ht="15.75" customHeight="1"/>
    <row r="26637" ht="15.75" customHeight="1"/>
    <row r="26638" ht="15.75" customHeight="1"/>
    <row r="26639" ht="15.75" customHeight="1"/>
    <row r="26640" ht="15.75" customHeight="1"/>
    <row r="26641" ht="15.75" customHeight="1"/>
    <row r="26642" ht="15.75" customHeight="1"/>
    <row r="26643" ht="15.75" customHeight="1"/>
    <row r="26644" ht="15.75" customHeight="1"/>
    <row r="26645" ht="15.75" customHeight="1"/>
    <row r="26646" ht="15.75" customHeight="1"/>
    <row r="26647" ht="15.75" customHeight="1"/>
    <row r="26648" ht="15.75" customHeight="1"/>
    <row r="26649" ht="15.75" customHeight="1"/>
    <row r="26650" ht="15.75" customHeight="1"/>
    <row r="26651" ht="15.75" customHeight="1"/>
    <row r="26652" ht="15.75" customHeight="1"/>
    <row r="26653" ht="15.75" customHeight="1"/>
    <row r="26654" ht="15.75" customHeight="1"/>
    <row r="26655" ht="15.75" customHeight="1"/>
    <row r="26656" ht="15.75" customHeight="1"/>
    <row r="26657" ht="15.75" customHeight="1"/>
    <row r="26658" ht="15.75" customHeight="1"/>
    <row r="26659" ht="15.75" customHeight="1"/>
    <row r="26660" ht="15.75" customHeight="1"/>
    <row r="26661" ht="15.75" customHeight="1"/>
    <row r="26662" ht="15.75" customHeight="1"/>
    <row r="26663" ht="15.75" customHeight="1"/>
    <row r="26664" ht="15.75" customHeight="1"/>
    <row r="26665" ht="15.75" customHeight="1"/>
    <row r="26666" ht="15.75" customHeight="1"/>
    <row r="26667" ht="15.75" customHeight="1"/>
    <row r="26668" ht="15.75" customHeight="1"/>
    <row r="26669" ht="15.75" customHeight="1"/>
    <row r="26670" ht="15.75" customHeight="1"/>
    <row r="26671" ht="15.75" customHeight="1"/>
    <row r="26672" ht="15.75" customHeight="1"/>
    <row r="26673" ht="15.75" customHeight="1"/>
    <row r="26674" ht="15.75" customHeight="1"/>
    <row r="26675" ht="15.75" customHeight="1"/>
    <row r="26676" ht="15.75" customHeight="1"/>
    <row r="26677" ht="15.75" customHeight="1"/>
    <row r="26678" ht="15.75" customHeight="1"/>
    <row r="26679" ht="15.75" customHeight="1"/>
    <row r="26680" ht="15.75" customHeight="1"/>
    <row r="26681" ht="15.75" customHeight="1"/>
    <row r="26682" ht="15.75" customHeight="1"/>
    <row r="26683" ht="15.75" customHeight="1"/>
    <row r="26684" ht="15.75" customHeight="1"/>
    <row r="26685" ht="15.75" customHeight="1"/>
    <row r="26686" ht="15.75" customHeight="1"/>
    <row r="26687" ht="15.75" customHeight="1"/>
    <row r="26688" ht="15.75" customHeight="1"/>
    <row r="26689" ht="15.75" customHeight="1"/>
    <row r="26690" ht="15.75" customHeight="1"/>
    <row r="26691" ht="15.75" customHeight="1"/>
    <row r="26692" ht="15.75" customHeight="1"/>
    <row r="26693" ht="15.75" customHeight="1"/>
    <row r="26694" ht="15.75" customHeight="1"/>
    <row r="26695" ht="15.75" customHeight="1"/>
    <row r="26696" ht="15.75" customHeight="1"/>
    <row r="26697" ht="15.75" customHeight="1"/>
    <row r="26698" ht="15.75" customHeight="1"/>
    <row r="26699" ht="15.75" customHeight="1"/>
    <row r="26700" ht="15.75" customHeight="1"/>
    <row r="26701" ht="15.75" customHeight="1"/>
    <row r="26702" ht="15.75" customHeight="1"/>
    <row r="26703" ht="15.75" customHeight="1"/>
    <row r="26704" ht="15.75" customHeight="1"/>
    <row r="26705" ht="15.75" customHeight="1"/>
    <row r="26706" ht="15.75" customHeight="1"/>
    <row r="26707" ht="15.75" customHeight="1"/>
    <row r="26708" ht="15.75" customHeight="1"/>
    <row r="26709" ht="15.75" customHeight="1"/>
    <row r="26710" ht="15.75" customHeight="1"/>
    <row r="26711" ht="15.75" customHeight="1"/>
    <row r="26712" ht="15.75" customHeight="1"/>
    <row r="26713" ht="15.75" customHeight="1"/>
    <row r="26714" ht="15.75" customHeight="1"/>
    <row r="26715" ht="15.75" customHeight="1"/>
    <row r="26716" ht="15.75" customHeight="1"/>
    <row r="26717" ht="15.75" customHeight="1"/>
    <row r="26718" ht="15.75" customHeight="1"/>
    <row r="26719" ht="15.75" customHeight="1"/>
    <row r="26720" ht="15.75" customHeight="1"/>
    <row r="26721" ht="15.75" customHeight="1"/>
    <row r="26722" ht="15.75" customHeight="1"/>
    <row r="26723" ht="15.75" customHeight="1"/>
    <row r="26724" ht="15.75" customHeight="1"/>
    <row r="26725" ht="15.75" customHeight="1"/>
    <row r="26726" ht="15.75" customHeight="1"/>
    <row r="26727" ht="15.75" customHeight="1"/>
    <row r="26728" ht="15.75" customHeight="1"/>
    <row r="26729" ht="15.75" customHeight="1"/>
    <row r="26730" ht="15.75" customHeight="1"/>
    <row r="26731" ht="15.75" customHeight="1"/>
    <row r="26732" ht="15.75" customHeight="1"/>
    <row r="26733" ht="15.75" customHeight="1"/>
    <row r="26734" ht="15.75" customHeight="1"/>
    <row r="26735" ht="15.75" customHeight="1"/>
    <row r="26736" ht="15.75" customHeight="1"/>
    <row r="26737" ht="15.75" customHeight="1"/>
    <row r="26738" ht="15.75" customHeight="1"/>
    <row r="26739" ht="15.75" customHeight="1"/>
    <row r="26740" ht="15.75" customHeight="1"/>
    <row r="26741" ht="15.75" customHeight="1"/>
    <row r="26742" ht="15.75" customHeight="1"/>
    <row r="26743" ht="15.75" customHeight="1"/>
    <row r="26744" ht="15.75" customHeight="1"/>
    <row r="26745" ht="15.75" customHeight="1"/>
    <row r="26746" ht="15.75" customHeight="1"/>
    <row r="26747" ht="15.75" customHeight="1"/>
    <row r="26748" ht="15.75" customHeight="1"/>
    <row r="26749" ht="15.75" customHeight="1"/>
    <row r="26750" ht="15.75" customHeight="1"/>
    <row r="26751" ht="15.75" customHeight="1"/>
    <row r="26752" ht="15.75" customHeight="1"/>
    <row r="26753" ht="15.75" customHeight="1"/>
    <row r="26754" ht="15.75" customHeight="1"/>
    <row r="26755" ht="15.75" customHeight="1"/>
    <row r="26756" ht="15.75" customHeight="1"/>
    <row r="26757" ht="15.75" customHeight="1"/>
    <row r="26758" ht="15.75" customHeight="1"/>
    <row r="26759" ht="15.75" customHeight="1"/>
    <row r="26760" ht="15.75" customHeight="1"/>
    <row r="26761" ht="15.75" customHeight="1"/>
    <row r="26762" ht="15.75" customHeight="1"/>
    <row r="26763" ht="15.75" customHeight="1"/>
    <row r="26764" ht="15.75" customHeight="1"/>
    <row r="26765" ht="15.75" customHeight="1"/>
    <row r="26766" ht="15.75" customHeight="1"/>
    <row r="26767" ht="15.75" customHeight="1"/>
    <row r="26768" ht="15.75" customHeight="1"/>
    <row r="26769" ht="15.75" customHeight="1"/>
    <row r="26770" ht="15.75" customHeight="1"/>
    <row r="26771" ht="15.75" customHeight="1"/>
    <row r="26772" ht="15.75" customHeight="1"/>
    <row r="26773" ht="15.75" customHeight="1"/>
    <row r="26774" ht="15.75" customHeight="1"/>
    <row r="26775" ht="15.75" customHeight="1"/>
    <row r="26776" ht="15.75" customHeight="1"/>
    <row r="26777" ht="15.75" customHeight="1"/>
    <row r="26778" ht="15.75" customHeight="1"/>
    <row r="26779" ht="15.75" customHeight="1"/>
    <row r="26780" ht="15.75" customHeight="1"/>
    <row r="26781" ht="15.75" customHeight="1"/>
    <row r="26782" ht="15.75" customHeight="1"/>
    <row r="26783" ht="15.75" customHeight="1"/>
    <row r="26784" ht="15.75" customHeight="1"/>
    <row r="26785" ht="15.75" customHeight="1"/>
    <row r="26786" ht="15.75" customHeight="1"/>
    <row r="26787" ht="15.75" customHeight="1"/>
    <row r="26788" ht="15.75" customHeight="1"/>
    <row r="26789" ht="15.75" customHeight="1"/>
    <row r="26790" ht="15.75" customHeight="1"/>
    <row r="26791" ht="15.75" customHeight="1"/>
    <row r="26792" ht="15.75" customHeight="1"/>
    <row r="26793" ht="15.75" customHeight="1"/>
    <row r="26794" ht="15.75" customHeight="1"/>
    <row r="26795" ht="15.75" customHeight="1"/>
    <row r="26796" ht="15.75" customHeight="1"/>
    <row r="26797" ht="15.75" customHeight="1"/>
    <row r="26798" ht="15.75" customHeight="1"/>
    <row r="26799" ht="15.75" customHeight="1"/>
    <row r="26800" ht="15.75" customHeight="1"/>
    <row r="26801" ht="15.75" customHeight="1"/>
    <row r="26802" ht="15.75" customHeight="1"/>
    <row r="26803" ht="15.75" customHeight="1"/>
    <row r="26804" ht="15.75" customHeight="1"/>
    <row r="26805" ht="15.75" customHeight="1"/>
    <row r="26806" ht="15.75" customHeight="1"/>
    <row r="26807" ht="15.75" customHeight="1"/>
    <row r="26808" ht="15.75" customHeight="1"/>
    <row r="26809" ht="15.75" customHeight="1"/>
    <row r="26810" ht="15.75" customHeight="1"/>
    <row r="26811" ht="15.75" customHeight="1"/>
    <row r="26812" ht="15.75" customHeight="1"/>
    <row r="26813" ht="15.75" customHeight="1"/>
    <row r="26814" ht="15.75" customHeight="1"/>
    <row r="26815" ht="15.75" customHeight="1"/>
    <row r="26816" ht="15.75" customHeight="1"/>
    <row r="26817" ht="15.75" customHeight="1"/>
    <row r="26818" ht="15.75" customHeight="1"/>
    <row r="26819" ht="15.75" customHeight="1"/>
    <row r="26820" ht="15.75" customHeight="1"/>
    <row r="26821" ht="15.75" customHeight="1"/>
    <row r="26822" ht="15.75" customHeight="1"/>
    <row r="26823" ht="15.75" customHeight="1"/>
    <row r="26824" ht="15.75" customHeight="1"/>
    <row r="26825" ht="15.75" customHeight="1"/>
    <row r="26826" ht="15.75" customHeight="1"/>
    <row r="26827" ht="15.75" customHeight="1"/>
    <row r="26828" ht="15.75" customHeight="1"/>
    <row r="26829" ht="15.75" customHeight="1"/>
    <row r="26830" ht="15.75" customHeight="1"/>
    <row r="26831" ht="15.75" customHeight="1"/>
    <row r="26832" ht="15.75" customHeight="1"/>
    <row r="26833" ht="15.75" customHeight="1"/>
    <row r="26834" ht="15.75" customHeight="1"/>
    <row r="26835" ht="15.75" customHeight="1"/>
    <row r="26836" ht="15.75" customHeight="1"/>
    <row r="26837" ht="15.75" customHeight="1"/>
    <row r="26838" ht="15.75" customHeight="1"/>
    <row r="26839" ht="15.75" customHeight="1"/>
    <row r="26840" ht="15.75" customHeight="1"/>
    <row r="26841" ht="15.75" customHeight="1"/>
    <row r="26842" ht="15.75" customHeight="1"/>
    <row r="26843" ht="15.75" customHeight="1"/>
    <row r="26844" ht="15.75" customHeight="1"/>
    <row r="26845" ht="15.75" customHeight="1"/>
    <row r="26846" ht="15.75" customHeight="1"/>
    <row r="26847" ht="15.75" customHeight="1"/>
    <row r="26848" ht="15.75" customHeight="1"/>
    <row r="26849" ht="15.75" customHeight="1"/>
    <row r="26850" ht="15.75" customHeight="1"/>
    <row r="26851" ht="15.75" customHeight="1"/>
    <row r="26852" ht="15.75" customHeight="1"/>
    <row r="26853" ht="15.75" customHeight="1"/>
    <row r="26854" ht="15.75" customHeight="1"/>
    <row r="26855" ht="15.75" customHeight="1"/>
    <row r="26856" ht="15.75" customHeight="1"/>
    <row r="26857" ht="15.75" customHeight="1"/>
    <row r="26858" ht="15.75" customHeight="1"/>
    <row r="26859" ht="15.75" customHeight="1"/>
    <row r="26860" ht="15.75" customHeight="1"/>
    <row r="26861" ht="15.75" customHeight="1"/>
    <row r="26862" ht="15.75" customHeight="1"/>
    <row r="26863" ht="15.75" customHeight="1"/>
    <row r="26864" ht="15.75" customHeight="1"/>
    <row r="26865" ht="15.75" customHeight="1"/>
    <row r="26866" ht="15.75" customHeight="1"/>
    <row r="26867" ht="15.75" customHeight="1"/>
    <row r="26868" ht="15.75" customHeight="1"/>
    <row r="26869" ht="15.75" customHeight="1"/>
    <row r="26870" ht="15.75" customHeight="1"/>
    <row r="26871" ht="15.75" customHeight="1"/>
    <row r="26872" ht="15.75" customHeight="1"/>
    <row r="26873" ht="15.75" customHeight="1"/>
    <row r="26874" ht="15.75" customHeight="1"/>
    <row r="26875" ht="15.75" customHeight="1"/>
    <row r="26876" ht="15.75" customHeight="1"/>
    <row r="26877" ht="15.75" customHeight="1"/>
    <row r="26878" ht="15.75" customHeight="1"/>
    <row r="26879" ht="15.75" customHeight="1"/>
    <row r="26880" ht="15.75" customHeight="1"/>
    <row r="26881" ht="15.75" customHeight="1"/>
    <row r="26882" ht="15.75" customHeight="1"/>
    <row r="26883" ht="15.75" customHeight="1"/>
    <row r="26884" ht="15.75" customHeight="1"/>
    <row r="26885" ht="15.75" customHeight="1"/>
    <row r="26886" ht="15.75" customHeight="1"/>
    <row r="26887" ht="15.75" customHeight="1"/>
    <row r="26888" ht="15.75" customHeight="1"/>
    <row r="26889" ht="15.75" customHeight="1"/>
    <row r="26890" ht="15.75" customHeight="1"/>
    <row r="26891" ht="15.75" customHeight="1"/>
    <row r="26892" ht="15.75" customHeight="1"/>
    <row r="26893" ht="15.75" customHeight="1"/>
    <row r="26894" ht="15.75" customHeight="1"/>
    <row r="26895" ht="15.75" customHeight="1"/>
    <row r="26896" ht="15.75" customHeight="1"/>
    <row r="26897" ht="15.75" customHeight="1"/>
    <row r="26898" ht="15.75" customHeight="1"/>
    <row r="26899" ht="15.75" customHeight="1"/>
    <row r="26900" ht="15.75" customHeight="1"/>
    <row r="26901" ht="15.75" customHeight="1"/>
    <row r="26902" ht="15.75" customHeight="1"/>
    <row r="26903" ht="15.75" customHeight="1"/>
    <row r="26904" ht="15.75" customHeight="1"/>
    <row r="26905" ht="15.75" customHeight="1"/>
    <row r="26906" ht="15.75" customHeight="1"/>
    <row r="26907" ht="15.75" customHeight="1"/>
    <row r="26908" ht="15.75" customHeight="1"/>
    <row r="26909" ht="15.75" customHeight="1"/>
    <row r="26910" ht="15.75" customHeight="1"/>
    <row r="26911" ht="15.75" customHeight="1"/>
    <row r="26912" ht="15.75" customHeight="1"/>
    <row r="26913" ht="15.75" customHeight="1"/>
    <row r="26914" ht="15.75" customHeight="1"/>
    <row r="26915" ht="15.75" customHeight="1"/>
    <row r="26916" ht="15.75" customHeight="1"/>
    <row r="26917" ht="15.75" customHeight="1"/>
    <row r="26918" ht="15.75" customHeight="1"/>
    <row r="26919" ht="15.75" customHeight="1"/>
    <row r="26920" ht="15.75" customHeight="1"/>
    <row r="26921" ht="15.75" customHeight="1"/>
    <row r="26922" ht="15.75" customHeight="1"/>
    <row r="26923" ht="15.75" customHeight="1"/>
    <row r="26924" ht="15.75" customHeight="1"/>
    <row r="26925" ht="15.75" customHeight="1"/>
    <row r="26926" ht="15.75" customHeight="1"/>
    <row r="26927" ht="15.75" customHeight="1"/>
    <row r="26928" ht="15.75" customHeight="1"/>
    <row r="26929" ht="15.75" customHeight="1"/>
    <row r="26930" ht="15.75" customHeight="1"/>
    <row r="26931" ht="15.75" customHeight="1"/>
    <row r="26932" ht="15.75" customHeight="1"/>
    <row r="26933" ht="15.75" customHeight="1"/>
    <row r="26934" ht="15.75" customHeight="1"/>
    <row r="26935" ht="15.75" customHeight="1"/>
    <row r="26936" ht="15.75" customHeight="1"/>
    <row r="26937" ht="15.75" customHeight="1"/>
    <row r="26938" ht="15.75" customHeight="1"/>
    <row r="26939" ht="15.75" customHeight="1"/>
    <row r="26940" ht="15.75" customHeight="1"/>
    <row r="26941" ht="15.75" customHeight="1"/>
    <row r="26942" ht="15.75" customHeight="1"/>
    <row r="26943" ht="15.75" customHeight="1"/>
    <row r="26944" ht="15.75" customHeight="1"/>
    <row r="26945" ht="15.75" customHeight="1"/>
    <row r="26946" ht="15.75" customHeight="1"/>
    <row r="26947" ht="15.75" customHeight="1"/>
    <row r="26948" ht="15.75" customHeight="1"/>
    <row r="26949" ht="15.75" customHeight="1"/>
    <row r="26950" ht="15.75" customHeight="1"/>
    <row r="26951" ht="15.75" customHeight="1"/>
    <row r="26952" ht="15.75" customHeight="1"/>
    <row r="26953" ht="15.75" customHeight="1"/>
    <row r="26954" ht="15.75" customHeight="1"/>
    <row r="26955" ht="15.75" customHeight="1"/>
    <row r="26956" ht="15.75" customHeight="1"/>
    <row r="26957" ht="15.75" customHeight="1"/>
    <row r="26958" ht="15.75" customHeight="1"/>
    <row r="26959" ht="15.75" customHeight="1"/>
    <row r="26960" ht="15.75" customHeight="1"/>
    <row r="26961" ht="15.75" customHeight="1"/>
    <row r="26962" ht="15.75" customHeight="1"/>
    <row r="26963" ht="15.75" customHeight="1"/>
    <row r="26964" ht="15.75" customHeight="1"/>
    <row r="26965" ht="15.75" customHeight="1"/>
    <row r="26966" ht="15.75" customHeight="1"/>
    <row r="26967" ht="15.75" customHeight="1"/>
    <row r="26968" ht="15.75" customHeight="1"/>
    <row r="26969" ht="15.75" customHeight="1"/>
    <row r="26970" ht="15.75" customHeight="1"/>
    <row r="26971" ht="15.75" customHeight="1"/>
    <row r="26972" ht="15.75" customHeight="1"/>
    <row r="26973" ht="15.75" customHeight="1"/>
    <row r="26974" ht="15.75" customHeight="1"/>
    <row r="26975" ht="15.75" customHeight="1"/>
    <row r="26976" ht="15.75" customHeight="1"/>
    <row r="26977" ht="15.75" customHeight="1"/>
    <row r="26978" ht="15.75" customHeight="1"/>
    <row r="26979" ht="15.75" customHeight="1"/>
    <row r="26980" ht="15.75" customHeight="1"/>
    <row r="26981" ht="15.75" customHeight="1"/>
    <row r="26982" ht="15.75" customHeight="1"/>
    <row r="26983" ht="15.75" customHeight="1"/>
    <row r="26984" ht="15.75" customHeight="1"/>
    <row r="26985" ht="15.75" customHeight="1"/>
    <row r="26986" ht="15.75" customHeight="1"/>
    <row r="26987" ht="15.75" customHeight="1"/>
    <row r="26988" ht="15.75" customHeight="1"/>
    <row r="26989" ht="15.75" customHeight="1"/>
    <row r="26990" ht="15.75" customHeight="1"/>
    <row r="26991" ht="15.75" customHeight="1"/>
    <row r="26992" ht="15.75" customHeight="1"/>
    <row r="26993" ht="15.75" customHeight="1"/>
    <row r="26994" ht="15.75" customHeight="1"/>
    <row r="26995" ht="15.75" customHeight="1"/>
    <row r="26996" ht="15.75" customHeight="1"/>
    <row r="26997" ht="15.75" customHeight="1"/>
    <row r="26998" ht="15.75" customHeight="1"/>
    <row r="26999" ht="15.75" customHeight="1"/>
    <row r="27000" ht="15.75" customHeight="1"/>
    <row r="27001" ht="15.75" customHeight="1"/>
    <row r="27002" ht="15.75" customHeight="1"/>
    <row r="27003" ht="15.75" customHeight="1"/>
    <row r="27004" ht="15.75" customHeight="1"/>
    <row r="27005" ht="15.75" customHeight="1"/>
    <row r="27006" ht="15.75" customHeight="1"/>
    <row r="27007" ht="15.75" customHeight="1"/>
    <row r="27008" ht="15.75" customHeight="1"/>
    <row r="27009" ht="15.75" customHeight="1"/>
    <row r="27010" ht="15.75" customHeight="1"/>
    <row r="27011" ht="15.75" customHeight="1"/>
    <row r="27012" ht="15.75" customHeight="1"/>
    <row r="27013" ht="15.75" customHeight="1"/>
    <row r="27014" ht="15.75" customHeight="1"/>
    <row r="27015" ht="15.75" customHeight="1"/>
    <row r="27016" ht="15.75" customHeight="1"/>
    <row r="27017" ht="15.75" customHeight="1"/>
    <row r="27018" ht="15.75" customHeight="1"/>
    <row r="27019" ht="15.75" customHeight="1"/>
    <row r="27020" ht="15.75" customHeight="1"/>
    <row r="27021" ht="15.75" customHeight="1"/>
    <row r="27022" ht="15.75" customHeight="1"/>
    <row r="27023" ht="15.75" customHeight="1"/>
    <row r="27024" ht="15.75" customHeight="1"/>
    <row r="27025" ht="15.75" customHeight="1"/>
    <row r="27026" ht="15.75" customHeight="1"/>
    <row r="27027" ht="15.75" customHeight="1"/>
    <row r="27028" ht="15.75" customHeight="1"/>
    <row r="27029" ht="15.75" customHeight="1"/>
    <row r="27030" ht="15.75" customHeight="1"/>
    <row r="27031" ht="15.75" customHeight="1"/>
    <row r="27032" ht="15.75" customHeight="1"/>
    <row r="27033" ht="15.75" customHeight="1"/>
    <row r="27034" ht="15.75" customHeight="1"/>
    <row r="27035" ht="15.75" customHeight="1"/>
    <row r="27036" ht="15.75" customHeight="1"/>
    <row r="27037" ht="15.75" customHeight="1"/>
    <row r="27038" ht="15.75" customHeight="1"/>
    <row r="27039" ht="15.75" customHeight="1"/>
    <row r="27040" ht="15.75" customHeight="1"/>
    <row r="27041" ht="15.75" customHeight="1"/>
    <row r="27042" ht="15.75" customHeight="1"/>
    <row r="27043" ht="15.75" customHeight="1"/>
    <row r="27044" ht="15.75" customHeight="1"/>
    <row r="27045" ht="15.75" customHeight="1"/>
    <row r="27046" ht="15.75" customHeight="1"/>
    <row r="27047" ht="15.75" customHeight="1"/>
    <row r="27048" ht="15.75" customHeight="1"/>
    <row r="27049" ht="15.75" customHeight="1"/>
    <row r="27050" ht="15.75" customHeight="1"/>
    <row r="27051" ht="15.75" customHeight="1"/>
    <row r="27052" ht="15.75" customHeight="1"/>
    <row r="27053" ht="15.75" customHeight="1"/>
    <row r="27054" ht="15.75" customHeight="1"/>
    <row r="27055" ht="15.75" customHeight="1"/>
    <row r="27056" ht="15.75" customHeight="1"/>
    <row r="27057" ht="15.75" customHeight="1"/>
    <row r="27058" ht="15.75" customHeight="1"/>
    <row r="27059" ht="15.75" customHeight="1"/>
    <row r="27060" ht="15.75" customHeight="1"/>
    <row r="27061" ht="15.75" customHeight="1"/>
    <row r="27062" ht="15.75" customHeight="1"/>
    <row r="27063" ht="15.75" customHeight="1"/>
    <row r="27064" ht="15.75" customHeight="1"/>
    <row r="27065" ht="15.75" customHeight="1"/>
    <row r="27066" ht="15.75" customHeight="1"/>
    <row r="27067" ht="15.75" customHeight="1"/>
    <row r="27068" ht="15.75" customHeight="1"/>
    <row r="27069" ht="15.75" customHeight="1"/>
    <row r="27070" ht="15.75" customHeight="1"/>
    <row r="27071" ht="15.75" customHeight="1"/>
    <row r="27072" ht="15.75" customHeight="1"/>
    <row r="27073" ht="15.75" customHeight="1"/>
    <row r="27074" ht="15.75" customHeight="1"/>
    <row r="27075" ht="15.75" customHeight="1"/>
    <row r="27076" ht="15.75" customHeight="1"/>
    <row r="27077" ht="15.75" customHeight="1"/>
    <row r="27078" ht="15.75" customHeight="1"/>
    <row r="27079" ht="15.75" customHeight="1"/>
    <row r="27080" ht="15.75" customHeight="1"/>
    <row r="27081" ht="15.75" customHeight="1"/>
    <row r="27082" ht="15.75" customHeight="1"/>
    <row r="27083" ht="15.75" customHeight="1"/>
    <row r="27084" ht="15.75" customHeight="1"/>
    <row r="27085" ht="15.75" customHeight="1"/>
    <row r="27086" ht="15.75" customHeight="1"/>
    <row r="27087" ht="15.75" customHeight="1"/>
    <row r="27088" ht="15.75" customHeight="1"/>
    <row r="27089" ht="15.75" customHeight="1"/>
    <row r="27090" ht="15.75" customHeight="1"/>
    <row r="27091" ht="15.75" customHeight="1"/>
    <row r="27092" ht="15.75" customHeight="1"/>
    <row r="27093" ht="15.75" customHeight="1"/>
    <row r="27094" ht="15.75" customHeight="1"/>
    <row r="27095" ht="15.75" customHeight="1"/>
    <row r="27096" ht="15.75" customHeight="1"/>
    <row r="27097" ht="15.75" customHeight="1"/>
    <row r="27098" ht="15.75" customHeight="1"/>
    <row r="27099" ht="15.75" customHeight="1"/>
    <row r="27100" ht="15.75" customHeight="1"/>
    <row r="27101" ht="15.75" customHeight="1"/>
    <row r="27102" ht="15.75" customHeight="1"/>
    <row r="27103" ht="15.75" customHeight="1"/>
    <row r="27104" ht="15.75" customHeight="1"/>
    <row r="27105" ht="15.75" customHeight="1"/>
    <row r="27106" ht="15.75" customHeight="1"/>
    <row r="27107" ht="15.75" customHeight="1"/>
    <row r="27108" ht="15.75" customHeight="1"/>
    <row r="27109" ht="15.75" customHeight="1"/>
    <row r="27110" ht="15.75" customHeight="1"/>
    <row r="27111" ht="15.75" customHeight="1"/>
    <row r="27112" ht="15.75" customHeight="1"/>
    <row r="27113" ht="15.75" customHeight="1"/>
    <row r="27114" ht="15.75" customHeight="1"/>
    <row r="27115" ht="15.75" customHeight="1"/>
    <row r="27116" ht="15.75" customHeight="1"/>
    <row r="27117" ht="15.75" customHeight="1"/>
    <row r="27118" ht="15.75" customHeight="1"/>
    <row r="27119" ht="15.75" customHeight="1"/>
    <row r="27120" ht="15.75" customHeight="1"/>
    <row r="27121" ht="15.75" customHeight="1"/>
    <row r="27122" ht="15.75" customHeight="1"/>
    <row r="27123" ht="15.75" customHeight="1"/>
    <row r="27124" ht="15.75" customHeight="1"/>
    <row r="27125" ht="15.75" customHeight="1"/>
    <row r="27126" ht="15.75" customHeight="1"/>
    <row r="27127" ht="15.75" customHeight="1"/>
    <row r="27128" ht="15.75" customHeight="1"/>
    <row r="27129" ht="15.75" customHeight="1"/>
    <row r="27130" ht="15.75" customHeight="1"/>
    <row r="27131" ht="15.75" customHeight="1"/>
    <row r="27132" ht="15.75" customHeight="1"/>
    <row r="27133" ht="15.75" customHeight="1"/>
    <row r="27134" ht="15.75" customHeight="1"/>
    <row r="27135" ht="15.75" customHeight="1"/>
    <row r="27136" ht="15.75" customHeight="1"/>
    <row r="27137" ht="15.75" customHeight="1"/>
    <row r="27138" ht="15.75" customHeight="1"/>
    <row r="27139" ht="15.75" customHeight="1"/>
    <row r="27140" ht="15.75" customHeight="1"/>
    <row r="27141" ht="15.75" customHeight="1"/>
    <row r="27142" ht="15.75" customHeight="1"/>
    <row r="27143" ht="15.75" customHeight="1"/>
    <row r="27144" ht="15.75" customHeight="1"/>
    <row r="27145" ht="15.75" customHeight="1"/>
    <row r="27146" ht="15.75" customHeight="1"/>
    <row r="27147" ht="15.75" customHeight="1"/>
    <row r="27148" ht="15.75" customHeight="1"/>
    <row r="27149" ht="15.75" customHeight="1"/>
    <row r="27150" ht="15.75" customHeight="1"/>
    <row r="27151" ht="15.75" customHeight="1"/>
    <row r="27152" ht="15.75" customHeight="1"/>
    <row r="27153" ht="15.75" customHeight="1"/>
    <row r="27154" ht="15.75" customHeight="1"/>
    <row r="27155" ht="15.75" customHeight="1"/>
    <row r="27156" ht="15.75" customHeight="1"/>
    <row r="27157" ht="15.75" customHeight="1"/>
    <row r="27158" ht="15.75" customHeight="1"/>
    <row r="27159" ht="15.75" customHeight="1"/>
    <row r="27160" ht="15.75" customHeight="1"/>
    <row r="27161" ht="15.75" customHeight="1"/>
    <row r="27162" ht="15.75" customHeight="1"/>
    <row r="27163" ht="15.75" customHeight="1"/>
    <row r="27164" ht="15.75" customHeight="1"/>
    <row r="27165" ht="15.75" customHeight="1"/>
    <row r="27166" ht="15.75" customHeight="1"/>
    <row r="27167" ht="15.75" customHeight="1"/>
    <row r="27168" ht="15.75" customHeight="1"/>
    <row r="27169" ht="15.75" customHeight="1"/>
    <row r="27170" ht="15.75" customHeight="1"/>
    <row r="27171" ht="15.75" customHeight="1"/>
    <row r="27172" ht="15.75" customHeight="1"/>
    <row r="27173" ht="15.75" customHeight="1"/>
    <row r="27174" ht="15.75" customHeight="1"/>
    <row r="27175" ht="15.75" customHeight="1"/>
    <row r="27176" ht="15.75" customHeight="1"/>
    <row r="27177" ht="15.75" customHeight="1"/>
    <row r="27178" ht="15.75" customHeight="1"/>
    <row r="27179" ht="15.75" customHeight="1"/>
    <row r="27180" ht="15.75" customHeight="1"/>
    <row r="27181" ht="15.75" customHeight="1"/>
    <row r="27182" ht="15.75" customHeight="1"/>
    <row r="27183" ht="15.75" customHeight="1"/>
    <row r="27184" ht="15.75" customHeight="1"/>
    <row r="27185" ht="15.75" customHeight="1"/>
    <row r="27186" ht="15.75" customHeight="1"/>
    <row r="27187" ht="15.75" customHeight="1"/>
    <row r="27188" ht="15.75" customHeight="1"/>
    <row r="27189" ht="15.75" customHeight="1"/>
    <row r="27190" ht="15.75" customHeight="1"/>
    <row r="27191" ht="15.75" customHeight="1"/>
    <row r="27192" ht="15.75" customHeight="1"/>
    <row r="27193" ht="15.75" customHeight="1"/>
    <row r="27194" ht="15.75" customHeight="1"/>
    <row r="27195" ht="15.75" customHeight="1"/>
    <row r="27196" ht="15.75" customHeight="1"/>
    <row r="27197" ht="15.75" customHeight="1"/>
    <row r="27198" ht="15.75" customHeight="1"/>
    <row r="27199" ht="15.75" customHeight="1"/>
    <row r="27200" ht="15.75" customHeight="1"/>
    <row r="27201" ht="15.75" customHeight="1"/>
    <row r="27202" ht="15.75" customHeight="1"/>
    <row r="27203" ht="15.75" customHeight="1"/>
    <row r="27204" ht="15.75" customHeight="1"/>
    <row r="27205" ht="15.75" customHeight="1"/>
    <row r="27206" ht="15.75" customHeight="1"/>
    <row r="27207" ht="15.75" customHeight="1"/>
    <row r="27208" ht="15.75" customHeight="1"/>
    <row r="27209" ht="15.75" customHeight="1"/>
    <row r="27210" ht="15.75" customHeight="1"/>
    <row r="27211" ht="15.75" customHeight="1"/>
    <row r="27212" ht="15.75" customHeight="1"/>
    <row r="27213" ht="15.75" customHeight="1"/>
    <row r="27214" ht="15.75" customHeight="1"/>
    <row r="27215" ht="15.75" customHeight="1"/>
    <row r="27216" ht="15.75" customHeight="1"/>
    <row r="27217" ht="15.75" customHeight="1"/>
    <row r="27218" ht="15.75" customHeight="1"/>
    <row r="27219" ht="15.75" customHeight="1"/>
    <row r="27220" ht="15.75" customHeight="1"/>
    <row r="27221" ht="15.75" customHeight="1"/>
    <row r="27222" ht="15.75" customHeight="1"/>
    <row r="27223" ht="15.75" customHeight="1"/>
    <row r="27224" ht="15.75" customHeight="1"/>
    <row r="27225" ht="15.75" customHeight="1"/>
    <row r="27226" ht="15.75" customHeight="1"/>
    <row r="27227" ht="15.75" customHeight="1"/>
    <row r="27228" ht="15.75" customHeight="1"/>
    <row r="27229" ht="15.75" customHeight="1"/>
    <row r="27230" ht="15.75" customHeight="1"/>
    <row r="27231" ht="15.75" customHeight="1"/>
    <row r="27232" ht="15.75" customHeight="1"/>
    <row r="27233" ht="15.75" customHeight="1"/>
    <row r="27234" ht="15.75" customHeight="1"/>
    <row r="27235" ht="15.75" customHeight="1"/>
    <row r="27236" ht="15.75" customHeight="1"/>
    <row r="27237" ht="15.75" customHeight="1"/>
    <row r="27238" ht="15.75" customHeight="1"/>
    <row r="27239" ht="15.75" customHeight="1"/>
    <row r="27240" ht="15.75" customHeight="1"/>
    <row r="27241" ht="15.75" customHeight="1"/>
    <row r="27242" ht="15.75" customHeight="1"/>
    <row r="27243" ht="15.75" customHeight="1"/>
    <row r="27244" ht="15.75" customHeight="1"/>
    <row r="27245" ht="15.75" customHeight="1"/>
    <row r="27246" ht="15.75" customHeight="1"/>
    <row r="27247" ht="15.75" customHeight="1"/>
    <row r="27248" ht="15.75" customHeight="1"/>
    <row r="27249" ht="15.75" customHeight="1"/>
    <row r="27250" ht="15.75" customHeight="1"/>
    <row r="27251" ht="15.75" customHeight="1"/>
    <row r="27252" ht="15.75" customHeight="1"/>
    <row r="27253" ht="15.75" customHeight="1"/>
    <row r="27254" ht="15.75" customHeight="1"/>
    <row r="27255" ht="15.75" customHeight="1"/>
    <row r="27256" ht="15.75" customHeight="1"/>
    <row r="27257" ht="15.75" customHeight="1"/>
    <row r="27258" ht="15.75" customHeight="1"/>
    <row r="27259" ht="15.75" customHeight="1"/>
    <row r="27260" ht="15.75" customHeight="1"/>
    <row r="27261" ht="15.75" customHeight="1"/>
    <row r="27262" ht="15.75" customHeight="1"/>
    <row r="27263" ht="15.75" customHeight="1"/>
    <row r="27264" ht="15.75" customHeight="1"/>
    <row r="27265" ht="15.75" customHeight="1"/>
    <row r="27266" ht="15.75" customHeight="1"/>
    <row r="27267" ht="15.75" customHeight="1"/>
    <row r="27268" ht="15.75" customHeight="1"/>
    <row r="27269" ht="15.75" customHeight="1"/>
    <row r="27270" ht="15.75" customHeight="1"/>
    <row r="27271" ht="15.75" customHeight="1"/>
    <row r="27272" ht="15.75" customHeight="1"/>
    <row r="27273" ht="15.75" customHeight="1"/>
    <row r="27274" ht="15.75" customHeight="1"/>
    <row r="27275" ht="15.75" customHeight="1"/>
    <row r="27276" ht="15.75" customHeight="1"/>
    <row r="27277" ht="15.75" customHeight="1"/>
    <row r="27278" ht="15.75" customHeight="1"/>
    <row r="27279" ht="15.75" customHeight="1"/>
    <row r="27280" ht="15.75" customHeight="1"/>
    <row r="27281" ht="15.75" customHeight="1"/>
    <row r="27282" ht="15.75" customHeight="1"/>
    <row r="27283" ht="15.75" customHeight="1"/>
    <row r="27284" ht="15.75" customHeight="1"/>
    <row r="27285" ht="15.75" customHeight="1"/>
    <row r="27286" ht="15.75" customHeight="1"/>
    <row r="27287" ht="15.75" customHeight="1"/>
    <row r="27288" ht="15.75" customHeight="1"/>
    <row r="27289" ht="15.75" customHeight="1"/>
    <row r="27290" ht="15.75" customHeight="1"/>
    <row r="27291" ht="15.75" customHeight="1"/>
    <row r="27292" ht="15.75" customHeight="1"/>
    <row r="27293" ht="15.75" customHeight="1"/>
    <row r="27294" ht="15.75" customHeight="1"/>
    <row r="27295" ht="15.75" customHeight="1"/>
    <row r="27296" ht="15.75" customHeight="1"/>
    <row r="27297" ht="15.75" customHeight="1"/>
    <row r="27298" ht="15.75" customHeight="1"/>
    <row r="27299" ht="15.75" customHeight="1"/>
    <row r="27300" ht="15.75" customHeight="1"/>
    <row r="27301" ht="15.75" customHeight="1"/>
    <row r="27302" ht="15.75" customHeight="1"/>
    <row r="27303" ht="15.75" customHeight="1"/>
    <row r="27304" ht="15.75" customHeight="1"/>
    <row r="27305" ht="15.75" customHeight="1"/>
    <row r="27306" ht="15.75" customHeight="1"/>
    <row r="27307" ht="15.75" customHeight="1"/>
    <row r="27308" ht="15.75" customHeight="1"/>
    <row r="27309" ht="15.75" customHeight="1"/>
    <row r="27310" ht="15.75" customHeight="1"/>
    <row r="27311" ht="15.75" customHeight="1"/>
    <row r="27312" ht="15.75" customHeight="1"/>
    <row r="27313" ht="15.75" customHeight="1"/>
    <row r="27314" ht="15.75" customHeight="1"/>
    <row r="27315" ht="15.75" customHeight="1"/>
    <row r="27316" ht="15.75" customHeight="1"/>
    <row r="27317" ht="15.75" customHeight="1"/>
    <row r="27318" ht="15.75" customHeight="1"/>
    <row r="27319" ht="15.75" customHeight="1"/>
    <row r="27320" ht="15.75" customHeight="1"/>
    <row r="27321" ht="15.75" customHeight="1"/>
    <row r="27322" ht="15.75" customHeight="1"/>
    <row r="27323" ht="15.75" customHeight="1"/>
    <row r="27324" ht="15.75" customHeight="1"/>
    <row r="27325" ht="15.75" customHeight="1"/>
    <row r="27326" ht="15.75" customHeight="1"/>
    <row r="27327" ht="15.75" customHeight="1"/>
    <row r="27328" ht="15.75" customHeight="1"/>
    <row r="27329" ht="15.75" customHeight="1"/>
    <row r="27330" ht="15.75" customHeight="1"/>
    <row r="27331" ht="15.75" customHeight="1"/>
    <row r="27332" ht="15.75" customHeight="1"/>
    <row r="27333" ht="15.75" customHeight="1"/>
    <row r="27334" ht="15.75" customHeight="1"/>
    <row r="27335" ht="15.75" customHeight="1"/>
    <row r="27336" ht="15.75" customHeight="1"/>
    <row r="27337" ht="15.75" customHeight="1"/>
    <row r="27338" ht="15.75" customHeight="1"/>
    <row r="27339" ht="15.75" customHeight="1"/>
    <row r="27340" ht="15.75" customHeight="1"/>
    <row r="27341" ht="15.75" customHeight="1"/>
    <row r="27342" ht="15.75" customHeight="1"/>
    <row r="27343" ht="15.75" customHeight="1"/>
    <row r="27344" ht="15.75" customHeight="1"/>
    <row r="27345" ht="15.75" customHeight="1"/>
    <row r="27346" ht="15.75" customHeight="1"/>
    <row r="27347" ht="15.75" customHeight="1"/>
    <row r="27348" ht="15.75" customHeight="1"/>
    <row r="27349" ht="15.75" customHeight="1"/>
    <row r="27350" ht="15.75" customHeight="1"/>
    <row r="27351" ht="15.75" customHeight="1"/>
    <row r="27352" ht="15.75" customHeight="1"/>
    <row r="27353" ht="15.75" customHeight="1"/>
    <row r="27354" ht="15.75" customHeight="1"/>
    <row r="27355" ht="15.75" customHeight="1"/>
    <row r="27356" ht="15.75" customHeight="1"/>
    <row r="27357" ht="15.75" customHeight="1"/>
    <row r="27358" ht="15.75" customHeight="1"/>
    <row r="27359" ht="15.75" customHeight="1"/>
    <row r="27360" ht="15.75" customHeight="1"/>
    <row r="27361" ht="15.75" customHeight="1"/>
    <row r="27362" ht="15.75" customHeight="1"/>
    <row r="27363" ht="15.75" customHeight="1"/>
    <row r="27364" ht="15.75" customHeight="1"/>
    <row r="27365" ht="15.75" customHeight="1"/>
    <row r="27366" ht="15.75" customHeight="1"/>
    <row r="27367" ht="15.75" customHeight="1"/>
    <row r="27368" ht="15.75" customHeight="1"/>
    <row r="27369" ht="15.75" customHeight="1"/>
    <row r="27370" ht="15.75" customHeight="1"/>
    <row r="27371" ht="15.75" customHeight="1"/>
    <row r="27372" ht="15.75" customHeight="1"/>
    <row r="27373" ht="15.75" customHeight="1"/>
    <row r="27374" ht="15.75" customHeight="1"/>
    <row r="27375" ht="15.75" customHeight="1"/>
    <row r="27376" ht="15.75" customHeight="1"/>
    <row r="27377" ht="15.75" customHeight="1"/>
    <row r="27378" ht="15.75" customHeight="1"/>
    <row r="27379" ht="15.75" customHeight="1"/>
    <row r="27380" ht="15.75" customHeight="1"/>
    <row r="27381" ht="15.75" customHeight="1"/>
    <row r="27382" ht="15.75" customHeight="1"/>
    <row r="27383" ht="15.75" customHeight="1"/>
    <row r="27384" ht="15.75" customHeight="1"/>
    <row r="27385" ht="15.75" customHeight="1"/>
    <row r="27386" ht="15.75" customHeight="1"/>
    <row r="27387" ht="15.75" customHeight="1"/>
    <row r="27388" ht="15.75" customHeight="1"/>
    <row r="27389" ht="15.75" customHeight="1"/>
    <row r="27390" ht="15.75" customHeight="1"/>
    <row r="27391" ht="15.75" customHeight="1"/>
    <row r="27392" ht="15.75" customHeight="1"/>
    <row r="27393" ht="15.75" customHeight="1"/>
    <row r="27394" ht="15.75" customHeight="1"/>
    <row r="27395" ht="15.75" customHeight="1"/>
    <row r="27396" ht="15.75" customHeight="1"/>
    <row r="27397" ht="15.75" customHeight="1"/>
    <row r="27398" ht="15.75" customHeight="1"/>
    <row r="27399" ht="15.75" customHeight="1"/>
    <row r="27400" ht="15.75" customHeight="1"/>
    <row r="27401" ht="15.75" customHeight="1"/>
    <row r="27402" ht="15.75" customHeight="1"/>
    <row r="27403" ht="15.75" customHeight="1"/>
    <row r="27404" ht="15.75" customHeight="1"/>
    <row r="27405" ht="15.75" customHeight="1"/>
    <row r="27406" ht="15.75" customHeight="1"/>
    <row r="27407" ht="15.75" customHeight="1"/>
    <row r="27408" ht="15.75" customHeight="1"/>
    <row r="27409" ht="15.75" customHeight="1"/>
    <row r="27410" ht="15.75" customHeight="1"/>
    <row r="27411" ht="15.75" customHeight="1"/>
    <row r="27412" ht="15.75" customHeight="1"/>
    <row r="27413" ht="15.75" customHeight="1"/>
    <row r="27414" ht="15.75" customHeight="1"/>
    <row r="27415" ht="15.75" customHeight="1"/>
    <row r="27416" ht="15.75" customHeight="1"/>
    <row r="27417" ht="15.75" customHeight="1"/>
    <row r="27418" ht="15.75" customHeight="1"/>
    <row r="27419" ht="15.75" customHeight="1"/>
    <row r="27420" ht="15.75" customHeight="1"/>
    <row r="27421" ht="15.75" customHeight="1"/>
    <row r="27422" ht="15.75" customHeight="1"/>
    <row r="27423" ht="15.75" customHeight="1"/>
    <row r="27424" ht="15.75" customHeight="1"/>
    <row r="27425" ht="15.75" customHeight="1"/>
    <row r="27426" ht="15.75" customHeight="1"/>
    <row r="27427" ht="15.75" customHeight="1"/>
    <row r="27428" ht="15.75" customHeight="1"/>
    <row r="27429" ht="15.75" customHeight="1"/>
    <row r="27430" ht="15.75" customHeight="1"/>
    <row r="27431" ht="15.75" customHeight="1"/>
    <row r="27432" ht="15.75" customHeight="1"/>
    <row r="27433" ht="15.75" customHeight="1"/>
    <row r="27434" ht="15.75" customHeight="1"/>
    <row r="27435" ht="15.75" customHeight="1"/>
    <row r="27436" ht="15.75" customHeight="1"/>
    <row r="27437" ht="15.75" customHeight="1"/>
    <row r="27438" ht="15.75" customHeight="1"/>
    <row r="27439" ht="15.75" customHeight="1"/>
    <row r="27440" ht="15.75" customHeight="1"/>
    <row r="27441" ht="15.75" customHeight="1"/>
    <row r="27442" ht="15.75" customHeight="1"/>
    <row r="27443" ht="15.75" customHeight="1"/>
    <row r="27444" ht="15.75" customHeight="1"/>
    <row r="27445" ht="15.75" customHeight="1"/>
    <row r="27446" ht="15.75" customHeight="1"/>
    <row r="27447" ht="15.75" customHeight="1"/>
    <row r="27448" ht="15.75" customHeight="1"/>
    <row r="27449" ht="15.75" customHeight="1"/>
    <row r="27450" ht="15.75" customHeight="1"/>
    <row r="27451" ht="15.75" customHeight="1"/>
    <row r="27452" ht="15.75" customHeight="1"/>
    <row r="27453" ht="15.75" customHeight="1"/>
    <row r="27454" ht="15.75" customHeight="1"/>
    <row r="27455" ht="15.75" customHeight="1"/>
    <row r="27456" ht="15.75" customHeight="1"/>
    <row r="27457" ht="15.75" customHeight="1"/>
    <row r="27458" ht="15.75" customHeight="1"/>
    <row r="27459" ht="15.75" customHeight="1"/>
    <row r="27460" ht="15.75" customHeight="1"/>
    <row r="27461" ht="15.75" customHeight="1"/>
    <row r="27462" ht="15.75" customHeight="1"/>
    <row r="27463" ht="15.75" customHeight="1"/>
    <row r="27464" ht="15.75" customHeight="1"/>
    <row r="27465" ht="15.75" customHeight="1"/>
    <row r="27466" ht="15.75" customHeight="1"/>
    <row r="27467" ht="15.75" customHeight="1"/>
    <row r="27468" ht="15.75" customHeight="1"/>
    <row r="27469" ht="15.75" customHeight="1"/>
    <row r="27470" ht="15.75" customHeight="1"/>
    <row r="27471" ht="15.75" customHeight="1"/>
    <row r="27472" ht="15.75" customHeight="1"/>
    <row r="27473" ht="15.75" customHeight="1"/>
    <row r="27474" ht="15.75" customHeight="1"/>
    <row r="27475" ht="15.75" customHeight="1"/>
    <row r="27476" ht="15.75" customHeight="1"/>
    <row r="27477" ht="15.75" customHeight="1"/>
    <row r="27478" ht="15.75" customHeight="1"/>
    <row r="27479" ht="15.75" customHeight="1"/>
    <row r="27480" ht="15.75" customHeight="1"/>
    <row r="27481" ht="15.75" customHeight="1"/>
    <row r="27482" ht="15.75" customHeight="1"/>
    <row r="27483" ht="15.75" customHeight="1"/>
    <row r="27484" ht="15.75" customHeight="1"/>
    <row r="27485" ht="15.75" customHeight="1"/>
    <row r="27486" ht="15.75" customHeight="1"/>
    <row r="27487" ht="15.75" customHeight="1"/>
    <row r="27488" ht="15.75" customHeight="1"/>
    <row r="27489" ht="15.75" customHeight="1"/>
    <row r="27490" ht="15.75" customHeight="1"/>
    <row r="27491" ht="15.75" customHeight="1"/>
    <row r="27492" ht="15.75" customHeight="1"/>
    <row r="27493" ht="15.75" customHeight="1"/>
    <row r="27494" ht="15.75" customHeight="1"/>
    <row r="27495" ht="15.75" customHeight="1"/>
    <row r="27496" ht="15.75" customHeight="1"/>
    <row r="27497" ht="15.75" customHeight="1"/>
    <row r="27498" ht="15.75" customHeight="1"/>
    <row r="27499" ht="15.75" customHeight="1"/>
    <row r="27500" ht="15.75" customHeight="1"/>
    <row r="27501" ht="15.75" customHeight="1"/>
    <row r="27502" ht="15.75" customHeight="1"/>
    <row r="27503" ht="15.75" customHeight="1"/>
    <row r="27504" ht="15.75" customHeight="1"/>
    <row r="27505" ht="15.75" customHeight="1"/>
    <row r="27506" ht="15.75" customHeight="1"/>
    <row r="27507" ht="15.75" customHeight="1"/>
    <row r="27508" ht="15.75" customHeight="1"/>
    <row r="27509" ht="15.75" customHeight="1"/>
    <row r="27510" ht="15.75" customHeight="1"/>
    <row r="27511" ht="15.75" customHeight="1"/>
    <row r="27512" ht="15.75" customHeight="1"/>
    <row r="27513" ht="15.75" customHeight="1"/>
    <row r="27514" ht="15.75" customHeight="1"/>
    <row r="27515" ht="15.75" customHeight="1"/>
    <row r="27516" ht="15.75" customHeight="1"/>
    <row r="27517" ht="15.75" customHeight="1"/>
    <row r="27518" ht="15.75" customHeight="1"/>
    <row r="27519" ht="15.75" customHeight="1"/>
    <row r="27520" ht="15.75" customHeight="1"/>
    <row r="27521" ht="15.75" customHeight="1"/>
    <row r="27522" ht="15.75" customHeight="1"/>
    <row r="27523" ht="15.75" customHeight="1"/>
    <row r="27524" ht="15.75" customHeight="1"/>
    <row r="27525" ht="15.75" customHeight="1"/>
    <row r="27526" ht="15.75" customHeight="1"/>
    <row r="27527" ht="15.75" customHeight="1"/>
    <row r="27528" ht="15.75" customHeight="1"/>
    <row r="27529" ht="15.75" customHeight="1"/>
    <row r="27530" ht="15.75" customHeight="1"/>
    <row r="27531" ht="15.75" customHeight="1"/>
    <row r="27532" ht="15.75" customHeight="1"/>
    <row r="27533" ht="15.75" customHeight="1"/>
    <row r="27534" ht="15.75" customHeight="1"/>
    <row r="27535" ht="15.75" customHeight="1"/>
    <row r="27536" ht="15.75" customHeight="1"/>
    <row r="27537" ht="15.75" customHeight="1"/>
    <row r="27538" ht="15.75" customHeight="1"/>
    <row r="27539" ht="15.75" customHeight="1"/>
    <row r="27540" ht="15.75" customHeight="1"/>
    <row r="27541" ht="15.75" customHeight="1"/>
    <row r="27542" ht="15.75" customHeight="1"/>
    <row r="27543" ht="15.75" customHeight="1"/>
    <row r="27544" ht="15.75" customHeight="1"/>
    <row r="27545" ht="15.75" customHeight="1"/>
    <row r="27546" ht="15.75" customHeight="1"/>
    <row r="27547" ht="15.75" customHeight="1"/>
    <row r="27548" ht="15.75" customHeight="1"/>
    <row r="27549" ht="15.75" customHeight="1"/>
    <row r="27550" ht="15.75" customHeight="1"/>
    <row r="27551" ht="15.75" customHeight="1"/>
    <row r="27552" ht="15.75" customHeight="1"/>
    <row r="27553" ht="15.75" customHeight="1"/>
    <row r="27554" ht="15.75" customHeight="1"/>
    <row r="27555" ht="15.75" customHeight="1"/>
    <row r="27556" ht="15.75" customHeight="1"/>
    <row r="27557" ht="15.75" customHeight="1"/>
    <row r="27558" ht="15.75" customHeight="1"/>
    <row r="27559" ht="15.75" customHeight="1"/>
    <row r="27560" ht="15.75" customHeight="1"/>
    <row r="27561" ht="15.75" customHeight="1"/>
    <row r="27562" ht="15.75" customHeight="1"/>
    <row r="27563" ht="15.75" customHeight="1"/>
    <row r="27564" ht="15.75" customHeight="1"/>
    <row r="27565" ht="15.75" customHeight="1"/>
    <row r="27566" ht="15.75" customHeight="1"/>
    <row r="27567" ht="15.75" customHeight="1"/>
    <row r="27568" ht="15.75" customHeight="1"/>
    <row r="27569" ht="15.75" customHeight="1"/>
    <row r="27570" ht="15.75" customHeight="1"/>
    <row r="27571" ht="15.75" customHeight="1"/>
    <row r="27572" ht="15.75" customHeight="1"/>
    <row r="27573" ht="15.75" customHeight="1"/>
    <row r="27574" ht="15.75" customHeight="1"/>
    <row r="27575" ht="15.75" customHeight="1"/>
    <row r="27576" ht="15.75" customHeight="1"/>
    <row r="27577" ht="15.75" customHeight="1"/>
    <row r="27578" ht="15.75" customHeight="1"/>
    <row r="27579" ht="15.75" customHeight="1"/>
    <row r="27580" ht="15.75" customHeight="1"/>
    <row r="27581" ht="15.75" customHeight="1"/>
    <row r="27582" ht="15.75" customHeight="1"/>
    <row r="27583" ht="15.75" customHeight="1"/>
    <row r="27584" ht="15.75" customHeight="1"/>
    <row r="27585" ht="15.75" customHeight="1"/>
    <row r="27586" ht="15.75" customHeight="1"/>
    <row r="27587" ht="15.75" customHeight="1"/>
    <row r="27588" ht="15.75" customHeight="1"/>
    <row r="27589" ht="15.75" customHeight="1"/>
    <row r="27590" ht="15.75" customHeight="1"/>
    <row r="27591" ht="15.75" customHeight="1"/>
    <row r="27592" ht="15.75" customHeight="1"/>
    <row r="27593" ht="15.75" customHeight="1"/>
    <row r="27594" ht="15.75" customHeight="1"/>
    <row r="27595" ht="15.75" customHeight="1"/>
    <row r="27596" ht="15.75" customHeight="1"/>
    <row r="27597" ht="15.75" customHeight="1"/>
    <row r="27598" ht="15.75" customHeight="1"/>
    <row r="27599" ht="15.75" customHeight="1"/>
    <row r="27600" ht="15.75" customHeight="1"/>
    <row r="27601" ht="15.75" customHeight="1"/>
    <row r="27602" ht="15.75" customHeight="1"/>
    <row r="27603" ht="15.75" customHeight="1"/>
    <row r="27604" ht="15.75" customHeight="1"/>
    <row r="27605" ht="15.75" customHeight="1"/>
    <row r="27606" ht="15.75" customHeight="1"/>
    <row r="27607" ht="15.75" customHeight="1"/>
    <row r="27608" ht="15.75" customHeight="1"/>
    <row r="27609" ht="15.75" customHeight="1"/>
    <row r="27610" ht="15.75" customHeight="1"/>
    <row r="27611" ht="15.75" customHeight="1"/>
    <row r="27612" ht="15.75" customHeight="1"/>
    <row r="27613" ht="15.75" customHeight="1"/>
    <row r="27614" ht="15.75" customHeight="1"/>
    <row r="27615" ht="15.75" customHeight="1"/>
    <row r="27616" ht="15.75" customHeight="1"/>
    <row r="27617" ht="15.75" customHeight="1"/>
    <row r="27618" ht="15.75" customHeight="1"/>
    <row r="27619" ht="15.75" customHeight="1"/>
    <row r="27620" ht="15.75" customHeight="1"/>
    <row r="27621" ht="15.75" customHeight="1"/>
    <row r="27622" ht="15.75" customHeight="1"/>
    <row r="27623" ht="15.75" customHeight="1"/>
    <row r="27624" ht="15.75" customHeight="1"/>
    <row r="27625" ht="15.75" customHeight="1"/>
    <row r="27626" ht="15.75" customHeight="1"/>
    <row r="27627" ht="15.75" customHeight="1"/>
    <row r="27628" ht="15.75" customHeight="1"/>
    <row r="27629" ht="15.75" customHeight="1"/>
    <row r="27630" ht="15.75" customHeight="1"/>
    <row r="27631" ht="15.75" customHeight="1"/>
    <row r="27632" ht="15.75" customHeight="1"/>
    <row r="27633" ht="15.75" customHeight="1"/>
    <row r="27634" ht="15.75" customHeight="1"/>
    <row r="27635" ht="15.75" customHeight="1"/>
    <row r="27636" ht="15.75" customHeight="1"/>
    <row r="27637" ht="15.75" customHeight="1"/>
    <row r="27638" ht="15.75" customHeight="1"/>
    <row r="27639" ht="15.75" customHeight="1"/>
    <row r="27640" ht="15.75" customHeight="1"/>
    <row r="27641" ht="15.75" customHeight="1"/>
    <row r="27642" ht="15.75" customHeight="1"/>
    <row r="27643" ht="15.75" customHeight="1"/>
    <row r="27644" ht="15.75" customHeight="1"/>
    <row r="27645" ht="15.75" customHeight="1"/>
    <row r="27646" ht="15.75" customHeight="1"/>
    <row r="27647" ht="15.75" customHeight="1"/>
    <row r="27648" ht="15.75" customHeight="1"/>
    <row r="27649" ht="15.75" customHeight="1"/>
    <row r="27650" ht="15.75" customHeight="1"/>
    <row r="27651" ht="15.75" customHeight="1"/>
    <row r="27652" ht="15.75" customHeight="1"/>
    <row r="27653" ht="15.75" customHeight="1"/>
    <row r="27654" ht="15.75" customHeight="1"/>
    <row r="27655" ht="15.75" customHeight="1"/>
    <row r="27656" ht="15.75" customHeight="1"/>
    <row r="27657" ht="15.75" customHeight="1"/>
    <row r="27658" ht="15.75" customHeight="1"/>
    <row r="27659" ht="15.75" customHeight="1"/>
    <row r="27660" ht="15.75" customHeight="1"/>
    <row r="27661" ht="15.75" customHeight="1"/>
    <row r="27662" ht="15.75" customHeight="1"/>
    <row r="27663" ht="15.75" customHeight="1"/>
    <row r="27664" ht="15.75" customHeight="1"/>
    <row r="27665" ht="15.75" customHeight="1"/>
    <row r="27666" ht="15.75" customHeight="1"/>
    <row r="27667" ht="15.75" customHeight="1"/>
    <row r="27668" ht="15.75" customHeight="1"/>
    <row r="27669" ht="15.75" customHeight="1"/>
    <row r="27670" ht="15.75" customHeight="1"/>
    <row r="27671" ht="15.75" customHeight="1"/>
    <row r="27672" ht="15.75" customHeight="1"/>
    <row r="27673" ht="15.75" customHeight="1"/>
    <row r="27674" ht="15.75" customHeight="1"/>
    <row r="27675" ht="15.75" customHeight="1"/>
    <row r="27676" ht="15.75" customHeight="1"/>
    <row r="27677" ht="15.75" customHeight="1"/>
    <row r="27678" ht="15.75" customHeight="1"/>
    <row r="27679" ht="15.75" customHeight="1"/>
    <row r="27680" ht="15.75" customHeight="1"/>
    <row r="27681" ht="15.75" customHeight="1"/>
    <row r="27682" ht="15.75" customHeight="1"/>
    <row r="27683" ht="15.75" customHeight="1"/>
    <row r="27684" ht="15.75" customHeight="1"/>
    <row r="27685" ht="15.75" customHeight="1"/>
    <row r="27686" ht="15.75" customHeight="1"/>
    <row r="27687" ht="15.75" customHeight="1"/>
    <row r="27688" ht="15.75" customHeight="1"/>
    <row r="27689" ht="15.75" customHeight="1"/>
    <row r="27690" ht="15.75" customHeight="1"/>
    <row r="27691" ht="15.75" customHeight="1"/>
    <row r="27692" ht="15.75" customHeight="1"/>
    <row r="27693" ht="15.75" customHeight="1"/>
    <row r="27694" ht="15.75" customHeight="1"/>
    <row r="27695" ht="15.75" customHeight="1"/>
    <row r="27696" ht="15.75" customHeight="1"/>
    <row r="27697" ht="15.75" customHeight="1"/>
    <row r="27698" ht="15.75" customHeight="1"/>
    <row r="27699" ht="15.75" customHeight="1"/>
    <row r="27700" ht="15.75" customHeight="1"/>
    <row r="27701" ht="15.75" customHeight="1"/>
    <row r="27702" ht="15.75" customHeight="1"/>
    <row r="27703" ht="15.75" customHeight="1"/>
    <row r="27704" ht="15.75" customHeight="1"/>
    <row r="27705" ht="15.75" customHeight="1"/>
    <row r="27706" ht="15.75" customHeight="1"/>
    <row r="27707" ht="15.75" customHeight="1"/>
    <row r="27708" ht="15.75" customHeight="1"/>
    <row r="27709" ht="15.75" customHeight="1"/>
    <row r="27710" ht="15.75" customHeight="1"/>
    <row r="27711" ht="15.75" customHeight="1"/>
    <row r="27712" ht="15.75" customHeight="1"/>
    <row r="27713" ht="15.75" customHeight="1"/>
    <row r="27714" ht="15.75" customHeight="1"/>
    <row r="27715" ht="15.75" customHeight="1"/>
    <row r="27716" ht="15.75" customHeight="1"/>
    <row r="27717" ht="15.75" customHeight="1"/>
    <row r="27718" ht="15.75" customHeight="1"/>
    <row r="27719" ht="15.75" customHeight="1"/>
    <row r="27720" ht="15.75" customHeight="1"/>
    <row r="27721" ht="15.75" customHeight="1"/>
    <row r="27722" ht="15.75" customHeight="1"/>
    <row r="27723" ht="15.75" customHeight="1"/>
    <row r="27724" ht="15.75" customHeight="1"/>
    <row r="27725" ht="15.75" customHeight="1"/>
    <row r="27726" ht="15.75" customHeight="1"/>
    <row r="27727" ht="15.75" customHeight="1"/>
    <row r="27728" ht="15.75" customHeight="1"/>
    <row r="27729" ht="15.75" customHeight="1"/>
    <row r="27730" ht="15.75" customHeight="1"/>
    <row r="27731" ht="15.75" customHeight="1"/>
    <row r="27732" ht="15.75" customHeight="1"/>
    <row r="27733" ht="15.75" customHeight="1"/>
    <row r="27734" ht="15.75" customHeight="1"/>
    <row r="27735" ht="15.75" customHeight="1"/>
    <row r="27736" ht="15.75" customHeight="1"/>
    <row r="27737" ht="15.75" customHeight="1"/>
    <row r="27738" ht="15.75" customHeight="1"/>
    <row r="27739" ht="15.75" customHeight="1"/>
    <row r="27740" ht="15.75" customHeight="1"/>
    <row r="27741" ht="15.75" customHeight="1"/>
    <row r="27742" ht="15.75" customHeight="1"/>
    <row r="27743" ht="15.75" customHeight="1"/>
    <row r="27744" ht="15.75" customHeight="1"/>
    <row r="27745" ht="15.75" customHeight="1"/>
    <row r="27746" ht="15.75" customHeight="1"/>
    <row r="27747" ht="15.75" customHeight="1"/>
    <row r="27748" ht="15.75" customHeight="1"/>
    <row r="27749" ht="15.75" customHeight="1"/>
    <row r="27750" ht="15.75" customHeight="1"/>
    <row r="27751" ht="15.75" customHeight="1"/>
    <row r="27752" ht="15.75" customHeight="1"/>
    <row r="27753" ht="15.75" customHeight="1"/>
    <row r="27754" ht="15.75" customHeight="1"/>
    <row r="27755" ht="15.75" customHeight="1"/>
    <row r="27756" ht="15.75" customHeight="1"/>
    <row r="27757" ht="15.75" customHeight="1"/>
    <row r="27758" ht="15.75" customHeight="1"/>
    <row r="27759" ht="15.75" customHeight="1"/>
    <row r="27760" ht="15.75" customHeight="1"/>
    <row r="27761" ht="15.75" customHeight="1"/>
    <row r="27762" ht="15.75" customHeight="1"/>
    <row r="27763" ht="15.75" customHeight="1"/>
    <row r="27764" ht="15.75" customHeight="1"/>
    <row r="27765" ht="15.75" customHeight="1"/>
    <row r="27766" ht="15.75" customHeight="1"/>
    <row r="27767" ht="15.75" customHeight="1"/>
    <row r="27768" ht="15.75" customHeight="1"/>
    <row r="27769" ht="15.75" customHeight="1"/>
    <row r="27770" ht="15.75" customHeight="1"/>
    <row r="27771" ht="15.75" customHeight="1"/>
    <row r="27772" ht="15.75" customHeight="1"/>
    <row r="27773" ht="15.75" customHeight="1"/>
    <row r="27774" ht="15.75" customHeight="1"/>
    <row r="27775" ht="15.75" customHeight="1"/>
    <row r="27776" ht="15.75" customHeight="1"/>
    <row r="27777" ht="15.75" customHeight="1"/>
    <row r="27778" ht="15.75" customHeight="1"/>
    <row r="27779" ht="15.75" customHeight="1"/>
    <row r="27780" ht="15.75" customHeight="1"/>
    <row r="27781" ht="15.75" customHeight="1"/>
    <row r="27782" ht="15.75" customHeight="1"/>
    <row r="27783" ht="15.75" customHeight="1"/>
    <row r="27784" ht="15.75" customHeight="1"/>
    <row r="27785" ht="15.75" customHeight="1"/>
    <row r="27786" ht="15.75" customHeight="1"/>
    <row r="27787" ht="15.75" customHeight="1"/>
    <row r="27788" ht="15.75" customHeight="1"/>
    <row r="27789" ht="15.75" customHeight="1"/>
    <row r="27790" ht="15.75" customHeight="1"/>
    <row r="27791" ht="15.75" customHeight="1"/>
    <row r="27792" ht="15.75" customHeight="1"/>
    <row r="27793" ht="15.75" customHeight="1"/>
    <row r="27794" ht="15.75" customHeight="1"/>
    <row r="27795" ht="15.75" customHeight="1"/>
    <row r="27796" ht="15.75" customHeight="1"/>
    <row r="27797" ht="15.75" customHeight="1"/>
    <row r="27798" ht="15.75" customHeight="1"/>
    <row r="27799" ht="15.75" customHeight="1"/>
    <row r="27800" ht="15.75" customHeight="1"/>
    <row r="27801" ht="15.75" customHeight="1"/>
    <row r="27802" ht="15.75" customHeight="1"/>
    <row r="27803" ht="15.75" customHeight="1"/>
    <row r="27804" ht="15.75" customHeight="1"/>
    <row r="27805" ht="15.75" customHeight="1"/>
    <row r="27806" ht="15.75" customHeight="1"/>
    <row r="27807" ht="15.75" customHeight="1"/>
    <row r="27808" ht="15.75" customHeight="1"/>
    <row r="27809" ht="15.75" customHeight="1"/>
    <row r="27810" ht="15.75" customHeight="1"/>
    <row r="27811" ht="15.75" customHeight="1"/>
    <row r="27812" ht="15.75" customHeight="1"/>
    <row r="27813" ht="15.75" customHeight="1"/>
    <row r="27814" ht="15.75" customHeight="1"/>
    <row r="27815" ht="15.75" customHeight="1"/>
    <row r="27816" ht="15.75" customHeight="1"/>
    <row r="27817" ht="15.75" customHeight="1"/>
    <row r="27818" ht="15.75" customHeight="1"/>
    <row r="27819" ht="15.75" customHeight="1"/>
    <row r="27820" ht="15.75" customHeight="1"/>
    <row r="27821" ht="15.75" customHeight="1"/>
    <row r="27822" ht="15.75" customHeight="1"/>
    <row r="27823" ht="15.75" customHeight="1"/>
    <row r="27824" ht="15.75" customHeight="1"/>
    <row r="27825" ht="15.75" customHeight="1"/>
    <row r="27826" ht="15.75" customHeight="1"/>
    <row r="27827" ht="15.75" customHeight="1"/>
    <row r="27828" ht="15.75" customHeight="1"/>
    <row r="27829" ht="15.75" customHeight="1"/>
    <row r="27830" ht="15.75" customHeight="1"/>
    <row r="27831" ht="15.75" customHeight="1"/>
    <row r="27832" ht="15.75" customHeight="1"/>
    <row r="27833" ht="15.75" customHeight="1"/>
    <row r="27834" ht="15.75" customHeight="1"/>
    <row r="27835" ht="15.75" customHeight="1"/>
    <row r="27836" ht="15.75" customHeight="1"/>
    <row r="27837" ht="15.75" customHeight="1"/>
    <row r="27838" ht="15.75" customHeight="1"/>
    <row r="27839" ht="15.75" customHeight="1"/>
    <row r="27840" ht="15.75" customHeight="1"/>
    <row r="27841" ht="15.75" customHeight="1"/>
    <row r="27842" ht="15.75" customHeight="1"/>
    <row r="27843" ht="15.75" customHeight="1"/>
    <row r="27844" ht="15.75" customHeight="1"/>
    <row r="27845" ht="15.75" customHeight="1"/>
    <row r="27846" ht="15.75" customHeight="1"/>
    <row r="27847" ht="15.75" customHeight="1"/>
    <row r="27848" ht="15.75" customHeight="1"/>
    <row r="27849" ht="15.75" customHeight="1"/>
    <row r="27850" ht="15.75" customHeight="1"/>
    <row r="27851" ht="15.75" customHeight="1"/>
    <row r="27852" ht="15.75" customHeight="1"/>
    <row r="27853" ht="15.75" customHeight="1"/>
    <row r="27854" ht="15.75" customHeight="1"/>
    <row r="27855" ht="15.75" customHeight="1"/>
    <row r="27856" ht="15.75" customHeight="1"/>
    <row r="27857" ht="15.75" customHeight="1"/>
    <row r="27858" ht="15.75" customHeight="1"/>
    <row r="27859" ht="15.75" customHeight="1"/>
    <row r="27860" ht="15.75" customHeight="1"/>
    <row r="27861" ht="15.75" customHeight="1"/>
    <row r="27862" ht="15.75" customHeight="1"/>
    <row r="27863" ht="15.75" customHeight="1"/>
    <row r="27864" ht="15.75" customHeight="1"/>
    <row r="27865" ht="15.75" customHeight="1"/>
    <row r="27866" ht="15.75" customHeight="1"/>
    <row r="27867" ht="15.75" customHeight="1"/>
    <row r="27868" ht="15.75" customHeight="1"/>
    <row r="27869" ht="15.75" customHeight="1"/>
    <row r="27870" ht="15.75" customHeight="1"/>
    <row r="27871" ht="15.75" customHeight="1"/>
    <row r="27872" ht="15.75" customHeight="1"/>
    <row r="27873" ht="15.75" customHeight="1"/>
    <row r="27874" ht="15.75" customHeight="1"/>
    <row r="27875" ht="15.75" customHeight="1"/>
    <row r="27876" ht="15.75" customHeight="1"/>
    <row r="27877" ht="15.75" customHeight="1"/>
    <row r="27878" ht="15.75" customHeight="1"/>
    <row r="27879" ht="15.75" customHeight="1"/>
    <row r="27880" ht="15.75" customHeight="1"/>
    <row r="27881" ht="15.75" customHeight="1"/>
    <row r="27882" ht="15.75" customHeight="1"/>
    <row r="27883" ht="15.75" customHeight="1"/>
    <row r="27884" ht="15.75" customHeight="1"/>
    <row r="27885" ht="15.75" customHeight="1"/>
    <row r="27886" ht="15.75" customHeight="1"/>
    <row r="27887" ht="15.75" customHeight="1"/>
    <row r="27888" ht="15.75" customHeight="1"/>
    <row r="27889" ht="15.75" customHeight="1"/>
    <row r="27890" ht="15.75" customHeight="1"/>
    <row r="27891" ht="15.75" customHeight="1"/>
    <row r="27892" ht="15.75" customHeight="1"/>
    <row r="27893" ht="15.75" customHeight="1"/>
    <row r="27894" ht="15.75" customHeight="1"/>
    <row r="27895" ht="15.75" customHeight="1"/>
    <row r="27896" ht="15.75" customHeight="1"/>
    <row r="27897" ht="15.75" customHeight="1"/>
    <row r="27898" ht="15.75" customHeight="1"/>
    <row r="27899" ht="15.75" customHeight="1"/>
    <row r="27900" ht="15.75" customHeight="1"/>
    <row r="27901" ht="15.75" customHeight="1"/>
    <row r="27902" ht="15.75" customHeight="1"/>
    <row r="27903" ht="15.75" customHeight="1"/>
    <row r="27904" ht="15.75" customHeight="1"/>
    <row r="27905" ht="15.75" customHeight="1"/>
    <row r="27906" ht="15.75" customHeight="1"/>
    <row r="27907" ht="15.75" customHeight="1"/>
    <row r="27908" ht="15.75" customHeight="1"/>
    <row r="27909" ht="15.75" customHeight="1"/>
    <row r="27910" ht="15.75" customHeight="1"/>
    <row r="27911" ht="15.75" customHeight="1"/>
    <row r="27912" ht="15.75" customHeight="1"/>
    <row r="27913" ht="15.75" customHeight="1"/>
    <row r="27914" ht="15.75" customHeight="1"/>
    <row r="27915" ht="15.75" customHeight="1"/>
    <row r="27916" ht="15.75" customHeight="1"/>
    <row r="27917" ht="15.75" customHeight="1"/>
    <row r="27918" ht="15.75" customHeight="1"/>
    <row r="27919" ht="15.75" customHeight="1"/>
    <row r="27920" ht="15.75" customHeight="1"/>
    <row r="27921" ht="15.75" customHeight="1"/>
    <row r="27922" ht="15.75" customHeight="1"/>
    <row r="27923" ht="15.75" customHeight="1"/>
    <row r="27924" ht="15.75" customHeight="1"/>
    <row r="27925" ht="15.75" customHeight="1"/>
    <row r="27926" ht="15.75" customHeight="1"/>
    <row r="27927" ht="15.75" customHeight="1"/>
    <row r="27928" ht="15.75" customHeight="1"/>
    <row r="27929" ht="15.75" customHeight="1"/>
    <row r="27930" ht="15.75" customHeight="1"/>
    <row r="27931" ht="15.75" customHeight="1"/>
    <row r="27932" ht="15.75" customHeight="1"/>
    <row r="27933" ht="15.75" customHeight="1"/>
    <row r="27934" ht="15.75" customHeight="1"/>
    <row r="27935" ht="15.75" customHeight="1"/>
    <row r="27936" ht="15.75" customHeight="1"/>
    <row r="27937" ht="15.75" customHeight="1"/>
    <row r="27938" ht="15.75" customHeight="1"/>
    <row r="27939" ht="15.75" customHeight="1"/>
    <row r="27940" ht="15.75" customHeight="1"/>
    <row r="27941" ht="15.75" customHeight="1"/>
    <row r="27942" ht="15.75" customHeight="1"/>
    <row r="27943" ht="15.75" customHeight="1"/>
    <row r="27944" ht="15.75" customHeight="1"/>
    <row r="27945" ht="15.75" customHeight="1"/>
    <row r="27946" ht="15.75" customHeight="1"/>
    <row r="27947" ht="15.75" customHeight="1"/>
    <row r="27948" ht="15.75" customHeight="1"/>
    <row r="27949" ht="15.75" customHeight="1"/>
    <row r="27950" ht="15.75" customHeight="1"/>
    <row r="27951" ht="15.75" customHeight="1"/>
    <row r="27952" ht="15.75" customHeight="1"/>
    <row r="27953" ht="15.75" customHeight="1"/>
    <row r="27954" ht="15.75" customHeight="1"/>
    <row r="27955" ht="15.75" customHeight="1"/>
    <row r="27956" ht="15.75" customHeight="1"/>
    <row r="27957" ht="15.75" customHeight="1"/>
    <row r="27958" ht="15.75" customHeight="1"/>
    <row r="27959" ht="15.75" customHeight="1"/>
    <row r="27960" ht="15.75" customHeight="1"/>
    <row r="27961" ht="15.75" customHeight="1"/>
    <row r="27962" ht="15.75" customHeight="1"/>
    <row r="27963" ht="15.75" customHeight="1"/>
    <row r="27964" ht="15.75" customHeight="1"/>
    <row r="27965" ht="15.75" customHeight="1"/>
    <row r="27966" ht="15.75" customHeight="1"/>
    <row r="27967" ht="15.75" customHeight="1"/>
    <row r="27968" ht="15.75" customHeight="1"/>
    <row r="27969" ht="15.75" customHeight="1"/>
    <row r="27970" ht="15.75" customHeight="1"/>
    <row r="27971" ht="15.75" customHeight="1"/>
    <row r="27972" ht="15.75" customHeight="1"/>
    <row r="27973" ht="15.75" customHeight="1"/>
    <row r="27974" ht="15.75" customHeight="1"/>
    <row r="27975" ht="15.75" customHeight="1"/>
    <row r="27976" ht="15.75" customHeight="1"/>
    <row r="27977" ht="15.75" customHeight="1"/>
    <row r="27978" ht="15.75" customHeight="1"/>
    <row r="27979" ht="15.75" customHeight="1"/>
    <row r="27980" ht="15.75" customHeight="1"/>
    <row r="27981" ht="15.75" customHeight="1"/>
    <row r="27982" ht="15.75" customHeight="1"/>
    <row r="27983" ht="15.75" customHeight="1"/>
    <row r="27984" ht="15.75" customHeight="1"/>
    <row r="27985" ht="15.75" customHeight="1"/>
    <row r="27986" ht="15.75" customHeight="1"/>
    <row r="27987" ht="15.75" customHeight="1"/>
    <row r="27988" ht="15.75" customHeight="1"/>
    <row r="27989" ht="15.75" customHeight="1"/>
    <row r="27990" ht="15.75" customHeight="1"/>
    <row r="27991" ht="15.75" customHeight="1"/>
    <row r="27992" ht="15.75" customHeight="1"/>
    <row r="27993" ht="15.75" customHeight="1"/>
    <row r="27994" ht="15.75" customHeight="1"/>
    <row r="27995" ht="15.75" customHeight="1"/>
    <row r="27996" ht="15.75" customHeight="1"/>
    <row r="27997" ht="15.75" customHeight="1"/>
    <row r="27998" ht="15.75" customHeight="1"/>
    <row r="27999" ht="15.75" customHeight="1"/>
    <row r="28000" ht="15.75" customHeight="1"/>
    <row r="28001" ht="15.75" customHeight="1"/>
    <row r="28002" ht="15.75" customHeight="1"/>
    <row r="28003" ht="15.75" customHeight="1"/>
    <row r="28004" ht="15.75" customHeight="1"/>
    <row r="28005" ht="15.75" customHeight="1"/>
    <row r="28006" ht="15.75" customHeight="1"/>
    <row r="28007" ht="15.75" customHeight="1"/>
    <row r="28008" ht="15.75" customHeight="1"/>
    <row r="28009" ht="15.75" customHeight="1"/>
    <row r="28010" ht="15.75" customHeight="1"/>
    <row r="28011" ht="15.75" customHeight="1"/>
    <row r="28012" ht="15.75" customHeight="1"/>
    <row r="28013" ht="15.75" customHeight="1"/>
    <row r="28014" ht="15.75" customHeight="1"/>
    <row r="28015" ht="15.75" customHeight="1"/>
    <row r="28016" ht="15.75" customHeight="1"/>
    <row r="28017" ht="15.75" customHeight="1"/>
    <row r="28018" ht="15.75" customHeight="1"/>
    <row r="28019" ht="15.75" customHeight="1"/>
    <row r="28020" ht="15.75" customHeight="1"/>
    <row r="28021" ht="15.75" customHeight="1"/>
    <row r="28022" ht="15.75" customHeight="1"/>
    <row r="28023" ht="15.75" customHeight="1"/>
    <row r="28024" ht="15.75" customHeight="1"/>
    <row r="28025" ht="15.75" customHeight="1"/>
    <row r="28026" ht="15.75" customHeight="1"/>
    <row r="28027" ht="15.75" customHeight="1"/>
    <row r="28028" ht="15.75" customHeight="1"/>
    <row r="28029" ht="15.75" customHeight="1"/>
    <row r="28030" ht="15.75" customHeight="1"/>
    <row r="28031" ht="15.75" customHeight="1"/>
    <row r="28032" ht="15.75" customHeight="1"/>
    <row r="28033" ht="15.75" customHeight="1"/>
    <row r="28034" ht="15.75" customHeight="1"/>
    <row r="28035" ht="15.75" customHeight="1"/>
    <row r="28036" ht="15.75" customHeight="1"/>
    <row r="28037" ht="15.75" customHeight="1"/>
    <row r="28038" ht="15.75" customHeight="1"/>
    <row r="28039" ht="15.75" customHeight="1"/>
    <row r="28040" ht="15.75" customHeight="1"/>
    <row r="28041" ht="15.75" customHeight="1"/>
    <row r="28042" ht="15.75" customHeight="1"/>
    <row r="28043" ht="15.75" customHeight="1"/>
    <row r="28044" ht="15.75" customHeight="1"/>
    <row r="28045" ht="15.75" customHeight="1"/>
    <row r="28046" ht="15.75" customHeight="1"/>
    <row r="28047" ht="15.75" customHeight="1"/>
    <row r="28048" ht="15.75" customHeight="1"/>
    <row r="28049" ht="15.75" customHeight="1"/>
    <row r="28050" ht="15.75" customHeight="1"/>
    <row r="28051" ht="15.75" customHeight="1"/>
    <row r="28052" ht="15.75" customHeight="1"/>
    <row r="28053" ht="15.75" customHeight="1"/>
    <row r="28054" ht="15.75" customHeight="1"/>
    <row r="28055" ht="15.75" customHeight="1"/>
    <row r="28056" ht="15.75" customHeight="1"/>
    <row r="28057" ht="15.75" customHeight="1"/>
    <row r="28058" ht="15.75" customHeight="1"/>
    <row r="28059" ht="15.75" customHeight="1"/>
    <row r="28060" ht="15.75" customHeight="1"/>
    <row r="28061" ht="15.75" customHeight="1"/>
    <row r="28062" ht="15.75" customHeight="1"/>
    <row r="28063" ht="15.75" customHeight="1"/>
    <row r="28064" ht="15.75" customHeight="1"/>
    <row r="28065" ht="15.75" customHeight="1"/>
    <row r="28066" ht="15.75" customHeight="1"/>
    <row r="28067" ht="15.75" customHeight="1"/>
    <row r="28068" ht="15.75" customHeight="1"/>
    <row r="28069" ht="15.75" customHeight="1"/>
    <row r="28070" ht="15.75" customHeight="1"/>
    <row r="28071" ht="15.75" customHeight="1"/>
    <row r="28072" ht="15.75" customHeight="1"/>
    <row r="28073" ht="15.75" customHeight="1"/>
    <row r="28074" ht="15.75" customHeight="1"/>
    <row r="28075" ht="15.75" customHeight="1"/>
    <row r="28076" ht="15.75" customHeight="1"/>
    <row r="28077" ht="15.75" customHeight="1"/>
    <row r="28078" ht="15.75" customHeight="1"/>
    <row r="28079" ht="15.75" customHeight="1"/>
    <row r="28080" ht="15.75" customHeight="1"/>
    <row r="28081" ht="15.75" customHeight="1"/>
    <row r="28082" ht="15.75" customHeight="1"/>
    <row r="28083" ht="15.75" customHeight="1"/>
    <row r="28084" ht="15.75" customHeight="1"/>
    <row r="28085" ht="15.75" customHeight="1"/>
    <row r="28086" ht="15.75" customHeight="1"/>
    <row r="28087" ht="15.75" customHeight="1"/>
    <row r="28088" ht="15.75" customHeight="1"/>
    <row r="28089" ht="15.75" customHeight="1"/>
    <row r="28090" ht="15.75" customHeight="1"/>
    <row r="28091" ht="15.75" customHeight="1"/>
    <row r="28092" ht="15.75" customHeight="1"/>
    <row r="28093" ht="15.75" customHeight="1"/>
    <row r="28094" ht="15.75" customHeight="1"/>
    <row r="28095" ht="15.75" customHeight="1"/>
    <row r="28096" ht="15.75" customHeight="1"/>
    <row r="28097" ht="15.75" customHeight="1"/>
    <row r="28098" ht="15.75" customHeight="1"/>
    <row r="28099" ht="15.75" customHeight="1"/>
    <row r="28100" ht="15.75" customHeight="1"/>
    <row r="28101" ht="15.75" customHeight="1"/>
    <row r="28102" ht="15.75" customHeight="1"/>
    <row r="28103" ht="15.75" customHeight="1"/>
    <row r="28104" ht="15.75" customHeight="1"/>
    <row r="28105" ht="15.75" customHeight="1"/>
    <row r="28106" ht="15.75" customHeight="1"/>
    <row r="28107" ht="15.75" customHeight="1"/>
    <row r="28108" ht="15.75" customHeight="1"/>
    <row r="28109" ht="15.75" customHeight="1"/>
    <row r="28110" ht="15.75" customHeight="1"/>
    <row r="28111" ht="15.75" customHeight="1"/>
    <row r="28112" ht="15.75" customHeight="1"/>
    <row r="28113" ht="15.75" customHeight="1"/>
    <row r="28114" ht="15.75" customHeight="1"/>
    <row r="28115" ht="15.75" customHeight="1"/>
    <row r="28116" ht="15.75" customHeight="1"/>
    <row r="28117" ht="15.75" customHeight="1"/>
    <row r="28118" ht="15.75" customHeight="1"/>
    <row r="28119" ht="15.75" customHeight="1"/>
    <row r="28120" ht="15.75" customHeight="1"/>
    <row r="28121" ht="15.75" customHeight="1"/>
    <row r="28122" ht="15.75" customHeight="1"/>
    <row r="28123" ht="15.75" customHeight="1"/>
    <row r="28124" ht="15.75" customHeight="1"/>
    <row r="28125" ht="15.75" customHeight="1"/>
    <row r="28126" ht="15.75" customHeight="1"/>
    <row r="28127" ht="15.75" customHeight="1"/>
    <row r="28128" ht="15.75" customHeight="1"/>
    <row r="28129" ht="15.75" customHeight="1"/>
    <row r="28130" ht="15.75" customHeight="1"/>
    <row r="28131" ht="15.75" customHeight="1"/>
    <row r="28132" ht="15.75" customHeight="1"/>
    <row r="28133" ht="15.75" customHeight="1"/>
    <row r="28134" ht="15.75" customHeight="1"/>
    <row r="28135" ht="15.75" customHeight="1"/>
    <row r="28136" ht="15.75" customHeight="1"/>
    <row r="28137" ht="15.75" customHeight="1"/>
    <row r="28138" ht="15.75" customHeight="1"/>
    <row r="28139" ht="15.75" customHeight="1"/>
    <row r="28140" ht="15.75" customHeight="1"/>
    <row r="28141" ht="15.75" customHeight="1"/>
    <row r="28142" ht="15.75" customHeight="1"/>
    <row r="28143" ht="15.75" customHeight="1"/>
    <row r="28144" ht="15.75" customHeight="1"/>
    <row r="28145" ht="15.75" customHeight="1"/>
    <row r="28146" ht="15.75" customHeight="1"/>
    <row r="28147" ht="15.75" customHeight="1"/>
    <row r="28148" ht="15.75" customHeight="1"/>
    <row r="28149" ht="15.75" customHeight="1"/>
    <row r="28150" ht="15.75" customHeight="1"/>
    <row r="28151" ht="15.75" customHeight="1"/>
    <row r="28152" ht="15.75" customHeight="1"/>
    <row r="28153" ht="15.75" customHeight="1"/>
    <row r="28154" ht="15.75" customHeight="1"/>
    <row r="28155" ht="15.75" customHeight="1"/>
    <row r="28156" ht="15.75" customHeight="1"/>
    <row r="28157" ht="15.75" customHeight="1"/>
    <row r="28158" ht="15.75" customHeight="1"/>
    <row r="28159" ht="15.75" customHeight="1"/>
    <row r="28160" ht="15.75" customHeight="1"/>
    <row r="28161" ht="15.75" customHeight="1"/>
    <row r="28162" ht="15.75" customHeight="1"/>
    <row r="28163" ht="15.75" customHeight="1"/>
    <row r="28164" ht="15.75" customHeight="1"/>
    <row r="28165" ht="15.75" customHeight="1"/>
    <row r="28166" ht="15.75" customHeight="1"/>
    <row r="28167" ht="15.75" customHeight="1"/>
    <row r="28168" ht="15.75" customHeight="1"/>
    <row r="28169" ht="15.75" customHeight="1"/>
    <row r="28170" ht="15.75" customHeight="1"/>
    <row r="28171" ht="15.75" customHeight="1"/>
    <row r="28172" ht="15.75" customHeight="1"/>
    <row r="28173" ht="15.75" customHeight="1"/>
    <row r="28174" ht="15.75" customHeight="1"/>
    <row r="28175" ht="15.75" customHeight="1"/>
    <row r="28176" ht="15.75" customHeight="1"/>
    <row r="28177" ht="15.75" customHeight="1"/>
    <row r="28178" ht="15.75" customHeight="1"/>
    <row r="28179" ht="15.75" customHeight="1"/>
    <row r="28180" ht="15.75" customHeight="1"/>
    <row r="28181" ht="15.75" customHeight="1"/>
    <row r="28182" ht="15.75" customHeight="1"/>
    <row r="28183" ht="15.75" customHeight="1"/>
    <row r="28184" ht="15.75" customHeight="1"/>
    <row r="28185" ht="15.75" customHeight="1"/>
    <row r="28186" ht="15.75" customHeight="1"/>
    <row r="28187" ht="15.75" customHeight="1"/>
    <row r="28188" ht="15.75" customHeight="1"/>
    <row r="28189" ht="15.75" customHeight="1"/>
    <row r="28190" ht="15.75" customHeight="1"/>
    <row r="28191" ht="15.75" customHeight="1"/>
    <row r="28192" ht="15.75" customHeight="1"/>
    <row r="28193" ht="15.75" customHeight="1"/>
    <row r="28194" ht="15.75" customHeight="1"/>
    <row r="28195" ht="15.75" customHeight="1"/>
    <row r="28196" ht="15.75" customHeight="1"/>
    <row r="28197" ht="15.75" customHeight="1"/>
    <row r="28198" ht="15.75" customHeight="1"/>
    <row r="28199" ht="15.75" customHeight="1"/>
    <row r="28200" ht="15.75" customHeight="1"/>
    <row r="28201" ht="15.75" customHeight="1"/>
    <row r="28202" ht="15.75" customHeight="1"/>
    <row r="28203" ht="15.75" customHeight="1"/>
    <row r="28204" ht="15.75" customHeight="1"/>
    <row r="28205" ht="15.75" customHeight="1"/>
    <row r="28206" ht="15.75" customHeight="1"/>
    <row r="28207" ht="15.75" customHeight="1"/>
    <row r="28208" ht="15.75" customHeight="1"/>
    <row r="28209" ht="15.75" customHeight="1"/>
    <row r="28210" ht="15.75" customHeight="1"/>
    <row r="28211" ht="15.75" customHeight="1"/>
    <row r="28212" ht="15.75" customHeight="1"/>
    <row r="28213" ht="15.75" customHeight="1"/>
    <row r="28214" ht="15.75" customHeight="1"/>
    <row r="28215" ht="15.75" customHeight="1"/>
    <row r="28216" ht="15.75" customHeight="1"/>
    <row r="28217" ht="15.75" customHeight="1"/>
    <row r="28218" ht="15.75" customHeight="1"/>
    <row r="28219" ht="15.75" customHeight="1"/>
    <row r="28220" ht="15.75" customHeight="1"/>
    <row r="28221" ht="15.75" customHeight="1"/>
    <row r="28222" ht="15.75" customHeight="1"/>
    <row r="28223" ht="15.75" customHeight="1"/>
    <row r="28224" ht="15.75" customHeight="1"/>
    <row r="28225" ht="15.75" customHeight="1"/>
    <row r="28226" ht="15.75" customHeight="1"/>
    <row r="28227" ht="15.75" customHeight="1"/>
    <row r="28228" ht="15.75" customHeight="1"/>
    <row r="28229" ht="15.75" customHeight="1"/>
    <row r="28230" ht="15.75" customHeight="1"/>
    <row r="28231" ht="15.75" customHeight="1"/>
    <row r="28232" ht="15.75" customHeight="1"/>
    <row r="28233" ht="15.75" customHeight="1"/>
    <row r="28234" ht="15.75" customHeight="1"/>
    <row r="28235" ht="15.75" customHeight="1"/>
    <row r="28236" ht="15.75" customHeight="1"/>
    <row r="28237" ht="15.75" customHeight="1"/>
    <row r="28238" ht="15.75" customHeight="1"/>
    <row r="28239" ht="15.75" customHeight="1"/>
    <row r="28240" ht="15.75" customHeight="1"/>
    <row r="28241" ht="15.75" customHeight="1"/>
    <row r="28242" ht="15.75" customHeight="1"/>
    <row r="28243" ht="15.75" customHeight="1"/>
    <row r="28244" ht="15.75" customHeight="1"/>
    <row r="28245" ht="15.75" customHeight="1"/>
    <row r="28246" ht="15.75" customHeight="1"/>
    <row r="28247" ht="15.75" customHeight="1"/>
    <row r="28248" ht="15.75" customHeight="1"/>
    <row r="28249" ht="15.75" customHeight="1"/>
    <row r="28250" ht="15.75" customHeight="1"/>
    <row r="28251" ht="15.75" customHeight="1"/>
    <row r="28252" ht="15.75" customHeight="1"/>
    <row r="28253" ht="15.75" customHeight="1"/>
    <row r="28254" ht="15.75" customHeight="1"/>
    <row r="28255" ht="15.75" customHeight="1"/>
    <row r="28256" ht="15.75" customHeight="1"/>
    <row r="28257" ht="15.75" customHeight="1"/>
    <row r="28258" ht="15.75" customHeight="1"/>
    <row r="28259" ht="15.75" customHeight="1"/>
    <row r="28260" ht="15.75" customHeight="1"/>
    <row r="28261" ht="15.75" customHeight="1"/>
    <row r="28262" ht="15.75" customHeight="1"/>
    <row r="28263" ht="15.75" customHeight="1"/>
    <row r="28264" ht="15.75" customHeight="1"/>
    <row r="28265" ht="15.75" customHeight="1"/>
    <row r="28266" ht="15.75" customHeight="1"/>
    <row r="28267" ht="15.75" customHeight="1"/>
    <row r="28268" ht="15.75" customHeight="1"/>
    <row r="28269" ht="15.75" customHeight="1"/>
    <row r="28270" ht="15.75" customHeight="1"/>
    <row r="28271" ht="15.75" customHeight="1"/>
    <row r="28272" ht="15.75" customHeight="1"/>
    <row r="28273" ht="15.75" customHeight="1"/>
    <row r="28274" ht="15.75" customHeight="1"/>
    <row r="28275" ht="15.75" customHeight="1"/>
    <row r="28276" ht="15.75" customHeight="1"/>
    <row r="28277" ht="15.75" customHeight="1"/>
    <row r="28278" ht="15.75" customHeight="1"/>
    <row r="28279" ht="15.75" customHeight="1"/>
    <row r="28280" ht="15.75" customHeight="1"/>
    <row r="28281" ht="15.75" customHeight="1"/>
    <row r="28282" ht="15.75" customHeight="1"/>
    <row r="28283" ht="15.75" customHeight="1"/>
    <row r="28284" ht="15.75" customHeight="1"/>
    <row r="28285" ht="15.75" customHeight="1"/>
    <row r="28286" ht="15.75" customHeight="1"/>
    <row r="28287" ht="15.75" customHeight="1"/>
    <row r="28288" ht="15.75" customHeight="1"/>
    <row r="28289" ht="15.75" customHeight="1"/>
    <row r="28290" ht="15.75" customHeight="1"/>
    <row r="28291" ht="15.75" customHeight="1"/>
    <row r="28292" ht="15.75" customHeight="1"/>
    <row r="28293" ht="15.75" customHeight="1"/>
    <row r="28294" ht="15.75" customHeight="1"/>
    <row r="28295" ht="15.75" customHeight="1"/>
    <row r="28296" ht="15.75" customHeight="1"/>
    <row r="28297" ht="15.75" customHeight="1"/>
    <row r="28298" ht="15.75" customHeight="1"/>
    <row r="28299" ht="15.75" customHeight="1"/>
    <row r="28300" ht="15.75" customHeight="1"/>
    <row r="28301" ht="15.75" customHeight="1"/>
    <row r="28302" ht="15.75" customHeight="1"/>
    <row r="28303" ht="15.75" customHeight="1"/>
    <row r="28304" ht="15.75" customHeight="1"/>
    <row r="28305" ht="15.75" customHeight="1"/>
    <row r="28306" ht="15.75" customHeight="1"/>
    <row r="28307" ht="15.75" customHeight="1"/>
    <row r="28308" ht="15.75" customHeight="1"/>
    <row r="28309" ht="15.75" customHeight="1"/>
    <row r="28310" ht="15.75" customHeight="1"/>
    <row r="28311" ht="15.75" customHeight="1"/>
    <row r="28312" ht="15.75" customHeight="1"/>
    <row r="28313" ht="15.75" customHeight="1"/>
    <row r="28314" ht="15.75" customHeight="1"/>
    <row r="28315" ht="15.75" customHeight="1"/>
    <row r="28316" ht="15.75" customHeight="1"/>
    <row r="28317" ht="15.75" customHeight="1"/>
    <row r="28318" ht="15.75" customHeight="1"/>
    <row r="28319" ht="15.75" customHeight="1"/>
    <row r="28320" ht="15.75" customHeight="1"/>
    <row r="28321" ht="15.75" customHeight="1"/>
    <row r="28322" ht="15.75" customHeight="1"/>
    <row r="28323" ht="15.75" customHeight="1"/>
    <row r="28324" ht="15.75" customHeight="1"/>
    <row r="28325" ht="15.75" customHeight="1"/>
    <row r="28326" ht="15.75" customHeight="1"/>
    <row r="28327" ht="15.75" customHeight="1"/>
    <row r="28328" ht="15.75" customHeight="1"/>
    <row r="28329" ht="15.75" customHeight="1"/>
    <row r="28330" ht="15.75" customHeight="1"/>
    <row r="28331" ht="15.75" customHeight="1"/>
    <row r="28332" ht="15.75" customHeight="1"/>
    <row r="28333" ht="15.75" customHeight="1"/>
    <row r="28334" ht="15.75" customHeight="1"/>
    <row r="28335" ht="15.75" customHeight="1"/>
    <row r="28336" ht="15.75" customHeight="1"/>
    <row r="28337" ht="15.75" customHeight="1"/>
    <row r="28338" ht="15.75" customHeight="1"/>
    <row r="28339" ht="15.75" customHeight="1"/>
    <row r="28340" ht="15.75" customHeight="1"/>
    <row r="28341" ht="15.75" customHeight="1"/>
    <row r="28342" ht="15.75" customHeight="1"/>
    <row r="28343" ht="15.75" customHeight="1"/>
    <row r="28344" ht="15.75" customHeight="1"/>
    <row r="28345" ht="15.75" customHeight="1"/>
    <row r="28346" ht="15.75" customHeight="1"/>
    <row r="28347" ht="15.75" customHeight="1"/>
    <row r="28348" ht="15.75" customHeight="1"/>
    <row r="28349" ht="15.75" customHeight="1"/>
    <row r="28350" ht="15.75" customHeight="1"/>
    <row r="28351" ht="15.75" customHeight="1"/>
    <row r="28352" ht="15.75" customHeight="1"/>
    <row r="28353" ht="15.75" customHeight="1"/>
    <row r="28354" ht="15.75" customHeight="1"/>
    <row r="28355" ht="15.75" customHeight="1"/>
    <row r="28356" ht="15.75" customHeight="1"/>
    <row r="28357" ht="15.75" customHeight="1"/>
    <row r="28358" ht="15.75" customHeight="1"/>
    <row r="28359" ht="15.75" customHeight="1"/>
    <row r="28360" ht="15.75" customHeight="1"/>
    <row r="28361" ht="15.75" customHeight="1"/>
    <row r="28362" ht="15.75" customHeight="1"/>
    <row r="28363" ht="15.75" customHeight="1"/>
    <row r="28364" ht="15.75" customHeight="1"/>
    <row r="28365" ht="15.75" customHeight="1"/>
    <row r="28366" ht="15.75" customHeight="1"/>
    <row r="28367" ht="15.75" customHeight="1"/>
    <row r="28368" ht="15.75" customHeight="1"/>
    <row r="28369" ht="15.75" customHeight="1"/>
    <row r="28370" ht="15.75" customHeight="1"/>
    <row r="28371" ht="15.75" customHeight="1"/>
    <row r="28372" ht="15.75" customHeight="1"/>
    <row r="28373" ht="15.75" customHeight="1"/>
    <row r="28374" ht="15.75" customHeight="1"/>
    <row r="28375" ht="15.75" customHeight="1"/>
    <row r="28376" ht="15.75" customHeight="1"/>
    <row r="28377" ht="15.75" customHeight="1"/>
    <row r="28378" ht="15.75" customHeight="1"/>
    <row r="28379" ht="15.75" customHeight="1"/>
    <row r="28380" ht="15.75" customHeight="1"/>
    <row r="28381" ht="15.75" customHeight="1"/>
    <row r="28382" ht="15.75" customHeight="1"/>
    <row r="28383" ht="15.75" customHeight="1"/>
    <row r="28384" ht="15.75" customHeight="1"/>
    <row r="28385" ht="15.75" customHeight="1"/>
    <row r="28386" ht="15.75" customHeight="1"/>
    <row r="28387" ht="15.75" customHeight="1"/>
    <row r="28388" ht="15.75" customHeight="1"/>
    <row r="28389" ht="15.75" customHeight="1"/>
    <row r="28390" ht="15.75" customHeight="1"/>
    <row r="28391" ht="15.75" customHeight="1"/>
    <row r="28392" ht="15.75" customHeight="1"/>
    <row r="28393" ht="15.75" customHeight="1"/>
    <row r="28394" ht="15.75" customHeight="1"/>
    <row r="28395" ht="15.75" customHeight="1"/>
    <row r="28396" ht="15.75" customHeight="1"/>
    <row r="28397" ht="15.75" customHeight="1"/>
    <row r="28398" ht="15.75" customHeight="1"/>
    <row r="28399" ht="15.75" customHeight="1"/>
    <row r="28400" ht="15.75" customHeight="1"/>
    <row r="28401" ht="15.75" customHeight="1"/>
    <row r="28402" ht="15.75" customHeight="1"/>
    <row r="28403" ht="15.75" customHeight="1"/>
    <row r="28404" ht="15.75" customHeight="1"/>
    <row r="28405" ht="15.75" customHeight="1"/>
    <row r="28406" ht="15.75" customHeight="1"/>
    <row r="28407" ht="15.75" customHeight="1"/>
    <row r="28408" ht="15.75" customHeight="1"/>
    <row r="28409" ht="15.75" customHeight="1"/>
    <row r="28410" ht="15.75" customHeight="1"/>
    <row r="28411" ht="15.75" customHeight="1"/>
    <row r="28412" ht="15.75" customHeight="1"/>
    <row r="28413" ht="15.75" customHeight="1"/>
    <row r="28414" ht="15.75" customHeight="1"/>
    <row r="28415" ht="15.75" customHeight="1"/>
    <row r="28416" ht="15.75" customHeight="1"/>
    <row r="28417" ht="15.75" customHeight="1"/>
    <row r="28418" ht="15.75" customHeight="1"/>
    <row r="28419" ht="15.75" customHeight="1"/>
    <row r="28420" ht="15.75" customHeight="1"/>
    <row r="28421" ht="15.75" customHeight="1"/>
    <row r="28422" ht="15.75" customHeight="1"/>
    <row r="28423" ht="15.75" customHeight="1"/>
    <row r="28424" ht="15.75" customHeight="1"/>
    <row r="28425" ht="15.75" customHeight="1"/>
    <row r="28426" ht="15.75" customHeight="1"/>
    <row r="28427" ht="15.75" customHeight="1"/>
    <row r="28428" ht="15.75" customHeight="1"/>
    <row r="28429" ht="15.75" customHeight="1"/>
    <row r="28430" ht="15.75" customHeight="1"/>
    <row r="28431" ht="15.75" customHeight="1"/>
    <row r="28432" ht="15.75" customHeight="1"/>
    <row r="28433" ht="15.75" customHeight="1"/>
    <row r="28434" ht="15.75" customHeight="1"/>
    <row r="28435" ht="15.75" customHeight="1"/>
    <row r="28436" ht="15.75" customHeight="1"/>
    <row r="28437" ht="15.75" customHeight="1"/>
    <row r="28438" ht="15.75" customHeight="1"/>
    <row r="28439" ht="15.75" customHeight="1"/>
    <row r="28440" ht="15.75" customHeight="1"/>
    <row r="28441" ht="15.75" customHeight="1"/>
    <row r="28442" ht="15.75" customHeight="1"/>
    <row r="28443" ht="15.75" customHeight="1"/>
    <row r="28444" ht="15.75" customHeight="1"/>
    <row r="28445" ht="15.75" customHeight="1"/>
    <row r="28446" ht="15.75" customHeight="1"/>
    <row r="28447" ht="15.75" customHeight="1"/>
    <row r="28448" ht="15.75" customHeight="1"/>
    <row r="28449" ht="15.75" customHeight="1"/>
    <row r="28450" ht="15.75" customHeight="1"/>
    <row r="28451" ht="15.75" customHeight="1"/>
    <row r="28452" ht="15.75" customHeight="1"/>
    <row r="28453" ht="15.75" customHeight="1"/>
    <row r="28454" ht="15.75" customHeight="1"/>
    <row r="28455" ht="15.75" customHeight="1"/>
    <row r="28456" ht="15.75" customHeight="1"/>
    <row r="28457" ht="15.75" customHeight="1"/>
    <row r="28458" ht="15.75" customHeight="1"/>
    <row r="28459" ht="15.75" customHeight="1"/>
    <row r="28460" ht="15.75" customHeight="1"/>
    <row r="28461" ht="15.75" customHeight="1"/>
    <row r="28462" ht="15.75" customHeight="1"/>
    <row r="28463" ht="15.75" customHeight="1"/>
    <row r="28464" ht="15.75" customHeight="1"/>
    <row r="28465" ht="15.75" customHeight="1"/>
    <row r="28466" ht="15.75" customHeight="1"/>
    <row r="28467" ht="15.75" customHeight="1"/>
    <row r="28468" ht="15.75" customHeight="1"/>
    <row r="28469" ht="15.75" customHeight="1"/>
    <row r="28470" ht="15.75" customHeight="1"/>
    <row r="28471" ht="15.75" customHeight="1"/>
    <row r="28472" ht="15.75" customHeight="1"/>
    <row r="28473" ht="15.75" customHeight="1"/>
    <row r="28474" ht="15.75" customHeight="1"/>
    <row r="28475" ht="15.75" customHeight="1"/>
    <row r="28476" ht="15.75" customHeight="1"/>
    <row r="28477" ht="15.75" customHeight="1"/>
    <row r="28478" ht="15.75" customHeight="1"/>
    <row r="28479" ht="15.75" customHeight="1"/>
    <row r="28480" ht="15.75" customHeight="1"/>
    <row r="28481" ht="15.75" customHeight="1"/>
    <row r="28482" ht="15.75" customHeight="1"/>
    <row r="28483" ht="15.75" customHeight="1"/>
    <row r="28484" ht="15.75" customHeight="1"/>
    <row r="28485" ht="15.75" customHeight="1"/>
    <row r="28486" ht="15.75" customHeight="1"/>
    <row r="28487" ht="15.75" customHeight="1"/>
    <row r="28488" ht="15.75" customHeight="1"/>
    <row r="28489" ht="15.75" customHeight="1"/>
    <row r="28490" ht="15.75" customHeight="1"/>
    <row r="28491" ht="15.75" customHeight="1"/>
    <row r="28492" ht="15.75" customHeight="1"/>
    <row r="28493" ht="15.75" customHeight="1"/>
    <row r="28494" ht="15.75" customHeight="1"/>
    <row r="28495" ht="15.75" customHeight="1"/>
    <row r="28496" ht="15.75" customHeight="1"/>
    <row r="28497" ht="15.75" customHeight="1"/>
    <row r="28498" ht="15.75" customHeight="1"/>
    <row r="28499" ht="15.75" customHeight="1"/>
    <row r="28500" ht="15.75" customHeight="1"/>
    <row r="28501" ht="15.75" customHeight="1"/>
    <row r="28502" ht="15.75" customHeight="1"/>
    <row r="28503" ht="15.75" customHeight="1"/>
    <row r="28504" ht="15.75" customHeight="1"/>
    <row r="28505" ht="15.75" customHeight="1"/>
    <row r="28506" ht="15.75" customHeight="1"/>
    <row r="28507" ht="15.75" customHeight="1"/>
    <row r="28508" ht="15.75" customHeight="1"/>
    <row r="28509" ht="15.75" customHeight="1"/>
    <row r="28510" ht="15.75" customHeight="1"/>
    <row r="28511" ht="15.75" customHeight="1"/>
    <row r="28512" ht="15.75" customHeight="1"/>
    <row r="28513" ht="15.75" customHeight="1"/>
    <row r="28514" ht="15.75" customHeight="1"/>
    <row r="28515" ht="15.75" customHeight="1"/>
    <row r="28516" ht="15.75" customHeight="1"/>
    <row r="28517" ht="15.75" customHeight="1"/>
    <row r="28518" ht="15.75" customHeight="1"/>
    <row r="28519" ht="15.75" customHeight="1"/>
    <row r="28520" ht="15.75" customHeight="1"/>
    <row r="28521" ht="15.75" customHeight="1"/>
    <row r="28522" ht="15.75" customHeight="1"/>
    <row r="28523" ht="15.75" customHeight="1"/>
    <row r="28524" ht="15.75" customHeight="1"/>
    <row r="28525" ht="15.75" customHeight="1"/>
    <row r="28526" ht="15.75" customHeight="1"/>
    <row r="28527" ht="15.75" customHeight="1"/>
    <row r="28528" ht="15.75" customHeight="1"/>
    <row r="28529" ht="15.75" customHeight="1"/>
    <row r="28530" ht="15.75" customHeight="1"/>
    <row r="28531" ht="15.75" customHeight="1"/>
    <row r="28532" ht="15.75" customHeight="1"/>
    <row r="28533" ht="15.75" customHeight="1"/>
    <row r="28534" ht="15.75" customHeight="1"/>
    <row r="28535" ht="15.75" customHeight="1"/>
    <row r="28536" ht="15.75" customHeight="1"/>
    <row r="28537" ht="15.75" customHeight="1"/>
    <row r="28538" ht="15.75" customHeight="1"/>
    <row r="28539" ht="15.75" customHeight="1"/>
    <row r="28540" ht="15.75" customHeight="1"/>
    <row r="28541" ht="15.75" customHeight="1"/>
    <row r="28542" ht="15.75" customHeight="1"/>
    <row r="28543" ht="15.75" customHeight="1"/>
    <row r="28544" ht="15.75" customHeight="1"/>
    <row r="28545" ht="15.75" customHeight="1"/>
    <row r="28546" ht="15.75" customHeight="1"/>
    <row r="28547" ht="15.75" customHeight="1"/>
    <row r="28548" ht="15.75" customHeight="1"/>
    <row r="28549" ht="15.75" customHeight="1"/>
    <row r="28550" ht="15.75" customHeight="1"/>
    <row r="28551" ht="15.75" customHeight="1"/>
    <row r="28552" ht="15.75" customHeight="1"/>
    <row r="28553" ht="15.75" customHeight="1"/>
    <row r="28554" ht="15.75" customHeight="1"/>
    <row r="28555" ht="15.75" customHeight="1"/>
    <row r="28556" ht="15.75" customHeight="1"/>
    <row r="28557" ht="15.75" customHeight="1"/>
    <row r="28558" ht="15.75" customHeight="1"/>
    <row r="28559" ht="15.75" customHeight="1"/>
    <row r="28560" ht="15.75" customHeight="1"/>
    <row r="28561" ht="15.75" customHeight="1"/>
    <row r="28562" ht="15.75" customHeight="1"/>
    <row r="28563" ht="15.75" customHeight="1"/>
    <row r="28564" ht="15.75" customHeight="1"/>
    <row r="28565" ht="15.75" customHeight="1"/>
    <row r="28566" ht="15.75" customHeight="1"/>
    <row r="28567" ht="15.75" customHeight="1"/>
    <row r="28568" ht="15.75" customHeight="1"/>
    <row r="28569" ht="15.75" customHeight="1"/>
    <row r="28570" ht="15.75" customHeight="1"/>
    <row r="28571" ht="15.75" customHeight="1"/>
    <row r="28572" ht="15.75" customHeight="1"/>
    <row r="28573" ht="15.75" customHeight="1"/>
    <row r="28574" ht="15.75" customHeight="1"/>
    <row r="28575" ht="15.75" customHeight="1"/>
    <row r="28576" ht="15.75" customHeight="1"/>
    <row r="28577" ht="15.75" customHeight="1"/>
    <row r="28578" ht="15.75" customHeight="1"/>
    <row r="28579" ht="15.75" customHeight="1"/>
    <row r="28580" ht="15.75" customHeight="1"/>
    <row r="28581" ht="15.75" customHeight="1"/>
    <row r="28582" ht="15.75" customHeight="1"/>
    <row r="28583" ht="15.75" customHeight="1"/>
    <row r="28584" ht="15.75" customHeight="1"/>
    <row r="28585" ht="15.75" customHeight="1"/>
    <row r="28586" ht="15.75" customHeight="1"/>
    <row r="28587" ht="15.75" customHeight="1"/>
    <row r="28588" ht="15.75" customHeight="1"/>
    <row r="28589" ht="15.75" customHeight="1"/>
    <row r="28590" ht="15.75" customHeight="1"/>
    <row r="28591" ht="15.75" customHeight="1"/>
    <row r="28592" ht="15.75" customHeight="1"/>
    <row r="28593" ht="15.75" customHeight="1"/>
    <row r="28594" ht="15.75" customHeight="1"/>
    <row r="28595" ht="15.75" customHeight="1"/>
    <row r="28596" ht="15.75" customHeight="1"/>
    <row r="28597" ht="15.75" customHeight="1"/>
    <row r="28598" ht="15.75" customHeight="1"/>
    <row r="28599" ht="15.75" customHeight="1"/>
    <row r="28600" ht="15.75" customHeight="1"/>
    <row r="28601" ht="15.75" customHeight="1"/>
    <row r="28602" ht="15.75" customHeight="1"/>
    <row r="28603" ht="15.75" customHeight="1"/>
    <row r="28604" ht="15.75" customHeight="1"/>
    <row r="28605" ht="15.75" customHeight="1"/>
    <row r="28606" ht="15.75" customHeight="1"/>
    <row r="28607" ht="15.75" customHeight="1"/>
    <row r="28608" ht="15.75" customHeight="1"/>
    <row r="28609" ht="15.75" customHeight="1"/>
    <row r="28610" ht="15.75" customHeight="1"/>
    <row r="28611" ht="15.75" customHeight="1"/>
    <row r="28612" ht="15.75" customHeight="1"/>
    <row r="28613" ht="15.75" customHeight="1"/>
    <row r="28614" ht="15.75" customHeight="1"/>
    <row r="28615" ht="15.75" customHeight="1"/>
    <row r="28616" ht="15.75" customHeight="1"/>
    <row r="28617" ht="15.75" customHeight="1"/>
    <row r="28618" ht="15.75" customHeight="1"/>
    <row r="28619" ht="15.75" customHeight="1"/>
    <row r="28620" ht="15.75" customHeight="1"/>
    <row r="28621" ht="15.75" customHeight="1"/>
    <row r="28622" ht="15.75" customHeight="1"/>
    <row r="28623" ht="15.75" customHeight="1"/>
    <row r="28624" ht="15.75" customHeight="1"/>
    <row r="28625" ht="15.75" customHeight="1"/>
    <row r="28626" ht="15.75" customHeight="1"/>
    <row r="28627" ht="15.75" customHeight="1"/>
    <row r="28628" ht="15.75" customHeight="1"/>
    <row r="28629" ht="15.75" customHeight="1"/>
    <row r="28630" ht="15.75" customHeight="1"/>
    <row r="28631" ht="15.75" customHeight="1"/>
    <row r="28632" ht="15.75" customHeight="1"/>
    <row r="28633" ht="15.75" customHeight="1"/>
    <row r="28634" ht="15.75" customHeight="1"/>
    <row r="28635" ht="15.75" customHeight="1"/>
    <row r="28636" ht="15.75" customHeight="1"/>
    <row r="28637" ht="15.75" customHeight="1"/>
    <row r="28638" ht="15.75" customHeight="1"/>
    <row r="28639" ht="15.75" customHeight="1"/>
    <row r="28640" ht="15.75" customHeight="1"/>
    <row r="28641" ht="15.75" customHeight="1"/>
    <row r="28642" ht="15.75" customHeight="1"/>
    <row r="28643" ht="15.75" customHeight="1"/>
    <row r="28644" ht="15.75" customHeight="1"/>
    <row r="28645" ht="15.75" customHeight="1"/>
    <row r="28646" ht="15.75" customHeight="1"/>
    <row r="28647" ht="15.75" customHeight="1"/>
    <row r="28648" ht="15.75" customHeight="1"/>
    <row r="28649" ht="15.75" customHeight="1"/>
    <row r="28650" ht="15.75" customHeight="1"/>
    <row r="28651" ht="15.75" customHeight="1"/>
    <row r="28652" ht="15.75" customHeight="1"/>
    <row r="28653" ht="15.75" customHeight="1"/>
    <row r="28654" ht="15.75" customHeight="1"/>
    <row r="28655" ht="15.75" customHeight="1"/>
    <row r="28656" ht="15.75" customHeight="1"/>
    <row r="28657" ht="15.75" customHeight="1"/>
    <row r="28658" ht="15.75" customHeight="1"/>
    <row r="28659" ht="15.75" customHeight="1"/>
    <row r="28660" ht="15.75" customHeight="1"/>
    <row r="28661" ht="15.75" customHeight="1"/>
    <row r="28662" ht="15.75" customHeight="1"/>
    <row r="28663" ht="15.75" customHeight="1"/>
    <row r="28664" ht="15.75" customHeight="1"/>
    <row r="28665" ht="15.75" customHeight="1"/>
    <row r="28666" ht="15.75" customHeight="1"/>
    <row r="28667" ht="15.75" customHeight="1"/>
    <row r="28668" ht="15.75" customHeight="1"/>
    <row r="28669" ht="15.75" customHeight="1"/>
    <row r="28670" ht="15.75" customHeight="1"/>
    <row r="28671" ht="15.75" customHeight="1"/>
    <row r="28672" ht="15.75" customHeight="1"/>
    <row r="28673" ht="15.75" customHeight="1"/>
    <row r="28674" ht="15.75" customHeight="1"/>
    <row r="28675" ht="15.75" customHeight="1"/>
    <row r="28676" ht="15.75" customHeight="1"/>
    <row r="28677" ht="15.75" customHeight="1"/>
    <row r="28678" ht="15.75" customHeight="1"/>
    <row r="28679" ht="15.75" customHeight="1"/>
    <row r="28680" ht="15.75" customHeight="1"/>
    <row r="28681" ht="15.75" customHeight="1"/>
    <row r="28682" ht="15.75" customHeight="1"/>
    <row r="28683" ht="15.75" customHeight="1"/>
    <row r="28684" ht="15.75" customHeight="1"/>
    <row r="28685" ht="15.75" customHeight="1"/>
    <row r="28686" ht="15.75" customHeight="1"/>
    <row r="28687" ht="15.75" customHeight="1"/>
    <row r="28688" ht="15.75" customHeight="1"/>
    <row r="28689" ht="15.75" customHeight="1"/>
    <row r="28690" ht="15.75" customHeight="1"/>
    <row r="28691" ht="15.75" customHeight="1"/>
    <row r="28692" ht="15.75" customHeight="1"/>
    <row r="28693" ht="15.75" customHeight="1"/>
    <row r="28694" ht="15.75" customHeight="1"/>
    <row r="28695" ht="15.75" customHeight="1"/>
    <row r="28696" ht="15.75" customHeight="1"/>
    <row r="28697" ht="15.75" customHeight="1"/>
    <row r="28698" ht="15.75" customHeight="1"/>
    <row r="28699" ht="15.75" customHeight="1"/>
    <row r="28700" ht="15.75" customHeight="1"/>
    <row r="28701" ht="15.75" customHeight="1"/>
    <row r="28702" ht="15.75" customHeight="1"/>
    <row r="28703" ht="15.75" customHeight="1"/>
    <row r="28704" ht="15.75" customHeight="1"/>
    <row r="28705" ht="15.75" customHeight="1"/>
    <row r="28706" ht="15.75" customHeight="1"/>
    <row r="28707" ht="15.75" customHeight="1"/>
    <row r="28708" ht="15.75" customHeight="1"/>
    <row r="28709" ht="15.75" customHeight="1"/>
    <row r="28710" ht="15.75" customHeight="1"/>
    <row r="28711" ht="15.75" customHeight="1"/>
    <row r="28712" ht="15.75" customHeight="1"/>
    <row r="28713" ht="15.75" customHeight="1"/>
    <row r="28714" ht="15.75" customHeight="1"/>
    <row r="28715" ht="15.75" customHeight="1"/>
    <row r="28716" ht="15.75" customHeight="1"/>
    <row r="28717" ht="15.75" customHeight="1"/>
    <row r="28718" ht="15.75" customHeight="1"/>
    <row r="28719" ht="15.75" customHeight="1"/>
    <row r="28720" ht="15.75" customHeight="1"/>
    <row r="28721" ht="15.75" customHeight="1"/>
    <row r="28722" ht="15.75" customHeight="1"/>
    <row r="28723" ht="15.75" customHeight="1"/>
    <row r="28724" ht="15.75" customHeight="1"/>
    <row r="28725" ht="15.75" customHeight="1"/>
    <row r="28726" ht="15.75" customHeight="1"/>
    <row r="28727" ht="15.75" customHeight="1"/>
    <row r="28728" ht="15.75" customHeight="1"/>
    <row r="28729" ht="15.75" customHeight="1"/>
    <row r="28730" ht="15.75" customHeight="1"/>
    <row r="28731" ht="15.75" customHeight="1"/>
    <row r="28732" ht="15.75" customHeight="1"/>
    <row r="28733" ht="15.75" customHeight="1"/>
    <row r="28734" ht="15.75" customHeight="1"/>
    <row r="28735" ht="15.75" customHeight="1"/>
    <row r="28736" ht="15.75" customHeight="1"/>
    <row r="28737" ht="15.75" customHeight="1"/>
    <row r="28738" ht="15.75" customHeight="1"/>
    <row r="28739" ht="15.75" customHeight="1"/>
    <row r="28740" ht="15.75" customHeight="1"/>
    <row r="28741" ht="15.75" customHeight="1"/>
    <row r="28742" ht="15.75" customHeight="1"/>
    <row r="28743" ht="15.75" customHeight="1"/>
    <row r="28744" ht="15.75" customHeight="1"/>
    <row r="28745" ht="15.75" customHeight="1"/>
    <row r="28746" ht="15.75" customHeight="1"/>
    <row r="28747" ht="15.75" customHeight="1"/>
    <row r="28748" ht="15.75" customHeight="1"/>
    <row r="28749" ht="15.75" customHeight="1"/>
    <row r="28750" ht="15.75" customHeight="1"/>
    <row r="28751" ht="15.75" customHeight="1"/>
    <row r="28752" ht="15.75" customHeight="1"/>
    <row r="28753" ht="15.75" customHeight="1"/>
    <row r="28754" ht="15.75" customHeight="1"/>
    <row r="28755" ht="15.75" customHeight="1"/>
    <row r="28756" ht="15.75" customHeight="1"/>
    <row r="28757" ht="15.75" customHeight="1"/>
    <row r="28758" ht="15.75" customHeight="1"/>
    <row r="28759" ht="15.75" customHeight="1"/>
    <row r="28760" ht="15.75" customHeight="1"/>
    <row r="28761" ht="15.75" customHeight="1"/>
    <row r="28762" ht="15.75" customHeight="1"/>
    <row r="28763" ht="15.75" customHeight="1"/>
    <row r="28764" ht="15.75" customHeight="1"/>
    <row r="28765" ht="15.75" customHeight="1"/>
    <row r="28766" ht="15.75" customHeight="1"/>
    <row r="28767" ht="15.75" customHeight="1"/>
    <row r="28768" ht="15.75" customHeight="1"/>
    <row r="28769" ht="15.75" customHeight="1"/>
    <row r="28770" ht="15.75" customHeight="1"/>
    <row r="28771" ht="15.75" customHeight="1"/>
    <row r="28772" ht="15.75" customHeight="1"/>
    <row r="28773" ht="15.75" customHeight="1"/>
    <row r="28774" ht="15.75" customHeight="1"/>
    <row r="28775" ht="15.75" customHeight="1"/>
    <row r="28776" ht="15.75" customHeight="1"/>
    <row r="28777" ht="15.75" customHeight="1"/>
    <row r="28778" ht="15.75" customHeight="1"/>
    <row r="28779" ht="15.75" customHeight="1"/>
    <row r="28780" ht="15.75" customHeight="1"/>
    <row r="28781" ht="15.75" customHeight="1"/>
    <row r="28782" ht="15.75" customHeight="1"/>
    <row r="28783" ht="15.75" customHeight="1"/>
    <row r="28784" ht="15.75" customHeight="1"/>
    <row r="28785" ht="15.75" customHeight="1"/>
    <row r="28786" ht="15.75" customHeight="1"/>
    <row r="28787" ht="15.75" customHeight="1"/>
    <row r="28788" ht="15.75" customHeight="1"/>
    <row r="28789" ht="15.75" customHeight="1"/>
    <row r="28790" ht="15.75" customHeight="1"/>
    <row r="28791" ht="15.75" customHeight="1"/>
    <row r="28792" ht="15.75" customHeight="1"/>
    <row r="28793" ht="15.75" customHeight="1"/>
    <row r="28794" ht="15.75" customHeight="1"/>
    <row r="28795" ht="15.75" customHeight="1"/>
    <row r="28796" ht="15.75" customHeight="1"/>
    <row r="28797" ht="15.75" customHeight="1"/>
    <row r="28798" ht="15.75" customHeight="1"/>
    <row r="28799" ht="15.75" customHeight="1"/>
    <row r="28800" ht="15.75" customHeight="1"/>
    <row r="28801" ht="15.75" customHeight="1"/>
    <row r="28802" ht="15.75" customHeight="1"/>
    <row r="28803" ht="15.75" customHeight="1"/>
    <row r="28804" ht="15.75" customHeight="1"/>
    <row r="28805" ht="15.75" customHeight="1"/>
    <row r="28806" ht="15.75" customHeight="1"/>
    <row r="28807" ht="15.75" customHeight="1"/>
    <row r="28808" ht="15.75" customHeight="1"/>
    <row r="28809" ht="15.75" customHeight="1"/>
    <row r="28810" ht="15.75" customHeight="1"/>
    <row r="28811" ht="15.75" customHeight="1"/>
    <row r="28812" ht="15.75" customHeight="1"/>
    <row r="28813" ht="15.75" customHeight="1"/>
    <row r="28814" ht="15.75" customHeight="1"/>
    <row r="28815" ht="15.75" customHeight="1"/>
    <row r="28816" ht="15.75" customHeight="1"/>
    <row r="28817" ht="15.75" customHeight="1"/>
    <row r="28818" ht="15.75" customHeight="1"/>
    <row r="28819" ht="15.75" customHeight="1"/>
    <row r="28820" ht="15.75" customHeight="1"/>
    <row r="28821" ht="15.75" customHeight="1"/>
    <row r="28822" ht="15.75" customHeight="1"/>
    <row r="28823" ht="15.75" customHeight="1"/>
    <row r="28824" ht="15.75" customHeight="1"/>
    <row r="28825" ht="15.75" customHeight="1"/>
    <row r="28826" ht="15.75" customHeight="1"/>
    <row r="28827" ht="15.75" customHeight="1"/>
    <row r="28828" ht="15.75" customHeight="1"/>
    <row r="28829" ht="15.75" customHeight="1"/>
    <row r="28830" ht="15.75" customHeight="1"/>
    <row r="28831" ht="15.75" customHeight="1"/>
    <row r="28832" ht="15.75" customHeight="1"/>
    <row r="28833" ht="15.75" customHeight="1"/>
    <row r="28834" ht="15.75" customHeight="1"/>
    <row r="28835" ht="15.75" customHeight="1"/>
    <row r="28836" ht="15.75" customHeight="1"/>
    <row r="28837" ht="15.75" customHeight="1"/>
    <row r="28838" ht="15.75" customHeight="1"/>
    <row r="28839" ht="15.75" customHeight="1"/>
    <row r="28840" ht="15.75" customHeight="1"/>
    <row r="28841" ht="15.75" customHeight="1"/>
    <row r="28842" ht="15.75" customHeight="1"/>
    <row r="28843" ht="15.75" customHeight="1"/>
    <row r="28844" ht="15.75" customHeight="1"/>
    <row r="28845" ht="15.75" customHeight="1"/>
    <row r="28846" ht="15.75" customHeight="1"/>
    <row r="28847" ht="15.75" customHeight="1"/>
    <row r="28848" ht="15.75" customHeight="1"/>
    <row r="28849" ht="15.75" customHeight="1"/>
    <row r="28850" ht="15.75" customHeight="1"/>
    <row r="28851" ht="15.75" customHeight="1"/>
    <row r="28852" ht="15.75" customHeight="1"/>
    <row r="28853" ht="15.75" customHeight="1"/>
    <row r="28854" ht="15.75" customHeight="1"/>
    <row r="28855" ht="15.75" customHeight="1"/>
    <row r="28856" ht="15.75" customHeight="1"/>
    <row r="28857" ht="15.75" customHeight="1"/>
    <row r="28858" ht="15.75" customHeight="1"/>
    <row r="28859" ht="15.75" customHeight="1"/>
    <row r="28860" ht="15.75" customHeight="1"/>
    <row r="28861" ht="15.75" customHeight="1"/>
    <row r="28862" ht="15.75" customHeight="1"/>
    <row r="28863" ht="15.75" customHeight="1"/>
    <row r="28864" ht="15.75" customHeight="1"/>
    <row r="28865" ht="15.75" customHeight="1"/>
    <row r="28866" ht="15.75" customHeight="1"/>
    <row r="28867" ht="15.75" customHeight="1"/>
    <row r="28868" ht="15.75" customHeight="1"/>
    <row r="28869" ht="15.75" customHeight="1"/>
    <row r="28870" ht="15.75" customHeight="1"/>
    <row r="28871" ht="15.75" customHeight="1"/>
    <row r="28872" ht="15.75" customHeight="1"/>
    <row r="28873" ht="15.75" customHeight="1"/>
    <row r="28874" ht="15.75" customHeight="1"/>
    <row r="28875" ht="15.75" customHeight="1"/>
    <row r="28876" ht="15.75" customHeight="1"/>
    <row r="28877" ht="15.75" customHeight="1"/>
    <row r="28878" ht="15.75" customHeight="1"/>
    <row r="28879" ht="15.75" customHeight="1"/>
    <row r="28880" ht="15.75" customHeight="1"/>
    <row r="28881" ht="15.75" customHeight="1"/>
    <row r="28882" ht="15.75" customHeight="1"/>
    <row r="28883" ht="15.75" customHeight="1"/>
    <row r="28884" ht="15.75" customHeight="1"/>
    <row r="28885" ht="15.75" customHeight="1"/>
    <row r="28886" ht="15.75" customHeight="1"/>
    <row r="28887" ht="15.75" customHeight="1"/>
    <row r="28888" ht="15.75" customHeight="1"/>
    <row r="28889" ht="15.75" customHeight="1"/>
    <row r="28890" ht="15.75" customHeight="1"/>
    <row r="28891" ht="15.75" customHeight="1"/>
    <row r="28892" ht="15.75" customHeight="1"/>
    <row r="28893" ht="15.75" customHeight="1"/>
    <row r="28894" ht="15.75" customHeight="1"/>
    <row r="28895" ht="15.75" customHeight="1"/>
    <row r="28896" ht="15.75" customHeight="1"/>
    <row r="28897" ht="15.75" customHeight="1"/>
    <row r="28898" ht="15.75" customHeight="1"/>
    <row r="28899" ht="15.75" customHeight="1"/>
    <row r="28900" ht="15.75" customHeight="1"/>
    <row r="28901" ht="15.75" customHeight="1"/>
    <row r="28902" ht="15.75" customHeight="1"/>
    <row r="28903" ht="15.75" customHeight="1"/>
    <row r="28904" ht="15.75" customHeight="1"/>
    <row r="28905" ht="15.75" customHeight="1"/>
    <row r="28906" ht="15.75" customHeight="1"/>
    <row r="28907" ht="15.75" customHeight="1"/>
    <row r="28908" ht="15.75" customHeight="1"/>
    <row r="28909" ht="15.75" customHeight="1"/>
    <row r="28910" ht="15.75" customHeight="1"/>
    <row r="28911" ht="15.75" customHeight="1"/>
    <row r="28912" ht="15.75" customHeight="1"/>
    <row r="28913" ht="15.75" customHeight="1"/>
    <row r="28914" ht="15.75" customHeight="1"/>
    <row r="28915" ht="15.75" customHeight="1"/>
    <row r="28916" ht="15.75" customHeight="1"/>
    <row r="28917" ht="15.75" customHeight="1"/>
    <row r="28918" ht="15.75" customHeight="1"/>
    <row r="28919" ht="15.75" customHeight="1"/>
    <row r="28920" ht="15.75" customHeight="1"/>
    <row r="28921" ht="15.75" customHeight="1"/>
    <row r="28922" ht="15.75" customHeight="1"/>
    <row r="28923" ht="15.75" customHeight="1"/>
    <row r="28924" ht="15.75" customHeight="1"/>
    <row r="28925" ht="15.75" customHeight="1"/>
    <row r="28926" ht="15.75" customHeight="1"/>
    <row r="28927" ht="15.75" customHeight="1"/>
    <row r="28928" ht="15.75" customHeight="1"/>
    <row r="28929" ht="15.75" customHeight="1"/>
    <row r="28930" ht="15.75" customHeight="1"/>
    <row r="28931" ht="15.75" customHeight="1"/>
    <row r="28932" ht="15.75" customHeight="1"/>
    <row r="28933" ht="15.75" customHeight="1"/>
    <row r="28934" ht="15.75" customHeight="1"/>
    <row r="28935" ht="15.75" customHeight="1"/>
    <row r="28936" ht="15.75" customHeight="1"/>
    <row r="28937" ht="15.75" customHeight="1"/>
    <row r="28938" ht="15.75" customHeight="1"/>
    <row r="28939" ht="15.75" customHeight="1"/>
    <row r="28940" ht="15.75" customHeight="1"/>
    <row r="28941" ht="15.75" customHeight="1"/>
    <row r="28942" ht="15.75" customHeight="1"/>
    <row r="28943" ht="15.75" customHeight="1"/>
    <row r="28944" ht="15.75" customHeight="1"/>
    <row r="28945" ht="15.75" customHeight="1"/>
    <row r="28946" ht="15.75" customHeight="1"/>
    <row r="28947" ht="15.75" customHeight="1"/>
    <row r="28948" ht="15.75" customHeight="1"/>
    <row r="28949" ht="15.75" customHeight="1"/>
    <row r="28950" ht="15.75" customHeight="1"/>
    <row r="28951" ht="15.75" customHeight="1"/>
    <row r="28952" ht="15.75" customHeight="1"/>
    <row r="28953" ht="15.75" customHeight="1"/>
    <row r="28954" ht="15.75" customHeight="1"/>
    <row r="28955" ht="15.75" customHeight="1"/>
    <row r="28956" ht="15.75" customHeight="1"/>
    <row r="28957" ht="15.75" customHeight="1"/>
    <row r="28958" ht="15.75" customHeight="1"/>
    <row r="28959" ht="15.75" customHeight="1"/>
    <row r="28960" ht="15.75" customHeight="1"/>
    <row r="28961" ht="15.75" customHeight="1"/>
    <row r="28962" ht="15.75" customHeight="1"/>
    <row r="28963" ht="15.75" customHeight="1"/>
    <row r="28964" ht="15.75" customHeight="1"/>
    <row r="28965" ht="15.75" customHeight="1"/>
    <row r="28966" ht="15.75" customHeight="1"/>
    <row r="28967" ht="15.75" customHeight="1"/>
    <row r="28968" ht="15.75" customHeight="1"/>
    <row r="28969" ht="15.75" customHeight="1"/>
    <row r="28970" ht="15.75" customHeight="1"/>
    <row r="28971" ht="15.75" customHeight="1"/>
    <row r="28972" ht="15.75" customHeight="1"/>
    <row r="28973" ht="15.75" customHeight="1"/>
    <row r="28974" ht="15.75" customHeight="1"/>
    <row r="28975" ht="15.75" customHeight="1"/>
    <row r="28976" ht="15.75" customHeight="1"/>
    <row r="28977" ht="15.75" customHeight="1"/>
    <row r="28978" ht="15.75" customHeight="1"/>
    <row r="28979" ht="15.75" customHeight="1"/>
    <row r="28980" ht="15.75" customHeight="1"/>
    <row r="28981" ht="15.75" customHeight="1"/>
    <row r="28982" ht="15.75" customHeight="1"/>
    <row r="28983" ht="15.75" customHeight="1"/>
    <row r="28984" ht="15.75" customHeight="1"/>
    <row r="28985" ht="15.75" customHeight="1"/>
    <row r="28986" ht="15.75" customHeight="1"/>
    <row r="28987" ht="15.75" customHeight="1"/>
    <row r="28988" ht="15.75" customHeight="1"/>
    <row r="28989" ht="15.75" customHeight="1"/>
    <row r="28990" ht="15.75" customHeight="1"/>
    <row r="28991" ht="15.75" customHeight="1"/>
    <row r="28992" ht="15.75" customHeight="1"/>
    <row r="28993" ht="15.75" customHeight="1"/>
    <row r="28994" ht="15.75" customHeight="1"/>
    <row r="28995" ht="15.75" customHeight="1"/>
    <row r="28996" ht="15.75" customHeight="1"/>
    <row r="28997" ht="15.75" customHeight="1"/>
    <row r="28998" ht="15.75" customHeight="1"/>
    <row r="28999" ht="15.75" customHeight="1"/>
    <row r="29000" ht="15.75" customHeight="1"/>
    <row r="29001" ht="15.75" customHeight="1"/>
    <row r="29002" ht="15.75" customHeight="1"/>
    <row r="29003" ht="15.75" customHeight="1"/>
    <row r="29004" ht="15.75" customHeight="1"/>
    <row r="29005" ht="15.75" customHeight="1"/>
    <row r="29006" ht="15.75" customHeight="1"/>
    <row r="29007" ht="15.75" customHeight="1"/>
    <row r="29008" ht="15.75" customHeight="1"/>
    <row r="29009" ht="15.75" customHeight="1"/>
    <row r="29010" ht="15.75" customHeight="1"/>
    <row r="29011" ht="15.75" customHeight="1"/>
    <row r="29012" ht="15.75" customHeight="1"/>
    <row r="29013" ht="15.75" customHeight="1"/>
    <row r="29014" ht="15.75" customHeight="1"/>
    <row r="29015" ht="15.75" customHeight="1"/>
    <row r="29016" ht="15.75" customHeight="1"/>
    <row r="29017" ht="15.75" customHeight="1"/>
    <row r="29018" ht="15.75" customHeight="1"/>
    <row r="29019" ht="15.75" customHeight="1"/>
    <row r="29020" ht="15.75" customHeight="1"/>
    <row r="29021" ht="15.75" customHeight="1"/>
    <row r="29022" ht="15.75" customHeight="1"/>
    <row r="29023" ht="15.75" customHeight="1"/>
    <row r="29024" ht="15.75" customHeight="1"/>
    <row r="29025" ht="15.75" customHeight="1"/>
    <row r="29026" ht="15.75" customHeight="1"/>
    <row r="29027" ht="15.75" customHeight="1"/>
    <row r="29028" ht="15.75" customHeight="1"/>
    <row r="29029" ht="15.75" customHeight="1"/>
    <row r="29030" ht="15.75" customHeight="1"/>
    <row r="29031" ht="15.75" customHeight="1"/>
    <row r="29032" ht="15.75" customHeight="1"/>
    <row r="29033" ht="15.75" customHeight="1"/>
    <row r="29034" ht="15.75" customHeight="1"/>
    <row r="29035" ht="15.75" customHeight="1"/>
    <row r="29036" ht="15.75" customHeight="1"/>
    <row r="29037" ht="15.75" customHeight="1"/>
    <row r="29038" ht="15.75" customHeight="1"/>
    <row r="29039" ht="15.75" customHeight="1"/>
    <row r="29040" ht="15.75" customHeight="1"/>
    <row r="29041" ht="15.75" customHeight="1"/>
    <row r="29042" ht="15.75" customHeight="1"/>
    <row r="29043" ht="15.75" customHeight="1"/>
    <row r="29044" ht="15.75" customHeight="1"/>
    <row r="29045" ht="15.75" customHeight="1"/>
    <row r="29046" ht="15.75" customHeight="1"/>
    <row r="29047" ht="15.75" customHeight="1"/>
    <row r="29048" ht="15.75" customHeight="1"/>
    <row r="29049" ht="15.75" customHeight="1"/>
    <row r="29050" ht="15.75" customHeight="1"/>
    <row r="29051" ht="15.75" customHeight="1"/>
    <row r="29052" ht="15.75" customHeight="1"/>
    <row r="29053" ht="15.75" customHeight="1"/>
    <row r="29054" ht="15.75" customHeight="1"/>
    <row r="29055" ht="15.75" customHeight="1"/>
    <row r="29056" ht="15.75" customHeight="1"/>
    <row r="29057" ht="15.75" customHeight="1"/>
    <row r="29058" ht="15.75" customHeight="1"/>
    <row r="29059" ht="15.75" customHeight="1"/>
    <row r="29060" ht="15.75" customHeight="1"/>
    <row r="29061" ht="15.75" customHeight="1"/>
    <row r="29062" ht="15.75" customHeight="1"/>
    <row r="29063" ht="15.75" customHeight="1"/>
    <row r="29064" ht="15.75" customHeight="1"/>
    <row r="29065" ht="15.75" customHeight="1"/>
    <row r="29066" ht="15.75" customHeight="1"/>
    <row r="29067" ht="15.75" customHeight="1"/>
    <row r="29068" ht="15.75" customHeight="1"/>
    <row r="29069" ht="15.75" customHeight="1"/>
    <row r="29070" ht="15.75" customHeight="1"/>
    <row r="29071" ht="15.75" customHeight="1"/>
    <row r="29072" ht="15.75" customHeight="1"/>
    <row r="29073" ht="15.75" customHeight="1"/>
    <row r="29074" ht="15.75" customHeight="1"/>
    <row r="29075" ht="15.75" customHeight="1"/>
    <row r="29076" ht="15.75" customHeight="1"/>
    <row r="29077" ht="15.75" customHeight="1"/>
    <row r="29078" ht="15.75" customHeight="1"/>
    <row r="29079" ht="15.75" customHeight="1"/>
    <row r="29080" ht="15.75" customHeight="1"/>
    <row r="29081" ht="15.75" customHeight="1"/>
    <row r="29082" ht="15.75" customHeight="1"/>
    <row r="29083" ht="15.75" customHeight="1"/>
    <row r="29084" ht="15.75" customHeight="1"/>
    <row r="29085" ht="15.75" customHeight="1"/>
    <row r="29086" ht="15.75" customHeight="1"/>
    <row r="29087" ht="15.75" customHeight="1"/>
    <row r="29088" ht="15.75" customHeight="1"/>
    <row r="29089" ht="15.75" customHeight="1"/>
    <row r="29090" ht="15.75" customHeight="1"/>
    <row r="29091" ht="15.75" customHeight="1"/>
    <row r="29092" ht="15.75" customHeight="1"/>
    <row r="29093" ht="15.75" customHeight="1"/>
    <row r="29094" ht="15.75" customHeight="1"/>
    <row r="29095" ht="15.75" customHeight="1"/>
    <row r="29096" ht="15.75" customHeight="1"/>
    <row r="29097" ht="15.75" customHeight="1"/>
    <row r="29098" ht="15.75" customHeight="1"/>
    <row r="29099" ht="15.75" customHeight="1"/>
    <row r="29100" ht="15.75" customHeight="1"/>
    <row r="29101" ht="15.75" customHeight="1"/>
    <row r="29102" ht="15.75" customHeight="1"/>
    <row r="29103" ht="15.75" customHeight="1"/>
    <row r="29104" ht="15.75" customHeight="1"/>
    <row r="29105" ht="15.75" customHeight="1"/>
    <row r="29106" ht="15.75" customHeight="1"/>
    <row r="29107" ht="15.75" customHeight="1"/>
    <row r="29108" ht="15.75" customHeight="1"/>
    <row r="29109" ht="15.75" customHeight="1"/>
    <row r="29110" ht="15.75" customHeight="1"/>
    <row r="29111" ht="15.75" customHeight="1"/>
    <row r="29112" ht="15.75" customHeight="1"/>
    <row r="29113" ht="15.75" customHeight="1"/>
    <row r="29114" ht="15.75" customHeight="1"/>
    <row r="29115" ht="15.75" customHeight="1"/>
    <row r="29116" ht="15.75" customHeight="1"/>
    <row r="29117" ht="15.75" customHeight="1"/>
    <row r="29118" ht="15.75" customHeight="1"/>
    <row r="29119" ht="15.75" customHeight="1"/>
    <row r="29120" ht="15.75" customHeight="1"/>
    <row r="29121" ht="15.75" customHeight="1"/>
    <row r="29122" ht="15.75" customHeight="1"/>
    <row r="29123" ht="15.75" customHeight="1"/>
    <row r="29124" ht="15.75" customHeight="1"/>
    <row r="29125" ht="15.75" customHeight="1"/>
    <row r="29126" ht="15.75" customHeight="1"/>
    <row r="29127" ht="15.75" customHeight="1"/>
    <row r="29128" ht="15.75" customHeight="1"/>
    <row r="29129" ht="15.75" customHeight="1"/>
    <row r="29130" ht="15.75" customHeight="1"/>
    <row r="29131" ht="15.75" customHeight="1"/>
    <row r="29132" ht="15.75" customHeight="1"/>
    <row r="29133" ht="15.75" customHeight="1"/>
    <row r="29134" ht="15.75" customHeight="1"/>
    <row r="29135" ht="15.75" customHeight="1"/>
    <row r="29136" ht="15.75" customHeight="1"/>
    <row r="29137" ht="15.75" customHeight="1"/>
    <row r="29138" ht="15.75" customHeight="1"/>
    <row r="29139" ht="15.75" customHeight="1"/>
    <row r="29140" ht="15.75" customHeight="1"/>
    <row r="29141" ht="15.75" customHeight="1"/>
    <row r="29142" ht="15.75" customHeight="1"/>
    <row r="29143" ht="15.75" customHeight="1"/>
    <row r="29144" ht="15.75" customHeight="1"/>
    <row r="29145" ht="15.75" customHeight="1"/>
    <row r="29146" ht="15.75" customHeight="1"/>
    <row r="29147" ht="15.75" customHeight="1"/>
    <row r="29148" ht="15.75" customHeight="1"/>
    <row r="29149" ht="15.75" customHeight="1"/>
    <row r="29150" ht="15.75" customHeight="1"/>
    <row r="29151" ht="15.75" customHeight="1"/>
    <row r="29152" ht="15.75" customHeight="1"/>
    <row r="29153" ht="15.75" customHeight="1"/>
    <row r="29154" ht="15.75" customHeight="1"/>
    <row r="29155" ht="15.75" customHeight="1"/>
    <row r="29156" ht="15.75" customHeight="1"/>
    <row r="29157" ht="15.75" customHeight="1"/>
    <row r="29158" ht="15.75" customHeight="1"/>
    <row r="29159" ht="15.75" customHeight="1"/>
    <row r="29160" ht="15.75" customHeight="1"/>
    <row r="29161" ht="15.75" customHeight="1"/>
    <row r="29162" ht="15.75" customHeight="1"/>
    <row r="29163" ht="15.75" customHeight="1"/>
    <row r="29164" ht="15.75" customHeight="1"/>
    <row r="29165" ht="15.75" customHeight="1"/>
    <row r="29166" ht="15.75" customHeight="1"/>
    <row r="29167" ht="15.75" customHeight="1"/>
    <row r="29168" ht="15.75" customHeight="1"/>
    <row r="29169" ht="15.75" customHeight="1"/>
    <row r="29170" ht="15.75" customHeight="1"/>
    <row r="29171" ht="15.75" customHeight="1"/>
    <row r="29172" ht="15.75" customHeight="1"/>
    <row r="29173" ht="15.75" customHeight="1"/>
    <row r="29174" ht="15.75" customHeight="1"/>
    <row r="29175" ht="15.75" customHeight="1"/>
    <row r="29176" ht="15.75" customHeight="1"/>
    <row r="29177" ht="15.75" customHeight="1"/>
    <row r="29178" ht="15.75" customHeight="1"/>
    <row r="29179" ht="15.75" customHeight="1"/>
    <row r="29180" ht="15.75" customHeight="1"/>
    <row r="29181" ht="15.75" customHeight="1"/>
    <row r="29182" ht="15.75" customHeight="1"/>
    <row r="29183" ht="15.75" customHeight="1"/>
    <row r="29184" ht="15.75" customHeight="1"/>
    <row r="29185" ht="15.75" customHeight="1"/>
    <row r="29186" ht="15.75" customHeight="1"/>
    <row r="29187" ht="15.75" customHeight="1"/>
    <row r="29188" ht="15.75" customHeight="1"/>
    <row r="29189" ht="15.75" customHeight="1"/>
    <row r="29190" ht="15.75" customHeight="1"/>
    <row r="29191" ht="15.75" customHeight="1"/>
    <row r="29192" ht="15.75" customHeight="1"/>
    <row r="29193" ht="15.75" customHeight="1"/>
    <row r="29194" ht="15.75" customHeight="1"/>
    <row r="29195" ht="15.75" customHeight="1"/>
    <row r="29196" ht="15.75" customHeight="1"/>
    <row r="29197" ht="15.75" customHeight="1"/>
    <row r="29198" ht="15.75" customHeight="1"/>
    <row r="29199" ht="15.75" customHeight="1"/>
    <row r="29200" ht="15.75" customHeight="1"/>
    <row r="29201" ht="15.75" customHeight="1"/>
    <row r="29202" ht="15.75" customHeight="1"/>
    <row r="29203" ht="15.75" customHeight="1"/>
    <row r="29204" ht="15.75" customHeight="1"/>
    <row r="29205" ht="15.75" customHeight="1"/>
    <row r="29206" ht="15.75" customHeight="1"/>
    <row r="29207" ht="15.75" customHeight="1"/>
    <row r="29208" ht="15.75" customHeight="1"/>
    <row r="29209" ht="15.75" customHeight="1"/>
    <row r="29210" ht="15.75" customHeight="1"/>
    <row r="29211" ht="15.75" customHeight="1"/>
    <row r="29212" ht="15.75" customHeight="1"/>
    <row r="29213" ht="15.75" customHeight="1"/>
    <row r="29214" ht="15.75" customHeight="1"/>
    <row r="29215" ht="15.75" customHeight="1"/>
    <row r="29216" ht="15.75" customHeight="1"/>
    <row r="29217" ht="15.75" customHeight="1"/>
    <row r="29218" ht="15.75" customHeight="1"/>
    <row r="29219" ht="15.75" customHeight="1"/>
    <row r="29220" ht="15.75" customHeight="1"/>
    <row r="29221" ht="15.75" customHeight="1"/>
    <row r="29222" ht="15.75" customHeight="1"/>
    <row r="29223" ht="15.75" customHeight="1"/>
    <row r="29224" ht="15.75" customHeight="1"/>
    <row r="29225" ht="15.75" customHeight="1"/>
    <row r="29226" ht="15.75" customHeight="1"/>
    <row r="29227" ht="15.75" customHeight="1"/>
    <row r="29228" ht="15.75" customHeight="1"/>
    <row r="29229" ht="15.75" customHeight="1"/>
    <row r="29230" ht="15.75" customHeight="1"/>
    <row r="29231" ht="15.75" customHeight="1"/>
    <row r="29232" ht="15.75" customHeight="1"/>
    <row r="29233" ht="15.75" customHeight="1"/>
    <row r="29234" ht="15.75" customHeight="1"/>
    <row r="29235" ht="15.75" customHeight="1"/>
    <row r="29236" ht="15.75" customHeight="1"/>
    <row r="29237" ht="15.75" customHeight="1"/>
    <row r="29238" ht="15.75" customHeight="1"/>
    <row r="29239" ht="15.75" customHeight="1"/>
    <row r="29240" ht="15.75" customHeight="1"/>
    <row r="29241" ht="15.75" customHeight="1"/>
    <row r="29242" ht="15.75" customHeight="1"/>
    <row r="29243" ht="15.75" customHeight="1"/>
    <row r="29244" ht="15.75" customHeight="1"/>
    <row r="29245" ht="15.75" customHeight="1"/>
    <row r="29246" ht="15.75" customHeight="1"/>
    <row r="29247" ht="15.75" customHeight="1"/>
    <row r="29248" ht="15.75" customHeight="1"/>
    <row r="29249" ht="15.75" customHeight="1"/>
    <row r="29250" ht="15.75" customHeight="1"/>
    <row r="29251" ht="15.75" customHeight="1"/>
    <row r="29252" ht="15.75" customHeight="1"/>
    <row r="29253" ht="15.75" customHeight="1"/>
    <row r="29254" ht="15.75" customHeight="1"/>
    <row r="29255" ht="15.75" customHeight="1"/>
    <row r="29256" ht="15.75" customHeight="1"/>
    <row r="29257" ht="15.75" customHeight="1"/>
    <row r="29258" ht="15.75" customHeight="1"/>
    <row r="29259" ht="15.75" customHeight="1"/>
    <row r="29260" ht="15.75" customHeight="1"/>
    <row r="29261" ht="15.75" customHeight="1"/>
    <row r="29262" ht="15.75" customHeight="1"/>
    <row r="29263" ht="15.75" customHeight="1"/>
    <row r="29264" ht="15.75" customHeight="1"/>
    <row r="29265" ht="15.75" customHeight="1"/>
    <row r="29266" ht="15.75" customHeight="1"/>
    <row r="29267" ht="15.75" customHeight="1"/>
    <row r="29268" ht="15.75" customHeight="1"/>
    <row r="29269" ht="15.75" customHeight="1"/>
    <row r="29270" ht="15.75" customHeight="1"/>
    <row r="29271" ht="15.75" customHeight="1"/>
    <row r="29272" ht="15.75" customHeight="1"/>
    <row r="29273" ht="15.75" customHeight="1"/>
    <row r="29274" ht="15.75" customHeight="1"/>
    <row r="29275" ht="15.75" customHeight="1"/>
    <row r="29276" ht="15.75" customHeight="1"/>
    <row r="29277" ht="15.75" customHeight="1"/>
    <row r="29278" ht="15.75" customHeight="1"/>
    <row r="29279" ht="15.75" customHeight="1"/>
    <row r="29280" ht="15.75" customHeight="1"/>
    <row r="29281" ht="15.75" customHeight="1"/>
    <row r="29282" ht="15.75" customHeight="1"/>
    <row r="29283" ht="15.75" customHeight="1"/>
    <row r="29284" ht="15.75" customHeight="1"/>
    <row r="29285" ht="15.75" customHeight="1"/>
    <row r="29286" ht="15.75" customHeight="1"/>
    <row r="29287" ht="15.75" customHeight="1"/>
    <row r="29288" ht="15.75" customHeight="1"/>
    <row r="29289" ht="15.75" customHeight="1"/>
    <row r="29290" ht="15.75" customHeight="1"/>
    <row r="29291" ht="15.75" customHeight="1"/>
    <row r="29292" ht="15.75" customHeight="1"/>
    <row r="29293" ht="15.75" customHeight="1"/>
    <row r="29294" ht="15.75" customHeight="1"/>
    <row r="29295" ht="15.75" customHeight="1"/>
    <row r="29296" ht="15.75" customHeight="1"/>
    <row r="29297" ht="15.75" customHeight="1"/>
    <row r="29298" ht="15.75" customHeight="1"/>
    <row r="29299" ht="15.75" customHeight="1"/>
    <row r="29300" ht="15.75" customHeight="1"/>
    <row r="29301" ht="15.75" customHeight="1"/>
    <row r="29302" ht="15.75" customHeight="1"/>
    <row r="29303" ht="15.75" customHeight="1"/>
    <row r="29304" ht="15.75" customHeight="1"/>
    <row r="29305" ht="15.75" customHeight="1"/>
    <row r="29306" ht="15.75" customHeight="1"/>
    <row r="29307" ht="15.75" customHeight="1"/>
    <row r="29308" ht="15.75" customHeight="1"/>
    <row r="29309" ht="15.75" customHeight="1"/>
    <row r="29310" ht="15.75" customHeight="1"/>
    <row r="29311" ht="15.75" customHeight="1"/>
    <row r="29312" ht="15.75" customHeight="1"/>
    <row r="29313" ht="15.75" customHeight="1"/>
    <row r="29314" ht="15.75" customHeight="1"/>
    <row r="29315" ht="15.75" customHeight="1"/>
    <row r="29316" ht="15.75" customHeight="1"/>
    <row r="29317" ht="15.75" customHeight="1"/>
    <row r="29318" ht="15.75" customHeight="1"/>
    <row r="29319" ht="15.75" customHeight="1"/>
    <row r="29320" ht="15.75" customHeight="1"/>
    <row r="29321" ht="15.75" customHeight="1"/>
    <row r="29322" ht="15.75" customHeight="1"/>
    <row r="29323" ht="15.75" customHeight="1"/>
    <row r="29324" ht="15.75" customHeight="1"/>
    <row r="29325" ht="15.75" customHeight="1"/>
    <row r="29326" ht="15.75" customHeight="1"/>
    <row r="29327" ht="15.75" customHeight="1"/>
    <row r="29328" ht="15.75" customHeight="1"/>
    <row r="29329" ht="15.75" customHeight="1"/>
    <row r="29330" ht="15.75" customHeight="1"/>
    <row r="29331" ht="15.75" customHeight="1"/>
    <row r="29332" ht="15.75" customHeight="1"/>
    <row r="29333" ht="15.75" customHeight="1"/>
    <row r="29334" ht="15.75" customHeight="1"/>
    <row r="29335" ht="15.75" customHeight="1"/>
    <row r="29336" ht="15.75" customHeight="1"/>
    <row r="29337" ht="15.75" customHeight="1"/>
    <row r="29338" ht="15.75" customHeight="1"/>
    <row r="29339" ht="15.75" customHeight="1"/>
    <row r="29340" ht="15.75" customHeight="1"/>
    <row r="29341" ht="15.75" customHeight="1"/>
    <row r="29342" ht="15.75" customHeight="1"/>
    <row r="29343" ht="15.75" customHeight="1"/>
    <row r="29344" ht="15.75" customHeight="1"/>
    <row r="29345" ht="15.75" customHeight="1"/>
    <row r="29346" ht="15.75" customHeight="1"/>
    <row r="29347" ht="15.75" customHeight="1"/>
    <row r="29348" ht="15.75" customHeight="1"/>
    <row r="29349" ht="15.75" customHeight="1"/>
    <row r="29350" ht="15.75" customHeight="1"/>
    <row r="29351" ht="15.75" customHeight="1"/>
    <row r="29352" ht="15.75" customHeight="1"/>
    <row r="29353" ht="15.75" customHeight="1"/>
    <row r="29354" ht="15.75" customHeight="1"/>
    <row r="29355" ht="15.75" customHeight="1"/>
    <row r="29356" ht="15.75" customHeight="1"/>
    <row r="29357" ht="15.75" customHeight="1"/>
    <row r="29358" ht="15.75" customHeight="1"/>
    <row r="29359" ht="15.75" customHeight="1"/>
    <row r="29360" ht="15.75" customHeight="1"/>
    <row r="29361" ht="15.75" customHeight="1"/>
    <row r="29362" ht="15.75" customHeight="1"/>
    <row r="29363" ht="15.75" customHeight="1"/>
    <row r="29364" ht="15.75" customHeight="1"/>
    <row r="29365" ht="15.75" customHeight="1"/>
    <row r="29366" ht="15.75" customHeight="1"/>
    <row r="29367" ht="15.75" customHeight="1"/>
    <row r="29368" ht="15.75" customHeight="1"/>
    <row r="29369" ht="15.75" customHeight="1"/>
    <row r="29370" ht="15.75" customHeight="1"/>
    <row r="29371" ht="15.75" customHeight="1"/>
    <row r="29372" ht="15.75" customHeight="1"/>
    <row r="29373" ht="15.75" customHeight="1"/>
    <row r="29374" ht="15.75" customHeight="1"/>
    <row r="29375" ht="15.75" customHeight="1"/>
    <row r="29376" ht="15.75" customHeight="1"/>
    <row r="29377" ht="15.75" customHeight="1"/>
    <row r="29378" ht="15.75" customHeight="1"/>
    <row r="29379" ht="15.75" customHeight="1"/>
    <row r="29380" ht="15.75" customHeight="1"/>
    <row r="29381" ht="15.75" customHeight="1"/>
    <row r="29382" ht="15.75" customHeight="1"/>
    <row r="29383" ht="15.75" customHeight="1"/>
    <row r="29384" ht="15.75" customHeight="1"/>
    <row r="29385" ht="15.75" customHeight="1"/>
    <row r="29386" ht="15.75" customHeight="1"/>
    <row r="29387" ht="15.75" customHeight="1"/>
    <row r="29388" ht="15.75" customHeight="1"/>
    <row r="29389" ht="15.75" customHeight="1"/>
    <row r="29390" ht="15.75" customHeight="1"/>
    <row r="29391" ht="15.75" customHeight="1"/>
    <row r="29392" ht="15.75" customHeight="1"/>
    <row r="29393" ht="15.75" customHeight="1"/>
    <row r="29394" ht="15.75" customHeight="1"/>
    <row r="29395" ht="15.75" customHeight="1"/>
    <row r="29396" ht="15.75" customHeight="1"/>
    <row r="29397" ht="15.75" customHeight="1"/>
    <row r="29398" ht="15.75" customHeight="1"/>
    <row r="29399" ht="15.75" customHeight="1"/>
    <row r="29400" ht="15.75" customHeight="1"/>
    <row r="29401" ht="15.75" customHeight="1"/>
    <row r="29402" ht="15.75" customHeight="1"/>
    <row r="29403" ht="15.75" customHeight="1"/>
    <row r="29404" ht="15.75" customHeight="1"/>
    <row r="29405" ht="15.75" customHeight="1"/>
    <row r="29406" ht="15.75" customHeight="1"/>
    <row r="29407" ht="15.75" customHeight="1"/>
    <row r="29408" ht="15.75" customHeight="1"/>
    <row r="29409" ht="15.75" customHeight="1"/>
    <row r="29410" ht="15.75" customHeight="1"/>
    <row r="29411" ht="15.75" customHeight="1"/>
    <row r="29412" ht="15.75" customHeight="1"/>
    <row r="29413" ht="15.75" customHeight="1"/>
    <row r="29414" ht="15.75" customHeight="1"/>
    <row r="29415" ht="15.75" customHeight="1"/>
    <row r="29416" ht="15.75" customHeight="1"/>
    <row r="29417" ht="15.75" customHeight="1"/>
    <row r="29418" ht="15.75" customHeight="1"/>
    <row r="29419" ht="15.75" customHeight="1"/>
    <row r="29420" ht="15.75" customHeight="1"/>
    <row r="29421" ht="15.75" customHeight="1"/>
    <row r="29422" ht="15.75" customHeight="1"/>
    <row r="29423" ht="15.75" customHeight="1"/>
    <row r="29424" ht="15.75" customHeight="1"/>
    <row r="29425" ht="15.75" customHeight="1"/>
    <row r="29426" ht="15.75" customHeight="1"/>
    <row r="29427" ht="15.75" customHeight="1"/>
    <row r="29428" ht="15.75" customHeight="1"/>
    <row r="29429" ht="15.75" customHeight="1"/>
    <row r="29430" ht="15.75" customHeight="1"/>
    <row r="29431" ht="15.75" customHeight="1"/>
    <row r="29432" ht="15.75" customHeight="1"/>
    <row r="29433" ht="15.75" customHeight="1"/>
    <row r="29434" ht="15.75" customHeight="1"/>
    <row r="29435" ht="15.75" customHeight="1"/>
    <row r="29436" ht="15.75" customHeight="1"/>
    <row r="29437" ht="15.75" customHeight="1"/>
    <row r="29438" ht="15.75" customHeight="1"/>
    <row r="29439" ht="15.75" customHeight="1"/>
    <row r="29440" ht="15.75" customHeight="1"/>
    <row r="29441" ht="15.75" customHeight="1"/>
    <row r="29442" ht="15.75" customHeight="1"/>
    <row r="29443" ht="15.75" customHeight="1"/>
    <row r="29444" ht="15.75" customHeight="1"/>
    <row r="29445" ht="15.75" customHeight="1"/>
    <row r="29446" ht="15.75" customHeight="1"/>
    <row r="29447" ht="15.75" customHeight="1"/>
    <row r="29448" ht="15.75" customHeight="1"/>
    <row r="29449" ht="15.75" customHeight="1"/>
    <row r="29450" ht="15.75" customHeight="1"/>
    <row r="29451" ht="15.75" customHeight="1"/>
    <row r="29452" ht="15.75" customHeight="1"/>
    <row r="29453" ht="15.75" customHeight="1"/>
    <row r="29454" ht="15.75" customHeight="1"/>
    <row r="29455" ht="15.75" customHeight="1"/>
    <row r="29456" ht="15.75" customHeight="1"/>
    <row r="29457" ht="15.75" customHeight="1"/>
    <row r="29458" ht="15.75" customHeight="1"/>
    <row r="29459" ht="15.75" customHeight="1"/>
    <row r="29460" ht="15.75" customHeight="1"/>
    <row r="29461" ht="15.75" customHeight="1"/>
    <row r="29462" ht="15.75" customHeight="1"/>
    <row r="29463" ht="15.75" customHeight="1"/>
    <row r="29464" ht="15.75" customHeight="1"/>
    <row r="29465" ht="15.75" customHeight="1"/>
    <row r="29466" ht="15.75" customHeight="1"/>
    <row r="29467" ht="15.75" customHeight="1"/>
    <row r="29468" ht="15.75" customHeight="1"/>
    <row r="29469" ht="15.75" customHeight="1"/>
    <row r="29470" ht="15.75" customHeight="1"/>
    <row r="29471" ht="15.75" customHeight="1"/>
    <row r="29472" ht="15.75" customHeight="1"/>
    <row r="29473" ht="15.75" customHeight="1"/>
    <row r="29474" ht="15.75" customHeight="1"/>
    <row r="29475" ht="15.75" customHeight="1"/>
    <row r="29476" ht="15.75" customHeight="1"/>
    <row r="29477" ht="15.75" customHeight="1"/>
    <row r="29478" ht="15.75" customHeight="1"/>
    <row r="29479" ht="15.75" customHeight="1"/>
    <row r="29480" ht="15.75" customHeight="1"/>
    <row r="29481" ht="15.75" customHeight="1"/>
    <row r="29482" ht="15.75" customHeight="1"/>
    <row r="29483" ht="15.75" customHeight="1"/>
    <row r="29484" ht="15.75" customHeight="1"/>
    <row r="29485" ht="15.75" customHeight="1"/>
    <row r="29486" ht="15.75" customHeight="1"/>
    <row r="29487" ht="15.75" customHeight="1"/>
    <row r="29488" ht="15.75" customHeight="1"/>
    <row r="29489" ht="15.75" customHeight="1"/>
    <row r="29490" ht="15.75" customHeight="1"/>
    <row r="29491" ht="15.75" customHeight="1"/>
    <row r="29492" ht="15.75" customHeight="1"/>
    <row r="29493" ht="15.75" customHeight="1"/>
    <row r="29494" ht="15.75" customHeight="1"/>
    <row r="29495" ht="15.75" customHeight="1"/>
    <row r="29496" ht="15.75" customHeight="1"/>
    <row r="29497" ht="15.75" customHeight="1"/>
    <row r="29498" ht="15.75" customHeight="1"/>
    <row r="29499" ht="15.75" customHeight="1"/>
    <row r="29500" ht="15.75" customHeight="1"/>
    <row r="29501" ht="15.75" customHeight="1"/>
    <row r="29502" ht="15.75" customHeight="1"/>
    <row r="29503" ht="15.75" customHeight="1"/>
    <row r="29504" ht="15.75" customHeight="1"/>
    <row r="29505" ht="15.75" customHeight="1"/>
    <row r="29506" ht="15.75" customHeight="1"/>
    <row r="29507" ht="15.75" customHeight="1"/>
    <row r="29508" ht="15.75" customHeight="1"/>
    <row r="29509" ht="15.75" customHeight="1"/>
    <row r="29510" ht="15.75" customHeight="1"/>
    <row r="29511" ht="15.75" customHeight="1"/>
    <row r="29512" ht="15.75" customHeight="1"/>
    <row r="29513" ht="15.75" customHeight="1"/>
    <row r="29514" ht="15.75" customHeight="1"/>
    <row r="29515" ht="15.75" customHeight="1"/>
    <row r="29516" ht="15.75" customHeight="1"/>
    <row r="29517" ht="15.75" customHeight="1"/>
    <row r="29518" ht="15.75" customHeight="1"/>
    <row r="29519" ht="15.75" customHeight="1"/>
    <row r="29520" ht="15.75" customHeight="1"/>
    <row r="29521" ht="15.75" customHeight="1"/>
    <row r="29522" ht="15.75" customHeight="1"/>
    <row r="29523" ht="15.75" customHeight="1"/>
    <row r="29524" ht="15.75" customHeight="1"/>
    <row r="29525" ht="15.75" customHeight="1"/>
    <row r="29526" ht="15.75" customHeight="1"/>
    <row r="29527" ht="15.75" customHeight="1"/>
    <row r="29528" ht="15.75" customHeight="1"/>
    <row r="29529" ht="15.75" customHeight="1"/>
    <row r="29530" ht="15.75" customHeight="1"/>
    <row r="29531" ht="15.75" customHeight="1"/>
    <row r="29532" ht="15.75" customHeight="1"/>
    <row r="29533" ht="15.75" customHeight="1"/>
    <row r="29534" ht="15.75" customHeight="1"/>
    <row r="29535" ht="15.75" customHeight="1"/>
    <row r="29536" ht="15.75" customHeight="1"/>
    <row r="29537" ht="15.75" customHeight="1"/>
    <row r="29538" ht="15.75" customHeight="1"/>
    <row r="29539" ht="15.75" customHeight="1"/>
    <row r="29540" ht="15.75" customHeight="1"/>
    <row r="29541" ht="15.75" customHeight="1"/>
    <row r="29542" ht="15.75" customHeight="1"/>
    <row r="29543" ht="15.75" customHeight="1"/>
    <row r="29544" ht="15.75" customHeight="1"/>
    <row r="29545" ht="15.75" customHeight="1"/>
    <row r="29546" ht="15.75" customHeight="1"/>
    <row r="29547" ht="15.75" customHeight="1"/>
    <row r="29548" ht="15.75" customHeight="1"/>
    <row r="29549" ht="15.75" customHeight="1"/>
    <row r="29550" ht="15.75" customHeight="1"/>
    <row r="29551" ht="15.75" customHeight="1"/>
    <row r="29552" ht="15.75" customHeight="1"/>
    <row r="29553" ht="15.75" customHeight="1"/>
    <row r="29554" ht="15.75" customHeight="1"/>
    <row r="29555" ht="15.75" customHeight="1"/>
    <row r="29556" ht="15.75" customHeight="1"/>
    <row r="29557" ht="15.75" customHeight="1"/>
    <row r="29558" ht="15.75" customHeight="1"/>
    <row r="29559" ht="15.75" customHeight="1"/>
    <row r="29560" ht="15.75" customHeight="1"/>
    <row r="29561" ht="15.75" customHeight="1"/>
    <row r="29562" ht="15.75" customHeight="1"/>
    <row r="29563" ht="15.75" customHeight="1"/>
    <row r="29564" ht="15.75" customHeight="1"/>
    <row r="29565" ht="15.75" customHeight="1"/>
    <row r="29566" ht="15.75" customHeight="1"/>
    <row r="29567" ht="15.75" customHeight="1"/>
    <row r="29568" ht="15.75" customHeight="1"/>
    <row r="29569" ht="15.75" customHeight="1"/>
    <row r="29570" ht="15.75" customHeight="1"/>
    <row r="29571" ht="15.75" customHeight="1"/>
    <row r="29572" ht="15.75" customHeight="1"/>
    <row r="29573" ht="15.75" customHeight="1"/>
    <row r="29574" ht="15.75" customHeight="1"/>
    <row r="29575" ht="15.75" customHeight="1"/>
    <row r="29576" ht="15.75" customHeight="1"/>
    <row r="29577" ht="15.75" customHeight="1"/>
    <row r="29578" ht="15.75" customHeight="1"/>
    <row r="29579" ht="15.75" customHeight="1"/>
    <row r="29580" ht="15.75" customHeight="1"/>
    <row r="29581" ht="15.75" customHeight="1"/>
    <row r="29582" ht="15.75" customHeight="1"/>
    <row r="29583" ht="15.75" customHeight="1"/>
    <row r="29584" ht="15.75" customHeight="1"/>
    <row r="29585" ht="15.75" customHeight="1"/>
    <row r="29586" ht="15.75" customHeight="1"/>
    <row r="29587" ht="15.75" customHeight="1"/>
    <row r="29588" ht="15.75" customHeight="1"/>
    <row r="29589" ht="15.75" customHeight="1"/>
    <row r="29590" ht="15.75" customHeight="1"/>
    <row r="29591" ht="15.75" customHeight="1"/>
    <row r="29592" ht="15.75" customHeight="1"/>
    <row r="29593" ht="15.75" customHeight="1"/>
    <row r="29594" ht="15.75" customHeight="1"/>
    <row r="29595" ht="15.75" customHeight="1"/>
    <row r="29596" ht="15.75" customHeight="1"/>
    <row r="29597" ht="15.75" customHeight="1"/>
    <row r="29598" ht="15.75" customHeight="1"/>
    <row r="29599" ht="15.75" customHeight="1"/>
    <row r="29600" ht="15.75" customHeight="1"/>
    <row r="29601" ht="15.75" customHeight="1"/>
    <row r="29602" ht="15.75" customHeight="1"/>
    <row r="29603" ht="15.75" customHeight="1"/>
    <row r="29604" ht="15.75" customHeight="1"/>
    <row r="29605" ht="15.75" customHeight="1"/>
    <row r="29606" ht="15.75" customHeight="1"/>
    <row r="29607" ht="15.75" customHeight="1"/>
    <row r="29608" ht="15.75" customHeight="1"/>
    <row r="29609" ht="15.75" customHeight="1"/>
    <row r="29610" ht="15.75" customHeight="1"/>
    <row r="29611" ht="15.75" customHeight="1"/>
    <row r="29612" ht="15.75" customHeight="1"/>
    <row r="29613" ht="15.75" customHeight="1"/>
    <row r="29614" ht="15.75" customHeight="1"/>
    <row r="29615" ht="15.75" customHeight="1"/>
    <row r="29616" ht="15.75" customHeight="1"/>
    <row r="29617" ht="15.75" customHeight="1"/>
    <row r="29618" ht="15.75" customHeight="1"/>
    <row r="29619" ht="15.75" customHeight="1"/>
    <row r="29620" ht="15.75" customHeight="1"/>
    <row r="29621" ht="15.75" customHeight="1"/>
    <row r="29622" ht="15.75" customHeight="1"/>
    <row r="29623" ht="15.75" customHeight="1"/>
    <row r="29624" ht="15.75" customHeight="1"/>
    <row r="29625" ht="15.75" customHeight="1"/>
    <row r="29626" ht="15.75" customHeight="1"/>
    <row r="29627" ht="15.75" customHeight="1"/>
    <row r="29628" ht="15.75" customHeight="1"/>
    <row r="29629" ht="15.75" customHeight="1"/>
    <row r="29630" ht="15.75" customHeight="1"/>
    <row r="29631" ht="15.75" customHeight="1"/>
    <row r="29632" ht="15.75" customHeight="1"/>
    <row r="29633" ht="15.75" customHeight="1"/>
    <row r="29634" ht="15.75" customHeight="1"/>
    <row r="29635" ht="15.75" customHeight="1"/>
    <row r="29636" ht="15.75" customHeight="1"/>
    <row r="29637" ht="15.75" customHeight="1"/>
    <row r="29638" ht="15.75" customHeight="1"/>
    <row r="29639" ht="15.75" customHeight="1"/>
    <row r="29640" ht="15.75" customHeight="1"/>
    <row r="29641" ht="15.75" customHeight="1"/>
    <row r="29642" ht="15.75" customHeight="1"/>
    <row r="29643" ht="15.75" customHeight="1"/>
    <row r="29644" ht="15.75" customHeight="1"/>
    <row r="29645" ht="15.75" customHeight="1"/>
    <row r="29646" ht="15.75" customHeight="1"/>
    <row r="29647" ht="15.75" customHeight="1"/>
    <row r="29648" ht="15.75" customHeight="1"/>
    <row r="29649" ht="15.75" customHeight="1"/>
    <row r="29650" ht="15.75" customHeight="1"/>
    <row r="29651" ht="15.75" customHeight="1"/>
    <row r="29652" ht="15.75" customHeight="1"/>
    <row r="29653" ht="15.75" customHeight="1"/>
    <row r="29654" ht="15.75" customHeight="1"/>
    <row r="29655" ht="15.75" customHeight="1"/>
    <row r="29656" ht="15.75" customHeight="1"/>
    <row r="29657" ht="15.75" customHeight="1"/>
    <row r="29658" ht="15.75" customHeight="1"/>
    <row r="29659" ht="15.75" customHeight="1"/>
    <row r="29660" ht="15.75" customHeight="1"/>
    <row r="29661" ht="15.75" customHeight="1"/>
    <row r="29662" ht="15.75" customHeight="1"/>
    <row r="29663" ht="15.75" customHeight="1"/>
    <row r="29664" ht="15.75" customHeight="1"/>
    <row r="29665" ht="15.75" customHeight="1"/>
    <row r="29666" ht="15.75" customHeight="1"/>
    <row r="29667" ht="15.75" customHeight="1"/>
    <row r="29668" ht="15.75" customHeight="1"/>
    <row r="29669" ht="15.75" customHeight="1"/>
    <row r="29670" ht="15.75" customHeight="1"/>
    <row r="29671" ht="15.75" customHeight="1"/>
    <row r="29672" ht="15.75" customHeight="1"/>
    <row r="29673" ht="15.75" customHeight="1"/>
    <row r="29674" ht="15.75" customHeight="1"/>
    <row r="29675" ht="15.75" customHeight="1"/>
    <row r="29676" ht="15.75" customHeight="1"/>
    <row r="29677" ht="15.75" customHeight="1"/>
    <row r="29678" ht="15.75" customHeight="1"/>
    <row r="29679" ht="15.75" customHeight="1"/>
    <row r="29680" ht="15.75" customHeight="1"/>
    <row r="29681" ht="15.75" customHeight="1"/>
    <row r="29682" ht="15.75" customHeight="1"/>
    <row r="29683" ht="15.75" customHeight="1"/>
    <row r="29684" ht="15.75" customHeight="1"/>
    <row r="29685" ht="15.75" customHeight="1"/>
    <row r="29686" ht="15.75" customHeight="1"/>
    <row r="29687" ht="15.75" customHeight="1"/>
    <row r="29688" ht="15.75" customHeight="1"/>
    <row r="29689" ht="15.75" customHeight="1"/>
    <row r="29690" ht="15.75" customHeight="1"/>
    <row r="29691" ht="15.75" customHeight="1"/>
    <row r="29692" ht="15.75" customHeight="1"/>
    <row r="29693" ht="15.75" customHeight="1"/>
    <row r="29694" ht="15.75" customHeight="1"/>
    <row r="29695" ht="15.75" customHeight="1"/>
    <row r="29696" ht="15.75" customHeight="1"/>
    <row r="29697" ht="15.75" customHeight="1"/>
    <row r="29698" ht="15.75" customHeight="1"/>
    <row r="29699" ht="15.75" customHeight="1"/>
    <row r="29700" ht="15.75" customHeight="1"/>
    <row r="29701" ht="15.75" customHeight="1"/>
    <row r="29702" ht="15.75" customHeight="1"/>
    <row r="29703" ht="15.75" customHeight="1"/>
    <row r="29704" ht="15.75" customHeight="1"/>
    <row r="29705" ht="15.75" customHeight="1"/>
    <row r="29706" ht="15.75" customHeight="1"/>
    <row r="29707" ht="15.75" customHeight="1"/>
    <row r="29708" ht="15.75" customHeight="1"/>
    <row r="29709" ht="15.75" customHeight="1"/>
    <row r="29710" ht="15.75" customHeight="1"/>
    <row r="29711" ht="15.75" customHeight="1"/>
    <row r="29712" ht="15.75" customHeight="1"/>
    <row r="29713" ht="15.75" customHeight="1"/>
    <row r="29714" ht="15.75" customHeight="1"/>
    <row r="29715" ht="15.75" customHeight="1"/>
    <row r="29716" ht="15.75" customHeight="1"/>
    <row r="29717" ht="15.75" customHeight="1"/>
    <row r="29718" ht="15.75" customHeight="1"/>
    <row r="29719" ht="15.75" customHeight="1"/>
    <row r="29720" ht="15.75" customHeight="1"/>
    <row r="29721" ht="15.75" customHeight="1"/>
    <row r="29722" ht="15.75" customHeight="1"/>
    <row r="29723" ht="15.75" customHeight="1"/>
    <row r="29724" ht="15.75" customHeight="1"/>
    <row r="29725" ht="15.75" customHeight="1"/>
    <row r="29726" ht="15.75" customHeight="1"/>
    <row r="29727" ht="15.75" customHeight="1"/>
    <row r="29728" ht="15.75" customHeight="1"/>
    <row r="29729" ht="15.75" customHeight="1"/>
    <row r="29730" ht="15.75" customHeight="1"/>
    <row r="29731" ht="15.75" customHeight="1"/>
    <row r="29732" ht="15.75" customHeight="1"/>
    <row r="29733" ht="15.75" customHeight="1"/>
    <row r="29734" ht="15.75" customHeight="1"/>
    <row r="29735" ht="15.75" customHeight="1"/>
    <row r="29736" ht="15.75" customHeight="1"/>
    <row r="29737" ht="15.75" customHeight="1"/>
    <row r="29738" ht="15.75" customHeight="1"/>
    <row r="29739" ht="15.75" customHeight="1"/>
    <row r="29740" ht="15.75" customHeight="1"/>
    <row r="29741" ht="15.75" customHeight="1"/>
    <row r="29742" ht="15.75" customHeight="1"/>
    <row r="29743" ht="15.75" customHeight="1"/>
    <row r="29744" ht="15.75" customHeight="1"/>
    <row r="29745" ht="15.75" customHeight="1"/>
    <row r="29746" ht="15.75" customHeight="1"/>
    <row r="29747" ht="15.75" customHeight="1"/>
    <row r="29748" ht="15.75" customHeight="1"/>
    <row r="29749" ht="15.75" customHeight="1"/>
    <row r="29750" ht="15.75" customHeight="1"/>
    <row r="29751" ht="15.75" customHeight="1"/>
    <row r="29752" ht="15.75" customHeight="1"/>
    <row r="29753" ht="15.75" customHeight="1"/>
    <row r="29754" ht="15.75" customHeight="1"/>
    <row r="29755" ht="15.75" customHeight="1"/>
    <row r="29756" ht="15.75" customHeight="1"/>
    <row r="29757" ht="15.75" customHeight="1"/>
    <row r="29758" ht="15.75" customHeight="1"/>
    <row r="29759" ht="15.75" customHeight="1"/>
    <row r="29760" ht="15.75" customHeight="1"/>
    <row r="29761" ht="15.75" customHeight="1"/>
    <row r="29762" ht="15.75" customHeight="1"/>
    <row r="29763" ht="15.75" customHeight="1"/>
    <row r="29764" ht="15.75" customHeight="1"/>
    <row r="29765" ht="15.75" customHeight="1"/>
    <row r="29766" ht="15.75" customHeight="1"/>
    <row r="29767" ht="15.75" customHeight="1"/>
    <row r="29768" ht="15.75" customHeight="1"/>
    <row r="29769" ht="15.75" customHeight="1"/>
    <row r="29770" ht="15.75" customHeight="1"/>
    <row r="29771" ht="15.75" customHeight="1"/>
    <row r="29772" ht="15.75" customHeight="1"/>
    <row r="29773" ht="15.75" customHeight="1"/>
    <row r="29774" ht="15.75" customHeight="1"/>
    <row r="29775" ht="15.75" customHeight="1"/>
    <row r="29776" ht="15.75" customHeight="1"/>
    <row r="29777" ht="15.75" customHeight="1"/>
    <row r="29778" ht="15.75" customHeight="1"/>
    <row r="29779" ht="15.75" customHeight="1"/>
    <row r="29780" ht="15.75" customHeight="1"/>
    <row r="29781" ht="15.75" customHeight="1"/>
    <row r="29782" ht="15.75" customHeight="1"/>
    <row r="29783" ht="15.75" customHeight="1"/>
    <row r="29784" ht="15.75" customHeight="1"/>
    <row r="29785" ht="15.75" customHeight="1"/>
    <row r="29786" ht="15.75" customHeight="1"/>
    <row r="29787" ht="15.75" customHeight="1"/>
    <row r="29788" ht="15.75" customHeight="1"/>
    <row r="29789" ht="15.75" customHeight="1"/>
    <row r="29790" ht="15.75" customHeight="1"/>
    <row r="29791" ht="15.75" customHeight="1"/>
    <row r="29792" ht="15.75" customHeight="1"/>
    <row r="29793" ht="15.75" customHeight="1"/>
    <row r="29794" ht="15.75" customHeight="1"/>
    <row r="29795" ht="15.75" customHeight="1"/>
    <row r="29796" ht="15.75" customHeight="1"/>
    <row r="29797" ht="15.75" customHeight="1"/>
    <row r="29798" ht="15.75" customHeight="1"/>
    <row r="29799" ht="15.75" customHeight="1"/>
    <row r="29800" ht="15.75" customHeight="1"/>
    <row r="29801" ht="15.75" customHeight="1"/>
    <row r="29802" ht="15.75" customHeight="1"/>
    <row r="29803" ht="15.75" customHeight="1"/>
    <row r="29804" ht="15.75" customHeight="1"/>
    <row r="29805" ht="15.75" customHeight="1"/>
    <row r="29806" ht="15.75" customHeight="1"/>
    <row r="29807" ht="15.75" customHeight="1"/>
    <row r="29808" ht="15.75" customHeight="1"/>
    <row r="29809" ht="15.75" customHeight="1"/>
    <row r="29810" ht="15.75" customHeight="1"/>
    <row r="29811" ht="15.75" customHeight="1"/>
    <row r="29812" ht="15.75" customHeight="1"/>
    <row r="29813" ht="15.75" customHeight="1"/>
    <row r="29814" ht="15.75" customHeight="1"/>
    <row r="29815" ht="15.75" customHeight="1"/>
    <row r="29816" ht="15.75" customHeight="1"/>
    <row r="29817" ht="15.75" customHeight="1"/>
    <row r="29818" ht="15.75" customHeight="1"/>
    <row r="29819" ht="15.75" customHeight="1"/>
    <row r="29820" ht="15.75" customHeight="1"/>
    <row r="29821" ht="15.75" customHeight="1"/>
    <row r="29822" ht="15.75" customHeight="1"/>
    <row r="29823" ht="15.75" customHeight="1"/>
    <row r="29824" ht="15.75" customHeight="1"/>
    <row r="29825" ht="15.75" customHeight="1"/>
    <row r="29826" ht="15.75" customHeight="1"/>
    <row r="29827" ht="15.75" customHeight="1"/>
    <row r="29828" ht="15.75" customHeight="1"/>
    <row r="29829" ht="15.75" customHeight="1"/>
    <row r="29830" ht="15.75" customHeight="1"/>
    <row r="29831" ht="15.75" customHeight="1"/>
    <row r="29832" ht="15.75" customHeight="1"/>
    <row r="29833" ht="15.75" customHeight="1"/>
    <row r="29834" ht="15.75" customHeight="1"/>
    <row r="29835" ht="15.75" customHeight="1"/>
    <row r="29836" ht="15.75" customHeight="1"/>
    <row r="29837" ht="15.75" customHeight="1"/>
    <row r="29838" ht="15.75" customHeight="1"/>
    <row r="29839" ht="15.75" customHeight="1"/>
    <row r="29840" ht="15.75" customHeight="1"/>
    <row r="29841" ht="15.75" customHeight="1"/>
    <row r="29842" ht="15.75" customHeight="1"/>
    <row r="29843" ht="15.75" customHeight="1"/>
    <row r="29844" ht="15.75" customHeight="1"/>
    <row r="29845" ht="15.75" customHeight="1"/>
    <row r="29846" ht="15.75" customHeight="1"/>
    <row r="29847" ht="15.75" customHeight="1"/>
    <row r="29848" ht="15.75" customHeight="1"/>
    <row r="29849" ht="15.75" customHeight="1"/>
    <row r="29850" ht="15.75" customHeight="1"/>
    <row r="29851" ht="15.75" customHeight="1"/>
    <row r="29852" ht="15.75" customHeight="1"/>
    <row r="29853" ht="15.75" customHeight="1"/>
    <row r="29854" ht="15.75" customHeight="1"/>
    <row r="29855" ht="15.75" customHeight="1"/>
    <row r="29856" ht="15.75" customHeight="1"/>
    <row r="29857" ht="15.75" customHeight="1"/>
    <row r="29858" ht="15.75" customHeight="1"/>
    <row r="29859" ht="15.75" customHeight="1"/>
    <row r="29860" ht="15.75" customHeight="1"/>
    <row r="29861" ht="15.75" customHeight="1"/>
    <row r="29862" ht="15.75" customHeight="1"/>
    <row r="29863" ht="15.75" customHeight="1"/>
    <row r="29864" ht="15.75" customHeight="1"/>
    <row r="29865" ht="15.75" customHeight="1"/>
    <row r="29866" ht="15.75" customHeight="1"/>
    <row r="29867" ht="15.75" customHeight="1"/>
    <row r="29868" ht="15.75" customHeight="1"/>
    <row r="29869" ht="15.75" customHeight="1"/>
    <row r="29870" ht="15.75" customHeight="1"/>
    <row r="29871" ht="15.75" customHeight="1"/>
    <row r="29872" ht="15.75" customHeight="1"/>
    <row r="29873" ht="15.75" customHeight="1"/>
    <row r="29874" ht="15.75" customHeight="1"/>
    <row r="29875" ht="15.75" customHeight="1"/>
    <row r="29876" ht="15.75" customHeight="1"/>
    <row r="29877" ht="15.75" customHeight="1"/>
    <row r="29878" ht="15.75" customHeight="1"/>
    <row r="29879" ht="15.75" customHeight="1"/>
    <row r="29880" ht="15.75" customHeight="1"/>
    <row r="29881" ht="15.75" customHeight="1"/>
    <row r="29882" ht="15.75" customHeight="1"/>
    <row r="29883" ht="15.75" customHeight="1"/>
    <row r="29884" ht="15.75" customHeight="1"/>
    <row r="29885" ht="15.75" customHeight="1"/>
    <row r="29886" ht="15.75" customHeight="1"/>
    <row r="29887" ht="15.75" customHeight="1"/>
    <row r="29888" ht="15.75" customHeight="1"/>
    <row r="29889" ht="15.75" customHeight="1"/>
    <row r="29890" ht="15.75" customHeight="1"/>
    <row r="29891" ht="15.75" customHeight="1"/>
    <row r="29892" ht="15.75" customHeight="1"/>
    <row r="29893" ht="15.75" customHeight="1"/>
    <row r="29894" ht="15.75" customHeight="1"/>
    <row r="29895" ht="15.75" customHeight="1"/>
    <row r="29896" ht="15.75" customHeight="1"/>
    <row r="29897" ht="15.75" customHeight="1"/>
    <row r="29898" ht="15.75" customHeight="1"/>
    <row r="29899" ht="15.75" customHeight="1"/>
    <row r="29900" ht="15.75" customHeight="1"/>
    <row r="29901" ht="15.75" customHeight="1"/>
    <row r="29902" ht="15.75" customHeight="1"/>
    <row r="29903" ht="15.75" customHeight="1"/>
    <row r="29904" ht="15.75" customHeight="1"/>
    <row r="29905" ht="15.75" customHeight="1"/>
    <row r="29906" ht="15.75" customHeight="1"/>
    <row r="29907" ht="15.75" customHeight="1"/>
    <row r="29908" ht="15.75" customHeight="1"/>
    <row r="29909" ht="15.75" customHeight="1"/>
    <row r="29910" ht="15.75" customHeight="1"/>
    <row r="29911" ht="15.75" customHeight="1"/>
    <row r="29912" ht="15.75" customHeight="1"/>
    <row r="29913" ht="15.75" customHeight="1"/>
    <row r="29914" ht="15.75" customHeight="1"/>
    <row r="29915" ht="15.75" customHeight="1"/>
    <row r="29916" ht="15.75" customHeight="1"/>
    <row r="29917" ht="15.75" customHeight="1"/>
    <row r="29918" ht="15.75" customHeight="1"/>
    <row r="29919" ht="15.75" customHeight="1"/>
    <row r="29920" ht="15.75" customHeight="1"/>
    <row r="29921" ht="15.75" customHeight="1"/>
    <row r="29922" ht="15.75" customHeight="1"/>
    <row r="29923" ht="15.75" customHeight="1"/>
    <row r="29924" ht="15.75" customHeight="1"/>
    <row r="29925" ht="15.75" customHeight="1"/>
    <row r="29926" ht="15.75" customHeight="1"/>
    <row r="29927" ht="15.75" customHeight="1"/>
    <row r="29928" ht="15.75" customHeight="1"/>
    <row r="29929" ht="15.75" customHeight="1"/>
    <row r="29930" ht="15.75" customHeight="1"/>
    <row r="29931" ht="15.75" customHeight="1"/>
    <row r="29932" ht="15.75" customHeight="1"/>
    <row r="29933" ht="15.75" customHeight="1"/>
    <row r="29934" ht="15.75" customHeight="1"/>
    <row r="29935" ht="15.75" customHeight="1"/>
    <row r="29936" ht="15.75" customHeight="1"/>
    <row r="29937" ht="15.75" customHeight="1"/>
    <row r="29938" ht="15.75" customHeight="1"/>
    <row r="29939" ht="15.75" customHeight="1"/>
    <row r="29940" ht="15.75" customHeight="1"/>
    <row r="29941" ht="15.75" customHeight="1"/>
    <row r="29942" ht="15.75" customHeight="1"/>
    <row r="29943" ht="15.75" customHeight="1"/>
    <row r="29944" ht="15.75" customHeight="1"/>
    <row r="29945" ht="15.75" customHeight="1"/>
    <row r="29946" ht="15.75" customHeight="1"/>
    <row r="29947" ht="15.75" customHeight="1"/>
    <row r="29948" ht="15.75" customHeight="1"/>
    <row r="29949" ht="15.75" customHeight="1"/>
    <row r="29950" ht="15.75" customHeight="1"/>
    <row r="29951" ht="15.75" customHeight="1"/>
    <row r="29952" ht="15.75" customHeight="1"/>
    <row r="29953" ht="15.75" customHeight="1"/>
    <row r="29954" ht="15.75" customHeight="1"/>
    <row r="29955" ht="15.75" customHeight="1"/>
    <row r="29956" ht="15.75" customHeight="1"/>
    <row r="29957" ht="15.75" customHeight="1"/>
    <row r="29958" ht="15.75" customHeight="1"/>
    <row r="29959" ht="15.75" customHeight="1"/>
    <row r="29960" ht="15.75" customHeight="1"/>
    <row r="29961" ht="15.75" customHeight="1"/>
    <row r="29962" ht="15.75" customHeight="1"/>
    <row r="29963" ht="15.75" customHeight="1"/>
    <row r="29964" ht="15.75" customHeight="1"/>
    <row r="29965" ht="15.75" customHeight="1"/>
    <row r="29966" ht="15.75" customHeight="1"/>
    <row r="29967" ht="15.75" customHeight="1"/>
    <row r="29968" ht="15.75" customHeight="1"/>
    <row r="29969" ht="15.75" customHeight="1"/>
    <row r="29970" ht="15.75" customHeight="1"/>
    <row r="29971" ht="15.75" customHeight="1"/>
    <row r="29972" ht="15.75" customHeight="1"/>
    <row r="29973" ht="15.75" customHeight="1"/>
    <row r="29974" ht="15.75" customHeight="1"/>
    <row r="29975" ht="15.75" customHeight="1"/>
    <row r="29976" ht="15.75" customHeight="1"/>
    <row r="29977" ht="15.75" customHeight="1"/>
    <row r="29978" ht="15.75" customHeight="1"/>
    <row r="29979" ht="15.75" customHeight="1"/>
    <row r="29980" ht="15.75" customHeight="1"/>
    <row r="29981" ht="15.75" customHeight="1"/>
    <row r="29982" ht="15.75" customHeight="1"/>
    <row r="29983" ht="15.75" customHeight="1"/>
    <row r="29984" ht="15.75" customHeight="1"/>
    <row r="29985" ht="15.75" customHeight="1"/>
    <row r="29986" ht="15.75" customHeight="1"/>
    <row r="29987" ht="15.75" customHeight="1"/>
    <row r="29988" ht="15.75" customHeight="1"/>
    <row r="29989" ht="15.75" customHeight="1"/>
    <row r="29990" ht="15.75" customHeight="1"/>
    <row r="29991" ht="15.75" customHeight="1"/>
    <row r="29992" ht="15.75" customHeight="1"/>
    <row r="29993" ht="15.75" customHeight="1"/>
    <row r="29994" ht="15.75" customHeight="1"/>
    <row r="29995" ht="15.75" customHeight="1"/>
    <row r="29996" ht="15.75" customHeight="1"/>
    <row r="29997" ht="15.75" customHeight="1"/>
    <row r="29998" ht="15.75" customHeight="1"/>
    <row r="29999" ht="15.75" customHeight="1"/>
    <row r="30000" ht="15.75" customHeight="1"/>
    <row r="30001" ht="15.75" customHeight="1"/>
    <row r="30002" ht="15.75" customHeight="1"/>
    <row r="30003" ht="15.75" customHeight="1"/>
    <row r="30004" ht="15.75" customHeight="1"/>
    <row r="30005" ht="15.75" customHeight="1"/>
    <row r="30006" ht="15.75" customHeight="1"/>
    <row r="30007" ht="15.75" customHeight="1"/>
    <row r="30008" ht="15.75" customHeight="1"/>
    <row r="30009" ht="15.75" customHeight="1"/>
    <row r="30010" ht="15.75" customHeight="1"/>
    <row r="30011" ht="15.75" customHeight="1"/>
    <row r="30012" ht="15.75" customHeight="1"/>
    <row r="30013" ht="15.75" customHeight="1"/>
    <row r="30014" ht="15.75" customHeight="1"/>
    <row r="30015" ht="15.75" customHeight="1"/>
    <row r="30016" ht="15.75" customHeight="1"/>
    <row r="30017" ht="15.75" customHeight="1"/>
    <row r="30018" ht="15.75" customHeight="1"/>
    <row r="30019" ht="15.75" customHeight="1"/>
    <row r="30020" ht="15.75" customHeight="1"/>
    <row r="30021" ht="15.75" customHeight="1"/>
    <row r="30022" ht="15.75" customHeight="1"/>
    <row r="30023" ht="15.75" customHeight="1"/>
    <row r="30024" ht="15.75" customHeight="1"/>
    <row r="30025" ht="15.75" customHeight="1"/>
    <row r="30026" ht="15.75" customHeight="1"/>
    <row r="30027" ht="15.75" customHeight="1"/>
    <row r="30028" ht="15.75" customHeight="1"/>
    <row r="30029" ht="15.75" customHeight="1"/>
    <row r="30030" ht="15.75" customHeight="1"/>
    <row r="30031" ht="15.75" customHeight="1"/>
    <row r="30032" ht="15.75" customHeight="1"/>
    <row r="30033" ht="15.75" customHeight="1"/>
    <row r="30034" ht="15.75" customHeight="1"/>
    <row r="30035" ht="15.75" customHeight="1"/>
    <row r="30036" ht="15.75" customHeight="1"/>
    <row r="30037" ht="15.75" customHeight="1"/>
    <row r="30038" ht="15.75" customHeight="1"/>
    <row r="30039" ht="15.75" customHeight="1"/>
    <row r="30040" ht="15.75" customHeight="1"/>
    <row r="30041" ht="15.75" customHeight="1"/>
    <row r="30042" ht="15.75" customHeight="1"/>
    <row r="30043" ht="15.75" customHeight="1"/>
    <row r="30044" ht="15.75" customHeight="1"/>
    <row r="30045" ht="15.75" customHeight="1"/>
    <row r="30046" ht="15.75" customHeight="1"/>
    <row r="30047" ht="15.75" customHeight="1"/>
    <row r="30048" ht="15.75" customHeight="1"/>
    <row r="30049" ht="15.75" customHeight="1"/>
    <row r="30050" ht="15.75" customHeight="1"/>
    <row r="30051" ht="15.75" customHeight="1"/>
    <row r="30052" ht="15.75" customHeight="1"/>
    <row r="30053" ht="15.75" customHeight="1"/>
    <row r="30054" ht="15.75" customHeight="1"/>
    <row r="30055" ht="15.75" customHeight="1"/>
    <row r="30056" ht="15.75" customHeight="1"/>
    <row r="30057" ht="15.75" customHeight="1"/>
    <row r="30058" ht="15.75" customHeight="1"/>
    <row r="30059" ht="15.75" customHeight="1"/>
    <row r="30060" ht="15.75" customHeight="1"/>
    <row r="30061" ht="15.75" customHeight="1"/>
    <row r="30062" ht="15.75" customHeight="1"/>
    <row r="30063" ht="15.75" customHeight="1"/>
    <row r="30064" ht="15.75" customHeight="1"/>
    <row r="30065" ht="15.75" customHeight="1"/>
    <row r="30066" ht="15.75" customHeight="1"/>
    <row r="30067" ht="15.75" customHeight="1"/>
    <row r="30068" ht="15.75" customHeight="1"/>
    <row r="30069" ht="15.75" customHeight="1"/>
    <row r="30070" ht="15.75" customHeight="1"/>
    <row r="30071" ht="15.75" customHeight="1"/>
    <row r="30072" ht="15.75" customHeight="1"/>
    <row r="30073" ht="15.75" customHeight="1"/>
    <row r="30074" ht="15.75" customHeight="1"/>
    <row r="30075" ht="15.75" customHeight="1"/>
    <row r="30076" ht="15.75" customHeight="1"/>
    <row r="30077" ht="15.75" customHeight="1"/>
    <row r="30078" ht="15.75" customHeight="1"/>
    <row r="30079" ht="15.75" customHeight="1"/>
    <row r="30080" ht="15.75" customHeight="1"/>
    <row r="30081" ht="15.75" customHeight="1"/>
    <row r="30082" ht="15.75" customHeight="1"/>
    <row r="30083" ht="15.75" customHeight="1"/>
    <row r="30084" ht="15.75" customHeight="1"/>
    <row r="30085" ht="15.75" customHeight="1"/>
    <row r="30086" ht="15.75" customHeight="1"/>
    <row r="30087" ht="15.75" customHeight="1"/>
    <row r="30088" ht="15.75" customHeight="1"/>
    <row r="30089" ht="15.75" customHeight="1"/>
    <row r="30090" ht="15.75" customHeight="1"/>
    <row r="30091" ht="15.75" customHeight="1"/>
    <row r="30092" ht="15.75" customHeight="1"/>
    <row r="30093" ht="15.75" customHeight="1"/>
    <row r="30094" ht="15.75" customHeight="1"/>
    <row r="30095" ht="15.75" customHeight="1"/>
    <row r="30096" ht="15.75" customHeight="1"/>
    <row r="30097" ht="15.75" customHeight="1"/>
    <row r="30098" ht="15.75" customHeight="1"/>
    <row r="30099" ht="15.75" customHeight="1"/>
    <row r="30100" ht="15.75" customHeight="1"/>
    <row r="30101" ht="15.75" customHeight="1"/>
    <row r="30102" ht="15.75" customHeight="1"/>
    <row r="30103" ht="15.75" customHeight="1"/>
    <row r="30104" ht="15.75" customHeight="1"/>
    <row r="30105" ht="15.75" customHeight="1"/>
    <row r="30106" ht="15.75" customHeight="1"/>
    <row r="30107" ht="15.75" customHeight="1"/>
    <row r="30108" ht="15.75" customHeight="1"/>
    <row r="30109" ht="15.75" customHeight="1"/>
    <row r="30110" ht="15.75" customHeight="1"/>
    <row r="30111" ht="15.75" customHeight="1"/>
    <row r="30112" ht="15.75" customHeight="1"/>
    <row r="30113" ht="15.75" customHeight="1"/>
    <row r="30114" ht="15.75" customHeight="1"/>
    <row r="30115" ht="15.75" customHeight="1"/>
    <row r="30116" ht="15.75" customHeight="1"/>
    <row r="30117" ht="15.75" customHeight="1"/>
    <row r="30118" ht="15.75" customHeight="1"/>
    <row r="30119" ht="15.75" customHeight="1"/>
    <row r="30120" ht="15.75" customHeight="1"/>
    <row r="30121" ht="15.75" customHeight="1"/>
    <row r="30122" ht="15.75" customHeight="1"/>
    <row r="30123" ht="15.75" customHeight="1"/>
    <row r="30124" ht="15.75" customHeight="1"/>
    <row r="30125" ht="15.75" customHeight="1"/>
    <row r="30126" ht="15.75" customHeight="1"/>
    <row r="30127" ht="15.75" customHeight="1"/>
    <row r="30128" ht="15.75" customHeight="1"/>
    <row r="30129" ht="15.75" customHeight="1"/>
    <row r="30130" ht="15.75" customHeight="1"/>
    <row r="30131" ht="15.75" customHeight="1"/>
    <row r="30132" ht="15.75" customHeight="1"/>
    <row r="30133" ht="15.75" customHeight="1"/>
    <row r="30134" ht="15.75" customHeight="1"/>
    <row r="30135" ht="15.75" customHeight="1"/>
    <row r="30136" ht="15.75" customHeight="1"/>
    <row r="30137" ht="15.75" customHeight="1"/>
    <row r="30138" ht="15.75" customHeight="1"/>
    <row r="30139" ht="15.75" customHeight="1"/>
    <row r="30140" ht="15.75" customHeight="1"/>
    <row r="30141" ht="15.75" customHeight="1"/>
    <row r="30142" ht="15.75" customHeight="1"/>
    <row r="30143" ht="15.75" customHeight="1"/>
    <row r="30144" ht="15.75" customHeight="1"/>
    <row r="30145" ht="15.75" customHeight="1"/>
    <row r="30146" ht="15.75" customHeight="1"/>
    <row r="30147" ht="15.75" customHeight="1"/>
    <row r="30148" ht="15.75" customHeight="1"/>
    <row r="30149" ht="15.75" customHeight="1"/>
    <row r="30150" ht="15.75" customHeight="1"/>
    <row r="30151" ht="15.75" customHeight="1"/>
    <row r="30152" ht="15.75" customHeight="1"/>
    <row r="30153" ht="15.75" customHeight="1"/>
    <row r="30154" ht="15.75" customHeight="1"/>
    <row r="30155" ht="15.75" customHeight="1"/>
    <row r="30156" ht="15.75" customHeight="1"/>
    <row r="30157" ht="15.75" customHeight="1"/>
    <row r="30158" ht="15.75" customHeight="1"/>
    <row r="30159" ht="15.75" customHeight="1"/>
    <row r="30160" ht="15.75" customHeight="1"/>
    <row r="30161" ht="15.75" customHeight="1"/>
    <row r="30162" ht="15.75" customHeight="1"/>
    <row r="30163" ht="15.75" customHeight="1"/>
    <row r="30164" ht="15.75" customHeight="1"/>
    <row r="30165" ht="15.75" customHeight="1"/>
    <row r="30166" ht="15.75" customHeight="1"/>
    <row r="30167" ht="15.75" customHeight="1"/>
    <row r="30168" ht="15.75" customHeight="1"/>
    <row r="30169" ht="15.75" customHeight="1"/>
    <row r="30170" ht="15.75" customHeight="1"/>
    <row r="30171" ht="15.75" customHeight="1"/>
    <row r="30172" ht="15.75" customHeight="1"/>
    <row r="30173" ht="15.75" customHeight="1"/>
    <row r="30174" ht="15.75" customHeight="1"/>
    <row r="30175" ht="15.75" customHeight="1"/>
    <row r="30176" ht="15.75" customHeight="1"/>
    <row r="30177" ht="15.75" customHeight="1"/>
    <row r="30178" ht="15.75" customHeight="1"/>
    <row r="30179" ht="15.75" customHeight="1"/>
    <row r="30180" ht="15.75" customHeight="1"/>
    <row r="30181" ht="15.75" customHeight="1"/>
    <row r="30182" ht="15.75" customHeight="1"/>
    <row r="30183" ht="15.75" customHeight="1"/>
    <row r="30184" ht="15.75" customHeight="1"/>
    <row r="30185" ht="15.75" customHeight="1"/>
    <row r="30186" ht="15.75" customHeight="1"/>
    <row r="30187" ht="15.75" customHeight="1"/>
    <row r="30188" ht="15.75" customHeight="1"/>
    <row r="30189" ht="15.75" customHeight="1"/>
    <row r="30190" ht="15.75" customHeight="1"/>
    <row r="30191" ht="15.75" customHeight="1"/>
    <row r="30192" ht="15.75" customHeight="1"/>
    <row r="30193" ht="15.75" customHeight="1"/>
    <row r="30194" ht="15.75" customHeight="1"/>
    <row r="30195" ht="15.75" customHeight="1"/>
    <row r="30196" ht="15.75" customHeight="1"/>
    <row r="30197" ht="15.75" customHeight="1"/>
    <row r="30198" ht="15.75" customHeight="1"/>
    <row r="30199" ht="15.75" customHeight="1"/>
    <row r="30200" ht="15.75" customHeight="1"/>
    <row r="30201" ht="15.75" customHeight="1"/>
    <row r="30202" ht="15.75" customHeight="1"/>
    <row r="30203" ht="15.75" customHeight="1"/>
    <row r="30204" ht="15.75" customHeight="1"/>
    <row r="30205" ht="15.75" customHeight="1"/>
    <row r="30206" ht="15.75" customHeight="1"/>
    <row r="30207" ht="15.75" customHeight="1"/>
    <row r="30208" ht="15.75" customHeight="1"/>
    <row r="30209" ht="15.75" customHeight="1"/>
    <row r="30210" ht="15.75" customHeight="1"/>
    <row r="30211" ht="15.75" customHeight="1"/>
    <row r="30212" ht="15.75" customHeight="1"/>
    <row r="30213" ht="15.75" customHeight="1"/>
    <row r="30214" ht="15.75" customHeight="1"/>
    <row r="30215" ht="15.75" customHeight="1"/>
    <row r="30216" ht="15.75" customHeight="1"/>
    <row r="30217" ht="15.75" customHeight="1"/>
    <row r="30218" ht="15.75" customHeight="1"/>
    <row r="30219" ht="15.75" customHeight="1"/>
    <row r="30220" ht="15.75" customHeight="1"/>
    <row r="30221" ht="15.75" customHeight="1"/>
    <row r="30222" ht="15.75" customHeight="1"/>
    <row r="30223" ht="15.75" customHeight="1"/>
    <row r="30224" ht="15.75" customHeight="1"/>
    <row r="30225" ht="15.75" customHeight="1"/>
    <row r="30226" ht="15.75" customHeight="1"/>
    <row r="30227" ht="15.75" customHeight="1"/>
    <row r="30228" ht="15.75" customHeight="1"/>
    <row r="30229" ht="15.75" customHeight="1"/>
    <row r="30230" ht="15.75" customHeight="1"/>
    <row r="30231" ht="15.75" customHeight="1"/>
    <row r="30232" ht="15.75" customHeight="1"/>
    <row r="30233" ht="15.75" customHeight="1"/>
    <row r="30234" ht="15.75" customHeight="1"/>
    <row r="30235" ht="15.75" customHeight="1"/>
    <row r="30236" ht="15.75" customHeight="1"/>
    <row r="30237" ht="15.75" customHeight="1"/>
    <row r="30238" ht="15.75" customHeight="1"/>
    <row r="30239" ht="15.75" customHeight="1"/>
    <row r="30240" ht="15.75" customHeight="1"/>
    <row r="30241" ht="15.75" customHeight="1"/>
    <row r="30242" ht="15.75" customHeight="1"/>
    <row r="30243" ht="15.75" customHeight="1"/>
    <row r="30244" ht="15.75" customHeight="1"/>
    <row r="30245" ht="15.75" customHeight="1"/>
    <row r="30246" ht="15.75" customHeight="1"/>
    <row r="30247" ht="15.75" customHeight="1"/>
    <row r="30248" ht="15.75" customHeight="1"/>
    <row r="30249" ht="15.75" customHeight="1"/>
    <row r="30250" ht="15.75" customHeight="1"/>
    <row r="30251" ht="15.75" customHeight="1"/>
    <row r="30252" ht="15.75" customHeight="1"/>
    <row r="30253" ht="15.75" customHeight="1"/>
    <row r="30254" ht="15.75" customHeight="1"/>
    <row r="30255" ht="15.75" customHeight="1"/>
    <row r="30256" ht="15.75" customHeight="1"/>
    <row r="30257" ht="15.75" customHeight="1"/>
    <row r="30258" ht="15.75" customHeight="1"/>
    <row r="30259" ht="15.75" customHeight="1"/>
    <row r="30260" ht="15.75" customHeight="1"/>
    <row r="30261" ht="15.75" customHeight="1"/>
    <row r="30262" ht="15.75" customHeight="1"/>
    <row r="30263" ht="15.75" customHeight="1"/>
    <row r="30264" ht="15.75" customHeight="1"/>
    <row r="30265" ht="15.75" customHeight="1"/>
    <row r="30266" ht="15.75" customHeight="1"/>
    <row r="30267" ht="15.75" customHeight="1"/>
    <row r="30268" ht="15.75" customHeight="1"/>
    <row r="30269" ht="15.75" customHeight="1"/>
    <row r="30270" ht="15.75" customHeight="1"/>
    <row r="30271" ht="15.75" customHeight="1"/>
    <row r="30272" ht="15.75" customHeight="1"/>
    <row r="30273" ht="15.75" customHeight="1"/>
    <row r="30274" ht="15.75" customHeight="1"/>
    <row r="30275" ht="15.75" customHeight="1"/>
    <row r="30276" ht="15.75" customHeight="1"/>
    <row r="30277" ht="15.75" customHeight="1"/>
    <row r="30278" ht="15.75" customHeight="1"/>
    <row r="30279" ht="15.75" customHeight="1"/>
    <row r="30280" ht="15.75" customHeight="1"/>
    <row r="30281" ht="15.75" customHeight="1"/>
    <row r="30282" ht="15.75" customHeight="1"/>
    <row r="30283" ht="15.75" customHeight="1"/>
    <row r="30284" ht="15.75" customHeight="1"/>
    <row r="30285" ht="15.75" customHeight="1"/>
    <row r="30286" ht="15.75" customHeight="1"/>
    <row r="30287" ht="15.75" customHeight="1"/>
    <row r="30288" ht="15.75" customHeight="1"/>
    <row r="30289" ht="15.75" customHeight="1"/>
    <row r="30290" ht="15.75" customHeight="1"/>
    <row r="30291" ht="15.75" customHeight="1"/>
    <row r="30292" ht="15.75" customHeight="1"/>
    <row r="30293" ht="15.75" customHeight="1"/>
    <row r="30294" ht="15.75" customHeight="1"/>
    <row r="30295" ht="15.75" customHeight="1"/>
    <row r="30296" ht="15.75" customHeight="1"/>
    <row r="30297" ht="15.75" customHeight="1"/>
    <row r="30298" ht="15.75" customHeight="1"/>
    <row r="30299" ht="15.75" customHeight="1"/>
    <row r="30300" ht="15.75" customHeight="1"/>
    <row r="30301" ht="15.75" customHeight="1"/>
    <row r="30302" ht="15.75" customHeight="1"/>
    <row r="30303" ht="15.75" customHeight="1"/>
    <row r="30304" ht="15.75" customHeight="1"/>
    <row r="30305" ht="15.75" customHeight="1"/>
    <row r="30306" ht="15.75" customHeight="1"/>
    <row r="30307" ht="15.75" customHeight="1"/>
    <row r="30308" ht="15.75" customHeight="1"/>
    <row r="30309" ht="15.75" customHeight="1"/>
    <row r="30310" ht="15.75" customHeight="1"/>
    <row r="30311" ht="15.75" customHeight="1"/>
    <row r="30312" ht="15.75" customHeight="1"/>
    <row r="30313" ht="15.75" customHeight="1"/>
    <row r="30314" ht="15.75" customHeight="1"/>
    <row r="30315" ht="15.75" customHeight="1"/>
    <row r="30316" ht="15.75" customHeight="1"/>
    <row r="30317" ht="15.75" customHeight="1"/>
    <row r="30318" ht="15.75" customHeight="1"/>
    <row r="30319" ht="15.75" customHeight="1"/>
    <row r="30320" ht="15.75" customHeight="1"/>
    <row r="30321" ht="15.75" customHeight="1"/>
    <row r="30322" ht="15.75" customHeight="1"/>
    <row r="30323" ht="15.75" customHeight="1"/>
    <row r="30324" ht="15.75" customHeight="1"/>
    <row r="30325" ht="15.75" customHeight="1"/>
    <row r="30326" ht="15.75" customHeight="1"/>
    <row r="30327" ht="15.75" customHeight="1"/>
    <row r="30328" ht="15.75" customHeight="1"/>
    <row r="30329" ht="15.75" customHeight="1"/>
    <row r="30330" ht="15.75" customHeight="1"/>
    <row r="30331" ht="15.75" customHeight="1"/>
    <row r="30332" ht="15.75" customHeight="1"/>
    <row r="30333" ht="15.75" customHeight="1"/>
    <row r="30334" ht="15.75" customHeight="1"/>
    <row r="30335" ht="15.75" customHeight="1"/>
    <row r="30336" ht="15.75" customHeight="1"/>
    <row r="30337" ht="15.75" customHeight="1"/>
    <row r="30338" ht="15.75" customHeight="1"/>
    <row r="30339" ht="15.75" customHeight="1"/>
    <row r="30340" ht="15.75" customHeight="1"/>
    <row r="30341" ht="15.75" customHeight="1"/>
    <row r="30342" ht="15.75" customHeight="1"/>
    <row r="30343" ht="15.75" customHeight="1"/>
    <row r="30344" ht="15.75" customHeight="1"/>
    <row r="30345" ht="15.75" customHeight="1"/>
    <row r="30346" ht="15.75" customHeight="1"/>
    <row r="30347" ht="15.75" customHeight="1"/>
    <row r="30348" ht="15.75" customHeight="1"/>
    <row r="30349" ht="15.75" customHeight="1"/>
    <row r="30350" ht="15.75" customHeight="1"/>
    <row r="30351" ht="15.75" customHeight="1"/>
    <row r="30352" ht="15.75" customHeight="1"/>
    <row r="30353" ht="15.75" customHeight="1"/>
    <row r="30354" ht="15.75" customHeight="1"/>
    <row r="30355" ht="15.75" customHeight="1"/>
    <row r="30356" ht="15.75" customHeight="1"/>
    <row r="30357" ht="15.75" customHeight="1"/>
    <row r="30358" ht="15.75" customHeight="1"/>
    <row r="30359" ht="15.75" customHeight="1"/>
    <row r="30360" ht="15.75" customHeight="1"/>
    <row r="30361" ht="15.75" customHeight="1"/>
    <row r="30362" ht="15.75" customHeight="1"/>
    <row r="30363" ht="15.75" customHeight="1"/>
    <row r="30364" ht="15.75" customHeight="1"/>
    <row r="30365" ht="15.75" customHeight="1"/>
    <row r="30366" ht="15.75" customHeight="1"/>
    <row r="30367" ht="15.75" customHeight="1"/>
    <row r="30368" ht="15.75" customHeight="1"/>
    <row r="30369" ht="15.75" customHeight="1"/>
    <row r="30370" ht="15.75" customHeight="1"/>
    <row r="30371" ht="15.75" customHeight="1"/>
    <row r="30372" ht="15.75" customHeight="1"/>
    <row r="30373" ht="15.75" customHeight="1"/>
    <row r="30374" ht="15.75" customHeight="1"/>
    <row r="30375" ht="15.75" customHeight="1"/>
    <row r="30376" ht="15.75" customHeight="1"/>
    <row r="30377" ht="15.75" customHeight="1"/>
    <row r="30378" ht="15.75" customHeight="1"/>
    <row r="30379" ht="15.75" customHeight="1"/>
    <row r="30380" ht="15.75" customHeight="1"/>
    <row r="30381" ht="15.75" customHeight="1"/>
    <row r="30382" ht="15.75" customHeight="1"/>
    <row r="30383" ht="15.75" customHeight="1"/>
    <row r="30384" ht="15.75" customHeight="1"/>
    <row r="30385" ht="15.75" customHeight="1"/>
    <row r="30386" ht="15.75" customHeight="1"/>
    <row r="30387" ht="15.75" customHeight="1"/>
    <row r="30388" ht="15.75" customHeight="1"/>
    <row r="30389" ht="15.75" customHeight="1"/>
    <row r="30390" ht="15.75" customHeight="1"/>
    <row r="30391" ht="15.75" customHeight="1"/>
    <row r="30392" ht="15.75" customHeight="1"/>
    <row r="30393" ht="15.75" customHeight="1"/>
    <row r="30394" ht="15.75" customHeight="1"/>
    <row r="30395" ht="15.75" customHeight="1"/>
    <row r="30396" ht="15.75" customHeight="1"/>
    <row r="30397" ht="15.75" customHeight="1"/>
    <row r="30398" ht="15.75" customHeight="1"/>
    <row r="30399" ht="15.75" customHeight="1"/>
    <row r="30400" ht="15.75" customHeight="1"/>
    <row r="30401" ht="15.75" customHeight="1"/>
    <row r="30402" ht="15.75" customHeight="1"/>
    <row r="30403" ht="15.75" customHeight="1"/>
    <row r="30404" ht="15.75" customHeight="1"/>
    <row r="30405" ht="15.75" customHeight="1"/>
    <row r="30406" ht="15.75" customHeight="1"/>
    <row r="30407" ht="15.75" customHeight="1"/>
    <row r="30408" ht="15.75" customHeight="1"/>
    <row r="30409" ht="15.75" customHeight="1"/>
    <row r="30410" ht="15.75" customHeight="1"/>
    <row r="30411" ht="15.75" customHeight="1"/>
    <row r="30412" ht="15.75" customHeight="1"/>
    <row r="30413" ht="15.75" customHeight="1"/>
    <row r="30414" ht="15.75" customHeight="1"/>
    <row r="30415" ht="15.75" customHeight="1"/>
    <row r="30416" ht="15.75" customHeight="1"/>
    <row r="30417" ht="15.75" customHeight="1"/>
    <row r="30418" ht="15.75" customHeight="1"/>
    <row r="30419" ht="15.75" customHeight="1"/>
    <row r="30420" ht="15.75" customHeight="1"/>
    <row r="30421" ht="15.75" customHeight="1"/>
    <row r="30422" ht="15.75" customHeight="1"/>
    <row r="30423" ht="15.75" customHeight="1"/>
    <row r="30424" ht="15.75" customHeight="1"/>
    <row r="30425" ht="15.75" customHeight="1"/>
    <row r="30426" ht="15.75" customHeight="1"/>
    <row r="30427" ht="15.75" customHeight="1"/>
    <row r="30428" ht="15.75" customHeight="1"/>
    <row r="30429" ht="15.75" customHeight="1"/>
    <row r="30430" ht="15.75" customHeight="1"/>
    <row r="30431" ht="15.75" customHeight="1"/>
    <row r="30432" ht="15.75" customHeight="1"/>
    <row r="30433" ht="15.75" customHeight="1"/>
    <row r="30434" ht="15.75" customHeight="1"/>
    <row r="30435" ht="15.75" customHeight="1"/>
    <row r="30436" ht="15.75" customHeight="1"/>
    <row r="30437" ht="15.75" customHeight="1"/>
    <row r="30438" ht="15.75" customHeight="1"/>
    <row r="30439" ht="15.75" customHeight="1"/>
    <row r="30440" ht="15.75" customHeight="1"/>
    <row r="30441" ht="15.75" customHeight="1"/>
    <row r="30442" ht="15.75" customHeight="1"/>
    <row r="30443" ht="15.75" customHeight="1"/>
    <row r="30444" ht="15.75" customHeight="1"/>
    <row r="30445" ht="15.75" customHeight="1"/>
    <row r="30446" ht="15.75" customHeight="1"/>
    <row r="30447" ht="15.75" customHeight="1"/>
    <row r="30448" ht="15.75" customHeight="1"/>
    <row r="30449" ht="15.75" customHeight="1"/>
    <row r="30450" ht="15.75" customHeight="1"/>
    <row r="30451" ht="15.75" customHeight="1"/>
    <row r="30452" ht="15.75" customHeight="1"/>
    <row r="30453" ht="15.75" customHeight="1"/>
    <row r="30454" ht="15.75" customHeight="1"/>
    <row r="30455" ht="15.75" customHeight="1"/>
    <row r="30456" ht="15.75" customHeight="1"/>
    <row r="30457" ht="15.75" customHeight="1"/>
    <row r="30458" ht="15.75" customHeight="1"/>
    <row r="30459" ht="15.75" customHeight="1"/>
    <row r="30460" ht="15.75" customHeight="1"/>
    <row r="30461" ht="15.75" customHeight="1"/>
    <row r="30462" ht="15.75" customHeight="1"/>
    <row r="30463" ht="15.75" customHeight="1"/>
    <row r="30464" ht="15.75" customHeight="1"/>
    <row r="30465" ht="15.75" customHeight="1"/>
    <row r="30466" ht="15.75" customHeight="1"/>
    <row r="30467" ht="15.75" customHeight="1"/>
    <row r="30468" ht="15.75" customHeight="1"/>
    <row r="30469" ht="15.75" customHeight="1"/>
    <row r="30470" ht="15.75" customHeight="1"/>
    <row r="30471" ht="15.75" customHeight="1"/>
    <row r="30472" ht="15.75" customHeight="1"/>
    <row r="30473" ht="15.75" customHeight="1"/>
    <row r="30474" ht="15.75" customHeight="1"/>
    <row r="30475" ht="15.75" customHeight="1"/>
    <row r="30476" ht="15.75" customHeight="1"/>
    <row r="30477" ht="15.75" customHeight="1"/>
    <row r="30478" ht="15.75" customHeight="1"/>
    <row r="30479" ht="15.75" customHeight="1"/>
    <row r="30480" ht="15.75" customHeight="1"/>
    <row r="30481" ht="15.75" customHeight="1"/>
    <row r="30482" ht="15.75" customHeight="1"/>
    <row r="30483" ht="15.75" customHeight="1"/>
    <row r="30484" ht="15.75" customHeight="1"/>
    <row r="30485" ht="15.75" customHeight="1"/>
    <row r="30486" ht="15.75" customHeight="1"/>
    <row r="30487" ht="15.75" customHeight="1"/>
    <row r="30488" ht="15.75" customHeight="1"/>
    <row r="30489" ht="15.75" customHeight="1"/>
    <row r="30490" ht="15.75" customHeight="1"/>
    <row r="30491" ht="15.75" customHeight="1"/>
    <row r="30492" ht="15.75" customHeight="1"/>
    <row r="30493" ht="15.75" customHeight="1"/>
    <row r="30494" ht="15.75" customHeight="1"/>
    <row r="30495" ht="15.75" customHeight="1"/>
    <row r="30496" ht="15.75" customHeight="1"/>
    <row r="30497" ht="15.75" customHeight="1"/>
    <row r="30498" ht="15.75" customHeight="1"/>
    <row r="30499" ht="15.75" customHeight="1"/>
    <row r="30500" ht="15.75" customHeight="1"/>
    <row r="30501" ht="15.75" customHeight="1"/>
    <row r="30502" ht="15.75" customHeight="1"/>
    <row r="30503" ht="15.75" customHeight="1"/>
    <row r="30504" ht="15.75" customHeight="1"/>
    <row r="30505" ht="15.75" customHeight="1"/>
    <row r="30506" ht="15.75" customHeight="1"/>
    <row r="30507" ht="15.75" customHeight="1"/>
    <row r="30508" ht="15.75" customHeight="1"/>
    <row r="30509" ht="15.75" customHeight="1"/>
    <row r="30510" ht="15.75" customHeight="1"/>
    <row r="30511" ht="15.75" customHeight="1"/>
    <row r="30512" ht="15.75" customHeight="1"/>
    <row r="30513" ht="15.75" customHeight="1"/>
    <row r="30514" ht="15.75" customHeight="1"/>
    <row r="30515" ht="15.75" customHeight="1"/>
    <row r="30516" ht="15.75" customHeight="1"/>
    <row r="30517" ht="15.75" customHeight="1"/>
    <row r="30518" ht="15.75" customHeight="1"/>
    <row r="30519" ht="15.75" customHeight="1"/>
    <row r="30520" ht="15.75" customHeight="1"/>
    <row r="30521" ht="15.75" customHeight="1"/>
    <row r="30522" ht="15.75" customHeight="1"/>
    <row r="30523" ht="15.75" customHeight="1"/>
    <row r="30524" ht="15.75" customHeight="1"/>
    <row r="30525" ht="15.75" customHeight="1"/>
    <row r="30526" ht="15.75" customHeight="1"/>
    <row r="30527" ht="15.75" customHeight="1"/>
    <row r="30528" ht="15.75" customHeight="1"/>
    <row r="30529" ht="15.75" customHeight="1"/>
    <row r="30530" ht="15.75" customHeight="1"/>
    <row r="30531" ht="15.75" customHeight="1"/>
    <row r="30532" ht="15.75" customHeight="1"/>
    <row r="30533" ht="15.75" customHeight="1"/>
    <row r="30534" ht="15.75" customHeight="1"/>
    <row r="30535" ht="15.75" customHeight="1"/>
    <row r="30536" ht="15.75" customHeight="1"/>
    <row r="30537" ht="15.75" customHeight="1"/>
    <row r="30538" ht="15.75" customHeight="1"/>
    <row r="30539" ht="15.75" customHeight="1"/>
    <row r="30540" ht="15.75" customHeight="1"/>
    <row r="30541" ht="15.75" customHeight="1"/>
    <row r="30542" ht="15.75" customHeight="1"/>
    <row r="30543" ht="15.75" customHeight="1"/>
    <row r="30544" ht="15.75" customHeight="1"/>
    <row r="30545" ht="15.75" customHeight="1"/>
    <row r="30546" ht="15.75" customHeight="1"/>
    <row r="30547" ht="15.75" customHeight="1"/>
    <row r="30548" ht="15.75" customHeight="1"/>
    <row r="30549" ht="15.75" customHeight="1"/>
    <row r="30550" ht="15.75" customHeight="1"/>
    <row r="30551" ht="15.75" customHeight="1"/>
    <row r="30552" ht="15.75" customHeight="1"/>
    <row r="30553" ht="15.75" customHeight="1"/>
    <row r="30554" ht="15.75" customHeight="1"/>
    <row r="30555" ht="15.75" customHeight="1"/>
    <row r="30556" ht="15.75" customHeight="1"/>
    <row r="30557" ht="15.75" customHeight="1"/>
    <row r="30558" ht="15.75" customHeight="1"/>
    <row r="30559" ht="15.75" customHeight="1"/>
    <row r="30560" ht="15.75" customHeight="1"/>
    <row r="30561" ht="15.75" customHeight="1"/>
    <row r="30562" ht="15.75" customHeight="1"/>
    <row r="30563" ht="15.75" customHeight="1"/>
    <row r="30564" ht="15.75" customHeight="1"/>
    <row r="30565" ht="15.75" customHeight="1"/>
    <row r="30566" ht="15.75" customHeight="1"/>
    <row r="30567" ht="15.75" customHeight="1"/>
    <row r="30568" ht="15.75" customHeight="1"/>
    <row r="30569" ht="15.75" customHeight="1"/>
    <row r="30570" ht="15.75" customHeight="1"/>
    <row r="30571" ht="15.75" customHeight="1"/>
    <row r="30572" ht="15.75" customHeight="1"/>
    <row r="30573" ht="15.75" customHeight="1"/>
    <row r="30574" ht="15.75" customHeight="1"/>
    <row r="30575" ht="15.75" customHeight="1"/>
    <row r="30576" ht="15.75" customHeight="1"/>
    <row r="30577" ht="15.75" customHeight="1"/>
    <row r="30578" ht="15.75" customHeight="1"/>
    <row r="30579" ht="15.75" customHeight="1"/>
    <row r="30580" ht="15.75" customHeight="1"/>
    <row r="30581" ht="15.75" customHeight="1"/>
    <row r="30582" ht="15.75" customHeight="1"/>
    <row r="30583" ht="15.75" customHeight="1"/>
    <row r="30584" ht="15.75" customHeight="1"/>
    <row r="30585" ht="15.75" customHeight="1"/>
    <row r="30586" ht="15.75" customHeight="1"/>
    <row r="30587" ht="15.75" customHeight="1"/>
    <row r="30588" ht="15.75" customHeight="1"/>
    <row r="30589" ht="15.75" customHeight="1"/>
    <row r="30590" ht="15.75" customHeight="1"/>
    <row r="30591" ht="15.75" customHeight="1"/>
    <row r="30592" ht="15.75" customHeight="1"/>
    <row r="30593" ht="15.75" customHeight="1"/>
    <row r="30594" ht="15.75" customHeight="1"/>
    <row r="30595" ht="15.75" customHeight="1"/>
    <row r="30596" ht="15.75" customHeight="1"/>
    <row r="30597" ht="15.75" customHeight="1"/>
    <row r="30598" ht="15.75" customHeight="1"/>
    <row r="30599" ht="15.75" customHeight="1"/>
    <row r="30600" ht="15.75" customHeight="1"/>
    <row r="30601" ht="15.75" customHeight="1"/>
    <row r="30602" ht="15.75" customHeight="1"/>
    <row r="30603" ht="15.75" customHeight="1"/>
    <row r="30604" ht="15.75" customHeight="1"/>
    <row r="30605" ht="15.75" customHeight="1"/>
    <row r="30606" ht="15.75" customHeight="1"/>
    <row r="30607" ht="15.75" customHeight="1"/>
    <row r="30608" ht="15.75" customHeight="1"/>
    <row r="30609" ht="15.75" customHeight="1"/>
    <row r="30610" ht="15.75" customHeight="1"/>
    <row r="30611" ht="15.75" customHeight="1"/>
    <row r="30612" ht="15.75" customHeight="1"/>
    <row r="30613" ht="15.75" customHeight="1"/>
    <row r="30614" ht="15.75" customHeight="1"/>
    <row r="30615" ht="15.75" customHeight="1"/>
    <row r="30616" ht="15.75" customHeight="1"/>
    <row r="30617" ht="15.75" customHeight="1"/>
    <row r="30618" ht="15.75" customHeight="1"/>
    <row r="30619" ht="15.75" customHeight="1"/>
    <row r="30620" ht="15.75" customHeight="1"/>
    <row r="30621" ht="15.75" customHeight="1"/>
    <row r="30622" ht="15.75" customHeight="1"/>
    <row r="30623" ht="15.75" customHeight="1"/>
    <row r="30624" ht="15.75" customHeight="1"/>
    <row r="30625" ht="15.75" customHeight="1"/>
    <row r="30626" ht="15.75" customHeight="1"/>
    <row r="30627" ht="15.75" customHeight="1"/>
    <row r="30628" ht="15.75" customHeight="1"/>
    <row r="30629" ht="15.75" customHeight="1"/>
    <row r="30630" ht="15.75" customHeight="1"/>
    <row r="30631" ht="15.75" customHeight="1"/>
    <row r="30632" ht="15.75" customHeight="1"/>
    <row r="30633" ht="15.75" customHeight="1"/>
    <row r="30634" ht="15.75" customHeight="1"/>
    <row r="30635" ht="15.75" customHeight="1"/>
    <row r="30636" ht="15.75" customHeight="1"/>
    <row r="30637" ht="15.75" customHeight="1"/>
    <row r="30638" ht="15.75" customHeight="1"/>
    <row r="30639" ht="15.75" customHeight="1"/>
    <row r="30640" ht="15.75" customHeight="1"/>
    <row r="30641" ht="15.75" customHeight="1"/>
    <row r="30642" ht="15.75" customHeight="1"/>
    <row r="30643" ht="15.75" customHeight="1"/>
    <row r="30644" ht="15.75" customHeight="1"/>
    <row r="30645" ht="15.75" customHeight="1"/>
    <row r="30646" ht="15.75" customHeight="1"/>
    <row r="30647" ht="15.75" customHeight="1"/>
    <row r="30648" ht="15.75" customHeight="1"/>
    <row r="30649" ht="15.75" customHeight="1"/>
    <row r="30650" ht="15.75" customHeight="1"/>
    <row r="30651" ht="15.75" customHeight="1"/>
    <row r="30652" ht="15.75" customHeight="1"/>
    <row r="30653" ht="15.75" customHeight="1"/>
    <row r="30654" ht="15.75" customHeight="1"/>
    <row r="30655" ht="15.75" customHeight="1"/>
    <row r="30656" ht="15.75" customHeight="1"/>
    <row r="30657" ht="15.75" customHeight="1"/>
    <row r="30658" ht="15.75" customHeight="1"/>
    <row r="30659" ht="15.75" customHeight="1"/>
    <row r="30660" ht="15.75" customHeight="1"/>
    <row r="30661" ht="15.75" customHeight="1"/>
    <row r="30662" ht="15.75" customHeight="1"/>
    <row r="30663" ht="15.75" customHeight="1"/>
    <row r="30664" ht="15.75" customHeight="1"/>
    <row r="30665" ht="15.75" customHeight="1"/>
    <row r="30666" ht="15.75" customHeight="1"/>
    <row r="30667" ht="15.75" customHeight="1"/>
    <row r="30668" ht="15.75" customHeight="1"/>
    <row r="30669" ht="15.75" customHeight="1"/>
    <row r="30670" ht="15.75" customHeight="1"/>
    <row r="30671" ht="15.75" customHeight="1"/>
    <row r="30672" ht="15.75" customHeight="1"/>
    <row r="30673" ht="15.75" customHeight="1"/>
    <row r="30674" ht="15.75" customHeight="1"/>
    <row r="30675" ht="15.75" customHeight="1"/>
    <row r="30676" ht="15.75" customHeight="1"/>
    <row r="30677" ht="15.75" customHeight="1"/>
    <row r="30678" ht="15.75" customHeight="1"/>
    <row r="30679" ht="15.75" customHeight="1"/>
    <row r="30680" ht="15.75" customHeight="1"/>
    <row r="30681" ht="15.75" customHeight="1"/>
    <row r="30682" ht="15.75" customHeight="1"/>
    <row r="30683" ht="15.75" customHeight="1"/>
    <row r="30684" ht="15.75" customHeight="1"/>
    <row r="30685" ht="15.75" customHeight="1"/>
    <row r="30686" ht="15.75" customHeight="1"/>
    <row r="30687" ht="15.75" customHeight="1"/>
    <row r="30688" ht="15.75" customHeight="1"/>
    <row r="30689" ht="15.75" customHeight="1"/>
    <row r="30690" ht="15.75" customHeight="1"/>
    <row r="30691" ht="15.75" customHeight="1"/>
    <row r="30692" ht="15.75" customHeight="1"/>
    <row r="30693" ht="15.75" customHeight="1"/>
    <row r="30694" ht="15.75" customHeight="1"/>
    <row r="30695" ht="15.75" customHeight="1"/>
    <row r="30696" ht="15.75" customHeight="1"/>
    <row r="30697" ht="15.75" customHeight="1"/>
    <row r="30698" ht="15.75" customHeight="1"/>
    <row r="30699" ht="15.75" customHeight="1"/>
    <row r="30700" ht="15.75" customHeight="1"/>
    <row r="30701" ht="15.75" customHeight="1"/>
    <row r="30702" ht="15.75" customHeight="1"/>
    <row r="30703" ht="15.75" customHeight="1"/>
    <row r="30704" ht="15.75" customHeight="1"/>
    <row r="30705" ht="15.75" customHeight="1"/>
    <row r="30706" ht="15.75" customHeight="1"/>
    <row r="30707" ht="15.75" customHeight="1"/>
    <row r="30708" ht="15.75" customHeight="1"/>
    <row r="30709" ht="15.75" customHeight="1"/>
    <row r="30710" ht="15.75" customHeight="1"/>
    <row r="30711" ht="15.75" customHeight="1"/>
    <row r="30712" ht="15.75" customHeight="1"/>
    <row r="30713" ht="15.75" customHeight="1"/>
    <row r="30714" ht="15.75" customHeight="1"/>
    <row r="30715" ht="15.75" customHeight="1"/>
    <row r="30716" ht="15.75" customHeight="1"/>
    <row r="30717" ht="15.75" customHeight="1"/>
    <row r="30718" ht="15.75" customHeight="1"/>
    <row r="30719" ht="15.75" customHeight="1"/>
    <row r="30720" ht="15.75" customHeight="1"/>
    <row r="30721" ht="15.75" customHeight="1"/>
    <row r="30722" ht="15.75" customHeight="1"/>
    <row r="30723" ht="15.75" customHeight="1"/>
    <row r="30724" ht="15.75" customHeight="1"/>
    <row r="30725" ht="15.75" customHeight="1"/>
    <row r="30726" ht="15.75" customHeight="1"/>
    <row r="30727" ht="15.75" customHeight="1"/>
    <row r="30728" ht="15.75" customHeight="1"/>
    <row r="30729" ht="15.75" customHeight="1"/>
    <row r="30730" ht="15.75" customHeight="1"/>
    <row r="30731" ht="15.75" customHeight="1"/>
    <row r="30732" ht="15.75" customHeight="1"/>
    <row r="30733" ht="15.75" customHeight="1"/>
    <row r="30734" ht="15.75" customHeight="1"/>
    <row r="30735" ht="15.75" customHeight="1"/>
    <row r="30736" ht="15.75" customHeight="1"/>
    <row r="30737" ht="15.75" customHeight="1"/>
    <row r="30738" ht="15.75" customHeight="1"/>
    <row r="30739" ht="15.75" customHeight="1"/>
    <row r="30740" ht="15.75" customHeight="1"/>
    <row r="30741" ht="15.75" customHeight="1"/>
    <row r="30742" ht="15.75" customHeight="1"/>
    <row r="30743" ht="15.75" customHeight="1"/>
    <row r="30744" ht="15.75" customHeight="1"/>
    <row r="30745" ht="15.75" customHeight="1"/>
    <row r="30746" ht="15.75" customHeight="1"/>
    <row r="30747" ht="15.75" customHeight="1"/>
    <row r="30748" ht="15.75" customHeight="1"/>
    <row r="30749" ht="15.75" customHeight="1"/>
    <row r="30750" ht="15.75" customHeight="1"/>
    <row r="30751" ht="15.75" customHeight="1"/>
    <row r="30752" ht="15.75" customHeight="1"/>
    <row r="30753" ht="15.75" customHeight="1"/>
    <row r="30754" ht="15.75" customHeight="1"/>
    <row r="30755" ht="15.75" customHeight="1"/>
    <row r="30756" ht="15.75" customHeight="1"/>
    <row r="30757" ht="15.75" customHeight="1"/>
    <row r="30758" ht="15.75" customHeight="1"/>
    <row r="30759" ht="15.75" customHeight="1"/>
    <row r="30760" ht="15.75" customHeight="1"/>
    <row r="30761" ht="15.75" customHeight="1"/>
    <row r="30762" ht="15.75" customHeight="1"/>
    <row r="30763" ht="15.75" customHeight="1"/>
    <row r="30764" ht="15.75" customHeight="1"/>
    <row r="30765" ht="15.75" customHeight="1"/>
    <row r="30766" ht="15.75" customHeight="1"/>
    <row r="30767" ht="15.75" customHeight="1"/>
    <row r="30768" ht="15.75" customHeight="1"/>
    <row r="30769" ht="15.75" customHeight="1"/>
    <row r="30770" ht="15.75" customHeight="1"/>
    <row r="30771" ht="15.75" customHeight="1"/>
    <row r="30772" ht="15.75" customHeight="1"/>
    <row r="30773" ht="15.75" customHeight="1"/>
    <row r="30774" ht="15.75" customHeight="1"/>
    <row r="30775" ht="15.75" customHeight="1"/>
    <row r="30776" ht="15.75" customHeight="1"/>
    <row r="30777" ht="15.75" customHeight="1"/>
    <row r="30778" ht="15.75" customHeight="1"/>
    <row r="30779" ht="15.75" customHeight="1"/>
    <row r="30780" ht="15.75" customHeight="1"/>
    <row r="30781" ht="15.75" customHeight="1"/>
    <row r="30782" ht="15.75" customHeight="1"/>
    <row r="30783" ht="15.75" customHeight="1"/>
    <row r="30784" ht="15.75" customHeight="1"/>
    <row r="30785" ht="15.75" customHeight="1"/>
    <row r="30786" ht="15.75" customHeight="1"/>
    <row r="30787" ht="15.75" customHeight="1"/>
    <row r="30788" ht="15.75" customHeight="1"/>
    <row r="30789" ht="15.75" customHeight="1"/>
    <row r="30790" ht="15.75" customHeight="1"/>
    <row r="30791" ht="15.75" customHeight="1"/>
    <row r="30792" ht="15.75" customHeight="1"/>
    <row r="30793" ht="15.75" customHeight="1"/>
    <row r="30794" ht="15.75" customHeight="1"/>
    <row r="30795" ht="15.75" customHeight="1"/>
    <row r="30796" ht="15.75" customHeight="1"/>
    <row r="30797" ht="15.75" customHeight="1"/>
    <row r="30798" ht="15.75" customHeight="1"/>
    <row r="30799" ht="15.75" customHeight="1"/>
    <row r="30800" ht="15.75" customHeight="1"/>
    <row r="30801" ht="15.75" customHeight="1"/>
    <row r="30802" ht="15.75" customHeight="1"/>
    <row r="30803" ht="15.75" customHeight="1"/>
    <row r="30804" ht="15.75" customHeight="1"/>
    <row r="30805" ht="15.75" customHeight="1"/>
    <row r="30806" ht="15.75" customHeight="1"/>
    <row r="30807" ht="15.75" customHeight="1"/>
    <row r="30808" ht="15.75" customHeight="1"/>
    <row r="30809" ht="15.75" customHeight="1"/>
    <row r="30810" ht="15.75" customHeight="1"/>
    <row r="30811" ht="15.75" customHeight="1"/>
    <row r="30812" ht="15.75" customHeight="1"/>
    <row r="30813" ht="15.75" customHeight="1"/>
    <row r="30814" ht="15.75" customHeight="1"/>
    <row r="30815" ht="15.75" customHeight="1"/>
    <row r="30816" ht="15.75" customHeight="1"/>
    <row r="30817" ht="15.75" customHeight="1"/>
    <row r="30818" ht="15.75" customHeight="1"/>
    <row r="30819" ht="15.75" customHeight="1"/>
    <row r="30820" ht="15.75" customHeight="1"/>
    <row r="30821" ht="15.75" customHeight="1"/>
    <row r="30822" ht="15.75" customHeight="1"/>
    <row r="30823" ht="15.75" customHeight="1"/>
    <row r="30824" ht="15.75" customHeight="1"/>
    <row r="30825" ht="15.75" customHeight="1"/>
    <row r="30826" ht="15.75" customHeight="1"/>
    <row r="30827" ht="15.75" customHeight="1"/>
    <row r="30828" ht="15.75" customHeight="1"/>
    <row r="30829" ht="15.75" customHeight="1"/>
    <row r="30830" ht="15.75" customHeight="1"/>
    <row r="30831" ht="15.75" customHeight="1"/>
    <row r="30832" ht="15.75" customHeight="1"/>
    <row r="30833" ht="15.75" customHeight="1"/>
    <row r="30834" ht="15.75" customHeight="1"/>
    <row r="30835" ht="15.75" customHeight="1"/>
    <row r="30836" ht="15.75" customHeight="1"/>
    <row r="30837" ht="15.75" customHeight="1"/>
    <row r="30838" ht="15.75" customHeight="1"/>
    <row r="30839" ht="15.75" customHeight="1"/>
    <row r="30840" ht="15.75" customHeight="1"/>
    <row r="30841" ht="15.75" customHeight="1"/>
    <row r="30842" ht="15.75" customHeight="1"/>
    <row r="30843" ht="15.75" customHeight="1"/>
    <row r="30844" ht="15.75" customHeight="1"/>
    <row r="30845" ht="15.75" customHeight="1"/>
    <row r="30846" ht="15.75" customHeight="1"/>
    <row r="30847" ht="15.75" customHeight="1"/>
    <row r="30848" ht="15.75" customHeight="1"/>
    <row r="30849" ht="15.75" customHeight="1"/>
    <row r="30850" ht="15.75" customHeight="1"/>
    <row r="30851" ht="15.75" customHeight="1"/>
    <row r="30852" ht="15.75" customHeight="1"/>
    <row r="30853" ht="15.75" customHeight="1"/>
    <row r="30854" ht="15.75" customHeight="1"/>
    <row r="30855" ht="15.75" customHeight="1"/>
    <row r="30856" ht="15.75" customHeight="1"/>
    <row r="30857" ht="15.75" customHeight="1"/>
    <row r="30858" ht="15.75" customHeight="1"/>
    <row r="30859" ht="15.75" customHeight="1"/>
    <row r="30860" ht="15.75" customHeight="1"/>
    <row r="30861" ht="15.75" customHeight="1"/>
    <row r="30862" ht="15.75" customHeight="1"/>
    <row r="30863" ht="15.75" customHeight="1"/>
    <row r="30864" ht="15.75" customHeight="1"/>
    <row r="30865" ht="15.75" customHeight="1"/>
    <row r="30866" ht="15.75" customHeight="1"/>
    <row r="30867" ht="15.75" customHeight="1"/>
    <row r="30868" ht="15.75" customHeight="1"/>
    <row r="30869" ht="15.75" customHeight="1"/>
    <row r="30870" ht="15.75" customHeight="1"/>
    <row r="30871" ht="15.75" customHeight="1"/>
    <row r="30872" ht="15.75" customHeight="1"/>
    <row r="30873" ht="15.75" customHeight="1"/>
    <row r="30874" ht="15.75" customHeight="1"/>
    <row r="30875" ht="15.75" customHeight="1"/>
    <row r="30876" ht="15.75" customHeight="1"/>
    <row r="30877" ht="15.75" customHeight="1"/>
    <row r="30878" ht="15.75" customHeight="1"/>
    <row r="30879" ht="15.75" customHeight="1"/>
    <row r="30880" ht="15.75" customHeight="1"/>
    <row r="30881" ht="15.75" customHeight="1"/>
    <row r="30882" ht="15.75" customHeight="1"/>
    <row r="30883" ht="15.75" customHeight="1"/>
    <row r="30884" ht="15.75" customHeight="1"/>
    <row r="30885" ht="15.75" customHeight="1"/>
    <row r="30886" ht="15.75" customHeight="1"/>
    <row r="30887" ht="15.75" customHeight="1"/>
    <row r="30888" ht="15.75" customHeight="1"/>
    <row r="30889" ht="15.75" customHeight="1"/>
    <row r="30890" ht="15.75" customHeight="1"/>
    <row r="30891" ht="15.75" customHeight="1"/>
    <row r="30892" ht="15.75" customHeight="1"/>
    <row r="30893" ht="15.75" customHeight="1"/>
    <row r="30894" ht="15.75" customHeight="1"/>
    <row r="30895" ht="15.75" customHeight="1"/>
    <row r="30896" ht="15.75" customHeight="1"/>
    <row r="30897" ht="15.75" customHeight="1"/>
    <row r="30898" ht="15.75" customHeight="1"/>
    <row r="30899" ht="15.75" customHeight="1"/>
    <row r="30900" ht="15.75" customHeight="1"/>
    <row r="30901" ht="15.75" customHeight="1"/>
    <row r="30902" ht="15.75" customHeight="1"/>
    <row r="30903" ht="15.75" customHeight="1"/>
    <row r="30904" ht="15.75" customHeight="1"/>
    <row r="30905" ht="15.75" customHeight="1"/>
    <row r="30906" ht="15.75" customHeight="1"/>
    <row r="30907" ht="15.75" customHeight="1"/>
    <row r="30908" ht="15.75" customHeight="1"/>
    <row r="30909" ht="15.75" customHeight="1"/>
    <row r="30910" ht="15.75" customHeight="1"/>
    <row r="30911" ht="15.75" customHeight="1"/>
    <row r="30912" ht="15.75" customHeight="1"/>
    <row r="30913" ht="15.75" customHeight="1"/>
    <row r="30914" ht="15.75" customHeight="1"/>
    <row r="30915" ht="15.75" customHeight="1"/>
    <row r="30916" ht="15.75" customHeight="1"/>
    <row r="30917" ht="15.75" customHeight="1"/>
    <row r="30918" ht="15.75" customHeight="1"/>
    <row r="30919" ht="15.75" customHeight="1"/>
    <row r="30920" ht="15.75" customHeight="1"/>
    <row r="30921" ht="15.75" customHeight="1"/>
    <row r="30922" ht="15.75" customHeight="1"/>
    <row r="30923" ht="15.75" customHeight="1"/>
    <row r="30924" ht="15.75" customHeight="1"/>
    <row r="30925" ht="15.75" customHeight="1"/>
    <row r="30926" ht="15.75" customHeight="1"/>
    <row r="30927" ht="15.75" customHeight="1"/>
    <row r="30928" ht="15.75" customHeight="1"/>
    <row r="30929" ht="15.75" customHeight="1"/>
    <row r="30930" ht="15.75" customHeight="1"/>
    <row r="30931" ht="15.75" customHeight="1"/>
    <row r="30932" ht="15.75" customHeight="1"/>
    <row r="30933" ht="15.75" customHeight="1"/>
    <row r="30934" ht="15.75" customHeight="1"/>
    <row r="30935" ht="15.75" customHeight="1"/>
    <row r="30936" ht="15.75" customHeight="1"/>
    <row r="30937" ht="15.75" customHeight="1"/>
    <row r="30938" ht="15.75" customHeight="1"/>
    <row r="30939" ht="15.75" customHeight="1"/>
    <row r="30940" ht="15.75" customHeight="1"/>
    <row r="30941" ht="15.75" customHeight="1"/>
    <row r="30942" ht="15.75" customHeight="1"/>
    <row r="30943" ht="15.75" customHeight="1"/>
    <row r="30944" ht="15.75" customHeight="1"/>
    <row r="30945" ht="15.75" customHeight="1"/>
    <row r="30946" ht="15.75" customHeight="1"/>
    <row r="30947" ht="15.75" customHeight="1"/>
    <row r="30948" ht="15.75" customHeight="1"/>
    <row r="30949" ht="15.75" customHeight="1"/>
    <row r="30950" ht="15.75" customHeight="1"/>
    <row r="30951" ht="15.75" customHeight="1"/>
    <row r="30952" ht="15.75" customHeight="1"/>
    <row r="30953" ht="15.75" customHeight="1"/>
    <row r="30954" ht="15.75" customHeight="1"/>
    <row r="30955" ht="15.75" customHeight="1"/>
    <row r="30956" ht="15.75" customHeight="1"/>
    <row r="30957" ht="15.75" customHeight="1"/>
    <row r="30958" ht="15.75" customHeight="1"/>
    <row r="30959" ht="15.75" customHeight="1"/>
    <row r="30960" ht="15.75" customHeight="1"/>
    <row r="30961" ht="15.75" customHeight="1"/>
    <row r="30962" ht="15.75" customHeight="1"/>
    <row r="30963" ht="15.75" customHeight="1"/>
    <row r="30964" ht="15.75" customHeight="1"/>
    <row r="30965" ht="15.75" customHeight="1"/>
    <row r="30966" ht="15.75" customHeight="1"/>
    <row r="30967" ht="15.75" customHeight="1"/>
    <row r="30968" ht="15.75" customHeight="1"/>
    <row r="30969" ht="15.75" customHeight="1"/>
    <row r="30970" ht="15.75" customHeight="1"/>
    <row r="30971" ht="15.75" customHeight="1"/>
    <row r="30972" ht="15.75" customHeight="1"/>
    <row r="30973" ht="15.75" customHeight="1"/>
    <row r="30974" ht="15.75" customHeight="1"/>
    <row r="30975" ht="15.75" customHeight="1"/>
    <row r="30976" ht="15.75" customHeight="1"/>
    <row r="30977" ht="15.75" customHeight="1"/>
    <row r="30978" ht="15.75" customHeight="1"/>
    <row r="30979" ht="15.75" customHeight="1"/>
    <row r="30980" ht="15.75" customHeight="1"/>
    <row r="30981" ht="15.75" customHeight="1"/>
    <row r="30982" ht="15.75" customHeight="1"/>
    <row r="30983" ht="15.75" customHeight="1"/>
    <row r="30984" ht="15.75" customHeight="1"/>
    <row r="30985" ht="15.75" customHeight="1"/>
    <row r="30986" ht="15.75" customHeight="1"/>
    <row r="30987" ht="15.75" customHeight="1"/>
    <row r="30988" ht="15.75" customHeight="1"/>
    <row r="30989" ht="15.75" customHeight="1"/>
    <row r="30990" ht="15.75" customHeight="1"/>
    <row r="30991" ht="15.75" customHeight="1"/>
    <row r="30992" ht="15.75" customHeight="1"/>
    <row r="30993" ht="15.75" customHeight="1"/>
    <row r="30994" ht="15.75" customHeight="1"/>
    <row r="30995" ht="15.75" customHeight="1"/>
    <row r="30996" ht="15.75" customHeight="1"/>
    <row r="30997" ht="15.75" customHeight="1"/>
    <row r="30998" ht="15.75" customHeight="1"/>
    <row r="30999" ht="15.75" customHeight="1"/>
    <row r="31000" ht="15.75" customHeight="1"/>
    <row r="31001" ht="15.75" customHeight="1"/>
    <row r="31002" ht="15.75" customHeight="1"/>
    <row r="31003" ht="15.75" customHeight="1"/>
    <row r="31004" ht="15.75" customHeight="1"/>
    <row r="31005" ht="15.75" customHeight="1"/>
    <row r="31006" ht="15.75" customHeight="1"/>
    <row r="31007" ht="15.75" customHeight="1"/>
    <row r="31008" ht="15.75" customHeight="1"/>
    <row r="31009" ht="15.75" customHeight="1"/>
    <row r="31010" ht="15.75" customHeight="1"/>
    <row r="31011" ht="15.75" customHeight="1"/>
    <row r="31012" ht="15.75" customHeight="1"/>
    <row r="31013" ht="15.75" customHeight="1"/>
    <row r="31014" ht="15.75" customHeight="1"/>
    <row r="31015" ht="15.75" customHeight="1"/>
    <row r="31016" ht="15.75" customHeight="1"/>
    <row r="31017" ht="15.75" customHeight="1"/>
    <row r="31018" ht="15.75" customHeight="1"/>
    <row r="31019" ht="15.75" customHeight="1"/>
    <row r="31020" ht="15.75" customHeight="1"/>
    <row r="31021" ht="15.75" customHeight="1"/>
    <row r="31022" ht="15.75" customHeight="1"/>
    <row r="31023" ht="15.75" customHeight="1"/>
    <row r="31024" ht="15.75" customHeight="1"/>
    <row r="31025" ht="15.75" customHeight="1"/>
    <row r="31026" ht="15.75" customHeight="1"/>
    <row r="31027" ht="15.75" customHeight="1"/>
    <row r="31028" ht="15.75" customHeight="1"/>
    <row r="31029" ht="15.75" customHeight="1"/>
    <row r="31030" ht="15.75" customHeight="1"/>
    <row r="31031" ht="15.75" customHeight="1"/>
    <row r="31032" ht="15.75" customHeight="1"/>
    <row r="31033" ht="15.75" customHeight="1"/>
    <row r="31034" ht="15.75" customHeight="1"/>
    <row r="31035" ht="15.75" customHeight="1"/>
    <row r="31036" ht="15.75" customHeight="1"/>
    <row r="31037" ht="15.75" customHeight="1"/>
    <row r="31038" ht="15.75" customHeight="1"/>
    <row r="31039" ht="15.75" customHeight="1"/>
    <row r="31040" ht="15.75" customHeight="1"/>
    <row r="31041" ht="15.75" customHeight="1"/>
    <row r="31042" ht="15.75" customHeight="1"/>
    <row r="31043" ht="15.75" customHeight="1"/>
    <row r="31044" ht="15.75" customHeight="1"/>
    <row r="31045" ht="15.75" customHeight="1"/>
    <row r="31046" ht="15.75" customHeight="1"/>
    <row r="31047" ht="15.75" customHeight="1"/>
    <row r="31048" ht="15.75" customHeight="1"/>
    <row r="31049" ht="15.75" customHeight="1"/>
    <row r="31050" ht="15.75" customHeight="1"/>
    <row r="31051" ht="15.75" customHeight="1"/>
    <row r="31052" ht="15.75" customHeight="1"/>
    <row r="31053" ht="15.75" customHeight="1"/>
    <row r="31054" ht="15.75" customHeight="1"/>
    <row r="31055" ht="15.75" customHeight="1"/>
    <row r="31056" ht="15.75" customHeight="1"/>
    <row r="31057" ht="15.75" customHeight="1"/>
    <row r="31058" ht="15.75" customHeight="1"/>
    <row r="31059" ht="15.75" customHeight="1"/>
    <row r="31060" ht="15.75" customHeight="1"/>
    <row r="31061" ht="15.75" customHeight="1"/>
    <row r="31062" ht="15.75" customHeight="1"/>
    <row r="31063" ht="15.75" customHeight="1"/>
    <row r="31064" ht="15.75" customHeight="1"/>
    <row r="31065" ht="15.75" customHeight="1"/>
    <row r="31066" ht="15.75" customHeight="1"/>
    <row r="31067" ht="15.75" customHeight="1"/>
    <row r="31068" ht="15.75" customHeight="1"/>
    <row r="31069" ht="15.75" customHeight="1"/>
    <row r="31070" ht="15.75" customHeight="1"/>
    <row r="31071" ht="15.75" customHeight="1"/>
    <row r="31072" ht="15.75" customHeight="1"/>
    <row r="31073" ht="15.75" customHeight="1"/>
    <row r="31074" ht="15.75" customHeight="1"/>
    <row r="31075" ht="15.75" customHeight="1"/>
    <row r="31076" ht="15.75" customHeight="1"/>
    <row r="31077" ht="15.75" customHeight="1"/>
    <row r="31078" ht="15.75" customHeight="1"/>
    <row r="31079" ht="15.75" customHeight="1"/>
    <row r="31080" ht="15.75" customHeight="1"/>
    <row r="31081" ht="15.75" customHeight="1"/>
    <row r="31082" ht="15.75" customHeight="1"/>
    <row r="31083" ht="15.75" customHeight="1"/>
    <row r="31084" ht="15.75" customHeight="1"/>
    <row r="31085" ht="15.75" customHeight="1"/>
    <row r="31086" ht="15.75" customHeight="1"/>
    <row r="31087" ht="15.75" customHeight="1"/>
    <row r="31088" ht="15.75" customHeight="1"/>
    <row r="31089" ht="15.75" customHeight="1"/>
    <row r="31090" ht="15.75" customHeight="1"/>
    <row r="31091" ht="15.75" customHeight="1"/>
    <row r="31092" ht="15.75" customHeight="1"/>
    <row r="31093" ht="15.75" customHeight="1"/>
    <row r="31094" ht="15.75" customHeight="1"/>
    <row r="31095" ht="15.75" customHeight="1"/>
    <row r="31096" ht="15.75" customHeight="1"/>
    <row r="31097" ht="15.75" customHeight="1"/>
    <row r="31098" ht="15.75" customHeight="1"/>
    <row r="31099" ht="15.75" customHeight="1"/>
    <row r="31100" ht="15.75" customHeight="1"/>
    <row r="31101" ht="15.75" customHeight="1"/>
    <row r="31102" ht="15.75" customHeight="1"/>
    <row r="31103" ht="15.75" customHeight="1"/>
    <row r="31104" ht="15.75" customHeight="1"/>
    <row r="31105" ht="15.75" customHeight="1"/>
    <row r="31106" ht="15.75" customHeight="1"/>
    <row r="31107" ht="15.75" customHeight="1"/>
    <row r="31108" ht="15.75" customHeight="1"/>
    <row r="31109" ht="15.75" customHeight="1"/>
    <row r="31110" ht="15.75" customHeight="1"/>
    <row r="31111" ht="15.75" customHeight="1"/>
    <row r="31112" ht="15.75" customHeight="1"/>
    <row r="31113" ht="15.75" customHeight="1"/>
    <row r="31114" ht="15.75" customHeight="1"/>
    <row r="31115" ht="15.75" customHeight="1"/>
    <row r="31116" ht="15.75" customHeight="1"/>
    <row r="31117" ht="15.75" customHeight="1"/>
    <row r="31118" ht="15.75" customHeight="1"/>
    <row r="31119" ht="15.75" customHeight="1"/>
    <row r="31120" ht="15.75" customHeight="1"/>
    <row r="31121" ht="15.75" customHeight="1"/>
    <row r="31122" ht="15.75" customHeight="1"/>
    <row r="31123" ht="15.75" customHeight="1"/>
    <row r="31124" ht="15.75" customHeight="1"/>
    <row r="31125" ht="15.75" customHeight="1"/>
    <row r="31126" ht="15.75" customHeight="1"/>
    <row r="31127" ht="15.75" customHeight="1"/>
    <row r="31128" ht="15.75" customHeight="1"/>
    <row r="31129" ht="15.75" customHeight="1"/>
    <row r="31130" ht="15.75" customHeight="1"/>
    <row r="31131" ht="15.75" customHeight="1"/>
    <row r="31132" ht="15.75" customHeight="1"/>
    <row r="31133" ht="15.75" customHeight="1"/>
    <row r="31134" ht="15.75" customHeight="1"/>
    <row r="31135" ht="15.75" customHeight="1"/>
    <row r="31136" ht="15.75" customHeight="1"/>
    <row r="31137" ht="15.75" customHeight="1"/>
    <row r="31138" ht="15.75" customHeight="1"/>
    <row r="31139" ht="15.75" customHeight="1"/>
    <row r="31140" ht="15.75" customHeight="1"/>
    <row r="31141" ht="15.75" customHeight="1"/>
    <row r="31142" ht="15.75" customHeight="1"/>
    <row r="31143" ht="15.75" customHeight="1"/>
    <row r="31144" ht="15.75" customHeight="1"/>
    <row r="31145" ht="15.75" customHeight="1"/>
    <row r="31146" ht="15.75" customHeight="1"/>
    <row r="31147" ht="15.75" customHeight="1"/>
    <row r="31148" ht="15.75" customHeight="1"/>
    <row r="31149" ht="15.75" customHeight="1"/>
    <row r="31150" ht="15.75" customHeight="1"/>
    <row r="31151" ht="15.75" customHeight="1"/>
    <row r="31152" ht="15.75" customHeight="1"/>
    <row r="31153" ht="15.75" customHeight="1"/>
    <row r="31154" ht="15.75" customHeight="1"/>
    <row r="31155" ht="15.75" customHeight="1"/>
    <row r="31156" ht="15.75" customHeight="1"/>
    <row r="31157" ht="15.75" customHeight="1"/>
    <row r="31158" ht="15.75" customHeight="1"/>
    <row r="31159" ht="15.75" customHeight="1"/>
    <row r="31160" ht="15.75" customHeight="1"/>
    <row r="31161" ht="15.75" customHeight="1"/>
    <row r="31162" ht="15.75" customHeight="1"/>
    <row r="31163" ht="15.75" customHeight="1"/>
    <row r="31164" ht="15.75" customHeight="1"/>
    <row r="31165" ht="15.75" customHeight="1"/>
    <row r="31166" ht="15.75" customHeight="1"/>
    <row r="31167" ht="15.75" customHeight="1"/>
    <row r="31168" ht="15.75" customHeight="1"/>
    <row r="31169" ht="15.75" customHeight="1"/>
    <row r="31170" ht="15.75" customHeight="1"/>
    <row r="31171" ht="15.75" customHeight="1"/>
    <row r="31172" ht="15.75" customHeight="1"/>
    <row r="31173" ht="15.75" customHeight="1"/>
    <row r="31174" ht="15.75" customHeight="1"/>
    <row r="31175" ht="15.75" customHeight="1"/>
    <row r="31176" ht="15.75" customHeight="1"/>
    <row r="31177" ht="15.75" customHeight="1"/>
    <row r="31178" ht="15.75" customHeight="1"/>
    <row r="31179" ht="15.75" customHeight="1"/>
    <row r="31180" ht="15.75" customHeight="1"/>
    <row r="31181" ht="15.75" customHeight="1"/>
    <row r="31182" ht="15.75" customHeight="1"/>
    <row r="31183" ht="15.75" customHeight="1"/>
    <row r="31184" ht="15.75" customHeight="1"/>
    <row r="31185" ht="15.75" customHeight="1"/>
    <row r="31186" ht="15.75" customHeight="1"/>
    <row r="31187" ht="15.75" customHeight="1"/>
    <row r="31188" ht="15.75" customHeight="1"/>
    <row r="31189" ht="15.75" customHeight="1"/>
    <row r="31190" ht="15.75" customHeight="1"/>
    <row r="31191" ht="15.75" customHeight="1"/>
    <row r="31192" ht="15.75" customHeight="1"/>
    <row r="31193" ht="15.75" customHeight="1"/>
    <row r="31194" ht="15.75" customHeight="1"/>
    <row r="31195" ht="15.75" customHeight="1"/>
    <row r="31196" ht="15.75" customHeight="1"/>
    <row r="31197" ht="15.75" customHeight="1"/>
    <row r="31198" ht="15.75" customHeight="1"/>
    <row r="31199" ht="15.75" customHeight="1"/>
    <row r="31200" ht="15.75" customHeight="1"/>
    <row r="31201" ht="15.75" customHeight="1"/>
    <row r="31202" ht="15.75" customHeight="1"/>
    <row r="31203" ht="15.75" customHeight="1"/>
    <row r="31204" ht="15.75" customHeight="1"/>
    <row r="31205" ht="15.75" customHeight="1"/>
    <row r="31206" ht="15.75" customHeight="1"/>
    <row r="31207" ht="15.75" customHeight="1"/>
    <row r="31208" ht="15.75" customHeight="1"/>
    <row r="31209" ht="15.75" customHeight="1"/>
    <row r="31210" ht="15.75" customHeight="1"/>
    <row r="31211" ht="15.75" customHeight="1"/>
    <row r="31212" ht="15.75" customHeight="1"/>
    <row r="31213" ht="15.75" customHeight="1"/>
    <row r="31214" ht="15.75" customHeight="1"/>
    <row r="31215" ht="15.75" customHeight="1"/>
    <row r="31216" ht="15.75" customHeight="1"/>
    <row r="31217" ht="15.75" customHeight="1"/>
    <row r="31218" ht="15.75" customHeight="1"/>
    <row r="31219" ht="15.75" customHeight="1"/>
    <row r="31220" ht="15.75" customHeight="1"/>
    <row r="31221" ht="15.75" customHeight="1"/>
    <row r="31222" ht="15.75" customHeight="1"/>
    <row r="31223" ht="15.75" customHeight="1"/>
    <row r="31224" ht="15.75" customHeight="1"/>
    <row r="31225" ht="15.75" customHeight="1"/>
    <row r="31226" ht="15.75" customHeight="1"/>
    <row r="31227" ht="15.75" customHeight="1"/>
    <row r="31228" ht="15.75" customHeight="1"/>
    <row r="31229" ht="15.75" customHeight="1"/>
    <row r="31230" ht="15.75" customHeight="1"/>
    <row r="31231" ht="15.75" customHeight="1"/>
    <row r="31232" ht="15.75" customHeight="1"/>
    <row r="31233" ht="15.75" customHeight="1"/>
    <row r="31234" ht="15.75" customHeight="1"/>
    <row r="31235" ht="15.75" customHeight="1"/>
    <row r="31236" ht="15.75" customHeight="1"/>
    <row r="31237" ht="15.75" customHeight="1"/>
    <row r="31238" ht="15.75" customHeight="1"/>
    <row r="31239" ht="15.75" customHeight="1"/>
    <row r="31240" ht="15.75" customHeight="1"/>
    <row r="31241" ht="15.75" customHeight="1"/>
    <row r="31242" ht="15.75" customHeight="1"/>
    <row r="31243" ht="15.75" customHeight="1"/>
    <row r="31244" ht="15.75" customHeight="1"/>
    <row r="31245" ht="15.75" customHeight="1"/>
    <row r="31246" ht="15.75" customHeight="1"/>
    <row r="31247" ht="15.75" customHeight="1"/>
    <row r="31248" ht="15.75" customHeight="1"/>
    <row r="31249" ht="15.75" customHeight="1"/>
    <row r="31250" ht="15.75" customHeight="1"/>
    <row r="31251" ht="15.75" customHeight="1"/>
    <row r="31252" ht="15.75" customHeight="1"/>
    <row r="31253" ht="15.75" customHeight="1"/>
    <row r="31254" ht="15.75" customHeight="1"/>
    <row r="31255" ht="15.75" customHeight="1"/>
    <row r="31256" ht="15.75" customHeight="1"/>
    <row r="31257" ht="15.75" customHeight="1"/>
    <row r="31258" ht="15.75" customHeight="1"/>
    <row r="31259" ht="15.75" customHeight="1"/>
    <row r="31260" ht="15.75" customHeight="1"/>
    <row r="31261" ht="15.75" customHeight="1"/>
    <row r="31262" ht="15.75" customHeight="1"/>
    <row r="31263" ht="15.75" customHeight="1"/>
    <row r="31264" ht="15.75" customHeight="1"/>
    <row r="31265" ht="15.75" customHeight="1"/>
    <row r="31266" ht="15.75" customHeight="1"/>
    <row r="31267" ht="15.75" customHeight="1"/>
    <row r="31268" ht="15.75" customHeight="1"/>
    <row r="31269" ht="15.75" customHeight="1"/>
    <row r="31270" ht="15.75" customHeight="1"/>
    <row r="31271" ht="15.75" customHeight="1"/>
    <row r="31272" ht="15.75" customHeight="1"/>
    <row r="31273" ht="15.75" customHeight="1"/>
    <row r="31274" ht="15.75" customHeight="1"/>
    <row r="31275" ht="15.75" customHeight="1"/>
    <row r="31276" ht="15.75" customHeight="1"/>
    <row r="31277" ht="15.75" customHeight="1"/>
    <row r="31278" ht="15.75" customHeight="1"/>
    <row r="31279" ht="15.75" customHeight="1"/>
    <row r="31280" ht="15.75" customHeight="1"/>
    <row r="31281" ht="15.75" customHeight="1"/>
    <row r="31282" ht="15.75" customHeight="1"/>
    <row r="31283" ht="15.75" customHeight="1"/>
    <row r="31284" ht="15.75" customHeight="1"/>
    <row r="31285" ht="15.75" customHeight="1"/>
    <row r="31286" ht="15.75" customHeight="1"/>
    <row r="31287" ht="15.75" customHeight="1"/>
    <row r="31288" ht="15.75" customHeight="1"/>
    <row r="31289" ht="15.75" customHeight="1"/>
    <row r="31290" ht="15.75" customHeight="1"/>
    <row r="31291" ht="15.75" customHeight="1"/>
    <row r="31292" ht="15.75" customHeight="1"/>
    <row r="31293" ht="15.75" customHeight="1"/>
    <row r="31294" ht="15.75" customHeight="1"/>
    <row r="31295" ht="15.75" customHeight="1"/>
    <row r="31296" ht="15.75" customHeight="1"/>
    <row r="31297" ht="15.75" customHeight="1"/>
    <row r="31298" ht="15.75" customHeight="1"/>
    <row r="31299" ht="15.75" customHeight="1"/>
    <row r="31300" ht="15.75" customHeight="1"/>
    <row r="31301" ht="15.75" customHeight="1"/>
    <row r="31302" ht="15.75" customHeight="1"/>
    <row r="31303" ht="15.75" customHeight="1"/>
    <row r="31304" ht="15.75" customHeight="1"/>
    <row r="31305" ht="15.75" customHeight="1"/>
    <row r="31306" ht="15.75" customHeight="1"/>
    <row r="31307" ht="15.75" customHeight="1"/>
    <row r="31308" ht="15.75" customHeight="1"/>
    <row r="31309" ht="15.75" customHeight="1"/>
    <row r="31310" ht="15.75" customHeight="1"/>
    <row r="31311" ht="15.75" customHeight="1"/>
    <row r="31312" ht="15.75" customHeight="1"/>
    <row r="31313" ht="15.75" customHeight="1"/>
    <row r="31314" ht="15.75" customHeight="1"/>
    <row r="31315" ht="15.75" customHeight="1"/>
    <row r="31316" ht="15.75" customHeight="1"/>
    <row r="31317" ht="15.75" customHeight="1"/>
    <row r="31318" ht="15.75" customHeight="1"/>
    <row r="31319" ht="15.75" customHeight="1"/>
    <row r="31320" ht="15.75" customHeight="1"/>
    <row r="31321" ht="15.75" customHeight="1"/>
    <row r="31322" ht="15.75" customHeight="1"/>
    <row r="31323" ht="15.75" customHeight="1"/>
    <row r="31324" ht="15.75" customHeight="1"/>
    <row r="31325" ht="15.75" customHeight="1"/>
    <row r="31326" ht="15.75" customHeight="1"/>
    <row r="31327" ht="15.75" customHeight="1"/>
    <row r="31328" ht="15.75" customHeight="1"/>
    <row r="31329" ht="15.75" customHeight="1"/>
    <row r="31330" ht="15.75" customHeight="1"/>
    <row r="31331" ht="15.75" customHeight="1"/>
    <row r="31332" ht="15.75" customHeight="1"/>
    <row r="31333" ht="15.75" customHeight="1"/>
    <row r="31334" ht="15.75" customHeight="1"/>
    <row r="31335" ht="15.75" customHeight="1"/>
    <row r="31336" ht="15.75" customHeight="1"/>
    <row r="31337" ht="15.75" customHeight="1"/>
    <row r="31338" ht="15.75" customHeight="1"/>
    <row r="31339" ht="15.75" customHeight="1"/>
    <row r="31340" ht="15.75" customHeight="1"/>
    <row r="31341" ht="15.75" customHeight="1"/>
    <row r="31342" ht="15.75" customHeight="1"/>
    <row r="31343" ht="15.75" customHeight="1"/>
    <row r="31344" ht="15.75" customHeight="1"/>
    <row r="31345" ht="15.75" customHeight="1"/>
    <row r="31346" ht="15.75" customHeight="1"/>
    <row r="31347" ht="15.75" customHeight="1"/>
    <row r="31348" ht="15.75" customHeight="1"/>
    <row r="31349" ht="15.75" customHeight="1"/>
    <row r="31350" ht="15.75" customHeight="1"/>
    <row r="31351" ht="15.75" customHeight="1"/>
    <row r="31352" ht="15.75" customHeight="1"/>
    <row r="31353" ht="15.75" customHeight="1"/>
    <row r="31354" ht="15.75" customHeight="1"/>
    <row r="31355" ht="15.75" customHeight="1"/>
    <row r="31356" ht="15.75" customHeight="1"/>
    <row r="31357" ht="15.75" customHeight="1"/>
    <row r="31358" ht="15.75" customHeight="1"/>
    <row r="31359" ht="15.75" customHeight="1"/>
    <row r="31360" ht="15.75" customHeight="1"/>
    <row r="31361" ht="15.75" customHeight="1"/>
    <row r="31362" ht="15.75" customHeight="1"/>
    <row r="31363" ht="15.75" customHeight="1"/>
    <row r="31364" ht="15.75" customHeight="1"/>
    <row r="31365" ht="15.75" customHeight="1"/>
    <row r="31366" ht="15.75" customHeight="1"/>
    <row r="31367" ht="15.75" customHeight="1"/>
    <row r="31368" ht="15.75" customHeight="1"/>
    <row r="31369" ht="15.75" customHeight="1"/>
    <row r="31370" ht="15.75" customHeight="1"/>
    <row r="31371" ht="15.75" customHeight="1"/>
    <row r="31372" ht="15.75" customHeight="1"/>
    <row r="31373" ht="15.75" customHeight="1"/>
    <row r="31374" ht="15.75" customHeight="1"/>
    <row r="31375" ht="15.75" customHeight="1"/>
    <row r="31376" ht="15.75" customHeight="1"/>
    <row r="31377" ht="15.75" customHeight="1"/>
    <row r="31378" ht="15.75" customHeight="1"/>
    <row r="31379" ht="15.75" customHeight="1"/>
    <row r="31380" ht="15.75" customHeight="1"/>
    <row r="31381" ht="15.75" customHeight="1"/>
    <row r="31382" ht="15.75" customHeight="1"/>
    <row r="31383" ht="15.75" customHeight="1"/>
    <row r="31384" ht="15.75" customHeight="1"/>
    <row r="31385" ht="15.75" customHeight="1"/>
    <row r="31386" ht="15.75" customHeight="1"/>
    <row r="31387" ht="15.75" customHeight="1"/>
    <row r="31388" ht="15.75" customHeight="1"/>
    <row r="31389" ht="15.75" customHeight="1"/>
    <row r="31390" ht="15.75" customHeight="1"/>
    <row r="31391" ht="15.75" customHeight="1"/>
    <row r="31392" ht="15.75" customHeight="1"/>
    <row r="31393" ht="15.75" customHeight="1"/>
    <row r="31394" ht="15.75" customHeight="1"/>
    <row r="31395" ht="15.75" customHeight="1"/>
    <row r="31396" ht="15.75" customHeight="1"/>
    <row r="31397" ht="15.75" customHeight="1"/>
    <row r="31398" ht="15.75" customHeight="1"/>
    <row r="31399" ht="15.75" customHeight="1"/>
    <row r="31400" ht="15.75" customHeight="1"/>
    <row r="31401" ht="15.75" customHeight="1"/>
    <row r="31402" ht="15.75" customHeight="1"/>
    <row r="31403" ht="15.75" customHeight="1"/>
    <row r="31404" ht="15.75" customHeight="1"/>
    <row r="31405" ht="15.75" customHeight="1"/>
    <row r="31406" ht="15.75" customHeight="1"/>
    <row r="31407" ht="15.75" customHeight="1"/>
    <row r="31408" ht="15.75" customHeight="1"/>
    <row r="31409" ht="15.75" customHeight="1"/>
    <row r="31410" ht="15.75" customHeight="1"/>
    <row r="31411" ht="15.75" customHeight="1"/>
    <row r="31412" ht="15.75" customHeight="1"/>
    <row r="31413" ht="15.75" customHeight="1"/>
    <row r="31414" ht="15.75" customHeight="1"/>
    <row r="31415" ht="15.75" customHeight="1"/>
    <row r="31416" ht="15.75" customHeight="1"/>
    <row r="31417" ht="15.75" customHeight="1"/>
    <row r="31418" ht="15.75" customHeight="1"/>
    <row r="31419" ht="15.75" customHeight="1"/>
    <row r="31420" ht="15.75" customHeight="1"/>
    <row r="31421" ht="15.75" customHeight="1"/>
    <row r="31422" ht="15.75" customHeight="1"/>
    <row r="31423" ht="15.75" customHeight="1"/>
    <row r="31424" ht="15.75" customHeight="1"/>
    <row r="31425" ht="15.75" customHeight="1"/>
    <row r="31426" ht="15.75" customHeight="1"/>
    <row r="31427" ht="15.75" customHeight="1"/>
    <row r="31428" ht="15.75" customHeight="1"/>
    <row r="31429" ht="15.75" customHeight="1"/>
    <row r="31430" ht="15.75" customHeight="1"/>
    <row r="31431" ht="15.75" customHeight="1"/>
    <row r="31432" ht="15.75" customHeight="1"/>
    <row r="31433" ht="15.75" customHeight="1"/>
    <row r="31434" ht="15.75" customHeight="1"/>
    <row r="31435" ht="15.75" customHeight="1"/>
    <row r="31436" ht="15.75" customHeight="1"/>
    <row r="31437" ht="15.75" customHeight="1"/>
    <row r="31438" ht="15.75" customHeight="1"/>
    <row r="31439" ht="15.75" customHeight="1"/>
    <row r="31440" ht="15.75" customHeight="1"/>
    <row r="31441" ht="15.75" customHeight="1"/>
    <row r="31442" ht="15.75" customHeight="1"/>
    <row r="31443" ht="15.75" customHeight="1"/>
    <row r="31444" ht="15.75" customHeight="1"/>
    <row r="31445" ht="15.75" customHeight="1"/>
    <row r="31446" ht="15.75" customHeight="1"/>
    <row r="31447" ht="15.75" customHeight="1"/>
    <row r="31448" ht="15.75" customHeight="1"/>
    <row r="31449" ht="15.75" customHeight="1"/>
    <row r="31450" ht="15.75" customHeight="1"/>
    <row r="31451" ht="15.75" customHeight="1"/>
    <row r="31452" ht="15.75" customHeight="1"/>
    <row r="31453" ht="15.75" customHeight="1"/>
    <row r="31454" ht="15.75" customHeight="1"/>
    <row r="31455" ht="15.75" customHeight="1"/>
    <row r="31456" ht="15.75" customHeight="1"/>
    <row r="31457" ht="15.75" customHeight="1"/>
    <row r="31458" ht="15.75" customHeight="1"/>
    <row r="31459" ht="15.75" customHeight="1"/>
    <row r="31460" ht="15.75" customHeight="1"/>
    <row r="31461" ht="15.75" customHeight="1"/>
    <row r="31462" ht="15.75" customHeight="1"/>
    <row r="31463" ht="15.75" customHeight="1"/>
    <row r="31464" ht="15.75" customHeight="1"/>
    <row r="31465" ht="15.75" customHeight="1"/>
    <row r="31466" ht="15.75" customHeight="1"/>
    <row r="31467" ht="15.75" customHeight="1"/>
    <row r="31468" ht="15.75" customHeight="1"/>
    <row r="31469" ht="15.75" customHeight="1"/>
    <row r="31470" ht="15.75" customHeight="1"/>
    <row r="31471" ht="15.75" customHeight="1"/>
    <row r="31472" ht="15.75" customHeight="1"/>
    <row r="31473" ht="15.75" customHeight="1"/>
    <row r="31474" ht="15.75" customHeight="1"/>
    <row r="31475" ht="15.75" customHeight="1"/>
    <row r="31476" ht="15.75" customHeight="1"/>
    <row r="31477" ht="15.75" customHeight="1"/>
    <row r="31478" ht="15.75" customHeight="1"/>
    <row r="31479" ht="15.75" customHeight="1"/>
    <row r="31480" ht="15.75" customHeight="1"/>
    <row r="31481" ht="15.75" customHeight="1"/>
    <row r="31482" ht="15.75" customHeight="1"/>
    <row r="31483" ht="15.75" customHeight="1"/>
    <row r="31484" ht="15.75" customHeight="1"/>
    <row r="31485" ht="15.75" customHeight="1"/>
    <row r="31486" ht="15.75" customHeight="1"/>
    <row r="31487" ht="15.75" customHeight="1"/>
    <row r="31488" ht="15.75" customHeight="1"/>
    <row r="31489" ht="15.75" customHeight="1"/>
    <row r="31490" ht="15.75" customHeight="1"/>
    <row r="31491" ht="15.75" customHeight="1"/>
    <row r="31492" ht="15.75" customHeight="1"/>
    <row r="31493" ht="15.75" customHeight="1"/>
    <row r="31494" ht="15.75" customHeight="1"/>
    <row r="31495" ht="15.75" customHeight="1"/>
    <row r="31496" ht="15.75" customHeight="1"/>
    <row r="31497" ht="15.75" customHeight="1"/>
    <row r="31498" ht="15.75" customHeight="1"/>
    <row r="31499" ht="15.75" customHeight="1"/>
    <row r="31500" ht="15.75" customHeight="1"/>
    <row r="31501" ht="15.75" customHeight="1"/>
    <row r="31502" ht="15.75" customHeight="1"/>
    <row r="31503" ht="15.75" customHeight="1"/>
    <row r="31504" ht="15.75" customHeight="1"/>
    <row r="31505" ht="15.75" customHeight="1"/>
    <row r="31506" ht="15.75" customHeight="1"/>
    <row r="31507" ht="15.75" customHeight="1"/>
    <row r="31508" ht="15.75" customHeight="1"/>
    <row r="31509" ht="15.75" customHeight="1"/>
    <row r="31510" ht="15.75" customHeight="1"/>
    <row r="31511" ht="15.75" customHeight="1"/>
    <row r="31512" ht="15.75" customHeight="1"/>
    <row r="31513" ht="15.75" customHeight="1"/>
    <row r="31514" ht="15.75" customHeight="1"/>
    <row r="31515" ht="15.75" customHeight="1"/>
    <row r="31516" ht="15.75" customHeight="1"/>
    <row r="31517" ht="15.75" customHeight="1"/>
    <row r="31518" ht="15.75" customHeight="1"/>
    <row r="31519" ht="15.75" customHeight="1"/>
    <row r="31520" ht="15.75" customHeight="1"/>
    <row r="31521" ht="15.75" customHeight="1"/>
    <row r="31522" ht="15.75" customHeight="1"/>
    <row r="31523" ht="15.75" customHeight="1"/>
    <row r="31524" ht="15.75" customHeight="1"/>
    <row r="31525" ht="15.75" customHeight="1"/>
    <row r="31526" ht="15.75" customHeight="1"/>
    <row r="31527" ht="15.75" customHeight="1"/>
    <row r="31528" ht="15.75" customHeight="1"/>
    <row r="31529" ht="15.75" customHeight="1"/>
    <row r="31530" ht="15.75" customHeight="1"/>
    <row r="31531" ht="15.75" customHeight="1"/>
    <row r="31532" ht="15.75" customHeight="1"/>
    <row r="31533" ht="15.75" customHeight="1"/>
    <row r="31534" ht="15.75" customHeight="1"/>
    <row r="31535" ht="15.75" customHeight="1"/>
    <row r="31536" ht="15.75" customHeight="1"/>
    <row r="31537" ht="15.75" customHeight="1"/>
    <row r="31538" ht="15.75" customHeight="1"/>
    <row r="31539" ht="15.75" customHeight="1"/>
    <row r="31540" ht="15.75" customHeight="1"/>
    <row r="31541" ht="15.75" customHeight="1"/>
    <row r="31542" ht="15.75" customHeight="1"/>
    <row r="31543" ht="15.75" customHeight="1"/>
    <row r="31544" ht="15.75" customHeight="1"/>
    <row r="31545" ht="15.75" customHeight="1"/>
    <row r="31546" ht="15.75" customHeight="1"/>
    <row r="31547" ht="15.75" customHeight="1"/>
    <row r="31548" ht="15.75" customHeight="1"/>
    <row r="31549" ht="15.75" customHeight="1"/>
    <row r="31550" ht="15.75" customHeight="1"/>
    <row r="31551" ht="15.75" customHeight="1"/>
    <row r="31552" ht="15.75" customHeight="1"/>
    <row r="31553" ht="15.75" customHeight="1"/>
    <row r="31554" ht="15.75" customHeight="1"/>
    <row r="31555" ht="15.75" customHeight="1"/>
    <row r="31556" ht="15.75" customHeight="1"/>
    <row r="31557" ht="15.75" customHeight="1"/>
    <row r="31558" ht="15.75" customHeight="1"/>
    <row r="31559" ht="15.75" customHeight="1"/>
    <row r="31560" ht="15.75" customHeight="1"/>
    <row r="31561" ht="15.75" customHeight="1"/>
    <row r="31562" ht="15.75" customHeight="1"/>
    <row r="31563" ht="15.75" customHeight="1"/>
    <row r="31564" ht="15.75" customHeight="1"/>
    <row r="31565" ht="15.75" customHeight="1"/>
    <row r="31566" ht="15.75" customHeight="1"/>
    <row r="31567" ht="15.75" customHeight="1"/>
    <row r="31568" ht="15.75" customHeight="1"/>
    <row r="31569" ht="15.75" customHeight="1"/>
    <row r="31570" ht="15.75" customHeight="1"/>
    <row r="31571" ht="15.75" customHeight="1"/>
    <row r="31572" ht="15.75" customHeight="1"/>
    <row r="31573" ht="15.75" customHeight="1"/>
    <row r="31574" ht="15.75" customHeight="1"/>
    <row r="31575" ht="15.75" customHeight="1"/>
    <row r="31576" ht="15.75" customHeight="1"/>
    <row r="31577" ht="15.75" customHeight="1"/>
    <row r="31578" ht="15.75" customHeight="1"/>
    <row r="31579" ht="15.75" customHeight="1"/>
    <row r="31580" ht="15.75" customHeight="1"/>
    <row r="31581" ht="15.75" customHeight="1"/>
    <row r="31582" ht="15.75" customHeight="1"/>
    <row r="31583" ht="15.75" customHeight="1"/>
    <row r="31584" ht="15.75" customHeight="1"/>
    <row r="31585" ht="15.75" customHeight="1"/>
    <row r="31586" ht="15.75" customHeight="1"/>
    <row r="31587" ht="15.75" customHeight="1"/>
    <row r="31588" ht="15.75" customHeight="1"/>
    <row r="31589" ht="15.75" customHeight="1"/>
    <row r="31590" ht="15.75" customHeight="1"/>
    <row r="31591" ht="15.75" customHeight="1"/>
    <row r="31592" ht="15.75" customHeight="1"/>
    <row r="31593" ht="15.75" customHeight="1"/>
    <row r="31594" ht="15.75" customHeight="1"/>
    <row r="31595" ht="15.75" customHeight="1"/>
    <row r="31596" ht="15.75" customHeight="1"/>
    <row r="31597" ht="15.75" customHeight="1"/>
    <row r="31598" ht="15.75" customHeight="1"/>
    <row r="31599" ht="15.75" customHeight="1"/>
    <row r="31600" ht="15.75" customHeight="1"/>
    <row r="31601" ht="15.75" customHeight="1"/>
    <row r="31602" ht="15.75" customHeight="1"/>
    <row r="31603" ht="15.75" customHeight="1"/>
    <row r="31604" ht="15.75" customHeight="1"/>
    <row r="31605" ht="15.75" customHeight="1"/>
    <row r="31606" ht="15.75" customHeight="1"/>
    <row r="31607" ht="15.75" customHeight="1"/>
    <row r="31608" ht="15.75" customHeight="1"/>
    <row r="31609" ht="15.75" customHeight="1"/>
    <row r="31610" ht="15.75" customHeight="1"/>
    <row r="31611" ht="15.75" customHeight="1"/>
    <row r="31612" ht="15.75" customHeight="1"/>
    <row r="31613" ht="15.75" customHeight="1"/>
    <row r="31614" ht="15.75" customHeight="1"/>
    <row r="31615" ht="15.75" customHeight="1"/>
    <row r="31616" ht="15.75" customHeight="1"/>
    <row r="31617" ht="15.75" customHeight="1"/>
    <row r="31618" ht="15.75" customHeight="1"/>
    <row r="31619" ht="15.75" customHeight="1"/>
    <row r="31620" ht="15.75" customHeight="1"/>
    <row r="31621" ht="15.75" customHeight="1"/>
    <row r="31622" ht="15.75" customHeight="1"/>
    <row r="31623" ht="15.75" customHeight="1"/>
    <row r="31624" ht="15.75" customHeight="1"/>
    <row r="31625" ht="15.75" customHeight="1"/>
    <row r="31626" ht="15.75" customHeight="1"/>
    <row r="31627" ht="15.75" customHeight="1"/>
    <row r="31628" ht="15.75" customHeight="1"/>
    <row r="31629" ht="15.75" customHeight="1"/>
    <row r="31630" ht="15.75" customHeight="1"/>
    <row r="31631" ht="15.75" customHeight="1"/>
    <row r="31632" ht="15.75" customHeight="1"/>
    <row r="31633" ht="15.75" customHeight="1"/>
    <row r="31634" ht="15.75" customHeight="1"/>
    <row r="31635" ht="15.75" customHeight="1"/>
    <row r="31636" ht="15.75" customHeight="1"/>
    <row r="31637" ht="15.75" customHeight="1"/>
    <row r="31638" ht="15.75" customHeight="1"/>
    <row r="31639" ht="15.75" customHeight="1"/>
    <row r="31640" ht="15.75" customHeight="1"/>
    <row r="31641" ht="15.75" customHeight="1"/>
    <row r="31642" ht="15.75" customHeight="1"/>
    <row r="31643" ht="15.75" customHeight="1"/>
    <row r="31644" ht="15.75" customHeight="1"/>
    <row r="31645" ht="15.75" customHeight="1"/>
    <row r="31646" ht="15.75" customHeight="1"/>
    <row r="31647" ht="15.75" customHeight="1"/>
    <row r="31648" ht="15.75" customHeight="1"/>
    <row r="31649" ht="15.75" customHeight="1"/>
    <row r="31650" ht="15.75" customHeight="1"/>
    <row r="31651" ht="15.75" customHeight="1"/>
    <row r="31652" ht="15.75" customHeight="1"/>
    <row r="31653" ht="15.75" customHeight="1"/>
    <row r="31654" ht="15.75" customHeight="1"/>
    <row r="31655" ht="15.75" customHeight="1"/>
    <row r="31656" ht="15.75" customHeight="1"/>
    <row r="31657" ht="15.75" customHeight="1"/>
    <row r="31658" ht="15.75" customHeight="1"/>
    <row r="31659" ht="15.75" customHeight="1"/>
    <row r="31660" ht="15.75" customHeight="1"/>
    <row r="31661" ht="15.75" customHeight="1"/>
    <row r="31662" ht="15.75" customHeight="1"/>
    <row r="31663" ht="15.75" customHeight="1"/>
    <row r="31664" ht="15.75" customHeight="1"/>
    <row r="31665" ht="15.75" customHeight="1"/>
    <row r="31666" ht="15.75" customHeight="1"/>
    <row r="31667" ht="15.75" customHeight="1"/>
    <row r="31668" ht="15.75" customHeight="1"/>
    <row r="31669" ht="15.75" customHeight="1"/>
    <row r="31670" ht="15.75" customHeight="1"/>
    <row r="31671" ht="15.75" customHeight="1"/>
    <row r="31672" ht="15.75" customHeight="1"/>
    <row r="31673" ht="15.75" customHeight="1"/>
    <row r="31674" ht="15.75" customHeight="1"/>
    <row r="31675" ht="15.75" customHeight="1"/>
    <row r="31676" ht="15.75" customHeight="1"/>
    <row r="31677" ht="15.75" customHeight="1"/>
    <row r="31678" ht="15.75" customHeight="1"/>
    <row r="31679" ht="15.75" customHeight="1"/>
    <row r="31680" ht="15.75" customHeight="1"/>
    <row r="31681" ht="15.75" customHeight="1"/>
    <row r="31682" ht="15.75" customHeight="1"/>
    <row r="31683" ht="15.75" customHeight="1"/>
    <row r="31684" ht="15.75" customHeight="1"/>
    <row r="31685" ht="15.75" customHeight="1"/>
    <row r="31686" ht="15.75" customHeight="1"/>
    <row r="31687" ht="15.75" customHeight="1"/>
    <row r="31688" ht="15.75" customHeight="1"/>
    <row r="31689" ht="15.75" customHeight="1"/>
    <row r="31690" ht="15.75" customHeight="1"/>
    <row r="31691" ht="15.75" customHeight="1"/>
    <row r="31692" ht="15.75" customHeight="1"/>
    <row r="31693" ht="15.75" customHeight="1"/>
    <row r="31694" ht="15.75" customHeight="1"/>
    <row r="31695" ht="15.75" customHeight="1"/>
    <row r="31696" ht="15.75" customHeight="1"/>
    <row r="31697" ht="15.75" customHeight="1"/>
    <row r="31698" ht="15.75" customHeight="1"/>
    <row r="31699" ht="15.75" customHeight="1"/>
    <row r="31700" ht="15.75" customHeight="1"/>
    <row r="31701" ht="15.75" customHeight="1"/>
    <row r="31702" ht="15.75" customHeight="1"/>
    <row r="31703" ht="15.75" customHeight="1"/>
    <row r="31704" ht="15.75" customHeight="1"/>
    <row r="31705" ht="15.75" customHeight="1"/>
    <row r="31706" ht="15.75" customHeight="1"/>
    <row r="31707" ht="15.75" customHeight="1"/>
    <row r="31708" ht="15.75" customHeight="1"/>
    <row r="31709" ht="15.75" customHeight="1"/>
    <row r="31710" ht="15.75" customHeight="1"/>
    <row r="31711" ht="15.75" customHeight="1"/>
    <row r="31712" ht="15.75" customHeight="1"/>
    <row r="31713" ht="15.75" customHeight="1"/>
    <row r="31714" ht="15.75" customHeight="1"/>
    <row r="31715" ht="15.75" customHeight="1"/>
    <row r="31716" ht="15.75" customHeight="1"/>
    <row r="31717" ht="15.75" customHeight="1"/>
    <row r="31718" ht="15.75" customHeight="1"/>
    <row r="31719" ht="15.75" customHeight="1"/>
    <row r="31720" ht="15.75" customHeight="1"/>
    <row r="31721" ht="15.75" customHeight="1"/>
    <row r="31722" ht="15.75" customHeight="1"/>
    <row r="31723" ht="15.75" customHeight="1"/>
    <row r="31724" ht="15.75" customHeight="1"/>
    <row r="31725" ht="15.75" customHeight="1"/>
    <row r="31726" ht="15.75" customHeight="1"/>
    <row r="31727" ht="15.75" customHeight="1"/>
    <row r="31728" ht="15.75" customHeight="1"/>
    <row r="31729" ht="15.75" customHeight="1"/>
    <row r="31730" ht="15.75" customHeight="1"/>
    <row r="31731" ht="15.75" customHeight="1"/>
    <row r="31732" ht="15.75" customHeight="1"/>
    <row r="31733" ht="15.75" customHeight="1"/>
    <row r="31734" ht="15.75" customHeight="1"/>
    <row r="31735" ht="15.75" customHeight="1"/>
    <row r="31736" ht="15.75" customHeight="1"/>
    <row r="31737" ht="15.75" customHeight="1"/>
    <row r="31738" ht="15.75" customHeight="1"/>
    <row r="31739" ht="15.75" customHeight="1"/>
    <row r="31740" ht="15.75" customHeight="1"/>
    <row r="31741" ht="15.75" customHeight="1"/>
    <row r="31742" ht="15.75" customHeight="1"/>
    <row r="31743" ht="15.75" customHeight="1"/>
    <row r="31744" ht="15.75" customHeight="1"/>
    <row r="31745" ht="15.75" customHeight="1"/>
    <row r="31746" ht="15.75" customHeight="1"/>
    <row r="31747" ht="15.75" customHeight="1"/>
    <row r="31748" ht="15.75" customHeight="1"/>
    <row r="31749" ht="15.75" customHeight="1"/>
    <row r="31750" ht="15.75" customHeight="1"/>
    <row r="31751" ht="15.75" customHeight="1"/>
    <row r="31752" ht="15.75" customHeight="1"/>
    <row r="31753" ht="15.75" customHeight="1"/>
    <row r="31754" ht="15.75" customHeight="1"/>
    <row r="31755" ht="15.75" customHeight="1"/>
    <row r="31756" ht="15.75" customHeight="1"/>
    <row r="31757" ht="15.75" customHeight="1"/>
    <row r="31758" ht="15.75" customHeight="1"/>
    <row r="31759" ht="15.75" customHeight="1"/>
    <row r="31760" ht="15.75" customHeight="1"/>
    <row r="31761" ht="15.75" customHeight="1"/>
    <row r="31762" ht="15.75" customHeight="1"/>
    <row r="31763" ht="15.75" customHeight="1"/>
    <row r="31764" ht="15.75" customHeight="1"/>
    <row r="31765" ht="15.75" customHeight="1"/>
    <row r="31766" ht="15.75" customHeight="1"/>
    <row r="31767" ht="15.75" customHeight="1"/>
    <row r="31768" ht="15.75" customHeight="1"/>
    <row r="31769" ht="15.75" customHeight="1"/>
    <row r="31770" ht="15.75" customHeight="1"/>
    <row r="31771" ht="15.75" customHeight="1"/>
    <row r="31772" ht="15.75" customHeight="1"/>
    <row r="31773" ht="15.75" customHeight="1"/>
    <row r="31774" ht="15.75" customHeight="1"/>
    <row r="31775" ht="15.75" customHeight="1"/>
    <row r="31776" ht="15.75" customHeight="1"/>
    <row r="31777" ht="15.75" customHeight="1"/>
    <row r="31778" ht="15.75" customHeight="1"/>
    <row r="31779" ht="15.75" customHeight="1"/>
    <row r="31780" ht="15.75" customHeight="1"/>
    <row r="31781" ht="15.75" customHeight="1"/>
    <row r="31782" ht="15.75" customHeight="1"/>
    <row r="31783" ht="15.75" customHeight="1"/>
    <row r="31784" ht="15.75" customHeight="1"/>
    <row r="31785" ht="15.75" customHeight="1"/>
    <row r="31786" ht="15.75" customHeight="1"/>
    <row r="31787" ht="15.75" customHeight="1"/>
    <row r="31788" ht="15.75" customHeight="1"/>
    <row r="31789" ht="15.75" customHeight="1"/>
    <row r="31790" ht="15.75" customHeight="1"/>
    <row r="31791" ht="15.75" customHeight="1"/>
    <row r="31792" ht="15.75" customHeight="1"/>
    <row r="31793" ht="15.75" customHeight="1"/>
    <row r="31794" ht="15.75" customHeight="1"/>
    <row r="31795" ht="15.75" customHeight="1"/>
    <row r="31796" ht="15.75" customHeight="1"/>
    <row r="31797" ht="15.75" customHeight="1"/>
    <row r="31798" ht="15.75" customHeight="1"/>
    <row r="31799" ht="15.75" customHeight="1"/>
    <row r="31800" ht="15.75" customHeight="1"/>
    <row r="31801" ht="15.75" customHeight="1"/>
    <row r="31802" ht="15.75" customHeight="1"/>
    <row r="31803" ht="15.75" customHeight="1"/>
    <row r="31804" ht="15.75" customHeight="1"/>
    <row r="31805" ht="15.75" customHeight="1"/>
    <row r="31806" ht="15.75" customHeight="1"/>
    <row r="31807" ht="15.75" customHeight="1"/>
    <row r="31808" ht="15.75" customHeight="1"/>
    <row r="31809" ht="15.75" customHeight="1"/>
    <row r="31810" ht="15.75" customHeight="1"/>
    <row r="31811" ht="15.75" customHeight="1"/>
    <row r="31812" ht="15.75" customHeight="1"/>
    <row r="31813" ht="15.75" customHeight="1"/>
    <row r="31814" ht="15.75" customHeight="1"/>
    <row r="31815" ht="15.75" customHeight="1"/>
    <row r="31816" ht="15.75" customHeight="1"/>
    <row r="31817" ht="15.75" customHeight="1"/>
    <row r="31818" ht="15.75" customHeight="1"/>
    <row r="31819" ht="15.75" customHeight="1"/>
    <row r="31820" ht="15.75" customHeight="1"/>
    <row r="31821" ht="15.75" customHeight="1"/>
    <row r="31822" ht="15.75" customHeight="1"/>
    <row r="31823" ht="15.75" customHeight="1"/>
    <row r="31824" ht="15.75" customHeight="1"/>
    <row r="31825" ht="15.75" customHeight="1"/>
    <row r="31826" ht="15.75" customHeight="1"/>
    <row r="31827" ht="15.75" customHeight="1"/>
    <row r="31828" ht="15.75" customHeight="1"/>
    <row r="31829" ht="15.75" customHeight="1"/>
    <row r="31830" ht="15.75" customHeight="1"/>
    <row r="31831" ht="15.75" customHeight="1"/>
    <row r="31832" ht="15.75" customHeight="1"/>
    <row r="31833" ht="15.75" customHeight="1"/>
    <row r="31834" ht="15.75" customHeight="1"/>
    <row r="31835" ht="15.75" customHeight="1"/>
    <row r="31836" ht="15.75" customHeight="1"/>
    <row r="31837" ht="15.75" customHeight="1"/>
    <row r="31838" ht="15.75" customHeight="1"/>
    <row r="31839" ht="15.75" customHeight="1"/>
    <row r="31840" ht="15.75" customHeight="1"/>
    <row r="31841" ht="15.75" customHeight="1"/>
    <row r="31842" ht="15.75" customHeight="1"/>
    <row r="31843" ht="15.75" customHeight="1"/>
    <row r="31844" ht="15.75" customHeight="1"/>
    <row r="31845" ht="15.75" customHeight="1"/>
    <row r="31846" ht="15.75" customHeight="1"/>
    <row r="31847" ht="15.75" customHeight="1"/>
    <row r="31848" ht="15.75" customHeight="1"/>
    <row r="31849" ht="15.75" customHeight="1"/>
    <row r="31850" ht="15.75" customHeight="1"/>
    <row r="31851" ht="15.75" customHeight="1"/>
    <row r="31852" ht="15.75" customHeight="1"/>
    <row r="31853" ht="15.75" customHeight="1"/>
    <row r="31854" ht="15.75" customHeight="1"/>
    <row r="31855" ht="15.75" customHeight="1"/>
    <row r="31856" ht="15.75" customHeight="1"/>
    <row r="31857" ht="15.75" customHeight="1"/>
    <row r="31858" ht="15.75" customHeight="1"/>
    <row r="31859" ht="15.75" customHeight="1"/>
    <row r="31860" ht="15.75" customHeight="1"/>
    <row r="31861" ht="15.75" customHeight="1"/>
    <row r="31862" ht="15.75" customHeight="1"/>
    <row r="31863" ht="15.75" customHeight="1"/>
    <row r="31864" ht="15.75" customHeight="1"/>
    <row r="31865" ht="15.75" customHeight="1"/>
    <row r="31866" ht="15.75" customHeight="1"/>
    <row r="31867" ht="15.75" customHeight="1"/>
    <row r="31868" ht="15.75" customHeight="1"/>
    <row r="31869" ht="15.75" customHeight="1"/>
    <row r="31870" ht="15.75" customHeight="1"/>
    <row r="31871" ht="15.75" customHeight="1"/>
    <row r="31872" ht="15.75" customHeight="1"/>
    <row r="31873" ht="15.75" customHeight="1"/>
    <row r="31874" ht="15.75" customHeight="1"/>
    <row r="31875" ht="15.75" customHeight="1"/>
    <row r="31876" ht="15.75" customHeight="1"/>
    <row r="31877" ht="15.75" customHeight="1"/>
    <row r="31878" ht="15.75" customHeight="1"/>
    <row r="31879" ht="15.75" customHeight="1"/>
    <row r="31880" ht="15.75" customHeight="1"/>
    <row r="31881" ht="15.75" customHeight="1"/>
    <row r="31882" ht="15.75" customHeight="1"/>
    <row r="31883" ht="15.75" customHeight="1"/>
    <row r="31884" ht="15.75" customHeight="1"/>
    <row r="31885" ht="15.75" customHeight="1"/>
    <row r="31886" ht="15.75" customHeight="1"/>
    <row r="31887" ht="15.75" customHeight="1"/>
    <row r="31888" ht="15.75" customHeight="1"/>
    <row r="31889" ht="15.75" customHeight="1"/>
    <row r="31890" ht="15.75" customHeight="1"/>
    <row r="31891" ht="15.75" customHeight="1"/>
    <row r="31892" ht="15.75" customHeight="1"/>
    <row r="31893" ht="15.75" customHeight="1"/>
    <row r="31894" ht="15.75" customHeight="1"/>
    <row r="31895" ht="15.75" customHeight="1"/>
    <row r="31896" ht="15.75" customHeight="1"/>
    <row r="31897" ht="15.75" customHeight="1"/>
    <row r="31898" ht="15.75" customHeight="1"/>
    <row r="31899" ht="15.75" customHeight="1"/>
    <row r="31900" ht="15.75" customHeight="1"/>
    <row r="31901" ht="15.75" customHeight="1"/>
    <row r="31902" ht="15.75" customHeight="1"/>
    <row r="31903" ht="15.75" customHeight="1"/>
    <row r="31904" ht="15.75" customHeight="1"/>
    <row r="31905" ht="15.75" customHeight="1"/>
    <row r="31906" ht="15.75" customHeight="1"/>
    <row r="31907" ht="15.75" customHeight="1"/>
    <row r="31908" ht="15.75" customHeight="1"/>
    <row r="31909" ht="15.75" customHeight="1"/>
    <row r="31910" ht="15.75" customHeight="1"/>
    <row r="31911" ht="15.75" customHeight="1"/>
    <row r="31912" ht="15.75" customHeight="1"/>
    <row r="31913" ht="15.75" customHeight="1"/>
    <row r="31914" ht="15.75" customHeight="1"/>
    <row r="31915" ht="15.75" customHeight="1"/>
    <row r="31916" ht="15.75" customHeight="1"/>
    <row r="31917" ht="15.75" customHeight="1"/>
    <row r="31918" ht="15.75" customHeight="1"/>
    <row r="31919" ht="15.75" customHeight="1"/>
    <row r="31920" ht="15.75" customHeight="1"/>
    <row r="31921" ht="15.75" customHeight="1"/>
    <row r="31922" ht="15.75" customHeight="1"/>
    <row r="31923" ht="15.75" customHeight="1"/>
    <row r="31924" ht="15.75" customHeight="1"/>
    <row r="31925" ht="15.75" customHeight="1"/>
    <row r="31926" ht="15.75" customHeight="1"/>
    <row r="31927" ht="15.75" customHeight="1"/>
    <row r="31928" ht="15.75" customHeight="1"/>
    <row r="31929" ht="15.75" customHeight="1"/>
    <row r="31930" ht="15.75" customHeight="1"/>
    <row r="31931" ht="15.75" customHeight="1"/>
    <row r="31932" ht="15.75" customHeight="1"/>
    <row r="31933" ht="15.75" customHeight="1"/>
    <row r="31934" ht="15.75" customHeight="1"/>
    <row r="31935" ht="15.75" customHeight="1"/>
    <row r="31936" ht="15.75" customHeight="1"/>
    <row r="31937" ht="15.75" customHeight="1"/>
    <row r="31938" ht="15.75" customHeight="1"/>
    <row r="31939" ht="15.75" customHeight="1"/>
    <row r="31940" ht="15.75" customHeight="1"/>
    <row r="31941" ht="15.75" customHeight="1"/>
    <row r="31942" ht="15.75" customHeight="1"/>
    <row r="31943" ht="15.75" customHeight="1"/>
    <row r="31944" ht="15.75" customHeight="1"/>
    <row r="31945" ht="15.75" customHeight="1"/>
    <row r="31946" ht="15.75" customHeight="1"/>
    <row r="31947" ht="15.75" customHeight="1"/>
    <row r="31948" ht="15.75" customHeight="1"/>
    <row r="31949" ht="15.75" customHeight="1"/>
    <row r="31950" ht="15.75" customHeight="1"/>
    <row r="31951" ht="15.75" customHeight="1"/>
    <row r="31952" ht="15.75" customHeight="1"/>
    <row r="31953" ht="15.75" customHeight="1"/>
    <row r="31954" ht="15.75" customHeight="1"/>
    <row r="31955" ht="15.75" customHeight="1"/>
    <row r="31956" ht="15.75" customHeight="1"/>
    <row r="31957" ht="15.75" customHeight="1"/>
    <row r="31958" ht="15.75" customHeight="1"/>
    <row r="31959" ht="15.75" customHeight="1"/>
    <row r="31960" ht="15.75" customHeight="1"/>
    <row r="31961" ht="15.75" customHeight="1"/>
    <row r="31962" ht="15.75" customHeight="1"/>
    <row r="31963" ht="15.75" customHeight="1"/>
    <row r="31964" ht="15.75" customHeight="1"/>
    <row r="31965" ht="15.75" customHeight="1"/>
    <row r="31966" ht="15.75" customHeight="1"/>
    <row r="31967" ht="15.75" customHeight="1"/>
    <row r="31968" ht="15.75" customHeight="1"/>
    <row r="31969" ht="15.75" customHeight="1"/>
    <row r="31970" ht="15.75" customHeight="1"/>
    <row r="31971" ht="15.75" customHeight="1"/>
    <row r="31972" ht="15.75" customHeight="1"/>
    <row r="31973" ht="15.75" customHeight="1"/>
    <row r="31974" ht="15.75" customHeight="1"/>
    <row r="31975" ht="15.75" customHeight="1"/>
    <row r="31976" ht="15.75" customHeight="1"/>
    <row r="31977" ht="15.75" customHeight="1"/>
    <row r="31978" ht="15.75" customHeight="1"/>
    <row r="31979" ht="15.75" customHeight="1"/>
    <row r="31980" ht="15.75" customHeight="1"/>
    <row r="31981" ht="15.75" customHeight="1"/>
    <row r="31982" ht="15.75" customHeight="1"/>
    <row r="31983" ht="15.75" customHeight="1"/>
    <row r="31984" ht="15.75" customHeight="1"/>
    <row r="31985" ht="15.75" customHeight="1"/>
    <row r="31986" ht="15.75" customHeight="1"/>
    <row r="31987" ht="15.75" customHeight="1"/>
    <row r="31988" ht="15.75" customHeight="1"/>
    <row r="31989" ht="15.75" customHeight="1"/>
    <row r="31990" ht="15.75" customHeight="1"/>
    <row r="31991" ht="15.75" customHeight="1"/>
    <row r="31992" ht="15.75" customHeight="1"/>
    <row r="31993" ht="15.75" customHeight="1"/>
    <row r="31994" ht="15.75" customHeight="1"/>
    <row r="31995" ht="15.75" customHeight="1"/>
    <row r="31996" ht="15.75" customHeight="1"/>
    <row r="31997" ht="15.75" customHeight="1"/>
    <row r="31998" ht="15.75" customHeight="1"/>
    <row r="31999" ht="15.75" customHeight="1"/>
    <row r="32000" ht="15.75" customHeight="1"/>
    <row r="32001" ht="15.75" customHeight="1"/>
    <row r="32002" ht="15.75" customHeight="1"/>
    <row r="32003" ht="15.75" customHeight="1"/>
    <row r="32004" ht="15.75" customHeight="1"/>
    <row r="32005" ht="15.75" customHeight="1"/>
    <row r="32006" ht="15.75" customHeight="1"/>
    <row r="32007" ht="15.75" customHeight="1"/>
    <row r="32008" ht="15.75" customHeight="1"/>
    <row r="32009" ht="15.75" customHeight="1"/>
    <row r="32010" ht="15.75" customHeight="1"/>
    <row r="32011" ht="15.75" customHeight="1"/>
    <row r="32012" ht="15.75" customHeight="1"/>
    <row r="32013" ht="15.75" customHeight="1"/>
    <row r="32014" ht="15.75" customHeight="1"/>
    <row r="32015" ht="15.75" customHeight="1"/>
    <row r="32016" ht="15.75" customHeight="1"/>
    <row r="32017" ht="15.75" customHeight="1"/>
    <row r="32018" ht="15.75" customHeight="1"/>
    <row r="32019" ht="15.75" customHeight="1"/>
    <row r="32020" ht="15.75" customHeight="1"/>
    <row r="32021" ht="15.75" customHeight="1"/>
    <row r="32022" ht="15.75" customHeight="1"/>
    <row r="32023" ht="15.75" customHeight="1"/>
    <row r="32024" ht="15.75" customHeight="1"/>
    <row r="32025" ht="15.75" customHeight="1"/>
    <row r="32026" ht="15.75" customHeight="1"/>
    <row r="32027" ht="15.75" customHeight="1"/>
    <row r="32028" ht="15.75" customHeight="1"/>
    <row r="32029" ht="15.75" customHeight="1"/>
    <row r="32030" ht="15.75" customHeight="1"/>
    <row r="32031" ht="15.75" customHeight="1"/>
    <row r="32032" ht="15.75" customHeight="1"/>
    <row r="32033" ht="15.75" customHeight="1"/>
    <row r="32034" ht="15.75" customHeight="1"/>
    <row r="32035" ht="15.75" customHeight="1"/>
    <row r="32036" ht="15.75" customHeight="1"/>
    <row r="32037" ht="15.75" customHeight="1"/>
    <row r="32038" ht="15.75" customHeight="1"/>
    <row r="32039" ht="15.75" customHeight="1"/>
    <row r="32040" ht="15.75" customHeight="1"/>
    <row r="32041" ht="15.75" customHeight="1"/>
    <row r="32042" ht="15.75" customHeight="1"/>
    <row r="32043" ht="15.75" customHeight="1"/>
    <row r="32044" ht="15.75" customHeight="1"/>
    <row r="32045" ht="15.75" customHeight="1"/>
    <row r="32046" ht="15.75" customHeight="1"/>
    <row r="32047" ht="15.75" customHeight="1"/>
    <row r="32048" ht="15.75" customHeight="1"/>
    <row r="32049" ht="15.75" customHeight="1"/>
    <row r="32050" ht="15.75" customHeight="1"/>
    <row r="32051" ht="15.75" customHeight="1"/>
    <row r="32052" ht="15.75" customHeight="1"/>
    <row r="32053" ht="15.75" customHeight="1"/>
    <row r="32054" ht="15.75" customHeight="1"/>
    <row r="32055" ht="15.75" customHeight="1"/>
    <row r="32056" ht="15.75" customHeight="1"/>
    <row r="32057" ht="15.75" customHeight="1"/>
    <row r="32058" ht="15.75" customHeight="1"/>
    <row r="32059" ht="15.75" customHeight="1"/>
    <row r="32060" ht="15.75" customHeight="1"/>
    <row r="32061" ht="15.75" customHeight="1"/>
    <row r="32062" ht="15.75" customHeight="1"/>
    <row r="32063" ht="15.75" customHeight="1"/>
    <row r="32064" ht="15.75" customHeight="1"/>
    <row r="32065" ht="15.75" customHeight="1"/>
    <row r="32066" ht="15.75" customHeight="1"/>
    <row r="32067" ht="15.75" customHeight="1"/>
    <row r="32068" ht="15.75" customHeight="1"/>
    <row r="32069" ht="15.75" customHeight="1"/>
    <row r="32070" ht="15.75" customHeight="1"/>
    <row r="32071" ht="15.75" customHeight="1"/>
    <row r="32072" ht="15.75" customHeight="1"/>
    <row r="32073" ht="15.75" customHeight="1"/>
    <row r="32074" ht="15.75" customHeight="1"/>
    <row r="32075" ht="15.75" customHeight="1"/>
    <row r="32076" ht="15.75" customHeight="1"/>
    <row r="32077" ht="15.75" customHeight="1"/>
    <row r="32078" ht="15.75" customHeight="1"/>
    <row r="32079" ht="15.75" customHeight="1"/>
    <row r="32080" ht="15.75" customHeight="1"/>
    <row r="32081" ht="15.75" customHeight="1"/>
    <row r="32082" ht="15.75" customHeight="1"/>
    <row r="32083" ht="15.75" customHeight="1"/>
    <row r="32084" ht="15.75" customHeight="1"/>
    <row r="32085" ht="15.75" customHeight="1"/>
    <row r="32086" ht="15.75" customHeight="1"/>
    <row r="32087" ht="15.75" customHeight="1"/>
    <row r="32088" ht="15.75" customHeight="1"/>
    <row r="32089" ht="15.75" customHeight="1"/>
    <row r="32090" ht="15.75" customHeight="1"/>
    <row r="32091" ht="15.75" customHeight="1"/>
    <row r="32092" ht="15.75" customHeight="1"/>
    <row r="32093" ht="15.75" customHeight="1"/>
    <row r="32094" ht="15.75" customHeight="1"/>
    <row r="32095" ht="15.75" customHeight="1"/>
    <row r="32096" ht="15.75" customHeight="1"/>
    <row r="32097" ht="15.75" customHeight="1"/>
    <row r="32098" ht="15.75" customHeight="1"/>
    <row r="32099" ht="15.75" customHeight="1"/>
    <row r="32100" ht="15.75" customHeight="1"/>
    <row r="32101" ht="15.75" customHeight="1"/>
    <row r="32102" ht="15.75" customHeight="1"/>
    <row r="32103" ht="15.75" customHeight="1"/>
    <row r="32104" ht="15.75" customHeight="1"/>
    <row r="32105" ht="15.75" customHeight="1"/>
    <row r="32106" ht="15.75" customHeight="1"/>
    <row r="32107" ht="15.75" customHeight="1"/>
    <row r="32108" ht="15.75" customHeight="1"/>
    <row r="32109" ht="15.75" customHeight="1"/>
    <row r="32110" ht="15.75" customHeight="1"/>
    <row r="32111" ht="15.75" customHeight="1"/>
    <row r="32112" ht="15.75" customHeight="1"/>
    <row r="32113" ht="15.75" customHeight="1"/>
    <row r="32114" ht="15.75" customHeight="1"/>
    <row r="32115" ht="15.75" customHeight="1"/>
    <row r="32116" ht="15.75" customHeight="1"/>
    <row r="32117" ht="15.75" customHeight="1"/>
    <row r="32118" ht="15.75" customHeight="1"/>
    <row r="32119" ht="15.75" customHeight="1"/>
    <row r="32120" ht="15.75" customHeight="1"/>
    <row r="32121" ht="15.75" customHeight="1"/>
    <row r="32122" ht="15.75" customHeight="1"/>
    <row r="32123" ht="15.75" customHeight="1"/>
    <row r="32124" ht="15.75" customHeight="1"/>
    <row r="32125" ht="15.75" customHeight="1"/>
    <row r="32126" ht="15.75" customHeight="1"/>
    <row r="32127" ht="15.75" customHeight="1"/>
    <row r="32128" ht="15.75" customHeight="1"/>
    <row r="32129" ht="15.75" customHeight="1"/>
    <row r="32130" ht="15.75" customHeight="1"/>
    <row r="32131" ht="15.75" customHeight="1"/>
    <row r="32132" ht="15.75" customHeight="1"/>
    <row r="32133" ht="15.75" customHeight="1"/>
    <row r="32134" ht="15.75" customHeight="1"/>
    <row r="32135" ht="15.75" customHeight="1"/>
    <row r="32136" ht="15.75" customHeight="1"/>
    <row r="32137" ht="15.75" customHeight="1"/>
    <row r="32138" ht="15.75" customHeight="1"/>
    <row r="32139" ht="15.75" customHeight="1"/>
    <row r="32140" ht="15.75" customHeight="1"/>
    <row r="32141" ht="15.75" customHeight="1"/>
    <row r="32142" ht="15.75" customHeight="1"/>
    <row r="32143" ht="15.75" customHeight="1"/>
    <row r="32144" ht="15.75" customHeight="1"/>
    <row r="32145" ht="15.75" customHeight="1"/>
    <row r="32146" ht="15.75" customHeight="1"/>
    <row r="32147" ht="15.75" customHeight="1"/>
    <row r="32148" ht="15.75" customHeight="1"/>
    <row r="32149" ht="15.75" customHeight="1"/>
    <row r="32150" ht="15.75" customHeight="1"/>
    <row r="32151" ht="15.75" customHeight="1"/>
    <row r="32152" ht="15.75" customHeight="1"/>
    <row r="32153" ht="15.75" customHeight="1"/>
    <row r="32154" ht="15.75" customHeight="1"/>
    <row r="32155" ht="15.75" customHeight="1"/>
    <row r="32156" ht="15.75" customHeight="1"/>
    <row r="32157" ht="15.75" customHeight="1"/>
    <row r="32158" ht="15.75" customHeight="1"/>
    <row r="32159" ht="15.75" customHeight="1"/>
    <row r="32160" ht="15.75" customHeight="1"/>
    <row r="32161" ht="15.75" customHeight="1"/>
    <row r="32162" ht="15.75" customHeight="1"/>
    <row r="32163" ht="15.75" customHeight="1"/>
    <row r="32164" ht="15.75" customHeight="1"/>
    <row r="32165" ht="15.75" customHeight="1"/>
    <row r="32166" ht="15.75" customHeight="1"/>
    <row r="32167" ht="15.75" customHeight="1"/>
    <row r="32168" ht="15.75" customHeight="1"/>
    <row r="32169" ht="15.75" customHeight="1"/>
    <row r="32170" ht="15.75" customHeight="1"/>
    <row r="32171" ht="15.75" customHeight="1"/>
    <row r="32172" ht="15.75" customHeight="1"/>
    <row r="32173" ht="15.75" customHeight="1"/>
    <row r="32174" ht="15.75" customHeight="1"/>
    <row r="32175" ht="15.75" customHeight="1"/>
    <row r="32176" ht="15.75" customHeight="1"/>
    <row r="32177" ht="15.75" customHeight="1"/>
    <row r="32178" ht="15.75" customHeight="1"/>
    <row r="32179" ht="15.75" customHeight="1"/>
    <row r="32180" ht="15.75" customHeight="1"/>
    <row r="32181" ht="15.75" customHeight="1"/>
    <row r="32182" ht="15.75" customHeight="1"/>
    <row r="32183" ht="15.75" customHeight="1"/>
    <row r="32184" ht="15.75" customHeight="1"/>
    <row r="32185" ht="15.75" customHeight="1"/>
    <row r="32186" ht="15.75" customHeight="1"/>
    <row r="32187" ht="15.75" customHeight="1"/>
    <row r="32188" ht="15.75" customHeight="1"/>
    <row r="32189" ht="15.75" customHeight="1"/>
    <row r="32190" ht="15.75" customHeight="1"/>
    <row r="32191" ht="15.75" customHeight="1"/>
    <row r="32192" ht="15.75" customHeight="1"/>
    <row r="32193" ht="15.75" customHeight="1"/>
    <row r="32194" ht="15.75" customHeight="1"/>
    <row r="32195" ht="15.75" customHeight="1"/>
    <row r="32196" ht="15.75" customHeight="1"/>
    <row r="32197" ht="15.75" customHeight="1"/>
    <row r="32198" ht="15.75" customHeight="1"/>
    <row r="32199" ht="15.75" customHeight="1"/>
    <row r="32200" ht="15.75" customHeight="1"/>
    <row r="32201" ht="15.75" customHeight="1"/>
    <row r="32202" ht="15.75" customHeight="1"/>
    <row r="32203" ht="15.75" customHeight="1"/>
    <row r="32204" ht="15.75" customHeight="1"/>
    <row r="32205" ht="15.75" customHeight="1"/>
    <row r="32206" ht="15.75" customHeight="1"/>
    <row r="32207" ht="15.75" customHeight="1"/>
    <row r="32208" ht="15.75" customHeight="1"/>
    <row r="32209" ht="15.75" customHeight="1"/>
    <row r="32210" ht="15.75" customHeight="1"/>
    <row r="32211" ht="15.75" customHeight="1"/>
    <row r="32212" ht="15.75" customHeight="1"/>
    <row r="32213" ht="15.75" customHeight="1"/>
    <row r="32214" ht="15.75" customHeight="1"/>
    <row r="32215" ht="15.75" customHeight="1"/>
    <row r="32216" ht="15.75" customHeight="1"/>
    <row r="32217" ht="15.75" customHeight="1"/>
    <row r="32218" ht="15.75" customHeight="1"/>
    <row r="32219" ht="15.75" customHeight="1"/>
    <row r="32220" ht="15.75" customHeight="1"/>
    <row r="32221" ht="15.75" customHeight="1"/>
    <row r="32222" ht="15.75" customHeight="1"/>
    <row r="32223" ht="15.75" customHeight="1"/>
    <row r="32224" ht="15.75" customHeight="1"/>
    <row r="32225" ht="15.75" customHeight="1"/>
    <row r="32226" ht="15.75" customHeight="1"/>
    <row r="32227" ht="15.75" customHeight="1"/>
    <row r="32228" ht="15.75" customHeight="1"/>
    <row r="32229" ht="15.75" customHeight="1"/>
    <row r="32230" ht="15.75" customHeight="1"/>
    <row r="32231" ht="15.75" customHeight="1"/>
    <row r="32232" ht="15.75" customHeight="1"/>
    <row r="32233" ht="15.75" customHeight="1"/>
    <row r="32234" ht="15.75" customHeight="1"/>
    <row r="32235" ht="15.75" customHeight="1"/>
    <row r="32236" ht="15.75" customHeight="1"/>
    <row r="32237" ht="15.75" customHeight="1"/>
    <row r="32238" ht="15.75" customHeight="1"/>
    <row r="32239" ht="15.75" customHeight="1"/>
    <row r="32240" ht="15.75" customHeight="1"/>
    <row r="32241" ht="15.75" customHeight="1"/>
    <row r="32242" ht="15.75" customHeight="1"/>
    <row r="32243" ht="15.75" customHeight="1"/>
    <row r="32244" ht="15.75" customHeight="1"/>
    <row r="32245" ht="15.75" customHeight="1"/>
    <row r="32246" ht="15.75" customHeight="1"/>
    <row r="32247" ht="15.75" customHeight="1"/>
    <row r="32248" ht="15.75" customHeight="1"/>
    <row r="32249" ht="15.75" customHeight="1"/>
    <row r="32250" ht="15.75" customHeight="1"/>
    <row r="32251" ht="15.75" customHeight="1"/>
    <row r="32252" ht="15.75" customHeight="1"/>
    <row r="32253" ht="15.75" customHeight="1"/>
    <row r="32254" ht="15.75" customHeight="1"/>
    <row r="32255" ht="15.75" customHeight="1"/>
    <row r="32256" ht="15.75" customHeight="1"/>
    <row r="32257" ht="15.75" customHeight="1"/>
    <row r="32258" ht="15.75" customHeight="1"/>
    <row r="32259" ht="15.75" customHeight="1"/>
    <row r="32260" ht="15.75" customHeight="1"/>
    <row r="32261" ht="15.75" customHeight="1"/>
    <row r="32262" ht="15.75" customHeight="1"/>
    <row r="32263" ht="15.75" customHeight="1"/>
    <row r="32264" ht="15.75" customHeight="1"/>
    <row r="32265" ht="15.75" customHeight="1"/>
    <row r="32266" ht="15.75" customHeight="1"/>
    <row r="32267" ht="15.75" customHeight="1"/>
    <row r="32268" ht="15.75" customHeight="1"/>
    <row r="32269" ht="15.75" customHeight="1"/>
    <row r="32270" ht="15.75" customHeight="1"/>
    <row r="32271" ht="15.75" customHeight="1"/>
    <row r="32272" ht="15.75" customHeight="1"/>
    <row r="32273" ht="15.75" customHeight="1"/>
    <row r="32274" ht="15.75" customHeight="1"/>
    <row r="32275" ht="15.75" customHeight="1"/>
    <row r="32276" ht="15.75" customHeight="1"/>
    <row r="32277" ht="15.75" customHeight="1"/>
    <row r="32278" ht="15.75" customHeight="1"/>
    <row r="32279" ht="15.75" customHeight="1"/>
    <row r="32280" ht="15.75" customHeight="1"/>
    <row r="32281" ht="15.75" customHeight="1"/>
    <row r="32282" ht="15.75" customHeight="1"/>
    <row r="32283" ht="15.75" customHeight="1"/>
    <row r="32284" ht="15.75" customHeight="1"/>
    <row r="32285" ht="15.75" customHeight="1"/>
    <row r="32286" ht="15.75" customHeight="1"/>
    <row r="32287" ht="15.75" customHeight="1"/>
    <row r="32288" ht="15.75" customHeight="1"/>
    <row r="32289" ht="15.75" customHeight="1"/>
    <row r="32290" ht="15.75" customHeight="1"/>
    <row r="32291" ht="15.75" customHeight="1"/>
    <row r="32292" ht="15.75" customHeight="1"/>
    <row r="32293" ht="15.75" customHeight="1"/>
    <row r="32294" ht="15.75" customHeight="1"/>
    <row r="32295" ht="15.75" customHeight="1"/>
    <row r="32296" ht="15.75" customHeight="1"/>
    <row r="32297" ht="15.75" customHeight="1"/>
    <row r="32298" ht="15.75" customHeight="1"/>
    <row r="32299" ht="15.75" customHeight="1"/>
    <row r="32300" ht="15.75" customHeight="1"/>
    <row r="32301" ht="15.75" customHeight="1"/>
    <row r="32302" ht="15.75" customHeight="1"/>
    <row r="32303" ht="15.75" customHeight="1"/>
    <row r="32304" ht="15.75" customHeight="1"/>
    <row r="32305" ht="15.75" customHeight="1"/>
    <row r="32306" ht="15.75" customHeight="1"/>
    <row r="32307" ht="15.75" customHeight="1"/>
    <row r="32308" ht="15.75" customHeight="1"/>
    <row r="32309" ht="15.75" customHeight="1"/>
    <row r="32310" ht="15.75" customHeight="1"/>
    <row r="32311" ht="15.75" customHeight="1"/>
    <row r="32312" ht="15.75" customHeight="1"/>
    <row r="32313" ht="15.75" customHeight="1"/>
    <row r="32314" ht="15.75" customHeight="1"/>
    <row r="32315" ht="15.75" customHeight="1"/>
    <row r="32316" ht="15.75" customHeight="1"/>
    <row r="32317" ht="15.75" customHeight="1"/>
    <row r="32318" ht="15.75" customHeight="1"/>
    <row r="32319" ht="15.75" customHeight="1"/>
    <row r="32320" ht="15.75" customHeight="1"/>
    <row r="32321" ht="15.75" customHeight="1"/>
    <row r="32322" ht="15.75" customHeight="1"/>
    <row r="32323" ht="15.75" customHeight="1"/>
    <row r="32324" ht="15.75" customHeight="1"/>
    <row r="32325" ht="15.75" customHeight="1"/>
    <row r="32326" ht="15.75" customHeight="1"/>
    <row r="32327" ht="15.75" customHeight="1"/>
    <row r="32328" ht="15.75" customHeight="1"/>
    <row r="32329" ht="15.75" customHeight="1"/>
    <row r="32330" ht="15.75" customHeight="1"/>
    <row r="32331" ht="15.75" customHeight="1"/>
    <row r="32332" ht="15.75" customHeight="1"/>
    <row r="32333" ht="15.75" customHeight="1"/>
    <row r="32334" ht="15.75" customHeight="1"/>
    <row r="32335" ht="15.75" customHeight="1"/>
    <row r="32336" ht="15.75" customHeight="1"/>
    <row r="32337" ht="15.75" customHeight="1"/>
    <row r="32338" ht="15.75" customHeight="1"/>
    <row r="32339" ht="15.75" customHeight="1"/>
    <row r="32340" ht="15.75" customHeight="1"/>
    <row r="32341" ht="15.75" customHeight="1"/>
    <row r="32342" ht="15.75" customHeight="1"/>
    <row r="32343" ht="15.75" customHeight="1"/>
    <row r="32344" ht="15.75" customHeight="1"/>
    <row r="32345" ht="15.75" customHeight="1"/>
    <row r="32346" ht="15.75" customHeight="1"/>
    <row r="32347" ht="15.75" customHeight="1"/>
    <row r="32348" ht="15.75" customHeight="1"/>
    <row r="32349" ht="15.75" customHeight="1"/>
    <row r="32350" ht="15.75" customHeight="1"/>
    <row r="32351" ht="15.75" customHeight="1"/>
    <row r="32352" ht="15.75" customHeight="1"/>
    <row r="32353" ht="15.75" customHeight="1"/>
    <row r="32354" ht="15.75" customHeight="1"/>
    <row r="32355" ht="15.75" customHeight="1"/>
    <row r="32356" ht="15.75" customHeight="1"/>
    <row r="32357" ht="15.75" customHeight="1"/>
    <row r="32358" ht="15.75" customHeight="1"/>
    <row r="32359" ht="15.75" customHeight="1"/>
    <row r="32360" ht="15.75" customHeight="1"/>
    <row r="32361" ht="15.75" customHeight="1"/>
    <row r="32362" ht="15.75" customHeight="1"/>
    <row r="32363" ht="15.75" customHeight="1"/>
    <row r="32364" ht="15.75" customHeight="1"/>
    <row r="32365" ht="15.75" customHeight="1"/>
    <row r="32366" ht="15.75" customHeight="1"/>
    <row r="32367" ht="15.75" customHeight="1"/>
    <row r="32368" ht="15.75" customHeight="1"/>
    <row r="32369" ht="15.75" customHeight="1"/>
    <row r="32370" ht="15.75" customHeight="1"/>
    <row r="32371" ht="15.75" customHeight="1"/>
    <row r="32372" ht="15.75" customHeight="1"/>
    <row r="32373" ht="15.75" customHeight="1"/>
    <row r="32374" ht="15.75" customHeight="1"/>
    <row r="32375" ht="15.75" customHeight="1"/>
    <row r="32376" ht="15.75" customHeight="1"/>
    <row r="32377" ht="15.75" customHeight="1"/>
    <row r="32378" ht="15.75" customHeight="1"/>
    <row r="32379" ht="15.75" customHeight="1"/>
    <row r="32380" ht="15.75" customHeight="1"/>
    <row r="32381" ht="15.75" customHeight="1"/>
    <row r="32382" ht="15.75" customHeight="1"/>
    <row r="32383" ht="15.75" customHeight="1"/>
    <row r="32384" ht="15.75" customHeight="1"/>
    <row r="32385" ht="15.75" customHeight="1"/>
    <row r="32386" ht="15.75" customHeight="1"/>
    <row r="32387" ht="15.75" customHeight="1"/>
    <row r="32388" ht="15.75" customHeight="1"/>
    <row r="32389" ht="15.75" customHeight="1"/>
    <row r="32390" ht="15.75" customHeight="1"/>
    <row r="32391" ht="15.75" customHeight="1"/>
    <row r="32392" ht="15.75" customHeight="1"/>
    <row r="32393" ht="15.75" customHeight="1"/>
    <row r="32394" ht="15.75" customHeight="1"/>
    <row r="32395" ht="15.75" customHeight="1"/>
    <row r="32396" ht="15.75" customHeight="1"/>
    <row r="32397" ht="15.75" customHeight="1"/>
    <row r="32398" ht="15.75" customHeight="1"/>
    <row r="32399" ht="15.75" customHeight="1"/>
    <row r="32400" ht="15.75" customHeight="1"/>
    <row r="32401" ht="15.75" customHeight="1"/>
    <row r="32402" ht="15.75" customHeight="1"/>
    <row r="32403" ht="15.75" customHeight="1"/>
    <row r="32404" ht="15.75" customHeight="1"/>
    <row r="32405" ht="15.75" customHeight="1"/>
    <row r="32406" ht="15.75" customHeight="1"/>
    <row r="32407" ht="15.75" customHeight="1"/>
    <row r="32408" ht="15.75" customHeight="1"/>
    <row r="32409" ht="15.75" customHeight="1"/>
    <row r="32410" ht="15.75" customHeight="1"/>
    <row r="32411" ht="15.75" customHeight="1"/>
    <row r="32412" ht="15.75" customHeight="1"/>
    <row r="32413" ht="15.75" customHeight="1"/>
    <row r="32414" ht="15.75" customHeight="1"/>
    <row r="32415" ht="15.75" customHeight="1"/>
    <row r="32416" ht="15.75" customHeight="1"/>
    <row r="32417" ht="15.75" customHeight="1"/>
    <row r="32418" ht="15.75" customHeight="1"/>
    <row r="32419" ht="15.75" customHeight="1"/>
    <row r="32420" ht="15.75" customHeight="1"/>
    <row r="32421" ht="15.75" customHeight="1"/>
    <row r="32422" ht="15.75" customHeight="1"/>
    <row r="32423" ht="15.75" customHeight="1"/>
    <row r="32424" ht="15.75" customHeight="1"/>
    <row r="32425" ht="15.75" customHeight="1"/>
    <row r="32426" ht="15.75" customHeight="1"/>
    <row r="32427" ht="15.75" customHeight="1"/>
    <row r="32428" ht="15.75" customHeight="1"/>
    <row r="32429" ht="15.75" customHeight="1"/>
    <row r="32430" ht="15.75" customHeight="1"/>
    <row r="32431" ht="15.75" customHeight="1"/>
    <row r="32432" ht="15.75" customHeight="1"/>
    <row r="32433" ht="15.75" customHeight="1"/>
    <row r="32434" ht="15.75" customHeight="1"/>
    <row r="32435" ht="15.75" customHeight="1"/>
    <row r="32436" ht="15.75" customHeight="1"/>
    <row r="32437" ht="15.75" customHeight="1"/>
    <row r="32438" ht="15.75" customHeight="1"/>
    <row r="32439" ht="15.75" customHeight="1"/>
    <row r="32440" ht="15.75" customHeight="1"/>
    <row r="32441" ht="15.75" customHeight="1"/>
    <row r="32442" ht="15.75" customHeight="1"/>
    <row r="32443" ht="15.75" customHeight="1"/>
    <row r="32444" ht="15.75" customHeight="1"/>
    <row r="32445" ht="15.75" customHeight="1"/>
    <row r="32446" ht="15.75" customHeight="1"/>
    <row r="32447" ht="15.75" customHeight="1"/>
    <row r="32448" ht="15.75" customHeight="1"/>
    <row r="32449" ht="15.75" customHeight="1"/>
    <row r="32450" ht="15.75" customHeight="1"/>
    <row r="32451" ht="15.75" customHeight="1"/>
    <row r="32452" ht="15.75" customHeight="1"/>
    <row r="32453" ht="15.75" customHeight="1"/>
    <row r="32454" ht="15.75" customHeight="1"/>
    <row r="32455" ht="15.75" customHeight="1"/>
    <row r="32456" ht="15.75" customHeight="1"/>
    <row r="32457" ht="15.75" customHeight="1"/>
    <row r="32458" ht="15.75" customHeight="1"/>
    <row r="32459" ht="15.75" customHeight="1"/>
    <row r="32460" ht="15.75" customHeight="1"/>
    <row r="32461" ht="15.75" customHeight="1"/>
    <row r="32462" ht="15.75" customHeight="1"/>
    <row r="32463" ht="15.75" customHeight="1"/>
    <row r="32464" ht="15.75" customHeight="1"/>
    <row r="32465" ht="15.75" customHeight="1"/>
    <row r="32466" ht="15.75" customHeight="1"/>
    <row r="32467" ht="15.75" customHeight="1"/>
    <row r="32468" ht="15.75" customHeight="1"/>
    <row r="32469" ht="15.75" customHeight="1"/>
    <row r="32470" ht="15.75" customHeight="1"/>
    <row r="32471" ht="15.75" customHeight="1"/>
    <row r="32472" ht="15.75" customHeight="1"/>
    <row r="32473" ht="15.75" customHeight="1"/>
    <row r="32474" ht="15.75" customHeight="1"/>
    <row r="32475" ht="15.75" customHeight="1"/>
    <row r="32476" ht="15.75" customHeight="1"/>
    <row r="32477" ht="15.75" customHeight="1"/>
    <row r="32478" ht="15.75" customHeight="1"/>
    <row r="32479" ht="15.75" customHeight="1"/>
    <row r="32480" ht="15.75" customHeight="1"/>
    <row r="32481" ht="15.75" customHeight="1"/>
    <row r="32482" ht="15.75" customHeight="1"/>
    <row r="32483" ht="15.75" customHeight="1"/>
    <row r="32484" ht="15.75" customHeight="1"/>
    <row r="32485" ht="15.75" customHeight="1"/>
    <row r="32486" ht="15.75" customHeight="1"/>
    <row r="32487" ht="15.75" customHeight="1"/>
    <row r="32488" ht="15.75" customHeight="1"/>
    <row r="32489" ht="15.75" customHeight="1"/>
    <row r="32490" ht="15.75" customHeight="1"/>
    <row r="32491" ht="15.75" customHeight="1"/>
    <row r="32492" ht="15.75" customHeight="1"/>
    <row r="32493" ht="15.75" customHeight="1"/>
    <row r="32494" ht="15.75" customHeight="1"/>
    <row r="32495" ht="15.75" customHeight="1"/>
    <row r="32496" ht="15.75" customHeight="1"/>
    <row r="32497" ht="15.75" customHeight="1"/>
    <row r="32498" ht="15.75" customHeight="1"/>
    <row r="32499" ht="15.75" customHeight="1"/>
    <row r="32500" ht="15.75" customHeight="1"/>
    <row r="32501" ht="15.75" customHeight="1"/>
    <row r="32502" ht="15.75" customHeight="1"/>
    <row r="32503" ht="15.75" customHeight="1"/>
    <row r="32504" ht="15.75" customHeight="1"/>
    <row r="32505" ht="15.75" customHeight="1"/>
    <row r="32506" ht="15.75" customHeight="1"/>
    <row r="32507" ht="15.75" customHeight="1"/>
    <row r="32508" ht="15.75" customHeight="1"/>
    <row r="32509" ht="15.75" customHeight="1"/>
    <row r="32510" ht="15.75" customHeight="1"/>
    <row r="32511" ht="15.75" customHeight="1"/>
    <row r="32512" ht="15.75" customHeight="1"/>
    <row r="32513" ht="15.75" customHeight="1"/>
    <row r="32514" ht="15.75" customHeight="1"/>
    <row r="32515" ht="15.75" customHeight="1"/>
    <row r="32516" ht="15.75" customHeight="1"/>
    <row r="32517" ht="15.75" customHeight="1"/>
    <row r="32518" ht="15.75" customHeight="1"/>
    <row r="32519" ht="15.75" customHeight="1"/>
    <row r="32520" ht="15.75" customHeight="1"/>
    <row r="32521" ht="15.75" customHeight="1"/>
    <row r="32522" ht="15.75" customHeight="1"/>
    <row r="32523" ht="15.75" customHeight="1"/>
    <row r="32524" ht="15.75" customHeight="1"/>
    <row r="32525" ht="15.75" customHeight="1"/>
    <row r="32526" ht="15.75" customHeight="1"/>
    <row r="32527" ht="15.75" customHeight="1"/>
    <row r="32528" ht="15.75" customHeight="1"/>
    <row r="32529" ht="15.75" customHeight="1"/>
    <row r="32530" ht="15.75" customHeight="1"/>
    <row r="32531" ht="15.75" customHeight="1"/>
    <row r="32532" ht="15.75" customHeight="1"/>
    <row r="32533" ht="15.75" customHeight="1"/>
    <row r="32534" ht="15.75" customHeight="1"/>
    <row r="32535" ht="15.75" customHeight="1"/>
    <row r="32536" ht="15.75" customHeight="1"/>
    <row r="32537" ht="15.75" customHeight="1"/>
    <row r="32538" ht="15.75" customHeight="1"/>
    <row r="32539" ht="15.75" customHeight="1"/>
    <row r="32540" ht="15.75" customHeight="1"/>
    <row r="32541" ht="15.75" customHeight="1"/>
    <row r="32542" ht="15.75" customHeight="1"/>
    <row r="32543" ht="15.75" customHeight="1"/>
    <row r="32544" ht="15.75" customHeight="1"/>
    <row r="32545" ht="15.75" customHeight="1"/>
    <row r="32546" ht="15.75" customHeight="1"/>
    <row r="32547" ht="15.75" customHeight="1"/>
    <row r="32548" ht="15.75" customHeight="1"/>
    <row r="32549" ht="15.75" customHeight="1"/>
    <row r="32550" ht="15.75" customHeight="1"/>
    <row r="32551" ht="15.75" customHeight="1"/>
    <row r="32552" ht="15.75" customHeight="1"/>
    <row r="32553" ht="15.75" customHeight="1"/>
    <row r="32554" ht="15.75" customHeight="1"/>
    <row r="32555" ht="15.75" customHeight="1"/>
    <row r="32556" ht="15.75" customHeight="1"/>
    <row r="32557" ht="15.75" customHeight="1"/>
    <row r="32558" ht="15.75" customHeight="1"/>
    <row r="32559" ht="15.75" customHeight="1"/>
    <row r="32560" ht="15.75" customHeight="1"/>
    <row r="32561" ht="15.75" customHeight="1"/>
    <row r="32562" ht="15.75" customHeight="1"/>
    <row r="32563" ht="15.75" customHeight="1"/>
    <row r="32564" ht="15.75" customHeight="1"/>
    <row r="32565" ht="15.75" customHeight="1"/>
    <row r="32566" ht="15.75" customHeight="1"/>
    <row r="32567" ht="15.75" customHeight="1"/>
    <row r="32568" ht="15.75" customHeight="1"/>
    <row r="32569" ht="15.75" customHeight="1"/>
    <row r="32570" ht="15.75" customHeight="1"/>
    <row r="32571" ht="15.75" customHeight="1"/>
    <row r="32572" ht="15.75" customHeight="1"/>
    <row r="32573" ht="15.75" customHeight="1"/>
    <row r="32574" ht="15.75" customHeight="1"/>
    <row r="32575" ht="15.75" customHeight="1"/>
    <row r="32576" ht="15.75" customHeight="1"/>
    <row r="32577" ht="15.75" customHeight="1"/>
    <row r="32578" ht="15.75" customHeight="1"/>
    <row r="32579" ht="15.75" customHeight="1"/>
    <row r="32580" ht="15.75" customHeight="1"/>
    <row r="32581" ht="15.75" customHeight="1"/>
    <row r="32582" ht="15.75" customHeight="1"/>
    <row r="32583" ht="15.75" customHeight="1"/>
    <row r="32584" ht="15.75" customHeight="1"/>
    <row r="32585" ht="15.75" customHeight="1"/>
    <row r="32586" ht="15.75" customHeight="1"/>
    <row r="32587" ht="15.75" customHeight="1"/>
    <row r="32588" ht="15.75" customHeight="1"/>
    <row r="32589" ht="15.75" customHeight="1"/>
    <row r="32590" ht="15.75" customHeight="1"/>
    <row r="32591" ht="15.75" customHeight="1"/>
    <row r="32592" ht="15.75" customHeight="1"/>
    <row r="32593" ht="15.75" customHeight="1"/>
    <row r="32594" ht="15.75" customHeight="1"/>
    <row r="32595" ht="15.75" customHeight="1"/>
    <row r="32596" ht="15.75" customHeight="1"/>
    <row r="32597" ht="15.75" customHeight="1"/>
    <row r="32598" ht="15.75" customHeight="1"/>
    <row r="32599" ht="15.75" customHeight="1"/>
    <row r="32600" ht="15.75" customHeight="1"/>
    <row r="32601" ht="15.75" customHeight="1"/>
    <row r="32602" ht="15.75" customHeight="1"/>
    <row r="32603" ht="15.75" customHeight="1"/>
    <row r="32604" ht="15.75" customHeight="1"/>
    <row r="32605" ht="15.75" customHeight="1"/>
    <row r="32606" ht="15.75" customHeight="1"/>
    <row r="32607" ht="15.75" customHeight="1"/>
    <row r="32608" ht="15.75" customHeight="1"/>
    <row r="32609" ht="15.75" customHeight="1"/>
    <row r="32610" ht="15.75" customHeight="1"/>
    <row r="32611" ht="15.75" customHeight="1"/>
    <row r="32612" ht="15.75" customHeight="1"/>
    <row r="32613" ht="15.75" customHeight="1"/>
    <row r="32614" ht="15.75" customHeight="1"/>
    <row r="32615" ht="15.75" customHeight="1"/>
    <row r="32616" ht="15.75" customHeight="1"/>
    <row r="32617" ht="15.75" customHeight="1"/>
    <row r="32618" ht="15.75" customHeight="1"/>
    <row r="32619" ht="15.75" customHeight="1"/>
    <row r="32620" ht="15.75" customHeight="1"/>
    <row r="32621" ht="15.75" customHeight="1"/>
    <row r="32622" ht="15.75" customHeight="1"/>
    <row r="32623" ht="15.75" customHeight="1"/>
    <row r="32624" ht="15.75" customHeight="1"/>
    <row r="32625" ht="15.75" customHeight="1"/>
    <row r="32626" ht="15.75" customHeight="1"/>
    <row r="32627" ht="15.75" customHeight="1"/>
    <row r="32628" ht="15.75" customHeight="1"/>
    <row r="32629" ht="15.75" customHeight="1"/>
    <row r="32630" ht="15.75" customHeight="1"/>
    <row r="32631" ht="15.75" customHeight="1"/>
    <row r="32632" ht="15.75" customHeight="1"/>
    <row r="32633" ht="15.75" customHeight="1"/>
    <row r="32634" ht="15.75" customHeight="1"/>
    <row r="32635" ht="15.75" customHeight="1"/>
    <row r="32636" ht="15.75" customHeight="1"/>
    <row r="32637" ht="15.75" customHeight="1"/>
    <row r="32638" ht="15.75" customHeight="1"/>
    <row r="32639" ht="15.75" customHeight="1"/>
    <row r="32640" ht="15.75" customHeight="1"/>
    <row r="32641" ht="15.75" customHeight="1"/>
    <row r="32642" ht="15.75" customHeight="1"/>
    <row r="32643" ht="15.75" customHeight="1"/>
    <row r="32644" ht="15.75" customHeight="1"/>
    <row r="32645" ht="15.75" customHeight="1"/>
    <row r="32646" ht="15.75" customHeight="1"/>
    <row r="32647" ht="15.75" customHeight="1"/>
    <row r="32648" ht="15.75" customHeight="1"/>
    <row r="32649" ht="15.75" customHeight="1"/>
    <row r="32650" ht="15.75" customHeight="1"/>
    <row r="32651" ht="15.75" customHeight="1"/>
    <row r="32652" ht="15.75" customHeight="1"/>
    <row r="32653" ht="15.75" customHeight="1"/>
    <row r="32654" ht="15.75" customHeight="1"/>
    <row r="32655" ht="15.75" customHeight="1"/>
    <row r="32656" ht="15.75" customHeight="1"/>
    <row r="32657" ht="15.75" customHeight="1"/>
    <row r="32658" ht="15.75" customHeight="1"/>
    <row r="32659" ht="15.75" customHeight="1"/>
    <row r="32660" ht="15.75" customHeight="1"/>
    <row r="32661" ht="15.75" customHeight="1"/>
    <row r="32662" ht="15.75" customHeight="1"/>
    <row r="32663" ht="15.75" customHeight="1"/>
    <row r="32664" ht="15.75" customHeight="1"/>
    <row r="32665" ht="15.75" customHeight="1"/>
    <row r="32666" ht="15.75" customHeight="1"/>
    <row r="32667" ht="15.75" customHeight="1"/>
    <row r="32668" ht="15.75" customHeight="1"/>
    <row r="32669" ht="15.75" customHeight="1"/>
    <row r="32670" ht="15.75" customHeight="1"/>
    <row r="32671" ht="15.75" customHeight="1"/>
    <row r="32672" ht="15.75" customHeight="1"/>
    <row r="32673" ht="15.75" customHeight="1"/>
    <row r="32674" ht="15.75" customHeight="1"/>
    <row r="32675" ht="15.75" customHeight="1"/>
    <row r="32676" ht="15.75" customHeight="1"/>
    <row r="32677" ht="15.75" customHeight="1"/>
    <row r="32678" ht="15.75" customHeight="1"/>
    <row r="32679" ht="15.75" customHeight="1"/>
    <row r="32680" ht="15.75" customHeight="1"/>
    <row r="32681" ht="15.75" customHeight="1"/>
    <row r="32682" ht="15.75" customHeight="1"/>
    <row r="32683" ht="15.75" customHeight="1"/>
    <row r="32684" ht="15.75" customHeight="1"/>
    <row r="32685" ht="15.75" customHeight="1"/>
    <row r="32686" ht="15.75" customHeight="1"/>
    <row r="32687" ht="15.75" customHeight="1"/>
    <row r="32688" ht="15.75" customHeight="1"/>
    <row r="32689" ht="15.75" customHeight="1"/>
    <row r="32690" ht="15.75" customHeight="1"/>
    <row r="32691" ht="15.75" customHeight="1"/>
    <row r="32692" ht="15.75" customHeight="1"/>
    <row r="32693" ht="15.75" customHeight="1"/>
    <row r="32694" ht="15.75" customHeight="1"/>
    <row r="32695" ht="15.75" customHeight="1"/>
    <row r="32696" ht="15.75" customHeight="1"/>
    <row r="32697" ht="15.75" customHeight="1"/>
    <row r="32698" ht="15.75" customHeight="1"/>
    <row r="32699" ht="15.75" customHeight="1"/>
    <row r="32700" ht="15.75" customHeight="1"/>
    <row r="32701" ht="15.75" customHeight="1"/>
    <row r="32702" ht="15.75" customHeight="1"/>
    <row r="32703" ht="15.75" customHeight="1"/>
    <row r="32704" ht="15.75" customHeight="1"/>
    <row r="32705" ht="15.75" customHeight="1"/>
    <row r="32706" ht="15.75" customHeight="1"/>
    <row r="32707" ht="15.75" customHeight="1"/>
    <row r="32708" ht="15.75" customHeight="1"/>
    <row r="32709" ht="15.75" customHeight="1"/>
    <row r="32710" ht="15.75" customHeight="1"/>
    <row r="32711" ht="15.75" customHeight="1"/>
    <row r="32712" ht="15.75" customHeight="1"/>
    <row r="32713" ht="15.75" customHeight="1"/>
    <row r="32714" ht="15.75" customHeight="1"/>
    <row r="32715" ht="15.75" customHeight="1"/>
    <row r="32716" ht="15.75" customHeight="1"/>
    <row r="32717" ht="15.75" customHeight="1"/>
    <row r="32718" ht="15.75" customHeight="1"/>
    <row r="32719" ht="15.75" customHeight="1"/>
    <row r="32720" ht="15.75" customHeight="1"/>
    <row r="32721" ht="15.75" customHeight="1"/>
    <row r="32722" ht="15.75" customHeight="1"/>
    <row r="32723" ht="15.75" customHeight="1"/>
    <row r="32724" ht="15.75" customHeight="1"/>
    <row r="32725" ht="15.75" customHeight="1"/>
    <row r="32726" ht="15.75" customHeight="1"/>
    <row r="32727" ht="15.75" customHeight="1"/>
    <row r="32728" ht="15.75" customHeight="1"/>
    <row r="32729" ht="15.75" customHeight="1"/>
    <row r="32730" ht="15.75" customHeight="1"/>
    <row r="32731" ht="15.75" customHeight="1"/>
    <row r="32732" ht="15.75" customHeight="1"/>
    <row r="32733" ht="15.75" customHeight="1"/>
    <row r="32734" ht="15.75" customHeight="1"/>
    <row r="32735" ht="15.75" customHeight="1"/>
    <row r="32736" ht="15.75" customHeight="1"/>
    <row r="32737" ht="15.75" customHeight="1"/>
    <row r="32738" ht="15.75" customHeight="1"/>
    <row r="32739" ht="15.75" customHeight="1"/>
    <row r="32740" ht="15.75" customHeight="1"/>
    <row r="32741" ht="15.75" customHeight="1"/>
    <row r="32742" ht="15.75" customHeight="1"/>
    <row r="32743" ht="15.75" customHeight="1"/>
    <row r="32744" ht="15.75" customHeight="1"/>
    <row r="32745" ht="15.75" customHeight="1"/>
    <row r="32746" ht="15.75" customHeight="1"/>
    <row r="32747" ht="15.75" customHeight="1"/>
    <row r="32748" ht="15.75" customHeight="1"/>
    <row r="32749" ht="15.75" customHeight="1"/>
    <row r="32750" ht="15.75" customHeight="1"/>
    <row r="32751" ht="15.75" customHeight="1"/>
    <row r="32752" ht="15.75" customHeight="1"/>
    <row r="32753" ht="15.75" customHeight="1"/>
    <row r="32754" ht="15.75" customHeight="1"/>
    <row r="32755" ht="15.75" customHeight="1"/>
    <row r="32756" ht="15.75" customHeight="1"/>
    <row r="32757" ht="15.75" customHeight="1"/>
    <row r="32758" ht="15.75" customHeight="1"/>
    <row r="32759" ht="15.75" customHeight="1"/>
    <row r="32760" ht="15.75" customHeight="1"/>
    <row r="32761" ht="15.75" customHeight="1"/>
    <row r="32762" ht="15.75" customHeight="1"/>
    <row r="32763" ht="15.75" customHeight="1"/>
    <row r="32764" ht="15.75" customHeight="1"/>
    <row r="32765" ht="15.75" customHeight="1"/>
    <row r="32766" ht="15.75" customHeight="1"/>
    <row r="32767" ht="15.75" customHeight="1"/>
    <row r="32768" ht="15.75" customHeight="1"/>
    <row r="32769" ht="15.75" customHeight="1"/>
    <row r="32770" ht="15.75" customHeight="1"/>
    <row r="32771" ht="15.75" customHeight="1"/>
    <row r="32772" ht="15.75" customHeight="1"/>
    <row r="32773" ht="15.75" customHeight="1"/>
    <row r="32774" ht="15.75" customHeight="1"/>
    <row r="32775" ht="15.75" customHeight="1"/>
    <row r="32776" ht="15.75" customHeight="1"/>
    <row r="32777" ht="15.75" customHeight="1"/>
    <row r="32778" ht="15.75" customHeight="1"/>
    <row r="32779" ht="15.75" customHeight="1"/>
    <row r="32780" ht="15.75" customHeight="1"/>
    <row r="32781" ht="15.75" customHeight="1"/>
    <row r="32782" ht="15.75" customHeight="1"/>
    <row r="32783" ht="15.75" customHeight="1"/>
    <row r="32784" ht="15.75" customHeight="1"/>
    <row r="32785" ht="15.75" customHeight="1"/>
    <row r="32786" ht="15.75" customHeight="1"/>
    <row r="32787" ht="15.75" customHeight="1"/>
    <row r="32788" ht="15.75" customHeight="1"/>
    <row r="32789" ht="15.75" customHeight="1"/>
    <row r="32790" ht="15.75" customHeight="1"/>
    <row r="32791" ht="15.75" customHeight="1"/>
    <row r="32792" ht="15.75" customHeight="1"/>
    <row r="32793" ht="15.75" customHeight="1"/>
    <row r="32794" ht="15.75" customHeight="1"/>
    <row r="32795" ht="15.75" customHeight="1"/>
    <row r="32796" ht="15.75" customHeight="1"/>
    <row r="32797" ht="15.75" customHeight="1"/>
    <row r="32798" ht="15.75" customHeight="1"/>
    <row r="32799" ht="15.75" customHeight="1"/>
    <row r="32800" ht="15.75" customHeight="1"/>
    <row r="32801" ht="15.75" customHeight="1"/>
    <row r="32802" ht="15.75" customHeight="1"/>
    <row r="32803" ht="15.75" customHeight="1"/>
    <row r="32804" ht="15.75" customHeight="1"/>
    <row r="32805" ht="15.75" customHeight="1"/>
    <row r="32806" ht="15.75" customHeight="1"/>
    <row r="32807" ht="15.75" customHeight="1"/>
    <row r="32808" ht="15.75" customHeight="1"/>
    <row r="32809" ht="15.75" customHeight="1"/>
    <row r="32810" ht="15.75" customHeight="1"/>
    <row r="32811" ht="15.75" customHeight="1"/>
    <row r="32812" ht="15.75" customHeight="1"/>
    <row r="32813" ht="15.75" customHeight="1"/>
    <row r="32814" ht="15.75" customHeight="1"/>
    <row r="32815" ht="15.75" customHeight="1"/>
    <row r="32816" ht="15.75" customHeight="1"/>
    <row r="32817" ht="15.75" customHeight="1"/>
    <row r="32818" ht="15.75" customHeight="1"/>
    <row r="32819" ht="15.75" customHeight="1"/>
    <row r="32820" ht="15.75" customHeight="1"/>
    <row r="32821" ht="15.75" customHeight="1"/>
    <row r="32822" ht="15.75" customHeight="1"/>
    <row r="32823" ht="15.75" customHeight="1"/>
    <row r="32824" ht="15.75" customHeight="1"/>
    <row r="32825" ht="15.75" customHeight="1"/>
    <row r="32826" ht="15.75" customHeight="1"/>
    <row r="32827" ht="15.75" customHeight="1"/>
    <row r="32828" ht="15.75" customHeight="1"/>
    <row r="32829" ht="15.75" customHeight="1"/>
    <row r="32830" ht="15.75" customHeight="1"/>
    <row r="32831" ht="15.75" customHeight="1"/>
    <row r="32832" ht="15.75" customHeight="1"/>
    <row r="32833" ht="15.75" customHeight="1"/>
    <row r="32834" ht="15.75" customHeight="1"/>
    <row r="32835" ht="15.75" customHeight="1"/>
    <row r="32836" ht="15.75" customHeight="1"/>
    <row r="32837" ht="15.75" customHeight="1"/>
    <row r="32838" ht="15.75" customHeight="1"/>
    <row r="32839" ht="15.75" customHeight="1"/>
    <row r="32840" ht="15.75" customHeight="1"/>
    <row r="32841" ht="15.75" customHeight="1"/>
    <row r="32842" ht="15.75" customHeight="1"/>
    <row r="32843" ht="15.75" customHeight="1"/>
    <row r="32844" ht="15.75" customHeight="1"/>
    <row r="32845" ht="15.75" customHeight="1"/>
    <row r="32846" ht="15.75" customHeight="1"/>
    <row r="32847" ht="15.75" customHeight="1"/>
    <row r="32848" ht="15.75" customHeight="1"/>
    <row r="32849" ht="15.75" customHeight="1"/>
    <row r="32850" ht="15.75" customHeight="1"/>
    <row r="32851" ht="15.75" customHeight="1"/>
    <row r="32852" ht="15.75" customHeight="1"/>
    <row r="32853" ht="15.75" customHeight="1"/>
    <row r="32854" ht="15.75" customHeight="1"/>
    <row r="32855" ht="15.75" customHeight="1"/>
    <row r="32856" ht="15.75" customHeight="1"/>
    <row r="32857" ht="15.75" customHeight="1"/>
    <row r="32858" ht="15.75" customHeight="1"/>
    <row r="32859" ht="15.75" customHeight="1"/>
    <row r="32860" ht="15.75" customHeight="1"/>
    <row r="32861" ht="15.75" customHeight="1"/>
    <row r="32862" ht="15.75" customHeight="1"/>
    <row r="32863" ht="15.75" customHeight="1"/>
    <row r="32864" ht="15.75" customHeight="1"/>
    <row r="32865" ht="15.75" customHeight="1"/>
    <row r="32866" ht="15.75" customHeight="1"/>
    <row r="32867" ht="15.75" customHeight="1"/>
    <row r="32868" ht="15.75" customHeight="1"/>
    <row r="32869" ht="15.75" customHeight="1"/>
    <row r="32870" ht="15.75" customHeight="1"/>
    <row r="32871" ht="15.75" customHeight="1"/>
    <row r="32872" ht="15.75" customHeight="1"/>
    <row r="32873" ht="15.75" customHeight="1"/>
    <row r="32874" ht="15.75" customHeight="1"/>
    <row r="32875" ht="15.75" customHeight="1"/>
    <row r="32876" ht="15.75" customHeight="1"/>
    <row r="32877" ht="15.75" customHeight="1"/>
    <row r="32878" ht="15.75" customHeight="1"/>
    <row r="32879" ht="15.75" customHeight="1"/>
    <row r="32880" ht="15.75" customHeight="1"/>
    <row r="32881" ht="15.75" customHeight="1"/>
    <row r="32882" ht="15.75" customHeight="1"/>
    <row r="32883" ht="15.75" customHeight="1"/>
    <row r="32884" ht="15.75" customHeight="1"/>
    <row r="32885" ht="15.75" customHeight="1"/>
    <row r="32886" ht="15.75" customHeight="1"/>
    <row r="32887" ht="15.75" customHeight="1"/>
    <row r="32888" ht="15.75" customHeight="1"/>
    <row r="32889" ht="15.75" customHeight="1"/>
    <row r="32890" ht="15.75" customHeight="1"/>
    <row r="32891" ht="15.75" customHeight="1"/>
    <row r="32892" ht="15.75" customHeight="1"/>
    <row r="32893" ht="15.75" customHeight="1"/>
    <row r="32894" ht="15.75" customHeight="1"/>
    <row r="32895" ht="15.75" customHeight="1"/>
    <row r="32896" ht="15.75" customHeight="1"/>
    <row r="32897" ht="15.75" customHeight="1"/>
    <row r="32898" ht="15.75" customHeight="1"/>
    <row r="32899" ht="15.75" customHeight="1"/>
    <row r="32900" ht="15.75" customHeight="1"/>
    <row r="32901" ht="15.75" customHeight="1"/>
    <row r="32902" ht="15.75" customHeight="1"/>
    <row r="32903" ht="15.75" customHeight="1"/>
    <row r="32904" ht="15.75" customHeight="1"/>
    <row r="32905" ht="15.75" customHeight="1"/>
    <row r="32906" ht="15.75" customHeight="1"/>
    <row r="32907" ht="15.75" customHeight="1"/>
    <row r="32908" ht="15.75" customHeight="1"/>
    <row r="32909" ht="15.75" customHeight="1"/>
    <row r="32910" ht="15.75" customHeight="1"/>
    <row r="32911" ht="15.75" customHeight="1"/>
    <row r="32912" ht="15.75" customHeight="1"/>
    <row r="32913" ht="15.75" customHeight="1"/>
    <row r="32914" ht="15.75" customHeight="1"/>
    <row r="32915" ht="15.75" customHeight="1"/>
    <row r="32916" ht="15.75" customHeight="1"/>
    <row r="32917" ht="15.75" customHeight="1"/>
    <row r="32918" ht="15.75" customHeight="1"/>
    <row r="32919" ht="15.75" customHeight="1"/>
    <row r="32920" ht="15.75" customHeight="1"/>
    <row r="32921" ht="15.75" customHeight="1"/>
    <row r="32922" ht="15.75" customHeight="1"/>
    <row r="32923" ht="15.75" customHeight="1"/>
    <row r="32924" ht="15.75" customHeight="1"/>
    <row r="32925" ht="15.75" customHeight="1"/>
    <row r="32926" ht="15.75" customHeight="1"/>
    <row r="32927" ht="15.75" customHeight="1"/>
    <row r="32928" ht="15.75" customHeight="1"/>
    <row r="32929" ht="15.75" customHeight="1"/>
    <row r="32930" ht="15.75" customHeight="1"/>
    <row r="32931" ht="15.75" customHeight="1"/>
    <row r="32932" ht="15.75" customHeight="1"/>
    <row r="32933" ht="15.75" customHeight="1"/>
    <row r="32934" ht="15.75" customHeight="1"/>
    <row r="32935" ht="15.75" customHeight="1"/>
    <row r="32936" ht="15.75" customHeight="1"/>
    <row r="32937" ht="15.75" customHeight="1"/>
    <row r="32938" ht="15.75" customHeight="1"/>
    <row r="32939" ht="15.75" customHeight="1"/>
    <row r="32940" ht="15.75" customHeight="1"/>
    <row r="32941" ht="15.75" customHeight="1"/>
    <row r="32942" ht="15.75" customHeight="1"/>
    <row r="32943" ht="15.75" customHeight="1"/>
    <row r="32944" ht="15.75" customHeight="1"/>
    <row r="32945" ht="15.75" customHeight="1"/>
    <row r="32946" ht="15.75" customHeight="1"/>
    <row r="32947" ht="15.75" customHeight="1"/>
    <row r="32948" ht="15.75" customHeight="1"/>
    <row r="32949" ht="15.75" customHeight="1"/>
    <row r="32950" ht="15.75" customHeight="1"/>
    <row r="32951" ht="15.75" customHeight="1"/>
    <row r="32952" ht="15.75" customHeight="1"/>
    <row r="32953" ht="15.75" customHeight="1"/>
    <row r="32954" ht="15.75" customHeight="1"/>
    <row r="32955" ht="15.75" customHeight="1"/>
    <row r="32956" ht="15.75" customHeight="1"/>
    <row r="32957" ht="15.75" customHeight="1"/>
    <row r="32958" ht="15.75" customHeight="1"/>
    <row r="32959" ht="15.75" customHeight="1"/>
    <row r="32960" ht="15.75" customHeight="1"/>
    <row r="32961" ht="15.75" customHeight="1"/>
    <row r="32962" ht="15.75" customHeight="1"/>
    <row r="32963" ht="15.75" customHeight="1"/>
    <row r="32964" ht="15.75" customHeight="1"/>
    <row r="32965" ht="15.75" customHeight="1"/>
    <row r="32966" ht="15.75" customHeight="1"/>
    <row r="32967" ht="15.75" customHeight="1"/>
    <row r="32968" ht="15.75" customHeight="1"/>
    <row r="32969" ht="15.75" customHeight="1"/>
    <row r="32970" ht="15.75" customHeight="1"/>
    <row r="32971" ht="15.75" customHeight="1"/>
    <row r="32972" ht="15.75" customHeight="1"/>
    <row r="32973" ht="15.75" customHeight="1"/>
    <row r="32974" ht="15.75" customHeight="1"/>
    <row r="32975" ht="15.75" customHeight="1"/>
    <row r="32976" ht="15.75" customHeight="1"/>
    <row r="32977" ht="15.75" customHeight="1"/>
    <row r="32978" ht="15.75" customHeight="1"/>
    <row r="32979" ht="15.75" customHeight="1"/>
    <row r="32980" ht="15.75" customHeight="1"/>
    <row r="32981" ht="15.75" customHeight="1"/>
    <row r="32982" ht="15.75" customHeight="1"/>
    <row r="32983" ht="15.75" customHeight="1"/>
    <row r="32984" ht="15.75" customHeight="1"/>
    <row r="32985" ht="15.75" customHeight="1"/>
    <row r="32986" ht="15.75" customHeight="1"/>
    <row r="32987" ht="15.75" customHeight="1"/>
    <row r="32988" ht="15.75" customHeight="1"/>
    <row r="32989" ht="15.75" customHeight="1"/>
    <row r="32990" ht="15.75" customHeight="1"/>
    <row r="32991" ht="15.75" customHeight="1"/>
    <row r="32992" ht="15.75" customHeight="1"/>
    <row r="32993" ht="15.75" customHeight="1"/>
    <row r="32994" ht="15.75" customHeight="1"/>
    <row r="32995" ht="15.75" customHeight="1"/>
    <row r="32996" ht="15.75" customHeight="1"/>
    <row r="32997" ht="15.75" customHeight="1"/>
    <row r="32998" ht="15.75" customHeight="1"/>
    <row r="32999" ht="15.75" customHeight="1"/>
    <row r="33000" ht="15.75" customHeight="1"/>
    <row r="33001" ht="15.75" customHeight="1"/>
    <row r="33002" ht="15.75" customHeight="1"/>
    <row r="33003" ht="15.75" customHeight="1"/>
    <row r="33004" ht="15.75" customHeight="1"/>
    <row r="33005" ht="15.75" customHeight="1"/>
    <row r="33006" ht="15.75" customHeight="1"/>
    <row r="33007" ht="15.75" customHeight="1"/>
    <row r="33008" ht="15.75" customHeight="1"/>
    <row r="33009" ht="15.75" customHeight="1"/>
    <row r="33010" ht="15.75" customHeight="1"/>
    <row r="33011" ht="15.75" customHeight="1"/>
    <row r="33012" ht="15.75" customHeight="1"/>
    <row r="33013" ht="15.75" customHeight="1"/>
    <row r="33014" ht="15.75" customHeight="1"/>
    <row r="33015" ht="15.75" customHeight="1"/>
    <row r="33016" ht="15.75" customHeight="1"/>
    <row r="33017" ht="15.75" customHeight="1"/>
    <row r="33018" ht="15.75" customHeight="1"/>
    <row r="33019" ht="15.75" customHeight="1"/>
    <row r="33020" ht="15.75" customHeight="1"/>
    <row r="33021" ht="15.75" customHeight="1"/>
    <row r="33022" ht="15.75" customHeight="1"/>
    <row r="33023" ht="15.75" customHeight="1"/>
    <row r="33024" ht="15.75" customHeight="1"/>
    <row r="33025" ht="15.75" customHeight="1"/>
    <row r="33026" ht="15.75" customHeight="1"/>
    <row r="33027" ht="15.75" customHeight="1"/>
    <row r="33028" ht="15.75" customHeight="1"/>
    <row r="33029" ht="15.75" customHeight="1"/>
    <row r="33030" ht="15.75" customHeight="1"/>
    <row r="33031" ht="15.75" customHeight="1"/>
    <row r="33032" ht="15.75" customHeight="1"/>
    <row r="33033" ht="15.75" customHeight="1"/>
    <row r="33034" ht="15.75" customHeight="1"/>
    <row r="33035" ht="15.75" customHeight="1"/>
    <row r="33036" ht="15.75" customHeight="1"/>
    <row r="33037" ht="15.75" customHeight="1"/>
    <row r="33038" ht="15.75" customHeight="1"/>
    <row r="33039" ht="15.75" customHeight="1"/>
    <row r="33040" ht="15.75" customHeight="1"/>
    <row r="33041" ht="15.75" customHeight="1"/>
    <row r="33042" ht="15.75" customHeight="1"/>
    <row r="33043" ht="15.75" customHeight="1"/>
    <row r="33044" ht="15.75" customHeight="1"/>
    <row r="33045" ht="15.75" customHeight="1"/>
    <row r="33046" ht="15.75" customHeight="1"/>
    <row r="33047" ht="15.75" customHeight="1"/>
    <row r="33048" ht="15.75" customHeight="1"/>
    <row r="33049" ht="15.75" customHeight="1"/>
    <row r="33050" ht="15.75" customHeight="1"/>
    <row r="33051" ht="15.75" customHeight="1"/>
    <row r="33052" ht="15.75" customHeight="1"/>
    <row r="33053" ht="15.75" customHeight="1"/>
    <row r="33054" ht="15.75" customHeight="1"/>
    <row r="33055" ht="15.75" customHeight="1"/>
    <row r="33056" ht="15.75" customHeight="1"/>
    <row r="33057" ht="15.75" customHeight="1"/>
    <row r="33058" ht="15.75" customHeight="1"/>
    <row r="33059" ht="15.75" customHeight="1"/>
    <row r="33060" ht="15.75" customHeight="1"/>
    <row r="33061" ht="15.75" customHeight="1"/>
    <row r="33062" ht="15.75" customHeight="1"/>
    <row r="33063" ht="15.75" customHeight="1"/>
    <row r="33064" ht="15.75" customHeight="1"/>
    <row r="33065" ht="15.75" customHeight="1"/>
    <row r="33066" ht="15.75" customHeight="1"/>
    <row r="33067" ht="15.75" customHeight="1"/>
    <row r="33068" ht="15.75" customHeight="1"/>
    <row r="33069" ht="15.75" customHeight="1"/>
    <row r="33070" ht="15.75" customHeight="1"/>
    <row r="33071" ht="15.75" customHeight="1"/>
    <row r="33072" ht="15.75" customHeight="1"/>
    <row r="33073" ht="15.75" customHeight="1"/>
    <row r="33074" ht="15.75" customHeight="1"/>
    <row r="33075" ht="15.75" customHeight="1"/>
    <row r="33076" ht="15.75" customHeight="1"/>
    <row r="33077" ht="15.75" customHeight="1"/>
    <row r="33078" ht="15.75" customHeight="1"/>
    <row r="33079" ht="15.75" customHeight="1"/>
    <row r="33080" ht="15.75" customHeight="1"/>
    <row r="33081" ht="15.75" customHeight="1"/>
    <row r="33082" ht="15.75" customHeight="1"/>
    <row r="33083" ht="15.75" customHeight="1"/>
    <row r="33084" ht="15.75" customHeight="1"/>
    <row r="33085" ht="15.75" customHeight="1"/>
    <row r="33086" ht="15.75" customHeight="1"/>
    <row r="33087" ht="15.75" customHeight="1"/>
    <row r="33088" ht="15.75" customHeight="1"/>
    <row r="33089" ht="15.75" customHeight="1"/>
    <row r="33090" ht="15.75" customHeight="1"/>
    <row r="33091" ht="15.75" customHeight="1"/>
    <row r="33092" ht="15.75" customHeight="1"/>
    <row r="33093" ht="15.75" customHeight="1"/>
    <row r="33094" ht="15.75" customHeight="1"/>
    <row r="33095" ht="15.75" customHeight="1"/>
    <row r="33096" ht="15.75" customHeight="1"/>
    <row r="33097" ht="15.75" customHeight="1"/>
    <row r="33098" ht="15.75" customHeight="1"/>
    <row r="33099" ht="15.75" customHeight="1"/>
    <row r="33100" ht="15.75" customHeight="1"/>
    <row r="33101" ht="15.75" customHeight="1"/>
    <row r="33102" ht="15.75" customHeight="1"/>
    <row r="33103" ht="15.75" customHeight="1"/>
    <row r="33104" ht="15.75" customHeight="1"/>
    <row r="33105" ht="15.75" customHeight="1"/>
    <row r="33106" ht="15.75" customHeight="1"/>
    <row r="33107" ht="15.75" customHeight="1"/>
    <row r="33108" ht="15.75" customHeight="1"/>
    <row r="33109" ht="15.75" customHeight="1"/>
    <row r="33110" ht="15.75" customHeight="1"/>
    <row r="33111" ht="15.75" customHeight="1"/>
    <row r="33112" ht="15.75" customHeight="1"/>
    <row r="33113" ht="15.75" customHeight="1"/>
    <row r="33114" ht="15.75" customHeight="1"/>
    <row r="33115" ht="15.75" customHeight="1"/>
    <row r="33116" ht="15.75" customHeight="1"/>
    <row r="33117" ht="15.75" customHeight="1"/>
    <row r="33118" ht="15.75" customHeight="1"/>
    <row r="33119" ht="15.75" customHeight="1"/>
    <row r="33120" ht="15.75" customHeight="1"/>
    <row r="33121" ht="15.75" customHeight="1"/>
    <row r="33122" ht="15.75" customHeight="1"/>
    <row r="33123" ht="15.75" customHeight="1"/>
    <row r="33124" ht="15.75" customHeight="1"/>
    <row r="33125" ht="15.75" customHeight="1"/>
    <row r="33126" ht="15.75" customHeight="1"/>
    <row r="33127" ht="15.75" customHeight="1"/>
    <row r="33128" ht="15.75" customHeight="1"/>
    <row r="33129" ht="15.75" customHeight="1"/>
    <row r="33130" ht="15.75" customHeight="1"/>
    <row r="33131" ht="15.75" customHeight="1"/>
    <row r="33132" ht="15.75" customHeight="1"/>
    <row r="33133" ht="15.75" customHeight="1"/>
    <row r="33134" ht="15.75" customHeight="1"/>
    <row r="33135" ht="15.75" customHeight="1"/>
    <row r="33136" ht="15.75" customHeight="1"/>
    <row r="33137" ht="15.75" customHeight="1"/>
    <row r="33138" ht="15.75" customHeight="1"/>
    <row r="33139" ht="15.75" customHeight="1"/>
    <row r="33140" ht="15.75" customHeight="1"/>
    <row r="33141" ht="15.75" customHeight="1"/>
    <row r="33142" ht="15.75" customHeight="1"/>
    <row r="33143" ht="15.75" customHeight="1"/>
    <row r="33144" ht="15.75" customHeight="1"/>
    <row r="33145" ht="15.75" customHeight="1"/>
    <row r="33146" ht="15.75" customHeight="1"/>
    <row r="33147" ht="15.75" customHeight="1"/>
    <row r="33148" ht="15.75" customHeight="1"/>
    <row r="33149" ht="15.75" customHeight="1"/>
    <row r="33150" ht="15.75" customHeight="1"/>
    <row r="33151" ht="15.75" customHeight="1"/>
    <row r="33152" ht="15.75" customHeight="1"/>
    <row r="33153" ht="15.75" customHeight="1"/>
    <row r="33154" ht="15.75" customHeight="1"/>
    <row r="33155" ht="15.75" customHeight="1"/>
    <row r="33156" ht="15.75" customHeight="1"/>
    <row r="33157" ht="15.75" customHeight="1"/>
    <row r="33158" ht="15.75" customHeight="1"/>
    <row r="33159" ht="15.75" customHeight="1"/>
    <row r="33160" ht="15.75" customHeight="1"/>
    <row r="33161" ht="15.75" customHeight="1"/>
    <row r="33162" ht="15.75" customHeight="1"/>
    <row r="33163" ht="15.75" customHeight="1"/>
    <row r="33164" ht="15.75" customHeight="1"/>
    <row r="33165" ht="15.75" customHeight="1"/>
    <row r="33166" ht="15.75" customHeight="1"/>
    <row r="33167" ht="15.75" customHeight="1"/>
    <row r="33168" ht="15.75" customHeight="1"/>
    <row r="33169" ht="15.75" customHeight="1"/>
    <row r="33170" ht="15.75" customHeight="1"/>
    <row r="33171" ht="15.75" customHeight="1"/>
    <row r="33172" ht="15.75" customHeight="1"/>
    <row r="33173" ht="15.75" customHeight="1"/>
    <row r="33174" ht="15.75" customHeight="1"/>
    <row r="33175" ht="15.75" customHeight="1"/>
    <row r="33176" ht="15.75" customHeight="1"/>
    <row r="33177" ht="15.75" customHeight="1"/>
    <row r="33178" ht="15.75" customHeight="1"/>
    <row r="33179" ht="15.75" customHeight="1"/>
    <row r="33180" ht="15.75" customHeight="1"/>
    <row r="33181" ht="15.75" customHeight="1"/>
    <row r="33182" ht="15.75" customHeight="1"/>
    <row r="33183" ht="15.75" customHeight="1"/>
    <row r="33184" ht="15.75" customHeight="1"/>
    <row r="33185" ht="15.75" customHeight="1"/>
    <row r="33186" ht="15.75" customHeight="1"/>
    <row r="33187" ht="15.75" customHeight="1"/>
    <row r="33188" ht="15.75" customHeight="1"/>
    <row r="33189" ht="15.75" customHeight="1"/>
    <row r="33190" ht="15.75" customHeight="1"/>
    <row r="33191" ht="15.75" customHeight="1"/>
    <row r="33192" ht="15.75" customHeight="1"/>
    <row r="33193" ht="15.75" customHeight="1"/>
    <row r="33194" ht="15.75" customHeight="1"/>
    <row r="33195" ht="15.75" customHeight="1"/>
    <row r="33196" ht="15.75" customHeight="1"/>
    <row r="33197" ht="15.75" customHeight="1"/>
    <row r="33198" ht="15.75" customHeight="1"/>
    <row r="33199" ht="15.75" customHeight="1"/>
    <row r="33200" ht="15.75" customHeight="1"/>
    <row r="33201" ht="15.75" customHeight="1"/>
    <row r="33202" ht="15.75" customHeight="1"/>
    <row r="33203" ht="15.75" customHeight="1"/>
    <row r="33204" ht="15.75" customHeight="1"/>
    <row r="33205" ht="15.75" customHeight="1"/>
    <row r="33206" ht="15.75" customHeight="1"/>
    <row r="33207" ht="15.75" customHeight="1"/>
    <row r="33208" ht="15.75" customHeight="1"/>
    <row r="33209" ht="15.75" customHeight="1"/>
    <row r="33210" ht="15.75" customHeight="1"/>
    <row r="33211" ht="15.75" customHeight="1"/>
    <row r="33212" ht="15.75" customHeight="1"/>
    <row r="33213" ht="15.75" customHeight="1"/>
    <row r="33214" ht="15.75" customHeight="1"/>
    <row r="33215" ht="15.75" customHeight="1"/>
    <row r="33216" ht="15.75" customHeight="1"/>
    <row r="33217" ht="15.75" customHeight="1"/>
    <row r="33218" ht="15.75" customHeight="1"/>
    <row r="33219" ht="15.75" customHeight="1"/>
    <row r="33220" ht="15.75" customHeight="1"/>
    <row r="33221" ht="15.75" customHeight="1"/>
    <row r="33222" ht="15.75" customHeight="1"/>
    <row r="33223" ht="15.75" customHeight="1"/>
    <row r="33224" ht="15.75" customHeight="1"/>
    <row r="33225" ht="15.75" customHeight="1"/>
    <row r="33226" ht="15.75" customHeight="1"/>
    <row r="33227" ht="15.75" customHeight="1"/>
    <row r="33228" ht="15.75" customHeight="1"/>
    <row r="33229" ht="15.75" customHeight="1"/>
    <row r="33230" ht="15.75" customHeight="1"/>
    <row r="33231" ht="15.75" customHeight="1"/>
    <row r="33232" ht="15.75" customHeight="1"/>
    <row r="33233" ht="15.75" customHeight="1"/>
    <row r="33234" ht="15.75" customHeight="1"/>
    <row r="33235" ht="15.75" customHeight="1"/>
    <row r="33236" ht="15.75" customHeight="1"/>
    <row r="33237" ht="15.75" customHeight="1"/>
    <row r="33238" ht="15.75" customHeight="1"/>
    <row r="33239" ht="15.75" customHeight="1"/>
    <row r="33240" ht="15.75" customHeight="1"/>
    <row r="33241" ht="15.75" customHeight="1"/>
    <row r="33242" ht="15.75" customHeight="1"/>
    <row r="33243" ht="15.75" customHeight="1"/>
    <row r="33244" ht="15.75" customHeight="1"/>
    <row r="33245" ht="15.75" customHeight="1"/>
    <row r="33246" ht="15.75" customHeight="1"/>
    <row r="33247" ht="15.75" customHeight="1"/>
    <row r="33248" ht="15.75" customHeight="1"/>
    <row r="33249" ht="15.75" customHeight="1"/>
    <row r="33250" ht="15.75" customHeight="1"/>
    <row r="33251" ht="15.75" customHeight="1"/>
    <row r="33252" ht="15.75" customHeight="1"/>
    <row r="33253" ht="15.75" customHeight="1"/>
    <row r="33254" ht="15.75" customHeight="1"/>
    <row r="33255" ht="15.75" customHeight="1"/>
    <row r="33256" ht="15.75" customHeight="1"/>
    <row r="33257" ht="15.75" customHeight="1"/>
    <row r="33258" ht="15.75" customHeight="1"/>
    <row r="33259" ht="15.75" customHeight="1"/>
    <row r="33260" ht="15.75" customHeight="1"/>
    <row r="33261" ht="15.75" customHeight="1"/>
    <row r="33262" ht="15.75" customHeight="1"/>
    <row r="33263" ht="15.75" customHeight="1"/>
    <row r="33264" ht="15.75" customHeight="1"/>
    <row r="33265" ht="15.75" customHeight="1"/>
    <row r="33266" ht="15.75" customHeight="1"/>
    <row r="33267" ht="15.75" customHeight="1"/>
    <row r="33268" ht="15.75" customHeight="1"/>
    <row r="33269" ht="15.75" customHeight="1"/>
    <row r="33270" ht="15.75" customHeight="1"/>
    <row r="33271" ht="15.75" customHeight="1"/>
    <row r="33272" ht="15.75" customHeight="1"/>
    <row r="33273" ht="15.75" customHeight="1"/>
    <row r="33274" ht="15.75" customHeight="1"/>
    <row r="33275" ht="15.75" customHeight="1"/>
    <row r="33276" ht="15.75" customHeight="1"/>
    <row r="33277" ht="15.75" customHeight="1"/>
    <row r="33278" ht="15.75" customHeight="1"/>
    <row r="33279" ht="15.75" customHeight="1"/>
    <row r="33280" ht="15.75" customHeight="1"/>
    <row r="33281" ht="15.75" customHeight="1"/>
    <row r="33282" ht="15.75" customHeight="1"/>
    <row r="33283" ht="15.75" customHeight="1"/>
    <row r="33284" ht="15.75" customHeight="1"/>
    <row r="33285" ht="15.75" customHeight="1"/>
    <row r="33286" ht="15.75" customHeight="1"/>
    <row r="33287" ht="15.75" customHeight="1"/>
    <row r="33288" ht="15.75" customHeight="1"/>
    <row r="33289" ht="15.75" customHeight="1"/>
    <row r="33290" ht="15.75" customHeight="1"/>
    <row r="33291" ht="15.75" customHeight="1"/>
    <row r="33292" ht="15.75" customHeight="1"/>
    <row r="33293" ht="15.75" customHeight="1"/>
    <row r="33294" ht="15.75" customHeight="1"/>
    <row r="33295" ht="15.75" customHeight="1"/>
    <row r="33296" ht="15.75" customHeight="1"/>
    <row r="33297" ht="15.75" customHeight="1"/>
    <row r="33298" ht="15.75" customHeight="1"/>
    <row r="33299" ht="15.75" customHeight="1"/>
    <row r="33300" ht="15.75" customHeight="1"/>
    <row r="33301" ht="15.75" customHeight="1"/>
    <row r="33302" ht="15.75" customHeight="1"/>
    <row r="33303" ht="15.75" customHeight="1"/>
    <row r="33304" ht="15.75" customHeight="1"/>
    <row r="33305" ht="15.75" customHeight="1"/>
    <row r="33306" ht="15.75" customHeight="1"/>
    <row r="33307" ht="15.75" customHeight="1"/>
    <row r="33308" ht="15.75" customHeight="1"/>
    <row r="33309" ht="15.75" customHeight="1"/>
    <row r="33310" ht="15.75" customHeight="1"/>
    <row r="33311" ht="15.75" customHeight="1"/>
    <row r="33312" ht="15.75" customHeight="1"/>
    <row r="33313" ht="15.75" customHeight="1"/>
    <row r="33314" ht="15.75" customHeight="1"/>
    <row r="33315" ht="15.75" customHeight="1"/>
    <row r="33316" ht="15.75" customHeight="1"/>
    <row r="33317" ht="15.75" customHeight="1"/>
    <row r="33318" ht="15.75" customHeight="1"/>
    <row r="33319" ht="15.75" customHeight="1"/>
    <row r="33320" ht="15.75" customHeight="1"/>
    <row r="33321" ht="15.75" customHeight="1"/>
    <row r="33322" ht="15.75" customHeight="1"/>
    <row r="33323" ht="15.75" customHeight="1"/>
    <row r="33324" ht="15.75" customHeight="1"/>
    <row r="33325" ht="15.75" customHeight="1"/>
    <row r="33326" ht="15.75" customHeight="1"/>
    <row r="33327" ht="15.75" customHeight="1"/>
    <row r="33328" ht="15.75" customHeight="1"/>
    <row r="33329" ht="15.75" customHeight="1"/>
    <row r="33330" ht="15.75" customHeight="1"/>
    <row r="33331" ht="15.75" customHeight="1"/>
    <row r="33332" ht="15.75" customHeight="1"/>
    <row r="33333" ht="15.75" customHeight="1"/>
    <row r="33334" ht="15.75" customHeight="1"/>
    <row r="33335" ht="15.75" customHeight="1"/>
    <row r="33336" ht="15.75" customHeight="1"/>
    <row r="33337" ht="15.75" customHeight="1"/>
    <row r="33338" ht="15.75" customHeight="1"/>
    <row r="33339" ht="15.75" customHeight="1"/>
    <row r="33340" ht="15.75" customHeight="1"/>
    <row r="33341" ht="15.75" customHeight="1"/>
    <row r="33342" ht="15.75" customHeight="1"/>
    <row r="33343" ht="15.75" customHeight="1"/>
    <row r="33344" ht="15.75" customHeight="1"/>
    <row r="33345" ht="15.75" customHeight="1"/>
    <row r="33346" ht="15.75" customHeight="1"/>
    <row r="33347" ht="15.75" customHeight="1"/>
    <row r="33348" ht="15.75" customHeight="1"/>
    <row r="33349" ht="15.75" customHeight="1"/>
    <row r="33350" ht="15.75" customHeight="1"/>
    <row r="33351" ht="15.75" customHeight="1"/>
    <row r="33352" ht="15.75" customHeight="1"/>
    <row r="33353" ht="15.75" customHeight="1"/>
    <row r="33354" ht="15.75" customHeight="1"/>
    <row r="33355" ht="15.75" customHeight="1"/>
    <row r="33356" ht="15.75" customHeight="1"/>
    <row r="33357" ht="15.75" customHeight="1"/>
    <row r="33358" ht="15.75" customHeight="1"/>
    <row r="33359" ht="15.75" customHeight="1"/>
    <row r="33360" ht="15.75" customHeight="1"/>
    <row r="33361" ht="15.75" customHeight="1"/>
    <row r="33362" ht="15.75" customHeight="1"/>
    <row r="33363" ht="15.75" customHeight="1"/>
    <row r="33364" ht="15.75" customHeight="1"/>
    <row r="33365" ht="15.75" customHeight="1"/>
    <row r="33366" ht="15.75" customHeight="1"/>
    <row r="33367" ht="15.75" customHeight="1"/>
    <row r="33368" ht="15.75" customHeight="1"/>
    <row r="33369" ht="15.75" customHeight="1"/>
    <row r="33370" ht="15.75" customHeight="1"/>
    <row r="33371" ht="15.75" customHeight="1"/>
    <row r="33372" ht="15.75" customHeight="1"/>
    <row r="33373" ht="15.75" customHeight="1"/>
    <row r="33374" ht="15.75" customHeight="1"/>
    <row r="33375" ht="15.75" customHeight="1"/>
    <row r="33376" ht="15.75" customHeight="1"/>
    <row r="33377" ht="15.75" customHeight="1"/>
    <row r="33378" ht="15.75" customHeight="1"/>
    <row r="33379" ht="15.75" customHeight="1"/>
    <row r="33380" ht="15.75" customHeight="1"/>
    <row r="33381" ht="15.75" customHeight="1"/>
    <row r="33382" ht="15.75" customHeight="1"/>
    <row r="33383" ht="15.75" customHeight="1"/>
    <row r="33384" ht="15.75" customHeight="1"/>
    <row r="33385" ht="15.75" customHeight="1"/>
    <row r="33386" ht="15.75" customHeight="1"/>
    <row r="33387" ht="15.75" customHeight="1"/>
    <row r="33388" ht="15.75" customHeight="1"/>
    <row r="33389" ht="15.75" customHeight="1"/>
    <row r="33390" ht="15.75" customHeight="1"/>
    <row r="33391" ht="15.75" customHeight="1"/>
    <row r="33392" ht="15.75" customHeight="1"/>
    <row r="33393" ht="15.75" customHeight="1"/>
    <row r="33394" ht="15.75" customHeight="1"/>
    <row r="33395" ht="15.75" customHeight="1"/>
    <row r="33396" ht="15.75" customHeight="1"/>
    <row r="33397" ht="15.75" customHeight="1"/>
    <row r="33398" ht="15.75" customHeight="1"/>
    <row r="33399" ht="15.75" customHeight="1"/>
    <row r="33400" ht="15.75" customHeight="1"/>
    <row r="33401" ht="15.75" customHeight="1"/>
    <row r="33402" ht="15.75" customHeight="1"/>
    <row r="33403" ht="15.75" customHeight="1"/>
    <row r="33404" ht="15.75" customHeight="1"/>
    <row r="33405" ht="15.75" customHeight="1"/>
    <row r="33406" ht="15.75" customHeight="1"/>
    <row r="33407" ht="15.75" customHeight="1"/>
    <row r="33408" ht="15.75" customHeight="1"/>
    <row r="33409" ht="15.75" customHeight="1"/>
    <row r="33410" ht="15.75" customHeight="1"/>
    <row r="33411" ht="15.75" customHeight="1"/>
    <row r="33412" ht="15.75" customHeight="1"/>
    <row r="33413" ht="15.75" customHeight="1"/>
    <row r="33414" ht="15.75" customHeight="1"/>
    <row r="33415" ht="15.75" customHeight="1"/>
    <row r="33416" ht="15.75" customHeight="1"/>
    <row r="33417" ht="15.75" customHeight="1"/>
    <row r="33418" ht="15.75" customHeight="1"/>
    <row r="33419" ht="15.75" customHeight="1"/>
    <row r="33420" ht="15.75" customHeight="1"/>
    <row r="33421" ht="15.75" customHeight="1"/>
    <row r="33422" ht="15.75" customHeight="1"/>
    <row r="33423" ht="15.75" customHeight="1"/>
    <row r="33424" ht="15.75" customHeight="1"/>
    <row r="33425" ht="15.75" customHeight="1"/>
    <row r="33426" ht="15.75" customHeight="1"/>
    <row r="33427" ht="15.75" customHeight="1"/>
    <row r="33428" ht="15.75" customHeight="1"/>
    <row r="33429" ht="15.75" customHeight="1"/>
    <row r="33430" ht="15.75" customHeight="1"/>
    <row r="33431" ht="15.75" customHeight="1"/>
    <row r="33432" ht="15.75" customHeight="1"/>
    <row r="33433" ht="15.75" customHeight="1"/>
    <row r="33434" ht="15.75" customHeight="1"/>
    <row r="33435" ht="15.75" customHeight="1"/>
    <row r="33436" ht="15.75" customHeight="1"/>
    <row r="33437" ht="15.75" customHeight="1"/>
    <row r="33438" ht="15.75" customHeight="1"/>
    <row r="33439" ht="15.75" customHeight="1"/>
    <row r="33440" ht="15.75" customHeight="1"/>
    <row r="33441" ht="15.75" customHeight="1"/>
    <row r="33442" ht="15.75" customHeight="1"/>
    <row r="33443" ht="15.75" customHeight="1"/>
    <row r="33444" ht="15.75" customHeight="1"/>
    <row r="33445" ht="15.75" customHeight="1"/>
    <row r="33446" ht="15.75" customHeight="1"/>
    <row r="33447" ht="15.75" customHeight="1"/>
    <row r="33448" ht="15.75" customHeight="1"/>
    <row r="33449" ht="15.75" customHeight="1"/>
    <row r="33450" ht="15.75" customHeight="1"/>
    <row r="33451" ht="15.75" customHeight="1"/>
    <row r="33452" ht="15.75" customHeight="1"/>
    <row r="33453" ht="15.75" customHeight="1"/>
    <row r="33454" ht="15.75" customHeight="1"/>
    <row r="33455" ht="15.75" customHeight="1"/>
    <row r="33456" ht="15.75" customHeight="1"/>
    <row r="33457" ht="15.75" customHeight="1"/>
    <row r="33458" ht="15.75" customHeight="1"/>
    <row r="33459" ht="15.75" customHeight="1"/>
    <row r="33460" ht="15.75" customHeight="1"/>
    <row r="33461" ht="15.75" customHeight="1"/>
    <row r="33462" ht="15.75" customHeight="1"/>
    <row r="33463" ht="15.75" customHeight="1"/>
    <row r="33464" ht="15.75" customHeight="1"/>
    <row r="33465" ht="15.75" customHeight="1"/>
    <row r="33466" ht="15.75" customHeight="1"/>
    <row r="33467" ht="15.75" customHeight="1"/>
    <row r="33468" ht="15.75" customHeight="1"/>
    <row r="33469" ht="15.75" customHeight="1"/>
    <row r="33470" ht="15.75" customHeight="1"/>
    <row r="33471" ht="15.75" customHeight="1"/>
    <row r="33472" ht="15.75" customHeight="1"/>
    <row r="33473" ht="15.75" customHeight="1"/>
    <row r="33474" ht="15.75" customHeight="1"/>
    <row r="33475" ht="15.75" customHeight="1"/>
    <row r="33476" ht="15.75" customHeight="1"/>
    <row r="33477" ht="15.75" customHeight="1"/>
    <row r="33478" ht="15.75" customHeight="1"/>
    <row r="33479" ht="15.75" customHeight="1"/>
    <row r="33480" ht="15.75" customHeight="1"/>
    <row r="33481" ht="15.75" customHeight="1"/>
    <row r="33482" ht="15.75" customHeight="1"/>
    <row r="33483" ht="15.75" customHeight="1"/>
    <row r="33484" ht="15.75" customHeight="1"/>
    <row r="33485" ht="15.75" customHeight="1"/>
    <row r="33486" ht="15.75" customHeight="1"/>
    <row r="33487" ht="15.75" customHeight="1"/>
    <row r="33488" ht="15.75" customHeight="1"/>
    <row r="33489" ht="15.75" customHeight="1"/>
    <row r="33490" ht="15.75" customHeight="1"/>
    <row r="33491" ht="15.75" customHeight="1"/>
    <row r="33492" ht="15.75" customHeight="1"/>
    <row r="33493" ht="15.75" customHeight="1"/>
    <row r="33494" ht="15.75" customHeight="1"/>
    <row r="33495" ht="15.75" customHeight="1"/>
    <row r="33496" ht="15.75" customHeight="1"/>
    <row r="33497" ht="15.75" customHeight="1"/>
    <row r="33498" ht="15.75" customHeight="1"/>
    <row r="33499" ht="15.75" customHeight="1"/>
    <row r="33500" ht="15.75" customHeight="1"/>
    <row r="33501" ht="15.75" customHeight="1"/>
    <row r="33502" ht="15.75" customHeight="1"/>
    <row r="33503" ht="15.75" customHeight="1"/>
    <row r="33504" ht="15.75" customHeight="1"/>
    <row r="33505" ht="15.75" customHeight="1"/>
    <row r="33506" ht="15.75" customHeight="1"/>
    <row r="33507" ht="15.75" customHeight="1"/>
    <row r="33508" ht="15.75" customHeight="1"/>
    <row r="33509" ht="15.75" customHeight="1"/>
    <row r="33510" ht="15.75" customHeight="1"/>
    <row r="33511" ht="15.75" customHeight="1"/>
    <row r="33512" ht="15.75" customHeight="1"/>
    <row r="33513" ht="15.75" customHeight="1"/>
    <row r="33514" ht="15.75" customHeight="1"/>
    <row r="33515" ht="15.75" customHeight="1"/>
    <row r="33516" ht="15.75" customHeight="1"/>
    <row r="33517" ht="15.75" customHeight="1"/>
    <row r="33518" ht="15.75" customHeight="1"/>
    <row r="33519" ht="15.75" customHeight="1"/>
    <row r="33520" ht="15.75" customHeight="1"/>
    <row r="33521" ht="15.75" customHeight="1"/>
    <row r="33522" ht="15.75" customHeight="1"/>
    <row r="33523" ht="15.75" customHeight="1"/>
    <row r="33524" ht="15.75" customHeight="1"/>
    <row r="33525" ht="15.75" customHeight="1"/>
    <row r="33526" ht="15.75" customHeight="1"/>
    <row r="33527" ht="15.75" customHeight="1"/>
    <row r="33528" ht="15.75" customHeight="1"/>
    <row r="33529" ht="15.75" customHeight="1"/>
    <row r="33530" ht="15.75" customHeight="1"/>
    <row r="33531" ht="15.75" customHeight="1"/>
    <row r="33532" ht="15.75" customHeight="1"/>
    <row r="33533" ht="15.75" customHeight="1"/>
    <row r="33534" ht="15.75" customHeight="1"/>
    <row r="33535" ht="15.75" customHeight="1"/>
    <row r="33536" ht="15.75" customHeight="1"/>
    <row r="33537" ht="15.75" customHeight="1"/>
    <row r="33538" ht="15.75" customHeight="1"/>
    <row r="33539" ht="15.75" customHeight="1"/>
    <row r="33540" ht="15.75" customHeight="1"/>
    <row r="33541" ht="15.75" customHeight="1"/>
    <row r="33542" ht="15.75" customHeight="1"/>
    <row r="33543" ht="15.75" customHeight="1"/>
    <row r="33544" ht="15.75" customHeight="1"/>
    <row r="33545" ht="15.75" customHeight="1"/>
    <row r="33546" ht="15.75" customHeight="1"/>
    <row r="33547" ht="15.75" customHeight="1"/>
    <row r="33548" ht="15.75" customHeight="1"/>
    <row r="33549" ht="15.75" customHeight="1"/>
    <row r="33550" ht="15.75" customHeight="1"/>
    <row r="33551" ht="15.75" customHeight="1"/>
    <row r="33552" ht="15.75" customHeight="1"/>
    <row r="33553" ht="15.75" customHeight="1"/>
    <row r="33554" ht="15.75" customHeight="1"/>
    <row r="33555" ht="15.75" customHeight="1"/>
    <row r="33556" ht="15.75" customHeight="1"/>
    <row r="33557" ht="15.75" customHeight="1"/>
    <row r="33558" ht="15.75" customHeight="1"/>
    <row r="33559" ht="15.75" customHeight="1"/>
    <row r="33560" ht="15.75" customHeight="1"/>
    <row r="33561" ht="15.75" customHeight="1"/>
    <row r="33562" ht="15.75" customHeight="1"/>
    <row r="33563" ht="15.75" customHeight="1"/>
    <row r="33564" ht="15.75" customHeight="1"/>
    <row r="33565" ht="15.75" customHeight="1"/>
    <row r="33566" ht="15.75" customHeight="1"/>
    <row r="33567" ht="15.75" customHeight="1"/>
    <row r="33568" ht="15.75" customHeight="1"/>
    <row r="33569" ht="15.75" customHeight="1"/>
    <row r="33570" ht="15.75" customHeight="1"/>
    <row r="33571" ht="15.75" customHeight="1"/>
    <row r="33572" ht="15.75" customHeight="1"/>
    <row r="33573" ht="15.75" customHeight="1"/>
    <row r="33574" ht="15.75" customHeight="1"/>
    <row r="33575" ht="15.75" customHeight="1"/>
    <row r="33576" ht="15.75" customHeight="1"/>
    <row r="33577" ht="15.75" customHeight="1"/>
    <row r="33578" ht="15.75" customHeight="1"/>
    <row r="33579" ht="15.75" customHeight="1"/>
    <row r="33580" ht="15.75" customHeight="1"/>
    <row r="33581" ht="15.75" customHeight="1"/>
    <row r="33582" ht="15.75" customHeight="1"/>
    <row r="33583" ht="15.75" customHeight="1"/>
    <row r="33584" ht="15.75" customHeight="1"/>
    <row r="33585" ht="15.75" customHeight="1"/>
    <row r="33586" ht="15.75" customHeight="1"/>
    <row r="33587" ht="15.75" customHeight="1"/>
    <row r="33588" ht="15.75" customHeight="1"/>
    <row r="33589" ht="15.75" customHeight="1"/>
    <row r="33590" ht="15.75" customHeight="1"/>
    <row r="33591" ht="15.75" customHeight="1"/>
    <row r="33592" ht="15.75" customHeight="1"/>
    <row r="33593" ht="15.75" customHeight="1"/>
    <row r="33594" ht="15.75" customHeight="1"/>
    <row r="33595" ht="15.75" customHeight="1"/>
    <row r="33596" ht="15.75" customHeight="1"/>
    <row r="33597" ht="15.75" customHeight="1"/>
    <row r="33598" ht="15.75" customHeight="1"/>
    <row r="33599" ht="15.75" customHeight="1"/>
    <row r="33600" ht="15.75" customHeight="1"/>
    <row r="33601" ht="15.75" customHeight="1"/>
    <row r="33602" ht="15.75" customHeight="1"/>
    <row r="33603" ht="15.75" customHeight="1"/>
    <row r="33604" ht="15.75" customHeight="1"/>
    <row r="33605" ht="15.75" customHeight="1"/>
    <row r="33606" ht="15.75" customHeight="1"/>
    <row r="33607" ht="15.75" customHeight="1"/>
    <row r="33608" ht="15.75" customHeight="1"/>
    <row r="33609" ht="15.75" customHeight="1"/>
    <row r="33610" ht="15.75" customHeight="1"/>
    <row r="33611" ht="15.75" customHeight="1"/>
    <row r="33612" ht="15.75" customHeight="1"/>
    <row r="33613" ht="15.75" customHeight="1"/>
    <row r="33614" ht="15.75" customHeight="1"/>
    <row r="33615" ht="15.75" customHeight="1"/>
    <row r="33616" ht="15.75" customHeight="1"/>
    <row r="33617" ht="15.75" customHeight="1"/>
    <row r="33618" ht="15.75" customHeight="1"/>
    <row r="33619" ht="15.75" customHeight="1"/>
    <row r="33620" ht="15.75" customHeight="1"/>
    <row r="33621" ht="15.75" customHeight="1"/>
    <row r="33622" ht="15.75" customHeight="1"/>
    <row r="33623" ht="15.75" customHeight="1"/>
    <row r="33624" ht="15.75" customHeight="1"/>
    <row r="33625" ht="15.75" customHeight="1"/>
    <row r="33626" ht="15.75" customHeight="1"/>
    <row r="33627" ht="15.75" customHeight="1"/>
    <row r="33628" ht="15.75" customHeight="1"/>
    <row r="33629" ht="15.75" customHeight="1"/>
    <row r="33630" ht="15.75" customHeight="1"/>
    <row r="33631" ht="15.75" customHeight="1"/>
    <row r="33632" ht="15.75" customHeight="1"/>
    <row r="33633" ht="15.75" customHeight="1"/>
    <row r="33634" ht="15.75" customHeight="1"/>
    <row r="33635" ht="15.75" customHeight="1"/>
    <row r="33636" ht="15.75" customHeight="1"/>
    <row r="33637" ht="15.75" customHeight="1"/>
    <row r="33638" ht="15.75" customHeight="1"/>
    <row r="33639" ht="15.75" customHeight="1"/>
    <row r="33640" ht="15.75" customHeight="1"/>
    <row r="33641" ht="15.75" customHeight="1"/>
    <row r="33642" ht="15.75" customHeight="1"/>
    <row r="33643" ht="15.75" customHeight="1"/>
    <row r="33644" ht="15.75" customHeight="1"/>
    <row r="33645" ht="15.75" customHeight="1"/>
    <row r="33646" ht="15.75" customHeight="1"/>
    <row r="33647" ht="15.75" customHeight="1"/>
    <row r="33648" ht="15.75" customHeight="1"/>
    <row r="33649" ht="15.75" customHeight="1"/>
    <row r="33650" ht="15.75" customHeight="1"/>
    <row r="33651" ht="15.75" customHeight="1"/>
    <row r="33652" ht="15.75" customHeight="1"/>
    <row r="33653" ht="15.75" customHeight="1"/>
    <row r="33654" ht="15.75" customHeight="1"/>
    <row r="33655" ht="15.75" customHeight="1"/>
    <row r="33656" ht="15.75" customHeight="1"/>
    <row r="33657" ht="15.75" customHeight="1"/>
    <row r="33658" ht="15.75" customHeight="1"/>
    <row r="33659" ht="15.75" customHeight="1"/>
    <row r="33660" ht="15.75" customHeight="1"/>
    <row r="33661" ht="15.75" customHeight="1"/>
    <row r="33662" ht="15.75" customHeight="1"/>
    <row r="33663" ht="15.75" customHeight="1"/>
    <row r="33664" ht="15.75" customHeight="1"/>
    <row r="33665" ht="15.75" customHeight="1"/>
    <row r="33666" ht="15.75" customHeight="1"/>
    <row r="33667" ht="15.75" customHeight="1"/>
    <row r="33668" ht="15.75" customHeight="1"/>
    <row r="33669" ht="15.75" customHeight="1"/>
    <row r="33670" ht="15.75" customHeight="1"/>
    <row r="33671" ht="15.75" customHeight="1"/>
    <row r="33672" ht="15.75" customHeight="1"/>
    <row r="33673" ht="15.75" customHeight="1"/>
    <row r="33674" ht="15.75" customHeight="1"/>
    <row r="33675" ht="15.75" customHeight="1"/>
    <row r="33676" ht="15.75" customHeight="1"/>
    <row r="33677" ht="15.75" customHeight="1"/>
    <row r="33678" ht="15.75" customHeight="1"/>
    <row r="33679" ht="15.75" customHeight="1"/>
    <row r="33680" ht="15.75" customHeight="1"/>
    <row r="33681" ht="15.75" customHeight="1"/>
    <row r="33682" ht="15.75" customHeight="1"/>
    <row r="33683" ht="15.75" customHeight="1"/>
    <row r="33684" ht="15.75" customHeight="1"/>
    <row r="33685" ht="15.75" customHeight="1"/>
    <row r="33686" ht="15.75" customHeight="1"/>
    <row r="33687" ht="15.75" customHeight="1"/>
    <row r="33688" ht="15.75" customHeight="1"/>
    <row r="33689" ht="15.75" customHeight="1"/>
    <row r="33690" ht="15.75" customHeight="1"/>
    <row r="33691" ht="15.75" customHeight="1"/>
    <row r="33692" ht="15.75" customHeight="1"/>
    <row r="33693" ht="15.75" customHeight="1"/>
    <row r="33694" ht="15.75" customHeight="1"/>
    <row r="33695" ht="15.75" customHeight="1"/>
    <row r="33696" ht="15.75" customHeight="1"/>
    <row r="33697" ht="15.75" customHeight="1"/>
    <row r="33698" ht="15.75" customHeight="1"/>
    <row r="33699" ht="15.75" customHeight="1"/>
    <row r="33700" ht="15.75" customHeight="1"/>
    <row r="33701" ht="15.75" customHeight="1"/>
    <row r="33702" ht="15.75" customHeight="1"/>
    <row r="33703" ht="15.75" customHeight="1"/>
    <row r="33704" ht="15.75" customHeight="1"/>
    <row r="33705" ht="15.75" customHeight="1"/>
    <row r="33706" ht="15.75" customHeight="1"/>
    <row r="33707" ht="15.75" customHeight="1"/>
    <row r="33708" ht="15.75" customHeight="1"/>
    <row r="33709" ht="15.75" customHeight="1"/>
    <row r="33710" ht="15.75" customHeight="1"/>
    <row r="33711" ht="15.75" customHeight="1"/>
    <row r="33712" ht="15.75" customHeight="1"/>
    <row r="33713" ht="15.75" customHeight="1"/>
    <row r="33714" ht="15.75" customHeight="1"/>
    <row r="33715" ht="15.75" customHeight="1"/>
    <row r="33716" ht="15.75" customHeight="1"/>
    <row r="33717" ht="15.75" customHeight="1"/>
    <row r="33718" ht="15.75" customHeight="1"/>
    <row r="33719" ht="15.75" customHeight="1"/>
    <row r="33720" ht="15.75" customHeight="1"/>
    <row r="33721" ht="15.75" customHeight="1"/>
    <row r="33722" ht="15.75" customHeight="1"/>
    <row r="33723" ht="15.75" customHeight="1"/>
    <row r="33724" ht="15.75" customHeight="1"/>
    <row r="33725" ht="15.75" customHeight="1"/>
    <row r="33726" ht="15.75" customHeight="1"/>
    <row r="33727" ht="15.75" customHeight="1"/>
    <row r="33728" ht="15.75" customHeight="1"/>
    <row r="33729" ht="15.75" customHeight="1"/>
    <row r="33730" ht="15.75" customHeight="1"/>
    <row r="33731" ht="15.75" customHeight="1"/>
    <row r="33732" ht="15.75" customHeight="1"/>
    <row r="33733" ht="15.75" customHeight="1"/>
    <row r="33734" ht="15.75" customHeight="1"/>
    <row r="33735" ht="15.75" customHeight="1"/>
    <row r="33736" ht="15.75" customHeight="1"/>
    <row r="33737" ht="15.75" customHeight="1"/>
    <row r="33738" ht="15.75" customHeight="1"/>
    <row r="33739" ht="15.75" customHeight="1"/>
    <row r="33740" ht="15.75" customHeight="1"/>
    <row r="33741" ht="15.75" customHeight="1"/>
    <row r="33742" ht="15.75" customHeight="1"/>
    <row r="33743" ht="15.75" customHeight="1"/>
    <row r="33744" ht="15.75" customHeight="1"/>
    <row r="33745" ht="15.75" customHeight="1"/>
    <row r="33746" ht="15.75" customHeight="1"/>
    <row r="33747" ht="15.75" customHeight="1"/>
    <row r="33748" ht="15.75" customHeight="1"/>
    <row r="33749" ht="15.75" customHeight="1"/>
    <row r="33750" ht="15.75" customHeight="1"/>
    <row r="33751" ht="15.75" customHeight="1"/>
    <row r="33752" ht="15.75" customHeight="1"/>
    <row r="33753" ht="15.75" customHeight="1"/>
    <row r="33754" ht="15.75" customHeight="1"/>
    <row r="33755" ht="15.75" customHeight="1"/>
    <row r="33756" ht="15.75" customHeight="1"/>
    <row r="33757" ht="15.75" customHeight="1"/>
    <row r="33758" ht="15.75" customHeight="1"/>
    <row r="33759" ht="15.75" customHeight="1"/>
    <row r="33760" ht="15.75" customHeight="1"/>
    <row r="33761" ht="15.75" customHeight="1"/>
    <row r="33762" ht="15.75" customHeight="1"/>
    <row r="33763" ht="15.75" customHeight="1"/>
    <row r="33764" ht="15.75" customHeight="1"/>
    <row r="33765" ht="15.75" customHeight="1"/>
    <row r="33766" ht="15.75" customHeight="1"/>
    <row r="33767" ht="15.75" customHeight="1"/>
    <row r="33768" ht="15.75" customHeight="1"/>
    <row r="33769" ht="15.75" customHeight="1"/>
    <row r="33770" ht="15.75" customHeight="1"/>
    <row r="33771" ht="15.75" customHeight="1"/>
    <row r="33772" ht="15.75" customHeight="1"/>
    <row r="33773" ht="15.75" customHeight="1"/>
    <row r="33774" ht="15.75" customHeight="1"/>
    <row r="33775" ht="15.75" customHeight="1"/>
    <row r="33776" ht="15.75" customHeight="1"/>
    <row r="33777" ht="15.75" customHeight="1"/>
    <row r="33778" ht="15.75" customHeight="1"/>
    <row r="33779" ht="15.75" customHeight="1"/>
    <row r="33780" ht="15.75" customHeight="1"/>
    <row r="33781" ht="15.75" customHeight="1"/>
    <row r="33782" ht="15.75" customHeight="1"/>
    <row r="33783" ht="15.75" customHeight="1"/>
    <row r="33784" ht="15.75" customHeight="1"/>
    <row r="33785" ht="15.75" customHeight="1"/>
    <row r="33786" ht="15.75" customHeight="1"/>
    <row r="33787" ht="15.75" customHeight="1"/>
    <row r="33788" ht="15.75" customHeight="1"/>
    <row r="33789" ht="15.75" customHeight="1"/>
    <row r="33790" ht="15.75" customHeight="1"/>
    <row r="33791" ht="15.75" customHeight="1"/>
    <row r="33792" ht="15.75" customHeight="1"/>
    <row r="33793" ht="15.75" customHeight="1"/>
    <row r="33794" ht="15.75" customHeight="1"/>
    <row r="33795" ht="15.75" customHeight="1"/>
    <row r="33796" ht="15.75" customHeight="1"/>
    <row r="33797" ht="15.75" customHeight="1"/>
    <row r="33798" ht="15.75" customHeight="1"/>
    <row r="33799" ht="15.75" customHeight="1"/>
    <row r="33800" ht="15.75" customHeight="1"/>
    <row r="33801" ht="15.75" customHeight="1"/>
    <row r="33802" ht="15.75" customHeight="1"/>
    <row r="33803" ht="15.75" customHeight="1"/>
    <row r="33804" ht="15.75" customHeight="1"/>
    <row r="33805" ht="15.75" customHeight="1"/>
    <row r="33806" ht="15.75" customHeight="1"/>
    <row r="33807" ht="15.75" customHeight="1"/>
    <row r="33808" ht="15.75" customHeight="1"/>
    <row r="33809" ht="15.75" customHeight="1"/>
    <row r="33810" ht="15.75" customHeight="1"/>
    <row r="33811" ht="15.75" customHeight="1"/>
    <row r="33812" ht="15.75" customHeight="1"/>
    <row r="33813" ht="15.75" customHeight="1"/>
    <row r="33814" ht="15.75" customHeight="1"/>
    <row r="33815" ht="15.75" customHeight="1"/>
    <row r="33816" ht="15.75" customHeight="1"/>
    <row r="33817" ht="15.75" customHeight="1"/>
    <row r="33818" ht="15.75" customHeight="1"/>
    <row r="33819" ht="15.75" customHeight="1"/>
    <row r="33820" ht="15.75" customHeight="1"/>
    <row r="33821" ht="15.75" customHeight="1"/>
    <row r="33822" ht="15.75" customHeight="1"/>
    <row r="33823" ht="15.75" customHeight="1"/>
    <row r="33824" ht="15.75" customHeight="1"/>
    <row r="33825" ht="15.75" customHeight="1"/>
    <row r="33826" ht="15.75" customHeight="1"/>
    <row r="33827" ht="15.75" customHeight="1"/>
    <row r="33828" ht="15.75" customHeight="1"/>
    <row r="33829" ht="15.75" customHeight="1"/>
    <row r="33830" ht="15.75" customHeight="1"/>
    <row r="33831" ht="15.75" customHeight="1"/>
    <row r="33832" ht="15.75" customHeight="1"/>
    <row r="33833" ht="15.75" customHeight="1"/>
    <row r="33834" ht="15.75" customHeight="1"/>
    <row r="33835" ht="15.75" customHeight="1"/>
    <row r="33836" ht="15.75" customHeight="1"/>
    <row r="33837" ht="15.75" customHeight="1"/>
    <row r="33838" ht="15.75" customHeight="1"/>
    <row r="33839" ht="15.75" customHeight="1"/>
    <row r="33840" ht="15.75" customHeight="1"/>
    <row r="33841" ht="15.75" customHeight="1"/>
    <row r="33842" ht="15.75" customHeight="1"/>
    <row r="33843" ht="15.75" customHeight="1"/>
    <row r="33844" ht="15.75" customHeight="1"/>
    <row r="33845" ht="15.75" customHeight="1"/>
    <row r="33846" ht="15.75" customHeight="1"/>
    <row r="33847" ht="15.75" customHeight="1"/>
    <row r="33848" ht="15.75" customHeight="1"/>
    <row r="33849" ht="15.75" customHeight="1"/>
    <row r="33850" ht="15.75" customHeight="1"/>
    <row r="33851" ht="15.75" customHeight="1"/>
    <row r="33852" ht="15.75" customHeight="1"/>
    <row r="33853" ht="15.75" customHeight="1"/>
    <row r="33854" ht="15.75" customHeight="1"/>
    <row r="33855" ht="15.75" customHeight="1"/>
    <row r="33856" ht="15.75" customHeight="1"/>
    <row r="33857" ht="15.75" customHeight="1"/>
    <row r="33858" ht="15.75" customHeight="1"/>
    <row r="33859" ht="15.75" customHeight="1"/>
    <row r="33860" ht="15.75" customHeight="1"/>
    <row r="33861" ht="15.75" customHeight="1"/>
    <row r="33862" ht="15.75" customHeight="1"/>
    <row r="33863" ht="15.75" customHeight="1"/>
    <row r="33864" ht="15.75" customHeight="1"/>
    <row r="33865" ht="15.75" customHeight="1"/>
    <row r="33866" ht="15.75" customHeight="1"/>
    <row r="33867" ht="15.75" customHeight="1"/>
    <row r="33868" ht="15.75" customHeight="1"/>
    <row r="33869" ht="15.75" customHeight="1"/>
    <row r="33870" ht="15.75" customHeight="1"/>
    <row r="33871" ht="15.75" customHeight="1"/>
    <row r="33872" ht="15.75" customHeight="1"/>
    <row r="33873" ht="15.75" customHeight="1"/>
    <row r="33874" ht="15.75" customHeight="1"/>
    <row r="33875" ht="15.75" customHeight="1"/>
    <row r="33876" ht="15.75" customHeight="1"/>
    <row r="33877" ht="15.75" customHeight="1"/>
    <row r="33878" ht="15.75" customHeight="1"/>
    <row r="33879" ht="15.75" customHeight="1"/>
    <row r="33880" ht="15.75" customHeight="1"/>
    <row r="33881" ht="15.75" customHeight="1"/>
    <row r="33882" ht="15.75" customHeight="1"/>
    <row r="33883" ht="15.75" customHeight="1"/>
    <row r="33884" ht="15.75" customHeight="1"/>
    <row r="33885" ht="15.75" customHeight="1"/>
    <row r="33886" ht="15.75" customHeight="1"/>
    <row r="33887" ht="15.75" customHeight="1"/>
    <row r="33888" ht="15.75" customHeight="1"/>
    <row r="33889" ht="15.75" customHeight="1"/>
    <row r="33890" ht="15.75" customHeight="1"/>
    <row r="33891" ht="15.75" customHeight="1"/>
    <row r="33892" ht="15.75" customHeight="1"/>
    <row r="33893" ht="15.75" customHeight="1"/>
    <row r="33894" ht="15.75" customHeight="1"/>
    <row r="33895" ht="15.75" customHeight="1"/>
    <row r="33896" ht="15.75" customHeight="1"/>
    <row r="33897" ht="15.75" customHeight="1"/>
    <row r="33898" ht="15.75" customHeight="1"/>
    <row r="33899" ht="15.75" customHeight="1"/>
    <row r="33900" ht="15.75" customHeight="1"/>
    <row r="33901" ht="15.75" customHeight="1"/>
    <row r="33902" ht="15.75" customHeight="1"/>
    <row r="33903" ht="15.75" customHeight="1"/>
    <row r="33904" ht="15.75" customHeight="1"/>
    <row r="33905" ht="15.75" customHeight="1"/>
    <row r="33906" ht="15.75" customHeight="1"/>
    <row r="33907" ht="15.75" customHeight="1"/>
    <row r="33908" ht="15.75" customHeight="1"/>
    <row r="33909" ht="15.75" customHeight="1"/>
    <row r="33910" ht="15.75" customHeight="1"/>
    <row r="33911" ht="15.75" customHeight="1"/>
    <row r="33912" ht="15.75" customHeight="1"/>
    <row r="33913" ht="15.75" customHeight="1"/>
    <row r="33914" ht="15.75" customHeight="1"/>
    <row r="33915" ht="15.75" customHeight="1"/>
    <row r="33916" ht="15.75" customHeight="1"/>
    <row r="33917" ht="15.75" customHeight="1"/>
    <row r="33918" ht="15.75" customHeight="1"/>
    <row r="33919" ht="15.75" customHeight="1"/>
    <row r="33920" ht="15.75" customHeight="1"/>
    <row r="33921" ht="15.75" customHeight="1"/>
    <row r="33922" ht="15.75" customHeight="1"/>
    <row r="33923" ht="15.75" customHeight="1"/>
    <row r="33924" ht="15.75" customHeight="1"/>
    <row r="33925" ht="15.75" customHeight="1"/>
    <row r="33926" ht="15.75" customHeight="1"/>
    <row r="33927" ht="15.75" customHeight="1"/>
    <row r="33928" ht="15.75" customHeight="1"/>
    <row r="33929" ht="15.75" customHeight="1"/>
    <row r="33930" ht="15.75" customHeight="1"/>
    <row r="33931" ht="15.75" customHeight="1"/>
    <row r="33932" ht="15.75" customHeight="1"/>
    <row r="33933" ht="15.75" customHeight="1"/>
    <row r="33934" ht="15.75" customHeight="1"/>
    <row r="33935" ht="15.75" customHeight="1"/>
    <row r="33936" ht="15.75" customHeight="1"/>
    <row r="33937" ht="15.75" customHeight="1"/>
    <row r="33938" ht="15.75" customHeight="1"/>
    <row r="33939" ht="15.75" customHeight="1"/>
    <row r="33940" ht="15.75" customHeight="1"/>
    <row r="33941" ht="15.75" customHeight="1"/>
    <row r="33942" ht="15.75" customHeight="1"/>
    <row r="33943" ht="15.75" customHeight="1"/>
    <row r="33944" ht="15.75" customHeight="1"/>
    <row r="33945" ht="15.75" customHeight="1"/>
    <row r="33946" ht="15.75" customHeight="1"/>
    <row r="33947" ht="15.75" customHeight="1"/>
    <row r="33948" ht="15.75" customHeight="1"/>
    <row r="33949" ht="15.75" customHeight="1"/>
    <row r="33950" ht="15.75" customHeight="1"/>
    <row r="33951" ht="15.75" customHeight="1"/>
    <row r="33952" ht="15.75" customHeight="1"/>
    <row r="33953" ht="15.75" customHeight="1"/>
    <row r="33954" ht="15.75" customHeight="1"/>
    <row r="33955" ht="15.75" customHeight="1"/>
    <row r="33956" ht="15.75" customHeight="1"/>
    <row r="33957" ht="15.75" customHeight="1"/>
    <row r="33958" ht="15.75" customHeight="1"/>
    <row r="33959" ht="15.75" customHeight="1"/>
    <row r="33960" ht="15.75" customHeight="1"/>
    <row r="33961" ht="15.75" customHeight="1"/>
    <row r="33962" ht="15.75" customHeight="1"/>
    <row r="33963" ht="15.75" customHeight="1"/>
    <row r="33964" ht="15.75" customHeight="1"/>
    <row r="33965" ht="15.75" customHeight="1"/>
    <row r="33966" ht="15.75" customHeight="1"/>
    <row r="33967" ht="15.75" customHeight="1"/>
    <row r="33968" ht="15.75" customHeight="1"/>
    <row r="33969" ht="15.75" customHeight="1"/>
    <row r="33970" ht="15.75" customHeight="1"/>
    <row r="33971" ht="15.75" customHeight="1"/>
    <row r="33972" ht="15.75" customHeight="1"/>
    <row r="33973" ht="15.75" customHeight="1"/>
    <row r="33974" ht="15.75" customHeight="1"/>
    <row r="33975" ht="15.75" customHeight="1"/>
    <row r="33976" ht="15.75" customHeight="1"/>
    <row r="33977" ht="15.75" customHeight="1"/>
    <row r="33978" ht="15.75" customHeight="1"/>
    <row r="33979" ht="15.75" customHeight="1"/>
    <row r="33980" ht="15.75" customHeight="1"/>
    <row r="33981" ht="15.75" customHeight="1"/>
    <row r="33982" ht="15.75" customHeight="1"/>
    <row r="33983" ht="15.75" customHeight="1"/>
    <row r="33984" ht="15.75" customHeight="1"/>
    <row r="33985" ht="15.75" customHeight="1"/>
    <row r="33986" ht="15.75" customHeight="1"/>
    <row r="33987" ht="15.75" customHeight="1"/>
    <row r="33988" ht="15.75" customHeight="1"/>
    <row r="33989" ht="15.75" customHeight="1"/>
    <row r="33990" ht="15.75" customHeight="1"/>
    <row r="33991" ht="15.75" customHeight="1"/>
    <row r="33992" ht="15.75" customHeight="1"/>
    <row r="33993" ht="15.75" customHeight="1"/>
    <row r="33994" ht="15.75" customHeight="1"/>
    <row r="33995" ht="15.75" customHeight="1"/>
    <row r="33996" ht="15.75" customHeight="1"/>
    <row r="33997" ht="15.75" customHeight="1"/>
    <row r="33998" ht="15.75" customHeight="1"/>
    <row r="33999" ht="15.75" customHeight="1"/>
    <row r="34000" ht="15.75" customHeight="1"/>
    <row r="34001" ht="15.75" customHeight="1"/>
    <row r="34002" ht="15.75" customHeight="1"/>
    <row r="34003" ht="15.75" customHeight="1"/>
    <row r="34004" ht="15.75" customHeight="1"/>
    <row r="34005" ht="15.75" customHeight="1"/>
    <row r="34006" ht="15.75" customHeight="1"/>
    <row r="34007" ht="15.75" customHeight="1"/>
    <row r="34008" ht="15.75" customHeight="1"/>
    <row r="34009" ht="15.75" customHeight="1"/>
    <row r="34010" ht="15.75" customHeight="1"/>
    <row r="34011" ht="15.75" customHeight="1"/>
    <row r="34012" ht="15.75" customHeight="1"/>
    <row r="34013" ht="15.75" customHeight="1"/>
    <row r="34014" ht="15.75" customHeight="1"/>
    <row r="34015" ht="15.75" customHeight="1"/>
    <row r="34016" ht="15.75" customHeight="1"/>
    <row r="34017" ht="15.75" customHeight="1"/>
    <row r="34018" ht="15.75" customHeight="1"/>
    <row r="34019" ht="15.75" customHeight="1"/>
    <row r="34020" ht="15.75" customHeight="1"/>
    <row r="34021" ht="15.75" customHeight="1"/>
    <row r="34022" ht="15.75" customHeight="1"/>
    <row r="34023" ht="15.75" customHeight="1"/>
    <row r="34024" ht="15.75" customHeight="1"/>
    <row r="34025" ht="15.75" customHeight="1"/>
    <row r="34026" ht="15.75" customHeight="1"/>
    <row r="34027" ht="15.75" customHeight="1"/>
    <row r="34028" ht="15.75" customHeight="1"/>
    <row r="34029" ht="15.75" customHeight="1"/>
    <row r="34030" ht="15.75" customHeight="1"/>
    <row r="34031" ht="15.75" customHeight="1"/>
    <row r="34032" ht="15.75" customHeight="1"/>
    <row r="34033" ht="15.75" customHeight="1"/>
    <row r="34034" ht="15.75" customHeight="1"/>
    <row r="34035" ht="15.75" customHeight="1"/>
    <row r="34036" ht="15.75" customHeight="1"/>
    <row r="34037" ht="15.75" customHeight="1"/>
    <row r="34038" ht="15.75" customHeight="1"/>
    <row r="34039" ht="15.75" customHeight="1"/>
    <row r="34040" ht="15.75" customHeight="1"/>
    <row r="34041" ht="15.75" customHeight="1"/>
    <row r="34042" ht="15.75" customHeight="1"/>
    <row r="34043" ht="15.75" customHeight="1"/>
    <row r="34044" ht="15.75" customHeight="1"/>
    <row r="34045" ht="15.75" customHeight="1"/>
    <row r="34046" ht="15.75" customHeight="1"/>
    <row r="34047" ht="15.75" customHeight="1"/>
    <row r="34048" ht="15.75" customHeight="1"/>
    <row r="34049" ht="15.75" customHeight="1"/>
    <row r="34050" ht="15.75" customHeight="1"/>
    <row r="34051" ht="15.75" customHeight="1"/>
    <row r="34052" ht="15.75" customHeight="1"/>
    <row r="34053" ht="15.75" customHeight="1"/>
    <row r="34054" ht="15.75" customHeight="1"/>
    <row r="34055" ht="15.75" customHeight="1"/>
    <row r="34056" ht="15.75" customHeight="1"/>
    <row r="34057" ht="15.75" customHeight="1"/>
    <row r="34058" ht="15.75" customHeight="1"/>
    <row r="34059" ht="15.75" customHeight="1"/>
    <row r="34060" ht="15.75" customHeight="1"/>
    <row r="34061" ht="15.75" customHeight="1"/>
    <row r="34062" ht="15.75" customHeight="1"/>
    <row r="34063" ht="15.75" customHeight="1"/>
    <row r="34064" ht="15.75" customHeight="1"/>
    <row r="34065" ht="15.75" customHeight="1"/>
    <row r="34066" ht="15.75" customHeight="1"/>
    <row r="34067" ht="15.75" customHeight="1"/>
    <row r="34068" ht="15.75" customHeight="1"/>
    <row r="34069" ht="15.75" customHeight="1"/>
    <row r="34070" ht="15.75" customHeight="1"/>
    <row r="34071" ht="15.75" customHeight="1"/>
    <row r="34072" ht="15.75" customHeight="1"/>
    <row r="34073" ht="15.75" customHeight="1"/>
    <row r="34074" ht="15.75" customHeight="1"/>
    <row r="34075" ht="15.75" customHeight="1"/>
    <row r="34076" ht="15.75" customHeight="1"/>
    <row r="34077" ht="15.75" customHeight="1"/>
    <row r="34078" ht="15.75" customHeight="1"/>
    <row r="34079" ht="15.75" customHeight="1"/>
    <row r="34080" ht="15.75" customHeight="1"/>
    <row r="34081" ht="15.75" customHeight="1"/>
    <row r="34082" ht="15.75" customHeight="1"/>
    <row r="34083" ht="15.75" customHeight="1"/>
    <row r="34084" ht="15.75" customHeight="1"/>
    <row r="34085" ht="15.75" customHeight="1"/>
    <row r="34086" ht="15.75" customHeight="1"/>
    <row r="34087" ht="15.75" customHeight="1"/>
    <row r="34088" ht="15.75" customHeight="1"/>
    <row r="34089" ht="15.75" customHeight="1"/>
    <row r="34090" ht="15.75" customHeight="1"/>
    <row r="34091" ht="15.75" customHeight="1"/>
    <row r="34092" ht="15.75" customHeight="1"/>
    <row r="34093" ht="15.75" customHeight="1"/>
    <row r="34094" ht="15.75" customHeight="1"/>
    <row r="34095" ht="15.75" customHeight="1"/>
    <row r="34096" ht="15.75" customHeight="1"/>
    <row r="34097" ht="15.75" customHeight="1"/>
    <row r="34098" ht="15.75" customHeight="1"/>
    <row r="34099" ht="15.75" customHeight="1"/>
    <row r="34100" ht="15.75" customHeight="1"/>
    <row r="34101" ht="15.75" customHeight="1"/>
    <row r="34102" ht="15.75" customHeight="1"/>
    <row r="34103" ht="15.75" customHeight="1"/>
    <row r="34104" ht="15.75" customHeight="1"/>
    <row r="34105" ht="15.75" customHeight="1"/>
    <row r="34106" ht="15.75" customHeight="1"/>
    <row r="34107" ht="15.75" customHeight="1"/>
    <row r="34108" ht="15.75" customHeight="1"/>
    <row r="34109" ht="15.75" customHeight="1"/>
    <row r="34110" ht="15.75" customHeight="1"/>
    <row r="34111" ht="15.75" customHeight="1"/>
    <row r="34112" ht="15.75" customHeight="1"/>
    <row r="34113" ht="15.75" customHeight="1"/>
    <row r="34114" ht="15.75" customHeight="1"/>
    <row r="34115" ht="15.75" customHeight="1"/>
    <row r="34116" ht="15.75" customHeight="1"/>
    <row r="34117" ht="15.75" customHeight="1"/>
    <row r="34118" ht="15.75" customHeight="1"/>
    <row r="34119" ht="15.75" customHeight="1"/>
    <row r="34120" ht="15.75" customHeight="1"/>
    <row r="34121" ht="15.75" customHeight="1"/>
    <row r="34122" ht="15.75" customHeight="1"/>
    <row r="34123" ht="15.75" customHeight="1"/>
    <row r="34124" ht="15.75" customHeight="1"/>
    <row r="34125" ht="15.75" customHeight="1"/>
    <row r="34126" ht="15.75" customHeight="1"/>
    <row r="34127" ht="15.75" customHeight="1"/>
    <row r="34128" ht="15.75" customHeight="1"/>
    <row r="34129" ht="15.75" customHeight="1"/>
    <row r="34130" ht="15.75" customHeight="1"/>
    <row r="34131" ht="15.75" customHeight="1"/>
    <row r="34132" ht="15.75" customHeight="1"/>
    <row r="34133" ht="15.75" customHeight="1"/>
    <row r="34134" ht="15.75" customHeight="1"/>
    <row r="34135" ht="15.75" customHeight="1"/>
    <row r="34136" ht="15.75" customHeight="1"/>
    <row r="34137" ht="15.75" customHeight="1"/>
    <row r="34138" ht="15.75" customHeight="1"/>
    <row r="34139" ht="15.75" customHeight="1"/>
    <row r="34140" ht="15.75" customHeight="1"/>
    <row r="34141" ht="15.75" customHeight="1"/>
    <row r="34142" ht="15.75" customHeight="1"/>
    <row r="34143" ht="15.75" customHeight="1"/>
    <row r="34144" ht="15.75" customHeight="1"/>
    <row r="34145" ht="15.75" customHeight="1"/>
    <row r="34146" ht="15.75" customHeight="1"/>
    <row r="34147" ht="15.75" customHeight="1"/>
    <row r="34148" ht="15.75" customHeight="1"/>
    <row r="34149" ht="15.75" customHeight="1"/>
    <row r="34150" ht="15.75" customHeight="1"/>
    <row r="34151" ht="15.75" customHeight="1"/>
    <row r="34152" ht="15.75" customHeight="1"/>
    <row r="34153" ht="15.75" customHeight="1"/>
    <row r="34154" ht="15.75" customHeight="1"/>
    <row r="34155" ht="15.75" customHeight="1"/>
    <row r="34156" ht="15.75" customHeight="1"/>
    <row r="34157" ht="15.75" customHeight="1"/>
    <row r="34158" ht="15.75" customHeight="1"/>
    <row r="34159" ht="15.75" customHeight="1"/>
    <row r="34160" ht="15.75" customHeight="1"/>
    <row r="34161" ht="15.75" customHeight="1"/>
    <row r="34162" ht="15.75" customHeight="1"/>
    <row r="34163" ht="15.75" customHeight="1"/>
    <row r="34164" ht="15.75" customHeight="1"/>
    <row r="34165" ht="15.75" customHeight="1"/>
    <row r="34166" ht="15.75" customHeight="1"/>
    <row r="34167" ht="15.75" customHeight="1"/>
    <row r="34168" ht="15.75" customHeight="1"/>
    <row r="34169" ht="15.75" customHeight="1"/>
    <row r="34170" ht="15.75" customHeight="1"/>
    <row r="34171" ht="15.75" customHeight="1"/>
    <row r="34172" ht="15.75" customHeight="1"/>
    <row r="34173" ht="15.75" customHeight="1"/>
    <row r="34174" ht="15.75" customHeight="1"/>
    <row r="34175" ht="15.75" customHeight="1"/>
    <row r="34176" ht="15.75" customHeight="1"/>
    <row r="34177" ht="15.75" customHeight="1"/>
    <row r="34178" ht="15.75" customHeight="1"/>
    <row r="34179" ht="15.75" customHeight="1"/>
    <row r="34180" ht="15.75" customHeight="1"/>
    <row r="34181" ht="15.75" customHeight="1"/>
    <row r="34182" ht="15.75" customHeight="1"/>
    <row r="34183" ht="15.75" customHeight="1"/>
    <row r="34184" ht="15.75" customHeight="1"/>
    <row r="34185" ht="15.75" customHeight="1"/>
    <row r="34186" ht="15.75" customHeight="1"/>
    <row r="34187" ht="15.75" customHeight="1"/>
    <row r="34188" ht="15.75" customHeight="1"/>
    <row r="34189" ht="15.75" customHeight="1"/>
    <row r="34190" ht="15.75" customHeight="1"/>
    <row r="34191" ht="15.75" customHeight="1"/>
    <row r="34192" ht="15.75" customHeight="1"/>
    <row r="34193" ht="15.75" customHeight="1"/>
    <row r="34194" ht="15.75" customHeight="1"/>
    <row r="34195" ht="15.75" customHeight="1"/>
    <row r="34196" ht="15.75" customHeight="1"/>
    <row r="34197" ht="15.75" customHeight="1"/>
    <row r="34198" ht="15.75" customHeight="1"/>
    <row r="34199" ht="15.75" customHeight="1"/>
    <row r="34200" ht="15.75" customHeight="1"/>
    <row r="34201" ht="15.75" customHeight="1"/>
    <row r="34202" ht="15.75" customHeight="1"/>
    <row r="34203" ht="15.75" customHeight="1"/>
    <row r="34204" ht="15.75" customHeight="1"/>
    <row r="34205" ht="15.75" customHeight="1"/>
    <row r="34206" ht="15.75" customHeight="1"/>
    <row r="34207" ht="15.75" customHeight="1"/>
    <row r="34208" ht="15.75" customHeight="1"/>
    <row r="34209" ht="15.75" customHeight="1"/>
    <row r="34210" ht="15.75" customHeight="1"/>
    <row r="34211" ht="15.75" customHeight="1"/>
    <row r="34212" ht="15.75" customHeight="1"/>
    <row r="34213" ht="15.75" customHeight="1"/>
    <row r="34214" ht="15.75" customHeight="1"/>
    <row r="34215" ht="15.75" customHeight="1"/>
    <row r="34216" ht="15.75" customHeight="1"/>
    <row r="34217" ht="15.75" customHeight="1"/>
    <row r="34218" ht="15.75" customHeight="1"/>
    <row r="34219" ht="15.75" customHeight="1"/>
    <row r="34220" ht="15.75" customHeight="1"/>
    <row r="34221" ht="15.75" customHeight="1"/>
    <row r="34222" ht="15.75" customHeight="1"/>
    <row r="34223" ht="15.75" customHeight="1"/>
    <row r="34224" ht="15.75" customHeight="1"/>
    <row r="34225" ht="15.75" customHeight="1"/>
    <row r="34226" ht="15.75" customHeight="1"/>
    <row r="34227" ht="15.75" customHeight="1"/>
    <row r="34228" ht="15.75" customHeight="1"/>
    <row r="34229" ht="15.75" customHeight="1"/>
    <row r="34230" ht="15.75" customHeight="1"/>
    <row r="34231" ht="15.75" customHeight="1"/>
    <row r="34232" ht="15.75" customHeight="1"/>
    <row r="34233" ht="15.75" customHeight="1"/>
    <row r="34234" ht="15.75" customHeight="1"/>
    <row r="34235" ht="15.75" customHeight="1"/>
    <row r="34236" ht="15.75" customHeight="1"/>
    <row r="34237" ht="15.75" customHeight="1"/>
    <row r="34238" ht="15.75" customHeight="1"/>
    <row r="34239" ht="15.75" customHeight="1"/>
    <row r="34240" ht="15.75" customHeight="1"/>
    <row r="34241" ht="15.75" customHeight="1"/>
    <row r="34242" ht="15.75" customHeight="1"/>
    <row r="34243" ht="15.75" customHeight="1"/>
    <row r="34244" ht="15.75" customHeight="1"/>
    <row r="34245" ht="15.75" customHeight="1"/>
    <row r="34246" ht="15.75" customHeight="1"/>
    <row r="34247" ht="15.75" customHeight="1"/>
    <row r="34248" ht="15.75" customHeight="1"/>
    <row r="34249" ht="15.75" customHeight="1"/>
    <row r="34250" ht="15.75" customHeight="1"/>
    <row r="34251" ht="15.75" customHeight="1"/>
    <row r="34252" ht="15.75" customHeight="1"/>
    <row r="34253" ht="15.75" customHeight="1"/>
    <row r="34254" ht="15.75" customHeight="1"/>
    <row r="34255" ht="15.75" customHeight="1"/>
    <row r="34256" ht="15.75" customHeight="1"/>
    <row r="34257" ht="15.75" customHeight="1"/>
    <row r="34258" ht="15.75" customHeight="1"/>
    <row r="34259" ht="15.75" customHeight="1"/>
    <row r="34260" ht="15.75" customHeight="1"/>
    <row r="34261" ht="15.75" customHeight="1"/>
    <row r="34262" ht="15.75" customHeight="1"/>
    <row r="34263" ht="15.75" customHeight="1"/>
    <row r="34264" ht="15.75" customHeight="1"/>
    <row r="34265" ht="15.75" customHeight="1"/>
    <row r="34266" ht="15.75" customHeight="1"/>
    <row r="34267" ht="15.75" customHeight="1"/>
    <row r="34268" ht="15.75" customHeight="1"/>
    <row r="34269" ht="15.75" customHeight="1"/>
    <row r="34270" ht="15.75" customHeight="1"/>
    <row r="34271" ht="15.75" customHeight="1"/>
    <row r="34272" ht="15.75" customHeight="1"/>
    <row r="34273" ht="15.75" customHeight="1"/>
    <row r="34274" ht="15.75" customHeight="1"/>
    <row r="34275" ht="15.75" customHeight="1"/>
    <row r="34276" ht="15.75" customHeight="1"/>
    <row r="34277" ht="15.75" customHeight="1"/>
    <row r="34278" ht="15.75" customHeight="1"/>
    <row r="34279" ht="15.75" customHeight="1"/>
    <row r="34280" ht="15.75" customHeight="1"/>
    <row r="34281" ht="15.75" customHeight="1"/>
    <row r="34282" ht="15.75" customHeight="1"/>
    <row r="34283" ht="15.75" customHeight="1"/>
    <row r="34284" ht="15.75" customHeight="1"/>
    <row r="34285" ht="15.75" customHeight="1"/>
    <row r="34286" ht="15.75" customHeight="1"/>
    <row r="34287" ht="15.75" customHeight="1"/>
    <row r="34288" ht="15.75" customHeight="1"/>
    <row r="34289" ht="15.75" customHeight="1"/>
    <row r="34290" ht="15.75" customHeight="1"/>
    <row r="34291" ht="15.75" customHeight="1"/>
    <row r="34292" ht="15.75" customHeight="1"/>
    <row r="34293" ht="15.75" customHeight="1"/>
    <row r="34294" ht="15.75" customHeight="1"/>
    <row r="34295" ht="15.75" customHeight="1"/>
    <row r="34296" ht="15.75" customHeight="1"/>
    <row r="34297" ht="15.75" customHeight="1"/>
    <row r="34298" ht="15.75" customHeight="1"/>
    <row r="34299" ht="15.75" customHeight="1"/>
    <row r="34300" ht="15.75" customHeight="1"/>
    <row r="34301" ht="15.75" customHeight="1"/>
    <row r="34302" ht="15.75" customHeight="1"/>
    <row r="34303" ht="15.75" customHeight="1"/>
    <row r="34304" ht="15.75" customHeight="1"/>
    <row r="34305" ht="15.75" customHeight="1"/>
    <row r="34306" ht="15.75" customHeight="1"/>
    <row r="34307" ht="15.75" customHeight="1"/>
    <row r="34308" ht="15.75" customHeight="1"/>
    <row r="34309" ht="15.75" customHeight="1"/>
    <row r="34310" ht="15.75" customHeight="1"/>
    <row r="34311" ht="15.75" customHeight="1"/>
    <row r="34312" ht="15.75" customHeight="1"/>
    <row r="34313" ht="15.75" customHeight="1"/>
    <row r="34314" ht="15.75" customHeight="1"/>
    <row r="34315" ht="15.75" customHeight="1"/>
    <row r="34316" ht="15.75" customHeight="1"/>
    <row r="34317" ht="15.75" customHeight="1"/>
    <row r="34318" ht="15.75" customHeight="1"/>
    <row r="34319" ht="15.75" customHeight="1"/>
    <row r="34320" ht="15.75" customHeight="1"/>
    <row r="34321" ht="15.75" customHeight="1"/>
    <row r="34322" ht="15.75" customHeight="1"/>
    <row r="34323" ht="15.75" customHeight="1"/>
    <row r="34324" ht="15.75" customHeight="1"/>
    <row r="34325" ht="15.75" customHeight="1"/>
    <row r="34326" ht="15.75" customHeight="1"/>
    <row r="34327" ht="15.75" customHeight="1"/>
    <row r="34328" ht="15.75" customHeight="1"/>
    <row r="34329" ht="15.75" customHeight="1"/>
    <row r="34330" ht="15.75" customHeight="1"/>
    <row r="34331" ht="15.75" customHeight="1"/>
    <row r="34332" ht="15.75" customHeight="1"/>
    <row r="34333" ht="15.75" customHeight="1"/>
    <row r="34334" ht="15.75" customHeight="1"/>
    <row r="34335" ht="15.75" customHeight="1"/>
    <row r="34336" ht="15.75" customHeight="1"/>
    <row r="34337" ht="15.75" customHeight="1"/>
    <row r="34338" ht="15.75" customHeight="1"/>
    <row r="34339" ht="15.75" customHeight="1"/>
    <row r="34340" ht="15.75" customHeight="1"/>
    <row r="34341" ht="15.75" customHeight="1"/>
    <row r="34342" ht="15.75" customHeight="1"/>
    <row r="34343" ht="15.75" customHeight="1"/>
    <row r="34344" ht="15.75" customHeight="1"/>
    <row r="34345" ht="15.75" customHeight="1"/>
    <row r="34346" ht="15.75" customHeight="1"/>
    <row r="34347" ht="15.75" customHeight="1"/>
    <row r="34348" ht="15.75" customHeight="1"/>
    <row r="34349" ht="15.75" customHeight="1"/>
    <row r="34350" ht="15.75" customHeight="1"/>
    <row r="34351" ht="15.75" customHeight="1"/>
    <row r="34352" ht="15.75" customHeight="1"/>
    <row r="34353" ht="15.75" customHeight="1"/>
    <row r="34354" ht="15.75" customHeight="1"/>
    <row r="34355" ht="15.75" customHeight="1"/>
    <row r="34356" ht="15.75" customHeight="1"/>
    <row r="34357" ht="15.75" customHeight="1"/>
    <row r="34358" ht="15.75" customHeight="1"/>
    <row r="34359" ht="15.75" customHeight="1"/>
    <row r="34360" ht="15.75" customHeight="1"/>
    <row r="34361" ht="15.75" customHeight="1"/>
    <row r="34362" ht="15.75" customHeight="1"/>
    <row r="34363" ht="15.75" customHeight="1"/>
    <row r="34364" ht="15.75" customHeight="1"/>
    <row r="34365" ht="15.75" customHeight="1"/>
    <row r="34366" ht="15.75" customHeight="1"/>
    <row r="34367" ht="15.75" customHeight="1"/>
    <row r="34368" ht="15.75" customHeight="1"/>
    <row r="34369" ht="15.75" customHeight="1"/>
    <row r="34370" ht="15.75" customHeight="1"/>
    <row r="34371" ht="15.75" customHeight="1"/>
    <row r="34372" ht="15.75" customHeight="1"/>
    <row r="34373" ht="15.75" customHeight="1"/>
    <row r="34374" ht="15.75" customHeight="1"/>
    <row r="34375" ht="15.75" customHeight="1"/>
    <row r="34376" ht="15.75" customHeight="1"/>
    <row r="34377" ht="15.75" customHeight="1"/>
    <row r="34378" ht="15.75" customHeight="1"/>
    <row r="34379" ht="15.75" customHeight="1"/>
    <row r="34380" ht="15.75" customHeight="1"/>
    <row r="34381" ht="15.75" customHeight="1"/>
    <row r="34382" ht="15.75" customHeight="1"/>
    <row r="34383" ht="15.75" customHeight="1"/>
    <row r="34384" ht="15.75" customHeight="1"/>
    <row r="34385" ht="15.75" customHeight="1"/>
    <row r="34386" ht="15.75" customHeight="1"/>
    <row r="34387" ht="15.75" customHeight="1"/>
    <row r="34388" ht="15.75" customHeight="1"/>
    <row r="34389" ht="15.75" customHeight="1"/>
    <row r="34390" ht="15.75" customHeight="1"/>
    <row r="34391" ht="15.75" customHeight="1"/>
    <row r="34392" ht="15.75" customHeight="1"/>
    <row r="34393" ht="15.75" customHeight="1"/>
    <row r="34394" ht="15.75" customHeight="1"/>
    <row r="34395" ht="15.75" customHeight="1"/>
    <row r="34396" ht="15.75" customHeight="1"/>
    <row r="34397" ht="15.75" customHeight="1"/>
    <row r="34398" ht="15.75" customHeight="1"/>
    <row r="34399" ht="15.75" customHeight="1"/>
    <row r="34400" ht="15.75" customHeight="1"/>
    <row r="34401" ht="15.75" customHeight="1"/>
    <row r="34402" ht="15.75" customHeight="1"/>
    <row r="34403" ht="15.75" customHeight="1"/>
    <row r="34404" ht="15.75" customHeight="1"/>
    <row r="34405" ht="15.75" customHeight="1"/>
    <row r="34406" ht="15.75" customHeight="1"/>
    <row r="34407" ht="15.75" customHeight="1"/>
    <row r="34408" ht="15.75" customHeight="1"/>
    <row r="34409" ht="15.75" customHeight="1"/>
    <row r="34410" ht="15.75" customHeight="1"/>
    <row r="34411" ht="15.75" customHeight="1"/>
    <row r="34412" ht="15.75" customHeight="1"/>
    <row r="34413" ht="15.75" customHeight="1"/>
    <row r="34414" ht="15.75" customHeight="1"/>
    <row r="34415" ht="15.75" customHeight="1"/>
    <row r="34416" ht="15.75" customHeight="1"/>
    <row r="34417" ht="15.75" customHeight="1"/>
    <row r="34418" ht="15.75" customHeight="1"/>
    <row r="34419" ht="15.75" customHeight="1"/>
    <row r="34420" ht="15.75" customHeight="1"/>
    <row r="34421" ht="15.75" customHeight="1"/>
    <row r="34422" ht="15.75" customHeight="1"/>
    <row r="34423" ht="15.75" customHeight="1"/>
    <row r="34424" ht="15.75" customHeight="1"/>
    <row r="34425" ht="15.75" customHeight="1"/>
    <row r="34426" ht="15.75" customHeight="1"/>
    <row r="34427" ht="15.75" customHeight="1"/>
    <row r="34428" ht="15.75" customHeight="1"/>
    <row r="34429" ht="15.75" customHeight="1"/>
    <row r="34430" ht="15.75" customHeight="1"/>
    <row r="34431" ht="15.75" customHeight="1"/>
    <row r="34432" ht="15.75" customHeight="1"/>
    <row r="34433" ht="15.75" customHeight="1"/>
    <row r="34434" ht="15.75" customHeight="1"/>
    <row r="34435" ht="15.75" customHeight="1"/>
    <row r="34436" ht="15.75" customHeight="1"/>
    <row r="34437" ht="15.75" customHeight="1"/>
    <row r="34438" ht="15.75" customHeight="1"/>
    <row r="34439" ht="15.75" customHeight="1"/>
    <row r="34440" ht="15.75" customHeight="1"/>
    <row r="34441" ht="15.75" customHeight="1"/>
    <row r="34442" ht="15.75" customHeight="1"/>
    <row r="34443" ht="15.75" customHeight="1"/>
    <row r="34444" ht="15.75" customHeight="1"/>
    <row r="34445" ht="15.75" customHeight="1"/>
    <row r="34446" ht="15.75" customHeight="1"/>
    <row r="34447" ht="15.75" customHeight="1"/>
    <row r="34448" ht="15.75" customHeight="1"/>
    <row r="34449" ht="15.75" customHeight="1"/>
    <row r="34450" ht="15.75" customHeight="1"/>
    <row r="34451" ht="15.75" customHeight="1"/>
    <row r="34452" ht="15.75" customHeight="1"/>
    <row r="34453" ht="15.75" customHeight="1"/>
    <row r="34454" ht="15.75" customHeight="1"/>
    <row r="34455" ht="15.75" customHeight="1"/>
    <row r="34456" ht="15.75" customHeight="1"/>
    <row r="34457" ht="15.75" customHeight="1"/>
    <row r="34458" ht="15.75" customHeight="1"/>
    <row r="34459" ht="15.75" customHeight="1"/>
    <row r="34460" ht="15.75" customHeight="1"/>
    <row r="34461" ht="15.75" customHeight="1"/>
    <row r="34462" ht="15.75" customHeight="1"/>
    <row r="34463" ht="15.75" customHeight="1"/>
    <row r="34464" ht="15.75" customHeight="1"/>
    <row r="34465" ht="15.75" customHeight="1"/>
    <row r="34466" ht="15.75" customHeight="1"/>
    <row r="34467" ht="15.75" customHeight="1"/>
    <row r="34468" ht="15.75" customHeight="1"/>
    <row r="34469" ht="15.75" customHeight="1"/>
    <row r="34470" ht="15.75" customHeight="1"/>
    <row r="34471" ht="15.75" customHeight="1"/>
    <row r="34472" ht="15.75" customHeight="1"/>
    <row r="34473" ht="15.75" customHeight="1"/>
    <row r="34474" ht="15.75" customHeight="1"/>
    <row r="34475" ht="15.75" customHeight="1"/>
    <row r="34476" ht="15.75" customHeight="1"/>
    <row r="34477" ht="15.75" customHeight="1"/>
    <row r="34478" ht="15.75" customHeight="1"/>
    <row r="34479" ht="15.75" customHeight="1"/>
    <row r="34480" ht="15.75" customHeight="1"/>
    <row r="34481" ht="15.75" customHeight="1"/>
    <row r="34482" ht="15.75" customHeight="1"/>
    <row r="34483" ht="15.75" customHeight="1"/>
    <row r="34484" ht="15.75" customHeight="1"/>
    <row r="34485" ht="15.75" customHeight="1"/>
    <row r="34486" ht="15.75" customHeight="1"/>
    <row r="34487" ht="15.75" customHeight="1"/>
    <row r="34488" ht="15.75" customHeight="1"/>
    <row r="34489" ht="15.75" customHeight="1"/>
    <row r="34490" ht="15.75" customHeight="1"/>
    <row r="34491" ht="15.75" customHeight="1"/>
    <row r="34492" ht="15.75" customHeight="1"/>
    <row r="34493" ht="15.75" customHeight="1"/>
    <row r="34494" ht="15.75" customHeight="1"/>
    <row r="34495" ht="15.75" customHeight="1"/>
    <row r="34496" ht="15.75" customHeight="1"/>
    <row r="34497" ht="15.75" customHeight="1"/>
    <row r="34498" ht="15.75" customHeight="1"/>
    <row r="34499" ht="15.75" customHeight="1"/>
    <row r="34500" ht="15.75" customHeight="1"/>
    <row r="34501" ht="15.75" customHeight="1"/>
    <row r="34502" ht="15.75" customHeight="1"/>
    <row r="34503" ht="15.75" customHeight="1"/>
    <row r="34504" ht="15.75" customHeight="1"/>
    <row r="34505" ht="15.75" customHeight="1"/>
    <row r="34506" ht="15.75" customHeight="1"/>
    <row r="34507" ht="15.75" customHeight="1"/>
    <row r="34508" ht="15.75" customHeight="1"/>
    <row r="34509" ht="15.75" customHeight="1"/>
    <row r="34510" ht="15.75" customHeight="1"/>
    <row r="34511" ht="15.75" customHeight="1"/>
    <row r="34512" ht="15.75" customHeight="1"/>
    <row r="34513" ht="15.75" customHeight="1"/>
    <row r="34514" ht="15.75" customHeight="1"/>
    <row r="34515" ht="15.75" customHeight="1"/>
    <row r="34516" ht="15.75" customHeight="1"/>
    <row r="34517" ht="15.75" customHeight="1"/>
    <row r="34518" ht="15.75" customHeight="1"/>
    <row r="34519" ht="15.75" customHeight="1"/>
    <row r="34520" ht="15.75" customHeight="1"/>
    <row r="34521" ht="15.75" customHeight="1"/>
    <row r="34522" ht="15.75" customHeight="1"/>
    <row r="34523" ht="15.75" customHeight="1"/>
    <row r="34524" ht="15.75" customHeight="1"/>
    <row r="34525" ht="15.75" customHeight="1"/>
    <row r="34526" ht="15.75" customHeight="1"/>
    <row r="34527" ht="15.75" customHeight="1"/>
    <row r="34528" ht="15.75" customHeight="1"/>
    <row r="34529" ht="15.75" customHeight="1"/>
    <row r="34530" ht="15.75" customHeight="1"/>
    <row r="34531" ht="15.75" customHeight="1"/>
    <row r="34532" ht="15.75" customHeight="1"/>
    <row r="34533" ht="15.75" customHeight="1"/>
    <row r="34534" ht="15.75" customHeight="1"/>
    <row r="34535" ht="15.75" customHeight="1"/>
    <row r="34536" ht="15.75" customHeight="1"/>
    <row r="34537" ht="15.75" customHeight="1"/>
    <row r="34538" ht="15.75" customHeight="1"/>
    <row r="34539" ht="15.75" customHeight="1"/>
    <row r="34540" ht="15.75" customHeight="1"/>
    <row r="34541" ht="15.75" customHeight="1"/>
    <row r="34542" ht="15.75" customHeight="1"/>
    <row r="34543" ht="15.75" customHeight="1"/>
    <row r="34544" ht="15.75" customHeight="1"/>
    <row r="34545" ht="15.75" customHeight="1"/>
    <row r="34546" ht="15.75" customHeight="1"/>
    <row r="34547" ht="15.75" customHeight="1"/>
    <row r="34548" ht="15.75" customHeight="1"/>
    <row r="34549" ht="15.75" customHeight="1"/>
    <row r="34550" ht="15.75" customHeight="1"/>
    <row r="34551" ht="15.75" customHeight="1"/>
    <row r="34552" ht="15.75" customHeight="1"/>
    <row r="34553" ht="15.75" customHeight="1"/>
    <row r="34554" ht="15.75" customHeight="1"/>
    <row r="34555" ht="15.75" customHeight="1"/>
    <row r="34556" ht="15.75" customHeight="1"/>
    <row r="34557" ht="15.75" customHeight="1"/>
    <row r="34558" ht="15.75" customHeight="1"/>
    <row r="34559" ht="15.75" customHeight="1"/>
    <row r="34560" ht="15.75" customHeight="1"/>
    <row r="34561" ht="15.75" customHeight="1"/>
    <row r="34562" ht="15.75" customHeight="1"/>
    <row r="34563" ht="15.75" customHeight="1"/>
    <row r="34564" ht="15.75" customHeight="1"/>
    <row r="34565" ht="15.75" customHeight="1"/>
    <row r="34566" ht="15.75" customHeight="1"/>
    <row r="34567" ht="15.75" customHeight="1"/>
    <row r="34568" ht="15.75" customHeight="1"/>
    <row r="34569" ht="15.75" customHeight="1"/>
    <row r="34570" ht="15.75" customHeight="1"/>
    <row r="34571" ht="15.75" customHeight="1"/>
    <row r="34572" ht="15.75" customHeight="1"/>
    <row r="34573" ht="15.75" customHeight="1"/>
    <row r="34574" ht="15.75" customHeight="1"/>
    <row r="34575" ht="15.75" customHeight="1"/>
    <row r="34576" ht="15.75" customHeight="1"/>
    <row r="34577" ht="15.75" customHeight="1"/>
    <row r="34578" ht="15.75" customHeight="1"/>
    <row r="34579" ht="15.75" customHeight="1"/>
    <row r="34580" ht="15.75" customHeight="1"/>
    <row r="34581" ht="15.75" customHeight="1"/>
    <row r="34582" ht="15.75" customHeight="1"/>
    <row r="34583" ht="15.75" customHeight="1"/>
    <row r="34584" ht="15.75" customHeight="1"/>
    <row r="34585" ht="15.75" customHeight="1"/>
    <row r="34586" ht="15.75" customHeight="1"/>
    <row r="34587" ht="15.75" customHeight="1"/>
    <row r="34588" ht="15.75" customHeight="1"/>
    <row r="34589" ht="15.75" customHeight="1"/>
    <row r="34590" ht="15.75" customHeight="1"/>
    <row r="34591" ht="15.75" customHeight="1"/>
    <row r="34592" ht="15.75" customHeight="1"/>
    <row r="34593" ht="15.75" customHeight="1"/>
    <row r="34594" ht="15.75" customHeight="1"/>
    <row r="34595" ht="15.75" customHeight="1"/>
    <row r="34596" ht="15.75" customHeight="1"/>
    <row r="34597" ht="15.75" customHeight="1"/>
    <row r="34598" ht="15.75" customHeight="1"/>
    <row r="34599" ht="15.75" customHeight="1"/>
    <row r="34600" ht="15.75" customHeight="1"/>
    <row r="34601" ht="15.75" customHeight="1"/>
    <row r="34602" ht="15.75" customHeight="1"/>
    <row r="34603" ht="15.75" customHeight="1"/>
    <row r="34604" ht="15.75" customHeight="1"/>
    <row r="34605" ht="15.75" customHeight="1"/>
    <row r="34606" ht="15.75" customHeight="1"/>
    <row r="34607" ht="15.75" customHeight="1"/>
    <row r="34608" ht="15.75" customHeight="1"/>
    <row r="34609" ht="15.75" customHeight="1"/>
    <row r="34610" ht="15.75" customHeight="1"/>
    <row r="34611" ht="15.75" customHeight="1"/>
    <row r="34612" ht="15.75" customHeight="1"/>
    <row r="34613" ht="15.75" customHeight="1"/>
    <row r="34614" ht="15.75" customHeight="1"/>
    <row r="34615" ht="15.75" customHeight="1"/>
    <row r="34616" ht="15.75" customHeight="1"/>
    <row r="34617" ht="15.75" customHeight="1"/>
    <row r="34618" ht="15.75" customHeight="1"/>
    <row r="34619" ht="15.75" customHeight="1"/>
    <row r="34620" ht="15.75" customHeight="1"/>
    <row r="34621" ht="15.75" customHeight="1"/>
    <row r="34622" ht="15.75" customHeight="1"/>
    <row r="34623" ht="15.75" customHeight="1"/>
    <row r="34624" ht="15.75" customHeight="1"/>
    <row r="34625" ht="15.75" customHeight="1"/>
    <row r="34626" ht="15.75" customHeight="1"/>
    <row r="34627" ht="15.75" customHeight="1"/>
    <row r="34628" ht="15.75" customHeight="1"/>
    <row r="34629" ht="15.75" customHeight="1"/>
    <row r="34630" ht="15.75" customHeight="1"/>
    <row r="34631" ht="15.75" customHeight="1"/>
    <row r="34632" ht="15.75" customHeight="1"/>
    <row r="34633" ht="15.75" customHeight="1"/>
    <row r="34634" ht="15.75" customHeight="1"/>
    <row r="34635" ht="15.75" customHeight="1"/>
    <row r="34636" ht="15.75" customHeight="1"/>
    <row r="34637" ht="15.75" customHeight="1"/>
    <row r="34638" ht="15.75" customHeight="1"/>
    <row r="34639" ht="15.75" customHeight="1"/>
    <row r="34640" ht="15.75" customHeight="1"/>
    <row r="34641" ht="15.75" customHeight="1"/>
    <row r="34642" ht="15.75" customHeight="1"/>
    <row r="34643" ht="15.75" customHeight="1"/>
    <row r="34644" ht="15.75" customHeight="1"/>
    <row r="34645" ht="15.75" customHeight="1"/>
    <row r="34646" ht="15.75" customHeight="1"/>
    <row r="34647" ht="15.75" customHeight="1"/>
    <row r="34648" ht="15.75" customHeight="1"/>
    <row r="34649" ht="15.75" customHeight="1"/>
    <row r="34650" ht="15.75" customHeight="1"/>
    <row r="34651" ht="15.75" customHeight="1"/>
    <row r="34652" ht="15.75" customHeight="1"/>
    <row r="34653" ht="15.75" customHeight="1"/>
    <row r="34654" ht="15.75" customHeight="1"/>
    <row r="34655" ht="15.75" customHeight="1"/>
    <row r="34656" ht="15.75" customHeight="1"/>
    <row r="34657" ht="15.75" customHeight="1"/>
    <row r="34658" ht="15.75" customHeight="1"/>
    <row r="34659" ht="15.75" customHeight="1"/>
    <row r="34660" ht="15.75" customHeight="1"/>
    <row r="34661" ht="15.75" customHeight="1"/>
    <row r="34662" ht="15.75" customHeight="1"/>
    <row r="34663" ht="15.75" customHeight="1"/>
    <row r="34664" ht="15.75" customHeight="1"/>
    <row r="34665" ht="15.75" customHeight="1"/>
    <row r="34666" ht="15.75" customHeight="1"/>
    <row r="34667" ht="15.75" customHeight="1"/>
    <row r="34668" ht="15.75" customHeight="1"/>
    <row r="34669" ht="15.75" customHeight="1"/>
    <row r="34670" ht="15.75" customHeight="1"/>
    <row r="34671" ht="15.75" customHeight="1"/>
    <row r="34672" ht="15.75" customHeight="1"/>
    <row r="34673" ht="15.75" customHeight="1"/>
    <row r="34674" ht="15.75" customHeight="1"/>
    <row r="34675" ht="15.75" customHeight="1"/>
    <row r="34676" ht="15.75" customHeight="1"/>
    <row r="34677" ht="15.75" customHeight="1"/>
    <row r="34678" ht="15.75" customHeight="1"/>
    <row r="34679" ht="15.75" customHeight="1"/>
    <row r="34680" ht="15.75" customHeight="1"/>
    <row r="34681" ht="15.75" customHeight="1"/>
    <row r="34682" ht="15.75" customHeight="1"/>
    <row r="34683" ht="15.75" customHeight="1"/>
    <row r="34684" ht="15.75" customHeight="1"/>
    <row r="34685" ht="15.75" customHeight="1"/>
    <row r="34686" ht="15.75" customHeight="1"/>
    <row r="34687" ht="15.75" customHeight="1"/>
    <row r="34688" ht="15.75" customHeight="1"/>
    <row r="34689" ht="15.75" customHeight="1"/>
    <row r="34690" ht="15.75" customHeight="1"/>
    <row r="34691" ht="15.75" customHeight="1"/>
    <row r="34692" ht="15.75" customHeight="1"/>
    <row r="34693" ht="15.75" customHeight="1"/>
    <row r="34694" ht="15.75" customHeight="1"/>
    <row r="34695" ht="15.75" customHeight="1"/>
    <row r="34696" ht="15.75" customHeight="1"/>
    <row r="34697" ht="15.75" customHeight="1"/>
    <row r="34698" ht="15.75" customHeight="1"/>
    <row r="34699" ht="15.75" customHeight="1"/>
    <row r="34700" ht="15.75" customHeight="1"/>
    <row r="34701" ht="15.75" customHeight="1"/>
    <row r="34702" ht="15.75" customHeight="1"/>
    <row r="34703" ht="15.75" customHeight="1"/>
    <row r="34704" ht="15.75" customHeight="1"/>
    <row r="34705" ht="15.75" customHeight="1"/>
    <row r="34706" ht="15.75" customHeight="1"/>
    <row r="34707" ht="15.75" customHeight="1"/>
    <row r="34708" ht="15.75" customHeight="1"/>
    <row r="34709" ht="15.75" customHeight="1"/>
    <row r="34710" ht="15.75" customHeight="1"/>
    <row r="34711" ht="15.75" customHeight="1"/>
    <row r="34712" ht="15.75" customHeight="1"/>
    <row r="34713" ht="15.75" customHeight="1"/>
    <row r="34714" ht="15.75" customHeight="1"/>
    <row r="34715" ht="15.75" customHeight="1"/>
    <row r="34716" ht="15.75" customHeight="1"/>
    <row r="34717" ht="15.75" customHeight="1"/>
    <row r="34718" ht="15.75" customHeight="1"/>
    <row r="34719" ht="15.75" customHeight="1"/>
    <row r="34720" ht="15.75" customHeight="1"/>
    <row r="34721" ht="15.75" customHeight="1"/>
    <row r="34722" ht="15.75" customHeight="1"/>
    <row r="34723" ht="15.75" customHeight="1"/>
    <row r="34724" ht="15.75" customHeight="1"/>
    <row r="34725" ht="15.75" customHeight="1"/>
    <row r="34726" ht="15.75" customHeight="1"/>
    <row r="34727" ht="15.75" customHeight="1"/>
    <row r="34728" ht="15.75" customHeight="1"/>
    <row r="34729" ht="15.75" customHeight="1"/>
    <row r="34730" ht="15.75" customHeight="1"/>
    <row r="34731" ht="15.75" customHeight="1"/>
    <row r="34732" ht="15.75" customHeight="1"/>
    <row r="34733" ht="15.75" customHeight="1"/>
    <row r="34734" ht="15.75" customHeight="1"/>
    <row r="34735" ht="15.75" customHeight="1"/>
    <row r="34736" ht="15.75" customHeight="1"/>
    <row r="34737" ht="15.75" customHeight="1"/>
    <row r="34738" ht="15.75" customHeight="1"/>
    <row r="34739" ht="15.75" customHeight="1"/>
    <row r="34740" ht="15.75" customHeight="1"/>
    <row r="34741" ht="15.75" customHeight="1"/>
    <row r="34742" ht="15.75" customHeight="1"/>
    <row r="34743" ht="15.75" customHeight="1"/>
    <row r="34744" ht="15.75" customHeight="1"/>
    <row r="34745" ht="15.75" customHeight="1"/>
    <row r="34746" ht="15.75" customHeight="1"/>
    <row r="34747" ht="15.75" customHeight="1"/>
    <row r="34748" ht="15.75" customHeight="1"/>
    <row r="34749" ht="15.75" customHeight="1"/>
    <row r="34750" ht="15.75" customHeight="1"/>
    <row r="34751" ht="15.75" customHeight="1"/>
    <row r="34752" ht="15.75" customHeight="1"/>
    <row r="34753" ht="15.75" customHeight="1"/>
    <row r="34754" ht="15.75" customHeight="1"/>
    <row r="34755" ht="15.75" customHeight="1"/>
    <row r="34756" ht="15.75" customHeight="1"/>
    <row r="34757" ht="15.75" customHeight="1"/>
    <row r="34758" ht="15.75" customHeight="1"/>
    <row r="34759" ht="15.75" customHeight="1"/>
    <row r="34760" ht="15.75" customHeight="1"/>
    <row r="34761" ht="15.75" customHeight="1"/>
    <row r="34762" ht="15.75" customHeight="1"/>
    <row r="34763" ht="15.75" customHeight="1"/>
    <row r="34764" ht="15.75" customHeight="1"/>
    <row r="34765" ht="15.75" customHeight="1"/>
    <row r="34766" ht="15.75" customHeight="1"/>
    <row r="34767" ht="15.75" customHeight="1"/>
    <row r="34768" ht="15.75" customHeight="1"/>
    <row r="34769" ht="15.75" customHeight="1"/>
    <row r="34770" ht="15.75" customHeight="1"/>
    <row r="34771" ht="15.75" customHeight="1"/>
    <row r="34772" ht="15.75" customHeight="1"/>
    <row r="34773" ht="15.75" customHeight="1"/>
    <row r="34774" ht="15.75" customHeight="1"/>
    <row r="34775" ht="15.75" customHeight="1"/>
    <row r="34776" ht="15.75" customHeight="1"/>
    <row r="34777" ht="15.75" customHeight="1"/>
    <row r="34778" ht="15.75" customHeight="1"/>
    <row r="34779" ht="15.75" customHeight="1"/>
    <row r="34780" ht="15.75" customHeight="1"/>
    <row r="34781" ht="15.75" customHeight="1"/>
    <row r="34782" ht="15.75" customHeight="1"/>
    <row r="34783" ht="15.75" customHeight="1"/>
    <row r="34784" ht="15.75" customHeight="1"/>
    <row r="34785" ht="15.75" customHeight="1"/>
    <row r="34786" ht="15.75" customHeight="1"/>
    <row r="34787" ht="15.75" customHeight="1"/>
    <row r="34788" ht="15.75" customHeight="1"/>
    <row r="34789" ht="15.75" customHeight="1"/>
    <row r="34790" ht="15.75" customHeight="1"/>
    <row r="34791" ht="15.75" customHeight="1"/>
    <row r="34792" ht="15.75" customHeight="1"/>
    <row r="34793" ht="15.75" customHeight="1"/>
    <row r="34794" ht="15.75" customHeight="1"/>
    <row r="34795" ht="15.75" customHeight="1"/>
    <row r="34796" ht="15.75" customHeight="1"/>
    <row r="34797" ht="15.75" customHeight="1"/>
    <row r="34798" ht="15.75" customHeight="1"/>
    <row r="34799" ht="15.75" customHeight="1"/>
    <row r="34800" ht="15.75" customHeight="1"/>
    <row r="34801" ht="15.75" customHeight="1"/>
    <row r="34802" ht="15.75" customHeight="1"/>
    <row r="34803" ht="15.75" customHeight="1"/>
    <row r="34804" ht="15.75" customHeight="1"/>
    <row r="34805" ht="15.75" customHeight="1"/>
    <row r="34806" ht="15.75" customHeight="1"/>
    <row r="34807" ht="15.75" customHeight="1"/>
    <row r="34808" ht="15.75" customHeight="1"/>
    <row r="34809" ht="15.75" customHeight="1"/>
    <row r="34810" ht="15.75" customHeight="1"/>
    <row r="34811" ht="15.75" customHeight="1"/>
    <row r="34812" ht="15.75" customHeight="1"/>
    <row r="34813" ht="15.75" customHeight="1"/>
    <row r="34814" ht="15.75" customHeight="1"/>
    <row r="34815" ht="15.75" customHeight="1"/>
    <row r="34816" ht="15.75" customHeight="1"/>
    <row r="34817" ht="15.75" customHeight="1"/>
    <row r="34818" ht="15.75" customHeight="1"/>
    <row r="34819" ht="15.75" customHeight="1"/>
    <row r="34820" ht="15.75" customHeight="1"/>
    <row r="34821" ht="15.75" customHeight="1"/>
    <row r="34822" ht="15.75" customHeight="1"/>
    <row r="34823" ht="15.75" customHeight="1"/>
    <row r="34824" ht="15.75" customHeight="1"/>
    <row r="34825" ht="15.75" customHeight="1"/>
    <row r="34826" ht="15.75" customHeight="1"/>
    <row r="34827" ht="15.75" customHeight="1"/>
    <row r="34828" ht="15.75" customHeight="1"/>
    <row r="34829" ht="15.75" customHeight="1"/>
    <row r="34830" ht="15.75" customHeight="1"/>
    <row r="34831" ht="15.75" customHeight="1"/>
    <row r="34832" ht="15.75" customHeight="1"/>
    <row r="34833" ht="15.75" customHeight="1"/>
    <row r="34834" ht="15.75" customHeight="1"/>
    <row r="34835" ht="15.75" customHeight="1"/>
    <row r="34836" ht="15.75" customHeight="1"/>
    <row r="34837" ht="15.75" customHeight="1"/>
    <row r="34838" ht="15.75" customHeight="1"/>
    <row r="34839" ht="15.75" customHeight="1"/>
    <row r="34840" ht="15.75" customHeight="1"/>
    <row r="34841" ht="15.75" customHeight="1"/>
    <row r="34842" ht="15.75" customHeight="1"/>
    <row r="34843" ht="15.75" customHeight="1"/>
    <row r="34844" ht="15.75" customHeight="1"/>
    <row r="34845" ht="15.75" customHeight="1"/>
    <row r="34846" ht="15.75" customHeight="1"/>
    <row r="34847" ht="15.75" customHeight="1"/>
    <row r="34848" ht="15.75" customHeight="1"/>
    <row r="34849" ht="15.75" customHeight="1"/>
    <row r="34850" ht="15.75" customHeight="1"/>
    <row r="34851" ht="15.75" customHeight="1"/>
    <row r="34852" ht="15.75" customHeight="1"/>
    <row r="34853" ht="15.75" customHeight="1"/>
    <row r="34854" ht="15.75" customHeight="1"/>
    <row r="34855" ht="15.75" customHeight="1"/>
    <row r="34856" ht="15.75" customHeight="1"/>
    <row r="34857" ht="15.75" customHeight="1"/>
    <row r="34858" ht="15.75" customHeight="1"/>
    <row r="34859" ht="15.75" customHeight="1"/>
    <row r="34860" ht="15.75" customHeight="1"/>
    <row r="34861" ht="15.75" customHeight="1"/>
    <row r="34862" ht="15.75" customHeight="1"/>
    <row r="34863" ht="15.75" customHeight="1"/>
    <row r="34864" ht="15.75" customHeight="1"/>
    <row r="34865" ht="15.75" customHeight="1"/>
    <row r="34866" ht="15.75" customHeight="1"/>
    <row r="34867" ht="15.75" customHeight="1"/>
    <row r="34868" ht="15.75" customHeight="1"/>
    <row r="34869" ht="15.75" customHeight="1"/>
    <row r="34870" ht="15.75" customHeight="1"/>
    <row r="34871" ht="15.75" customHeight="1"/>
    <row r="34872" ht="15.75" customHeight="1"/>
    <row r="34873" ht="15.75" customHeight="1"/>
    <row r="34874" ht="15.75" customHeight="1"/>
    <row r="34875" ht="15.75" customHeight="1"/>
    <row r="34876" ht="15.75" customHeight="1"/>
    <row r="34877" ht="15.75" customHeight="1"/>
    <row r="34878" ht="15.75" customHeight="1"/>
    <row r="34879" ht="15.75" customHeight="1"/>
    <row r="34880" ht="15.75" customHeight="1"/>
    <row r="34881" ht="15.75" customHeight="1"/>
    <row r="34882" ht="15.75" customHeight="1"/>
    <row r="34883" ht="15.75" customHeight="1"/>
    <row r="34884" ht="15.75" customHeight="1"/>
    <row r="34885" ht="15.75" customHeight="1"/>
    <row r="34886" ht="15.75" customHeight="1"/>
    <row r="34887" ht="15.75" customHeight="1"/>
    <row r="34888" ht="15.75" customHeight="1"/>
    <row r="34889" ht="15.75" customHeight="1"/>
    <row r="34890" ht="15.75" customHeight="1"/>
    <row r="34891" ht="15.75" customHeight="1"/>
    <row r="34892" ht="15.75" customHeight="1"/>
    <row r="34893" ht="15.75" customHeight="1"/>
    <row r="34894" ht="15.75" customHeight="1"/>
    <row r="34895" ht="15.75" customHeight="1"/>
    <row r="34896" ht="15.75" customHeight="1"/>
    <row r="34897" ht="15.75" customHeight="1"/>
    <row r="34898" ht="15.75" customHeight="1"/>
    <row r="34899" ht="15.75" customHeight="1"/>
    <row r="34900" ht="15.75" customHeight="1"/>
    <row r="34901" ht="15.75" customHeight="1"/>
    <row r="34902" ht="15.75" customHeight="1"/>
    <row r="34903" ht="15.75" customHeight="1"/>
    <row r="34904" ht="15.75" customHeight="1"/>
    <row r="34905" ht="15.75" customHeight="1"/>
    <row r="34906" ht="15.75" customHeight="1"/>
    <row r="34907" ht="15.75" customHeight="1"/>
    <row r="34908" ht="15.75" customHeight="1"/>
    <row r="34909" ht="15.75" customHeight="1"/>
    <row r="34910" ht="15.75" customHeight="1"/>
    <row r="34911" ht="15.75" customHeight="1"/>
    <row r="34912" ht="15.75" customHeight="1"/>
    <row r="34913" ht="15.75" customHeight="1"/>
    <row r="34914" ht="15.75" customHeight="1"/>
    <row r="34915" ht="15.75" customHeight="1"/>
    <row r="34916" ht="15.75" customHeight="1"/>
    <row r="34917" ht="15.75" customHeight="1"/>
    <row r="34918" ht="15.75" customHeight="1"/>
    <row r="34919" ht="15.75" customHeight="1"/>
    <row r="34920" ht="15.75" customHeight="1"/>
    <row r="34921" ht="15.75" customHeight="1"/>
    <row r="34922" ht="15.75" customHeight="1"/>
    <row r="34923" ht="15.75" customHeight="1"/>
    <row r="34924" ht="15.75" customHeight="1"/>
    <row r="34925" ht="15.75" customHeight="1"/>
    <row r="34926" ht="15.75" customHeight="1"/>
    <row r="34927" ht="15.75" customHeight="1"/>
    <row r="34928" ht="15.75" customHeight="1"/>
    <row r="34929" ht="15.75" customHeight="1"/>
    <row r="34930" ht="15.75" customHeight="1"/>
    <row r="34931" ht="15.75" customHeight="1"/>
    <row r="34932" ht="15.75" customHeight="1"/>
    <row r="34933" ht="15.75" customHeight="1"/>
    <row r="34934" ht="15.75" customHeight="1"/>
    <row r="34935" ht="15.75" customHeight="1"/>
    <row r="34936" ht="15.75" customHeight="1"/>
    <row r="34937" ht="15.75" customHeight="1"/>
    <row r="34938" ht="15.75" customHeight="1"/>
    <row r="34939" ht="15.75" customHeight="1"/>
    <row r="34940" ht="15.75" customHeight="1"/>
    <row r="34941" ht="15.75" customHeight="1"/>
    <row r="34942" ht="15.75" customHeight="1"/>
    <row r="34943" ht="15.75" customHeight="1"/>
    <row r="34944" ht="15.75" customHeight="1"/>
    <row r="34945" ht="15.75" customHeight="1"/>
    <row r="34946" ht="15.75" customHeight="1"/>
    <row r="34947" ht="15.75" customHeight="1"/>
    <row r="34948" ht="15.75" customHeight="1"/>
    <row r="34949" ht="15.75" customHeight="1"/>
    <row r="34950" ht="15.75" customHeight="1"/>
    <row r="34951" ht="15.75" customHeight="1"/>
    <row r="34952" ht="15.75" customHeight="1"/>
    <row r="34953" ht="15.75" customHeight="1"/>
    <row r="34954" ht="15.75" customHeight="1"/>
    <row r="34955" ht="15.75" customHeight="1"/>
    <row r="34956" ht="15.75" customHeight="1"/>
    <row r="34957" ht="15.75" customHeight="1"/>
    <row r="34958" ht="15.75" customHeight="1"/>
    <row r="34959" ht="15.75" customHeight="1"/>
    <row r="34960" ht="15.75" customHeight="1"/>
    <row r="34961" ht="15.75" customHeight="1"/>
    <row r="34962" ht="15.75" customHeight="1"/>
    <row r="34963" ht="15.75" customHeight="1"/>
    <row r="34964" ht="15.75" customHeight="1"/>
    <row r="34965" ht="15.75" customHeight="1"/>
    <row r="34966" ht="15.75" customHeight="1"/>
    <row r="34967" ht="15.75" customHeight="1"/>
    <row r="34968" ht="15.75" customHeight="1"/>
    <row r="34969" ht="15.75" customHeight="1"/>
    <row r="34970" ht="15.75" customHeight="1"/>
    <row r="34971" ht="15.75" customHeight="1"/>
    <row r="34972" ht="15.75" customHeight="1"/>
    <row r="34973" ht="15.75" customHeight="1"/>
    <row r="34974" ht="15.75" customHeight="1"/>
    <row r="34975" ht="15.75" customHeight="1"/>
    <row r="34976" ht="15.75" customHeight="1"/>
    <row r="34977" ht="15.75" customHeight="1"/>
    <row r="34978" ht="15.75" customHeight="1"/>
    <row r="34979" ht="15.75" customHeight="1"/>
    <row r="34980" ht="15.75" customHeight="1"/>
    <row r="34981" ht="15.75" customHeight="1"/>
    <row r="34982" ht="15.75" customHeight="1"/>
    <row r="34983" ht="15.75" customHeight="1"/>
    <row r="34984" ht="15.75" customHeight="1"/>
    <row r="34985" ht="15.75" customHeight="1"/>
    <row r="34986" ht="15.75" customHeight="1"/>
    <row r="34987" ht="15.75" customHeight="1"/>
    <row r="34988" ht="15.75" customHeight="1"/>
    <row r="34989" ht="15.75" customHeight="1"/>
    <row r="34990" ht="15.75" customHeight="1"/>
    <row r="34991" ht="15.75" customHeight="1"/>
    <row r="34992" ht="15.75" customHeight="1"/>
    <row r="34993" ht="15.75" customHeight="1"/>
    <row r="34994" ht="15.75" customHeight="1"/>
    <row r="34995" ht="15.75" customHeight="1"/>
    <row r="34996" ht="15.75" customHeight="1"/>
    <row r="34997" ht="15.75" customHeight="1"/>
    <row r="34998" ht="15.75" customHeight="1"/>
    <row r="34999" ht="15.75" customHeight="1"/>
    <row r="35000" ht="15.75" customHeight="1"/>
    <row r="35001" ht="15.75" customHeight="1"/>
    <row r="35002" ht="15.75" customHeight="1"/>
    <row r="35003" ht="15.75" customHeight="1"/>
    <row r="35004" ht="15.75" customHeight="1"/>
    <row r="35005" ht="15.75" customHeight="1"/>
    <row r="35006" ht="15.75" customHeight="1"/>
    <row r="35007" ht="15.75" customHeight="1"/>
    <row r="35008" ht="15.75" customHeight="1"/>
    <row r="35009" ht="15.75" customHeight="1"/>
    <row r="35010" ht="15.75" customHeight="1"/>
    <row r="35011" ht="15.75" customHeight="1"/>
    <row r="35012" ht="15.75" customHeight="1"/>
    <row r="35013" ht="15.75" customHeight="1"/>
    <row r="35014" ht="15.75" customHeight="1"/>
    <row r="35015" ht="15.75" customHeight="1"/>
    <row r="35016" ht="15.75" customHeight="1"/>
    <row r="35017" ht="15.75" customHeight="1"/>
    <row r="35018" ht="15.75" customHeight="1"/>
    <row r="35019" ht="15.75" customHeight="1"/>
    <row r="35020" ht="15.75" customHeight="1"/>
    <row r="35021" ht="15.75" customHeight="1"/>
    <row r="35022" ht="15.75" customHeight="1"/>
    <row r="35023" ht="15.75" customHeight="1"/>
    <row r="35024" ht="15.75" customHeight="1"/>
    <row r="35025" ht="15.75" customHeight="1"/>
    <row r="35026" ht="15.75" customHeight="1"/>
    <row r="35027" ht="15.75" customHeight="1"/>
    <row r="35028" ht="15.75" customHeight="1"/>
    <row r="35029" ht="15.75" customHeight="1"/>
    <row r="35030" ht="15.75" customHeight="1"/>
    <row r="35031" ht="15.75" customHeight="1"/>
    <row r="35032" ht="15.75" customHeight="1"/>
    <row r="35033" ht="15.75" customHeight="1"/>
    <row r="35034" ht="15.75" customHeight="1"/>
    <row r="35035" ht="15.75" customHeight="1"/>
    <row r="35036" ht="15.75" customHeight="1"/>
    <row r="35037" ht="15.75" customHeight="1"/>
    <row r="35038" ht="15.75" customHeight="1"/>
    <row r="35039" ht="15.75" customHeight="1"/>
    <row r="35040" ht="15.75" customHeight="1"/>
    <row r="35041" ht="15.75" customHeight="1"/>
    <row r="35042" ht="15.75" customHeight="1"/>
    <row r="35043" ht="15.75" customHeight="1"/>
    <row r="35044" ht="15.75" customHeight="1"/>
    <row r="35045" ht="15.75" customHeight="1"/>
    <row r="35046" ht="15.75" customHeight="1"/>
    <row r="35047" ht="15.75" customHeight="1"/>
    <row r="35048" ht="15.75" customHeight="1"/>
    <row r="35049" ht="15.75" customHeight="1"/>
    <row r="35050" ht="15.75" customHeight="1"/>
    <row r="35051" ht="15.75" customHeight="1"/>
    <row r="35052" ht="15.75" customHeight="1"/>
    <row r="35053" ht="15.75" customHeight="1"/>
    <row r="35054" ht="15.75" customHeight="1"/>
    <row r="35055" ht="15.75" customHeight="1"/>
    <row r="35056" ht="15.75" customHeight="1"/>
    <row r="35057" ht="15.75" customHeight="1"/>
    <row r="35058" ht="15.75" customHeight="1"/>
    <row r="35059" ht="15.75" customHeight="1"/>
    <row r="35060" ht="15.75" customHeight="1"/>
    <row r="35061" ht="15.75" customHeight="1"/>
    <row r="35062" ht="15.75" customHeight="1"/>
    <row r="35063" ht="15.75" customHeight="1"/>
    <row r="35064" ht="15.75" customHeight="1"/>
    <row r="35065" ht="15.75" customHeight="1"/>
    <row r="35066" ht="15.75" customHeight="1"/>
    <row r="35067" ht="15.75" customHeight="1"/>
    <row r="35068" ht="15.75" customHeight="1"/>
    <row r="35069" ht="15.75" customHeight="1"/>
    <row r="35070" ht="15.75" customHeight="1"/>
    <row r="35071" ht="15.75" customHeight="1"/>
    <row r="35072" ht="15.75" customHeight="1"/>
    <row r="35073" ht="15.75" customHeight="1"/>
    <row r="35074" ht="15.75" customHeight="1"/>
    <row r="35075" ht="15.75" customHeight="1"/>
    <row r="35076" ht="15.75" customHeight="1"/>
    <row r="35077" ht="15.75" customHeight="1"/>
    <row r="35078" ht="15.75" customHeight="1"/>
    <row r="35079" ht="15.75" customHeight="1"/>
    <row r="35080" ht="15.75" customHeight="1"/>
    <row r="35081" ht="15.75" customHeight="1"/>
    <row r="35082" ht="15.75" customHeight="1"/>
    <row r="35083" ht="15.75" customHeight="1"/>
    <row r="35084" ht="15.75" customHeight="1"/>
    <row r="35085" ht="15.75" customHeight="1"/>
    <row r="35086" ht="15.75" customHeight="1"/>
    <row r="35087" ht="15.75" customHeight="1"/>
    <row r="35088" ht="15.75" customHeight="1"/>
    <row r="35089" ht="15.75" customHeight="1"/>
    <row r="35090" ht="15.75" customHeight="1"/>
    <row r="35091" ht="15.75" customHeight="1"/>
    <row r="35092" ht="15.75" customHeight="1"/>
    <row r="35093" ht="15.75" customHeight="1"/>
    <row r="35094" ht="15.75" customHeight="1"/>
    <row r="35095" ht="15.75" customHeight="1"/>
    <row r="35096" ht="15.75" customHeight="1"/>
    <row r="35097" ht="15.75" customHeight="1"/>
    <row r="35098" ht="15.75" customHeight="1"/>
    <row r="35099" ht="15.75" customHeight="1"/>
    <row r="35100" ht="15.75" customHeight="1"/>
    <row r="35101" ht="15.75" customHeight="1"/>
    <row r="35102" ht="15.75" customHeight="1"/>
    <row r="35103" ht="15.75" customHeight="1"/>
    <row r="35104" ht="15.75" customHeight="1"/>
    <row r="35105" ht="15.75" customHeight="1"/>
    <row r="35106" ht="15.75" customHeight="1"/>
    <row r="35107" ht="15.75" customHeight="1"/>
    <row r="35108" ht="15.75" customHeight="1"/>
    <row r="35109" ht="15.75" customHeight="1"/>
    <row r="35110" ht="15.75" customHeight="1"/>
    <row r="35111" ht="15.75" customHeight="1"/>
    <row r="35112" ht="15.75" customHeight="1"/>
    <row r="35113" ht="15.75" customHeight="1"/>
    <row r="35114" ht="15.75" customHeight="1"/>
    <row r="35115" ht="15.75" customHeight="1"/>
    <row r="35116" ht="15.75" customHeight="1"/>
    <row r="35117" ht="15.75" customHeight="1"/>
    <row r="35118" ht="15.75" customHeight="1"/>
    <row r="35119" ht="15.75" customHeight="1"/>
    <row r="35120" ht="15.75" customHeight="1"/>
    <row r="35121" ht="15.75" customHeight="1"/>
    <row r="35122" ht="15.75" customHeight="1"/>
    <row r="35123" ht="15.75" customHeight="1"/>
    <row r="35124" ht="15.75" customHeight="1"/>
    <row r="35125" ht="15.75" customHeight="1"/>
    <row r="35126" ht="15.75" customHeight="1"/>
    <row r="35127" ht="15.75" customHeight="1"/>
    <row r="35128" ht="15.75" customHeight="1"/>
    <row r="35129" ht="15.75" customHeight="1"/>
    <row r="35130" ht="15.75" customHeight="1"/>
    <row r="35131" ht="15.75" customHeight="1"/>
    <row r="35132" ht="15.75" customHeight="1"/>
    <row r="35133" ht="15.75" customHeight="1"/>
    <row r="35134" ht="15.75" customHeight="1"/>
    <row r="35135" ht="15.75" customHeight="1"/>
    <row r="35136" ht="15.75" customHeight="1"/>
    <row r="35137" ht="15.75" customHeight="1"/>
    <row r="35138" ht="15.75" customHeight="1"/>
    <row r="35139" ht="15.75" customHeight="1"/>
    <row r="35140" ht="15.75" customHeight="1"/>
    <row r="35141" ht="15.75" customHeight="1"/>
    <row r="35142" ht="15.75" customHeight="1"/>
    <row r="35143" ht="15.75" customHeight="1"/>
    <row r="35144" ht="15.75" customHeight="1"/>
    <row r="35145" ht="15.75" customHeight="1"/>
    <row r="35146" ht="15.75" customHeight="1"/>
    <row r="35147" ht="15.75" customHeight="1"/>
    <row r="35148" ht="15.75" customHeight="1"/>
    <row r="35149" ht="15.75" customHeight="1"/>
    <row r="35150" ht="15.75" customHeight="1"/>
    <row r="35151" ht="15.75" customHeight="1"/>
    <row r="35152" ht="15.75" customHeight="1"/>
    <row r="35153" ht="15.75" customHeight="1"/>
    <row r="35154" ht="15.75" customHeight="1"/>
    <row r="35155" ht="15.75" customHeight="1"/>
    <row r="35156" ht="15.75" customHeight="1"/>
    <row r="35157" ht="15.75" customHeight="1"/>
    <row r="35158" ht="15.75" customHeight="1"/>
    <row r="35159" ht="15.75" customHeight="1"/>
    <row r="35160" ht="15.75" customHeight="1"/>
    <row r="35161" ht="15.75" customHeight="1"/>
    <row r="35162" ht="15.75" customHeight="1"/>
    <row r="35163" ht="15.75" customHeight="1"/>
    <row r="35164" ht="15.75" customHeight="1"/>
    <row r="35165" ht="15.75" customHeight="1"/>
    <row r="35166" ht="15.75" customHeight="1"/>
    <row r="35167" ht="15.75" customHeight="1"/>
    <row r="35168" ht="15.75" customHeight="1"/>
    <row r="35169" ht="15.75" customHeight="1"/>
    <row r="35170" ht="15.75" customHeight="1"/>
    <row r="35171" ht="15.75" customHeight="1"/>
    <row r="35172" ht="15.75" customHeight="1"/>
    <row r="35173" ht="15.75" customHeight="1"/>
    <row r="35174" ht="15.75" customHeight="1"/>
    <row r="35175" ht="15.75" customHeight="1"/>
    <row r="35176" ht="15.75" customHeight="1"/>
    <row r="35177" ht="15.75" customHeight="1"/>
    <row r="35178" ht="15.75" customHeight="1"/>
    <row r="35179" ht="15.75" customHeight="1"/>
    <row r="35180" ht="15.75" customHeight="1"/>
    <row r="35181" ht="15.75" customHeight="1"/>
    <row r="35182" ht="15.75" customHeight="1"/>
    <row r="35183" ht="15.75" customHeight="1"/>
    <row r="35184" ht="15.75" customHeight="1"/>
    <row r="35185" ht="15.75" customHeight="1"/>
    <row r="35186" ht="15.75" customHeight="1"/>
    <row r="35187" ht="15.75" customHeight="1"/>
    <row r="35188" ht="15.75" customHeight="1"/>
    <row r="35189" ht="15.75" customHeight="1"/>
    <row r="35190" ht="15.75" customHeight="1"/>
    <row r="35191" ht="15.75" customHeight="1"/>
    <row r="35192" ht="15.75" customHeight="1"/>
    <row r="35193" ht="15.75" customHeight="1"/>
    <row r="35194" ht="15.75" customHeight="1"/>
    <row r="35195" ht="15.75" customHeight="1"/>
    <row r="35196" ht="15.75" customHeight="1"/>
    <row r="35197" ht="15.75" customHeight="1"/>
    <row r="35198" ht="15.75" customHeight="1"/>
    <row r="35199" ht="15.75" customHeight="1"/>
    <row r="35200" ht="15.75" customHeight="1"/>
    <row r="35201" ht="15.75" customHeight="1"/>
    <row r="35202" ht="15.75" customHeight="1"/>
    <row r="35203" ht="15.75" customHeight="1"/>
    <row r="35204" ht="15.75" customHeight="1"/>
    <row r="35205" ht="15.75" customHeight="1"/>
    <row r="35206" ht="15.75" customHeight="1"/>
    <row r="35207" ht="15.75" customHeight="1"/>
    <row r="35208" ht="15.75" customHeight="1"/>
    <row r="35209" ht="15.75" customHeight="1"/>
    <row r="35210" ht="15.75" customHeight="1"/>
    <row r="35211" ht="15.75" customHeight="1"/>
    <row r="35212" ht="15.75" customHeight="1"/>
    <row r="35213" ht="15.75" customHeight="1"/>
    <row r="35214" ht="15.75" customHeight="1"/>
    <row r="35215" ht="15.75" customHeight="1"/>
    <row r="35216" ht="15.75" customHeight="1"/>
    <row r="35217" ht="15.75" customHeight="1"/>
    <row r="35218" ht="15.75" customHeight="1"/>
    <row r="35219" ht="15.75" customHeight="1"/>
    <row r="35220" ht="15.75" customHeight="1"/>
    <row r="35221" ht="15.75" customHeight="1"/>
    <row r="35222" ht="15.75" customHeight="1"/>
    <row r="35223" ht="15.75" customHeight="1"/>
    <row r="35224" ht="15.75" customHeight="1"/>
    <row r="35225" ht="15.75" customHeight="1"/>
    <row r="35226" ht="15.75" customHeight="1"/>
    <row r="35227" ht="15.75" customHeight="1"/>
    <row r="35228" ht="15.75" customHeight="1"/>
    <row r="35229" ht="15.75" customHeight="1"/>
    <row r="35230" ht="15.75" customHeight="1"/>
    <row r="35231" ht="15.75" customHeight="1"/>
    <row r="35232" ht="15.75" customHeight="1"/>
    <row r="35233" ht="15.75" customHeight="1"/>
    <row r="35234" ht="15.75" customHeight="1"/>
    <row r="35235" ht="15.75" customHeight="1"/>
    <row r="35236" ht="15.75" customHeight="1"/>
    <row r="35237" ht="15.75" customHeight="1"/>
    <row r="35238" ht="15.75" customHeight="1"/>
    <row r="35239" ht="15.75" customHeight="1"/>
    <row r="35240" ht="15.75" customHeight="1"/>
    <row r="35241" ht="15.75" customHeight="1"/>
    <row r="35242" ht="15.75" customHeight="1"/>
    <row r="35243" ht="15.75" customHeight="1"/>
    <row r="35244" ht="15.75" customHeight="1"/>
    <row r="35245" ht="15.75" customHeight="1"/>
    <row r="35246" ht="15.75" customHeight="1"/>
    <row r="35247" ht="15.75" customHeight="1"/>
    <row r="35248" ht="15.75" customHeight="1"/>
    <row r="35249" ht="15.75" customHeight="1"/>
    <row r="35250" ht="15.75" customHeight="1"/>
    <row r="35251" ht="15.75" customHeight="1"/>
    <row r="35252" ht="15.75" customHeight="1"/>
    <row r="35253" ht="15.75" customHeight="1"/>
    <row r="35254" ht="15.75" customHeight="1"/>
    <row r="35255" ht="15.75" customHeight="1"/>
    <row r="35256" ht="15.75" customHeight="1"/>
    <row r="35257" ht="15.75" customHeight="1"/>
    <row r="35258" ht="15.75" customHeight="1"/>
    <row r="35259" ht="15.75" customHeight="1"/>
    <row r="35260" ht="15.75" customHeight="1"/>
    <row r="35261" ht="15.75" customHeight="1"/>
    <row r="35262" ht="15.75" customHeight="1"/>
    <row r="35263" ht="15.75" customHeight="1"/>
    <row r="35264" ht="15.75" customHeight="1"/>
    <row r="35265" ht="15.75" customHeight="1"/>
    <row r="35266" ht="15.75" customHeight="1"/>
    <row r="35267" ht="15.75" customHeight="1"/>
    <row r="35268" ht="15.75" customHeight="1"/>
    <row r="35269" ht="15.75" customHeight="1"/>
    <row r="35270" ht="15.75" customHeight="1"/>
    <row r="35271" ht="15.75" customHeight="1"/>
    <row r="35272" ht="15.75" customHeight="1"/>
    <row r="35273" ht="15.75" customHeight="1"/>
    <row r="35274" ht="15.75" customHeight="1"/>
    <row r="35275" ht="15.75" customHeight="1"/>
    <row r="35276" ht="15.75" customHeight="1"/>
    <row r="35277" ht="15.75" customHeight="1"/>
    <row r="35278" ht="15.75" customHeight="1"/>
    <row r="35279" ht="15.75" customHeight="1"/>
    <row r="35280" ht="15.75" customHeight="1"/>
    <row r="35281" ht="15.75" customHeight="1"/>
    <row r="35282" ht="15.75" customHeight="1"/>
    <row r="35283" ht="15.75" customHeight="1"/>
    <row r="35284" ht="15.75" customHeight="1"/>
    <row r="35285" ht="15.75" customHeight="1"/>
    <row r="35286" ht="15.75" customHeight="1"/>
    <row r="35287" ht="15.75" customHeight="1"/>
    <row r="35288" ht="15.75" customHeight="1"/>
    <row r="35289" ht="15.75" customHeight="1"/>
    <row r="35290" ht="15.75" customHeight="1"/>
    <row r="35291" ht="15.75" customHeight="1"/>
    <row r="35292" ht="15.75" customHeight="1"/>
    <row r="35293" ht="15.75" customHeight="1"/>
    <row r="35294" ht="15.75" customHeight="1"/>
    <row r="35295" ht="15.75" customHeight="1"/>
    <row r="35296" ht="15.75" customHeight="1"/>
    <row r="35297" ht="15.75" customHeight="1"/>
    <row r="35298" ht="15.75" customHeight="1"/>
    <row r="35299" ht="15.75" customHeight="1"/>
    <row r="35300" ht="15.75" customHeight="1"/>
    <row r="35301" ht="15.75" customHeight="1"/>
    <row r="35302" ht="15.75" customHeight="1"/>
    <row r="35303" ht="15.75" customHeight="1"/>
    <row r="35304" ht="15.75" customHeight="1"/>
    <row r="35305" ht="15.75" customHeight="1"/>
    <row r="35306" ht="15.75" customHeight="1"/>
    <row r="35307" ht="15.75" customHeight="1"/>
    <row r="35308" ht="15.75" customHeight="1"/>
    <row r="35309" ht="15.75" customHeight="1"/>
    <row r="35310" ht="15.75" customHeight="1"/>
    <row r="35311" ht="15.75" customHeight="1"/>
    <row r="35312" ht="15.75" customHeight="1"/>
    <row r="35313" ht="15.75" customHeight="1"/>
    <row r="35314" ht="15.75" customHeight="1"/>
    <row r="35315" ht="15.75" customHeight="1"/>
    <row r="35316" ht="15.75" customHeight="1"/>
    <row r="35317" ht="15.75" customHeight="1"/>
    <row r="35318" ht="15.75" customHeight="1"/>
    <row r="35319" ht="15.75" customHeight="1"/>
    <row r="35320" ht="15.75" customHeight="1"/>
    <row r="35321" ht="15.75" customHeight="1"/>
    <row r="35322" ht="15.75" customHeight="1"/>
    <row r="35323" ht="15.75" customHeight="1"/>
    <row r="35324" ht="15.75" customHeight="1"/>
    <row r="35325" ht="15.75" customHeight="1"/>
    <row r="35326" ht="15.75" customHeight="1"/>
    <row r="35327" ht="15.75" customHeight="1"/>
    <row r="35328" ht="15.75" customHeight="1"/>
    <row r="35329" ht="15.75" customHeight="1"/>
    <row r="35330" ht="15.75" customHeight="1"/>
    <row r="35331" ht="15.75" customHeight="1"/>
    <row r="35332" ht="15.75" customHeight="1"/>
    <row r="35333" ht="15.75" customHeight="1"/>
    <row r="35334" ht="15.75" customHeight="1"/>
    <row r="35335" ht="15.75" customHeight="1"/>
    <row r="35336" ht="15.75" customHeight="1"/>
    <row r="35337" ht="15.75" customHeight="1"/>
    <row r="35338" ht="15.75" customHeight="1"/>
    <row r="35339" ht="15.75" customHeight="1"/>
    <row r="35340" ht="15.75" customHeight="1"/>
    <row r="35341" ht="15.75" customHeight="1"/>
    <row r="35342" ht="15.75" customHeight="1"/>
    <row r="35343" ht="15.75" customHeight="1"/>
    <row r="35344" ht="15.75" customHeight="1"/>
    <row r="35345" ht="15.75" customHeight="1"/>
    <row r="35346" ht="15.75" customHeight="1"/>
    <row r="35347" ht="15.75" customHeight="1"/>
    <row r="35348" ht="15.75" customHeight="1"/>
    <row r="35349" ht="15.75" customHeight="1"/>
    <row r="35350" ht="15.75" customHeight="1"/>
    <row r="35351" ht="15.75" customHeight="1"/>
    <row r="35352" ht="15.75" customHeight="1"/>
    <row r="35353" ht="15.75" customHeight="1"/>
    <row r="35354" ht="15.75" customHeight="1"/>
    <row r="35355" ht="15.75" customHeight="1"/>
    <row r="35356" ht="15.75" customHeight="1"/>
    <row r="35357" ht="15.75" customHeight="1"/>
    <row r="35358" ht="15.75" customHeight="1"/>
    <row r="35359" ht="15.75" customHeight="1"/>
    <row r="35360" ht="15.75" customHeight="1"/>
    <row r="35361" ht="15.75" customHeight="1"/>
    <row r="35362" ht="15.75" customHeight="1"/>
    <row r="35363" ht="15.75" customHeight="1"/>
    <row r="35364" ht="15.75" customHeight="1"/>
    <row r="35365" ht="15.75" customHeight="1"/>
    <row r="35366" ht="15.75" customHeight="1"/>
    <row r="35367" ht="15.75" customHeight="1"/>
    <row r="35368" ht="15.75" customHeight="1"/>
    <row r="35369" ht="15.75" customHeight="1"/>
    <row r="35370" ht="15.75" customHeight="1"/>
    <row r="35371" ht="15.75" customHeight="1"/>
    <row r="35372" ht="15.75" customHeight="1"/>
    <row r="35373" ht="15.75" customHeight="1"/>
    <row r="35374" ht="15.75" customHeight="1"/>
    <row r="35375" ht="15.75" customHeight="1"/>
    <row r="35376" ht="15.75" customHeight="1"/>
    <row r="35377" ht="15.75" customHeight="1"/>
    <row r="35378" ht="15.75" customHeight="1"/>
    <row r="35379" ht="15.75" customHeight="1"/>
    <row r="35380" ht="15.75" customHeight="1"/>
    <row r="35381" ht="15.75" customHeight="1"/>
    <row r="35382" ht="15.75" customHeight="1"/>
    <row r="35383" ht="15.75" customHeight="1"/>
    <row r="35384" ht="15.75" customHeight="1"/>
    <row r="35385" ht="15.75" customHeight="1"/>
    <row r="35386" ht="15.75" customHeight="1"/>
    <row r="35387" ht="15.75" customHeight="1"/>
    <row r="35388" ht="15.75" customHeight="1"/>
    <row r="35389" ht="15.75" customHeight="1"/>
    <row r="35390" ht="15.75" customHeight="1"/>
    <row r="35391" ht="15.75" customHeight="1"/>
    <row r="35392" ht="15.75" customHeight="1"/>
    <row r="35393" ht="15.75" customHeight="1"/>
    <row r="35394" ht="15.75" customHeight="1"/>
    <row r="35395" ht="15.75" customHeight="1"/>
    <row r="35396" ht="15.75" customHeight="1"/>
    <row r="35397" ht="15.75" customHeight="1"/>
    <row r="35398" ht="15.75" customHeight="1"/>
    <row r="35399" ht="15.75" customHeight="1"/>
    <row r="35400" ht="15.75" customHeight="1"/>
    <row r="35401" ht="15.75" customHeight="1"/>
    <row r="35402" ht="15.75" customHeight="1"/>
    <row r="35403" ht="15.75" customHeight="1"/>
    <row r="35404" ht="15.75" customHeight="1"/>
    <row r="35405" ht="15.75" customHeight="1"/>
    <row r="35406" ht="15.75" customHeight="1"/>
    <row r="35407" ht="15.75" customHeight="1"/>
    <row r="35408" ht="15.75" customHeight="1"/>
    <row r="35409" ht="15.75" customHeight="1"/>
    <row r="35410" ht="15.75" customHeight="1"/>
    <row r="35411" ht="15.75" customHeight="1"/>
    <row r="35412" ht="15.75" customHeight="1"/>
    <row r="35413" ht="15.75" customHeight="1"/>
    <row r="35414" ht="15.75" customHeight="1"/>
    <row r="35415" ht="15.75" customHeight="1"/>
    <row r="35416" ht="15.75" customHeight="1"/>
    <row r="35417" ht="15.75" customHeight="1"/>
    <row r="35418" ht="15.75" customHeight="1"/>
    <row r="35419" ht="15.75" customHeight="1"/>
    <row r="35420" ht="15.75" customHeight="1"/>
    <row r="35421" ht="15.75" customHeight="1"/>
    <row r="35422" ht="15.75" customHeight="1"/>
    <row r="35423" ht="15.75" customHeight="1"/>
    <row r="35424" ht="15.75" customHeight="1"/>
    <row r="35425" ht="15.75" customHeight="1"/>
    <row r="35426" ht="15.75" customHeight="1"/>
    <row r="35427" ht="15.75" customHeight="1"/>
    <row r="35428" ht="15.75" customHeight="1"/>
    <row r="35429" ht="15.75" customHeight="1"/>
    <row r="35430" ht="15.75" customHeight="1"/>
    <row r="35431" ht="15.75" customHeight="1"/>
    <row r="35432" ht="15.75" customHeight="1"/>
    <row r="35433" ht="15.75" customHeight="1"/>
    <row r="35434" ht="15.75" customHeight="1"/>
    <row r="35435" ht="15.75" customHeight="1"/>
    <row r="35436" ht="15.75" customHeight="1"/>
    <row r="35437" ht="15.75" customHeight="1"/>
    <row r="35438" ht="15.75" customHeight="1"/>
    <row r="35439" ht="15.75" customHeight="1"/>
    <row r="35440" ht="15.75" customHeight="1"/>
    <row r="35441" ht="15.75" customHeight="1"/>
    <row r="35442" ht="15.75" customHeight="1"/>
    <row r="35443" ht="15.75" customHeight="1"/>
    <row r="35444" ht="15.75" customHeight="1"/>
    <row r="35445" ht="15.75" customHeight="1"/>
    <row r="35446" ht="15.75" customHeight="1"/>
    <row r="35447" ht="15.75" customHeight="1"/>
    <row r="35448" ht="15.75" customHeight="1"/>
    <row r="35449" ht="15.75" customHeight="1"/>
    <row r="35450" ht="15.75" customHeight="1"/>
    <row r="35451" ht="15.75" customHeight="1"/>
    <row r="35452" ht="15.75" customHeight="1"/>
    <row r="35453" ht="15.75" customHeight="1"/>
    <row r="35454" ht="15.75" customHeight="1"/>
    <row r="35455" ht="15.75" customHeight="1"/>
    <row r="35456" ht="15.75" customHeight="1"/>
    <row r="35457" ht="15.75" customHeight="1"/>
    <row r="35458" ht="15.75" customHeight="1"/>
    <row r="35459" ht="15.75" customHeight="1"/>
    <row r="35460" ht="15.75" customHeight="1"/>
    <row r="35461" ht="15.75" customHeight="1"/>
    <row r="35462" ht="15.75" customHeight="1"/>
    <row r="35463" ht="15.75" customHeight="1"/>
    <row r="35464" ht="15.75" customHeight="1"/>
    <row r="35465" ht="15.75" customHeight="1"/>
    <row r="35466" ht="15.75" customHeight="1"/>
    <row r="35467" ht="15.75" customHeight="1"/>
    <row r="35468" ht="15.75" customHeight="1"/>
    <row r="35469" ht="15.75" customHeight="1"/>
    <row r="35470" ht="15.75" customHeight="1"/>
    <row r="35471" ht="15.75" customHeight="1"/>
    <row r="35472" ht="15.75" customHeight="1"/>
    <row r="35473" ht="15.75" customHeight="1"/>
    <row r="35474" ht="15.75" customHeight="1"/>
    <row r="35475" ht="15.75" customHeight="1"/>
    <row r="35476" ht="15.75" customHeight="1"/>
    <row r="35477" ht="15.75" customHeight="1"/>
    <row r="35478" ht="15.75" customHeight="1"/>
    <row r="35479" ht="15.75" customHeight="1"/>
    <row r="35480" ht="15.75" customHeight="1"/>
    <row r="35481" ht="15.75" customHeight="1"/>
    <row r="35482" ht="15.75" customHeight="1"/>
    <row r="35483" ht="15.75" customHeight="1"/>
    <row r="35484" ht="15.75" customHeight="1"/>
    <row r="35485" ht="15.75" customHeight="1"/>
    <row r="35486" ht="15.75" customHeight="1"/>
    <row r="35487" ht="15.75" customHeight="1"/>
    <row r="35488" ht="15.75" customHeight="1"/>
    <row r="35489" ht="15.75" customHeight="1"/>
    <row r="35490" ht="15.75" customHeight="1"/>
    <row r="35491" ht="15.75" customHeight="1"/>
    <row r="35492" ht="15.75" customHeight="1"/>
    <row r="35493" ht="15.75" customHeight="1"/>
    <row r="35494" ht="15.75" customHeight="1"/>
    <row r="35495" ht="15.75" customHeight="1"/>
    <row r="35496" ht="15.75" customHeight="1"/>
    <row r="35497" ht="15.75" customHeight="1"/>
    <row r="35498" ht="15.75" customHeight="1"/>
    <row r="35499" ht="15.75" customHeight="1"/>
    <row r="35500" ht="15.75" customHeight="1"/>
    <row r="35501" ht="15.75" customHeight="1"/>
    <row r="35502" ht="15.75" customHeight="1"/>
    <row r="35503" ht="15.75" customHeight="1"/>
    <row r="35504" ht="15.75" customHeight="1"/>
    <row r="35505" ht="15.75" customHeight="1"/>
    <row r="35506" ht="15.75" customHeight="1"/>
    <row r="35507" ht="15.75" customHeight="1"/>
    <row r="35508" ht="15.75" customHeight="1"/>
    <row r="35509" ht="15.75" customHeight="1"/>
    <row r="35510" ht="15.75" customHeight="1"/>
    <row r="35511" ht="15.75" customHeight="1"/>
    <row r="35512" ht="15.75" customHeight="1"/>
    <row r="35513" ht="15.75" customHeight="1"/>
    <row r="35514" ht="15.75" customHeight="1"/>
    <row r="35515" ht="15.75" customHeight="1"/>
    <row r="35516" ht="15.75" customHeight="1"/>
    <row r="35517" ht="15.75" customHeight="1"/>
    <row r="35518" ht="15.75" customHeight="1"/>
    <row r="35519" ht="15.75" customHeight="1"/>
    <row r="35520" ht="15.75" customHeight="1"/>
    <row r="35521" ht="15.75" customHeight="1"/>
    <row r="35522" ht="15.75" customHeight="1"/>
    <row r="35523" ht="15.75" customHeight="1"/>
    <row r="35524" ht="15.75" customHeight="1"/>
    <row r="35525" ht="15.75" customHeight="1"/>
    <row r="35526" ht="15.75" customHeight="1"/>
    <row r="35527" ht="15.75" customHeight="1"/>
    <row r="35528" ht="15.75" customHeight="1"/>
    <row r="35529" ht="15.75" customHeight="1"/>
    <row r="35530" ht="15.75" customHeight="1"/>
    <row r="35531" ht="15.75" customHeight="1"/>
    <row r="35532" ht="15.75" customHeight="1"/>
    <row r="35533" ht="15.75" customHeight="1"/>
    <row r="35534" ht="15.75" customHeight="1"/>
    <row r="35535" ht="15.75" customHeight="1"/>
    <row r="35536" ht="15.75" customHeight="1"/>
    <row r="35537" ht="15.75" customHeight="1"/>
    <row r="35538" ht="15.75" customHeight="1"/>
    <row r="35539" ht="15.75" customHeight="1"/>
    <row r="35540" ht="15.75" customHeight="1"/>
    <row r="35541" ht="15.75" customHeight="1"/>
    <row r="35542" ht="15.75" customHeight="1"/>
    <row r="35543" ht="15.75" customHeight="1"/>
    <row r="35544" ht="15.75" customHeight="1"/>
    <row r="35545" ht="15.75" customHeight="1"/>
    <row r="35546" ht="15.75" customHeight="1"/>
    <row r="35547" ht="15.75" customHeight="1"/>
    <row r="35548" ht="15.75" customHeight="1"/>
    <row r="35549" ht="15.75" customHeight="1"/>
    <row r="35550" ht="15.75" customHeight="1"/>
    <row r="35551" ht="15.75" customHeight="1"/>
    <row r="35552" ht="15.75" customHeight="1"/>
    <row r="35553" ht="15.75" customHeight="1"/>
    <row r="35554" ht="15.75" customHeight="1"/>
    <row r="35555" ht="15.75" customHeight="1"/>
    <row r="35556" ht="15.75" customHeight="1"/>
    <row r="35557" ht="15.75" customHeight="1"/>
    <row r="35558" ht="15.75" customHeight="1"/>
    <row r="35559" ht="15.75" customHeight="1"/>
    <row r="35560" ht="15.75" customHeight="1"/>
    <row r="35561" ht="15.75" customHeight="1"/>
    <row r="35562" ht="15.75" customHeight="1"/>
    <row r="35563" ht="15.75" customHeight="1"/>
    <row r="35564" ht="15.75" customHeight="1"/>
    <row r="35565" ht="15.75" customHeight="1"/>
    <row r="35566" ht="15.75" customHeight="1"/>
    <row r="35567" ht="15.75" customHeight="1"/>
    <row r="35568" ht="15.75" customHeight="1"/>
    <row r="35569" ht="15.75" customHeight="1"/>
    <row r="35570" ht="15.75" customHeight="1"/>
    <row r="35571" ht="15.75" customHeight="1"/>
    <row r="35572" ht="15.75" customHeight="1"/>
    <row r="35573" ht="15.75" customHeight="1"/>
    <row r="35574" ht="15.75" customHeight="1"/>
    <row r="35575" ht="15.75" customHeight="1"/>
    <row r="35576" ht="15.75" customHeight="1"/>
    <row r="35577" ht="15.75" customHeight="1"/>
    <row r="35578" ht="15.75" customHeight="1"/>
    <row r="35579" ht="15.75" customHeight="1"/>
    <row r="35580" ht="15.75" customHeight="1"/>
    <row r="35581" ht="15.75" customHeight="1"/>
    <row r="35582" ht="15.75" customHeight="1"/>
    <row r="35583" ht="15.75" customHeight="1"/>
    <row r="35584" ht="15.75" customHeight="1"/>
    <row r="35585" ht="15.75" customHeight="1"/>
    <row r="35586" ht="15.75" customHeight="1"/>
    <row r="35587" ht="15.75" customHeight="1"/>
    <row r="35588" ht="15.75" customHeight="1"/>
    <row r="35589" ht="15.75" customHeight="1"/>
    <row r="35590" ht="15.75" customHeight="1"/>
    <row r="35591" ht="15.75" customHeight="1"/>
    <row r="35592" ht="15.75" customHeight="1"/>
    <row r="35593" ht="15.75" customHeight="1"/>
    <row r="35594" ht="15.75" customHeight="1"/>
    <row r="35595" ht="15.75" customHeight="1"/>
    <row r="35596" ht="15.75" customHeight="1"/>
    <row r="35597" ht="15.75" customHeight="1"/>
    <row r="35598" ht="15.75" customHeight="1"/>
    <row r="35599" ht="15.75" customHeight="1"/>
    <row r="35600" ht="15.75" customHeight="1"/>
    <row r="35601" ht="15.75" customHeight="1"/>
    <row r="35602" ht="15.75" customHeight="1"/>
    <row r="35603" ht="15.75" customHeight="1"/>
    <row r="35604" ht="15.75" customHeight="1"/>
    <row r="35605" ht="15.75" customHeight="1"/>
    <row r="35606" ht="15.75" customHeight="1"/>
    <row r="35607" ht="15.75" customHeight="1"/>
    <row r="35608" ht="15.75" customHeight="1"/>
    <row r="35609" ht="15.75" customHeight="1"/>
    <row r="35610" ht="15.75" customHeight="1"/>
    <row r="35611" ht="15.75" customHeight="1"/>
    <row r="35612" ht="15.75" customHeight="1"/>
    <row r="35613" ht="15.75" customHeight="1"/>
    <row r="35614" ht="15.75" customHeight="1"/>
    <row r="35615" ht="15.75" customHeight="1"/>
    <row r="35616" ht="15.75" customHeight="1"/>
    <row r="35617" ht="15.75" customHeight="1"/>
    <row r="35618" ht="15.75" customHeight="1"/>
    <row r="35619" ht="15.75" customHeight="1"/>
    <row r="35620" ht="15.75" customHeight="1"/>
    <row r="35621" ht="15.75" customHeight="1"/>
    <row r="35622" ht="15.75" customHeight="1"/>
    <row r="35623" ht="15.75" customHeight="1"/>
    <row r="35624" ht="15.75" customHeight="1"/>
    <row r="35625" ht="15.75" customHeight="1"/>
    <row r="35626" ht="15.75" customHeight="1"/>
    <row r="35627" ht="15.75" customHeight="1"/>
    <row r="35628" ht="15.75" customHeight="1"/>
    <row r="35629" ht="15.75" customHeight="1"/>
    <row r="35630" ht="15.75" customHeight="1"/>
    <row r="35631" ht="15.75" customHeight="1"/>
    <row r="35632" ht="15.75" customHeight="1"/>
    <row r="35633" ht="15.75" customHeight="1"/>
    <row r="35634" ht="15.75" customHeight="1"/>
    <row r="35635" ht="15.75" customHeight="1"/>
    <row r="35636" ht="15.75" customHeight="1"/>
    <row r="35637" ht="15.75" customHeight="1"/>
    <row r="35638" ht="15.75" customHeight="1"/>
    <row r="35639" ht="15.75" customHeight="1"/>
    <row r="35640" ht="15.75" customHeight="1"/>
    <row r="35641" ht="15.75" customHeight="1"/>
    <row r="35642" ht="15.75" customHeight="1"/>
    <row r="35643" ht="15.75" customHeight="1"/>
    <row r="35644" ht="15.75" customHeight="1"/>
    <row r="35645" ht="15.75" customHeight="1"/>
    <row r="35646" ht="15.75" customHeight="1"/>
    <row r="35647" ht="15.75" customHeight="1"/>
    <row r="35648" ht="15.75" customHeight="1"/>
    <row r="35649" ht="15.75" customHeight="1"/>
    <row r="35650" ht="15.75" customHeight="1"/>
    <row r="35651" ht="15.75" customHeight="1"/>
    <row r="35652" ht="15.75" customHeight="1"/>
    <row r="35653" ht="15.75" customHeight="1"/>
    <row r="35654" ht="15.75" customHeight="1"/>
    <row r="35655" ht="15.75" customHeight="1"/>
    <row r="35656" ht="15.75" customHeight="1"/>
    <row r="35657" ht="15.75" customHeight="1"/>
    <row r="35658" ht="15.75" customHeight="1"/>
    <row r="35659" ht="15.75" customHeight="1"/>
    <row r="35660" ht="15.75" customHeight="1"/>
    <row r="35661" ht="15.75" customHeight="1"/>
    <row r="35662" ht="15.75" customHeight="1"/>
    <row r="35663" ht="15.75" customHeight="1"/>
    <row r="35664" ht="15.75" customHeight="1"/>
    <row r="35665" ht="15.75" customHeight="1"/>
    <row r="35666" ht="15.75" customHeight="1"/>
    <row r="35667" ht="15.75" customHeight="1"/>
    <row r="35668" ht="15.75" customHeight="1"/>
    <row r="35669" ht="15.75" customHeight="1"/>
    <row r="35670" ht="15.75" customHeight="1"/>
    <row r="35671" ht="15.75" customHeight="1"/>
    <row r="35672" ht="15.75" customHeight="1"/>
    <row r="35673" ht="15.75" customHeight="1"/>
    <row r="35674" ht="15.75" customHeight="1"/>
    <row r="35675" ht="15.75" customHeight="1"/>
    <row r="35676" ht="15.75" customHeight="1"/>
    <row r="35677" ht="15.75" customHeight="1"/>
    <row r="35678" ht="15.75" customHeight="1"/>
    <row r="35679" ht="15.75" customHeight="1"/>
    <row r="35680" ht="15.75" customHeight="1"/>
    <row r="35681" ht="15.75" customHeight="1"/>
    <row r="35682" ht="15.75" customHeight="1"/>
    <row r="35683" ht="15.75" customHeight="1"/>
    <row r="35684" ht="15.75" customHeight="1"/>
    <row r="35685" ht="15.75" customHeight="1"/>
    <row r="35686" ht="15.75" customHeight="1"/>
    <row r="35687" ht="15.75" customHeight="1"/>
    <row r="35688" ht="15.75" customHeight="1"/>
    <row r="35689" ht="15.75" customHeight="1"/>
    <row r="35690" ht="15.75" customHeight="1"/>
    <row r="35691" ht="15.75" customHeight="1"/>
    <row r="35692" ht="15.75" customHeight="1"/>
    <row r="35693" ht="15.75" customHeight="1"/>
    <row r="35694" ht="15.75" customHeight="1"/>
    <row r="35695" ht="15.75" customHeight="1"/>
    <row r="35696" ht="15.75" customHeight="1"/>
    <row r="35697" ht="15.75" customHeight="1"/>
    <row r="35698" ht="15.75" customHeight="1"/>
    <row r="35699" ht="15.75" customHeight="1"/>
    <row r="35700" ht="15.75" customHeight="1"/>
    <row r="35701" ht="15.75" customHeight="1"/>
    <row r="35702" ht="15.75" customHeight="1"/>
    <row r="35703" ht="15.75" customHeight="1"/>
    <row r="35704" ht="15.75" customHeight="1"/>
    <row r="35705" ht="15.75" customHeight="1"/>
    <row r="35706" ht="15.75" customHeight="1"/>
    <row r="35707" ht="15.75" customHeight="1"/>
    <row r="35708" ht="15.75" customHeight="1"/>
    <row r="35709" ht="15.75" customHeight="1"/>
    <row r="35710" ht="15.75" customHeight="1"/>
    <row r="35711" ht="15.75" customHeight="1"/>
    <row r="35712" ht="15.75" customHeight="1"/>
    <row r="35713" ht="15.75" customHeight="1"/>
    <row r="35714" ht="15.75" customHeight="1"/>
    <row r="35715" ht="15.75" customHeight="1"/>
    <row r="35716" ht="15.75" customHeight="1"/>
    <row r="35717" ht="15.75" customHeight="1"/>
    <row r="35718" ht="15.75" customHeight="1"/>
    <row r="35719" ht="15.75" customHeight="1"/>
    <row r="35720" ht="15.75" customHeight="1"/>
    <row r="35721" ht="15.75" customHeight="1"/>
    <row r="35722" ht="15.75" customHeight="1"/>
    <row r="35723" ht="15.75" customHeight="1"/>
    <row r="35724" ht="15.75" customHeight="1"/>
    <row r="35725" ht="15.75" customHeight="1"/>
    <row r="35726" ht="15.75" customHeight="1"/>
    <row r="35727" ht="15.75" customHeight="1"/>
    <row r="35728" ht="15.75" customHeight="1"/>
    <row r="35729" ht="15.75" customHeight="1"/>
    <row r="35730" ht="15.75" customHeight="1"/>
    <row r="35731" ht="15.75" customHeight="1"/>
    <row r="35732" ht="15.75" customHeight="1"/>
    <row r="35733" ht="15.75" customHeight="1"/>
    <row r="35734" ht="15.75" customHeight="1"/>
    <row r="35735" ht="15.75" customHeight="1"/>
    <row r="35736" ht="15.75" customHeight="1"/>
    <row r="35737" ht="15.75" customHeight="1"/>
    <row r="35738" ht="15.75" customHeight="1"/>
    <row r="35739" ht="15.75" customHeight="1"/>
    <row r="35740" ht="15.75" customHeight="1"/>
    <row r="35741" ht="15.75" customHeight="1"/>
    <row r="35742" ht="15.75" customHeight="1"/>
    <row r="35743" ht="15.75" customHeight="1"/>
    <row r="35744" ht="15.75" customHeight="1"/>
    <row r="35745" ht="15.75" customHeight="1"/>
    <row r="35746" ht="15.75" customHeight="1"/>
    <row r="35747" ht="15.75" customHeight="1"/>
    <row r="35748" ht="15.75" customHeight="1"/>
    <row r="35749" ht="15.75" customHeight="1"/>
    <row r="35750" ht="15.75" customHeight="1"/>
    <row r="35751" ht="15.75" customHeight="1"/>
    <row r="35752" ht="15.75" customHeight="1"/>
    <row r="35753" ht="15.75" customHeight="1"/>
    <row r="35754" ht="15.75" customHeight="1"/>
    <row r="35755" ht="15.75" customHeight="1"/>
    <row r="35756" ht="15.75" customHeight="1"/>
    <row r="35757" ht="15.75" customHeight="1"/>
    <row r="35758" ht="15.75" customHeight="1"/>
    <row r="35759" ht="15.75" customHeight="1"/>
    <row r="35760" ht="15.75" customHeight="1"/>
    <row r="35761" ht="15.75" customHeight="1"/>
    <row r="35762" ht="15.75" customHeight="1"/>
    <row r="35763" ht="15.75" customHeight="1"/>
    <row r="35764" ht="15.75" customHeight="1"/>
    <row r="35765" ht="15.75" customHeight="1"/>
    <row r="35766" ht="15.75" customHeight="1"/>
    <row r="35767" ht="15.75" customHeight="1"/>
    <row r="35768" ht="15.75" customHeight="1"/>
    <row r="35769" ht="15.75" customHeight="1"/>
    <row r="35770" ht="15.75" customHeight="1"/>
    <row r="35771" ht="15.75" customHeight="1"/>
    <row r="35772" ht="15.75" customHeight="1"/>
    <row r="35773" ht="15.75" customHeight="1"/>
    <row r="35774" ht="15.75" customHeight="1"/>
    <row r="35775" ht="15.75" customHeight="1"/>
    <row r="35776" ht="15.75" customHeight="1"/>
    <row r="35777" ht="15.75" customHeight="1"/>
    <row r="35778" ht="15.75" customHeight="1"/>
    <row r="35779" ht="15.75" customHeight="1"/>
    <row r="35780" ht="15.75" customHeight="1"/>
    <row r="35781" ht="15.75" customHeight="1"/>
    <row r="35782" ht="15.75" customHeight="1"/>
    <row r="35783" ht="15.75" customHeight="1"/>
    <row r="35784" ht="15.75" customHeight="1"/>
    <row r="35785" ht="15.75" customHeight="1"/>
    <row r="35786" ht="15.75" customHeight="1"/>
    <row r="35787" ht="15.75" customHeight="1"/>
    <row r="35788" ht="15.75" customHeight="1"/>
    <row r="35789" ht="15.75" customHeight="1"/>
    <row r="35790" ht="15.75" customHeight="1"/>
    <row r="35791" ht="15.75" customHeight="1"/>
    <row r="35792" ht="15.75" customHeight="1"/>
    <row r="35793" ht="15.75" customHeight="1"/>
    <row r="35794" ht="15.75" customHeight="1"/>
    <row r="35795" ht="15.75" customHeight="1"/>
    <row r="35796" ht="15.75" customHeight="1"/>
    <row r="35797" ht="15.75" customHeight="1"/>
    <row r="35798" ht="15.75" customHeight="1"/>
    <row r="35799" ht="15.75" customHeight="1"/>
    <row r="35800" ht="15.75" customHeight="1"/>
    <row r="35801" ht="15.75" customHeight="1"/>
    <row r="35802" ht="15.75" customHeight="1"/>
    <row r="35803" ht="15.75" customHeight="1"/>
    <row r="35804" ht="15.75" customHeight="1"/>
    <row r="35805" ht="15.75" customHeight="1"/>
    <row r="35806" ht="15.75" customHeight="1"/>
    <row r="35807" ht="15.75" customHeight="1"/>
    <row r="35808" ht="15.75" customHeight="1"/>
    <row r="35809" ht="15.75" customHeight="1"/>
    <row r="35810" ht="15.75" customHeight="1"/>
    <row r="35811" ht="15.75" customHeight="1"/>
    <row r="35812" ht="15.75" customHeight="1"/>
    <row r="35813" ht="15.75" customHeight="1"/>
    <row r="35814" ht="15.75" customHeight="1"/>
    <row r="35815" ht="15.75" customHeight="1"/>
    <row r="35816" ht="15.75" customHeight="1"/>
    <row r="35817" ht="15.75" customHeight="1"/>
    <row r="35818" ht="15.75" customHeight="1"/>
    <row r="35819" ht="15.75" customHeight="1"/>
    <row r="35820" ht="15.75" customHeight="1"/>
    <row r="35821" ht="15.75" customHeight="1"/>
    <row r="35822" ht="15.75" customHeight="1"/>
    <row r="35823" ht="15.75" customHeight="1"/>
    <row r="35824" ht="15.75" customHeight="1"/>
    <row r="35825" ht="15.75" customHeight="1"/>
    <row r="35826" ht="15.75" customHeight="1"/>
    <row r="35827" ht="15.75" customHeight="1"/>
    <row r="35828" ht="15.75" customHeight="1"/>
    <row r="35829" ht="15.75" customHeight="1"/>
    <row r="35830" ht="15.75" customHeight="1"/>
    <row r="35831" ht="15.75" customHeight="1"/>
    <row r="35832" ht="15.75" customHeight="1"/>
    <row r="35833" ht="15.75" customHeight="1"/>
    <row r="35834" ht="15.75" customHeight="1"/>
    <row r="35835" ht="15.75" customHeight="1"/>
    <row r="35836" ht="15.75" customHeight="1"/>
    <row r="35837" ht="15.75" customHeight="1"/>
    <row r="35838" ht="15.75" customHeight="1"/>
    <row r="35839" ht="15.75" customHeight="1"/>
    <row r="35840" ht="15.75" customHeight="1"/>
    <row r="35841" ht="15.75" customHeight="1"/>
    <row r="35842" ht="15.75" customHeight="1"/>
    <row r="35843" ht="15.75" customHeight="1"/>
    <row r="35844" ht="15.75" customHeight="1"/>
    <row r="35845" ht="15.75" customHeight="1"/>
    <row r="35846" ht="15.75" customHeight="1"/>
    <row r="35847" ht="15.75" customHeight="1"/>
    <row r="35848" ht="15.75" customHeight="1"/>
    <row r="35849" ht="15.75" customHeight="1"/>
    <row r="35850" ht="15.75" customHeight="1"/>
    <row r="35851" ht="15.75" customHeight="1"/>
    <row r="35852" ht="15.75" customHeight="1"/>
    <row r="35853" ht="15.75" customHeight="1"/>
    <row r="35854" ht="15.75" customHeight="1"/>
    <row r="35855" ht="15.75" customHeight="1"/>
    <row r="35856" ht="15.75" customHeight="1"/>
    <row r="35857" ht="15.75" customHeight="1"/>
    <row r="35858" ht="15.75" customHeight="1"/>
    <row r="35859" ht="15.75" customHeight="1"/>
    <row r="35860" ht="15.75" customHeight="1"/>
    <row r="35861" ht="15.75" customHeight="1"/>
    <row r="35862" ht="15.75" customHeight="1"/>
    <row r="35863" ht="15.75" customHeight="1"/>
    <row r="35864" ht="15.75" customHeight="1"/>
    <row r="35865" ht="15.75" customHeight="1"/>
    <row r="35866" ht="15.75" customHeight="1"/>
    <row r="35867" ht="15.75" customHeight="1"/>
    <row r="35868" ht="15.75" customHeight="1"/>
    <row r="35869" ht="15.75" customHeight="1"/>
    <row r="35870" ht="15.75" customHeight="1"/>
    <row r="35871" ht="15.75" customHeight="1"/>
    <row r="35872" ht="15.75" customHeight="1"/>
    <row r="35873" ht="15.75" customHeight="1"/>
    <row r="35874" ht="15.75" customHeight="1"/>
    <row r="35875" ht="15.75" customHeight="1"/>
    <row r="35876" ht="15.75" customHeight="1"/>
    <row r="35877" ht="15.75" customHeight="1"/>
    <row r="35878" ht="15.75" customHeight="1"/>
    <row r="35879" ht="15.75" customHeight="1"/>
    <row r="35880" ht="15.75" customHeight="1"/>
    <row r="35881" ht="15.75" customHeight="1"/>
    <row r="35882" ht="15.75" customHeight="1"/>
    <row r="35883" ht="15.75" customHeight="1"/>
    <row r="35884" ht="15.75" customHeight="1"/>
    <row r="35885" ht="15.75" customHeight="1"/>
    <row r="35886" ht="15.75" customHeight="1"/>
    <row r="35887" ht="15.75" customHeight="1"/>
    <row r="35888" ht="15.75" customHeight="1"/>
    <row r="35889" ht="15.75" customHeight="1"/>
    <row r="35890" ht="15.75" customHeight="1"/>
    <row r="35891" ht="15.75" customHeight="1"/>
    <row r="35892" ht="15.75" customHeight="1"/>
    <row r="35893" ht="15.75" customHeight="1"/>
    <row r="35894" ht="15.75" customHeight="1"/>
    <row r="35895" ht="15.75" customHeight="1"/>
    <row r="35896" ht="15.75" customHeight="1"/>
    <row r="35897" ht="15.75" customHeight="1"/>
    <row r="35898" ht="15.75" customHeight="1"/>
    <row r="35899" ht="15.75" customHeight="1"/>
    <row r="35900" ht="15.75" customHeight="1"/>
    <row r="35901" ht="15.75" customHeight="1"/>
    <row r="35902" ht="15.75" customHeight="1"/>
    <row r="35903" ht="15.75" customHeight="1"/>
    <row r="35904" ht="15.75" customHeight="1"/>
    <row r="35905" ht="15.75" customHeight="1"/>
    <row r="35906" ht="15.75" customHeight="1"/>
    <row r="35907" ht="15.75" customHeight="1"/>
    <row r="35908" ht="15.75" customHeight="1"/>
    <row r="35909" ht="15.75" customHeight="1"/>
    <row r="35910" ht="15.75" customHeight="1"/>
    <row r="35911" ht="15.75" customHeight="1"/>
    <row r="35912" ht="15.75" customHeight="1"/>
    <row r="35913" ht="15.75" customHeight="1"/>
    <row r="35914" ht="15.75" customHeight="1"/>
    <row r="35915" ht="15.75" customHeight="1"/>
    <row r="35916" ht="15.75" customHeight="1"/>
    <row r="35917" ht="15.75" customHeight="1"/>
    <row r="35918" ht="15.75" customHeight="1"/>
    <row r="35919" ht="15.75" customHeight="1"/>
    <row r="35920" ht="15.75" customHeight="1"/>
    <row r="35921" ht="15.75" customHeight="1"/>
    <row r="35922" ht="15.75" customHeight="1"/>
    <row r="35923" ht="15.75" customHeight="1"/>
    <row r="35924" ht="15.75" customHeight="1"/>
    <row r="35925" ht="15.75" customHeight="1"/>
    <row r="35926" ht="15.75" customHeight="1"/>
    <row r="35927" ht="15.75" customHeight="1"/>
    <row r="35928" ht="15.75" customHeight="1"/>
    <row r="35929" ht="15.75" customHeight="1"/>
    <row r="35930" ht="15.75" customHeight="1"/>
    <row r="35931" ht="15.75" customHeight="1"/>
    <row r="35932" ht="15.75" customHeight="1"/>
    <row r="35933" ht="15.75" customHeight="1"/>
    <row r="35934" ht="15.75" customHeight="1"/>
    <row r="35935" ht="15.75" customHeight="1"/>
    <row r="35936" ht="15.75" customHeight="1"/>
    <row r="35937" ht="15.75" customHeight="1"/>
    <row r="35938" ht="15.75" customHeight="1"/>
    <row r="35939" ht="15.75" customHeight="1"/>
    <row r="35940" ht="15.75" customHeight="1"/>
    <row r="35941" ht="15.75" customHeight="1"/>
    <row r="35942" ht="15.75" customHeight="1"/>
    <row r="35943" ht="15.75" customHeight="1"/>
    <row r="35944" ht="15.75" customHeight="1"/>
    <row r="35945" ht="15.75" customHeight="1"/>
    <row r="35946" ht="15.75" customHeight="1"/>
    <row r="35947" ht="15.75" customHeight="1"/>
    <row r="35948" ht="15.75" customHeight="1"/>
    <row r="35949" ht="15.75" customHeight="1"/>
    <row r="35950" ht="15.75" customHeight="1"/>
    <row r="35951" ht="15.75" customHeight="1"/>
    <row r="35952" ht="15.75" customHeight="1"/>
    <row r="35953" ht="15.75" customHeight="1"/>
    <row r="35954" ht="15.75" customHeight="1"/>
    <row r="35955" ht="15.75" customHeight="1"/>
    <row r="35956" ht="15.75" customHeight="1"/>
    <row r="35957" ht="15.75" customHeight="1"/>
    <row r="35958" ht="15.75" customHeight="1"/>
    <row r="35959" ht="15.75" customHeight="1"/>
    <row r="35960" ht="15.75" customHeight="1"/>
    <row r="35961" ht="15.75" customHeight="1"/>
    <row r="35962" ht="15.75" customHeight="1"/>
    <row r="35963" ht="15.75" customHeight="1"/>
    <row r="35964" ht="15.75" customHeight="1"/>
    <row r="35965" ht="15.75" customHeight="1"/>
    <row r="35966" ht="15.75" customHeight="1"/>
    <row r="35967" ht="15.75" customHeight="1"/>
    <row r="35968" ht="15.75" customHeight="1"/>
    <row r="35969" ht="15.75" customHeight="1"/>
    <row r="35970" ht="15.75" customHeight="1"/>
    <row r="35971" ht="15.75" customHeight="1"/>
    <row r="35972" ht="15.75" customHeight="1"/>
    <row r="35973" ht="15.75" customHeight="1"/>
    <row r="35974" ht="15.75" customHeight="1"/>
    <row r="35975" ht="15.75" customHeight="1"/>
    <row r="35976" ht="15.75" customHeight="1"/>
    <row r="35977" ht="15.75" customHeight="1"/>
    <row r="35978" ht="15.75" customHeight="1"/>
    <row r="35979" ht="15.75" customHeight="1"/>
    <row r="35980" ht="15.75" customHeight="1"/>
    <row r="35981" ht="15.75" customHeight="1"/>
    <row r="35982" ht="15.75" customHeight="1"/>
    <row r="35983" ht="15.75" customHeight="1"/>
    <row r="35984" ht="15.75" customHeight="1"/>
    <row r="35985" ht="15.75" customHeight="1"/>
    <row r="35986" ht="15.75" customHeight="1"/>
    <row r="35987" ht="15.75" customHeight="1"/>
    <row r="35988" ht="15.75" customHeight="1"/>
    <row r="35989" ht="15.75" customHeight="1"/>
    <row r="35990" ht="15.75" customHeight="1"/>
    <row r="35991" ht="15.75" customHeight="1"/>
    <row r="35992" ht="15.75" customHeight="1"/>
    <row r="35993" ht="15.75" customHeight="1"/>
    <row r="35994" ht="15.75" customHeight="1"/>
    <row r="35995" ht="15.75" customHeight="1"/>
    <row r="35996" ht="15.75" customHeight="1"/>
    <row r="35997" ht="15.75" customHeight="1"/>
    <row r="35998" ht="15.75" customHeight="1"/>
    <row r="35999" ht="15.75" customHeight="1"/>
    <row r="36000" ht="15.75" customHeight="1"/>
    <row r="36001" ht="15.75" customHeight="1"/>
    <row r="36002" ht="15.75" customHeight="1"/>
    <row r="36003" ht="15.75" customHeight="1"/>
    <row r="36004" ht="15.75" customHeight="1"/>
    <row r="36005" ht="15.75" customHeight="1"/>
    <row r="36006" ht="15.75" customHeight="1"/>
    <row r="36007" ht="15.75" customHeight="1"/>
    <row r="36008" ht="15.75" customHeight="1"/>
    <row r="36009" ht="15.75" customHeight="1"/>
    <row r="36010" ht="15.75" customHeight="1"/>
    <row r="36011" ht="15.75" customHeight="1"/>
    <row r="36012" ht="15.75" customHeight="1"/>
    <row r="36013" ht="15.75" customHeight="1"/>
    <row r="36014" ht="15.75" customHeight="1"/>
    <row r="36015" ht="15.75" customHeight="1"/>
    <row r="36016" ht="15.75" customHeight="1"/>
    <row r="36017" ht="15.75" customHeight="1"/>
    <row r="36018" ht="15.75" customHeight="1"/>
    <row r="36019" ht="15.75" customHeight="1"/>
    <row r="36020" ht="15.75" customHeight="1"/>
    <row r="36021" ht="15.75" customHeight="1"/>
    <row r="36022" ht="15.75" customHeight="1"/>
    <row r="36023" ht="15.75" customHeight="1"/>
    <row r="36024" ht="15.75" customHeight="1"/>
    <row r="36025" ht="15.75" customHeight="1"/>
    <row r="36026" ht="15.75" customHeight="1"/>
    <row r="36027" ht="15.75" customHeight="1"/>
    <row r="36028" ht="15.75" customHeight="1"/>
    <row r="36029" ht="15.75" customHeight="1"/>
    <row r="36030" ht="15.75" customHeight="1"/>
    <row r="36031" ht="15.75" customHeight="1"/>
    <row r="36032" ht="15.75" customHeight="1"/>
    <row r="36033" ht="15.75" customHeight="1"/>
    <row r="36034" ht="15.75" customHeight="1"/>
    <row r="36035" ht="15.75" customHeight="1"/>
    <row r="36036" ht="15.75" customHeight="1"/>
    <row r="36037" ht="15.75" customHeight="1"/>
    <row r="36038" ht="15.75" customHeight="1"/>
    <row r="36039" ht="15.75" customHeight="1"/>
    <row r="36040" ht="15.75" customHeight="1"/>
    <row r="36041" ht="15.75" customHeight="1"/>
    <row r="36042" ht="15.75" customHeight="1"/>
    <row r="36043" ht="15.75" customHeight="1"/>
    <row r="36044" ht="15.75" customHeight="1"/>
    <row r="36045" ht="15.75" customHeight="1"/>
    <row r="36046" ht="15.75" customHeight="1"/>
    <row r="36047" ht="15.75" customHeight="1"/>
    <row r="36048" ht="15.75" customHeight="1"/>
    <row r="36049" ht="15.75" customHeight="1"/>
    <row r="36050" ht="15.75" customHeight="1"/>
    <row r="36051" ht="15.75" customHeight="1"/>
    <row r="36052" ht="15.75" customHeight="1"/>
    <row r="36053" ht="15.75" customHeight="1"/>
    <row r="36054" ht="15.75" customHeight="1"/>
    <row r="36055" ht="15.75" customHeight="1"/>
    <row r="36056" ht="15.75" customHeight="1"/>
    <row r="36057" ht="15.75" customHeight="1"/>
    <row r="36058" ht="15.75" customHeight="1"/>
    <row r="36059" ht="15.75" customHeight="1"/>
    <row r="36060" ht="15.75" customHeight="1"/>
    <row r="36061" ht="15.75" customHeight="1"/>
    <row r="36062" ht="15.75" customHeight="1"/>
    <row r="36063" ht="15.75" customHeight="1"/>
    <row r="36064" ht="15.75" customHeight="1"/>
    <row r="36065" ht="15.75" customHeight="1"/>
    <row r="36066" ht="15.75" customHeight="1"/>
    <row r="36067" ht="15.75" customHeight="1"/>
    <row r="36068" ht="15.75" customHeight="1"/>
    <row r="36069" ht="15.75" customHeight="1"/>
    <row r="36070" ht="15.75" customHeight="1"/>
    <row r="36071" ht="15.75" customHeight="1"/>
    <row r="36072" ht="15.75" customHeight="1"/>
    <row r="36073" ht="15.75" customHeight="1"/>
    <row r="36074" ht="15.75" customHeight="1"/>
    <row r="36075" ht="15.75" customHeight="1"/>
    <row r="36076" ht="15.75" customHeight="1"/>
    <row r="36077" ht="15.75" customHeight="1"/>
    <row r="36078" ht="15.75" customHeight="1"/>
    <row r="36079" ht="15.75" customHeight="1"/>
    <row r="36080" ht="15.75" customHeight="1"/>
    <row r="36081" ht="15.75" customHeight="1"/>
    <row r="36082" ht="15.75" customHeight="1"/>
    <row r="36083" ht="15.75" customHeight="1"/>
    <row r="36084" ht="15.75" customHeight="1"/>
    <row r="36085" ht="15.75" customHeight="1"/>
    <row r="36086" ht="15.75" customHeight="1"/>
    <row r="36087" ht="15.75" customHeight="1"/>
    <row r="36088" ht="15.75" customHeight="1"/>
    <row r="36089" ht="15.75" customHeight="1"/>
    <row r="36090" ht="15.75" customHeight="1"/>
    <row r="36091" ht="15.75" customHeight="1"/>
    <row r="36092" ht="15.75" customHeight="1"/>
    <row r="36093" ht="15.75" customHeight="1"/>
    <row r="36094" ht="15.75" customHeight="1"/>
    <row r="36095" ht="15.75" customHeight="1"/>
    <row r="36096" ht="15.75" customHeight="1"/>
    <row r="36097" ht="15.75" customHeight="1"/>
    <row r="36098" ht="15.75" customHeight="1"/>
    <row r="36099" ht="15.75" customHeight="1"/>
    <row r="36100" ht="15.75" customHeight="1"/>
    <row r="36101" ht="15.75" customHeight="1"/>
    <row r="36102" ht="15.75" customHeight="1"/>
    <row r="36103" ht="15.75" customHeight="1"/>
    <row r="36104" ht="15.75" customHeight="1"/>
    <row r="36105" ht="15.75" customHeight="1"/>
    <row r="36106" ht="15.75" customHeight="1"/>
    <row r="36107" ht="15.75" customHeight="1"/>
    <row r="36108" ht="15.75" customHeight="1"/>
    <row r="36109" ht="15.75" customHeight="1"/>
    <row r="36110" ht="15.75" customHeight="1"/>
    <row r="36111" ht="15.75" customHeight="1"/>
    <row r="36112" ht="15.75" customHeight="1"/>
    <row r="36113" ht="15.75" customHeight="1"/>
    <row r="36114" ht="15.75" customHeight="1"/>
    <row r="36115" ht="15.75" customHeight="1"/>
    <row r="36116" ht="15.75" customHeight="1"/>
    <row r="36117" ht="15.75" customHeight="1"/>
    <row r="36118" ht="15.75" customHeight="1"/>
    <row r="36119" ht="15.75" customHeight="1"/>
    <row r="36120" ht="15.75" customHeight="1"/>
    <row r="36121" ht="15.75" customHeight="1"/>
    <row r="36122" ht="15.75" customHeight="1"/>
    <row r="36123" ht="15.75" customHeight="1"/>
    <row r="36124" ht="15.75" customHeight="1"/>
    <row r="36125" ht="15.75" customHeight="1"/>
    <row r="36126" ht="15.75" customHeight="1"/>
    <row r="36127" ht="15.75" customHeight="1"/>
    <row r="36128" ht="15.75" customHeight="1"/>
    <row r="36129" ht="15.75" customHeight="1"/>
    <row r="36130" ht="15.75" customHeight="1"/>
    <row r="36131" ht="15.75" customHeight="1"/>
    <row r="36132" ht="15.75" customHeight="1"/>
    <row r="36133" ht="15.75" customHeight="1"/>
    <row r="36134" ht="15.75" customHeight="1"/>
    <row r="36135" ht="15.75" customHeight="1"/>
    <row r="36136" ht="15.75" customHeight="1"/>
    <row r="36137" ht="15.75" customHeight="1"/>
    <row r="36138" ht="15.75" customHeight="1"/>
    <row r="36139" ht="15.75" customHeight="1"/>
    <row r="36140" ht="15.75" customHeight="1"/>
    <row r="36141" ht="15.75" customHeight="1"/>
    <row r="36142" ht="15.75" customHeight="1"/>
    <row r="36143" ht="15.75" customHeight="1"/>
    <row r="36144" ht="15.75" customHeight="1"/>
    <row r="36145" ht="15.75" customHeight="1"/>
    <row r="36146" ht="15.75" customHeight="1"/>
    <row r="36147" ht="15.75" customHeight="1"/>
    <row r="36148" ht="15.75" customHeight="1"/>
    <row r="36149" ht="15.75" customHeight="1"/>
    <row r="36150" ht="15.75" customHeight="1"/>
    <row r="36151" ht="15.75" customHeight="1"/>
    <row r="36152" ht="15.75" customHeight="1"/>
    <row r="36153" ht="15.75" customHeight="1"/>
    <row r="36154" ht="15.75" customHeight="1"/>
    <row r="36155" ht="15.75" customHeight="1"/>
    <row r="36156" ht="15.75" customHeight="1"/>
    <row r="36157" ht="15.75" customHeight="1"/>
    <row r="36158" ht="15.75" customHeight="1"/>
    <row r="36159" ht="15.75" customHeight="1"/>
    <row r="36160" ht="15.75" customHeight="1"/>
    <row r="36161" ht="15.75" customHeight="1"/>
    <row r="36162" ht="15.75" customHeight="1"/>
    <row r="36163" ht="15.75" customHeight="1"/>
    <row r="36164" ht="15.75" customHeight="1"/>
    <row r="36165" ht="15.75" customHeight="1"/>
    <row r="36166" ht="15.75" customHeight="1"/>
    <row r="36167" ht="15.75" customHeight="1"/>
    <row r="36168" ht="15.75" customHeight="1"/>
    <row r="36169" ht="15.75" customHeight="1"/>
    <row r="36170" ht="15.75" customHeight="1"/>
    <row r="36171" ht="15.75" customHeight="1"/>
    <row r="36172" ht="15.75" customHeight="1"/>
    <row r="36173" ht="15.75" customHeight="1"/>
    <row r="36174" ht="15.75" customHeight="1"/>
    <row r="36175" ht="15.75" customHeight="1"/>
    <row r="36176" ht="15.75" customHeight="1"/>
    <row r="36177" ht="15.75" customHeight="1"/>
    <row r="36178" ht="15.75" customHeight="1"/>
    <row r="36179" ht="15.75" customHeight="1"/>
    <row r="36180" ht="15.75" customHeight="1"/>
    <row r="36181" ht="15.75" customHeight="1"/>
    <row r="36182" ht="15.75" customHeight="1"/>
    <row r="36183" ht="15.75" customHeight="1"/>
    <row r="36184" ht="15.75" customHeight="1"/>
    <row r="36185" ht="15.75" customHeight="1"/>
    <row r="36186" ht="15.75" customHeight="1"/>
    <row r="36187" ht="15.75" customHeight="1"/>
    <row r="36188" ht="15.75" customHeight="1"/>
    <row r="36189" ht="15.75" customHeight="1"/>
    <row r="36190" ht="15.75" customHeight="1"/>
    <row r="36191" ht="15.75" customHeight="1"/>
    <row r="36192" ht="15.75" customHeight="1"/>
    <row r="36193" ht="15.75" customHeight="1"/>
    <row r="36194" ht="15.75" customHeight="1"/>
    <row r="36195" ht="15.75" customHeight="1"/>
    <row r="36196" ht="15.75" customHeight="1"/>
    <row r="36197" ht="15.75" customHeight="1"/>
    <row r="36198" ht="15.75" customHeight="1"/>
    <row r="36199" ht="15.75" customHeight="1"/>
    <row r="36200" ht="15.75" customHeight="1"/>
    <row r="36201" ht="15.75" customHeight="1"/>
    <row r="36202" ht="15.75" customHeight="1"/>
    <row r="36203" ht="15.75" customHeight="1"/>
    <row r="36204" ht="15.75" customHeight="1"/>
    <row r="36205" ht="15.75" customHeight="1"/>
    <row r="36206" ht="15.75" customHeight="1"/>
    <row r="36207" ht="15.75" customHeight="1"/>
    <row r="36208" ht="15.75" customHeight="1"/>
    <row r="36209" ht="15.75" customHeight="1"/>
    <row r="36210" ht="15.75" customHeight="1"/>
    <row r="36211" ht="15.75" customHeight="1"/>
    <row r="36212" ht="15.75" customHeight="1"/>
    <row r="36213" ht="15.75" customHeight="1"/>
    <row r="36214" ht="15.75" customHeight="1"/>
    <row r="36215" ht="15.75" customHeight="1"/>
    <row r="36216" ht="15.75" customHeight="1"/>
    <row r="36217" ht="15.75" customHeight="1"/>
    <row r="36218" ht="15.75" customHeight="1"/>
    <row r="36219" ht="15.75" customHeight="1"/>
    <row r="36220" ht="15.75" customHeight="1"/>
    <row r="36221" ht="15.75" customHeight="1"/>
    <row r="36222" ht="15.75" customHeight="1"/>
    <row r="36223" ht="15.75" customHeight="1"/>
    <row r="36224" ht="15.75" customHeight="1"/>
    <row r="36225" ht="15.75" customHeight="1"/>
    <row r="36226" ht="15.75" customHeight="1"/>
    <row r="36227" ht="15.75" customHeight="1"/>
    <row r="36228" ht="15.75" customHeight="1"/>
    <row r="36229" ht="15.75" customHeight="1"/>
    <row r="36230" ht="15.75" customHeight="1"/>
    <row r="36231" ht="15.75" customHeight="1"/>
    <row r="36232" ht="15.75" customHeight="1"/>
    <row r="36233" ht="15.75" customHeight="1"/>
    <row r="36234" ht="15.75" customHeight="1"/>
    <row r="36235" ht="15.75" customHeight="1"/>
    <row r="36236" ht="15.75" customHeight="1"/>
    <row r="36237" ht="15.75" customHeight="1"/>
    <row r="36238" ht="15.75" customHeight="1"/>
    <row r="36239" ht="15.75" customHeight="1"/>
    <row r="36240" ht="15.75" customHeight="1"/>
    <row r="36241" ht="15.75" customHeight="1"/>
    <row r="36242" ht="15.75" customHeight="1"/>
    <row r="36243" ht="15.75" customHeight="1"/>
    <row r="36244" ht="15.75" customHeight="1"/>
    <row r="36245" ht="15.75" customHeight="1"/>
    <row r="36246" ht="15.75" customHeight="1"/>
    <row r="36247" ht="15.75" customHeight="1"/>
    <row r="36248" ht="15.75" customHeight="1"/>
    <row r="36249" ht="15.75" customHeight="1"/>
    <row r="36250" ht="15.75" customHeight="1"/>
    <row r="36251" ht="15.75" customHeight="1"/>
    <row r="36252" ht="15.75" customHeight="1"/>
    <row r="36253" ht="15.75" customHeight="1"/>
    <row r="36254" ht="15.75" customHeight="1"/>
    <row r="36255" ht="15.75" customHeight="1"/>
    <row r="36256" ht="15.75" customHeight="1"/>
    <row r="36257" ht="15.75" customHeight="1"/>
    <row r="36258" ht="15.75" customHeight="1"/>
    <row r="36259" ht="15.75" customHeight="1"/>
    <row r="36260" ht="15.75" customHeight="1"/>
    <row r="36261" ht="15.75" customHeight="1"/>
    <row r="36262" ht="15.75" customHeight="1"/>
    <row r="36263" ht="15.75" customHeight="1"/>
    <row r="36264" ht="15.75" customHeight="1"/>
    <row r="36265" ht="15.75" customHeight="1"/>
    <row r="36266" ht="15.75" customHeight="1"/>
    <row r="36267" ht="15.75" customHeight="1"/>
    <row r="36268" ht="15.75" customHeight="1"/>
    <row r="36269" ht="15.75" customHeight="1"/>
    <row r="36270" ht="15.75" customHeight="1"/>
    <row r="36271" ht="15.75" customHeight="1"/>
    <row r="36272" ht="15.75" customHeight="1"/>
    <row r="36273" ht="15.75" customHeight="1"/>
    <row r="36274" ht="15.75" customHeight="1"/>
    <row r="36275" ht="15.75" customHeight="1"/>
    <row r="36276" ht="15.75" customHeight="1"/>
    <row r="36277" ht="15.75" customHeight="1"/>
    <row r="36278" ht="15.75" customHeight="1"/>
    <row r="36279" ht="15.75" customHeight="1"/>
    <row r="36280" ht="15.75" customHeight="1"/>
    <row r="36281" ht="15.75" customHeight="1"/>
    <row r="36282" ht="15.75" customHeight="1"/>
    <row r="36283" ht="15.75" customHeight="1"/>
    <row r="36284" ht="15.75" customHeight="1"/>
    <row r="36285" ht="15.75" customHeight="1"/>
    <row r="36286" ht="15.75" customHeight="1"/>
    <row r="36287" ht="15.75" customHeight="1"/>
    <row r="36288" ht="15.75" customHeight="1"/>
    <row r="36289" ht="15.75" customHeight="1"/>
    <row r="36290" ht="15.75" customHeight="1"/>
    <row r="36291" ht="15.75" customHeight="1"/>
    <row r="36292" ht="15.75" customHeight="1"/>
    <row r="36293" ht="15.75" customHeight="1"/>
    <row r="36294" ht="15.75" customHeight="1"/>
    <row r="36295" ht="15.75" customHeight="1"/>
    <row r="36296" ht="15.75" customHeight="1"/>
    <row r="36297" ht="15.75" customHeight="1"/>
    <row r="36298" ht="15.75" customHeight="1"/>
    <row r="36299" ht="15.75" customHeight="1"/>
    <row r="36300" ht="15.75" customHeight="1"/>
    <row r="36301" ht="15.75" customHeight="1"/>
    <row r="36302" ht="15.75" customHeight="1"/>
    <row r="36303" ht="15.75" customHeight="1"/>
    <row r="36304" ht="15.75" customHeight="1"/>
    <row r="36305" ht="15.75" customHeight="1"/>
    <row r="36306" ht="15.75" customHeight="1"/>
    <row r="36307" ht="15.75" customHeight="1"/>
    <row r="36308" ht="15.75" customHeight="1"/>
    <row r="36309" ht="15.75" customHeight="1"/>
    <row r="36310" ht="15.75" customHeight="1"/>
    <row r="36311" ht="15.75" customHeight="1"/>
    <row r="36312" ht="15.75" customHeight="1"/>
    <row r="36313" ht="15.75" customHeight="1"/>
    <row r="36314" ht="15.75" customHeight="1"/>
    <row r="36315" ht="15.75" customHeight="1"/>
    <row r="36316" ht="15.75" customHeight="1"/>
    <row r="36317" ht="15.75" customHeight="1"/>
    <row r="36318" ht="15.75" customHeight="1"/>
    <row r="36319" ht="15.75" customHeight="1"/>
    <row r="36320" ht="15.75" customHeight="1"/>
    <row r="36321" ht="15.75" customHeight="1"/>
    <row r="36322" ht="15.75" customHeight="1"/>
    <row r="36323" ht="15.75" customHeight="1"/>
    <row r="36324" ht="15.75" customHeight="1"/>
    <row r="36325" ht="15.75" customHeight="1"/>
    <row r="36326" ht="15.75" customHeight="1"/>
    <row r="36327" ht="15.75" customHeight="1"/>
    <row r="36328" ht="15.75" customHeight="1"/>
    <row r="36329" ht="15.75" customHeight="1"/>
    <row r="36330" ht="15.75" customHeight="1"/>
    <row r="36331" ht="15.75" customHeight="1"/>
    <row r="36332" ht="15.75" customHeight="1"/>
    <row r="36333" ht="15.75" customHeight="1"/>
    <row r="36334" ht="15.75" customHeight="1"/>
    <row r="36335" ht="15.75" customHeight="1"/>
    <row r="36336" ht="15.75" customHeight="1"/>
    <row r="36337" ht="15.75" customHeight="1"/>
    <row r="36338" ht="15.75" customHeight="1"/>
    <row r="36339" ht="15.75" customHeight="1"/>
    <row r="36340" ht="15.75" customHeight="1"/>
    <row r="36341" ht="15.75" customHeight="1"/>
    <row r="36342" ht="15.75" customHeight="1"/>
    <row r="36343" ht="15.75" customHeight="1"/>
    <row r="36344" ht="15.75" customHeight="1"/>
    <row r="36345" ht="15.75" customHeight="1"/>
    <row r="36346" ht="15.75" customHeight="1"/>
    <row r="36347" ht="15.75" customHeight="1"/>
    <row r="36348" ht="15.75" customHeight="1"/>
    <row r="36349" ht="15.75" customHeight="1"/>
    <row r="36350" ht="15.75" customHeight="1"/>
    <row r="36351" ht="15.75" customHeight="1"/>
    <row r="36352" ht="15.75" customHeight="1"/>
    <row r="36353" ht="15.75" customHeight="1"/>
    <row r="36354" ht="15.75" customHeight="1"/>
    <row r="36355" ht="15.75" customHeight="1"/>
    <row r="36356" ht="15.75" customHeight="1"/>
    <row r="36357" ht="15.75" customHeight="1"/>
    <row r="36358" ht="15.75" customHeight="1"/>
    <row r="36359" ht="15.75" customHeight="1"/>
    <row r="36360" ht="15.75" customHeight="1"/>
    <row r="36361" ht="15.75" customHeight="1"/>
    <row r="36362" ht="15.75" customHeight="1"/>
    <row r="36363" ht="15.75" customHeight="1"/>
    <row r="36364" ht="15.75" customHeight="1"/>
    <row r="36365" ht="15.75" customHeight="1"/>
    <row r="36366" ht="15.75" customHeight="1"/>
    <row r="36367" ht="15.75" customHeight="1"/>
    <row r="36368" ht="15.75" customHeight="1"/>
    <row r="36369" ht="15.75" customHeight="1"/>
    <row r="36370" ht="15.75" customHeight="1"/>
    <row r="36371" ht="15.75" customHeight="1"/>
    <row r="36372" ht="15.75" customHeight="1"/>
    <row r="36373" ht="15.75" customHeight="1"/>
    <row r="36374" ht="15.75" customHeight="1"/>
    <row r="36375" ht="15.75" customHeight="1"/>
    <row r="36376" ht="15.75" customHeight="1"/>
    <row r="36377" ht="15.75" customHeight="1"/>
    <row r="36378" ht="15.75" customHeight="1"/>
    <row r="36379" ht="15.75" customHeight="1"/>
    <row r="36380" ht="15.75" customHeight="1"/>
    <row r="36381" ht="15.75" customHeight="1"/>
    <row r="36382" ht="15.75" customHeight="1"/>
    <row r="36383" ht="15.75" customHeight="1"/>
    <row r="36384" ht="15.75" customHeight="1"/>
    <row r="36385" ht="15.75" customHeight="1"/>
    <row r="36386" ht="15.75" customHeight="1"/>
    <row r="36387" ht="15.75" customHeight="1"/>
    <row r="36388" ht="15.75" customHeight="1"/>
    <row r="36389" ht="15.75" customHeight="1"/>
    <row r="36390" ht="15.75" customHeight="1"/>
    <row r="36391" ht="15.75" customHeight="1"/>
    <row r="36392" ht="15.75" customHeight="1"/>
    <row r="36393" ht="15.75" customHeight="1"/>
    <row r="36394" ht="15.75" customHeight="1"/>
    <row r="36395" ht="15.75" customHeight="1"/>
    <row r="36396" ht="15.75" customHeight="1"/>
    <row r="36397" ht="15.75" customHeight="1"/>
    <row r="36398" ht="15.75" customHeight="1"/>
    <row r="36399" ht="15.75" customHeight="1"/>
    <row r="36400" ht="15.75" customHeight="1"/>
    <row r="36401" ht="15.75" customHeight="1"/>
    <row r="36402" ht="15.75" customHeight="1"/>
    <row r="36403" ht="15.75" customHeight="1"/>
    <row r="36404" ht="15.75" customHeight="1"/>
    <row r="36405" ht="15.75" customHeight="1"/>
    <row r="36406" ht="15.75" customHeight="1"/>
    <row r="36407" ht="15.75" customHeight="1"/>
    <row r="36408" ht="15.75" customHeight="1"/>
    <row r="36409" ht="15.75" customHeight="1"/>
    <row r="36410" ht="15.75" customHeight="1"/>
    <row r="36411" ht="15.75" customHeight="1"/>
    <row r="36412" ht="15.75" customHeight="1"/>
    <row r="36413" ht="15.75" customHeight="1"/>
    <row r="36414" ht="15.75" customHeight="1"/>
    <row r="36415" ht="15.75" customHeight="1"/>
    <row r="36416" ht="15.75" customHeight="1"/>
    <row r="36417" ht="15.75" customHeight="1"/>
    <row r="36418" ht="15.75" customHeight="1"/>
    <row r="36419" ht="15.75" customHeight="1"/>
    <row r="36420" ht="15.75" customHeight="1"/>
    <row r="36421" ht="15.75" customHeight="1"/>
    <row r="36422" ht="15.75" customHeight="1"/>
    <row r="36423" ht="15.75" customHeight="1"/>
    <row r="36424" ht="15.75" customHeight="1"/>
    <row r="36425" ht="15.75" customHeight="1"/>
    <row r="36426" ht="15.75" customHeight="1"/>
    <row r="36427" ht="15.75" customHeight="1"/>
    <row r="36428" ht="15.75" customHeight="1"/>
    <row r="36429" ht="15.75" customHeight="1"/>
    <row r="36430" ht="15.75" customHeight="1"/>
    <row r="36431" ht="15.75" customHeight="1"/>
    <row r="36432" ht="15.75" customHeight="1"/>
    <row r="36433" ht="15.75" customHeight="1"/>
    <row r="36434" ht="15.75" customHeight="1"/>
    <row r="36435" ht="15.75" customHeight="1"/>
    <row r="36436" ht="15.75" customHeight="1"/>
    <row r="36437" ht="15.75" customHeight="1"/>
    <row r="36438" ht="15.75" customHeight="1"/>
    <row r="36439" ht="15.75" customHeight="1"/>
    <row r="36440" ht="15.75" customHeight="1"/>
    <row r="36441" ht="15.75" customHeight="1"/>
    <row r="36442" ht="15.75" customHeight="1"/>
    <row r="36443" ht="15.75" customHeight="1"/>
    <row r="36444" ht="15.75" customHeight="1"/>
    <row r="36445" ht="15.75" customHeight="1"/>
    <row r="36446" ht="15.75" customHeight="1"/>
    <row r="36447" ht="15.75" customHeight="1"/>
    <row r="36448" ht="15.75" customHeight="1"/>
    <row r="36449" ht="15.75" customHeight="1"/>
    <row r="36450" ht="15.75" customHeight="1"/>
    <row r="36451" ht="15.75" customHeight="1"/>
    <row r="36452" ht="15.75" customHeight="1"/>
    <row r="36453" ht="15.75" customHeight="1"/>
    <row r="36454" ht="15.75" customHeight="1"/>
    <row r="36455" ht="15.75" customHeight="1"/>
    <row r="36456" ht="15.75" customHeight="1"/>
    <row r="36457" ht="15.75" customHeight="1"/>
    <row r="36458" ht="15.75" customHeight="1"/>
    <row r="36459" ht="15.75" customHeight="1"/>
    <row r="36460" ht="15.75" customHeight="1"/>
    <row r="36461" ht="15.75" customHeight="1"/>
    <row r="36462" ht="15.75" customHeight="1"/>
    <row r="36463" ht="15.75" customHeight="1"/>
    <row r="36464" ht="15.75" customHeight="1"/>
    <row r="36465" ht="15.75" customHeight="1"/>
    <row r="36466" ht="15.75" customHeight="1"/>
    <row r="36467" ht="15.75" customHeight="1"/>
    <row r="36468" ht="15.75" customHeight="1"/>
    <row r="36469" ht="15.75" customHeight="1"/>
    <row r="36470" ht="15.75" customHeight="1"/>
    <row r="36471" ht="15.75" customHeight="1"/>
    <row r="36472" ht="15.75" customHeight="1"/>
    <row r="36473" ht="15.75" customHeight="1"/>
    <row r="36474" ht="15.75" customHeight="1"/>
    <row r="36475" ht="15.75" customHeight="1"/>
    <row r="36476" ht="15.75" customHeight="1"/>
    <row r="36477" ht="15.75" customHeight="1"/>
    <row r="36478" ht="15.75" customHeight="1"/>
    <row r="36479" ht="15.75" customHeight="1"/>
    <row r="36480" ht="15.75" customHeight="1"/>
    <row r="36481" ht="15.75" customHeight="1"/>
    <row r="36482" ht="15.75" customHeight="1"/>
    <row r="36483" ht="15.75" customHeight="1"/>
    <row r="36484" ht="15.75" customHeight="1"/>
    <row r="36485" ht="15.75" customHeight="1"/>
    <row r="36486" ht="15.75" customHeight="1"/>
    <row r="36487" ht="15.75" customHeight="1"/>
    <row r="36488" ht="15.75" customHeight="1"/>
    <row r="36489" ht="15.75" customHeight="1"/>
    <row r="36490" ht="15.75" customHeight="1"/>
    <row r="36491" ht="15.75" customHeight="1"/>
    <row r="36492" ht="15.75" customHeight="1"/>
    <row r="36493" ht="15.75" customHeight="1"/>
    <row r="36494" ht="15.75" customHeight="1"/>
    <row r="36495" ht="15.75" customHeight="1"/>
    <row r="36496" ht="15.75" customHeight="1"/>
    <row r="36497" ht="15.75" customHeight="1"/>
    <row r="36498" ht="15.75" customHeight="1"/>
    <row r="36499" ht="15.75" customHeight="1"/>
    <row r="36500" ht="15.75" customHeight="1"/>
    <row r="36501" ht="15.75" customHeight="1"/>
    <row r="36502" ht="15.75" customHeight="1"/>
    <row r="36503" ht="15.75" customHeight="1"/>
    <row r="36504" ht="15.75" customHeight="1"/>
    <row r="36505" ht="15.75" customHeight="1"/>
    <row r="36506" ht="15.75" customHeight="1"/>
    <row r="36507" ht="15.75" customHeight="1"/>
    <row r="36508" ht="15.75" customHeight="1"/>
    <row r="36509" ht="15.75" customHeight="1"/>
    <row r="36510" ht="15.75" customHeight="1"/>
    <row r="36511" ht="15.75" customHeight="1"/>
    <row r="36512" ht="15.75" customHeight="1"/>
    <row r="36513" ht="15.75" customHeight="1"/>
    <row r="36514" ht="15.75" customHeight="1"/>
    <row r="36515" ht="15.75" customHeight="1"/>
    <row r="36516" ht="15.75" customHeight="1"/>
    <row r="36517" ht="15.75" customHeight="1"/>
    <row r="36518" ht="15.75" customHeight="1"/>
    <row r="36519" ht="15.75" customHeight="1"/>
    <row r="36520" ht="15.75" customHeight="1"/>
    <row r="36521" ht="15.75" customHeight="1"/>
    <row r="36522" ht="15.75" customHeight="1"/>
    <row r="36523" ht="15.75" customHeight="1"/>
    <row r="36524" ht="15.75" customHeight="1"/>
    <row r="36525" ht="15.75" customHeight="1"/>
    <row r="36526" ht="15.75" customHeight="1"/>
    <row r="36527" ht="15.75" customHeight="1"/>
    <row r="36528" ht="15.75" customHeight="1"/>
    <row r="36529" ht="15.75" customHeight="1"/>
    <row r="36530" ht="15.75" customHeight="1"/>
    <row r="36531" ht="15.75" customHeight="1"/>
    <row r="36532" ht="15.75" customHeight="1"/>
    <row r="36533" ht="15.75" customHeight="1"/>
    <row r="36534" ht="15.75" customHeight="1"/>
    <row r="36535" ht="15.75" customHeight="1"/>
    <row r="36536" ht="15.75" customHeight="1"/>
    <row r="36537" ht="15.75" customHeight="1"/>
    <row r="36538" ht="15.75" customHeight="1"/>
    <row r="36539" ht="15.75" customHeight="1"/>
    <row r="36540" ht="15.75" customHeight="1"/>
    <row r="36541" ht="15.75" customHeight="1"/>
    <row r="36542" ht="15.75" customHeight="1"/>
    <row r="36543" ht="15.75" customHeight="1"/>
    <row r="36544" ht="15.75" customHeight="1"/>
    <row r="36545" ht="15.75" customHeight="1"/>
    <row r="36546" ht="15.75" customHeight="1"/>
    <row r="36547" ht="15.75" customHeight="1"/>
    <row r="36548" ht="15.75" customHeight="1"/>
    <row r="36549" ht="15.75" customHeight="1"/>
    <row r="36550" ht="15.75" customHeight="1"/>
    <row r="36551" ht="15.75" customHeight="1"/>
    <row r="36552" ht="15.75" customHeight="1"/>
    <row r="36553" ht="15.75" customHeight="1"/>
    <row r="36554" ht="15.75" customHeight="1"/>
    <row r="36555" ht="15.75" customHeight="1"/>
    <row r="36556" ht="15.75" customHeight="1"/>
    <row r="36557" ht="15.75" customHeight="1"/>
    <row r="36558" ht="15.75" customHeight="1"/>
    <row r="36559" ht="15.75" customHeight="1"/>
    <row r="36560" ht="15.75" customHeight="1"/>
    <row r="36561" ht="15.75" customHeight="1"/>
    <row r="36562" ht="15.75" customHeight="1"/>
    <row r="36563" ht="15.75" customHeight="1"/>
    <row r="36564" ht="15.75" customHeight="1"/>
    <row r="36565" ht="15.75" customHeight="1"/>
    <row r="36566" ht="15.75" customHeight="1"/>
    <row r="36567" ht="15.75" customHeight="1"/>
    <row r="36568" ht="15.75" customHeight="1"/>
    <row r="36569" ht="15.75" customHeight="1"/>
    <row r="36570" ht="15.75" customHeight="1"/>
    <row r="36571" ht="15.75" customHeight="1"/>
    <row r="36572" ht="15.75" customHeight="1"/>
    <row r="36573" ht="15.75" customHeight="1"/>
    <row r="36574" ht="15.75" customHeight="1"/>
    <row r="36575" ht="15.75" customHeight="1"/>
    <row r="36576" ht="15.75" customHeight="1"/>
    <row r="36577" ht="15.75" customHeight="1"/>
    <row r="36578" ht="15.75" customHeight="1"/>
    <row r="36579" ht="15.75" customHeight="1"/>
    <row r="36580" ht="15.75" customHeight="1"/>
    <row r="36581" ht="15.75" customHeight="1"/>
    <row r="36582" ht="15.75" customHeight="1"/>
    <row r="36583" ht="15.75" customHeight="1"/>
    <row r="36584" ht="15.75" customHeight="1"/>
    <row r="36585" ht="15.75" customHeight="1"/>
    <row r="36586" ht="15.75" customHeight="1"/>
    <row r="36587" ht="15.75" customHeight="1"/>
    <row r="36588" ht="15.75" customHeight="1"/>
    <row r="36589" ht="15.75" customHeight="1"/>
    <row r="36590" ht="15.75" customHeight="1"/>
    <row r="36591" ht="15.75" customHeight="1"/>
    <row r="36592" ht="15.75" customHeight="1"/>
    <row r="36593" ht="15.75" customHeight="1"/>
    <row r="36594" ht="15.75" customHeight="1"/>
    <row r="36595" ht="15.75" customHeight="1"/>
    <row r="36596" ht="15.75" customHeight="1"/>
    <row r="36597" ht="15.75" customHeight="1"/>
    <row r="36598" ht="15.75" customHeight="1"/>
    <row r="36599" ht="15.75" customHeight="1"/>
    <row r="36600" ht="15.75" customHeight="1"/>
    <row r="36601" ht="15.75" customHeight="1"/>
    <row r="36602" ht="15.75" customHeight="1"/>
    <row r="36603" ht="15.75" customHeight="1"/>
    <row r="36604" ht="15.75" customHeight="1"/>
    <row r="36605" ht="15.75" customHeight="1"/>
    <row r="36606" ht="15.75" customHeight="1"/>
    <row r="36607" ht="15.75" customHeight="1"/>
    <row r="36608" ht="15.75" customHeight="1"/>
    <row r="36609" ht="15.75" customHeight="1"/>
    <row r="36610" ht="15.75" customHeight="1"/>
    <row r="36611" ht="15.75" customHeight="1"/>
    <row r="36612" ht="15.75" customHeight="1"/>
    <row r="36613" ht="15.75" customHeight="1"/>
    <row r="36614" ht="15.75" customHeight="1"/>
    <row r="36615" ht="15.75" customHeight="1"/>
    <row r="36616" ht="15.75" customHeight="1"/>
    <row r="36617" ht="15.75" customHeight="1"/>
    <row r="36618" ht="15.75" customHeight="1"/>
    <row r="36619" ht="15.75" customHeight="1"/>
    <row r="36620" ht="15.75" customHeight="1"/>
    <row r="36621" ht="15.75" customHeight="1"/>
    <row r="36622" ht="15.75" customHeight="1"/>
    <row r="36623" ht="15.75" customHeight="1"/>
    <row r="36624" ht="15.75" customHeight="1"/>
    <row r="36625" ht="15.75" customHeight="1"/>
    <row r="36626" ht="15.75" customHeight="1"/>
    <row r="36627" ht="15.75" customHeight="1"/>
    <row r="36628" ht="15.75" customHeight="1"/>
    <row r="36629" ht="15.75" customHeight="1"/>
    <row r="36630" ht="15.75" customHeight="1"/>
    <row r="36631" ht="15.75" customHeight="1"/>
    <row r="36632" ht="15.75" customHeight="1"/>
    <row r="36633" ht="15.75" customHeight="1"/>
    <row r="36634" ht="15.75" customHeight="1"/>
    <row r="36635" ht="15.75" customHeight="1"/>
    <row r="36636" ht="15.75" customHeight="1"/>
    <row r="36637" ht="15.75" customHeight="1"/>
    <row r="36638" ht="15.75" customHeight="1"/>
    <row r="36639" ht="15.75" customHeight="1"/>
    <row r="36640" ht="15.75" customHeight="1"/>
    <row r="36641" ht="15.75" customHeight="1"/>
    <row r="36642" ht="15.75" customHeight="1"/>
    <row r="36643" ht="15.75" customHeight="1"/>
    <row r="36644" ht="15.75" customHeight="1"/>
    <row r="36645" ht="15.75" customHeight="1"/>
    <row r="36646" ht="15.75" customHeight="1"/>
    <row r="36647" ht="15.75" customHeight="1"/>
    <row r="36648" ht="15.75" customHeight="1"/>
    <row r="36649" ht="15.75" customHeight="1"/>
    <row r="36650" ht="15.75" customHeight="1"/>
    <row r="36651" ht="15.75" customHeight="1"/>
    <row r="36652" ht="15.75" customHeight="1"/>
    <row r="36653" ht="15.75" customHeight="1"/>
    <row r="36654" ht="15.75" customHeight="1"/>
    <row r="36655" ht="15.75" customHeight="1"/>
    <row r="36656" ht="15.75" customHeight="1"/>
    <row r="36657" ht="15.75" customHeight="1"/>
    <row r="36658" ht="15.75" customHeight="1"/>
    <row r="36659" ht="15.75" customHeight="1"/>
    <row r="36660" ht="15.75" customHeight="1"/>
    <row r="36661" ht="15.75" customHeight="1"/>
    <row r="36662" ht="15.75" customHeight="1"/>
    <row r="36663" ht="15.75" customHeight="1"/>
    <row r="36664" ht="15.75" customHeight="1"/>
    <row r="36665" ht="15.75" customHeight="1"/>
    <row r="36666" ht="15.75" customHeight="1"/>
    <row r="36667" ht="15.75" customHeight="1"/>
    <row r="36668" ht="15.75" customHeight="1"/>
    <row r="36669" ht="15.75" customHeight="1"/>
    <row r="36670" ht="15.75" customHeight="1"/>
    <row r="36671" ht="15.75" customHeight="1"/>
    <row r="36672" ht="15.75" customHeight="1"/>
    <row r="36673" ht="15.75" customHeight="1"/>
    <row r="36674" ht="15.75" customHeight="1"/>
    <row r="36675" ht="15.75" customHeight="1"/>
    <row r="36676" ht="15.75" customHeight="1"/>
    <row r="36677" ht="15.75" customHeight="1"/>
    <row r="36678" ht="15.75" customHeight="1"/>
    <row r="36679" ht="15.75" customHeight="1"/>
    <row r="36680" ht="15.75" customHeight="1"/>
    <row r="36681" ht="15.75" customHeight="1"/>
    <row r="36682" ht="15.75" customHeight="1"/>
    <row r="36683" ht="15.75" customHeight="1"/>
    <row r="36684" ht="15.75" customHeight="1"/>
    <row r="36685" ht="15.75" customHeight="1"/>
    <row r="36686" ht="15.75" customHeight="1"/>
    <row r="36687" ht="15.75" customHeight="1"/>
    <row r="36688" ht="15.75" customHeight="1"/>
    <row r="36689" ht="15.75" customHeight="1"/>
    <row r="36690" ht="15.75" customHeight="1"/>
    <row r="36691" ht="15.75" customHeight="1"/>
    <row r="36692" ht="15.75" customHeight="1"/>
    <row r="36693" ht="15.75" customHeight="1"/>
    <row r="36694" ht="15.75" customHeight="1"/>
    <row r="36695" ht="15.75" customHeight="1"/>
    <row r="36696" ht="15.75" customHeight="1"/>
    <row r="36697" ht="15.75" customHeight="1"/>
    <row r="36698" ht="15.75" customHeight="1"/>
    <row r="36699" ht="15.75" customHeight="1"/>
    <row r="36700" ht="15.75" customHeight="1"/>
    <row r="36701" ht="15.75" customHeight="1"/>
    <row r="36702" ht="15.75" customHeight="1"/>
    <row r="36703" ht="15.75" customHeight="1"/>
    <row r="36704" ht="15.75" customHeight="1"/>
    <row r="36705" ht="15.75" customHeight="1"/>
    <row r="36706" ht="15.75" customHeight="1"/>
    <row r="36707" ht="15.75" customHeight="1"/>
    <row r="36708" ht="15.75" customHeight="1"/>
    <row r="36709" ht="15.75" customHeight="1"/>
    <row r="36710" ht="15.75" customHeight="1"/>
    <row r="36711" ht="15.75" customHeight="1"/>
    <row r="36712" ht="15.75" customHeight="1"/>
    <row r="36713" ht="15.75" customHeight="1"/>
    <row r="36714" ht="15.75" customHeight="1"/>
    <row r="36715" ht="15.75" customHeight="1"/>
    <row r="36716" ht="15.75" customHeight="1"/>
    <row r="36717" ht="15.75" customHeight="1"/>
    <row r="36718" ht="15.75" customHeight="1"/>
    <row r="36719" ht="15.75" customHeight="1"/>
    <row r="36720" ht="15.75" customHeight="1"/>
    <row r="36721" ht="15.75" customHeight="1"/>
    <row r="36722" ht="15.75" customHeight="1"/>
    <row r="36723" ht="15.75" customHeight="1"/>
    <row r="36724" ht="15.75" customHeight="1"/>
    <row r="36725" ht="15.75" customHeight="1"/>
    <row r="36726" ht="15.75" customHeight="1"/>
    <row r="36727" ht="15.75" customHeight="1"/>
    <row r="36728" ht="15.75" customHeight="1"/>
    <row r="36729" ht="15.75" customHeight="1"/>
    <row r="36730" ht="15.75" customHeight="1"/>
    <row r="36731" ht="15.75" customHeight="1"/>
    <row r="36732" ht="15.75" customHeight="1"/>
    <row r="36733" ht="15.75" customHeight="1"/>
    <row r="36734" ht="15.75" customHeight="1"/>
    <row r="36735" ht="15.75" customHeight="1"/>
    <row r="36736" ht="15.75" customHeight="1"/>
    <row r="36737" ht="15.75" customHeight="1"/>
    <row r="36738" ht="15.75" customHeight="1"/>
    <row r="36739" ht="15.75" customHeight="1"/>
    <row r="36740" ht="15.75" customHeight="1"/>
    <row r="36741" ht="15.75" customHeight="1"/>
    <row r="36742" ht="15.75" customHeight="1"/>
    <row r="36743" ht="15.75" customHeight="1"/>
    <row r="36744" ht="15.75" customHeight="1"/>
    <row r="36745" ht="15.75" customHeight="1"/>
    <row r="36746" ht="15.75" customHeight="1"/>
    <row r="36747" ht="15.75" customHeight="1"/>
    <row r="36748" ht="15.75" customHeight="1"/>
    <row r="36749" ht="15.75" customHeight="1"/>
    <row r="36750" ht="15.75" customHeight="1"/>
    <row r="36751" ht="15.75" customHeight="1"/>
    <row r="36752" ht="15.75" customHeight="1"/>
    <row r="36753" ht="15.75" customHeight="1"/>
    <row r="36754" ht="15.75" customHeight="1"/>
    <row r="36755" ht="15.75" customHeight="1"/>
    <row r="36756" ht="15.75" customHeight="1"/>
    <row r="36757" ht="15.75" customHeight="1"/>
    <row r="36758" ht="15.75" customHeight="1"/>
    <row r="36759" ht="15.75" customHeight="1"/>
    <row r="36760" ht="15.75" customHeight="1"/>
    <row r="36761" ht="15.75" customHeight="1"/>
    <row r="36762" ht="15.75" customHeight="1"/>
    <row r="36763" ht="15.75" customHeight="1"/>
    <row r="36764" ht="15.75" customHeight="1"/>
    <row r="36765" ht="15.75" customHeight="1"/>
    <row r="36766" ht="15.75" customHeight="1"/>
    <row r="36767" ht="15.75" customHeight="1"/>
    <row r="36768" ht="15.75" customHeight="1"/>
    <row r="36769" ht="15.75" customHeight="1"/>
    <row r="36770" ht="15.75" customHeight="1"/>
    <row r="36771" ht="15.75" customHeight="1"/>
    <row r="36772" ht="15.75" customHeight="1"/>
    <row r="36773" ht="15.75" customHeight="1"/>
    <row r="36774" ht="15.75" customHeight="1"/>
    <row r="36775" ht="15.75" customHeight="1"/>
    <row r="36776" ht="15.75" customHeight="1"/>
    <row r="36777" ht="15.75" customHeight="1"/>
    <row r="36778" ht="15.75" customHeight="1"/>
    <row r="36779" ht="15.75" customHeight="1"/>
    <row r="36780" ht="15.75" customHeight="1"/>
    <row r="36781" ht="15.75" customHeight="1"/>
    <row r="36782" ht="15.75" customHeight="1"/>
    <row r="36783" ht="15.75" customHeight="1"/>
    <row r="36784" ht="15.75" customHeight="1"/>
    <row r="36785" ht="15.75" customHeight="1"/>
    <row r="36786" ht="15.75" customHeight="1"/>
    <row r="36787" ht="15.75" customHeight="1"/>
    <row r="36788" ht="15.75" customHeight="1"/>
    <row r="36789" ht="15.75" customHeight="1"/>
    <row r="36790" ht="15.75" customHeight="1"/>
    <row r="36791" ht="15.75" customHeight="1"/>
    <row r="36792" ht="15.75" customHeight="1"/>
    <row r="36793" ht="15.75" customHeight="1"/>
    <row r="36794" ht="15.75" customHeight="1"/>
    <row r="36795" ht="15.75" customHeight="1"/>
    <row r="36796" ht="15.75" customHeight="1"/>
    <row r="36797" ht="15.75" customHeight="1"/>
    <row r="36798" ht="15.75" customHeight="1"/>
    <row r="36799" ht="15.75" customHeight="1"/>
    <row r="36800" ht="15.75" customHeight="1"/>
    <row r="36801" ht="15.75" customHeight="1"/>
    <row r="36802" ht="15.75" customHeight="1"/>
    <row r="36803" ht="15.75" customHeight="1"/>
    <row r="36804" ht="15.75" customHeight="1"/>
    <row r="36805" ht="15.75" customHeight="1"/>
    <row r="36806" ht="15.75" customHeight="1"/>
    <row r="36807" ht="15.75" customHeight="1"/>
    <row r="36808" ht="15.75" customHeight="1"/>
    <row r="36809" ht="15.75" customHeight="1"/>
    <row r="36810" ht="15.75" customHeight="1"/>
    <row r="36811" ht="15.75" customHeight="1"/>
    <row r="36812" ht="15.75" customHeight="1"/>
    <row r="36813" ht="15.75" customHeight="1"/>
    <row r="36814" ht="15.75" customHeight="1"/>
    <row r="36815" ht="15.75" customHeight="1"/>
    <row r="36816" ht="15.75" customHeight="1"/>
    <row r="36817" ht="15.75" customHeight="1"/>
    <row r="36818" ht="15.75" customHeight="1"/>
    <row r="36819" ht="15.75" customHeight="1"/>
    <row r="36820" ht="15.75" customHeight="1"/>
    <row r="36821" ht="15.75" customHeight="1"/>
    <row r="36822" ht="15.75" customHeight="1"/>
    <row r="36823" ht="15.75" customHeight="1"/>
    <row r="36824" ht="15.75" customHeight="1"/>
    <row r="36825" ht="15.75" customHeight="1"/>
    <row r="36826" ht="15.75" customHeight="1"/>
    <row r="36827" ht="15.75" customHeight="1"/>
    <row r="36828" ht="15.75" customHeight="1"/>
    <row r="36829" ht="15.75" customHeight="1"/>
    <row r="36830" ht="15.75" customHeight="1"/>
    <row r="36831" ht="15.75" customHeight="1"/>
    <row r="36832" ht="15.75" customHeight="1"/>
    <row r="36833" ht="15.75" customHeight="1"/>
    <row r="36834" ht="15.75" customHeight="1"/>
    <row r="36835" ht="15.75" customHeight="1"/>
    <row r="36836" ht="15.75" customHeight="1"/>
    <row r="36837" ht="15.75" customHeight="1"/>
    <row r="36838" ht="15.75" customHeight="1"/>
    <row r="36839" ht="15.75" customHeight="1"/>
    <row r="36840" ht="15.75" customHeight="1"/>
    <row r="36841" ht="15.75" customHeight="1"/>
    <row r="36842" ht="15.75" customHeight="1"/>
    <row r="36843" ht="15.75" customHeight="1"/>
    <row r="36844" ht="15.75" customHeight="1"/>
    <row r="36845" ht="15.75" customHeight="1"/>
    <row r="36846" ht="15.75" customHeight="1"/>
    <row r="36847" ht="15.75" customHeight="1"/>
    <row r="36848" ht="15.75" customHeight="1"/>
    <row r="36849" ht="15.75" customHeight="1"/>
    <row r="36850" ht="15.75" customHeight="1"/>
    <row r="36851" ht="15.75" customHeight="1"/>
    <row r="36852" ht="15.75" customHeight="1"/>
    <row r="36853" ht="15.75" customHeight="1"/>
    <row r="36854" ht="15.75" customHeight="1"/>
    <row r="36855" ht="15.75" customHeight="1"/>
    <row r="36856" ht="15.75" customHeight="1"/>
    <row r="36857" ht="15.75" customHeight="1"/>
    <row r="36858" ht="15.75" customHeight="1"/>
    <row r="36859" ht="15.75" customHeight="1"/>
    <row r="36860" ht="15.75" customHeight="1"/>
    <row r="36861" ht="15.75" customHeight="1"/>
    <row r="36862" ht="15.75" customHeight="1"/>
    <row r="36863" ht="15.75" customHeight="1"/>
    <row r="36864" ht="15.75" customHeight="1"/>
    <row r="36865" ht="15.75" customHeight="1"/>
    <row r="36866" ht="15.75" customHeight="1"/>
    <row r="36867" ht="15.75" customHeight="1"/>
    <row r="36868" ht="15.75" customHeight="1"/>
    <row r="36869" ht="15.75" customHeight="1"/>
    <row r="36870" ht="15.75" customHeight="1"/>
    <row r="36871" ht="15.75" customHeight="1"/>
    <row r="36872" ht="15.75" customHeight="1"/>
    <row r="36873" ht="15.75" customHeight="1"/>
    <row r="36874" ht="15.75" customHeight="1"/>
    <row r="36875" ht="15.75" customHeight="1"/>
    <row r="36876" ht="15.75" customHeight="1"/>
    <row r="36877" ht="15.75" customHeight="1"/>
    <row r="36878" ht="15.75" customHeight="1"/>
    <row r="36879" ht="15.75" customHeight="1"/>
    <row r="36880" ht="15.75" customHeight="1"/>
    <row r="36881" ht="15.75" customHeight="1"/>
    <row r="36882" ht="15.75" customHeight="1"/>
    <row r="36883" ht="15.75" customHeight="1"/>
    <row r="36884" ht="15.75" customHeight="1"/>
    <row r="36885" ht="15.75" customHeight="1"/>
    <row r="36886" ht="15.75" customHeight="1"/>
    <row r="36887" ht="15.75" customHeight="1"/>
    <row r="36888" ht="15.75" customHeight="1"/>
    <row r="36889" ht="15.75" customHeight="1"/>
    <row r="36890" ht="15.75" customHeight="1"/>
    <row r="36891" ht="15.75" customHeight="1"/>
    <row r="36892" ht="15.75" customHeight="1"/>
    <row r="36893" ht="15.75" customHeight="1"/>
    <row r="36894" ht="15.75" customHeight="1"/>
    <row r="36895" ht="15.75" customHeight="1"/>
    <row r="36896" ht="15.75" customHeight="1"/>
    <row r="36897" ht="15.75" customHeight="1"/>
    <row r="36898" ht="15.75" customHeight="1"/>
    <row r="36899" ht="15.75" customHeight="1"/>
    <row r="36900" ht="15.75" customHeight="1"/>
    <row r="36901" ht="15.75" customHeight="1"/>
    <row r="36902" ht="15.75" customHeight="1"/>
    <row r="36903" ht="15.75" customHeight="1"/>
    <row r="36904" ht="15.75" customHeight="1"/>
    <row r="36905" ht="15.75" customHeight="1"/>
    <row r="36906" ht="15.75" customHeight="1"/>
    <row r="36907" ht="15.75" customHeight="1"/>
    <row r="36908" ht="15.75" customHeight="1"/>
    <row r="36909" ht="15.75" customHeight="1"/>
    <row r="36910" ht="15.75" customHeight="1"/>
    <row r="36911" ht="15.75" customHeight="1"/>
    <row r="36912" ht="15.75" customHeight="1"/>
    <row r="36913" ht="15.75" customHeight="1"/>
    <row r="36914" ht="15.75" customHeight="1"/>
    <row r="36915" ht="15.75" customHeight="1"/>
    <row r="36916" ht="15.75" customHeight="1"/>
    <row r="36917" ht="15.75" customHeight="1"/>
    <row r="36918" ht="15.75" customHeight="1"/>
    <row r="36919" ht="15.75" customHeight="1"/>
    <row r="36920" ht="15.75" customHeight="1"/>
    <row r="36921" ht="15.75" customHeight="1"/>
    <row r="36922" ht="15.75" customHeight="1"/>
    <row r="36923" ht="15.75" customHeight="1"/>
    <row r="36924" ht="15.75" customHeight="1"/>
    <row r="36925" ht="15.75" customHeight="1"/>
    <row r="36926" ht="15.75" customHeight="1"/>
    <row r="36927" ht="15.75" customHeight="1"/>
    <row r="36928" ht="15.75" customHeight="1"/>
    <row r="36929" ht="15.75" customHeight="1"/>
    <row r="36930" ht="15.75" customHeight="1"/>
    <row r="36931" ht="15.75" customHeight="1"/>
    <row r="36932" ht="15.75" customHeight="1"/>
    <row r="36933" ht="15.75" customHeight="1"/>
    <row r="36934" ht="15.75" customHeight="1"/>
    <row r="36935" ht="15.75" customHeight="1"/>
    <row r="36936" ht="15.75" customHeight="1"/>
    <row r="36937" ht="15.75" customHeight="1"/>
    <row r="36938" ht="15.75" customHeight="1"/>
    <row r="36939" ht="15.75" customHeight="1"/>
    <row r="36940" ht="15.75" customHeight="1"/>
    <row r="36941" ht="15.75" customHeight="1"/>
    <row r="36942" ht="15.75" customHeight="1"/>
    <row r="36943" ht="15.75" customHeight="1"/>
    <row r="36944" ht="15.75" customHeight="1"/>
    <row r="36945" ht="15.75" customHeight="1"/>
    <row r="36946" ht="15.75" customHeight="1"/>
    <row r="36947" ht="15.75" customHeight="1"/>
    <row r="36948" ht="15.75" customHeight="1"/>
    <row r="36949" ht="15.75" customHeight="1"/>
    <row r="36950" ht="15.75" customHeight="1"/>
    <row r="36951" ht="15.75" customHeight="1"/>
    <row r="36952" ht="15.75" customHeight="1"/>
    <row r="36953" ht="15.75" customHeight="1"/>
    <row r="36954" ht="15.75" customHeight="1"/>
    <row r="36955" ht="15.75" customHeight="1"/>
    <row r="36956" ht="15.75" customHeight="1"/>
    <row r="36957" ht="15.75" customHeight="1"/>
    <row r="36958" ht="15.75" customHeight="1"/>
    <row r="36959" ht="15.75" customHeight="1"/>
    <row r="36960" ht="15.75" customHeight="1"/>
    <row r="36961" ht="15.75" customHeight="1"/>
    <row r="36962" ht="15.75" customHeight="1"/>
    <row r="36963" ht="15.75" customHeight="1"/>
    <row r="36964" ht="15.75" customHeight="1"/>
    <row r="36965" ht="15.75" customHeight="1"/>
    <row r="36966" ht="15.75" customHeight="1"/>
    <row r="36967" ht="15.75" customHeight="1"/>
    <row r="36968" ht="15.75" customHeight="1"/>
    <row r="36969" ht="15.75" customHeight="1"/>
    <row r="36970" ht="15.75" customHeight="1"/>
    <row r="36971" ht="15.75" customHeight="1"/>
    <row r="36972" ht="15.75" customHeight="1"/>
    <row r="36973" ht="15.75" customHeight="1"/>
    <row r="36974" ht="15.75" customHeight="1"/>
    <row r="36975" ht="15.75" customHeight="1"/>
    <row r="36976" ht="15.75" customHeight="1"/>
    <row r="36977" ht="15.75" customHeight="1"/>
    <row r="36978" ht="15.75" customHeight="1"/>
    <row r="36979" ht="15.75" customHeight="1"/>
    <row r="36980" ht="15.75" customHeight="1"/>
    <row r="36981" ht="15.75" customHeight="1"/>
    <row r="36982" ht="15.75" customHeight="1"/>
    <row r="36983" ht="15.75" customHeight="1"/>
    <row r="36984" ht="15.75" customHeight="1"/>
    <row r="36985" ht="15.75" customHeight="1"/>
    <row r="36986" ht="15.75" customHeight="1"/>
    <row r="36987" ht="15.75" customHeight="1"/>
    <row r="36988" ht="15.75" customHeight="1"/>
    <row r="36989" ht="15.75" customHeight="1"/>
    <row r="36990" ht="15.75" customHeight="1"/>
    <row r="36991" ht="15.75" customHeight="1"/>
    <row r="36992" ht="15.75" customHeight="1"/>
    <row r="36993" ht="15.75" customHeight="1"/>
    <row r="36994" ht="15.75" customHeight="1"/>
    <row r="36995" ht="15.75" customHeight="1"/>
    <row r="36996" ht="15.75" customHeight="1"/>
    <row r="36997" ht="15.75" customHeight="1"/>
    <row r="36998" ht="15.75" customHeight="1"/>
    <row r="36999" ht="15.75" customHeight="1"/>
    <row r="37000" ht="15.75" customHeight="1"/>
    <row r="37001" ht="15.75" customHeight="1"/>
    <row r="37002" ht="15.75" customHeight="1"/>
    <row r="37003" ht="15.75" customHeight="1"/>
    <row r="37004" ht="15.75" customHeight="1"/>
    <row r="37005" ht="15.75" customHeight="1"/>
    <row r="37006" ht="15.75" customHeight="1"/>
    <row r="37007" ht="15.75" customHeight="1"/>
    <row r="37008" ht="15.75" customHeight="1"/>
    <row r="37009" ht="15.75" customHeight="1"/>
    <row r="37010" ht="15.75" customHeight="1"/>
    <row r="37011" ht="15.75" customHeight="1"/>
    <row r="37012" ht="15.75" customHeight="1"/>
    <row r="37013" ht="15.75" customHeight="1"/>
    <row r="37014" ht="15.75" customHeight="1"/>
    <row r="37015" ht="15.75" customHeight="1"/>
    <row r="37016" ht="15.75" customHeight="1"/>
    <row r="37017" ht="15.75" customHeight="1"/>
    <row r="37018" ht="15.75" customHeight="1"/>
    <row r="37019" ht="15.75" customHeight="1"/>
    <row r="37020" ht="15.75" customHeight="1"/>
    <row r="37021" ht="15.75" customHeight="1"/>
    <row r="37022" ht="15.75" customHeight="1"/>
    <row r="37023" ht="15.75" customHeight="1"/>
    <row r="37024" ht="15.75" customHeight="1"/>
    <row r="37025" ht="15.75" customHeight="1"/>
    <row r="37026" ht="15.75" customHeight="1"/>
    <row r="37027" ht="15.75" customHeight="1"/>
    <row r="37028" ht="15.75" customHeight="1"/>
    <row r="37029" ht="15.75" customHeight="1"/>
    <row r="37030" ht="15.75" customHeight="1"/>
    <row r="37031" ht="15.75" customHeight="1"/>
    <row r="37032" ht="15.75" customHeight="1"/>
    <row r="37033" ht="15.75" customHeight="1"/>
    <row r="37034" ht="15.75" customHeight="1"/>
    <row r="37035" ht="15.75" customHeight="1"/>
    <row r="37036" ht="15.75" customHeight="1"/>
    <row r="37037" ht="15.75" customHeight="1"/>
    <row r="37038" ht="15.75" customHeight="1"/>
    <row r="37039" ht="15.75" customHeight="1"/>
    <row r="37040" ht="15.75" customHeight="1"/>
    <row r="37041" ht="15.75" customHeight="1"/>
    <row r="37042" ht="15.75" customHeight="1"/>
    <row r="37043" ht="15.75" customHeight="1"/>
    <row r="37044" ht="15.75" customHeight="1"/>
    <row r="37045" ht="15.75" customHeight="1"/>
    <row r="37046" ht="15.75" customHeight="1"/>
    <row r="37047" ht="15.75" customHeight="1"/>
    <row r="37048" ht="15.75" customHeight="1"/>
    <row r="37049" ht="15.75" customHeight="1"/>
    <row r="37050" ht="15.75" customHeight="1"/>
    <row r="37051" ht="15.75" customHeight="1"/>
    <row r="37052" ht="15.75" customHeight="1"/>
    <row r="37053" ht="15.75" customHeight="1"/>
    <row r="37054" ht="15.75" customHeight="1"/>
    <row r="37055" ht="15.75" customHeight="1"/>
    <row r="37056" ht="15.75" customHeight="1"/>
    <row r="37057" ht="15.75" customHeight="1"/>
    <row r="37058" ht="15.75" customHeight="1"/>
    <row r="37059" ht="15.75" customHeight="1"/>
    <row r="37060" ht="15.75" customHeight="1"/>
    <row r="37061" ht="15.75" customHeight="1"/>
    <row r="37062" ht="15.75" customHeight="1"/>
    <row r="37063" ht="15.75" customHeight="1"/>
    <row r="37064" ht="15.75" customHeight="1"/>
    <row r="37065" ht="15.75" customHeight="1"/>
    <row r="37066" ht="15.75" customHeight="1"/>
    <row r="37067" ht="15.75" customHeight="1"/>
    <row r="37068" ht="15.75" customHeight="1"/>
    <row r="37069" ht="15.75" customHeight="1"/>
    <row r="37070" ht="15.75" customHeight="1"/>
    <row r="37071" ht="15.75" customHeight="1"/>
    <row r="37072" ht="15.75" customHeight="1"/>
    <row r="37073" ht="15.75" customHeight="1"/>
    <row r="37074" ht="15.75" customHeight="1"/>
    <row r="37075" ht="15.75" customHeight="1"/>
    <row r="37076" ht="15.75" customHeight="1"/>
    <row r="37077" ht="15.75" customHeight="1"/>
    <row r="37078" ht="15.75" customHeight="1"/>
    <row r="37079" ht="15.75" customHeight="1"/>
    <row r="37080" ht="15.75" customHeight="1"/>
    <row r="37081" ht="15.75" customHeight="1"/>
    <row r="37082" ht="15.75" customHeight="1"/>
    <row r="37083" ht="15.75" customHeight="1"/>
    <row r="37084" ht="15.75" customHeight="1"/>
    <row r="37085" ht="15.75" customHeight="1"/>
    <row r="37086" ht="15.75" customHeight="1"/>
    <row r="37087" ht="15.75" customHeight="1"/>
    <row r="37088" ht="15.75" customHeight="1"/>
    <row r="37089" ht="15.75" customHeight="1"/>
    <row r="37090" ht="15.75" customHeight="1"/>
    <row r="37091" ht="15.75" customHeight="1"/>
    <row r="37092" ht="15.75" customHeight="1"/>
    <row r="37093" ht="15.75" customHeight="1"/>
    <row r="37094" ht="15.75" customHeight="1"/>
    <row r="37095" ht="15.75" customHeight="1"/>
    <row r="37096" ht="15.75" customHeight="1"/>
    <row r="37097" ht="15.75" customHeight="1"/>
    <row r="37098" ht="15.75" customHeight="1"/>
    <row r="37099" ht="15.75" customHeight="1"/>
    <row r="37100" ht="15.75" customHeight="1"/>
    <row r="37101" ht="15.75" customHeight="1"/>
    <row r="37102" ht="15.75" customHeight="1"/>
    <row r="37103" ht="15.75" customHeight="1"/>
    <row r="37104" ht="15.75" customHeight="1"/>
    <row r="37105" ht="15.75" customHeight="1"/>
    <row r="37106" ht="15.75" customHeight="1"/>
    <row r="37107" ht="15.75" customHeight="1"/>
    <row r="37108" ht="15.75" customHeight="1"/>
    <row r="37109" ht="15.75" customHeight="1"/>
    <row r="37110" ht="15.75" customHeight="1"/>
    <row r="37111" ht="15.75" customHeight="1"/>
    <row r="37112" ht="15.75" customHeight="1"/>
    <row r="37113" ht="15.75" customHeight="1"/>
    <row r="37114" ht="15.75" customHeight="1"/>
    <row r="37115" ht="15.75" customHeight="1"/>
    <row r="37116" ht="15.75" customHeight="1"/>
    <row r="37117" ht="15.75" customHeight="1"/>
    <row r="37118" ht="15.75" customHeight="1"/>
    <row r="37119" ht="15.75" customHeight="1"/>
    <row r="37120" ht="15.75" customHeight="1"/>
    <row r="37121" ht="15.75" customHeight="1"/>
    <row r="37122" ht="15.75" customHeight="1"/>
    <row r="37123" ht="15.75" customHeight="1"/>
    <row r="37124" ht="15.75" customHeight="1"/>
    <row r="37125" ht="15.75" customHeight="1"/>
    <row r="37126" ht="15.75" customHeight="1"/>
    <row r="37127" ht="15.75" customHeight="1"/>
    <row r="37128" ht="15.75" customHeight="1"/>
    <row r="37129" ht="15.75" customHeight="1"/>
    <row r="37130" ht="15.75" customHeight="1"/>
    <row r="37131" ht="15.75" customHeight="1"/>
    <row r="37132" ht="15.75" customHeight="1"/>
    <row r="37133" ht="15.75" customHeight="1"/>
    <row r="37134" ht="15.75" customHeight="1"/>
    <row r="37135" ht="15.75" customHeight="1"/>
    <row r="37136" ht="15.75" customHeight="1"/>
    <row r="37137" ht="15.75" customHeight="1"/>
    <row r="37138" ht="15.75" customHeight="1"/>
    <row r="37139" ht="15.75" customHeight="1"/>
    <row r="37140" ht="15.75" customHeight="1"/>
    <row r="37141" ht="15.75" customHeight="1"/>
    <row r="37142" ht="15.75" customHeight="1"/>
    <row r="37143" ht="15.75" customHeight="1"/>
    <row r="37144" ht="15.75" customHeight="1"/>
    <row r="37145" ht="15.75" customHeight="1"/>
    <row r="37146" ht="15.75" customHeight="1"/>
    <row r="37147" ht="15.75" customHeight="1"/>
    <row r="37148" ht="15.75" customHeight="1"/>
    <row r="37149" ht="15.75" customHeight="1"/>
    <row r="37150" ht="15.75" customHeight="1"/>
    <row r="37151" ht="15.75" customHeight="1"/>
    <row r="37152" ht="15.75" customHeight="1"/>
    <row r="37153" ht="15.75" customHeight="1"/>
    <row r="37154" ht="15.75" customHeight="1"/>
    <row r="37155" ht="15.75" customHeight="1"/>
    <row r="37156" ht="15.75" customHeight="1"/>
    <row r="37157" ht="15.75" customHeight="1"/>
    <row r="37158" ht="15.75" customHeight="1"/>
    <row r="37159" ht="15.75" customHeight="1"/>
    <row r="37160" ht="15.75" customHeight="1"/>
    <row r="37161" ht="15.75" customHeight="1"/>
    <row r="37162" ht="15.75" customHeight="1"/>
    <row r="37163" ht="15.75" customHeight="1"/>
    <row r="37164" ht="15.75" customHeight="1"/>
    <row r="37165" ht="15.75" customHeight="1"/>
    <row r="37166" ht="15.75" customHeight="1"/>
    <row r="37167" ht="15.75" customHeight="1"/>
    <row r="37168" ht="15.75" customHeight="1"/>
    <row r="37169" ht="15.75" customHeight="1"/>
    <row r="37170" ht="15.75" customHeight="1"/>
    <row r="37171" ht="15.75" customHeight="1"/>
    <row r="37172" ht="15.75" customHeight="1"/>
    <row r="37173" ht="15.75" customHeight="1"/>
    <row r="37174" ht="15.75" customHeight="1"/>
    <row r="37175" ht="15.75" customHeight="1"/>
    <row r="37176" ht="15.75" customHeight="1"/>
    <row r="37177" ht="15.75" customHeight="1"/>
    <row r="37178" ht="15.75" customHeight="1"/>
    <row r="37179" ht="15.75" customHeight="1"/>
    <row r="37180" ht="15.75" customHeight="1"/>
    <row r="37181" ht="15.75" customHeight="1"/>
    <row r="37182" ht="15.75" customHeight="1"/>
    <row r="37183" ht="15.75" customHeight="1"/>
    <row r="37184" ht="15.75" customHeight="1"/>
    <row r="37185" ht="15.75" customHeight="1"/>
    <row r="37186" ht="15.75" customHeight="1"/>
    <row r="37187" ht="15.75" customHeight="1"/>
    <row r="37188" ht="15.75" customHeight="1"/>
    <row r="37189" ht="15.75" customHeight="1"/>
    <row r="37190" ht="15.75" customHeight="1"/>
    <row r="37191" ht="15.75" customHeight="1"/>
    <row r="37192" ht="15.75" customHeight="1"/>
    <row r="37193" ht="15.75" customHeight="1"/>
    <row r="37194" ht="15.75" customHeight="1"/>
    <row r="37195" ht="15.75" customHeight="1"/>
    <row r="37196" ht="15.75" customHeight="1"/>
    <row r="37197" ht="15.75" customHeight="1"/>
    <row r="37198" ht="15.75" customHeight="1"/>
    <row r="37199" ht="15.75" customHeight="1"/>
    <row r="37200" ht="15.75" customHeight="1"/>
    <row r="37201" ht="15.75" customHeight="1"/>
    <row r="37202" ht="15.75" customHeight="1"/>
    <row r="37203" ht="15.75" customHeight="1"/>
    <row r="37204" ht="15.75" customHeight="1"/>
    <row r="37205" ht="15.75" customHeight="1"/>
    <row r="37206" ht="15.75" customHeight="1"/>
    <row r="37207" ht="15.75" customHeight="1"/>
    <row r="37208" ht="15.75" customHeight="1"/>
    <row r="37209" ht="15.75" customHeight="1"/>
    <row r="37210" ht="15.75" customHeight="1"/>
    <row r="37211" ht="15.75" customHeight="1"/>
    <row r="37212" ht="15.75" customHeight="1"/>
    <row r="37213" ht="15.75" customHeight="1"/>
    <row r="37214" ht="15.75" customHeight="1"/>
    <row r="37215" ht="15.75" customHeight="1"/>
    <row r="37216" ht="15.75" customHeight="1"/>
    <row r="37217" ht="15.75" customHeight="1"/>
    <row r="37218" ht="15.75" customHeight="1"/>
    <row r="37219" ht="15.75" customHeight="1"/>
    <row r="37220" ht="15.75" customHeight="1"/>
    <row r="37221" ht="15.75" customHeight="1"/>
    <row r="37222" ht="15.75" customHeight="1"/>
    <row r="37223" ht="15.75" customHeight="1"/>
    <row r="37224" ht="15.75" customHeight="1"/>
    <row r="37225" ht="15.75" customHeight="1"/>
    <row r="37226" ht="15.75" customHeight="1"/>
    <row r="37227" ht="15.75" customHeight="1"/>
    <row r="37228" ht="15.75" customHeight="1"/>
    <row r="37229" ht="15.75" customHeight="1"/>
    <row r="37230" ht="15.75" customHeight="1"/>
    <row r="37231" ht="15.75" customHeight="1"/>
    <row r="37232" ht="15.75" customHeight="1"/>
    <row r="37233" ht="15.75" customHeight="1"/>
    <row r="37234" ht="15.75" customHeight="1"/>
    <row r="37235" ht="15.75" customHeight="1"/>
    <row r="37236" ht="15.75" customHeight="1"/>
    <row r="37237" ht="15.75" customHeight="1"/>
    <row r="37238" ht="15.75" customHeight="1"/>
    <row r="37239" ht="15.75" customHeight="1"/>
    <row r="37240" ht="15.75" customHeight="1"/>
    <row r="37241" ht="15.75" customHeight="1"/>
    <row r="37242" ht="15.75" customHeight="1"/>
    <row r="37243" ht="15.75" customHeight="1"/>
    <row r="37244" ht="15.75" customHeight="1"/>
    <row r="37245" ht="15.75" customHeight="1"/>
    <row r="37246" ht="15.75" customHeight="1"/>
    <row r="37247" ht="15.75" customHeight="1"/>
    <row r="37248" ht="15.75" customHeight="1"/>
    <row r="37249" ht="15.75" customHeight="1"/>
    <row r="37250" ht="15.75" customHeight="1"/>
    <row r="37251" ht="15.75" customHeight="1"/>
    <row r="37252" ht="15.75" customHeight="1"/>
    <row r="37253" ht="15.75" customHeight="1"/>
    <row r="37254" ht="15.75" customHeight="1"/>
    <row r="37255" ht="15.75" customHeight="1"/>
    <row r="37256" ht="15.75" customHeight="1"/>
    <row r="37257" ht="15.75" customHeight="1"/>
    <row r="37258" ht="15.75" customHeight="1"/>
    <row r="37259" ht="15.75" customHeight="1"/>
    <row r="37260" ht="15.75" customHeight="1"/>
    <row r="37261" ht="15.75" customHeight="1"/>
    <row r="37262" ht="15.75" customHeight="1"/>
    <row r="37263" ht="15.75" customHeight="1"/>
    <row r="37264" ht="15.75" customHeight="1"/>
    <row r="37265" ht="15.75" customHeight="1"/>
    <row r="37266" ht="15.75" customHeight="1"/>
    <row r="37267" ht="15.75" customHeight="1"/>
    <row r="37268" ht="15.75" customHeight="1"/>
    <row r="37269" ht="15.75" customHeight="1"/>
    <row r="37270" ht="15.75" customHeight="1"/>
    <row r="37271" ht="15.75" customHeight="1"/>
    <row r="37272" ht="15.75" customHeight="1"/>
    <row r="37273" ht="15.75" customHeight="1"/>
    <row r="37274" ht="15.75" customHeight="1"/>
    <row r="37275" ht="15.75" customHeight="1"/>
    <row r="37276" ht="15.75" customHeight="1"/>
    <row r="37277" ht="15.75" customHeight="1"/>
    <row r="37278" ht="15.75" customHeight="1"/>
    <row r="37279" ht="15.75" customHeight="1"/>
    <row r="37280" ht="15.75" customHeight="1"/>
    <row r="37281" ht="15.75" customHeight="1"/>
    <row r="37282" ht="15.75" customHeight="1"/>
    <row r="37283" ht="15.75" customHeight="1"/>
    <row r="37284" ht="15.75" customHeight="1"/>
    <row r="37285" ht="15.75" customHeight="1"/>
    <row r="37286" ht="15.75" customHeight="1"/>
    <row r="37287" ht="15.75" customHeight="1"/>
    <row r="37288" ht="15.75" customHeight="1"/>
    <row r="37289" ht="15.75" customHeight="1"/>
    <row r="37290" ht="15.75" customHeight="1"/>
    <row r="37291" ht="15.75" customHeight="1"/>
    <row r="37292" ht="15.75" customHeight="1"/>
    <row r="37293" ht="15.75" customHeight="1"/>
    <row r="37294" ht="15.75" customHeight="1"/>
    <row r="37295" ht="15.75" customHeight="1"/>
    <row r="37296" ht="15.75" customHeight="1"/>
    <row r="37297" ht="15.75" customHeight="1"/>
    <row r="37298" ht="15.75" customHeight="1"/>
    <row r="37299" ht="15.75" customHeight="1"/>
    <row r="37300" ht="15.75" customHeight="1"/>
    <row r="37301" ht="15.75" customHeight="1"/>
    <row r="37302" ht="15.75" customHeight="1"/>
    <row r="37303" ht="15.75" customHeight="1"/>
    <row r="37304" ht="15.75" customHeight="1"/>
    <row r="37305" ht="15.75" customHeight="1"/>
    <row r="37306" ht="15.75" customHeight="1"/>
    <row r="37307" ht="15.75" customHeight="1"/>
    <row r="37308" ht="15.75" customHeight="1"/>
    <row r="37309" ht="15.75" customHeight="1"/>
    <row r="37310" ht="15.75" customHeight="1"/>
    <row r="37311" ht="15.75" customHeight="1"/>
    <row r="37312" ht="15.75" customHeight="1"/>
    <row r="37313" ht="15.75" customHeight="1"/>
    <row r="37314" ht="15.75" customHeight="1"/>
    <row r="37315" ht="15.75" customHeight="1"/>
    <row r="37316" ht="15.75" customHeight="1"/>
    <row r="37317" ht="15.75" customHeight="1"/>
    <row r="37318" ht="15.75" customHeight="1"/>
    <row r="37319" ht="15.75" customHeight="1"/>
    <row r="37320" ht="15.75" customHeight="1"/>
    <row r="37321" ht="15.75" customHeight="1"/>
    <row r="37322" ht="15.75" customHeight="1"/>
    <row r="37323" ht="15.75" customHeight="1"/>
    <row r="37324" ht="15.75" customHeight="1"/>
    <row r="37325" ht="15.75" customHeight="1"/>
    <row r="37326" ht="15.75" customHeight="1"/>
    <row r="37327" ht="15.75" customHeight="1"/>
    <row r="37328" ht="15.75" customHeight="1"/>
    <row r="37329" ht="15.75" customHeight="1"/>
    <row r="37330" ht="15.75" customHeight="1"/>
    <row r="37331" ht="15.75" customHeight="1"/>
    <row r="37332" ht="15.75" customHeight="1"/>
    <row r="37333" ht="15.75" customHeight="1"/>
    <row r="37334" ht="15.75" customHeight="1"/>
    <row r="37335" ht="15.75" customHeight="1"/>
    <row r="37336" ht="15.75" customHeight="1"/>
    <row r="37337" ht="15.75" customHeight="1"/>
    <row r="37338" ht="15.75" customHeight="1"/>
    <row r="37339" ht="15.75" customHeight="1"/>
    <row r="37340" ht="15.75" customHeight="1"/>
    <row r="37341" ht="15.75" customHeight="1"/>
    <row r="37342" ht="15.75" customHeight="1"/>
    <row r="37343" ht="15.75" customHeight="1"/>
    <row r="37344" ht="15.75" customHeight="1"/>
    <row r="37345" ht="15.75" customHeight="1"/>
    <row r="37346" ht="15.75" customHeight="1"/>
    <row r="37347" ht="15.75" customHeight="1"/>
    <row r="37348" ht="15.75" customHeight="1"/>
    <row r="37349" ht="15.75" customHeight="1"/>
    <row r="37350" ht="15.75" customHeight="1"/>
    <row r="37351" ht="15.75" customHeight="1"/>
    <row r="37352" ht="15.75" customHeight="1"/>
    <row r="37353" ht="15.75" customHeight="1"/>
    <row r="37354" ht="15.75" customHeight="1"/>
    <row r="37355" ht="15.75" customHeight="1"/>
    <row r="37356" ht="15.75" customHeight="1"/>
    <row r="37357" ht="15.75" customHeight="1"/>
    <row r="37358" ht="15.75" customHeight="1"/>
    <row r="37359" ht="15.75" customHeight="1"/>
    <row r="37360" ht="15.75" customHeight="1"/>
    <row r="37361" ht="15.75" customHeight="1"/>
    <row r="37362" ht="15.75" customHeight="1"/>
    <row r="37363" ht="15.75" customHeight="1"/>
    <row r="37364" ht="15.75" customHeight="1"/>
    <row r="37365" ht="15.75" customHeight="1"/>
    <row r="37366" ht="15.75" customHeight="1"/>
    <row r="37367" ht="15.75" customHeight="1"/>
    <row r="37368" ht="15.75" customHeight="1"/>
    <row r="37369" ht="15.75" customHeight="1"/>
    <row r="37370" ht="15.75" customHeight="1"/>
    <row r="37371" ht="15.75" customHeight="1"/>
    <row r="37372" ht="15.75" customHeight="1"/>
    <row r="37373" ht="15.75" customHeight="1"/>
    <row r="37374" ht="15.75" customHeight="1"/>
    <row r="37375" ht="15.75" customHeight="1"/>
    <row r="37376" ht="15.75" customHeight="1"/>
    <row r="37377" ht="15.75" customHeight="1"/>
    <row r="37378" ht="15.75" customHeight="1"/>
    <row r="37379" ht="15.75" customHeight="1"/>
    <row r="37380" ht="15.75" customHeight="1"/>
    <row r="37381" ht="15.75" customHeight="1"/>
    <row r="37382" ht="15.75" customHeight="1"/>
    <row r="37383" ht="15.75" customHeight="1"/>
    <row r="37384" ht="15.75" customHeight="1"/>
    <row r="37385" ht="15.75" customHeight="1"/>
    <row r="37386" ht="15.75" customHeight="1"/>
    <row r="37387" ht="15.75" customHeight="1"/>
    <row r="37388" ht="15.75" customHeight="1"/>
    <row r="37389" ht="15.75" customHeight="1"/>
    <row r="37390" ht="15.75" customHeight="1"/>
    <row r="37391" ht="15.75" customHeight="1"/>
    <row r="37392" ht="15.75" customHeight="1"/>
    <row r="37393" ht="15.75" customHeight="1"/>
    <row r="37394" ht="15.75" customHeight="1"/>
    <row r="37395" ht="15.75" customHeight="1"/>
    <row r="37396" ht="15.75" customHeight="1"/>
    <row r="37397" ht="15.75" customHeight="1"/>
    <row r="37398" ht="15.75" customHeight="1"/>
    <row r="37399" ht="15.75" customHeight="1"/>
    <row r="37400" ht="15.75" customHeight="1"/>
    <row r="37401" ht="15.75" customHeight="1"/>
    <row r="37402" ht="15.75" customHeight="1"/>
    <row r="37403" ht="15.75" customHeight="1"/>
    <row r="37404" ht="15.75" customHeight="1"/>
    <row r="37405" ht="15.75" customHeight="1"/>
    <row r="37406" ht="15.75" customHeight="1"/>
    <row r="37407" ht="15.75" customHeight="1"/>
    <row r="37408" ht="15.75" customHeight="1"/>
    <row r="37409" ht="15.75" customHeight="1"/>
    <row r="37410" ht="15.75" customHeight="1"/>
    <row r="37411" ht="15.75" customHeight="1"/>
    <row r="37412" ht="15.75" customHeight="1"/>
    <row r="37413" ht="15.75" customHeight="1"/>
    <row r="37414" ht="15.75" customHeight="1"/>
    <row r="37415" ht="15.75" customHeight="1"/>
    <row r="37416" ht="15.75" customHeight="1"/>
    <row r="37417" ht="15.75" customHeight="1"/>
    <row r="37418" ht="15.75" customHeight="1"/>
    <row r="37419" ht="15.75" customHeight="1"/>
    <row r="37420" ht="15.75" customHeight="1"/>
    <row r="37421" ht="15.75" customHeight="1"/>
    <row r="37422" ht="15.75" customHeight="1"/>
    <row r="37423" ht="15.75" customHeight="1"/>
    <row r="37424" ht="15.75" customHeight="1"/>
    <row r="37425" ht="15.75" customHeight="1"/>
    <row r="37426" ht="15.75" customHeight="1"/>
    <row r="37427" ht="15.75" customHeight="1"/>
    <row r="37428" ht="15.75" customHeight="1"/>
    <row r="37429" ht="15.75" customHeight="1"/>
    <row r="37430" ht="15.75" customHeight="1"/>
    <row r="37431" ht="15.75" customHeight="1"/>
    <row r="37432" ht="15.75" customHeight="1"/>
    <row r="37433" ht="15.75" customHeight="1"/>
    <row r="37434" ht="15.75" customHeight="1"/>
    <row r="37435" ht="15.75" customHeight="1"/>
    <row r="37436" ht="15.75" customHeight="1"/>
    <row r="37437" ht="15.75" customHeight="1"/>
    <row r="37438" ht="15.75" customHeight="1"/>
    <row r="37439" ht="15.75" customHeight="1"/>
    <row r="37440" ht="15.75" customHeight="1"/>
    <row r="37441" ht="15.75" customHeight="1"/>
    <row r="37442" ht="15.75" customHeight="1"/>
    <row r="37443" ht="15.75" customHeight="1"/>
    <row r="37444" ht="15.75" customHeight="1"/>
    <row r="37445" ht="15.75" customHeight="1"/>
    <row r="37446" ht="15.75" customHeight="1"/>
    <row r="37447" ht="15.75" customHeight="1"/>
    <row r="37448" ht="15.75" customHeight="1"/>
    <row r="37449" ht="15.75" customHeight="1"/>
    <row r="37450" ht="15.75" customHeight="1"/>
    <row r="37451" ht="15.75" customHeight="1"/>
    <row r="37452" ht="15.75" customHeight="1"/>
    <row r="37453" ht="15.75" customHeight="1"/>
    <row r="37454" ht="15.75" customHeight="1"/>
    <row r="37455" ht="15.75" customHeight="1"/>
    <row r="37456" ht="15.75" customHeight="1"/>
    <row r="37457" ht="15.75" customHeight="1"/>
    <row r="37458" ht="15.75" customHeight="1"/>
    <row r="37459" ht="15.75" customHeight="1"/>
    <row r="37460" ht="15.75" customHeight="1"/>
    <row r="37461" ht="15.75" customHeight="1"/>
    <row r="37462" ht="15.75" customHeight="1"/>
    <row r="37463" ht="15.75" customHeight="1"/>
    <row r="37464" ht="15.75" customHeight="1"/>
    <row r="37465" ht="15.75" customHeight="1"/>
    <row r="37466" ht="15.75" customHeight="1"/>
    <row r="37467" ht="15.75" customHeight="1"/>
    <row r="37468" ht="15.75" customHeight="1"/>
    <row r="37469" ht="15.75" customHeight="1"/>
    <row r="37470" ht="15.75" customHeight="1"/>
    <row r="37471" ht="15.75" customHeight="1"/>
    <row r="37472" ht="15.75" customHeight="1"/>
    <row r="37473" ht="15.75" customHeight="1"/>
    <row r="37474" ht="15.75" customHeight="1"/>
    <row r="37475" ht="15.75" customHeight="1"/>
    <row r="37476" ht="15.75" customHeight="1"/>
    <row r="37477" ht="15.75" customHeight="1"/>
    <row r="37478" ht="15.75" customHeight="1"/>
    <row r="37479" ht="15.75" customHeight="1"/>
    <row r="37480" ht="15.75" customHeight="1"/>
    <row r="37481" ht="15.75" customHeight="1"/>
    <row r="37482" ht="15.75" customHeight="1"/>
    <row r="37483" ht="15.75" customHeight="1"/>
    <row r="37484" ht="15.75" customHeight="1"/>
    <row r="37485" ht="15.75" customHeight="1"/>
    <row r="37486" ht="15.75" customHeight="1"/>
    <row r="37487" ht="15.75" customHeight="1"/>
    <row r="37488" ht="15.75" customHeight="1"/>
    <row r="37489" ht="15.75" customHeight="1"/>
    <row r="37490" ht="15.75" customHeight="1"/>
    <row r="37491" ht="15.75" customHeight="1"/>
    <row r="37492" ht="15.75" customHeight="1"/>
    <row r="37493" ht="15.75" customHeight="1"/>
    <row r="37494" ht="15.75" customHeight="1"/>
    <row r="37495" ht="15.75" customHeight="1"/>
    <row r="37496" ht="15.75" customHeight="1"/>
    <row r="37497" ht="15.75" customHeight="1"/>
    <row r="37498" ht="15.75" customHeight="1"/>
    <row r="37499" ht="15.75" customHeight="1"/>
    <row r="37500" ht="15.75" customHeight="1"/>
    <row r="37501" ht="15.75" customHeight="1"/>
    <row r="37502" ht="15.75" customHeight="1"/>
    <row r="37503" ht="15.75" customHeight="1"/>
    <row r="37504" ht="15.75" customHeight="1"/>
    <row r="37505" ht="15.75" customHeight="1"/>
    <row r="37506" ht="15.75" customHeight="1"/>
    <row r="37507" ht="15.75" customHeight="1"/>
    <row r="37508" ht="15.75" customHeight="1"/>
    <row r="37509" ht="15.75" customHeight="1"/>
    <row r="37510" ht="15.75" customHeight="1"/>
    <row r="37511" ht="15.75" customHeight="1"/>
    <row r="37512" ht="15.75" customHeight="1"/>
    <row r="37513" ht="15.75" customHeight="1"/>
    <row r="37514" ht="15.75" customHeight="1"/>
    <row r="37515" ht="15.75" customHeight="1"/>
    <row r="37516" ht="15.75" customHeight="1"/>
    <row r="37517" ht="15.75" customHeight="1"/>
    <row r="37518" ht="15.75" customHeight="1"/>
    <row r="37519" ht="15.75" customHeight="1"/>
    <row r="37520" ht="15.75" customHeight="1"/>
    <row r="37521" ht="15.75" customHeight="1"/>
    <row r="37522" ht="15.75" customHeight="1"/>
    <row r="37523" ht="15.75" customHeight="1"/>
    <row r="37524" ht="15.75" customHeight="1"/>
    <row r="37525" ht="15.75" customHeight="1"/>
    <row r="37526" ht="15.75" customHeight="1"/>
    <row r="37527" ht="15.75" customHeight="1"/>
    <row r="37528" ht="15.75" customHeight="1"/>
    <row r="37529" ht="15.75" customHeight="1"/>
    <row r="37530" ht="15.75" customHeight="1"/>
    <row r="37531" ht="15.75" customHeight="1"/>
    <row r="37532" ht="15.75" customHeight="1"/>
    <row r="37533" ht="15.75" customHeight="1"/>
    <row r="37534" ht="15.75" customHeight="1"/>
    <row r="37535" ht="15.75" customHeight="1"/>
    <row r="37536" ht="15.75" customHeight="1"/>
    <row r="37537" ht="15.75" customHeight="1"/>
    <row r="37538" ht="15.75" customHeight="1"/>
    <row r="37539" ht="15.75" customHeight="1"/>
    <row r="37540" ht="15.75" customHeight="1"/>
    <row r="37541" ht="15.75" customHeight="1"/>
    <row r="37542" ht="15.75" customHeight="1"/>
    <row r="37543" ht="15.75" customHeight="1"/>
    <row r="37544" ht="15.75" customHeight="1"/>
    <row r="37545" ht="15.75" customHeight="1"/>
    <row r="37546" ht="15.75" customHeight="1"/>
    <row r="37547" ht="15.75" customHeight="1"/>
    <row r="37548" ht="15.75" customHeight="1"/>
    <row r="37549" ht="15.75" customHeight="1"/>
    <row r="37550" ht="15.75" customHeight="1"/>
    <row r="37551" ht="15.75" customHeight="1"/>
    <row r="37552" ht="15.75" customHeight="1"/>
    <row r="37553" ht="15.75" customHeight="1"/>
    <row r="37554" ht="15.75" customHeight="1"/>
    <row r="37555" ht="15.75" customHeight="1"/>
    <row r="37556" ht="15.75" customHeight="1"/>
    <row r="37557" ht="15.75" customHeight="1"/>
    <row r="37558" ht="15.75" customHeight="1"/>
    <row r="37559" ht="15.75" customHeight="1"/>
    <row r="37560" ht="15.75" customHeight="1"/>
    <row r="37561" ht="15.75" customHeight="1"/>
    <row r="37562" ht="15.75" customHeight="1"/>
    <row r="37563" ht="15.75" customHeight="1"/>
    <row r="37564" ht="15.75" customHeight="1"/>
    <row r="37565" ht="15.75" customHeight="1"/>
    <row r="37566" ht="15.75" customHeight="1"/>
    <row r="37567" ht="15.75" customHeight="1"/>
    <row r="37568" ht="15.75" customHeight="1"/>
    <row r="37569" ht="15.75" customHeight="1"/>
    <row r="37570" ht="15.75" customHeight="1"/>
    <row r="37571" ht="15.75" customHeight="1"/>
    <row r="37572" ht="15.75" customHeight="1"/>
    <row r="37573" ht="15.75" customHeight="1"/>
    <row r="37574" ht="15.75" customHeight="1"/>
    <row r="37575" ht="15.75" customHeight="1"/>
    <row r="37576" ht="15.75" customHeight="1"/>
    <row r="37577" ht="15.75" customHeight="1"/>
    <row r="37578" ht="15.75" customHeight="1"/>
    <row r="37579" ht="15.75" customHeight="1"/>
    <row r="37580" ht="15.75" customHeight="1"/>
    <row r="37581" ht="15.75" customHeight="1"/>
    <row r="37582" ht="15.75" customHeight="1"/>
    <row r="37583" ht="15.75" customHeight="1"/>
    <row r="37584" ht="15.75" customHeight="1"/>
    <row r="37585" ht="15.75" customHeight="1"/>
    <row r="37586" ht="15.75" customHeight="1"/>
    <row r="37587" ht="15.75" customHeight="1"/>
    <row r="37588" ht="15.75" customHeight="1"/>
    <row r="37589" ht="15.75" customHeight="1"/>
    <row r="37590" ht="15.75" customHeight="1"/>
    <row r="37591" ht="15.75" customHeight="1"/>
    <row r="37592" ht="15.75" customHeight="1"/>
    <row r="37593" ht="15.75" customHeight="1"/>
    <row r="37594" ht="15.75" customHeight="1"/>
    <row r="37595" ht="15.75" customHeight="1"/>
    <row r="37596" ht="15.75" customHeight="1"/>
    <row r="37597" ht="15.75" customHeight="1"/>
    <row r="37598" ht="15.75" customHeight="1"/>
    <row r="37599" ht="15.75" customHeight="1"/>
    <row r="37600" ht="15.75" customHeight="1"/>
    <row r="37601" ht="15.75" customHeight="1"/>
    <row r="37602" ht="15.75" customHeight="1"/>
    <row r="37603" ht="15.75" customHeight="1"/>
    <row r="37604" ht="15.75" customHeight="1"/>
    <row r="37605" ht="15.75" customHeight="1"/>
    <row r="37606" ht="15.75" customHeight="1"/>
    <row r="37607" ht="15.75" customHeight="1"/>
    <row r="37608" ht="15.75" customHeight="1"/>
    <row r="37609" ht="15.75" customHeight="1"/>
    <row r="37610" ht="15.75" customHeight="1"/>
    <row r="37611" ht="15.75" customHeight="1"/>
    <row r="37612" ht="15.75" customHeight="1"/>
    <row r="37613" ht="15.75" customHeight="1"/>
    <row r="37614" ht="15.75" customHeight="1"/>
    <row r="37615" ht="15.75" customHeight="1"/>
    <row r="37616" ht="15.75" customHeight="1"/>
    <row r="37617" ht="15.75" customHeight="1"/>
    <row r="37618" ht="15.75" customHeight="1"/>
    <row r="37619" ht="15.75" customHeight="1"/>
    <row r="37620" ht="15.75" customHeight="1"/>
    <row r="37621" ht="15.75" customHeight="1"/>
    <row r="37622" ht="15.75" customHeight="1"/>
    <row r="37623" ht="15.75" customHeight="1"/>
    <row r="37624" ht="15.75" customHeight="1"/>
    <row r="37625" ht="15.75" customHeight="1"/>
    <row r="37626" ht="15.75" customHeight="1"/>
    <row r="37627" ht="15.75" customHeight="1"/>
    <row r="37628" ht="15.75" customHeight="1"/>
    <row r="37629" ht="15.75" customHeight="1"/>
    <row r="37630" ht="15.75" customHeight="1"/>
    <row r="37631" ht="15.75" customHeight="1"/>
    <row r="37632" ht="15.75" customHeight="1"/>
    <row r="37633" ht="15.75" customHeight="1"/>
    <row r="37634" ht="15.75" customHeight="1"/>
    <row r="37635" ht="15.75" customHeight="1"/>
    <row r="37636" ht="15.75" customHeight="1"/>
    <row r="37637" ht="15.75" customHeight="1"/>
    <row r="37638" ht="15.75" customHeight="1"/>
    <row r="37639" ht="15.75" customHeight="1"/>
    <row r="37640" ht="15.75" customHeight="1"/>
    <row r="37641" ht="15.75" customHeight="1"/>
    <row r="37642" ht="15.75" customHeight="1"/>
    <row r="37643" ht="15.75" customHeight="1"/>
    <row r="37644" ht="15.75" customHeight="1"/>
    <row r="37645" ht="15.75" customHeight="1"/>
    <row r="37646" ht="15.75" customHeight="1"/>
    <row r="37647" ht="15.75" customHeight="1"/>
    <row r="37648" ht="15.75" customHeight="1"/>
    <row r="37649" ht="15.75" customHeight="1"/>
    <row r="37650" ht="15.75" customHeight="1"/>
    <row r="37651" ht="15.75" customHeight="1"/>
    <row r="37652" ht="15.75" customHeight="1"/>
    <row r="37653" ht="15.75" customHeight="1"/>
    <row r="37654" ht="15.75" customHeight="1"/>
    <row r="37655" ht="15.75" customHeight="1"/>
    <row r="37656" ht="15.75" customHeight="1"/>
    <row r="37657" ht="15.75" customHeight="1"/>
    <row r="37658" ht="15.75" customHeight="1"/>
    <row r="37659" ht="15.75" customHeight="1"/>
    <row r="37660" ht="15.75" customHeight="1"/>
    <row r="37661" ht="15.75" customHeight="1"/>
    <row r="37662" ht="15.75" customHeight="1"/>
    <row r="37663" ht="15.75" customHeight="1"/>
    <row r="37664" ht="15.75" customHeight="1"/>
    <row r="37665" ht="15.75" customHeight="1"/>
    <row r="37666" ht="15.75" customHeight="1"/>
    <row r="37667" ht="15.75" customHeight="1"/>
    <row r="37668" ht="15.75" customHeight="1"/>
    <row r="37669" ht="15.75" customHeight="1"/>
    <row r="37670" ht="15.75" customHeight="1"/>
    <row r="37671" ht="15.75" customHeight="1"/>
    <row r="37672" ht="15.75" customHeight="1"/>
    <row r="37673" ht="15.75" customHeight="1"/>
    <row r="37674" ht="15.75" customHeight="1"/>
    <row r="37675" ht="15.75" customHeight="1"/>
    <row r="37676" ht="15.75" customHeight="1"/>
    <row r="37677" ht="15.75" customHeight="1"/>
    <row r="37678" ht="15.75" customHeight="1"/>
    <row r="37679" ht="15.75" customHeight="1"/>
    <row r="37680" ht="15.75" customHeight="1"/>
    <row r="37681" ht="15.75" customHeight="1"/>
    <row r="37682" ht="15.75" customHeight="1"/>
    <row r="37683" ht="15.75" customHeight="1"/>
    <row r="37684" ht="15.75" customHeight="1"/>
    <row r="37685" ht="15.75" customHeight="1"/>
    <row r="37686" ht="15.75" customHeight="1"/>
    <row r="37687" ht="15.75" customHeight="1"/>
    <row r="37688" ht="15.75" customHeight="1"/>
    <row r="37689" ht="15.75" customHeight="1"/>
    <row r="37690" ht="15.75" customHeight="1"/>
    <row r="37691" ht="15.75" customHeight="1"/>
    <row r="37692" ht="15.75" customHeight="1"/>
    <row r="37693" ht="15.75" customHeight="1"/>
    <row r="37694" ht="15.75" customHeight="1"/>
    <row r="37695" ht="15.75" customHeight="1"/>
    <row r="37696" ht="15.75" customHeight="1"/>
    <row r="37697" ht="15.75" customHeight="1"/>
    <row r="37698" ht="15.75" customHeight="1"/>
    <row r="37699" ht="15.75" customHeight="1"/>
    <row r="37700" ht="15.75" customHeight="1"/>
    <row r="37701" ht="15.75" customHeight="1"/>
    <row r="37702" ht="15.75" customHeight="1"/>
    <row r="37703" ht="15.75" customHeight="1"/>
    <row r="37704" ht="15.75" customHeight="1"/>
    <row r="37705" ht="15.75" customHeight="1"/>
    <row r="37706" ht="15.75" customHeight="1"/>
    <row r="37707" ht="15.75" customHeight="1"/>
    <row r="37708" ht="15.75" customHeight="1"/>
    <row r="37709" ht="15.75" customHeight="1"/>
    <row r="37710" ht="15.75" customHeight="1"/>
    <row r="37711" ht="15.75" customHeight="1"/>
    <row r="37712" ht="15.75" customHeight="1"/>
    <row r="37713" ht="15.75" customHeight="1"/>
    <row r="37714" ht="15.75" customHeight="1"/>
    <row r="37715" ht="15.75" customHeight="1"/>
    <row r="37716" ht="15.75" customHeight="1"/>
    <row r="37717" ht="15.75" customHeight="1"/>
    <row r="37718" ht="15.75" customHeight="1"/>
    <row r="37719" ht="15.75" customHeight="1"/>
    <row r="37720" ht="15.75" customHeight="1"/>
    <row r="37721" ht="15.75" customHeight="1"/>
    <row r="37722" ht="15.75" customHeight="1"/>
    <row r="37723" ht="15.75" customHeight="1"/>
    <row r="37724" ht="15.75" customHeight="1"/>
    <row r="37725" ht="15.75" customHeight="1"/>
    <row r="37726" ht="15.75" customHeight="1"/>
    <row r="37727" ht="15.75" customHeight="1"/>
    <row r="37728" ht="15.75" customHeight="1"/>
    <row r="37729" ht="15.75" customHeight="1"/>
    <row r="37730" ht="15.75" customHeight="1"/>
    <row r="37731" ht="15.75" customHeight="1"/>
    <row r="37732" ht="15.75" customHeight="1"/>
    <row r="37733" ht="15.75" customHeight="1"/>
    <row r="37734" ht="15.75" customHeight="1"/>
    <row r="37735" ht="15.75" customHeight="1"/>
    <row r="37736" ht="15.75" customHeight="1"/>
    <row r="37737" ht="15.75" customHeight="1"/>
    <row r="37738" ht="15.75" customHeight="1"/>
    <row r="37739" ht="15.75" customHeight="1"/>
    <row r="37740" ht="15.75" customHeight="1"/>
    <row r="37741" ht="15.75" customHeight="1"/>
    <row r="37742" ht="15.75" customHeight="1"/>
    <row r="37743" ht="15.75" customHeight="1"/>
    <row r="37744" ht="15.75" customHeight="1"/>
    <row r="37745" ht="15.75" customHeight="1"/>
    <row r="37746" ht="15.75" customHeight="1"/>
    <row r="37747" ht="15.75" customHeight="1"/>
    <row r="37748" ht="15.75" customHeight="1"/>
    <row r="37749" ht="15.75" customHeight="1"/>
    <row r="37750" ht="15.75" customHeight="1"/>
    <row r="37751" ht="15.75" customHeight="1"/>
    <row r="37752" ht="15.75" customHeight="1"/>
    <row r="37753" ht="15.75" customHeight="1"/>
    <row r="37754" ht="15.75" customHeight="1"/>
    <row r="37755" ht="15.75" customHeight="1"/>
    <row r="37756" ht="15.75" customHeight="1"/>
    <row r="37757" ht="15.75" customHeight="1"/>
    <row r="37758" ht="15.75" customHeight="1"/>
    <row r="37759" ht="15.75" customHeight="1"/>
    <row r="37760" ht="15.75" customHeight="1"/>
    <row r="37761" ht="15.75" customHeight="1"/>
    <row r="37762" ht="15.75" customHeight="1"/>
    <row r="37763" ht="15.75" customHeight="1"/>
    <row r="37764" ht="15.75" customHeight="1"/>
    <row r="37765" ht="15.75" customHeight="1"/>
    <row r="37766" ht="15.75" customHeight="1"/>
    <row r="37767" ht="15.75" customHeight="1"/>
    <row r="37768" ht="15.75" customHeight="1"/>
    <row r="37769" ht="15.75" customHeight="1"/>
    <row r="37770" ht="15.75" customHeight="1"/>
    <row r="37771" ht="15.75" customHeight="1"/>
    <row r="37772" ht="15.75" customHeight="1"/>
    <row r="37773" ht="15.75" customHeight="1"/>
    <row r="37774" ht="15.75" customHeight="1"/>
    <row r="37775" ht="15.75" customHeight="1"/>
    <row r="37776" ht="15.75" customHeight="1"/>
    <row r="37777" ht="15.75" customHeight="1"/>
    <row r="37778" ht="15.75" customHeight="1"/>
    <row r="37779" ht="15.75" customHeight="1"/>
    <row r="37780" ht="15.75" customHeight="1"/>
    <row r="37781" ht="15.75" customHeight="1"/>
    <row r="37782" ht="15.75" customHeight="1"/>
    <row r="37783" ht="15.75" customHeight="1"/>
    <row r="37784" ht="15.75" customHeight="1"/>
    <row r="37785" ht="15.75" customHeight="1"/>
    <row r="37786" ht="15.75" customHeight="1"/>
    <row r="37787" ht="15.75" customHeight="1"/>
    <row r="37788" ht="15.75" customHeight="1"/>
    <row r="37789" ht="15.75" customHeight="1"/>
    <row r="37790" ht="15.75" customHeight="1"/>
    <row r="37791" ht="15.75" customHeight="1"/>
    <row r="37792" ht="15.75" customHeight="1"/>
    <row r="37793" ht="15.75" customHeight="1"/>
    <row r="37794" ht="15.75" customHeight="1"/>
    <row r="37795" ht="15.75" customHeight="1"/>
    <row r="37796" ht="15.75" customHeight="1"/>
    <row r="37797" ht="15.75" customHeight="1"/>
    <row r="37798" ht="15.75" customHeight="1"/>
    <row r="37799" ht="15.75" customHeight="1"/>
    <row r="37800" ht="15.75" customHeight="1"/>
    <row r="37801" ht="15.75" customHeight="1"/>
    <row r="37802" ht="15.75" customHeight="1"/>
    <row r="37803" ht="15.75" customHeight="1"/>
    <row r="37804" ht="15.75" customHeight="1"/>
    <row r="37805" ht="15.75" customHeight="1"/>
    <row r="37806" ht="15.75" customHeight="1"/>
    <row r="37807" ht="15.75" customHeight="1"/>
    <row r="37808" ht="15.75" customHeight="1"/>
    <row r="37809" ht="15.75" customHeight="1"/>
    <row r="37810" ht="15.75" customHeight="1"/>
    <row r="37811" ht="15.75" customHeight="1"/>
    <row r="37812" ht="15.75" customHeight="1"/>
    <row r="37813" ht="15.75" customHeight="1"/>
    <row r="37814" ht="15.75" customHeight="1"/>
    <row r="37815" ht="15.75" customHeight="1"/>
    <row r="37816" ht="15.75" customHeight="1"/>
    <row r="37817" ht="15.75" customHeight="1"/>
    <row r="37818" ht="15.75" customHeight="1"/>
    <row r="37819" ht="15.75" customHeight="1"/>
    <row r="37820" ht="15.75" customHeight="1"/>
    <row r="37821" ht="15.75" customHeight="1"/>
    <row r="37822" ht="15.75" customHeight="1"/>
    <row r="37823" ht="15.75" customHeight="1"/>
    <row r="37824" ht="15.75" customHeight="1"/>
    <row r="37825" ht="15.75" customHeight="1"/>
    <row r="37826" ht="15.75" customHeight="1"/>
    <row r="37827" ht="15.75" customHeight="1"/>
    <row r="37828" ht="15.75" customHeight="1"/>
    <row r="37829" ht="15.75" customHeight="1"/>
    <row r="37830" ht="15.75" customHeight="1"/>
    <row r="37831" ht="15.75" customHeight="1"/>
    <row r="37832" ht="15.75" customHeight="1"/>
    <row r="37833" ht="15.75" customHeight="1"/>
    <row r="37834" ht="15.75" customHeight="1"/>
    <row r="37835" ht="15.75" customHeight="1"/>
    <row r="37836" ht="15.75" customHeight="1"/>
    <row r="37837" ht="15.75" customHeight="1"/>
    <row r="37838" ht="15.75" customHeight="1"/>
    <row r="37839" ht="15.75" customHeight="1"/>
    <row r="37840" ht="15.75" customHeight="1"/>
    <row r="37841" ht="15.75" customHeight="1"/>
    <row r="37842" ht="15.75" customHeight="1"/>
    <row r="37843" ht="15.75" customHeight="1"/>
    <row r="37844" ht="15.75" customHeight="1"/>
    <row r="37845" ht="15.75" customHeight="1"/>
    <row r="37846" ht="15.75" customHeight="1"/>
    <row r="37847" ht="15.75" customHeight="1"/>
    <row r="37848" ht="15.75" customHeight="1"/>
    <row r="37849" ht="15.75" customHeight="1"/>
    <row r="37850" ht="15.75" customHeight="1"/>
    <row r="37851" ht="15.75" customHeight="1"/>
    <row r="37852" ht="15.75" customHeight="1"/>
    <row r="37853" ht="15.75" customHeight="1"/>
    <row r="37854" ht="15.75" customHeight="1"/>
    <row r="37855" ht="15.75" customHeight="1"/>
    <row r="37856" ht="15.75" customHeight="1"/>
    <row r="37857" ht="15.75" customHeight="1"/>
    <row r="37858" ht="15.75" customHeight="1"/>
    <row r="37859" ht="15.75" customHeight="1"/>
    <row r="37860" ht="15.75" customHeight="1"/>
    <row r="37861" ht="15.75" customHeight="1"/>
    <row r="37862" ht="15.75" customHeight="1"/>
    <row r="37863" ht="15.75" customHeight="1"/>
    <row r="37864" ht="15.75" customHeight="1"/>
    <row r="37865" ht="15.75" customHeight="1"/>
    <row r="37866" ht="15.75" customHeight="1"/>
    <row r="37867" ht="15.75" customHeight="1"/>
    <row r="37868" ht="15.75" customHeight="1"/>
    <row r="37869" ht="15.75" customHeight="1"/>
    <row r="37870" ht="15.75" customHeight="1"/>
    <row r="37871" ht="15.75" customHeight="1"/>
    <row r="37872" ht="15.75" customHeight="1"/>
    <row r="37873" ht="15.75" customHeight="1"/>
    <row r="37874" ht="15.75" customHeight="1"/>
    <row r="37875" ht="15.75" customHeight="1"/>
    <row r="37876" ht="15.75" customHeight="1"/>
    <row r="37877" ht="15.75" customHeight="1"/>
    <row r="37878" ht="15.75" customHeight="1"/>
    <row r="37879" ht="15.75" customHeight="1"/>
    <row r="37880" ht="15.75" customHeight="1"/>
    <row r="37881" ht="15.75" customHeight="1"/>
    <row r="37882" ht="15.75" customHeight="1"/>
    <row r="37883" ht="15.75" customHeight="1"/>
    <row r="37884" ht="15.75" customHeight="1"/>
    <row r="37885" ht="15.75" customHeight="1"/>
    <row r="37886" ht="15.75" customHeight="1"/>
    <row r="37887" ht="15.75" customHeight="1"/>
    <row r="37888" ht="15.75" customHeight="1"/>
    <row r="37889" ht="15.75" customHeight="1"/>
    <row r="37890" ht="15.75" customHeight="1"/>
    <row r="37891" ht="15.75" customHeight="1"/>
    <row r="37892" ht="15.75" customHeight="1"/>
    <row r="37893" ht="15.75" customHeight="1"/>
    <row r="37894" ht="15.75" customHeight="1"/>
    <row r="37895" ht="15.75" customHeight="1"/>
    <row r="37896" ht="15.75" customHeight="1"/>
    <row r="37897" ht="15.75" customHeight="1"/>
    <row r="37898" ht="15.75" customHeight="1"/>
    <row r="37899" ht="15.75" customHeight="1"/>
    <row r="37900" ht="15.75" customHeight="1"/>
    <row r="37901" ht="15.75" customHeight="1"/>
    <row r="37902" ht="15.75" customHeight="1"/>
    <row r="37903" ht="15.75" customHeight="1"/>
    <row r="37904" ht="15.75" customHeight="1"/>
    <row r="37905" ht="15.75" customHeight="1"/>
    <row r="37906" ht="15.75" customHeight="1"/>
    <row r="37907" ht="15.75" customHeight="1"/>
    <row r="37908" ht="15.75" customHeight="1"/>
    <row r="37909" ht="15.75" customHeight="1"/>
    <row r="37910" ht="15.75" customHeight="1"/>
    <row r="37911" ht="15.75" customHeight="1"/>
    <row r="37912" ht="15.75" customHeight="1"/>
    <row r="37913" ht="15.75" customHeight="1"/>
    <row r="37914" ht="15.75" customHeight="1"/>
    <row r="37915" ht="15.75" customHeight="1"/>
    <row r="37916" ht="15.75" customHeight="1"/>
    <row r="37917" ht="15.75" customHeight="1"/>
    <row r="37918" ht="15.75" customHeight="1"/>
    <row r="37919" ht="15.75" customHeight="1"/>
    <row r="37920" ht="15.75" customHeight="1"/>
    <row r="37921" ht="15.75" customHeight="1"/>
    <row r="37922" ht="15.75" customHeight="1"/>
    <row r="37923" ht="15.75" customHeight="1"/>
    <row r="37924" ht="15.75" customHeight="1"/>
    <row r="37925" ht="15.75" customHeight="1"/>
    <row r="37926" ht="15.75" customHeight="1"/>
    <row r="37927" ht="15.75" customHeight="1"/>
    <row r="37928" ht="15.75" customHeight="1"/>
    <row r="37929" ht="15.75" customHeight="1"/>
    <row r="37930" ht="15.75" customHeight="1"/>
    <row r="37931" ht="15.75" customHeight="1"/>
    <row r="37932" ht="15.75" customHeight="1"/>
    <row r="37933" ht="15.75" customHeight="1"/>
    <row r="37934" ht="15.75" customHeight="1"/>
    <row r="37935" ht="15.75" customHeight="1"/>
    <row r="37936" ht="15.75" customHeight="1"/>
    <row r="37937" ht="15.75" customHeight="1"/>
    <row r="37938" ht="15.75" customHeight="1"/>
    <row r="37939" ht="15.75" customHeight="1"/>
    <row r="37940" ht="15.75" customHeight="1"/>
    <row r="37941" ht="15.75" customHeight="1"/>
    <row r="37942" ht="15.75" customHeight="1"/>
    <row r="37943" ht="15.75" customHeight="1"/>
    <row r="37944" ht="15.75" customHeight="1"/>
    <row r="37945" ht="15.75" customHeight="1"/>
    <row r="37946" ht="15.75" customHeight="1"/>
    <row r="37947" ht="15.75" customHeight="1"/>
    <row r="37948" ht="15.75" customHeight="1"/>
    <row r="37949" ht="15.75" customHeight="1"/>
    <row r="37950" ht="15.75" customHeight="1"/>
    <row r="37951" ht="15.75" customHeight="1"/>
    <row r="37952" ht="15.75" customHeight="1"/>
    <row r="37953" ht="15.75" customHeight="1"/>
    <row r="37954" ht="15.75" customHeight="1"/>
    <row r="37955" ht="15.75" customHeight="1"/>
    <row r="37956" ht="15.75" customHeight="1"/>
    <row r="37957" ht="15.75" customHeight="1"/>
    <row r="37958" ht="15.75" customHeight="1"/>
    <row r="37959" ht="15.75" customHeight="1"/>
    <row r="37960" ht="15.75" customHeight="1"/>
    <row r="37961" ht="15.75" customHeight="1"/>
    <row r="37962" ht="15.75" customHeight="1"/>
    <row r="37963" ht="15.75" customHeight="1"/>
    <row r="37964" ht="15.75" customHeight="1"/>
    <row r="37965" ht="15.75" customHeight="1"/>
    <row r="37966" ht="15.75" customHeight="1"/>
    <row r="37967" ht="15.75" customHeight="1"/>
    <row r="37968" ht="15.75" customHeight="1"/>
    <row r="37969" ht="15.75" customHeight="1"/>
    <row r="37970" ht="15.75" customHeight="1"/>
    <row r="37971" ht="15.75" customHeight="1"/>
    <row r="37972" ht="15.75" customHeight="1"/>
    <row r="37973" ht="15.75" customHeight="1"/>
    <row r="37974" ht="15.75" customHeight="1"/>
    <row r="37975" ht="15.75" customHeight="1"/>
    <row r="37976" ht="15.75" customHeight="1"/>
    <row r="37977" ht="15.75" customHeight="1"/>
    <row r="37978" ht="15.75" customHeight="1"/>
    <row r="37979" ht="15.75" customHeight="1"/>
    <row r="37980" ht="15.75" customHeight="1"/>
    <row r="37981" ht="15.75" customHeight="1"/>
    <row r="37982" ht="15.75" customHeight="1"/>
    <row r="37983" ht="15.75" customHeight="1"/>
    <row r="37984" ht="15.75" customHeight="1"/>
    <row r="37985" ht="15.75" customHeight="1"/>
    <row r="37986" ht="15.75" customHeight="1"/>
    <row r="37987" ht="15.75" customHeight="1"/>
    <row r="37988" ht="15.75" customHeight="1"/>
    <row r="37989" ht="15.75" customHeight="1"/>
    <row r="37990" ht="15.75" customHeight="1"/>
    <row r="37991" ht="15.75" customHeight="1"/>
    <row r="37992" ht="15.75" customHeight="1"/>
    <row r="37993" ht="15.75" customHeight="1"/>
    <row r="37994" ht="15.75" customHeight="1"/>
    <row r="37995" ht="15.75" customHeight="1"/>
    <row r="37996" ht="15.75" customHeight="1"/>
    <row r="37997" ht="15.75" customHeight="1"/>
    <row r="37998" ht="15.75" customHeight="1"/>
    <row r="37999" ht="15.75" customHeight="1"/>
    <row r="38000" ht="15.75" customHeight="1"/>
    <row r="38001" ht="15.75" customHeight="1"/>
    <row r="38002" ht="15.75" customHeight="1"/>
    <row r="38003" ht="15.75" customHeight="1"/>
    <row r="38004" ht="15.75" customHeight="1"/>
    <row r="38005" ht="15.75" customHeight="1"/>
    <row r="38006" ht="15.75" customHeight="1"/>
    <row r="38007" ht="15.75" customHeight="1"/>
    <row r="38008" ht="15.75" customHeight="1"/>
    <row r="38009" ht="15.75" customHeight="1"/>
    <row r="38010" ht="15.75" customHeight="1"/>
    <row r="38011" ht="15.75" customHeight="1"/>
    <row r="38012" ht="15.75" customHeight="1"/>
    <row r="38013" ht="15.75" customHeight="1"/>
    <row r="38014" ht="15.75" customHeight="1"/>
    <row r="38015" ht="15.75" customHeight="1"/>
    <row r="38016" ht="15.75" customHeight="1"/>
    <row r="38017" ht="15.75" customHeight="1"/>
    <row r="38018" ht="15.75" customHeight="1"/>
    <row r="38019" ht="15.75" customHeight="1"/>
    <row r="38020" ht="15.75" customHeight="1"/>
    <row r="38021" ht="15.75" customHeight="1"/>
    <row r="38022" ht="15.75" customHeight="1"/>
    <row r="38023" ht="15.75" customHeight="1"/>
    <row r="38024" ht="15.75" customHeight="1"/>
    <row r="38025" ht="15.75" customHeight="1"/>
    <row r="38026" ht="15.75" customHeight="1"/>
    <row r="38027" ht="15.75" customHeight="1"/>
    <row r="38028" ht="15.75" customHeight="1"/>
    <row r="38029" ht="15.75" customHeight="1"/>
    <row r="38030" ht="15.75" customHeight="1"/>
    <row r="38031" ht="15.75" customHeight="1"/>
    <row r="38032" ht="15.75" customHeight="1"/>
    <row r="38033" ht="15.75" customHeight="1"/>
    <row r="38034" ht="15.75" customHeight="1"/>
    <row r="38035" ht="15.75" customHeight="1"/>
    <row r="38036" ht="15.75" customHeight="1"/>
    <row r="38037" ht="15.75" customHeight="1"/>
    <row r="38038" ht="15.75" customHeight="1"/>
    <row r="38039" ht="15.75" customHeight="1"/>
    <row r="38040" ht="15.75" customHeight="1"/>
    <row r="38041" ht="15.75" customHeight="1"/>
    <row r="38042" ht="15.75" customHeight="1"/>
    <row r="38043" ht="15.75" customHeight="1"/>
    <row r="38044" ht="15.75" customHeight="1"/>
    <row r="38045" ht="15.75" customHeight="1"/>
    <row r="38046" ht="15.75" customHeight="1"/>
    <row r="38047" ht="15.75" customHeight="1"/>
    <row r="38048" ht="15.75" customHeight="1"/>
    <row r="38049" ht="15.75" customHeight="1"/>
    <row r="38050" ht="15.75" customHeight="1"/>
    <row r="38051" ht="15.75" customHeight="1"/>
    <row r="38052" ht="15.75" customHeight="1"/>
    <row r="38053" ht="15.75" customHeight="1"/>
    <row r="38054" ht="15.75" customHeight="1"/>
    <row r="38055" ht="15.75" customHeight="1"/>
    <row r="38056" ht="15.75" customHeight="1"/>
    <row r="38057" ht="15.75" customHeight="1"/>
    <row r="38058" ht="15.75" customHeight="1"/>
    <row r="38059" ht="15.75" customHeight="1"/>
    <row r="38060" ht="15.75" customHeight="1"/>
    <row r="38061" ht="15.75" customHeight="1"/>
    <row r="38062" ht="15.75" customHeight="1"/>
    <row r="38063" ht="15.75" customHeight="1"/>
    <row r="38064" ht="15.75" customHeight="1"/>
    <row r="38065" ht="15.75" customHeight="1"/>
    <row r="38066" ht="15.75" customHeight="1"/>
    <row r="38067" ht="15.75" customHeight="1"/>
    <row r="38068" ht="15.75" customHeight="1"/>
    <row r="38069" ht="15.75" customHeight="1"/>
    <row r="38070" ht="15.75" customHeight="1"/>
    <row r="38071" ht="15.75" customHeight="1"/>
    <row r="38072" ht="15.75" customHeight="1"/>
    <row r="38073" ht="15.75" customHeight="1"/>
    <row r="38074" ht="15.75" customHeight="1"/>
    <row r="38075" ht="15.75" customHeight="1"/>
    <row r="38076" ht="15.75" customHeight="1"/>
    <row r="38077" ht="15.75" customHeight="1"/>
    <row r="38078" ht="15.75" customHeight="1"/>
    <row r="38079" ht="15.75" customHeight="1"/>
    <row r="38080" ht="15.75" customHeight="1"/>
    <row r="38081" ht="15.75" customHeight="1"/>
    <row r="38082" ht="15.75" customHeight="1"/>
    <row r="38083" ht="15.75" customHeight="1"/>
    <row r="38084" ht="15.75" customHeight="1"/>
    <row r="38085" ht="15.75" customHeight="1"/>
    <row r="38086" ht="15.75" customHeight="1"/>
    <row r="38087" ht="15.75" customHeight="1"/>
    <row r="38088" ht="15.75" customHeight="1"/>
    <row r="38089" ht="15.75" customHeight="1"/>
    <row r="38090" ht="15.75" customHeight="1"/>
    <row r="38091" ht="15.75" customHeight="1"/>
    <row r="38092" ht="15.75" customHeight="1"/>
    <row r="38093" ht="15.75" customHeight="1"/>
    <row r="38094" ht="15.75" customHeight="1"/>
    <row r="38095" ht="15.75" customHeight="1"/>
    <row r="38096" ht="15.75" customHeight="1"/>
    <row r="38097" ht="15.75" customHeight="1"/>
    <row r="38098" ht="15.75" customHeight="1"/>
    <row r="38099" ht="15.75" customHeight="1"/>
    <row r="38100" ht="15.75" customHeight="1"/>
    <row r="38101" ht="15.75" customHeight="1"/>
    <row r="38102" ht="15.75" customHeight="1"/>
    <row r="38103" ht="15.75" customHeight="1"/>
    <row r="38104" ht="15.75" customHeight="1"/>
    <row r="38105" ht="15.75" customHeight="1"/>
    <row r="38106" ht="15.75" customHeight="1"/>
    <row r="38107" ht="15.75" customHeight="1"/>
    <row r="38108" ht="15.75" customHeight="1"/>
    <row r="38109" ht="15.75" customHeight="1"/>
    <row r="38110" ht="15.75" customHeight="1"/>
    <row r="38111" ht="15.75" customHeight="1"/>
    <row r="38112" ht="15.75" customHeight="1"/>
    <row r="38113" ht="15.75" customHeight="1"/>
    <row r="38114" ht="15.75" customHeight="1"/>
    <row r="38115" ht="15.75" customHeight="1"/>
    <row r="38116" ht="15.75" customHeight="1"/>
    <row r="38117" ht="15.75" customHeight="1"/>
    <row r="38118" ht="15.75" customHeight="1"/>
    <row r="38119" ht="15.75" customHeight="1"/>
    <row r="38120" ht="15.75" customHeight="1"/>
    <row r="38121" ht="15.75" customHeight="1"/>
    <row r="38122" ht="15.75" customHeight="1"/>
    <row r="38123" ht="15.75" customHeight="1"/>
    <row r="38124" ht="15.75" customHeight="1"/>
    <row r="38125" ht="15.75" customHeight="1"/>
    <row r="38126" ht="15.75" customHeight="1"/>
    <row r="38127" ht="15.75" customHeight="1"/>
    <row r="38128" ht="15.75" customHeight="1"/>
    <row r="38129" ht="15.75" customHeight="1"/>
    <row r="38130" ht="15.75" customHeight="1"/>
    <row r="38131" ht="15.75" customHeight="1"/>
    <row r="38132" ht="15.75" customHeight="1"/>
    <row r="38133" ht="15.75" customHeight="1"/>
    <row r="38134" ht="15.75" customHeight="1"/>
    <row r="38135" ht="15.75" customHeight="1"/>
    <row r="38136" ht="15.75" customHeight="1"/>
    <row r="38137" ht="15.75" customHeight="1"/>
    <row r="38138" ht="15.75" customHeight="1"/>
    <row r="38139" ht="15.75" customHeight="1"/>
    <row r="38140" ht="15.75" customHeight="1"/>
    <row r="38141" ht="15.75" customHeight="1"/>
    <row r="38142" ht="15.75" customHeight="1"/>
    <row r="38143" ht="15.75" customHeight="1"/>
    <row r="38144" ht="15.75" customHeight="1"/>
    <row r="38145" ht="15.75" customHeight="1"/>
    <row r="38146" ht="15.75" customHeight="1"/>
    <row r="38147" ht="15.75" customHeight="1"/>
    <row r="38148" ht="15.75" customHeight="1"/>
    <row r="38149" ht="15.75" customHeight="1"/>
    <row r="38150" ht="15.75" customHeight="1"/>
    <row r="38151" ht="15.75" customHeight="1"/>
    <row r="38152" ht="15.75" customHeight="1"/>
    <row r="38153" ht="15.75" customHeight="1"/>
    <row r="38154" ht="15.75" customHeight="1"/>
    <row r="38155" ht="15.75" customHeight="1"/>
    <row r="38156" ht="15.75" customHeight="1"/>
    <row r="38157" ht="15.75" customHeight="1"/>
    <row r="38158" ht="15.75" customHeight="1"/>
    <row r="38159" ht="15.75" customHeight="1"/>
    <row r="38160" ht="15.75" customHeight="1"/>
    <row r="38161" ht="15.75" customHeight="1"/>
    <row r="38162" ht="15.75" customHeight="1"/>
    <row r="38163" ht="15.75" customHeight="1"/>
    <row r="38164" ht="15.75" customHeight="1"/>
    <row r="38165" ht="15.75" customHeight="1"/>
    <row r="38166" ht="15.75" customHeight="1"/>
    <row r="38167" ht="15.75" customHeight="1"/>
    <row r="38168" ht="15.75" customHeight="1"/>
    <row r="38169" ht="15.75" customHeight="1"/>
    <row r="38170" ht="15.75" customHeight="1"/>
    <row r="38171" ht="15.75" customHeight="1"/>
    <row r="38172" ht="15.75" customHeight="1"/>
    <row r="38173" ht="15.75" customHeight="1"/>
    <row r="38174" ht="15.75" customHeight="1"/>
    <row r="38175" ht="15.75" customHeight="1"/>
    <row r="38176" ht="15.75" customHeight="1"/>
    <row r="38177" ht="15.75" customHeight="1"/>
    <row r="38178" ht="15.75" customHeight="1"/>
    <row r="38179" ht="15.75" customHeight="1"/>
    <row r="38180" ht="15.75" customHeight="1"/>
    <row r="38181" ht="15.75" customHeight="1"/>
    <row r="38182" ht="15.75" customHeight="1"/>
    <row r="38183" ht="15.75" customHeight="1"/>
    <row r="38184" ht="15.75" customHeight="1"/>
    <row r="38185" ht="15.75" customHeight="1"/>
    <row r="38186" ht="15.75" customHeight="1"/>
    <row r="38187" ht="15.75" customHeight="1"/>
    <row r="38188" ht="15.75" customHeight="1"/>
    <row r="38189" ht="15.75" customHeight="1"/>
    <row r="38190" ht="15.75" customHeight="1"/>
    <row r="38191" ht="15.75" customHeight="1"/>
    <row r="38192" ht="15.75" customHeight="1"/>
    <row r="38193" ht="15.75" customHeight="1"/>
    <row r="38194" ht="15.75" customHeight="1"/>
    <row r="38195" ht="15.75" customHeight="1"/>
    <row r="38196" ht="15.75" customHeight="1"/>
    <row r="38197" ht="15.75" customHeight="1"/>
    <row r="38198" ht="15.75" customHeight="1"/>
    <row r="38199" ht="15.75" customHeight="1"/>
    <row r="38200" ht="15.75" customHeight="1"/>
    <row r="38201" ht="15.75" customHeight="1"/>
    <row r="38202" ht="15.75" customHeight="1"/>
    <row r="38203" ht="15.75" customHeight="1"/>
    <row r="38204" ht="15.75" customHeight="1"/>
    <row r="38205" ht="15.75" customHeight="1"/>
    <row r="38206" ht="15.75" customHeight="1"/>
    <row r="38207" ht="15.75" customHeight="1"/>
    <row r="38208" ht="15.75" customHeight="1"/>
    <row r="38209" ht="15.75" customHeight="1"/>
    <row r="38210" ht="15.75" customHeight="1"/>
    <row r="38211" ht="15.75" customHeight="1"/>
    <row r="38212" ht="15.75" customHeight="1"/>
    <row r="38213" ht="15.75" customHeight="1"/>
    <row r="38214" ht="15.75" customHeight="1"/>
    <row r="38215" ht="15.75" customHeight="1"/>
    <row r="38216" ht="15.75" customHeight="1"/>
    <row r="38217" ht="15.75" customHeight="1"/>
    <row r="38218" ht="15.75" customHeight="1"/>
    <row r="38219" ht="15.75" customHeight="1"/>
    <row r="38220" ht="15.75" customHeight="1"/>
    <row r="38221" ht="15.75" customHeight="1"/>
    <row r="38222" ht="15.75" customHeight="1"/>
    <row r="38223" ht="15.75" customHeight="1"/>
    <row r="38224" ht="15.75" customHeight="1"/>
    <row r="38225" ht="15.75" customHeight="1"/>
    <row r="38226" ht="15.75" customHeight="1"/>
    <row r="38227" ht="15.75" customHeight="1"/>
    <row r="38228" ht="15.75" customHeight="1"/>
    <row r="38229" ht="15.75" customHeight="1"/>
    <row r="38230" ht="15.75" customHeight="1"/>
    <row r="38231" ht="15.75" customHeight="1"/>
    <row r="38232" ht="15.75" customHeight="1"/>
    <row r="38233" ht="15.75" customHeight="1"/>
    <row r="38234" ht="15.75" customHeight="1"/>
    <row r="38235" ht="15.75" customHeight="1"/>
    <row r="38236" ht="15.75" customHeight="1"/>
    <row r="38237" ht="15.75" customHeight="1"/>
    <row r="38238" ht="15.75" customHeight="1"/>
    <row r="38239" ht="15.75" customHeight="1"/>
    <row r="38240" ht="15.75" customHeight="1"/>
    <row r="38241" ht="15.75" customHeight="1"/>
    <row r="38242" ht="15.75" customHeight="1"/>
    <row r="38243" ht="15.75" customHeight="1"/>
    <row r="38244" ht="15.75" customHeight="1"/>
    <row r="38245" ht="15.75" customHeight="1"/>
    <row r="38246" ht="15.75" customHeight="1"/>
    <row r="38247" ht="15.75" customHeight="1"/>
    <row r="38248" ht="15.75" customHeight="1"/>
    <row r="38249" ht="15.75" customHeight="1"/>
    <row r="38250" ht="15.75" customHeight="1"/>
    <row r="38251" ht="15.75" customHeight="1"/>
    <row r="38252" ht="15.75" customHeight="1"/>
    <row r="38253" ht="15.75" customHeight="1"/>
    <row r="38254" ht="15.75" customHeight="1"/>
    <row r="38255" ht="15.75" customHeight="1"/>
    <row r="38256" ht="15.75" customHeight="1"/>
    <row r="38257" ht="15.75" customHeight="1"/>
    <row r="38258" ht="15.75" customHeight="1"/>
    <row r="38259" ht="15.75" customHeight="1"/>
    <row r="38260" ht="15.75" customHeight="1"/>
    <row r="38261" ht="15.75" customHeight="1"/>
    <row r="38262" ht="15.75" customHeight="1"/>
    <row r="38263" ht="15.75" customHeight="1"/>
    <row r="38264" ht="15.75" customHeight="1"/>
    <row r="38265" ht="15.75" customHeight="1"/>
    <row r="38266" ht="15.75" customHeight="1"/>
    <row r="38267" ht="15.75" customHeight="1"/>
    <row r="38268" ht="15.75" customHeight="1"/>
    <row r="38269" ht="15.75" customHeight="1"/>
    <row r="38270" ht="15.75" customHeight="1"/>
    <row r="38271" ht="15.75" customHeight="1"/>
    <row r="38272" ht="15.75" customHeight="1"/>
    <row r="38273" ht="15.75" customHeight="1"/>
    <row r="38274" ht="15.75" customHeight="1"/>
    <row r="38275" ht="15.75" customHeight="1"/>
    <row r="38276" ht="15.75" customHeight="1"/>
    <row r="38277" ht="15.75" customHeight="1"/>
    <row r="38278" ht="15.75" customHeight="1"/>
    <row r="38279" ht="15.75" customHeight="1"/>
    <row r="38280" ht="15.75" customHeight="1"/>
    <row r="38281" ht="15.75" customHeight="1"/>
    <row r="38282" ht="15.75" customHeight="1"/>
    <row r="38283" ht="15.75" customHeight="1"/>
    <row r="38284" ht="15.75" customHeight="1"/>
    <row r="38285" ht="15.75" customHeight="1"/>
    <row r="38286" ht="15.75" customHeight="1"/>
    <row r="38287" ht="15.75" customHeight="1"/>
    <row r="38288" ht="15.75" customHeight="1"/>
    <row r="38289" ht="15.75" customHeight="1"/>
    <row r="38290" ht="15.75" customHeight="1"/>
    <row r="38291" ht="15.75" customHeight="1"/>
    <row r="38292" ht="15.75" customHeight="1"/>
    <row r="38293" ht="15.75" customHeight="1"/>
    <row r="38294" ht="15.75" customHeight="1"/>
    <row r="38295" ht="15.75" customHeight="1"/>
    <row r="38296" ht="15.75" customHeight="1"/>
    <row r="38297" ht="15.75" customHeight="1"/>
    <row r="38298" ht="15.75" customHeight="1"/>
    <row r="38299" ht="15.75" customHeight="1"/>
    <row r="38300" ht="15.75" customHeight="1"/>
    <row r="38301" ht="15.75" customHeight="1"/>
    <row r="38302" ht="15.75" customHeight="1"/>
    <row r="38303" ht="15.75" customHeight="1"/>
    <row r="38304" ht="15.75" customHeight="1"/>
    <row r="38305" ht="15.75" customHeight="1"/>
    <row r="38306" ht="15.75" customHeight="1"/>
    <row r="38307" ht="15.75" customHeight="1"/>
    <row r="38308" ht="15.75" customHeight="1"/>
    <row r="38309" ht="15.75" customHeight="1"/>
    <row r="38310" ht="15.75" customHeight="1"/>
    <row r="38311" ht="15.75" customHeight="1"/>
    <row r="38312" ht="15.75" customHeight="1"/>
    <row r="38313" ht="15.75" customHeight="1"/>
    <row r="38314" ht="15.75" customHeight="1"/>
    <row r="38315" ht="15.75" customHeight="1"/>
    <row r="38316" ht="15.75" customHeight="1"/>
    <row r="38317" ht="15.75" customHeight="1"/>
    <row r="38318" ht="15.75" customHeight="1"/>
    <row r="38319" ht="15.75" customHeight="1"/>
    <row r="38320" ht="15.75" customHeight="1"/>
    <row r="38321" ht="15.75" customHeight="1"/>
    <row r="38322" ht="15.75" customHeight="1"/>
    <row r="38323" ht="15.75" customHeight="1"/>
    <row r="38324" ht="15.75" customHeight="1"/>
    <row r="38325" ht="15.75" customHeight="1"/>
    <row r="38326" ht="15.75" customHeight="1"/>
    <row r="38327" ht="15.75" customHeight="1"/>
    <row r="38328" ht="15.75" customHeight="1"/>
    <row r="38329" ht="15.75" customHeight="1"/>
    <row r="38330" ht="15.75" customHeight="1"/>
    <row r="38331" ht="15.75" customHeight="1"/>
    <row r="38332" ht="15.75" customHeight="1"/>
    <row r="38333" ht="15.75" customHeight="1"/>
    <row r="38334" ht="15.75" customHeight="1"/>
    <row r="38335" ht="15.75" customHeight="1"/>
    <row r="38336" ht="15.75" customHeight="1"/>
    <row r="38337" ht="15.75" customHeight="1"/>
    <row r="38338" ht="15.75" customHeight="1"/>
    <row r="38339" ht="15.75" customHeight="1"/>
    <row r="38340" ht="15.75" customHeight="1"/>
    <row r="38341" ht="15.75" customHeight="1"/>
    <row r="38342" ht="15.75" customHeight="1"/>
    <row r="38343" ht="15.75" customHeight="1"/>
    <row r="38344" ht="15.75" customHeight="1"/>
    <row r="38345" ht="15.75" customHeight="1"/>
    <row r="38346" ht="15.75" customHeight="1"/>
    <row r="38347" ht="15.75" customHeight="1"/>
    <row r="38348" ht="15.75" customHeight="1"/>
    <row r="38349" ht="15.75" customHeight="1"/>
    <row r="38350" ht="15.75" customHeight="1"/>
    <row r="38351" ht="15.75" customHeight="1"/>
    <row r="38352" ht="15.75" customHeight="1"/>
    <row r="38353" ht="15.75" customHeight="1"/>
    <row r="38354" ht="15.75" customHeight="1"/>
    <row r="38355" ht="15.75" customHeight="1"/>
    <row r="38356" ht="15.75" customHeight="1"/>
    <row r="38357" ht="15.75" customHeight="1"/>
    <row r="38358" ht="15.75" customHeight="1"/>
    <row r="38359" ht="15.75" customHeight="1"/>
    <row r="38360" ht="15.75" customHeight="1"/>
    <row r="38361" ht="15.75" customHeight="1"/>
    <row r="38362" ht="15.75" customHeight="1"/>
    <row r="38363" ht="15.75" customHeight="1"/>
    <row r="38364" ht="15.75" customHeight="1"/>
    <row r="38365" ht="15.75" customHeight="1"/>
    <row r="38366" ht="15.75" customHeight="1"/>
    <row r="38367" ht="15.75" customHeight="1"/>
    <row r="38368" ht="15.75" customHeight="1"/>
    <row r="38369" ht="15.75" customHeight="1"/>
    <row r="38370" ht="15.75" customHeight="1"/>
    <row r="38371" ht="15.75" customHeight="1"/>
    <row r="38372" ht="15.75" customHeight="1"/>
    <row r="38373" ht="15.75" customHeight="1"/>
    <row r="38374" ht="15.75" customHeight="1"/>
    <row r="38375" ht="15.75" customHeight="1"/>
    <row r="38376" ht="15.75" customHeight="1"/>
    <row r="38377" ht="15.75" customHeight="1"/>
    <row r="38378" ht="15.75" customHeight="1"/>
    <row r="38379" ht="15.75" customHeight="1"/>
    <row r="38380" ht="15.75" customHeight="1"/>
    <row r="38381" ht="15.75" customHeight="1"/>
    <row r="38382" ht="15.75" customHeight="1"/>
    <row r="38383" ht="15.75" customHeight="1"/>
    <row r="38384" ht="15.75" customHeight="1"/>
    <row r="38385" ht="15.75" customHeight="1"/>
    <row r="38386" ht="15.75" customHeight="1"/>
    <row r="38387" ht="15.75" customHeight="1"/>
    <row r="38388" ht="15.75" customHeight="1"/>
    <row r="38389" ht="15.75" customHeight="1"/>
    <row r="38390" ht="15.75" customHeight="1"/>
    <row r="38391" ht="15.75" customHeight="1"/>
    <row r="38392" ht="15.75" customHeight="1"/>
    <row r="38393" ht="15.75" customHeight="1"/>
    <row r="38394" ht="15.75" customHeight="1"/>
    <row r="38395" ht="15.75" customHeight="1"/>
    <row r="38396" ht="15.75" customHeight="1"/>
    <row r="38397" ht="15.75" customHeight="1"/>
    <row r="38398" ht="15.75" customHeight="1"/>
    <row r="38399" ht="15.75" customHeight="1"/>
    <row r="38400" ht="15.75" customHeight="1"/>
    <row r="38401" ht="15.75" customHeight="1"/>
    <row r="38402" ht="15.75" customHeight="1"/>
    <row r="38403" ht="15.75" customHeight="1"/>
    <row r="38404" ht="15.75" customHeight="1"/>
    <row r="38405" ht="15.75" customHeight="1"/>
    <row r="38406" ht="15.75" customHeight="1"/>
    <row r="38407" ht="15.75" customHeight="1"/>
    <row r="38408" ht="15.75" customHeight="1"/>
    <row r="38409" ht="15.75" customHeight="1"/>
    <row r="38410" ht="15.75" customHeight="1"/>
    <row r="38411" ht="15.75" customHeight="1"/>
    <row r="38412" ht="15.75" customHeight="1"/>
    <row r="38413" ht="15.75" customHeight="1"/>
    <row r="38414" ht="15.75" customHeight="1"/>
    <row r="38415" ht="15.75" customHeight="1"/>
    <row r="38416" ht="15.75" customHeight="1"/>
    <row r="38417" ht="15.75" customHeight="1"/>
    <row r="38418" ht="15.75" customHeight="1"/>
    <row r="38419" ht="15.75" customHeight="1"/>
    <row r="38420" ht="15.75" customHeight="1"/>
    <row r="38421" ht="15.75" customHeight="1"/>
    <row r="38422" ht="15.75" customHeight="1"/>
    <row r="38423" ht="15.75" customHeight="1"/>
    <row r="38424" ht="15.75" customHeight="1"/>
    <row r="38425" ht="15.75" customHeight="1"/>
    <row r="38426" ht="15.75" customHeight="1"/>
    <row r="38427" ht="15.75" customHeight="1"/>
    <row r="38428" ht="15.75" customHeight="1"/>
    <row r="38429" ht="15.75" customHeight="1"/>
    <row r="38430" ht="15.75" customHeight="1"/>
    <row r="38431" ht="15.75" customHeight="1"/>
    <row r="38432" ht="15.75" customHeight="1"/>
    <row r="38433" ht="15.75" customHeight="1"/>
    <row r="38434" ht="15.75" customHeight="1"/>
    <row r="38435" ht="15.75" customHeight="1"/>
    <row r="38436" ht="15.75" customHeight="1"/>
    <row r="38437" ht="15.75" customHeight="1"/>
    <row r="38438" ht="15.75" customHeight="1"/>
    <row r="38439" ht="15.75" customHeight="1"/>
    <row r="38440" ht="15.75" customHeight="1"/>
    <row r="38441" ht="15.75" customHeight="1"/>
    <row r="38442" ht="15.75" customHeight="1"/>
    <row r="38443" ht="15.75" customHeight="1"/>
    <row r="38444" ht="15.75" customHeight="1"/>
    <row r="38445" ht="15.75" customHeight="1"/>
    <row r="38446" ht="15.75" customHeight="1"/>
    <row r="38447" ht="15.75" customHeight="1"/>
    <row r="38448" ht="15.75" customHeight="1"/>
    <row r="38449" ht="15.75" customHeight="1"/>
    <row r="38450" ht="15.75" customHeight="1"/>
    <row r="38451" ht="15.75" customHeight="1"/>
    <row r="38452" ht="15.75" customHeight="1"/>
    <row r="38453" ht="15.75" customHeight="1"/>
    <row r="38454" ht="15.75" customHeight="1"/>
    <row r="38455" ht="15.75" customHeight="1"/>
    <row r="38456" ht="15.75" customHeight="1"/>
    <row r="38457" ht="15.75" customHeight="1"/>
    <row r="38458" ht="15.75" customHeight="1"/>
    <row r="38459" ht="15.75" customHeight="1"/>
    <row r="38460" ht="15.75" customHeight="1"/>
    <row r="38461" ht="15.75" customHeight="1"/>
    <row r="38462" ht="15.75" customHeight="1"/>
    <row r="38463" ht="15.75" customHeight="1"/>
    <row r="38464" ht="15.75" customHeight="1"/>
    <row r="38465" ht="15.75" customHeight="1"/>
    <row r="38466" ht="15.75" customHeight="1"/>
    <row r="38467" ht="15.75" customHeight="1"/>
    <row r="38468" ht="15.75" customHeight="1"/>
    <row r="38469" ht="15.75" customHeight="1"/>
    <row r="38470" ht="15.75" customHeight="1"/>
    <row r="38471" ht="15.75" customHeight="1"/>
    <row r="38472" ht="15.75" customHeight="1"/>
    <row r="38473" ht="15.75" customHeight="1"/>
    <row r="38474" ht="15.75" customHeight="1"/>
    <row r="38475" ht="15.75" customHeight="1"/>
    <row r="38476" ht="15.75" customHeight="1"/>
    <row r="38477" ht="15.75" customHeight="1"/>
    <row r="38478" ht="15.75" customHeight="1"/>
    <row r="38479" ht="15.75" customHeight="1"/>
    <row r="38480" ht="15.75" customHeight="1"/>
    <row r="38481" ht="15.75" customHeight="1"/>
    <row r="38482" ht="15.75" customHeight="1"/>
    <row r="38483" ht="15.75" customHeight="1"/>
    <row r="38484" ht="15.75" customHeight="1"/>
    <row r="38485" ht="15.75" customHeight="1"/>
    <row r="38486" ht="15.75" customHeight="1"/>
    <row r="38487" ht="15.75" customHeight="1"/>
    <row r="38488" ht="15.75" customHeight="1"/>
    <row r="38489" ht="15.75" customHeight="1"/>
    <row r="38490" ht="15.75" customHeight="1"/>
    <row r="38491" ht="15.75" customHeight="1"/>
    <row r="38492" ht="15.75" customHeight="1"/>
    <row r="38493" ht="15.75" customHeight="1"/>
    <row r="38494" ht="15.75" customHeight="1"/>
    <row r="38495" ht="15.75" customHeight="1"/>
    <row r="38496" ht="15.75" customHeight="1"/>
    <row r="38497" ht="15.75" customHeight="1"/>
    <row r="38498" ht="15.75" customHeight="1"/>
    <row r="38499" ht="15.75" customHeight="1"/>
    <row r="38500" ht="15.75" customHeight="1"/>
    <row r="38501" ht="15.75" customHeight="1"/>
    <row r="38502" ht="15.75" customHeight="1"/>
    <row r="38503" ht="15.75" customHeight="1"/>
    <row r="38504" ht="15.75" customHeight="1"/>
    <row r="38505" ht="15.75" customHeight="1"/>
    <row r="38506" ht="15.75" customHeight="1"/>
    <row r="38507" ht="15.75" customHeight="1"/>
    <row r="38508" ht="15.75" customHeight="1"/>
    <row r="38509" ht="15.75" customHeight="1"/>
    <row r="38510" ht="15.75" customHeight="1"/>
    <row r="38511" ht="15.75" customHeight="1"/>
    <row r="38512" ht="15.75" customHeight="1"/>
    <row r="38513" ht="15.75" customHeight="1"/>
    <row r="38514" ht="15.75" customHeight="1"/>
    <row r="38515" ht="15.75" customHeight="1"/>
    <row r="38516" ht="15.75" customHeight="1"/>
    <row r="38517" ht="15.75" customHeight="1"/>
    <row r="38518" ht="15.75" customHeight="1"/>
    <row r="38519" ht="15.75" customHeight="1"/>
    <row r="38520" ht="15.75" customHeight="1"/>
    <row r="38521" ht="15.75" customHeight="1"/>
    <row r="38522" ht="15.75" customHeight="1"/>
    <row r="38523" ht="15.75" customHeight="1"/>
    <row r="38524" ht="15.75" customHeight="1"/>
    <row r="38525" ht="15.75" customHeight="1"/>
    <row r="38526" ht="15.75" customHeight="1"/>
    <row r="38527" ht="15.75" customHeight="1"/>
    <row r="38528" ht="15.75" customHeight="1"/>
    <row r="38529" ht="15.75" customHeight="1"/>
    <row r="38530" ht="15.75" customHeight="1"/>
    <row r="38531" ht="15.75" customHeight="1"/>
    <row r="38532" ht="15.75" customHeight="1"/>
    <row r="38533" ht="15.75" customHeight="1"/>
    <row r="38534" ht="15.75" customHeight="1"/>
    <row r="38535" ht="15.75" customHeight="1"/>
    <row r="38536" ht="15.75" customHeight="1"/>
    <row r="38537" ht="15.75" customHeight="1"/>
    <row r="38538" ht="15.75" customHeight="1"/>
    <row r="38539" ht="15.75" customHeight="1"/>
    <row r="38540" ht="15.75" customHeight="1"/>
    <row r="38541" ht="15.75" customHeight="1"/>
    <row r="38542" ht="15.75" customHeight="1"/>
    <row r="38543" ht="15.75" customHeight="1"/>
    <row r="38544" ht="15.75" customHeight="1"/>
    <row r="38545" ht="15.75" customHeight="1"/>
    <row r="38546" ht="15.75" customHeight="1"/>
    <row r="38547" ht="15.75" customHeight="1"/>
    <row r="38548" ht="15.75" customHeight="1"/>
    <row r="38549" ht="15.75" customHeight="1"/>
    <row r="38550" ht="15.75" customHeight="1"/>
    <row r="38551" ht="15.75" customHeight="1"/>
    <row r="38552" ht="15.75" customHeight="1"/>
    <row r="38553" ht="15.75" customHeight="1"/>
    <row r="38554" ht="15.75" customHeight="1"/>
    <row r="38555" ht="15.75" customHeight="1"/>
    <row r="38556" ht="15.75" customHeight="1"/>
    <row r="38557" ht="15.75" customHeight="1"/>
    <row r="38558" ht="15.75" customHeight="1"/>
    <row r="38559" ht="15.75" customHeight="1"/>
    <row r="38560" ht="15.75" customHeight="1"/>
    <row r="38561" ht="15.75" customHeight="1"/>
    <row r="38562" ht="15.75" customHeight="1"/>
    <row r="38563" ht="15.75" customHeight="1"/>
    <row r="38564" ht="15.75" customHeight="1"/>
    <row r="38565" ht="15.75" customHeight="1"/>
    <row r="38566" ht="15.75" customHeight="1"/>
    <row r="38567" ht="15.75" customHeight="1"/>
    <row r="38568" ht="15.75" customHeight="1"/>
    <row r="38569" ht="15.75" customHeight="1"/>
    <row r="38570" ht="15.75" customHeight="1"/>
    <row r="38571" ht="15.75" customHeight="1"/>
    <row r="38572" ht="15.75" customHeight="1"/>
    <row r="38573" ht="15.75" customHeight="1"/>
    <row r="38574" ht="15.75" customHeight="1"/>
    <row r="38575" ht="15.75" customHeight="1"/>
    <row r="38576" ht="15.75" customHeight="1"/>
    <row r="38577" ht="15.75" customHeight="1"/>
    <row r="38578" ht="15.75" customHeight="1"/>
    <row r="38579" ht="15.75" customHeight="1"/>
    <row r="38580" ht="15.75" customHeight="1"/>
    <row r="38581" ht="15.75" customHeight="1"/>
    <row r="38582" ht="15.75" customHeight="1"/>
    <row r="38583" ht="15.75" customHeight="1"/>
    <row r="38584" ht="15.75" customHeight="1"/>
    <row r="38585" ht="15.75" customHeight="1"/>
    <row r="38586" ht="15.75" customHeight="1"/>
    <row r="38587" ht="15.75" customHeight="1"/>
    <row r="38588" ht="15.75" customHeight="1"/>
    <row r="38589" ht="15.75" customHeight="1"/>
    <row r="38590" ht="15.75" customHeight="1"/>
    <row r="38591" ht="15.75" customHeight="1"/>
    <row r="38592" ht="15.75" customHeight="1"/>
    <row r="38593" ht="15.75" customHeight="1"/>
    <row r="38594" ht="15.75" customHeight="1"/>
    <row r="38595" ht="15.75" customHeight="1"/>
    <row r="38596" ht="15.75" customHeight="1"/>
    <row r="38597" ht="15.75" customHeight="1"/>
    <row r="38598" ht="15.75" customHeight="1"/>
    <row r="38599" ht="15.75" customHeight="1"/>
    <row r="38600" ht="15.75" customHeight="1"/>
    <row r="38601" ht="15.75" customHeight="1"/>
    <row r="38602" ht="15.75" customHeight="1"/>
    <row r="38603" ht="15.75" customHeight="1"/>
    <row r="38604" ht="15.75" customHeight="1"/>
    <row r="38605" ht="15.75" customHeight="1"/>
    <row r="38606" ht="15.75" customHeight="1"/>
    <row r="38607" ht="15.75" customHeight="1"/>
    <row r="38608" ht="15.75" customHeight="1"/>
    <row r="38609" ht="15.75" customHeight="1"/>
    <row r="38610" ht="15.75" customHeight="1"/>
    <row r="38611" ht="15.75" customHeight="1"/>
    <row r="38612" ht="15.75" customHeight="1"/>
    <row r="38613" ht="15.75" customHeight="1"/>
    <row r="38614" ht="15.75" customHeight="1"/>
    <row r="38615" ht="15.75" customHeight="1"/>
    <row r="38616" ht="15.75" customHeight="1"/>
    <row r="38617" ht="15.75" customHeight="1"/>
    <row r="38618" ht="15.75" customHeight="1"/>
    <row r="38619" ht="15.75" customHeight="1"/>
    <row r="38620" ht="15.75" customHeight="1"/>
    <row r="38621" ht="15.75" customHeight="1"/>
    <row r="38622" ht="15.75" customHeight="1"/>
    <row r="38623" ht="15.75" customHeight="1"/>
    <row r="38624" ht="15.75" customHeight="1"/>
    <row r="38625" ht="15.75" customHeight="1"/>
    <row r="38626" ht="15.75" customHeight="1"/>
    <row r="38627" ht="15.75" customHeight="1"/>
    <row r="38628" ht="15.75" customHeight="1"/>
    <row r="38629" ht="15.75" customHeight="1"/>
    <row r="38630" ht="15.75" customHeight="1"/>
    <row r="38631" ht="15.75" customHeight="1"/>
    <row r="38632" ht="15.75" customHeight="1"/>
    <row r="38633" ht="15.75" customHeight="1"/>
    <row r="38634" ht="15.75" customHeight="1"/>
    <row r="38635" ht="15.75" customHeight="1"/>
    <row r="38636" ht="15.75" customHeight="1"/>
    <row r="38637" ht="15.75" customHeight="1"/>
    <row r="38638" ht="15.75" customHeight="1"/>
    <row r="38639" ht="15.75" customHeight="1"/>
    <row r="38640" ht="15.75" customHeight="1"/>
    <row r="38641" ht="15.75" customHeight="1"/>
    <row r="38642" ht="15.75" customHeight="1"/>
    <row r="38643" ht="15.75" customHeight="1"/>
    <row r="38644" ht="15.75" customHeight="1"/>
    <row r="38645" ht="15.75" customHeight="1"/>
    <row r="38646" ht="15.75" customHeight="1"/>
    <row r="38647" ht="15.75" customHeight="1"/>
    <row r="38648" ht="15.75" customHeight="1"/>
    <row r="38649" ht="15.75" customHeight="1"/>
    <row r="38650" ht="15.75" customHeight="1"/>
    <row r="38651" ht="15.75" customHeight="1"/>
    <row r="38652" ht="15.75" customHeight="1"/>
    <row r="38653" ht="15.75" customHeight="1"/>
    <row r="38654" ht="15.75" customHeight="1"/>
    <row r="38655" ht="15.75" customHeight="1"/>
    <row r="38656" ht="15.75" customHeight="1"/>
    <row r="38657" ht="15.75" customHeight="1"/>
    <row r="38658" ht="15.75" customHeight="1"/>
    <row r="38659" ht="15.75" customHeight="1"/>
    <row r="38660" ht="15.75" customHeight="1"/>
    <row r="38661" ht="15.75" customHeight="1"/>
    <row r="38662" ht="15.75" customHeight="1"/>
    <row r="38663" ht="15.75" customHeight="1"/>
    <row r="38664" ht="15.75" customHeight="1"/>
    <row r="38665" ht="15.75" customHeight="1"/>
    <row r="38666" ht="15.75" customHeight="1"/>
    <row r="38667" ht="15.75" customHeight="1"/>
    <row r="38668" ht="15.75" customHeight="1"/>
    <row r="38669" ht="15.75" customHeight="1"/>
    <row r="38670" ht="15.75" customHeight="1"/>
    <row r="38671" ht="15.75" customHeight="1"/>
    <row r="38672" ht="15.75" customHeight="1"/>
    <row r="38673" ht="15.75" customHeight="1"/>
    <row r="38674" ht="15.75" customHeight="1"/>
    <row r="38675" ht="15.75" customHeight="1"/>
    <row r="38676" ht="15.75" customHeight="1"/>
    <row r="38677" ht="15.75" customHeight="1"/>
    <row r="38678" ht="15.75" customHeight="1"/>
    <row r="38679" ht="15.75" customHeight="1"/>
    <row r="38680" ht="15.75" customHeight="1"/>
    <row r="38681" ht="15.75" customHeight="1"/>
    <row r="38682" ht="15.75" customHeight="1"/>
    <row r="38683" ht="15.75" customHeight="1"/>
    <row r="38684" ht="15.75" customHeight="1"/>
    <row r="38685" ht="15.75" customHeight="1"/>
    <row r="38686" ht="15.75" customHeight="1"/>
    <row r="38687" ht="15.75" customHeight="1"/>
    <row r="38688" ht="15.75" customHeight="1"/>
    <row r="38689" ht="15.75" customHeight="1"/>
    <row r="38690" ht="15.75" customHeight="1"/>
    <row r="38691" ht="15.75" customHeight="1"/>
    <row r="38692" ht="15.75" customHeight="1"/>
    <row r="38693" ht="15.75" customHeight="1"/>
    <row r="38694" ht="15.75" customHeight="1"/>
    <row r="38695" ht="15.75" customHeight="1"/>
    <row r="38696" ht="15.75" customHeight="1"/>
    <row r="38697" ht="15.75" customHeight="1"/>
    <row r="38698" ht="15.75" customHeight="1"/>
    <row r="38699" ht="15.75" customHeight="1"/>
    <row r="38700" ht="15.75" customHeight="1"/>
    <row r="38701" ht="15.75" customHeight="1"/>
    <row r="38702" ht="15.75" customHeight="1"/>
    <row r="38703" ht="15.75" customHeight="1"/>
    <row r="38704" ht="15.75" customHeight="1"/>
    <row r="38705" ht="15.75" customHeight="1"/>
    <row r="38706" ht="15.75" customHeight="1"/>
    <row r="38707" ht="15.75" customHeight="1"/>
    <row r="38708" ht="15.75" customHeight="1"/>
    <row r="38709" ht="15.75" customHeight="1"/>
    <row r="38710" ht="15.75" customHeight="1"/>
    <row r="38711" ht="15.75" customHeight="1"/>
    <row r="38712" ht="15.75" customHeight="1"/>
    <row r="38713" ht="15.75" customHeight="1"/>
    <row r="38714" ht="15.75" customHeight="1"/>
    <row r="38715" ht="15.75" customHeight="1"/>
    <row r="38716" ht="15.75" customHeight="1"/>
    <row r="38717" ht="15.75" customHeight="1"/>
    <row r="38718" ht="15.75" customHeight="1"/>
    <row r="38719" ht="15.75" customHeight="1"/>
    <row r="38720" ht="15.75" customHeight="1"/>
    <row r="38721" ht="15.75" customHeight="1"/>
    <row r="38722" ht="15.75" customHeight="1"/>
    <row r="38723" ht="15.75" customHeight="1"/>
    <row r="38724" ht="15.75" customHeight="1"/>
    <row r="38725" ht="15.75" customHeight="1"/>
    <row r="38726" ht="15.75" customHeight="1"/>
    <row r="38727" ht="15.75" customHeight="1"/>
    <row r="38728" ht="15.75" customHeight="1"/>
    <row r="38729" ht="15.75" customHeight="1"/>
    <row r="38730" ht="15.75" customHeight="1"/>
    <row r="38731" ht="15.75" customHeight="1"/>
    <row r="38732" ht="15.75" customHeight="1"/>
    <row r="38733" ht="15.75" customHeight="1"/>
    <row r="38734" ht="15.75" customHeight="1"/>
    <row r="38735" ht="15.75" customHeight="1"/>
    <row r="38736" ht="15.75" customHeight="1"/>
    <row r="38737" ht="15.75" customHeight="1"/>
    <row r="38738" ht="15.75" customHeight="1"/>
    <row r="38739" ht="15.75" customHeight="1"/>
    <row r="38740" ht="15.75" customHeight="1"/>
    <row r="38741" ht="15.75" customHeight="1"/>
    <row r="38742" ht="15.75" customHeight="1"/>
    <row r="38743" ht="15.75" customHeight="1"/>
    <row r="38744" ht="15.75" customHeight="1"/>
    <row r="38745" ht="15.75" customHeight="1"/>
    <row r="38746" ht="15.75" customHeight="1"/>
    <row r="38747" ht="15.75" customHeight="1"/>
    <row r="38748" ht="15.75" customHeight="1"/>
    <row r="38749" ht="15.75" customHeight="1"/>
    <row r="38750" ht="15.75" customHeight="1"/>
    <row r="38751" ht="15.75" customHeight="1"/>
    <row r="38752" ht="15.75" customHeight="1"/>
    <row r="38753" ht="15.75" customHeight="1"/>
    <row r="38754" ht="15.75" customHeight="1"/>
    <row r="38755" ht="15.75" customHeight="1"/>
    <row r="38756" ht="15.75" customHeight="1"/>
    <row r="38757" ht="15.75" customHeight="1"/>
    <row r="38758" ht="15.75" customHeight="1"/>
    <row r="38759" ht="15.75" customHeight="1"/>
    <row r="38760" ht="15.75" customHeight="1"/>
    <row r="38761" ht="15.75" customHeight="1"/>
    <row r="38762" ht="15.75" customHeight="1"/>
    <row r="38763" ht="15.75" customHeight="1"/>
    <row r="38764" ht="15.75" customHeight="1"/>
    <row r="38765" ht="15.75" customHeight="1"/>
    <row r="38766" ht="15.75" customHeight="1"/>
    <row r="38767" ht="15.75" customHeight="1"/>
    <row r="38768" ht="15.75" customHeight="1"/>
    <row r="38769" ht="15.75" customHeight="1"/>
    <row r="38770" ht="15.75" customHeight="1"/>
    <row r="38771" ht="15.75" customHeight="1"/>
    <row r="38772" ht="15.75" customHeight="1"/>
    <row r="38773" ht="15.75" customHeight="1"/>
    <row r="38774" ht="15.75" customHeight="1"/>
    <row r="38775" ht="15.75" customHeight="1"/>
    <row r="38776" ht="15.75" customHeight="1"/>
    <row r="38777" ht="15.75" customHeight="1"/>
    <row r="38778" ht="15.75" customHeight="1"/>
    <row r="38779" ht="15.75" customHeight="1"/>
    <row r="38780" ht="15.75" customHeight="1"/>
    <row r="38781" ht="15.75" customHeight="1"/>
    <row r="38782" ht="15.75" customHeight="1"/>
    <row r="38783" ht="15.75" customHeight="1"/>
    <row r="38784" ht="15.75" customHeight="1"/>
    <row r="38785" ht="15.75" customHeight="1"/>
    <row r="38786" ht="15.75" customHeight="1"/>
    <row r="38787" ht="15.75" customHeight="1"/>
    <row r="38788" ht="15.75" customHeight="1"/>
    <row r="38789" ht="15.75" customHeight="1"/>
    <row r="38790" ht="15.75" customHeight="1"/>
    <row r="38791" ht="15.75" customHeight="1"/>
    <row r="38792" ht="15.75" customHeight="1"/>
    <row r="38793" ht="15.75" customHeight="1"/>
    <row r="38794" ht="15.75" customHeight="1"/>
    <row r="38795" ht="15.75" customHeight="1"/>
    <row r="38796" ht="15.75" customHeight="1"/>
    <row r="38797" ht="15.75" customHeight="1"/>
    <row r="38798" ht="15.75" customHeight="1"/>
    <row r="38799" ht="15.75" customHeight="1"/>
    <row r="38800" ht="15.75" customHeight="1"/>
    <row r="38801" ht="15.75" customHeight="1"/>
    <row r="38802" ht="15.75" customHeight="1"/>
    <row r="38803" ht="15.75" customHeight="1"/>
    <row r="38804" ht="15.75" customHeight="1"/>
    <row r="38805" ht="15.75" customHeight="1"/>
    <row r="38806" ht="15.75" customHeight="1"/>
    <row r="38807" ht="15.75" customHeight="1"/>
    <row r="38808" ht="15.75" customHeight="1"/>
    <row r="38809" ht="15.75" customHeight="1"/>
    <row r="38810" ht="15.75" customHeight="1"/>
    <row r="38811" ht="15.75" customHeight="1"/>
    <row r="38812" ht="15.75" customHeight="1"/>
    <row r="38813" ht="15.75" customHeight="1"/>
    <row r="38814" ht="15.75" customHeight="1"/>
    <row r="38815" ht="15.75" customHeight="1"/>
    <row r="38816" ht="15.75" customHeight="1"/>
    <row r="38817" ht="15.75" customHeight="1"/>
    <row r="38818" ht="15.75" customHeight="1"/>
    <row r="38819" ht="15.75" customHeight="1"/>
    <row r="38820" ht="15.75" customHeight="1"/>
    <row r="38821" ht="15.75" customHeight="1"/>
    <row r="38822" ht="15.75" customHeight="1"/>
    <row r="38823" ht="15.75" customHeight="1"/>
    <row r="38824" ht="15.75" customHeight="1"/>
    <row r="38825" ht="15.75" customHeight="1"/>
    <row r="38826" ht="15.75" customHeight="1"/>
    <row r="38827" ht="15.75" customHeight="1"/>
    <row r="38828" ht="15.75" customHeight="1"/>
    <row r="38829" ht="15.75" customHeight="1"/>
    <row r="38830" ht="15.75" customHeight="1"/>
    <row r="38831" ht="15.75" customHeight="1"/>
    <row r="38832" ht="15.75" customHeight="1"/>
    <row r="38833" ht="15.75" customHeight="1"/>
    <row r="38834" ht="15.75" customHeight="1"/>
    <row r="38835" ht="15.75" customHeight="1"/>
    <row r="38836" ht="15.75" customHeight="1"/>
    <row r="38837" ht="15.75" customHeight="1"/>
    <row r="38838" ht="15.75" customHeight="1"/>
    <row r="38839" ht="15.75" customHeight="1"/>
    <row r="38840" ht="15.75" customHeight="1"/>
    <row r="38841" ht="15.75" customHeight="1"/>
    <row r="38842" ht="15.75" customHeight="1"/>
    <row r="38843" ht="15.75" customHeight="1"/>
    <row r="38844" ht="15.75" customHeight="1"/>
    <row r="38845" ht="15.75" customHeight="1"/>
    <row r="38846" ht="15.75" customHeight="1"/>
    <row r="38847" ht="15.75" customHeight="1"/>
    <row r="38848" ht="15.75" customHeight="1"/>
    <row r="38849" ht="15.75" customHeight="1"/>
    <row r="38850" ht="15.75" customHeight="1"/>
    <row r="38851" ht="15.75" customHeight="1"/>
    <row r="38852" ht="15.75" customHeight="1"/>
    <row r="38853" ht="15.75" customHeight="1"/>
    <row r="38854" ht="15.75" customHeight="1"/>
    <row r="38855" ht="15.75" customHeight="1"/>
    <row r="38856" ht="15.75" customHeight="1"/>
    <row r="38857" ht="15.75" customHeight="1"/>
    <row r="38858" ht="15.75" customHeight="1"/>
    <row r="38859" ht="15.75" customHeight="1"/>
    <row r="38860" ht="15.75" customHeight="1"/>
    <row r="38861" ht="15.75" customHeight="1"/>
    <row r="38862" ht="15.75" customHeight="1"/>
    <row r="38863" ht="15.75" customHeight="1"/>
    <row r="38864" ht="15.75" customHeight="1"/>
    <row r="38865" ht="15.75" customHeight="1"/>
    <row r="38866" ht="15.75" customHeight="1"/>
    <row r="38867" ht="15.75" customHeight="1"/>
    <row r="38868" ht="15.75" customHeight="1"/>
    <row r="38869" ht="15.75" customHeight="1"/>
    <row r="38870" ht="15.75" customHeight="1"/>
    <row r="38871" ht="15.75" customHeight="1"/>
    <row r="38872" ht="15.75" customHeight="1"/>
    <row r="38873" ht="15.75" customHeight="1"/>
    <row r="38874" ht="15.75" customHeight="1"/>
    <row r="38875" ht="15.75" customHeight="1"/>
    <row r="38876" ht="15.75" customHeight="1"/>
    <row r="38877" ht="15.75" customHeight="1"/>
    <row r="38878" ht="15.75" customHeight="1"/>
    <row r="38879" ht="15.75" customHeight="1"/>
    <row r="38880" ht="15.75" customHeight="1"/>
    <row r="38881" ht="15.75" customHeight="1"/>
    <row r="38882" ht="15.75" customHeight="1"/>
    <row r="38883" ht="15.75" customHeight="1"/>
    <row r="38884" ht="15.75" customHeight="1"/>
    <row r="38885" ht="15.75" customHeight="1"/>
    <row r="38886" ht="15.75" customHeight="1"/>
    <row r="38887" ht="15.75" customHeight="1"/>
    <row r="38888" ht="15.75" customHeight="1"/>
    <row r="38889" ht="15.75" customHeight="1"/>
    <row r="38890" ht="15.75" customHeight="1"/>
    <row r="38891" ht="15.75" customHeight="1"/>
    <row r="38892" ht="15.75" customHeight="1"/>
    <row r="38893" ht="15.75" customHeight="1"/>
    <row r="38894" ht="15.75" customHeight="1"/>
    <row r="38895" ht="15.75" customHeight="1"/>
    <row r="38896" ht="15.75" customHeight="1"/>
    <row r="38897" ht="15.75" customHeight="1"/>
    <row r="38898" ht="15.75" customHeight="1"/>
    <row r="38899" ht="15.75" customHeight="1"/>
    <row r="38900" ht="15.75" customHeight="1"/>
    <row r="38901" ht="15.75" customHeight="1"/>
    <row r="38902" ht="15.75" customHeight="1"/>
    <row r="38903" ht="15.75" customHeight="1"/>
    <row r="38904" ht="15.75" customHeight="1"/>
    <row r="38905" ht="15.75" customHeight="1"/>
    <row r="38906" ht="15.75" customHeight="1"/>
    <row r="38907" ht="15.75" customHeight="1"/>
    <row r="38908" ht="15.75" customHeight="1"/>
    <row r="38909" ht="15.75" customHeight="1"/>
    <row r="38910" ht="15.75" customHeight="1"/>
    <row r="38911" ht="15.75" customHeight="1"/>
    <row r="38912" ht="15.75" customHeight="1"/>
    <row r="38913" ht="15.75" customHeight="1"/>
    <row r="38914" ht="15.75" customHeight="1"/>
    <row r="38915" ht="15.75" customHeight="1"/>
    <row r="38916" ht="15.75" customHeight="1"/>
    <row r="38917" ht="15.75" customHeight="1"/>
    <row r="38918" ht="15.75" customHeight="1"/>
    <row r="38919" ht="15.75" customHeight="1"/>
    <row r="38920" ht="15.75" customHeight="1"/>
    <row r="38921" ht="15.75" customHeight="1"/>
    <row r="38922" ht="15.75" customHeight="1"/>
    <row r="38923" ht="15.75" customHeight="1"/>
    <row r="38924" ht="15.75" customHeight="1"/>
    <row r="38925" ht="15.75" customHeight="1"/>
    <row r="38926" ht="15.75" customHeight="1"/>
    <row r="38927" ht="15.75" customHeight="1"/>
    <row r="38928" ht="15.75" customHeight="1"/>
    <row r="38929" ht="15.75" customHeight="1"/>
    <row r="38930" ht="15.75" customHeight="1"/>
    <row r="38931" ht="15.75" customHeight="1"/>
    <row r="38932" ht="15.75" customHeight="1"/>
    <row r="38933" ht="15.75" customHeight="1"/>
    <row r="38934" ht="15.75" customHeight="1"/>
    <row r="38935" ht="15.75" customHeight="1"/>
    <row r="38936" ht="15.75" customHeight="1"/>
    <row r="38937" ht="15.75" customHeight="1"/>
    <row r="38938" ht="15.75" customHeight="1"/>
    <row r="38939" ht="15.75" customHeight="1"/>
    <row r="38940" ht="15.75" customHeight="1"/>
    <row r="38941" ht="15.75" customHeight="1"/>
    <row r="38942" ht="15.75" customHeight="1"/>
    <row r="38943" ht="15.75" customHeight="1"/>
    <row r="38944" ht="15.75" customHeight="1"/>
    <row r="38945" ht="15.75" customHeight="1"/>
    <row r="38946" ht="15.75" customHeight="1"/>
    <row r="38947" ht="15.75" customHeight="1"/>
    <row r="38948" ht="15.75" customHeight="1"/>
    <row r="38949" ht="15.75" customHeight="1"/>
    <row r="38950" ht="15.75" customHeight="1"/>
    <row r="38951" ht="15.75" customHeight="1"/>
    <row r="38952" ht="15.75" customHeight="1"/>
    <row r="38953" ht="15.75" customHeight="1"/>
    <row r="38954" ht="15.75" customHeight="1"/>
    <row r="38955" ht="15.75" customHeight="1"/>
    <row r="38956" ht="15.75" customHeight="1"/>
    <row r="38957" ht="15.75" customHeight="1"/>
    <row r="38958" ht="15.75" customHeight="1"/>
    <row r="38959" ht="15.75" customHeight="1"/>
    <row r="38960" ht="15.75" customHeight="1"/>
    <row r="38961" ht="15.75" customHeight="1"/>
    <row r="38962" ht="15.75" customHeight="1"/>
    <row r="38963" ht="15.75" customHeight="1"/>
    <row r="38964" ht="15.75" customHeight="1"/>
    <row r="38965" ht="15.75" customHeight="1"/>
    <row r="38966" ht="15.75" customHeight="1"/>
    <row r="38967" ht="15.75" customHeight="1"/>
    <row r="38968" ht="15.75" customHeight="1"/>
    <row r="38969" ht="15.75" customHeight="1"/>
    <row r="38970" ht="15.75" customHeight="1"/>
    <row r="38971" ht="15.75" customHeight="1"/>
    <row r="38972" ht="15.75" customHeight="1"/>
    <row r="38973" ht="15.75" customHeight="1"/>
    <row r="38974" ht="15.75" customHeight="1"/>
    <row r="38975" ht="15.75" customHeight="1"/>
    <row r="38976" ht="15.75" customHeight="1"/>
    <row r="38977" ht="15.75" customHeight="1"/>
    <row r="38978" ht="15.75" customHeight="1"/>
    <row r="38979" ht="15.75" customHeight="1"/>
    <row r="38980" ht="15.75" customHeight="1"/>
    <row r="38981" ht="15.75" customHeight="1"/>
    <row r="38982" ht="15.75" customHeight="1"/>
    <row r="38983" ht="15.75" customHeight="1"/>
    <row r="38984" ht="15.75" customHeight="1"/>
    <row r="38985" ht="15.75" customHeight="1"/>
    <row r="38986" ht="15.75" customHeight="1"/>
    <row r="38987" ht="15.75" customHeight="1"/>
    <row r="38988" ht="15.75" customHeight="1"/>
    <row r="38989" ht="15.75" customHeight="1"/>
    <row r="38990" ht="15.75" customHeight="1"/>
    <row r="38991" ht="15.75" customHeight="1"/>
    <row r="38992" ht="15.75" customHeight="1"/>
    <row r="38993" ht="15.75" customHeight="1"/>
    <row r="38994" ht="15.75" customHeight="1"/>
    <row r="38995" ht="15.75" customHeight="1"/>
    <row r="38996" ht="15.75" customHeight="1"/>
    <row r="38997" ht="15.75" customHeight="1"/>
    <row r="38998" ht="15.75" customHeight="1"/>
    <row r="38999" ht="15.75" customHeight="1"/>
    <row r="39000" ht="15.75" customHeight="1"/>
    <row r="39001" ht="15.75" customHeight="1"/>
    <row r="39002" ht="15.75" customHeight="1"/>
    <row r="39003" ht="15.75" customHeight="1"/>
    <row r="39004" ht="15.75" customHeight="1"/>
    <row r="39005" ht="15.75" customHeight="1"/>
    <row r="39006" ht="15.75" customHeight="1"/>
    <row r="39007" ht="15.75" customHeight="1"/>
    <row r="39008" ht="15.75" customHeight="1"/>
    <row r="39009" ht="15.75" customHeight="1"/>
    <row r="39010" ht="15.75" customHeight="1"/>
    <row r="39011" ht="15.75" customHeight="1"/>
    <row r="39012" ht="15.75" customHeight="1"/>
    <row r="39013" ht="15.75" customHeight="1"/>
    <row r="39014" ht="15.75" customHeight="1"/>
    <row r="39015" ht="15.75" customHeight="1"/>
    <row r="39016" ht="15.75" customHeight="1"/>
    <row r="39017" ht="15.75" customHeight="1"/>
    <row r="39018" ht="15.75" customHeight="1"/>
    <row r="39019" ht="15.75" customHeight="1"/>
    <row r="39020" ht="15.75" customHeight="1"/>
    <row r="39021" ht="15.75" customHeight="1"/>
    <row r="39022" ht="15.75" customHeight="1"/>
    <row r="39023" ht="15.75" customHeight="1"/>
    <row r="39024" ht="15.75" customHeight="1"/>
    <row r="39025" ht="15.75" customHeight="1"/>
    <row r="39026" ht="15.75" customHeight="1"/>
    <row r="39027" ht="15.75" customHeight="1"/>
    <row r="39028" ht="15.75" customHeight="1"/>
    <row r="39029" ht="15.75" customHeight="1"/>
    <row r="39030" ht="15.75" customHeight="1"/>
    <row r="39031" ht="15.75" customHeight="1"/>
    <row r="39032" ht="15.75" customHeight="1"/>
    <row r="39033" ht="15.75" customHeight="1"/>
    <row r="39034" ht="15.75" customHeight="1"/>
    <row r="39035" ht="15.75" customHeight="1"/>
    <row r="39036" ht="15.75" customHeight="1"/>
    <row r="39037" ht="15.75" customHeight="1"/>
    <row r="39038" ht="15.75" customHeight="1"/>
    <row r="39039" ht="15.75" customHeight="1"/>
    <row r="39040" ht="15.75" customHeight="1"/>
    <row r="39041" ht="15.75" customHeight="1"/>
    <row r="39042" ht="15.75" customHeight="1"/>
    <row r="39043" ht="15.75" customHeight="1"/>
    <row r="39044" ht="15.75" customHeight="1"/>
    <row r="39045" ht="15.75" customHeight="1"/>
    <row r="39046" ht="15.75" customHeight="1"/>
    <row r="39047" ht="15.75" customHeight="1"/>
    <row r="39048" ht="15.75" customHeight="1"/>
    <row r="39049" ht="15.75" customHeight="1"/>
    <row r="39050" ht="15.75" customHeight="1"/>
    <row r="39051" ht="15.75" customHeight="1"/>
    <row r="39052" ht="15.75" customHeight="1"/>
    <row r="39053" ht="15.75" customHeight="1"/>
    <row r="39054" ht="15.75" customHeight="1"/>
    <row r="39055" ht="15.75" customHeight="1"/>
    <row r="39056" ht="15.75" customHeight="1"/>
    <row r="39057" ht="15.75" customHeight="1"/>
    <row r="39058" ht="15.75" customHeight="1"/>
    <row r="39059" ht="15.75" customHeight="1"/>
    <row r="39060" ht="15.75" customHeight="1"/>
    <row r="39061" ht="15.75" customHeight="1"/>
    <row r="39062" ht="15.75" customHeight="1"/>
    <row r="39063" ht="15.75" customHeight="1"/>
    <row r="39064" ht="15.75" customHeight="1"/>
    <row r="39065" ht="15.75" customHeight="1"/>
    <row r="39066" ht="15.75" customHeight="1"/>
    <row r="39067" ht="15.75" customHeight="1"/>
    <row r="39068" ht="15.75" customHeight="1"/>
    <row r="39069" ht="15.75" customHeight="1"/>
    <row r="39070" ht="15.75" customHeight="1"/>
    <row r="39071" ht="15.75" customHeight="1"/>
    <row r="39072" ht="15.75" customHeight="1"/>
    <row r="39073" ht="15.75" customHeight="1"/>
    <row r="39074" ht="15.75" customHeight="1"/>
    <row r="39075" ht="15.75" customHeight="1"/>
    <row r="39076" ht="15.75" customHeight="1"/>
    <row r="39077" ht="15.75" customHeight="1"/>
    <row r="39078" ht="15.75" customHeight="1"/>
    <row r="39079" ht="15.75" customHeight="1"/>
    <row r="39080" ht="15.75" customHeight="1"/>
    <row r="39081" ht="15.75" customHeight="1"/>
    <row r="39082" ht="15.75" customHeight="1"/>
    <row r="39083" ht="15.75" customHeight="1"/>
    <row r="39084" ht="15.75" customHeight="1"/>
    <row r="39085" ht="15.75" customHeight="1"/>
    <row r="39086" ht="15.75" customHeight="1"/>
    <row r="39087" ht="15.75" customHeight="1"/>
    <row r="39088" ht="15.75" customHeight="1"/>
    <row r="39089" ht="15.75" customHeight="1"/>
    <row r="39090" ht="15.75" customHeight="1"/>
    <row r="39091" ht="15.75" customHeight="1"/>
    <row r="39092" ht="15.75" customHeight="1"/>
    <row r="39093" ht="15.75" customHeight="1"/>
    <row r="39094" ht="15.75" customHeight="1"/>
    <row r="39095" ht="15.75" customHeight="1"/>
    <row r="39096" ht="15.75" customHeight="1"/>
    <row r="39097" ht="15.75" customHeight="1"/>
    <row r="39098" ht="15.75" customHeight="1"/>
    <row r="39099" ht="15.75" customHeight="1"/>
    <row r="39100" ht="15.75" customHeight="1"/>
    <row r="39101" ht="15.75" customHeight="1"/>
    <row r="39102" ht="15.75" customHeight="1"/>
    <row r="39103" ht="15.75" customHeight="1"/>
    <row r="39104" ht="15.75" customHeight="1"/>
    <row r="39105" ht="15.75" customHeight="1"/>
    <row r="39106" ht="15.75" customHeight="1"/>
    <row r="39107" ht="15.75" customHeight="1"/>
    <row r="39108" ht="15.75" customHeight="1"/>
    <row r="39109" ht="15.75" customHeight="1"/>
    <row r="39110" ht="15.75" customHeight="1"/>
    <row r="39111" ht="15.75" customHeight="1"/>
    <row r="39112" ht="15.75" customHeight="1"/>
    <row r="39113" ht="15.75" customHeight="1"/>
    <row r="39114" ht="15.75" customHeight="1"/>
    <row r="39115" ht="15.75" customHeight="1"/>
    <row r="39116" ht="15.75" customHeight="1"/>
    <row r="39117" ht="15.75" customHeight="1"/>
    <row r="39118" ht="15.75" customHeight="1"/>
    <row r="39119" ht="15.75" customHeight="1"/>
    <row r="39120" ht="15.75" customHeight="1"/>
    <row r="39121" ht="15.75" customHeight="1"/>
    <row r="39122" ht="15.75" customHeight="1"/>
    <row r="39123" ht="15.75" customHeight="1"/>
    <row r="39124" ht="15.75" customHeight="1"/>
    <row r="39125" ht="15.75" customHeight="1"/>
    <row r="39126" ht="15.75" customHeight="1"/>
    <row r="39127" ht="15.75" customHeight="1"/>
    <row r="39128" ht="15.75" customHeight="1"/>
    <row r="39129" ht="15.75" customHeight="1"/>
    <row r="39130" ht="15.75" customHeight="1"/>
    <row r="39131" ht="15.75" customHeight="1"/>
    <row r="39132" ht="15.75" customHeight="1"/>
    <row r="39133" ht="15.75" customHeight="1"/>
    <row r="39134" ht="15.75" customHeight="1"/>
    <row r="39135" ht="15.75" customHeight="1"/>
    <row r="39136" ht="15.75" customHeight="1"/>
    <row r="39137" ht="15.75" customHeight="1"/>
    <row r="39138" ht="15.75" customHeight="1"/>
    <row r="39139" ht="15.75" customHeight="1"/>
    <row r="39140" ht="15.75" customHeight="1"/>
    <row r="39141" ht="15.75" customHeight="1"/>
    <row r="39142" ht="15.75" customHeight="1"/>
    <row r="39143" ht="15.75" customHeight="1"/>
    <row r="39144" ht="15.75" customHeight="1"/>
    <row r="39145" ht="15.75" customHeight="1"/>
    <row r="39146" ht="15.75" customHeight="1"/>
    <row r="39147" ht="15.75" customHeight="1"/>
    <row r="39148" ht="15.75" customHeight="1"/>
    <row r="39149" ht="15.75" customHeight="1"/>
    <row r="39150" ht="15.75" customHeight="1"/>
    <row r="39151" ht="15.75" customHeight="1"/>
    <row r="39152" ht="15.75" customHeight="1"/>
    <row r="39153" ht="15.75" customHeight="1"/>
    <row r="39154" ht="15.75" customHeight="1"/>
    <row r="39155" ht="15.75" customHeight="1"/>
    <row r="39156" ht="15.75" customHeight="1"/>
    <row r="39157" ht="15.75" customHeight="1"/>
    <row r="39158" ht="15.75" customHeight="1"/>
    <row r="39159" ht="15.75" customHeight="1"/>
    <row r="39160" ht="15.75" customHeight="1"/>
    <row r="39161" ht="15.75" customHeight="1"/>
    <row r="39162" ht="15.75" customHeight="1"/>
    <row r="39163" ht="15.75" customHeight="1"/>
    <row r="39164" ht="15.75" customHeight="1"/>
    <row r="39165" ht="15.75" customHeight="1"/>
    <row r="39166" ht="15.75" customHeight="1"/>
    <row r="39167" ht="15.75" customHeight="1"/>
    <row r="39168" ht="15.75" customHeight="1"/>
    <row r="39169" ht="15.75" customHeight="1"/>
    <row r="39170" ht="15.75" customHeight="1"/>
    <row r="39171" ht="15.75" customHeight="1"/>
    <row r="39172" ht="15.75" customHeight="1"/>
    <row r="39173" ht="15.75" customHeight="1"/>
    <row r="39174" ht="15.75" customHeight="1"/>
    <row r="39175" ht="15.75" customHeight="1"/>
    <row r="39176" ht="15.75" customHeight="1"/>
    <row r="39177" ht="15.75" customHeight="1"/>
    <row r="39178" ht="15.75" customHeight="1"/>
    <row r="39179" ht="15.75" customHeight="1"/>
    <row r="39180" ht="15.75" customHeight="1"/>
    <row r="39181" ht="15.75" customHeight="1"/>
    <row r="39182" ht="15.75" customHeight="1"/>
    <row r="39183" ht="15.75" customHeight="1"/>
    <row r="39184" ht="15.75" customHeight="1"/>
    <row r="39185" ht="15.75" customHeight="1"/>
    <row r="39186" ht="15.75" customHeight="1"/>
    <row r="39187" ht="15.75" customHeight="1"/>
    <row r="39188" ht="15.75" customHeight="1"/>
    <row r="39189" ht="15.75" customHeight="1"/>
    <row r="39190" ht="15.75" customHeight="1"/>
    <row r="39191" ht="15.75" customHeight="1"/>
    <row r="39192" ht="15.75" customHeight="1"/>
    <row r="39193" ht="15.75" customHeight="1"/>
    <row r="39194" ht="15.75" customHeight="1"/>
    <row r="39195" ht="15.75" customHeight="1"/>
    <row r="39196" ht="15.75" customHeight="1"/>
    <row r="39197" ht="15.75" customHeight="1"/>
    <row r="39198" ht="15.75" customHeight="1"/>
    <row r="39199" ht="15.75" customHeight="1"/>
    <row r="39200" ht="15.75" customHeight="1"/>
    <row r="39201" ht="15.75" customHeight="1"/>
    <row r="39202" ht="15.75" customHeight="1"/>
    <row r="39203" ht="15.75" customHeight="1"/>
    <row r="39204" ht="15.75" customHeight="1"/>
    <row r="39205" ht="15.75" customHeight="1"/>
    <row r="39206" ht="15.75" customHeight="1"/>
    <row r="39207" ht="15.75" customHeight="1"/>
    <row r="39208" ht="15.75" customHeight="1"/>
    <row r="39209" ht="15.75" customHeight="1"/>
    <row r="39210" ht="15.75" customHeight="1"/>
    <row r="39211" ht="15.75" customHeight="1"/>
    <row r="39212" ht="15.75" customHeight="1"/>
    <row r="39213" ht="15.75" customHeight="1"/>
    <row r="39214" ht="15.75" customHeight="1"/>
    <row r="39215" ht="15.75" customHeight="1"/>
    <row r="39216" ht="15.75" customHeight="1"/>
    <row r="39217" ht="15.75" customHeight="1"/>
    <row r="39218" ht="15.75" customHeight="1"/>
    <row r="39219" ht="15.75" customHeight="1"/>
    <row r="39220" ht="15.75" customHeight="1"/>
    <row r="39221" ht="15.75" customHeight="1"/>
    <row r="39222" ht="15.75" customHeight="1"/>
    <row r="39223" ht="15.75" customHeight="1"/>
    <row r="39224" ht="15.75" customHeight="1"/>
    <row r="39225" ht="15.75" customHeight="1"/>
    <row r="39226" ht="15.75" customHeight="1"/>
    <row r="39227" ht="15.75" customHeight="1"/>
    <row r="39228" ht="15.75" customHeight="1"/>
    <row r="39229" ht="15.75" customHeight="1"/>
    <row r="39230" ht="15.75" customHeight="1"/>
    <row r="39231" ht="15.75" customHeight="1"/>
    <row r="39232" ht="15.75" customHeight="1"/>
    <row r="39233" ht="15.75" customHeight="1"/>
    <row r="39234" ht="15.75" customHeight="1"/>
    <row r="39235" ht="15.75" customHeight="1"/>
    <row r="39236" ht="15.75" customHeight="1"/>
    <row r="39237" ht="15.75" customHeight="1"/>
    <row r="39238" ht="15.75" customHeight="1"/>
    <row r="39239" ht="15.75" customHeight="1"/>
    <row r="39240" ht="15.75" customHeight="1"/>
    <row r="39241" ht="15.75" customHeight="1"/>
    <row r="39242" ht="15.75" customHeight="1"/>
    <row r="39243" ht="15.75" customHeight="1"/>
    <row r="39244" ht="15.75" customHeight="1"/>
    <row r="39245" ht="15.75" customHeight="1"/>
    <row r="39246" ht="15.75" customHeight="1"/>
    <row r="39247" ht="15.75" customHeight="1"/>
    <row r="39248" ht="15.75" customHeight="1"/>
    <row r="39249" ht="15.75" customHeight="1"/>
    <row r="39250" ht="15.75" customHeight="1"/>
    <row r="39251" ht="15.75" customHeight="1"/>
    <row r="39252" ht="15.75" customHeight="1"/>
    <row r="39253" ht="15.75" customHeight="1"/>
    <row r="39254" ht="15.75" customHeight="1"/>
    <row r="39255" ht="15.75" customHeight="1"/>
    <row r="39256" ht="15.75" customHeight="1"/>
    <row r="39257" ht="15.75" customHeight="1"/>
    <row r="39258" ht="15.75" customHeight="1"/>
    <row r="39259" ht="15.75" customHeight="1"/>
    <row r="39260" ht="15.75" customHeight="1"/>
    <row r="39261" ht="15.75" customHeight="1"/>
    <row r="39262" ht="15.75" customHeight="1"/>
    <row r="39263" ht="15.75" customHeight="1"/>
    <row r="39264" ht="15.75" customHeight="1"/>
    <row r="39265" ht="15.75" customHeight="1"/>
    <row r="39266" ht="15.75" customHeight="1"/>
    <row r="39267" ht="15.75" customHeight="1"/>
    <row r="39268" ht="15.75" customHeight="1"/>
    <row r="39269" ht="15.75" customHeight="1"/>
    <row r="39270" ht="15.75" customHeight="1"/>
    <row r="39271" ht="15.75" customHeight="1"/>
    <row r="39272" ht="15.75" customHeight="1"/>
    <row r="39273" ht="15.75" customHeight="1"/>
    <row r="39274" ht="15.75" customHeight="1"/>
    <row r="39275" ht="15.75" customHeight="1"/>
    <row r="39276" ht="15.75" customHeight="1"/>
    <row r="39277" ht="15.75" customHeight="1"/>
    <row r="39278" ht="15.75" customHeight="1"/>
    <row r="39279" ht="15.75" customHeight="1"/>
    <row r="39280" ht="15.75" customHeight="1"/>
    <row r="39281" ht="15.75" customHeight="1"/>
    <row r="39282" ht="15.75" customHeight="1"/>
    <row r="39283" ht="15.75" customHeight="1"/>
    <row r="39284" ht="15.75" customHeight="1"/>
    <row r="39285" ht="15.75" customHeight="1"/>
    <row r="39286" ht="15.75" customHeight="1"/>
    <row r="39287" ht="15.75" customHeight="1"/>
    <row r="39288" ht="15.75" customHeight="1"/>
    <row r="39289" ht="15.75" customHeight="1"/>
    <row r="39290" ht="15.75" customHeight="1"/>
    <row r="39291" ht="15.75" customHeight="1"/>
    <row r="39292" ht="15.75" customHeight="1"/>
    <row r="39293" ht="15.75" customHeight="1"/>
    <row r="39294" ht="15.75" customHeight="1"/>
    <row r="39295" ht="15.75" customHeight="1"/>
    <row r="39296" ht="15.75" customHeight="1"/>
    <row r="39297" ht="15.75" customHeight="1"/>
    <row r="39298" ht="15.75" customHeight="1"/>
    <row r="39299" ht="15.75" customHeight="1"/>
    <row r="39300" ht="15.75" customHeight="1"/>
    <row r="39301" ht="15.75" customHeight="1"/>
    <row r="39302" ht="15.75" customHeight="1"/>
    <row r="39303" ht="15.75" customHeight="1"/>
    <row r="39304" ht="15.75" customHeight="1"/>
    <row r="39305" ht="15.75" customHeight="1"/>
    <row r="39306" ht="15.75" customHeight="1"/>
    <row r="39307" ht="15.75" customHeight="1"/>
    <row r="39308" ht="15.75" customHeight="1"/>
    <row r="39309" ht="15.75" customHeight="1"/>
    <row r="39310" ht="15.75" customHeight="1"/>
    <row r="39311" ht="15.75" customHeight="1"/>
    <row r="39312" ht="15.75" customHeight="1"/>
    <row r="39313" ht="15.75" customHeight="1"/>
    <row r="39314" ht="15.75" customHeight="1"/>
    <row r="39315" ht="15.75" customHeight="1"/>
    <row r="39316" ht="15.75" customHeight="1"/>
    <row r="39317" ht="15.75" customHeight="1"/>
    <row r="39318" ht="15.75" customHeight="1"/>
    <row r="39319" ht="15.75" customHeight="1"/>
    <row r="39320" ht="15.75" customHeight="1"/>
    <row r="39321" ht="15.75" customHeight="1"/>
    <row r="39322" ht="15.75" customHeight="1"/>
    <row r="39323" ht="15.75" customHeight="1"/>
    <row r="39324" ht="15.75" customHeight="1"/>
    <row r="39325" ht="15.75" customHeight="1"/>
    <row r="39326" ht="15.75" customHeight="1"/>
    <row r="39327" ht="15.75" customHeight="1"/>
    <row r="39328" ht="15.75" customHeight="1"/>
    <row r="39329" ht="15.75" customHeight="1"/>
    <row r="39330" ht="15.75" customHeight="1"/>
    <row r="39331" ht="15.75" customHeight="1"/>
    <row r="39332" ht="15.75" customHeight="1"/>
    <row r="39333" ht="15.75" customHeight="1"/>
    <row r="39334" ht="15.75" customHeight="1"/>
    <row r="39335" ht="15.75" customHeight="1"/>
    <row r="39336" ht="15.75" customHeight="1"/>
    <row r="39337" ht="15.75" customHeight="1"/>
    <row r="39338" ht="15.75" customHeight="1"/>
    <row r="39339" ht="15.75" customHeight="1"/>
    <row r="39340" ht="15.75" customHeight="1"/>
    <row r="39341" ht="15.75" customHeight="1"/>
    <row r="39342" ht="15.75" customHeight="1"/>
    <row r="39343" ht="15.75" customHeight="1"/>
    <row r="39344" ht="15.75" customHeight="1"/>
    <row r="39345" ht="15.75" customHeight="1"/>
    <row r="39346" ht="15.75" customHeight="1"/>
    <row r="39347" ht="15.75" customHeight="1"/>
    <row r="39348" ht="15.75" customHeight="1"/>
    <row r="39349" ht="15.75" customHeight="1"/>
    <row r="39350" ht="15.75" customHeight="1"/>
    <row r="39351" ht="15.75" customHeight="1"/>
    <row r="39352" ht="15.75" customHeight="1"/>
    <row r="39353" ht="15.75" customHeight="1"/>
    <row r="39354" ht="15.75" customHeight="1"/>
    <row r="39355" ht="15.75" customHeight="1"/>
    <row r="39356" ht="15.75" customHeight="1"/>
    <row r="39357" ht="15.75" customHeight="1"/>
    <row r="39358" ht="15.75" customHeight="1"/>
    <row r="39359" ht="15.75" customHeight="1"/>
    <row r="39360" ht="15.75" customHeight="1"/>
    <row r="39361" ht="15.75" customHeight="1"/>
    <row r="39362" ht="15.75" customHeight="1"/>
    <row r="39363" ht="15.75" customHeight="1"/>
    <row r="39364" ht="15.75" customHeight="1"/>
    <row r="39365" ht="15.75" customHeight="1"/>
    <row r="39366" ht="15.75" customHeight="1"/>
    <row r="39367" ht="15.75" customHeight="1"/>
    <row r="39368" ht="15.75" customHeight="1"/>
    <row r="39369" ht="15.75" customHeight="1"/>
    <row r="39370" ht="15.75" customHeight="1"/>
    <row r="39371" ht="15.75" customHeight="1"/>
    <row r="39372" ht="15.75" customHeight="1"/>
    <row r="39373" ht="15.75" customHeight="1"/>
    <row r="39374" ht="15.75" customHeight="1"/>
    <row r="39375" ht="15.75" customHeight="1"/>
    <row r="39376" ht="15.75" customHeight="1"/>
    <row r="39377" ht="15.75" customHeight="1"/>
    <row r="39378" ht="15.75" customHeight="1"/>
    <row r="39379" ht="15.75" customHeight="1"/>
    <row r="39380" ht="15.75" customHeight="1"/>
    <row r="39381" ht="15.75" customHeight="1"/>
    <row r="39382" ht="15.75" customHeight="1"/>
    <row r="39383" ht="15.75" customHeight="1"/>
    <row r="39384" ht="15.75" customHeight="1"/>
    <row r="39385" ht="15.75" customHeight="1"/>
    <row r="39386" ht="15.75" customHeight="1"/>
    <row r="39387" ht="15.75" customHeight="1"/>
    <row r="39388" ht="15.75" customHeight="1"/>
    <row r="39389" ht="15.75" customHeight="1"/>
    <row r="39390" ht="15.75" customHeight="1"/>
    <row r="39391" ht="15.75" customHeight="1"/>
    <row r="39392" ht="15.75" customHeight="1"/>
    <row r="39393" ht="15.75" customHeight="1"/>
    <row r="39394" ht="15.75" customHeight="1"/>
    <row r="39395" ht="15.75" customHeight="1"/>
    <row r="39396" ht="15.75" customHeight="1"/>
    <row r="39397" ht="15.75" customHeight="1"/>
    <row r="39398" ht="15.75" customHeight="1"/>
    <row r="39399" ht="15.75" customHeight="1"/>
    <row r="39400" ht="15.75" customHeight="1"/>
    <row r="39401" ht="15.75" customHeight="1"/>
    <row r="39402" ht="15.75" customHeight="1"/>
    <row r="39403" ht="15.75" customHeight="1"/>
    <row r="39404" ht="15.75" customHeight="1"/>
    <row r="39405" ht="15.75" customHeight="1"/>
    <row r="39406" ht="15.75" customHeight="1"/>
    <row r="39407" ht="15.75" customHeight="1"/>
    <row r="39408" ht="15.75" customHeight="1"/>
    <row r="39409" ht="15.75" customHeight="1"/>
    <row r="39410" ht="15.75" customHeight="1"/>
    <row r="39411" ht="15.75" customHeight="1"/>
    <row r="39412" ht="15.75" customHeight="1"/>
    <row r="39413" ht="15.75" customHeight="1"/>
    <row r="39414" ht="15.75" customHeight="1"/>
    <row r="39415" ht="15.75" customHeight="1"/>
    <row r="39416" ht="15.75" customHeight="1"/>
    <row r="39417" ht="15.75" customHeight="1"/>
    <row r="39418" ht="15.75" customHeight="1"/>
    <row r="39419" ht="15.75" customHeight="1"/>
    <row r="39420" ht="15.75" customHeight="1"/>
    <row r="39421" ht="15.75" customHeight="1"/>
    <row r="39422" ht="15.75" customHeight="1"/>
    <row r="39423" ht="15.75" customHeight="1"/>
    <row r="39424" ht="15.75" customHeight="1"/>
    <row r="39425" ht="15.75" customHeight="1"/>
    <row r="39426" ht="15.75" customHeight="1"/>
    <row r="39427" ht="15.75" customHeight="1"/>
    <row r="39428" ht="15.75" customHeight="1"/>
    <row r="39429" ht="15.75" customHeight="1"/>
    <row r="39430" ht="15.75" customHeight="1"/>
    <row r="39431" ht="15.75" customHeight="1"/>
    <row r="39432" ht="15.75" customHeight="1"/>
    <row r="39433" ht="15.75" customHeight="1"/>
    <row r="39434" ht="15.75" customHeight="1"/>
    <row r="39435" ht="15.75" customHeight="1"/>
    <row r="39436" ht="15.75" customHeight="1"/>
    <row r="39437" ht="15.75" customHeight="1"/>
    <row r="39438" ht="15.75" customHeight="1"/>
    <row r="39439" ht="15.75" customHeight="1"/>
    <row r="39440" ht="15.75" customHeight="1"/>
    <row r="39441" ht="15.75" customHeight="1"/>
    <row r="39442" ht="15.75" customHeight="1"/>
    <row r="39443" ht="15.75" customHeight="1"/>
    <row r="39444" ht="15.75" customHeight="1"/>
    <row r="39445" ht="15.75" customHeight="1"/>
    <row r="39446" ht="15.75" customHeight="1"/>
    <row r="39447" ht="15.75" customHeight="1"/>
    <row r="39448" ht="15.75" customHeight="1"/>
    <row r="39449" ht="15.75" customHeight="1"/>
    <row r="39450" ht="15.75" customHeight="1"/>
    <row r="39451" ht="15.75" customHeight="1"/>
    <row r="39452" ht="15.75" customHeight="1"/>
    <row r="39453" ht="15.75" customHeight="1"/>
    <row r="39454" ht="15.75" customHeight="1"/>
    <row r="39455" ht="15.75" customHeight="1"/>
    <row r="39456" ht="15.75" customHeight="1"/>
    <row r="39457" ht="15.75" customHeight="1"/>
    <row r="39458" ht="15.75" customHeight="1"/>
    <row r="39459" ht="15.75" customHeight="1"/>
    <row r="39460" ht="15.75" customHeight="1"/>
    <row r="39461" ht="15.75" customHeight="1"/>
    <row r="39462" ht="15.75" customHeight="1"/>
    <row r="39463" ht="15.75" customHeight="1"/>
    <row r="39464" ht="15.75" customHeight="1"/>
    <row r="39465" ht="15.75" customHeight="1"/>
    <row r="39466" ht="15.75" customHeight="1"/>
    <row r="39467" ht="15.75" customHeight="1"/>
    <row r="39468" ht="15.75" customHeight="1"/>
    <row r="39469" ht="15.75" customHeight="1"/>
    <row r="39470" ht="15.75" customHeight="1"/>
    <row r="39471" ht="15.75" customHeight="1"/>
    <row r="39472" ht="15.75" customHeight="1"/>
    <row r="39473" ht="15.75" customHeight="1"/>
    <row r="39474" ht="15.75" customHeight="1"/>
    <row r="39475" ht="15.75" customHeight="1"/>
    <row r="39476" ht="15.75" customHeight="1"/>
    <row r="39477" ht="15.75" customHeight="1"/>
    <row r="39478" ht="15.75" customHeight="1"/>
    <row r="39479" ht="15.75" customHeight="1"/>
    <row r="39480" ht="15.75" customHeight="1"/>
    <row r="39481" ht="15.75" customHeight="1"/>
    <row r="39482" ht="15.75" customHeight="1"/>
    <row r="39483" ht="15.75" customHeight="1"/>
    <row r="39484" ht="15.75" customHeight="1"/>
    <row r="39485" ht="15.75" customHeight="1"/>
    <row r="39486" ht="15.75" customHeight="1"/>
    <row r="39487" ht="15.75" customHeight="1"/>
    <row r="39488" ht="15.75" customHeight="1"/>
    <row r="39489" ht="15.75" customHeight="1"/>
    <row r="39490" ht="15.75" customHeight="1"/>
    <row r="39491" ht="15.75" customHeight="1"/>
    <row r="39492" ht="15.75" customHeight="1"/>
    <row r="39493" ht="15.75" customHeight="1"/>
    <row r="39494" ht="15.75" customHeight="1"/>
    <row r="39495" ht="15.75" customHeight="1"/>
    <row r="39496" ht="15.75" customHeight="1"/>
    <row r="39497" ht="15.75" customHeight="1"/>
    <row r="39498" ht="15.75" customHeight="1"/>
    <row r="39499" ht="15.75" customHeight="1"/>
    <row r="39500" ht="15.75" customHeight="1"/>
    <row r="39501" ht="15.75" customHeight="1"/>
    <row r="39502" ht="15.75" customHeight="1"/>
    <row r="39503" ht="15.75" customHeight="1"/>
    <row r="39504" ht="15.75" customHeight="1"/>
    <row r="39505" ht="15.75" customHeight="1"/>
    <row r="39506" ht="15.75" customHeight="1"/>
    <row r="39507" ht="15.75" customHeight="1"/>
    <row r="39508" ht="15.75" customHeight="1"/>
    <row r="39509" ht="15.75" customHeight="1"/>
    <row r="39510" ht="15.75" customHeight="1"/>
    <row r="39511" ht="15.75" customHeight="1"/>
    <row r="39512" ht="15.75" customHeight="1"/>
    <row r="39513" ht="15.75" customHeight="1"/>
    <row r="39514" ht="15.75" customHeight="1"/>
    <row r="39515" ht="15.75" customHeight="1"/>
    <row r="39516" ht="15.75" customHeight="1"/>
    <row r="39517" ht="15.75" customHeight="1"/>
    <row r="39518" ht="15.75" customHeight="1"/>
    <row r="39519" ht="15.75" customHeight="1"/>
    <row r="39520" ht="15.75" customHeight="1"/>
    <row r="39521" ht="15.75" customHeight="1"/>
    <row r="39522" ht="15.75" customHeight="1"/>
    <row r="39523" ht="15.75" customHeight="1"/>
    <row r="39524" ht="15.75" customHeight="1"/>
    <row r="39525" ht="15.75" customHeight="1"/>
    <row r="39526" ht="15.75" customHeight="1"/>
    <row r="39527" ht="15.75" customHeight="1"/>
    <row r="39528" ht="15.75" customHeight="1"/>
    <row r="39529" ht="15.75" customHeight="1"/>
    <row r="39530" ht="15.75" customHeight="1"/>
    <row r="39531" ht="15.75" customHeight="1"/>
    <row r="39532" ht="15.75" customHeight="1"/>
    <row r="39533" ht="15.75" customHeight="1"/>
    <row r="39534" ht="15.75" customHeight="1"/>
    <row r="39535" ht="15.75" customHeight="1"/>
    <row r="39536" ht="15.75" customHeight="1"/>
    <row r="39537" ht="15.75" customHeight="1"/>
    <row r="39538" ht="15.75" customHeight="1"/>
    <row r="39539" ht="15.75" customHeight="1"/>
    <row r="39540" ht="15.75" customHeight="1"/>
    <row r="39541" ht="15.75" customHeight="1"/>
    <row r="39542" ht="15.75" customHeight="1"/>
    <row r="39543" ht="15.75" customHeight="1"/>
    <row r="39544" ht="15.75" customHeight="1"/>
    <row r="39545" ht="15.75" customHeight="1"/>
    <row r="39546" ht="15.75" customHeight="1"/>
    <row r="39547" ht="15.75" customHeight="1"/>
    <row r="39548" ht="15.75" customHeight="1"/>
    <row r="39549" ht="15.75" customHeight="1"/>
    <row r="39550" ht="15.75" customHeight="1"/>
    <row r="39551" ht="15.75" customHeight="1"/>
    <row r="39552" ht="15.75" customHeight="1"/>
    <row r="39553" ht="15.75" customHeight="1"/>
    <row r="39554" ht="15.75" customHeight="1"/>
    <row r="39555" ht="15.75" customHeight="1"/>
    <row r="39556" ht="15.75" customHeight="1"/>
    <row r="39557" ht="15.75" customHeight="1"/>
    <row r="39558" ht="15.75" customHeight="1"/>
    <row r="39559" ht="15.75" customHeight="1"/>
    <row r="39560" ht="15.75" customHeight="1"/>
    <row r="39561" ht="15.75" customHeight="1"/>
    <row r="39562" ht="15.75" customHeight="1"/>
    <row r="39563" ht="15.75" customHeight="1"/>
    <row r="39564" ht="15.75" customHeight="1"/>
    <row r="39565" ht="15.75" customHeight="1"/>
    <row r="39566" ht="15.75" customHeight="1"/>
    <row r="39567" ht="15.75" customHeight="1"/>
    <row r="39568" ht="15.75" customHeight="1"/>
    <row r="39569" ht="15.75" customHeight="1"/>
    <row r="39570" ht="15.75" customHeight="1"/>
    <row r="39571" ht="15.75" customHeight="1"/>
    <row r="39572" ht="15.75" customHeight="1"/>
    <row r="39573" ht="15.75" customHeight="1"/>
    <row r="39574" ht="15.75" customHeight="1"/>
    <row r="39575" ht="15.75" customHeight="1"/>
    <row r="39576" ht="15.75" customHeight="1"/>
    <row r="39577" ht="15.75" customHeight="1"/>
    <row r="39578" ht="15.75" customHeight="1"/>
    <row r="39579" ht="15.75" customHeight="1"/>
    <row r="39580" ht="15.75" customHeight="1"/>
    <row r="39581" ht="15.75" customHeight="1"/>
    <row r="39582" ht="15.75" customHeight="1"/>
    <row r="39583" ht="15.75" customHeight="1"/>
    <row r="39584" ht="15.75" customHeight="1"/>
    <row r="39585" ht="15.75" customHeight="1"/>
    <row r="39586" ht="15.75" customHeight="1"/>
    <row r="39587" ht="15.75" customHeight="1"/>
    <row r="39588" ht="15.75" customHeight="1"/>
    <row r="39589" ht="15.75" customHeight="1"/>
    <row r="39590" ht="15.75" customHeight="1"/>
    <row r="39591" ht="15.75" customHeight="1"/>
    <row r="39592" ht="15.75" customHeight="1"/>
    <row r="39593" ht="15.75" customHeight="1"/>
    <row r="39594" ht="15.75" customHeight="1"/>
    <row r="39595" ht="15.75" customHeight="1"/>
    <row r="39596" ht="15.75" customHeight="1"/>
    <row r="39597" ht="15.75" customHeight="1"/>
    <row r="39598" ht="15.75" customHeight="1"/>
    <row r="39599" ht="15.75" customHeight="1"/>
    <row r="39600" ht="15.75" customHeight="1"/>
    <row r="39601" ht="15.75" customHeight="1"/>
    <row r="39602" ht="15.75" customHeight="1"/>
    <row r="39603" ht="15.75" customHeight="1"/>
    <row r="39604" ht="15.75" customHeight="1"/>
    <row r="39605" ht="15.75" customHeight="1"/>
    <row r="39606" ht="15.75" customHeight="1"/>
    <row r="39607" ht="15.75" customHeight="1"/>
    <row r="39608" ht="15.75" customHeight="1"/>
    <row r="39609" ht="15.75" customHeight="1"/>
    <row r="39610" ht="15.75" customHeight="1"/>
    <row r="39611" ht="15.75" customHeight="1"/>
    <row r="39612" ht="15.75" customHeight="1"/>
    <row r="39613" ht="15.75" customHeight="1"/>
    <row r="39614" ht="15.75" customHeight="1"/>
    <row r="39615" ht="15.75" customHeight="1"/>
    <row r="39616" ht="15.75" customHeight="1"/>
    <row r="39617" ht="15.75" customHeight="1"/>
    <row r="39618" ht="15.75" customHeight="1"/>
    <row r="39619" ht="15.75" customHeight="1"/>
    <row r="39620" ht="15.75" customHeight="1"/>
    <row r="39621" ht="15.75" customHeight="1"/>
    <row r="39622" ht="15.75" customHeight="1"/>
    <row r="39623" ht="15.75" customHeight="1"/>
    <row r="39624" ht="15.75" customHeight="1"/>
    <row r="39625" ht="15.75" customHeight="1"/>
    <row r="39626" ht="15.75" customHeight="1"/>
    <row r="39627" ht="15.75" customHeight="1"/>
    <row r="39628" ht="15.75" customHeight="1"/>
    <row r="39629" ht="15.75" customHeight="1"/>
    <row r="39630" ht="15.75" customHeight="1"/>
    <row r="39631" ht="15.75" customHeight="1"/>
    <row r="39632" ht="15.75" customHeight="1"/>
    <row r="39633" ht="15.75" customHeight="1"/>
    <row r="39634" ht="15.75" customHeight="1"/>
    <row r="39635" ht="15.75" customHeight="1"/>
    <row r="39636" ht="15.75" customHeight="1"/>
    <row r="39637" ht="15.75" customHeight="1"/>
    <row r="39638" ht="15.75" customHeight="1"/>
    <row r="39639" ht="15.75" customHeight="1"/>
    <row r="39640" ht="15.75" customHeight="1"/>
    <row r="39641" ht="15.75" customHeight="1"/>
    <row r="39642" ht="15.75" customHeight="1"/>
    <row r="39643" ht="15.75" customHeight="1"/>
    <row r="39644" ht="15.75" customHeight="1"/>
    <row r="39645" ht="15.75" customHeight="1"/>
    <row r="39646" ht="15.75" customHeight="1"/>
    <row r="39647" ht="15.75" customHeight="1"/>
    <row r="39648" ht="15.75" customHeight="1"/>
    <row r="39649" ht="15.75" customHeight="1"/>
    <row r="39650" ht="15.75" customHeight="1"/>
    <row r="39651" ht="15.75" customHeight="1"/>
    <row r="39652" ht="15.75" customHeight="1"/>
    <row r="39653" ht="15.75" customHeight="1"/>
    <row r="39654" ht="15.75" customHeight="1"/>
    <row r="39655" ht="15.75" customHeight="1"/>
    <row r="39656" ht="15.75" customHeight="1"/>
    <row r="39657" ht="15.75" customHeight="1"/>
    <row r="39658" ht="15.75" customHeight="1"/>
    <row r="39659" ht="15.75" customHeight="1"/>
    <row r="39660" ht="15.75" customHeight="1"/>
    <row r="39661" ht="15.75" customHeight="1"/>
    <row r="39662" ht="15.75" customHeight="1"/>
    <row r="39663" ht="15.75" customHeight="1"/>
    <row r="39664" ht="15.75" customHeight="1"/>
    <row r="39665" ht="15.75" customHeight="1"/>
    <row r="39666" ht="15.75" customHeight="1"/>
    <row r="39667" ht="15.75" customHeight="1"/>
    <row r="39668" ht="15.75" customHeight="1"/>
    <row r="39669" ht="15.75" customHeight="1"/>
    <row r="39670" ht="15.75" customHeight="1"/>
    <row r="39671" ht="15.75" customHeight="1"/>
    <row r="39672" ht="15.75" customHeight="1"/>
    <row r="39673" ht="15.75" customHeight="1"/>
    <row r="39674" ht="15.75" customHeight="1"/>
    <row r="39675" ht="15.75" customHeight="1"/>
    <row r="39676" ht="15.75" customHeight="1"/>
    <row r="39677" ht="15.75" customHeight="1"/>
    <row r="39678" ht="15.75" customHeight="1"/>
    <row r="39679" ht="15.75" customHeight="1"/>
    <row r="39680" ht="15.75" customHeight="1"/>
    <row r="39681" ht="15.75" customHeight="1"/>
    <row r="39682" ht="15.75" customHeight="1"/>
    <row r="39683" ht="15.75" customHeight="1"/>
    <row r="39684" ht="15.75" customHeight="1"/>
    <row r="39685" ht="15.75" customHeight="1"/>
    <row r="39686" ht="15.75" customHeight="1"/>
    <row r="39687" ht="15.75" customHeight="1"/>
    <row r="39688" ht="15.75" customHeight="1"/>
    <row r="39689" ht="15.75" customHeight="1"/>
    <row r="39690" ht="15.75" customHeight="1"/>
    <row r="39691" ht="15.75" customHeight="1"/>
    <row r="39692" ht="15.75" customHeight="1"/>
    <row r="39693" ht="15.75" customHeight="1"/>
    <row r="39694" ht="15.75" customHeight="1"/>
    <row r="39695" ht="15.75" customHeight="1"/>
    <row r="39696" ht="15.75" customHeight="1"/>
    <row r="39697" ht="15.75" customHeight="1"/>
    <row r="39698" ht="15.75" customHeight="1"/>
    <row r="39699" ht="15.75" customHeight="1"/>
    <row r="39700" ht="15.75" customHeight="1"/>
    <row r="39701" ht="15.75" customHeight="1"/>
    <row r="39702" ht="15.75" customHeight="1"/>
    <row r="39703" ht="15.75" customHeight="1"/>
    <row r="39704" ht="15.75" customHeight="1"/>
    <row r="39705" ht="15.75" customHeight="1"/>
    <row r="39706" ht="15.75" customHeight="1"/>
    <row r="39707" ht="15.75" customHeight="1"/>
    <row r="39708" ht="15.75" customHeight="1"/>
    <row r="39709" ht="15.75" customHeight="1"/>
    <row r="39710" ht="15.75" customHeight="1"/>
    <row r="39711" ht="15.75" customHeight="1"/>
    <row r="39712" ht="15.75" customHeight="1"/>
    <row r="39713" ht="15.75" customHeight="1"/>
    <row r="39714" ht="15.75" customHeight="1"/>
    <row r="39715" ht="15.75" customHeight="1"/>
    <row r="39716" ht="15.75" customHeight="1"/>
    <row r="39717" ht="15.75" customHeight="1"/>
    <row r="39718" ht="15.75" customHeight="1"/>
    <row r="39719" ht="15.75" customHeight="1"/>
    <row r="39720" ht="15.75" customHeight="1"/>
    <row r="39721" ht="15.75" customHeight="1"/>
    <row r="39722" ht="15.75" customHeight="1"/>
    <row r="39723" ht="15.75" customHeight="1"/>
    <row r="39724" ht="15.75" customHeight="1"/>
    <row r="39725" ht="15.75" customHeight="1"/>
    <row r="39726" ht="15.75" customHeight="1"/>
    <row r="39727" ht="15.75" customHeight="1"/>
    <row r="39728" ht="15.75" customHeight="1"/>
    <row r="39729" ht="15.75" customHeight="1"/>
    <row r="39730" ht="15.75" customHeight="1"/>
    <row r="39731" ht="15.75" customHeight="1"/>
    <row r="39732" ht="15.75" customHeight="1"/>
    <row r="39733" ht="15.75" customHeight="1"/>
    <row r="39734" ht="15.75" customHeight="1"/>
    <row r="39735" ht="15.75" customHeight="1"/>
    <row r="39736" ht="15.75" customHeight="1"/>
    <row r="39737" ht="15.75" customHeight="1"/>
    <row r="39738" ht="15.75" customHeight="1"/>
    <row r="39739" ht="15.75" customHeight="1"/>
    <row r="39740" ht="15.75" customHeight="1"/>
    <row r="39741" ht="15.75" customHeight="1"/>
    <row r="39742" ht="15.75" customHeight="1"/>
    <row r="39743" ht="15.75" customHeight="1"/>
    <row r="39744" ht="15.75" customHeight="1"/>
    <row r="39745" ht="15.75" customHeight="1"/>
    <row r="39746" ht="15.75" customHeight="1"/>
    <row r="39747" ht="15.75" customHeight="1"/>
    <row r="39748" ht="15.75" customHeight="1"/>
    <row r="39749" ht="15.75" customHeight="1"/>
    <row r="39750" ht="15.75" customHeight="1"/>
    <row r="39751" ht="15.75" customHeight="1"/>
    <row r="39752" ht="15.75" customHeight="1"/>
    <row r="39753" ht="15.75" customHeight="1"/>
    <row r="39754" ht="15.75" customHeight="1"/>
    <row r="39755" ht="15.75" customHeight="1"/>
    <row r="39756" ht="15.75" customHeight="1"/>
    <row r="39757" ht="15.75" customHeight="1"/>
    <row r="39758" ht="15.75" customHeight="1"/>
    <row r="39759" ht="15.75" customHeight="1"/>
    <row r="39760" ht="15.75" customHeight="1"/>
    <row r="39761" ht="15.75" customHeight="1"/>
    <row r="39762" ht="15.75" customHeight="1"/>
    <row r="39763" ht="15.75" customHeight="1"/>
    <row r="39764" ht="15.75" customHeight="1"/>
    <row r="39765" ht="15.75" customHeight="1"/>
    <row r="39766" ht="15.75" customHeight="1"/>
    <row r="39767" ht="15.75" customHeight="1"/>
    <row r="39768" ht="15.75" customHeight="1"/>
    <row r="39769" ht="15.75" customHeight="1"/>
    <row r="39770" ht="15.75" customHeight="1"/>
    <row r="39771" ht="15.75" customHeight="1"/>
    <row r="39772" ht="15.75" customHeight="1"/>
    <row r="39773" ht="15.75" customHeight="1"/>
    <row r="39774" ht="15.75" customHeight="1"/>
    <row r="39775" ht="15.75" customHeight="1"/>
    <row r="39776" ht="15.75" customHeight="1"/>
    <row r="39777" ht="15.75" customHeight="1"/>
    <row r="39778" ht="15.75" customHeight="1"/>
    <row r="39779" ht="15.75" customHeight="1"/>
    <row r="39780" ht="15.75" customHeight="1"/>
    <row r="39781" ht="15.75" customHeight="1"/>
    <row r="39782" ht="15.75" customHeight="1"/>
    <row r="39783" ht="15.75" customHeight="1"/>
    <row r="39784" ht="15.75" customHeight="1"/>
    <row r="39785" ht="15.75" customHeight="1"/>
    <row r="39786" ht="15.75" customHeight="1"/>
    <row r="39787" ht="15.75" customHeight="1"/>
    <row r="39788" ht="15.75" customHeight="1"/>
    <row r="39789" ht="15.75" customHeight="1"/>
    <row r="39790" ht="15.75" customHeight="1"/>
    <row r="39791" ht="15.75" customHeight="1"/>
    <row r="39792" ht="15.75" customHeight="1"/>
    <row r="39793" ht="15.75" customHeight="1"/>
    <row r="39794" ht="15.75" customHeight="1"/>
    <row r="39795" ht="15.75" customHeight="1"/>
    <row r="39796" ht="15.75" customHeight="1"/>
    <row r="39797" ht="15.75" customHeight="1"/>
    <row r="39798" ht="15.75" customHeight="1"/>
    <row r="39799" ht="15.75" customHeight="1"/>
    <row r="39800" ht="15.75" customHeight="1"/>
    <row r="39801" ht="15.75" customHeight="1"/>
    <row r="39802" ht="15.75" customHeight="1"/>
    <row r="39803" ht="15.75" customHeight="1"/>
    <row r="39804" ht="15.75" customHeight="1"/>
    <row r="39805" ht="15.75" customHeight="1"/>
    <row r="39806" ht="15.75" customHeight="1"/>
    <row r="39807" ht="15.75" customHeight="1"/>
    <row r="39808" ht="15.75" customHeight="1"/>
    <row r="39809" ht="15.75" customHeight="1"/>
    <row r="39810" ht="15.75" customHeight="1"/>
    <row r="39811" ht="15.75" customHeight="1"/>
    <row r="39812" ht="15.75" customHeight="1"/>
    <row r="39813" ht="15.75" customHeight="1"/>
    <row r="39814" ht="15.75" customHeight="1"/>
    <row r="39815" ht="15.75" customHeight="1"/>
    <row r="39816" ht="15.75" customHeight="1"/>
    <row r="39817" ht="15.75" customHeight="1"/>
    <row r="39818" ht="15.75" customHeight="1"/>
    <row r="39819" ht="15.75" customHeight="1"/>
    <row r="39820" ht="15.75" customHeight="1"/>
    <row r="39821" ht="15.75" customHeight="1"/>
    <row r="39822" ht="15.75" customHeight="1"/>
    <row r="39823" ht="15.75" customHeight="1"/>
    <row r="39824" ht="15.75" customHeight="1"/>
    <row r="39825" ht="15.75" customHeight="1"/>
    <row r="39826" ht="15.75" customHeight="1"/>
    <row r="39827" ht="15.75" customHeight="1"/>
    <row r="39828" ht="15.75" customHeight="1"/>
    <row r="39829" ht="15.75" customHeight="1"/>
    <row r="39830" ht="15.75" customHeight="1"/>
    <row r="39831" ht="15.75" customHeight="1"/>
    <row r="39832" ht="15.75" customHeight="1"/>
    <row r="39833" ht="15.75" customHeight="1"/>
    <row r="39834" ht="15.75" customHeight="1"/>
    <row r="39835" ht="15.75" customHeight="1"/>
    <row r="39836" ht="15.75" customHeight="1"/>
    <row r="39837" ht="15.75" customHeight="1"/>
    <row r="39838" ht="15.75" customHeight="1"/>
    <row r="39839" ht="15.75" customHeight="1"/>
    <row r="39840" ht="15.75" customHeight="1"/>
    <row r="39841" ht="15.75" customHeight="1"/>
    <row r="39842" ht="15.75" customHeight="1"/>
    <row r="39843" ht="15.75" customHeight="1"/>
    <row r="39844" ht="15.75" customHeight="1"/>
    <row r="39845" ht="15.75" customHeight="1"/>
    <row r="39846" ht="15.75" customHeight="1"/>
    <row r="39847" ht="15.75" customHeight="1"/>
    <row r="39848" ht="15.75" customHeight="1"/>
    <row r="39849" ht="15.75" customHeight="1"/>
    <row r="39850" ht="15.75" customHeight="1"/>
    <row r="39851" ht="15.75" customHeight="1"/>
    <row r="39852" ht="15.75" customHeight="1"/>
    <row r="39853" ht="15.75" customHeight="1"/>
    <row r="39854" ht="15.75" customHeight="1"/>
    <row r="39855" ht="15.75" customHeight="1"/>
    <row r="39856" ht="15.75" customHeight="1"/>
    <row r="39857" ht="15.75" customHeight="1"/>
    <row r="39858" ht="15.75" customHeight="1"/>
    <row r="39859" ht="15.75" customHeight="1"/>
    <row r="39860" ht="15.75" customHeight="1"/>
    <row r="39861" ht="15.75" customHeight="1"/>
    <row r="39862" ht="15.75" customHeight="1"/>
    <row r="39863" ht="15.75" customHeight="1"/>
    <row r="39864" ht="15.75" customHeight="1"/>
    <row r="39865" ht="15.75" customHeight="1"/>
    <row r="39866" ht="15.75" customHeight="1"/>
    <row r="39867" ht="15.75" customHeight="1"/>
    <row r="39868" ht="15.75" customHeight="1"/>
    <row r="39869" ht="15.75" customHeight="1"/>
    <row r="39870" ht="15.75" customHeight="1"/>
    <row r="39871" ht="15.75" customHeight="1"/>
    <row r="39872" ht="15.75" customHeight="1"/>
    <row r="39873" ht="15.75" customHeight="1"/>
    <row r="39874" ht="15.75" customHeight="1"/>
    <row r="39875" ht="15.75" customHeight="1"/>
    <row r="39876" ht="15.75" customHeight="1"/>
    <row r="39877" ht="15.75" customHeight="1"/>
    <row r="39878" ht="15.75" customHeight="1"/>
    <row r="39879" ht="15.75" customHeight="1"/>
    <row r="39880" ht="15.75" customHeight="1"/>
    <row r="39881" ht="15.75" customHeight="1"/>
    <row r="39882" ht="15.75" customHeight="1"/>
    <row r="39883" ht="15.75" customHeight="1"/>
    <row r="39884" ht="15.75" customHeight="1"/>
    <row r="39885" ht="15.75" customHeight="1"/>
    <row r="39886" ht="15.75" customHeight="1"/>
    <row r="39887" ht="15.75" customHeight="1"/>
    <row r="39888" ht="15.75" customHeight="1"/>
    <row r="39889" ht="15.75" customHeight="1"/>
    <row r="39890" ht="15.75" customHeight="1"/>
    <row r="39891" ht="15.75" customHeight="1"/>
    <row r="39892" ht="15.75" customHeight="1"/>
    <row r="39893" ht="15.75" customHeight="1"/>
    <row r="39894" ht="15.75" customHeight="1"/>
    <row r="39895" ht="15.75" customHeight="1"/>
    <row r="39896" ht="15.75" customHeight="1"/>
    <row r="39897" ht="15.75" customHeight="1"/>
    <row r="39898" ht="15.75" customHeight="1"/>
    <row r="39899" ht="15.75" customHeight="1"/>
    <row r="39900" ht="15.75" customHeight="1"/>
    <row r="39901" ht="15.75" customHeight="1"/>
    <row r="39902" ht="15.75" customHeight="1"/>
    <row r="39903" ht="15.75" customHeight="1"/>
    <row r="39904" ht="15.75" customHeight="1"/>
    <row r="39905" ht="15.75" customHeight="1"/>
    <row r="39906" ht="15.75" customHeight="1"/>
    <row r="39907" ht="15.75" customHeight="1"/>
    <row r="39908" ht="15.75" customHeight="1"/>
    <row r="39909" ht="15.75" customHeight="1"/>
    <row r="39910" ht="15.75" customHeight="1"/>
    <row r="39911" ht="15.75" customHeight="1"/>
    <row r="39912" ht="15.75" customHeight="1"/>
    <row r="39913" ht="15.75" customHeight="1"/>
    <row r="39914" ht="15.75" customHeight="1"/>
    <row r="39915" ht="15.75" customHeight="1"/>
    <row r="39916" ht="15.75" customHeight="1"/>
    <row r="39917" ht="15.75" customHeight="1"/>
    <row r="39918" ht="15.75" customHeight="1"/>
    <row r="39919" ht="15.75" customHeight="1"/>
    <row r="39920" ht="15.75" customHeight="1"/>
    <row r="39921" ht="15.75" customHeight="1"/>
    <row r="39922" ht="15.75" customHeight="1"/>
    <row r="39923" ht="15.75" customHeight="1"/>
    <row r="39924" ht="15.75" customHeight="1"/>
    <row r="39925" ht="15.75" customHeight="1"/>
    <row r="39926" ht="15.75" customHeight="1"/>
    <row r="39927" ht="15.75" customHeight="1"/>
    <row r="39928" ht="15.75" customHeight="1"/>
    <row r="39929" ht="15.75" customHeight="1"/>
    <row r="39930" ht="15.75" customHeight="1"/>
    <row r="39931" ht="15.75" customHeight="1"/>
    <row r="39932" ht="15.75" customHeight="1"/>
    <row r="39933" ht="15.75" customHeight="1"/>
    <row r="39934" ht="15.75" customHeight="1"/>
    <row r="39935" ht="15.75" customHeight="1"/>
    <row r="39936" ht="15.75" customHeight="1"/>
    <row r="39937" ht="15.75" customHeight="1"/>
    <row r="39938" ht="15.75" customHeight="1"/>
    <row r="39939" ht="15.75" customHeight="1"/>
    <row r="39940" ht="15.75" customHeight="1"/>
    <row r="39941" ht="15.75" customHeight="1"/>
    <row r="39942" ht="15.75" customHeight="1"/>
    <row r="39943" ht="15.75" customHeight="1"/>
    <row r="39944" ht="15.75" customHeight="1"/>
    <row r="39945" ht="15.75" customHeight="1"/>
    <row r="39946" ht="15.75" customHeight="1"/>
    <row r="39947" ht="15.75" customHeight="1"/>
    <row r="39948" ht="15.75" customHeight="1"/>
    <row r="39949" ht="15.75" customHeight="1"/>
    <row r="39950" ht="15.75" customHeight="1"/>
    <row r="39951" ht="15.75" customHeight="1"/>
    <row r="39952" ht="15.75" customHeight="1"/>
    <row r="39953" ht="15.75" customHeight="1"/>
    <row r="39954" ht="15.75" customHeight="1"/>
    <row r="39955" ht="15.75" customHeight="1"/>
    <row r="39956" ht="15.75" customHeight="1"/>
    <row r="39957" ht="15.75" customHeight="1"/>
    <row r="39958" ht="15.75" customHeight="1"/>
    <row r="39959" ht="15.75" customHeight="1"/>
    <row r="39960" ht="15.75" customHeight="1"/>
    <row r="39961" ht="15.75" customHeight="1"/>
    <row r="39962" ht="15.75" customHeight="1"/>
    <row r="39963" ht="15.75" customHeight="1"/>
    <row r="39964" ht="15.75" customHeight="1"/>
    <row r="39965" ht="15.75" customHeight="1"/>
    <row r="39966" ht="15.75" customHeight="1"/>
    <row r="39967" ht="15.75" customHeight="1"/>
    <row r="39968" ht="15.75" customHeight="1"/>
    <row r="39969" ht="15.75" customHeight="1"/>
    <row r="39970" ht="15.75" customHeight="1"/>
    <row r="39971" ht="15.75" customHeight="1"/>
    <row r="39972" ht="15.75" customHeight="1"/>
    <row r="39973" ht="15.75" customHeight="1"/>
    <row r="39974" ht="15.75" customHeight="1"/>
    <row r="39975" ht="15.75" customHeight="1"/>
    <row r="39976" ht="15.75" customHeight="1"/>
    <row r="39977" ht="15.75" customHeight="1"/>
    <row r="39978" ht="15.75" customHeight="1"/>
    <row r="39979" ht="15.75" customHeight="1"/>
    <row r="39980" ht="15.75" customHeight="1"/>
    <row r="39981" ht="15.75" customHeight="1"/>
    <row r="39982" ht="15.75" customHeight="1"/>
    <row r="39983" ht="15.75" customHeight="1"/>
    <row r="39984" ht="15.75" customHeight="1"/>
    <row r="39985" ht="15.75" customHeight="1"/>
    <row r="39986" ht="15.75" customHeight="1"/>
    <row r="39987" ht="15.75" customHeight="1"/>
    <row r="39988" ht="15.75" customHeight="1"/>
    <row r="39989" ht="15.75" customHeight="1"/>
    <row r="39990" ht="15.75" customHeight="1"/>
    <row r="39991" ht="15.75" customHeight="1"/>
    <row r="39992" ht="15.75" customHeight="1"/>
    <row r="39993" ht="15.75" customHeight="1"/>
    <row r="39994" ht="15.75" customHeight="1"/>
    <row r="39995" ht="15.75" customHeight="1"/>
    <row r="39996" ht="15.75" customHeight="1"/>
    <row r="39997" ht="15.75" customHeight="1"/>
    <row r="39998" ht="15.75" customHeight="1"/>
    <row r="39999" ht="15.75" customHeight="1"/>
    <row r="40000" ht="15.75" customHeight="1"/>
    <row r="40001" ht="15.75" customHeight="1"/>
    <row r="40002" ht="15.75" customHeight="1"/>
    <row r="40003" ht="15.75" customHeight="1"/>
    <row r="40004" ht="15.75" customHeight="1"/>
    <row r="40005" ht="15.75" customHeight="1"/>
    <row r="40006" ht="15.75" customHeight="1"/>
    <row r="40007" ht="15.75" customHeight="1"/>
    <row r="40008" ht="15.75" customHeight="1"/>
    <row r="40009" ht="15.75" customHeight="1"/>
    <row r="40010" ht="15.75" customHeight="1"/>
    <row r="40011" ht="15.75" customHeight="1"/>
    <row r="40012" ht="15.75" customHeight="1"/>
    <row r="40013" ht="15.75" customHeight="1"/>
    <row r="40014" ht="15.75" customHeight="1"/>
    <row r="40015" ht="15.75" customHeight="1"/>
    <row r="40016" ht="15.75" customHeight="1"/>
    <row r="40017" ht="15.75" customHeight="1"/>
    <row r="40018" ht="15.75" customHeight="1"/>
    <row r="40019" ht="15.75" customHeight="1"/>
    <row r="40020" ht="15.75" customHeight="1"/>
    <row r="40021" ht="15.75" customHeight="1"/>
    <row r="40022" ht="15.75" customHeight="1"/>
    <row r="40023" ht="15.75" customHeight="1"/>
    <row r="40024" ht="15.75" customHeight="1"/>
    <row r="40025" ht="15.75" customHeight="1"/>
    <row r="40026" ht="15.75" customHeight="1"/>
    <row r="40027" ht="15.75" customHeight="1"/>
    <row r="40028" ht="15.75" customHeight="1"/>
    <row r="40029" ht="15.75" customHeight="1"/>
    <row r="40030" ht="15.75" customHeight="1"/>
    <row r="40031" ht="15.75" customHeight="1"/>
    <row r="40032" ht="15.75" customHeight="1"/>
    <row r="40033" ht="15.75" customHeight="1"/>
    <row r="40034" ht="15.75" customHeight="1"/>
    <row r="40035" ht="15.75" customHeight="1"/>
    <row r="40036" ht="15.75" customHeight="1"/>
    <row r="40037" ht="15.75" customHeight="1"/>
    <row r="40038" ht="15.75" customHeight="1"/>
    <row r="40039" ht="15.75" customHeight="1"/>
    <row r="40040" ht="15.75" customHeight="1"/>
    <row r="40041" ht="15.75" customHeight="1"/>
    <row r="40042" ht="15.75" customHeight="1"/>
    <row r="40043" ht="15.75" customHeight="1"/>
    <row r="40044" ht="15.75" customHeight="1"/>
    <row r="40045" ht="15.75" customHeight="1"/>
    <row r="40046" ht="15.75" customHeight="1"/>
    <row r="40047" ht="15.75" customHeight="1"/>
    <row r="40048" ht="15.75" customHeight="1"/>
    <row r="40049" ht="15.75" customHeight="1"/>
    <row r="40050" ht="15.75" customHeight="1"/>
    <row r="40051" ht="15.75" customHeight="1"/>
    <row r="40052" ht="15.75" customHeight="1"/>
    <row r="40053" ht="15.75" customHeight="1"/>
    <row r="40054" ht="15.75" customHeight="1"/>
    <row r="40055" ht="15.75" customHeight="1"/>
    <row r="40056" ht="15.75" customHeight="1"/>
    <row r="40057" ht="15.75" customHeight="1"/>
    <row r="40058" ht="15.75" customHeight="1"/>
    <row r="40059" ht="15.75" customHeight="1"/>
    <row r="40060" ht="15.75" customHeight="1"/>
    <row r="40061" ht="15.75" customHeight="1"/>
    <row r="40062" ht="15.75" customHeight="1"/>
    <row r="40063" ht="15.75" customHeight="1"/>
    <row r="40064" ht="15.75" customHeight="1"/>
    <row r="40065" ht="15.75" customHeight="1"/>
    <row r="40066" ht="15.75" customHeight="1"/>
    <row r="40067" ht="15.75" customHeight="1"/>
    <row r="40068" ht="15.75" customHeight="1"/>
    <row r="40069" ht="15.75" customHeight="1"/>
    <row r="40070" ht="15.75" customHeight="1"/>
    <row r="40071" ht="15.75" customHeight="1"/>
    <row r="40072" ht="15.75" customHeight="1"/>
    <row r="40073" ht="15.75" customHeight="1"/>
    <row r="40074" ht="15.75" customHeight="1"/>
    <row r="40075" ht="15.75" customHeight="1"/>
    <row r="40076" ht="15.75" customHeight="1"/>
    <row r="40077" ht="15.75" customHeight="1"/>
    <row r="40078" ht="15.75" customHeight="1"/>
    <row r="40079" ht="15.75" customHeight="1"/>
    <row r="40080" ht="15.75" customHeight="1"/>
    <row r="40081" ht="15.75" customHeight="1"/>
    <row r="40082" ht="15.75" customHeight="1"/>
    <row r="40083" ht="15.75" customHeight="1"/>
    <row r="40084" ht="15.75" customHeight="1"/>
    <row r="40085" ht="15.75" customHeight="1"/>
    <row r="40086" ht="15.75" customHeight="1"/>
    <row r="40087" ht="15.75" customHeight="1"/>
    <row r="40088" ht="15.75" customHeight="1"/>
    <row r="40089" ht="15.75" customHeight="1"/>
    <row r="40090" ht="15.75" customHeight="1"/>
    <row r="40091" ht="15.75" customHeight="1"/>
    <row r="40092" ht="15.75" customHeight="1"/>
    <row r="40093" ht="15.75" customHeight="1"/>
    <row r="40094" ht="15.75" customHeight="1"/>
    <row r="40095" ht="15.75" customHeight="1"/>
    <row r="40096" ht="15.75" customHeight="1"/>
    <row r="40097" ht="15.75" customHeight="1"/>
    <row r="40098" ht="15.75" customHeight="1"/>
    <row r="40099" ht="15.75" customHeight="1"/>
    <row r="40100" ht="15.75" customHeight="1"/>
    <row r="40101" ht="15.75" customHeight="1"/>
    <row r="40102" ht="15.75" customHeight="1"/>
    <row r="40103" ht="15.75" customHeight="1"/>
    <row r="40104" ht="15.75" customHeight="1"/>
    <row r="40105" ht="15.75" customHeight="1"/>
    <row r="40106" ht="15.75" customHeight="1"/>
    <row r="40107" ht="15.75" customHeight="1"/>
    <row r="40108" ht="15.75" customHeight="1"/>
    <row r="40109" ht="15.75" customHeight="1"/>
    <row r="40110" ht="15.75" customHeight="1"/>
    <row r="40111" ht="15.75" customHeight="1"/>
    <row r="40112" ht="15.75" customHeight="1"/>
    <row r="40113" ht="15.75" customHeight="1"/>
    <row r="40114" ht="15.75" customHeight="1"/>
    <row r="40115" ht="15.75" customHeight="1"/>
    <row r="40116" ht="15.75" customHeight="1"/>
    <row r="40117" ht="15.75" customHeight="1"/>
    <row r="40118" ht="15.75" customHeight="1"/>
    <row r="40119" ht="15.75" customHeight="1"/>
    <row r="40120" ht="15.75" customHeight="1"/>
    <row r="40121" ht="15.75" customHeight="1"/>
    <row r="40122" ht="15.75" customHeight="1"/>
    <row r="40123" ht="15.75" customHeight="1"/>
    <row r="40124" ht="15.75" customHeight="1"/>
    <row r="40125" ht="15.75" customHeight="1"/>
    <row r="40126" ht="15.75" customHeight="1"/>
    <row r="40127" ht="15.75" customHeight="1"/>
    <row r="40128" ht="15.75" customHeight="1"/>
    <row r="40129" ht="15.75" customHeight="1"/>
    <row r="40130" ht="15.75" customHeight="1"/>
    <row r="40131" ht="15.75" customHeight="1"/>
    <row r="40132" ht="15.75" customHeight="1"/>
    <row r="40133" ht="15.75" customHeight="1"/>
    <row r="40134" ht="15.75" customHeight="1"/>
    <row r="40135" ht="15.75" customHeight="1"/>
    <row r="40136" ht="15.75" customHeight="1"/>
    <row r="40137" ht="15.75" customHeight="1"/>
    <row r="40138" ht="15.75" customHeight="1"/>
    <row r="40139" ht="15.75" customHeight="1"/>
    <row r="40140" ht="15.75" customHeight="1"/>
    <row r="40141" ht="15.75" customHeight="1"/>
    <row r="40142" ht="15.75" customHeight="1"/>
    <row r="40143" ht="15.75" customHeight="1"/>
    <row r="40144" ht="15.75" customHeight="1"/>
    <row r="40145" ht="15.75" customHeight="1"/>
    <row r="40146" ht="15.75" customHeight="1"/>
    <row r="40147" ht="15.75" customHeight="1"/>
    <row r="40148" ht="15.75" customHeight="1"/>
    <row r="40149" ht="15.75" customHeight="1"/>
    <row r="40150" ht="15.75" customHeight="1"/>
    <row r="40151" ht="15.75" customHeight="1"/>
    <row r="40152" ht="15.75" customHeight="1"/>
    <row r="40153" ht="15.75" customHeight="1"/>
    <row r="40154" ht="15.75" customHeight="1"/>
    <row r="40155" ht="15.75" customHeight="1"/>
    <row r="40156" ht="15.75" customHeight="1"/>
    <row r="40157" ht="15.75" customHeight="1"/>
    <row r="40158" ht="15.75" customHeight="1"/>
    <row r="40159" ht="15.75" customHeight="1"/>
    <row r="40160" ht="15.75" customHeight="1"/>
    <row r="40161" ht="15.75" customHeight="1"/>
    <row r="40162" ht="15.75" customHeight="1"/>
    <row r="40163" ht="15.75" customHeight="1"/>
    <row r="40164" ht="15.75" customHeight="1"/>
    <row r="40165" ht="15.75" customHeight="1"/>
    <row r="40166" ht="15.75" customHeight="1"/>
    <row r="40167" ht="15.75" customHeight="1"/>
    <row r="40168" ht="15.75" customHeight="1"/>
    <row r="40169" ht="15.75" customHeight="1"/>
    <row r="40170" ht="15.75" customHeight="1"/>
    <row r="40171" ht="15.75" customHeight="1"/>
    <row r="40172" ht="15.75" customHeight="1"/>
    <row r="40173" ht="15.75" customHeight="1"/>
    <row r="40174" ht="15.75" customHeight="1"/>
    <row r="40175" ht="15.75" customHeight="1"/>
    <row r="40176" ht="15.75" customHeight="1"/>
    <row r="40177" ht="15.75" customHeight="1"/>
    <row r="40178" ht="15.75" customHeight="1"/>
    <row r="40179" ht="15.75" customHeight="1"/>
    <row r="40180" ht="15.75" customHeight="1"/>
    <row r="40181" ht="15.75" customHeight="1"/>
    <row r="40182" ht="15.75" customHeight="1"/>
    <row r="40183" ht="15.75" customHeight="1"/>
    <row r="40184" ht="15.75" customHeight="1"/>
    <row r="40185" ht="15.75" customHeight="1"/>
    <row r="40186" ht="15.75" customHeight="1"/>
    <row r="40187" ht="15.75" customHeight="1"/>
    <row r="40188" ht="15.75" customHeight="1"/>
    <row r="40189" ht="15.75" customHeight="1"/>
    <row r="40190" ht="15.75" customHeight="1"/>
    <row r="40191" ht="15.75" customHeight="1"/>
    <row r="40192" ht="15.75" customHeight="1"/>
    <row r="40193" ht="15.75" customHeight="1"/>
    <row r="40194" ht="15.75" customHeight="1"/>
    <row r="40195" ht="15.75" customHeight="1"/>
    <row r="40196" ht="15.75" customHeight="1"/>
    <row r="40197" ht="15.75" customHeight="1"/>
    <row r="40198" ht="15.75" customHeight="1"/>
    <row r="40199" ht="15.75" customHeight="1"/>
    <row r="40200" ht="15.75" customHeight="1"/>
    <row r="40201" ht="15.75" customHeight="1"/>
    <row r="40202" ht="15.75" customHeight="1"/>
    <row r="40203" ht="15.75" customHeight="1"/>
    <row r="40204" ht="15.75" customHeight="1"/>
    <row r="40205" ht="15.75" customHeight="1"/>
    <row r="40206" ht="15.75" customHeight="1"/>
    <row r="40207" ht="15.75" customHeight="1"/>
    <row r="40208" ht="15.75" customHeight="1"/>
    <row r="40209" ht="15.75" customHeight="1"/>
    <row r="40210" ht="15.75" customHeight="1"/>
    <row r="40211" ht="15.75" customHeight="1"/>
    <row r="40212" ht="15.75" customHeight="1"/>
    <row r="40213" ht="15.75" customHeight="1"/>
    <row r="40214" ht="15.75" customHeight="1"/>
    <row r="40215" ht="15.75" customHeight="1"/>
    <row r="40216" ht="15.75" customHeight="1"/>
    <row r="40217" ht="15.75" customHeight="1"/>
    <row r="40218" ht="15.75" customHeight="1"/>
    <row r="40219" ht="15.75" customHeight="1"/>
    <row r="40220" ht="15.75" customHeight="1"/>
    <row r="40221" ht="15.75" customHeight="1"/>
    <row r="40222" ht="15.75" customHeight="1"/>
    <row r="40223" ht="15.75" customHeight="1"/>
    <row r="40224" ht="15.75" customHeight="1"/>
    <row r="40225" ht="15.75" customHeight="1"/>
    <row r="40226" ht="15.75" customHeight="1"/>
    <row r="40227" ht="15.75" customHeight="1"/>
    <row r="40228" ht="15.75" customHeight="1"/>
    <row r="40229" ht="15.75" customHeight="1"/>
    <row r="40230" ht="15.75" customHeight="1"/>
    <row r="40231" ht="15.75" customHeight="1"/>
    <row r="40232" ht="15.75" customHeight="1"/>
    <row r="40233" ht="15.75" customHeight="1"/>
    <row r="40234" ht="15.75" customHeight="1"/>
    <row r="40235" ht="15.75" customHeight="1"/>
    <row r="40236" ht="15.75" customHeight="1"/>
    <row r="40237" ht="15.75" customHeight="1"/>
    <row r="40238" ht="15.75" customHeight="1"/>
    <row r="40239" ht="15.75" customHeight="1"/>
    <row r="40240" ht="15.75" customHeight="1"/>
    <row r="40241" ht="15.75" customHeight="1"/>
    <row r="40242" ht="15.75" customHeight="1"/>
    <row r="40243" ht="15.75" customHeight="1"/>
    <row r="40244" ht="15.75" customHeight="1"/>
    <row r="40245" ht="15.75" customHeight="1"/>
    <row r="40246" ht="15.75" customHeight="1"/>
    <row r="40247" ht="15.75" customHeight="1"/>
    <row r="40248" ht="15.75" customHeight="1"/>
    <row r="40249" ht="15.75" customHeight="1"/>
    <row r="40250" ht="15.75" customHeight="1"/>
    <row r="40251" ht="15.75" customHeight="1"/>
    <row r="40252" ht="15.75" customHeight="1"/>
    <row r="40253" ht="15.75" customHeight="1"/>
    <row r="40254" ht="15.75" customHeight="1"/>
    <row r="40255" ht="15.75" customHeight="1"/>
    <row r="40256" ht="15.75" customHeight="1"/>
    <row r="40257" ht="15.75" customHeight="1"/>
    <row r="40258" ht="15.75" customHeight="1"/>
    <row r="40259" ht="15.75" customHeight="1"/>
    <row r="40260" ht="15.75" customHeight="1"/>
    <row r="40261" ht="15.75" customHeight="1"/>
    <row r="40262" ht="15.75" customHeight="1"/>
    <row r="40263" ht="15.75" customHeight="1"/>
    <row r="40264" ht="15.75" customHeight="1"/>
    <row r="40265" ht="15.75" customHeight="1"/>
    <row r="40266" ht="15.75" customHeight="1"/>
    <row r="40267" ht="15.75" customHeight="1"/>
    <row r="40268" ht="15.75" customHeight="1"/>
    <row r="40269" ht="15.75" customHeight="1"/>
    <row r="40270" ht="15.75" customHeight="1"/>
    <row r="40271" ht="15.75" customHeight="1"/>
    <row r="40272" ht="15.75" customHeight="1"/>
    <row r="40273" ht="15.75" customHeight="1"/>
    <row r="40274" ht="15.75" customHeight="1"/>
    <row r="40275" ht="15.75" customHeight="1"/>
    <row r="40276" ht="15.75" customHeight="1"/>
    <row r="40277" ht="15.75" customHeight="1"/>
    <row r="40278" ht="15.75" customHeight="1"/>
    <row r="40279" ht="15.75" customHeight="1"/>
    <row r="40280" ht="15.75" customHeight="1"/>
    <row r="40281" ht="15.75" customHeight="1"/>
    <row r="40282" ht="15.75" customHeight="1"/>
    <row r="40283" ht="15.75" customHeight="1"/>
    <row r="40284" ht="15.75" customHeight="1"/>
    <row r="40285" ht="15.75" customHeight="1"/>
    <row r="40286" ht="15.75" customHeight="1"/>
    <row r="40287" ht="15.75" customHeight="1"/>
    <row r="40288" ht="15.75" customHeight="1"/>
    <row r="40289" ht="15.75" customHeight="1"/>
    <row r="40290" ht="15.75" customHeight="1"/>
    <row r="40291" ht="15.75" customHeight="1"/>
    <row r="40292" ht="15.75" customHeight="1"/>
    <row r="40293" ht="15.75" customHeight="1"/>
    <row r="40294" ht="15.75" customHeight="1"/>
    <row r="40295" ht="15.75" customHeight="1"/>
    <row r="40296" ht="15.75" customHeight="1"/>
    <row r="40297" ht="15.75" customHeight="1"/>
    <row r="40298" ht="15.75" customHeight="1"/>
    <row r="40299" ht="15.75" customHeight="1"/>
    <row r="40300" ht="15.75" customHeight="1"/>
    <row r="40301" ht="15.75" customHeight="1"/>
    <row r="40302" ht="15.75" customHeight="1"/>
    <row r="40303" ht="15.75" customHeight="1"/>
    <row r="40304" ht="15.75" customHeight="1"/>
    <row r="40305" ht="15.75" customHeight="1"/>
    <row r="40306" ht="15.75" customHeight="1"/>
    <row r="40307" ht="15.75" customHeight="1"/>
    <row r="40308" ht="15.75" customHeight="1"/>
    <row r="40309" ht="15.75" customHeight="1"/>
    <row r="40310" ht="15.75" customHeight="1"/>
    <row r="40311" ht="15.75" customHeight="1"/>
    <row r="40312" ht="15.75" customHeight="1"/>
    <row r="40313" ht="15.75" customHeight="1"/>
    <row r="40314" ht="15.75" customHeight="1"/>
    <row r="40315" ht="15.75" customHeight="1"/>
    <row r="40316" ht="15.75" customHeight="1"/>
    <row r="40317" ht="15.75" customHeight="1"/>
    <row r="40318" ht="15.75" customHeight="1"/>
    <row r="40319" ht="15.75" customHeight="1"/>
    <row r="40320" ht="15.75" customHeight="1"/>
    <row r="40321" ht="15.75" customHeight="1"/>
    <row r="40322" ht="15.75" customHeight="1"/>
    <row r="40323" ht="15.75" customHeight="1"/>
    <row r="40324" ht="15.75" customHeight="1"/>
    <row r="40325" ht="15.75" customHeight="1"/>
    <row r="40326" ht="15.75" customHeight="1"/>
    <row r="40327" ht="15.75" customHeight="1"/>
    <row r="40328" ht="15.75" customHeight="1"/>
    <row r="40329" ht="15.75" customHeight="1"/>
    <row r="40330" ht="15.75" customHeight="1"/>
    <row r="40331" ht="15.75" customHeight="1"/>
    <row r="40332" ht="15.75" customHeight="1"/>
    <row r="40333" ht="15.75" customHeight="1"/>
    <row r="40334" ht="15.75" customHeight="1"/>
    <row r="40335" ht="15.75" customHeight="1"/>
    <row r="40336" ht="15.75" customHeight="1"/>
    <row r="40337" ht="15.75" customHeight="1"/>
    <row r="40338" ht="15.75" customHeight="1"/>
    <row r="40339" ht="15.75" customHeight="1"/>
    <row r="40340" ht="15.75" customHeight="1"/>
    <row r="40341" ht="15.75" customHeight="1"/>
    <row r="40342" ht="15.75" customHeight="1"/>
    <row r="40343" ht="15.75" customHeight="1"/>
    <row r="40344" ht="15.75" customHeight="1"/>
    <row r="40345" ht="15.75" customHeight="1"/>
    <row r="40346" ht="15.75" customHeight="1"/>
    <row r="40347" ht="15.75" customHeight="1"/>
    <row r="40348" ht="15.75" customHeight="1"/>
    <row r="40349" ht="15.75" customHeight="1"/>
    <row r="40350" ht="15.75" customHeight="1"/>
    <row r="40351" ht="15.75" customHeight="1"/>
    <row r="40352" ht="15.75" customHeight="1"/>
    <row r="40353" ht="15.75" customHeight="1"/>
    <row r="40354" ht="15.75" customHeight="1"/>
    <row r="40355" ht="15.75" customHeight="1"/>
    <row r="40356" ht="15.75" customHeight="1"/>
    <row r="40357" ht="15.75" customHeight="1"/>
    <row r="40358" ht="15.75" customHeight="1"/>
    <row r="40359" ht="15.75" customHeight="1"/>
    <row r="40360" ht="15.75" customHeight="1"/>
    <row r="40361" ht="15.75" customHeight="1"/>
    <row r="40362" ht="15.75" customHeight="1"/>
    <row r="40363" ht="15.75" customHeight="1"/>
    <row r="40364" ht="15.75" customHeight="1"/>
    <row r="40365" ht="15.75" customHeight="1"/>
    <row r="40366" ht="15.75" customHeight="1"/>
    <row r="40367" ht="15.75" customHeight="1"/>
    <row r="40368" ht="15.75" customHeight="1"/>
    <row r="40369" ht="15.75" customHeight="1"/>
    <row r="40370" ht="15.75" customHeight="1"/>
    <row r="40371" ht="15.75" customHeight="1"/>
    <row r="40372" ht="15.75" customHeight="1"/>
    <row r="40373" ht="15.75" customHeight="1"/>
    <row r="40374" ht="15.75" customHeight="1"/>
    <row r="40375" ht="15.75" customHeight="1"/>
    <row r="40376" ht="15.75" customHeight="1"/>
    <row r="40377" ht="15.75" customHeight="1"/>
    <row r="40378" ht="15.75" customHeight="1"/>
    <row r="40379" ht="15.75" customHeight="1"/>
    <row r="40380" ht="15.75" customHeight="1"/>
    <row r="40381" ht="15.75" customHeight="1"/>
    <row r="40382" ht="15.75" customHeight="1"/>
    <row r="40383" ht="15.75" customHeight="1"/>
    <row r="40384" ht="15.75" customHeight="1"/>
    <row r="40385" ht="15.75" customHeight="1"/>
    <row r="40386" ht="15.75" customHeight="1"/>
    <row r="40387" ht="15.75" customHeight="1"/>
    <row r="40388" ht="15.75" customHeight="1"/>
    <row r="40389" ht="15.75" customHeight="1"/>
    <row r="40390" ht="15.75" customHeight="1"/>
    <row r="40391" ht="15.75" customHeight="1"/>
    <row r="40392" ht="15.75" customHeight="1"/>
    <row r="40393" ht="15.75" customHeight="1"/>
    <row r="40394" ht="15.75" customHeight="1"/>
    <row r="40395" ht="15.75" customHeight="1"/>
    <row r="40396" ht="15.75" customHeight="1"/>
    <row r="40397" ht="15.75" customHeight="1"/>
    <row r="40398" ht="15.75" customHeight="1"/>
    <row r="40399" ht="15.75" customHeight="1"/>
    <row r="40400" ht="15.75" customHeight="1"/>
    <row r="40401" ht="15.75" customHeight="1"/>
    <row r="40402" ht="15.75" customHeight="1"/>
    <row r="40403" ht="15.75" customHeight="1"/>
    <row r="40404" ht="15.75" customHeight="1"/>
    <row r="40405" ht="15.75" customHeight="1"/>
    <row r="40406" ht="15.75" customHeight="1"/>
    <row r="40407" ht="15.75" customHeight="1"/>
    <row r="40408" ht="15.75" customHeight="1"/>
    <row r="40409" ht="15.75" customHeight="1"/>
    <row r="40410" ht="15.75" customHeight="1"/>
    <row r="40411" ht="15.75" customHeight="1"/>
    <row r="40412" ht="15.75" customHeight="1"/>
    <row r="40413" ht="15.75" customHeight="1"/>
    <row r="40414" ht="15.75" customHeight="1"/>
    <row r="40415" ht="15.75" customHeight="1"/>
    <row r="40416" ht="15.75" customHeight="1"/>
    <row r="40417" ht="15.75" customHeight="1"/>
    <row r="40418" ht="15.75" customHeight="1"/>
    <row r="40419" ht="15.75" customHeight="1"/>
    <row r="40420" ht="15.75" customHeight="1"/>
    <row r="40421" ht="15.75" customHeight="1"/>
    <row r="40422" ht="15.75" customHeight="1"/>
    <row r="40423" ht="15.75" customHeight="1"/>
    <row r="40424" ht="15.75" customHeight="1"/>
    <row r="40425" ht="15.75" customHeight="1"/>
    <row r="40426" ht="15.75" customHeight="1"/>
    <row r="40427" ht="15.75" customHeight="1"/>
    <row r="40428" ht="15.75" customHeight="1"/>
    <row r="40429" ht="15.75" customHeight="1"/>
    <row r="40430" ht="15.75" customHeight="1"/>
    <row r="40431" ht="15.75" customHeight="1"/>
    <row r="40432" ht="15.75" customHeight="1"/>
    <row r="40433" ht="15.75" customHeight="1"/>
    <row r="40434" ht="15.75" customHeight="1"/>
    <row r="40435" ht="15.75" customHeight="1"/>
    <row r="40436" ht="15.75" customHeight="1"/>
    <row r="40437" ht="15.75" customHeight="1"/>
    <row r="40438" ht="15.75" customHeight="1"/>
    <row r="40439" ht="15.75" customHeight="1"/>
    <row r="40440" ht="15.75" customHeight="1"/>
    <row r="40441" ht="15.75" customHeight="1"/>
    <row r="40442" ht="15.75" customHeight="1"/>
    <row r="40443" ht="15.75" customHeight="1"/>
    <row r="40444" ht="15.75" customHeight="1"/>
    <row r="40445" ht="15.75" customHeight="1"/>
    <row r="40446" ht="15.75" customHeight="1"/>
    <row r="40447" ht="15.75" customHeight="1"/>
    <row r="40448" ht="15.75" customHeight="1"/>
    <row r="40449" ht="15.75" customHeight="1"/>
    <row r="40450" ht="15.75" customHeight="1"/>
    <row r="40451" ht="15.75" customHeight="1"/>
    <row r="40452" ht="15.75" customHeight="1"/>
    <row r="40453" ht="15.75" customHeight="1"/>
    <row r="40454" ht="15.75" customHeight="1"/>
    <row r="40455" ht="15.75" customHeight="1"/>
    <row r="40456" ht="15.75" customHeight="1"/>
    <row r="40457" ht="15.75" customHeight="1"/>
    <row r="40458" ht="15.75" customHeight="1"/>
    <row r="40459" ht="15.75" customHeight="1"/>
    <row r="40460" ht="15.75" customHeight="1"/>
    <row r="40461" ht="15.75" customHeight="1"/>
    <row r="40462" ht="15.75" customHeight="1"/>
    <row r="40463" ht="15.75" customHeight="1"/>
    <row r="40464" ht="15.75" customHeight="1"/>
    <row r="40465" ht="15.75" customHeight="1"/>
    <row r="40466" ht="15.75" customHeight="1"/>
    <row r="40467" ht="15.75" customHeight="1"/>
    <row r="40468" ht="15.75" customHeight="1"/>
    <row r="40469" ht="15.75" customHeight="1"/>
    <row r="40470" ht="15.75" customHeight="1"/>
    <row r="40471" ht="15.75" customHeight="1"/>
    <row r="40472" ht="15.75" customHeight="1"/>
    <row r="40473" ht="15.75" customHeight="1"/>
    <row r="40474" ht="15.75" customHeight="1"/>
    <row r="40475" ht="15.75" customHeight="1"/>
    <row r="40476" ht="15.75" customHeight="1"/>
    <row r="40477" ht="15.75" customHeight="1"/>
    <row r="40478" ht="15.75" customHeight="1"/>
    <row r="40479" ht="15.75" customHeight="1"/>
    <row r="40480" ht="15.75" customHeight="1"/>
    <row r="40481" ht="15.75" customHeight="1"/>
    <row r="40482" ht="15.75" customHeight="1"/>
    <row r="40483" ht="15.75" customHeight="1"/>
    <row r="40484" ht="15.75" customHeight="1"/>
    <row r="40485" ht="15.75" customHeight="1"/>
    <row r="40486" ht="15.75" customHeight="1"/>
    <row r="40487" ht="15.75" customHeight="1"/>
    <row r="40488" ht="15.75" customHeight="1"/>
    <row r="40489" ht="15.75" customHeight="1"/>
    <row r="40490" ht="15.75" customHeight="1"/>
    <row r="40491" ht="15.75" customHeight="1"/>
    <row r="40492" ht="15.75" customHeight="1"/>
    <row r="40493" ht="15.75" customHeight="1"/>
    <row r="40494" ht="15.75" customHeight="1"/>
    <row r="40495" ht="15.75" customHeight="1"/>
    <row r="40496" ht="15.75" customHeight="1"/>
    <row r="40497" ht="15.75" customHeight="1"/>
    <row r="40498" ht="15.75" customHeight="1"/>
    <row r="40499" ht="15.75" customHeight="1"/>
    <row r="40500" ht="15.75" customHeight="1"/>
    <row r="40501" ht="15.75" customHeight="1"/>
    <row r="40502" ht="15.75" customHeight="1"/>
    <row r="40503" ht="15.75" customHeight="1"/>
    <row r="40504" ht="15.75" customHeight="1"/>
    <row r="40505" ht="15.75" customHeight="1"/>
    <row r="40506" ht="15.75" customHeight="1"/>
    <row r="40507" ht="15.75" customHeight="1"/>
    <row r="40508" ht="15.75" customHeight="1"/>
    <row r="40509" ht="15.75" customHeight="1"/>
    <row r="40510" ht="15.75" customHeight="1"/>
    <row r="40511" ht="15.75" customHeight="1"/>
    <row r="40512" ht="15.75" customHeight="1"/>
    <row r="40513" ht="15.75" customHeight="1"/>
    <row r="40514" ht="15.75" customHeight="1"/>
    <row r="40515" ht="15.75" customHeight="1"/>
    <row r="40516" ht="15.75" customHeight="1"/>
    <row r="40517" ht="15.75" customHeight="1"/>
    <row r="40518" ht="15.75" customHeight="1"/>
    <row r="40519" ht="15.75" customHeight="1"/>
    <row r="40520" ht="15.75" customHeight="1"/>
    <row r="40521" ht="15.75" customHeight="1"/>
    <row r="40522" ht="15.75" customHeight="1"/>
    <row r="40523" ht="15.75" customHeight="1"/>
    <row r="40524" ht="15.75" customHeight="1"/>
    <row r="40525" ht="15.75" customHeight="1"/>
    <row r="40526" ht="15.75" customHeight="1"/>
    <row r="40527" ht="15.75" customHeight="1"/>
    <row r="40528" ht="15.75" customHeight="1"/>
    <row r="40529" ht="15.75" customHeight="1"/>
    <row r="40530" ht="15.75" customHeight="1"/>
    <row r="40531" ht="15.75" customHeight="1"/>
    <row r="40532" ht="15.75" customHeight="1"/>
    <row r="40533" ht="15.75" customHeight="1"/>
    <row r="40534" ht="15.75" customHeight="1"/>
    <row r="40535" ht="15.75" customHeight="1"/>
    <row r="40536" ht="15.75" customHeight="1"/>
    <row r="40537" ht="15.75" customHeight="1"/>
    <row r="40538" ht="15.75" customHeight="1"/>
    <row r="40539" ht="15.75" customHeight="1"/>
    <row r="40540" ht="15.75" customHeight="1"/>
    <row r="40541" ht="15.75" customHeight="1"/>
    <row r="40542" ht="15.75" customHeight="1"/>
    <row r="40543" ht="15.75" customHeight="1"/>
    <row r="40544" ht="15.75" customHeight="1"/>
    <row r="40545" ht="15.75" customHeight="1"/>
    <row r="40546" ht="15.75" customHeight="1"/>
    <row r="40547" ht="15.75" customHeight="1"/>
    <row r="40548" ht="15.75" customHeight="1"/>
    <row r="40549" ht="15.75" customHeight="1"/>
    <row r="40550" ht="15.75" customHeight="1"/>
    <row r="40551" ht="15.75" customHeight="1"/>
    <row r="40552" ht="15.75" customHeight="1"/>
    <row r="40553" ht="15.75" customHeight="1"/>
    <row r="40554" ht="15.75" customHeight="1"/>
    <row r="40555" ht="15.75" customHeight="1"/>
    <row r="40556" ht="15.75" customHeight="1"/>
    <row r="40557" ht="15.75" customHeight="1"/>
    <row r="40558" ht="15.75" customHeight="1"/>
    <row r="40559" ht="15.75" customHeight="1"/>
    <row r="40560" ht="15.75" customHeight="1"/>
    <row r="40561" ht="15.75" customHeight="1"/>
    <row r="40562" ht="15.75" customHeight="1"/>
    <row r="40563" ht="15.75" customHeight="1"/>
    <row r="40564" ht="15.75" customHeight="1"/>
    <row r="40565" ht="15.75" customHeight="1"/>
    <row r="40566" ht="15.75" customHeight="1"/>
    <row r="40567" ht="15.75" customHeight="1"/>
    <row r="40568" ht="15.75" customHeight="1"/>
    <row r="40569" ht="15.75" customHeight="1"/>
    <row r="40570" ht="15.75" customHeight="1"/>
    <row r="40571" ht="15.75" customHeight="1"/>
    <row r="40572" ht="15.75" customHeight="1"/>
    <row r="40573" ht="15.75" customHeight="1"/>
    <row r="40574" ht="15.75" customHeight="1"/>
    <row r="40575" ht="15.75" customHeight="1"/>
    <row r="40576" ht="15.75" customHeight="1"/>
    <row r="40577" ht="15.75" customHeight="1"/>
    <row r="40578" ht="15.75" customHeight="1"/>
    <row r="40579" ht="15.75" customHeight="1"/>
    <row r="40580" ht="15.75" customHeight="1"/>
    <row r="40581" ht="15.75" customHeight="1"/>
    <row r="40582" ht="15.75" customHeight="1"/>
    <row r="40583" ht="15.75" customHeight="1"/>
    <row r="40584" ht="15.75" customHeight="1"/>
    <row r="40585" ht="15.75" customHeight="1"/>
    <row r="40586" ht="15.75" customHeight="1"/>
    <row r="40587" ht="15.75" customHeight="1"/>
    <row r="40588" ht="15.75" customHeight="1"/>
    <row r="40589" ht="15.75" customHeight="1"/>
    <row r="40590" ht="15.75" customHeight="1"/>
    <row r="40591" ht="15.75" customHeight="1"/>
    <row r="40592" ht="15.75" customHeight="1"/>
    <row r="40593" ht="15.75" customHeight="1"/>
    <row r="40594" ht="15.75" customHeight="1"/>
    <row r="40595" ht="15.75" customHeight="1"/>
    <row r="40596" ht="15.75" customHeight="1"/>
    <row r="40597" ht="15.75" customHeight="1"/>
    <row r="40598" ht="15.75" customHeight="1"/>
    <row r="40599" ht="15.75" customHeight="1"/>
    <row r="40600" ht="15.75" customHeight="1"/>
    <row r="40601" ht="15.75" customHeight="1"/>
    <row r="40602" ht="15.75" customHeight="1"/>
    <row r="40603" ht="15.75" customHeight="1"/>
    <row r="40604" ht="15.75" customHeight="1"/>
    <row r="40605" ht="15.75" customHeight="1"/>
    <row r="40606" ht="15.75" customHeight="1"/>
    <row r="40607" ht="15.75" customHeight="1"/>
    <row r="40608" ht="15.75" customHeight="1"/>
    <row r="40609" ht="15.75" customHeight="1"/>
    <row r="40610" ht="15.75" customHeight="1"/>
    <row r="40611" ht="15.75" customHeight="1"/>
    <row r="40612" ht="15.75" customHeight="1"/>
    <row r="40613" ht="15.75" customHeight="1"/>
    <row r="40614" ht="15.75" customHeight="1"/>
    <row r="40615" ht="15.75" customHeight="1"/>
    <row r="40616" ht="15.75" customHeight="1"/>
    <row r="40617" ht="15.75" customHeight="1"/>
    <row r="40618" ht="15.75" customHeight="1"/>
    <row r="40619" ht="15.75" customHeight="1"/>
    <row r="40620" ht="15.75" customHeight="1"/>
    <row r="40621" ht="15.75" customHeight="1"/>
    <row r="40622" ht="15.75" customHeight="1"/>
    <row r="40623" ht="15.75" customHeight="1"/>
    <row r="40624" ht="15.75" customHeight="1"/>
    <row r="40625" ht="15.75" customHeight="1"/>
    <row r="40626" ht="15.75" customHeight="1"/>
    <row r="40627" ht="15.75" customHeight="1"/>
    <row r="40628" ht="15.75" customHeight="1"/>
    <row r="40629" ht="15.75" customHeight="1"/>
    <row r="40630" ht="15.75" customHeight="1"/>
    <row r="40631" ht="15.75" customHeight="1"/>
    <row r="40632" ht="15.75" customHeight="1"/>
    <row r="40633" ht="15.75" customHeight="1"/>
    <row r="40634" ht="15.75" customHeight="1"/>
    <row r="40635" ht="15.75" customHeight="1"/>
    <row r="40636" ht="15.75" customHeight="1"/>
    <row r="40637" ht="15.75" customHeight="1"/>
    <row r="40638" ht="15.75" customHeight="1"/>
    <row r="40639" ht="15.75" customHeight="1"/>
    <row r="40640" ht="15.75" customHeight="1"/>
    <row r="40641" ht="15.75" customHeight="1"/>
    <row r="40642" ht="15.75" customHeight="1"/>
    <row r="40643" ht="15.75" customHeight="1"/>
    <row r="40644" ht="15.75" customHeight="1"/>
    <row r="40645" ht="15.75" customHeight="1"/>
    <row r="40646" ht="15.75" customHeight="1"/>
    <row r="40647" ht="15.75" customHeight="1"/>
    <row r="40648" ht="15.75" customHeight="1"/>
    <row r="40649" ht="15.75" customHeight="1"/>
    <row r="40650" ht="15.75" customHeight="1"/>
    <row r="40651" ht="15.75" customHeight="1"/>
    <row r="40652" ht="15.75" customHeight="1"/>
    <row r="40653" ht="15.75" customHeight="1"/>
    <row r="40654" ht="15.75" customHeight="1"/>
    <row r="40655" ht="15.75" customHeight="1"/>
    <row r="40656" ht="15.75" customHeight="1"/>
    <row r="40657" ht="15.75" customHeight="1"/>
    <row r="40658" ht="15.75" customHeight="1"/>
    <row r="40659" ht="15.75" customHeight="1"/>
    <row r="40660" ht="15.75" customHeight="1"/>
    <row r="40661" ht="15.75" customHeight="1"/>
    <row r="40662" ht="15.75" customHeight="1"/>
    <row r="40663" ht="15.75" customHeight="1"/>
    <row r="40664" ht="15.75" customHeight="1"/>
    <row r="40665" ht="15.75" customHeight="1"/>
    <row r="40666" ht="15.75" customHeight="1"/>
    <row r="40667" ht="15.75" customHeight="1"/>
    <row r="40668" ht="15.75" customHeight="1"/>
    <row r="40669" ht="15.75" customHeight="1"/>
    <row r="40670" ht="15.75" customHeight="1"/>
    <row r="40671" ht="15.75" customHeight="1"/>
    <row r="40672" ht="15.75" customHeight="1"/>
    <row r="40673" ht="15.75" customHeight="1"/>
    <row r="40674" ht="15.75" customHeight="1"/>
    <row r="40675" ht="15.75" customHeight="1"/>
    <row r="40676" ht="15.75" customHeight="1"/>
    <row r="40677" ht="15.75" customHeight="1"/>
    <row r="40678" ht="15.75" customHeight="1"/>
    <row r="40679" ht="15.75" customHeight="1"/>
    <row r="40680" ht="15.75" customHeight="1"/>
    <row r="40681" ht="15.75" customHeight="1"/>
    <row r="40682" ht="15.75" customHeight="1"/>
    <row r="40683" ht="15.75" customHeight="1"/>
    <row r="40684" ht="15.75" customHeight="1"/>
    <row r="40685" ht="15.75" customHeight="1"/>
    <row r="40686" ht="15.75" customHeight="1"/>
    <row r="40687" ht="15.75" customHeight="1"/>
    <row r="40688" ht="15.75" customHeight="1"/>
    <row r="40689" ht="15.75" customHeight="1"/>
    <row r="40690" ht="15.75" customHeight="1"/>
    <row r="40691" ht="15.75" customHeight="1"/>
    <row r="40692" ht="15.75" customHeight="1"/>
    <row r="40693" ht="15.75" customHeight="1"/>
    <row r="40694" ht="15.75" customHeight="1"/>
    <row r="40695" ht="15.75" customHeight="1"/>
    <row r="40696" ht="15.75" customHeight="1"/>
    <row r="40697" ht="15.75" customHeight="1"/>
    <row r="40698" ht="15.75" customHeight="1"/>
    <row r="40699" ht="15.75" customHeight="1"/>
    <row r="40700" ht="15.75" customHeight="1"/>
    <row r="40701" ht="15.75" customHeight="1"/>
    <row r="40702" ht="15.75" customHeight="1"/>
    <row r="40703" ht="15.75" customHeight="1"/>
    <row r="40704" ht="15.75" customHeight="1"/>
    <row r="40705" ht="15.75" customHeight="1"/>
    <row r="40706" ht="15.75" customHeight="1"/>
    <row r="40707" ht="15.75" customHeight="1"/>
    <row r="40708" ht="15.75" customHeight="1"/>
    <row r="40709" ht="15.75" customHeight="1"/>
    <row r="40710" ht="15.75" customHeight="1"/>
    <row r="40711" ht="15.75" customHeight="1"/>
    <row r="40712" ht="15.75" customHeight="1"/>
    <row r="40713" ht="15.75" customHeight="1"/>
    <row r="40714" ht="15.75" customHeight="1"/>
    <row r="40715" ht="15.75" customHeight="1"/>
    <row r="40716" ht="15.75" customHeight="1"/>
    <row r="40717" ht="15.75" customHeight="1"/>
    <row r="40718" ht="15.75" customHeight="1"/>
    <row r="40719" ht="15.75" customHeight="1"/>
    <row r="40720" ht="15.75" customHeight="1"/>
    <row r="40721" ht="15.75" customHeight="1"/>
    <row r="40722" ht="15.75" customHeight="1"/>
    <row r="40723" ht="15.75" customHeight="1"/>
    <row r="40724" ht="15.75" customHeight="1"/>
    <row r="40725" ht="15.75" customHeight="1"/>
    <row r="40726" ht="15.75" customHeight="1"/>
    <row r="40727" ht="15.75" customHeight="1"/>
    <row r="40728" ht="15.75" customHeight="1"/>
    <row r="40729" ht="15.75" customHeight="1"/>
    <row r="40730" ht="15.75" customHeight="1"/>
    <row r="40731" ht="15.75" customHeight="1"/>
    <row r="40732" ht="15.75" customHeight="1"/>
    <row r="40733" ht="15.75" customHeight="1"/>
    <row r="40734" ht="15.75" customHeight="1"/>
    <row r="40735" ht="15.75" customHeight="1"/>
    <row r="40736" ht="15.75" customHeight="1"/>
    <row r="40737" ht="15.75" customHeight="1"/>
    <row r="40738" ht="15.75" customHeight="1"/>
    <row r="40739" ht="15.75" customHeight="1"/>
    <row r="40740" ht="15.75" customHeight="1"/>
    <row r="40741" ht="15.75" customHeight="1"/>
    <row r="40742" ht="15.75" customHeight="1"/>
    <row r="40743" ht="15.75" customHeight="1"/>
    <row r="40744" ht="15.75" customHeight="1"/>
    <row r="40745" ht="15.75" customHeight="1"/>
    <row r="40746" ht="15.75" customHeight="1"/>
    <row r="40747" ht="15.75" customHeight="1"/>
    <row r="40748" ht="15.75" customHeight="1"/>
    <row r="40749" ht="15.75" customHeight="1"/>
    <row r="40750" ht="15.75" customHeight="1"/>
    <row r="40751" ht="15.75" customHeight="1"/>
    <row r="40752" ht="15.75" customHeight="1"/>
    <row r="40753" ht="15.75" customHeight="1"/>
    <row r="40754" ht="15.75" customHeight="1"/>
    <row r="40755" ht="15.75" customHeight="1"/>
    <row r="40756" ht="15.75" customHeight="1"/>
    <row r="40757" ht="15.75" customHeight="1"/>
    <row r="40758" ht="15.75" customHeight="1"/>
    <row r="40759" ht="15.75" customHeight="1"/>
    <row r="40760" ht="15.75" customHeight="1"/>
    <row r="40761" ht="15.75" customHeight="1"/>
    <row r="40762" ht="15.75" customHeight="1"/>
    <row r="40763" ht="15.75" customHeight="1"/>
    <row r="40764" ht="15.75" customHeight="1"/>
    <row r="40765" ht="15.75" customHeight="1"/>
    <row r="40766" ht="15.75" customHeight="1"/>
    <row r="40767" ht="15.75" customHeight="1"/>
    <row r="40768" ht="15.75" customHeight="1"/>
    <row r="40769" ht="15.75" customHeight="1"/>
    <row r="40770" ht="15.75" customHeight="1"/>
    <row r="40771" ht="15.75" customHeight="1"/>
    <row r="40772" ht="15.75" customHeight="1"/>
    <row r="40773" ht="15.75" customHeight="1"/>
    <row r="40774" ht="15.75" customHeight="1"/>
    <row r="40775" ht="15.75" customHeight="1"/>
    <row r="40776" ht="15.75" customHeight="1"/>
    <row r="40777" ht="15.75" customHeight="1"/>
    <row r="40778" ht="15.75" customHeight="1"/>
    <row r="40779" ht="15.75" customHeight="1"/>
    <row r="40780" ht="15.75" customHeight="1"/>
    <row r="40781" ht="15.75" customHeight="1"/>
    <row r="40782" ht="15.75" customHeight="1"/>
    <row r="40783" ht="15.75" customHeight="1"/>
    <row r="40784" ht="15.75" customHeight="1"/>
    <row r="40785" ht="15.75" customHeight="1"/>
    <row r="40786" ht="15.75" customHeight="1"/>
    <row r="40787" ht="15.75" customHeight="1"/>
    <row r="40788" ht="15.75" customHeight="1"/>
    <row r="40789" ht="15.75" customHeight="1"/>
    <row r="40790" ht="15.75" customHeight="1"/>
    <row r="40791" ht="15.75" customHeight="1"/>
    <row r="40792" ht="15.75" customHeight="1"/>
    <row r="40793" ht="15.75" customHeight="1"/>
    <row r="40794" ht="15.75" customHeight="1"/>
    <row r="40795" ht="15.75" customHeight="1"/>
    <row r="40796" ht="15.75" customHeight="1"/>
    <row r="40797" ht="15.75" customHeight="1"/>
    <row r="40798" ht="15.75" customHeight="1"/>
    <row r="40799" ht="15.75" customHeight="1"/>
    <row r="40800" ht="15.75" customHeight="1"/>
    <row r="40801" ht="15.75" customHeight="1"/>
    <row r="40802" ht="15.75" customHeight="1"/>
    <row r="40803" ht="15.75" customHeight="1"/>
    <row r="40804" ht="15.75" customHeight="1"/>
    <row r="40805" ht="15.75" customHeight="1"/>
    <row r="40806" ht="15.75" customHeight="1"/>
    <row r="40807" ht="15.75" customHeight="1"/>
    <row r="40808" ht="15.75" customHeight="1"/>
    <row r="40809" ht="15.75" customHeight="1"/>
    <row r="40810" ht="15.75" customHeight="1"/>
    <row r="40811" ht="15.75" customHeight="1"/>
    <row r="40812" ht="15.75" customHeight="1"/>
    <row r="40813" ht="15.75" customHeight="1"/>
    <row r="40814" ht="15.75" customHeight="1"/>
    <row r="40815" ht="15.75" customHeight="1"/>
    <row r="40816" ht="15.75" customHeight="1"/>
    <row r="40817" ht="15.75" customHeight="1"/>
    <row r="40818" ht="15.75" customHeight="1"/>
    <row r="40819" ht="15.75" customHeight="1"/>
    <row r="40820" ht="15.75" customHeight="1"/>
    <row r="40821" ht="15.75" customHeight="1"/>
    <row r="40822" ht="15.75" customHeight="1"/>
    <row r="40823" ht="15.75" customHeight="1"/>
    <row r="40824" ht="15.75" customHeight="1"/>
    <row r="40825" ht="15.75" customHeight="1"/>
    <row r="40826" ht="15.75" customHeight="1"/>
    <row r="40827" ht="15.75" customHeight="1"/>
    <row r="40828" ht="15.75" customHeight="1"/>
    <row r="40829" ht="15.75" customHeight="1"/>
    <row r="40830" ht="15.75" customHeight="1"/>
    <row r="40831" ht="15.75" customHeight="1"/>
    <row r="40832" ht="15.75" customHeight="1"/>
    <row r="40833" ht="15.75" customHeight="1"/>
    <row r="40834" ht="15.75" customHeight="1"/>
    <row r="40835" ht="15.75" customHeight="1"/>
    <row r="40836" ht="15.75" customHeight="1"/>
    <row r="40837" ht="15.75" customHeight="1"/>
    <row r="40838" ht="15.75" customHeight="1"/>
    <row r="40839" ht="15.75" customHeight="1"/>
    <row r="40840" ht="15.75" customHeight="1"/>
    <row r="40841" ht="15.75" customHeight="1"/>
    <row r="40842" ht="15.75" customHeight="1"/>
    <row r="40843" ht="15.75" customHeight="1"/>
    <row r="40844" ht="15.75" customHeight="1"/>
    <row r="40845" ht="15.75" customHeight="1"/>
    <row r="40846" ht="15.75" customHeight="1"/>
    <row r="40847" ht="15.75" customHeight="1"/>
    <row r="40848" ht="15.75" customHeight="1"/>
    <row r="40849" ht="15.75" customHeight="1"/>
    <row r="40850" ht="15.75" customHeight="1"/>
    <row r="40851" ht="15.75" customHeight="1"/>
    <row r="40852" ht="15.75" customHeight="1"/>
    <row r="40853" ht="15.75" customHeight="1"/>
    <row r="40854" ht="15.75" customHeight="1"/>
    <row r="40855" ht="15.75" customHeight="1"/>
    <row r="40856" ht="15.75" customHeight="1"/>
    <row r="40857" ht="15.75" customHeight="1"/>
    <row r="40858" ht="15.75" customHeight="1"/>
    <row r="40859" ht="15.75" customHeight="1"/>
    <row r="40860" ht="15.75" customHeight="1"/>
    <row r="40861" ht="15.75" customHeight="1"/>
    <row r="40862" ht="15.75" customHeight="1"/>
    <row r="40863" ht="15.75" customHeight="1"/>
    <row r="40864" ht="15.75" customHeight="1"/>
    <row r="40865" ht="15.75" customHeight="1"/>
    <row r="40866" ht="15.75" customHeight="1"/>
    <row r="40867" ht="15.75" customHeight="1"/>
    <row r="40868" ht="15.75" customHeight="1"/>
    <row r="40869" ht="15.75" customHeight="1"/>
    <row r="40870" ht="15.75" customHeight="1"/>
    <row r="40871" ht="15.75" customHeight="1"/>
    <row r="40872" ht="15.75" customHeight="1"/>
    <row r="40873" ht="15.75" customHeight="1"/>
    <row r="40874" ht="15.75" customHeight="1"/>
    <row r="40875" ht="15.75" customHeight="1"/>
    <row r="40876" ht="15.75" customHeight="1"/>
    <row r="40877" ht="15.75" customHeight="1"/>
    <row r="40878" ht="15.75" customHeight="1"/>
    <row r="40879" ht="15.75" customHeight="1"/>
    <row r="40880" ht="15.75" customHeight="1"/>
    <row r="40881" ht="15.75" customHeight="1"/>
    <row r="40882" ht="15.75" customHeight="1"/>
    <row r="40883" ht="15.75" customHeight="1"/>
    <row r="40884" ht="15.75" customHeight="1"/>
    <row r="40885" ht="15.75" customHeight="1"/>
    <row r="40886" ht="15.75" customHeight="1"/>
    <row r="40887" ht="15.75" customHeight="1"/>
    <row r="40888" ht="15.75" customHeight="1"/>
    <row r="40889" ht="15.75" customHeight="1"/>
    <row r="40890" ht="15.75" customHeight="1"/>
    <row r="40891" ht="15.75" customHeight="1"/>
    <row r="40892" ht="15.75" customHeight="1"/>
    <row r="40893" ht="15.75" customHeight="1"/>
    <row r="40894" ht="15.75" customHeight="1"/>
    <row r="40895" ht="15.75" customHeight="1"/>
    <row r="40896" ht="15.75" customHeight="1"/>
    <row r="40897" ht="15.75" customHeight="1"/>
    <row r="40898" ht="15.75" customHeight="1"/>
    <row r="40899" ht="15.75" customHeight="1"/>
    <row r="40900" ht="15.75" customHeight="1"/>
    <row r="40901" ht="15.75" customHeight="1"/>
    <row r="40902" ht="15.75" customHeight="1"/>
    <row r="40903" ht="15.75" customHeight="1"/>
    <row r="40904" ht="15.75" customHeight="1"/>
    <row r="40905" ht="15.75" customHeight="1"/>
    <row r="40906" ht="15.75" customHeight="1"/>
    <row r="40907" ht="15.75" customHeight="1"/>
    <row r="40908" ht="15.75" customHeight="1"/>
    <row r="40909" ht="15.75" customHeight="1"/>
    <row r="40910" ht="15.75" customHeight="1"/>
    <row r="40911" ht="15.75" customHeight="1"/>
    <row r="40912" ht="15.75" customHeight="1"/>
    <row r="40913" ht="15.75" customHeight="1"/>
    <row r="40914" ht="15.75" customHeight="1"/>
    <row r="40915" ht="15.75" customHeight="1"/>
    <row r="40916" ht="15.75" customHeight="1"/>
    <row r="40917" ht="15.75" customHeight="1"/>
    <row r="40918" ht="15.75" customHeight="1"/>
    <row r="40919" ht="15.75" customHeight="1"/>
    <row r="40920" ht="15.75" customHeight="1"/>
    <row r="40921" ht="15.75" customHeight="1"/>
    <row r="40922" ht="15.75" customHeight="1"/>
    <row r="40923" ht="15.75" customHeight="1"/>
    <row r="40924" ht="15.75" customHeight="1"/>
    <row r="40925" ht="15.75" customHeight="1"/>
    <row r="40926" ht="15.75" customHeight="1"/>
    <row r="40927" ht="15.75" customHeight="1"/>
    <row r="40928" ht="15.75" customHeight="1"/>
    <row r="40929" ht="15.75" customHeight="1"/>
    <row r="40930" ht="15.75" customHeight="1"/>
    <row r="40931" ht="15.75" customHeight="1"/>
    <row r="40932" ht="15.75" customHeight="1"/>
    <row r="40933" ht="15.75" customHeight="1"/>
    <row r="40934" ht="15.75" customHeight="1"/>
    <row r="40935" ht="15.75" customHeight="1"/>
    <row r="40936" ht="15.75" customHeight="1"/>
    <row r="40937" ht="15.75" customHeight="1"/>
    <row r="40938" ht="15.75" customHeight="1"/>
    <row r="40939" ht="15.75" customHeight="1"/>
    <row r="40940" ht="15.75" customHeight="1"/>
    <row r="40941" ht="15.75" customHeight="1"/>
    <row r="40942" ht="15.75" customHeight="1"/>
    <row r="40943" ht="15.75" customHeight="1"/>
    <row r="40944" ht="15.75" customHeight="1"/>
    <row r="40945" ht="15.75" customHeight="1"/>
    <row r="40946" ht="15.75" customHeight="1"/>
    <row r="40947" ht="15.75" customHeight="1"/>
    <row r="40948" ht="15.75" customHeight="1"/>
    <row r="40949" ht="15.75" customHeight="1"/>
    <row r="40950" ht="15.75" customHeight="1"/>
    <row r="40951" ht="15.75" customHeight="1"/>
    <row r="40952" ht="15.75" customHeight="1"/>
    <row r="40953" ht="15.75" customHeight="1"/>
    <row r="40954" ht="15.75" customHeight="1"/>
    <row r="40955" ht="15.75" customHeight="1"/>
    <row r="40956" ht="15.75" customHeight="1"/>
    <row r="40957" ht="15.75" customHeight="1"/>
    <row r="40958" ht="15.75" customHeight="1"/>
    <row r="40959" ht="15.75" customHeight="1"/>
    <row r="40960" ht="15.75" customHeight="1"/>
    <row r="40961" ht="15.75" customHeight="1"/>
    <row r="40962" ht="15.75" customHeight="1"/>
    <row r="40963" ht="15.75" customHeight="1"/>
    <row r="40964" ht="15.75" customHeight="1"/>
    <row r="40965" ht="15.75" customHeight="1"/>
    <row r="40966" ht="15.75" customHeight="1"/>
    <row r="40967" ht="15.75" customHeight="1"/>
    <row r="40968" ht="15.75" customHeight="1"/>
    <row r="40969" ht="15.75" customHeight="1"/>
    <row r="40970" ht="15.75" customHeight="1"/>
    <row r="40971" ht="15.75" customHeight="1"/>
    <row r="40972" ht="15.75" customHeight="1"/>
    <row r="40973" ht="15.75" customHeight="1"/>
    <row r="40974" ht="15.75" customHeight="1"/>
    <row r="40975" ht="15.75" customHeight="1"/>
    <row r="40976" ht="15.75" customHeight="1"/>
    <row r="40977" ht="15.75" customHeight="1"/>
    <row r="40978" ht="15.75" customHeight="1"/>
    <row r="40979" ht="15.75" customHeight="1"/>
    <row r="40980" ht="15.75" customHeight="1"/>
    <row r="40981" ht="15.75" customHeight="1"/>
    <row r="40982" ht="15.75" customHeight="1"/>
    <row r="40983" ht="15.75" customHeight="1"/>
    <row r="40984" ht="15.75" customHeight="1"/>
    <row r="40985" ht="15.75" customHeight="1"/>
    <row r="40986" ht="15.75" customHeight="1"/>
    <row r="40987" ht="15.75" customHeight="1"/>
    <row r="40988" ht="15.75" customHeight="1"/>
    <row r="40989" ht="15.75" customHeight="1"/>
    <row r="40990" ht="15.75" customHeight="1"/>
    <row r="40991" ht="15.75" customHeight="1"/>
    <row r="40992" ht="15.75" customHeight="1"/>
    <row r="40993" ht="15.75" customHeight="1"/>
    <row r="40994" ht="15.75" customHeight="1"/>
    <row r="40995" ht="15.75" customHeight="1"/>
    <row r="40996" ht="15.75" customHeight="1"/>
    <row r="40997" ht="15.75" customHeight="1"/>
    <row r="40998" ht="15.75" customHeight="1"/>
    <row r="40999" ht="15.75" customHeight="1"/>
    <row r="41000" ht="15.75" customHeight="1"/>
    <row r="41001" ht="15.75" customHeight="1"/>
    <row r="41002" ht="15.75" customHeight="1"/>
    <row r="41003" ht="15.75" customHeight="1"/>
    <row r="41004" ht="15.75" customHeight="1"/>
    <row r="41005" ht="15.75" customHeight="1"/>
    <row r="41006" ht="15.75" customHeight="1"/>
    <row r="41007" ht="15.75" customHeight="1"/>
    <row r="41008" ht="15.75" customHeight="1"/>
    <row r="41009" ht="15.75" customHeight="1"/>
    <row r="41010" ht="15.75" customHeight="1"/>
    <row r="41011" ht="15.75" customHeight="1"/>
    <row r="41012" ht="15.75" customHeight="1"/>
    <row r="41013" ht="15.75" customHeight="1"/>
    <row r="41014" ht="15.75" customHeight="1"/>
    <row r="41015" ht="15.75" customHeight="1"/>
    <row r="41016" ht="15.75" customHeight="1"/>
    <row r="41017" ht="15.75" customHeight="1"/>
    <row r="41018" ht="15.75" customHeight="1"/>
    <row r="41019" ht="15.75" customHeight="1"/>
    <row r="41020" ht="15.75" customHeight="1"/>
    <row r="41021" ht="15.75" customHeight="1"/>
    <row r="41022" ht="15.75" customHeight="1"/>
    <row r="41023" ht="15.75" customHeight="1"/>
    <row r="41024" ht="15.75" customHeight="1"/>
    <row r="41025" ht="15.75" customHeight="1"/>
    <row r="41026" ht="15.75" customHeight="1"/>
    <row r="41027" ht="15.75" customHeight="1"/>
    <row r="41028" ht="15.75" customHeight="1"/>
    <row r="41029" ht="15.75" customHeight="1"/>
    <row r="41030" ht="15.75" customHeight="1"/>
    <row r="41031" ht="15.75" customHeight="1"/>
    <row r="41032" ht="15.75" customHeight="1"/>
    <row r="41033" ht="15.75" customHeight="1"/>
    <row r="41034" ht="15.75" customHeight="1"/>
    <row r="41035" ht="15.75" customHeight="1"/>
    <row r="41036" ht="15.75" customHeight="1"/>
    <row r="41037" ht="15.75" customHeight="1"/>
    <row r="41038" ht="15.75" customHeight="1"/>
    <row r="41039" ht="15.75" customHeight="1"/>
    <row r="41040" ht="15.75" customHeight="1"/>
    <row r="41041" ht="15.75" customHeight="1"/>
    <row r="41042" ht="15.75" customHeight="1"/>
    <row r="41043" ht="15.75" customHeight="1"/>
    <row r="41044" ht="15.75" customHeight="1"/>
    <row r="41045" ht="15.75" customHeight="1"/>
    <row r="41046" ht="15.75" customHeight="1"/>
    <row r="41047" ht="15.75" customHeight="1"/>
    <row r="41048" ht="15.75" customHeight="1"/>
    <row r="41049" ht="15.75" customHeight="1"/>
    <row r="41050" ht="15.75" customHeight="1"/>
    <row r="41051" ht="15.75" customHeight="1"/>
    <row r="41052" ht="15.75" customHeight="1"/>
    <row r="41053" ht="15.75" customHeight="1"/>
    <row r="41054" ht="15.75" customHeight="1"/>
    <row r="41055" ht="15.75" customHeight="1"/>
    <row r="41056" ht="15.75" customHeight="1"/>
    <row r="41057" ht="15.75" customHeight="1"/>
    <row r="41058" ht="15.75" customHeight="1"/>
    <row r="41059" ht="15.75" customHeight="1"/>
    <row r="41060" ht="15.75" customHeight="1"/>
    <row r="41061" ht="15.75" customHeight="1"/>
    <row r="41062" ht="15.75" customHeight="1"/>
    <row r="41063" ht="15.75" customHeight="1"/>
    <row r="41064" ht="15.75" customHeight="1"/>
    <row r="41065" ht="15.75" customHeight="1"/>
    <row r="41066" ht="15.75" customHeight="1"/>
    <row r="41067" ht="15.75" customHeight="1"/>
    <row r="41068" ht="15.75" customHeight="1"/>
    <row r="41069" ht="15.75" customHeight="1"/>
    <row r="41070" ht="15.75" customHeight="1"/>
    <row r="41071" ht="15.75" customHeight="1"/>
    <row r="41072" ht="15.75" customHeight="1"/>
    <row r="41073" ht="15.75" customHeight="1"/>
    <row r="41074" ht="15.75" customHeight="1"/>
    <row r="41075" ht="15.75" customHeight="1"/>
    <row r="41076" ht="15.75" customHeight="1"/>
    <row r="41077" ht="15.75" customHeight="1"/>
    <row r="41078" ht="15.75" customHeight="1"/>
    <row r="41079" ht="15.75" customHeight="1"/>
    <row r="41080" ht="15.75" customHeight="1"/>
    <row r="41081" ht="15.75" customHeight="1"/>
    <row r="41082" ht="15.75" customHeight="1"/>
    <row r="41083" ht="15.75" customHeight="1"/>
    <row r="41084" ht="15.75" customHeight="1"/>
    <row r="41085" ht="15.75" customHeight="1"/>
    <row r="41086" ht="15.75" customHeight="1"/>
    <row r="41087" ht="15.75" customHeight="1"/>
    <row r="41088" ht="15.75" customHeight="1"/>
    <row r="41089" ht="15.75" customHeight="1"/>
    <row r="41090" ht="15.75" customHeight="1"/>
    <row r="41091" ht="15.75" customHeight="1"/>
    <row r="41092" ht="15.75" customHeight="1"/>
    <row r="41093" ht="15.75" customHeight="1"/>
    <row r="41094" ht="15.75" customHeight="1"/>
    <row r="41095" ht="15.75" customHeight="1"/>
    <row r="41096" ht="15.75" customHeight="1"/>
    <row r="41097" ht="15.75" customHeight="1"/>
    <row r="41098" ht="15.75" customHeight="1"/>
    <row r="41099" ht="15.75" customHeight="1"/>
    <row r="41100" ht="15.75" customHeight="1"/>
    <row r="41101" ht="15.75" customHeight="1"/>
    <row r="41102" ht="15.75" customHeight="1"/>
    <row r="41103" ht="15.75" customHeight="1"/>
    <row r="41104" ht="15.75" customHeight="1"/>
    <row r="41105" ht="15.75" customHeight="1"/>
    <row r="41106" ht="15.75" customHeight="1"/>
    <row r="41107" ht="15.75" customHeight="1"/>
    <row r="41108" ht="15.75" customHeight="1"/>
    <row r="41109" ht="15.75" customHeight="1"/>
    <row r="41110" ht="15.75" customHeight="1"/>
    <row r="41111" ht="15.75" customHeight="1"/>
    <row r="41112" ht="15.75" customHeight="1"/>
    <row r="41113" ht="15.75" customHeight="1"/>
    <row r="41114" ht="15.75" customHeight="1"/>
    <row r="41115" ht="15.75" customHeight="1"/>
    <row r="41116" ht="15.75" customHeight="1"/>
    <row r="41117" ht="15.75" customHeight="1"/>
    <row r="41118" ht="15.75" customHeight="1"/>
    <row r="41119" ht="15.75" customHeight="1"/>
    <row r="41120" ht="15.75" customHeight="1"/>
    <row r="41121" ht="15.75" customHeight="1"/>
    <row r="41122" ht="15.75" customHeight="1"/>
    <row r="41123" ht="15.75" customHeight="1"/>
    <row r="41124" ht="15.75" customHeight="1"/>
    <row r="41125" ht="15.75" customHeight="1"/>
    <row r="41126" ht="15.75" customHeight="1"/>
    <row r="41127" ht="15.75" customHeight="1"/>
    <row r="41128" ht="15.75" customHeight="1"/>
    <row r="41129" ht="15.75" customHeight="1"/>
    <row r="41130" ht="15.75" customHeight="1"/>
    <row r="41131" ht="15.75" customHeight="1"/>
    <row r="41132" ht="15.75" customHeight="1"/>
    <row r="41133" ht="15.75" customHeight="1"/>
    <row r="41134" ht="15.75" customHeight="1"/>
    <row r="41135" ht="15.75" customHeight="1"/>
    <row r="41136" ht="15.75" customHeight="1"/>
    <row r="41137" ht="15.75" customHeight="1"/>
    <row r="41138" ht="15.75" customHeight="1"/>
    <row r="41139" ht="15.75" customHeight="1"/>
    <row r="41140" ht="15.75" customHeight="1"/>
    <row r="41141" ht="15.75" customHeight="1"/>
    <row r="41142" ht="15.75" customHeight="1"/>
    <row r="41143" ht="15.75" customHeight="1"/>
    <row r="41144" ht="15.75" customHeight="1"/>
    <row r="41145" ht="15.75" customHeight="1"/>
    <row r="41146" ht="15.75" customHeight="1"/>
    <row r="41147" ht="15.75" customHeight="1"/>
    <row r="41148" ht="15.75" customHeight="1"/>
    <row r="41149" ht="15.75" customHeight="1"/>
    <row r="41150" ht="15.75" customHeight="1"/>
    <row r="41151" ht="15.75" customHeight="1"/>
    <row r="41152" ht="15.75" customHeight="1"/>
    <row r="41153" ht="15.75" customHeight="1"/>
    <row r="41154" ht="15.75" customHeight="1"/>
    <row r="41155" ht="15.75" customHeight="1"/>
    <row r="41156" ht="15.75" customHeight="1"/>
    <row r="41157" ht="15.75" customHeight="1"/>
    <row r="41158" ht="15.75" customHeight="1"/>
    <row r="41159" ht="15.75" customHeight="1"/>
    <row r="41160" ht="15.75" customHeight="1"/>
    <row r="41161" ht="15.75" customHeight="1"/>
    <row r="41162" ht="15.75" customHeight="1"/>
    <row r="41163" ht="15.75" customHeight="1"/>
    <row r="41164" ht="15.75" customHeight="1"/>
    <row r="41165" ht="15.75" customHeight="1"/>
    <row r="41166" ht="15.75" customHeight="1"/>
    <row r="41167" ht="15.75" customHeight="1"/>
    <row r="41168" ht="15.75" customHeight="1"/>
    <row r="41169" ht="15.75" customHeight="1"/>
    <row r="41170" ht="15.75" customHeight="1"/>
    <row r="41171" ht="15.75" customHeight="1"/>
    <row r="41172" ht="15.75" customHeight="1"/>
    <row r="41173" ht="15.75" customHeight="1"/>
    <row r="41174" ht="15.75" customHeight="1"/>
    <row r="41175" ht="15.75" customHeight="1"/>
    <row r="41176" ht="15.75" customHeight="1"/>
    <row r="41177" ht="15.75" customHeight="1"/>
    <row r="41178" ht="15.75" customHeight="1"/>
    <row r="41179" ht="15.75" customHeight="1"/>
    <row r="41180" ht="15.75" customHeight="1"/>
    <row r="41181" ht="15.75" customHeight="1"/>
    <row r="41182" ht="15.75" customHeight="1"/>
    <row r="41183" ht="15.75" customHeight="1"/>
    <row r="41184" ht="15.75" customHeight="1"/>
    <row r="41185" ht="15.75" customHeight="1"/>
    <row r="41186" ht="15.75" customHeight="1"/>
    <row r="41187" ht="15.75" customHeight="1"/>
    <row r="41188" ht="15.75" customHeight="1"/>
    <row r="41189" ht="15.75" customHeight="1"/>
    <row r="41190" ht="15.75" customHeight="1"/>
    <row r="41191" ht="15.75" customHeight="1"/>
    <row r="41192" ht="15.75" customHeight="1"/>
    <row r="41193" ht="15.75" customHeight="1"/>
    <row r="41194" ht="15.75" customHeight="1"/>
    <row r="41195" ht="15.75" customHeight="1"/>
    <row r="41196" ht="15.75" customHeight="1"/>
    <row r="41197" ht="15.75" customHeight="1"/>
    <row r="41198" ht="15.75" customHeight="1"/>
    <row r="41199" ht="15.75" customHeight="1"/>
    <row r="41200" ht="15.75" customHeight="1"/>
    <row r="41201" ht="15.75" customHeight="1"/>
    <row r="41202" ht="15.75" customHeight="1"/>
    <row r="41203" ht="15.75" customHeight="1"/>
    <row r="41204" ht="15.75" customHeight="1"/>
    <row r="41205" ht="15.75" customHeight="1"/>
    <row r="41206" ht="15.75" customHeight="1"/>
    <row r="41207" ht="15.75" customHeight="1"/>
    <row r="41208" ht="15.75" customHeight="1"/>
    <row r="41209" ht="15.75" customHeight="1"/>
    <row r="41210" ht="15.75" customHeight="1"/>
    <row r="41211" ht="15.75" customHeight="1"/>
    <row r="41212" ht="15.75" customHeight="1"/>
    <row r="41213" ht="15.75" customHeight="1"/>
    <row r="41214" ht="15.75" customHeight="1"/>
    <row r="41215" ht="15.75" customHeight="1"/>
    <row r="41216" ht="15.75" customHeight="1"/>
    <row r="41217" ht="15.75" customHeight="1"/>
    <row r="41218" ht="15.75" customHeight="1"/>
    <row r="41219" ht="15.75" customHeight="1"/>
    <row r="41220" ht="15.75" customHeight="1"/>
    <row r="41221" ht="15.75" customHeight="1"/>
    <row r="41222" ht="15.75" customHeight="1"/>
    <row r="41223" ht="15.75" customHeight="1"/>
    <row r="41224" ht="15.75" customHeight="1"/>
    <row r="41225" ht="15.75" customHeight="1"/>
    <row r="41226" ht="15.75" customHeight="1"/>
    <row r="41227" ht="15.75" customHeight="1"/>
    <row r="41228" ht="15.75" customHeight="1"/>
    <row r="41229" ht="15.75" customHeight="1"/>
    <row r="41230" ht="15.75" customHeight="1"/>
    <row r="41231" ht="15.75" customHeight="1"/>
    <row r="41232" ht="15.75" customHeight="1"/>
    <row r="41233" ht="15.75" customHeight="1"/>
    <row r="41234" ht="15.75" customHeight="1"/>
    <row r="41235" ht="15.75" customHeight="1"/>
    <row r="41236" ht="15.75" customHeight="1"/>
    <row r="41237" ht="15.75" customHeight="1"/>
    <row r="41238" ht="15.75" customHeight="1"/>
    <row r="41239" ht="15.75" customHeight="1"/>
    <row r="41240" ht="15.75" customHeight="1"/>
    <row r="41241" ht="15.75" customHeight="1"/>
    <row r="41242" ht="15.75" customHeight="1"/>
    <row r="41243" ht="15.75" customHeight="1"/>
    <row r="41244" ht="15.75" customHeight="1"/>
    <row r="41245" ht="15.75" customHeight="1"/>
    <row r="41246" ht="15.75" customHeight="1"/>
    <row r="41247" ht="15.75" customHeight="1"/>
    <row r="41248" ht="15.75" customHeight="1"/>
    <row r="41249" ht="15.75" customHeight="1"/>
    <row r="41250" ht="15.75" customHeight="1"/>
    <row r="41251" ht="15.75" customHeight="1"/>
    <row r="41252" ht="15.75" customHeight="1"/>
    <row r="41253" ht="15.75" customHeight="1"/>
    <row r="41254" ht="15.75" customHeight="1"/>
    <row r="41255" ht="15.75" customHeight="1"/>
    <row r="41256" ht="15.75" customHeight="1"/>
    <row r="41257" ht="15.75" customHeight="1"/>
    <row r="41258" ht="15.75" customHeight="1"/>
    <row r="41259" ht="15.75" customHeight="1"/>
    <row r="41260" ht="15.75" customHeight="1"/>
    <row r="41261" ht="15.75" customHeight="1"/>
    <row r="41262" ht="15.75" customHeight="1"/>
    <row r="41263" ht="15.75" customHeight="1"/>
    <row r="41264" ht="15.75" customHeight="1"/>
    <row r="41265" ht="15.75" customHeight="1"/>
    <row r="41266" ht="15.75" customHeight="1"/>
    <row r="41267" ht="15.75" customHeight="1"/>
    <row r="41268" ht="15.75" customHeight="1"/>
    <row r="41269" ht="15.75" customHeight="1"/>
    <row r="41270" ht="15.75" customHeight="1"/>
    <row r="41271" ht="15.75" customHeight="1"/>
    <row r="41272" ht="15.75" customHeight="1"/>
    <row r="41273" ht="15.75" customHeight="1"/>
    <row r="41274" ht="15.75" customHeight="1"/>
    <row r="41275" ht="15.75" customHeight="1"/>
    <row r="41276" ht="15.75" customHeight="1"/>
    <row r="41277" ht="15.75" customHeight="1"/>
    <row r="41278" ht="15.75" customHeight="1"/>
    <row r="41279" ht="15.75" customHeight="1"/>
    <row r="41280" ht="15.75" customHeight="1"/>
    <row r="41281" ht="15.75" customHeight="1"/>
    <row r="41282" ht="15.75" customHeight="1"/>
    <row r="41283" ht="15.75" customHeight="1"/>
    <row r="41284" ht="15.75" customHeight="1"/>
    <row r="41285" ht="15.75" customHeight="1"/>
    <row r="41286" ht="15.75" customHeight="1"/>
    <row r="41287" ht="15.75" customHeight="1"/>
    <row r="41288" ht="15.75" customHeight="1"/>
    <row r="41289" ht="15.75" customHeight="1"/>
    <row r="41290" ht="15.75" customHeight="1"/>
    <row r="41291" ht="15.75" customHeight="1"/>
    <row r="41292" ht="15.75" customHeight="1"/>
    <row r="41293" ht="15.75" customHeight="1"/>
    <row r="41294" ht="15.75" customHeight="1"/>
    <row r="41295" ht="15.75" customHeight="1"/>
    <row r="41296" ht="15.75" customHeight="1"/>
    <row r="41297" ht="15.75" customHeight="1"/>
    <row r="41298" ht="15.75" customHeight="1"/>
    <row r="41299" ht="15.75" customHeight="1"/>
    <row r="41300" ht="15.75" customHeight="1"/>
    <row r="41301" ht="15.75" customHeight="1"/>
    <row r="41302" ht="15.75" customHeight="1"/>
    <row r="41303" ht="15.75" customHeight="1"/>
    <row r="41304" ht="15.75" customHeight="1"/>
    <row r="41305" ht="15.75" customHeight="1"/>
    <row r="41306" ht="15.75" customHeight="1"/>
    <row r="41307" ht="15.75" customHeight="1"/>
    <row r="41308" ht="15.75" customHeight="1"/>
    <row r="41309" ht="15.75" customHeight="1"/>
    <row r="41310" ht="15.75" customHeight="1"/>
    <row r="41311" ht="15.75" customHeight="1"/>
    <row r="41312" ht="15.75" customHeight="1"/>
    <row r="41313" ht="15.75" customHeight="1"/>
    <row r="41314" ht="15.75" customHeight="1"/>
    <row r="41315" ht="15.75" customHeight="1"/>
    <row r="41316" ht="15.75" customHeight="1"/>
    <row r="41317" ht="15.75" customHeight="1"/>
    <row r="41318" ht="15.75" customHeight="1"/>
    <row r="41319" ht="15.75" customHeight="1"/>
    <row r="41320" ht="15.75" customHeight="1"/>
    <row r="41321" ht="15.75" customHeight="1"/>
    <row r="41322" ht="15.75" customHeight="1"/>
    <row r="41323" ht="15.75" customHeight="1"/>
    <row r="41324" ht="15.75" customHeight="1"/>
    <row r="41325" ht="15.75" customHeight="1"/>
    <row r="41326" ht="15.75" customHeight="1"/>
    <row r="41327" ht="15.75" customHeight="1"/>
    <row r="41328" ht="15.75" customHeight="1"/>
    <row r="41329" ht="15.75" customHeight="1"/>
    <row r="41330" ht="15.75" customHeight="1"/>
    <row r="41331" ht="15.75" customHeight="1"/>
    <row r="41332" ht="15.75" customHeight="1"/>
    <row r="41333" ht="15.75" customHeight="1"/>
    <row r="41334" ht="15.75" customHeight="1"/>
    <row r="41335" ht="15.75" customHeight="1"/>
    <row r="41336" ht="15.75" customHeight="1"/>
    <row r="41337" ht="15.75" customHeight="1"/>
    <row r="41338" ht="15.75" customHeight="1"/>
    <row r="41339" ht="15.75" customHeight="1"/>
    <row r="41340" ht="15.75" customHeight="1"/>
    <row r="41341" ht="15.75" customHeight="1"/>
    <row r="41342" ht="15.75" customHeight="1"/>
    <row r="41343" ht="15.75" customHeight="1"/>
    <row r="41344" ht="15.75" customHeight="1"/>
    <row r="41345" ht="15.75" customHeight="1"/>
    <row r="41346" ht="15.75" customHeight="1"/>
    <row r="41347" ht="15.75" customHeight="1"/>
    <row r="41348" ht="15.75" customHeight="1"/>
    <row r="41349" ht="15.75" customHeight="1"/>
    <row r="41350" ht="15.75" customHeight="1"/>
    <row r="41351" ht="15.75" customHeight="1"/>
    <row r="41352" ht="15.75" customHeight="1"/>
    <row r="41353" ht="15.75" customHeight="1"/>
    <row r="41354" ht="15.75" customHeight="1"/>
    <row r="41355" ht="15.75" customHeight="1"/>
    <row r="41356" ht="15.75" customHeight="1"/>
    <row r="41357" ht="15.75" customHeight="1"/>
    <row r="41358" ht="15.75" customHeight="1"/>
    <row r="41359" ht="15.75" customHeight="1"/>
    <row r="41360" ht="15.75" customHeight="1"/>
    <row r="41361" ht="15.75" customHeight="1"/>
    <row r="41362" ht="15.75" customHeight="1"/>
    <row r="41363" ht="15.75" customHeight="1"/>
    <row r="41364" ht="15.75" customHeight="1"/>
    <row r="41365" ht="15.75" customHeight="1"/>
    <row r="41366" ht="15.75" customHeight="1"/>
    <row r="41367" ht="15.75" customHeight="1"/>
    <row r="41368" ht="15.75" customHeight="1"/>
    <row r="41369" ht="15.75" customHeight="1"/>
    <row r="41370" ht="15.75" customHeight="1"/>
    <row r="41371" ht="15.75" customHeight="1"/>
    <row r="41372" ht="15.75" customHeight="1"/>
    <row r="41373" ht="15.75" customHeight="1"/>
    <row r="41374" ht="15.75" customHeight="1"/>
    <row r="41375" ht="15.75" customHeight="1"/>
    <row r="41376" ht="15.75" customHeight="1"/>
    <row r="41377" ht="15.75" customHeight="1"/>
    <row r="41378" ht="15.75" customHeight="1"/>
    <row r="41379" ht="15.75" customHeight="1"/>
    <row r="41380" ht="15.75" customHeight="1"/>
    <row r="41381" ht="15.75" customHeight="1"/>
    <row r="41382" ht="15.75" customHeight="1"/>
    <row r="41383" ht="15.75" customHeight="1"/>
    <row r="41384" ht="15.75" customHeight="1"/>
    <row r="41385" ht="15.75" customHeight="1"/>
    <row r="41386" ht="15.75" customHeight="1"/>
    <row r="41387" ht="15.75" customHeight="1"/>
    <row r="41388" ht="15.75" customHeight="1"/>
    <row r="41389" ht="15.75" customHeight="1"/>
    <row r="41390" ht="15.75" customHeight="1"/>
    <row r="41391" ht="15.75" customHeight="1"/>
    <row r="41392" ht="15.75" customHeight="1"/>
    <row r="41393" ht="15.75" customHeight="1"/>
    <row r="41394" ht="15.75" customHeight="1"/>
    <row r="41395" ht="15.75" customHeight="1"/>
    <row r="41396" ht="15.75" customHeight="1"/>
    <row r="41397" ht="15.75" customHeight="1"/>
    <row r="41398" ht="15.75" customHeight="1"/>
    <row r="41399" ht="15.75" customHeight="1"/>
    <row r="41400" ht="15.75" customHeight="1"/>
    <row r="41401" ht="15.75" customHeight="1"/>
    <row r="41402" ht="15.75" customHeight="1"/>
    <row r="41403" ht="15.75" customHeight="1"/>
    <row r="41404" ht="15.75" customHeight="1"/>
    <row r="41405" ht="15.75" customHeight="1"/>
    <row r="41406" ht="15.75" customHeight="1"/>
    <row r="41407" ht="15.75" customHeight="1"/>
    <row r="41408" ht="15.75" customHeight="1"/>
    <row r="41409" ht="15.75" customHeight="1"/>
    <row r="41410" ht="15.75" customHeight="1"/>
    <row r="41411" ht="15.75" customHeight="1"/>
    <row r="41412" ht="15.75" customHeight="1"/>
    <row r="41413" ht="15.75" customHeight="1"/>
    <row r="41414" ht="15.75" customHeight="1"/>
    <row r="41415" ht="15.75" customHeight="1"/>
    <row r="41416" ht="15.75" customHeight="1"/>
    <row r="41417" ht="15.75" customHeight="1"/>
    <row r="41418" ht="15.75" customHeight="1"/>
    <row r="41419" ht="15.75" customHeight="1"/>
    <row r="41420" ht="15.75" customHeight="1"/>
    <row r="41421" ht="15.75" customHeight="1"/>
    <row r="41422" ht="15.75" customHeight="1"/>
    <row r="41423" ht="15.75" customHeight="1"/>
    <row r="41424" ht="15.75" customHeight="1"/>
    <row r="41425" ht="15.75" customHeight="1"/>
    <row r="41426" ht="15.75" customHeight="1"/>
    <row r="41427" ht="15.75" customHeight="1"/>
    <row r="41428" ht="15.75" customHeight="1"/>
    <row r="41429" ht="15.75" customHeight="1"/>
    <row r="41430" ht="15.75" customHeight="1"/>
    <row r="41431" ht="15.75" customHeight="1"/>
    <row r="41432" ht="15.75" customHeight="1"/>
    <row r="41433" ht="15.75" customHeight="1"/>
    <row r="41434" ht="15.75" customHeight="1"/>
    <row r="41435" ht="15.75" customHeight="1"/>
    <row r="41436" ht="15.75" customHeight="1"/>
    <row r="41437" ht="15.75" customHeight="1"/>
    <row r="41438" ht="15.75" customHeight="1"/>
    <row r="41439" ht="15.75" customHeight="1"/>
    <row r="41440" ht="15.75" customHeight="1"/>
    <row r="41441" ht="15.75" customHeight="1"/>
    <row r="41442" ht="15.75" customHeight="1"/>
    <row r="41443" ht="15.75" customHeight="1"/>
    <row r="41444" ht="15.75" customHeight="1"/>
    <row r="41445" ht="15.75" customHeight="1"/>
    <row r="41446" ht="15.75" customHeight="1"/>
    <row r="41447" ht="15.75" customHeight="1"/>
    <row r="41448" ht="15.75" customHeight="1"/>
    <row r="41449" ht="15.75" customHeight="1"/>
    <row r="41450" ht="15.75" customHeight="1"/>
    <row r="41451" ht="15.75" customHeight="1"/>
    <row r="41452" ht="15.75" customHeight="1"/>
    <row r="41453" ht="15.75" customHeight="1"/>
    <row r="41454" ht="15.75" customHeight="1"/>
    <row r="41455" ht="15.75" customHeight="1"/>
    <row r="41456" ht="15.75" customHeight="1"/>
    <row r="41457" ht="15.75" customHeight="1"/>
    <row r="41458" ht="15.75" customHeight="1"/>
    <row r="41459" ht="15.75" customHeight="1"/>
    <row r="41460" ht="15.75" customHeight="1"/>
    <row r="41461" ht="15.75" customHeight="1"/>
    <row r="41462" ht="15.75" customHeight="1"/>
    <row r="41463" ht="15.75" customHeight="1"/>
    <row r="41464" ht="15.75" customHeight="1"/>
    <row r="41465" ht="15.75" customHeight="1"/>
    <row r="41466" ht="15.75" customHeight="1"/>
    <row r="41467" ht="15.75" customHeight="1"/>
    <row r="41468" ht="15.75" customHeight="1"/>
    <row r="41469" ht="15.75" customHeight="1"/>
    <row r="41470" ht="15.75" customHeight="1"/>
    <row r="41471" ht="15.75" customHeight="1"/>
    <row r="41472" ht="15.75" customHeight="1"/>
    <row r="41473" ht="15.75" customHeight="1"/>
    <row r="41474" ht="15.75" customHeight="1"/>
    <row r="41475" ht="15.75" customHeight="1"/>
    <row r="41476" ht="15.75" customHeight="1"/>
    <row r="41477" ht="15.75" customHeight="1"/>
    <row r="41478" ht="15.75" customHeight="1"/>
    <row r="41479" ht="15.75" customHeight="1"/>
    <row r="41480" ht="15.75" customHeight="1"/>
    <row r="41481" ht="15.75" customHeight="1"/>
    <row r="41482" ht="15.75" customHeight="1"/>
    <row r="41483" ht="15.75" customHeight="1"/>
    <row r="41484" ht="15.75" customHeight="1"/>
    <row r="41485" ht="15.75" customHeight="1"/>
    <row r="41486" ht="15.75" customHeight="1"/>
    <row r="41487" ht="15.75" customHeight="1"/>
    <row r="41488" ht="15.75" customHeight="1"/>
    <row r="41489" ht="15.75" customHeight="1"/>
    <row r="41490" ht="15.75" customHeight="1"/>
    <row r="41491" ht="15.75" customHeight="1"/>
    <row r="41492" ht="15.75" customHeight="1"/>
    <row r="41493" ht="15.75" customHeight="1"/>
    <row r="41494" ht="15.75" customHeight="1"/>
    <row r="41495" ht="15.75" customHeight="1"/>
    <row r="41496" ht="15.75" customHeight="1"/>
    <row r="41497" ht="15.75" customHeight="1"/>
    <row r="41498" ht="15.75" customHeight="1"/>
    <row r="41499" ht="15.75" customHeight="1"/>
    <row r="41500" ht="15.75" customHeight="1"/>
    <row r="41501" ht="15.75" customHeight="1"/>
    <row r="41502" ht="15.75" customHeight="1"/>
    <row r="41503" ht="15.75" customHeight="1"/>
    <row r="41504" ht="15.75" customHeight="1"/>
    <row r="41505" ht="15.75" customHeight="1"/>
    <row r="41506" ht="15.75" customHeight="1"/>
    <row r="41507" ht="15.75" customHeight="1"/>
    <row r="41508" ht="15.75" customHeight="1"/>
    <row r="41509" ht="15.75" customHeight="1"/>
    <row r="41510" ht="15.75" customHeight="1"/>
    <row r="41511" ht="15.75" customHeight="1"/>
    <row r="41512" ht="15.75" customHeight="1"/>
    <row r="41513" ht="15.75" customHeight="1"/>
    <row r="41514" ht="15.75" customHeight="1"/>
    <row r="41515" ht="15.75" customHeight="1"/>
    <row r="41516" ht="15.75" customHeight="1"/>
    <row r="41517" ht="15.75" customHeight="1"/>
    <row r="41518" ht="15.75" customHeight="1"/>
    <row r="41519" ht="15.75" customHeight="1"/>
    <row r="41520" ht="15.75" customHeight="1"/>
    <row r="41521" ht="15.75" customHeight="1"/>
    <row r="41522" ht="15.75" customHeight="1"/>
    <row r="41523" ht="15.75" customHeight="1"/>
    <row r="41524" ht="15.75" customHeight="1"/>
    <row r="41525" ht="15.75" customHeight="1"/>
    <row r="41526" ht="15.75" customHeight="1"/>
    <row r="41527" ht="15.75" customHeight="1"/>
    <row r="41528" ht="15.75" customHeight="1"/>
    <row r="41529" ht="15.75" customHeight="1"/>
    <row r="41530" ht="15.75" customHeight="1"/>
    <row r="41531" ht="15.75" customHeight="1"/>
    <row r="41532" ht="15.75" customHeight="1"/>
    <row r="41533" ht="15.75" customHeight="1"/>
    <row r="41534" ht="15.75" customHeight="1"/>
    <row r="41535" ht="15.75" customHeight="1"/>
    <row r="41536" ht="15.75" customHeight="1"/>
    <row r="41537" ht="15.75" customHeight="1"/>
    <row r="41538" ht="15.75" customHeight="1"/>
    <row r="41539" ht="15.75" customHeight="1"/>
    <row r="41540" ht="15.75" customHeight="1"/>
    <row r="41541" ht="15.75" customHeight="1"/>
    <row r="41542" ht="15.75" customHeight="1"/>
    <row r="41543" ht="15.75" customHeight="1"/>
    <row r="41544" ht="15.75" customHeight="1"/>
    <row r="41545" ht="15.75" customHeight="1"/>
    <row r="41546" ht="15.75" customHeight="1"/>
    <row r="41547" ht="15.75" customHeight="1"/>
    <row r="41548" ht="15.75" customHeight="1"/>
    <row r="41549" ht="15.75" customHeight="1"/>
    <row r="41550" ht="15.75" customHeight="1"/>
    <row r="41551" ht="15.75" customHeight="1"/>
    <row r="41552" ht="15.75" customHeight="1"/>
    <row r="41553" ht="15.75" customHeight="1"/>
    <row r="41554" ht="15.75" customHeight="1"/>
    <row r="41555" ht="15.75" customHeight="1"/>
    <row r="41556" ht="15.75" customHeight="1"/>
    <row r="41557" ht="15.75" customHeight="1"/>
    <row r="41558" ht="15.75" customHeight="1"/>
    <row r="41559" ht="15.75" customHeight="1"/>
    <row r="41560" ht="15.75" customHeight="1"/>
    <row r="41561" ht="15.75" customHeight="1"/>
    <row r="41562" ht="15.75" customHeight="1"/>
    <row r="41563" ht="15.75" customHeight="1"/>
    <row r="41564" ht="15.75" customHeight="1"/>
    <row r="41565" ht="15.75" customHeight="1"/>
    <row r="41566" ht="15.75" customHeight="1"/>
    <row r="41567" ht="15.75" customHeight="1"/>
    <row r="41568" ht="15.75" customHeight="1"/>
    <row r="41569" ht="15.75" customHeight="1"/>
    <row r="41570" ht="15.75" customHeight="1"/>
    <row r="41571" ht="15.75" customHeight="1"/>
    <row r="41572" ht="15.75" customHeight="1"/>
    <row r="41573" ht="15.75" customHeight="1"/>
    <row r="41574" ht="15.75" customHeight="1"/>
    <row r="41575" ht="15.75" customHeight="1"/>
    <row r="41576" ht="15.75" customHeight="1"/>
    <row r="41577" ht="15.75" customHeight="1"/>
    <row r="41578" ht="15.75" customHeight="1"/>
    <row r="41579" ht="15.75" customHeight="1"/>
    <row r="41580" ht="15.75" customHeight="1"/>
    <row r="41581" ht="15.75" customHeight="1"/>
    <row r="41582" ht="15.75" customHeight="1"/>
    <row r="41583" ht="15.75" customHeight="1"/>
    <row r="41584" ht="15.75" customHeight="1"/>
    <row r="41585" ht="15.75" customHeight="1"/>
    <row r="41586" ht="15.75" customHeight="1"/>
    <row r="41587" ht="15.75" customHeight="1"/>
    <row r="41588" ht="15.75" customHeight="1"/>
    <row r="41589" ht="15.75" customHeight="1"/>
    <row r="41590" ht="15.75" customHeight="1"/>
    <row r="41591" ht="15.75" customHeight="1"/>
    <row r="41592" ht="15.75" customHeight="1"/>
    <row r="41593" ht="15.75" customHeight="1"/>
    <row r="41594" ht="15.75" customHeight="1"/>
    <row r="41595" ht="15.75" customHeight="1"/>
    <row r="41596" ht="15.75" customHeight="1"/>
    <row r="41597" ht="15.75" customHeight="1"/>
    <row r="41598" ht="15.75" customHeight="1"/>
    <row r="41599" ht="15.75" customHeight="1"/>
    <row r="41600" ht="15.75" customHeight="1"/>
    <row r="41601" ht="15.75" customHeight="1"/>
    <row r="41602" ht="15.75" customHeight="1"/>
    <row r="41603" ht="15.75" customHeight="1"/>
    <row r="41604" ht="15.75" customHeight="1"/>
    <row r="41605" ht="15.75" customHeight="1"/>
    <row r="41606" ht="15.75" customHeight="1"/>
    <row r="41607" ht="15.75" customHeight="1"/>
    <row r="41608" ht="15.75" customHeight="1"/>
    <row r="41609" ht="15.75" customHeight="1"/>
    <row r="41610" ht="15.75" customHeight="1"/>
    <row r="41611" ht="15.75" customHeight="1"/>
    <row r="41612" ht="15.75" customHeight="1"/>
    <row r="41613" ht="15.75" customHeight="1"/>
    <row r="41614" ht="15.75" customHeight="1"/>
    <row r="41615" ht="15.75" customHeight="1"/>
    <row r="41616" ht="15.75" customHeight="1"/>
    <row r="41617" ht="15.75" customHeight="1"/>
    <row r="41618" ht="15.75" customHeight="1"/>
    <row r="41619" ht="15.75" customHeight="1"/>
    <row r="41620" ht="15.75" customHeight="1"/>
    <row r="41621" ht="15.75" customHeight="1"/>
    <row r="41622" ht="15.75" customHeight="1"/>
    <row r="41623" ht="15.75" customHeight="1"/>
    <row r="41624" ht="15.75" customHeight="1"/>
    <row r="41625" ht="15.75" customHeight="1"/>
    <row r="41626" ht="15.75" customHeight="1"/>
    <row r="41627" ht="15.75" customHeight="1"/>
    <row r="41628" ht="15.75" customHeight="1"/>
    <row r="41629" ht="15.75" customHeight="1"/>
    <row r="41630" ht="15.75" customHeight="1"/>
    <row r="41631" ht="15.75" customHeight="1"/>
    <row r="41632" ht="15.75" customHeight="1"/>
    <row r="41633" ht="15.75" customHeight="1"/>
    <row r="41634" ht="15.75" customHeight="1"/>
    <row r="41635" ht="15.75" customHeight="1"/>
    <row r="41636" ht="15.75" customHeight="1"/>
    <row r="41637" ht="15.75" customHeight="1"/>
    <row r="41638" ht="15.75" customHeight="1"/>
    <row r="41639" ht="15.75" customHeight="1"/>
    <row r="41640" ht="15.75" customHeight="1"/>
    <row r="41641" ht="15.75" customHeight="1"/>
    <row r="41642" ht="15.75" customHeight="1"/>
    <row r="41643" ht="15.75" customHeight="1"/>
    <row r="41644" ht="15.75" customHeight="1"/>
    <row r="41645" ht="15.75" customHeight="1"/>
    <row r="41646" ht="15.75" customHeight="1"/>
    <row r="41647" ht="15.75" customHeight="1"/>
    <row r="41648" ht="15.75" customHeight="1"/>
    <row r="41649" ht="15.75" customHeight="1"/>
    <row r="41650" ht="15.75" customHeight="1"/>
    <row r="41651" ht="15.75" customHeight="1"/>
    <row r="41652" ht="15.75" customHeight="1"/>
    <row r="41653" ht="15.75" customHeight="1"/>
    <row r="41654" ht="15.75" customHeight="1"/>
    <row r="41655" ht="15.75" customHeight="1"/>
    <row r="41656" ht="15.75" customHeight="1"/>
    <row r="41657" ht="15.75" customHeight="1"/>
    <row r="41658" ht="15.75" customHeight="1"/>
    <row r="41659" ht="15.75" customHeight="1"/>
    <row r="41660" ht="15.75" customHeight="1"/>
    <row r="41661" ht="15.75" customHeight="1"/>
    <row r="41662" ht="15.75" customHeight="1"/>
    <row r="41663" ht="15.75" customHeight="1"/>
    <row r="41664" ht="15.75" customHeight="1"/>
    <row r="41665" ht="15.75" customHeight="1"/>
    <row r="41666" ht="15.75" customHeight="1"/>
    <row r="41667" ht="15.75" customHeight="1"/>
    <row r="41668" ht="15.75" customHeight="1"/>
    <row r="41669" ht="15.75" customHeight="1"/>
    <row r="41670" ht="15.75" customHeight="1"/>
    <row r="41671" ht="15.75" customHeight="1"/>
    <row r="41672" ht="15.75" customHeight="1"/>
    <row r="41673" ht="15.75" customHeight="1"/>
    <row r="41674" ht="15.75" customHeight="1"/>
    <row r="41675" ht="15.75" customHeight="1"/>
    <row r="41676" ht="15.75" customHeight="1"/>
    <row r="41677" ht="15.75" customHeight="1"/>
    <row r="41678" ht="15.75" customHeight="1"/>
    <row r="41679" ht="15.75" customHeight="1"/>
    <row r="41680" ht="15.75" customHeight="1"/>
    <row r="41681" ht="15.75" customHeight="1"/>
    <row r="41682" ht="15.75" customHeight="1"/>
    <row r="41683" ht="15.75" customHeight="1"/>
    <row r="41684" ht="15.75" customHeight="1"/>
    <row r="41685" ht="15.75" customHeight="1"/>
    <row r="41686" ht="15.75" customHeight="1"/>
    <row r="41687" ht="15.75" customHeight="1"/>
    <row r="41688" ht="15.75" customHeight="1"/>
    <row r="41689" ht="15.75" customHeight="1"/>
    <row r="41690" ht="15.75" customHeight="1"/>
    <row r="41691" ht="15.75" customHeight="1"/>
    <row r="41692" ht="15.75" customHeight="1"/>
    <row r="41693" ht="15.75" customHeight="1"/>
    <row r="41694" ht="15.75" customHeight="1"/>
    <row r="41695" ht="15.75" customHeight="1"/>
    <row r="41696" ht="15.75" customHeight="1"/>
    <row r="41697" ht="15.75" customHeight="1"/>
    <row r="41698" ht="15.75" customHeight="1"/>
    <row r="41699" ht="15.75" customHeight="1"/>
    <row r="41700" ht="15.75" customHeight="1"/>
    <row r="41701" ht="15.75" customHeight="1"/>
    <row r="41702" ht="15.75" customHeight="1"/>
    <row r="41703" ht="15.75" customHeight="1"/>
    <row r="41704" ht="15.75" customHeight="1"/>
    <row r="41705" ht="15.75" customHeight="1"/>
    <row r="41706" ht="15.75" customHeight="1"/>
    <row r="41707" ht="15.75" customHeight="1"/>
    <row r="41708" ht="15.75" customHeight="1"/>
    <row r="41709" ht="15.75" customHeight="1"/>
    <row r="41710" ht="15.75" customHeight="1"/>
    <row r="41711" ht="15.75" customHeight="1"/>
    <row r="41712" ht="15.75" customHeight="1"/>
    <row r="41713" ht="15.75" customHeight="1"/>
    <row r="41714" ht="15.75" customHeight="1"/>
    <row r="41715" ht="15.75" customHeight="1"/>
    <row r="41716" ht="15.75" customHeight="1"/>
    <row r="41717" ht="15.75" customHeight="1"/>
    <row r="41718" ht="15.75" customHeight="1"/>
    <row r="41719" ht="15.75" customHeight="1"/>
    <row r="41720" ht="15.75" customHeight="1"/>
    <row r="41721" ht="15.75" customHeight="1"/>
    <row r="41722" ht="15.75" customHeight="1"/>
    <row r="41723" ht="15.75" customHeight="1"/>
    <row r="41724" ht="15.75" customHeight="1"/>
    <row r="41725" ht="15.75" customHeight="1"/>
    <row r="41726" ht="15.75" customHeight="1"/>
    <row r="41727" ht="15.75" customHeight="1"/>
    <row r="41728" ht="15.75" customHeight="1"/>
    <row r="41729" ht="15.75" customHeight="1"/>
    <row r="41730" ht="15.75" customHeight="1"/>
    <row r="41731" ht="15.75" customHeight="1"/>
    <row r="41732" ht="15.75" customHeight="1"/>
    <row r="41733" ht="15.75" customHeight="1"/>
    <row r="41734" ht="15.75" customHeight="1"/>
    <row r="41735" ht="15.75" customHeight="1"/>
    <row r="41736" ht="15.75" customHeight="1"/>
    <row r="41737" ht="15.75" customHeight="1"/>
    <row r="41738" ht="15.75" customHeight="1"/>
    <row r="41739" ht="15.75" customHeight="1"/>
    <row r="41740" ht="15.75" customHeight="1"/>
    <row r="41741" ht="15.75" customHeight="1"/>
    <row r="41742" ht="15.75" customHeight="1"/>
    <row r="41743" ht="15.75" customHeight="1"/>
    <row r="41744" ht="15.75" customHeight="1"/>
    <row r="41745" ht="15.75" customHeight="1"/>
    <row r="41746" ht="15.75" customHeight="1"/>
    <row r="41747" ht="15.75" customHeight="1"/>
    <row r="41748" ht="15.75" customHeight="1"/>
    <row r="41749" ht="15.75" customHeight="1"/>
    <row r="41750" ht="15.75" customHeight="1"/>
    <row r="41751" ht="15.75" customHeight="1"/>
    <row r="41752" ht="15.75" customHeight="1"/>
    <row r="41753" ht="15.75" customHeight="1"/>
    <row r="41754" ht="15.75" customHeight="1"/>
    <row r="41755" ht="15.75" customHeight="1"/>
    <row r="41756" ht="15.75" customHeight="1"/>
    <row r="41757" ht="15.75" customHeight="1"/>
    <row r="41758" ht="15.75" customHeight="1"/>
    <row r="41759" ht="15.75" customHeight="1"/>
    <row r="41760" ht="15.75" customHeight="1"/>
    <row r="41761" ht="15.75" customHeight="1"/>
    <row r="41762" ht="15.75" customHeight="1"/>
    <row r="41763" ht="15.75" customHeight="1"/>
    <row r="41764" ht="15.75" customHeight="1"/>
    <row r="41765" ht="15.75" customHeight="1"/>
    <row r="41766" ht="15.75" customHeight="1"/>
    <row r="41767" ht="15.75" customHeight="1"/>
    <row r="41768" ht="15.75" customHeight="1"/>
    <row r="41769" ht="15.75" customHeight="1"/>
    <row r="41770" ht="15.75" customHeight="1"/>
    <row r="41771" ht="15.75" customHeight="1"/>
    <row r="41772" ht="15.75" customHeight="1"/>
    <row r="41773" ht="15.75" customHeight="1"/>
    <row r="41774" ht="15.75" customHeight="1"/>
    <row r="41775" ht="15.75" customHeight="1"/>
    <row r="41776" ht="15.75" customHeight="1"/>
    <row r="41777" ht="15.75" customHeight="1"/>
    <row r="41778" ht="15.75" customHeight="1"/>
    <row r="41779" ht="15.75" customHeight="1"/>
    <row r="41780" ht="15.75" customHeight="1"/>
    <row r="41781" ht="15.75" customHeight="1"/>
    <row r="41782" ht="15.75" customHeight="1"/>
    <row r="41783" ht="15.75" customHeight="1"/>
    <row r="41784" ht="15.75" customHeight="1"/>
    <row r="41785" ht="15.75" customHeight="1"/>
    <row r="41786" ht="15.75" customHeight="1"/>
    <row r="41787" ht="15.75" customHeight="1"/>
    <row r="41788" ht="15.75" customHeight="1"/>
    <row r="41789" ht="15.75" customHeight="1"/>
    <row r="41790" ht="15.75" customHeight="1"/>
    <row r="41791" ht="15.75" customHeight="1"/>
    <row r="41792" ht="15.75" customHeight="1"/>
    <row r="41793" ht="15.75" customHeight="1"/>
    <row r="41794" ht="15.75" customHeight="1"/>
    <row r="41795" ht="15.75" customHeight="1"/>
    <row r="41796" ht="15.75" customHeight="1"/>
    <row r="41797" ht="15.75" customHeight="1"/>
    <row r="41798" ht="15.75" customHeight="1"/>
    <row r="41799" ht="15.75" customHeight="1"/>
    <row r="41800" ht="15.75" customHeight="1"/>
    <row r="41801" ht="15.75" customHeight="1"/>
    <row r="41802" ht="15.75" customHeight="1"/>
    <row r="41803" ht="15.75" customHeight="1"/>
    <row r="41804" ht="15.75" customHeight="1"/>
    <row r="41805" ht="15.75" customHeight="1"/>
    <row r="41806" ht="15.75" customHeight="1"/>
    <row r="41807" ht="15.75" customHeight="1"/>
    <row r="41808" ht="15.75" customHeight="1"/>
    <row r="41809" ht="15.75" customHeight="1"/>
    <row r="41810" ht="15.75" customHeight="1"/>
    <row r="41811" ht="15.75" customHeight="1"/>
    <row r="41812" ht="15.75" customHeight="1"/>
    <row r="41813" ht="15.75" customHeight="1"/>
    <row r="41814" ht="15.75" customHeight="1"/>
    <row r="41815" ht="15.75" customHeight="1"/>
    <row r="41816" ht="15.75" customHeight="1"/>
    <row r="41817" ht="15.75" customHeight="1"/>
    <row r="41818" ht="15.75" customHeight="1"/>
    <row r="41819" ht="15.75" customHeight="1"/>
    <row r="41820" ht="15.75" customHeight="1"/>
    <row r="41821" ht="15.75" customHeight="1"/>
    <row r="41822" ht="15.75" customHeight="1"/>
    <row r="41823" ht="15.75" customHeight="1"/>
    <row r="41824" ht="15.75" customHeight="1"/>
    <row r="41825" ht="15.75" customHeight="1"/>
    <row r="41826" ht="15.75" customHeight="1"/>
    <row r="41827" ht="15.75" customHeight="1"/>
    <row r="41828" ht="15.75" customHeight="1"/>
    <row r="41829" ht="15.75" customHeight="1"/>
    <row r="41830" ht="15.75" customHeight="1"/>
    <row r="41831" ht="15.75" customHeight="1"/>
    <row r="41832" ht="15.75" customHeight="1"/>
    <row r="41833" ht="15.75" customHeight="1"/>
    <row r="41834" ht="15.75" customHeight="1"/>
    <row r="41835" ht="15.75" customHeight="1"/>
    <row r="41836" ht="15.75" customHeight="1"/>
    <row r="41837" ht="15.75" customHeight="1"/>
    <row r="41838" ht="15.75" customHeight="1"/>
    <row r="41839" ht="15.75" customHeight="1"/>
    <row r="41840" ht="15.75" customHeight="1"/>
    <row r="41841" ht="15.75" customHeight="1"/>
    <row r="41842" ht="15.75" customHeight="1"/>
    <row r="41843" ht="15.75" customHeight="1"/>
    <row r="41844" ht="15.75" customHeight="1"/>
    <row r="41845" ht="15.75" customHeight="1"/>
    <row r="41846" ht="15.75" customHeight="1"/>
    <row r="41847" ht="15.75" customHeight="1"/>
    <row r="41848" ht="15.75" customHeight="1"/>
    <row r="41849" ht="15.75" customHeight="1"/>
    <row r="41850" ht="15.75" customHeight="1"/>
    <row r="41851" ht="15.75" customHeight="1"/>
    <row r="41852" ht="15.75" customHeight="1"/>
    <row r="41853" ht="15.75" customHeight="1"/>
    <row r="41854" ht="15.75" customHeight="1"/>
    <row r="41855" ht="15.75" customHeight="1"/>
    <row r="41856" ht="15.75" customHeight="1"/>
    <row r="41857" ht="15.75" customHeight="1"/>
    <row r="41858" ht="15.75" customHeight="1"/>
    <row r="41859" ht="15.75" customHeight="1"/>
    <row r="41860" ht="15.75" customHeight="1"/>
    <row r="41861" ht="15.75" customHeight="1"/>
    <row r="41862" ht="15.75" customHeight="1"/>
    <row r="41863" ht="15.75" customHeight="1"/>
    <row r="41864" ht="15.75" customHeight="1"/>
    <row r="41865" ht="15.75" customHeight="1"/>
    <row r="41866" ht="15.75" customHeight="1"/>
    <row r="41867" ht="15.75" customHeight="1"/>
    <row r="41868" ht="15.75" customHeight="1"/>
    <row r="41869" ht="15.75" customHeight="1"/>
    <row r="41870" ht="15.75" customHeight="1"/>
    <row r="41871" ht="15.75" customHeight="1"/>
    <row r="41872" ht="15.75" customHeight="1"/>
    <row r="41873" ht="15.75" customHeight="1"/>
    <row r="41874" ht="15.75" customHeight="1"/>
    <row r="41875" ht="15.75" customHeight="1"/>
    <row r="41876" ht="15.75" customHeight="1"/>
    <row r="41877" ht="15.75" customHeight="1"/>
    <row r="41878" ht="15.75" customHeight="1"/>
    <row r="41879" ht="15.75" customHeight="1"/>
    <row r="41880" ht="15.75" customHeight="1"/>
    <row r="41881" ht="15.75" customHeight="1"/>
    <row r="41882" ht="15.75" customHeight="1"/>
    <row r="41883" ht="15.75" customHeight="1"/>
    <row r="41884" ht="15.75" customHeight="1"/>
    <row r="41885" ht="15.75" customHeight="1"/>
    <row r="41886" ht="15.75" customHeight="1"/>
    <row r="41887" ht="15.75" customHeight="1"/>
    <row r="41888" ht="15.75" customHeight="1"/>
    <row r="41889" ht="15.75" customHeight="1"/>
    <row r="41890" ht="15.75" customHeight="1"/>
    <row r="41891" ht="15.75" customHeight="1"/>
    <row r="41892" ht="15.75" customHeight="1"/>
    <row r="41893" ht="15.75" customHeight="1"/>
    <row r="41894" ht="15.75" customHeight="1"/>
    <row r="41895" ht="15.75" customHeight="1"/>
    <row r="41896" ht="15.75" customHeight="1"/>
    <row r="41897" ht="15.75" customHeight="1"/>
    <row r="41898" ht="15.75" customHeight="1"/>
    <row r="41899" ht="15.75" customHeight="1"/>
    <row r="41900" ht="15.75" customHeight="1"/>
    <row r="41901" ht="15.75" customHeight="1"/>
    <row r="41902" ht="15.75" customHeight="1"/>
    <row r="41903" ht="15.75" customHeight="1"/>
    <row r="41904" ht="15.75" customHeight="1"/>
    <row r="41905" ht="15.75" customHeight="1"/>
    <row r="41906" ht="15.75" customHeight="1"/>
    <row r="41907" ht="15.75" customHeight="1"/>
    <row r="41908" ht="15.75" customHeight="1"/>
    <row r="41909" ht="15.75" customHeight="1"/>
    <row r="41910" ht="15.75" customHeight="1"/>
    <row r="41911" ht="15.75" customHeight="1"/>
    <row r="41912" ht="15.75" customHeight="1"/>
    <row r="41913" ht="15.75" customHeight="1"/>
    <row r="41914" ht="15.75" customHeight="1"/>
    <row r="41915" ht="15.75" customHeight="1"/>
    <row r="41916" ht="15.75" customHeight="1"/>
    <row r="41917" ht="15.75" customHeight="1"/>
    <row r="41918" ht="15.75" customHeight="1"/>
    <row r="41919" ht="15.75" customHeight="1"/>
    <row r="41920" ht="15.75" customHeight="1"/>
    <row r="41921" ht="15.75" customHeight="1"/>
    <row r="41922" ht="15.75" customHeight="1"/>
    <row r="41923" ht="15.75" customHeight="1"/>
    <row r="41924" ht="15.75" customHeight="1"/>
    <row r="41925" ht="15.75" customHeight="1"/>
    <row r="41926" ht="15.75" customHeight="1"/>
    <row r="41927" ht="15.75" customHeight="1"/>
    <row r="41928" ht="15.75" customHeight="1"/>
    <row r="41929" ht="15.75" customHeight="1"/>
    <row r="41930" ht="15.75" customHeight="1"/>
    <row r="41931" ht="15.75" customHeight="1"/>
    <row r="41932" ht="15.75" customHeight="1"/>
    <row r="41933" ht="15.75" customHeight="1"/>
    <row r="41934" ht="15.75" customHeight="1"/>
    <row r="41935" ht="15.75" customHeight="1"/>
    <row r="41936" ht="15.75" customHeight="1"/>
    <row r="41937" ht="15.75" customHeight="1"/>
    <row r="41938" ht="15.75" customHeight="1"/>
    <row r="41939" ht="15.75" customHeight="1"/>
    <row r="41940" ht="15.75" customHeight="1"/>
    <row r="41941" ht="15.75" customHeight="1"/>
    <row r="41942" ht="15.75" customHeight="1"/>
    <row r="41943" ht="15.75" customHeight="1"/>
    <row r="41944" ht="15.75" customHeight="1"/>
    <row r="41945" ht="15.75" customHeight="1"/>
    <row r="41946" ht="15.75" customHeight="1"/>
    <row r="41947" ht="15.75" customHeight="1"/>
    <row r="41948" ht="15.75" customHeight="1"/>
    <row r="41949" ht="15.75" customHeight="1"/>
    <row r="41950" ht="15.75" customHeight="1"/>
    <row r="41951" ht="15.75" customHeight="1"/>
    <row r="41952" ht="15.75" customHeight="1"/>
    <row r="41953" ht="15.75" customHeight="1"/>
    <row r="41954" ht="15.75" customHeight="1"/>
    <row r="41955" ht="15.75" customHeight="1"/>
    <row r="41956" ht="15.75" customHeight="1"/>
    <row r="41957" ht="15.75" customHeight="1"/>
    <row r="41958" ht="15.75" customHeight="1"/>
    <row r="41959" ht="15.75" customHeight="1"/>
    <row r="41960" ht="15.75" customHeight="1"/>
    <row r="41961" ht="15.75" customHeight="1"/>
    <row r="41962" ht="15.75" customHeight="1"/>
    <row r="41963" ht="15.75" customHeight="1"/>
    <row r="41964" ht="15.75" customHeight="1"/>
    <row r="41965" ht="15.75" customHeight="1"/>
    <row r="41966" ht="15.75" customHeight="1"/>
    <row r="41967" ht="15.75" customHeight="1"/>
    <row r="41968" ht="15.75" customHeight="1"/>
    <row r="41969" ht="15.75" customHeight="1"/>
    <row r="41970" ht="15.75" customHeight="1"/>
    <row r="41971" ht="15.75" customHeight="1"/>
    <row r="41972" ht="15.75" customHeight="1"/>
    <row r="41973" ht="15.75" customHeight="1"/>
    <row r="41974" ht="15.75" customHeight="1"/>
    <row r="41975" ht="15.75" customHeight="1"/>
    <row r="41976" ht="15.75" customHeight="1"/>
    <row r="41977" ht="15.75" customHeight="1"/>
    <row r="41978" ht="15.75" customHeight="1"/>
    <row r="41979" ht="15.75" customHeight="1"/>
    <row r="41980" ht="15.75" customHeight="1"/>
    <row r="41981" ht="15.75" customHeight="1"/>
    <row r="41982" ht="15.75" customHeight="1"/>
    <row r="41983" ht="15.75" customHeight="1"/>
    <row r="41984" ht="15.75" customHeight="1"/>
    <row r="41985" ht="15.75" customHeight="1"/>
    <row r="41986" ht="15.75" customHeight="1"/>
    <row r="41987" ht="15.75" customHeight="1"/>
    <row r="41988" ht="15.75" customHeight="1"/>
    <row r="41989" ht="15.75" customHeight="1"/>
    <row r="41990" ht="15.75" customHeight="1"/>
    <row r="41991" ht="15.75" customHeight="1"/>
    <row r="41992" ht="15.75" customHeight="1"/>
    <row r="41993" ht="15.75" customHeight="1"/>
    <row r="41994" ht="15.75" customHeight="1"/>
    <row r="41995" ht="15.75" customHeight="1"/>
    <row r="41996" ht="15.75" customHeight="1"/>
    <row r="41997" ht="15.75" customHeight="1"/>
    <row r="41998" ht="15.75" customHeight="1"/>
    <row r="41999" ht="15.75" customHeight="1"/>
    <row r="42000" ht="15.75" customHeight="1"/>
    <row r="42001" ht="15.75" customHeight="1"/>
    <row r="42002" ht="15.75" customHeight="1"/>
    <row r="42003" ht="15.75" customHeight="1"/>
    <row r="42004" ht="15.75" customHeight="1"/>
    <row r="42005" ht="15.75" customHeight="1"/>
    <row r="42006" ht="15.75" customHeight="1"/>
    <row r="42007" ht="15.75" customHeight="1"/>
    <row r="42008" ht="15.75" customHeight="1"/>
    <row r="42009" ht="15.75" customHeight="1"/>
    <row r="42010" ht="15.75" customHeight="1"/>
    <row r="42011" ht="15.75" customHeight="1"/>
    <row r="42012" ht="15.75" customHeight="1"/>
    <row r="42013" ht="15.75" customHeight="1"/>
    <row r="42014" ht="15.75" customHeight="1"/>
    <row r="42015" ht="15.75" customHeight="1"/>
    <row r="42016" ht="15.75" customHeight="1"/>
    <row r="42017" ht="15.75" customHeight="1"/>
    <row r="42018" ht="15.75" customHeight="1"/>
    <row r="42019" ht="15.75" customHeight="1"/>
    <row r="42020" ht="15.75" customHeight="1"/>
    <row r="42021" ht="15.75" customHeight="1"/>
    <row r="42022" ht="15.75" customHeight="1"/>
    <row r="42023" ht="15.75" customHeight="1"/>
    <row r="42024" ht="15.75" customHeight="1"/>
    <row r="42025" ht="15.75" customHeight="1"/>
    <row r="42026" ht="15.75" customHeight="1"/>
    <row r="42027" ht="15.75" customHeight="1"/>
    <row r="42028" ht="15.75" customHeight="1"/>
    <row r="42029" ht="15.75" customHeight="1"/>
    <row r="42030" ht="15.75" customHeight="1"/>
    <row r="42031" ht="15.75" customHeight="1"/>
    <row r="42032" ht="15.75" customHeight="1"/>
    <row r="42033" ht="15.75" customHeight="1"/>
    <row r="42034" ht="15.75" customHeight="1"/>
    <row r="42035" ht="15.75" customHeight="1"/>
    <row r="42036" ht="15.75" customHeight="1"/>
    <row r="42037" ht="15.75" customHeight="1"/>
    <row r="42038" ht="15.75" customHeight="1"/>
    <row r="42039" ht="15.75" customHeight="1"/>
    <row r="42040" ht="15.75" customHeight="1"/>
    <row r="42041" ht="15.75" customHeight="1"/>
    <row r="42042" ht="15.75" customHeight="1"/>
    <row r="42043" ht="15.75" customHeight="1"/>
    <row r="42044" ht="15.75" customHeight="1"/>
    <row r="42045" ht="15.75" customHeight="1"/>
    <row r="42046" ht="15.75" customHeight="1"/>
    <row r="42047" ht="15.75" customHeight="1"/>
    <row r="42048" ht="15.75" customHeight="1"/>
    <row r="42049" ht="15.75" customHeight="1"/>
    <row r="42050" ht="15.75" customHeight="1"/>
    <row r="42051" ht="15.75" customHeight="1"/>
    <row r="42052" ht="15.75" customHeight="1"/>
    <row r="42053" ht="15.75" customHeight="1"/>
    <row r="42054" ht="15.75" customHeight="1"/>
    <row r="42055" ht="15.75" customHeight="1"/>
    <row r="42056" ht="15.75" customHeight="1"/>
    <row r="42057" ht="15.75" customHeight="1"/>
    <row r="42058" ht="15.75" customHeight="1"/>
    <row r="42059" ht="15.75" customHeight="1"/>
    <row r="42060" ht="15.75" customHeight="1"/>
    <row r="42061" ht="15.75" customHeight="1"/>
    <row r="42062" ht="15.75" customHeight="1"/>
    <row r="42063" ht="15.75" customHeight="1"/>
    <row r="42064" ht="15.75" customHeight="1"/>
    <row r="42065" ht="15.75" customHeight="1"/>
    <row r="42066" ht="15.75" customHeight="1"/>
    <row r="42067" ht="15.75" customHeight="1"/>
    <row r="42068" ht="15.75" customHeight="1"/>
    <row r="42069" ht="15.75" customHeight="1"/>
    <row r="42070" ht="15.75" customHeight="1"/>
    <row r="42071" ht="15.75" customHeight="1"/>
    <row r="42072" ht="15.75" customHeight="1"/>
    <row r="42073" ht="15.75" customHeight="1"/>
    <row r="42074" ht="15.75" customHeight="1"/>
    <row r="42075" ht="15.75" customHeight="1"/>
    <row r="42076" ht="15.75" customHeight="1"/>
    <row r="42077" ht="15.75" customHeight="1"/>
    <row r="42078" ht="15.75" customHeight="1"/>
    <row r="42079" ht="15.75" customHeight="1"/>
    <row r="42080" ht="15.75" customHeight="1"/>
    <row r="42081" ht="15.75" customHeight="1"/>
    <row r="42082" ht="15.75" customHeight="1"/>
    <row r="42083" ht="15.75" customHeight="1"/>
    <row r="42084" ht="15.75" customHeight="1"/>
    <row r="42085" ht="15.75" customHeight="1"/>
    <row r="42086" ht="15.75" customHeight="1"/>
    <row r="42087" ht="15.75" customHeight="1"/>
    <row r="42088" ht="15.75" customHeight="1"/>
    <row r="42089" ht="15.75" customHeight="1"/>
    <row r="42090" ht="15.75" customHeight="1"/>
    <row r="42091" ht="15.75" customHeight="1"/>
    <row r="42092" ht="15.75" customHeight="1"/>
    <row r="42093" ht="15.75" customHeight="1"/>
    <row r="42094" ht="15.75" customHeight="1"/>
    <row r="42095" ht="15.75" customHeight="1"/>
    <row r="42096" ht="15.75" customHeight="1"/>
    <row r="42097" ht="15.75" customHeight="1"/>
    <row r="42098" ht="15.75" customHeight="1"/>
    <row r="42099" ht="15.75" customHeight="1"/>
    <row r="42100" ht="15.75" customHeight="1"/>
    <row r="42101" ht="15.75" customHeight="1"/>
    <row r="42102" ht="15.75" customHeight="1"/>
    <row r="42103" ht="15.75" customHeight="1"/>
    <row r="42104" ht="15.75" customHeight="1"/>
    <row r="42105" ht="15.75" customHeight="1"/>
    <row r="42106" ht="15.75" customHeight="1"/>
    <row r="42107" ht="15.75" customHeight="1"/>
    <row r="42108" ht="15.75" customHeight="1"/>
    <row r="42109" ht="15.75" customHeight="1"/>
    <row r="42110" ht="15.75" customHeight="1"/>
    <row r="42111" ht="15.75" customHeight="1"/>
    <row r="42112" ht="15.75" customHeight="1"/>
    <row r="42113" ht="15.75" customHeight="1"/>
    <row r="42114" ht="15.75" customHeight="1"/>
    <row r="42115" ht="15.75" customHeight="1"/>
    <row r="42116" ht="15.75" customHeight="1"/>
    <row r="42117" ht="15.75" customHeight="1"/>
    <row r="42118" ht="15.75" customHeight="1"/>
    <row r="42119" ht="15.75" customHeight="1"/>
    <row r="42120" ht="15.75" customHeight="1"/>
    <row r="42121" ht="15.75" customHeight="1"/>
    <row r="42122" ht="15.75" customHeight="1"/>
    <row r="42123" ht="15.75" customHeight="1"/>
    <row r="42124" ht="15.75" customHeight="1"/>
    <row r="42125" ht="15.75" customHeight="1"/>
    <row r="42126" ht="15.75" customHeight="1"/>
    <row r="42127" ht="15.75" customHeight="1"/>
    <row r="42128" ht="15.75" customHeight="1"/>
    <row r="42129" ht="15.75" customHeight="1"/>
    <row r="42130" ht="15.75" customHeight="1"/>
    <row r="42131" ht="15.75" customHeight="1"/>
    <row r="42132" ht="15.75" customHeight="1"/>
    <row r="42133" ht="15.75" customHeight="1"/>
    <row r="42134" ht="15.75" customHeight="1"/>
    <row r="42135" ht="15.75" customHeight="1"/>
    <row r="42136" ht="15.75" customHeight="1"/>
    <row r="42137" ht="15.75" customHeight="1"/>
    <row r="42138" ht="15.75" customHeight="1"/>
    <row r="42139" ht="15.75" customHeight="1"/>
    <row r="42140" ht="15.75" customHeight="1"/>
    <row r="42141" ht="15.75" customHeight="1"/>
    <row r="42142" ht="15.75" customHeight="1"/>
    <row r="42143" ht="15.75" customHeight="1"/>
    <row r="42144" ht="15.75" customHeight="1"/>
    <row r="42145" ht="15.75" customHeight="1"/>
    <row r="42146" ht="15.75" customHeight="1"/>
    <row r="42147" ht="15.75" customHeight="1"/>
    <row r="42148" ht="15.75" customHeight="1"/>
    <row r="42149" ht="15.75" customHeight="1"/>
    <row r="42150" ht="15.75" customHeight="1"/>
    <row r="42151" ht="15.75" customHeight="1"/>
    <row r="42152" ht="15.75" customHeight="1"/>
    <row r="42153" ht="15.75" customHeight="1"/>
    <row r="42154" ht="15.75" customHeight="1"/>
    <row r="42155" ht="15.75" customHeight="1"/>
    <row r="42156" ht="15.75" customHeight="1"/>
    <row r="42157" ht="15.75" customHeight="1"/>
    <row r="42158" ht="15.75" customHeight="1"/>
    <row r="42159" ht="15.75" customHeight="1"/>
    <row r="42160" ht="15.75" customHeight="1"/>
    <row r="42161" ht="15.75" customHeight="1"/>
    <row r="42162" ht="15.75" customHeight="1"/>
    <row r="42163" ht="15.75" customHeight="1"/>
    <row r="42164" ht="15.75" customHeight="1"/>
    <row r="42165" ht="15.75" customHeight="1"/>
    <row r="42166" ht="15.75" customHeight="1"/>
    <row r="42167" ht="15.75" customHeight="1"/>
    <row r="42168" ht="15.75" customHeight="1"/>
    <row r="42169" ht="15.75" customHeight="1"/>
    <row r="42170" ht="15.75" customHeight="1"/>
    <row r="42171" ht="15.75" customHeight="1"/>
    <row r="42172" ht="15.75" customHeight="1"/>
    <row r="42173" ht="15.75" customHeight="1"/>
    <row r="42174" ht="15.75" customHeight="1"/>
    <row r="42175" ht="15.75" customHeight="1"/>
    <row r="42176" ht="15.75" customHeight="1"/>
    <row r="42177" ht="15.75" customHeight="1"/>
    <row r="42178" ht="15.75" customHeight="1"/>
    <row r="42179" ht="15.75" customHeight="1"/>
    <row r="42180" ht="15.75" customHeight="1"/>
    <row r="42181" ht="15.75" customHeight="1"/>
    <row r="42182" ht="15.75" customHeight="1"/>
    <row r="42183" ht="15.75" customHeight="1"/>
    <row r="42184" ht="15.75" customHeight="1"/>
    <row r="42185" ht="15.75" customHeight="1"/>
    <row r="42186" ht="15.75" customHeight="1"/>
    <row r="42187" ht="15.75" customHeight="1"/>
    <row r="42188" ht="15.75" customHeight="1"/>
    <row r="42189" ht="15.75" customHeight="1"/>
    <row r="42190" ht="15.75" customHeight="1"/>
    <row r="42191" ht="15.75" customHeight="1"/>
    <row r="42192" ht="15.75" customHeight="1"/>
    <row r="42193" ht="15.75" customHeight="1"/>
    <row r="42194" ht="15.75" customHeight="1"/>
    <row r="42195" ht="15.75" customHeight="1"/>
    <row r="42196" ht="15.75" customHeight="1"/>
    <row r="42197" ht="15.75" customHeight="1"/>
    <row r="42198" ht="15.75" customHeight="1"/>
    <row r="42199" ht="15.75" customHeight="1"/>
    <row r="42200" ht="15.75" customHeight="1"/>
    <row r="42201" ht="15.75" customHeight="1"/>
    <row r="42202" ht="15.75" customHeight="1"/>
    <row r="42203" ht="15.75" customHeight="1"/>
    <row r="42204" ht="15.75" customHeight="1"/>
    <row r="42205" ht="15.75" customHeight="1"/>
    <row r="42206" ht="15.75" customHeight="1"/>
    <row r="42207" ht="15.75" customHeight="1"/>
    <row r="42208" ht="15.75" customHeight="1"/>
    <row r="42209" ht="15.75" customHeight="1"/>
    <row r="42210" ht="15.75" customHeight="1"/>
    <row r="42211" ht="15.75" customHeight="1"/>
    <row r="42212" ht="15.75" customHeight="1"/>
    <row r="42213" ht="15.75" customHeight="1"/>
    <row r="42214" ht="15.75" customHeight="1"/>
    <row r="42215" ht="15.75" customHeight="1"/>
    <row r="42216" ht="15.75" customHeight="1"/>
    <row r="42217" ht="15.75" customHeight="1"/>
    <row r="42218" ht="15.75" customHeight="1"/>
    <row r="42219" ht="15.75" customHeight="1"/>
    <row r="42220" ht="15.75" customHeight="1"/>
    <row r="42221" ht="15.75" customHeight="1"/>
    <row r="42222" ht="15.75" customHeight="1"/>
    <row r="42223" ht="15.75" customHeight="1"/>
    <row r="42224" ht="15.75" customHeight="1"/>
    <row r="42225" ht="15.75" customHeight="1"/>
    <row r="42226" ht="15.75" customHeight="1"/>
    <row r="42227" ht="15.75" customHeight="1"/>
    <row r="42228" ht="15.75" customHeight="1"/>
    <row r="42229" ht="15.75" customHeight="1"/>
    <row r="42230" ht="15.75" customHeight="1"/>
    <row r="42231" ht="15.75" customHeight="1"/>
    <row r="42232" ht="15.75" customHeight="1"/>
    <row r="42233" ht="15.75" customHeight="1"/>
    <row r="42234" ht="15.75" customHeight="1"/>
    <row r="42235" ht="15.75" customHeight="1"/>
    <row r="42236" ht="15.75" customHeight="1"/>
    <row r="42237" ht="15.75" customHeight="1"/>
    <row r="42238" ht="15.75" customHeight="1"/>
    <row r="42239" ht="15.75" customHeight="1"/>
    <row r="42240" ht="15.75" customHeight="1"/>
    <row r="42241" ht="15.75" customHeight="1"/>
    <row r="42242" ht="15.75" customHeight="1"/>
    <row r="42243" ht="15.75" customHeight="1"/>
    <row r="42244" ht="15.75" customHeight="1"/>
    <row r="42245" ht="15.75" customHeight="1"/>
    <row r="42246" ht="15.75" customHeight="1"/>
    <row r="42247" ht="15.75" customHeight="1"/>
    <row r="42248" ht="15.75" customHeight="1"/>
    <row r="42249" ht="15.75" customHeight="1"/>
    <row r="42250" ht="15.75" customHeight="1"/>
    <row r="42251" ht="15.75" customHeight="1"/>
    <row r="42252" ht="15.75" customHeight="1"/>
    <row r="42253" ht="15.75" customHeight="1"/>
    <row r="42254" ht="15.75" customHeight="1"/>
    <row r="42255" ht="15.75" customHeight="1"/>
    <row r="42256" ht="15.75" customHeight="1"/>
    <row r="42257" ht="15.75" customHeight="1"/>
    <row r="42258" ht="15.75" customHeight="1"/>
    <row r="42259" ht="15.75" customHeight="1"/>
    <row r="42260" ht="15.75" customHeight="1"/>
    <row r="42261" ht="15.75" customHeight="1"/>
    <row r="42262" ht="15.75" customHeight="1"/>
    <row r="42263" ht="15.75" customHeight="1"/>
    <row r="42264" ht="15.75" customHeight="1"/>
    <row r="42265" ht="15.75" customHeight="1"/>
    <row r="42266" ht="15.75" customHeight="1"/>
    <row r="42267" ht="15.75" customHeight="1"/>
    <row r="42268" ht="15.75" customHeight="1"/>
    <row r="42269" ht="15.75" customHeight="1"/>
    <row r="42270" ht="15.75" customHeight="1"/>
    <row r="42271" ht="15.75" customHeight="1"/>
    <row r="42272" ht="15.75" customHeight="1"/>
    <row r="42273" ht="15.75" customHeight="1"/>
    <row r="42274" ht="15.75" customHeight="1"/>
    <row r="42275" ht="15.75" customHeight="1"/>
    <row r="42276" ht="15.75" customHeight="1"/>
    <row r="42277" ht="15.75" customHeight="1"/>
    <row r="42278" ht="15.75" customHeight="1"/>
    <row r="42279" ht="15.75" customHeight="1"/>
    <row r="42280" ht="15.75" customHeight="1"/>
    <row r="42281" ht="15.75" customHeight="1"/>
    <row r="42282" ht="15.75" customHeight="1"/>
    <row r="42283" ht="15.75" customHeight="1"/>
    <row r="42284" ht="15.75" customHeight="1"/>
    <row r="42285" ht="15.75" customHeight="1"/>
    <row r="42286" ht="15.75" customHeight="1"/>
    <row r="42287" ht="15.75" customHeight="1"/>
    <row r="42288" ht="15.75" customHeight="1"/>
    <row r="42289" ht="15.75" customHeight="1"/>
    <row r="42290" ht="15.75" customHeight="1"/>
    <row r="42291" ht="15.75" customHeight="1"/>
    <row r="42292" ht="15.75" customHeight="1"/>
    <row r="42293" ht="15.75" customHeight="1"/>
    <row r="42294" ht="15.75" customHeight="1"/>
    <row r="42295" ht="15.75" customHeight="1"/>
    <row r="42296" ht="15.75" customHeight="1"/>
    <row r="42297" ht="15.75" customHeight="1"/>
    <row r="42298" ht="15.75" customHeight="1"/>
    <row r="42299" ht="15.75" customHeight="1"/>
    <row r="42300" ht="15.75" customHeight="1"/>
    <row r="42301" ht="15.75" customHeight="1"/>
    <row r="42302" ht="15.75" customHeight="1"/>
    <row r="42303" ht="15.75" customHeight="1"/>
    <row r="42304" ht="15.75" customHeight="1"/>
    <row r="42305" ht="15.75" customHeight="1"/>
    <row r="42306" ht="15.75" customHeight="1"/>
    <row r="42307" ht="15.75" customHeight="1"/>
    <row r="42308" ht="15.75" customHeight="1"/>
    <row r="42309" ht="15.75" customHeight="1"/>
    <row r="42310" ht="15.75" customHeight="1"/>
    <row r="42311" ht="15.75" customHeight="1"/>
    <row r="42312" ht="15.75" customHeight="1"/>
    <row r="42313" ht="15.75" customHeight="1"/>
    <row r="42314" ht="15.75" customHeight="1"/>
    <row r="42315" ht="15.75" customHeight="1"/>
    <row r="42316" ht="15.75" customHeight="1"/>
    <row r="42317" ht="15.75" customHeight="1"/>
    <row r="42318" ht="15.75" customHeight="1"/>
    <row r="42319" ht="15.75" customHeight="1"/>
    <row r="42320" ht="15.75" customHeight="1"/>
    <row r="42321" ht="15.75" customHeight="1"/>
    <row r="42322" ht="15.75" customHeight="1"/>
    <row r="42323" ht="15.75" customHeight="1"/>
    <row r="42324" ht="15.75" customHeight="1"/>
    <row r="42325" ht="15.75" customHeight="1"/>
    <row r="42326" ht="15.75" customHeight="1"/>
    <row r="42327" ht="15.75" customHeight="1"/>
    <row r="42328" ht="15.75" customHeight="1"/>
    <row r="42329" ht="15.75" customHeight="1"/>
    <row r="42330" ht="15.75" customHeight="1"/>
    <row r="42331" ht="15.75" customHeight="1"/>
    <row r="42332" ht="15.75" customHeight="1"/>
    <row r="42333" ht="15.75" customHeight="1"/>
    <row r="42334" ht="15.75" customHeight="1"/>
    <row r="42335" ht="15.75" customHeight="1"/>
    <row r="42336" ht="15.75" customHeight="1"/>
    <row r="42337" ht="15.75" customHeight="1"/>
    <row r="42338" ht="15.75" customHeight="1"/>
    <row r="42339" ht="15.75" customHeight="1"/>
    <row r="42340" ht="15.75" customHeight="1"/>
    <row r="42341" ht="15.75" customHeight="1"/>
    <row r="42342" ht="15.75" customHeight="1"/>
    <row r="42343" ht="15.75" customHeight="1"/>
    <row r="42344" ht="15.75" customHeight="1"/>
    <row r="42345" ht="15.75" customHeight="1"/>
    <row r="42346" ht="15.75" customHeight="1"/>
    <row r="42347" ht="15.75" customHeight="1"/>
    <row r="42348" ht="15.75" customHeight="1"/>
    <row r="42349" ht="15.75" customHeight="1"/>
    <row r="42350" ht="15.75" customHeight="1"/>
    <row r="42351" ht="15.75" customHeight="1"/>
    <row r="42352" ht="15.75" customHeight="1"/>
    <row r="42353" ht="15.75" customHeight="1"/>
    <row r="42354" ht="15.75" customHeight="1"/>
    <row r="42355" ht="15.75" customHeight="1"/>
    <row r="42356" ht="15.75" customHeight="1"/>
    <row r="42357" ht="15.75" customHeight="1"/>
    <row r="42358" ht="15.75" customHeight="1"/>
    <row r="42359" ht="15.75" customHeight="1"/>
    <row r="42360" ht="15.75" customHeight="1"/>
    <row r="42361" ht="15.75" customHeight="1"/>
    <row r="42362" ht="15.75" customHeight="1"/>
    <row r="42363" ht="15.75" customHeight="1"/>
    <row r="42364" ht="15.75" customHeight="1"/>
    <row r="42365" ht="15.75" customHeight="1"/>
    <row r="42366" ht="15.75" customHeight="1"/>
    <row r="42367" ht="15.75" customHeight="1"/>
    <row r="42368" ht="15.75" customHeight="1"/>
    <row r="42369" ht="15.75" customHeight="1"/>
    <row r="42370" ht="15.75" customHeight="1"/>
    <row r="42371" ht="15.75" customHeight="1"/>
    <row r="42372" ht="15.75" customHeight="1"/>
    <row r="42373" ht="15.75" customHeight="1"/>
    <row r="42374" ht="15.75" customHeight="1"/>
    <row r="42375" ht="15.75" customHeight="1"/>
    <row r="42376" ht="15.75" customHeight="1"/>
    <row r="42377" ht="15.75" customHeight="1"/>
    <row r="42378" ht="15.75" customHeight="1"/>
    <row r="42379" ht="15.75" customHeight="1"/>
    <row r="42380" ht="15.75" customHeight="1"/>
    <row r="42381" ht="15.75" customHeight="1"/>
    <row r="42382" ht="15.75" customHeight="1"/>
    <row r="42383" ht="15.75" customHeight="1"/>
    <row r="42384" ht="15.75" customHeight="1"/>
    <row r="42385" ht="15.75" customHeight="1"/>
    <row r="42386" ht="15.75" customHeight="1"/>
    <row r="42387" ht="15.75" customHeight="1"/>
    <row r="42388" ht="15.75" customHeight="1"/>
    <row r="42389" ht="15.75" customHeight="1"/>
    <row r="42390" ht="15.75" customHeight="1"/>
    <row r="42391" ht="15.75" customHeight="1"/>
    <row r="42392" ht="15.75" customHeight="1"/>
    <row r="42393" ht="15.75" customHeight="1"/>
    <row r="42394" ht="15.75" customHeight="1"/>
    <row r="42395" ht="15.75" customHeight="1"/>
    <row r="42396" ht="15.75" customHeight="1"/>
    <row r="42397" ht="15.75" customHeight="1"/>
    <row r="42398" ht="15.75" customHeight="1"/>
    <row r="42399" ht="15.75" customHeight="1"/>
    <row r="42400" ht="15.75" customHeight="1"/>
    <row r="42401" ht="15.75" customHeight="1"/>
    <row r="42402" ht="15.75" customHeight="1"/>
    <row r="42403" ht="15.75" customHeight="1"/>
    <row r="42404" ht="15.75" customHeight="1"/>
    <row r="42405" ht="15.75" customHeight="1"/>
    <row r="42406" ht="15.75" customHeight="1"/>
    <row r="42407" ht="15.75" customHeight="1"/>
    <row r="42408" ht="15.75" customHeight="1"/>
    <row r="42409" ht="15.75" customHeight="1"/>
    <row r="42410" ht="15.75" customHeight="1"/>
    <row r="42411" ht="15.75" customHeight="1"/>
    <row r="42412" ht="15.75" customHeight="1"/>
    <row r="42413" ht="15.75" customHeight="1"/>
    <row r="42414" ht="15.75" customHeight="1"/>
    <row r="42415" ht="15.75" customHeight="1"/>
    <row r="42416" ht="15.75" customHeight="1"/>
    <row r="42417" ht="15.75" customHeight="1"/>
    <row r="42418" ht="15.75" customHeight="1"/>
    <row r="42419" ht="15.75" customHeight="1"/>
    <row r="42420" ht="15.75" customHeight="1"/>
    <row r="42421" ht="15.75" customHeight="1"/>
    <row r="42422" ht="15.75" customHeight="1"/>
    <row r="42423" ht="15.75" customHeight="1"/>
    <row r="42424" ht="15.75" customHeight="1"/>
    <row r="42425" ht="15.75" customHeight="1"/>
    <row r="42426" ht="15.75" customHeight="1"/>
    <row r="42427" ht="15.75" customHeight="1"/>
    <row r="42428" ht="15.75" customHeight="1"/>
    <row r="42429" ht="15.75" customHeight="1"/>
    <row r="42430" ht="15.75" customHeight="1"/>
    <row r="42431" ht="15.75" customHeight="1"/>
    <row r="42432" ht="15.75" customHeight="1"/>
    <row r="42433" ht="15.75" customHeight="1"/>
    <row r="42434" ht="15.75" customHeight="1"/>
    <row r="42435" ht="15.75" customHeight="1"/>
    <row r="42436" ht="15.75" customHeight="1"/>
    <row r="42437" ht="15.75" customHeight="1"/>
    <row r="42438" ht="15.75" customHeight="1"/>
    <row r="42439" ht="15.75" customHeight="1"/>
    <row r="42440" ht="15.75" customHeight="1"/>
    <row r="42441" ht="15.75" customHeight="1"/>
    <row r="42442" ht="15.75" customHeight="1"/>
    <row r="42443" ht="15.75" customHeight="1"/>
    <row r="42444" ht="15.75" customHeight="1"/>
    <row r="42445" ht="15.75" customHeight="1"/>
    <row r="42446" ht="15.75" customHeight="1"/>
    <row r="42447" ht="15.75" customHeight="1"/>
    <row r="42448" ht="15.75" customHeight="1"/>
    <row r="42449" ht="15.75" customHeight="1"/>
    <row r="42450" ht="15.75" customHeight="1"/>
    <row r="42451" ht="15.75" customHeight="1"/>
    <row r="42452" ht="15.75" customHeight="1"/>
    <row r="42453" ht="15.75" customHeight="1"/>
    <row r="42454" ht="15.75" customHeight="1"/>
    <row r="42455" ht="15.75" customHeight="1"/>
    <row r="42456" ht="15.75" customHeight="1"/>
    <row r="42457" ht="15.75" customHeight="1"/>
    <row r="42458" ht="15.75" customHeight="1"/>
    <row r="42459" ht="15.75" customHeight="1"/>
    <row r="42460" ht="15.75" customHeight="1"/>
    <row r="42461" ht="15.75" customHeight="1"/>
    <row r="42462" ht="15.75" customHeight="1"/>
    <row r="42463" ht="15.75" customHeight="1"/>
    <row r="42464" ht="15.75" customHeight="1"/>
    <row r="42465" ht="15.75" customHeight="1"/>
    <row r="42466" ht="15.75" customHeight="1"/>
    <row r="42467" ht="15.75" customHeight="1"/>
    <row r="42468" ht="15.75" customHeight="1"/>
    <row r="42469" ht="15.75" customHeight="1"/>
    <row r="42470" ht="15.75" customHeight="1"/>
    <row r="42471" ht="15.75" customHeight="1"/>
    <row r="42472" ht="15.75" customHeight="1"/>
    <row r="42473" ht="15.75" customHeight="1"/>
    <row r="42474" ht="15.75" customHeight="1"/>
    <row r="42475" ht="15.75" customHeight="1"/>
    <row r="42476" ht="15.75" customHeight="1"/>
    <row r="42477" ht="15.75" customHeight="1"/>
    <row r="42478" ht="15.75" customHeight="1"/>
    <row r="42479" ht="15.75" customHeight="1"/>
    <row r="42480" ht="15.75" customHeight="1"/>
    <row r="42481" ht="15.75" customHeight="1"/>
    <row r="42482" ht="15.75" customHeight="1"/>
    <row r="42483" ht="15.75" customHeight="1"/>
    <row r="42484" ht="15.75" customHeight="1"/>
    <row r="42485" ht="15.75" customHeight="1"/>
    <row r="42486" ht="15.75" customHeight="1"/>
    <row r="42487" ht="15.75" customHeight="1"/>
    <row r="42488" ht="15.75" customHeight="1"/>
    <row r="42489" ht="15.75" customHeight="1"/>
    <row r="42490" ht="15.75" customHeight="1"/>
    <row r="42491" ht="15.75" customHeight="1"/>
    <row r="42492" ht="15.75" customHeight="1"/>
    <row r="42493" ht="15.75" customHeight="1"/>
    <row r="42494" ht="15.75" customHeight="1"/>
    <row r="42495" ht="15.75" customHeight="1"/>
    <row r="42496" ht="15.75" customHeight="1"/>
    <row r="42497" ht="15.75" customHeight="1"/>
    <row r="42498" ht="15.75" customHeight="1"/>
    <row r="42499" ht="15.75" customHeight="1"/>
    <row r="42500" ht="15.75" customHeight="1"/>
    <row r="42501" ht="15.75" customHeight="1"/>
    <row r="42502" ht="15.75" customHeight="1"/>
    <row r="42503" ht="15.75" customHeight="1"/>
    <row r="42504" ht="15.75" customHeight="1"/>
    <row r="42505" ht="15.75" customHeight="1"/>
    <row r="42506" ht="15.75" customHeight="1"/>
    <row r="42507" ht="15.75" customHeight="1"/>
    <row r="42508" ht="15.75" customHeight="1"/>
    <row r="42509" ht="15.75" customHeight="1"/>
    <row r="42510" ht="15.75" customHeight="1"/>
    <row r="42511" ht="15.75" customHeight="1"/>
    <row r="42512" ht="15.75" customHeight="1"/>
    <row r="42513" ht="15.75" customHeight="1"/>
    <row r="42514" ht="15.75" customHeight="1"/>
    <row r="42515" ht="15.75" customHeight="1"/>
    <row r="42516" ht="15.75" customHeight="1"/>
    <row r="42517" ht="15.75" customHeight="1"/>
    <row r="42518" ht="15.75" customHeight="1"/>
    <row r="42519" ht="15.75" customHeight="1"/>
    <row r="42520" ht="15.75" customHeight="1"/>
    <row r="42521" ht="15.75" customHeight="1"/>
    <row r="42522" ht="15.75" customHeight="1"/>
    <row r="42523" ht="15.75" customHeight="1"/>
    <row r="42524" ht="15.75" customHeight="1"/>
    <row r="42525" ht="15.75" customHeight="1"/>
    <row r="42526" ht="15.75" customHeight="1"/>
    <row r="42527" ht="15.75" customHeight="1"/>
    <row r="42528" ht="15.75" customHeight="1"/>
    <row r="42529" ht="15.75" customHeight="1"/>
    <row r="42530" ht="15.75" customHeight="1"/>
    <row r="42531" ht="15.75" customHeight="1"/>
    <row r="42532" ht="15.75" customHeight="1"/>
    <row r="42533" ht="15.75" customHeight="1"/>
    <row r="42534" ht="15.75" customHeight="1"/>
    <row r="42535" ht="15.75" customHeight="1"/>
    <row r="42536" ht="15.75" customHeight="1"/>
    <row r="42537" ht="15.75" customHeight="1"/>
    <row r="42538" ht="15.75" customHeight="1"/>
    <row r="42539" ht="15.75" customHeight="1"/>
    <row r="42540" ht="15.75" customHeight="1"/>
    <row r="42541" ht="15.75" customHeight="1"/>
    <row r="42542" ht="15.75" customHeight="1"/>
    <row r="42543" ht="15.75" customHeight="1"/>
    <row r="42544" ht="15.75" customHeight="1"/>
    <row r="42545" ht="15.75" customHeight="1"/>
    <row r="42546" ht="15.75" customHeight="1"/>
    <row r="42547" ht="15.75" customHeight="1"/>
    <row r="42548" ht="15.75" customHeight="1"/>
    <row r="42549" ht="15.75" customHeight="1"/>
    <row r="42550" ht="15.75" customHeight="1"/>
    <row r="42551" ht="15.75" customHeight="1"/>
    <row r="42552" ht="15.75" customHeight="1"/>
    <row r="42553" ht="15.75" customHeight="1"/>
    <row r="42554" ht="15.75" customHeight="1"/>
    <row r="42555" ht="15.75" customHeight="1"/>
    <row r="42556" ht="15.75" customHeight="1"/>
    <row r="42557" ht="15.75" customHeight="1"/>
    <row r="42558" ht="15.75" customHeight="1"/>
    <row r="42559" ht="15.75" customHeight="1"/>
    <row r="42560" ht="15.75" customHeight="1"/>
    <row r="42561" ht="15.75" customHeight="1"/>
    <row r="42562" ht="15.75" customHeight="1"/>
    <row r="42563" ht="15.75" customHeight="1"/>
    <row r="42564" ht="15.75" customHeight="1"/>
    <row r="42565" ht="15.75" customHeight="1"/>
    <row r="42566" ht="15.75" customHeight="1"/>
    <row r="42567" ht="15.75" customHeight="1"/>
    <row r="42568" ht="15.75" customHeight="1"/>
    <row r="42569" ht="15.75" customHeight="1"/>
    <row r="42570" ht="15.75" customHeight="1"/>
    <row r="42571" ht="15.75" customHeight="1"/>
    <row r="42572" ht="15.75" customHeight="1"/>
    <row r="42573" ht="15.75" customHeight="1"/>
    <row r="42574" ht="15.75" customHeight="1"/>
    <row r="42575" ht="15.75" customHeight="1"/>
    <row r="42576" ht="15.75" customHeight="1"/>
    <row r="42577" ht="15.75" customHeight="1"/>
    <row r="42578" ht="15.75" customHeight="1"/>
    <row r="42579" ht="15.75" customHeight="1"/>
    <row r="42580" ht="15.75" customHeight="1"/>
    <row r="42581" ht="15.75" customHeight="1"/>
    <row r="42582" ht="15.75" customHeight="1"/>
    <row r="42583" ht="15.75" customHeight="1"/>
    <row r="42584" ht="15.75" customHeight="1"/>
    <row r="42585" ht="15.75" customHeight="1"/>
    <row r="42586" ht="15.75" customHeight="1"/>
    <row r="42587" ht="15.75" customHeight="1"/>
    <row r="42588" ht="15.75" customHeight="1"/>
    <row r="42589" ht="15.75" customHeight="1"/>
    <row r="42590" ht="15.75" customHeight="1"/>
    <row r="42591" ht="15.75" customHeight="1"/>
    <row r="42592" ht="15.75" customHeight="1"/>
    <row r="42593" ht="15.75" customHeight="1"/>
    <row r="42594" ht="15.75" customHeight="1"/>
    <row r="42595" ht="15.75" customHeight="1"/>
    <row r="42596" ht="15.75" customHeight="1"/>
    <row r="42597" ht="15.75" customHeight="1"/>
    <row r="42598" ht="15.75" customHeight="1"/>
    <row r="42599" ht="15.75" customHeight="1"/>
    <row r="42600" ht="15.75" customHeight="1"/>
    <row r="42601" ht="15.75" customHeight="1"/>
    <row r="42602" ht="15.75" customHeight="1"/>
    <row r="42603" ht="15.75" customHeight="1"/>
    <row r="42604" ht="15.75" customHeight="1"/>
    <row r="42605" ht="15.75" customHeight="1"/>
    <row r="42606" ht="15.75" customHeight="1"/>
    <row r="42607" ht="15.75" customHeight="1"/>
    <row r="42608" ht="15.75" customHeight="1"/>
    <row r="42609" ht="15.75" customHeight="1"/>
    <row r="42610" ht="15.75" customHeight="1"/>
    <row r="42611" ht="15.75" customHeight="1"/>
    <row r="42612" ht="15.75" customHeight="1"/>
    <row r="42613" ht="15.75" customHeight="1"/>
    <row r="42614" ht="15.75" customHeight="1"/>
    <row r="42615" ht="15.75" customHeight="1"/>
    <row r="42616" ht="15.75" customHeight="1"/>
    <row r="42617" ht="15.75" customHeight="1"/>
    <row r="42618" ht="15.75" customHeight="1"/>
    <row r="42619" ht="15.75" customHeight="1"/>
    <row r="42620" ht="15.75" customHeight="1"/>
    <row r="42621" ht="15.75" customHeight="1"/>
    <row r="42622" ht="15.75" customHeight="1"/>
    <row r="42623" ht="15.75" customHeight="1"/>
    <row r="42624" ht="15.75" customHeight="1"/>
    <row r="42625" ht="15.75" customHeight="1"/>
    <row r="42626" ht="15.75" customHeight="1"/>
    <row r="42627" ht="15.75" customHeight="1"/>
    <row r="42628" ht="15.75" customHeight="1"/>
    <row r="42629" ht="15.75" customHeight="1"/>
    <row r="42630" ht="15.75" customHeight="1"/>
    <row r="42631" ht="15.75" customHeight="1"/>
    <row r="42632" ht="15.75" customHeight="1"/>
    <row r="42633" ht="15.75" customHeight="1"/>
    <row r="42634" ht="15.75" customHeight="1"/>
    <row r="42635" ht="15.75" customHeight="1"/>
    <row r="42636" ht="15.75" customHeight="1"/>
    <row r="42637" ht="15.75" customHeight="1"/>
    <row r="42638" ht="15.75" customHeight="1"/>
    <row r="42639" ht="15.75" customHeight="1"/>
    <row r="42640" ht="15.75" customHeight="1"/>
    <row r="42641" ht="15.75" customHeight="1"/>
    <row r="42642" ht="15.75" customHeight="1"/>
    <row r="42643" ht="15.75" customHeight="1"/>
    <row r="42644" ht="15.75" customHeight="1"/>
    <row r="42645" ht="15.75" customHeight="1"/>
    <row r="42646" ht="15.75" customHeight="1"/>
    <row r="42647" ht="15.75" customHeight="1"/>
    <row r="42648" ht="15.75" customHeight="1"/>
    <row r="42649" ht="15.75" customHeight="1"/>
    <row r="42650" ht="15.75" customHeight="1"/>
    <row r="42651" ht="15.75" customHeight="1"/>
    <row r="42652" ht="15.75" customHeight="1"/>
    <row r="42653" ht="15.75" customHeight="1"/>
    <row r="42654" ht="15.75" customHeight="1"/>
    <row r="42655" ht="15.75" customHeight="1"/>
    <row r="42656" ht="15.75" customHeight="1"/>
    <row r="42657" ht="15.75" customHeight="1"/>
    <row r="42658" ht="15.75" customHeight="1"/>
    <row r="42659" ht="15.75" customHeight="1"/>
    <row r="42660" ht="15.75" customHeight="1"/>
    <row r="42661" ht="15.75" customHeight="1"/>
    <row r="42662" ht="15.75" customHeight="1"/>
    <row r="42663" ht="15.75" customHeight="1"/>
    <row r="42664" ht="15.75" customHeight="1"/>
    <row r="42665" ht="15.75" customHeight="1"/>
    <row r="42666" ht="15.75" customHeight="1"/>
    <row r="42667" ht="15.75" customHeight="1"/>
    <row r="42668" ht="15.75" customHeight="1"/>
    <row r="42669" ht="15.75" customHeight="1"/>
    <row r="42670" ht="15.75" customHeight="1"/>
    <row r="42671" ht="15.75" customHeight="1"/>
    <row r="42672" ht="15.75" customHeight="1"/>
    <row r="42673" ht="15.75" customHeight="1"/>
    <row r="42674" ht="15.75" customHeight="1"/>
    <row r="42675" ht="15.75" customHeight="1"/>
    <row r="42676" ht="15.75" customHeight="1"/>
    <row r="42677" ht="15.75" customHeight="1"/>
    <row r="42678" ht="15.75" customHeight="1"/>
    <row r="42679" ht="15.75" customHeight="1"/>
    <row r="42680" ht="15.75" customHeight="1"/>
    <row r="42681" ht="15.75" customHeight="1"/>
    <row r="42682" ht="15.75" customHeight="1"/>
    <row r="42683" ht="15.75" customHeight="1"/>
    <row r="42684" ht="15.75" customHeight="1"/>
    <row r="42685" ht="15.75" customHeight="1"/>
    <row r="42686" ht="15.75" customHeight="1"/>
    <row r="42687" ht="15.75" customHeight="1"/>
    <row r="42688" ht="15.75" customHeight="1"/>
    <row r="42689" ht="15.75" customHeight="1"/>
    <row r="42690" ht="15.75" customHeight="1"/>
    <row r="42691" ht="15.75" customHeight="1"/>
    <row r="42692" ht="15.75" customHeight="1"/>
    <row r="42693" ht="15.75" customHeight="1"/>
    <row r="42694" ht="15.75" customHeight="1"/>
    <row r="42695" ht="15.75" customHeight="1"/>
    <row r="42696" ht="15.75" customHeight="1"/>
    <row r="42697" ht="15.75" customHeight="1"/>
    <row r="42698" ht="15.75" customHeight="1"/>
    <row r="42699" ht="15.75" customHeight="1"/>
    <row r="42700" ht="15.75" customHeight="1"/>
    <row r="42701" ht="15.75" customHeight="1"/>
    <row r="42702" ht="15.75" customHeight="1"/>
    <row r="42703" ht="15.75" customHeight="1"/>
    <row r="42704" ht="15.75" customHeight="1"/>
    <row r="42705" ht="15.75" customHeight="1"/>
    <row r="42706" ht="15.75" customHeight="1"/>
    <row r="42707" ht="15.75" customHeight="1"/>
    <row r="42708" ht="15.75" customHeight="1"/>
    <row r="42709" ht="15.75" customHeight="1"/>
    <row r="42710" ht="15.75" customHeight="1"/>
    <row r="42711" ht="15.75" customHeight="1"/>
    <row r="42712" ht="15.75" customHeight="1"/>
    <row r="42713" ht="15.75" customHeight="1"/>
    <row r="42714" ht="15.75" customHeight="1"/>
    <row r="42715" ht="15.75" customHeight="1"/>
    <row r="42716" ht="15.75" customHeight="1"/>
    <row r="42717" ht="15.75" customHeight="1"/>
    <row r="42718" ht="15.75" customHeight="1"/>
    <row r="42719" ht="15.75" customHeight="1"/>
    <row r="42720" ht="15.75" customHeight="1"/>
    <row r="42721" ht="15.75" customHeight="1"/>
    <row r="42722" ht="15.75" customHeight="1"/>
    <row r="42723" ht="15.75" customHeight="1"/>
    <row r="42724" ht="15.75" customHeight="1"/>
    <row r="42725" ht="15.75" customHeight="1"/>
    <row r="42726" ht="15.75" customHeight="1"/>
    <row r="42727" ht="15.75" customHeight="1"/>
    <row r="42728" ht="15.75" customHeight="1"/>
    <row r="42729" ht="15.75" customHeight="1"/>
    <row r="42730" ht="15.75" customHeight="1"/>
    <row r="42731" ht="15.75" customHeight="1"/>
    <row r="42732" ht="15.75" customHeight="1"/>
    <row r="42733" ht="15.75" customHeight="1"/>
    <row r="42734" ht="15.75" customHeight="1"/>
    <row r="42735" ht="15.75" customHeight="1"/>
    <row r="42736" ht="15.75" customHeight="1"/>
    <row r="42737" ht="15.75" customHeight="1"/>
    <row r="42738" ht="15.75" customHeight="1"/>
    <row r="42739" ht="15.75" customHeight="1"/>
    <row r="42740" ht="15.75" customHeight="1"/>
    <row r="42741" ht="15.75" customHeight="1"/>
    <row r="42742" ht="15.75" customHeight="1"/>
    <row r="42743" ht="15.75" customHeight="1"/>
    <row r="42744" ht="15.75" customHeight="1"/>
    <row r="42745" ht="15.75" customHeight="1"/>
    <row r="42746" ht="15.75" customHeight="1"/>
    <row r="42747" ht="15.75" customHeight="1"/>
    <row r="42748" ht="15.75" customHeight="1"/>
    <row r="42749" ht="15.75" customHeight="1"/>
    <row r="42750" ht="15.75" customHeight="1"/>
    <row r="42751" ht="15.75" customHeight="1"/>
    <row r="42752" ht="15.75" customHeight="1"/>
    <row r="42753" ht="15.75" customHeight="1"/>
    <row r="42754" ht="15.75" customHeight="1"/>
    <row r="42755" ht="15.75" customHeight="1"/>
    <row r="42756" ht="15.75" customHeight="1"/>
    <row r="42757" ht="15.75" customHeight="1"/>
    <row r="42758" ht="15.75" customHeight="1"/>
    <row r="42759" ht="15.75" customHeight="1"/>
    <row r="42760" ht="15.75" customHeight="1"/>
    <row r="42761" ht="15.75" customHeight="1"/>
    <row r="42762" ht="15.75" customHeight="1"/>
    <row r="42763" ht="15.75" customHeight="1"/>
    <row r="42764" ht="15.75" customHeight="1"/>
    <row r="42765" ht="15.75" customHeight="1"/>
    <row r="42766" ht="15.75" customHeight="1"/>
    <row r="42767" ht="15.75" customHeight="1"/>
    <row r="42768" ht="15.75" customHeight="1"/>
    <row r="42769" ht="15.75" customHeight="1"/>
    <row r="42770" ht="15.75" customHeight="1"/>
    <row r="42771" ht="15.75" customHeight="1"/>
    <row r="42772" ht="15.75" customHeight="1"/>
    <row r="42773" ht="15.75" customHeight="1"/>
    <row r="42774" ht="15.75" customHeight="1"/>
    <row r="42775" ht="15.75" customHeight="1"/>
    <row r="42776" ht="15.75" customHeight="1"/>
    <row r="42777" ht="15.75" customHeight="1"/>
    <row r="42778" ht="15.75" customHeight="1"/>
    <row r="42779" ht="15.75" customHeight="1"/>
    <row r="42780" ht="15.75" customHeight="1"/>
    <row r="42781" ht="15.75" customHeight="1"/>
    <row r="42782" ht="15.75" customHeight="1"/>
    <row r="42783" ht="15.75" customHeight="1"/>
    <row r="42784" ht="15.75" customHeight="1"/>
    <row r="42785" ht="15.75" customHeight="1"/>
    <row r="42786" ht="15.75" customHeight="1"/>
    <row r="42787" ht="15.75" customHeight="1"/>
    <row r="42788" ht="15.75" customHeight="1"/>
    <row r="42789" ht="15.75" customHeight="1"/>
    <row r="42790" ht="15.75" customHeight="1"/>
    <row r="42791" ht="15.75" customHeight="1"/>
    <row r="42792" ht="15.75" customHeight="1"/>
    <row r="42793" ht="15.75" customHeight="1"/>
    <row r="42794" ht="15.75" customHeight="1"/>
    <row r="42795" ht="15.75" customHeight="1"/>
    <row r="42796" ht="15.75" customHeight="1"/>
    <row r="42797" ht="15.75" customHeight="1"/>
    <row r="42798" ht="15.75" customHeight="1"/>
    <row r="42799" ht="15.75" customHeight="1"/>
    <row r="42800" ht="15.75" customHeight="1"/>
    <row r="42801" ht="15.75" customHeight="1"/>
    <row r="42802" ht="15.75" customHeight="1"/>
    <row r="42803" ht="15.75" customHeight="1"/>
    <row r="42804" ht="15.75" customHeight="1"/>
    <row r="42805" ht="15.75" customHeight="1"/>
    <row r="42806" ht="15.75" customHeight="1"/>
    <row r="42807" ht="15.75" customHeight="1"/>
    <row r="42808" ht="15.75" customHeight="1"/>
    <row r="42809" ht="15.75" customHeight="1"/>
    <row r="42810" ht="15.75" customHeight="1"/>
    <row r="42811" ht="15.75" customHeight="1"/>
    <row r="42812" ht="15.75" customHeight="1"/>
    <row r="42813" ht="15.75" customHeight="1"/>
    <row r="42814" ht="15.75" customHeight="1"/>
    <row r="42815" ht="15.75" customHeight="1"/>
    <row r="42816" ht="15.75" customHeight="1"/>
    <row r="42817" ht="15.75" customHeight="1"/>
    <row r="42818" ht="15.75" customHeight="1"/>
    <row r="42819" ht="15.75" customHeight="1"/>
    <row r="42820" ht="15.75" customHeight="1"/>
    <row r="42821" ht="15.75" customHeight="1"/>
    <row r="42822" ht="15.75" customHeight="1"/>
    <row r="42823" ht="15.75" customHeight="1"/>
    <row r="42824" ht="15.75" customHeight="1"/>
    <row r="42825" ht="15.75" customHeight="1"/>
    <row r="42826" ht="15.75" customHeight="1"/>
    <row r="42827" ht="15.75" customHeight="1"/>
    <row r="42828" ht="15.75" customHeight="1"/>
    <row r="42829" ht="15.75" customHeight="1"/>
    <row r="42830" ht="15.75" customHeight="1"/>
    <row r="42831" ht="15.75" customHeight="1"/>
    <row r="42832" ht="15.75" customHeight="1"/>
    <row r="42833" ht="15.75" customHeight="1"/>
    <row r="42834" ht="15.75" customHeight="1"/>
    <row r="42835" ht="15.75" customHeight="1"/>
    <row r="42836" ht="15.75" customHeight="1"/>
    <row r="42837" ht="15.75" customHeight="1"/>
    <row r="42838" ht="15.75" customHeight="1"/>
    <row r="42839" ht="15.75" customHeight="1"/>
    <row r="42840" ht="15.75" customHeight="1"/>
    <row r="42841" ht="15.75" customHeight="1"/>
    <row r="42842" ht="15.75" customHeight="1"/>
    <row r="42843" ht="15.75" customHeight="1"/>
    <row r="42844" ht="15.75" customHeight="1"/>
    <row r="42845" ht="15.75" customHeight="1"/>
    <row r="42846" ht="15.75" customHeight="1"/>
    <row r="42847" ht="15.75" customHeight="1"/>
    <row r="42848" ht="15.75" customHeight="1"/>
    <row r="42849" ht="15.75" customHeight="1"/>
    <row r="42850" ht="15.75" customHeight="1"/>
    <row r="42851" ht="15.75" customHeight="1"/>
    <row r="42852" ht="15.75" customHeight="1"/>
    <row r="42853" ht="15.75" customHeight="1"/>
    <row r="42854" ht="15.75" customHeight="1"/>
    <row r="42855" ht="15.75" customHeight="1"/>
    <row r="42856" ht="15.75" customHeight="1"/>
    <row r="42857" ht="15.75" customHeight="1"/>
    <row r="42858" ht="15.75" customHeight="1"/>
    <row r="42859" ht="15.75" customHeight="1"/>
    <row r="42860" ht="15.75" customHeight="1"/>
    <row r="42861" ht="15.75" customHeight="1"/>
    <row r="42862" ht="15.75" customHeight="1"/>
    <row r="42863" ht="15.75" customHeight="1"/>
    <row r="42864" ht="15.75" customHeight="1"/>
    <row r="42865" ht="15.75" customHeight="1"/>
    <row r="42866" ht="15.75" customHeight="1"/>
    <row r="42867" ht="15.75" customHeight="1"/>
    <row r="42868" ht="15.75" customHeight="1"/>
    <row r="42869" ht="15.75" customHeight="1"/>
    <row r="42870" ht="15.75" customHeight="1"/>
    <row r="42871" ht="15.75" customHeight="1"/>
    <row r="42872" ht="15.75" customHeight="1"/>
    <row r="42873" ht="15.75" customHeight="1"/>
    <row r="42874" ht="15.75" customHeight="1"/>
    <row r="42875" ht="15.75" customHeight="1"/>
    <row r="42876" ht="15.75" customHeight="1"/>
    <row r="42877" ht="15.75" customHeight="1"/>
    <row r="42878" ht="15.75" customHeight="1"/>
    <row r="42879" ht="15.75" customHeight="1"/>
    <row r="42880" ht="15.75" customHeight="1"/>
    <row r="42881" ht="15.75" customHeight="1"/>
    <row r="42882" ht="15.75" customHeight="1"/>
    <row r="42883" ht="15.75" customHeight="1"/>
    <row r="42884" ht="15.75" customHeight="1"/>
    <row r="42885" ht="15.75" customHeight="1"/>
    <row r="42886" ht="15.75" customHeight="1"/>
    <row r="42887" ht="15.75" customHeight="1"/>
    <row r="42888" ht="15.75" customHeight="1"/>
    <row r="42889" ht="15.75" customHeight="1"/>
    <row r="42890" ht="15.75" customHeight="1"/>
    <row r="42891" ht="15.75" customHeight="1"/>
    <row r="42892" ht="15.75" customHeight="1"/>
    <row r="42893" ht="15.75" customHeight="1"/>
    <row r="42894" ht="15.75" customHeight="1"/>
    <row r="42895" ht="15.75" customHeight="1"/>
    <row r="42896" ht="15.75" customHeight="1"/>
    <row r="42897" ht="15.75" customHeight="1"/>
    <row r="42898" ht="15.75" customHeight="1"/>
    <row r="42899" ht="15.75" customHeight="1"/>
    <row r="42900" ht="15.75" customHeight="1"/>
    <row r="42901" ht="15.75" customHeight="1"/>
    <row r="42902" ht="15.75" customHeight="1"/>
    <row r="42903" ht="15.75" customHeight="1"/>
    <row r="42904" ht="15.75" customHeight="1"/>
    <row r="42905" ht="15.75" customHeight="1"/>
    <row r="42906" ht="15.75" customHeight="1"/>
    <row r="42907" ht="15.75" customHeight="1"/>
    <row r="42908" ht="15.75" customHeight="1"/>
    <row r="42909" ht="15.75" customHeight="1"/>
    <row r="42910" ht="15.75" customHeight="1"/>
    <row r="42911" ht="15.75" customHeight="1"/>
    <row r="42912" ht="15.75" customHeight="1"/>
    <row r="42913" ht="15.75" customHeight="1"/>
    <row r="42914" ht="15.75" customHeight="1"/>
    <row r="42915" ht="15.75" customHeight="1"/>
    <row r="42916" ht="15.75" customHeight="1"/>
    <row r="42917" ht="15.75" customHeight="1"/>
    <row r="42918" ht="15.75" customHeight="1"/>
    <row r="42919" ht="15.75" customHeight="1"/>
    <row r="42920" ht="15.75" customHeight="1"/>
    <row r="42921" ht="15.75" customHeight="1"/>
    <row r="42922" ht="15.75" customHeight="1"/>
    <row r="42923" ht="15.75" customHeight="1"/>
    <row r="42924" ht="15.75" customHeight="1"/>
    <row r="42925" ht="15.75" customHeight="1"/>
    <row r="42926" ht="15.75" customHeight="1"/>
    <row r="42927" ht="15.75" customHeight="1"/>
    <row r="42928" ht="15.75" customHeight="1"/>
    <row r="42929" ht="15.75" customHeight="1"/>
    <row r="42930" ht="15.75" customHeight="1"/>
    <row r="42931" ht="15.75" customHeight="1"/>
    <row r="42932" ht="15.75" customHeight="1"/>
    <row r="42933" ht="15.75" customHeight="1"/>
    <row r="42934" ht="15.75" customHeight="1"/>
    <row r="42935" ht="15.75" customHeight="1"/>
    <row r="42936" ht="15.75" customHeight="1"/>
    <row r="42937" ht="15.75" customHeight="1"/>
    <row r="42938" ht="15.75" customHeight="1"/>
    <row r="42939" ht="15.75" customHeight="1"/>
    <row r="42940" ht="15.75" customHeight="1"/>
    <row r="42941" ht="15.75" customHeight="1"/>
    <row r="42942" ht="15.75" customHeight="1"/>
    <row r="42943" ht="15.75" customHeight="1"/>
    <row r="42944" ht="15.75" customHeight="1"/>
    <row r="42945" ht="15.75" customHeight="1"/>
    <row r="42946" ht="15.75" customHeight="1"/>
    <row r="42947" ht="15.75" customHeight="1"/>
    <row r="42948" ht="15.75" customHeight="1"/>
    <row r="42949" ht="15.75" customHeight="1"/>
    <row r="42950" ht="15.75" customHeight="1"/>
    <row r="42951" ht="15.75" customHeight="1"/>
    <row r="42952" ht="15.75" customHeight="1"/>
    <row r="42953" ht="15.75" customHeight="1"/>
    <row r="42954" ht="15.75" customHeight="1"/>
    <row r="42955" ht="15.75" customHeight="1"/>
    <row r="42956" ht="15.75" customHeight="1"/>
    <row r="42957" ht="15.75" customHeight="1"/>
    <row r="42958" ht="15.75" customHeight="1"/>
    <row r="42959" ht="15.75" customHeight="1"/>
    <row r="42960" ht="15.75" customHeight="1"/>
    <row r="42961" ht="15.75" customHeight="1"/>
    <row r="42962" ht="15.75" customHeight="1"/>
    <row r="42963" ht="15.75" customHeight="1"/>
    <row r="42964" ht="15.75" customHeight="1"/>
    <row r="42965" ht="15.75" customHeight="1"/>
    <row r="42966" ht="15.75" customHeight="1"/>
    <row r="42967" ht="15.75" customHeight="1"/>
    <row r="42968" ht="15.75" customHeight="1"/>
    <row r="42969" ht="15.75" customHeight="1"/>
    <row r="42970" ht="15.75" customHeight="1"/>
    <row r="42971" ht="15.75" customHeight="1"/>
    <row r="42972" ht="15.75" customHeight="1"/>
    <row r="42973" ht="15.75" customHeight="1"/>
    <row r="42974" ht="15.75" customHeight="1"/>
    <row r="42975" ht="15.75" customHeight="1"/>
    <row r="42976" ht="15.75" customHeight="1"/>
    <row r="42977" ht="15.75" customHeight="1"/>
    <row r="42978" ht="15.75" customHeight="1"/>
    <row r="42979" ht="15.75" customHeight="1"/>
    <row r="42980" ht="15.75" customHeight="1"/>
    <row r="42981" ht="15.75" customHeight="1"/>
    <row r="42982" ht="15.75" customHeight="1"/>
    <row r="42983" ht="15.75" customHeight="1"/>
    <row r="42984" ht="15.75" customHeight="1"/>
    <row r="42985" ht="15.75" customHeight="1"/>
    <row r="42986" ht="15.75" customHeight="1"/>
    <row r="42987" ht="15.75" customHeight="1"/>
    <row r="42988" ht="15.75" customHeight="1"/>
    <row r="42989" ht="15.75" customHeight="1"/>
    <row r="42990" ht="15.75" customHeight="1"/>
    <row r="42991" ht="15.75" customHeight="1"/>
    <row r="42992" ht="15.75" customHeight="1"/>
    <row r="42993" ht="15.75" customHeight="1"/>
    <row r="42994" ht="15.75" customHeight="1"/>
    <row r="42995" ht="15.75" customHeight="1"/>
    <row r="42996" ht="15.75" customHeight="1"/>
    <row r="42997" ht="15.75" customHeight="1"/>
    <row r="42998" ht="15.75" customHeight="1"/>
    <row r="42999" ht="15.75" customHeight="1"/>
    <row r="43000" ht="15.75" customHeight="1"/>
    <row r="43001" ht="15.75" customHeight="1"/>
    <row r="43002" ht="15.75" customHeight="1"/>
    <row r="43003" ht="15.75" customHeight="1"/>
    <row r="43004" ht="15.75" customHeight="1"/>
    <row r="43005" ht="15.75" customHeight="1"/>
    <row r="43006" ht="15.75" customHeight="1"/>
    <row r="43007" ht="15.75" customHeight="1"/>
    <row r="43008" ht="15.75" customHeight="1"/>
    <row r="43009" ht="15.75" customHeight="1"/>
    <row r="43010" ht="15.75" customHeight="1"/>
    <row r="43011" ht="15.75" customHeight="1"/>
    <row r="43012" ht="15.75" customHeight="1"/>
    <row r="43013" ht="15.75" customHeight="1"/>
    <row r="43014" ht="15.75" customHeight="1"/>
    <row r="43015" ht="15.75" customHeight="1"/>
    <row r="43016" ht="15.75" customHeight="1"/>
    <row r="43017" ht="15.75" customHeight="1"/>
    <row r="43018" ht="15.75" customHeight="1"/>
    <row r="43019" ht="15.75" customHeight="1"/>
    <row r="43020" ht="15.75" customHeight="1"/>
    <row r="43021" ht="15.75" customHeight="1"/>
    <row r="43022" ht="15.75" customHeight="1"/>
    <row r="43023" ht="15.75" customHeight="1"/>
    <row r="43024" ht="15.75" customHeight="1"/>
    <row r="43025" ht="15.75" customHeight="1"/>
    <row r="43026" ht="15.75" customHeight="1"/>
    <row r="43027" ht="15.75" customHeight="1"/>
    <row r="43028" ht="15.75" customHeight="1"/>
    <row r="43029" ht="15.75" customHeight="1"/>
    <row r="43030" ht="15.75" customHeight="1"/>
    <row r="43031" ht="15.75" customHeight="1"/>
    <row r="43032" ht="15.75" customHeight="1"/>
    <row r="43033" ht="15.75" customHeight="1"/>
    <row r="43034" ht="15.75" customHeight="1"/>
    <row r="43035" ht="15.75" customHeight="1"/>
    <row r="43036" ht="15.75" customHeight="1"/>
    <row r="43037" ht="15.75" customHeight="1"/>
    <row r="43038" ht="15.75" customHeight="1"/>
    <row r="43039" ht="15.75" customHeight="1"/>
    <row r="43040" ht="15.75" customHeight="1"/>
    <row r="43041" ht="15.75" customHeight="1"/>
    <row r="43042" ht="15.75" customHeight="1"/>
    <row r="43043" ht="15.75" customHeight="1"/>
    <row r="43044" ht="15.75" customHeight="1"/>
    <row r="43045" ht="15.75" customHeight="1"/>
    <row r="43046" ht="15.75" customHeight="1"/>
    <row r="43047" ht="15.75" customHeight="1"/>
    <row r="43048" ht="15.75" customHeight="1"/>
    <row r="43049" ht="15.75" customHeight="1"/>
    <row r="43050" ht="15.75" customHeight="1"/>
    <row r="43051" ht="15.75" customHeight="1"/>
    <row r="43052" ht="15.75" customHeight="1"/>
    <row r="43053" ht="15.75" customHeight="1"/>
    <row r="43054" ht="15.75" customHeight="1"/>
    <row r="43055" ht="15.75" customHeight="1"/>
    <row r="43056" ht="15.75" customHeight="1"/>
    <row r="43057" ht="15.75" customHeight="1"/>
    <row r="43058" ht="15.75" customHeight="1"/>
    <row r="43059" ht="15.75" customHeight="1"/>
    <row r="43060" ht="15.75" customHeight="1"/>
    <row r="43061" ht="15.75" customHeight="1"/>
    <row r="43062" ht="15.75" customHeight="1"/>
    <row r="43063" ht="15.75" customHeight="1"/>
    <row r="43064" ht="15.75" customHeight="1"/>
    <row r="43065" ht="15.75" customHeight="1"/>
    <row r="43066" ht="15.75" customHeight="1"/>
    <row r="43067" ht="15.75" customHeight="1"/>
    <row r="43068" ht="15.75" customHeight="1"/>
    <row r="43069" ht="15.75" customHeight="1"/>
    <row r="43070" ht="15.75" customHeight="1"/>
    <row r="43071" ht="15.75" customHeight="1"/>
    <row r="43072" ht="15.75" customHeight="1"/>
    <row r="43073" ht="15.75" customHeight="1"/>
    <row r="43074" ht="15.75" customHeight="1"/>
    <row r="43075" ht="15.75" customHeight="1"/>
    <row r="43076" ht="15.75" customHeight="1"/>
    <row r="43077" ht="15.75" customHeight="1"/>
    <row r="43078" ht="15.75" customHeight="1"/>
    <row r="43079" ht="15.75" customHeight="1"/>
    <row r="43080" ht="15.75" customHeight="1"/>
    <row r="43081" ht="15.75" customHeight="1"/>
    <row r="43082" ht="15.75" customHeight="1"/>
    <row r="43083" ht="15.75" customHeight="1"/>
    <row r="43084" ht="15.75" customHeight="1"/>
    <row r="43085" ht="15.75" customHeight="1"/>
    <row r="43086" ht="15.75" customHeight="1"/>
    <row r="43087" ht="15.75" customHeight="1"/>
    <row r="43088" ht="15.75" customHeight="1"/>
    <row r="43089" ht="15.75" customHeight="1"/>
    <row r="43090" ht="15.75" customHeight="1"/>
    <row r="43091" ht="15.75" customHeight="1"/>
    <row r="43092" ht="15.75" customHeight="1"/>
    <row r="43093" ht="15.75" customHeight="1"/>
    <row r="43094" ht="15.75" customHeight="1"/>
    <row r="43095" ht="15.75" customHeight="1"/>
    <row r="43096" ht="15.75" customHeight="1"/>
    <row r="43097" ht="15.75" customHeight="1"/>
    <row r="43098" ht="15.75" customHeight="1"/>
    <row r="43099" ht="15.75" customHeight="1"/>
    <row r="43100" ht="15.75" customHeight="1"/>
    <row r="43101" ht="15.75" customHeight="1"/>
    <row r="43102" ht="15.75" customHeight="1"/>
    <row r="43103" ht="15.75" customHeight="1"/>
    <row r="43104" ht="15.75" customHeight="1"/>
    <row r="43105" ht="15.75" customHeight="1"/>
    <row r="43106" ht="15.75" customHeight="1"/>
    <row r="43107" ht="15.75" customHeight="1"/>
    <row r="43108" ht="15.75" customHeight="1"/>
    <row r="43109" ht="15.75" customHeight="1"/>
    <row r="43110" ht="15.75" customHeight="1"/>
    <row r="43111" ht="15.75" customHeight="1"/>
    <row r="43112" ht="15.75" customHeight="1"/>
    <row r="43113" ht="15.75" customHeight="1"/>
    <row r="43114" ht="15.75" customHeight="1"/>
    <row r="43115" ht="15.75" customHeight="1"/>
    <row r="43116" ht="15.75" customHeight="1"/>
    <row r="43117" ht="15.75" customHeight="1"/>
    <row r="43118" ht="15.75" customHeight="1"/>
    <row r="43119" ht="15.75" customHeight="1"/>
    <row r="43120" ht="15.75" customHeight="1"/>
    <row r="43121" ht="15.75" customHeight="1"/>
    <row r="43122" ht="15.75" customHeight="1"/>
    <row r="43123" ht="15.75" customHeight="1"/>
    <row r="43124" ht="15.75" customHeight="1"/>
    <row r="43125" ht="15.75" customHeight="1"/>
    <row r="43126" ht="15.75" customHeight="1"/>
    <row r="43127" ht="15.75" customHeight="1"/>
    <row r="43128" ht="15.75" customHeight="1"/>
    <row r="43129" ht="15.75" customHeight="1"/>
    <row r="43130" ht="15.75" customHeight="1"/>
    <row r="43131" ht="15.75" customHeight="1"/>
    <row r="43132" ht="15.75" customHeight="1"/>
    <row r="43133" ht="15.75" customHeight="1"/>
    <row r="43134" ht="15.75" customHeight="1"/>
    <row r="43135" ht="15.75" customHeight="1"/>
    <row r="43136" ht="15.75" customHeight="1"/>
    <row r="43137" ht="15.75" customHeight="1"/>
    <row r="43138" ht="15.75" customHeight="1"/>
    <row r="43139" ht="15.75" customHeight="1"/>
    <row r="43140" ht="15.75" customHeight="1"/>
    <row r="43141" ht="15.75" customHeight="1"/>
    <row r="43142" ht="15.75" customHeight="1"/>
    <row r="43143" ht="15.75" customHeight="1"/>
    <row r="43144" ht="15.75" customHeight="1"/>
    <row r="43145" ht="15.75" customHeight="1"/>
    <row r="43146" ht="15.75" customHeight="1"/>
    <row r="43147" ht="15.75" customHeight="1"/>
    <row r="43148" ht="15.75" customHeight="1"/>
    <row r="43149" ht="15.75" customHeight="1"/>
    <row r="43150" ht="15.75" customHeight="1"/>
    <row r="43151" ht="15.75" customHeight="1"/>
    <row r="43152" ht="15.75" customHeight="1"/>
    <row r="43153" ht="15.75" customHeight="1"/>
    <row r="43154" ht="15.75" customHeight="1"/>
    <row r="43155" ht="15.75" customHeight="1"/>
    <row r="43156" ht="15.75" customHeight="1"/>
    <row r="43157" ht="15.75" customHeight="1"/>
    <row r="43158" ht="15.75" customHeight="1"/>
    <row r="43159" ht="15.75" customHeight="1"/>
    <row r="43160" ht="15.75" customHeight="1"/>
    <row r="43161" ht="15.75" customHeight="1"/>
    <row r="43162" ht="15.75" customHeight="1"/>
    <row r="43163" ht="15.75" customHeight="1"/>
    <row r="43164" ht="15.75" customHeight="1"/>
    <row r="43165" ht="15.75" customHeight="1"/>
    <row r="43166" ht="15.75" customHeight="1"/>
    <row r="43167" ht="15.75" customHeight="1"/>
    <row r="43168" ht="15.75" customHeight="1"/>
    <row r="43169" ht="15.75" customHeight="1"/>
    <row r="43170" ht="15.75" customHeight="1"/>
    <row r="43171" ht="15.75" customHeight="1"/>
    <row r="43172" ht="15.75" customHeight="1"/>
    <row r="43173" ht="15.75" customHeight="1"/>
    <row r="43174" ht="15.75" customHeight="1"/>
    <row r="43175" ht="15.75" customHeight="1"/>
    <row r="43176" ht="15.75" customHeight="1"/>
    <row r="43177" ht="15.75" customHeight="1"/>
    <row r="43178" ht="15.75" customHeight="1"/>
    <row r="43179" ht="15.75" customHeight="1"/>
    <row r="43180" ht="15.75" customHeight="1"/>
    <row r="43181" ht="15.75" customHeight="1"/>
    <row r="43182" ht="15.75" customHeight="1"/>
    <row r="43183" ht="15.75" customHeight="1"/>
    <row r="43184" ht="15.75" customHeight="1"/>
    <row r="43185" ht="15.75" customHeight="1"/>
    <row r="43186" ht="15.75" customHeight="1"/>
    <row r="43187" ht="15.75" customHeight="1"/>
    <row r="43188" ht="15.75" customHeight="1"/>
    <row r="43189" ht="15.75" customHeight="1"/>
    <row r="43190" ht="15.75" customHeight="1"/>
    <row r="43191" ht="15.75" customHeight="1"/>
    <row r="43192" ht="15.75" customHeight="1"/>
    <row r="43193" ht="15.75" customHeight="1"/>
    <row r="43194" ht="15.75" customHeight="1"/>
    <row r="43195" ht="15.75" customHeight="1"/>
    <row r="43196" ht="15.75" customHeight="1"/>
    <row r="43197" ht="15.75" customHeight="1"/>
    <row r="43198" ht="15.75" customHeight="1"/>
    <row r="43199" ht="15.75" customHeight="1"/>
    <row r="43200" ht="15.75" customHeight="1"/>
    <row r="43201" ht="15.75" customHeight="1"/>
    <row r="43202" ht="15.75" customHeight="1"/>
    <row r="43203" ht="15.75" customHeight="1"/>
    <row r="43204" ht="15.75" customHeight="1"/>
    <row r="43205" ht="15.75" customHeight="1"/>
    <row r="43206" ht="15.75" customHeight="1"/>
    <row r="43207" ht="15.75" customHeight="1"/>
    <row r="43208" ht="15.75" customHeight="1"/>
    <row r="43209" ht="15.75" customHeight="1"/>
    <row r="43210" ht="15.75" customHeight="1"/>
    <row r="43211" ht="15.75" customHeight="1"/>
    <row r="43212" ht="15.75" customHeight="1"/>
    <row r="43213" ht="15.75" customHeight="1"/>
    <row r="43214" ht="15.75" customHeight="1"/>
    <row r="43215" ht="15.75" customHeight="1"/>
    <row r="43216" ht="15.75" customHeight="1"/>
    <row r="43217" ht="15.75" customHeight="1"/>
    <row r="43218" ht="15.75" customHeight="1"/>
    <row r="43219" ht="15.75" customHeight="1"/>
    <row r="43220" ht="15.75" customHeight="1"/>
    <row r="43221" ht="15.75" customHeight="1"/>
    <row r="43222" ht="15.75" customHeight="1"/>
    <row r="43223" ht="15.75" customHeight="1"/>
    <row r="43224" ht="15.75" customHeight="1"/>
    <row r="43225" ht="15.75" customHeight="1"/>
    <row r="43226" ht="15.75" customHeight="1"/>
    <row r="43227" ht="15.75" customHeight="1"/>
    <row r="43228" ht="15.75" customHeight="1"/>
    <row r="43229" ht="15.75" customHeight="1"/>
    <row r="43230" ht="15.75" customHeight="1"/>
    <row r="43231" ht="15.75" customHeight="1"/>
    <row r="43232" ht="15.75" customHeight="1"/>
    <row r="43233" ht="15.75" customHeight="1"/>
    <row r="43234" ht="15.75" customHeight="1"/>
    <row r="43235" ht="15.75" customHeight="1"/>
    <row r="43236" ht="15.75" customHeight="1"/>
    <row r="43237" ht="15.75" customHeight="1"/>
    <row r="43238" ht="15.75" customHeight="1"/>
    <row r="43239" ht="15.75" customHeight="1"/>
    <row r="43240" ht="15.75" customHeight="1"/>
    <row r="43241" ht="15.75" customHeight="1"/>
    <row r="43242" ht="15.75" customHeight="1"/>
    <row r="43243" ht="15.75" customHeight="1"/>
    <row r="43244" ht="15.75" customHeight="1"/>
    <row r="43245" ht="15.75" customHeight="1"/>
    <row r="43246" ht="15.75" customHeight="1"/>
    <row r="43247" ht="15.75" customHeight="1"/>
    <row r="43248" ht="15.75" customHeight="1"/>
    <row r="43249" ht="15.75" customHeight="1"/>
    <row r="43250" ht="15.75" customHeight="1"/>
    <row r="43251" ht="15.75" customHeight="1"/>
    <row r="43252" ht="15.75" customHeight="1"/>
    <row r="43253" ht="15.75" customHeight="1"/>
    <row r="43254" ht="15.75" customHeight="1"/>
    <row r="43255" ht="15.75" customHeight="1"/>
    <row r="43256" ht="15.75" customHeight="1"/>
    <row r="43257" ht="15.75" customHeight="1"/>
    <row r="43258" ht="15.75" customHeight="1"/>
    <row r="43259" ht="15.75" customHeight="1"/>
    <row r="43260" ht="15.75" customHeight="1"/>
    <row r="43261" ht="15.75" customHeight="1"/>
    <row r="43262" ht="15.75" customHeight="1"/>
    <row r="43263" ht="15.75" customHeight="1"/>
    <row r="43264" ht="15.75" customHeight="1"/>
    <row r="43265" ht="15.75" customHeight="1"/>
    <row r="43266" ht="15.75" customHeight="1"/>
    <row r="43267" ht="15.75" customHeight="1"/>
    <row r="43268" ht="15.75" customHeight="1"/>
    <row r="43269" ht="15.75" customHeight="1"/>
    <row r="43270" ht="15.75" customHeight="1"/>
    <row r="43271" ht="15.75" customHeight="1"/>
    <row r="43272" ht="15.75" customHeight="1"/>
    <row r="43273" ht="15.75" customHeight="1"/>
    <row r="43274" ht="15.75" customHeight="1"/>
    <row r="43275" ht="15.75" customHeight="1"/>
    <row r="43276" ht="15.75" customHeight="1"/>
    <row r="43277" ht="15.75" customHeight="1"/>
    <row r="43278" ht="15.75" customHeight="1"/>
    <row r="43279" ht="15.75" customHeight="1"/>
    <row r="43280" ht="15.75" customHeight="1"/>
    <row r="43281" ht="15.75" customHeight="1"/>
    <row r="43282" ht="15.75" customHeight="1"/>
    <row r="43283" ht="15.75" customHeight="1"/>
    <row r="43284" ht="15.75" customHeight="1"/>
    <row r="43285" ht="15.75" customHeight="1"/>
    <row r="43286" ht="15.75" customHeight="1"/>
    <row r="43287" ht="15.75" customHeight="1"/>
    <row r="43288" ht="15.75" customHeight="1"/>
    <row r="43289" ht="15.75" customHeight="1"/>
    <row r="43290" ht="15.75" customHeight="1"/>
    <row r="43291" ht="15.75" customHeight="1"/>
    <row r="43292" ht="15.75" customHeight="1"/>
    <row r="43293" ht="15.75" customHeight="1"/>
    <row r="43294" ht="15.75" customHeight="1"/>
    <row r="43295" ht="15.75" customHeight="1"/>
    <row r="43296" ht="15.75" customHeight="1"/>
    <row r="43297" ht="15.75" customHeight="1"/>
    <row r="43298" ht="15.75" customHeight="1"/>
    <row r="43299" ht="15.75" customHeight="1"/>
    <row r="43300" ht="15.75" customHeight="1"/>
    <row r="43301" ht="15.75" customHeight="1"/>
    <row r="43302" ht="15.75" customHeight="1"/>
    <row r="43303" ht="15.75" customHeight="1"/>
    <row r="43304" ht="15.75" customHeight="1"/>
    <row r="43305" ht="15.75" customHeight="1"/>
    <row r="43306" ht="15.75" customHeight="1"/>
    <row r="43307" ht="15.75" customHeight="1"/>
    <row r="43308" ht="15.75" customHeight="1"/>
    <row r="43309" ht="15.75" customHeight="1"/>
    <row r="43310" ht="15.75" customHeight="1"/>
    <row r="43311" ht="15.75" customHeight="1"/>
    <row r="43312" ht="15.75" customHeight="1"/>
    <row r="43313" ht="15.75" customHeight="1"/>
    <row r="43314" ht="15.75" customHeight="1"/>
    <row r="43315" ht="15.75" customHeight="1"/>
    <row r="43316" ht="15.75" customHeight="1"/>
    <row r="43317" ht="15.75" customHeight="1"/>
    <row r="43318" ht="15.75" customHeight="1"/>
    <row r="43319" ht="15.75" customHeight="1"/>
    <row r="43320" ht="15.75" customHeight="1"/>
    <row r="43321" ht="15.75" customHeight="1"/>
    <row r="43322" ht="15.75" customHeight="1"/>
    <row r="43323" ht="15.75" customHeight="1"/>
    <row r="43324" ht="15.75" customHeight="1"/>
    <row r="43325" ht="15.75" customHeight="1"/>
    <row r="43326" ht="15.75" customHeight="1"/>
    <row r="43327" ht="15.75" customHeight="1"/>
    <row r="43328" ht="15.75" customHeight="1"/>
    <row r="43329" ht="15.75" customHeight="1"/>
    <row r="43330" ht="15.75" customHeight="1"/>
    <row r="43331" ht="15.75" customHeight="1"/>
    <row r="43332" ht="15.75" customHeight="1"/>
    <row r="43333" ht="15.75" customHeight="1"/>
    <row r="43334" ht="15.75" customHeight="1"/>
    <row r="43335" ht="15.75" customHeight="1"/>
    <row r="43336" ht="15.75" customHeight="1"/>
    <row r="43337" ht="15.75" customHeight="1"/>
    <row r="43338" ht="15.75" customHeight="1"/>
    <row r="43339" ht="15.75" customHeight="1"/>
    <row r="43340" ht="15.75" customHeight="1"/>
    <row r="43341" ht="15.75" customHeight="1"/>
    <row r="43342" ht="15.75" customHeight="1"/>
    <row r="43343" ht="15.75" customHeight="1"/>
    <row r="43344" ht="15.75" customHeight="1"/>
    <row r="43345" ht="15.75" customHeight="1"/>
    <row r="43346" ht="15.75" customHeight="1"/>
    <row r="43347" ht="15.75" customHeight="1"/>
    <row r="43348" ht="15.75" customHeight="1"/>
    <row r="43349" ht="15.75" customHeight="1"/>
    <row r="43350" ht="15.75" customHeight="1"/>
    <row r="43351" ht="15.75" customHeight="1"/>
    <row r="43352" ht="15.75" customHeight="1"/>
    <row r="43353" ht="15.75" customHeight="1"/>
    <row r="43354" ht="15.75" customHeight="1"/>
    <row r="43355" ht="15.75" customHeight="1"/>
    <row r="43356" ht="15.75" customHeight="1"/>
    <row r="43357" ht="15.75" customHeight="1"/>
    <row r="43358" ht="15.75" customHeight="1"/>
    <row r="43359" ht="15.75" customHeight="1"/>
    <row r="43360" ht="15.75" customHeight="1"/>
    <row r="43361" ht="15.75" customHeight="1"/>
    <row r="43362" ht="15.75" customHeight="1"/>
    <row r="43363" ht="15.75" customHeight="1"/>
    <row r="43364" ht="15.75" customHeight="1"/>
    <row r="43365" ht="15.75" customHeight="1"/>
    <row r="43366" ht="15.75" customHeight="1"/>
    <row r="43367" ht="15.75" customHeight="1"/>
    <row r="43368" ht="15.75" customHeight="1"/>
    <row r="43369" ht="15.75" customHeight="1"/>
    <row r="43370" ht="15.75" customHeight="1"/>
    <row r="43371" ht="15.75" customHeight="1"/>
    <row r="43372" ht="15.75" customHeight="1"/>
    <row r="43373" ht="15.75" customHeight="1"/>
    <row r="43374" ht="15.75" customHeight="1"/>
    <row r="43375" ht="15.75" customHeight="1"/>
    <row r="43376" ht="15.75" customHeight="1"/>
    <row r="43377" ht="15.75" customHeight="1"/>
    <row r="43378" ht="15.75" customHeight="1"/>
    <row r="43379" ht="15.75" customHeight="1"/>
    <row r="43380" ht="15.75" customHeight="1"/>
    <row r="43381" ht="15.75" customHeight="1"/>
    <row r="43382" ht="15.75" customHeight="1"/>
    <row r="43383" ht="15.75" customHeight="1"/>
    <row r="43384" ht="15.75" customHeight="1"/>
    <row r="43385" ht="15.75" customHeight="1"/>
    <row r="43386" ht="15.75" customHeight="1"/>
    <row r="43387" ht="15.75" customHeight="1"/>
    <row r="43388" ht="15.75" customHeight="1"/>
    <row r="43389" ht="15.75" customHeight="1"/>
    <row r="43390" ht="15.75" customHeight="1"/>
    <row r="43391" ht="15.75" customHeight="1"/>
    <row r="43392" ht="15.75" customHeight="1"/>
    <row r="43393" ht="15.75" customHeight="1"/>
    <row r="43394" ht="15.75" customHeight="1"/>
    <row r="43395" ht="15.75" customHeight="1"/>
    <row r="43396" ht="15.75" customHeight="1"/>
    <row r="43397" ht="15.75" customHeight="1"/>
    <row r="43398" ht="15.75" customHeight="1"/>
    <row r="43399" ht="15.75" customHeight="1"/>
    <row r="43400" ht="15.75" customHeight="1"/>
    <row r="43401" ht="15.75" customHeight="1"/>
    <row r="43402" ht="15.75" customHeight="1"/>
    <row r="43403" ht="15.75" customHeight="1"/>
    <row r="43404" ht="15.75" customHeight="1"/>
    <row r="43405" ht="15.75" customHeight="1"/>
    <row r="43406" ht="15.75" customHeight="1"/>
    <row r="43407" ht="15.75" customHeight="1"/>
    <row r="43408" ht="15.75" customHeight="1"/>
    <row r="43409" ht="15.75" customHeight="1"/>
    <row r="43410" ht="15.75" customHeight="1"/>
    <row r="43411" ht="15.75" customHeight="1"/>
    <row r="43412" ht="15.75" customHeight="1"/>
    <row r="43413" ht="15.75" customHeight="1"/>
    <row r="43414" ht="15.75" customHeight="1"/>
    <row r="43415" ht="15.75" customHeight="1"/>
    <row r="43416" ht="15.75" customHeight="1"/>
    <row r="43417" ht="15.75" customHeight="1"/>
    <row r="43418" ht="15.75" customHeight="1"/>
    <row r="43419" ht="15.75" customHeight="1"/>
    <row r="43420" ht="15.75" customHeight="1"/>
    <row r="43421" ht="15.75" customHeight="1"/>
    <row r="43422" ht="15.75" customHeight="1"/>
    <row r="43423" ht="15.75" customHeight="1"/>
    <row r="43424" ht="15.75" customHeight="1"/>
    <row r="43425" ht="15.75" customHeight="1"/>
    <row r="43426" ht="15.75" customHeight="1"/>
    <row r="43427" ht="15.75" customHeight="1"/>
    <row r="43428" ht="15.75" customHeight="1"/>
    <row r="43429" ht="15.75" customHeight="1"/>
    <row r="43430" ht="15.75" customHeight="1"/>
    <row r="43431" ht="15.75" customHeight="1"/>
    <row r="43432" ht="15.75" customHeight="1"/>
    <row r="43433" ht="15.75" customHeight="1"/>
    <row r="43434" ht="15.75" customHeight="1"/>
    <row r="43435" ht="15.75" customHeight="1"/>
    <row r="43436" ht="15.75" customHeight="1"/>
    <row r="43437" ht="15.75" customHeight="1"/>
    <row r="43438" ht="15.75" customHeight="1"/>
    <row r="43439" ht="15.75" customHeight="1"/>
    <row r="43440" ht="15.75" customHeight="1"/>
    <row r="43441" ht="15.75" customHeight="1"/>
    <row r="43442" ht="15.75" customHeight="1"/>
    <row r="43443" ht="15.75" customHeight="1"/>
    <row r="43444" ht="15.75" customHeight="1"/>
    <row r="43445" ht="15.75" customHeight="1"/>
    <row r="43446" ht="15.75" customHeight="1"/>
    <row r="43447" ht="15.75" customHeight="1"/>
    <row r="43448" ht="15.75" customHeight="1"/>
    <row r="43449" ht="15.75" customHeight="1"/>
    <row r="43450" ht="15.75" customHeight="1"/>
    <row r="43451" ht="15.75" customHeight="1"/>
    <row r="43452" ht="15.75" customHeight="1"/>
    <row r="43453" ht="15.75" customHeight="1"/>
    <row r="43454" ht="15.75" customHeight="1"/>
    <row r="43455" ht="15.75" customHeight="1"/>
    <row r="43456" ht="15.75" customHeight="1"/>
    <row r="43457" ht="15.75" customHeight="1"/>
    <row r="43458" ht="15.75" customHeight="1"/>
    <row r="43459" ht="15.75" customHeight="1"/>
    <row r="43460" ht="15.75" customHeight="1"/>
    <row r="43461" ht="15.75" customHeight="1"/>
    <row r="43462" ht="15.75" customHeight="1"/>
    <row r="43463" ht="15.75" customHeight="1"/>
    <row r="43464" ht="15.75" customHeight="1"/>
    <row r="43465" ht="15.75" customHeight="1"/>
    <row r="43466" ht="15.75" customHeight="1"/>
    <row r="43467" ht="15.75" customHeight="1"/>
    <row r="43468" ht="15.75" customHeight="1"/>
    <row r="43469" ht="15.75" customHeight="1"/>
    <row r="43470" ht="15.75" customHeight="1"/>
    <row r="43471" ht="15.75" customHeight="1"/>
    <row r="43472" ht="15.75" customHeight="1"/>
    <row r="43473" ht="15.75" customHeight="1"/>
    <row r="43474" ht="15.75" customHeight="1"/>
    <row r="43475" ht="15.75" customHeight="1"/>
    <row r="43476" ht="15.75" customHeight="1"/>
    <row r="43477" ht="15.75" customHeight="1"/>
    <row r="43478" ht="15.75" customHeight="1"/>
    <row r="43479" ht="15.75" customHeight="1"/>
    <row r="43480" ht="15.75" customHeight="1"/>
    <row r="43481" ht="15.75" customHeight="1"/>
    <row r="43482" ht="15.75" customHeight="1"/>
    <row r="43483" ht="15.75" customHeight="1"/>
    <row r="43484" ht="15.75" customHeight="1"/>
    <row r="43485" ht="15.75" customHeight="1"/>
    <row r="43486" ht="15.75" customHeight="1"/>
    <row r="43487" ht="15.75" customHeight="1"/>
    <row r="43488" ht="15.75" customHeight="1"/>
    <row r="43489" ht="15.75" customHeight="1"/>
    <row r="43490" ht="15.75" customHeight="1"/>
    <row r="43491" ht="15.75" customHeight="1"/>
    <row r="43492" ht="15.75" customHeight="1"/>
    <row r="43493" ht="15.75" customHeight="1"/>
    <row r="43494" ht="15.75" customHeight="1"/>
    <row r="43495" ht="15.75" customHeight="1"/>
    <row r="43496" ht="15.75" customHeight="1"/>
    <row r="43497" ht="15.75" customHeight="1"/>
    <row r="43498" ht="15.75" customHeight="1"/>
    <row r="43499" ht="15.75" customHeight="1"/>
    <row r="43500" ht="15.75" customHeight="1"/>
    <row r="43501" ht="15.75" customHeight="1"/>
    <row r="43502" ht="15.75" customHeight="1"/>
    <row r="43503" ht="15.75" customHeight="1"/>
    <row r="43504" ht="15.75" customHeight="1"/>
    <row r="43505" ht="15.75" customHeight="1"/>
    <row r="43506" ht="15.75" customHeight="1"/>
    <row r="43507" ht="15.75" customHeight="1"/>
    <row r="43508" ht="15.75" customHeight="1"/>
    <row r="43509" ht="15.75" customHeight="1"/>
    <row r="43510" ht="15.75" customHeight="1"/>
    <row r="43511" ht="15.75" customHeight="1"/>
    <row r="43512" ht="15.75" customHeight="1"/>
    <row r="43513" ht="15.75" customHeight="1"/>
    <row r="43514" ht="15.75" customHeight="1"/>
    <row r="43515" ht="15.75" customHeight="1"/>
    <row r="43516" ht="15.75" customHeight="1"/>
    <row r="43517" ht="15.75" customHeight="1"/>
    <row r="43518" ht="15.75" customHeight="1"/>
    <row r="43519" ht="15.75" customHeight="1"/>
    <row r="43520" ht="15.75" customHeight="1"/>
    <row r="43521" ht="15.75" customHeight="1"/>
    <row r="43522" ht="15.75" customHeight="1"/>
    <row r="43523" ht="15.75" customHeight="1"/>
    <row r="43524" ht="15.75" customHeight="1"/>
    <row r="43525" ht="15.75" customHeight="1"/>
    <row r="43526" ht="15.75" customHeight="1"/>
    <row r="43527" ht="15.75" customHeight="1"/>
    <row r="43528" ht="15.75" customHeight="1"/>
    <row r="43529" ht="15.75" customHeight="1"/>
    <row r="43530" ht="15.75" customHeight="1"/>
    <row r="43531" ht="15.75" customHeight="1"/>
    <row r="43532" ht="15.75" customHeight="1"/>
    <row r="43533" ht="15.75" customHeight="1"/>
    <row r="43534" ht="15.75" customHeight="1"/>
    <row r="43535" ht="15.75" customHeight="1"/>
    <row r="43536" ht="15.75" customHeight="1"/>
    <row r="43537" ht="15.75" customHeight="1"/>
    <row r="43538" ht="15.75" customHeight="1"/>
    <row r="43539" ht="15.75" customHeight="1"/>
    <row r="43540" ht="15.75" customHeight="1"/>
    <row r="43541" ht="15.75" customHeight="1"/>
    <row r="43542" ht="15.75" customHeight="1"/>
    <row r="43543" ht="15.75" customHeight="1"/>
    <row r="43544" ht="15.75" customHeight="1"/>
    <row r="43545" ht="15.75" customHeight="1"/>
    <row r="43546" ht="15.75" customHeight="1"/>
    <row r="43547" ht="15.75" customHeight="1"/>
    <row r="43548" ht="15.75" customHeight="1"/>
    <row r="43549" ht="15.75" customHeight="1"/>
    <row r="43550" ht="15.75" customHeight="1"/>
    <row r="43551" ht="15.75" customHeight="1"/>
    <row r="43552" ht="15.75" customHeight="1"/>
    <row r="43553" ht="15.75" customHeight="1"/>
    <row r="43554" ht="15.75" customHeight="1"/>
    <row r="43555" ht="15.75" customHeight="1"/>
    <row r="43556" ht="15.75" customHeight="1"/>
    <row r="43557" ht="15.75" customHeight="1"/>
    <row r="43558" ht="15.75" customHeight="1"/>
    <row r="43559" ht="15.75" customHeight="1"/>
    <row r="43560" ht="15.75" customHeight="1"/>
    <row r="43561" ht="15.75" customHeight="1"/>
    <row r="43562" ht="15.75" customHeight="1"/>
    <row r="43563" ht="15.75" customHeight="1"/>
    <row r="43564" ht="15.75" customHeight="1"/>
    <row r="43565" ht="15.75" customHeight="1"/>
    <row r="43566" ht="15.75" customHeight="1"/>
    <row r="43567" ht="15.75" customHeight="1"/>
    <row r="43568" ht="15.75" customHeight="1"/>
    <row r="43569" ht="15.75" customHeight="1"/>
    <row r="43570" ht="15.75" customHeight="1"/>
    <row r="43571" ht="15.75" customHeight="1"/>
    <row r="43572" ht="15.75" customHeight="1"/>
    <row r="43573" ht="15.75" customHeight="1"/>
    <row r="43574" ht="15.75" customHeight="1"/>
    <row r="43575" ht="15.75" customHeight="1"/>
    <row r="43576" ht="15.75" customHeight="1"/>
    <row r="43577" ht="15.75" customHeight="1"/>
    <row r="43578" ht="15.75" customHeight="1"/>
    <row r="43579" ht="15.75" customHeight="1"/>
    <row r="43580" ht="15.75" customHeight="1"/>
    <row r="43581" ht="15.75" customHeight="1"/>
    <row r="43582" ht="15.75" customHeight="1"/>
    <row r="43583" ht="15.75" customHeight="1"/>
    <row r="43584" ht="15.75" customHeight="1"/>
    <row r="43585" ht="15.75" customHeight="1"/>
    <row r="43586" ht="15.75" customHeight="1"/>
    <row r="43587" ht="15.75" customHeight="1"/>
    <row r="43588" ht="15.75" customHeight="1"/>
    <row r="43589" ht="15.75" customHeight="1"/>
    <row r="43590" ht="15.75" customHeight="1"/>
    <row r="43591" ht="15.75" customHeight="1"/>
    <row r="43592" ht="15.75" customHeight="1"/>
    <row r="43593" ht="15.75" customHeight="1"/>
    <row r="43594" ht="15.75" customHeight="1"/>
    <row r="43595" ht="15.75" customHeight="1"/>
    <row r="43596" ht="15.75" customHeight="1"/>
    <row r="43597" ht="15.75" customHeight="1"/>
    <row r="43598" ht="15.75" customHeight="1"/>
    <row r="43599" ht="15.75" customHeight="1"/>
    <row r="43600" ht="15.75" customHeight="1"/>
    <row r="43601" ht="15.75" customHeight="1"/>
    <row r="43602" ht="15.75" customHeight="1"/>
    <row r="43603" ht="15.75" customHeight="1"/>
    <row r="43604" ht="15.75" customHeight="1"/>
    <row r="43605" ht="15.75" customHeight="1"/>
    <row r="43606" ht="15.75" customHeight="1"/>
    <row r="43607" ht="15.75" customHeight="1"/>
    <row r="43608" ht="15.75" customHeight="1"/>
    <row r="43609" ht="15.75" customHeight="1"/>
    <row r="43610" ht="15.75" customHeight="1"/>
    <row r="43611" ht="15.75" customHeight="1"/>
    <row r="43612" ht="15.75" customHeight="1"/>
    <row r="43613" ht="15.75" customHeight="1"/>
    <row r="43614" ht="15.75" customHeight="1"/>
    <row r="43615" ht="15.75" customHeight="1"/>
    <row r="43616" ht="15.75" customHeight="1"/>
    <row r="43617" ht="15.75" customHeight="1"/>
    <row r="43618" ht="15.75" customHeight="1"/>
    <row r="43619" ht="15.75" customHeight="1"/>
    <row r="43620" ht="15.75" customHeight="1"/>
    <row r="43621" ht="15.75" customHeight="1"/>
    <row r="43622" ht="15.75" customHeight="1"/>
    <row r="43623" ht="15.75" customHeight="1"/>
    <row r="43624" ht="15.75" customHeight="1"/>
    <row r="43625" ht="15.75" customHeight="1"/>
    <row r="43626" ht="15.75" customHeight="1"/>
    <row r="43627" ht="15.75" customHeight="1"/>
    <row r="43628" ht="15.75" customHeight="1"/>
    <row r="43629" ht="15.75" customHeight="1"/>
    <row r="43630" ht="15.75" customHeight="1"/>
    <row r="43631" ht="15.75" customHeight="1"/>
    <row r="43632" ht="15.75" customHeight="1"/>
    <row r="43633" ht="15.75" customHeight="1"/>
    <row r="43634" ht="15.75" customHeight="1"/>
    <row r="43635" ht="15.75" customHeight="1"/>
    <row r="43636" ht="15.75" customHeight="1"/>
    <row r="43637" ht="15.75" customHeight="1"/>
    <row r="43638" ht="15.75" customHeight="1"/>
    <row r="43639" ht="15.75" customHeight="1"/>
    <row r="43640" ht="15.75" customHeight="1"/>
    <row r="43641" ht="15.75" customHeight="1"/>
    <row r="43642" ht="15.75" customHeight="1"/>
    <row r="43643" ht="15.75" customHeight="1"/>
    <row r="43644" ht="15.75" customHeight="1"/>
    <row r="43645" ht="15.75" customHeight="1"/>
    <row r="43646" ht="15.75" customHeight="1"/>
    <row r="43647" ht="15.75" customHeight="1"/>
    <row r="43648" ht="15.75" customHeight="1"/>
    <row r="43649" ht="15.75" customHeight="1"/>
    <row r="43650" ht="15.75" customHeight="1"/>
    <row r="43651" ht="15.75" customHeight="1"/>
    <row r="43652" ht="15.75" customHeight="1"/>
    <row r="43653" ht="15.75" customHeight="1"/>
    <row r="43654" ht="15.75" customHeight="1"/>
    <row r="43655" ht="15.75" customHeight="1"/>
    <row r="43656" ht="15.75" customHeight="1"/>
    <row r="43657" ht="15.75" customHeight="1"/>
    <row r="43658" ht="15.75" customHeight="1"/>
    <row r="43659" ht="15.75" customHeight="1"/>
    <row r="43660" ht="15.75" customHeight="1"/>
    <row r="43661" ht="15.75" customHeight="1"/>
    <row r="43662" ht="15.75" customHeight="1"/>
    <row r="43663" ht="15.75" customHeight="1"/>
    <row r="43664" ht="15.75" customHeight="1"/>
    <row r="43665" ht="15.75" customHeight="1"/>
    <row r="43666" ht="15.75" customHeight="1"/>
    <row r="43667" ht="15.75" customHeight="1"/>
    <row r="43668" ht="15.75" customHeight="1"/>
    <row r="43669" ht="15.75" customHeight="1"/>
    <row r="43670" ht="15.75" customHeight="1"/>
    <row r="43671" ht="15.75" customHeight="1"/>
    <row r="43672" ht="15.75" customHeight="1"/>
    <row r="43673" ht="15.75" customHeight="1"/>
    <row r="43674" ht="15.75" customHeight="1"/>
    <row r="43675" ht="15.75" customHeight="1"/>
    <row r="43676" ht="15.75" customHeight="1"/>
    <row r="43677" ht="15.75" customHeight="1"/>
    <row r="43678" ht="15.75" customHeight="1"/>
    <row r="43679" ht="15.75" customHeight="1"/>
    <row r="43680" ht="15.75" customHeight="1"/>
    <row r="43681" ht="15.75" customHeight="1"/>
    <row r="43682" ht="15.75" customHeight="1"/>
    <row r="43683" ht="15.75" customHeight="1"/>
    <row r="43684" ht="15.75" customHeight="1"/>
    <row r="43685" ht="15.75" customHeight="1"/>
    <row r="43686" ht="15.75" customHeight="1"/>
    <row r="43687" ht="15.75" customHeight="1"/>
    <row r="43688" ht="15.75" customHeight="1"/>
    <row r="43689" ht="15.75" customHeight="1"/>
    <row r="43690" ht="15.75" customHeight="1"/>
    <row r="43691" ht="15.75" customHeight="1"/>
    <row r="43692" ht="15.75" customHeight="1"/>
    <row r="43693" ht="15.75" customHeight="1"/>
    <row r="43694" ht="15.75" customHeight="1"/>
    <row r="43695" ht="15.75" customHeight="1"/>
    <row r="43696" ht="15.75" customHeight="1"/>
    <row r="43697" ht="15.75" customHeight="1"/>
    <row r="43698" ht="15.75" customHeight="1"/>
    <row r="43699" ht="15.75" customHeight="1"/>
    <row r="43700" ht="15.75" customHeight="1"/>
    <row r="43701" ht="15.75" customHeight="1"/>
    <row r="43702" ht="15.75" customHeight="1"/>
    <row r="43703" ht="15.75" customHeight="1"/>
    <row r="43704" ht="15.75" customHeight="1"/>
    <row r="43705" ht="15.75" customHeight="1"/>
    <row r="43706" ht="15.75" customHeight="1"/>
    <row r="43707" ht="15.75" customHeight="1"/>
    <row r="43708" ht="15.75" customHeight="1"/>
    <row r="43709" ht="15.75" customHeight="1"/>
    <row r="43710" ht="15.75" customHeight="1"/>
    <row r="43711" ht="15.75" customHeight="1"/>
    <row r="43712" ht="15.75" customHeight="1"/>
    <row r="43713" ht="15.75" customHeight="1"/>
    <row r="43714" ht="15.75" customHeight="1"/>
    <row r="43715" ht="15.75" customHeight="1"/>
    <row r="43716" ht="15.75" customHeight="1"/>
    <row r="43717" ht="15.75" customHeight="1"/>
    <row r="43718" ht="15.75" customHeight="1"/>
    <row r="43719" ht="15.75" customHeight="1"/>
    <row r="43720" ht="15.75" customHeight="1"/>
    <row r="43721" ht="15.75" customHeight="1"/>
    <row r="43722" ht="15.75" customHeight="1"/>
    <row r="43723" ht="15.75" customHeight="1"/>
    <row r="43724" ht="15.75" customHeight="1"/>
    <row r="43725" ht="15.75" customHeight="1"/>
    <row r="43726" ht="15.75" customHeight="1"/>
    <row r="43727" ht="15.75" customHeight="1"/>
    <row r="43728" ht="15.75" customHeight="1"/>
    <row r="43729" ht="15.75" customHeight="1"/>
    <row r="43730" ht="15.75" customHeight="1"/>
    <row r="43731" ht="15.75" customHeight="1"/>
    <row r="43732" ht="15.75" customHeight="1"/>
    <row r="43733" ht="15.75" customHeight="1"/>
    <row r="43734" ht="15.75" customHeight="1"/>
    <row r="43735" ht="15.75" customHeight="1"/>
    <row r="43736" ht="15.75" customHeight="1"/>
    <row r="43737" ht="15.75" customHeight="1"/>
    <row r="43738" ht="15.75" customHeight="1"/>
    <row r="43739" ht="15.75" customHeight="1"/>
    <row r="43740" ht="15.75" customHeight="1"/>
    <row r="43741" ht="15.75" customHeight="1"/>
    <row r="43742" ht="15.75" customHeight="1"/>
    <row r="43743" ht="15.75" customHeight="1"/>
    <row r="43744" ht="15.75" customHeight="1"/>
    <row r="43745" ht="15.75" customHeight="1"/>
    <row r="43746" ht="15.75" customHeight="1"/>
    <row r="43747" ht="15.75" customHeight="1"/>
    <row r="43748" ht="15.75" customHeight="1"/>
    <row r="43749" ht="15.75" customHeight="1"/>
    <row r="43750" ht="15.75" customHeight="1"/>
    <row r="43751" ht="15.75" customHeight="1"/>
    <row r="43752" ht="15.75" customHeight="1"/>
    <row r="43753" ht="15.75" customHeight="1"/>
    <row r="43754" ht="15.75" customHeight="1"/>
    <row r="43755" ht="15.75" customHeight="1"/>
    <row r="43756" ht="15.75" customHeight="1"/>
    <row r="43757" ht="15.75" customHeight="1"/>
    <row r="43758" ht="15.75" customHeight="1"/>
    <row r="43759" ht="15.75" customHeight="1"/>
    <row r="43760" ht="15.75" customHeight="1"/>
    <row r="43761" ht="15.75" customHeight="1"/>
    <row r="43762" ht="15.75" customHeight="1"/>
    <row r="43763" ht="15.75" customHeight="1"/>
    <row r="43764" ht="15.75" customHeight="1"/>
    <row r="43765" ht="15.75" customHeight="1"/>
    <row r="43766" ht="15.75" customHeight="1"/>
    <row r="43767" ht="15.75" customHeight="1"/>
    <row r="43768" ht="15.75" customHeight="1"/>
    <row r="43769" ht="15.75" customHeight="1"/>
    <row r="43770" ht="15.75" customHeight="1"/>
    <row r="43771" ht="15.75" customHeight="1"/>
    <row r="43772" ht="15.75" customHeight="1"/>
    <row r="43773" ht="15.75" customHeight="1"/>
    <row r="43774" ht="15.75" customHeight="1"/>
    <row r="43775" ht="15.75" customHeight="1"/>
    <row r="43776" ht="15.75" customHeight="1"/>
    <row r="43777" ht="15.75" customHeight="1"/>
    <row r="43778" ht="15.75" customHeight="1"/>
    <row r="43779" ht="15.75" customHeight="1"/>
    <row r="43780" ht="15.75" customHeight="1"/>
    <row r="43781" ht="15.75" customHeight="1"/>
    <row r="43782" ht="15.75" customHeight="1"/>
    <row r="43783" ht="15.75" customHeight="1"/>
    <row r="43784" ht="15.75" customHeight="1"/>
    <row r="43785" ht="15.75" customHeight="1"/>
    <row r="43786" ht="15.75" customHeight="1"/>
    <row r="43787" ht="15.75" customHeight="1"/>
    <row r="43788" ht="15.75" customHeight="1"/>
    <row r="43789" ht="15.75" customHeight="1"/>
    <row r="43790" ht="15.75" customHeight="1"/>
    <row r="43791" ht="15.75" customHeight="1"/>
    <row r="43792" ht="15.75" customHeight="1"/>
    <row r="43793" ht="15.75" customHeight="1"/>
    <row r="43794" ht="15.75" customHeight="1"/>
    <row r="43795" ht="15.75" customHeight="1"/>
    <row r="43796" ht="15.75" customHeight="1"/>
    <row r="43797" ht="15.75" customHeight="1"/>
    <row r="43798" ht="15.75" customHeight="1"/>
    <row r="43799" ht="15.75" customHeight="1"/>
    <row r="43800" ht="15.75" customHeight="1"/>
    <row r="43801" ht="15.75" customHeight="1"/>
    <row r="43802" ht="15.75" customHeight="1"/>
    <row r="43803" ht="15.75" customHeight="1"/>
    <row r="43804" ht="15.75" customHeight="1"/>
    <row r="43805" ht="15.75" customHeight="1"/>
    <row r="43806" ht="15.75" customHeight="1"/>
    <row r="43807" ht="15.75" customHeight="1"/>
    <row r="43808" ht="15.75" customHeight="1"/>
    <row r="43809" ht="15.75" customHeight="1"/>
    <row r="43810" ht="15.75" customHeight="1"/>
    <row r="43811" ht="15.75" customHeight="1"/>
    <row r="43812" ht="15.75" customHeight="1"/>
    <row r="43813" ht="15.75" customHeight="1"/>
    <row r="43814" ht="15.75" customHeight="1"/>
    <row r="43815" ht="15.75" customHeight="1"/>
    <row r="43816" ht="15.75" customHeight="1"/>
    <row r="43817" ht="15.75" customHeight="1"/>
    <row r="43818" ht="15.75" customHeight="1"/>
    <row r="43819" ht="15.75" customHeight="1"/>
    <row r="43820" ht="15.75" customHeight="1"/>
    <row r="43821" ht="15.75" customHeight="1"/>
    <row r="43822" ht="15.75" customHeight="1"/>
    <row r="43823" ht="15.75" customHeight="1"/>
    <row r="43824" ht="15.75" customHeight="1"/>
    <row r="43825" ht="15.75" customHeight="1"/>
    <row r="43826" ht="15.75" customHeight="1"/>
    <row r="43827" ht="15.75" customHeight="1"/>
    <row r="43828" ht="15.75" customHeight="1"/>
    <row r="43829" ht="15.75" customHeight="1"/>
    <row r="43830" ht="15.75" customHeight="1"/>
    <row r="43831" ht="15.75" customHeight="1"/>
    <row r="43832" ht="15.75" customHeight="1"/>
    <row r="43833" ht="15.75" customHeight="1"/>
    <row r="43834" ht="15.75" customHeight="1"/>
    <row r="43835" ht="15.75" customHeight="1"/>
    <row r="43836" ht="15.75" customHeight="1"/>
    <row r="43837" ht="15.75" customHeight="1"/>
    <row r="43838" ht="15.75" customHeight="1"/>
    <row r="43839" ht="15.75" customHeight="1"/>
    <row r="43840" ht="15.75" customHeight="1"/>
    <row r="43841" ht="15.75" customHeight="1"/>
    <row r="43842" ht="15.75" customHeight="1"/>
    <row r="43843" ht="15.75" customHeight="1"/>
    <row r="43844" ht="15.75" customHeight="1"/>
    <row r="43845" ht="15.75" customHeight="1"/>
    <row r="43846" ht="15.75" customHeight="1"/>
    <row r="43847" ht="15.75" customHeight="1"/>
    <row r="43848" ht="15.75" customHeight="1"/>
    <row r="43849" ht="15.75" customHeight="1"/>
    <row r="43850" ht="15.75" customHeight="1"/>
    <row r="43851" ht="15.75" customHeight="1"/>
    <row r="43852" ht="15.75" customHeight="1"/>
    <row r="43853" ht="15.75" customHeight="1"/>
    <row r="43854" ht="15.75" customHeight="1"/>
    <row r="43855" ht="15.75" customHeight="1"/>
    <row r="43856" ht="15.75" customHeight="1"/>
    <row r="43857" ht="15.75" customHeight="1"/>
    <row r="43858" ht="15.75" customHeight="1"/>
    <row r="43859" ht="15.75" customHeight="1"/>
    <row r="43860" ht="15.75" customHeight="1"/>
    <row r="43861" ht="15.75" customHeight="1"/>
    <row r="43862" ht="15.75" customHeight="1"/>
    <row r="43863" ht="15.75" customHeight="1"/>
    <row r="43864" ht="15.75" customHeight="1"/>
    <row r="43865" ht="15.75" customHeight="1"/>
    <row r="43866" ht="15.75" customHeight="1"/>
    <row r="43867" ht="15.75" customHeight="1"/>
    <row r="43868" ht="15.75" customHeight="1"/>
    <row r="43869" ht="15.75" customHeight="1"/>
    <row r="43870" ht="15.75" customHeight="1"/>
    <row r="43871" ht="15.75" customHeight="1"/>
    <row r="43872" ht="15.75" customHeight="1"/>
    <row r="43873" ht="15.75" customHeight="1"/>
    <row r="43874" ht="15.75" customHeight="1"/>
    <row r="43875" ht="15.75" customHeight="1"/>
    <row r="43876" ht="15.75" customHeight="1"/>
    <row r="43877" ht="15.75" customHeight="1"/>
    <row r="43878" ht="15.75" customHeight="1"/>
    <row r="43879" ht="15.75" customHeight="1"/>
    <row r="43880" ht="15.75" customHeight="1"/>
    <row r="43881" ht="15.75" customHeight="1"/>
    <row r="43882" ht="15.75" customHeight="1"/>
    <row r="43883" ht="15.75" customHeight="1"/>
    <row r="43884" ht="15.75" customHeight="1"/>
    <row r="43885" ht="15.75" customHeight="1"/>
    <row r="43886" ht="15.75" customHeight="1"/>
    <row r="43887" ht="15.75" customHeight="1"/>
    <row r="43888" ht="15.75" customHeight="1"/>
    <row r="43889" ht="15.75" customHeight="1"/>
    <row r="43890" ht="15.75" customHeight="1"/>
    <row r="43891" ht="15.75" customHeight="1"/>
    <row r="43892" ht="15.75" customHeight="1"/>
    <row r="43893" ht="15.75" customHeight="1"/>
    <row r="43894" ht="15.75" customHeight="1"/>
    <row r="43895" ht="15.75" customHeight="1"/>
    <row r="43896" ht="15.75" customHeight="1"/>
    <row r="43897" ht="15.75" customHeight="1"/>
    <row r="43898" ht="15.75" customHeight="1"/>
    <row r="43899" ht="15.75" customHeight="1"/>
    <row r="43900" ht="15.75" customHeight="1"/>
    <row r="43901" ht="15.75" customHeight="1"/>
    <row r="43902" ht="15.75" customHeight="1"/>
    <row r="43903" ht="15.75" customHeight="1"/>
    <row r="43904" ht="15.75" customHeight="1"/>
    <row r="43905" ht="15.75" customHeight="1"/>
    <row r="43906" ht="15.75" customHeight="1"/>
    <row r="43907" ht="15.75" customHeight="1"/>
    <row r="43908" ht="15.75" customHeight="1"/>
    <row r="43909" ht="15.75" customHeight="1"/>
    <row r="43910" ht="15.75" customHeight="1"/>
    <row r="43911" ht="15.75" customHeight="1"/>
    <row r="43912" ht="15.75" customHeight="1"/>
    <row r="43913" ht="15.75" customHeight="1"/>
    <row r="43914" ht="15.75" customHeight="1"/>
    <row r="43915" ht="15.75" customHeight="1"/>
    <row r="43916" ht="15.75" customHeight="1"/>
    <row r="43917" ht="15.75" customHeight="1"/>
    <row r="43918" ht="15.75" customHeight="1"/>
    <row r="43919" ht="15.75" customHeight="1"/>
    <row r="43920" ht="15.75" customHeight="1"/>
    <row r="43921" ht="15.75" customHeight="1"/>
    <row r="43922" ht="15.75" customHeight="1"/>
    <row r="43923" ht="15.75" customHeight="1"/>
    <row r="43924" ht="15.75" customHeight="1"/>
    <row r="43925" ht="15.75" customHeight="1"/>
    <row r="43926" ht="15.75" customHeight="1"/>
    <row r="43927" ht="15.75" customHeight="1"/>
    <row r="43928" ht="15.75" customHeight="1"/>
    <row r="43929" ht="15.75" customHeight="1"/>
    <row r="43930" ht="15.75" customHeight="1"/>
    <row r="43931" ht="15.75" customHeight="1"/>
    <row r="43932" ht="15.75" customHeight="1"/>
    <row r="43933" ht="15.75" customHeight="1"/>
    <row r="43934" ht="15.75" customHeight="1"/>
    <row r="43935" ht="15.75" customHeight="1"/>
    <row r="43936" ht="15.75" customHeight="1"/>
    <row r="43937" ht="15.75" customHeight="1"/>
    <row r="43938" ht="15.75" customHeight="1"/>
    <row r="43939" ht="15.75" customHeight="1"/>
    <row r="43940" ht="15.75" customHeight="1"/>
    <row r="43941" ht="15.75" customHeight="1"/>
    <row r="43942" ht="15.75" customHeight="1"/>
    <row r="43943" ht="15.75" customHeight="1"/>
    <row r="43944" ht="15.75" customHeight="1"/>
    <row r="43945" ht="15.75" customHeight="1"/>
    <row r="43946" ht="15.75" customHeight="1"/>
    <row r="43947" ht="15.75" customHeight="1"/>
    <row r="43948" ht="15.75" customHeight="1"/>
    <row r="43949" ht="15.75" customHeight="1"/>
    <row r="43950" ht="15.75" customHeight="1"/>
    <row r="43951" ht="15.75" customHeight="1"/>
    <row r="43952" ht="15.75" customHeight="1"/>
    <row r="43953" ht="15.75" customHeight="1"/>
    <row r="43954" ht="15.75" customHeight="1"/>
    <row r="43955" ht="15.75" customHeight="1"/>
    <row r="43956" ht="15.75" customHeight="1"/>
    <row r="43957" ht="15.75" customHeight="1"/>
    <row r="43958" ht="15.75" customHeight="1"/>
    <row r="43959" ht="15.75" customHeight="1"/>
    <row r="43960" ht="15.75" customHeight="1"/>
    <row r="43961" ht="15.75" customHeight="1"/>
    <row r="43962" ht="15.75" customHeight="1"/>
    <row r="43963" ht="15.75" customHeight="1"/>
    <row r="43964" ht="15.75" customHeight="1"/>
    <row r="43965" ht="15.75" customHeight="1"/>
    <row r="43966" ht="15.75" customHeight="1"/>
    <row r="43967" ht="15.75" customHeight="1"/>
    <row r="43968" ht="15.75" customHeight="1"/>
    <row r="43969" ht="15.75" customHeight="1"/>
    <row r="43970" ht="15.75" customHeight="1"/>
    <row r="43971" ht="15.75" customHeight="1"/>
    <row r="43972" ht="15.75" customHeight="1"/>
    <row r="43973" ht="15.75" customHeight="1"/>
    <row r="43974" ht="15.75" customHeight="1"/>
    <row r="43975" ht="15.75" customHeight="1"/>
    <row r="43976" ht="15.75" customHeight="1"/>
    <row r="43977" ht="15.75" customHeight="1"/>
    <row r="43978" ht="15.75" customHeight="1"/>
    <row r="43979" ht="15.75" customHeight="1"/>
    <row r="43980" ht="15.75" customHeight="1"/>
    <row r="43981" ht="15.75" customHeight="1"/>
    <row r="43982" ht="15.75" customHeight="1"/>
    <row r="43983" ht="15.75" customHeight="1"/>
    <row r="43984" ht="15.75" customHeight="1"/>
    <row r="43985" ht="15.75" customHeight="1"/>
    <row r="43986" ht="15.75" customHeight="1"/>
    <row r="43987" ht="15.75" customHeight="1"/>
    <row r="43988" ht="15.75" customHeight="1"/>
    <row r="43989" ht="15.75" customHeight="1"/>
    <row r="43990" ht="15.75" customHeight="1"/>
    <row r="43991" ht="15.75" customHeight="1"/>
    <row r="43992" ht="15.75" customHeight="1"/>
    <row r="43993" ht="15.75" customHeight="1"/>
    <row r="43994" ht="15.75" customHeight="1"/>
    <row r="43995" ht="15.75" customHeight="1"/>
    <row r="43996" ht="15.75" customHeight="1"/>
    <row r="43997" ht="15.75" customHeight="1"/>
    <row r="43998" ht="15.75" customHeight="1"/>
    <row r="43999" ht="15.75" customHeight="1"/>
    <row r="44000" ht="15.75" customHeight="1"/>
    <row r="44001" ht="15.75" customHeight="1"/>
    <row r="44002" ht="15.75" customHeight="1"/>
    <row r="44003" ht="15.75" customHeight="1"/>
    <row r="44004" ht="15.75" customHeight="1"/>
    <row r="44005" ht="15.75" customHeight="1"/>
    <row r="44006" ht="15.75" customHeight="1"/>
    <row r="44007" ht="15.75" customHeight="1"/>
    <row r="44008" ht="15.75" customHeight="1"/>
    <row r="44009" ht="15.75" customHeight="1"/>
    <row r="44010" ht="15.75" customHeight="1"/>
    <row r="44011" ht="15.75" customHeight="1"/>
    <row r="44012" ht="15.75" customHeight="1"/>
    <row r="44013" ht="15.75" customHeight="1"/>
    <row r="44014" ht="15.75" customHeight="1"/>
    <row r="44015" ht="15.75" customHeight="1"/>
    <row r="44016" ht="15.75" customHeight="1"/>
    <row r="44017" ht="15.75" customHeight="1"/>
    <row r="44018" ht="15.75" customHeight="1"/>
    <row r="44019" ht="15.75" customHeight="1"/>
    <row r="44020" ht="15.75" customHeight="1"/>
    <row r="44021" ht="15.75" customHeight="1"/>
    <row r="44022" ht="15.75" customHeight="1"/>
    <row r="44023" ht="15.75" customHeight="1"/>
    <row r="44024" ht="15.75" customHeight="1"/>
    <row r="44025" ht="15.75" customHeight="1"/>
    <row r="44026" ht="15.75" customHeight="1"/>
    <row r="44027" ht="15.75" customHeight="1"/>
    <row r="44028" ht="15.75" customHeight="1"/>
    <row r="44029" ht="15.75" customHeight="1"/>
    <row r="44030" ht="15.75" customHeight="1"/>
    <row r="44031" ht="15.75" customHeight="1"/>
    <row r="44032" ht="15.75" customHeight="1"/>
    <row r="44033" ht="15.75" customHeight="1"/>
    <row r="44034" ht="15.75" customHeight="1"/>
    <row r="44035" ht="15.75" customHeight="1"/>
    <row r="44036" ht="15.75" customHeight="1"/>
    <row r="44037" ht="15.75" customHeight="1"/>
    <row r="44038" ht="15.75" customHeight="1"/>
    <row r="44039" ht="15.75" customHeight="1"/>
    <row r="44040" ht="15.75" customHeight="1"/>
    <row r="44041" ht="15.75" customHeight="1"/>
    <row r="44042" ht="15.75" customHeight="1"/>
    <row r="44043" ht="15.75" customHeight="1"/>
    <row r="44044" ht="15.75" customHeight="1"/>
    <row r="44045" ht="15.75" customHeight="1"/>
    <row r="44046" ht="15.75" customHeight="1"/>
    <row r="44047" ht="15.75" customHeight="1"/>
    <row r="44048" ht="15.75" customHeight="1"/>
    <row r="44049" ht="15.75" customHeight="1"/>
    <row r="44050" ht="15.75" customHeight="1"/>
    <row r="44051" ht="15.75" customHeight="1"/>
    <row r="44052" ht="15.75" customHeight="1"/>
    <row r="44053" ht="15.75" customHeight="1"/>
    <row r="44054" ht="15.75" customHeight="1"/>
    <row r="44055" ht="15.75" customHeight="1"/>
    <row r="44056" ht="15.75" customHeight="1"/>
    <row r="44057" ht="15.75" customHeight="1"/>
    <row r="44058" ht="15.75" customHeight="1"/>
    <row r="44059" ht="15.75" customHeight="1"/>
    <row r="44060" ht="15.75" customHeight="1"/>
    <row r="44061" ht="15.75" customHeight="1"/>
    <row r="44062" ht="15.75" customHeight="1"/>
    <row r="44063" ht="15.75" customHeight="1"/>
    <row r="44064" ht="15.75" customHeight="1"/>
    <row r="44065" ht="15.75" customHeight="1"/>
    <row r="44066" ht="15.75" customHeight="1"/>
    <row r="44067" ht="15.75" customHeight="1"/>
    <row r="44068" ht="15.75" customHeight="1"/>
    <row r="44069" ht="15.75" customHeight="1"/>
    <row r="44070" ht="15.75" customHeight="1"/>
    <row r="44071" ht="15.75" customHeight="1"/>
    <row r="44072" ht="15.75" customHeight="1"/>
    <row r="44073" ht="15.75" customHeight="1"/>
    <row r="44074" ht="15.75" customHeight="1"/>
    <row r="44075" ht="15.75" customHeight="1"/>
    <row r="44076" ht="15.75" customHeight="1"/>
    <row r="44077" ht="15.75" customHeight="1"/>
    <row r="44078" ht="15.75" customHeight="1"/>
    <row r="44079" ht="15.75" customHeight="1"/>
    <row r="44080" ht="15.75" customHeight="1"/>
    <row r="44081" ht="15.75" customHeight="1"/>
    <row r="44082" ht="15.75" customHeight="1"/>
    <row r="44083" ht="15.75" customHeight="1"/>
    <row r="44084" ht="15.75" customHeight="1"/>
    <row r="44085" ht="15.75" customHeight="1"/>
    <row r="44086" ht="15.75" customHeight="1"/>
    <row r="44087" ht="15.75" customHeight="1"/>
    <row r="44088" ht="15.75" customHeight="1"/>
    <row r="44089" ht="15.75" customHeight="1"/>
    <row r="44090" ht="15.75" customHeight="1"/>
    <row r="44091" ht="15.75" customHeight="1"/>
    <row r="44092" ht="15.75" customHeight="1"/>
    <row r="44093" ht="15.75" customHeight="1"/>
    <row r="44094" ht="15.75" customHeight="1"/>
    <row r="44095" ht="15.75" customHeight="1"/>
    <row r="44096" ht="15.75" customHeight="1"/>
    <row r="44097" ht="15.75" customHeight="1"/>
    <row r="44098" ht="15.75" customHeight="1"/>
    <row r="44099" ht="15.75" customHeight="1"/>
    <row r="44100" ht="15.75" customHeight="1"/>
    <row r="44101" ht="15.75" customHeight="1"/>
    <row r="44102" ht="15.75" customHeight="1"/>
    <row r="44103" ht="15.75" customHeight="1"/>
    <row r="44104" ht="15.75" customHeight="1"/>
    <row r="44105" ht="15.75" customHeight="1"/>
    <row r="44106" ht="15.75" customHeight="1"/>
    <row r="44107" ht="15.75" customHeight="1"/>
    <row r="44108" ht="15.75" customHeight="1"/>
    <row r="44109" ht="15.75" customHeight="1"/>
    <row r="44110" ht="15.75" customHeight="1"/>
    <row r="44111" ht="15.75" customHeight="1"/>
    <row r="44112" ht="15.75" customHeight="1"/>
    <row r="44113" ht="15.75" customHeight="1"/>
    <row r="44114" ht="15.75" customHeight="1"/>
    <row r="44115" ht="15.75" customHeight="1"/>
    <row r="44116" ht="15.75" customHeight="1"/>
    <row r="44117" ht="15.75" customHeight="1"/>
    <row r="44118" ht="15.75" customHeight="1"/>
    <row r="44119" ht="15.75" customHeight="1"/>
    <row r="44120" ht="15.75" customHeight="1"/>
    <row r="44121" ht="15.75" customHeight="1"/>
    <row r="44122" ht="15.75" customHeight="1"/>
    <row r="44123" ht="15.75" customHeight="1"/>
    <row r="44124" ht="15.75" customHeight="1"/>
    <row r="44125" ht="15.75" customHeight="1"/>
    <row r="44126" ht="15.75" customHeight="1"/>
    <row r="44127" ht="15.75" customHeight="1"/>
    <row r="44128" ht="15.75" customHeight="1"/>
    <row r="44129" ht="15.75" customHeight="1"/>
    <row r="44130" ht="15.75" customHeight="1"/>
    <row r="44131" ht="15.75" customHeight="1"/>
    <row r="44132" ht="15.75" customHeight="1"/>
    <row r="44133" ht="15.75" customHeight="1"/>
    <row r="44134" ht="15.75" customHeight="1"/>
    <row r="44135" ht="15.75" customHeight="1"/>
    <row r="44136" ht="15.75" customHeight="1"/>
    <row r="44137" ht="15.75" customHeight="1"/>
    <row r="44138" ht="15.75" customHeight="1"/>
    <row r="44139" ht="15.75" customHeight="1"/>
    <row r="44140" ht="15.75" customHeight="1"/>
    <row r="44141" ht="15.75" customHeight="1"/>
    <row r="44142" ht="15.75" customHeight="1"/>
    <row r="44143" ht="15.75" customHeight="1"/>
    <row r="44144" ht="15.75" customHeight="1"/>
    <row r="44145" ht="15.75" customHeight="1"/>
    <row r="44146" ht="15.75" customHeight="1"/>
    <row r="44147" ht="15.75" customHeight="1"/>
    <row r="44148" ht="15.75" customHeight="1"/>
    <row r="44149" ht="15.75" customHeight="1"/>
    <row r="44150" ht="15.75" customHeight="1"/>
    <row r="44151" ht="15.75" customHeight="1"/>
    <row r="44152" ht="15.75" customHeight="1"/>
    <row r="44153" ht="15.75" customHeight="1"/>
    <row r="44154" ht="15.75" customHeight="1"/>
    <row r="44155" ht="15.75" customHeight="1"/>
    <row r="44156" ht="15.75" customHeight="1"/>
    <row r="44157" ht="15.75" customHeight="1"/>
    <row r="44158" ht="15.75" customHeight="1"/>
    <row r="44159" ht="15.75" customHeight="1"/>
    <row r="44160" ht="15.75" customHeight="1"/>
    <row r="44161" ht="15.75" customHeight="1"/>
    <row r="44162" ht="15.75" customHeight="1"/>
    <row r="44163" ht="15.75" customHeight="1"/>
    <row r="44164" ht="15.75" customHeight="1"/>
    <row r="44165" ht="15.75" customHeight="1"/>
    <row r="44166" ht="15.75" customHeight="1"/>
    <row r="44167" ht="15.75" customHeight="1"/>
    <row r="44168" ht="15.75" customHeight="1"/>
    <row r="44169" ht="15.75" customHeight="1"/>
    <row r="44170" ht="15.75" customHeight="1"/>
    <row r="44171" ht="15.75" customHeight="1"/>
    <row r="44172" ht="15.75" customHeight="1"/>
    <row r="44173" ht="15.75" customHeight="1"/>
    <row r="44174" ht="15.75" customHeight="1"/>
    <row r="44175" ht="15.75" customHeight="1"/>
    <row r="44176" ht="15.75" customHeight="1"/>
    <row r="44177" ht="15.75" customHeight="1"/>
    <row r="44178" ht="15.75" customHeight="1"/>
    <row r="44179" ht="15.75" customHeight="1"/>
    <row r="44180" ht="15.75" customHeight="1"/>
    <row r="44181" ht="15.75" customHeight="1"/>
    <row r="44182" ht="15.75" customHeight="1"/>
    <row r="44183" ht="15.75" customHeight="1"/>
    <row r="44184" ht="15.75" customHeight="1"/>
    <row r="44185" ht="15.75" customHeight="1"/>
    <row r="44186" ht="15.75" customHeight="1"/>
    <row r="44187" ht="15.75" customHeight="1"/>
    <row r="44188" ht="15.75" customHeight="1"/>
    <row r="44189" ht="15.75" customHeight="1"/>
    <row r="44190" ht="15.75" customHeight="1"/>
    <row r="44191" ht="15.75" customHeight="1"/>
    <row r="44192" ht="15.75" customHeight="1"/>
    <row r="44193" ht="15.75" customHeight="1"/>
    <row r="44194" ht="15.75" customHeight="1"/>
    <row r="44195" ht="15.75" customHeight="1"/>
    <row r="44196" ht="15.75" customHeight="1"/>
    <row r="44197" ht="15.75" customHeight="1"/>
    <row r="44198" ht="15.75" customHeight="1"/>
    <row r="44199" ht="15.75" customHeight="1"/>
    <row r="44200" ht="15.75" customHeight="1"/>
    <row r="44201" ht="15.75" customHeight="1"/>
    <row r="44202" ht="15.75" customHeight="1"/>
    <row r="44203" ht="15.75" customHeight="1"/>
    <row r="44204" ht="15.75" customHeight="1"/>
    <row r="44205" ht="15.75" customHeight="1"/>
    <row r="44206" ht="15.75" customHeight="1"/>
    <row r="44207" ht="15.75" customHeight="1"/>
    <row r="44208" ht="15.75" customHeight="1"/>
    <row r="44209" ht="15.75" customHeight="1"/>
    <row r="44210" ht="15.75" customHeight="1"/>
    <row r="44211" ht="15.75" customHeight="1"/>
    <row r="44212" ht="15.75" customHeight="1"/>
    <row r="44213" ht="15.75" customHeight="1"/>
    <row r="44214" ht="15.75" customHeight="1"/>
    <row r="44215" ht="15.75" customHeight="1"/>
    <row r="44216" ht="15.75" customHeight="1"/>
    <row r="44217" ht="15.75" customHeight="1"/>
    <row r="44218" ht="15.75" customHeight="1"/>
    <row r="44219" ht="15.75" customHeight="1"/>
    <row r="44220" ht="15.75" customHeight="1"/>
    <row r="44221" ht="15.75" customHeight="1"/>
    <row r="44222" ht="15.75" customHeight="1"/>
    <row r="44223" ht="15.75" customHeight="1"/>
    <row r="44224" ht="15.75" customHeight="1"/>
    <row r="44225" ht="15.75" customHeight="1"/>
    <row r="44226" ht="15.75" customHeight="1"/>
    <row r="44227" ht="15.75" customHeight="1"/>
    <row r="44228" ht="15.75" customHeight="1"/>
    <row r="44229" ht="15.75" customHeight="1"/>
    <row r="44230" ht="15.75" customHeight="1"/>
    <row r="44231" ht="15.75" customHeight="1"/>
    <row r="44232" ht="15.75" customHeight="1"/>
    <row r="44233" ht="15.75" customHeight="1"/>
    <row r="44234" ht="15.75" customHeight="1"/>
    <row r="44235" ht="15.75" customHeight="1"/>
    <row r="44236" ht="15.75" customHeight="1"/>
    <row r="44237" ht="15.75" customHeight="1"/>
    <row r="44238" ht="15.75" customHeight="1"/>
    <row r="44239" ht="15.75" customHeight="1"/>
    <row r="44240" ht="15.75" customHeight="1"/>
    <row r="44241" ht="15.75" customHeight="1"/>
    <row r="44242" ht="15.75" customHeight="1"/>
    <row r="44243" ht="15.75" customHeight="1"/>
    <row r="44244" ht="15.75" customHeight="1"/>
    <row r="44245" ht="15.75" customHeight="1"/>
    <row r="44246" ht="15.75" customHeight="1"/>
    <row r="44247" ht="15.75" customHeight="1"/>
    <row r="44248" ht="15.75" customHeight="1"/>
    <row r="44249" ht="15.75" customHeight="1"/>
    <row r="44250" ht="15.75" customHeight="1"/>
    <row r="44251" ht="15.75" customHeight="1"/>
    <row r="44252" ht="15.75" customHeight="1"/>
    <row r="44253" ht="15.75" customHeight="1"/>
    <row r="44254" ht="15.75" customHeight="1"/>
    <row r="44255" ht="15.75" customHeight="1"/>
    <row r="44256" ht="15.75" customHeight="1"/>
    <row r="44257" ht="15.75" customHeight="1"/>
    <row r="44258" ht="15.75" customHeight="1"/>
    <row r="44259" ht="15.75" customHeight="1"/>
    <row r="44260" ht="15.75" customHeight="1"/>
    <row r="44261" ht="15.75" customHeight="1"/>
    <row r="44262" ht="15.75" customHeight="1"/>
    <row r="44263" ht="15.75" customHeight="1"/>
    <row r="44264" ht="15.75" customHeight="1"/>
    <row r="44265" ht="15.75" customHeight="1"/>
    <row r="44266" ht="15.75" customHeight="1"/>
    <row r="44267" ht="15.75" customHeight="1"/>
    <row r="44268" ht="15.75" customHeight="1"/>
    <row r="44269" ht="15.75" customHeight="1"/>
    <row r="44270" ht="15.75" customHeight="1"/>
    <row r="44271" ht="15.75" customHeight="1"/>
    <row r="44272" ht="15.75" customHeight="1"/>
    <row r="44273" ht="15.75" customHeight="1"/>
    <row r="44274" ht="15.75" customHeight="1"/>
    <row r="44275" ht="15.75" customHeight="1"/>
    <row r="44276" ht="15.75" customHeight="1"/>
    <row r="44277" ht="15.75" customHeight="1"/>
    <row r="44278" ht="15.75" customHeight="1"/>
    <row r="44279" ht="15.75" customHeight="1"/>
    <row r="44280" ht="15.75" customHeight="1"/>
    <row r="44281" ht="15.75" customHeight="1"/>
    <row r="44282" ht="15.75" customHeight="1"/>
    <row r="44283" ht="15.75" customHeight="1"/>
    <row r="44284" ht="15.75" customHeight="1"/>
    <row r="44285" ht="15.75" customHeight="1"/>
    <row r="44286" ht="15.75" customHeight="1"/>
    <row r="44287" ht="15.75" customHeight="1"/>
    <row r="44288" ht="15.75" customHeight="1"/>
    <row r="44289" ht="15.75" customHeight="1"/>
    <row r="44290" ht="15.75" customHeight="1"/>
    <row r="44291" ht="15.75" customHeight="1"/>
    <row r="44292" ht="15.75" customHeight="1"/>
    <row r="44293" ht="15.75" customHeight="1"/>
    <row r="44294" ht="15.75" customHeight="1"/>
    <row r="44295" ht="15.75" customHeight="1"/>
    <row r="44296" ht="15.75" customHeight="1"/>
    <row r="44297" ht="15.75" customHeight="1"/>
    <row r="44298" ht="15.75" customHeight="1"/>
    <row r="44299" ht="15.75" customHeight="1"/>
    <row r="44300" ht="15.75" customHeight="1"/>
    <row r="44301" ht="15.75" customHeight="1"/>
    <row r="44302" ht="15.75" customHeight="1"/>
    <row r="44303" ht="15.75" customHeight="1"/>
    <row r="44304" ht="15.75" customHeight="1"/>
    <row r="44305" ht="15.75" customHeight="1"/>
    <row r="44306" ht="15.75" customHeight="1"/>
    <row r="44307" ht="15.75" customHeight="1"/>
    <row r="44308" ht="15.75" customHeight="1"/>
    <row r="44309" ht="15.75" customHeight="1"/>
    <row r="44310" ht="15.75" customHeight="1"/>
    <row r="44311" ht="15.75" customHeight="1"/>
    <row r="44312" ht="15.75" customHeight="1"/>
    <row r="44313" ht="15.75" customHeight="1"/>
    <row r="44314" ht="15.75" customHeight="1"/>
    <row r="44315" ht="15.75" customHeight="1"/>
    <row r="44316" ht="15.75" customHeight="1"/>
    <row r="44317" ht="15.75" customHeight="1"/>
    <row r="44318" ht="15.75" customHeight="1"/>
    <row r="44319" ht="15.75" customHeight="1"/>
    <row r="44320" ht="15.75" customHeight="1"/>
    <row r="44321" ht="15.75" customHeight="1"/>
    <row r="44322" ht="15.75" customHeight="1"/>
    <row r="44323" ht="15.75" customHeight="1"/>
    <row r="44324" ht="15.75" customHeight="1"/>
    <row r="44325" ht="15.75" customHeight="1"/>
    <row r="44326" ht="15.75" customHeight="1"/>
    <row r="44327" ht="15.75" customHeight="1"/>
    <row r="44328" ht="15.75" customHeight="1"/>
    <row r="44329" ht="15.75" customHeight="1"/>
    <row r="44330" ht="15.75" customHeight="1"/>
    <row r="44331" ht="15.75" customHeight="1"/>
    <row r="44332" ht="15.75" customHeight="1"/>
    <row r="44333" ht="15.75" customHeight="1"/>
    <row r="44334" ht="15.75" customHeight="1"/>
    <row r="44335" ht="15.75" customHeight="1"/>
    <row r="44336" ht="15.75" customHeight="1"/>
    <row r="44337" ht="15.75" customHeight="1"/>
    <row r="44338" ht="15.75" customHeight="1"/>
    <row r="44339" ht="15.75" customHeight="1"/>
    <row r="44340" ht="15.75" customHeight="1"/>
    <row r="44341" ht="15.75" customHeight="1"/>
    <row r="44342" ht="15.75" customHeight="1"/>
    <row r="44343" ht="15.75" customHeight="1"/>
    <row r="44344" ht="15.75" customHeight="1"/>
    <row r="44345" ht="15.75" customHeight="1"/>
    <row r="44346" ht="15.75" customHeight="1"/>
    <row r="44347" ht="15.75" customHeight="1"/>
    <row r="44348" ht="15.75" customHeight="1"/>
    <row r="44349" ht="15.75" customHeight="1"/>
    <row r="44350" ht="15.75" customHeight="1"/>
    <row r="44351" ht="15.75" customHeight="1"/>
    <row r="44352" ht="15.75" customHeight="1"/>
    <row r="44353" ht="15.75" customHeight="1"/>
    <row r="44354" ht="15.75" customHeight="1"/>
    <row r="44355" ht="15.75" customHeight="1"/>
    <row r="44356" ht="15.75" customHeight="1"/>
    <row r="44357" ht="15.75" customHeight="1"/>
    <row r="44358" ht="15.75" customHeight="1"/>
    <row r="44359" ht="15.75" customHeight="1"/>
    <row r="44360" ht="15.75" customHeight="1"/>
    <row r="44361" ht="15.75" customHeight="1"/>
    <row r="44362" ht="15.75" customHeight="1"/>
    <row r="44363" ht="15.75" customHeight="1"/>
    <row r="44364" ht="15.75" customHeight="1"/>
    <row r="44365" ht="15.75" customHeight="1"/>
    <row r="44366" ht="15.75" customHeight="1"/>
    <row r="44367" ht="15.75" customHeight="1"/>
    <row r="44368" ht="15.75" customHeight="1"/>
    <row r="44369" ht="15.75" customHeight="1"/>
    <row r="44370" ht="15.75" customHeight="1"/>
    <row r="44371" ht="15.75" customHeight="1"/>
    <row r="44372" ht="15.75" customHeight="1"/>
    <row r="44373" ht="15.75" customHeight="1"/>
    <row r="44374" ht="15.75" customHeight="1"/>
    <row r="44375" ht="15.75" customHeight="1"/>
    <row r="44376" ht="15.75" customHeight="1"/>
    <row r="44377" ht="15.75" customHeight="1"/>
    <row r="44378" ht="15.75" customHeight="1"/>
    <row r="44379" ht="15.75" customHeight="1"/>
    <row r="44380" ht="15.75" customHeight="1"/>
    <row r="44381" ht="15.75" customHeight="1"/>
    <row r="44382" ht="15.75" customHeight="1"/>
    <row r="44383" ht="15.75" customHeight="1"/>
    <row r="44384" ht="15.75" customHeight="1"/>
    <row r="44385" ht="15.75" customHeight="1"/>
    <row r="44386" ht="15.75" customHeight="1"/>
    <row r="44387" ht="15.75" customHeight="1"/>
    <row r="44388" ht="15.75" customHeight="1"/>
    <row r="44389" ht="15.75" customHeight="1"/>
    <row r="44390" ht="15.75" customHeight="1"/>
    <row r="44391" ht="15.75" customHeight="1"/>
    <row r="44392" ht="15.75" customHeight="1"/>
    <row r="44393" ht="15.75" customHeight="1"/>
    <row r="44394" ht="15.75" customHeight="1"/>
    <row r="44395" ht="15.75" customHeight="1"/>
    <row r="44396" ht="15.75" customHeight="1"/>
    <row r="44397" ht="15.75" customHeight="1"/>
    <row r="44398" ht="15.75" customHeight="1"/>
    <row r="44399" ht="15.75" customHeight="1"/>
    <row r="44400" ht="15.75" customHeight="1"/>
    <row r="44401" ht="15.75" customHeight="1"/>
    <row r="44402" ht="15.75" customHeight="1"/>
    <row r="44403" ht="15.75" customHeight="1"/>
    <row r="44404" ht="15.75" customHeight="1"/>
    <row r="44405" ht="15.75" customHeight="1"/>
    <row r="44406" ht="15.75" customHeight="1"/>
    <row r="44407" ht="15.75" customHeight="1"/>
    <row r="44408" ht="15.75" customHeight="1"/>
    <row r="44409" ht="15.75" customHeight="1"/>
    <row r="44410" ht="15.75" customHeight="1"/>
    <row r="44411" ht="15.75" customHeight="1"/>
    <row r="44412" ht="15.75" customHeight="1"/>
    <row r="44413" ht="15.75" customHeight="1"/>
    <row r="44414" ht="15.75" customHeight="1"/>
    <row r="44415" ht="15.75" customHeight="1"/>
    <row r="44416" ht="15.75" customHeight="1"/>
    <row r="44417" ht="15.75" customHeight="1"/>
    <row r="44418" ht="15.75" customHeight="1"/>
    <row r="44419" ht="15.75" customHeight="1"/>
    <row r="44420" ht="15.75" customHeight="1"/>
    <row r="44421" ht="15.75" customHeight="1"/>
    <row r="44422" ht="15.75" customHeight="1"/>
    <row r="44423" ht="15.75" customHeight="1"/>
    <row r="44424" ht="15.75" customHeight="1"/>
    <row r="44425" ht="15.75" customHeight="1"/>
    <row r="44426" ht="15.75" customHeight="1"/>
    <row r="44427" ht="15.75" customHeight="1"/>
    <row r="44428" ht="15.75" customHeight="1"/>
    <row r="44429" ht="15.75" customHeight="1"/>
    <row r="44430" ht="15.75" customHeight="1"/>
    <row r="44431" ht="15.75" customHeight="1"/>
    <row r="44432" ht="15.75" customHeight="1"/>
    <row r="44433" ht="15.75" customHeight="1"/>
    <row r="44434" ht="15.75" customHeight="1"/>
    <row r="44435" ht="15.75" customHeight="1"/>
    <row r="44436" ht="15.75" customHeight="1"/>
    <row r="44437" ht="15.75" customHeight="1"/>
    <row r="44438" ht="15.75" customHeight="1"/>
    <row r="44439" ht="15.75" customHeight="1"/>
    <row r="44440" ht="15.75" customHeight="1"/>
    <row r="44441" ht="15.75" customHeight="1"/>
    <row r="44442" ht="15.75" customHeight="1"/>
    <row r="44443" ht="15.75" customHeight="1"/>
    <row r="44444" ht="15.75" customHeight="1"/>
    <row r="44445" ht="15.75" customHeight="1"/>
    <row r="44446" ht="15.75" customHeight="1"/>
    <row r="44447" ht="15.75" customHeight="1"/>
    <row r="44448" ht="15.75" customHeight="1"/>
    <row r="44449" ht="15.75" customHeight="1"/>
    <row r="44450" ht="15.75" customHeight="1"/>
    <row r="44451" ht="15.75" customHeight="1"/>
    <row r="44452" ht="15.75" customHeight="1"/>
    <row r="44453" ht="15.75" customHeight="1"/>
    <row r="44454" ht="15.75" customHeight="1"/>
    <row r="44455" ht="15.75" customHeight="1"/>
    <row r="44456" ht="15.75" customHeight="1"/>
    <row r="44457" ht="15.75" customHeight="1"/>
    <row r="44458" ht="15.75" customHeight="1"/>
    <row r="44459" ht="15.75" customHeight="1"/>
    <row r="44460" ht="15.75" customHeight="1"/>
    <row r="44461" ht="15.75" customHeight="1"/>
    <row r="44462" ht="15.75" customHeight="1"/>
    <row r="44463" ht="15.75" customHeight="1"/>
    <row r="44464" ht="15.75" customHeight="1"/>
    <row r="44465" ht="15.75" customHeight="1"/>
    <row r="44466" ht="15.75" customHeight="1"/>
    <row r="44467" ht="15.75" customHeight="1"/>
    <row r="44468" ht="15.75" customHeight="1"/>
    <row r="44469" ht="15.75" customHeight="1"/>
    <row r="44470" ht="15.75" customHeight="1"/>
    <row r="44471" ht="15.75" customHeight="1"/>
    <row r="44472" ht="15.75" customHeight="1"/>
    <row r="44473" ht="15.75" customHeight="1"/>
    <row r="44474" ht="15.75" customHeight="1"/>
    <row r="44475" ht="15.75" customHeight="1"/>
    <row r="44476" ht="15.75" customHeight="1"/>
    <row r="44477" ht="15.75" customHeight="1"/>
    <row r="44478" ht="15.75" customHeight="1"/>
    <row r="44479" ht="15.75" customHeight="1"/>
    <row r="44480" ht="15.75" customHeight="1"/>
    <row r="44481" ht="15.75" customHeight="1"/>
    <row r="44482" ht="15.75" customHeight="1"/>
    <row r="44483" ht="15.75" customHeight="1"/>
    <row r="44484" ht="15.75" customHeight="1"/>
    <row r="44485" ht="15.75" customHeight="1"/>
    <row r="44486" ht="15.75" customHeight="1"/>
    <row r="44487" ht="15.75" customHeight="1"/>
    <row r="44488" ht="15.75" customHeight="1"/>
    <row r="44489" ht="15.75" customHeight="1"/>
    <row r="44490" ht="15.75" customHeight="1"/>
    <row r="44491" ht="15.75" customHeight="1"/>
    <row r="44492" ht="15.75" customHeight="1"/>
    <row r="44493" ht="15.75" customHeight="1"/>
    <row r="44494" ht="15.75" customHeight="1"/>
    <row r="44495" ht="15.75" customHeight="1"/>
    <row r="44496" ht="15.75" customHeight="1"/>
    <row r="44497" ht="15.75" customHeight="1"/>
    <row r="44498" ht="15.75" customHeight="1"/>
    <row r="44499" ht="15.75" customHeight="1"/>
    <row r="44500" ht="15.75" customHeight="1"/>
    <row r="44501" ht="15.75" customHeight="1"/>
    <row r="44502" ht="15.75" customHeight="1"/>
    <row r="44503" ht="15.75" customHeight="1"/>
    <row r="44504" ht="15.75" customHeight="1"/>
    <row r="44505" ht="15.75" customHeight="1"/>
    <row r="44506" ht="15.75" customHeight="1"/>
    <row r="44507" ht="15.75" customHeight="1"/>
    <row r="44508" ht="15.75" customHeight="1"/>
    <row r="44509" ht="15.75" customHeight="1"/>
    <row r="44510" ht="15.75" customHeight="1"/>
    <row r="44511" ht="15.75" customHeight="1"/>
    <row r="44512" ht="15.75" customHeight="1"/>
    <row r="44513" ht="15.75" customHeight="1"/>
    <row r="44514" ht="15.75" customHeight="1"/>
    <row r="44515" ht="15.75" customHeight="1"/>
    <row r="44516" ht="15.75" customHeight="1"/>
    <row r="44517" ht="15.75" customHeight="1"/>
    <row r="44518" ht="15.75" customHeight="1"/>
    <row r="44519" ht="15.75" customHeight="1"/>
    <row r="44520" ht="15.75" customHeight="1"/>
    <row r="44521" ht="15.75" customHeight="1"/>
    <row r="44522" ht="15.75" customHeight="1"/>
    <row r="44523" ht="15.75" customHeight="1"/>
    <row r="44524" ht="15.75" customHeight="1"/>
    <row r="44525" ht="15.75" customHeight="1"/>
    <row r="44526" ht="15.75" customHeight="1"/>
    <row r="44527" ht="15.75" customHeight="1"/>
    <row r="44528" ht="15.75" customHeight="1"/>
    <row r="44529" ht="15.75" customHeight="1"/>
    <row r="44530" ht="15.75" customHeight="1"/>
    <row r="44531" ht="15.75" customHeight="1"/>
    <row r="44532" ht="15.75" customHeight="1"/>
    <row r="44533" ht="15.75" customHeight="1"/>
    <row r="44534" ht="15.75" customHeight="1"/>
    <row r="44535" ht="15.75" customHeight="1"/>
    <row r="44536" ht="15.75" customHeight="1"/>
    <row r="44537" ht="15.75" customHeight="1"/>
    <row r="44538" ht="15.75" customHeight="1"/>
    <row r="44539" ht="15.75" customHeight="1"/>
    <row r="44540" ht="15.75" customHeight="1"/>
    <row r="44541" ht="15.75" customHeight="1"/>
    <row r="44542" ht="15.75" customHeight="1"/>
    <row r="44543" ht="15.75" customHeight="1"/>
    <row r="44544" ht="15.75" customHeight="1"/>
    <row r="44545" ht="15.75" customHeight="1"/>
    <row r="44546" ht="15.75" customHeight="1"/>
    <row r="44547" ht="15.75" customHeight="1"/>
    <row r="44548" ht="15.75" customHeight="1"/>
    <row r="44549" ht="15.75" customHeight="1"/>
    <row r="44550" ht="15.75" customHeight="1"/>
    <row r="44551" ht="15.75" customHeight="1"/>
    <row r="44552" ht="15.75" customHeight="1"/>
    <row r="44553" ht="15.75" customHeight="1"/>
    <row r="44554" ht="15.75" customHeight="1"/>
    <row r="44555" ht="15.75" customHeight="1"/>
    <row r="44556" ht="15.75" customHeight="1"/>
    <row r="44557" ht="15.75" customHeight="1"/>
    <row r="44558" ht="15.75" customHeight="1"/>
    <row r="44559" ht="15.75" customHeight="1"/>
    <row r="44560" ht="15.75" customHeight="1"/>
    <row r="44561" ht="15.75" customHeight="1"/>
    <row r="44562" ht="15.75" customHeight="1"/>
    <row r="44563" ht="15.75" customHeight="1"/>
    <row r="44564" ht="15.75" customHeight="1"/>
    <row r="44565" ht="15.75" customHeight="1"/>
    <row r="44566" ht="15.75" customHeight="1"/>
    <row r="44567" ht="15.75" customHeight="1"/>
    <row r="44568" ht="15.75" customHeight="1"/>
    <row r="44569" ht="15.75" customHeight="1"/>
    <row r="44570" ht="15.75" customHeight="1"/>
    <row r="44571" ht="15.75" customHeight="1"/>
    <row r="44572" ht="15.75" customHeight="1"/>
    <row r="44573" ht="15.75" customHeight="1"/>
    <row r="44574" ht="15.75" customHeight="1"/>
    <row r="44575" ht="15.75" customHeight="1"/>
    <row r="44576" ht="15.75" customHeight="1"/>
    <row r="44577" ht="15.75" customHeight="1"/>
    <row r="44578" ht="15.75" customHeight="1"/>
    <row r="44579" ht="15.75" customHeight="1"/>
    <row r="44580" ht="15.75" customHeight="1"/>
    <row r="44581" ht="15.75" customHeight="1"/>
    <row r="44582" ht="15.75" customHeight="1"/>
    <row r="44583" ht="15.75" customHeight="1"/>
    <row r="44584" ht="15.75" customHeight="1"/>
    <row r="44585" ht="15.75" customHeight="1"/>
    <row r="44586" ht="15.75" customHeight="1"/>
    <row r="44587" ht="15.75" customHeight="1"/>
    <row r="44588" ht="15.75" customHeight="1"/>
    <row r="44589" ht="15.75" customHeight="1"/>
    <row r="44590" ht="15.75" customHeight="1"/>
    <row r="44591" ht="15.75" customHeight="1"/>
    <row r="44592" ht="15.75" customHeight="1"/>
    <row r="44593" ht="15.75" customHeight="1"/>
    <row r="44594" ht="15.75" customHeight="1"/>
    <row r="44595" ht="15.75" customHeight="1"/>
    <row r="44596" ht="15.75" customHeight="1"/>
    <row r="44597" ht="15.75" customHeight="1"/>
    <row r="44598" ht="15.75" customHeight="1"/>
    <row r="44599" ht="15.75" customHeight="1"/>
    <row r="44600" ht="15.75" customHeight="1"/>
    <row r="44601" ht="15.75" customHeight="1"/>
    <row r="44602" ht="15.75" customHeight="1"/>
    <row r="44603" ht="15.75" customHeight="1"/>
    <row r="44604" ht="15.75" customHeight="1"/>
    <row r="44605" ht="15.75" customHeight="1"/>
    <row r="44606" ht="15.75" customHeight="1"/>
    <row r="44607" ht="15.75" customHeight="1"/>
    <row r="44608" ht="15.75" customHeight="1"/>
    <row r="44609" ht="15.75" customHeight="1"/>
    <row r="44610" ht="15.75" customHeight="1"/>
    <row r="44611" ht="15.75" customHeight="1"/>
    <row r="44612" ht="15.75" customHeight="1"/>
    <row r="44613" ht="15.75" customHeight="1"/>
    <row r="44614" ht="15.75" customHeight="1"/>
    <row r="44615" ht="15.75" customHeight="1"/>
    <row r="44616" ht="15.75" customHeight="1"/>
    <row r="44617" ht="15.75" customHeight="1"/>
    <row r="44618" ht="15.75" customHeight="1"/>
    <row r="44619" ht="15.75" customHeight="1"/>
    <row r="44620" ht="15.75" customHeight="1"/>
    <row r="44621" ht="15.75" customHeight="1"/>
    <row r="44622" ht="15.75" customHeight="1"/>
    <row r="44623" ht="15.75" customHeight="1"/>
    <row r="44624" ht="15.75" customHeight="1"/>
    <row r="44625" ht="15.75" customHeight="1"/>
    <row r="44626" ht="15.75" customHeight="1"/>
    <row r="44627" ht="15.75" customHeight="1"/>
    <row r="44628" ht="15.75" customHeight="1"/>
    <row r="44629" ht="15.75" customHeight="1"/>
    <row r="44630" ht="15.75" customHeight="1"/>
    <row r="44631" ht="15.75" customHeight="1"/>
    <row r="44632" ht="15.75" customHeight="1"/>
    <row r="44633" ht="15.75" customHeight="1"/>
    <row r="44634" ht="15.75" customHeight="1"/>
    <row r="44635" ht="15.75" customHeight="1"/>
    <row r="44636" ht="15.75" customHeight="1"/>
    <row r="44637" ht="15.75" customHeight="1"/>
    <row r="44638" ht="15.75" customHeight="1"/>
    <row r="44639" ht="15.75" customHeight="1"/>
    <row r="44640" ht="15.75" customHeight="1"/>
    <row r="44641" ht="15.75" customHeight="1"/>
    <row r="44642" ht="15.75" customHeight="1"/>
    <row r="44643" ht="15.75" customHeight="1"/>
    <row r="44644" ht="15.75" customHeight="1"/>
    <row r="44645" ht="15.75" customHeight="1"/>
    <row r="44646" ht="15.75" customHeight="1"/>
    <row r="44647" ht="15.75" customHeight="1"/>
    <row r="44648" ht="15.75" customHeight="1"/>
    <row r="44649" ht="15.75" customHeight="1"/>
    <row r="44650" ht="15.75" customHeight="1"/>
    <row r="44651" ht="15.75" customHeight="1"/>
    <row r="44652" ht="15.75" customHeight="1"/>
    <row r="44653" ht="15.75" customHeight="1"/>
    <row r="44654" ht="15.75" customHeight="1"/>
    <row r="44655" ht="15.75" customHeight="1"/>
    <row r="44656" ht="15.75" customHeight="1"/>
    <row r="44657" ht="15.75" customHeight="1"/>
    <row r="44658" ht="15.75" customHeight="1"/>
    <row r="44659" ht="15.75" customHeight="1"/>
    <row r="44660" ht="15.75" customHeight="1"/>
    <row r="44661" ht="15.75" customHeight="1"/>
    <row r="44662" ht="15.75" customHeight="1"/>
    <row r="44663" ht="15.75" customHeight="1"/>
    <row r="44664" ht="15.75" customHeight="1"/>
    <row r="44665" ht="15.75" customHeight="1"/>
    <row r="44666" ht="15.75" customHeight="1"/>
    <row r="44667" ht="15.75" customHeight="1"/>
    <row r="44668" ht="15.75" customHeight="1"/>
    <row r="44669" ht="15.75" customHeight="1"/>
    <row r="44670" ht="15.75" customHeight="1"/>
    <row r="44671" ht="15.75" customHeight="1"/>
    <row r="44672" ht="15.75" customHeight="1"/>
    <row r="44673" ht="15.75" customHeight="1"/>
    <row r="44674" ht="15.75" customHeight="1"/>
    <row r="44675" ht="15.75" customHeight="1"/>
    <row r="44676" ht="15.75" customHeight="1"/>
    <row r="44677" ht="15.75" customHeight="1"/>
    <row r="44678" ht="15.75" customHeight="1"/>
    <row r="44679" ht="15.75" customHeight="1"/>
    <row r="44680" ht="15.75" customHeight="1"/>
    <row r="44681" ht="15.75" customHeight="1"/>
    <row r="44682" ht="15.75" customHeight="1"/>
    <row r="44683" ht="15.75" customHeight="1"/>
    <row r="44684" ht="15.75" customHeight="1"/>
    <row r="44685" ht="15.75" customHeight="1"/>
    <row r="44686" ht="15.75" customHeight="1"/>
    <row r="44687" ht="15.75" customHeight="1"/>
    <row r="44688" ht="15.75" customHeight="1"/>
    <row r="44689" ht="15.75" customHeight="1"/>
    <row r="44690" ht="15.75" customHeight="1"/>
    <row r="44691" ht="15.75" customHeight="1"/>
    <row r="44692" ht="15.75" customHeight="1"/>
    <row r="44693" ht="15.75" customHeight="1"/>
    <row r="44694" ht="15.75" customHeight="1"/>
    <row r="44695" ht="15.75" customHeight="1"/>
    <row r="44696" ht="15.75" customHeight="1"/>
    <row r="44697" ht="15.75" customHeight="1"/>
    <row r="44698" ht="15.75" customHeight="1"/>
    <row r="44699" ht="15.75" customHeight="1"/>
    <row r="44700" ht="15.75" customHeight="1"/>
    <row r="44701" ht="15.75" customHeight="1"/>
    <row r="44702" ht="15.75" customHeight="1"/>
    <row r="44703" ht="15.75" customHeight="1"/>
    <row r="44704" ht="15.75" customHeight="1"/>
    <row r="44705" ht="15.75" customHeight="1"/>
    <row r="44706" ht="15.75" customHeight="1"/>
    <row r="44707" ht="15.75" customHeight="1"/>
    <row r="44708" ht="15.75" customHeight="1"/>
    <row r="44709" ht="15.75" customHeight="1"/>
    <row r="44710" ht="15.75" customHeight="1"/>
    <row r="44711" ht="15.75" customHeight="1"/>
    <row r="44712" ht="15.75" customHeight="1"/>
    <row r="44713" ht="15.75" customHeight="1"/>
    <row r="44714" ht="15.75" customHeight="1"/>
    <row r="44715" ht="15.75" customHeight="1"/>
    <row r="44716" ht="15.75" customHeight="1"/>
    <row r="44717" ht="15.75" customHeight="1"/>
    <row r="44718" ht="15.75" customHeight="1"/>
    <row r="44719" ht="15.75" customHeight="1"/>
    <row r="44720" ht="15.75" customHeight="1"/>
    <row r="44721" ht="15.75" customHeight="1"/>
    <row r="44722" ht="15.75" customHeight="1"/>
    <row r="44723" ht="15.75" customHeight="1"/>
    <row r="44724" ht="15.75" customHeight="1"/>
    <row r="44725" ht="15.75" customHeight="1"/>
    <row r="44726" ht="15.75" customHeight="1"/>
    <row r="44727" ht="15.75" customHeight="1"/>
    <row r="44728" ht="15.75" customHeight="1"/>
    <row r="44729" ht="15.75" customHeight="1"/>
    <row r="44730" ht="15.75" customHeight="1"/>
    <row r="44731" ht="15.75" customHeight="1"/>
    <row r="44732" ht="15.75" customHeight="1"/>
    <row r="44733" ht="15.75" customHeight="1"/>
    <row r="44734" ht="15.75" customHeight="1"/>
    <row r="44735" ht="15.75" customHeight="1"/>
    <row r="44736" ht="15.75" customHeight="1"/>
    <row r="44737" ht="15.75" customHeight="1"/>
    <row r="44738" ht="15.75" customHeight="1"/>
    <row r="44739" ht="15.75" customHeight="1"/>
    <row r="44740" ht="15.75" customHeight="1"/>
    <row r="44741" ht="15.75" customHeight="1"/>
    <row r="44742" ht="15.75" customHeight="1"/>
    <row r="44743" ht="15.75" customHeight="1"/>
    <row r="44744" ht="15.75" customHeight="1"/>
    <row r="44745" ht="15.75" customHeight="1"/>
    <row r="44746" ht="15.75" customHeight="1"/>
    <row r="44747" ht="15.75" customHeight="1"/>
    <row r="44748" ht="15.75" customHeight="1"/>
    <row r="44749" ht="15.75" customHeight="1"/>
    <row r="44750" ht="15.75" customHeight="1"/>
    <row r="44751" ht="15.75" customHeight="1"/>
    <row r="44752" ht="15.75" customHeight="1"/>
    <row r="44753" ht="15.75" customHeight="1"/>
    <row r="44754" ht="15.75" customHeight="1"/>
    <row r="44755" ht="15.75" customHeight="1"/>
    <row r="44756" ht="15.75" customHeight="1"/>
    <row r="44757" ht="15.75" customHeight="1"/>
    <row r="44758" ht="15.75" customHeight="1"/>
    <row r="44759" ht="15.75" customHeight="1"/>
    <row r="44760" ht="15.75" customHeight="1"/>
    <row r="44761" ht="15.75" customHeight="1"/>
    <row r="44762" ht="15.75" customHeight="1"/>
    <row r="44763" ht="15.75" customHeight="1"/>
    <row r="44764" ht="15.75" customHeight="1"/>
    <row r="44765" ht="15.75" customHeight="1"/>
    <row r="44766" ht="15.75" customHeight="1"/>
    <row r="44767" ht="15.75" customHeight="1"/>
    <row r="44768" ht="15.75" customHeight="1"/>
    <row r="44769" ht="15.75" customHeight="1"/>
    <row r="44770" ht="15.75" customHeight="1"/>
    <row r="44771" ht="15.75" customHeight="1"/>
    <row r="44772" ht="15.75" customHeight="1"/>
    <row r="44773" ht="15.75" customHeight="1"/>
    <row r="44774" ht="15.75" customHeight="1"/>
    <row r="44775" ht="15.75" customHeight="1"/>
    <row r="44776" ht="15.75" customHeight="1"/>
    <row r="44777" ht="15.75" customHeight="1"/>
    <row r="44778" ht="15.75" customHeight="1"/>
    <row r="44779" ht="15.75" customHeight="1"/>
    <row r="44780" ht="15.75" customHeight="1"/>
    <row r="44781" ht="15.75" customHeight="1"/>
    <row r="44782" ht="15.75" customHeight="1"/>
    <row r="44783" ht="15.75" customHeight="1"/>
    <row r="44784" ht="15.75" customHeight="1"/>
    <row r="44785" ht="15.75" customHeight="1"/>
    <row r="44786" ht="15.75" customHeight="1"/>
    <row r="44787" ht="15.75" customHeight="1"/>
    <row r="44788" ht="15.75" customHeight="1"/>
    <row r="44789" ht="15.75" customHeight="1"/>
    <row r="44790" ht="15.75" customHeight="1"/>
    <row r="44791" ht="15.75" customHeight="1"/>
    <row r="44792" ht="15.75" customHeight="1"/>
    <row r="44793" ht="15.75" customHeight="1"/>
    <row r="44794" ht="15.75" customHeight="1"/>
    <row r="44795" ht="15.75" customHeight="1"/>
    <row r="44796" ht="15.75" customHeight="1"/>
    <row r="44797" ht="15.75" customHeight="1"/>
    <row r="44798" ht="15.75" customHeight="1"/>
    <row r="44799" ht="15.75" customHeight="1"/>
    <row r="44800" ht="15.75" customHeight="1"/>
    <row r="44801" ht="15.75" customHeight="1"/>
    <row r="44802" ht="15.75" customHeight="1"/>
    <row r="44803" ht="15.75" customHeight="1"/>
    <row r="44804" ht="15.75" customHeight="1"/>
    <row r="44805" ht="15.75" customHeight="1"/>
    <row r="44806" ht="15.75" customHeight="1"/>
    <row r="44807" ht="15.75" customHeight="1"/>
    <row r="44808" ht="15.75" customHeight="1"/>
    <row r="44809" ht="15.75" customHeight="1"/>
    <row r="44810" ht="15.75" customHeight="1"/>
    <row r="44811" ht="15.75" customHeight="1"/>
    <row r="44812" ht="15.75" customHeight="1"/>
    <row r="44813" ht="15.75" customHeight="1"/>
    <row r="44814" ht="15.75" customHeight="1"/>
    <row r="44815" ht="15.75" customHeight="1"/>
    <row r="44816" ht="15.75" customHeight="1"/>
    <row r="44817" ht="15.75" customHeight="1"/>
    <row r="44818" ht="15.75" customHeight="1"/>
    <row r="44819" ht="15.75" customHeight="1"/>
    <row r="44820" ht="15.75" customHeight="1"/>
    <row r="44821" ht="15.75" customHeight="1"/>
    <row r="44822" ht="15.75" customHeight="1"/>
    <row r="44823" ht="15.75" customHeight="1"/>
    <row r="44824" ht="15.75" customHeight="1"/>
    <row r="44825" ht="15.75" customHeight="1"/>
    <row r="44826" ht="15.75" customHeight="1"/>
    <row r="44827" ht="15.75" customHeight="1"/>
    <row r="44828" ht="15.75" customHeight="1"/>
    <row r="44829" ht="15.75" customHeight="1"/>
    <row r="44830" ht="15.75" customHeight="1"/>
    <row r="44831" ht="15.75" customHeight="1"/>
    <row r="44832" ht="15.75" customHeight="1"/>
    <row r="44833" ht="15.75" customHeight="1"/>
    <row r="44834" ht="15.75" customHeight="1"/>
    <row r="44835" ht="15.75" customHeight="1"/>
    <row r="44836" ht="15.75" customHeight="1"/>
    <row r="44837" ht="15.75" customHeight="1"/>
    <row r="44838" ht="15.75" customHeight="1"/>
    <row r="44839" ht="15.75" customHeight="1"/>
    <row r="44840" ht="15.75" customHeight="1"/>
    <row r="44841" ht="15.75" customHeight="1"/>
    <row r="44842" ht="15.75" customHeight="1"/>
    <row r="44843" ht="15.75" customHeight="1"/>
    <row r="44844" ht="15.75" customHeight="1"/>
    <row r="44845" ht="15.75" customHeight="1"/>
    <row r="44846" ht="15.75" customHeight="1"/>
    <row r="44847" ht="15.75" customHeight="1"/>
    <row r="44848" ht="15.75" customHeight="1"/>
    <row r="44849" ht="15.75" customHeight="1"/>
    <row r="44850" ht="15.75" customHeight="1"/>
    <row r="44851" ht="15.75" customHeight="1"/>
    <row r="44852" ht="15.75" customHeight="1"/>
    <row r="44853" ht="15.75" customHeight="1"/>
    <row r="44854" ht="15.75" customHeight="1"/>
    <row r="44855" ht="15.75" customHeight="1"/>
    <row r="44856" ht="15.75" customHeight="1"/>
    <row r="44857" ht="15.75" customHeight="1"/>
    <row r="44858" ht="15.75" customHeight="1"/>
    <row r="44859" ht="15.75" customHeight="1"/>
    <row r="44860" ht="15.75" customHeight="1"/>
    <row r="44861" ht="15.75" customHeight="1"/>
    <row r="44862" ht="15.75" customHeight="1"/>
    <row r="44863" ht="15.75" customHeight="1"/>
    <row r="44864" ht="15.75" customHeight="1"/>
    <row r="44865" ht="15.75" customHeight="1"/>
    <row r="44866" ht="15.75" customHeight="1"/>
    <row r="44867" ht="15.75" customHeight="1"/>
    <row r="44868" ht="15.75" customHeight="1"/>
    <row r="44869" ht="15.75" customHeight="1"/>
    <row r="44870" ht="15.75" customHeight="1"/>
    <row r="44871" ht="15.75" customHeight="1"/>
    <row r="44872" ht="15.75" customHeight="1"/>
    <row r="44873" ht="15.75" customHeight="1"/>
    <row r="44874" ht="15.75" customHeight="1"/>
    <row r="44875" ht="15.75" customHeight="1"/>
    <row r="44876" ht="15.75" customHeight="1"/>
    <row r="44877" ht="15.75" customHeight="1"/>
    <row r="44878" ht="15.75" customHeight="1"/>
    <row r="44879" ht="15.75" customHeight="1"/>
    <row r="44880" ht="15.75" customHeight="1"/>
    <row r="44881" ht="15.75" customHeight="1"/>
    <row r="44882" ht="15.75" customHeight="1"/>
    <row r="44883" ht="15.75" customHeight="1"/>
    <row r="44884" ht="15.75" customHeight="1"/>
    <row r="44885" ht="15.75" customHeight="1"/>
    <row r="44886" ht="15.75" customHeight="1"/>
    <row r="44887" ht="15.75" customHeight="1"/>
    <row r="44888" ht="15.75" customHeight="1"/>
    <row r="44889" ht="15.75" customHeight="1"/>
    <row r="44890" ht="15.75" customHeight="1"/>
    <row r="44891" ht="15.75" customHeight="1"/>
    <row r="44892" ht="15.75" customHeight="1"/>
    <row r="44893" ht="15.75" customHeight="1"/>
    <row r="44894" ht="15.75" customHeight="1"/>
    <row r="44895" ht="15.75" customHeight="1"/>
    <row r="44896" ht="15.75" customHeight="1"/>
    <row r="44897" ht="15.75" customHeight="1"/>
    <row r="44898" ht="15.75" customHeight="1"/>
    <row r="44899" ht="15.75" customHeight="1"/>
    <row r="44900" ht="15.75" customHeight="1"/>
    <row r="44901" ht="15.75" customHeight="1"/>
    <row r="44902" ht="15.75" customHeight="1"/>
    <row r="44903" ht="15.75" customHeight="1"/>
    <row r="44904" ht="15.75" customHeight="1"/>
    <row r="44905" ht="15.75" customHeight="1"/>
    <row r="44906" ht="15.75" customHeight="1"/>
    <row r="44907" ht="15.75" customHeight="1"/>
    <row r="44908" ht="15.75" customHeight="1"/>
    <row r="44909" ht="15.75" customHeight="1"/>
    <row r="44910" ht="15.75" customHeight="1"/>
    <row r="44911" ht="15.75" customHeight="1"/>
    <row r="44912" ht="15.75" customHeight="1"/>
    <row r="44913" ht="15.75" customHeight="1"/>
    <row r="44914" ht="15.75" customHeight="1"/>
    <row r="44915" ht="15.75" customHeight="1"/>
    <row r="44916" ht="15.75" customHeight="1"/>
    <row r="44917" ht="15.75" customHeight="1"/>
    <row r="44918" ht="15.75" customHeight="1"/>
    <row r="44919" ht="15.75" customHeight="1"/>
    <row r="44920" ht="15.75" customHeight="1"/>
    <row r="44921" ht="15.75" customHeight="1"/>
    <row r="44922" ht="15.75" customHeight="1"/>
    <row r="44923" ht="15.75" customHeight="1"/>
    <row r="44924" ht="15.75" customHeight="1"/>
    <row r="44925" ht="15.75" customHeight="1"/>
    <row r="44926" ht="15.75" customHeight="1"/>
    <row r="44927" ht="15.75" customHeight="1"/>
    <row r="44928" ht="15.75" customHeight="1"/>
    <row r="44929" ht="15.75" customHeight="1"/>
    <row r="44930" ht="15.75" customHeight="1"/>
    <row r="44931" ht="15.75" customHeight="1"/>
    <row r="44932" ht="15.75" customHeight="1"/>
    <row r="44933" ht="15.75" customHeight="1"/>
    <row r="44934" ht="15.75" customHeight="1"/>
    <row r="44935" ht="15.75" customHeight="1"/>
    <row r="44936" ht="15.75" customHeight="1"/>
    <row r="44937" ht="15.75" customHeight="1"/>
    <row r="44938" ht="15.75" customHeight="1"/>
    <row r="44939" ht="15.75" customHeight="1"/>
    <row r="44940" ht="15.75" customHeight="1"/>
    <row r="44941" ht="15.75" customHeight="1"/>
    <row r="44942" ht="15.75" customHeight="1"/>
    <row r="44943" ht="15.75" customHeight="1"/>
    <row r="44944" ht="15.75" customHeight="1"/>
    <row r="44945" ht="15.75" customHeight="1"/>
    <row r="44946" ht="15.75" customHeight="1"/>
    <row r="44947" ht="15.75" customHeight="1"/>
    <row r="44948" ht="15.75" customHeight="1"/>
    <row r="44949" ht="15.75" customHeight="1"/>
    <row r="44950" ht="15.75" customHeight="1"/>
    <row r="44951" ht="15.75" customHeight="1"/>
    <row r="44952" ht="15.75" customHeight="1"/>
    <row r="44953" ht="15.75" customHeight="1"/>
    <row r="44954" ht="15.75" customHeight="1"/>
    <row r="44955" ht="15.75" customHeight="1"/>
    <row r="44956" ht="15.75" customHeight="1"/>
    <row r="44957" ht="15.75" customHeight="1"/>
    <row r="44958" ht="15.75" customHeight="1"/>
    <row r="44959" ht="15.75" customHeight="1"/>
    <row r="44960" ht="15.75" customHeight="1"/>
    <row r="44961" ht="15.75" customHeight="1"/>
    <row r="44962" ht="15.75" customHeight="1"/>
    <row r="44963" ht="15.75" customHeight="1"/>
    <row r="44964" ht="15.75" customHeight="1"/>
    <row r="44965" ht="15.75" customHeight="1"/>
    <row r="44966" ht="15.75" customHeight="1"/>
    <row r="44967" ht="15.75" customHeight="1"/>
    <row r="44968" ht="15.75" customHeight="1"/>
    <row r="44969" ht="15.75" customHeight="1"/>
    <row r="44970" ht="15.75" customHeight="1"/>
    <row r="44971" ht="15.75" customHeight="1"/>
    <row r="44972" ht="15.75" customHeight="1"/>
    <row r="44973" ht="15.75" customHeight="1"/>
    <row r="44974" ht="15.75" customHeight="1"/>
    <row r="44975" ht="15.75" customHeight="1"/>
    <row r="44976" ht="15.75" customHeight="1"/>
    <row r="44977" ht="15.75" customHeight="1"/>
    <row r="44978" ht="15.75" customHeight="1"/>
    <row r="44979" ht="15.75" customHeight="1"/>
    <row r="44980" ht="15.75" customHeight="1"/>
    <row r="44981" ht="15.75" customHeight="1"/>
    <row r="44982" ht="15.75" customHeight="1"/>
    <row r="44983" ht="15.75" customHeight="1"/>
    <row r="44984" ht="15.75" customHeight="1"/>
    <row r="44985" ht="15.75" customHeight="1"/>
    <row r="44986" ht="15.75" customHeight="1"/>
    <row r="44987" ht="15.75" customHeight="1"/>
    <row r="44988" ht="15.75" customHeight="1"/>
    <row r="44989" ht="15.75" customHeight="1"/>
    <row r="44990" ht="15.75" customHeight="1"/>
    <row r="44991" ht="15.75" customHeight="1"/>
    <row r="44992" ht="15.75" customHeight="1"/>
    <row r="44993" ht="15.75" customHeight="1"/>
    <row r="44994" ht="15.75" customHeight="1"/>
    <row r="44995" ht="15.75" customHeight="1"/>
    <row r="44996" ht="15.75" customHeight="1"/>
    <row r="44997" ht="15.75" customHeight="1"/>
    <row r="44998" ht="15.75" customHeight="1"/>
    <row r="44999" ht="15.75" customHeight="1"/>
    <row r="45000" ht="15.75" customHeight="1"/>
    <row r="45001" ht="15.75" customHeight="1"/>
    <row r="45002" ht="15.75" customHeight="1"/>
    <row r="45003" ht="15.75" customHeight="1"/>
    <row r="45004" ht="15.75" customHeight="1"/>
    <row r="45005" ht="15.75" customHeight="1"/>
    <row r="45006" ht="15.75" customHeight="1"/>
    <row r="45007" ht="15.75" customHeight="1"/>
    <row r="45008" ht="15.75" customHeight="1"/>
    <row r="45009" ht="15.75" customHeight="1"/>
    <row r="45010" ht="15.75" customHeight="1"/>
    <row r="45011" ht="15.75" customHeight="1"/>
    <row r="45012" ht="15.75" customHeight="1"/>
    <row r="45013" ht="15.75" customHeight="1"/>
    <row r="45014" ht="15.75" customHeight="1"/>
    <row r="45015" ht="15.75" customHeight="1"/>
    <row r="45016" ht="15.75" customHeight="1"/>
    <row r="45017" ht="15.75" customHeight="1"/>
    <row r="45018" ht="15.75" customHeight="1"/>
    <row r="45019" ht="15.75" customHeight="1"/>
    <row r="45020" ht="15.75" customHeight="1"/>
    <row r="45021" ht="15.75" customHeight="1"/>
    <row r="45022" ht="15.75" customHeight="1"/>
    <row r="45023" ht="15.75" customHeight="1"/>
    <row r="45024" ht="15.75" customHeight="1"/>
    <row r="45025" ht="15.75" customHeight="1"/>
    <row r="45026" ht="15.75" customHeight="1"/>
    <row r="45027" ht="15.75" customHeight="1"/>
    <row r="45028" ht="15.75" customHeight="1"/>
    <row r="45029" ht="15.75" customHeight="1"/>
    <row r="45030" ht="15.75" customHeight="1"/>
    <row r="45031" ht="15.75" customHeight="1"/>
    <row r="45032" ht="15.75" customHeight="1"/>
    <row r="45033" ht="15.75" customHeight="1"/>
    <row r="45034" ht="15.75" customHeight="1"/>
    <row r="45035" ht="15.75" customHeight="1"/>
    <row r="45036" ht="15.75" customHeight="1"/>
    <row r="45037" ht="15.75" customHeight="1"/>
    <row r="45038" ht="15.75" customHeight="1"/>
    <row r="45039" ht="15.75" customHeight="1"/>
    <row r="45040" ht="15.75" customHeight="1"/>
    <row r="45041" ht="15.75" customHeight="1"/>
    <row r="45042" ht="15.75" customHeight="1"/>
    <row r="45043" ht="15.75" customHeight="1"/>
    <row r="45044" ht="15.75" customHeight="1"/>
    <row r="45045" ht="15.75" customHeight="1"/>
    <row r="45046" ht="15.75" customHeight="1"/>
    <row r="45047" ht="15.75" customHeight="1"/>
    <row r="45048" ht="15.75" customHeight="1"/>
    <row r="45049" ht="15.75" customHeight="1"/>
    <row r="45050" ht="15.75" customHeight="1"/>
    <row r="45051" ht="15.75" customHeight="1"/>
    <row r="45052" ht="15.75" customHeight="1"/>
    <row r="45053" ht="15.75" customHeight="1"/>
    <row r="45054" ht="15.75" customHeight="1"/>
    <row r="45055" ht="15.75" customHeight="1"/>
    <row r="45056" ht="15.75" customHeight="1"/>
    <row r="45057" ht="15.75" customHeight="1"/>
    <row r="45058" ht="15.75" customHeight="1"/>
    <row r="45059" ht="15.75" customHeight="1"/>
    <row r="45060" ht="15.75" customHeight="1"/>
    <row r="45061" ht="15.75" customHeight="1"/>
    <row r="45062" ht="15.75" customHeight="1"/>
    <row r="45063" ht="15.75" customHeight="1"/>
    <row r="45064" ht="15.75" customHeight="1"/>
    <row r="45065" ht="15.75" customHeight="1"/>
    <row r="45066" ht="15.75" customHeight="1"/>
    <row r="45067" ht="15.75" customHeight="1"/>
    <row r="45068" ht="15.75" customHeight="1"/>
    <row r="45069" ht="15.75" customHeight="1"/>
    <row r="45070" ht="15.75" customHeight="1"/>
    <row r="45071" ht="15.75" customHeight="1"/>
    <row r="45072" ht="15.75" customHeight="1"/>
    <row r="45073" ht="15.75" customHeight="1"/>
    <row r="45074" ht="15.75" customHeight="1"/>
    <row r="45075" ht="15.75" customHeight="1"/>
    <row r="45076" ht="15.75" customHeight="1"/>
    <row r="45077" ht="15.75" customHeight="1"/>
    <row r="45078" ht="15.75" customHeight="1"/>
    <row r="45079" ht="15.75" customHeight="1"/>
    <row r="45080" ht="15.75" customHeight="1"/>
    <row r="45081" ht="15.75" customHeight="1"/>
    <row r="45082" ht="15.75" customHeight="1"/>
    <row r="45083" ht="15.75" customHeight="1"/>
    <row r="45084" ht="15.75" customHeight="1"/>
    <row r="45085" ht="15.75" customHeight="1"/>
    <row r="45086" ht="15.75" customHeight="1"/>
    <row r="45087" ht="15.75" customHeight="1"/>
    <row r="45088" ht="15.75" customHeight="1"/>
    <row r="45089" ht="15.75" customHeight="1"/>
    <row r="45090" ht="15.75" customHeight="1"/>
    <row r="45091" ht="15.75" customHeight="1"/>
    <row r="45092" ht="15.75" customHeight="1"/>
    <row r="45093" ht="15.75" customHeight="1"/>
    <row r="45094" ht="15.75" customHeight="1"/>
    <row r="45095" ht="15.75" customHeight="1"/>
    <row r="45096" ht="15.75" customHeight="1"/>
    <row r="45097" ht="15.75" customHeight="1"/>
    <row r="45098" ht="15.75" customHeight="1"/>
    <row r="45099" ht="15.75" customHeight="1"/>
    <row r="45100" ht="15.75" customHeight="1"/>
    <row r="45101" ht="15.75" customHeight="1"/>
    <row r="45102" ht="15.75" customHeight="1"/>
    <row r="45103" ht="15.75" customHeight="1"/>
    <row r="45104" ht="15.75" customHeight="1"/>
    <row r="45105" ht="15.75" customHeight="1"/>
    <row r="45106" ht="15.75" customHeight="1"/>
    <row r="45107" ht="15.75" customHeight="1"/>
    <row r="45108" ht="15.75" customHeight="1"/>
    <row r="45109" ht="15.75" customHeight="1"/>
    <row r="45110" ht="15.75" customHeight="1"/>
    <row r="45111" ht="15.75" customHeight="1"/>
    <row r="45112" ht="15.75" customHeight="1"/>
    <row r="45113" ht="15.75" customHeight="1"/>
    <row r="45114" ht="15.75" customHeight="1"/>
    <row r="45115" ht="15.75" customHeight="1"/>
    <row r="45116" ht="15.75" customHeight="1"/>
    <row r="45117" ht="15.75" customHeight="1"/>
    <row r="45118" ht="15.75" customHeight="1"/>
    <row r="45119" ht="15.75" customHeight="1"/>
    <row r="45120" ht="15.75" customHeight="1"/>
    <row r="45121" ht="15.75" customHeight="1"/>
    <row r="45122" ht="15.75" customHeight="1"/>
    <row r="45123" ht="15.75" customHeight="1"/>
    <row r="45124" ht="15.75" customHeight="1"/>
    <row r="45125" ht="15.75" customHeight="1"/>
    <row r="45126" ht="15.75" customHeight="1"/>
    <row r="45127" ht="15.75" customHeight="1"/>
    <row r="45128" ht="15.75" customHeight="1"/>
    <row r="45129" ht="15.75" customHeight="1"/>
    <row r="45130" ht="15.75" customHeight="1"/>
    <row r="45131" ht="15.75" customHeight="1"/>
    <row r="45132" ht="15.75" customHeight="1"/>
    <row r="45133" ht="15.75" customHeight="1"/>
    <row r="45134" ht="15.75" customHeight="1"/>
    <row r="45135" ht="15.75" customHeight="1"/>
    <row r="45136" ht="15.75" customHeight="1"/>
    <row r="45137" ht="15.75" customHeight="1"/>
    <row r="45138" ht="15.75" customHeight="1"/>
    <row r="45139" ht="15.75" customHeight="1"/>
    <row r="45140" ht="15.75" customHeight="1"/>
    <row r="45141" ht="15.75" customHeight="1"/>
    <row r="45142" ht="15.75" customHeight="1"/>
    <row r="45143" ht="15.75" customHeight="1"/>
    <row r="45144" ht="15.75" customHeight="1"/>
    <row r="45145" ht="15.75" customHeight="1"/>
    <row r="45146" ht="15.75" customHeight="1"/>
    <row r="45147" ht="15.75" customHeight="1"/>
    <row r="45148" ht="15.75" customHeight="1"/>
    <row r="45149" ht="15.75" customHeight="1"/>
    <row r="45150" ht="15.75" customHeight="1"/>
    <row r="45151" ht="15.75" customHeight="1"/>
    <row r="45152" ht="15.75" customHeight="1"/>
    <row r="45153" ht="15.75" customHeight="1"/>
    <row r="45154" ht="15.75" customHeight="1"/>
    <row r="45155" ht="15.75" customHeight="1"/>
    <row r="45156" ht="15.75" customHeight="1"/>
    <row r="45157" ht="15.75" customHeight="1"/>
    <row r="45158" ht="15.75" customHeight="1"/>
    <row r="45159" ht="15.75" customHeight="1"/>
    <row r="45160" ht="15.75" customHeight="1"/>
    <row r="45161" ht="15.75" customHeight="1"/>
    <row r="45162" ht="15.75" customHeight="1"/>
    <row r="45163" ht="15.75" customHeight="1"/>
    <row r="45164" ht="15.75" customHeight="1"/>
    <row r="45165" ht="15.75" customHeight="1"/>
    <row r="45166" ht="15.75" customHeight="1"/>
    <row r="45167" ht="15.75" customHeight="1"/>
    <row r="45168" ht="15.75" customHeight="1"/>
    <row r="45169" ht="15.75" customHeight="1"/>
    <row r="45170" ht="15.75" customHeight="1"/>
    <row r="45171" ht="15.75" customHeight="1"/>
    <row r="45172" ht="15.75" customHeight="1"/>
    <row r="45173" ht="15.75" customHeight="1"/>
    <row r="45174" ht="15.75" customHeight="1"/>
    <row r="45175" ht="15.75" customHeight="1"/>
    <row r="45176" ht="15.75" customHeight="1"/>
    <row r="45177" ht="15.75" customHeight="1"/>
    <row r="45178" ht="15.75" customHeight="1"/>
    <row r="45179" ht="15.75" customHeight="1"/>
    <row r="45180" ht="15.75" customHeight="1"/>
    <row r="45181" ht="15.75" customHeight="1"/>
    <row r="45182" ht="15.75" customHeight="1"/>
    <row r="45183" ht="15.75" customHeight="1"/>
    <row r="45184" ht="15.75" customHeight="1"/>
    <row r="45185" ht="15.75" customHeight="1"/>
    <row r="45186" ht="15.75" customHeight="1"/>
    <row r="45187" ht="15.75" customHeight="1"/>
    <row r="45188" ht="15.75" customHeight="1"/>
    <row r="45189" ht="15.75" customHeight="1"/>
    <row r="45190" ht="15.75" customHeight="1"/>
    <row r="45191" ht="15.75" customHeight="1"/>
    <row r="45192" ht="15.75" customHeight="1"/>
    <row r="45193" ht="15.75" customHeight="1"/>
    <row r="45194" ht="15.75" customHeight="1"/>
    <row r="45195" ht="15.75" customHeight="1"/>
    <row r="45196" ht="15.75" customHeight="1"/>
    <row r="45197" ht="15.75" customHeight="1"/>
    <row r="45198" ht="15.75" customHeight="1"/>
    <row r="45199" ht="15.75" customHeight="1"/>
    <row r="45200" ht="15.75" customHeight="1"/>
    <row r="45201" ht="15.75" customHeight="1"/>
    <row r="45202" ht="15.75" customHeight="1"/>
    <row r="45203" ht="15.75" customHeight="1"/>
    <row r="45204" ht="15.75" customHeight="1"/>
    <row r="45205" ht="15.75" customHeight="1"/>
    <row r="45206" ht="15.75" customHeight="1"/>
    <row r="45207" ht="15.75" customHeight="1"/>
    <row r="45208" ht="15.75" customHeight="1"/>
    <row r="45209" ht="15.75" customHeight="1"/>
    <row r="45210" ht="15.75" customHeight="1"/>
    <row r="45211" ht="15.75" customHeight="1"/>
    <row r="45212" ht="15.75" customHeight="1"/>
    <row r="45213" ht="15.75" customHeight="1"/>
    <row r="45214" ht="15.75" customHeight="1"/>
    <row r="45215" ht="15.75" customHeight="1"/>
    <row r="45216" ht="15.75" customHeight="1"/>
    <row r="45217" ht="15.75" customHeight="1"/>
    <row r="45218" ht="15.75" customHeight="1"/>
    <row r="45219" ht="15.75" customHeight="1"/>
    <row r="45220" ht="15.75" customHeight="1"/>
    <row r="45221" ht="15.75" customHeight="1"/>
    <row r="45222" ht="15.75" customHeight="1"/>
    <row r="45223" ht="15.75" customHeight="1"/>
    <row r="45224" ht="15.75" customHeight="1"/>
    <row r="45225" ht="15.75" customHeight="1"/>
    <row r="45226" ht="15.75" customHeight="1"/>
    <row r="45227" ht="15.75" customHeight="1"/>
    <row r="45228" ht="15.75" customHeight="1"/>
    <row r="45229" ht="15.75" customHeight="1"/>
    <row r="45230" ht="15.75" customHeight="1"/>
    <row r="45231" ht="15.75" customHeight="1"/>
    <row r="45232" ht="15.75" customHeight="1"/>
    <row r="45233" ht="15.75" customHeight="1"/>
    <row r="45234" ht="15.75" customHeight="1"/>
    <row r="45235" ht="15.75" customHeight="1"/>
    <row r="45236" ht="15.75" customHeight="1"/>
    <row r="45237" ht="15.75" customHeight="1"/>
    <row r="45238" ht="15.75" customHeight="1"/>
    <row r="45239" ht="15.75" customHeight="1"/>
    <row r="45240" ht="15.75" customHeight="1"/>
    <row r="45241" ht="15.75" customHeight="1"/>
    <row r="45242" ht="15.75" customHeight="1"/>
    <row r="45243" ht="15.75" customHeight="1"/>
    <row r="45244" ht="15.75" customHeight="1"/>
    <row r="45245" ht="15.75" customHeight="1"/>
    <row r="45246" ht="15.75" customHeight="1"/>
    <row r="45247" ht="15.75" customHeight="1"/>
    <row r="45248" ht="15.75" customHeight="1"/>
    <row r="45249" ht="15.75" customHeight="1"/>
    <row r="45250" ht="15.75" customHeight="1"/>
    <row r="45251" ht="15.75" customHeight="1"/>
    <row r="45252" ht="15.75" customHeight="1"/>
    <row r="45253" ht="15.75" customHeight="1"/>
    <row r="45254" ht="15.75" customHeight="1"/>
    <row r="45255" ht="15.75" customHeight="1"/>
    <row r="45256" ht="15.75" customHeight="1"/>
    <row r="45257" ht="15.75" customHeight="1"/>
    <row r="45258" ht="15.75" customHeight="1"/>
    <row r="45259" ht="15.75" customHeight="1"/>
    <row r="45260" ht="15.75" customHeight="1"/>
    <row r="45261" ht="15.75" customHeight="1"/>
    <row r="45262" ht="15.75" customHeight="1"/>
    <row r="45263" ht="15.75" customHeight="1"/>
    <row r="45264" ht="15.75" customHeight="1"/>
    <row r="45265" ht="15.75" customHeight="1"/>
    <row r="45266" ht="15.75" customHeight="1"/>
    <row r="45267" ht="15.75" customHeight="1"/>
    <row r="45268" ht="15.75" customHeight="1"/>
    <row r="45269" ht="15.75" customHeight="1"/>
    <row r="45270" ht="15.75" customHeight="1"/>
    <row r="45271" ht="15.75" customHeight="1"/>
    <row r="45272" ht="15.75" customHeight="1"/>
    <row r="45273" ht="15.75" customHeight="1"/>
    <row r="45274" ht="15.75" customHeight="1"/>
    <row r="45275" ht="15.75" customHeight="1"/>
    <row r="45276" ht="15.75" customHeight="1"/>
    <row r="45277" ht="15.75" customHeight="1"/>
    <row r="45278" ht="15.75" customHeight="1"/>
    <row r="45279" ht="15.75" customHeight="1"/>
    <row r="45280" ht="15.75" customHeight="1"/>
    <row r="45281" ht="15.75" customHeight="1"/>
    <row r="45282" ht="15.75" customHeight="1"/>
    <row r="45283" ht="15.75" customHeight="1"/>
    <row r="45284" ht="15.75" customHeight="1"/>
    <row r="45285" ht="15.75" customHeight="1"/>
    <row r="45286" ht="15.75" customHeight="1"/>
    <row r="45287" ht="15.75" customHeight="1"/>
    <row r="45288" ht="15.75" customHeight="1"/>
    <row r="45289" ht="15.75" customHeight="1"/>
    <row r="45290" ht="15.75" customHeight="1"/>
    <row r="45291" ht="15.75" customHeight="1"/>
    <row r="45292" ht="15.75" customHeight="1"/>
    <row r="45293" ht="15.75" customHeight="1"/>
    <row r="45294" ht="15.75" customHeight="1"/>
    <row r="45295" ht="15.75" customHeight="1"/>
    <row r="45296" ht="15.75" customHeight="1"/>
    <row r="45297" ht="15.75" customHeight="1"/>
    <row r="45298" ht="15.75" customHeight="1"/>
    <row r="45299" ht="15.75" customHeight="1"/>
    <row r="45300" ht="15.75" customHeight="1"/>
    <row r="45301" ht="15.75" customHeight="1"/>
    <row r="45302" ht="15.75" customHeight="1"/>
    <row r="45303" ht="15.75" customHeight="1"/>
    <row r="45304" ht="15.75" customHeight="1"/>
    <row r="45305" ht="15.75" customHeight="1"/>
    <row r="45306" ht="15.75" customHeight="1"/>
    <row r="45307" ht="15.75" customHeight="1"/>
    <row r="45308" ht="15.75" customHeight="1"/>
    <row r="45309" ht="15.75" customHeight="1"/>
    <row r="45310" ht="15.75" customHeight="1"/>
    <row r="45311" ht="15.75" customHeight="1"/>
    <row r="45312" ht="15.75" customHeight="1"/>
    <row r="45313" ht="15.75" customHeight="1"/>
    <row r="45314" ht="15.75" customHeight="1"/>
    <row r="45315" ht="15.75" customHeight="1"/>
    <row r="45316" ht="15.75" customHeight="1"/>
    <row r="45317" ht="15.75" customHeight="1"/>
    <row r="45318" ht="15.75" customHeight="1"/>
    <row r="45319" ht="15.75" customHeight="1"/>
    <row r="45320" ht="15.75" customHeight="1"/>
    <row r="45321" ht="15.75" customHeight="1"/>
    <row r="45322" ht="15.75" customHeight="1"/>
    <row r="45323" ht="15.75" customHeight="1"/>
    <row r="45324" ht="15.75" customHeight="1"/>
    <row r="45325" ht="15.75" customHeight="1"/>
    <row r="45326" ht="15.75" customHeight="1"/>
    <row r="45327" ht="15.75" customHeight="1"/>
    <row r="45328" ht="15.75" customHeight="1"/>
    <row r="45329" ht="15.75" customHeight="1"/>
    <row r="45330" ht="15.75" customHeight="1"/>
    <row r="45331" ht="15.75" customHeight="1"/>
    <row r="45332" ht="15.75" customHeight="1"/>
    <row r="45333" ht="15.75" customHeight="1"/>
    <row r="45334" ht="15.75" customHeight="1"/>
    <row r="45335" ht="15.75" customHeight="1"/>
    <row r="45336" ht="15.75" customHeight="1"/>
    <row r="45337" ht="15.75" customHeight="1"/>
    <row r="45338" ht="15.75" customHeight="1"/>
    <row r="45339" ht="15.75" customHeight="1"/>
    <row r="45340" ht="15.75" customHeight="1"/>
    <row r="45341" ht="15.75" customHeight="1"/>
    <row r="45342" ht="15.75" customHeight="1"/>
    <row r="45343" ht="15.75" customHeight="1"/>
    <row r="45344" ht="15.75" customHeight="1"/>
    <row r="45345" ht="15.75" customHeight="1"/>
    <row r="45346" ht="15.75" customHeight="1"/>
    <row r="45347" ht="15.75" customHeight="1"/>
    <row r="45348" ht="15.75" customHeight="1"/>
    <row r="45349" ht="15.75" customHeight="1"/>
    <row r="45350" ht="15.75" customHeight="1"/>
    <row r="45351" ht="15.75" customHeight="1"/>
    <row r="45352" ht="15.75" customHeight="1"/>
    <row r="45353" ht="15.75" customHeight="1"/>
    <row r="45354" ht="15.75" customHeight="1"/>
    <row r="45355" ht="15.75" customHeight="1"/>
    <row r="45356" ht="15.75" customHeight="1"/>
    <row r="45357" ht="15.75" customHeight="1"/>
    <row r="45358" ht="15.75" customHeight="1"/>
    <row r="45359" ht="15.75" customHeight="1"/>
    <row r="45360" ht="15.75" customHeight="1"/>
    <row r="45361" ht="15.75" customHeight="1"/>
    <row r="45362" ht="15.75" customHeight="1"/>
    <row r="45363" ht="15.75" customHeight="1"/>
    <row r="45364" ht="15.75" customHeight="1"/>
    <row r="45365" ht="15.75" customHeight="1"/>
    <row r="45366" ht="15.75" customHeight="1"/>
    <row r="45367" ht="15.75" customHeight="1"/>
    <row r="45368" ht="15.75" customHeight="1"/>
    <row r="45369" ht="15.75" customHeight="1"/>
    <row r="45370" ht="15.75" customHeight="1"/>
    <row r="45371" ht="15.75" customHeight="1"/>
    <row r="45372" ht="15.75" customHeight="1"/>
    <row r="45373" ht="15.75" customHeight="1"/>
    <row r="45374" ht="15.75" customHeight="1"/>
    <row r="45375" ht="15.75" customHeight="1"/>
    <row r="45376" ht="15.75" customHeight="1"/>
    <row r="45377" ht="15.75" customHeight="1"/>
    <row r="45378" ht="15.75" customHeight="1"/>
    <row r="45379" ht="15.75" customHeight="1"/>
    <row r="45380" ht="15.75" customHeight="1"/>
    <row r="45381" ht="15.75" customHeight="1"/>
    <row r="45382" ht="15.75" customHeight="1"/>
    <row r="45383" ht="15.75" customHeight="1"/>
    <row r="45384" ht="15.75" customHeight="1"/>
    <row r="45385" ht="15.75" customHeight="1"/>
    <row r="45386" ht="15.75" customHeight="1"/>
    <row r="45387" ht="15.75" customHeight="1"/>
    <row r="45388" ht="15.75" customHeight="1"/>
    <row r="45389" ht="15.75" customHeight="1"/>
    <row r="45390" ht="15.75" customHeight="1"/>
    <row r="45391" ht="15.75" customHeight="1"/>
    <row r="45392" ht="15.75" customHeight="1"/>
    <row r="45393" ht="15.75" customHeight="1"/>
    <row r="45394" ht="15.75" customHeight="1"/>
    <row r="45395" ht="15.75" customHeight="1"/>
    <row r="45396" ht="15.75" customHeight="1"/>
    <row r="45397" ht="15.75" customHeight="1"/>
    <row r="45398" ht="15.75" customHeight="1"/>
    <row r="45399" ht="15.75" customHeight="1"/>
    <row r="45400" ht="15.75" customHeight="1"/>
    <row r="45401" ht="15.75" customHeight="1"/>
    <row r="45402" ht="15.75" customHeight="1"/>
    <row r="45403" ht="15.75" customHeight="1"/>
    <row r="45404" ht="15.75" customHeight="1"/>
    <row r="45405" ht="15.75" customHeight="1"/>
    <row r="45406" ht="15.75" customHeight="1"/>
    <row r="45407" ht="15.75" customHeight="1"/>
    <row r="45408" ht="15.75" customHeight="1"/>
    <row r="45409" ht="15.75" customHeight="1"/>
    <row r="45410" ht="15.75" customHeight="1"/>
    <row r="45411" ht="15.75" customHeight="1"/>
    <row r="45412" ht="15.75" customHeight="1"/>
    <row r="45413" ht="15.75" customHeight="1"/>
    <row r="45414" ht="15.75" customHeight="1"/>
    <row r="45415" ht="15.75" customHeight="1"/>
    <row r="45416" ht="15.75" customHeight="1"/>
    <row r="45417" ht="15.75" customHeight="1"/>
    <row r="45418" ht="15.75" customHeight="1"/>
    <row r="45419" ht="15.75" customHeight="1"/>
    <row r="45420" ht="15.75" customHeight="1"/>
    <row r="45421" ht="15.75" customHeight="1"/>
    <row r="45422" ht="15.75" customHeight="1"/>
    <row r="45423" ht="15.75" customHeight="1"/>
    <row r="45424" ht="15.75" customHeight="1"/>
    <row r="45425" ht="15.75" customHeight="1"/>
    <row r="45426" ht="15.75" customHeight="1"/>
    <row r="45427" ht="15.75" customHeight="1"/>
    <row r="45428" ht="15.75" customHeight="1"/>
    <row r="45429" ht="15.75" customHeight="1"/>
    <row r="45430" ht="15.75" customHeight="1"/>
    <row r="45431" ht="15.75" customHeight="1"/>
    <row r="45432" ht="15.75" customHeight="1"/>
    <row r="45433" ht="15.75" customHeight="1"/>
    <row r="45434" ht="15.75" customHeight="1"/>
    <row r="45435" ht="15.75" customHeight="1"/>
    <row r="45436" ht="15.75" customHeight="1"/>
    <row r="45437" ht="15.75" customHeight="1"/>
    <row r="45438" ht="15.75" customHeight="1"/>
    <row r="45439" ht="15.75" customHeight="1"/>
    <row r="45440" ht="15.75" customHeight="1"/>
    <row r="45441" ht="15.75" customHeight="1"/>
    <row r="45442" ht="15.75" customHeight="1"/>
    <row r="45443" ht="15.75" customHeight="1"/>
    <row r="45444" ht="15.75" customHeight="1"/>
    <row r="45445" ht="15.75" customHeight="1"/>
    <row r="45446" ht="15.75" customHeight="1"/>
    <row r="45447" ht="15.75" customHeight="1"/>
    <row r="45448" ht="15.75" customHeight="1"/>
    <row r="45449" ht="15.75" customHeight="1"/>
    <row r="45450" ht="15.75" customHeight="1"/>
    <row r="45451" ht="15.75" customHeight="1"/>
    <row r="45452" ht="15.75" customHeight="1"/>
    <row r="45453" ht="15.75" customHeight="1"/>
    <row r="45454" ht="15.75" customHeight="1"/>
    <row r="45455" ht="15.75" customHeight="1"/>
    <row r="45456" ht="15.75" customHeight="1"/>
    <row r="45457" ht="15.75" customHeight="1"/>
    <row r="45458" ht="15.75" customHeight="1"/>
    <row r="45459" ht="15.75" customHeight="1"/>
    <row r="45460" ht="15.75" customHeight="1"/>
    <row r="45461" ht="15.75" customHeight="1"/>
    <row r="45462" ht="15.75" customHeight="1"/>
    <row r="45463" ht="15.75" customHeight="1"/>
    <row r="45464" ht="15.75" customHeight="1"/>
    <row r="45465" ht="15.75" customHeight="1"/>
    <row r="45466" ht="15.75" customHeight="1"/>
    <row r="45467" ht="15.75" customHeight="1"/>
    <row r="45468" ht="15.75" customHeight="1"/>
    <row r="45469" ht="15.75" customHeight="1"/>
    <row r="45470" ht="15.75" customHeight="1"/>
    <row r="45471" ht="15.75" customHeight="1"/>
    <row r="45472" ht="15.75" customHeight="1"/>
    <row r="45473" ht="15.75" customHeight="1"/>
    <row r="45474" ht="15.75" customHeight="1"/>
    <row r="45475" ht="15.75" customHeight="1"/>
    <row r="45476" ht="15.75" customHeight="1"/>
    <row r="45477" ht="15.75" customHeight="1"/>
    <row r="45478" ht="15.75" customHeight="1"/>
    <row r="45479" ht="15.75" customHeight="1"/>
    <row r="45480" ht="15.75" customHeight="1"/>
    <row r="45481" ht="15.75" customHeight="1"/>
    <row r="45482" ht="15.75" customHeight="1"/>
    <row r="45483" ht="15.75" customHeight="1"/>
    <row r="45484" ht="15.75" customHeight="1"/>
    <row r="45485" ht="15.75" customHeight="1"/>
    <row r="45486" ht="15.75" customHeight="1"/>
    <row r="45487" ht="15.75" customHeight="1"/>
    <row r="45488" ht="15.75" customHeight="1"/>
    <row r="45489" ht="15.75" customHeight="1"/>
    <row r="45490" ht="15.75" customHeight="1"/>
    <row r="45491" ht="15.75" customHeight="1"/>
    <row r="45492" ht="15.75" customHeight="1"/>
    <row r="45493" ht="15.75" customHeight="1"/>
    <row r="45494" ht="15.75" customHeight="1"/>
    <row r="45495" ht="15.75" customHeight="1"/>
    <row r="45496" ht="15.75" customHeight="1"/>
    <row r="45497" ht="15.75" customHeight="1"/>
    <row r="45498" ht="15.75" customHeight="1"/>
    <row r="45499" ht="15.75" customHeight="1"/>
    <row r="45500" ht="15.75" customHeight="1"/>
    <row r="45501" ht="15.75" customHeight="1"/>
    <row r="45502" ht="15.75" customHeight="1"/>
    <row r="45503" ht="15.75" customHeight="1"/>
    <row r="45504" ht="15.75" customHeight="1"/>
    <row r="45505" ht="15.75" customHeight="1"/>
    <row r="45506" ht="15.75" customHeight="1"/>
    <row r="45507" ht="15.75" customHeight="1"/>
    <row r="45508" ht="15.75" customHeight="1"/>
    <row r="45509" ht="15.75" customHeight="1"/>
    <row r="45510" ht="15.75" customHeight="1"/>
    <row r="45511" ht="15.75" customHeight="1"/>
    <row r="45512" ht="15.75" customHeight="1"/>
    <row r="45513" ht="15.75" customHeight="1"/>
    <row r="45514" ht="15.75" customHeight="1"/>
    <row r="45515" ht="15.75" customHeight="1"/>
    <row r="45516" ht="15.75" customHeight="1"/>
    <row r="45517" ht="15.75" customHeight="1"/>
    <row r="45518" ht="15.75" customHeight="1"/>
    <row r="45519" ht="15.75" customHeight="1"/>
    <row r="45520" ht="15.75" customHeight="1"/>
    <row r="45521" ht="15.75" customHeight="1"/>
    <row r="45522" ht="15.75" customHeight="1"/>
    <row r="45523" ht="15.75" customHeight="1"/>
    <row r="45524" ht="15.75" customHeight="1"/>
    <row r="45525" ht="15.75" customHeight="1"/>
    <row r="45526" ht="15.75" customHeight="1"/>
    <row r="45527" ht="15.75" customHeight="1"/>
    <row r="45528" ht="15.75" customHeight="1"/>
    <row r="45529" ht="15.75" customHeight="1"/>
    <row r="45530" ht="15.75" customHeight="1"/>
    <row r="45531" ht="15.75" customHeight="1"/>
    <row r="45532" ht="15.75" customHeight="1"/>
    <row r="45533" ht="15.75" customHeight="1"/>
    <row r="45534" ht="15.75" customHeight="1"/>
    <row r="45535" ht="15.75" customHeight="1"/>
    <row r="45536" ht="15.75" customHeight="1"/>
    <row r="45537" ht="15.75" customHeight="1"/>
    <row r="45538" ht="15.75" customHeight="1"/>
    <row r="45539" ht="15.75" customHeight="1"/>
    <row r="45540" ht="15.75" customHeight="1"/>
    <row r="45541" ht="15.75" customHeight="1"/>
    <row r="45542" ht="15.75" customHeight="1"/>
    <row r="45543" ht="15.75" customHeight="1"/>
    <row r="45544" ht="15.75" customHeight="1"/>
    <row r="45545" ht="15.75" customHeight="1"/>
    <row r="45546" ht="15.75" customHeight="1"/>
    <row r="45547" ht="15.75" customHeight="1"/>
    <row r="45548" ht="15.75" customHeight="1"/>
    <row r="45549" ht="15.75" customHeight="1"/>
    <row r="45550" ht="15.75" customHeight="1"/>
    <row r="45551" ht="15.75" customHeight="1"/>
    <row r="45552" ht="15.75" customHeight="1"/>
    <row r="45553" ht="15.75" customHeight="1"/>
    <row r="45554" ht="15.75" customHeight="1"/>
    <row r="45555" ht="15.75" customHeight="1"/>
    <row r="45556" ht="15.75" customHeight="1"/>
    <row r="45557" ht="15.75" customHeight="1"/>
    <row r="45558" ht="15.75" customHeight="1"/>
    <row r="45559" ht="15.75" customHeight="1"/>
    <row r="45560" ht="15.75" customHeight="1"/>
    <row r="45561" ht="15.75" customHeight="1"/>
    <row r="45562" ht="15.75" customHeight="1"/>
    <row r="45563" ht="15.75" customHeight="1"/>
    <row r="45564" ht="15.75" customHeight="1"/>
    <row r="45565" ht="15.75" customHeight="1"/>
    <row r="45566" ht="15.75" customHeight="1"/>
    <row r="45567" ht="15.75" customHeight="1"/>
    <row r="45568" ht="15.75" customHeight="1"/>
    <row r="45569" ht="15.75" customHeight="1"/>
    <row r="45570" ht="15.75" customHeight="1"/>
    <row r="45571" ht="15.75" customHeight="1"/>
    <row r="45572" ht="15.75" customHeight="1"/>
    <row r="45573" ht="15.75" customHeight="1"/>
    <row r="45574" ht="15.75" customHeight="1"/>
    <row r="45575" ht="15.75" customHeight="1"/>
    <row r="45576" ht="15.75" customHeight="1"/>
    <row r="45577" ht="15.75" customHeight="1"/>
    <row r="45578" ht="15.75" customHeight="1"/>
    <row r="45579" ht="15.75" customHeight="1"/>
    <row r="45580" ht="15.75" customHeight="1"/>
    <row r="45581" ht="15.75" customHeight="1"/>
    <row r="45582" ht="15.75" customHeight="1"/>
    <row r="45583" ht="15.75" customHeight="1"/>
    <row r="45584" ht="15.75" customHeight="1"/>
    <row r="45585" ht="15.75" customHeight="1"/>
    <row r="45586" ht="15.75" customHeight="1"/>
    <row r="45587" ht="15.75" customHeight="1"/>
    <row r="45588" ht="15.75" customHeight="1"/>
    <row r="45589" ht="15.75" customHeight="1"/>
    <row r="45590" ht="15.75" customHeight="1"/>
    <row r="45591" ht="15.75" customHeight="1"/>
    <row r="45592" ht="15.75" customHeight="1"/>
    <row r="45593" ht="15.75" customHeight="1"/>
    <row r="45594" ht="15.75" customHeight="1"/>
    <row r="45595" ht="15.75" customHeight="1"/>
    <row r="45596" ht="15.75" customHeight="1"/>
    <row r="45597" ht="15.75" customHeight="1"/>
    <row r="45598" ht="15.75" customHeight="1"/>
    <row r="45599" ht="15.75" customHeight="1"/>
    <row r="45600" ht="15.75" customHeight="1"/>
    <row r="45601" ht="15.75" customHeight="1"/>
    <row r="45602" ht="15.75" customHeight="1"/>
    <row r="45603" ht="15.75" customHeight="1"/>
    <row r="45604" ht="15.75" customHeight="1"/>
    <row r="45605" ht="15.75" customHeight="1"/>
    <row r="45606" ht="15.75" customHeight="1"/>
    <row r="45607" ht="15.75" customHeight="1"/>
    <row r="45608" ht="15.75" customHeight="1"/>
    <row r="45609" ht="15.75" customHeight="1"/>
    <row r="45610" ht="15.75" customHeight="1"/>
    <row r="45611" ht="15.75" customHeight="1"/>
    <row r="45612" ht="15.75" customHeight="1"/>
    <row r="45613" ht="15.75" customHeight="1"/>
    <row r="45614" ht="15.75" customHeight="1"/>
    <row r="45615" ht="15.75" customHeight="1"/>
    <row r="45616" ht="15.75" customHeight="1"/>
    <row r="45617" ht="15.75" customHeight="1"/>
    <row r="45618" ht="15.75" customHeight="1"/>
    <row r="45619" ht="15.75" customHeight="1"/>
    <row r="45620" ht="15.75" customHeight="1"/>
    <row r="45621" ht="15.75" customHeight="1"/>
    <row r="45622" ht="15.75" customHeight="1"/>
    <row r="45623" ht="15.75" customHeight="1"/>
    <row r="45624" ht="15.75" customHeight="1"/>
    <row r="45625" ht="15.75" customHeight="1"/>
    <row r="45626" ht="15.75" customHeight="1"/>
    <row r="45627" ht="15.75" customHeight="1"/>
    <row r="45628" ht="15.75" customHeight="1"/>
    <row r="45629" ht="15.75" customHeight="1"/>
    <row r="45630" ht="15.75" customHeight="1"/>
    <row r="45631" ht="15.75" customHeight="1"/>
    <row r="45632" ht="15.75" customHeight="1"/>
    <row r="45633" ht="15.75" customHeight="1"/>
    <row r="45634" ht="15.75" customHeight="1"/>
    <row r="45635" ht="15.75" customHeight="1"/>
    <row r="45636" ht="15.75" customHeight="1"/>
    <row r="45637" ht="15.75" customHeight="1"/>
    <row r="45638" ht="15.75" customHeight="1"/>
    <row r="45639" ht="15.75" customHeight="1"/>
    <row r="45640" ht="15.75" customHeight="1"/>
    <row r="45641" ht="15.75" customHeight="1"/>
    <row r="45642" ht="15.75" customHeight="1"/>
    <row r="45643" ht="15.75" customHeight="1"/>
    <row r="45644" ht="15.75" customHeight="1"/>
    <row r="45645" ht="15.75" customHeight="1"/>
    <row r="45646" ht="15.75" customHeight="1"/>
    <row r="45647" ht="15.75" customHeight="1"/>
    <row r="45648" ht="15.75" customHeight="1"/>
    <row r="45649" ht="15.75" customHeight="1"/>
    <row r="45650" ht="15.75" customHeight="1"/>
    <row r="45651" ht="15.75" customHeight="1"/>
    <row r="45652" ht="15.75" customHeight="1"/>
    <row r="45653" ht="15.75" customHeight="1"/>
    <row r="45654" ht="15.75" customHeight="1"/>
    <row r="45655" ht="15.75" customHeight="1"/>
    <row r="45656" ht="15.75" customHeight="1"/>
    <row r="45657" ht="15.75" customHeight="1"/>
    <row r="45658" ht="15.75" customHeight="1"/>
    <row r="45659" ht="15.75" customHeight="1"/>
    <row r="45660" ht="15.75" customHeight="1"/>
    <row r="45661" ht="15.75" customHeight="1"/>
    <row r="45662" ht="15.75" customHeight="1"/>
    <row r="45663" ht="15.75" customHeight="1"/>
    <row r="45664" ht="15.75" customHeight="1"/>
    <row r="45665" ht="15.75" customHeight="1"/>
    <row r="45666" ht="15.75" customHeight="1"/>
    <row r="45667" ht="15.75" customHeight="1"/>
    <row r="45668" ht="15.75" customHeight="1"/>
    <row r="45669" ht="15.75" customHeight="1"/>
    <row r="45670" ht="15.75" customHeight="1"/>
    <row r="45671" ht="15.75" customHeight="1"/>
    <row r="45672" ht="15.75" customHeight="1"/>
    <row r="45673" ht="15.75" customHeight="1"/>
    <row r="45674" ht="15.75" customHeight="1"/>
    <row r="45675" ht="15.75" customHeight="1"/>
    <row r="45676" ht="15.75" customHeight="1"/>
    <row r="45677" ht="15.75" customHeight="1"/>
    <row r="45678" ht="15.75" customHeight="1"/>
    <row r="45679" ht="15.75" customHeight="1"/>
    <row r="45680" ht="15.75" customHeight="1"/>
    <row r="45681" ht="15.75" customHeight="1"/>
    <row r="45682" ht="15.75" customHeight="1"/>
    <row r="45683" ht="15.75" customHeight="1"/>
    <row r="45684" ht="15.75" customHeight="1"/>
    <row r="45685" ht="15.75" customHeight="1"/>
    <row r="45686" ht="15.75" customHeight="1"/>
    <row r="45687" ht="15.75" customHeight="1"/>
    <row r="45688" ht="15.75" customHeight="1"/>
    <row r="45689" ht="15.75" customHeight="1"/>
    <row r="45690" ht="15.75" customHeight="1"/>
    <row r="45691" ht="15.75" customHeight="1"/>
    <row r="45692" ht="15.75" customHeight="1"/>
    <row r="45693" ht="15.75" customHeight="1"/>
    <row r="45694" ht="15.75" customHeight="1"/>
    <row r="45695" ht="15.75" customHeight="1"/>
    <row r="45696" ht="15.75" customHeight="1"/>
    <row r="45697" ht="15.75" customHeight="1"/>
    <row r="45698" ht="15.75" customHeight="1"/>
    <row r="45699" ht="15.75" customHeight="1"/>
    <row r="45700" ht="15.75" customHeight="1"/>
    <row r="45701" ht="15.75" customHeight="1"/>
    <row r="45702" ht="15.75" customHeight="1"/>
    <row r="45703" ht="15.75" customHeight="1"/>
    <row r="45704" ht="15.75" customHeight="1"/>
    <row r="45705" ht="15.75" customHeight="1"/>
    <row r="45706" ht="15.75" customHeight="1"/>
    <row r="45707" ht="15.75" customHeight="1"/>
    <row r="45708" ht="15.75" customHeight="1"/>
    <row r="45709" ht="15.75" customHeight="1"/>
    <row r="45710" ht="15.75" customHeight="1"/>
    <row r="45711" ht="15.75" customHeight="1"/>
    <row r="45712" ht="15.75" customHeight="1"/>
    <row r="45713" ht="15.75" customHeight="1"/>
    <row r="45714" ht="15.75" customHeight="1"/>
    <row r="45715" ht="15.75" customHeight="1"/>
    <row r="45716" ht="15.75" customHeight="1"/>
    <row r="45717" ht="15.75" customHeight="1"/>
    <row r="45718" ht="15.75" customHeight="1"/>
    <row r="45719" ht="15.75" customHeight="1"/>
    <row r="45720" ht="15.75" customHeight="1"/>
    <row r="45721" ht="15.75" customHeight="1"/>
    <row r="45722" ht="15.75" customHeight="1"/>
    <row r="45723" ht="15.75" customHeight="1"/>
    <row r="45724" ht="15.75" customHeight="1"/>
    <row r="45725" ht="15.75" customHeight="1"/>
    <row r="45726" ht="15.75" customHeight="1"/>
    <row r="45727" ht="15.75" customHeight="1"/>
    <row r="45728" ht="15.75" customHeight="1"/>
    <row r="45729" ht="15.75" customHeight="1"/>
    <row r="45730" ht="15.75" customHeight="1"/>
    <row r="45731" ht="15.75" customHeight="1"/>
    <row r="45732" ht="15.75" customHeight="1"/>
    <row r="45733" ht="15.75" customHeight="1"/>
    <row r="45734" ht="15.75" customHeight="1"/>
    <row r="45735" ht="15.75" customHeight="1"/>
    <row r="45736" ht="15.75" customHeight="1"/>
    <row r="45737" ht="15.75" customHeight="1"/>
    <row r="45738" ht="15.75" customHeight="1"/>
    <row r="45739" ht="15.75" customHeight="1"/>
    <row r="45740" ht="15.75" customHeight="1"/>
    <row r="45741" ht="15.75" customHeight="1"/>
    <row r="45742" ht="15.75" customHeight="1"/>
    <row r="45743" ht="15.75" customHeight="1"/>
    <row r="45744" ht="15.75" customHeight="1"/>
    <row r="45745" ht="15.75" customHeight="1"/>
    <row r="45746" ht="15.75" customHeight="1"/>
    <row r="45747" ht="15.75" customHeight="1"/>
    <row r="45748" ht="15.75" customHeight="1"/>
    <row r="45749" ht="15.75" customHeight="1"/>
    <row r="45750" ht="15.75" customHeight="1"/>
    <row r="45751" ht="15.75" customHeight="1"/>
    <row r="45752" ht="15.75" customHeight="1"/>
    <row r="45753" ht="15.75" customHeight="1"/>
    <row r="45754" ht="15.75" customHeight="1"/>
    <row r="45755" ht="15.75" customHeight="1"/>
    <row r="45756" ht="15.75" customHeight="1"/>
    <row r="45757" ht="15.75" customHeight="1"/>
    <row r="45758" ht="15.75" customHeight="1"/>
    <row r="45759" ht="15.75" customHeight="1"/>
    <row r="45760" ht="15.75" customHeight="1"/>
    <row r="45761" ht="15.75" customHeight="1"/>
    <row r="45762" ht="15.75" customHeight="1"/>
    <row r="45763" ht="15.75" customHeight="1"/>
    <row r="45764" ht="15.75" customHeight="1"/>
    <row r="45765" ht="15.75" customHeight="1"/>
    <row r="45766" ht="15.75" customHeight="1"/>
    <row r="45767" ht="15.75" customHeight="1"/>
    <row r="45768" ht="15.75" customHeight="1"/>
    <row r="45769" ht="15.75" customHeight="1"/>
    <row r="45770" ht="15.75" customHeight="1"/>
    <row r="45771" ht="15.75" customHeight="1"/>
    <row r="45772" ht="15.75" customHeight="1"/>
    <row r="45773" ht="15.75" customHeight="1"/>
    <row r="45774" ht="15.75" customHeight="1"/>
    <row r="45775" ht="15.75" customHeight="1"/>
    <row r="45776" ht="15.75" customHeight="1"/>
    <row r="45777" ht="15.75" customHeight="1"/>
    <row r="45778" ht="15.75" customHeight="1"/>
    <row r="45779" ht="15.75" customHeight="1"/>
    <row r="45780" ht="15.75" customHeight="1"/>
    <row r="45781" ht="15.75" customHeight="1"/>
    <row r="45782" ht="15.75" customHeight="1"/>
    <row r="45783" ht="15.75" customHeight="1"/>
    <row r="45784" ht="15.75" customHeight="1"/>
    <row r="45785" ht="15.75" customHeight="1"/>
    <row r="45786" ht="15.75" customHeight="1"/>
    <row r="45787" ht="15.75" customHeight="1"/>
    <row r="45788" ht="15.75" customHeight="1"/>
    <row r="45789" ht="15.75" customHeight="1"/>
    <row r="45790" ht="15.75" customHeight="1"/>
    <row r="45791" ht="15.75" customHeight="1"/>
    <row r="45792" ht="15.75" customHeight="1"/>
    <row r="45793" ht="15.75" customHeight="1"/>
    <row r="45794" ht="15.75" customHeight="1"/>
    <row r="45795" ht="15.75" customHeight="1"/>
    <row r="45796" ht="15.75" customHeight="1"/>
    <row r="45797" ht="15.75" customHeight="1"/>
    <row r="45798" ht="15.75" customHeight="1"/>
    <row r="45799" ht="15.75" customHeight="1"/>
    <row r="45800" ht="15.75" customHeight="1"/>
    <row r="45801" ht="15.75" customHeight="1"/>
    <row r="45802" ht="15.75" customHeight="1"/>
    <row r="45803" ht="15.75" customHeight="1"/>
    <row r="45804" ht="15.75" customHeight="1"/>
    <row r="45805" ht="15.75" customHeight="1"/>
    <row r="45806" ht="15.75" customHeight="1"/>
    <row r="45807" ht="15.75" customHeight="1"/>
    <row r="45808" ht="15.75" customHeight="1"/>
    <row r="45809" ht="15.75" customHeight="1"/>
    <row r="45810" ht="15.75" customHeight="1"/>
    <row r="45811" ht="15.75" customHeight="1"/>
    <row r="45812" ht="15.75" customHeight="1"/>
    <row r="45813" ht="15.75" customHeight="1"/>
    <row r="45814" ht="15.75" customHeight="1"/>
    <row r="45815" ht="15.75" customHeight="1"/>
    <row r="45816" ht="15.75" customHeight="1"/>
    <row r="45817" ht="15.75" customHeight="1"/>
    <row r="45818" ht="15.75" customHeight="1"/>
    <row r="45819" ht="15.75" customHeight="1"/>
    <row r="45820" ht="15.75" customHeight="1"/>
    <row r="45821" ht="15.75" customHeight="1"/>
    <row r="45822" ht="15.75" customHeight="1"/>
    <row r="45823" ht="15.75" customHeight="1"/>
    <row r="45824" ht="15.75" customHeight="1"/>
    <row r="45825" ht="15.75" customHeight="1"/>
    <row r="45826" ht="15.75" customHeight="1"/>
    <row r="45827" ht="15.75" customHeight="1"/>
    <row r="45828" ht="15.75" customHeight="1"/>
    <row r="45829" ht="15.75" customHeight="1"/>
    <row r="45830" ht="15.75" customHeight="1"/>
    <row r="45831" ht="15.75" customHeight="1"/>
    <row r="45832" ht="15.75" customHeight="1"/>
    <row r="45833" ht="15.75" customHeight="1"/>
    <row r="45834" ht="15.75" customHeight="1"/>
    <row r="45835" ht="15.75" customHeight="1"/>
    <row r="45836" ht="15.75" customHeight="1"/>
    <row r="45837" ht="15.75" customHeight="1"/>
    <row r="45838" ht="15.75" customHeight="1"/>
    <row r="45839" ht="15.75" customHeight="1"/>
    <row r="45840" ht="15.75" customHeight="1"/>
    <row r="45841" ht="15.75" customHeight="1"/>
    <row r="45842" ht="15.75" customHeight="1"/>
    <row r="45843" ht="15.75" customHeight="1"/>
    <row r="45844" ht="15.75" customHeight="1"/>
    <row r="45845" ht="15.75" customHeight="1"/>
    <row r="45846" ht="15.75" customHeight="1"/>
    <row r="45847" ht="15.75" customHeight="1"/>
    <row r="45848" ht="15.75" customHeight="1"/>
    <row r="45849" ht="15.75" customHeight="1"/>
    <row r="45850" ht="15.75" customHeight="1"/>
    <row r="45851" ht="15.75" customHeight="1"/>
    <row r="45852" ht="15.75" customHeight="1"/>
    <row r="45853" ht="15.75" customHeight="1"/>
    <row r="45854" ht="15.75" customHeight="1"/>
    <row r="45855" ht="15.75" customHeight="1"/>
    <row r="45856" ht="15.75" customHeight="1"/>
    <row r="45857" ht="15.75" customHeight="1"/>
    <row r="45858" ht="15.75" customHeight="1"/>
    <row r="45859" ht="15.75" customHeight="1"/>
    <row r="45860" ht="15.75" customHeight="1"/>
    <row r="45861" ht="15.75" customHeight="1"/>
    <row r="45862" ht="15.75" customHeight="1"/>
    <row r="45863" ht="15.75" customHeight="1"/>
    <row r="45864" ht="15.75" customHeight="1"/>
    <row r="45865" ht="15.75" customHeight="1"/>
    <row r="45866" ht="15.75" customHeight="1"/>
    <row r="45867" ht="15.75" customHeight="1"/>
    <row r="45868" ht="15.75" customHeight="1"/>
    <row r="45869" ht="15.75" customHeight="1"/>
    <row r="45870" ht="15.75" customHeight="1"/>
    <row r="45871" ht="15.75" customHeight="1"/>
    <row r="45872" ht="15.75" customHeight="1"/>
    <row r="45873" ht="15.75" customHeight="1"/>
    <row r="45874" ht="15.75" customHeight="1"/>
    <row r="45875" ht="15.75" customHeight="1"/>
    <row r="45876" ht="15.75" customHeight="1"/>
    <row r="45877" ht="15.75" customHeight="1"/>
    <row r="45878" ht="15.75" customHeight="1"/>
    <row r="45879" ht="15.75" customHeight="1"/>
    <row r="45880" ht="15.75" customHeight="1"/>
    <row r="45881" ht="15.75" customHeight="1"/>
    <row r="45882" ht="15.75" customHeight="1"/>
    <row r="45883" ht="15.75" customHeight="1"/>
    <row r="45884" ht="15.75" customHeight="1"/>
    <row r="45885" ht="15.75" customHeight="1"/>
    <row r="45886" ht="15.75" customHeight="1"/>
    <row r="45887" ht="15.75" customHeight="1"/>
    <row r="45888" ht="15.75" customHeight="1"/>
    <row r="45889" ht="15.75" customHeight="1"/>
    <row r="45890" ht="15.75" customHeight="1"/>
    <row r="45891" ht="15.75" customHeight="1"/>
    <row r="45892" ht="15.75" customHeight="1"/>
    <row r="45893" ht="15.75" customHeight="1"/>
    <row r="45894" ht="15.75" customHeight="1"/>
    <row r="45895" ht="15.75" customHeight="1"/>
    <row r="45896" ht="15.75" customHeight="1"/>
    <row r="45897" ht="15.75" customHeight="1"/>
    <row r="45898" ht="15.75" customHeight="1"/>
    <row r="45899" ht="15.75" customHeight="1"/>
    <row r="45900" ht="15.75" customHeight="1"/>
    <row r="45901" ht="15.75" customHeight="1"/>
    <row r="45902" ht="15.75" customHeight="1"/>
    <row r="45903" ht="15.75" customHeight="1"/>
    <row r="45904" ht="15.75" customHeight="1"/>
    <row r="45905" ht="15.75" customHeight="1"/>
    <row r="45906" ht="15.75" customHeight="1"/>
    <row r="45907" ht="15.75" customHeight="1"/>
    <row r="45908" ht="15.75" customHeight="1"/>
    <row r="45909" ht="15.75" customHeight="1"/>
    <row r="45910" ht="15.75" customHeight="1"/>
    <row r="45911" ht="15.75" customHeight="1"/>
    <row r="45912" ht="15.75" customHeight="1"/>
    <row r="45913" ht="15.75" customHeight="1"/>
    <row r="45914" ht="15.75" customHeight="1"/>
    <row r="45915" ht="15.75" customHeight="1"/>
    <row r="45916" ht="15.75" customHeight="1"/>
    <row r="45917" ht="15.75" customHeight="1"/>
    <row r="45918" ht="15.75" customHeight="1"/>
    <row r="45919" ht="15.75" customHeight="1"/>
    <row r="45920" ht="15.75" customHeight="1"/>
    <row r="45921" ht="15.75" customHeight="1"/>
    <row r="45922" ht="15.75" customHeight="1"/>
    <row r="45923" ht="15.75" customHeight="1"/>
    <row r="45924" ht="15.75" customHeight="1"/>
    <row r="45925" ht="15.75" customHeight="1"/>
    <row r="45926" ht="15.75" customHeight="1"/>
    <row r="45927" ht="15.75" customHeight="1"/>
    <row r="45928" ht="15.75" customHeight="1"/>
    <row r="45929" ht="15.75" customHeight="1"/>
    <row r="45930" ht="15.75" customHeight="1"/>
    <row r="45931" ht="15.75" customHeight="1"/>
    <row r="45932" ht="15.75" customHeight="1"/>
    <row r="45933" ht="15.75" customHeight="1"/>
    <row r="45934" ht="15.75" customHeight="1"/>
    <row r="45935" ht="15.75" customHeight="1"/>
    <row r="45936" ht="15.75" customHeight="1"/>
    <row r="45937" ht="15.75" customHeight="1"/>
    <row r="45938" ht="15.75" customHeight="1"/>
    <row r="45939" ht="15.75" customHeight="1"/>
    <row r="45940" ht="15.75" customHeight="1"/>
    <row r="45941" ht="15.75" customHeight="1"/>
    <row r="45942" ht="15.75" customHeight="1"/>
    <row r="45943" ht="15.75" customHeight="1"/>
    <row r="45944" ht="15.75" customHeight="1"/>
    <row r="45945" ht="15.75" customHeight="1"/>
    <row r="45946" ht="15.75" customHeight="1"/>
    <row r="45947" ht="15.75" customHeight="1"/>
    <row r="45948" ht="15.75" customHeight="1"/>
    <row r="45949" ht="15.75" customHeight="1"/>
    <row r="45950" ht="15.75" customHeight="1"/>
    <row r="45951" ht="15.75" customHeight="1"/>
    <row r="45952" ht="15.75" customHeight="1"/>
    <row r="45953" ht="15.75" customHeight="1"/>
    <row r="45954" ht="15.75" customHeight="1"/>
    <row r="45955" ht="15.75" customHeight="1"/>
    <row r="45956" ht="15.75" customHeight="1"/>
    <row r="45957" ht="15.75" customHeight="1"/>
    <row r="45958" ht="15.75" customHeight="1"/>
    <row r="45959" ht="15.75" customHeight="1"/>
    <row r="45960" ht="15.75" customHeight="1"/>
    <row r="45961" ht="15.75" customHeight="1"/>
    <row r="45962" ht="15.75" customHeight="1"/>
    <row r="45963" ht="15.75" customHeight="1"/>
    <row r="45964" ht="15.75" customHeight="1"/>
    <row r="45965" ht="15.75" customHeight="1"/>
    <row r="45966" ht="15.75" customHeight="1"/>
    <row r="45967" ht="15.75" customHeight="1"/>
    <row r="45968" ht="15.75" customHeight="1"/>
    <row r="45969" ht="15.75" customHeight="1"/>
    <row r="45970" ht="15.75" customHeight="1"/>
    <row r="45971" ht="15.75" customHeight="1"/>
    <row r="45972" ht="15.75" customHeight="1"/>
    <row r="45973" ht="15.75" customHeight="1"/>
    <row r="45974" ht="15.75" customHeight="1"/>
    <row r="45975" ht="15.75" customHeight="1"/>
    <row r="45976" ht="15.75" customHeight="1"/>
    <row r="45977" ht="15.75" customHeight="1"/>
    <row r="45978" ht="15.75" customHeight="1"/>
    <row r="45979" ht="15.75" customHeight="1"/>
    <row r="45980" ht="15.75" customHeight="1"/>
    <row r="45981" ht="15.75" customHeight="1"/>
    <row r="45982" ht="15.75" customHeight="1"/>
    <row r="45983" ht="15.75" customHeight="1"/>
    <row r="45984" ht="15.75" customHeight="1"/>
    <row r="45985" ht="15.75" customHeight="1"/>
    <row r="45986" ht="15.75" customHeight="1"/>
    <row r="45987" ht="15.75" customHeight="1"/>
    <row r="45988" ht="15.75" customHeight="1"/>
    <row r="45989" ht="15.75" customHeight="1"/>
    <row r="45990" ht="15.75" customHeight="1"/>
    <row r="45991" ht="15.75" customHeight="1"/>
    <row r="45992" ht="15.75" customHeight="1"/>
    <row r="45993" ht="15.75" customHeight="1"/>
    <row r="45994" ht="15.75" customHeight="1"/>
    <row r="45995" ht="15.75" customHeight="1"/>
    <row r="45996" ht="15.75" customHeight="1"/>
    <row r="45997" ht="15.75" customHeight="1"/>
    <row r="45998" ht="15.75" customHeight="1"/>
    <row r="45999" ht="15.75" customHeight="1"/>
    <row r="46000" ht="15.75" customHeight="1"/>
    <row r="46001" ht="15.75" customHeight="1"/>
    <row r="46002" ht="15.75" customHeight="1"/>
    <row r="46003" ht="15.75" customHeight="1"/>
    <row r="46004" ht="15.75" customHeight="1"/>
    <row r="46005" ht="15.75" customHeight="1"/>
    <row r="46006" ht="15.75" customHeight="1"/>
    <row r="46007" ht="15.75" customHeight="1"/>
    <row r="46008" ht="15.75" customHeight="1"/>
    <row r="46009" ht="15.75" customHeight="1"/>
    <row r="46010" ht="15.75" customHeight="1"/>
    <row r="46011" ht="15.75" customHeight="1"/>
    <row r="46012" ht="15.75" customHeight="1"/>
    <row r="46013" ht="15.75" customHeight="1"/>
    <row r="46014" ht="15.75" customHeight="1"/>
    <row r="46015" ht="15.75" customHeight="1"/>
    <row r="46016" ht="15.75" customHeight="1"/>
    <row r="46017" ht="15.75" customHeight="1"/>
    <row r="46018" ht="15.75" customHeight="1"/>
    <row r="46019" ht="15.75" customHeight="1"/>
    <row r="46020" ht="15.75" customHeight="1"/>
    <row r="46021" ht="15.75" customHeight="1"/>
    <row r="46022" ht="15.75" customHeight="1"/>
    <row r="46023" ht="15.75" customHeight="1"/>
    <row r="46024" ht="15.75" customHeight="1"/>
    <row r="46025" ht="15.75" customHeight="1"/>
    <row r="46026" ht="15.75" customHeight="1"/>
    <row r="46027" ht="15.75" customHeight="1"/>
    <row r="46028" ht="15.75" customHeight="1"/>
    <row r="46029" ht="15.75" customHeight="1"/>
    <row r="46030" ht="15.75" customHeight="1"/>
    <row r="46031" ht="15.75" customHeight="1"/>
    <row r="46032" ht="15.75" customHeight="1"/>
    <row r="46033" ht="15.75" customHeight="1"/>
    <row r="46034" ht="15.75" customHeight="1"/>
    <row r="46035" ht="15.75" customHeight="1"/>
    <row r="46036" ht="15.75" customHeight="1"/>
    <row r="46037" ht="15.75" customHeight="1"/>
    <row r="46038" ht="15.75" customHeight="1"/>
    <row r="46039" ht="15.75" customHeight="1"/>
    <row r="46040" ht="15.75" customHeight="1"/>
    <row r="46041" ht="15.75" customHeight="1"/>
    <row r="46042" ht="15.75" customHeight="1"/>
    <row r="46043" ht="15.75" customHeight="1"/>
    <row r="46044" ht="15.75" customHeight="1"/>
    <row r="46045" ht="15.75" customHeight="1"/>
    <row r="46046" ht="15.75" customHeight="1"/>
    <row r="46047" ht="15.75" customHeight="1"/>
    <row r="46048" ht="15.75" customHeight="1"/>
    <row r="46049" ht="15.75" customHeight="1"/>
    <row r="46050" ht="15.75" customHeight="1"/>
    <row r="46051" ht="15.75" customHeight="1"/>
    <row r="46052" ht="15.75" customHeight="1"/>
    <row r="46053" ht="15.75" customHeight="1"/>
    <row r="46054" ht="15.75" customHeight="1"/>
    <row r="46055" ht="15.75" customHeight="1"/>
    <row r="46056" ht="15.75" customHeight="1"/>
    <row r="46057" ht="15.75" customHeight="1"/>
    <row r="46058" ht="15.75" customHeight="1"/>
    <row r="46059" ht="15.75" customHeight="1"/>
    <row r="46060" ht="15.75" customHeight="1"/>
    <row r="46061" ht="15.75" customHeight="1"/>
    <row r="46062" ht="15.75" customHeight="1"/>
    <row r="46063" ht="15.75" customHeight="1"/>
    <row r="46064" ht="15.75" customHeight="1"/>
    <row r="46065" ht="15.75" customHeight="1"/>
    <row r="46066" ht="15.75" customHeight="1"/>
    <row r="46067" ht="15.75" customHeight="1"/>
    <row r="46068" ht="15.75" customHeight="1"/>
    <row r="46069" ht="15.75" customHeight="1"/>
    <row r="46070" ht="15.75" customHeight="1"/>
    <row r="46071" ht="15.75" customHeight="1"/>
    <row r="46072" ht="15.75" customHeight="1"/>
    <row r="46073" ht="15.75" customHeight="1"/>
    <row r="46074" ht="15.75" customHeight="1"/>
    <row r="46075" ht="15.75" customHeight="1"/>
    <row r="46076" ht="15.75" customHeight="1"/>
    <row r="46077" ht="15.75" customHeight="1"/>
    <row r="46078" ht="15.75" customHeight="1"/>
    <row r="46079" ht="15.75" customHeight="1"/>
    <row r="46080" ht="15.75" customHeight="1"/>
    <row r="46081" ht="15.75" customHeight="1"/>
    <row r="46082" ht="15.75" customHeight="1"/>
    <row r="46083" ht="15.75" customHeight="1"/>
    <row r="46084" ht="15.75" customHeight="1"/>
    <row r="46085" ht="15.75" customHeight="1"/>
    <row r="46086" ht="15.75" customHeight="1"/>
    <row r="46087" ht="15.75" customHeight="1"/>
    <row r="46088" ht="15.75" customHeight="1"/>
    <row r="46089" ht="15.75" customHeight="1"/>
    <row r="46090" ht="15.75" customHeight="1"/>
    <row r="46091" ht="15.75" customHeight="1"/>
    <row r="46092" ht="15.75" customHeight="1"/>
    <row r="46093" ht="15.75" customHeight="1"/>
    <row r="46094" ht="15.75" customHeight="1"/>
    <row r="46095" ht="15.75" customHeight="1"/>
    <row r="46096" ht="15.75" customHeight="1"/>
    <row r="46097" ht="15.75" customHeight="1"/>
    <row r="46098" ht="15.75" customHeight="1"/>
    <row r="46099" ht="15.75" customHeight="1"/>
    <row r="46100" ht="15.75" customHeight="1"/>
    <row r="46101" ht="15.75" customHeight="1"/>
    <row r="46102" ht="15.75" customHeight="1"/>
    <row r="46103" ht="15.75" customHeight="1"/>
    <row r="46104" ht="15.75" customHeight="1"/>
    <row r="46105" ht="15.75" customHeight="1"/>
    <row r="46106" ht="15.75" customHeight="1"/>
    <row r="46107" ht="15.75" customHeight="1"/>
    <row r="46108" ht="15.75" customHeight="1"/>
    <row r="46109" ht="15.75" customHeight="1"/>
    <row r="46110" ht="15.75" customHeight="1"/>
    <row r="46111" ht="15.75" customHeight="1"/>
    <row r="46112" ht="15.75" customHeight="1"/>
    <row r="46113" ht="15.75" customHeight="1"/>
    <row r="46114" ht="15.75" customHeight="1"/>
    <row r="46115" ht="15.75" customHeight="1"/>
    <row r="46116" ht="15.75" customHeight="1"/>
    <row r="46117" ht="15.75" customHeight="1"/>
    <row r="46118" ht="15.75" customHeight="1"/>
    <row r="46119" ht="15.75" customHeight="1"/>
    <row r="46120" ht="15.75" customHeight="1"/>
    <row r="46121" ht="15.75" customHeight="1"/>
    <row r="46122" ht="15.75" customHeight="1"/>
    <row r="46123" ht="15.75" customHeight="1"/>
    <row r="46124" ht="15.75" customHeight="1"/>
    <row r="46125" ht="15.75" customHeight="1"/>
    <row r="46126" ht="15.75" customHeight="1"/>
    <row r="46127" ht="15.75" customHeight="1"/>
    <row r="46128" ht="15.75" customHeight="1"/>
    <row r="46129" ht="15.75" customHeight="1"/>
    <row r="46130" ht="15.75" customHeight="1"/>
    <row r="46131" ht="15.75" customHeight="1"/>
    <row r="46132" ht="15.75" customHeight="1"/>
    <row r="46133" ht="15.75" customHeight="1"/>
    <row r="46134" ht="15.75" customHeight="1"/>
    <row r="46135" ht="15.75" customHeight="1"/>
    <row r="46136" ht="15.75" customHeight="1"/>
    <row r="46137" ht="15.75" customHeight="1"/>
    <row r="46138" ht="15.75" customHeight="1"/>
    <row r="46139" ht="15.75" customHeight="1"/>
    <row r="46140" ht="15.75" customHeight="1"/>
    <row r="46141" ht="15.75" customHeight="1"/>
    <row r="46142" ht="15.75" customHeight="1"/>
    <row r="46143" ht="15.75" customHeight="1"/>
    <row r="46144" ht="15.75" customHeight="1"/>
    <row r="46145" ht="15.75" customHeight="1"/>
    <row r="46146" ht="15.75" customHeight="1"/>
    <row r="46147" ht="15.75" customHeight="1"/>
    <row r="46148" ht="15.75" customHeight="1"/>
    <row r="46149" ht="15.75" customHeight="1"/>
    <row r="46150" ht="15.75" customHeight="1"/>
    <row r="46151" ht="15.75" customHeight="1"/>
    <row r="46152" ht="15.75" customHeight="1"/>
    <row r="46153" ht="15.75" customHeight="1"/>
    <row r="46154" ht="15.75" customHeight="1"/>
    <row r="46155" ht="15.75" customHeight="1"/>
    <row r="46156" ht="15.75" customHeight="1"/>
    <row r="46157" ht="15.75" customHeight="1"/>
    <row r="46158" ht="15.75" customHeight="1"/>
    <row r="46159" ht="15.75" customHeight="1"/>
    <row r="46160" ht="15.75" customHeight="1"/>
    <row r="46161" ht="15.75" customHeight="1"/>
    <row r="46162" ht="15.75" customHeight="1"/>
    <row r="46163" ht="15.75" customHeight="1"/>
    <row r="46164" ht="15.75" customHeight="1"/>
    <row r="46165" ht="15.75" customHeight="1"/>
    <row r="46166" ht="15.75" customHeight="1"/>
    <row r="46167" ht="15.75" customHeight="1"/>
    <row r="46168" ht="15.75" customHeight="1"/>
    <row r="46169" ht="15.75" customHeight="1"/>
    <row r="46170" ht="15.75" customHeight="1"/>
    <row r="46171" ht="15.75" customHeight="1"/>
    <row r="46172" ht="15.75" customHeight="1"/>
    <row r="46173" ht="15.75" customHeight="1"/>
    <row r="46174" ht="15.75" customHeight="1"/>
    <row r="46175" ht="15.75" customHeight="1"/>
    <row r="46176" ht="15.75" customHeight="1"/>
    <row r="46177" ht="15.75" customHeight="1"/>
    <row r="46178" ht="15.75" customHeight="1"/>
    <row r="46179" ht="15.75" customHeight="1"/>
    <row r="46180" ht="15.75" customHeight="1"/>
    <row r="46181" ht="15.75" customHeight="1"/>
    <row r="46182" ht="15.75" customHeight="1"/>
    <row r="46183" ht="15.75" customHeight="1"/>
    <row r="46184" ht="15.75" customHeight="1"/>
    <row r="46185" ht="15.75" customHeight="1"/>
    <row r="46186" ht="15.75" customHeight="1"/>
    <row r="46187" ht="15.75" customHeight="1"/>
    <row r="46188" ht="15.75" customHeight="1"/>
    <row r="46189" ht="15.75" customHeight="1"/>
    <row r="46190" ht="15.75" customHeight="1"/>
    <row r="46191" ht="15.75" customHeight="1"/>
    <row r="46192" ht="15.75" customHeight="1"/>
    <row r="46193" ht="15.75" customHeight="1"/>
    <row r="46194" ht="15.75" customHeight="1"/>
    <row r="46195" ht="15.75" customHeight="1"/>
    <row r="46196" ht="15.75" customHeight="1"/>
    <row r="46197" ht="15.75" customHeight="1"/>
    <row r="46198" ht="15.75" customHeight="1"/>
    <row r="46199" ht="15.75" customHeight="1"/>
    <row r="46200" ht="15.75" customHeight="1"/>
    <row r="46201" ht="15.75" customHeight="1"/>
    <row r="46202" ht="15.75" customHeight="1"/>
    <row r="46203" ht="15.75" customHeight="1"/>
    <row r="46204" ht="15.75" customHeight="1"/>
    <row r="46205" ht="15.75" customHeight="1"/>
    <row r="46206" ht="15.75" customHeight="1"/>
    <row r="46207" ht="15.75" customHeight="1"/>
    <row r="46208" ht="15.75" customHeight="1"/>
    <row r="46209" ht="15.75" customHeight="1"/>
    <row r="46210" ht="15.75" customHeight="1"/>
    <row r="46211" ht="15.75" customHeight="1"/>
    <row r="46212" ht="15.75" customHeight="1"/>
    <row r="46213" ht="15.75" customHeight="1"/>
    <row r="46214" ht="15.75" customHeight="1"/>
    <row r="46215" ht="15.75" customHeight="1"/>
    <row r="46216" ht="15.75" customHeight="1"/>
    <row r="46217" ht="15.75" customHeight="1"/>
    <row r="46218" ht="15.75" customHeight="1"/>
    <row r="46219" ht="15.75" customHeight="1"/>
    <row r="46220" ht="15.75" customHeight="1"/>
    <row r="46221" ht="15.75" customHeight="1"/>
    <row r="46222" ht="15.75" customHeight="1"/>
    <row r="46223" ht="15.75" customHeight="1"/>
    <row r="46224" ht="15.75" customHeight="1"/>
    <row r="46225" ht="15.75" customHeight="1"/>
    <row r="46226" ht="15.75" customHeight="1"/>
    <row r="46227" ht="15.75" customHeight="1"/>
    <row r="46228" ht="15.75" customHeight="1"/>
    <row r="46229" ht="15.75" customHeight="1"/>
    <row r="46230" ht="15.75" customHeight="1"/>
    <row r="46231" ht="15.75" customHeight="1"/>
    <row r="46232" ht="15.75" customHeight="1"/>
    <row r="46233" ht="15.75" customHeight="1"/>
    <row r="46234" ht="15.75" customHeight="1"/>
    <row r="46235" ht="15.75" customHeight="1"/>
    <row r="46236" ht="15.75" customHeight="1"/>
    <row r="46237" ht="15.75" customHeight="1"/>
    <row r="46238" ht="15.75" customHeight="1"/>
    <row r="46239" ht="15.75" customHeight="1"/>
    <row r="46240" ht="15.75" customHeight="1"/>
    <row r="46241" ht="15.75" customHeight="1"/>
    <row r="46242" ht="15.75" customHeight="1"/>
    <row r="46243" ht="15.75" customHeight="1"/>
    <row r="46244" ht="15.75" customHeight="1"/>
    <row r="46245" ht="15.75" customHeight="1"/>
    <row r="46246" ht="15.75" customHeight="1"/>
    <row r="46247" ht="15.75" customHeight="1"/>
    <row r="46248" ht="15.75" customHeight="1"/>
    <row r="46249" ht="15.75" customHeight="1"/>
    <row r="46250" ht="15.75" customHeight="1"/>
    <row r="46251" ht="15.75" customHeight="1"/>
    <row r="46252" ht="15.75" customHeight="1"/>
    <row r="46253" ht="15.75" customHeight="1"/>
    <row r="46254" ht="15.75" customHeight="1"/>
    <row r="46255" ht="15.75" customHeight="1"/>
    <row r="46256" ht="15.75" customHeight="1"/>
    <row r="46257" ht="15.75" customHeight="1"/>
    <row r="46258" ht="15.75" customHeight="1"/>
    <row r="46259" ht="15.75" customHeight="1"/>
    <row r="46260" ht="15.75" customHeight="1"/>
    <row r="46261" ht="15.75" customHeight="1"/>
    <row r="46262" ht="15.75" customHeight="1"/>
    <row r="46263" ht="15.75" customHeight="1"/>
    <row r="46264" ht="15.75" customHeight="1"/>
    <row r="46265" ht="15.75" customHeight="1"/>
    <row r="46266" ht="15.75" customHeight="1"/>
    <row r="46267" ht="15.75" customHeight="1"/>
    <row r="46268" ht="15.75" customHeight="1"/>
    <row r="46269" ht="15.75" customHeight="1"/>
    <row r="46270" ht="15.75" customHeight="1"/>
    <row r="46271" ht="15.75" customHeight="1"/>
    <row r="46272" ht="15.75" customHeight="1"/>
    <row r="46273" ht="15.75" customHeight="1"/>
    <row r="46274" ht="15.75" customHeight="1"/>
    <row r="46275" ht="15.75" customHeight="1"/>
    <row r="46276" ht="15.75" customHeight="1"/>
    <row r="46277" ht="15.75" customHeight="1"/>
    <row r="46278" ht="15.75" customHeight="1"/>
    <row r="46279" ht="15.75" customHeight="1"/>
    <row r="46280" ht="15.75" customHeight="1"/>
    <row r="46281" ht="15.75" customHeight="1"/>
    <row r="46282" ht="15.75" customHeight="1"/>
    <row r="46283" ht="15.75" customHeight="1"/>
    <row r="46284" ht="15.75" customHeight="1"/>
    <row r="46285" ht="15.75" customHeight="1"/>
    <row r="46286" ht="15.75" customHeight="1"/>
    <row r="46287" ht="15.75" customHeight="1"/>
    <row r="46288" ht="15.75" customHeight="1"/>
    <row r="46289" ht="15.75" customHeight="1"/>
    <row r="46290" ht="15.75" customHeight="1"/>
    <row r="46291" ht="15.75" customHeight="1"/>
    <row r="46292" ht="15.75" customHeight="1"/>
    <row r="46293" ht="15.75" customHeight="1"/>
    <row r="46294" ht="15.75" customHeight="1"/>
    <row r="46295" ht="15.75" customHeight="1"/>
    <row r="46296" ht="15.75" customHeight="1"/>
    <row r="46297" ht="15.75" customHeight="1"/>
    <row r="46298" ht="15.75" customHeight="1"/>
    <row r="46299" ht="15.75" customHeight="1"/>
    <row r="46300" ht="15.75" customHeight="1"/>
    <row r="46301" ht="15.75" customHeight="1"/>
    <row r="46302" ht="15.75" customHeight="1"/>
    <row r="46303" ht="15.75" customHeight="1"/>
    <row r="46304" ht="15.75" customHeight="1"/>
    <row r="46305" ht="15.75" customHeight="1"/>
    <row r="46306" ht="15.75" customHeight="1"/>
    <row r="46307" ht="15.75" customHeight="1"/>
    <row r="46308" ht="15.75" customHeight="1"/>
    <row r="46309" ht="15.75" customHeight="1"/>
    <row r="46310" ht="15.75" customHeight="1"/>
    <row r="46311" ht="15.75" customHeight="1"/>
    <row r="46312" ht="15.75" customHeight="1"/>
    <row r="46313" ht="15.75" customHeight="1"/>
    <row r="46314" ht="15.75" customHeight="1"/>
    <row r="46315" ht="15.75" customHeight="1"/>
    <row r="46316" ht="15.75" customHeight="1"/>
    <row r="46317" ht="15.75" customHeight="1"/>
    <row r="46318" ht="15.75" customHeight="1"/>
    <row r="46319" ht="15.75" customHeight="1"/>
    <row r="46320" ht="15.75" customHeight="1"/>
    <row r="46321" ht="15.75" customHeight="1"/>
    <row r="46322" ht="15.75" customHeight="1"/>
    <row r="46323" ht="15.75" customHeight="1"/>
    <row r="46324" ht="15.75" customHeight="1"/>
    <row r="46325" ht="15.75" customHeight="1"/>
    <row r="46326" ht="15.75" customHeight="1"/>
    <row r="46327" ht="15.75" customHeight="1"/>
    <row r="46328" ht="15.75" customHeight="1"/>
    <row r="46329" ht="15.75" customHeight="1"/>
    <row r="46330" ht="15.75" customHeight="1"/>
    <row r="46331" ht="15.75" customHeight="1"/>
    <row r="46332" ht="15.75" customHeight="1"/>
    <row r="46333" ht="15.75" customHeight="1"/>
    <row r="46334" ht="15.75" customHeight="1"/>
    <row r="46335" ht="15.75" customHeight="1"/>
    <row r="46336" ht="15.75" customHeight="1"/>
    <row r="46337" ht="15.75" customHeight="1"/>
    <row r="46338" ht="15.75" customHeight="1"/>
    <row r="46339" ht="15.75" customHeight="1"/>
    <row r="46340" ht="15.75" customHeight="1"/>
    <row r="46341" ht="15.75" customHeight="1"/>
    <row r="46342" ht="15.75" customHeight="1"/>
    <row r="46343" ht="15.75" customHeight="1"/>
    <row r="46344" ht="15.75" customHeight="1"/>
    <row r="46345" ht="15.75" customHeight="1"/>
    <row r="46346" ht="15.75" customHeight="1"/>
    <row r="46347" ht="15.75" customHeight="1"/>
    <row r="46348" ht="15.75" customHeight="1"/>
    <row r="46349" ht="15.75" customHeight="1"/>
    <row r="46350" ht="15.75" customHeight="1"/>
    <row r="46351" ht="15.75" customHeight="1"/>
    <row r="46352" ht="15.75" customHeight="1"/>
    <row r="46353" ht="15.75" customHeight="1"/>
    <row r="46354" ht="15.75" customHeight="1"/>
    <row r="46355" ht="15.75" customHeight="1"/>
    <row r="46356" ht="15.75" customHeight="1"/>
    <row r="46357" ht="15.75" customHeight="1"/>
    <row r="46358" ht="15.75" customHeight="1"/>
    <row r="46359" ht="15.75" customHeight="1"/>
    <row r="46360" ht="15.75" customHeight="1"/>
    <row r="46361" ht="15.75" customHeight="1"/>
    <row r="46362" ht="15.75" customHeight="1"/>
    <row r="46363" ht="15.75" customHeight="1"/>
    <row r="46364" ht="15.75" customHeight="1"/>
    <row r="46365" ht="15.75" customHeight="1"/>
    <row r="46366" ht="15.75" customHeight="1"/>
    <row r="46367" ht="15.75" customHeight="1"/>
    <row r="46368" ht="15.75" customHeight="1"/>
    <row r="46369" ht="15.75" customHeight="1"/>
    <row r="46370" ht="15.75" customHeight="1"/>
    <row r="46371" ht="15.75" customHeight="1"/>
    <row r="46372" ht="15.75" customHeight="1"/>
    <row r="46373" ht="15.75" customHeight="1"/>
    <row r="46374" ht="15.75" customHeight="1"/>
    <row r="46375" ht="15.75" customHeight="1"/>
    <row r="46376" ht="15.75" customHeight="1"/>
    <row r="46377" ht="15.75" customHeight="1"/>
    <row r="46378" ht="15.75" customHeight="1"/>
    <row r="46379" ht="15.75" customHeight="1"/>
    <row r="46380" ht="15.75" customHeight="1"/>
    <row r="46381" ht="15.75" customHeight="1"/>
    <row r="46382" ht="15.75" customHeight="1"/>
    <row r="46383" ht="15.75" customHeight="1"/>
    <row r="46384" ht="15.75" customHeight="1"/>
    <row r="46385" ht="15.75" customHeight="1"/>
    <row r="46386" ht="15.75" customHeight="1"/>
    <row r="46387" ht="15.75" customHeight="1"/>
    <row r="46388" ht="15.75" customHeight="1"/>
    <row r="46389" ht="15.75" customHeight="1"/>
    <row r="46390" ht="15.75" customHeight="1"/>
    <row r="46391" ht="15.75" customHeight="1"/>
    <row r="46392" ht="15.75" customHeight="1"/>
    <row r="46393" ht="15.75" customHeight="1"/>
    <row r="46394" ht="15.75" customHeight="1"/>
    <row r="46395" ht="15.75" customHeight="1"/>
    <row r="46396" ht="15.75" customHeight="1"/>
    <row r="46397" ht="15.75" customHeight="1"/>
    <row r="46398" ht="15.75" customHeight="1"/>
    <row r="46399" ht="15.75" customHeight="1"/>
    <row r="46400" ht="15.75" customHeight="1"/>
    <row r="46401" ht="15.75" customHeight="1"/>
    <row r="46402" ht="15.75" customHeight="1"/>
    <row r="46403" ht="15.75" customHeight="1"/>
    <row r="46404" ht="15.75" customHeight="1"/>
    <row r="46405" ht="15.75" customHeight="1"/>
    <row r="46406" ht="15.75" customHeight="1"/>
    <row r="46407" ht="15.75" customHeight="1"/>
    <row r="46408" ht="15.75" customHeight="1"/>
    <row r="46409" ht="15.75" customHeight="1"/>
    <row r="46410" ht="15.75" customHeight="1"/>
    <row r="46411" ht="15.75" customHeight="1"/>
    <row r="46412" ht="15.75" customHeight="1"/>
    <row r="46413" ht="15.75" customHeight="1"/>
    <row r="46414" ht="15.75" customHeight="1"/>
    <row r="46415" ht="15.75" customHeight="1"/>
    <row r="46416" ht="15.75" customHeight="1"/>
    <row r="46417" ht="15.75" customHeight="1"/>
    <row r="46418" ht="15.75" customHeight="1"/>
    <row r="46419" ht="15.75" customHeight="1"/>
    <row r="46420" ht="15.75" customHeight="1"/>
    <row r="46421" ht="15.75" customHeight="1"/>
    <row r="46422" ht="15.75" customHeight="1"/>
    <row r="46423" ht="15.75" customHeight="1"/>
    <row r="46424" ht="15.75" customHeight="1"/>
    <row r="46425" ht="15.75" customHeight="1"/>
    <row r="46426" ht="15.75" customHeight="1"/>
    <row r="46427" ht="15.75" customHeight="1"/>
    <row r="46428" ht="15.75" customHeight="1"/>
    <row r="46429" ht="15.75" customHeight="1"/>
    <row r="46430" ht="15.75" customHeight="1"/>
    <row r="46431" ht="15.75" customHeight="1"/>
    <row r="46432" ht="15.75" customHeight="1"/>
    <row r="46433" ht="15.75" customHeight="1"/>
    <row r="46434" ht="15.75" customHeight="1"/>
    <row r="46435" ht="15.75" customHeight="1"/>
    <row r="46436" ht="15.75" customHeight="1"/>
    <row r="46437" ht="15.75" customHeight="1"/>
    <row r="46438" ht="15.75" customHeight="1"/>
    <row r="46439" ht="15.75" customHeight="1"/>
    <row r="46440" ht="15.75" customHeight="1"/>
    <row r="46441" ht="15.75" customHeight="1"/>
    <row r="46442" ht="15.75" customHeight="1"/>
    <row r="46443" ht="15.75" customHeight="1"/>
    <row r="46444" ht="15.75" customHeight="1"/>
    <row r="46445" ht="15.75" customHeight="1"/>
    <row r="46446" ht="15.75" customHeight="1"/>
    <row r="46447" ht="15.75" customHeight="1"/>
    <row r="46448" ht="15.75" customHeight="1"/>
    <row r="46449" ht="15.75" customHeight="1"/>
    <row r="46450" ht="15.75" customHeight="1"/>
    <row r="46451" ht="15.75" customHeight="1"/>
    <row r="46452" ht="15.75" customHeight="1"/>
    <row r="46453" ht="15.75" customHeight="1"/>
    <row r="46454" ht="15.75" customHeight="1"/>
    <row r="46455" ht="15.75" customHeight="1"/>
    <row r="46456" ht="15.75" customHeight="1"/>
    <row r="46457" ht="15.75" customHeight="1"/>
    <row r="46458" ht="15.75" customHeight="1"/>
    <row r="46459" ht="15.75" customHeight="1"/>
    <row r="46460" ht="15.75" customHeight="1"/>
    <row r="46461" ht="15.75" customHeight="1"/>
    <row r="46462" ht="15.75" customHeight="1"/>
    <row r="46463" ht="15.75" customHeight="1"/>
    <row r="46464" ht="15.75" customHeight="1"/>
    <row r="46465" ht="15.75" customHeight="1"/>
    <row r="46466" ht="15.75" customHeight="1"/>
    <row r="46467" ht="15.75" customHeight="1"/>
    <row r="46468" ht="15.75" customHeight="1"/>
    <row r="46469" ht="15.75" customHeight="1"/>
    <row r="46470" ht="15.75" customHeight="1"/>
    <row r="46471" ht="15.75" customHeight="1"/>
    <row r="46472" ht="15.75" customHeight="1"/>
    <row r="46473" ht="15.75" customHeight="1"/>
    <row r="46474" ht="15.75" customHeight="1"/>
    <row r="46475" ht="15.75" customHeight="1"/>
    <row r="46476" ht="15.75" customHeight="1"/>
    <row r="46477" ht="15.75" customHeight="1"/>
    <row r="46478" ht="15.75" customHeight="1"/>
    <row r="46479" ht="15.75" customHeight="1"/>
    <row r="46480" ht="15.75" customHeight="1"/>
    <row r="46481" ht="15.75" customHeight="1"/>
    <row r="46482" ht="15.75" customHeight="1"/>
    <row r="46483" ht="15.75" customHeight="1"/>
    <row r="46484" ht="15.75" customHeight="1"/>
    <row r="46485" ht="15.75" customHeight="1"/>
    <row r="46486" ht="15.75" customHeight="1"/>
    <row r="46487" ht="15.75" customHeight="1"/>
    <row r="46488" ht="15.75" customHeight="1"/>
    <row r="46489" ht="15.75" customHeight="1"/>
    <row r="46490" ht="15.75" customHeight="1"/>
    <row r="46491" ht="15.75" customHeight="1"/>
    <row r="46492" ht="15.75" customHeight="1"/>
    <row r="46493" ht="15.75" customHeight="1"/>
    <row r="46494" ht="15.75" customHeight="1"/>
    <row r="46495" ht="15.75" customHeight="1"/>
    <row r="46496" ht="15.75" customHeight="1"/>
    <row r="46497" ht="15.75" customHeight="1"/>
    <row r="46498" ht="15.75" customHeight="1"/>
    <row r="46499" ht="15.75" customHeight="1"/>
    <row r="46500" ht="15.75" customHeight="1"/>
    <row r="46501" ht="15.75" customHeight="1"/>
    <row r="46502" ht="15.75" customHeight="1"/>
    <row r="46503" ht="15.75" customHeight="1"/>
    <row r="46504" ht="15.75" customHeight="1"/>
    <row r="46505" ht="15.75" customHeight="1"/>
    <row r="46506" ht="15.75" customHeight="1"/>
    <row r="46507" ht="15.75" customHeight="1"/>
    <row r="46508" ht="15.75" customHeight="1"/>
    <row r="46509" ht="15.75" customHeight="1"/>
    <row r="46510" ht="15.75" customHeight="1"/>
    <row r="46511" ht="15.75" customHeight="1"/>
    <row r="46512" ht="15.75" customHeight="1"/>
    <row r="46513" ht="15.75" customHeight="1"/>
    <row r="46514" ht="15.75" customHeight="1"/>
    <row r="46515" ht="15.75" customHeight="1"/>
    <row r="46516" ht="15.75" customHeight="1"/>
    <row r="46517" ht="15.75" customHeight="1"/>
    <row r="46518" ht="15.75" customHeight="1"/>
    <row r="46519" ht="15.75" customHeight="1"/>
    <row r="46520" ht="15.75" customHeight="1"/>
    <row r="46521" ht="15.75" customHeight="1"/>
    <row r="46522" ht="15.75" customHeight="1"/>
    <row r="46523" ht="15.75" customHeight="1"/>
    <row r="46524" ht="15.75" customHeight="1"/>
    <row r="46525" ht="15.75" customHeight="1"/>
    <row r="46526" ht="15.75" customHeight="1"/>
    <row r="46527" ht="15.75" customHeight="1"/>
    <row r="46528" ht="15.75" customHeight="1"/>
    <row r="46529" ht="15.75" customHeight="1"/>
    <row r="46530" ht="15.75" customHeight="1"/>
    <row r="46531" ht="15.75" customHeight="1"/>
    <row r="46532" ht="15.75" customHeight="1"/>
    <row r="46533" ht="15.75" customHeight="1"/>
    <row r="46534" ht="15.75" customHeight="1"/>
    <row r="46535" ht="15.75" customHeight="1"/>
    <row r="46536" ht="15.75" customHeight="1"/>
    <row r="46537" ht="15.75" customHeight="1"/>
    <row r="46538" ht="15.75" customHeight="1"/>
    <row r="46539" ht="15.75" customHeight="1"/>
    <row r="46540" ht="15.75" customHeight="1"/>
    <row r="46541" ht="15.75" customHeight="1"/>
    <row r="46542" ht="15.75" customHeight="1"/>
    <row r="46543" ht="15.75" customHeight="1"/>
    <row r="46544" ht="15.75" customHeight="1"/>
    <row r="46545" ht="15.75" customHeight="1"/>
    <row r="46546" ht="15.75" customHeight="1"/>
    <row r="46547" ht="15.75" customHeight="1"/>
    <row r="46548" ht="15.75" customHeight="1"/>
    <row r="46549" ht="15.75" customHeight="1"/>
    <row r="46550" ht="15.75" customHeight="1"/>
    <row r="46551" ht="15.75" customHeight="1"/>
    <row r="46552" ht="15.75" customHeight="1"/>
    <row r="46553" ht="15.75" customHeight="1"/>
    <row r="46554" ht="15.75" customHeight="1"/>
    <row r="46555" ht="15.75" customHeight="1"/>
    <row r="46556" ht="15.75" customHeight="1"/>
    <row r="46557" ht="15.75" customHeight="1"/>
    <row r="46558" ht="15.75" customHeight="1"/>
    <row r="46559" ht="15.75" customHeight="1"/>
    <row r="46560" ht="15.75" customHeight="1"/>
    <row r="46561" ht="15.75" customHeight="1"/>
    <row r="46562" ht="15.75" customHeight="1"/>
    <row r="46563" ht="15.75" customHeight="1"/>
    <row r="46564" ht="15.75" customHeight="1"/>
    <row r="46565" ht="15.75" customHeight="1"/>
    <row r="46566" ht="15.75" customHeight="1"/>
    <row r="46567" ht="15.75" customHeight="1"/>
    <row r="46568" ht="15.75" customHeight="1"/>
    <row r="46569" ht="15.75" customHeight="1"/>
    <row r="46570" ht="15.75" customHeight="1"/>
    <row r="46571" ht="15.75" customHeight="1"/>
    <row r="46572" ht="15.75" customHeight="1"/>
    <row r="46573" ht="15.75" customHeight="1"/>
    <row r="46574" ht="15.75" customHeight="1"/>
    <row r="46575" ht="15.75" customHeight="1"/>
    <row r="46576" ht="15.75" customHeight="1"/>
    <row r="46577" ht="15.75" customHeight="1"/>
    <row r="46578" ht="15.75" customHeight="1"/>
    <row r="46579" ht="15.75" customHeight="1"/>
    <row r="46580" ht="15.75" customHeight="1"/>
    <row r="46581" ht="15.75" customHeight="1"/>
    <row r="46582" ht="15.75" customHeight="1"/>
    <row r="46583" ht="15.75" customHeight="1"/>
    <row r="46584" ht="15.75" customHeight="1"/>
    <row r="46585" ht="15.75" customHeight="1"/>
    <row r="46586" ht="15.75" customHeight="1"/>
    <row r="46587" ht="15.75" customHeight="1"/>
    <row r="46588" ht="15.75" customHeight="1"/>
    <row r="46589" ht="15.75" customHeight="1"/>
    <row r="46590" ht="15.75" customHeight="1"/>
    <row r="46591" ht="15.75" customHeight="1"/>
    <row r="46592" ht="15.75" customHeight="1"/>
    <row r="46593" ht="15.75" customHeight="1"/>
    <row r="46594" ht="15.75" customHeight="1"/>
    <row r="46595" ht="15.75" customHeight="1"/>
    <row r="46596" ht="15.75" customHeight="1"/>
    <row r="46597" ht="15.75" customHeight="1"/>
    <row r="46598" ht="15.75" customHeight="1"/>
    <row r="46599" ht="15.75" customHeight="1"/>
    <row r="46600" ht="15.75" customHeight="1"/>
    <row r="46601" ht="15.75" customHeight="1"/>
    <row r="46602" ht="15.75" customHeight="1"/>
    <row r="46603" ht="15.75" customHeight="1"/>
    <row r="46604" ht="15.75" customHeight="1"/>
    <row r="46605" ht="15.75" customHeight="1"/>
    <row r="46606" ht="15.75" customHeight="1"/>
    <row r="46607" ht="15.75" customHeight="1"/>
    <row r="46608" ht="15.75" customHeight="1"/>
    <row r="46609" ht="15.75" customHeight="1"/>
    <row r="46610" ht="15.75" customHeight="1"/>
    <row r="46611" ht="15.75" customHeight="1"/>
    <row r="46612" ht="15.75" customHeight="1"/>
    <row r="46613" ht="15.75" customHeight="1"/>
    <row r="46614" ht="15.75" customHeight="1"/>
    <row r="46615" ht="15.75" customHeight="1"/>
    <row r="46616" ht="15.75" customHeight="1"/>
    <row r="46617" ht="15.75" customHeight="1"/>
    <row r="46618" ht="15.75" customHeight="1"/>
    <row r="46619" ht="15.75" customHeight="1"/>
    <row r="46620" ht="15.75" customHeight="1"/>
    <row r="46621" ht="15.75" customHeight="1"/>
    <row r="46622" ht="15.75" customHeight="1"/>
    <row r="46623" ht="15.75" customHeight="1"/>
    <row r="46624" ht="15.75" customHeight="1"/>
    <row r="46625" ht="15.75" customHeight="1"/>
    <row r="46626" ht="15.75" customHeight="1"/>
    <row r="46627" ht="15.75" customHeight="1"/>
    <row r="46628" ht="15.75" customHeight="1"/>
    <row r="46629" ht="15.75" customHeight="1"/>
    <row r="46630" ht="15.75" customHeight="1"/>
    <row r="46631" ht="15.75" customHeight="1"/>
    <row r="46632" ht="15.75" customHeight="1"/>
    <row r="46633" ht="15.75" customHeight="1"/>
    <row r="46634" ht="15.75" customHeight="1"/>
    <row r="46635" ht="15.75" customHeight="1"/>
    <row r="46636" ht="15.75" customHeight="1"/>
    <row r="46637" ht="15.75" customHeight="1"/>
    <row r="46638" ht="15.75" customHeight="1"/>
    <row r="46639" ht="15.75" customHeight="1"/>
    <row r="46640" ht="15.75" customHeight="1"/>
    <row r="46641" ht="15.75" customHeight="1"/>
    <row r="46642" ht="15.75" customHeight="1"/>
    <row r="46643" ht="15.75" customHeight="1"/>
    <row r="46644" ht="15.75" customHeight="1"/>
    <row r="46645" ht="15.75" customHeight="1"/>
    <row r="46646" ht="15.75" customHeight="1"/>
    <row r="46647" ht="15.75" customHeight="1"/>
    <row r="46648" ht="15.75" customHeight="1"/>
    <row r="46649" ht="15.75" customHeight="1"/>
    <row r="46650" ht="15.75" customHeight="1"/>
    <row r="46651" ht="15.75" customHeight="1"/>
    <row r="46652" ht="15.75" customHeight="1"/>
    <row r="46653" ht="15.75" customHeight="1"/>
    <row r="46654" ht="15.75" customHeight="1"/>
    <row r="46655" ht="15.75" customHeight="1"/>
    <row r="46656" ht="15.75" customHeight="1"/>
    <row r="46657" ht="15.75" customHeight="1"/>
    <row r="46658" ht="15.75" customHeight="1"/>
    <row r="46659" ht="15.75" customHeight="1"/>
    <row r="46660" ht="15.75" customHeight="1"/>
    <row r="46661" ht="15.75" customHeight="1"/>
    <row r="46662" ht="15.75" customHeight="1"/>
    <row r="46663" ht="15.75" customHeight="1"/>
    <row r="46664" ht="15.75" customHeight="1"/>
    <row r="46665" ht="15.75" customHeight="1"/>
    <row r="46666" ht="15.75" customHeight="1"/>
    <row r="46667" ht="15.75" customHeight="1"/>
    <row r="46668" ht="15.75" customHeight="1"/>
    <row r="46669" ht="15.75" customHeight="1"/>
    <row r="46670" ht="15.75" customHeight="1"/>
    <row r="46671" ht="15.75" customHeight="1"/>
    <row r="46672" ht="15.75" customHeight="1"/>
    <row r="46673" ht="15.75" customHeight="1"/>
    <row r="46674" ht="15.75" customHeight="1"/>
    <row r="46675" ht="15.75" customHeight="1"/>
    <row r="46676" ht="15.75" customHeight="1"/>
    <row r="46677" ht="15.75" customHeight="1"/>
    <row r="46678" ht="15.75" customHeight="1"/>
    <row r="46679" ht="15.75" customHeight="1"/>
    <row r="46680" ht="15.75" customHeight="1"/>
    <row r="46681" ht="15.75" customHeight="1"/>
    <row r="46682" ht="15.75" customHeight="1"/>
    <row r="46683" ht="15.75" customHeight="1"/>
    <row r="46684" ht="15.75" customHeight="1"/>
    <row r="46685" ht="15.75" customHeight="1"/>
    <row r="46686" ht="15.75" customHeight="1"/>
    <row r="46687" ht="15.75" customHeight="1"/>
    <row r="46688" ht="15.75" customHeight="1"/>
    <row r="46689" ht="15.75" customHeight="1"/>
    <row r="46690" ht="15.75" customHeight="1"/>
    <row r="46691" ht="15.75" customHeight="1"/>
    <row r="46692" ht="15.75" customHeight="1"/>
    <row r="46693" ht="15.75" customHeight="1"/>
    <row r="46694" ht="15.75" customHeight="1"/>
    <row r="46695" ht="15.75" customHeight="1"/>
    <row r="46696" ht="15.75" customHeight="1"/>
    <row r="46697" ht="15.75" customHeight="1"/>
    <row r="46698" ht="15.75" customHeight="1"/>
    <row r="46699" ht="15.75" customHeight="1"/>
    <row r="46700" ht="15.75" customHeight="1"/>
    <row r="46701" ht="15.75" customHeight="1"/>
    <row r="46702" ht="15.75" customHeight="1"/>
    <row r="46703" ht="15.75" customHeight="1"/>
    <row r="46704" ht="15.75" customHeight="1"/>
    <row r="46705" ht="15.75" customHeight="1"/>
    <row r="46706" ht="15.75" customHeight="1"/>
    <row r="46707" ht="15.75" customHeight="1"/>
    <row r="46708" ht="15.75" customHeight="1"/>
    <row r="46709" ht="15.75" customHeight="1"/>
    <row r="46710" ht="15.75" customHeight="1"/>
    <row r="46711" ht="15.75" customHeight="1"/>
    <row r="46712" ht="15.75" customHeight="1"/>
    <row r="46713" ht="15.75" customHeight="1"/>
    <row r="46714" ht="15.75" customHeight="1"/>
    <row r="46715" ht="15.75" customHeight="1"/>
    <row r="46716" ht="15.75" customHeight="1"/>
    <row r="46717" ht="15.75" customHeight="1"/>
    <row r="46718" ht="15.75" customHeight="1"/>
    <row r="46719" ht="15.75" customHeight="1"/>
    <row r="46720" ht="15.75" customHeight="1"/>
    <row r="46721" ht="15.75" customHeight="1"/>
    <row r="46722" ht="15.75" customHeight="1"/>
    <row r="46723" ht="15.75" customHeight="1"/>
    <row r="46724" ht="15.75" customHeight="1"/>
    <row r="46725" ht="15.75" customHeight="1"/>
    <row r="46726" ht="15.75" customHeight="1"/>
    <row r="46727" ht="15.75" customHeight="1"/>
    <row r="46728" ht="15.75" customHeight="1"/>
    <row r="46729" ht="15.75" customHeight="1"/>
    <row r="46730" ht="15.75" customHeight="1"/>
    <row r="46731" ht="15.75" customHeight="1"/>
    <row r="46732" ht="15.75" customHeight="1"/>
    <row r="46733" ht="15.75" customHeight="1"/>
    <row r="46734" ht="15.75" customHeight="1"/>
    <row r="46735" ht="15.75" customHeight="1"/>
    <row r="46736" ht="15.75" customHeight="1"/>
    <row r="46737" ht="15.75" customHeight="1"/>
    <row r="46738" ht="15.75" customHeight="1"/>
    <row r="46739" ht="15.75" customHeight="1"/>
    <row r="46740" ht="15.75" customHeight="1"/>
    <row r="46741" ht="15.75" customHeight="1"/>
    <row r="46742" ht="15.75" customHeight="1"/>
    <row r="46743" ht="15.75" customHeight="1"/>
    <row r="46744" ht="15.75" customHeight="1"/>
    <row r="46745" ht="15.75" customHeight="1"/>
    <row r="46746" ht="15.75" customHeight="1"/>
    <row r="46747" ht="15.75" customHeight="1"/>
    <row r="46748" ht="15.75" customHeight="1"/>
    <row r="46749" ht="15.75" customHeight="1"/>
    <row r="46750" ht="15.75" customHeight="1"/>
    <row r="46751" ht="15.75" customHeight="1"/>
    <row r="46752" ht="15.75" customHeight="1"/>
    <row r="46753" ht="15.75" customHeight="1"/>
    <row r="46754" ht="15.75" customHeight="1"/>
    <row r="46755" ht="15.75" customHeight="1"/>
    <row r="46756" ht="15.75" customHeight="1"/>
    <row r="46757" ht="15.75" customHeight="1"/>
    <row r="46758" ht="15.75" customHeight="1"/>
    <row r="46759" ht="15.75" customHeight="1"/>
    <row r="46760" ht="15.75" customHeight="1"/>
    <row r="46761" ht="15.75" customHeight="1"/>
    <row r="46762" ht="15.75" customHeight="1"/>
    <row r="46763" ht="15.75" customHeight="1"/>
    <row r="46764" ht="15.75" customHeight="1"/>
    <row r="46765" ht="15.75" customHeight="1"/>
    <row r="46766" ht="15.75" customHeight="1"/>
    <row r="46767" ht="15.75" customHeight="1"/>
    <row r="46768" ht="15.75" customHeight="1"/>
    <row r="46769" ht="15.75" customHeight="1"/>
    <row r="46770" ht="15.75" customHeight="1"/>
    <row r="46771" ht="15.75" customHeight="1"/>
    <row r="46772" ht="15.75" customHeight="1"/>
    <row r="46773" ht="15.75" customHeight="1"/>
    <row r="46774" ht="15.75" customHeight="1"/>
    <row r="46775" ht="15.75" customHeight="1"/>
    <row r="46776" ht="15.75" customHeight="1"/>
    <row r="46777" ht="15.75" customHeight="1"/>
    <row r="46778" ht="15.75" customHeight="1"/>
    <row r="46779" ht="15.75" customHeight="1"/>
    <row r="46780" ht="15.75" customHeight="1"/>
    <row r="46781" ht="15.75" customHeight="1"/>
    <row r="46782" ht="15.75" customHeight="1"/>
    <row r="46783" ht="15.75" customHeight="1"/>
    <row r="46784" ht="15.75" customHeight="1"/>
    <row r="46785" ht="15.75" customHeight="1"/>
    <row r="46786" ht="15.75" customHeight="1"/>
    <row r="46787" ht="15.75" customHeight="1"/>
    <row r="46788" ht="15.75" customHeight="1"/>
    <row r="46789" ht="15.75" customHeight="1"/>
    <row r="46790" ht="15.75" customHeight="1"/>
    <row r="46791" ht="15.75" customHeight="1"/>
    <row r="46792" ht="15.75" customHeight="1"/>
    <row r="46793" ht="15.75" customHeight="1"/>
    <row r="46794" ht="15.75" customHeight="1"/>
    <row r="46795" ht="15.75" customHeight="1"/>
    <row r="46796" ht="15.75" customHeight="1"/>
    <row r="46797" ht="15.75" customHeight="1"/>
    <row r="46798" ht="15.75" customHeight="1"/>
    <row r="46799" ht="15.75" customHeight="1"/>
    <row r="46800" ht="15.75" customHeight="1"/>
    <row r="46801" ht="15.75" customHeight="1"/>
    <row r="46802" ht="15.75" customHeight="1"/>
    <row r="46803" ht="15.75" customHeight="1"/>
    <row r="46804" ht="15.75" customHeight="1"/>
    <row r="46805" ht="15.75" customHeight="1"/>
    <row r="46806" ht="15.75" customHeight="1"/>
    <row r="46807" ht="15.75" customHeight="1"/>
    <row r="46808" ht="15.75" customHeight="1"/>
    <row r="46809" ht="15.75" customHeight="1"/>
    <row r="46810" ht="15.75" customHeight="1"/>
    <row r="46811" ht="15.75" customHeight="1"/>
    <row r="46812" ht="15.75" customHeight="1"/>
    <row r="46813" ht="15.75" customHeight="1"/>
    <row r="46814" ht="15.75" customHeight="1"/>
    <row r="46815" ht="15.75" customHeight="1"/>
    <row r="46816" ht="15.75" customHeight="1"/>
    <row r="46817" ht="15.75" customHeight="1"/>
    <row r="46818" ht="15.75" customHeight="1"/>
    <row r="46819" ht="15.75" customHeight="1"/>
    <row r="46820" ht="15.75" customHeight="1"/>
    <row r="46821" ht="15.75" customHeight="1"/>
    <row r="46822" ht="15.75" customHeight="1"/>
    <row r="46823" ht="15.75" customHeight="1"/>
    <row r="46824" ht="15.75" customHeight="1"/>
    <row r="46825" ht="15.75" customHeight="1"/>
    <row r="46826" ht="15.75" customHeight="1"/>
    <row r="46827" ht="15.75" customHeight="1"/>
    <row r="46828" ht="15.75" customHeight="1"/>
    <row r="46829" ht="15.75" customHeight="1"/>
    <row r="46830" ht="15.75" customHeight="1"/>
    <row r="46831" ht="15.75" customHeight="1"/>
    <row r="46832" ht="15.75" customHeight="1"/>
    <row r="46833" ht="15.75" customHeight="1"/>
    <row r="46834" ht="15.75" customHeight="1"/>
    <row r="46835" ht="15.75" customHeight="1"/>
    <row r="46836" ht="15.75" customHeight="1"/>
    <row r="46837" ht="15.75" customHeight="1"/>
    <row r="46838" ht="15.75" customHeight="1"/>
    <row r="46839" ht="15.75" customHeight="1"/>
    <row r="46840" ht="15.75" customHeight="1"/>
    <row r="46841" ht="15.75" customHeight="1"/>
    <row r="46842" ht="15.75" customHeight="1"/>
    <row r="46843" ht="15.75" customHeight="1"/>
    <row r="46844" ht="15.75" customHeight="1"/>
    <row r="46845" ht="15.75" customHeight="1"/>
    <row r="46846" ht="15.75" customHeight="1"/>
    <row r="46847" ht="15.75" customHeight="1"/>
    <row r="46848" ht="15.75" customHeight="1"/>
    <row r="46849" ht="15.75" customHeight="1"/>
    <row r="46850" ht="15.75" customHeight="1"/>
    <row r="46851" ht="15.75" customHeight="1"/>
    <row r="46852" ht="15.75" customHeight="1"/>
    <row r="46853" ht="15.75" customHeight="1"/>
    <row r="46854" ht="15.75" customHeight="1"/>
    <row r="46855" ht="15.75" customHeight="1"/>
    <row r="46856" ht="15.75" customHeight="1"/>
    <row r="46857" ht="15.75" customHeight="1"/>
    <row r="46858" ht="15.75" customHeight="1"/>
    <row r="46859" ht="15.75" customHeight="1"/>
    <row r="46860" ht="15.75" customHeight="1"/>
    <row r="46861" ht="15.75" customHeight="1"/>
    <row r="46862" ht="15.75" customHeight="1"/>
    <row r="46863" ht="15.75" customHeight="1"/>
    <row r="46864" ht="15.75" customHeight="1"/>
    <row r="46865" ht="15.75" customHeight="1"/>
    <row r="46866" ht="15.75" customHeight="1"/>
    <row r="46867" ht="15.75" customHeight="1"/>
    <row r="46868" ht="15.75" customHeight="1"/>
    <row r="46869" ht="15.75" customHeight="1"/>
    <row r="46870" ht="15.75" customHeight="1"/>
    <row r="46871" ht="15.75" customHeight="1"/>
    <row r="46872" ht="15.75" customHeight="1"/>
    <row r="46873" ht="15.75" customHeight="1"/>
    <row r="46874" ht="15.75" customHeight="1"/>
    <row r="46875" ht="15.75" customHeight="1"/>
    <row r="46876" ht="15.75" customHeight="1"/>
    <row r="46877" ht="15.75" customHeight="1"/>
    <row r="46878" ht="15.75" customHeight="1"/>
    <row r="46879" ht="15.75" customHeight="1"/>
    <row r="46880" ht="15.75" customHeight="1"/>
    <row r="46881" ht="15.75" customHeight="1"/>
    <row r="46882" ht="15.75" customHeight="1"/>
    <row r="46883" ht="15.75" customHeight="1"/>
    <row r="46884" ht="15.75" customHeight="1"/>
    <row r="46885" ht="15.75" customHeight="1"/>
    <row r="46886" ht="15.75" customHeight="1"/>
    <row r="46887" ht="15.75" customHeight="1"/>
    <row r="46888" ht="15.75" customHeight="1"/>
    <row r="46889" ht="15.75" customHeight="1"/>
    <row r="46890" ht="15.75" customHeight="1"/>
    <row r="46891" ht="15.75" customHeight="1"/>
    <row r="46892" ht="15.75" customHeight="1"/>
    <row r="46893" ht="15.75" customHeight="1"/>
    <row r="46894" ht="15.75" customHeight="1"/>
    <row r="46895" ht="15.75" customHeight="1"/>
    <row r="46896" ht="15.75" customHeight="1"/>
    <row r="46897" ht="15.75" customHeight="1"/>
    <row r="46898" ht="15.75" customHeight="1"/>
    <row r="46899" ht="15.75" customHeight="1"/>
    <row r="46900" ht="15.75" customHeight="1"/>
    <row r="46901" ht="15.75" customHeight="1"/>
    <row r="46902" ht="15.75" customHeight="1"/>
    <row r="46903" ht="15.75" customHeight="1"/>
    <row r="46904" ht="15.75" customHeight="1"/>
    <row r="46905" ht="15.75" customHeight="1"/>
    <row r="46906" ht="15.75" customHeight="1"/>
    <row r="46907" ht="15.75" customHeight="1"/>
    <row r="46908" ht="15.75" customHeight="1"/>
    <row r="46909" ht="15.75" customHeight="1"/>
    <row r="46910" ht="15.75" customHeight="1"/>
    <row r="46911" ht="15.75" customHeight="1"/>
    <row r="46912" ht="15.75" customHeight="1"/>
    <row r="46913" ht="15.75" customHeight="1"/>
    <row r="46914" ht="15.75" customHeight="1"/>
    <row r="46915" ht="15.75" customHeight="1"/>
    <row r="46916" ht="15.75" customHeight="1"/>
    <row r="46917" ht="15.75" customHeight="1"/>
    <row r="46918" ht="15.75" customHeight="1"/>
    <row r="46919" ht="15.75" customHeight="1"/>
    <row r="46920" ht="15.75" customHeight="1"/>
    <row r="46921" ht="15.75" customHeight="1"/>
    <row r="46922" ht="15.75" customHeight="1"/>
    <row r="46923" ht="15.75" customHeight="1"/>
    <row r="46924" ht="15.75" customHeight="1"/>
    <row r="46925" ht="15.75" customHeight="1"/>
    <row r="46926" ht="15.75" customHeight="1"/>
    <row r="46927" ht="15.75" customHeight="1"/>
    <row r="46928" ht="15.75" customHeight="1"/>
    <row r="46929" ht="15.75" customHeight="1"/>
    <row r="46930" ht="15.75" customHeight="1"/>
    <row r="46931" ht="15.75" customHeight="1"/>
    <row r="46932" ht="15.75" customHeight="1"/>
    <row r="46933" ht="15.75" customHeight="1"/>
    <row r="46934" ht="15.75" customHeight="1"/>
    <row r="46935" ht="15.75" customHeight="1"/>
    <row r="46936" ht="15.75" customHeight="1"/>
    <row r="46937" ht="15.75" customHeight="1"/>
    <row r="46938" ht="15.75" customHeight="1"/>
    <row r="46939" ht="15.75" customHeight="1"/>
    <row r="46940" ht="15.75" customHeight="1"/>
    <row r="46941" ht="15.75" customHeight="1"/>
    <row r="46942" ht="15.75" customHeight="1"/>
    <row r="46943" ht="15.75" customHeight="1"/>
    <row r="46944" ht="15.75" customHeight="1"/>
    <row r="46945" ht="15.75" customHeight="1"/>
    <row r="46946" ht="15.75" customHeight="1"/>
    <row r="46947" ht="15.75" customHeight="1"/>
    <row r="46948" ht="15.75" customHeight="1"/>
    <row r="46949" ht="15.75" customHeight="1"/>
    <row r="46950" ht="15.75" customHeight="1"/>
    <row r="46951" ht="15.75" customHeight="1"/>
    <row r="46952" ht="15.75" customHeight="1"/>
    <row r="46953" ht="15.75" customHeight="1"/>
    <row r="46954" ht="15.75" customHeight="1"/>
    <row r="46955" ht="15.75" customHeight="1"/>
    <row r="46956" ht="15.75" customHeight="1"/>
    <row r="46957" ht="15.75" customHeight="1"/>
    <row r="46958" ht="15.75" customHeight="1"/>
    <row r="46959" ht="15.75" customHeight="1"/>
    <row r="46960" ht="15.75" customHeight="1"/>
    <row r="46961" ht="15.75" customHeight="1"/>
    <row r="46962" ht="15.75" customHeight="1"/>
    <row r="46963" ht="15.75" customHeight="1"/>
    <row r="46964" ht="15.75" customHeight="1"/>
    <row r="46965" ht="15.75" customHeight="1"/>
    <row r="46966" ht="15.75" customHeight="1"/>
    <row r="46967" ht="15.75" customHeight="1"/>
    <row r="46968" ht="15.75" customHeight="1"/>
    <row r="46969" ht="15.75" customHeight="1"/>
    <row r="46970" ht="15.75" customHeight="1"/>
    <row r="46971" ht="15.75" customHeight="1"/>
    <row r="46972" ht="15.75" customHeight="1"/>
    <row r="46973" ht="15.75" customHeight="1"/>
    <row r="46974" ht="15.75" customHeight="1"/>
    <row r="46975" ht="15.75" customHeight="1"/>
    <row r="46976" ht="15.75" customHeight="1"/>
    <row r="46977" ht="15.75" customHeight="1"/>
    <row r="46978" ht="15.75" customHeight="1"/>
    <row r="46979" ht="15.75" customHeight="1"/>
    <row r="46980" ht="15.75" customHeight="1"/>
    <row r="46981" ht="15.75" customHeight="1"/>
    <row r="46982" ht="15.75" customHeight="1"/>
    <row r="46983" ht="15.75" customHeight="1"/>
    <row r="46984" ht="15.75" customHeight="1"/>
    <row r="46985" ht="15.75" customHeight="1"/>
    <row r="46986" ht="15.75" customHeight="1"/>
    <row r="46987" ht="15.75" customHeight="1"/>
    <row r="46988" ht="15.75" customHeight="1"/>
    <row r="46989" ht="15.75" customHeight="1"/>
    <row r="46990" ht="15.75" customHeight="1"/>
    <row r="46991" ht="15.75" customHeight="1"/>
    <row r="46992" ht="15.75" customHeight="1"/>
    <row r="46993" ht="15.75" customHeight="1"/>
    <row r="46994" ht="15.75" customHeight="1"/>
    <row r="46995" ht="15.75" customHeight="1"/>
    <row r="46996" ht="15.75" customHeight="1"/>
    <row r="46997" ht="15.75" customHeight="1"/>
    <row r="46998" ht="15.75" customHeight="1"/>
    <row r="46999" ht="15.75" customHeight="1"/>
    <row r="47000" ht="15.75" customHeight="1"/>
    <row r="47001" ht="15.75" customHeight="1"/>
    <row r="47002" ht="15.75" customHeight="1"/>
    <row r="47003" ht="15.75" customHeight="1"/>
    <row r="47004" ht="15.75" customHeight="1"/>
    <row r="47005" ht="15.75" customHeight="1"/>
    <row r="47006" ht="15.75" customHeight="1"/>
    <row r="47007" ht="15.75" customHeight="1"/>
    <row r="47008" ht="15.75" customHeight="1"/>
    <row r="47009" ht="15.75" customHeight="1"/>
    <row r="47010" ht="15.75" customHeight="1"/>
    <row r="47011" ht="15.75" customHeight="1"/>
    <row r="47012" ht="15.75" customHeight="1"/>
    <row r="47013" ht="15.75" customHeight="1"/>
    <row r="47014" ht="15.75" customHeight="1"/>
    <row r="47015" ht="15.75" customHeight="1"/>
    <row r="47016" ht="15.75" customHeight="1"/>
    <row r="47017" ht="15.75" customHeight="1"/>
    <row r="47018" ht="15.75" customHeight="1"/>
    <row r="47019" ht="15.75" customHeight="1"/>
    <row r="47020" ht="15.75" customHeight="1"/>
    <row r="47021" ht="15.75" customHeight="1"/>
    <row r="47022" ht="15.75" customHeight="1"/>
    <row r="47023" ht="15.75" customHeight="1"/>
    <row r="47024" ht="15.75" customHeight="1"/>
    <row r="47025" ht="15.75" customHeight="1"/>
    <row r="47026" ht="15.75" customHeight="1"/>
    <row r="47027" ht="15.75" customHeight="1"/>
    <row r="47028" ht="15.75" customHeight="1"/>
    <row r="47029" ht="15.75" customHeight="1"/>
    <row r="47030" ht="15.75" customHeight="1"/>
    <row r="47031" ht="15.75" customHeight="1"/>
    <row r="47032" ht="15.75" customHeight="1"/>
    <row r="47033" ht="15.75" customHeight="1"/>
    <row r="47034" ht="15.75" customHeight="1"/>
    <row r="47035" ht="15.75" customHeight="1"/>
    <row r="47036" ht="15.75" customHeight="1"/>
    <row r="47037" ht="15.75" customHeight="1"/>
    <row r="47038" ht="15.75" customHeight="1"/>
    <row r="47039" ht="15.75" customHeight="1"/>
    <row r="47040" ht="15.75" customHeight="1"/>
    <row r="47041" ht="15.75" customHeight="1"/>
    <row r="47042" ht="15.75" customHeight="1"/>
    <row r="47043" ht="15.75" customHeight="1"/>
    <row r="47044" ht="15.75" customHeight="1"/>
    <row r="47045" ht="15.75" customHeight="1"/>
    <row r="47046" ht="15.75" customHeight="1"/>
    <row r="47047" ht="15.75" customHeight="1"/>
    <row r="47048" ht="15.75" customHeight="1"/>
    <row r="47049" ht="15.75" customHeight="1"/>
    <row r="47050" ht="15.75" customHeight="1"/>
    <row r="47051" ht="15.75" customHeight="1"/>
    <row r="47052" ht="15.75" customHeight="1"/>
    <row r="47053" ht="15.75" customHeight="1"/>
    <row r="47054" ht="15.75" customHeight="1"/>
    <row r="47055" ht="15.75" customHeight="1"/>
    <row r="47056" ht="15.75" customHeight="1"/>
    <row r="47057" ht="15.75" customHeight="1"/>
    <row r="47058" ht="15.75" customHeight="1"/>
    <row r="47059" ht="15.75" customHeight="1"/>
    <row r="47060" ht="15.75" customHeight="1"/>
    <row r="47061" ht="15.75" customHeight="1"/>
    <row r="47062" ht="15.75" customHeight="1"/>
    <row r="47063" ht="15.75" customHeight="1"/>
    <row r="47064" ht="15.75" customHeight="1"/>
    <row r="47065" ht="15.75" customHeight="1"/>
    <row r="47066" ht="15.75" customHeight="1"/>
    <row r="47067" ht="15.75" customHeight="1"/>
    <row r="47068" ht="15.75" customHeight="1"/>
    <row r="47069" ht="15.75" customHeight="1"/>
    <row r="47070" ht="15.75" customHeight="1"/>
    <row r="47071" ht="15.75" customHeight="1"/>
    <row r="47072" ht="15.75" customHeight="1"/>
    <row r="47073" ht="15.75" customHeight="1"/>
    <row r="47074" ht="15.75" customHeight="1"/>
    <row r="47075" ht="15.75" customHeight="1"/>
    <row r="47076" ht="15.75" customHeight="1"/>
    <row r="47077" ht="15.75" customHeight="1"/>
    <row r="47078" ht="15.75" customHeight="1"/>
    <row r="47079" ht="15.75" customHeight="1"/>
    <row r="47080" ht="15.75" customHeight="1"/>
    <row r="47081" ht="15.75" customHeight="1"/>
    <row r="47082" ht="15.75" customHeight="1"/>
    <row r="47083" ht="15.75" customHeight="1"/>
    <row r="47084" ht="15.75" customHeight="1"/>
    <row r="47085" ht="15.75" customHeight="1"/>
    <row r="47086" ht="15.75" customHeight="1"/>
    <row r="47087" ht="15.75" customHeight="1"/>
    <row r="47088" ht="15.75" customHeight="1"/>
    <row r="47089" ht="15.75" customHeight="1"/>
    <row r="47090" ht="15.75" customHeight="1"/>
    <row r="47091" ht="15.75" customHeight="1"/>
    <row r="47092" ht="15.75" customHeight="1"/>
    <row r="47093" ht="15.75" customHeight="1"/>
    <row r="47094" ht="15.75" customHeight="1"/>
    <row r="47095" ht="15.75" customHeight="1"/>
    <row r="47096" ht="15.75" customHeight="1"/>
    <row r="47097" ht="15.75" customHeight="1"/>
    <row r="47098" ht="15.75" customHeight="1"/>
    <row r="47099" ht="15.75" customHeight="1"/>
    <row r="47100" ht="15.75" customHeight="1"/>
    <row r="47101" ht="15.75" customHeight="1"/>
    <row r="47102" ht="15.75" customHeight="1"/>
    <row r="47103" ht="15.75" customHeight="1"/>
    <row r="47104" ht="15.75" customHeight="1"/>
    <row r="47105" ht="15.75" customHeight="1"/>
    <row r="47106" ht="15.75" customHeight="1"/>
    <row r="47107" ht="15.75" customHeight="1"/>
    <row r="47108" ht="15.75" customHeight="1"/>
    <row r="47109" ht="15.75" customHeight="1"/>
    <row r="47110" ht="15.75" customHeight="1"/>
    <row r="47111" ht="15.75" customHeight="1"/>
    <row r="47112" ht="15.75" customHeight="1"/>
    <row r="47113" ht="15.75" customHeight="1"/>
    <row r="47114" ht="15.75" customHeight="1"/>
    <row r="47115" ht="15.75" customHeight="1"/>
    <row r="47116" ht="15.75" customHeight="1"/>
    <row r="47117" ht="15.75" customHeight="1"/>
    <row r="47118" ht="15.75" customHeight="1"/>
    <row r="47119" ht="15.75" customHeight="1"/>
    <row r="47120" ht="15.75" customHeight="1"/>
    <row r="47121" ht="15.75" customHeight="1"/>
    <row r="47122" ht="15.75" customHeight="1"/>
    <row r="47123" ht="15.75" customHeight="1"/>
    <row r="47124" ht="15.75" customHeight="1"/>
    <row r="47125" ht="15.75" customHeight="1"/>
    <row r="47126" ht="15.75" customHeight="1"/>
    <row r="47127" ht="15.75" customHeight="1"/>
    <row r="47128" ht="15.75" customHeight="1"/>
    <row r="47129" ht="15.75" customHeight="1"/>
    <row r="47130" ht="15.75" customHeight="1"/>
    <row r="47131" ht="15.75" customHeight="1"/>
    <row r="47132" ht="15.75" customHeight="1"/>
    <row r="47133" ht="15.75" customHeight="1"/>
    <row r="47134" ht="15.75" customHeight="1"/>
    <row r="47135" ht="15.75" customHeight="1"/>
    <row r="47136" ht="15.75" customHeight="1"/>
    <row r="47137" ht="15.75" customHeight="1"/>
    <row r="47138" ht="15.75" customHeight="1"/>
    <row r="47139" ht="15.75" customHeight="1"/>
    <row r="47140" ht="15.75" customHeight="1"/>
    <row r="47141" ht="15.75" customHeight="1"/>
    <row r="47142" ht="15.75" customHeight="1"/>
    <row r="47143" ht="15.75" customHeight="1"/>
    <row r="47144" ht="15.75" customHeight="1"/>
    <row r="47145" ht="15.75" customHeight="1"/>
    <row r="47146" ht="15.75" customHeight="1"/>
    <row r="47147" ht="15.75" customHeight="1"/>
    <row r="47148" ht="15.75" customHeight="1"/>
    <row r="47149" ht="15.75" customHeight="1"/>
    <row r="47150" ht="15.75" customHeight="1"/>
    <row r="47151" ht="15.75" customHeight="1"/>
    <row r="47152" ht="15.75" customHeight="1"/>
    <row r="47153" ht="15.75" customHeight="1"/>
    <row r="47154" ht="15.75" customHeight="1"/>
    <row r="47155" ht="15.75" customHeight="1"/>
    <row r="47156" ht="15.75" customHeight="1"/>
    <row r="47157" ht="15.75" customHeight="1"/>
    <row r="47158" ht="15.75" customHeight="1"/>
    <row r="47159" ht="15.75" customHeight="1"/>
    <row r="47160" ht="15.75" customHeight="1"/>
    <row r="47161" ht="15.75" customHeight="1"/>
    <row r="47162" ht="15.75" customHeight="1"/>
    <row r="47163" ht="15.75" customHeight="1"/>
    <row r="47164" ht="15.75" customHeight="1"/>
    <row r="47165" ht="15.75" customHeight="1"/>
    <row r="47166" ht="15.75" customHeight="1"/>
    <row r="47167" ht="15.75" customHeight="1"/>
    <row r="47168" ht="15.75" customHeight="1"/>
    <row r="47169" ht="15.75" customHeight="1"/>
    <row r="47170" ht="15.75" customHeight="1"/>
    <row r="47171" ht="15.75" customHeight="1"/>
    <row r="47172" ht="15.75" customHeight="1"/>
    <row r="47173" ht="15.75" customHeight="1"/>
    <row r="47174" ht="15.75" customHeight="1"/>
    <row r="47175" ht="15.75" customHeight="1"/>
    <row r="47176" ht="15.75" customHeight="1"/>
    <row r="47177" ht="15.75" customHeight="1"/>
    <row r="47178" ht="15.75" customHeight="1"/>
    <row r="47179" ht="15.75" customHeight="1"/>
    <row r="47180" ht="15.75" customHeight="1"/>
    <row r="47181" ht="15.75" customHeight="1"/>
    <row r="47182" ht="15.75" customHeight="1"/>
    <row r="47183" ht="15.75" customHeight="1"/>
    <row r="47184" ht="15.75" customHeight="1"/>
    <row r="47185" ht="15.75" customHeight="1"/>
    <row r="47186" ht="15.75" customHeight="1"/>
    <row r="47187" ht="15.75" customHeight="1"/>
    <row r="47188" ht="15.75" customHeight="1"/>
    <row r="47189" ht="15.75" customHeight="1"/>
    <row r="47190" ht="15.75" customHeight="1"/>
    <row r="47191" ht="15.75" customHeight="1"/>
    <row r="47192" ht="15.75" customHeight="1"/>
    <row r="47193" ht="15.75" customHeight="1"/>
    <row r="47194" ht="15.75" customHeight="1"/>
    <row r="47195" ht="15.75" customHeight="1"/>
    <row r="47196" ht="15.75" customHeight="1"/>
    <row r="47197" ht="15.75" customHeight="1"/>
    <row r="47198" ht="15.75" customHeight="1"/>
    <row r="47199" ht="15.75" customHeight="1"/>
    <row r="47200" ht="15.75" customHeight="1"/>
    <row r="47201" ht="15.75" customHeight="1"/>
    <row r="47202" ht="15.75" customHeight="1"/>
    <row r="47203" ht="15.75" customHeight="1"/>
    <row r="47204" ht="15.75" customHeight="1"/>
    <row r="47205" ht="15.75" customHeight="1"/>
    <row r="47206" ht="15.75" customHeight="1"/>
    <row r="47207" ht="15.75" customHeight="1"/>
    <row r="47208" ht="15.75" customHeight="1"/>
    <row r="47209" ht="15.75" customHeight="1"/>
    <row r="47210" ht="15.75" customHeight="1"/>
    <row r="47211" ht="15.75" customHeight="1"/>
    <row r="47212" ht="15.75" customHeight="1"/>
    <row r="47213" ht="15.75" customHeight="1"/>
    <row r="47214" ht="15.75" customHeight="1"/>
    <row r="47215" ht="15.75" customHeight="1"/>
    <row r="47216" ht="15.75" customHeight="1"/>
    <row r="47217" ht="15.75" customHeight="1"/>
    <row r="47218" ht="15.75" customHeight="1"/>
    <row r="47219" ht="15.75" customHeight="1"/>
    <row r="47220" ht="15.75" customHeight="1"/>
    <row r="47221" ht="15.75" customHeight="1"/>
    <row r="47222" ht="15.75" customHeight="1"/>
    <row r="47223" ht="15.75" customHeight="1"/>
    <row r="47224" ht="15.75" customHeight="1"/>
    <row r="47225" ht="15.75" customHeight="1"/>
    <row r="47226" ht="15.75" customHeight="1"/>
    <row r="47227" ht="15.75" customHeight="1"/>
    <row r="47228" ht="15.75" customHeight="1"/>
    <row r="47229" ht="15.75" customHeight="1"/>
    <row r="47230" ht="15.75" customHeight="1"/>
    <row r="47231" ht="15.75" customHeight="1"/>
    <row r="47232" ht="15.75" customHeight="1"/>
    <row r="47233" ht="15.75" customHeight="1"/>
    <row r="47234" ht="15.75" customHeight="1"/>
    <row r="47235" ht="15.75" customHeight="1"/>
    <row r="47236" ht="15.75" customHeight="1"/>
    <row r="47237" ht="15.75" customHeight="1"/>
    <row r="47238" ht="15.75" customHeight="1"/>
    <row r="47239" ht="15.75" customHeight="1"/>
    <row r="47240" ht="15.75" customHeight="1"/>
    <row r="47241" ht="15.75" customHeight="1"/>
    <row r="47242" ht="15.75" customHeight="1"/>
    <row r="47243" ht="15.75" customHeight="1"/>
    <row r="47244" ht="15.75" customHeight="1"/>
    <row r="47245" ht="15.75" customHeight="1"/>
    <row r="47246" ht="15.75" customHeight="1"/>
    <row r="47247" ht="15.75" customHeight="1"/>
    <row r="47248" ht="15.75" customHeight="1"/>
    <row r="47249" ht="15.75" customHeight="1"/>
    <row r="47250" ht="15.75" customHeight="1"/>
    <row r="47251" ht="15.75" customHeight="1"/>
    <row r="47252" ht="15.75" customHeight="1"/>
    <row r="47253" ht="15.75" customHeight="1"/>
    <row r="47254" ht="15.75" customHeight="1"/>
    <row r="47255" ht="15.75" customHeight="1"/>
    <row r="47256" ht="15.75" customHeight="1"/>
    <row r="47257" ht="15.75" customHeight="1"/>
    <row r="47258" ht="15.75" customHeight="1"/>
    <row r="47259" ht="15.75" customHeight="1"/>
    <row r="47260" ht="15.75" customHeight="1"/>
    <row r="47261" ht="15.75" customHeight="1"/>
    <row r="47262" ht="15.75" customHeight="1"/>
    <row r="47263" ht="15.75" customHeight="1"/>
    <row r="47264" ht="15.75" customHeight="1"/>
    <row r="47265" ht="15.75" customHeight="1"/>
    <row r="47266" ht="15.75" customHeight="1"/>
    <row r="47267" ht="15.75" customHeight="1"/>
    <row r="47268" ht="15.75" customHeight="1"/>
    <row r="47269" ht="15.75" customHeight="1"/>
    <row r="47270" ht="15.75" customHeight="1"/>
    <row r="47271" ht="15.75" customHeight="1"/>
    <row r="47272" ht="15.75" customHeight="1"/>
    <row r="47273" ht="15.75" customHeight="1"/>
    <row r="47274" ht="15.75" customHeight="1"/>
    <row r="47275" ht="15.75" customHeight="1"/>
    <row r="47276" ht="15.75" customHeight="1"/>
    <row r="47277" ht="15.75" customHeight="1"/>
    <row r="47278" ht="15.75" customHeight="1"/>
    <row r="47279" ht="15.75" customHeight="1"/>
    <row r="47280" ht="15.75" customHeight="1"/>
    <row r="47281" ht="15.75" customHeight="1"/>
    <row r="47282" ht="15.75" customHeight="1"/>
    <row r="47283" ht="15.75" customHeight="1"/>
    <row r="47284" ht="15.75" customHeight="1"/>
    <row r="47285" ht="15.75" customHeight="1"/>
    <row r="47286" ht="15.75" customHeight="1"/>
    <row r="47287" ht="15.75" customHeight="1"/>
    <row r="47288" ht="15.75" customHeight="1"/>
    <row r="47289" ht="15.75" customHeight="1"/>
    <row r="47290" ht="15.75" customHeight="1"/>
    <row r="47291" ht="15.75" customHeight="1"/>
    <row r="47292" ht="15.75" customHeight="1"/>
    <row r="47293" ht="15.75" customHeight="1"/>
    <row r="47294" ht="15.75" customHeight="1"/>
    <row r="47295" ht="15.75" customHeight="1"/>
    <row r="47296" ht="15.75" customHeight="1"/>
    <row r="47297" ht="15.75" customHeight="1"/>
    <row r="47298" ht="15.75" customHeight="1"/>
    <row r="47299" ht="15.75" customHeight="1"/>
    <row r="47300" ht="15.75" customHeight="1"/>
    <row r="47301" ht="15.75" customHeight="1"/>
    <row r="47302" ht="15.75" customHeight="1"/>
    <row r="47303" ht="15.75" customHeight="1"/>
    <row r="47304" ht="15.75" customHeight="1"/>
    <row r="47305" ht="15.75" customHeight="1"/>
    <row r="47306" ht="15.75" customHeight="1"/>
    <row r="47307" ht="15.75" customHeight="1"/>
    <row r="47308" ht="15.75" customHeight="1"/>
    <row r="47309" ht="15.75" customHeight="1"/>
    <row r="47310" ht="15.75" customHeight="1"/>
    <row r="47311" ht="15.75" customHeight="1"/>
    <row r="47312" ht="15.75" customHeight="1"/>
    <row r="47313" ht="15.75" customHeight="1"/>
    <row r="47314" ht="15.75" customHeight="1"/>
    <row r="47315" ht="15.75" customHeight="1"/>
    <row r="47316" ht="15.75" customHeight="1"/>
    <row r="47317" ht="15.75" customHeight="1"/>
    <row r="47318" ht="15.75" customHeight="1"/>
    <row r="47319" ht="15.75" customHeight="1"/>
    <row r="47320" ht="15.75" customHeight="1"/>
    <row r="47321" ht="15.75" customHeight="1"/>
    <row r="47322" ht="15.75" customHeight="1"/>
    <row r="47323" ht="15.75" customHeight="1"/>
    <row r="47324" ht="15.75" customHeight="1"/>
    <row r="47325" ht="15.75" customHeight="1"/>
    <row r="47326" ht="15.75" customHeight="1"/>
    <row r="47327" ht="15.75" customHeight="1"/>
    <row r="47328" ht="15.75" customHeight="1"/>
    <row r="47329" ht="15.75" customHeight="1"/>
    <row r="47330" ht="15.75" customHeight="1"/>
    <row r="47331" ht="15.75" customHeight="1"/>
    <row r="47332" ht="15.75" customHeight="1"/>
    <row r="47333" ht="15.75" customHeight="1"/>
    <row r="47334" ht="15.75" customHeight="1"/>
    <row r="47335" ht="15.75" customHeight="1"/>
    <row r="47336" ht="15.75" customHeight="1"/>
    <row r="47337" ht="15.75" customHeight="1"/>
    <row r="47338" ht="15.75" customHeight="1"/>
    <row r="47339" ht="15.75" customHeight="1"/>
    <row r="47340" ht="15.75" customHeight="1"/>
    <row r="47341" ht="15.75" customHeight="1"/>
    <row r="47342" ht="15.75" customHeight="1"/>
    <row r="47343" ht="15.75" customHeight="1"/>
    <row r="47344" ht="15.75" customHeight="1"/>
    <row r="47345" ht="15.75" customHeight="1"/>
    <row r="47346" ht="15.75" customHeight="1"/>
    <row r="47347" ht="15.75" customHeight="1"/>
    <row r="47348" ht="15.75" customHeight="1"/>
    <row r="47349" ht="15.75" customHeight="1"/>
    <row r="47350" ht="15.75" customHeight="1"/>
    <row r="47351" ht="15.75" customHeight="1"/>
    <row r="47352" ht="15.75" customHeight="1"/>
    <row r="47353" ht="15.75" customHeight="1"/>
    <row r="47354" ht="15.75" customHeight="1"/>
    <row r="47355" ht="15.75" customHeight="1"/>
    <row r="47356" ht="15.75" customHeight="1"/>
    <row r="47357" ht="15.75" customHeight="1"/>
    <row r="47358" ht="15.75" customHeight="1"/>
    <row r="47359" ht="15.75" customHeight="1"/>
    <row r="47360" ht="15.75" customHeight="1"/>
    <row r="47361" ht="15.75" customHeight="1"/>
    <row r="47362" ht="15.75" customHeight="1"/>
    <row r="47363" ht="15.75" customHeight="1"/>
    <row r="47364" ht="15.75" customHeight="1"/>
    <row r="47365" ht="15.75" customHeight="1"/>
    <row r="47366" ht="15.75" customHeight="1"/>
    <row r="47367" ht="15.75" customHeight="1"/>
    <row r="47368" ht="15.75" customHeight="1"/>
    <row r="47369" ht="15.75" customHeight="1"/>
    <row r="47370" ht="15.75" customHeight="1"/>
    <row r="47371" ht="15.75" customHeight="1"/>
    <row r="47372" ht="15.75" customHeight="1"/>
    <row r="47373" ht="15.75" customHeight="1"/>
    <row r="47374" ht="15.75" customHeight="1"/>
    <row r="47375" ht="15.75" customHeight="1"/>
    <row r="47376" ht="15.75" customHeight="1"/>
    <row r="47377" ht="15.75" customHeight="1"/>
    <row r="47378" ht="15.75" customHeight="1"/>
    <row r="47379" ht="15.75" customHeight="1"/>
    <row r="47380" ht="15.75" customHeight="1"/>
    <row r="47381" ht="15.75" customHeight="1"/>
    <row r="47382" ht="15.75" customHeight="1"/>
    <row r="47383" ht="15.75" customHeight="1"/>
    <row r="47384" ht="15.75" customHeight="1"/>
    <row r="47385" ht="15.75" customHeight="1"/>
    <row r="47386" ht="15.75" customHeight="1"/>
    <row r="47387" ht="15.75" customHeight="1"/>
    <row r="47388" ht="15.75" customHeight="1"/>
    <row r="47389" ht="15.75" customHeight="1"/>
    <row r="47390" ht="15.75" customHeight="1"/>
    <row r="47391" ht="15.75" customHeight="1"/>
    <row r="47392" ht="15.75" customHeight="1"/>
    <row r="47393" ht="15.75" customHeight="1"/>
    <row r="47394" ht="15.75" customHeight="1"/>
    <row r="47395" ht="15.75" customHeight="1"/>
    <row r="47396" ht="15.75" customHeight="1"/>
    <row r="47397" ht="15.75" customHeight="1"/>
    <row r="47398" ht="15.75" customHeight="1"/>
    <row r="47399" ht="15.75" customHeight="1"/>
    <row r="47400" ht="15.75" customHeight="1"/>
    <row r="47401" ht="15.75" customHeight="1"/>
    <row r="47402" ht="15.75" customHeight="1"/>
    <row r="47403" ht="15.75" customHeight="1"/>
    <row r="47404" ht="15.75" customHeight="1"/>
    <row r="47405" ht="15.75" customHeight="1"/>
    <row r="47406" ht="15.75" customHeight="1"/>
    <row r="47407" ht="15.75" customHeight="1"/>
    <row r="47408" ht="15.75" customHeight="1"/>
    <row r="47409" ht="15.75" customHeight="1"/>
    <row r="47410" ht="15.75" customHeight="1"/>
    <row r="47411" ht="15.75" customHeight="1"/>
    <row r="47412" ht="15.75" customHeight="1"/>
    <row r="47413" ht="15.75" customHeight="1"/>
    <row r="47414" ht="15.75" customHeight="1"/>
    <row r="47415" ht="15.75" customHeight="1"/>
    <row r="47416" ht="15.75" customHeight="1"/>
    <row r="47417" ht="15.75" customHeight="1"/>
    <row r="47418" ht="15.75" customHeight="1"/>
    <row r="47419" ht="15.75" customHeight="1"/>
    <row r="47420" ht="15.75" customHeight="1"/>
    <row r="47421" ht="15.75" customHeight="1"/>
    <row r="47422" ht="15.75" customHeight="1"/>
    <row r="47423" ht="15.75" customHeight="1"/>
    <row r="47424" ht="15.75" customHeight="1"/>
    <row r="47425" ht="15.75" customHeight="1"/>
    <row r="47426" ht="15.75" customHeight="1"/>
    <row r="47427" ht="15.75" customHeight="1"/>
    <row r="47428" ht="15.75" customHeight="1"/>
    <row r="47429" ht="15.75" customHeight="1"/>
    <row r="47430" ht="15.75" customHeight="1"/>
    <row r="47431" ht="15.75" customHeight="1"/>
    <row r="47432" ht="15.75" customHeight="1"/>
    <row r="47433" ht="15.75" customHeight="1"/>
    <row r="47434" ht="15.75" customHeight="1"/>
    <row r="47435" ht="15.75" customHeight="1"/>
    <row r="47436" ht="15.75" customHeight="1"/>
    <row r="47437" ht="15.75" customHeight="1"/>
    <row r="47438" ht="15.75" customHeight="1"/>
    <row r="47439" ht="15.75" customHeight="1"/>
    <row r="47440" ht="15.75" customHeight="1"/>
    <row r="47441" ht="15.75" customHeight="1"/>
    <row r="47442" ht="15.75" customHeight="1"/>
    <row r="47443" ht="15.75" customHeight="1"/>
    <row r="47444" ht="15.75" customHeight="1"/>
    <row r="47445" ht="15.75" customHeight="1"/>
    <row r="47446" ht="15.75" customHeight="1"/>
    <row r="47447" ht="15.75" customHeight="1"/>
    <row r="47448" ht="15.75" customHeight="1"/>
    <row r="47449" ht="15.75" customHeight="1"/>
    <row r="47450" ht="15.75" customHeight="1"/>
    <row r="47451" ht="15.75" customHeight="1"/>
    <row r="47452" ht="15.75" customHeight="1"/>
    <row r="47453" ht="15.75" customHeight="1"/>
    <row r="47454" ht="15.75" customHeight="1"/>
    <row r="47455" ht="15.75" customHeight="1"/>
    <row r="47456" ht="15.75" customHeight="1"/>
    <row r="47457" ht="15.75" customHeight="1"/>
    <row r="47458" ht="15.75" customHeight="1"/>
    <row r="47459" ht="15.75" customHeight="1"/>
    <row r="47460" ht="15.75" customHeight="1"/>
    <row r="47461" ht="15.75" customHeight="1"/>
    <row r="47462" ht="15.75" customHeight="1"/>
    <row r="47463" ht="15.75" customHeight="1"/>
    <row r="47464" ht="15.75" customHeight="1"/>
    <row r="47465" ht="15.75" customHeight="1"/>
    <row r="47466" ht="15.75" customHeight="1"/>
    <row r="47467" ht="15.75" customHeight="1"/>
    <row r="47468" ht="15.75" customHeight="1"/>
    <row r="47469" ht="15.75" customHeight="1"/>
    <row r="47470" ht="15.75" customHeight="1"/>
    <row r="47471" ht="15.75" customHeight="1"/>
    <row r="47472" ht="15.75" customHeight="1"/>
    <row r="47473" ht="15.75" customHeight="1"/>
    <row r="47474" ht="15.75" customHeight="1"/>
    <row r="47475" ht="15.75" customHeight="1"/>
    <row r="47476" ht="15.75" customHeight="1"/>
    <row r="47477" ht="15.75" customHeight="1"/>
    <row r="47478" ht="15.75" customHeight="1"/>
    <row r="47479" ht="15.75" customHeight="1"/>
    <row r="47480" ht="15.75" customHeight="1"/>
    <row r="47481" ht="15.75" customHeight="1"/>
    <row r="47482" ht="15.75" customHeight="1"/>
    <row r="47483" ht="15.75" customHeight="1"/>
    <row r="47484" ht="15.75" customHeight="1"/>
    <row r="47485" ht="15.75" customHeight="1"/>
    <row r="47486" ht="15.75" customHeight="1"/>
    <row r="47487" ht="15.75" customHeight="1"/>
    <row r="47488" ht="15.75" customHeight="1"/>
    <row r="47489" ht="15.75" customHeight="1"/>
    <row r="47490" ht="15.75" customHeight="1"/>
    <row r="47491" ht="15.75" customHeight="1"/>
    <row r="47492" ht="15.75" customHeight="1"/>
    <row r="47493" ht="15.75" customHeight="1"/>
    <row r="47494" ht="15.75" customHeight="1"/>
    <row r="47495" ht="15.75" customHeight="1"/>
    <row r="47496" ht="15.75" customHeight="1"/>
    <row r="47497" ht="15.75" customHeight="1"/>
    <row r="47498" ht="15.75" customHeight="1"/>
    <row r="47499" ht="15.75" customHeight="1"/>
    <row r="47500" ht="15.75" customHeight="1"/>
    <row r="47501" ht="15.75" customHeight="1"/>
    <row r="47502" ht="15.75" customHeight="1"/>
    <row r="47503" ht="15.75" customHeight="1"/>
    <row r="47504" ht="15.75" customHeight="1"/>
    <row r="47505" ht="15.75" customHeight="1"/>
    <row r="47506" ht="15.75" customHeight="1"/>
    <row r="47507" ht="15.75" customHeight="1"/>
    <row r="47508" ht="15.75" customHeight="1"/>
    <row r="47509" ht="15.75" customHeight="1"/>
    <row r="47510" ht="15.75" customHeight="1"/>
    <row r="47511" ht="15.75" customHeight="1"/>
    <row r="47512" ht="15.75" customHeight="1"/>
    <row r="47513" ht="15.75" customHeight="1"/>
    <row r="47514" ht="15.75" customHeight="1"/>
    <row r="47515" ht="15.75" customHeight="1"/>
    <row r="47516" ht="15.75" customHeight="1"/>
    <row r="47517" ht="15.75" customHeight="1"/>
    <row r="47518" ht="15.75" customHeight="1"/>
    <row r="47519" ht="15.75" customHeight="1"/>
    <row r="47520" ht="15.75" customHeight="1"/>
    <row r="47521" ht="15.75" customHeight="1"/>
    <row r="47522" ht="15.75" customHeight="1"/>
    <row r="47523" ht="15.75" customHeight="1"/>
    <row r="47524" ht="15.75" customHeight="1"/>
    <row r="47525" ht="15.75" customHeight="1"/>
    <row r="47526" ht="15.75" customHeight="1"/>
    <row r="47527" ht="15.75" customHeight="1"/>
    <row r="47528" ht="15.75" customHeight="1"/>
    <row r="47529" ht="15.75" customHeight="1"/>
    <row r="47530" ht="15.75" customHeight="1"/>
    <row r="47531" ht="15.75" customHeight="1"/>
    <row r="47532" ht="15.75" customHeight="1"/>
    <row r="47533" ht="15.75" customHeight="1"/>
    <row r="47534" ht="15.75" customHeight="1"/>
    <row r="47535" ht="15.75" customHeight="1"/>
    <row r="47536" ht="15.75" customHeight="1"/>
    <row r="47537" ht="15.75" customHeight="1"/>
    <row r="47538" ht="15.75" customHeight="1"/>
    <row r="47539" ht="15.75" customHeight="1"/>
    <row r="47540" ht="15.75" customHeight="1"/>
    <row r="47541" ht="15.75" customHeight="1"/>
    <row r="47542" ht="15.75" customHeight="1"/>
    <row r="47543" ht="15.75" customHeight="1"/>
    <row r="47544" ht="15.75" customHeight="1"/>
    <row r="47545" ht="15.75" customHeight="1"/>
    <row r="47546" ht="15.75" customHeight="1"/>
    <row r="47547" ht="15.75" customHeight="1"/>
    <row r="47548" ht="15.75" customHeight="1"/>
    <row r="47549" ht="15.75" customHeight="1"/>
    <row r="47550" ht="15.75" customHeight="1"/>
    <row r="47551" ht="15.75" customHeight="1"/>
    <row r="47552" ht="15.75" customHeight="1"/>
    <row r="47553" ht="15.75" customHeight="1"/>
    <row r="47554" ht="15.75" customHeight="1"/>
    <row r="47555" ht="15.75" customHeight="1"/>
    <row r="47556" ht="15.75" customHeight="1"/>
    <row r="47557" ht="15.75" customHeight="1"/>
    <row r="47558" ht="15.75" customHeight="1"/>
    <row r="47559" ht="15.75" customHeight="1"/>
    <row r="47560" ht="15.75" customHeight="1"/>
    <row r="47561" ht="15.75" customHeight="1"/>
    <row r="47562" ht="15.75" customHeight="1"/>
    <row r="47563" ht="15.75" customHeight="1"/>
    <row r="47564" ht="15.75" customHeight="1"/>
    <row r="47565" ht="15.75" customHeight="1"/>
    <row r="47566" ht="15.75" customHeight="1"/>
    <row r="47567" ht="15.75" customHeight="1"/>
    <row r="47568" ht="15.75" customHeight="1"/>
    <row r="47569" ht="15.75" customHeight="1"/>
    <row r="47570" ht="15.75" customHeight="1"/>
    <row r="47571" ht="15.75" customHeight="1"/>
    <row r="47572" ht="15.75" customHeight="1"/>
    <row r="47573" ht="15.75" customHeight="1"/>
    <row r="47574" ht="15.75" customHeight="1"/>
    <row r="47575" ht="15.75" customHeight="1"/>
    <row r="47576" ht="15.75" customHeight="1"/>
    <row r="47577" ht="15.75" customHeight="1"/>
    <row r="47578" ht="15.75" customHeight="1"/>
    <row r="47579" ht="15.75" customHeight="1"/>
    <row r="47580" ht="15.75" customHeight="1"/>
    <row r="47581" ht="15.75" customHeight="1"/>
    <row r="47582" ht="15.75" customHeight="1"/>
    <row r="47583" ht="15.75" customHeight="1"/>
    <row r="47584" ht="15.75" customHeight="1"/>
    <row r="47585" ht="15.75" customHeight="1"/>
    <row r="47586" ht="15.75" customHeight="1"/>
    <row r="47587" ht="15.75" customHeight="1"/>
    <row r="47588" ht="15.75" customHeight="1"/>
    <row r="47589" ht="15.75" customHeight="1"/>
    <row r="47590" ht="15.75" customHeight="1"/>
    <row r="47591" ht="15.75" customHeight="1"/>
    <row r="47592" ht="15.75" customHeight="1"/>
    <row r="47593" ht="15.75" customHeight="1"/>
    <row r="47594" ht="15.75" customHeight="1"/>
    <row r="47595" ht="15.75" customHeight="1"/>
    <row r="47596" ht="15.75" customHeight="1"/>
    <row r="47597" ht="15.75" customHeight="1"/>
    <row r="47598" ht="15.75" customHeight="1"/>
    <row r="47599" ht="15.75" customHeight="1"/>
    <row r="47600" ht="15.75" customHeight="1"/>
    <row r="47601" ht="15.75" customHeight="1"/>
    <row r="47602" ht="15.75" customHeight="1"/>
    <row r="47603" ht="15.75" customHeight="1"/>
    <row r="47604" ht="15.75" customHeight="1"/>
    <row r="47605" ht="15.75" customHeight="1"/>
    <row r="47606" ht="15.75" customHeight="1"/>
    <row r="47607" ht="15.75" customHeight="1"/>
    <row r="47608" ht="15.75" customHeight="1"/>
    <row r="47609" ht="15.75" customHeight="1"/>
    <row r="47610" ht="15.75" customHeight="1"/>
    <row r="47611" ht="15.75" customHeight="1"/>
    <row r="47612" ht="15.75" customHeight="1"/>
    <row r="47613" ht="15.75" customHeight="1"/>
    <row r="47614" ht="15.75" customHeight="1"/>
    <row r="47615" ht="15.75" customHeight="1"/>
    <row r="47616" ht="15.75" customHeight="1"/>
    <row r="47617" ht="15.75" customHeight="1"/>
    <row r="47618" ht="15.75" customHeight="1"/>
    <row r="47619" ht="15.75" customHeight="1"/>
    <row r="47620" ht="15.75" customHeight="1"/>
    <row r="47621" ht="15.75" customHeight="1"/>
    <row r="47622" ht="15.75" customHeight="1"/>
    <row r="47623" ht="15.75" customHeight="1"/>
    <row r="47624" ht="15.75" customHeight="1"/>
    <row r="47625" ht="15.75" customHeight="1"/>
    <row r="47626" ht="15.75" customHeight="1"/>
    <row r="47627" ht="15.75" customHeight="1"/>
    <row r="47628" ht="15.75" customHeight="1"/>
    <row r="47629" ht="15.75" customHeight="1"/>
    <row r="47630" ht="15.75" customHeight="1"/>
    <row r="47631" ht="15.75" customHeight="1"/>
    <row r="47632" ht="15.75" customHeight="1"/>
    <row r="47633" ht="15.75" customHeight="1"/>
    <row r="47634" ht="15.75" customHeight="1"/>
    <row r="47635" ht="15.75" customHeight="1"/>
    <row r="47636" ht="15.75" customHeight="1"/>
    <row r="47637" ht="15.75" customHeight="1"/>
    <row r="47638" ht="15.75" customHeight="1"/>
    <row r="47639" ht="15.75" customHeight="1"/>
    <row r="47640" ht="15.75" customHeight="1"/>
    <row r="47641" ht="15.75" customHeight="1"/>
    <row r="47642" ht="15.75" customHeight="1"/>
    <row r="47643" ht="15.75" customHeight="1"/>
    <row r="47644" ht="15.75" customHeight="1"/>
    <row r="47645" ht="15.75" customHeight="1"/>
    <row r="47646" ht="15.75" customHeight="1"/>
    <row r="47647" ht="15.75" customHeight="1"/>
    <row r="47648" ht="15.75" customHeight="1"/>
    <row r="47649" ht="15.75" customHeight="1"/>
    <row r="47650" ht="15.75" customHeight="1"/>
    <row r="47651" ht="15.75" customHeight="1"/>
    <row r="47652" ht="15.75" customHeight="1"/>
    <row r="47653" ht="15.75" customHeight="1"/>
    <row r="47654" ht="15.75" customHeight="1"/>
    <row r="47655" ht="15.75" customHeight="1"/>
    <row r="47656" ht="15.75" customHeight="1"/>
    <row r="47657" ht="15.75" customHeight="1"/>
    <row r="47658" ht="15.75" customHeight="1"/>
    <row r="47659" ht="15.75" customHeight="1"/>
    <row r="47660" ht="15.75" customHeight="1"/>
    <row r="47661" ht="15.75" customHeight="1"/>
    <row r="47662" ht="15.75" customHeight="1"/>
    <row r="47663" ht="15.75" customHeight="1"/>
    <row r="47664" ht="15.75" customHeight="1"/>
    <row r="47665" ht="15.75" customHeight="1"/>
    <row r="47666" ht="15.75" customHeight="1"/>
    <row r="47667" ht="15.75" customHeight="1"/>
    <row r="47668" ht="15.75" customHeight="1"/>
    <row r="47669" ht="15.75" customHeight="1"/>
    <row r="47670" ht="15.75" customHeight="1"/>
    <row r="47671" ht="15.75" customHeight="1"/>
    <row r="47672" ht="15.75" customHeight="1"/>
    <row r="47673" ht="15.75" customHeight="1"/>
    <row r="47674" ht="15.75" customHeight="1"/>
    <row r="47675" ht="15.75" customHeight="1"/>
    <row r="47676" ht="15.75" customHeight="1"/>
    <row r="47677" ht="15.75" customHeight="1"/>
    <row r="47678" ht="15.75" customHeight="1"/>
    <row r="47679" ht="15.75" customHeight="1"/>
    <row r="47680" ht="15.75" customHeight="1"/>
    <row r="47681" ht="15.75" customHeight="1"/>
    <row r="47682" ht="15.75" customHeight="1"/>
    <row r="47683" ht="15.75" customHeight="1"/>
    <row r="47684" ht="15.75" customHeight="1"/>
    <row r="47685" ht="15.75" customHeight="1"/>
    <row r="47686" ht="15.75" customHeight="1"/>
    <row r="47687" ht="15.75" customHeight="1"/>
    <row r="47688" ht="15.75" customHeight="1"/>
    <row r="47689" ht="15.75" customHeight="1"/>
    <row r="47690" ht="15.75" customHeight="1"/>
    <row r="47691" ht="15.75" customHeight="1"/>
    <row r="47692" ht="15.75" customHeight="1"/>
    <row r="47693" ht="15.75" customHeight="1"/>
    <row r="47694" ht="15.75" customHeight="1"/>
    <row r="47695" ht="15.75" customHeight="1"/>
    <row r="47696" ht="15.75" customHeight="1"/>
    <row r="47697" ht="15.75" customHeight="1"/>
    <row r="47698" ht="15.75" customHeight="1"/>
    <row r="47699" ht="15.75" customHeight="1"/>
    <row r="47700" ht="15.75" customHeight="1"/>
    <row r="47701" ht="15.75" customHeight="1"/>
    <row r="47702" ht="15.75" customHeight="1"/>
    <row r="47703" ht="15.75" customHeight="1"/>
    <row r="47704" ht="15.75" customHeight="1"/>
    <row r="47705" ht="15.75" customHeight="1"/>
    <row r="47706" ht="15.75" customHeight="1"/>
    <row r="47707" ht="15.75" customHeight="1"/>
    <row r="47708" ht="15.75" customHeight="1"/>
    <row r="47709" ht="15.75" customHeight="1"/>
    <row r="47710" ht="15.75" customHeight="1"/>
    <row r="47711" ht="15.75" customHeight="1"/>
    <row r="47712" ht="15.75" customHeight="1"/>
    <row r="47713" ht="15.75" customHeight="1"/>
    <row r="47714" ht="15.75" customHeight="1"/>
    <row r="47715" ht="15.75" customHeight="1"/>
    <row r="47716" ht="15.75" customHeight="1"/>
    <row r="47717" ht="15.75" customHeight="1"/>
    <row r="47718" ht="15.75" customHeight="1"/>
    <row r="47719" ht="15.75" customHeight="1"/>
    <row r="47720" ht="15.75" customHeight="1"/>
    <row r="47721" ht="15.75" customHeight="1"/>
    <row r="47722" ht="15.75" customHeight="1"/>
    <row r="47723" ht="15.75" customHeight="1"/>
    <row r="47724" ht="15.75" customHeight="1"/>
    <row r="47725" ht="15.75" customHeight="1"/>
    <row r="47726" ht="15.75" customHeight="1"/>
    <row r="47727" ht="15.75" customHeight="1"/>
    <row r="47728" ht="15.75" customHeight="1"/>
    <row r="47729" ht="15.75" customHeight="1"/>
    <row r="47730" ht="15.75" customHeight="1"/>
    <row r="47731" ht="15.75" customHeight="1"/>
    <row r="47732" ht="15.75" customHeight="1"/>
    <row r="47733" ht="15.75" customHeight="1"/>
    <row r="47734" ht="15.75" customHeight="1"/>
    <row r="47735" ht="15.75" customHeight="1"/>
    <row r="47736" ht="15.75" customHeight="1"/>
    <row r="47737" ht="15.75" customHeight="1"/>
    <row r="47738" ht="15.75" customHeight="1"/>
    <row r="47739" ht="15.75" customHeight="1"/>
    <row r="47740" ht="15.75" customHeight="1"/>
    <row r="47741" ht="15.75" customHeight="1"/>
    <row r="47742" ht="15.75" customHeight="1"/>
    <row r="47743" ht="15.75" customHeight="1"/>
    <row r="47744" ht="15.75" customHeight="1"/>
    <row r="47745" ht="15.75" customHeight="1"/>
    <row r="47746" ht="15.75" customHeight="1"/>
    <row r="47747" ht="15.75" customHeight="1"/>
    <row r="47748" ht="15.75" customHeight="1"/>
    <row r="47749" ht="15.75" customHeight="1"/>
    <row r="47750" ht="15.75" customHeight="1"/>
    <row r="47751" ht="15.75" customHeight="1"/>
    <row r="47752" ht="15.75" customHeight="1"/>
    <row r="47753" ht="15.75" customHeight="1"/>
    <row r="47754" ht="15.75" customHeight="1"/>
    <row r="47755" ht="15.75" customHeight="1"/>
    <row r="47756" ht="15.75" customHeight="1"/>
    <row r="47757" ht="15.75" customHeight="1"/>
    <row r="47758" ht="15.75" customHeight="1"/>
    <row r="47759" ht="15.75" customHeight="1"/>
    <row r="47760" ht="15.75" customHeight="1"/>
    <row r="47761" ht="15.75" customHeight="1"/>
    <row r="47762" ht="15.75" customHeight="1"/>
    <row r="47763" ht="15.75" customHeight="1"/>
    <row r="47764" ht="15.75" customHeight="1"/>
    <row r="47765" ht="15.75" customHeight="1"/>
    <row r="47766" ht="15.75" customHeight="1"/>
    <row r="47767" ht="15.75" customHeight="1"/>
    <row r="47768" ht="15.75" customHeight="1"/>
    <row r="47769" ht="15.75" customHeight="1"/>
    <row r="47770" ht="15.75" customHeight="1"/>
    <row r="47771" ht="15.75" customHeight="1"/>
    <row r="47772" ht="15.75" customHeight="1"/>
    <row r="47773" ht="15.75" customHeight="1"/>
    <row r="47774" ht="15.75" customHeight="1"/>
    <row r="47775" ht="15.75" customHeight="1"/>
    <row r="47776" ht="15.75" customHeight="1"/>
    <row r="47777" ht="15.75" customHeight="1"/>
    <row r="47778" ht="15.75" customHeight="1"/>
    <row r="47779" ht="15.75" customHeight="1"/>
    <row r="47780" ht="15.75" customHeight="1"/>
    <row r="47781" ht="15.75" customHeight="1"/>
    <row r="47782" ht="15.75" customHeight="1"/>
    <row r="47783" ht="15.75" customHeight="1"/>
    <row r="47784" ht="15.75" customHeight="1"/>
    <row r="47785" ht="15.75" customHeight="1"/>
    <row r="47786" ht="15.75" customHeight="1"/>
    <row r="47787" ht="15.75" customHeight="1"/>
    <row r="47788" ht="15.75" customHeight="1"/>
    <row r="47789" ht="15.75" customHeight="1"/>
    <row r="47790" ht="15.75" customHeight="1"/>
    <row r="47791" ht="15.75" customHeight="1"/>
    <row r="47792" ht="15.75" customHeight="1"/>
    <row r="47793" ht="15.75" customHeight="1"/>
    <row r="47794" ht="15.75" customHeight="1"/>
    <row r="47795" ht="15.75" customHeight="1"/>
    <row r="47796" ht="15.75" customHeight="1"/>
    <row r="47797" ht="15.75" customHeight="1"/>
    <row r="47798" ht="15.75" customHeight="1"/>
    <row r="47799" ht="15.75" customHeight="1"/>
    <row r="47800" ht="15.75" customHeight="1"/>
    <row r="47801" ht="15.75" customHeight="1"/>
    <row r="47802" ht="15.75" customHeight="1"/>
    <row r="47803" ht="15.75" customHeight="1"/>
    <row r="47804" ht="15.75" customHeight="1"/>
    <row r="47805" ht="15.75" customHeight="1"/>
    <row r="47806" ht="15.75" customHeight="1"/>
    <row r="47807" ht="15.75" customHeight="1"/>
    <row r="47808" ht="15.75" customHeight="1"/>
    <row r="47809" ht="15.75" customHeight="1"/>
    <row r="47810" ht="15.75" customHeight="1"/>
    <row r="47811" ht="15.75" customHeight="1"/>
    <row r="47812" ht="15.75" customHeight="1"/>
    <row r="47813" ht="15.75" customHeight="1"/>
    <row r="47814" ht="15.75" customHeight="1"/>
    <row r="47815" ht="15.75" customHeight="1"/>
    <row r="47816" ht="15.75" customHeight="1"/>
    <row r="47817" ht="15.75" customHeight="1"/>
    <row r="47818" ht="15.75" customHeight="1"/>
    <row r="47819" ht="15.75" customHeight="1"/>
    <row r="47820" ht="15.75" customHeight="1"/>
    <row r="47821" ht="15.75" customHeight="1"/>
    <row r="47822" ht="15.75" customHeight="1"/>
    <row r="47823" ht="15.75" customHeight="1"/>
    <row r="47824" ht="15.75" customHeight="1"/>
    <row r="47825" ht="15.75" customHeight="1"/>
    <row r="47826" ht="15.75" customHeight="1"/>
    <row r="47827" ht="15.75" customHeight="1"/>
    <row r="47828" ht="15.75" customHeight="1"/>
    <row r="47829" ht="15.75" customHeight="1"/>
    <row r="47830" ht="15.75" customHeight="1"/>
    <row r="47831" ht="15.75" customHeight="1"/>
    <row r="47832" ht="15.75" customHeight="1"/>
    <row r="47833" ht="15.75" customHeight="1"/>
    <row r="47834" ht="15.75" customHeight="1"/>
    <row r="47835" ht="15.75" customHeight="1"/>
    <row r="47836" ht="15.75" customHeight="1"/>
    <row r="47837" ht="15.75" customHeight="1"/>
    <row r="47838" ht="15.75" customHeight="1"/>
    <row r="47839" ht="15.75" customHeight="1"/>
    <row r="47840" ht="15.75" customHeight="1"/>
    <row r="47841" ht="15.75" customHeight="1"/>
    <row r="47842" ht="15.75" customHeight="1"/>
    <row r="47843" ht="15.75" customHeight="1"/>
    <row r="47844" ht="15.75" customHeight="1"/>
    <row r="47845" ht="15.75" customHeight="1"/>
    <row r="47846" ht="15.75" customHeight="1"/>
    <row r="47847" ht="15.75" customHeight="1"/>
    <row r="47848" ht="15.75" customHeight="1"/>
    <row r="47849" ht="15.75" customHeight="1"/>
    <row r="47850" ht="15.75" customHeight="1"/>
    <row r="47851" ht="15.75" customHeight="1"/>
    <row r="47852" ht="15.75" customHeight="1"/>
    <row r="47853" ht="15.75" customHeight="1"/>
    <row r="47854" ht="15.75" customHeight="1"/>
    <row r="47855" ht="15.75" customHeight="1"/>
    <row r="47856" ht="15.75" customHeight="1"/>
    <row r="47857" ht="15.75" customHeight="1"/>
    <row r="47858" ht="15.75" customHeight="1"/>
    <row r="47859" ht="15.75" customHeight="1"/>
    <row r="47860" ht="15.75" customHeight="1"/>
    <row r="47861" ht="15.75" customHeight="1"/>
    <row r="47862" ht="15.75" customHeight="1"/>
    <row r="47863" ht="15.75" customHeight="1"/>
    <row r="47864" ht="15.75" customHeight="1"/>
    <row r="47865" ht="15.75" customHeight="1"/>
    <row r="47866" ht="15.75" customHeight="1"/>
    <row r="47867" ht="15.75" customHeight="1"/>
    <row r="47868" ht="15.75" customHeight="1"/>
    <row r="47869" ht="15.75" customHeight="1"/>
    <row r="47870" ht="15.75" customHeight="1"/>
    <row r="47871" ht="15.75" customHeight="1"/>
    <row r="47872" ht="15.75" customHeight="1"/>
    <row r="47873" ht="15.75" customHeight="1"/>
    <row r="47874" ht="15.75" customHeight="1"/>
    <row r="47875" ht="15.75" customHeight="1"/>
    <row r="47876" ht="15.75" customHeight="1"/>
    <row r="47877" ht="15.75" customHeight="1"/>
    <row r="47878" ht="15.75" customHeight="1"/>
    <row r="47879" ht="15.75" customHeight="1"/>
    <row r="47880" ht="15.75" customHeight="1"/>
    <row r="47881" ht="15.75" customHeight="1"/>
    <row r="47882" ht="15.75" customHeight="1"/>
    <row r="47883" ht="15.75" customHeight="1"/>
    <row r="47884" ht="15.75" customHeight="1"/>
    <row r="47885" ht="15.75" customHeight="1"/>
    <row r="47886" ht="15.75" customHeight="1"/>
    <row r="47887" ht="15.75" customHeight="1"/>
    <row r="47888" ht="15.75" customHeight="1"/>
    <row r="47889" ht="15.75" customHeight="1"/>
    <row r="47890" ht="15.75" customHeight="1"/>
    <row r="47891" ht="15.75" customHeight="1"/>
    <row r="47892" ht="15.75" customHeight="1"/>
    <row r="47893" ht="15.75" customHeight="1"/>
    <row r="47894" ht="15.75" customHeight="1"/>
    <row r="47895" ht="15.75" customHeight="1"/>
    <row r="47896" ht="15.75" customHeight="1"/>
    <row r="47897" ht="15.75" customHeight="1"/>
    <row r="47898" ht="15.75" customHeight="1"/>
    <row r="47899" ht="15.75" customHeight="1"/>
    <row r="47900" ht="15.75" customHeight="1"/>
    <row r="47901" ht="15.75" customHeight="1"/>
    <row r="47902" ht="15.75" customHeight="1"/>
    <row r="47903" ht="15.75" customHeight="1"/>
    <row r="47904" ht="15.75" customHeight="1"/>
    <row r="47905" ht="15.75" customHeight="1"/>
    <row r="47906" ht="15.75" customHeight="1"/>
    <row r="47907" ht="15.75" customHeight="1"/>
    <row r="47908" ht="15.75" customHeight="1"/>
    <row r="47909" ht="15.75" customHeight="1"/>
    <row r="47910" ht="15.75" customHeight="1"/>
    <row r="47911" ht="15.75" customHeight="1"/>
    <row r="47912" ht="15.75" customHeight="1"/>
    <row r="47913" ht="15.75" customHeight="1"/>
    <row r="47914" ht="15.75" customHeight="1"/>
    <row r="47915" ht="15.75" customHeight="1"/>
    <row r="47916" ht="15.75" customHeight="1"/>
    <row r="47917" ht="15.75" customHeight="1"/>
    <row r="47918" ht="15.75" customHeight="1"/>
    <row r="47919" ht="15.75" customHeight="1"/>
    <row r="47920" ht="15.75" customHeight="1"/>
    <row r="47921" ht="15.75" customHeight="1"/>
    <row r="47922" ht="15.75" customHeight="1"/>
    <row r="47923" ht="15.75" customHeight="1"/>
    <row r="47924" ht="15.75" customHeight="1"/>
    <row r="47925" ht="15.75" customHeight="1"/>
    <row r="47926" ht="15.75" customHeight="1"/>
    <row r="47927" ht="15.75" customHeight="1"/>
    <row r="47928" ht="15.75" customHeight="1"/>
    <row r="47929" ht="15.75" customHeight="1"/>
    <row r="47930" ht="15.75" customHeight="1"/>
    <row r="47931" ht="15.75" customHeight="1"/>
    <row r="47932" ht="15.75" customHeight="1"/>
    <row r="47933" ht="15.75" customHeight="1"/>
    <row r="47934" ht="15.75" customHeight="1"/>
    <row r="47935" ht="15.75" customHeight="1"/>
    <row r="47936" ht="15.75" customHeight="1"/>
    <row r="47937" ht="15.75" customHeight="1"/>
    <row r="47938" ht="15.75" customHeight="1"/>
    <row r="47939" ht="15.75" customHeight="1"/>
    <row r="47940" ht="15.75" customHeight="1"/>
    <row r="47941" ht="15.75" customHeight="1"/>
    <row r="47942" ht="15.75" customHeight="1"/>
    <row r="47943" ht="15.75" customHeight="1"/>
    <row r="47944" ht="15.75" customHeight="1"/>
    <row r="47945" ht="15.75" customHeight="1"/>
    <row r="47946" ht="15.75" customHeight="1"/>
    <row r="47947" ht="15.75" customHeight="1"/>
    <row r="47948" ht="15.75" customHeight="1"/>
    <row r="47949" ht="15.75" customHeight="1"/>
    <row r="47950" ht="15.75" customHeight="1"/>
    <row r="47951" ht="15.75" customHeight="1"/>
    <row r="47952" ht="15.75" customHeight="1"/>
    <row r="47953" ht="15.75" customHeight="1"/>
    <row r="47954" ht="15.75" customHeight="1"/>
    <row r="47955" ht="15.75" customHeight="1"/>
    <row r="47956" ht="15.75" customHeight="1"/>
    <row r="47957" ht="15.75" customHeight="1"/>
    <row r="47958" ht="15.75" customHeight="1"/>
    <row r="47959" ht="15.75" customHeight="1"/>
    <row r="47960" ht="15.75" customHeight="1"/>
    <row r="47961" ht="15.75" customHeight="1"/>
    <row r="47962" ht="15.75" customHeight="1"/>
    <row r="47963" ht="15.75" customHeight="1"/>
    <row r="47964" ht="15.75" customHeight="1"/>
    <row r="47965" ht="15.75" customHeight="1"/>
    <row r="47966" ht="15.75" customHeight="1"/>
    <row r="47967" ht="15.75" customHeight="1"/>
    <row r="47968" ht="15.75" customHeight="1"/>
    <row r="47969" ht="15.75" customHeight="1"/>
    <row r="47970" ht="15.75" customHeight="1"/>
    <row r="47971" ht="15.75" customHeight="1"/>
    <row r="47972" ht="15.75" customHeight="1"/>
    <row r="47973" ht="15.75" customHeight="1"/>
    <row r="47974" ht="15.75" customHeight="1"/>
    <row r="47975" ht="15.75" customHeight="1"/>
    <row r="47976" ht="15.75" customHeight="1"/>
    <row r="47977" ht="15.75" customHeight="1"/>
    <row r="47978" ht="15.75" customHeight="1"/>
    <row r="47979" ht="15.75" customHeight="1"/>
    <row r="47980" ht="15.75" customHeight="1"/>
    <row r="47981" ht="15.75" customHeight="1"/>
    <row r="47982" ht="15.75" customHeight="1"/>
    <row r="47983" ht="15.75" customHeight="1"/>
    <row r="47984" ht="15.75" customHeight="1"/>
    <row r="47985" ht="15.75" customHeight="1"/>
    <row r="47986" ht="15.75" customHeight="1"/>
    <row r="47987" ht="15.75" customHeight="1"/>
    <row r="47988" ht="15.75" customHeight="1"/>
    <row r="47989" ht="15.75" customHeight="1"/>
    <row r="47990" ht="15.75" customHeight="1"/>
    <row r="47991" ht="15.75" customHeight="1"/>
    <row r="47992" ht="15.75" customHeight="1"/>
    <row r="47993" ht="15.75" customHeight="1"/>
    <row r="47994" ht="15.75" customHeight="1"/>
    <row r="47995" ht="15.75" customHeight="1"/>
    <row r="47996" ht="15.75" customHeight="1"/>
    <row r="47997" ht="15.75" customHeight="1"/>
    <row r="47998" ht="15.75" customHeight="1"/>
    <row r="47999" ht="15.75" customHeight="1"/>
    <row r="48000" ht="15.75" customHeight="1"/>
    <row r="48001" ht="15.75" customHeight="1"/>
    <row r="48002" ht="15.75" customHeight="1"/>
    <row r="48003" ht="15.75" customHeight="1"/>
    <row r="48004" ht="15.75" customHeight="1"/>
    <row r="48005" ht="15.75" customHeight="1"/>
    <row r="48006" ht="15.75" customHeight="1"/>
    <row r="48007" ht="15.75" customHeight="1"/>
    <row r="48008" ht="15.75" customHeight="1"/>
    <row r="48009" ht="15.75" customHeight="1"/>
    <row r="48010" ht="15.75" customHeight="1"/>
    <row r="48011" ht="15.75" customHeight="1"/>
    <row r="48012" ht="15.75" customHeight="1"/>
    <row r="48013" ht="15.75" customHeight="1"/>
    <row r="48014" ht="15.75" customHeight="1"/>
    <row r="48015" ht="15.75" customHeight="1"/>
    <row r="48016" ht="15.75" customHeight="1"/>
    <row r="48017" ht="15.75" customHeight="1"/>
    <row r="48018" ht="15.75" customHeight="1"/>
    <row r="48019" ht="15.75" customHeight="1"/>
    <row r="48020" ht="15.75" customHeight="1"/>
    <row r="48021" ht="15.75" customHeight="1"/>
    <row r="48022" ht="15.75" customHeight="1"/>
    <row r="48023" ht="15.75" customHeight="1"/>
    <row r="48024" ht="15.75" customHeight="1"/>
    <row r="48025" ht="15.75" customHeight="1"/>
    <row r="48026" ht="15.75" customHeight="1"/>
    <row r="48027" ht="15.75" customHeight="1"/>
    <row r="48028" ht="15.75" customHeight="1"/>
    <row r="48029" ht="15.75" customHeight="1"/>
    <row r="48030" ht="15.75" customHeight="1"/>
    <row r="48031" ht="15.75" customHeight="1"/>
    <row r="48032" ht="15.75" customHeight="1"/>
    <row r="48033" ht="15.75" customHeight="1"/>
    <row r="48034" ht="15.75" customHeight="1"/>
    <row r="48035" ht="15.75" customHeight="1"/>
    <row r="48036" ht="15.75" customHeight="1"/>
    <row r="48037" ht="15.75" customHeight="1"/>
    <row r="48038" ht="15.75" customHeight="1"/>
    <row r="48039" ht="15.75" customHeight="1"/>
    <row r="48040" ht="15.75" customHeight="1"/>
    <row r="48041" ht="15.75" customHeight="1"/>
    <row r="48042" ht="15.75" customHeight="1"/>
    <row r="48043" ht="15.75" customHeight="1"/>
    <row r="48044" ht="15.75" customHeight="1"/>
    <row r="48045" ht="15.75" customHeight="1"/>
    <row r="48046" ht="15.75" customHeight="1"/>
    <row r="48047" ht="15.75" customHeight="1"/>
    <row r="48048" ht="15.75" customHeight="1"/>
    <row r="48049" ht="15.75" customHeight="1"/>
    <row r="48050" ht="15.75" customHeight="1"/>
    <row r="48051" ht="15.75" customHeight="1"/>
    <row r="48052" ht="15.75" customHeight="1"/>
    <row r="48053" ht="15.75" customHeight="1"/>
    <row r="48054" ht="15.75" customHeight="1"/>
    <row r="48055" ht="15.75" customHeight="1"/>
    <row r="48056" ht="15.75" customHeight="1"/>
    <row r="48057" ht="15.75" customHeight="1"/>
    <row r="48058" ht="15.75" customHeight="1"/>
    <row r="48059" ht="15.75" customHeight="1"/>
    <row r="48060" ht="15.75" customHeight="1"/>
    <row r="48061" ht="15.75" customHeight="1"/>
    <row r="48062" ht="15.75" customHeight="1"/>
    <row r="48063" ht="15.75" customHeight="1"/>
    <row r="48064" ht="15.75" customHeight="1"/>
    <row r="48065" ht="15.75" customHeight="1"/>
    <row r="48066" ht="15.75" customHeight="1"/>
    <row r="48067" ht="15.75" customHeight="1"/>
    <row r="48068" ht="15.75" customHeight="1"/>
    <row r="48069" ht="15.75" customHeight="1"/>
    <row r="48070" ht="15.75" customHeight="1"/>
    <row r="48071" ht="15.75" customHeight="1"/>
    <row r="48072" ht="15.75" customHeight="1"/>
    <row r="48073" ht="15.75" customHeight="1"/>
    <row r="48074" ht="15.75" customHeight="1"/>
    <row r="48075" ht="15.75" customHeight="1"/>
    <row r="48076" ht="15.75" customHeight="1"/>
    <row r="48077" ht="15.75" customHeight="1"/>
    <row r="48078" ht="15.75" customHeight="1"/>
    <row r="48079" ht="15.75" customHeight="1"/>
    <row r="48080" ht="15.75" customHeight="1"/>
    <row r="48081" ht="15.75" customHeight="1"/>
    <row r="48082" ht="15.75" customHeight="1"/>
    <row r="48083" ht="15.75" customHeight="1"/>
    <row r="48084" ht="15.75" customHeight="1"/>
    <row r="48085" ht="15.75" customHeight="1"/>
    <row r="48086" ht="15.75" customHeight="1"/>
    <row r="48087" ht="15.75" customHeight="1"/>
    <row r="48088" ht="15.75" customHeight="1"/>
    <row r="48089" ht="15.75" customHeight="1"/>
    <row r="48090" ht="15.75" customHeight="1"/>
    <row r="48091" ht="15.75" customHeight="1"/>
    <row r="48092" ht="15.75" customHeight="1"/>
    <row r="48093" ht="15.75" customHeight="1"/>
    <row r="48094" ht="15.75" customHeight="1"/>
    <row r="48095" ht="15.75" customHeight="1"/>
    <row r="48096" ht="15.75" customHeight="1"/>
    <row r="48097" ht="15.75" customHeight="1"/>
    <row r="48098" ht="15.75" customHeight="1"/>
    <row r="48099" ht="15.75" customHeight="1"/>
    <row r="48100" ht="15.75" customHeight="1"/>
    <row r="48101" ht="15.75" customHeight="1"/>
    <row r="48102" ht="15.75" customHeight="1"/>
    <row r="48103" ht="15.75" customHeight="1"/>
    <row r="48104" ht="15.75" customHeight="1"/>
    <row r="48105" ht="15.75" customHeight="1"/>
    <row r="48106" ht="15.75" customHeight="1"/>
    <row r="48107" ht="15.75" customHeight="1"/>
    <row r="48108" ht="15.75" customHeight="1"/>
    <row r="48109" ht="15.75" customHeight="1"/>
    <row r="48110" ht="15.75" customHeight="1"/>
    <row r="48111" ht="15.75" customHeight="1"/>
    <row r="48112" ht="15.75" customHeight="1"/>
    <row r="48113" ht="15.75" customHeight="1"/>
    <row r="48114" ht="15.75" customHeight="1"/>
    <row r="48115" ht="15.75" customHeight="1"/>
    <row r="48116" ht="15.75" customHeight="1"/>
    <row r="48117" ht="15.75" customHeight="1"/>
    <row r="48118" ht="15.75" customHeight="1"/>
    <row r="48119" ht="15.75" customHeight="1"/>
    <row r="48120" ht="15.75" customHeight="1"/>
    <row r="48121" ht="15.75" customHeight="1"/>
    <row r="48122" ht="15.75" customHeight="1"/>
    <row r="48123" ht="15.75" customHeight="1"/>
    <row r="48124" ht="15.75" customHeight="1"/>
    <row r="48125" ht="15.75" customHeight="1"/>
    <row r="48126" ht="15.75" customHeight="1"/>
    <row r="48127" ht="15.75" customHeight="1"/>
    <row r="48128" ht="15.75" customHeight="1"/>
    <row r="48129" ht="15.75" customHeight="1"/>
    <row r="48130" ht="15.75" customHeight="1"/>
    <row r="48131" ht="15.75" customHeight="1"/>
    <row r="48132" ht="15.75" customHeight="1"/>
    <row r="48133" ht="15.75" customHeight="1"/>
    <row r="48134" ht="15.75" customHeight="1"/>
    <row r="48135" ht="15.75" customHeight="1"/>
    <row r="48136" ht="15.75" customHeight="1"/>
    <row r="48137" ht="15.75" customHeight="1"/>
    <row r="48138" ht="15.75" customHeight="1"/>
    <row r="48139" ht="15.75" customHeight="1"/>
    <row r="48140" ht="15.75" customHeight="1"/>
    <row r="48141" ht="15.75" customHeight="1"/>
    <row r="48142" ht="15.75" customHeight="1"/>
    <row r="48143" ht="15.75" customHeight="1"/>
    <row r="48144" ht="15.75" customHeight="1"/>
    <row r="48145" ht="15.75" customHeight="1"/>
    <row r="48146" ht="15.75" customHeight="1"/>
    <row r="48147" ht="15.75" customHeight="1"/>
    <row r="48148" ht="15.75" customHeight="1"/>
    <row r="48149" ht="15.75" customHeight="1"/>
    <row r="48150" ht="15.75" customHeight="1"/>
    <row r="48151" ht="15.75" customHeight="1"/>
    <row r="48152" ht="15.75" customHeight="1"/>
    <row r="48153" ht="15.75" customHeight="1"/>
    <row r="48154" ht="15.75" customHeight="1"/>
    <row r="48155" ht="15.75" customHeight="1"/>
    <row r="48156" ht="15.75" customHeight="1"/>
    <row r="48157" ht="15.75" customHeight="1"/>
    <row r="48158" ht="15.75" customHeight="1"/>
    <row r="48159" ht="15.75" customHeight="1"/>
    <row r="48160" ht="15.75" customHeight="1"/>
    <row r="48161" ht="15.75" customHeight="1"/>
    <row r="48162" ht="15.75" customHeight="1"/>
    <row r="48163" ht="15.75" customHeight="1"/>
    <row r="48164" ht="15.75" customHeight="1"/>
    <row r="48165" ht="15.75" customHeight="1"/>
    <row r="48166" ht="15.75" customHeight="1"/>
    <row r="48167" ht="15.75" customHeight="1"/>
    <row r="48168" ht="15.75" customHeight="1"/>
    <row r="48169" ht="15.75" customHeight="1"/>
    <row r="48170" ht="15.75" customHeight="1"/>
    <row r="48171" ht="15.75" customHeight="1"/>
    <row r="48172" ht="15.75" customHeight="1"/>
    <row r="48173" ht="15.75" customHeight="1"/>
    <row r="48174" ht="15.75" customHeight="1"/>
    <row r="48175" ht="15.75" customHeight="1"/>
    <row r="48176" ht="15.75" customHeight="1"/>
    <row r="48177" ht="15.75" customHeight="1"/>
    <row r="48178" ht="15.75" customHeight="1"/>
    <row r="48179" ht="15.75" customHeight="1"/>
    <row r="48180" ht="15.75" customHeight="1"/>
    <row r="48181" ht="15.75" customHeight="1"/>
    <row r="48182" ht="15.75" customHeight="1"/>
    <row r="48183" ht="15.75" customHeight="1"/>
    <row r="48184" ht="15.75" customHeight="1"/>
    <row r="48185" ht="15.75" customHeight="1"/>
    <row r="48186" ht="15.75" customHeight="1"/>
    <row r="48187" ht="15.75" customHeight="1"/>
    <row r="48188" ht="15.75" customHeight="1"/>
    <row r="48189" ht="15.75" customHeight="1"/>
    <row r="48190" ht="15.75" customHeight="1"/>
    <row r="48191" ht="15.75" customHeight="1"/>
    <row r="48192" ht="15.75" customHeight="1"/>
    <row r="48193" ht="15.75" customHeight="1"/>
    <row r="48194" ht="15.75" customHeight="1"/>
    <row r="48195" ht="15.75" customHeight="1"/>
    <row r="48196" ht="15.75" customHeight="1"/>
    <row r="48197" ht="15.75" customHeight="1"/>
    <row r="48198" ht="15.75" customHeight="1"/>
    <row r="48199" ht="15.75" customHeight="1"/>
    <row r="48200" ht="15.75" customHeight="1"/>
    <row r="48201" ht="15.75" customHeight="1"/>
    <row r="48202" ht="15.75" customHeight="1"/>
    <row r="48203" ht="15.75" customHeight="1"/>
    <row r="48204" ht="15.75" customHeight="1"/>
    <row r="48205" ht="15.75" customHeight="1"/>
    <row r="48206" ht="15.75" customHeight="1"/>
    <row r="48207" ht="15.75" customHeight="1"/>
    <row r="48208" ht="15.75" customHeight="1"/>
    <row r="48209" ht="15.75" customHeight="1"/>
    <row r="48210" ht="15.75" customHeight="1"/>
    <row r="48211" ht="15.75" customHeight="1"/>
    <row r="48212" ht="15.75" customHeight="1"/>
    <row r="48213" ht="15.75" customHeight="1"/>
    <row r="48214" ht="15.75" customHeight="1"/>
    <row r="48215" ht="15.75" customHeight="1"/>
    <row r="48216" ht="15.75" customHeight="1"/>
    <row r="48217" ht="15.75" customHeight="1"/>
    <row r="48218" ht="15.75" customHeight="1"/>
    <row r="48219" ht="15.75" customHeight="1"/>
    <row r="48220" ht="15.75" customHeight="1"/>
    <row r="48221" ht="15.75" customHeight="1"/>
    <row r="48222" ht="15.75" customHeight="1"/>
    <row r="48223" ht="15.75" customHeight="1"/>
    <row r="48224" ht="15.75" customHeight="1"/>
    <row r="48225" ht="15.75" customHeight="1"/>
    <row r="48226" ht="15.75" customHeight="1"/>
    <row r="48227" ht="15.75" customHeight="1"/>
    <row r="48228" ht="15.75" customHeight="1"/>
    <row r="48229" ht="15.75" customHeight="1"/>
    <row r="48230" ht="15.75" customHeight="1"/>
    <row r="48231" ht="15.75" customHeight="1"/>
    <row r="48232" ht="15.75" customHeight="1"/>
    <row r="48233" ht="15.75" customHeight="1"/>
    <row r="48234" ht="15.75" customHeight="1"/>
    <row r="48235" ht="15.75" customHeight="1"/>
    <row r="48236" ht="15.75" customHeight="1"/>
    <row r="48237" ht="15.75" customHeight="1"/>
    <row r="48238" ht="15.75" customHeight="1"/>
    <row r="48239" ht="15.75" customHeight="1"/>
    <row r="48240" ht="15.75" customHeight="1"/>
    <row r="48241" ht="15.75" customHeight="1"/>
    <row r="48242" ht="15.75" customHeight="1"/>
    <row r="48243" ht="15.75" customHeight="1"/>
    <row r="48244" ht="15.75" customHeight="1"/>
    <row r="48245" ht="15.75" customHeight="1"/>
    <row r="48246" ht="15.75" customHeight="1"/>
    <row r="48247" ht="15.75" customHeight="1"/>
    <row r="48248" ht="15.75" customHeight="1"/>
    <row r="48249" ht="15.75" customHeight="1"/>
    <row r="48250" ht="15.75" customHeight="1"/>
    <row r="48251" ht="15.75" customHeight="1"/>
    <row r="48252" ht="15.75" customHeight="1"/>
    <row r="48253" ht="15.75" customHeight="1"/>
    <row r="48254" ht="15.75" customHeight="1"/>
    <row r="48255" ht="15.75" customHeight="1"/>
    <row r="48256" ht="15.75" customHeight="1"/>
    <row r="48257" ht="15.75" customHeight="1"/>
    <row r="48258" ht="15.75" customHeight="1"/>
    <row r="48259" ht="15.75" customHeight="1"/>
    <row r="48260" ht="15.75" customHeight="1"/>
    <row r="48261" ht="15.75" customHeight="1"/>
    <row r="48262" ht="15.75" customHeight="1"/>
    <row r="48263" ht="15.75" customHeight="1"/>
    <row r="48264" ht="15.75" customHeight="1"/>
    <row r="48265" ht="15.75" customHeight="1"/>
    <row r="48266" ht="15.75" customHeight="1"/>
    <row r="48267" ht="15.75" customHeight="1"/>
    <row r="48268" ht="15.75" customHeight="1"/>
    <row r="48269" ht="15.75" customHeight="1"/>
    <row r="48270" ht="15.75" customHeight="1"/>
    <row r="48271" ht="15.75" customHeight="1"/>
    <row r="48272" ht="15.75" customHeight="1"/>
    <row r="48273" ht="15.75" customHeight="1"/>
    <row r="48274" ht="15.75" customHeight="1"/>
    <row r="48275" ht="15.75" customHeight="1"/>
    <row r="48276" ht="15.75" customHeight="1"/>
    <row r="48277" ht="15.75" customHeight="1"/>
    <row r="48278" ht="15.75" customHeight="1"/>
    <row r="48279" ht="15.75" customHeight="1"/>
    <row r="48280" ht="15.75" customHeight="1"/>
    <row r="48281" ht="15.75" customHeight="1"/>
    <row r="48282" ht="15.75" customHeight="1"/>
    <row r="48283" ht="15.75" customHeight="1"/>
    <row r="48284" ht="15.75" customHeight="1"/>
    <row r="48285" ht="15.75" customHeight="1"/>
    <row r="48286" ht="15.75" customHeight="1"/>
    <row r="48287" ht="15.75" customHeight="1"/>
    <row r="48288" ht="15.75" customHeight="1"/>
    <row r="48289" ht="15.75" customHeight="1"/>
    <row r="48290" ht="15.75" customHeight="1"/>
    <row r="48291" ht="15.75" customHeight="1"/>
    <row r="48292" ht="15.75" customHeight="1"/>
    <row r="48293" ht="15.75" customHeight="1"/>
    <row r="48294" ht="15.75" customHeight="1"/>
    <row r="48295" ht="15.75" customHeight="1"/>
    <row r="48296" ht="15.75" customHeight="1"/>
    <row r="48297" ht="15.75" customHeight="1"/>
    <row r="48298" ht="15.75" customHeight="1"/>
    <row r="48299" ht="15.75" customHeight="1"/>
    <row r="48300" ht="15.75" customHeight="1"/>
    <row r="48301" ht="15.75" customHeight="1"/>
    <row r="48302" ht="15.75" customHeight="1"/>
    <row r="48303" ht="15.75" customHeight="1"/>
    <row r="48304" ht="15.75" customHeight="1"/>
    <row r="48305" ht="15.75" customHeight="1"/>
    <row r="48306" ht="15.75" customHeight="1"/>
    <row r="48307" ht="15.75" customHeight="1"/>
    <row r="48308" ht="15.75" customHeight="1"/>
    <row r="48309" ht="15.75" customHeight="1"/>
    <row r="48310" ht="15.75" customHeight="1"/>
    <row r="48311" ht="15.75" customHeight="1"/>
    <row r="48312" ht="15.75" customHeight="1"/>
    <row r="48313" ht="15.75" customHeight="1"/>
    <row r="48314" ht="15.75" customHeight="1"/>
    <row r="48315" ht="15.75" customHeight="1"/>
    <row r="48316" ht="15.75" customHeight="1"/>
    <row r="48317" ht="15.75" customHeight="1"/>
    <row r="48318" ht="15.75" customHeight="1"/>
    <row r="48319" ht="15.75" customHeight="1"/>
    <row r="48320" ht="15.75" customHeight="1"/>
    <row r="48321" ht="15.75" customHeight="1"/>
    <row r="48322" ht="15.75" customHeight="1"/>
    <row r="48323" ht="15.75" customHeight="1"/>
    <row r="48324" ht="15.75" customHeight="1"/>
    <row r="48325" ht="15.75" customHeight="1"/>
    <row r="48326" ht="15.75" customHeight="1"/>
    <row r="48327" ht="15.75" customHeight="1"/>
    <row r="48328" ht="15.75" customHeight="1"/>
    <row r="48329" ht="15.75" customHeight="1"/>
    <row r="48330" ht="15.75" customHeight="1"/>
    <row r="48331" ht="15.75" customHeight="1"/>
    <row r="48332" ht="15.75" customHeight="1"/>
    <row r="48333" ht="15.75" customHeight="1"/>
    <row r="48334" ht="15.75" customHeight="1"/>
    <row r="48335" ht="15.75" customHeight="1"/>
    <row r="48336" ht="15.75" customHeight="1"/>
    <row r="48337" ht="15.75" customHeight="1"/>
    <row r="48338" ht="15.75" customHeight="1"/>
    <row r="48339" ht="15.75" customHeight="1"/>
    <row r="48340" ht="15.75" customHeight="1"/>
    <row r="48341" ht="15.75" customHeight="1"/>
    <row r="48342" ht="15.75" customHeight="1"/>
    <row r="48343" ht="15.75" customHeight="1"/>
    <row r="48344" ht="15.75" customHeight="1"/>
    <row r="48345" ht="15.75" customHeight="1"/>
    <row r="48346" ht="15.75" customHeight="1"/>
    <row r="48347" ht="15.75" customHeight="1"/>
    <row r="48348" ht="15.75" customHeight="1"/>
    <row r="48349" ht="15.75" customHeight="1"/>
    <row r="48350" ht="15.75" customHeight="1"/>
    <row r="48351" ht="15.75" customHeight="1"/>
    <row r="48352" ht="15.75" customHeight="1"/>
    <row r="48353" ht="15.75" customHeight="1"/>
    <row r="48354" ht="15.75" customHeight="1"/>
    <row r="48355" ht="15.75" customHeight="1"/>
    <row r="48356" ht="15.75" customHeight="1"/>
    <row r="48357" ht="15.75" customHeight="1"/>
    <row r="48358" ht="15.75" customHeight="1"/>
    <row r="48359" ht="15.75" customHeight="1"/>
    <row r="48360" ht="15.75" customHeight="1"/>
    <row r="48361" ht="15.75" customHeight="1"/>
    <row r="48362" ht="15.75" customHeight="1"/>
    <row r="48363" ht="15.75" customHeight="1"/>
    <row r="48364" ht="15.75" customHeight="1"/>
    <row r="48365" ht="15.75" customHeight="1"/>
    <row r="48366" ht="15.75" customHeight="1"/>
    <row r="48367" ht="15.75" customHeight="1"/>
    <row r="48368" ht="15.75" customHeight="1"/>
    <row r="48369" ht="15.75" customHeight="1"/>
    <row r="48370" ht="15.75" customHeight="1"/>
    <row r="48371" ht="15.75" customHeight="1"/>
    <row r="48372" ht="15.75" customHeight="1"/>
    <row r="48373" ht="15.75" customHeight="1"/>
    <row r="48374" ht="15.75" customHeight="1"/>
    <row r="48375" ht="15.75" customHeight="1"/>
    <row r="48376" ht="15.75" customHeight="1"/>
    <row r="48377" ht="15.75" customHeight="1"/>
    <row r="48378" ht="15.75" customHeight="1"/>
    <row r="48379" ht="15.75" customHeight="1"/>
    <row r="48380" ht="15.75" customHeight="1"/>
    <row r="48381" ht="15.75" customHeight="1"/>
    <row r="48382" ht="15.75" customHeight="1"/>
    <row r="48383" ht="15.75" customHeight="1"/>
    <row r="48384" ht="15.75" customHeight="1"/>
    <row r="48385" ht="15.75" customHeight="1"/>
    <row r="48386" ht="15.75" customHeight="1"/>
    <row r="48387" ht="15.75" customHeight="1"/>
    <row r="48388" ht="15.75" customHeight="1"/>
    <row r="48389" ht="15.75" customHeight="1"/>
    <row r="48390" ht="15.75" customHeight="1"/>
    <row r="48391" ht="15.75" customHeight="1"/>
    <row r="48392" ht="15.75" customHeight="1"/>
    <row r="48393" ht="15.75" customHeight="1"/>
    <row r="48394" ht="15.75" customHeight="1"/>
    <row r="48395" ht="15.75" customHeight="1"/>
    <row r="48396" ht="15.75" customHeight="1"/>
    <row r="48397" ht="15.75" customHeight="1"/>
    <row r="48398" ht="15.75" customHeight="1"/>
    <row r="48399" ht="15.75" customHeight="1"/>
    <row r="48400" ht="15.75" customHeight="1"/>
    <row r="48401" ht="15.75" customHeight="1"/>
    <row r="48402" ht="15.75" customHeight="1"/>
    <row r="48403" ht="15.75" customHeight="1"/>
    <row r="48404" ht="15.75" customHeight="1"/>
    <row r="48405" ht="15.75" customHeight="1"/>
    <row r="48406" ht="15.75" customHeight="1"/>
    <row r="48407" ht="15.75" customHeight="1"/>
    <row r="48408" ht="15.75" customHeight="1"/>
    <row r="48409" ht="15.75" customHeight="1"/>
    <row r="48410" ht="15.75" customHeight="1"/>
    <row r="48411" ht="15.75" customHeight="1"/>
    <row r="48412" ht="15.75" customHeight="1"/>
    <row r="48413" ht="15.75" customHeight="1"/>
    <row r="48414" ht="15.75" customHeight="1"/>
    <row r="48415" ht="15.75" customHeight="1"/>
    <row r="48416" ht="15.75" customHeight="1"/>
    <row r="48417" ht="15.75" customHeight="1"/>
    <row r="48418" ht="15.75" customHeight="1"/>
    <row r="48419" ht="15.75" customHeight="1"/>
    <row r="48420" ht="15.75" customHeight="1"/>
    <row r="48421" ht="15.75" customHeight="1"/>
    <row r="48422" ht="15.75" customHeight="1"/>
    <row r="48423" ht="15.75" customHeight="1"/>
    <row r="48424" ht="15.75" customHeight="1"/>
    <row r="48425" ht="15.75" customHeight="1"/>
    <row r="48426" ht="15.75" customHeight="1"/>
    <row r="48427" ht="15.75" customHeight="1"/>
    <row r="48428" ht="15.75" customHeight="1"/>
    <row r="48429" ht="15.75" customHeight="1"/>
    <row r="48430" ht="15.75" customHeight="1"/>
    <row r="48431" ht="15.75" customHeight="1"/>
    <row r="48432" ht="15.75" customHeight="1"/>
    <row r="48433" ht="15.75" customHeight="1"/>
    <row r="48434" ht="15.75" customHeight="1"/>
    <row r="48435" ht="15.75" customHeight="1"/>
    <row r="48436" ht="15.75" customHeight="1"/>
    <row r="48437" ht="15.75" customHeight="1"/>
    <row r="48438" ht="15.75" customHeight="1"/>
    <row r="48439" ht="15.75" customHeight="1"/>
    <row r="48440" ht="15.75" customHeight="1"/>
    <row r="48441" ht="15.75" customHeight="1"/>
    <row r="48442" ht="15.75" customHeight="1"/>
    <row r="48443" ht="15.75" customHeight="1"/>
    <row r="48444" ht="15.75" customHeight="1"/>
    <row r="48445" ht="15.75" customHeight="1"/>
    <row r="48446" ht="15.75" customHeight="1"/>
    <row r="48447" ht="15.75" customHeight="1"/>
    <row r="48448" ht="15.75" customHeight="1"/>
    <row r="48449" ht="15.75" customHeight="1"/>
    <row r="48450" ht="15.75" customHeight="1"/>
    <row r="48451" ht="15.75" customHeight="1"/>
    <row r="48452" ht="15.75" customHeight="1"/>
    <row r="48453" ht="15.75" customHeight="1"/>
    <row r="48454" ht="15.75" customHeight="1"/>
    <row r="48455" ht="15.75" customHeight="1"/>
    <row r="48456" ht="15.75" customHeight="1"/>
    <row r="48457" ht="15.75" customHeight="1"/>
    <row r="48458" ht="15.75" customHeight="1"/>
    <row r="48459" ht="15.75" customHeight="1"/>
    <row r="48460" ht="15.75" customHeight="1"/>
    <row r="48461" ht="15.75" customHeight="1"/>
    <row r="48462" ht="15.75" customHeight="1"/>
    <row r="48463" ht="15.75" customHeight="1"/>
    <row r="48464" ht="15.75" customHeight="1"/>
    <row r="48465" ht="15.75" customHeight="1"/>
    <row r="48466" ht="15.75" customHeight="1"/>
    <row r="48467" ht="15.75" customHeight="1"/>
    <row r="48468" ht="15.75" customHeight="1"/>
    <row r="48469" ht="15.75" customHeight="1"/>
    <row r="48470" ht="15.75" customHeight="1"/>
    <row r="48471" ht="15.75" customHeight="1"/>
    <row r="48472" ht="15.75" customHeight="1"/>
    <row r="48473" ht="15.75" customHeight="1"/>
    <row r="48474" ht="15.75" customHeight="1"/>
    <row r="48475" ht="15.75" customHeight="1"/>
    <row r="48476" ht="15.75" customHeight="1"/>
    <row r="48477" ht="15.75" customHeight="1"/>
    <row r="48478" ht="15.75" customHeight="1"/>
    <row r="48479" ht="15.75" customHeight="1"/>
    <row r="48480" ht="15.75" customHeight="1"/>
    <row r="48481" ht="15.75" customHeight="1"/>
    <row r="48482" ht="15.75" customHeight="1"/>
    <row r="48483" ht="15.75" customHeight="1"/>
    <row r="48484" ht="15.75" customHeight="1"/>
    <row r="48485" ht="15.75" customHeight="1"/>
    <row r="48486" ht="15.75" customHeight="1"/>
    <row r="48487" ht="15.75" customHeight="1"/>
    <row r="48488" ht="15.75" customHeight="1"/>
    <row r="48489" ht="15.75" customHeight="1"/>
    <row r="48490" ht="15.75" customHeight="1"/>
    <row r="48491" ht="15.75" customHeight="1"/>
    <row r="48492" ht="15.75" customHeight="1"/>
    <row r="48493" ht="15.75" customHeight="1"/>
    <row r="48494" ht="15.75" customHeight="1"/>
    <row r="48495" ht="15.75" customHeight="1"/>
    <row r="48496" ht="15.75" customHeight="1"/>
    <row r="48497" ht="15.75" customHeight="1"/>
    <row r="48498" ht="15.75" customHeight="1"/>
    <row r="48499" ht="15.75" customHeight="1"/>
    <row r="48500" ht="15.75" customHeight="1"/>
    <row r="48501" ht="15.75" customHeight="1"/>
    <row r="48502" ht="15.75" customHeight="1"/>
    <row r="48503" ht="15.75" customHeight="1"/>
    <row r="48504" ht="15.75" customHeight="1"/>
    <row r="48505" ht="15.75" customHeight="1"/>
    <row r="48506" ht="15.75" customHeight="1"/>
    <row r="48507" ht="15.75" customHeight="1"/>
    <row r="48508" ht="15.75" customHeight="1"/>
    <row r="48509" ht="15.75" customHeight="1"/>
    <row r="48510" ht="15.75" customHeight="1"/>
    <row r="48511" ht="15.75" customHeight="1"/>
    <row r="48512" ht="15.75" customHeight="1"/>
    <row r="48513" ht="15.75" customHeight="1"/>
    <row r="48514" ht="15.75" customHeight="1"/>
    <row r="48515" ht="15.75" customHeight="1"/>
    <row r="48516" ht="15.75" customHeight="1"/>
    <row r="48517" ht="15.75" customHeight="1"/>
    <row r="48518" ht="15.75" customHeight="1"/>
    <row r="48519" ht="15.75" customHeight="1"/>
    <row r="48520" ht="15.75" customHeight="1"/>
    <row r="48521" ht="15.75" customHeight="1"/>
    <row r="48522" ht="15.75" customHeight="1"/>
    <row r="48523" ht="15.75" customHeight="1"/>
    <row r="48524" ht="15.75" customHeight="1"/>
    <row r="48525" ht="15.75" customHeight="1"/>
    <row r="48526" ht="15.75" customHeight="1"/>
    <row r="48527" ht="15.75" customHeight="1"/>
    <row r="48528" ht="15.75" customHeight="1"/>
    <row r="48529" ht="15.75" customHeight="1"/>
    <row r="48530" ht="15.75" customHeight="1"/>
    <row r="48531" ht="15.75" customHeight="1"/>
    <row r="48532" ht="15.75" customHeight="1"/>
    <row r="48533" ht="15.75" customHeight="1"/>
    <row r="48534" ht="15.75" customHeight="1"/>
    <row r="48535" ht="15.75" customHeight="1"/>
    <row r="48536" ht="15.75" customHeight="1"/>
    <row r="48537" ht="15.75" customHeight="1"/>
    <row r="48538" ht="15.75" customHeight="1"/>
    <row r="48539" ht="15.75" customHeight="1"/>
    <row r="48540" ht="15.75" customHeight="1"/>
    <row r="48541" ht="15.75" customHeight="1"/>
    <row r="48542" ht="15.75" customHeight="1"/>
    <row r="48543" ht="15.75" customHeight="1"/>
    <row r="48544" ht="15.75" customHeight="1"/>
    <row r="48545" ht="15.75" customHeight="1"/>
    <row r="48546" ht="15.75" customHeight="1"/>
    <row r="48547" ht="15.75" customHeight="1"/>
    <row r="48548" ht="15.75" customHeight="1"/>
    <row r="48549" ht="15.75" customHeight="1"/>
    <row r="48550" ht="15.75" customHeight="1"/>
    <row r="48551" ht="15.75" customHeight="1"/>
    <row r="48552" ht="15.75" customHeight="1"/>
    <row r="48553" ht="15.75" customHeight="1"/>
    <row r="48554" ht="15.75" customHeight="1"/>
    <row r="48555" ht="15.75" customHeight="1"/>
    <row r="48556" ht="15.75" customHeight="1"/>
    <row r="48557" ht="15.75" customHeight="1"/>
    <row r="48558" ht="15.75" customHeight="1"/>
    <row r="48559" ht="15.75" customHeight="1"/>
    <row r="48560" ht="15.75" customHeight="1"/>
    <row r="48561" ht="15.75" customHeight="1"/>
    <row r="48562" ht="15.75" customHeight="1"/>
    <row r="48563" ht="15.75" customHeight="1"/>
    <row r="48564" ht="15.75" customHeight="1"/>
    <row r="48565" ht="15.75" customHeight="1"/>
    <row r="48566" ht="15.75" customHeight="1"/>
    <row r="48567" ht="15.75" customHeight="1"/>
    <row r="48568" ht="15.75" customHeight="1"/>
    <row r="48569" ht="15.75" customHeight="1"/>
    <row r="48570" ht="15.75" customHeight="1"/>
    <row r="48571" ht="15.75" customHeight="1"/>
    <row r="48572" ht="15.75" customHeight="1"/>
    <row r="48573" ht="15.75" customHeight="1"/>
    <row r="48574" ht="15.75" customHeight="1"/>
    <row r="48575" ht="15.75" customHeight="1"/>
    <row r="48576" ht="15.75" customHeight="1"/>
    <row r="48577" ht="15.75" customHeight="1"/>
    <row r="48578" ht="15.75" customHeight="1"/>
    <row r="48579" ht="15.75" customHeight="1"/>
    <row r="48580" ht="15.75" customHeight="1"/>
    <row r="48581" ht="15.75" customHeight="1"/>
    <row r="48582" ht="15.75" customHeight="1"/>
    <row r="48583" ht="15.75" customHeight="1"/>
    <row r="48584" ht="15.75" customHeight="1"/>
    <row r="48585" ht="15.75" customHeight="1"/>
    <row r="48586" ht="15.75" customHeight="1"/>
    <row r="48587" ht="15.75" customHeight="1"/>
    <row r="48588" ht="15.75" customHeight="1"/>
    <row r="48589" ht="15.75" customHeight="1"/>
    <row r="48590" ht="15.75" customHeight="1"/>
    <row r="48591" ht="15.75" customHeight="1"/>
    <row r="48592" ht="15.75" customHeight="1"/>
    <row r="48593" ht="15.75" customHeight="1"/>
    <row r="48594" ht="15.75" customHeight="1"/>
    <row r="48595" ht="15.75" customHeight="1"/>
    <row r="48596" ht="15.75" customHeight="1"/>
    <row r="48597" ht="15.75" customHeight="1"/>
    <row r="48598" ht="15.75" customHeight="1"/>
    <row r="48599" ht="15.75" customHeight="1"/>
    <row r="48600" ht="15.75" customHeight="1"/>
    <row r="48601" ht="15.75" customHeight="1"/>
    <row r="48602" ht="15.75" customHeight="1"/>
    <row r="48603" ht="15.75" customHeight="1"/>
    <row r="48604" ht="15.75" customHeight="1"/>
    <row r="48605" ht="15.75" customHeight="1"/>
    <row r="48606" ht="15.75" customHeight="1"/>
    <row r="48607" ht="15.75" customHeight="1"/>
    <row r="48608" ht="15.75" customHeight="1"/>
    <row r="48609" ht="15.75" customHeight="1"/>
    <row r="48610" ht="15.75" customHeight="1"/>
    <row r="48611" ht="15.75" customHeight="1"/>
    <row r="48612" ht="15.75" customHeight="1"/>
    <row r="48613" ht="15.75" customHeight="1"/>
    <row r="48614" ht="15.75" customHeight="1"/>
    <row r="48615" ht="15.75" customHeight="1"/>
    <row r="48616" ht="15.75" customHeight="1"/>
    <row r="48617" ht="15.75" customHeight="1"/>
    <row r="48618" ht="15.75" customHeight="1"/>
    <row r="48619" ht="15.75" customHeight="1"/>
    <row r="48620" ht="15.75" customHeight="1"/>
    <row r="48621" ht="15.75" customHeight="1"/>
    <row r="48622" ht="15.75" customHeight="1"/>
    <row r="48623" ht="15.75" customHeight="1"/>
    <row r="48624" ht="15.75" customHeight="1"/>
    <row r="48625" ht="15.75" customHeight="1"/>
    <row r="48626" ht="15.75" customHeight="1"/>
    <row r="48627" ht="15.75" customHeight="1"/>
    <row r="48628" ht="15.75" customHeight="1"/>
    <row r="48629" ht="15.75" customHeight="1"/>
    <row r="48630" ht="15.75" customHeight="1"/>
    <row r="48631" ht="15.75" customHeight="1"/>
    <row r="48632" ht="15.75" customHeight="1"/>
    <row r="48633" ht="15.75" customHeight="1"/>
    <row r="48634" ht="15.75" customHeight="1"/>
    <row r="48635" ht="15.75" customHeight="1"/>
    <row r="48636" ht="15.75" customHeight="1"/>
    <row r="48637" ht="15.75" customHeight="1"/>
    <row r="48638" ht="15.75" customHeight="1"/>
    <row r="48639" ht="15.75" customHeight="1"/>
    <row r="48640" ht="15.75" customHeight="1"/>
    <row r="48641" ht="15.75" customHeight="1"/>
    <row r="48642" ht="15.75" customHeight="1"/>
    <row r="48643" ht="15.75" customHeight="1"/>
    <row r="48644" ht="15.75" customHeight="1"/>
    <row r="48645" ht="15.75" customHeight="1"/>
    <row r="48646" ht="15.75" customHeight="1"/>
    <row r="48647" ht="15.75" customHeight="1"/>
    <row r="48648" ht="15.75" customHeight="1"/>
    <row r="48649" ht="15.75" customHeight="1"/>
    <row r="48650" ht="15.75" customHeight="1"/>
    <row r="48651" ht="15.75" customHeight="1"/>
    <row r="48652" ht="15.75" customHeight="1"/>
    <row r="48653" ht="15.75" customHeight="1"/>
    <row r="48654" ht="15.75" customHeight="1"/>
    <row r="48655" ht="15.75" customHeight="1"/>
    <row r="48656" ht="15.75" customHeight="1"/>
    <row r="48657" ht="15.75" customHeight="1"/>
    <row r="48658" ht="15.75" customHeight="1"/>
    <row r="48659" ht="15.75" customHeight="1"/>
    <row r="48660" ht="15.75" customHeight="1"/>
    <row r="48661" ht="15.75" customHeight="1"/>
    <row r="48662" ht="15.75" customHeight="1"/>
    <row r="48663" ht="15.75" customHeight="1"/>
    <row r="48664" ht="15.75" customHeight="1"/>
    <row r="48665" ht="15.75" customHeight="1"/>
    <row r="48666" ht="15.75" customHeight="1"/>
    <row r="48667" ht="15.75" customHeight="1"/>
    <row r="48668" ht="15.75" customHeight="1"/>
    <row r="48669" ht="15.75" customHeight="1"/>
    <row r="48670" ht="15.75" customHeight="1"/>
    <row r="48671" ht="15.75" customHeight="1"/>
    <row r="48672" ht="15.75" customHeight="1"/>
    <row r="48673" ht="15.75" customHeight="1"/>
    <row r="48674" ht="15.75" customHeight="1"/>
    <row r="48675" ht="15.75" customHeight="1"/>
    <row r="48676" ht="15.75" customHeight="1"/>
    <row r="48677" ht="15.75" customHeight="1"/>
    <row r="48678" ht="15.75" customHeight="1"/>
    <row r="48679" ht="15.75" customHeight="1"/>
    <row r="48680" ht="15.75" customHeight="1"/>
    <row r="48681" ht="15.75" customHeight="1"/>
    <row r="48682" ht="15.75" customHeight="1"/>
    <row r="48683" ht="15.75" customHeight="1"/>
    <row r="48684" ht="15.75" customHeight="1"/>
    <row r="48685" ht="15.75" customHeight="1"/>
    <row r="48686" ht="15.75" customHeight="1"/>
    <row r="48687" ht="15.75" customHeight="1"/>
    <row r="48688" ht="15.75" customHeight="1"/>
    <row r="48689" ht="15.75" customHeight="1"/>
    <row r="48690" ht="15.75" customHeight="1"/>
    <row r="48691" ht="15.75" customHeight="1"/>
    <row r="48692" ht="15.75" customHeight="1"/>
    <row r="48693" ht="15.75" customHeight="1"/>
    <row r="48694" ht="15.75" customHeight="1"/>
    <row r="48695" ht="15.75" customHeight="1"/>
    <row r="48696" ht="15.75" customHeight="1"/>
    <row r="48697" ht="15.75" customHeight="1"/>
    <row r="48698" ht="15.75" customHeight="1"/>
    <row r="48699" ht="15.75" customHeight="1"/>
    <row r="48700" ht="15.75" customHeight="1"/>
    <row r="48701" ht="15.75" customHeight="1"/>
    <row r="48702" ht="15.75" customHeight="1"/>
    <row r="48703" ht="15.75" customHeight="1"/>
    <row r="48704" ht="15.75" customHeight="1"/>
    <row r="48705" ht="15.75" customHeight="1"/>
    <row r="48706" ht="15.75" customHeight="1"/>
    <row r="48707" ht="15.75" customHeight="1"/>
    <row r="48708" ht="15.75" customHeight="1"/>
    <row r="48709" ht="15.75" customHeight="1"/>
    <row r="48710" ht="15.75" customHeight="1"/>
    <row r="48711" ht="15.75" customHeight="1"/>
    <row r="48712" ht="15.75" customHeight="1"/>
    <row r="48713" ht="15.75" customHeight="1"/>
    <row r="48714" ht="15.75" customHeight="1"/>
    <row r="48715" ht="15.75" customHeight="1"/>
    <row r="48716" ht="15.75" customHeight="1"/>
    <row r="48717" ht="15.75" customHeight="1"/>
    <row r="48718" ht="15.75" customHeight="1"/>
    <row r="48719" ht="15.75" customHeight="1"/>
    <row r="48720" ht="15.75" customHeight="1"/>
    <row r="48721" ht="15.75" customHeight="1"/>
    <row r="48722" ht="15.75" customHeight="1"/>
    <row r="48723" ht="15.75" customHeight="1"/>
    <row r="48724" ht="15.75" customHeight="1"/>
    <row r="48725" ht="15.75" customHeight="1"/>
    <row r="48726" ht="15.75" customHeight="1"/>
    <row r="48727" ht="15.75" customHeight="1"/>
    <row r="48728" ht="15.75" customHeight="1"/>
    <row r="48729" ht="15.75" customHeight="1"/>
    <row r="48730" ht="15.75" customHeight="1"/>
    <row r="48731" ht="15.75" customHeight="1"/>
    <row r="48732" ht="15.75" customHeight="1"/>
    <row r="48733" ht="15.75" customHeight="1"/>
    <row r="48734" ht="15.75" customHeight="1"/>
    <row r="48735" ht="15.75" customHeight="1"/>
    <row r="48736" ht="15.75" customHeight="1"/>
    <row r="48737" ht="15.75" customHeight="1"/>
    <row r="48738" ht="15.75" customHeight="1"/>
    <row r="48739" ht="15.75" customHeight="1"/>
    <row r="48740" ht="15.75" customHeight="1"/>
    <row r="48741" ht="15.75" customHeight="1"/>
    <row r="48742" ht="15.75" customHeight="1"/>
    <row r="48743" ht="15.75" customHeight="1"/>
    <row r="48744" ht="15.75" customHeight="1"/>
    <row r="48745" ht="15.75" customHeight="1"/>
    <row r="48746" ht="15.75" customHeight="1"/>
    <row r="48747" ht="15.75" customHeight="1"/>
    <row r="48748" ht="15.75" customHeight="1"/>
    <row r="48749" ht="15.75" customHeight="1"/>
    <row r="48750" ht="15.75" customHeight="1"/>
    <row r="48751" ht="15.75" customHeight="1"/>
    <row r="48752" ht="15.75" customHeight="1"/>
    <row r="48753" ht="15.75" customHeight="1"/>
    <row r="48754" ht="15.75" customHeight="1"/>
    <row r="48755" ht="15.75" customHeight="1"/>
    <row r="48756" ht="15.75" customHeight="1"/>
    <row r="48757" ht="15.75" customHeight="1"/>
    <row r="48758" ht="15.75" customHeight="1"/>
    <row r="48759" ht="15.75" customHeight="1"/>
    <row r="48760" ht="15.75" customHeight="1"/>
    <row r="48761" ht="15.75" customHeight="1"/>
    <row r="48762" ht="15.75" customHeight="1"/>
    <row r="48763" ht="15.75" customHeight="1"/>
    <row r="48764" ht="15.75" customHeight="1"/>
    <row r="48765" ht="15.75" customHeight="1"/>
    <row r="48766" ht="15.75" customHeight="1"/>
    <row r="48767" ht="15.75" customHeight="1"/>
    <row r="48768" ht="15.75" customHeight="1"/>
    <row r="48769" ht="15.75" customHeight="1"/>
    <row r="48770" ht="15.75" customHeight="1"/>
    <row r="48771" ht="15.75" customHeight="1"/>
    <row r="48772" ht="15.75" customHeight="1"/>
    <row r="48773" ht="15.75" customHeight="1"/>
    <row r="48774" ht="15.75" customHeight="1"/>
    <row r="48775" ht="15.75" customHeight="1"/>
    <row r="48776" ht="15.75" customHeight="1"/>
    <row r="48777" ht="15.75" customHeight="1"/>
    <row r="48778" ht="15.75" customHeight="1"/>
    <row r="48779" ht="15.75" customHeight="1"/>
    <row r="48780" ht="15.75" customHeight="1"/>
    <row r="48781" ht="15.75" customHeight="1"/>
    <row r="48782" ht="15.75" customHeight="1"/>
    <row r="48783" ht="15.75" customHeight="1"/>
    <row r="48784" ht="15.75" customHeight="1"/>
    <row r="48785" ht="15.75" customHeight="1"/>
    <row r="48786" ht="15.75" customHeight="1"/>
    <row r="48787" ht="15.75" customHeight="1"/>
    <row r="48788" ht="15.75" customHeight="1"/>
    <row r="48789" ht="15.75" customHeight="1"/>
    <row r="48790" ht="15.75" customHeight="1"/>
    <row r="48791" ht="15.75" customHeight="1"/>
    <row r="48792" ht="15.75" customHeight="1"/>
    <row r="48793" ht="15.75" customHeight="1"/>
    <row r="48794" ht="15.75" customHeight="1"/>
    <row r="48795" ht="15.75" customHeight="1"/>
    <row r="48796" ht="15.75" customHeight="1"/>
    <row r="48797" ht="15.75" customHeight="1"/>
    <row r="48798" ht="15.75" customHeight="1"/>
    <row r="48799" ht="15.75" customHeight="1"/>
    <row r="48800" ht="15.75" customHeight="1"/>
    <row r="48801" ht="15.75" customHeight="1"/>
    <row r="48802" ht="15.75" customHeight="1"/>
    <row r="48803" ht="15.75" customHeight="1"/>
    <row r="48804" ht="15.75" customHeight="1"/>
    <row r="48805" ht="15.75" customHeight="1"/>
    <row r="48806" ht="15.75" customHeight="1"/>
    <row r="48807" ht="15.75" customHeight="1"/>
    <row r="48808" ht="15.75" customHeight="1"/>
    <row r="48809" ht="15.75" customHeight="1"/>
    <row r="48810" ht="15.75" customHeight="1"/>
    <row r="48811" ht="15.75" customHeight="1"/>
    <row r="48812" ht="15.75" customHeight="1"/>
    <row r="48813" ht="15.75" customHeight="1"/>
    <row r="48814" ht="15.75" customHeight="1"/>
    <row r="48815" ht="15.75" customHeight="1"/>
    <row r="48816" ht="15.75" customHeight="1"/>
    <row r="48817" ht="15.75" customHeight="1"/>
    <row r="48818" ht="15.75" customHeight="1"/>
    <row r="48819" ht="15.75" customHeight="1"/>
    <row r="48820" ht="15.75" customHeight="1"/>
    <row r="48821" ht="15.75" customHeight="1"/>
    <row r="48822" ht="15.75" customHeight="1"/>
    <row r="48823" ht="15.75" customHeight="1"/>
    <row r="48824" ht="15.75" customHeight="1"/>
    <row r="48825" ht="15.75" customHeight="1"/>
    <row r="48826" ht="15.75" customHeight="1"/>
    <row r="48827" ht="15.75" customHeight="1"/>
    <row r="48828" ht="15.75" customHeight="1"/>
    <row r="48829" ht="15.75" customHeight="1"/>
    <row r="48830" ht="15.75" customHeight="1"/>
    <row r="48831" ht="15.75" customHeight="1"/>
    <row r="48832" ht="15.75" customHeight="1"/>
    <row r="48833" ht="15.75" customHeight="1"/>
    <row r="48834" ht="15.75" customHeight="1"/>
    <row r="48835" ht="15.75" customHeight="1"/>
    <row r="48836" ht="15.75" customHeight="1"/>
    <row r="48837" ht="15.75" customHeight="1"/>
    <row r="48838" ht="15.75" customHeight="1"/>
    <row r="48839" ht="15.75" customHeight="1"/>
    <row r="48840" ht="15.75" customHeight="1"/>
    <row r="48841" ht="15.75" customHeight="1"/>
    <row r="48842" ht="15.75" customHeight="1"/>
    <row r="48843" ht="15.75" customHeight="1"/>
    <row r="48844" ht="15.75" customHeight="1"/>
    <row r="48845" ht="15.75" customHeight="1"/>
    <row r="48846" ht="15.75" customHeight="1"/>
    <row r="48847" ht="15.75" customHeight="1"/>
    <row r="48848" ht="15.75" customHeight="1"/>
    <row r="48849" ht="15.75" customHeight="1"/>
    <row r="48850" ht="15.75" customHeight="1"/>
    <row r="48851" ht="15.75" customHeight="1"/>
    <row r="48852" ht="15.75" customHeight="1"/>
    <row r="48853" ht="15.75" customHeight="1"/>
    <row r="48854" ht="15.75" customHeight="1"/>
    <row r="48855" ht="15.75" customHeight="1"/>
    <row r="48856" ht="15.75" customHeight="1"/>
    <row r="48857" ht="15.75" customHeight="1"/>
    <row r="48858" ht="15.75" customHeight="1"/>
    <row r="48859" ht="15.75" customHeight="1"/>
    <row r="48860" ht="15.75" customHeight="1"/>
    <row r="48861" ht="15.75" customHeight="1"/>
    <row r="48862" ht="15.75" customHeight="1"/>
    <row r="48863" ht="15.75" customHeight="1"/>
    <row r="48864" ht="15.75" customHeight="1"/>
    <row r="48865" ht="15.75" customHeight="1"/>
    <row r="48866" ht="15.75" customHeight="1"/>
    <row r="48867" ht="15.75" customHeight="1"/>
    <row r="48868" ht="15.75" customHeight="1"/>
    <row r="48869" ht="15.75" customHeight="1"/>
    <row r="48870" ht="15.75" customHeight="1"/>
    <row r="48871" ht="15.75" customHeight="1"/>
    <row r="48872" ht="15.75" customHeight="1"/>
    <row r="48873" ht="15.75" customHeight="1"/>
    <row r="48874" ht="15.75" customHeight="1"/>
    <row r="48875" ht="15.75" customHeight="1"/>
    <row r="48876" ht="15.75" customHeight="1"/>
    <row r="48877" ht="15.75" customHeight="1"/>
    <row r="48878" ht="15.75" customHeight="1"/>
    <row r="48879" ht="15.75" customHeight="1"/>
    <row r="48880" ht="15.75" customHeight="1"/>
    <row r="48881" ht="15.75" customHeight="1"/>
    <row r="48882" ht="15.75" customHeight="1"/>
    <row r="48883" ht="15.75" customHeight="1"/>
    <row r="48884" ht="15.75" customHeight="1"/>
    <row r="48885" ht="15.75" customHeight="1"/>
    <row r="48886" ht="15.75" customHeight="1"/>
    <row r="48887" ht="15.75" customHeight="1"/>
    <row r="48888" ht="15.75" customHeight="1"/>
    <row r="48889" ht="15.75" customHeight="1"/>
    <row r="48890" ht="15.75" customHeight="1"/>
    <row r="48891" ht="15.75" customHeight="1"/>
    <row r="48892" ht="15.75" customHeight="1"/>
    <row r="48893" ht="15.75" customHeight="1"/>
    <row r="48894" ht="15.75" customHeight="1"/>
    <row r="48895" ht="15.75" customHeight="1"/>
    <row r="48896" ht="15.75" customHeight="1"/>
    <row r="48897" ht="15.75" customHeight="1"/>
    <row r="48898" ht="15.75" customHeight="1"/>
    <row r="48899" ht="15.75" customHeight="1"/>
    <row r="48900" ht="15.75" customHeight="1"/>
    <row r="48901" ht="15.75" customHeight="1"/>
    <row r="48902" ht="15.75" customHeight="1"/>
    <row r="48903" ht="15.75" customHeight="1"/>
    <row r="48904" ht="15.75" customHeight="1"/>
    <row r="48905" ht="15.75" customHeight="1"/>
    <row r="48906" ht="15.75" customHeight="1"/>
    <row r="48907" ht="15.75" customHeight="1"/>
    <row r="48908" ht="15.75" customHeight="1"/>
    <row r="48909" ht="15.75" customHeight="1"/>
    <row r="48910" ht="15.75" customHeight="1"/>
    <row r="48911" ht="15.75" customHeight="1"/>
    <row r="48912" ht="15.75" customHeight="1"/>
    <row r="48913" ht="15.75" customHeight="1"/>
    <row r="48914" ht="15.75" customHeight="1"/>
    <row r="48915" ht="15.75" customHeight="1"/>
    <row r="48916" ht="15.75" customHeight="1"/>
    <row r="48917" ht="15.75" customHeight="1"/>
    <row r="48918" ht="15.75" customHeight="1"/>
    <row r="48919" ht="15.75" customHeight="1"/>
    <row r="48920" ht="15.75" customHeight="1"/>
    <row r="48921" ht="15.75" customHeight="1"/>
    <row r="48922" ht="15.75" customHeight="1"/>
    <row r="48923" ht="15.75" customHeight="1"/>
    <row r="48924" ht="15.75" customHeight="1"/>
    <row r="48925" ht="15.75" customHeight="1"/>
    <row r="48926" ht="15.75" customHeight="1"/>
    <row r="48927" ht="15.75" customHeight="1"/>
    <row r="48928" ht="15.75" customHeight="1"/>
    <row r="48929" ht="15.75" customHeight="1"/>
    <row r="48930" ht="15.75" customHeight="1"/>
    <row r="48931" ht="15.75" customHeight="1"/>
    <row r="48932" ht="15.75" customHeight="1"/>
    <row r="48933" ht="15.75" customHeight="1"/>
    <row r="48934" ht="15.75" customHeight="1"/>
    <row r="48935" ht="15.75" customHeight="1"/>
    <row r="48936" ht="15.75" customHeight="1"/>
    <row r="48937" ht="15.75" customHeight="1"/>
    <row r="48938" ht="15.75" customHeight="1"/>
    <row r="48939" ht="15.75" customHeight="1"/>
    <row r="48940" ht="15.75" customHeight="1"/>
    <row r="48941" ht="15.75" customHeight="1"/>
    <row r="48942" ht="15.75" customHeight="1"/>
    <row r="48943" ht="15.75" customHeight="1"/>
    <row r="48944" ht="15.75" customHeight="1"/>
    <row r="48945" ht="15.75" customHeight="1"/>
    <row r="48946" ht="15.75" customHeight="1"/>
    <row r="48947" ht="15.75" customHeight="1"/>
    <row r="48948" ht="15.75" customHeight="1"/>
    <row r="48949" ht="15.75" customHeight="1"/>
    <row r="48950" ht="15.75" customHeight="1"/>
    <row r="48951" ht="15.75" customHeight="1"/>
    <row r="48952" ht="15.75" customHeight="1"/>
    <row r="48953" ht="15.75" customHeight="1"/>
    <row r="48954" ht="15.75" customHeight="1"/>
    <row r="48955" ht="15.75" customHeight="1"/>
    <row r="48956" ht="15.75" customHeight="1"/>
    <row r="48957" ht="15.75" customHeight="1"/>
    <row r="48958" ht="15.75" customHeight="1"/>
    <row r="48959" ht="15.75" customHeight="1"/>
    <row r="48960" ht="15.75" customHeight="1"/>
    <row r="48961" ht="15.75" customHeight="1"/>
    <row r="48962" ht="15.75" customHeight="1"/>
    <row r="48963" ht="15.75" customHeight="1"/>
    <row r="48964" ht="15.75" customHeight="1"/>
    <row r="48965" ht="15.75" customHeight="1"/>
    <row r="48966" ht="15.75" customHeight="1"/>
    <row r="48967" ht="15.75" customHeight="1"/>
    <row r="48968" ht="15.75" customHeight="1"/>
    <row r="48969" ht="15.75" customHeight="1"/>
    <row r="48970" ht="15.75" customHeight="1"/>
    <row r="48971" ht="15.75" customHeight="1"/>
    <row r="48972" ht="15.75" customHeight="1"/>
    <row r="48973" ht="15.75" customHeight="1"/>
    <row r="48974" ht="15.75" customHeight="1"/>
    <row r="48975" ht="15.75" customHeight="1"/>
    <row r="48976" ht="15.75" customHeight="1"/>
    <row r="48977" ht="15.75" customHeight="1"/>
    <row r="48978" ht="15.75" customHeight="1"/>
    <row r="48979" ht="15.75" customHeight="1"/>
    <row r="48980" ht="15.75" customHeight="1"/>
    <row r="48981" ht="15.75" customHeight="1"/>
    <row r="48982" ht="15.75" customHeight="1"/>
    <row r="48983" ht="15.75" customHeight="1"/>
    <row r="48984" ht="15.75" customHeight="1"/>
    <row r="48985" ht="15.75" customHeight="1"/>
    <row r="48986" ht="15.75" customHeight="1"/>
    <row r="48987" ht="15.75" customHeight="1"/>
    <row r="48988" ht="15.75" customHeight="1"/>
    <row r="48989" ht="15.75" customHeight="1"/>
    <row r="48990" ht="15.75" customHeight="1"/>
    <row r="48991" ht="15.75" customHeight="1"/>
    <row r="48992" ht="15.75" customHeight="1"/>
    <row r="48993" ht="15.75" customHeight="1"/>
    <row r="48994" ht="15.75" customHeight="1"/>
    <row r="48995" ht="15.75" customHeight="1"/>
    <row r="48996" ht="15.75" customHeight="1"/>
    <row r="48997" ht="15.75" customHeight="1"/>
    <row r="48998" ht="15.75" customHeight="1"/>
    <row r="48999" ht="15.75" customHeight="1"/>
    <row r="49000" ht="15.75" customHeight="1"/>
    <row r="49001" ht="15.75" customHeight="1"/>
    <row r="49002" ht="15.75" customHeight="1"/>
    <row r="49003" ht="15.75" customHeight="1"/>
    <row r="49004" ht="15.75" customHeight="1"/>
    <row r="49005" ht="15.75" customHeight="1"/>
    <row r="49006" ht="15.75" customHeight="1"/>
    <row r="49007" ht="15.75" customHeight="1"/>
    <row r="49008" ht="15.75" customHeight="1"/>
    <row r="49009" ht="15.75" customHeight="1"/>
    <row r="49010" ht="15.75" customHeight="1"/>
    <row r="49011" ht="15.75" customHeight="1"/>
    <row r="49012" ht="15.75" customHeight="1"/>
    <row r="49013" ht="15.75" customHeight="1"/>
    <row r="49014" ht="15.75" customHeight="1"/>
    <row r="49015" ht="15.75" customHeight="1"/>
    <row r="49016" ht="15.75" customHeight="1"/>
    <row r="49017" ht="15.75" customHeight="1"/>
    <row r="49018" ht="15.75" customHeight="1"/>
    <row r="49019" ht="15.75" customHeight="1"/>
    <row r="49020" ht="15.75" customHeight="1"/>
    <row r="49021" ht="15.75" customHeight="1"/>
    <row r="49022" ht="15.75" customHeight="1"/>
    <row r="49023" ht="15.75" customHeight="1"/>
    <row r="49024" ht="15.75" customHeight="1"/>
    <row r="49025" ht="15.75" customHeight="1"/>
    <row r="49026" ht="15.75" customHeight="1"/>
    <row r="49027" ht="15.75" customHeight="1"/>
    <row r="49028" ht="15.75" customHeight="1"/>
    <row r="49029" ht="15.75" customHeight="1"/>
    <row r="49030" ht="15.75" customHeight="1"/>
    <row r="49031" ht="15.75" customHeight="1"/>
    <row r="49032" ht="15.75" customHeight="1"/>
    <row r="49033" ht="15.75" customHeight="1"/>
    <row r="49034" ht="15.75" customHeight="1"/>
    <row r="49035" ht="15.75" customHeight="1"/>
    <row r="49036" ht="15.75" customHeight="1"/>
    <row r="49037" ht="15.75" customHeight="1"/>
    <row r="49038" ht="15.75" customHeight="1"/>
    <row r="49039" ht="15.75" customHeight="1"/>
    <row r="49040" ht="15.75" customHeight="1"/>
    <row r="49041" ht="15.75" customHeight="1"/>
    <row r="49042" ht="15.75" customHeight="1"/>
    <row r="49043" ht="15.75" customHeight="1"/>
    <row r="49044" ht="15.75" customHeight="1"/>
    <row r="49045" ht="15.75" customHeight="1"/>
    <row r="49046" ht="15.75" customHeight="1"/>
    <row r="49047" ht="15.75" customHeight="1"/>
    <row r="49048" ht="15.75" customHeight="1"/>
    <row r="49049" ht="15.75" customHeight="1"/>
    <row r="49050" ht="15.75" customHeight="1"/>
    <row r="49051" ht="15.75" customHeight="1"/>
    <row r="49052" ht="15.75" customHeight="1"/>
    <row r="49053" ht="15.75" customHeight="1"/>
    <row r="49054" ht="15.75" customHeight="1"/>
    <row r="49055" ht="15.75" customHeight="1"/>
    <row r="49056" ht="15.75" customHeight="1"/>
    <row r="49057" ht="15.75" customHeight="1"/>
    <row r="49058" ht="15.75" customHeight="1"/>
    <row r="49059" ht="15.75" customHeight="1"/>
    <row r="49060" ht="15.75" customHeight="1"/>
    <row r="49061" ht="15.75" customHeight="1"/>
    <row r="49062" ht="15.75" customHeight="1"/>
    <row r="49063" ht="15.75" customHeight="1"/>
    <row r="49064" ht="15.75" customHeight="1"/>
    <row r="49065" ht="15.75" customHeight="1"/>
    <row r="49066" ht="15.75" customHeight="1"/>
    <row r="49067" ht="15.75" customHeight="1"/>
    <row r="49068" ht="15.75" customHeight="1"/>
    <row r="49069" ht="15.75" customHeight="1"/>
    <row r="49070" ht="15.75" customHeight="1"/>
    <row r="49071" ht="15.75" customHeight="1"/>
    <row r="49072" ht="15.75" customHeight="1"/>
    <row r="49073" ht="15.75" customHeight="1"/>
    <row r="49074" ht="15.75" customHeight="1"/>
    <row r="49075" ht="15.75" customHeight="1"/>
    <row r="49076" ht="15.75" customHeight="1"/>
    <row r="49077" ht="15.75" customHeight="1"/>
    <row r="49078" ht="15.75" customHeight="1"/>
    <row r="49079" ht="15.75" customHeight="1"/>
    <row r="49080" ht="15.75" customHeight="1"/>
    <row r="49081" ht="15.75" customHeight="1"/>
    <row r="49082" ht="15.75" customHeight="1"/>
    <row r="49083" ht="15.75" customHeight="1"/>
    <row r="49084" ht="15.75" customHeight="1"/>
    <row r="49085" ht="15.75" customHeight="1"/>
    <row r="49086" ht="15.75" customHeight="1"/>
    <row r="49087" ht="15.75" customHeight="1"/>
    <row r="49088" ht="15.75" customHeight="1"/>
    <row r="49089" ht="15.75" customHeight="1"/>
    <row r="49090" ht="15.75" customHeight="1"/>
    <row r="49091" ht="15.75" customHeight="1"/>
    <row r="49092" ht="15.75" customHeight="1"/>
    <row r="49093" ht="15.75" customHeight="1"/>
    <row r="49094" ht="15.75" customHeight="1"/>
    <row r="49095" ht="15.75" customHeight="1"/>
    <row r="49096" ht="15.75" customHeight="1"/>
    <row r="49097" ht="15.75" customHeight="1"/>
    <row r="49098" ht="15.75" customHeight="1"/>
    <row r="49099" ht="15.75" customHeight="1"/>
    <row r="49100" ht="15.75" customHeight="1"/>
    <row r="49101" ht="15.75" customHeight="1"/>
    <row r="49102" ht="15.75" customHeight="1"/>
    <row r="49103" ht="15.75" customHeight="1"/>
    <row r="49104" ht="15.75" customHeight="1"/>
    <row r="49105" ht="15.75" customHeight="1"/>
    <row r="49106" ht="15.75" customHeight="1"/>
    <row r="49107" ht="15.75" customHeight="1"/>
    <row r="49108" ht="15.75" customHeight="1"/>
    <row r="49109" ht="15.75" customHeight="1"/>
    <row r="49110" ht="15.75" customHeight="1"/>
    <row r="49111" ht="15.75" customHeight="1"/>
    <row r="49112" ht="15.75" customHeight="1"/>
    <row r="49113" ht="15.75" customHeight="1"/>
    <row r="49114" ht="15.75" customHeight="1"/>
    <row r="49115" ht="15.75" customHeight="1"/>
    <row r="49116" ht="15.75" customHeight="1"/>
    <row r="49117" ht="15.75" customHeight="1"/>
    <row r="49118" ht="15.75" customHeight="1"/>
    <row r="49119" ht="15.75" customHeight="1"/>
    <row r="49120" ht="15.75" customHeight="1"/>
    <row r="49121" ht="15.75" customHeight="1"/>
    <row r="49122" ht="15.75" customHeight="1"/>
    <row r="49123" ht="15.75" customHeight="1"/>
    <row r="49124" ht="15.75" customHeight="1"/>
    <row r="49125" ht="15.75" customHeight="1"/>
    <row r="49126" ht="15.75" customHeight="1"/>
    <row r="49127" ht="15.75" customHeight="1"/>
    <row r="49128" ht="15.75" customHeight="1"/>
    <row r="49129" ht="15.75" customHeight="1"/>
    <row r="49130" ht="15.75" customHeight="1"/>
    <row r="49131" ht="15.75" customHeight="1"/>
    <row r="49132" ht="15.75" customHeight="1"/>
    <row r="49133" ht="15.75" customHeight="1"/>
    <row r="49134" ht="15.75" customHeight="1"/>
    <row r="49135" ht="15.75" customHeight="1"/>
    <row r="49136" ht="15.75" customHeight="1"/>
    <row r="49137" ht="15.75" customHeight="1"/>
    <row r="49138" ht="15.75" customHeight="1"/>
    <row r="49139" ht="15.75" customHeight="1"/>
    <row r="49140" ht="15.75" customHeight="1"/>
    <row r="49141" ht="15.75" customHeight="1"/>
    <row r="49142" ht="15.75" customHeight="1"/>
    <row r="49143" ht="15.75" customHeight="1"/>
    <row r="49144" ht="15.75" customHeight="1"/>
    <row r="49145" ht="15.75" customHeight="1"/>
    <row r="49146" ht="15.75" customHeight="1"/>
    <row r="49147" ht="15.75" customHeight="1"/>
    <row r="49148" ht="15.75" customHeight="1"/>
    <row r="49149" ht="15.75" customHeight="1"/>
    <row r="49150" ht="15.75" customHeight="1"/>
    <row r="49151" ht="15.75" customHeight="1"/>
    <row r="49152" ht="15.75" customHeight="1"/>
    <row r="49153" ht="15.75" customHeight="1"/>
    <row r="49154" ht="15.75" customHeight="1"/>
    <row r="49155" ht="15.75" customHeight="1"/>
    <row r="49156" ht="15.75" customHeight="1"/>
    <row r="49157" ht="15.75" customHeight="1"/>
    <row r="49158" ht="15.75" customHeight="1"/>
    <row r="49159" ht="15.75" customHeight="1"/>
    <row r="49160" ht="15.75" customHeight="1"/>
    <row r="49161" ht="15.75" customHeight="1"/>
    <row r="49162" ht="15.75" customHeight="1"/>
    <row r="49163" ht="15.75" customHeight="1"/>
    <row r="49164" ht="15.75" customHeight="1"/>
    <row r="49165" ht="15.75" customHeight="1"/>
    <row r="49166" ht="15.75" customHeight="1"/>
    <row r="49167" ht="15.75" customHeight="1"/>
    <row r="49168" ht="15.75" customHeight="1"/>
    <row r="49169" ht="15.75" customHeight="1"/>
    <row r="49170" ht="15.75" customHeight="1"/>
    <row r="49171" ht="15.75" customHeight="1"/>
    <row r="49172" ht="15.75" customHeight="1"/>
    <row r="49173" ht="15.75" customHeight="1"/>
    <row r="49174" ht="15.75" customHeight="1"/>
    <row r="49175" ht="15.75" customHeight="1"/>
    <row r="49176" ht="15.75" customHeight="1"/>
    <row r="49177" ht="15.75" customHeight="1"/>
    <row r="49178" ht="15.75" customHeight="1"/>
    <row r="49179" ht="15.75" customHeight="1"/>
    <row r="49180" ht="15.75" customHeight="1"/>
    <row r="49181" ht="15.75" customHeight="1"/>
    <row r="49182" ht="15.75" customHeight="1"/>
    <row r="49183" ht="15.75" customHeight="1"/>
    <row r="49184" ht="15.75" customHeight="1"/>
    <row r="49185" ht="15.75" customHeight="1"/>
    <row r="49186" ht="15.75" customHeight="1"/>
    <row r="49187" ht="15.75" customHeight="1"/>
    <row r="49188" ht="15.75" customHeight="1"/>
    <row r="49189" ht="15.75" customHeight="1"/>
    <row r="49190" ht="15.75" customHeight="1"/>
    <row r="49191" ht="15.75" customHeight="1"/>
    <row r="49192" ht="15.75" customHeight="1"/>
    <row r="49193" ht="15.75" customHeight="1"/>
    <row r="49194" ht="15.75" customHeight="1"/>
    <row r="49195" ht="15.75" customHeight="1"/>
    <row r="49196" ht="15.75" customHeight="1"/>
    <row r="49197" ht="15.75" customHeight="1"/>
    <row r="49198" ht="15.75" customHeight="1"/>
    <row r="49199" ht="15.75" customHeight="1"/>
    <row r="49200" ht="15.75" customHeight="1"/>
    <row r="49201" ht="15.75" customHeight="1"/>
    <row r="49202" ht="15.75" customHeight="1"/>
    <row r="49203" ht="15.75" customHeight="1"/>
    <row r="49204" ht="15.75" customHeight="1"/>
    <row r="49205" ht="15.75" customHeight="1"/>
    <row r="49206" ht="15.75" customHeight="1"/>
    <row r="49207" ht="15.75" customHeight="1"/>
    <row r="49208" ht="15.75" customHeight="1"/>
    <row r="49209" ht="15.75" customHeight="1"/>
    <row r="49210" ht="15.75" customHeight="1"/>
    <row r="49211" ht="15.75" customHeight="1"/>
    <row r="49212" ht="15.75" customHeight="1"/>
    <row r="49213" ht="15.75" customHeight="1"/>
    <row r="49214" ht="15.75" customHeight="1"/>
    <row r="49215" ht="15.75" customHeight="1"/>
    <row r="49216" ht="15.75" customHeight="1"/>
    <row r="49217" ht="15.75" customHeight="1"/>
    <row r="49218" ht="15.75" customHeight="1"/>
    <row r="49219" ht="15.75" customHeight="1"/>
    <row r="49220" ht="15.75" customHeight="1"/>
    <row r="49221" ht="15.75" customHeight="1"/>
    <row r="49222" ht="15.75" customHeight="1"/>
    <row r="49223" ht="15.75" customHeight="1"/>
    <row r="49224" ht="15.75" customHeight="1"/>
    <row r="49225" ht="15.75" customHeight="1"/>
    <row r="49226" ht="15.75" customHeight="1"/>
    <row r="49227" ht="15.75" customHeight="1"/>
    <row r="49228" ht="15.75" customHeight="1"/>
    <row r="49229" ht="15.75" customHeight="1"/>
    <row r="49230" ht="15.75" customHeight="1"/>
    <row r="49231" ht="15.75" customHeight="1"/>
    <row r="49232" ht="15.75" customHeight="1"/>
    <row r="49233" ht="15.75" customHeight="1"/>
    <row r="49234" ht="15.75" customHeight="1"/>
    <row r="49235" ht="15.75" customHeight="1"/>
    <row r="49236" ht="15.75" customHeight="1"/>
    <row r="49237" ht="15.75" customHeight="1"/>
    <row r="49238" ht="15.75" customHeight="1"/>
    <row r="49239" ht="15.75" customHeight="1"/>
    <row r="49240" ht="15.75" customHeight="1"/>
    <row r="49241" ht="15.75" customHeight="1"/>
    <row r="49242" ht="15.75" customHeight="1"/>
    <row r="49243" ht="15.75" customHeight="1"/>
    <row r="49244" ht="15.75" customHeight="1"/>
    <row r="49245" ht="15.75" customHeight="1"/>
    <row r="49246" ht="15.75" customHeight="1"/>
    <row r="49247" ht="15.75" customHeight="1"/>
    <row r="49248" ht="15.75" customHeight="1"/>
    <row r="49249" ht="15.75" customHeight="1"/>
    <row r="49250" ht="15.75" customHeight="1"/>
    <row r="49251" ht="15.75" customHeight="1"/>
    <row r="49252" ht="15.75" customHeight="1"/>
    <row r="49253" ht="15.75" customHeight="1"/>
    <row r="49254" ht="15.75" customHeight="1"/>
    <row r="49255" ht="15.75" customHeight="1"/>
    <row r="49256" ht="15.75" customHeight="1"/>
    <row r="49257" ht="15.75" customHeight="1"/>
    <row r="49258" ht="15.75" customHeight="1"/>
    <row r="49259" ht="15.75" customHeight="1"/>
    <row r="49260" ht="15.75" customHeight="1"/>
    <row r="49261" ht="15.75" customHeight="1"/>
    <row r="49262" ht="15.75" customHeight="1"/>
    <row r="49263" ht="15.75" customHeight="1"/>
    <row r="49264" ht="15.75" customHeight="1"/>
    <row r="49265" ht="15.75" customHeight="1"/>
    <row r="49266" ht="15.75" customHeight="1"/>
    <row r="49267" ht="15.75" customHeight="1"/>
    <row r="49268" ht="15.75" customHeight="1"/>
    <row r="49269" ht="15.75" customHeight="1"/>
    <row r="49270" ht="15.75" customHeight="1"/>
    <row r="49271" ht="15.75" customHeight="1"/>
    <row r="49272" ht="15.75" customHeight="1"/>
    <row r="49273" ht="15.75" customHeight="1"/>
    <row r="49274" ht="15.75" customHeight="1"/>
    <row r="49275" ht="15.75" customHeight="1"/>
    <row r="49276" ht="15.75" customHeight="1"/>
    <row r="49277" ht="15.75" customHeight="1"/>
    <row r="49278" ht="15.75" customHeight="1"/>
    <row r="49279" ht="15.75" customHeight="1"/>
    <row r="49280" ht="15.75" customHeight="1"/>
    <row r="49281" ht="15.75" customHeight="1"/>
    <row r="49282" ht="15.75" customHeight="1"/>
    <row r="49283" ht="15.75" customHeight="1"/>
    <row r="49284" ht="15.75" customHeight="1"/>
    <row r="49285" ht="15.75" customHeight="1"/>
    <row r="49286" ht="15.75" customHeight="1"/>
    <row r="49287" ht="15.75" customHeight="1"/>
    <row r="49288" ht="15.75" customHeight="1"/>
    <row r="49289" ht="15.75" customHeight="1"/>
    <row r="49290" ht="15.75" customHeight="1"/>
    <row r="49291" ht="15.75" customHeight="1"/>
    <row r="49292" ht="15.75" customHeight="1"/>
    <row r="49293" ht="15.75" customHeight="1"/>
    <row r="49294" ht="15.75" customHeight="1"/>
    <row r="49295" ht="15.75" customHeight="1"/>
    <row r="49296" ht="15.75" customHeight="1"/>
    <row r="49297" ht="15.75" customHeight="1"/>
    <row r="49298" ht="15.75" customHeight="1"/>
    <row r="49299" ht="15.75" customHeight="1"/>
    <row r="49300" ht="15.75" customHeight="1"/>
    <row r="49301" ht="15.75" customHeight="1"/>
    <row r="49302" ht="15.75" customHeight="1"/>
    <row r="49303" ht="15.75" customHeight="1"/>
    <row r="49304" ht="15.75" customHeight="1"/>
    <row r="49305" ht="15.75" customHeight="1"/>
    <row r="49306" ht="15.75" customHeight="1"/>
    <row r="49307" ht="15.75" customHeight="1"/>
    <row r="49308" ht="15.75" customHeight="1"/>
    <row r="49309" ht="15.75" customHeight="1"/>
    <row r="49310" ht="15.75" customHeight="1"/>
    <row r="49311" ht="15.75" customHeight="1"/>
    <row r="49312" ht="15.75" customHeight="1"/>
    <row r="49313" ht="15.75" customHeight="1"/>
    <row r="49314" ht="15.75" customHeight="1"/>
    <row r="49315" ht="15.75" customHeight="1"/>
    <row r="49316" ht="15.75" customHeight="1"/>
    <row r="49317" ht="15.75" customHeight="1"/>
    <row r="49318" ht="15.75" customHeight="1"/>
    <row r="49319" ht="15.75" customHeight="1"/>
    <row r="49320" ht="15.75" customHeight="1"/>
    <row r="49321" ht="15.75" customHeight="1"/>
    <row r="49322" ht="15.75" customHeight="1"/>
    <row r="49323" ht="15.75" customHeight="1"/>
    <row r="49324" ht="15.75" customHeight="1"/>
    <row r="49325" ht="15.75" customHeight="1"/>
    <row r="49326" ht="15.75" customHeight="1"/>
    <row r="49327" ht="15.75" customHeight="1"/>
    <row r="49328" ht="15.75" customHeight="1"/>
    <row r="49329" ht="15.75" customHeight="1"/>
    <row r="49330" ht="15.75" customHeight="1"/>
    <row r="49331" ht="15.75" customHeight="1"/>
    <row r="49332" ht="15.75" customHeight="1"/>
    <row r="49333" ht="15.75" customHeight="1"/>
    <row r="49334" ht="15.75" customHeight="1"/>
    <row r="49335" ht="15.75" customHeight="1"/>
    <row r="49336" ht="15.75" customHeight="1"/>
    <row r="49337" ht="15.75" customHeight="1"/>
    <row r="49338" ht="15.75" customHeight="1"/>
    <row r="49339" ht="15.75" customHeight="1"/>
    <row r="49340" ht="15.75" customHeight="1"/>
    <row r="49341" ht="15.75" customHeight="1"/>
    <row r="49342" ht="15.75" customHeight="1"/>
    <row r="49343" ht="15.75" customHeight="1"/>
    <row r="49344" ht="15.75" customHeight="1"/>
    <row r="49345" ht="15.75" customHeight="1"/>
    <row r="49346" ht="15.75" customHeight="1"/>
    <row r="49347" ht="15.75" customHeight="1"/>
    <row r="49348" ht="15.75" customHeight="1"/>
    <row r="49349" ht="15.75" customHeight="1"/>
    <row r="49350" ht="15.75" customHeight="1"/>
    <row r="49351" ht="15.75" customHeight="1"/>
    <row r="49352" ht="15.75" customHeight="1"/>
    <row r="49353" ht="15.75" customHeight="1"/>
    <row r="49354" ht="15.75" customHeight="1"/>
    <row r="49355" ht="15.75" customHeight="1"/>
    <row r="49356" ht="15.75" customHeight="1"/>
    <row r="49357" ht="15.75" customHeight="1"/>
    <row r="49358" ht="15.75" customHeight="1"/>
    <row r="49359" ht="15.75" customHeight="1"/>
    <row r="49360" ht="15.75" customHeight="1"/>
    <row r="49361" ht="15.75" customHeight="1"/>
    <row r="49362" ht="15.75" customHeight="1"/>
    <row r="49363" ht="15.75" customHeight="1"/>
    <row r="49364" ht="15.75" customHeight="1"/>
    <row r="49365" ht="15.75" customHeight="1"/>
    <row r="49366" ht="15.75" customHeight="1"/>
    <row r="49367" ht="15.75" customHeight="1"/>
    <row r="49368" ht="15.75" customHeight="1"/>
    <row r="49369" ht="15.75" customHeight="1"/>
    <row r="49370" ht="15.75" customHeight="1"/>
    <row r="49371" ht="15.75" customHeight="1"/>
    <row r="49372" ht="15.75" customHeight="1"/>
    <row r="49373" ht="15.75" customHeight="1"/>
    <row r="49374" ht="15.75" customHeight="1"/>
    <row r="49375" ht="15.75" customHeight="1"/>
    <row r="49376" ht="15.75" customHeight="1"/>
    <row r="49377" ht="15.75" customHeight="1"/>
    <row r="49378" ht="15.75" customHeight="1"/>
    <row r="49379" ht="15.75" customHeight="1"/>
    <row r="49380" ht="15.75" customHeight="1"/>
    <row r="49381" ht="15.75" customHeight="1"/>
    <row r="49382" ht="15.75" customHeight="1"/>
    <row r="49383" ht="15.75" customHeight="1"/>
    <row r="49384" ht="15.75" customHeight="1"/>
    <row r="49385" ht="15.75" customHeight="1"/>
    <row r="49386" ht="15.75" customHeight="1"/>
    <row r="49387" ht="15.75" customHeight="1"/>
    <row r="49388" ht="15.75" customHeight="1"/>
    <row r="49389" ht="15.75" customHeight="1"/>
    <row r="49390" ht="15.75" customHeight="1"/>
    <row r="49391" ht="15.75" customHeight="1"/>
    <row r="49392" ht="15.75" customHeight="1"/>
    <row r="49393" ht="15.75" customHeight="1"/>
    <row r="49394" ht="15.75" customHeight="1"/>
    <row r="49395" ht="15.75" customHeight="1"/>
    <row r="49396" ht="15.75" customHeight="1"/>
    <row r="49397" ht="15.75" customHeight="1"/>
    <row r="49398" ht="15.75" customHeight="1"/>
    <row r="49399" ht="15.75" customHeight="1"/>
    <row r="49400" ht="15.75" customHeight="1"/>
    <row r="49401" ht="15.75" customHeight="1"/>
    <row r="49402" ht="15.75" customHeight="1"/>
    <row r="49403" ht="15.75" customHeight="1"/>
    <row r="49404" ht="15.75" customHeight="1"/>
    <row r="49405" ht="15.75" customHeight="1"/>
    <row r="49406" ht="15.75" customHeight="1"/>
    <row r="49407" ht="15.75" customHeight="1"/>
    <row r="49408" ht="15.75" customHeight="1"/>
    <row r="49409" ht="15.75" customHeight="1"/>
    <row r="49410" ht="15.75" customHeight="1"/>
    <row r="49411" ht="15.75" customHeight="1"/>
    <row r="49412" ht="15.75" customHeight="1"/>
    <row r="49413" ht="15.75" customHeight="1"/>
    <row r="49414" ht="15.75" customHeight="1"/>
    <row r="49415" ht="15.75" customHeight="1"/>
    <row r="49416" ht="15.75" customHeight="1"/>
    <row r="49417" ht="15.75" customHeight="1"/>
    <row r="49418" ht="15.75" customHeight="1"/>
    <row r="49419" ht="15.75" customHeight="1"/>
    <row r="49420" ht="15.75" customHeight="1"/>
    <row r="49421" ht="15.75" customHeight="1"/>
    <row r="49422" ht="15.75" customHeight="1"/>
    <row r="49423" ht="15.75" customHeight="1"/>
    <row r="49424" ht="15.75" customHeight="1"/>
    <row r="49425" ht="15.75" customHeight="1"/>
    <row r="49426" ht="15.75" customHeight="1"/>
    <row r="49427" ht="15.75" customHeight="1"/>
    <row r="49428" ht="15.75" customHeight="1"/>
    <row r="49429" ht="15.75" customHeight="1"/>
    <row r="49430" ht="15.75" customHeight="1"/>
    <row r="49431" ht="15.75" customHeight="1"/>
    <row r="49432" ht="15.75" customHeight="1"/>
    <row r="49433" ht="15.75" customHeight="1"/>
    <row r="49434" ht="15.75" customHeight="1"/>
    <row r="49435" ht="15.75" customHeight="1"/>
    <row r="49436" ht="15.75" customHeight="1"/>
    <row r="49437" ht="15.75" customHeight="1"/>
    <row r="49438" ht="15.75" customHeight="1"/>
    <row r="49439" ht="15.75" customHeight="1"/>
    <row r="49440" ht="15.75" customHeight="1"/>
    <row r="49441" ht="15.75" customHeight="1"/>
    <row r="49442" ht="15.75" customHeight="1"/>
    <row r="49443" ht="15.75" customHeight="1"/>
    <row r="49444" ht="15.75" customHeight="1"/>
    <row r="49445" ht="15.75" customHeight="1"/>
    <row r="49446" ht="15.75" customHeight="1"/>
    <row r="49447" ht="15.75" customHeight="1"/>
    <row r="49448" ht="15.75" customHeight="1"/>
    <row r="49449" ht="15.75" customHeight="1"/>
    <row r="49450" ht="15.75" customHeight="1"/>
    <row r="49451" ht="15.75" customHeight="1"/>
    <row r="49452" ht="15.75" customHeight="1"/>
    <row r="49453" ht="15.75" customHeight="1"/>
    <row r="49454" ht="15.75" customHeight="1"/>
    <row r="49455" ht="15.75" customHeight="1"/>
    <row r="49456" ht="15.75" customHeight="1"/>
    <row r="49457" ht="15.75" customHeight="1"/>
    <row r="49458" ht="15.75" customHeight="1"/>
    <row r="49459" ht="15.75" customHeight="1"/>
    <row r="49460" ht="15.75" customHeight="1"/>
    <row r="49461" ht="15.75" customHeight="1"/>
    <row r="49462" ht="15.75" customHeight="1"/>
    <row r="49463" ht="15.75" customHeight="1"/>
    <row r="49464" ht="15.75" customHeight="1"/>
    <row r="49465" ht="15.75" customHeight="1"/>
    <row r="49466" ht="15.75" customHeight="1"/>
    <row r="49467" ht="15.75" customHeight="1"/>
    <row r="49468" ht="15.75" customHeight="1"/>
    <row r="49469" ht="15.75" customHeight="1"/>
    <row r="49470" ht="15.75" customHeight="1"/>
    <row r="49471" ht="15.75" customHeight="1"/>
    <row r="49472" ht="15.75" customHeight="1"/>
    <row r="49473" ht="15.75" customHeight="1"/>
    <row r="49474" ht="15.75" customHeight="1"/>
    <row r="49475" ht="15.75" customHeight="1"/>
    <row r="49476" ht="15.75" customHeight="1"/>
    <row r="49477" ht="15.75" customHeight="1"/>
    <row r="49478" ht="15.75" customHeight="1"/>
    <row r="49479" ht="15.75" customHeight="1"/>
    <row r="49480" ht="15.75" customHeight="1"/>
    <row r="49481" ht="15.75" customHeight="1"/>
    <row r="49482" ht="15.75" customHeight="1"/>
    <row r="49483" ht="15.75" customHeight="1"/>
    <row r="49484" ht="15.75" customHeight="1"/>
    <row r="49485" ht="15.75" customHeight="1"/>
    <row r="49486" ht="15.75" customHeight="1"/>
    <row r="49487" ht="15.75" customHeight="1"/>
    <row r="49488" ht="15.75" customHeight="1"/>
    <row r="49489" ht="15.75" customHeight="1"/>
    <row r="49490" ht="15.75" customHeight="1"/>
    <row r="49491" ht="15.75" customHeight="1"/>
    <row r="49492" ht="15.75" customHeight="1"/>
    <row r="49493" ht="15.75" customHeight="1"/>
    <row r="49494" ht="15.75" customHeight="1"/>
    <row r="49495" ht="15.75" customHeight="1"/>
    <row r="49496" ht="15.75" customHeight="1"/>
    <row r="49497" ht="15.75" customHeight="1"/>
    <row r="49498" ht="15.75" customHeight="1"/>
    <row r="49499" ht="15.75" customHeight="1"/>
    <row r="49500" ht="15.75" customHeight="1"/>
    <row r="49501" ht="15.75" customHeight="1"/>
    <row r="49502" ht="15.75" customHeight="1"/>
    <row r="49503" ht="15.75" customHeight="1"/>
    <row r="49504" ht="15.75" customHeight="1"/>
    <row r="49505" ht="15.75" customHeight="1"/>
    <row r="49506" ht="15.75" customHeight="1"/>
    <row r="49507" ht="15.75" customHeight="1"/>
    <row r="49508" ht="15.75" customHeight="1"/>
    <row r="49509" ht="15.75" customHeight="1"/>
    <row r="49510" ht="15.75" customHeight="1"/>
    <row r="49511" ht="15.75" customHeight="1"/>
    <row r="49512" ht="15.75" customHeight="1"/>
    <row r="49513" ht="15.75" customHeight="1"/>
    <row r="49514" ht="15.75" customHeight="1"/>
    <row r="49515" ht="15.75" customHeight="1"/>
    <row r="49516" ht="15.75" customHeight="1"/>
    <row r="49517" ht="15.75" customHeight="1"/>
    <row r="49518" ht="15.75" customHeight="1"/>
    <row r="49519" ht="15.75" customHeight="1"/>
    <row r="49520" ht="15.75" customHeight="1"/>
    <row r="49521" ht="15.75" customHeight="1"/>
    <row r="49522" ht="15.75" customHeight="1"/>
    <row r="49523" ht="15.75" customHeight="1"/>
    <row r="49524" ht="15.75" customHeight="1"/>
    <row r="49525" ht="15.75" customHeight="1"/>
    <row r="49526" ht="15.75" customHeight="1"/>
    <row r="49527" ht="15.75" customHeight="1"/>
    <row r="49528" ht="15.75" customHeight="1"/>
    <row r="49529" ht="15.75" customHeight="1"/>
    <row r="49530" ht="15.75" customHeight="1"/>
    <row r="49531" ht="15.75" customHeight="1"/>
    <row r="49532" ht="15.75" customHeight="1"/>
    <row r="49533" ht="15.75" customHeight="1"/>
    <row r="49534" ht="15.75" customHeight="1"/>
    <row r="49535" ht="15.75" customHeight="1"/>
    <row r="49536" ht="15.75" customHeight="1"/>
    <row r="49537" ht="15.75" customHeight="1"/>
    <row r="49538" ht="15.75" customHeight="1"/>
    <row r="49539" ht="15.75" customHeight="1"/>
    <row r="49540" ht="15.75" customHeight="1"/>
    <row r="49541" ht="15.75" customHeight="1"/>
    <row r="49542" ht="15.75" customHeight="1"/>
    <row r="49543" ht="15.75" customHeight="1"/>
    <row r="49544" ht="15.75" customHeight="1"/>
    <row r="49545" ht="15.75" customHeight="1"/>
    <row r="49546" ht="15.75" customHeight="1"/>
    <row r="49547" ht="15.75" customHeight="1"/>
    <row r="49548" ht="15.75" customHeight="1"/>
    <row r="49549" ht="15.75" customHeight="1"/>
    <row r="49550" ht="15.75" customHeight="1"/>
    <row r="49551" ht="15.75" customHeight="1"/>
    <row r="49552" ht="15.75" customHeight="1"/>
    <row r="49553" ht="15.75" customHeight="1"/>
    <row r="49554" ht="15.75" customHeight="1"/>
    <row r="49555" ht="15.75" customHeight="1"/>
    <row r="49556" ht="15.75" customHeight="1"/>
    <row r="49557" ht="15.75" customHeight="1"/>
    <row r="49558" ht="15.75" customHeight="1"/>
    <row r="49559" ht="15.75" customHeight="1"/>
    <row r="49560" ht="15.75" customHeight="1"/>
    <row r="49561" ht="15.75" customHeight="1"/>
    <row r="49562" ht="15.75" customHeight="1"/>
    <row r="49563" ht="15.75" customHeight="1"/>
    <row r="49564" ht="15.75" customHeight="1"/>
    <row r="49565" ht="15.75" customHeight="1"/>
    <row r="49566" ht="15.75" customHeight="1"/>
    <row r="49567" ht="15.75" customHeight="1"/>
    <row r="49568" ht="15.75" customHeight="1"/>
    <row r="49569" ht="15.75" customHeight="1"/>
    <row r="49570" ht="15.75" customHeight="1"/>
    <row r="49571" ht="15.75" customHeight="1"/>
    <row r="49572" ht="15.75" customHeight="1"/>
    <row r="49573" ht="15.75" customHeight="1"/>
    <row r="49574" ht="15.75" customHeight="1"/>
    <row r="49575" ht="15.75" customHeight="1"/>
    <row r="49576" ht="15.75" customHeight="1"/>
    <row r="49577" ht="15.75" customHeight="1"/>
    <row r="49578" ht="15.75" customHeight="1"/>
    <row r="49579" ht="15.75" customHeight="1"/>
    <row r="49580" ht="15.75" customHeight="1"/>
    <row r="49581" ht="15.75" customHeight="1"/>
    <row r="49582" ht="15.75" customHeight="1"/>
    <row r="49583" ht="15.75" customHeight="1"/>
    <row r="49584" ht="15.75" customHeight="1"/>
    <row r="49585" ht="15.75" customHeight="1"/>
    <row r="49586" ht="15.75" customHeight="1"/>
    <row r="49587" ht="15.75" customHeight="1"/>
    <row r="49588" ht="15.75" customHeight="1"/>
    <row r="49589" ht="15.75" customHeight="1"/>
    <row r="49590" ht="15.75" customHeight="1"/>
    <row r="49591" ht="15.75" customHeight="1"/>
    <row r="49592" ht="15.75" customHeight="1"/>
    <row r="49593" ht="15.75" customHeight="1"/>
    <row r="49594" ht="15.75" customHeight="1"/>
    <row r="49595" ht="15.75" customHeight="1"/>
    <row r="49596" ht="15.75" customHeight="1"/>
    <row r="49597" ht="15.75" customHeight="1"/>
    <row r="49598" ht="15.75" customHeight="1"/>
    <row r="49599" ht="15.75" customHeight="1"/>
    <row r="49600" ht="15.75" customHeight="1"/>
    <row r="49601" ht="15.75" customHeight="1"/>
    <row r="49602" ht="15.75" customHeight="1"/>
    <row r="49603" ht="15.75" customHeight="1"/>
    <row r="49604" ht="15.75" customHeight="1"/>
    <row r="49605" ht="15.75" customHeight="1"/>
    <row r="49606" ht="15.75" customHeight="1"/>
    <row r="49607" ht="15.75" customHeight="1"/>
    <row r="49608" ht="15.75" customHeight="1"/>
    <row r="49609" ht="15.75" customHeight="1"/>
    <row r="49610" ht="15.75" customHeight="1"/>
    <row r="49611" ht="15.75" customHeight="1"/>
    <row r="49612" ht="15.75" customHeight="1"/>
    <row r="49613" ht="15.75" customHeight="1"/>
    <row r="49614" ht="15.75" customHeight="1"/>
    <row r="49615" ht="15.75" customHeight="1"/>
    <row r="49616" ht="15.75" customHeight="1"/>
    <row r="49617" ht="15.75" customHeight="1"/>
    <row r="49618" ht="15.75" customHeight="1"/>
    <row r="49619" ht="15.75" customHeight="1"/>
    <row r="49620" ht="15.75" customHeight="1"/>
    <row r="49621" ht="15.75" customHeight="1"/>
    <row r="49622" ht="15.75" customHeight="1"/>
    <row r="49623" ht="15.75" customHeight="1"/>
    <row r="49624" ht="15.75" customHeight="1"/>
    <row r="49625" ht="15.75" customHeight="1"/>
    <row r="49626" ht="15.75" customHeight="1"/>
    <row r="49627" ht="15.75" customHeight="1"/>
    <row r="49628" ht="15.75" customHeight="1"/>
    <row r="49629" ht="15.75" customHeight="1"/>
    <row r="49630" ht="15.75" customHeight="1"/>
    <row r="49631" ht="15.75" customHeight="1"/>
    <row r="49632" ht="15.75" customHeight="1"/>
    <row r="49633" ht="15.75" customHeight="1"/>
    <row r="49634" ht="15.75" customHeight="1"/>
    <row r="49635" ht="15.75" customHeight="1"/>
    <row r="49636" ht="15.75" customHeight="1"/>
    <row r="49637" ht="15.75" customHeight="1"/>
    <row r="49638" ht="15.75" customHeight="1"/>
    <row r="49639" ht="15.75" customHeight="1"/>
    <row r="49640" ht="15.75" customHeight="1"/>
    <row r="49641" ht="15.75" customHeight="1"/>
    <row r="49642" ht="15.75" customHeight="1"/>
    <row r="49643" ht="15.75" customHeight="1"/>
    <row r="49644" ht="15.75" customHeight="1"/>
    <row r="49645" ht="15.75" customHeight="1"/>
    <row r="49646" ht="15.75" customHeight="1"/>
    <row r="49647" ht="15.75" customHeight="1"/>
    <row r="49648" ht="15.75" customHeight="1"/>
    <row r="49649" ht="15.75" customHeight="1"/>
    <row r="49650" ht="15.75" customHeight="1"/>
    <row r="49651" ht="15.75" customHeight="1"/>
    <row r="49652" ht="15.75" customHeight="1"/>
    <row r="49653" ht="15.75" customHeight="1"/>
    <row r="49654" ht="15.75" customHeight="1"/>
    <row r="49655" ht="15.75" customHeight="1"/>
    <row r="49656" ht="15.75" customHeight="1"/>
    <row r="49657" ht="15.75" customHeight="1"/>
    <row r="49658" ht="15.75" customHeight="1"/>
    <row r="49659" ht="15.75" customHeight="1"/>
    <row r="49660" ht="15.75" customHeight="1"/>
    <row r="49661" ht="15.75" customHeight="1"/>
    <row r="49662" ht="15.75" customHeight="1"/>
    <row r="49663" ht="15.75" customHeight="1"/>
    <row r="49664" ht="15.75" customHeight="1"/>
    <row r="49665" ht="15.75" customHeight="1"/>
    <row r="49666" ht="15.75" customHeight="1"/>
    <row r="49667" ht="15.75" customHeight="1"/>
    <row r="49668" ht="15.75" customHeight="1"/>
    <row r="49669" ht="15.75" customHeight="1"/>
    <row r="49670" ht="15.75" customHeight="1"/>
    <row r="49671" ht="15.75" customHeight="1"/>
    <row r="49672" ht="15.75" customHeight="1"/>
    <row r="49673" ht="15.75" customHeight="1"/>
    <row r="49674" ht="15.75" customHeight="1"/>
    <row r="49675" ht="15.75" customHeight="1"/>
    <row r="49676" ht="15.75" customHeight="1"/>
    <row r="49677" ht="15.75" customHeight="1"/>
    <row r="49678" ht="15.75" customHeight="1"/>
    <row r="49679" ht="15.75" customHeight="1"/>
    <row r="49680" ht="15.75" customHeight="1"/>
    <row r="49681" ht="15.75" customHeight="1"/>
    <row r="49682" ht="15.75" customHeight="1"/>
    <row r="49683" ht="15.75" customHeight="1"/>
    <row r="49684" ht="15.75" customHeight="1"/>
    <row r="49685" ht="15.75" customHeight="1"/>
    <row r="49686" ht="15.75" customHeight="1"/>
    <row r="49687" ht="15.75" customHeight="1"/>
    <row r="49688" ht="15.75" customHeight="1"/>
    <row r="49689" ht="15.75" customHeight="1"/>
    <row r="49690" ht="15.75" customHeight="1"/>
    <row r="49691" ht="15.75" customHeight="1"/>
    <row r="49692" ht="15.75" customHeight="1"/>
    <row r="49693" ht="15.75" customHeight="1"/>
    <row r="49694" ht="15.75" customHeight="1"/>
    <row r="49695" ht="15.75" customHeight="1"/>
    <row r="49696" ht="15.75" customHeight="1"/>
    <row r="49697" ht="15.75" customHeight="1"/>
    <row r="49698" ht="15.75" customHeight="1"/>
    <row r="49699" ht="15.75" customHeight="1"/>
    <row r="49700" ht="15.75" customHeight="1"/>
    <row r="49701" ht="15.75" customHeight="1"/>
    <row r="49702" ht="15.75" customHeight="1"/>
    <row r="49703" ht="15.75" customHeight="1"/>
    <row r="49704" ht="15.75" customHeight="1"/>
    <row r="49705" ht="15.75" customHeight="1"/>
    <row r="49706" ht="15.75" customHeight="1"/>
    <row r="49707" ht="15.75" customHeight="1"/>
    <row r="49708" ht="15.75" customHeight="1"/>
    <row r="49709" ht="15.75" customHeight="1"/>
    <row r="49710" ht="15.75" customHeight="1"/>
    <row r="49711" ht="15.75" customHeight="1"/>
    <row r="49712" ht="15.75" customHeight="1"/>
    <row r="49713" ht="15.75" customHeight="1"/>
    <row r="49714" ht="15.75" customHeight="1"/>
    <row r="49715" ht="15.75" customHeight="1"/>
    <row r="49716" ht="15.75" customHeight="1"/>
    <row r="49717" ht="15.75" customHeight="1"/>
    <row r="49718" ht="15.75" customHeight="1"/>
    <row r="49719" ht="15.75" customHeight="1"/>
    <row r="49720" ht="15.75" customHeight="1"/>
    <row r="49721" ht="15.75" customHeight="1"/>
    <row r="49722" ht="15.75" customHeight="1"/>
    <row r="49723" ht="15.75" customHeight="1"/>
    <row r="49724" ht="15.75" customHeight="1"/>
    <row r="49725" ht="15.75" customHeight="1"/>
    <row r="49726" ht="15.75" customHeight="1"/>
    <row r="49727" ht="15.75" customHeight="1"/>
    <row r="49728" ht="15.75" customHeight="1"/>
    <row r="49729" ht="15.75" customHeight="1"/>
    <row r="49730" ht="15.75" customHeight="1"/>
    <row r="49731" ht="15.75" customHeight="1"/>
    <row r="49732" ht="15.75" customHeight="1"/>
    <row r="49733" ht="15.75" customHeight="1"/>
    <row r="49734" ht="15.75" customHeight="1"/>
    <row r="49735" ht="15.75" customHeight="1"/>
    <row r="49736" ht="15.75" customHeight="1"/>
    <row r="49737" ht="15.75" customHeight="1"/>
    <row r="49738" ht="15.75" customHeight="1"/>
    <row r="49739" ht="15.75" customHeight="1"/>
    <row r="49740" ht="15.75" customHeight="1"/>
    <row r="49741" ht="15.75" customHeight="1"/>
    <row r="49742" ht="15.75" customHeight="1"/>
    <row r="49743" ht="15.75" customHeight="1"/>
    <row r="49744" ht="15.75" customHeight="1"/>
    <row r="49745" ht="15.75" customHeight="1"/>
    <row r="49746" ht="15.75" customHeight="1"/>
    <row r="49747" ht="15.75" customHeight="1"/>
    <row r="49748" ht="15.75" customHeight="1"/>
    <row r="49749" ht="15.75" customHeight="1"/>
    <row r="49750" ht="15.75" customHeight="1"/>
    <row r="49751" ht="15.75" customHeight="1"/>
    <row r="49752" ht="15.75" customHeight="1"/>
    <row r="49753" ht="15.75" customHeight="1"/>
    <row r="49754" ht="15.75" customHeight="1"/>
    <row r="49755" ht="15.75" customHeight="1"/>
    <row r="49756" ht="15.75" customHeight="1"/>
    <row r="49757" ht="15.75" customHeight="1"/>
    <row r="49758" ht="15.75" customHeight="1"/>
    <row r="49759" ht="15.75" customHeight="1"/>
    <row r="49760" ht="15.75" customHeight="1"/>
    <row r="49761" ht="15.75" customHeight="1"/>
    <row r="49762" ht="15.75" customHeight="1"/>
    <row r="49763" ht="15.75" customHeight="1"/>
    <row r="49764" ht="15.75" customHeight="1"/>
    <row r="49765" ht="15.75" customHeight="1"/>
    <row r="49766" ht="15.75" customHeight="1"/>
    <row r="49767" ht="15.75" customHeight="1"/>
    <row r="49768" ht="15.75" customHeight="1"/>
    <row r="49769" ht="15.75" customHeight="1"/>
    <row r="49770" ht="15.75" customHeight="1"/>
    <row r="49771" ht="15.75" customHeight="1"/>
    <row r="49772" ht="15.75" customHeight="1"/>
    <row r="49773" ht="15.75" customHeight="1"/>
    <row r="49774" ht="15.75" customHeight="1"/>
    <row r="49775" ht="15.75" customHeight="1"/>
    <row r="49776" ht="15.75" customHeight="1"/>
    <row r="49777" ht="15.75" customHeight="1"/>
    <row r="49778" ht="15.75" customHeight="1"/>
    <row r="49779" ht="15.75" customHeight="1"/>
    <row r="49780" ht="15.75" customHeight="1"/>
    <row r="49781" ht="15.75" customHeight="1"/>
    <row r="49782" ht="15.75" customHeight="1"/>
    <row r="49783" ht="15.75" customHeight="1"/>
    <row r="49784" ht="15.75" customHeight="1"/>
    <row r="49785" ht="15.75" customHeight="1"/>
    <row r="49786" ht="15.75" customHeight="1"/>
    <row r="49787" ht="15.75" customHeight="1"/>
    <row r="49788" ht="15.75" customHeight="1"/>
    <row r="49789" ht="15.75" customHeight="1"/>
    <row r="49790" ht="15.75" customHeight="1"/>
    <row r="49791" ht="15.75" customHeight="1"/>
    <row r="49792" ht="15.75" customHeight="1"/>
    <row r="49793" ht="15.75" customHeight="1"/>
    <row r="49794" ht="15.75" customHeight="1"/>
    <row r="49795" ht="15.75" customHeight="1"/>
    <row r="49796" ht="15.75" customHeight="1"/>
    <row r="49797" ht="15.75" customHeight="1"/>
    <row r="49798" ht="15.75" customHeight="1"/>
    <row r="49799" ht="15.75" customHeight="1"/>
    <row r="49800" ht="15.75" customHeight="1"/>
    <row r="49801" ht="15.75" customHeight="1"/>
    <row r="49802" ht="15.75" customHeight="1"/>
    <row r="49803" ht="15.75" customHeight="1"/>
    <row r="49804" ht="15.75" customHeight="1"/>
    <row r="49805" ht="15.75" customHeight="1"/>
    <row r="49806" ht="15.75" customHeight="1"/>
    <row r="49807" ht="15.75" customHeight="1"/>
    <row r="49808" ht="15.75" customHeight="1"/>
    <row r="49809" ht="15.75" customHeight="1"/>
    <row r="49810" ht="15.75" customHeight="1"/>
    <row r="49811" ht="15.75" customHeight="1"/>
    <row r="49812" ht="15.75" customHeight="1"/>
    <row r="49813" ht="15.75" customHeight="1"/>
    <row r="49814" ht="15.75" customHeight="1"/>
    <row r="49815" ht="15.75" customHeight="1"/>
    <row r="49816" ht="15.75" customHeight="1"/>
    <row r="49817" ht="15.75" customHeight="1"/>
    <row r="49818" ht="15.75" customHeight="1"/>
    <row r="49819" ht="15.75" customHeight="1"/>
    <row r="49820" ht="15.75" customHeight="1"/>
    <row r="49821" ht="15.75" customHeight="1"/>
    <row r="49822" ht="15.75" customHeight="1"/>
    <row r="49823" ht="15.75" customHeight="1"/>
    <row r="49824" ht="15.75" customHeight="1"/>
    <row r="49825" ht="15.75" customHeight="1"/>
    <row r="49826" ht="15.75" customHeight="1"/>
    <row r="49827" ht="15.75" customHeight="1"/>
    <row r="49828" ht="15.75" customHeight="1"/>
    <row r="49829" ht="15.75" customHeight="1"/>
    <row r="49830" ht="15.75" customHeight="1"/>
    <row r="49831" ht="15.75" customHeight="1"/>
    <row r="49832" ht="15.75" customHeight="1"/>
    <row r="49833" ht="15.75" customHeight="1"/>
    <row r="49834" ht="15.75" customHeight="1"/>
    <row r="49835" ht="15.75" customHeight="1"/>
    <row r="49836" ht="15.75" customHeight="1"/>
    <row r="49837" ht="15.75" customHeight="1"/>
    <row r="49838" ht="15.75" customHeight="1"/>
    <row r="49839" ht="15.75" customHeight="1"/>
    <row r="49840" ht="15.75" customHeight="1"/>
    <row r="49841" ht="15.75" customHeight="1"/>
    <row r="49842" ht="15.75" customHeight="1"/>
    <row r="49843" ht="15.75" customHeight="1"/>
    <row r="49844" ht="15.75" customHeight="1"/>
    <row r="49845" ht="15.75" customHeight="1"/>
    <row r="49846" ht="15.75" customHeight="1"/>
    <row r="49847" ht="15.75" customHeight="1"/>
    <row r="49848" ht="15.75" customHeight="1"/>
    <row r="49849" ht="15.75" customHeight="1"/>
    <row r="49850" ht="15.75" customHeight="1"/>
    <row r="49851" ht="15.75" customHeight="1"/>
    <row r="49852" ht="15.75" customHeight="1"/>
    <row r="49853" ht="15.75" customHeight="1"/>
    <row r="49854" ht="15.75" customHeight="1"/>
    <row r="49855" ht="15.75" customHeight="1"/>
    <row r="49856" ht="15.75" customHeight="1"/>
    <row r="49857" ht="15.75" customHeight="1"/>
    <row r="49858" ht="15.75" customHeight="1"/>
    <row r="49859" ht="15.75" customHeight="1"/>
    <row r="49860" ht="15.75" customHeight="1"/>
    <row r="49861" ht="15.75" customHeight="1"/>
    <row r="49862" ht="15.75" customHeight="1"/>
    <row r="49863" ht="15.75" customHeight="1"/>
    <row r="49864" ht="15.75" customHeight="1"/>
    <row r="49865" ht="15.75" customHeight="1"/>
    <row r="49866" ht="15.75" customHeight="1"/>
    <row r="49867" ht="15.75" customHeight="1"/>
    <row r="49868" ht="15.75" customHeight="1"/>
    <row r="49869" ht="15.75" customHeight="1"/>
    <row r="49870" ht="15.75" customHeight="1"/>
    <row r="49871" ht="15.75" customHeight="1"/>
    <row r="49872" ht="15.75" customHeight="1"/>
    <row r="49873" ht="15.75" customHeight="1"/>
    <row r="49874" ht="15.75" customHeight="1"/>
    <row r="49875" ht="15.75" customHeight="1"/>
    <row r="49876" ht="15.75" customHeight="1"/>
    <row r="49877" ht="15.75" customHeight="1"/>
    <row r="49878" ht="15.75" customHeight="1"/>
    <row r="49879" ht="15.75" customHeight="1"/>
    <row r="49880" ht="15.75" customHeight="1"/>
    <row r="49881" ht="15.75" customHeight="1"/>
    <row r="49882" ht="15.75" customHeight="1"/>
    <row r="49883" ht="15.75" customHeight="1"/>
    <row r="49884" ht="15.75" customHeight="1"/>
    <row r="49885" ht="15.75" customHeight="1"/>
    <row r="49886" ht="15.75" customHeight="1"/>
    <row r="49887" ht="15.75" customHeight="1"/>
    <row r="49888" ht="15.75" customHeight="1"/>
    <row r="49889" ht="15.75" customHeight="1"/>
    <row r="49890" ht="15.75" customHeight="1"/>
    <row r="49891" ht="15.75" customHeight="1"/>
    <row r="49892" ht="15.75" customHeight="1"/>
    <row r="49893" ht="15.75" customHeight="1"/>
    <row r="49894" ht="15.75" customHeight="1"/>
    <row r="49895" ht="15.75" customHeight="1"/>
    <row r="49896" ht="15.75" customHeight="1"/>
    <row r="49897" ht="15.75" customHeight="1"/>
    <row r="49898" ht="15.75" customHeight="1"/>
    <row r="49899" ht="15.75" customHeight="1"/>
    <row r="49900" ht="15.75" customHeight="1"/>
    <row r="49901" ht="15.75" customHeight="1"/>
    <row r="49902" ht="15.75" customHeight="1"/>
    <row r="49903" ht="15.75" customHeight="1"/>
    <row r="49904" ht="15.75" customHeight="1"/>
    <row r="49905" ht="15.75" customHeight="1"/>
    <row r="49906" ht="15.75" customHeight="1"/>
    <row r="49907" ht="15.75" customHeight="1"/>
    <row r="49908" ht="15.75" customHeight="1"/>
    <row r="49909" ht="15.75" customHeight="1"/>
    <row r="49910" ht="15.75" customHeight="1"/>
    <row r="49911" ht="15.75" customHeight="1"/>
    <row r="49912" ht="15.75" customHeight="1"/>
    <row r="49913" ht="15.75" customHeight="1"/>
    <row r="49914" ht="15.75" customHeight="1"/>
    <row r="49915" ht="15.75" customHeight="1"/>
    <row r="49916" ht="15.75" customHeight="1"/>
    <row r="49917" ht="15.75" customHeight="1"/>
    <row r="49918" ht="15.75" customHeight="1"/>
    <row r="49919" ht="15.75" customHeight="1"/>
    <row r="49920" ht="15.75" customHeight="1"/>
    <row r="49921" ht="15.75" customHeight="1"/>
    <row r="49922" ht="15.75" customHeight="1"/>
    <row r="49923" ht="15.75" customHeight="1"/>
    <row r="49924" ht="15.75" customHeight="1"/>
    <row r="49925" ht="15.75" customHeight="1"/>
    <row r="49926" ht="15.75" customHeight="1"/>
    <row r="49927" ht="15.75" customHeight="1"/>
    <row r="49928" ht="15.75" customHeight="1"/>
    <row r="49929" ht="15.75" customHeight="1"/>
    <row r="49930" ht="15.75" customHeight="1"/>
    <row r="49931" ht="15.75" customHeight="1"/>
    <row r="49932" ht="15.75" customHeight="1"/>
    <row r="49933" ht="15.75" customHeight="1"/>
    <row r="49934" ht="15.75" customHeight="1"/>
    <row r="49935" ht="15.75" customHeight="1"/>
    <row r="49936" ht="15.75" customHeight="1"/>
    <row r="49937" ht="15.75" customHeight="1"/>
    <row r="49938" ht="15.75" customHeight="1"/>
    <row r="49939" ht="15.75" customHeight="1"/>
    <row r="49940" ht="15.75" customHeight="1"/>
    <row r="49941" ht="15.75" customHeight="1"/>
    <row r="49942" ht="15.75" customHeight="1"/>
    <row r="49943" ht="15.75" customHeight="1"/>
    <row r="49944" ht="15.75" customHeight="1"/>
    <row r="49945" ht="15.75" customHeight="1"/>
    <row r="49946" ht="15.75" customHeight="1"/>
    <row r="49947" ht="15.75" customHeight="1"/>
    <row r="49948" ht="15.75" customHeight="1"/>
    <row r="49949" ht="15.75" customHeight="1"/>
    <row r="49950" ht="15.75" customHeight="1"/>
    <row r="49951" ht="15.75" customHeight="1"/>
    <row r="49952" ht="15.75" customHeight="1"/>
    <row r="49953" ht="15.75" customHeight="1"/>
    <row r="49954" ht="15.75" customHeight="1"/>
    <row r="49955" ht="15.75" customHeight="1"/>
    <row r="49956" ht="15.75" customHeight="1"/>
    <row r="49957" ht="15.75" customHeight="1"/>
    <row r="49958" ht="15.75" customHeight="1"/>
    <row r="49959" ht="15.75" customHeight="1"/>
    <row r="49960" ht="15.75" customHeight="1"/>
    <row r="49961" ht="15.75" customHeight="1"/>
    <row r="49962" ht="15.75" customHeight="1"/>
    <row r="49963" ht="15.75" customHeight="1"/>
    <row r="49964" ht="15.75" customHeight="1"/>
    <row r="49965" ht="15.75" customHeight="1"/>
    <row r="49966" ht="15.75" customHeight="1"/>
    <row r="49967" ht="15.75" customHeight="1"/>
    <row r="49968" ht="15.75" customHeight="1"/>
    <row r="49969" ht="15.75" customHeight="1"/>
    <row r="49970" ht="15.75" customHeight="1"/>
    <row r="49971" ht="15.75" customHeight="1"/>
    <row r="49972" ht="15.75" customHeight="1"/>
    <row r="49973" ht="15.75" customHeight="1"/>
    <row r="49974" ht="15.75" customHeight="1"/>
    <row r="49975" ht="15.75" customHeight="1"/>
    <row r="49976" ht="15.75" customHeight="1"/>
    <row r="49977" ht="15.75" customHeight="1"/>
    <row r="49978" ht="15.75" customHeight="1"/>
    <row r="49979" ht="15.75" customHeight="1"/>
    <row r="49980" ht="15.75" customHeight="1"/>
    <row r="49981" ht="15.75" customHeight="1"/>
    <row r="49982" ht="15.75" customHeight="1"/>
    <row r="49983" ht="15.75" customHeight="1"/>
    <row r="49984" ht="15.75" customHeight="1"/>
    <row r="49985" ht="15.75" customHeight="1"/>
    <row r="49986" ht="15.75" customHeight="1"/>
    <row r="49987" ht="15.75" customHeight="1"/>
    <row r="49988" ht="15.75" customHeight="1"/>
    <row r="49989" ht="15.75" customHeight="1"/>
    <row r="49990" ht="15.75" customHeight="1"/>
    <row r="49991" ht="15.75" customHeight="1"/>
    <row r="49992" ht="15.75" customHeight="1"/>
    <row r="49993" ht="15.75" customHeight="1"/>
    <row r="49994" ht="15.75" customHeight="1"/>
    <row r="49995" ht="15.75" customHeight="1"/>
    <row r="49996" ht="15.75" customHeight="1"/>
    <row r="49997" ht="15.75" customHeight="1"/>
    <row r="49998" ht="15.75" customHeight="1"/>
    <row r="49999" ht="15.75" customHeight="1"/>
    <row r="50000" ht="15.75" customHeight="1"/>
    <row r="50001" ht="15.75" customHeight="1"/>
    <row r="50002" ht="15.75" customHeight="1"/>
    <row r="50003" ht="15.75" customHeight="1"/>
    <row r="50004" ht="15.75" customHeight="1"/>
    <row r="50005" ht="15.75" customHeight="1"/>
    <row r="50006" ht="15.75" customHeight="1"/>
    <row r="50007" ht="15.75" customHeight="1"/>
    <row r="50008" ht="15.75" customHeight="1"/>
    <row r="50009" ht="15.75" customHeight="1"/>
    <row r="50010" ht="15.75" customHeight="1"/>
    <row r="50011" ht="15.75" customHeight="1"/>
    <row r="50012" ht="15.75" customHeight="1"/>
    <row r="50013" ht="15.75" customHeight="1"/>
    <row r="50014" ht="15.75" customHeight="1"/>
    <row r="50015" ht="15.75" customHeight="1"/>
    <row r="50016" ht="15.75" customHeight="1"/>
    <row r="50017" ht="15.75" customHeight="1"/>
    <row r="50018" ht="15.75" customHeight="1"/>
    <row r="50019" ht="15.75" customHeight="1"/>
    <row r="50020" ht="15.75" customHeight="1"/>
    <row r="50021" ht="15.75" customHeight="1"/>
    <row r="50022" ht="15.75" customHeight="1"/>
    <row r="50023" ht="15.75" customHeight="1"/>
    <row r="50024" ht="15.75" customHeight="1"/>
    <row r="50025" ht="15.75" customHeight="1"/>
    <row r="50026" ht="15.75" customHeight="1"/>
    <row r="50027" ht="15.75" customHeight="1"/>
    <row r="50028" ht="15.75" customHeight="1"/>
    <row r="50029" ht="15.75" customHeight="1"/>
    <row r="50030" ht="15.75" customHeight="1"/>
    <row r="50031" ht="15.75" customHeight="1"/>
    <row r="50032" ht="15.75" customHeight="1"/>
    <row r="50033" ht="15.75" customHeight="1"/>
    <row r="50034" ht="15.75" customHeight="1"/>
    <row r="50035" ht="15.75" customHeight="1"/>
    <row r="50036" ht="15.75" customHeight="1"/>
    <row r="50037" ht="15.75" customHeight="1"/>
    <row r="50038" ht="15.75" customHeight="1"/>
    <row r="50039" ht="15.75" customHeight="1"/>
    <row r="50040" ht="15.75" customHeight="1"/>
    <row r="50041" ht="15.75" customHeight="1"/>
    <row r="50042" ht="15.75" customHeight="1"/>
    <row r="50043" ht="15.75" customHeight="1"/>
    <row r="50044" ht="15.75" customHeight="1"/>
    <row r="50045" ht="15.75" customHeight="1"/>
    <row r="50046" ht="15.75" customHeight="1"/>
    <row r="50047" ht="15.75" customHeight="1"/>
    <row r="50048" ht="15.75" customHeight="1"/>
    <row r="50049" ht="15.75" customHeight="1"/>
    <row r="50050" ht="15.75" customHeight="1"/>
    <row r="50051" ht="15.75" customHeight="1"/>
    <row r="50052" ht="15.75" customHeight="1"/>
    <row r="50053" ht="15.75" customHeight="1"/>
    <row r="50054" ht="15.75" customHeight="1"/>
    <row r="50055" ht="15.75" customHeight="1"/>
    <row r="50056" ht="15.75" customHeight="1"/>
    <row r="50057" ht="15.75" customHeight="1"/>
    <row r="50058" ht="15.75" customHeight="1"/>
    <row r="50059" ht="15.75" customHeight="1"/>
    <row r="50060" ht="15.75" customHeight="1"/>
    <row r="50061" ht="15.75" customHeight="1"/>
    <row r="50062" ht="15.75" customHeight="1"/>
    <row r="50063" ht="15.75" customHeight="1"/>
    <row r="50064" ht="15.75" customHeight="1"/>
    <row r="50065" ht="15.75" customHeight="1"/>
    <row r="50066" ht="15.75" customHeight="1"/>
    <row r="50067" ht="15.75" customHeight="1"/>
    <row r="50068" ht="15.75" customHeight="1"/>
    <row r="50069" ht="15.75" customHeight="1"/>
    <row r="50070" ht="15.75" customHeight="1"/>
    <row r="50071" ht="15.75" customHeight="1"/>
    <row r="50072" ht="15.75" customHeight="1"/>
    <row r="50073" ht="15.75" customHeight="1"/>
    <row r="50074" ht="15.75" customHeight="1"/>
    <row r="50075" ht="15.75" customHeight="1"/>
    <row r="50076" ht="15.75" customHeight="1"/>
    <row r="50077" ht="15.75" customHeight="1"/>
    <row r="50078" ht="15.75" customHeight="1"/>
    <row r="50079" ht="15.75" customHeight="1"/>
    <row r="50080" ht="15.75" customHeight="1"/>
    <row r="50081" ht="15.75" customHeight="1"/>
    <row r="50082" ht="15.75" customHeight="1"/>
    <row r="50083" ht="15.75" customHeight="1"/>
    <row r="50084" ht="15.75" customHeight="1"/>
    <row r="50085" ht="15.75" customHeight="1"/>
    <row r="50086" ht="15.75" customHeight="1"/>
    <row r="50087" ht="15.75" customHeight="1"/>
    <row r="50088" ht="15.75" customHeight="1"/>
    <row r="50089" ht="15.75" customHeight="1"/>
    <row r="50090" ht="15.75" customHeight="1"/>
    <row r="50091" ht="15.75" customHeight="1"/>
    <row r="50092" ht="15.75" customHeight="1"/>
    <row r="50093" ht="15.75" customHeight="1"/>
    <row r="50094" ht="15.75" customHeight="1"/>
    <row r="50095" ht="15.75" customHeight="1"/>
    <row r="50096" ht="15.75" customHeight="1"/>
    <row r="50097" ht="15.75" customHeight="1"/>
    <row r="50098" ht="15.75" customHeight="1"/>
    <row r="50099" ht="15.75" customHeight="1"/>
    <row r="50100" ht="15.75" customHeight="1"/>
    <row r="50101" ht="15.75" customHeight="1"/>
    <row r="50102" ht="15.75" customHeight="1"/>
    <row r="50103" ht="15.75" customHeight="1"/>
    <row r="50104" ht="15.75" customHeight="1"/>
    <row r="50105" ht="15.75" customHeight="1"/>
    <row r="50106" ht="15.75" customHeight="1"/>
    <row r="50107" ht="15.75" customHeight="1"/>
    <row r="50108" ht="15.75" customHeight="1"/>
    <row r="50109" ht="15.75" customHeight="1"/>
    <row r="50110" ht="15.75" customHeight="1"/>
    <row r="50111" ht="15.75" customHeight="1"/>
    <row r="50112" ht="15.75" customHeight="1"/>
    <row r="50113" ht="15.75" customHeight="1"/>
    <row r="50114" ht="15.75" customHeight="1"/>
    <row r="50115" ht="15.75" customHeight="1"/>
    <row r="50116" ht="15.75" customHeight="1"/>
    <row r="50117" ht="15.75" customHeight="1"/>
    <row r="50118" ht="15.75" customHeight="1"/>
    <row r="50119" ht="15.75" customHeight="1"/>
    <row r="50120" ht="15.75" customHeight="1"/>
    <row r="50121" ht="15.75" customHeight="1"/>
    <row r="50122" ht="15.75" customHeight="1"/>
    <row r="50123" ht="15.75" customHeight="1"/>
    <row r="50124" ht="15.75" customHeight="1"/>
    <row r="50125" ht="15.75" customHeight="1"/>
    <row r="50126" ht="15.75" customHeight="1"/>
    <row r="50127" ht="15.75" customHeight="1"/>
    <row r="50128" ht="15.75" customHeight="1"/>
    <row r="50129" ht="15.75" customHeight="1"/>
    <row r="50130" ht="15.75" customHeight="1"/>
    <row r="50131" ht="15.75" customHeight="1"/>
    <row r="50132" ht="15.75" customHeight="1"/>
    <row r="50133" ht="15.75" customHeight="1"/>
    <row r="50134" ht="15.75" customHeight="1"/>
    <row r="50135" ht="15.75" customHeight="1"/>
    <row r="50136" ht="15.75" customHeight="1"/>
    <row r="50137" ht="15.75" customHeight="1"/>
    <row r="50138" ht="15.75" customHeight="1"/>
    <row r="50139" ht="15.75" customHeight="1"/>
    <row r="50140" ht="15.75" customHeight="1"/>
    <row r="50141" ht="15.75" customHeight="1"/>
    <row r="50142" ht="15.75" customHeight="1"/>
    <row r="50143" ht="15.75" customHeight="1"/>
    <row r="50144" ht="15.75" customHeight="1"/>
    <row r="50145" ht="15.75" customHeight="1"/>
    <row r="50146" ht="15.75" customHeight="1"/>
    <row r="50147" ht="15.75" customHeight="1"/>
    <row r="50148" ht="15.75" customHeight="1"/>
    <row r="50149" ht="15.75" customHeight="1"/>
    <row r="50150" ht="15.75" customHeight="1"/>
    <row r="50151" ht="15.75" customHeight="1"/>
    <row r="50152" ht="15.75" customHeight="1"/>
    <row r="50153" ht="15.75" customHeight="1"/>
    <row r="50154" ht="15.75" customHeight="1"/>
    <row r="50155" ht="15.75" customHeight="1"/>
    <row r="50156" ht="15.75" customHeight="1"/>
    <row r="50157" ht="15.75" customHeight="1"/>
    <row r="50158" ht="15.75" customHeight="1"/>
    <row r="50159" ht="15.75" customHeight="1"/>
    <row r="50160" ht="15.75" customHeight="1"/>
    <row r="50161" ht="15.75" customHeight="1"/>
    <row r="50162" ht="15.75" customHeight="1"/>
    <row r="50163" ht="15.75" customHeight="1"/>
    <row r="50164" ht="15.75" customHeight="1"/>
    <row r="50165" ht="15.75" customHeight="1"/>
    <row r="50166" ht="15.75" customHeight="1"/>
    <row r="50167" ht="15.75" customHeight="1"/>
    <row r="50168" ht="15.75" customHeight="1"/>
    <row r="50169" ht="15.75" customHeight="1"/>
    <row r="50170" ht="15.75" customHeight="1"/>
    <row r="50171" ht="15.75" customHeight="1"/>
    <row r="50172" ht="15.75" customHeight="1"/>
    <row r="50173" ht="15.75" customHeight="1"/>
    <row r="50174" ht="15.75" customHeight="1"/>
    <row r="50175" ht="15.75" customHeight="1"/>
    <row r="50176" ht="15.75" customHeight="1"/>
    <row r="50177" ht="15.75" customHeight="1"/>
    <row r="50178" ht="15.75" customHeight="1"/>
    <row r="50179" ht="15.75" customHeight="1"/>
    <row r="50180" ht="15.75" customHeight="1"/>
    <row r="50181" ht="15.75" customHeight="1"/>
    <row r="50182" ht="15.75" customHeight="1"/>
    <row r="50183" ht="15.75" customHeight="1"/>
    <row r="50184" ht="15.75" customHeight="1"/>
    <row r="50185" ht="15.75" customHeight="1"/>
    <row r="50186" ht="15.75" customHeight="1"/>
    <row r="50187" ht="15.75" customHeight="1"/>
    <row r="50188" ht="15.75" customHeight="1"/>
    <row r="50189" ht="15.75" customHeight="1"/>
    <row r="50190" ht="15.75" customHeight="1"/>
    <row r="50191" ht="15.75" customHeight="1"/>
    <row r="50192" ht="15.75" customHeight="1"/>
    <row r="50193" ht="15.75" customHeight="1"/>
    <row r="50194" ht="15.75" customHeight="1"/>
    <row r="50195" ht="15.75" customHeight="1"/>
    <row r="50196" ht="15.75" customHeight="1"/>
    <row r="50197" ht="15.75" customHeight="1"/>
    <row r="50198" ht="15.75" customHeight="1"/>
    <row r="50199" ht="15.75" customHeight="1"/>
    <row r="50200" ht="15.75" customHeight="1"/>
    <row r="50201" ht="15.75" customHeight="1"/>
    <row r="50202" ht="15.75" customHeight="1"/>
    <row r="50203" ht="15.75" customHeight="1"/>
    <row r="50204" ht="15.75" customHeight="1"/>
    <row r="50205" ht="15.75" customHeight="1"/>
    <row r="50206" ht="15.75" customHeight="1"/>
    <row r="50207" ht="15.75" customHeight="1"/>
    <row r="50208" ht="15.75" customHeight="1"/>
    <row r="50209" ht="15.75" customHeight="1"/>
    <row r="50210" ht="15.75" customHeight="1"/>
    <row r="50211" ht="15.75" customHeight="1"/>
    <row r="50212" ht="15.75" customHeight="1"/>
    <row r="50213" ht="15.75" customHeight="1"/>
    <row r="50214" ht="15.75" customHeight="1"/>
    <row r="50215" ht="15.75" customHeight="1"/>
    <row r="50216" ht="15.75" customHeight="1"/>
    <row r="50217" ht="15.75" customHeight="1"/>
    <row r="50218" ht="15.75" customHeight="1"/>
    <row r="50219" ht="15.75" customHeight="1"/>
    <row r="50220" ht="15.75" customHeight="1"/>
    <row r="50221" ht="15.75" customHeight="1"/>
    <row r="50222" ht="15.75" customHeight="1"/>
    <row r="50223" ht="15.75" customHeight="1"/>
    <row r="50224" ht="15.75" customHeight="1"/>
    <row r="50225" ht="15.75" customHeight="1"/>
    <row r="50226" ht="15.75" customHeight="1"/>
    <row r="50227" ht="15.75" customHeight="1"/>
    <row r="50228" ht="15.75" customHeight="1"/>
    <row r="50229" ht="15.75" customHeight="1"/>
    <row r="50230" ht="15.75" customHeight="1"/>
    <row r="50231" ht="15.75" customHeight="1"/>
    <row r="50232" ht="15.75" customHeight="1"/>
    <row r="50233" ht="15.75" customHeight="1"/>
    <row r="50234" ht="15.75" customHeight="1"/>
    <row r="50235" ht="15.75" customHeight="1"/>
    <row r="50236" ht="15.75" customHeight="1"/>
    <row r="50237" ht="15.75" customHeight="1"/>
    <row r="50238" ht="15.75" customHeight="1"/>
    <row r="50239" ht="15.75" customHeight="1"/>
    <row r="50240" ht="15.75" customHeight="1"/>
    <row r="50241" ht="15.75" customHeight="1"/>
    <row r="50242" ht="15.75" customHeight="1"/>
    <row r="50243" ht="15.75" customHeight="1"/>
    <row r="50244" ht="15.75" customHeight="1"/>
    <row r="50245" ht="15.75" customHeight="1"/>
    <row r="50246" ht="15.75" customHeight="1"/>
    <row r="50247" ht="15.75" customHeight="1"/>
    <row r="50248" ht="15.75" customHeight="1"/>
    <row r="50249" ht="15.75" customHeight="1"/>
    <row r="50250" ht="15.75" customHeight="1"/>
    <row r="50251" ht="15.75" customHeight="1"/>
    <row r="50252" ht="15.75" customHeight="1"/>
    <row r="50253" ht="15.75" customHeight="1"/>
    <row r="50254" ht="15.75" customHeight="1"/>
    <row r="50255" ht="15.75" customHeight="1"/>
    <row r="50256" ht="15.75" customHeight="1"/>
    <row r="50257" ht="15.75" customHeight="1"/>
    <row r="50258" ht="15.75" customHeight="1"/>
    <row r="50259" ht="15.75" customHeight="1"/>
    <row r="50260" ht="15.75" customHeight="1"/>
    <row r="50261" ht="15.75" customHeight="1"/>
    <row r="50262" ht="15.75" customHeight="1"/>
    <row r="50263" ht="15.75" customHeight="1"/>
    <row r="50264" ht="15.75" customHeight="1"/>
    <row r="50265" ht="15.75" customHeight="1"/>
    <row r="50266" ht="15.75" customHeight="1"/>
    <row r="50267" ht="15.75" customHeight="1"/>
    <row r="50268" ht="15.75" customHeight="1"/>
    <row r="50269" ht="15.75" customHeight="1"/>
    <row r="50270" ht="15.75" customHeight="1"/>
    <row r="50271" ht="15.75" customHeight="1"/>
    <row r="50272" ht="15.75" customHeight="1"/>
    <row r="50273" ht="15.75" customHeight="1"/>
    <row r="50274" ht="15.75" customHeight="1"/>
    <row r="50275" ht="15.75" customHeight="1"/>
    <row r="50276" ht="15.75" customHeight="1"/>
    <row r="50277" ht="15.75" customHeight="1"/>
    <row r="50278" ht="15.75" customHeight="1"/>
    <row r="50279" ht="15.75" customHeight="1"/>
    <row r="50280" ht="15.75" customHeight="1"/>
    <row r="50281" ht="15.75" customHeight="1"/>
    <row r="50282" ht="15.75" customHeight="1"/>
    <row r="50283" ht="15.75" customHeight="1"/>
    <row r="50284" ht="15.75" customHeight="1"/>
    <row r="50285" ht="15.75" customHeight="1"/>
    <row r="50286" ht="15.75" customHeight="1"/>
    <row r="50287" ht="15.75" customHeight="1"/>
    <row r="50288" ht="15.75" customHeight="1"/>
    <row r="50289" ht="15.75" customHeight="1"/>
    <row r="50290" ht="15.75" customHeight="1"/>
    <row r="50291" ht="15.75" customHeight="1"/>
    <row r="50292" ht="15.75" customHeight="1"/>
    <row r="50293" ht="15.75" customHeight="1"/>
    <row r="50294" ht="15.75" customHeight="1"/>
    <row r="50295" ht="15.75" customHeight="1"/>
    <row r="50296" ht="15.75" customHeight="1"/>
    <row r="50297" ht="15.75" customHeight="1"/>
    <row r="50298" ht="15.75" customHeight="1"/>
    <row r="50299" ht="15.75" customHeight="1"/>
    <row r="50300" ht="15.75" customHeight="1"/>
    <row r="50301" ht="15.75" customHeight="1"/>
    <row r="50302" ht="15.75" customHeight="1"/>
    <row r="50303" ht="15.75" customHeight="1"/>
    <row r="50304" ht="15.75" customHeight="1"/>
    <row r="50305" ht="15.75" customHeight="1"/>
    <row r="50306" ht="15.75" customHeight="1"/>
    <row r="50307" ht="15.75" customHeight="1"/>
    <row r="50308" ht="15.75" customHeight="1"/>
    <row r="50309" ht="15.75" customHeight="1"/>
    <row r="50310" ht="15.75" customHeight="1"/>
    <row r="50311" ht="15.75" customHeight="1"/>
    <row r="50312" ht="15.75" customHeight="1"/>
    <row r="50313" ht="15.75" customHeight="1"/>
    <row r="50314" ht="15.75" customHeight="1"/>
    <row r="50315" ht="15.75" customHeight="1"/>
    <row r="50316" ht="15.75" customHeight="1"/>
    <row r="50317" ht="15.75" customHeight="1"/>
    <row r="50318" ht="15.75" customHeight="1"/>
    <row r="50319" ht="15.75" customHeight="1"/>
    <row r="50320" ht="15.75" customHeight="1"/>
    <row r="50321" ht="15.75" customHeight="1"/>
    <row r="50322" ht="15.75" customHeight="1"/>
    <row r="50323" ht="15.75" customHeight="1"/>
    <row r="50324" ht="15.75" customHeight="1"/>
    <row r="50325" ht="15.75" customHeight="1"/>
    <row r="50326" ht="15.75" customHeight="1"/>
    <row r="50327" ht="15.75" customHeight="1"/>
    <row r="50328" ht="15.75" customHeight="1"/>
    <row r="50329" ht="15.75" customHeight="1"/>
    <row r="50330" ht="15.75" customHeight="1"/>
    <row r="50331" ht="15.75" customHeight="1"/>
    <row r="50332" ht="15.75" customHeight="1"/>
    <row r="50333" ht="15.75" customHeight="1"/>
    <row r="50334" ht="15.75" customHeight="1"/>
    <row r="50335" ht="15.75" customHeight="1"/>
    <row r="50336" ht="15.75" customHeight="1"/>
    <row r="50337" ht="15.75" customHeight="1"/>
    <row r="50338" ht="15.75" customHeight="1"/>
    <row r="50339" ht="15.75" customHeight="1"/>
    <row r="50340" ht="15.75" customHeight="1"/>
    <row r="50341" ht="15.75" customHeight="1"/>
    <row r="50342" ht="15.75" customHeight="1"/>
    <row r="50343" ht="15.75" customHeight="1"/>
    <row r="50344" ht="15.75" customHeight="1"/>
    <row r="50345" ht="15.75" customHeight="1"/>
    <row r="50346" ht="15.75" customHeight="1"/>
    <row r="50347" ht="15.75" customHeight="1"/>
    <row r="50348" ht="15.75" customHeight="1"/>
    <row r="50349" ht="15.75" customHeight="1"/>
    <row r="50350" ht="15.75" customHeight="1"/>
    <row r="50351" ht="15.75" customHeight="1"/>
    <row r="50352" ht="15.75" customHeight="1"/>
    <row r="50353" ht="15.75" customHeight="1"/>
    <row r="50354" ht="15.75" customHeight="1"/>
    <row r="50355" ht="15.75" customHeight="1"/>
    <row r="50356" ht="15.75" customHeight="1"/>
    <row r="50357" ht="15.75" customHeight="1"/>
    <row r="50358" ht="15.75" customHeight="1"/>
    <row r="50359" ht="15.75" customHeight="1"/>
    <row r="50360" ht="15.75" customHeight="1"/>
    <row r="50361" ht="15.75" customHeight="1"/>
    <row r="50362" ht="15.75" customHeight="1"/>
    <row r="50363" ht="15.75" customHeight="1"/>
    <row r="50364" ht="15.75" customHeight="1"/>
    <row r="50365" ht="15.75" customHeight="1"/>
    <row r="50366" ht="15.75" customHeight="1"/>
    <row r="50367" ht="15.75" customHeight="1"/>
    <row r="50368" ht="15.75" customHeight="1"/>
    <row r="50369" ht="15.75" customHeight="1"/>
    <row r="50370" ht="15.75" customHeight="1"/>
    <row r="50371" ht="15.75" customHeight="1"/>
    <row r="50372" ht="15.75" customHeight="1"/>
    <row r="50373" ht="15.75" customHeight="1"/>
    <row r="50374" ht="15.75" customHeight="1"/>
    <row r="50375" ht="15.75" customHeight="1"/>
    <row r="50376" ht="15.75" customHeight="1"/>
    <row r="50377" ht="15.75" customHeight="1"/>
    <row r="50378" ht="15.75" customHeight="1"/>
    <row r="50379" ht="15.75" customHeight="1"/>
    <row r="50380" ht="15.75" customHeight="1"/>
    <row r="50381" ht="15.75" customHeight="1"/>
    <row r="50382" ht="15.75" customHeight="1"/>
    <row r="50383" ht="15.75" customHeight="1"/>
    <row r="50384" ht="15.75" customHeight="1"/>
    <row r="50385" ht="15.75" customHeight="1"/>
    <row r="50386" ht="15.75" customHeight="1"/>
    <row r="50387" ht="15.75" customHeight="1"/>
    <row r="50388" ht="15.75" customHeight="1"/>
    <row r="50389" ht="15.75" customHeight="1"/>
    <row r="50390" ht="15.75" customHeight="1"/>
    <row r="50391" ht="15.75" customHeight="1"/>
    <row r="50392" ht="15.75" customHeight="1"/>
    <row r="50393" ht="15.75" customHeight="1"/>
    <row r="50394" ht="15.75" customHeight="1"/>
    <row r="50395" ht="15.75" customHeight="1"/>
    <row r="50396" ht="15.75" customHeight="1"/>
    <row r="50397" ht="15.75" customHeight="1"/>
    <row r="50398" ht="15.75" customHeight="1"/>
    <row r="50399" ht="15.75" customHeight="1"/>
    <row r="50400" ht="15.75" customHeight="1"/>
    <row r="50401" ht="15.75" customHeight="1"/>
    <row r="50402" ht="15.75" customHeight="1"/>
    <row r="50403" ht="15.75" customHeight="1"/>
    <row r="50404" ht="15.75" customHeight="1"/>
    <row r="50405" ht="15.75" customHeight="1"/>
    <row r="50406" ht="15.75" customHeight="1"/>
    <row r="50407" ht="15.75" customHeight="1"/>
    <row r="50408" ht="15.75" customHeight="1"/>
    <row r="50409" ht="15.75" customHeight="1"/>
    <row r="50410" ht="15.75" customHeight="1"/>
    <row r="50411" ht="15.75" customHeight="1"/>
    <row r="50412" ht="15.75" customHeight="1"/>
    <row r="50413" ht="15.75" customHeight="1"/>
    <row r="50414" ht="15.75" customHeight="1"/>
    <row r="50415" ht="15.75" customHeight="1"/>
    <row r="50416" ht="15.75" customHeight="1"/>
    <row r="50417" ht="15.75" customHeight="1"/>
    <row r="50418" ht="15.75" customHeight="1"/>
    <row r="50419" ht="15.75" customHeight="1"/>
    <row r="50420" ht="15.75" customHeight="1"/>
    <row r="50421" ht="15.75" customHeight="1"/>
    <row r="50422" ht="15.75" customHeight="1"/>
    <row r="50423" ht="15.75" customHeight="1"/>
    <row r="50424" ht="15.75" customHeight="1"/>
    <row r="50425" ht="15.75" customHeight="1"/>
    <row r="50426" ht="15.75" customHeight="1"/>
    <row r="50427" ht="15.75" customHeight="1"/>
    <row r="50428" ht="15.75" customHeight="1"/>
    <row r="50429" ht="15.75" customHeight="1"/>
    <row r="50430" ht="15.75" customHeight="1"/>
    <row r="50431" ht="15.75" customHeight="1"/>
    <row r="50432" ht="15.75" customHeight="1"/>
    <row r="50433" ht="15.75" customHeight="1"/>
    <row r="50434" ht="15.75" customHeight="1"/>
    <row r="50435" ht="15.75" customHeight="1"/>
    <row r="50436" ht="15.75" customHeight="1"/>
    <row r="50437" ht="15.75" customHeight="1"/>
    <row r="50438" ht="15.75" customHeight="1"/>
    <row r="50439" ht="15.75" customHeight="1"/>
    <row r="50440" ht="15.75" customHeight="1"/>
    <row r="50441" ht="15.75" customHeight="1"/>
    <row r="50442" ht="15.75" customHeight="1"/>
    <row r="50443" ht="15.75" customHeight="1"/>
    <row r="50444" ht="15.75" customHeight="1"/>
    <row r="50445" ht="15.75" customHeight="1"/>
    <row r="50446" ht="15.75" customHeight="1"/>
    <row r="50447" ht="15.75" customHeight="1"/>
    <row r="50448" ht="15.75" customHeight="1"/>
    <row r="50449" ht="15.75" customHeight="1"/>
    <row r="50450" ht="15.75" customHeight="1"/>
    <row r="50451" ht="15.75" customHeight="1"/>
    <row r="50452" ht="15.75" customHeight="1"/>
    <row r="50453" ht="15.75" customHeight="1"/>
    <row r="50454" ht="15.75" customHeight="1"/>
    <row r="50455" ht="15.75" customHeight="1"/>
    <row r="50456" ht="15.75" customHeight="1"/>
    <row r="50457" ht="15.75" customHeight="1"/>
    <row r="50458" ht="15.75" customHeight="1"/>
    <row r="50459" ht="15.75" customHeight="1"/>
    <row r="50460" ht="15.75" customHeight="1"/>
    <row r="50461" ht="15.75" customHeight="1"/>
    <row r="50462" ht="15.75" customHeight="1"/>
    <row r="50463" ht="15.75" customHeight="1"/>
    <row r="50464" ht="15.75" customHeight="1"/>
    <row r="50465" ht="15.75" customHeight="1"/>
    <row r="50466" ht="15.75" customHeight="1"/>
    <row r="50467" ht="15.75" customHeight="1"/>
    <row r="50468" ht="15.75" customHeight="1"/>
    <row r="50469" ht="15.75" customHeight="1"/>
    <row r="50470" ht="15.75" customHeight="1"/>
    <row r="50471" ht="15.75" customHeight="1"/>
    <row r="50472" ht="15.75" customHeight="1"/>
    <row r="50473" ht="15.75" customHeight="1"/>
    <row r="50474" ht="15.75" customHeight="1"/>
    <row r="50475" ht="15.75" customHeight="1"/>
    <row r="50476" ht="15.75" customHeight="1"/>
    <row r="50477" ht="15.75" customHeight="1"/>
    <row r="50478" ht="15.75" customHeight="1"/>
    <row r="50479" ht="15.75" customHeight="1"/>
    <row r="50480" ht="15.75" customHeight="1"/>
    <row r="50481" ht="15.75" customHeight="1"/>
    <row r="50482" ht="15.75" customHeight="1"/>
    <row r="50483" ht="15.75" customHeight="1"/>
    <row r="50484" ht="15.75" customHeight="1"/>
    <row r="50485" ht="15.75" customHeight="1"/>
    <row r="50486" ht="15.75" customHeight="1"/>
    <row r="50487" ht="15.75" customHeight="1"/>
    <row r="50488" ht="15.75" customHeight="1"/>
    <row r="50489" ht="15.75" customHeight="1"/>
    <row r="50490" ht="15.75" customHeight="1"/>
    <row r="50491" ht="15.75" customHeight="1"/>
    <row r="50492" ht="15.75" customHeight="1"/>
    <row r="50493" ht="15.75" customHeight="1"/>
    <row r="50494" ht="15.75" customHeight="1"/>
    <row r="50495" ht="15.75" customHeight="1"/>
    <row r="50496" ht="15.75" customHeight="1"/>
    <row r="50497" ht="15.75" customHeight="1"/>
    <row r="50498" ht="15.75" customHeight="1"/>
    <row r="50499" ht="15.75" customHeight="1"/>
    <row r="50500" ht="15.75" customHeight="1"/>
    <row r="50501" ht="15.75" customHeight="1"/>
    <row r="50502" ht="15.75" customHeight="1"/>
    <row r="50503" ht="15.75" customHeight="1"/>
    <row r="50504" ht="15.75" customHeight="1"/>
    <row r="50505" ht="15.75" customHeight="1"/>
    <row r="50506" ht="15.75" customHeight="1"/>
    <row r="50507" ht="15.75" customHeight="1"/>
    <row r="50508" ht="15.75" customHeight="1"/>
    <row r="50509" ht="15.75" customHeight="1"/>
    <row r="50510" ht="15.75" customHeight="1"/>
    <row r="50511" ht="15.75" customHeight="1"/>
    <row r="50512" ht="15.75" customHeight="1"/>
    <row r="50513" ht="15.75" customHeight="1"/>
    <row r="50514" ht="15.75" customHeight="1"/>
    <row r="50515" ht="15.75" customHeight="1"/>
    <row r="50516" ht="15.75" customHeight="1"/>
    <row r="50517" ht="15.75" customHeight="1"/>
    <row r="50518" ht="15.75" customHeight="1"/>
    <row r="50519" ht="15.75" customHeight="1"/>
    <row r="50520" ht="15.75" customHeight="1"/>
    <row r="50521" ht="15.75" customHeight="1"/>
    <row r="50522" ht="15.75" customHeight="1"/>
    <row r="50523" ht="15.75" customHeight="1"/>
    <row r="50524" ht="15.75" customHeight="1"/>
    <row r="50525" ht="15.75" customHeight="1"/>
    <row r="50526" ht="15.75" customHeight="1"/>
    <row r="50527" ht="15.75" customHeight="1"/>
    <row r="50528" ht="15.75" customHeight="1"/>
    <row r="50529" ht="15.75" customHeight="1"/>
    <row r="50530" ht="15.75" customHeight="1"/>
    <row r="50531" ht="15.75" customHeight="1"/>
    <row r="50532" ht="15.75" customHeight="1"/>
    <row r="50533" ht="15.75" customHeight="1"/>
    <row r="50534" ht="15.75" customHeight="1"/>
    <row r="50535" ht="15.75" customHeight="1"/>
    <row r="50536" ht="15.75" customHeight="1"/>
    <row r="50537" ht="15.75" customHeight="1"/>
    <row r="50538" ht="15.75" customHeight="1"/>
    <row r="50539" ht="15.75" customHeight="1"/>
    <row r="50540" ht="15.75" customHeight="1"/>
    <row r="50541" ht="15.75" customHeight="1"/>
    <row r="50542" ht="15.75" customHeight="1"/>
    <row r="50543" ht="15.75" customHeight="1"/>
    <row r="50544" ht="15.75" customHeight="1"/>
    <row r="50545" ht="15.75" customHeight="1"/>
    <row r="50546" ht="15.75" customHeight="1"/>
    <row r="50547" ht="15.75" customHeight="1"/>
    <row r="50548" ht="15.75" customHeight="1"/>
    <row r="50549" ht="15.75" customHeight="1"/>
    <row r="50550" ht="15.75" customHeight="1"/>
    <row r="50551" ht="15.75" customHeight="1"/>
    <row r="50552" ht="15.75" customHeight="1"/>
    <row r="50553" ht="15.75" customHeight="1"/>
    <row r="50554" ht="15.75" customHeight="1"/>
    <row r="50555" ht="15.75" customHeight="1"/>
    <row r="50556" ht="15.75" customHeight="1"/>
    <row r="50557" ht="15.75" customHeight="1"/>
    <row r="50558" ht="15.75" customHeight="1"/>
    <row r="50559" ht="15.75" customHeight="1"/>
    <row r="50560" ht="15.75" customHeight="1"/>
    <row r="50561" ht="15.75" customHeight="1"/>
    <row r="50562" ht="15.75" customHeight="1"/>
    <row r="50563" ht="15.75" customHeight="1"/>
    <row r="50564" ht="15.75" customHeight="1"/>
    <row r="50565" ht="15.75" customHeight="1"/>
    <row r="50566" ht="15.75" customHeight="1"/>
    <row r="50567" ht="15.75" customHeight="1"/>
    <row r="50568" ht="15.75" customHeight="1"/>
    <row r="50569" ht="15.75" customHeight="1"/>
    <row r="50570" ht="15.75" customHeight="1"/>
    <row r="50571" ht="15.75" customHeight="1"/>
    <row r="50572" ht="15.75" customHeight="1"/>
    <row r="50573" ht="15.75" customHeight="1"/>
    <row r="50574" ht="15.75" customHeight="1"/>
    <row r="50575" ht="15.75" customHeight="1"/>
    <row r="50576" ht="15.75" customHeight="1"/>
    <row r="50577" ht="15.75" customHeight="1"/>
    <row r="50578" ht="15.75" customHeight="1"/>
    <row r="50579" ht="15.75" customHeight="1"/>
    <row r="50580" ht="15.75" customHeight="1"/>
    <row r="50581" ht="15.75" customHeight="1"/>
    <row r="50582" ht="15.75" customHeight="1"/>
    <row r="50583" ht="15.75" customHeight="1"/>
    <row r="50584" ht="15.75" customHeight="1"/>
    <row r="50585" ht="15.75" customHeight="1"/>
    <row r="50586" ht="15.75" customHeight="1"/>
    <row r="50587" ht="15.75" customHeight="1"/>
    <row r="50588" ht="15.75" customHeight="1"/>
    <row r="50589" ht="15.75" customHeight="1"/>
    <row r="50590" ht="15.75" customHeight="1"/>
    <row r="50591" ht="15.75" customHeight="1"/>
    <row r="50592" ht="15.75" customHeight="1"/>
    <row r="50593" ht="15.75" customHeight="1"/>
    <row r="50594" ht="15.75" customHeight="1"/>
    <row r="50595" ht="15.75" customHeight="1"/>
    <row r="50596" ht="15.75" customHeight="1"/>
    <row r="50597" ht="15.75" customHeight="1"/>
    <row r="50598" ht="15.75" customHeight="1"/>
    <row r="50599" ht="15.75" customHeight="1"/>
    <row r="50600" ht="15.75" customHeight="1"/>
    <row r="50601" ht="15.75" customHeight="1"/>
    <row r="50602" ht="15.75" customHeight="1"/>
    <row r="50603" ht="15.75" customHeight="1"/>
    <row r="50604" ht="15.75" customHeight="1"/>
    <row r="50605" ht="15.75" customHeight="1"/>
    <row r="50606" ht="15.75" customHeight="1"/>
    <row r="50607" ht="15.75" customHeight="1"/>
    <row r="50608" ht="15.75" customHeight="1"/>
    <row r="50609" ht="15.75" customHeight="1"/>
    <row r="50610" ht="15.75" customHeight="1"/>
    <row r="50611" ht="15.75" customHeight="1"/>
    <row r="50612" ht="15.75" customHeight="1"/>
    <row r="50613" ht="15.75" customHeight="1"/>
    <row r="50614" ht="15.75" customHeight="1"/>
    <row r="50615" ht="15.75" customHeight="1"/>
    <row r="50616" ht="15.75" customHeight="1"/>
    <row r="50617" ht="15.75" customHeight="1"/>
    <row r="50618" ht="15.75" customHeight="1"/>
    <row r="50619" ht="15.75" customHeight="1"/>
    <row r="50620" ht="15.75" customHeight="1"/>
    <row r="50621" ht="15.75" customHeight="1"/>
    <row r="50622" ht="15.75" customHeight="1"/>
    <row r="50623" ht="15.75" customHeight="1"/>
    <row r="50624" ht="15.75" customHeight="1"/>
    <row r="50625" ht="15.75" customHeight="1"/>
    <row r="50626" ht="15.75" customHeight="1"/>
    <row r="50627" ht="15.75" customHeight="1"/>
    <row r="50628" ht="15.75" customHeight="1"/>
    <row r="50629" ht="15.75" customHeight="1"/>
    <row r="50630" ht="15.75" customHeight="1"/>
    <row r="50631" ht="15.75" customHeight="1"/>
    <row r="50632" ht="15.75" customHeight="1"/>
    <row r="50633" ht="15.75" customHeight="1"/>
    <row r="50634" ht="15.75" customHeight="1"/>
    <row r="50635" ht="15.75" customHeight="1"/>
    <row r="50636" ht="15.75" customHeight="1"/>
    <row r="50637" ht="15.75" customHeight="1"/>
    <row r="50638" ht="15.75" customHeight="1"/>
    <row r="50639" ht="15.75" customHeight="1"/>
    <row r="50640" ht="15.75" customHeight="1"/>
    <row r="50641" ht="15.75" customHeight="1"/>
    <row r="50642" ht="15.75" customHeight="1"/>
    <row r="50643" ht="15.75" customHeight="1"/>
    <row r="50644" ht="15.75" customHeight="1"/>
    <row r="50645" ht="15.75" customHeight="1"/>
    <row r="50646" ht="15.75" customHeight="1"/>
    <row r="50647" ht="15.75" customHeight="1"/>
    <row r="50648" ht="15.75" customHeight="1"/>
    <row r="50649" ht="15.75" customHeight="1"/>
    <row r="50650" ht="15.75" customHeight="1"/>
    <row r="50651" ht="15.75" customHeight="1"/>
    <row r="50652" ht="15.75" customHeight="1"/>
    <row r="50653" ht="15.75" customHeight="1"/>
    <row r="50654" ht="15.75" customHeight="1"/>
    <row r="50655" ht="15.75" customHeight="1"/>
    <row r="50656" ht="15.75" customHeight="1"/>
    <row r="50657" ht="15.75" customHeight="1"/>
    <row r="50658" ht="15.75" customHeight="1"/>
    <row r="50659" ht="15.75" customHeight="1"/>
    <row r="50660" ht="15.75" customHeight="1"/>
    <row r="50661" ht="15.75" customHeight="1"/>
    <row r="50662" ht="15.75" customHeight="1"/>
    <row r="50663" ht="15.75" customHeight="1"/>
    <row r="50664" ht="15.75" customHeight="1"/>
    <row r="50665" ht="15.75" customHeight="1"/>
    <row r="50666" ht="15.75" customHeight="1"/>
    <row r="50667" ht="15.75" customHeight="1"/>
    <row r="50668" ht="15.75" customHeight="1"/>
    <row r="50669" ht="15.75" customHeight="1"/>
    <row r="50670" ht="15.75" customHeight="1"/>
    <row r="50671" ht="15.75" customHeight="1"/>
    <row r="50672" ht="15.75" customHeight="1"/>
    <row r="50673" ht="15.75" customHeight="1"/>
    <row r="50674" ht="15.75" customHeight="1"/>
    <row r="50675" ht="15.75" customHeight="1"/>
    <row r="50676" ht="15.75" customHeight="1"/>
    <row r="50677" ht="15.75" customHeight="1"/>
    <row r="50678" ht="15.75" customHeight="1"/>
    <row r="50679" ht="15.75" customHeight="1"/>
    <row r="50680" ht="15.75" customHeight="1"/>
    <row r="50681" ht="15.75" customHeight="1"/>
    <row r="50682" ht="15.75" customHeight="1"/>
    <row r="50683" ht="15.75" customHeight="1"/>
    <row r="50684" ht="15.75" customHeight="1"/>
    <row r="50685" ht="15.75" customHeight="1"/>
    <row r="50686" ht="15.75" customHeight="1"/>
    <row r="50687" ht="15.75" customHeight="1"/>
    <row r="50688" ht="15.75" customHeight="1"/>
    <row r="50689" ht="15.75" customHeight="1"/>
    <row r="50690" ht="15.75" customHeight="1"/>
    <row r="50691" ht="15.75" customHeight="1"/>
    <row r="50692" ht="15.75" customHeight="1"/>
    <row r="50693" ht="15.75" customHeight="1"/>
    <row r="50694" ht="15.75" customHeight="1"/>
    <row r="50695" ht="15.75" customHeight="1"/>
    <row r="50696" ht="15.75" customHeight="1"/>
    <row r="50697" ht="15.75" customHeight="1"/>
    <row r="50698" ht="15.75" customHeight="1"/>
    <row r="50699" ht="15.75" customHeight="1"/>
    <row r="50700" ht="15.75" customHeight="1"/>
    <row r="50701" ht="15.75" customHeight="1"/>
    <row r="50702" ht="15.75" customHeight="1"/>
    <row r="50703" ht="15.75" customHeight="1"/>
    <row r="50704" ht="15.75" customHeight="1"/>
    <row r="50705" ht="15.75" customHeight="1"/>
    <row r="50706" ht="15.75" customHeight="1"/>
    <row r="50707" ht="15.75" customHeight="1"/>
    <row r="50708" ht="15.75" customHeight="1"/>
    <row r="50709" ht="15.75" customHeight="1"/>
    <row r="50710" ht="15.75" customHeight="1"/>
    <row r="50711" ht="15.75" customHeight="1"/>
    <row r="50712" ht="15.75" customHeight="1"/>
    <row r="50713" ht="15.75" customHeight="1"/>
    <row r="50714" ht="15.75" customHeight="1"/>
    <row r="50715" ht="15.75" customHeight="1"/>
    <row r="50716" ht="15.75" customHeight="1"/>
    <row r="50717" ht="15.75" customHeight="1"/>
    <row r="50718" ht="15.75" customHeight="1"/>
    <row r="50719" ht="15.75" customHeight="1"/>
    <row r="50720" ht="15.75" customHeight="1"/>
    <row r="50721" ht="15.75" customHeight="1"/>
    <row r="50722" ht="15.75" customHeight="1"/>
    <row r="50723" ht="15.75" customHeight="1"/>
    <row r="50724" ht="15.75" customHeight="1"/>
    <row r="50725" ht="15.75" customHeight="1"/>
    <row r="50726" ht="15.75" customHeight="1"/>
    <row r="50727" ht="15.75" customHeight="1"/>
    <row r="50728" ht="15.75" customHeight="1"/>
    <row r="50729" ht="15.75" customHeight="1"/>
    <row r="50730" ht="15.75" customHeight="1"/>
    <row r="50731" ht="15.75" customHeight="1"/>
    <row r="50732" ht="15.75" customHeight="1"/>
    <row r="50733" ht="15.75" customHeight="1"/>
    <row r="50734" ht="15.75" customHeight="1"/>
    <row r="50735" ht="15.75" customHeight="1"/>
    <row r="50736" ht="15.75" customHeight="1"/>
    <row r="50737" ht="15.75" customHeight="1"/>
    <row r="50738" ht="15.75" customHeight="1"/>
    <row r="50739" ht="15.75" customHeight="1"/>
    <row r="50740" ht="15.75" customHeight="1"/>
    <row r="50741" ht="15.75" customHeight="1"/>
    <row r="50742" ht="15.75" customHeight="1"/>
    <row r="50743" ht="15.75" customHeight="1"/>
    <row r="50744" ht="15.75" customHeight="1"/>
    <row r="50745" ht="15.75" customHeight="1"/>
    <row r="50746" ht="15.75" customHeight="1"/>
    <row r="50747" ht="15.75" customHeight="1"/>
    <row r="50748" ht="15.75" customHeight="1"/>
    <row r="50749" ht="15.75" customHeight="1"/>
    <row r="50750" ht="15.75" customHeight="1"/>
    <row r="50751" ht="15.75" customHeight="1"/>
    <row r="50752" ht="15.75" customHeight="1"/>
    <row r="50753" ht="15.75" customHeight="1"/>
    <row r="50754" ht="15.75" customHeight="1"/>
    <row r="50755" ht="15.75" customHeight="1"/>
    <row r="50756" ht="15.75" customHeight="1"/>
    <row r="50757" ht="15.75" customHeight="1"/>
    <row r="50758" ht="15.75" customHeight="1"/>
    <row r="50759" ht="15.75" customHeight="1"/>
    <row r="50760" ht="15.75" customHeight="1"/>
    <row r="50761" ht="15.75" customHeight="1"/>
    <row r="50762" ht="15.75" customHeight="1"/>
    <row r="50763" ht="15.75" customHeight="1"/>
    <row r="50764" ht="15.75" customHeight="1"/>
    <row r="50765" ht="15.75" customHeight="1"/>
    <row r="50766" ht="15.75" customHeight="1"/>
    <row r="50767" ht="15.75" customHeight="1"/>
    <row r="50768" ht="15.75" customHeight="1"/>
    <row r="50769" ht="15.75" customHeight="1"/>
    <row r="50770" ht="15.75" customHeight="1"/>
    <row r="50771" ht="15.75" customHeight="1"/>
    <row r="50772" ht="15.75" customHeight="1"/>
    <row r="50773" ht="15.75" customHeight="1"/>
    <row r="50774" ht="15.75" customHeight="1"/>
    <row r="50775" ht="15.75" customHeight="1"/>
    <row r="50776" ht="15.75" customHeight="1"/>
    <row r="50777" ht="15.75" customHeight="1"/>
    <row r="50778" ht="15.75" customHeight="1"/>
    <row r="50779" ht="15.75" customHeight="1"/>
    <row r="50780" ht="15.75" customHeight="1"/>
    <row r="50781" ht="15.75" customHeight="1"/>
    <row r="50782" ht="15.75" customHeight="1"/>
    <row r="50783" ht="15.75" customHeight="1"/>
    <row r="50784" ht="15.75" customHeight="1"/>
    <row r="50785" ht="15.75" customHeight="1"/>
    <row r="50786" ht="15.75" customHeight="1"/>
    <row r="50787" ht="15.75" customHeight="1"/>
    <row r="50788" ht="15.75" customHeight="1"/>
    <row r="50789" ht="15.75" customHeight="1"/>
    <row r="50790" ht="15.75" customHeight="1"/>
    <row r="50791" ht="15.75" customHeight="1"/>
    <row r="50792" ht="15.75" customHeight="1"/>
    <row r="50793" ht="15.75" customHeight="1"/>
    <row r="50794" ht="15.75" customHeight="1"/>
    <row r="50795" ht="15.75" customHeight="1"/>
    <row r="50796" ht="15.75" customHeight="1"/>
    <row r="50797" ht="15.75" customHeight="1"/>
    <row r="50798" ht="15.75" customHeight="1"/>
    <row r="50799" ht="15.75" customHeight="1"/>
    <row r="50800" ht="15.75" customHeight="1"/>
    <row r="50801" ht="15.75" customHeight="1"/>
    <row r="50802" ht="15.75" customHeight="1"/>
    <row r="50803" ht="15.75" customHeight="1"/>
    <row r="50804" ht="15.75" customHeight="1"/>
    <row r="50805" ht="15.75" customHeight="1"/>
    <row r="50806" ht="15.75" customHeight="1"/>
    <row r="50807" ht="15.75" customHeight="1"/>
    <row r="50808" ht="15.75" customHeight="1"/>
    <row r="50809" ht="15.75" customHeight="1"/>
    <row r="50810" ht="15.75" customHeight="1"/>
    <row r="50811" ht="15.75" customHeight="1"/>
    <row r="50812" ht="15.75" customHeight="1"/>
    <row r="50813" ht="15.75" customHeight="1"/>
    <row r="50814" ht="15.75" customHeight="1"/>
    <row r="50815" ht="15.75" customHeight="1"/>
    <row r="50816" ht="15.75" customHeight="1"/>
    <row r="50817" ht="15.75" customHeight="1"/>
    <row r="50818" ht="15.75" customHeight="1"/>
    <row r="50819" ht="15.75" customHeight="1"/>
    <row r="50820" ht="15.75" customHeight="1"/>
    <row r="50821" ht="15.75" customHeight="1"/>
    <row r="50822" ht="15.75" customHeight="1"/>
    <row r="50823" ht="15.75" customHeight="1"/>
    <row r="50824" ht="15.75" customHeight="1"/>
    <row r="50825" ht="15.75" customHeight="1"/>
    <row r="50826" ht="15.75" customHeight="1"/>
    <row r="50827" ht="15.75" customHeight="1"/>
    <row r="50828" ht="15.75" customHeight="1"/>
    <row r="50829" ht="15.75" customHeight="1"/>
    <row r="50830" ht="15.75" customHeight="1"/>
    <row r="50831" ht="15.75" customHeight="1"/>
    <row r="50832" ht="15.75" customHeight="1"/>
    <row r="50833" ht="15.75" customHeight="1"/>
    <row r="50834" ht="15.75" customHeight="1"/>
    <row r="50835" ht="15.75" customHeight="1"/>
    <row r="50836" ht="15.75" customHeight="1"/>
    <row r="50837" ht="15.75" customHeight="1"/>
    <row r="50838" ht="15.75" customHeight="1"/>
    <row r="50839" ht="15.75" customHeight="1"/>
    <row r="50840" ht="15.75" customHeight="1"/>
    <row r="50841" ht="15.75" customHeight="1"/>
    <row r="50842" ht="15.75" customHeight="1"/>
    <row r="50843" ht="15.75" customHeight="1"/>
    <row r="50844" ht="15.75" customHeight="1"/>
    <row r="50845" ht="15.75" customHeight="1"/>
    <row r="50846" ht="15.75" customHeight="1"/>
    <row r="50847" ht="15.75" customHeight="1"/>
    <row r="50848" ht="15.75" customHeight="1"/>
    <row r="50849" ht="15.75" customHeight="1"/>
    <row r="50850" ht="15.75" customHeight="1"/>
    <row r="50851" ht="15.75" customHeight="1"/>
    <row r="50852" ht="15.75" customHeight="1"/>
    <row r="50853" ht="15.75" customHeight="1"/>
    <row r="50854" ht="15.75" customHeight="1"/>
    <row r="50855" ht="15.75" customHeight="1"/>
    <row r="50856" ht="15.75" customHeight="1"/>
    <row r="50857" ht="15.75" customHeight="1"/>
    <row r="50858" ht="15.75" customHeight="1"/>
    <row r="50859" ht="15.75" customHeight="1"/>
    <row r="50860" ht="15.75" customHeight="1"/>
    <row r="50861" ht="15.75" customHeight="1"/>
    <row r="50862" ht="15.75" customHeight="1"/>
    <row r="50863" ht="15.75" customHeight="1"/>
    <row r="50864" ht="15.75" customHeight="1"/>
    <row r="50865" ht="15.75" customHeight="1"/>
    <row r="50866" ht="15.75" customHeight="1"/>
    <row r="50867" ht="15.75" customHeight="1"/>
    <row r="50868" ht="15.75" customHeight="1"/>
    <row r="50869" ht="15.75" customHeight="1"/>
    <row r="50870" ht="15.75" customHeight="1"/>
    <row r="50871" ht="15.75" customHeight="1"/>
    <row r="50872" ht="15.75" customHeight="1"/>
    <row r="50873" ht="15.75" customHeight="1"/>
    <row r="50874" ht="15.75" customHeight="1"/>
    <row r="50875" ht="15.75" customHeight="1"/>
    <row r="50876" ht="15.75" customHeight="1"/>
    <row r="50877" ht="15.75" customHeight="1"/>
    <row r="50878" ht="15.75" customHeight="1"/>
    <row r="50879" ht="15.75" customHeight="1"/>
    <row r="50880" ht="15.75" customHeight="1"/>
    <row r="50881" ht="15.75" customHeight="1"/>
    <row r="50882" ht="15.75" customHeight="1"/>
    <row r="50883" ht="15.75" customHeight="1"/>
    <row r="50884" ht="15.75" customHeight="1"/>
    <row r="50885" ht="15.75" customHeight="1"/>
    <row r="50886" ht="15.75" customHeight="1"/>
    <row r="50887" ht="15.75" customHeight="1"/>
    <row r="50888" ht="15.75" customHeight="1"/>
    <row r="50889" ht="15.75" customHeight="1"/>
    <row r="50890" ht="15.75" customHeight="1"/>
    <row r="50891" ht="15.75" customHeight="1"/>
    <row r="50892" ht="15.75" customHeight="1"/>
    <row r="50893" ht="15.75" customHeight="1"/>
    <row r="50894" ht="15.75" customHeight="1"/>
    <row r="50895" ht="15.75" customHeight="1"/>
    <row r="50896" ht="15.75" customHeight="1"/>
    <row r="50897" ht="15.75" customHeight="1"/>
    <row r="50898" ht="15.75" customHeight="1"/>
    <row r="50899" ht="15.75" customHeight="1"/>
    <row r="50900" ht="15.75" customHeight="1"/>
    <row r="50901" ht="15.75" customHeight="1"/>
    <row r="50902" ht="15.75" customHeight="1"/>
    <row r="50903" ht="15.75" customHeight="1"/>
    <row r="50904" ht="15.75" customHeight="1"/>
    <row r="50905" ht="15.75" customHeight="1"/>
    <row r="50906" ht="15.75" customHeight="1"/>
    <row r="50907" ht="15.75" customHeight="1"/>
    <row r="50908" ht="15.75" customHeight="1"/>
    <row r="50909" ht="15.75" customHeight="1"/>
    <row r="50910" ht="15.75" customHeight="1"/>
    <row r="50911" ht="15.75" customHeight="1"/>
    <row r="50912" ht="15.75" customHeight="1"/>
    <row r="50913" ht="15.75" customHeight="1"/>
    <row r="50914" ht="15.75" customHeight="1"/>
    <row r="50915" ht="15.75" customHeight="1"/>
    <row r="50916" ht="15.75" customHeight="1"/>
    <row r="50917" ht="15.75" customHeight="1"/>
    <row r="50918" ht="15.75" customHeight="1"/>
    <row r="50919" ht="15.75" customHeight="1"/>
    <row r="50920" ht="15.75" customHeight="1"/>
    <row r="50921" ht="15.75" customHeight="1"/>
    <row r="50922" ht="15.75" customHeight="1"/>
    <row r="50923" ht="15.75" customHeight="1"/>
    <row r="50924" ht="15.75" customHeight="1"/>
    <row r="50925" ht="15.75" customHeight="1"/>
    <row r="50926" ht="15.75" customHeight="1"/>
    <row r="50927" ht="15.75" customHeight="1"/>
    <row r="50928" ht="15.75" customHeight="1"/>
    <row r="50929" ht="15.75" customHeight="1"/>
    <row r="50930" ht="15.75" customHeight="1"/>
    <row r="50931" ht="15.75" customHeight="1"/>
    <row r="50932" ht="15.75" customHeight="1"/>
    <row r="50933" ht="15.75" customHeight="1"/>
    <row r="50934" ht="15.75" customHeight="1"/>
    <row r="50935" ht="15.75" customHeight="1"/>
    <row r="50936" ht="15.75" customHeight="1"/>
    <row r="50937" ht="15.75" customHeight="1"/>
    <row r="50938" ht="15.75" customHeight="1"/>
    <row r="50939" ht="15.75" customHeight="1"/>
    <row r="50940" ht="15.75" customHeight="1"/>
    <row r="50941" ht="15.75" customHeight="1"/>
    <row r="50942" ht="15.75" customHeight="1"/>
    <row r="50943" ht="15.75" customHeight="1"/>
    <row r="50944" ht="15.75" customHeight="1"/>
    <row r="50945" ht="15.75" customHeight="1"/>
    <row r="50946" ht="15.75" customHeight="1"/>
    <row r="50947" ht="15.75" customHeight="1"/>
    <row r="50948" ht="15.75" customHeight="1"/>
    <row r="50949" ht="15.75" customHeight="1"/>
    <row r="50950" ht="15.75" customHeight="1"/>
    <row r="50951" ht="15.75" customHeight="1"/>
    <row r="50952" ht="15.75" customHeight="1"/>
    <row r="50953" ht="15.75" customHeight="1"/>
    <row r="50954" ht="15.75" customHeight="1"/>
    <row r="50955" ht="15.75" customHeight="1"/>
    <row r="50956" ht="15.75" customHeight="1"/>
    <row r="50957" ht="15.75" customHeight="1"/>
    <row r="50958" ht="15.75" customHeight="1"/>
    <row r="50959" ht="15.75" customHeight="1"/>
    <row r="50960" ht="15.75" customHeight="1"/>
    <row r="50961" ht="15.75" customHeight="1"/>
    <row r="50962" ht="15.75" customHeight="1"/>
    <row r="50963" ht="15.75" customHeight="1"/>
    <row r="50964" ht="15.75" customHeight="1"/>
    <row r="50965" ht="15.75" customHeight="1"/>
    <row r="50966" ht="15.75" customHeight="1"/>
    <row r="50967" ht="15.75" customHeight="1"/>
    <row r="50968" ht="15.75" customHeight="1"/>
    <row r="50969" ht="15.75" customHeight="1"/>
    <row r="50970" ht="15.75" customHeight="1"/>
    <row r="50971" ht="15.75" customHeight="1"/>
    <row r="50972" ht="15.75" customHeight="1"/>
    <row r="50973" ht="15.75" customHeight="1"/>
    <row r="50974" ht="15.75" customHeight="1"/>
    <row r="50975" ht="15.75" customHeight="1"/>
    <row r="50976" ht="15.75" customHeight="1"/>
    <row r="50977" ht="15.75" customHeight="1"/>
    <row r="50978" ht="15.75" customHeight="1"/>
    <row r="50979" ht="15.75" customHeight="1"/>
    <row r="50980" ht="15.75" customHeight="1"/>
    <row r="50981" ht="15.75" customHeight="1"/>
    <row r="50982" ht="15.75" customHeight="1"/>
    <row r="50983" ht="15.75" customHeight="1"/>
    <row r="50984" ht="15.75" customHeight="1"/>
    <row r="50985" ht="15.75" customHeight="1"/>
    <row r="50986" ht="15.75" customHeight="1"/>
    <row r="50987" ht="15.75" customHeight="1"/>
    <row r="50988" ht="15.75" customHeight="1"/>
    <row r="50989" ht="15.75" customHeight="1"/>
    <row r="50990" ht="15.75" customHeight="1"/>
    <row r="50991" ht="15.75" customHeight="1"/>
    <row r="50992" ht="15.75" customHeight="1"/>
    <row r="50993" ht="15.75" customHeight="1"/>
    <row r="50994" ht="15.75" customHeight="1"/>
    <row r="50995" ht="15.75" customHeight="1"/>
    <row r="50996" ht="15.75" customHeight="1"/>
    <row r="50997" ht="15.75" customHeight="1"/>
    <row r="50998" ht="15.75" customHeight="1"/>
    <row r="50999" ht="15.75" customHeight="1"/>
    <row r="51000" ht="15.75" customHeight="1"/>
    <row r="51001" ht="15.75" customHeight="1"/>
    <row r="51002" ht="15.75" customHeight="1"/>
    <row r="51003" ht="15.75" customHeight="1"/>
    <row r="51004" ht="15.75" customHeight="1"/>
    <row r="51005" ht="15.75" customHeight="1"/>
    <row r="51006" ht="15.75" customHeight="1"/>
    <row r="51007" ht="15.75" customHeight="1"/>
    <row r="51008" ht="15.75" customHeight="1"/>
    <row r="51009" ht="15.75" customHeight="1"/>
    <row r="51010" ht="15.75" customHeight="1"/>
    <row r="51011" ht="15.75" customHeight="1"/>
    <row r="51012" ht="15.75" customHeight="1"/>
    <row r="51013" ht="15.75" customHeight="1"/>
    <row r="51014" ht="15.75" customHeight="1"/>
    <row r="51015" ht="15.75" customHeight="1"/>
    <row r="51016" ht="15.75" customHeight="1"/>
    <row r="51017" ht="15.75" customHeight="1"/>
    <row r="51018" ht="15.75" customHeight="1"/>
    <row r="51019" ht="15.75" customHeight="1"/>
    <row r="51020" ht="15.75" customHeight="1"/>
    <row r="51021" ht="15.75" customHeight="1"/>
    <row r="51022" ht="15.75" customHeight="1"/>
    <row r="51023" ht="15.75" customHeight="1"/>
    <row r="51024" ht="15.75" customHeight="1"/>
    <row r="51025" ht="15.75" customHeight="1"/>
    <row r="51026" ht="15.75" customHeight="1"/>
    <row r="51027" ht="15.75" customHeight="1"/>
    <row r="51028" ht="15.75" customHeight="1"/>
    <row r="51029" ht="15.75" customHeight="1"/>
    <row r="51030" ht="15.75" customHeight="1"/>
    <row r="51031" ht="15.75" customHeight="1"/>
    <row r="51032" ht="15.75" customHeight="1"/>
    <row r="51033" ht="15.75" customHeight="1"/>
    <row r="51034" ht="15.75" customHeight="1"/>
    <row r="51035" ht="15.75" customHeight="1"/>
    <row r="51036" ht="15.75" customHeight="1"/>
    <row r="51037" ht="15.75" customHeight="1"/>
    <row r="51038" ht="15.75" customHeight="1"/>
    <row r="51039" ht="15.75" customHeight="1"/>
    <row r="51040" ht="15.75" customHeight="1"/>
    <row r="51041" ht="15.75" customHeight="1"/>
    <row r="51042" ht="15.75" customHeight="1"/>
    <row r="51043" ht="15.75" customHeight="1"/>
    <row r="51044" ht="15.75" customHeight="1"/>
    <row r="51045" ht="15.75" customHeight="1"/>
    <row r="51046" ht="15.75" customHeight="1"/>
    <row r="51047" ht="15.75" customHeight="1"/>
    <row r="51048" ht="15.75" customHeight="1"/>
    <row r="51049" ht="15.75" customHeight="1"/>
    <row r="51050" ht="15.75" customHeight="1"/>
    <row r="51051" ht="15.75" customHeight="1"/>
    <row r="51052" ht="15.75" customHeight="1"/>
    <row r="51053" ht="15.75" customHeight="1"/>
    <row r="51054" ht="15.75" customHeight="1"/>
    <row r="51055" ht="15.75" customHeight="1"/>
    <row r="51056" ht="15.75" customHeight="1"/>
    <row r="51057" ht="15.75" customHeight="1"/>
    <row r="51058" ht="15.75" customHeight="1"/>
    <row r="51059" ht="15.75" customHeight="1"/>
    <row r="51060" ht="15.75" customHeight="1"/>
    <row r="51061" ht="15.75" customHeight="1"/>
    <row r="51062" ht="15.75" customHeight="1"/>
    <row r="51063" ht="15.75" customHeight="1"/>
    <row r="51064" ht="15.75" customHeight="1"/>
    <row r="51065" ht="15.75" customHeight="1"/>
    <row r="51066" ht="15.75" customHeight="1"/>
    <row r="51067" ht="15.75" customHeight="1"/>
    <row r="51068" ht="15.75" customHeight="1"/>
    <row r="51069" ht="15.75" customHeight="1"/>
    <row r="51070" ht="15.75" customHeight="1"/>
    <row r="51071" ht="15.75" customHeight="1"/>
    <row r="51072" ht="15.75" customHeight="1"/>
    <row r="51073" ht="15.75" customHeight="1"/>
    <row r="51074" ht="15.75" customHeight="1"/>
    <row r="51075" ht="15.75" customHeight="1"/>
    <row r="51076" ht="15.75" customHeight="1"/>
    <row r="51077" ht="15.75" customHeight="1"/>
    <row r="51078" ht="15.75" customHeight="1"/>
    <row r="51079" ht="15.75" customHeight="1"/>
    <row r="51080" ht="15.75" customHeight="1"/>
    <row r="51081" ht="15.75" customHeight="1"/>
    <row r="51082" ht="15.75" customHeight="1"/>
    <row r="51083" ht="15.75" customHeight="1"/>
    <row r="51084" ht="15.75" customHeight="1"/>
    <row r="51085" ht="15.75" customHeight="1"/>
    <row r="51086" ht="15.75" customHeight="1"/>
    <row r="51087" ht="15.75" customHeight="1"/>
    <row r="51088" ht="15.75" customHeight="1"/>
    <row r="51089" ht="15.75" customHeight="1"/>
    <row r="51090" ht="15.75" customHeight="1"/>
    <row r="51091" ht="15.75" customHeight="1"/>
    <row r="51092" ht="15.75" customHeight="1"/>
    <row r="51093" ht="15.75" customHeight="1"/>
    <row r="51094" ht="15.75" customHeight="1"/>
    <row r="51095" ht="15.75" customHeight="1"/>
    <row r="51096" ht="15.75" customHeight="1"/>
    <row r="51097" ht="15.75" customHeight="1"/>
    <row r="51098" ht="15.75" customHeight="1"/>
    <row r="51099" ht="15.75" customHeight="1"/>
    <row r="51100" ht="15.75" customHeight="1"/>
    <row r="51101" ht="15.75" customHeight="1"/>
    <row r="51102" ht="15.75" customHeight="1"/>
    <row r="51103" ht="15.75" customHeight="1"/>
    <row r="51104" ht="15.75" customHeight="1"/>
    <row r="51105" ht="15.75" customHeight="1"/>
    <row r="51106" ht="15.75" customHeight="1"/>
    <row r="51107" ht="15.75" customHeight="1"/>
    <row r="51108" ht="15.75" customHeight="1"/>
    <row r="51109" ht="15.75" customHeight="1"/>
    <row r="51110" ht="15.75" customHeight="1"/>
    <row r="51111" ht="15.75" customHeight="1"/>
    <row r="51112" ht="15.75" customHeight="1"/>
    <row r="51113" ht="15.75" customHeight="1"/>
    <row r="51114" ht="15.75" customHeight="1"/>
    <row r="51115" ht="15.75" customHeight="1"/>
    <row r="51116" ht="15.75" customHeight="1"/>
    <row r="51117" ht="15.75" customHeight="1"/>
    <row r="51118" ht="15.75" customHeight="1"/>
    <row r="51119" ht="15.75" customHeight="1"/>
    <row r="51120" ht="15.75" customHeight="1"/>
    <row r="51121" ht="15.75" customHeight="1"/>
    <row r="51122" ht="15.75" customHeight="1"/>
    <row r="51123" ht="15.75" customHeight="1"/>
    <row r="51124" ht="15.75" customHeight="1"/>
    <row r="51125" ht="15.75" customHeight="1"/>
    <row r="51126" ht="15.75" customHeight="1"/>
    <row r="51127" ht="15.75" customHeight="1"/>
    <row r="51128" ht="15.75" customHeight="1"/>
    <row r="51129" ht="15.75" customHeight="1"/>
    <row r="51130" ht="15.75" customHeight="1"/>
    <row r="51131" ht="15.75" customHeight="1"/>
    <row r="51132" ht="15.75" customHeight="1"/>
    <row r="51133" ht="15.75" customHeight="1"/>
    <row r="51134" ht="15.75" customHeight="1"/>
    <row r="51135" ht="15.75" customHeight="1"/>
    <row r="51136" ht="15.75" customHeight="1"/>
    <row r="51137" ht="15.75" customHeight="1"/>
    <row r="51138" ht="15.75" customHeight="1"/>
    <row r="51139" ht="15.75" customHeight="1"/>
    <row r="51140" ht="15.75" customHeight="1"/>
    <row r="51141" ht="15.75" customHeight="1"/>
    <row r="51142" ht="15.75" customHeight="1"/>
    <row r="51143" ht="15.75" customHeight="1"/>
    <row r="51144" ht="15.75" customHeight="1"/>
    <row r="51145" ht="15.75" customHeight="1"/>
    <row r="51146" ht="15.75" customHeight="1"/>
    <row r="51147" ht="15.75" customHeight="1"/>
    <row r="51148" ht="15.75" customHeight="1"/>
    <row r="51149" ht="15.75" customHeight="1"/>
    <row r="51150" ht="15.75" customHeight="1"/>
    <row r="51151" ht="15.75" customHeight="1"/>
    <row r="51152" ht="15.75" customHeight="1"/>
    <row r="51153" ht="15.75" customHeight="1"/>
    <row r="51154" ht="15.75" customHeight="1"/>
    <row r="51155" ht="15.75" customHeight="1"/>
    <row r="51156" ht="15.75" customHeight="1"/>
    <row r="51157" ht="15.75" customHeight="1"/>
    <row r="51158" ht="15.75" customHeight="1"/>
    <row r="51159" ht="15.75" customHeight="1"/>
    <row r="51160" ht="15.75" customHeight="1"/>
    <row r="51161" ht="15.75" customHeight="1"/>
    <row r="51162" ht="15.75" customHeight="1"/>
    <row r="51163" ht="15.75" customHeight="1"/>
    <row r="51164" ht="15.75" customHeight="1"/>
    <row r="51165" ht="15.75" customHeight="1"/>
    <row r="51166" ht="15.75" customHeight="1"/>
    <row r="51167" ht="15.75" customHeight="1"/>
    <row r="51168" ht="15.75" customHeight="1"/>
    <row r="51169" ht="15.75" customHeight="1"/>
    <row r="51170" ht="15.75" customHeight="1"/>
    <row r="51171" ht="15.75" customHeight="1"/>
    <row r="51172" ht="15.75" customHeight="1"/>
    <row r="51173" ht="15.75" customHeight="1"/>
    <row r="51174" ht="15.75" customHeight="1"/>
    <row r="51175" ht="15.75" customHeight="1"/>
    <row r="51176" ht="15.75" customHeight="1"/>
    <row r="51177" ht="15.75" customHeight="1"/>
    <row r="51178" ht="15.75" customHeight="1"/>
    <row r="51179" ht="15.75" customHeight="1"/>
    <row r="51180" ht="15.75" customHeight="1"/>
    <row r="51181" ht="15.75" customHeight="1"/>
    <row r="51182" ht="15.75" customHeight="1"/>
    <row r="51183" ht="15.75" customHeight="1"/>
    <row r="51184" ht="15.75" customHeight="1"/>
    <row r="51185" ht="15.75" customHeight="1"/>
    <row r="51186" ht="15.75" customHeight="1"/>
    <row r="51187" ht="15.75" customHeight="1"/>
    <row r="51188" ht="15.75" customHeight="1"/>
    <row r="51189" ht="15.75" customHeight="1"/>
    <row r="51190" ht="15.75" customHeight="1"/>
    <row r="51191" ht="15.75" customHeight="1"/>
    <row r="51192" ht="15.75" customHeight="1"/>
    <row r="51193" ht="15.75" customHeight="1"/>
    <row r="51194" ht="15.75" customHeight="1"/>
    <row r="51195" ht="15.75" customHeight="1"/>
    <row r="51196" ht="15.75" customHeight="1"/>
    <row r="51197" ht="15.75" customHeight="1"/>
    <row r="51198" ht="15.75" customHeight="1"/>
    <row r="51199" ht="15.75" customHeight="1"/>
    <row r="51200" ht="15.75" customHeight="1"/>
    <row r="51201" ht="15.75" customHeight="1"/>
    <row r="51202" ht="15.75" customHeight="1"/>
    <row r="51203" ht="15.75" customHeight="1"/>
    <row r="51204" ht="15.75" customHeight="1"/>
    <row r="51205" ht="15.75" customHeight="1"/>
    <row r="51206" ht="15.75" customHeight="1"/>
    <row r="51207" ht="15.75" customHeight="1"/>
    <row r="51208" ht="15.75" customHeight="1"/>
    <row r="51209" ht="15.75" customHeight="1"/>
    <row r="51210" ht="15.75" customHeight="1"/>
    <row r="51211" ht="15.75" customHeight="1"/>
    <row r="51212" ht="15.75" customHeight="1"/>
    <row r="51213" ht="15.75" customHeight="1"/>
    <row r="51214" ht="15.75" customHeight="1"/>
    <row r="51215" ht="15.75" customHeight="1"/>
    <row r="51216" ht="15.75" customHeight="1"/>
    <row r="51217" ht="15.75" customHeight="1"/>
    <row r="51218" ht="15.75" customHeight="1"/>
    <row r="51219" ht="15.75" customHeight="1"/>
    <row r="51220" ht="15.75" customHeight="1"/>
    <row r="51221" ht="15.75" customHeight="1"/>
    <row r="51222" ht="15.75" customHeight="1"/>
    <row r="51223" ht="15.75" customHeight="1"/>
    <row r="51224" ht="15.75" customHeight="1"/>
    <row r="51225" ht="15.75" customHeight="1"/>
    <row r="51226" ht="15.75" customHeight="1"/>
    <row r="51227" ht="15.75" customHeight="1"/>
    <row r="51228" ht="15.75" customHeight="1"/>
    <row r="51229" ht="15.75" customHeight="1"/>
    <row r="51230" ht="15.75" customHeight="1"/>
    <row r="51231" ht="15.75" customHeight="1"/>
    <row r="51232" ht="15.75" customHeight="1"/>
    <row r="51233" ht="15.75" customHeight="1"/>
    <row r="51234" ht="15.75" customHeight="1"/>
    <row r="51235" ht="15.75" customHeight="1"/>
    <row r="51236" ht="15.75" customHeight="1"/>
    <row r="51237" ht="15.75" customHeight="1"/>
    <row r="51238" ht="15.75" customHeight="1"/>
    <row r="51239" ht="15.75" customHeight="1"/>
    <row r="51240" ht="15.75" customHeight="1"/>
    <row r="51241" ht="15.75" customHeight="1"/>
    <row r="51242" ht="15.75" customHeight="1"/>
    <row r="51243" ht="15.75" customHeight="1"/>
    <row r="51244" ht="15.75" customHeight="1"/>
    <row r="51245" ht="15.75" customHeight="1"/>
    <row r="51246" ht="15.75" customHeight="1"/>
    <row r="51247" ht="15.75" customHeight="1"/>
    <row r="51248" ht="15.75" customHeight="1"/>
    <row r="51249" ht="15.75" customHeight="1"/>
    <row r="51250" ht="15.75" customHeight="1"/>
    <row r="51251" ht="15.75" customHeight="1"/>
    <row r="51252" ht="15.75" customHeight="1"/>
    <row r="51253" ht="15.75" customHeight="1"/>
    <row r="51254" ht="15.75" customHeight="1"/>
    <row r="51255" ht="15.75" customHeight="1"/>
    <row r="51256" ht="15.75" customHeight="1"/>
    <row r="51257" ht="15.75" customHeight="1"/>
    <row r="51258" ht="15.75" customHeight="1"/>
    <row r="51259" ht="15.75" customHeight="1"/>
    <row r="51260" ht="15.75" customHeight="1"/>
    <row r="51261" ht="15.75" customHeight="1"/>
    <row r="51262" ht="15.75" customHeight="1"/>
    <row r="51263" ht="15.75" customHeight="1"/>
    <row r="51264" ht="15.75" customHeight="1"/>
    <row r="51265" ht="15.75" customHeight="1"/>
    <row r="51266" ht="15.75" customHeight="1"/>
    <row r="51267" ht="15.75" customHeight="1"/>
    <row r="51268" ht="15.75" customHeight="1"/>
    <row r="51269" ht="15.75" customHeight="1"/>
    <row r="51270" ht="15.75" customHeight="1"/>
    <row r="51271" ht="15.75" customHeight="1"/>
    <row r="51272" ht="15.75" customHeight="1"/>
    <row r="51273" ht="15.75" customHeight="1"/>
    <row r="51274" ht="15.75" customHeight="1"/>
    <row r="51275" ht="15.75" customHeight="1"/>
    <row r="51276" ht="15.75" customHeight="1"/>
    <row r="51277" ht="15.75" customHeight="1"/>
    <row r="51278" ht="15.75" customHeight="1"/>
    <row r="51279" ht="15.75" customHeight="1"/>
    <row r="51280" ht="15.75" customHeight="1"/>
    <row r="51281" ht="15.75" customHeight="1"/>
    <row r="51282" ht="15.75" customHeight="1"/>
    <row r="51283" ht="15.75" customHeight="1"/>
    <row r="51284" ht="15.75" customHeight="1"/>
    <row r="51285" ht="15.75" customHeight="1"/>
    <row r="51286" ht="15.75" customHeight="1"/>
    <row r="51287" ht="15.75" customHeight="1"/>
    <row r="51288" ht="15.75" customHeight="1"/>
    <row r="51289" ht="15.75" customHeight="1"/>
    <row r="51290" ht="15.75" customHeight="1"/>
    <row r="51291" ht="15.75" customHeight="1"/>
    <row r="51292" ht="15.75" customHeight="1"/>
    <row r="51293" ht="15.75" customHeight="1"/>
    <row r="51294" ht="15.75" customHeight="1"/>
    <row r="51295" ht="15.75" customHeight="1"/>
    <row r="51296" ht="15.75" customHeight="1"/>
    <row r="51297" ht="15.75" customHeight="1"/>
    <row r="51298" ht="15.75" customHeight="1"/>
    <row r="51299" ht="15.75" customHeight="1"/>
    <row r="51300" ht="15.75" customHeight="1"/>
    <row r="51301" ht="15.75" customHeight="1"/>
    <row r="51302" ht="15.75" customHeight="1"/>
    <row r="51303" ht="15.75" customHeight="1"/>
    <row r="51304" ht="15.75" customHeight="1"/>
    <row r="51305" ht="15.75" customHeight="1"/>
    <row r="51306" ht="15.75" customHeight="1"/>
    <row r="51307" ht="15.75" customHeight="1"/>
    <row r="51308" ht="15.75" customHeight="1"/>
    <row r="51309" ht="15.75" customHeight="1"/>
    <row r="51310" ht="15.75" customHeight="1"/>
    <row r="51311" ht="15.75" customHeight="1"/>
    <row r="51312" ht="15.75" customHeight="1"/>
    <row r="51313" ht="15.75" customHeight="1"/>
    <row r="51314" ht="15.75" customHeight="1"/>
    <row r="51315" ht="15.75" customHeight="1"/>
    <row r="51316" ht="15.75" customHeight="1"/>
    <row r="51317" ht="15.75" customHeight="1"/>
    <row r="51318" ht="15.75" customHeight="1"/>
    <row r="51319" ht="15.75" customHeight="1"/>
    <row r="51320" ht="15.75" customHeight="1"/>
    <row r="51321" ht="15.75" customHeight="1"/>
    <row r="51322" ht="15.75" customHeight="1"/>
    <row r="51323" ht="15.75" customHeight="1"/>
    <row r="51324" ht="15.75" customHeight="1"/>
    <row r="51325" ht="15.75" customHeight="1"/>
    <row r="51326" ht="15.75" customHeight="1"/>
    <row r="51327" ht="15.75" customHeight="1"/>
    <row r="51328" ht="15.75" customHeight="1"/>
    <row r="51329" ht="15.75" customHeight="1"/>
    <row r="51330" ht="15.75" customHeight="1"/>
    <row r="51331" ht="15.75" customHeight="1"/>
    <row r="51332" ht="15.75" customHeight="1"/>
    <row r="51333" ht="15.75" customHeight="1"/>
    <row r="51334" ht="15.75" customHeight="1"/>
    <row r="51335" ht="15.75" customHeight="1"/>
    <row r="51336" ht="15.75" customHeight="1"/>
    <row r="51337" ht="15.75" customHeight="1"/>
    <row r="51338" ht="15.75" customHeight="1"/>
    <row r="51339" ht="15.75" customHeight="1"/>
    <row r="51340" ht="15.75" customHeight="1"/>
    <row r="51341" ht="15.75" customHeight="1"/>
    <row r="51342" ht="15.75" customHeight="1"/>
    <row r="51343" ht="15.75" customHeight="1"/>
    <row r="51344" ht="15.75" customHeight="1"/>
    <row r="51345" ht="15.75" customHeight="1"/>
    <row r="51346" ht="15.75" customHeight="1"/>
    <row r="51347" ht="15.75" customHeight="1"/>
    <row r="51348" ht="15.75" customHeight="1"/>
    <row r="51349" ht="15.75" customHeight="1"/>
    <row r="51350" ht="15.75" customHeight="1"/>
    <row r="51351" ht="15.75" customHeight="1"/>
    <row r="51352" ht="15.75" customHeight="1"/>
    <row r="51353" ht="15.75" customHeight="1"/>
    <row r="51354" ht="15.75" customHeight="1"/>
    <row r="51355" ht="15.75" customHeight="1"/>
    <row r="51356" ht="15.75" customHeight="1"/>
    <row r="51357" ht="15.75" customHeight="1"/>
    <row r="51358" ht="15.75" customHeight="1"/>
    <row r="51359" ht="15.75" customHeight="1"/>
    <row r="51360" ht="15.75" customHeight="1"/>
    <row r="51361" ht="15.75" customHeight="1"/>
    <row r="51362" ht="15.75" customHeight="1"/>
    <row r="51363" ht="15.75" customHeight="1"/>
    <row r="51364" ht="15.75" customHeight="1"/>
    <row r="51365" ht="15.75" customHeight="1"/>
    <row r="51366" ht="15.75" customHeight="1"/>
    <row r="51367" ht="15.75" customHeight="1"/>
    <row r="51368" ht="15.75" customHeight="1"/>
    <row r="51369" ht="15.75" customHeight="1"/>
    <row r="51370" ht="15.75" customHeight="1"/>
    <row r="51371" ht="15.75" customHeight="1"/>
    <row r="51372" ht="15.75" customHeight="1"/>
    <row r="51373" ht="15.75" customHeight="1"/>
    <row r="51374" ht="15.75" customHeight="1"/>
    <row r="51375" ht="15.75" customHeight="1"/>
    <row r="51376" ht="15.75" customHeight="1"/>
    <row r="51377" ht="15.75" customHeight="1"/>
    <row r="51378" ht="15.75" customHeight="1"/>
    <row r="51379" ht="15.75" customHeight="1"/>
    <row r="51380" ht="15.75" customHeight="1"/>
    <row r="51381" ht="15.75" customHeight="1"/>
    <row r="51382" ht="15.75" customHeight="1"/>
    <row r="51383" ht="15.75" customHeight="1"/>
    <row r="51384" ht="15.75" customHeight="1"/>
    <row r="51385" ht="15.75" customHeight="1"/>
    <row r="51386" ht="15.75" customHeight="1"/>
    <row r="51387" ht="15.75" customHeight="1"/>
    <row r="51388" ht="15.75" customHeight="1"/>
    <row r="51389" ht="15.75" customHeight="1"/>
    <row r="51390" ht="15.75" customHeight="1"/>
    <row r="51391" ht="15.75" customHeight="1"/>
    <row r="51392" ht="15.75" customHeight="1"/>
    <row r="51393" ht="15.75" customHeight="1"/>
    <row r="51394" ht="15.75" customHeight="1"/>
    <row r="51395" ht="15.75" customHeight="1"/>
    <row r="51396" ht="15.75" customHeight="1"/>
    <row r="51397" ht="15.75" customHeight="1"/>
    <row r="51398" ht="15.75" customHeight="1"/>
    <row r="51399" ht="15.75" customHeight="1"/>
    <row r="51400" ht="15.75" customHeight="1"/>
    <row r="51401" ht="15.75" customHeight="1"/>
    <row r="51402" ht="15.75" customHeight="1"/>
    <row r="51403" ht="15.75" customHeight="1"/>
    <row r="51404" ht="15.75" customHeight="1"/>
    <row r="51405" ht="15.75" customHeight="1"/>
    <row r="51406" ht="15.75" customHeight="1"/>
    <row r="51407" ht="15.75" customHeight="1"/>
    <row r="51408" ht="15.75" customHeight="1"/>
    <row r="51409" ht="15.75" customHeight="1"/>
    <row r="51410" ht="15.75" customHeight="1"/>
    <row r="51411" ht="15.75" customHeight="1"/>
    <row r="51412" ht="15.75" customHeight="1"/>
    <row r="51413" ht="15.75" customHeight="1"/>
    <row r="51414" ht="15.75" customHeight="1"/>
    <row r="51415" ht="15.75" customHeight="1"/>
    <row r="51416" ht="15.75" customHeight="1"/>
    <row r="51417" ht="15.75" customHeight="1"/>
    <row r="51418" ht="15.75" customHeight="1"/>
    <row r="51419" ht="15.75" customHeight="1"/>
    <row r="51420" ht="15.75" customHeight="1"/>
    <row r="51421" ht="15.75" customHeight="1"/>
    <row r="51422" ht="15.75" customHeight="1"/>
    <row r="51423" ht="15.75" customHeight="1"/>
    <row r="51424" ht="15.75" customHeight="1"/>
    <row r="51425" ht="15.75" customHeight="1"/>
    <row r="51426" ht="15.75" customHeight="1"/>
    <row r="51427" ht="15.75" customHeight="1"/>
    <row r="51428" ht="15.75" customHeight="1"/>
    <row r="51429" ht="15.75" customHeight="1"/>
    <row r="51430" ht="15.75" customHeight="1"/>
    <row r="51431" ht="15.75" customHeight="1"/>
    <row r="51432" ht="15.75" customHeight="1"/>
    <row r="51433" ht="15.75" customHeight="1"/>
    <row r="51434" ht="15.75" customHeight="1"/>
    <row r="51435" ht="15.75" customHeight="1"/>
    <row r="51436" ht="15.75" customHeight="1"/>
    <row r="51437" ht="15.75" customHeight="1"/>
    <row r="51438" ht="15.75" customHeight="1"/>
    <row r="51439" ht="15.75" customHeight="1"/>
    <row r="51440" ht="15.75" customHeight="1"/>
    <row r="51441" ht="15.75" customHeight="1"/>
    <row r="51442" ht="15.75" customHeight="1"/>
    <row r="51443" ht="15.75" customHeight="1"/>
    <row r="51444" ht="15.75" customHeight="1"/>
    <row r="51445" ht="15.75" customHeight="1"/>
    <row r="51446" ht="15.75" customHeight="1"/>
    <row r="51447" ht="15.75" customHeight="1"/>
    <row r="51448" ht="15.75" customHeight="1"/>
    <row r="51449" ht="15.75" customHeight="1"/>
    <row r="51450" ht="15.75" customHeight="1"/>
    <row r="51451" ht="15.75" customHeight="1"/>
    <row r="51452" ht="15.75" customHeight="1"/>
    <row r="51453" ht="15.75" customHeight="1"/>
    <row r="51454" ht="15.75" customHeight="1"/>
    <row r="51455" ht="15.75" customHeight="1"/>
    <row r="51456" ht="15.75" customHeight="1"/>
    <row r="51457" ht="15.75" customHeight="1"/>
    <row r="51458" ht="15.75" customHeight="1"/>
    <row r="51459" ht="15.75" customHeight="1"/>
    <row r="51460" ht="15.75" customHeight="1"/>
    <row r="51461" ht="15.75" customHeight="1"/>
    <row r="51462" ht="15.75" customHeight="1"/>
    <row r="51463" ht="15.75" customHeight="1"/>
    <row r="51464" ht="15.75" customHeight="1"/>
    <row r="51465" ht="15.75" customHeight="1"/>
    <row r="51466" ht="15.75" customHeight="1"/>
    <row r="51467" ht="15.75" customHeight="1"/>
    <row r="51468" ht="15.75" customHeight="1"/>
    <row r="51469" ht="15.75" customHeight="1"/>
    <row r="51470" ht="15.75" customHeight="1"/>
    <row r="51471" ht="15.75" customHeight="1"/>
    <row r="51472" ht="15.75" customHeight="1"/>
    <row r="51473" ht="15.75" customHeight="1"/>
    <row r="51474" ht="15.75" customHeight="1"/>
    <row r="51475" ht="15.75" customHeight="1"/>
    <row r="51476" ht="15.75" customHeight="1"/>
    <row r="51477" ht="15.75" customHeight="1"/>
    <row r="51478" ht="15.75" customHeight="1"/>
    <row r="51479" ht="15.75" customHeight="1"/>
    <row r="51480" ht="15.75" customHeight="1"/>
    <row r="51481" ht="15.75" customHeight="1"/>
    <row r="51482" ht="15.75" customHeight="1"/>
    <row r="51483" ht="15.75" customHeight="1"/>
    <row r="51484" ht="15.75" customHeight="1"/>
    <row r="51485" ht="15.75" customHeight="1"/>
    <row r="51486" ht="15.75" customHeight="1"/>
    <row r="51487" ht="15.75" customHeight="1"/>
    <row r="51488" ht="15.75" customHeight="1"/>
    <row r="51489" ht="15.75" customHeight="1"/>
    <row r="51490" ht="15.75" customHeight="1"/>
    <row r="51491" ht="15.75" customHeight="1"/>
    <row r="51492" ht="15.75" customHeight="1"/>
    <row r="51493" ht="15.75" customHeight="1"/>
    <row r="51494" ht="15.75" customHeight="1"/>
    <row r="51495" ht="15.75" customHeight="1"/>
    <row r="51496" ht="15.75" customHeight="1"/>
    <row r="51497" ht="15.75" customHeight="1"/>
    <row r="51498" ht="15.75" customHeight="1"/>
    <row r="51499" ht="15.75" customHeight="1"/>
    <row r="51500" ht="15.75" customHeight="1"/>
    <row r="51501" ht="15.75" customHeight="1"/>
    <row r="51502" ht="15.75" customHeight="1"/>
    <row r="51503" ht="15.75" customHeight="1"/>
    <row r="51504" ht="15.75" customHeight="1"/>
    <row r="51505" ht="15.75" customHeight="1"/>
    <row r="51506" ht="15.75" customHeight="1"/>
    <row r="51507" ht="15.75" customHeight="1"/>
    <row r="51508" ht="15.75" customHeight="1"/>
    <row r="51509" ht="15.75" customHeight="1"/>
    <row r="51510" ht="15.75" customHeight="1"/>
    <row r="51511" ht="15.75" customHeight="1"/>
    <row r="51512" ht="15.75" customHeight="1"/>
    <row r="51513" ht="15.75" customHeight="1"/>
    <row r="51514" ht="15.75" customHeight="1"/>
    <row r="51515" ht="15.75" customHeight="1"/>
    <row r="51516" ht="15.75" customHeight="1"/>
    <row r="51517" ht="15.75" customHeight="1"/>
    <row r="51518" ht="15.75" customHeight="1"/>
    <row r="51519" ht="15.75" customHeight="1"/>
    <row r="51520" ht="15.75" customHeight="1"/>
    <row r="51521" ht="15.75" customHeight="1"/>
    <row r="51522" ht="15.75" customHeight="1"/>
    <row r="51523" ht="15.75" customHeight="1"/>
    <row r="51524" ht="15.75" customHeight="1"/>
    <row r="51525" ht="15.75" customHeight="1"/>
    <row r="51526" ht="15.75" customHeight="1"/>
    <row r="51527" ht="15.75" customHeight="1"/>
    <row r="51528" ht="15.75" customHeight="1"/>
    <row r="51529" ht="15.75" customHeight="1"/>
    <row r="51530" ht="15.75" customHeight="1"/>
    <row r="51531" ht="15.75" customHeight="1"/>
    <row r="51532" ht="15.75" customHeight="1"/>
    <row r="51533" ht="15.75" customHeight="1"/>
    <row r="51534" ht="15.75" customHeight="1"/>
    <row r="51535" ht="15.75" customHeight="1"/>
    <row r="51536" ht="15.75" customHeight="1"/>
    <row r="51537" ht="15.75" customHeight="1"/>
    <row r="51538" ht="15.75" customHeight="1"/>
    <row r="51539" ht="15.75" customHeight="1"/>
    <row r="51540" ht="15.75" customHeight="1"/>
    <row r="51541" ht="15.75" customHeight="1"/>
    <row r="51542" ht="15.75" customHeight="1"/>
    <row r="51543" ht="15.75" customHeight="1"/>
    <row r="51544" ht="15.75" customHeight="1"/>
    <row r="51545" ht="15.75" customHeight="1"/>
    <row r="51546" ht="15.75" customHeight="1"/>
    <row r="51547" ht="15.75" customHeight="1"/>
    <row r="51548" ht="15.75" customHeight="1"/>
    <row r="51549" ht="15.75" customHeight="1"/>
    <row r="51550" ht="15.75" customHeight="1"/>
    <row r="51551" ht="15.75" customHeight="1"/>
    <row r="51552" ht="15.75" customHeight="1"/>
    <row r="51553" ht="15.75" customHeight="1"/>
    <row r="51554" ht="15.75" customHeight="1"/>
    <row r="51555" ht="15.75" customHeight="1"/>
    <row r="51556" ht="15.75" customHeight="1"/>
    <row r="51557" ht="15.75" customHeight="1"/>
    <row r="51558" ht="15.75" customHeight="1"/>
    <row r="51559" ht="15.75" customHeight="1"/>
    <row r="51560" ht="15.75" customHeight="1"/>
    <row r="51561" ht="15.75" customHeight="1"/>
    <row r="51562" ht="15.75" customHeight="1"/>
    <row r="51563" ht="15.75" customHeight="1"/>
    <row r="51564" ht="15.75" customHeight="1"/>
    <row r="51565" ht="15.75" customHeight="1"/>
    <row r="51566" ht="15.75" customHeight="1"/>
    <row r="51567" ht="15.75" customHeight="1"/>
    <row r="51568" ht="15.75" customHeight="1"/>
    <row r="51569" ht="15.75" customHeight="1"/>
    <row r="51570" ht="15.75" customHeight="1"/>
    <row r="51571" ht="15.75" customHeight="1"/>
    <row r="51572" ht="15.75" customHeight="1"/>
    <row r="51573" ht="15.75" customHeight="1"/>
    <row r="51574" ht="15.75" customHeight="1"/>
    <row r="51575" ht="15.75" customHeight="1"/>
    <row r="51576" ht="15.75" customHeight="1"/>
    <row r="51577" ht="15.75" customHeight="1"/>
    <row r="51578" ht="15.75" customHeight="1"/>
    <row r="51579" ht="15.75" customHeight="1"/>
    <row r="51580" ht="15.75" customHeight="1"/>
    <row r="51581" ht="15.75" customHeight="1"/>
    <row r="51582" ht="15.75" customHeight="1"/>
    <row r="51583" ht="15.75" customHeight="1"/>
    <row r="51584" ht="15.75" customHeight="1"/>
    <row r="51585" ht="15.75" customHeight="1"/>
    <row r="51586" ht="15.75" customHeight="1"/>
    <row r="51587" ht="15.75" customHeight="1"/>
    <row r="51588" ht="15.75" customHeight="1"/>
    <row r="51589" ht="15.75" customHeight="1"/>
    <row r="51590" ht="15.75" customHeight="1"/>
    <row r="51591" ht="15.75" customHeight="1"/>
    <row r="51592" ht="15.75" customHeight="1"/>
    <row r="51593" ht="15.75" customHeight="1"/>
    <row r="51594" ht="15.75" customHeight="1"/>
    <row r="51595" ht="15.75" customHeight="1"/>
    <row r="51596" ht="15.75" customHeight="1"/>
    <row r="51597" ht="15.75" customHeight="1"/>
    <row r="51598" ht="15.75" customHeight="1"/>
    <row r="51599" ht="15.75" customHeight="1"/>
    <row r="51600" ht="15.75" customHeight="1"/>
    <row r="51601" ht="15.75" customHeight="1"/>
    <row r="51602" ht="15.75" customHeight="1"/>
    <row r="51603" ht="15.75" customHeight="1"/>
    <row r="51604" ht="15.75" customHeight="1"/>
    <row r="51605" ht="15.75" customHeight="1"/>
    <row r="51606" ht="15.75" customHeight="1"/>
    <row r="51607" ht="15.75" customHeight="1"/>
    <row r="51608" ht="15.75" customHeight="1"/>
    <row r="51609" ht="15.75" customHeight="1"/>
    <row r="51610" ht="15.75" customHeight="1"/>
    <row r="51611" ht="15.75" customHeight="1"/>
    <row r="51612" ht="15.75" customHeight="1"/>
    <row r="51613" ht="15.75" customHeight="1"/>
    <row r="51614" ht="15.75" customHeight="1"/>
    <row r="51615" ht="15.75" customHeight="1"/>
    <row r="51616" ht="15.75" customHeight="1"/>
    <row r="51617" ht="15.75" customHeight="1"/>
    <row r="51618" ht="15.75" customHeight="1"/>
    <row r="51619" ht="15.75" customHeight="1"/>
    <row r="51620" ht="15.75" customHeight="1"/>
    <row r="51621" ht="15.75" customHeight="1"/>
    <row r="51622" ht="15.75" customHeight="1"/>
    <row r="51623" ht="15.75" customHeight="1"/>
    <row r="51624" ht="15.75" customHeight="1"/>
    <row r="51625" ht="15.75" customHeight="1"/>
    <row r="51626" ht="15.75" customHeight="1"/>
    <row r="51627" ht="15.75" customHeight="1"/>
    <row r="51628" ht="15.75" customHeight="1"/>
    <row r="51629" ht="15.75" customHeight="1"/>
    <row r="51630" ht="15.75" customHeight="1"/>
    <row r="51631" ht="15.75" customHeight="1"/>
    <row r="51632" ht="15.75" customHeight="1"/>
    <row r="51633" ht="15.75" customHeight="1"/>
    <row r="51634" ht="15.75" customHeight="1"/>
    <row r="51635" ht="15.75" customHeight="1"/>
    <row r="51636" ht="15.75" customHeight="1"/>
    <row r="51637" ht="15.75" customHeight="1"/>
    <row r="51638" ht="15.75" customHeight="1"/>
    <row r="51639" ht="15.75" customHeight="1"/>
    <row r="51640" ht="15.75" customHeight="1"/>
    <row r="51641" ht="15.75" customHeight="1"/>
    <row r="51642" ht="15.75" customHeight="1"/>
    <row r="51643" ht="15.75" customHeight="1"/>
    <row r="51644" ht="15.75" customHeight="1"/>
    <row r="51645" ht="15.75" customHeight="1"/>
    <row r="51646" ht="15.75" customHeight="1"/>
    <row r="51647" ht="15.75" customHeight="1"/>
    <row r="51648" ht="15.75" customHeight="1"/>
    <row r="51649" ht="15.75" customHeight="1"/>
    <row r="51650" ht="15.75" customHeight="1"/>
    <row r="51651" ht="15.75" customHeight="1"/>
    <row r="51652" ht="15.75" customHeight="1"/>
    <row r="51653" ht="15.75" customHeight="1"/>
    <row r="51654" ht="15.75" customHeight="1"/>
    <row r="51655" ht="15.75" customHeight="1"/>
    <row r="51656" ht="15.75" customHeight="1"/>
    <row r="51657" ht="15.75" customHeight="1"/>
    <row r="51658" ht="15.75" customHeight="1"/>
    <row r="51659" ht="15.75" customHeight="1"/>
    <row r="51660" ht="15.75" customHeight="1"/>
    <row r="51661" ht="15.75" customHeight="1"/>
    <row r="51662" ht="15.75" customHeight="1"/>
    <row r="51663" ht="15.75" customHeight="1"/>
    <row r="51664" ht="15.75" customHeight="1"/>
    <row r="51665" ht="15.75" customHeight="1"/>
    <row r="51666" ht="15.75" customHeight="1"/>
    <row r="51667" ht="15.75" customHeight="1"/>
    <row r="51668" ht="15.75" customHeight="1"/>
    <row r="51669" ht="15.75" customHeight="1"/>
    <row r="51670" ht="15.75" customHeight="1"/>
    <row r="51671" ht="15.75" customHeight="1"/>
    <row r="51672" ht="15.75" customHeight="1"/>
    <row r="51673" ht="15.75" customHeight="1"/>
    <row r="51674" ht="15.75" customHeight="1"/>
    <row r="51675" ht="15.75" customHeight="1"/>
    <row r="51676" ht="15.75" customHeight="1"/>
    <row r="51677" ht="15.75" customHeight="1"/>
    <row r="51678" ht="15.75" customHeight="1"/>
    <row r="51679" ht="15.75" customHeight="1"/>
    <row r="51680" ht="15.75" customHeight="1"/>
    <row r="51681" ht="15.75" customHeight="1"/>
    <row r="51682" ht="15.75" customHeight="1"/>
    <row r="51683" ht="15.75" customHeight="1"/>
    <row r="51684" ht="15.75" customHeight="1"/>
    <row r="51685" ht="15.75" customHeight="1"/>
    <row r="51686" ht="15.75" customHeight="1"/>
    <row r="51687" ht="15.75" customHeight="1"/>
    <row r="51688" ht="15.75" customHeight="1"/>
    <row r="51689" ht="15.75" customHeight="1"/>
    <row r="51690" ht="15.75" customHeight="1"/>
    <row r="51691" ht="15.75" customHeight="1"/>
    <row r="51692" ht="15.75" customHeight="1"/>
    <row r="51693" ht="15.75" customHeight="1"/>
    <row r="51694" ht="15.75" customHeight="1"/>
    <row r="51695" ht="15.75" customHeight="1"/>
    <row r="51696" ht="15.75" customHeight="1"/>
    <row r="51697" ht="15.75" customHeight="1"/>
    <row r="51698" ht="15.75" customHeight="1"/>
    <row r="51699" ht="15.75" customHeight="1"/>
    <row r="51700" ht="15.75" customHeight="1"/>
    <row r="51701" ht="15.75" customHeight="1"/>
    <row r="51702" ht="15.75" customHeight="1"/>
    <row r="51703" ht="15.75" customHeight="1"/>
    <row r="51704" ht="15.75" customHeight="1"/>
    <row r="51705" ht="15.75" customHeight="1"/>
    <row r="51706" ht="15.75" customHeight="1"/>
    <row r="51707" ht="15.75" customHeight="1"/>
    <row r="51708" ht="15.75" customHeight="1"/>
    <row r="51709" ht="15.75" customHeight="1"/>
    <row r="51710" ht="15.75" customHeight="1"/>
    <row r="51711" ht="15.75" customHeight="1"/>
    <row r="51712" ht="15.75" customHeight="1"/>
    <row r="51713" ht="15.75" customHeight="1"/>
    <row r="51714" ht="15.75" customHeight="1"/>
    <row r="51715" ht="15.75" customHeight="1"/>
    <row r="51716" ht="15.75" customHeight="1"/>
    <row r="51717" ht="15.75" customHeight="1"/>
    <row r="51718" ht="15.75" customHeight="1"/>
    <row r="51719" ht="15.75" customHeight="1"/>
    <row r="51720" ht="15.75" customHeight="1"/>
    <row r="51721" ht="15.75" customHeight="1"/>
    <row r="51722" ht="15.75" customHeight="1"/>
    <row r="51723" ht="15.75" customHeight="1"/>
    <row r="51724" ht="15.75" customHeight="1"/>
    <row r="51725" ht="15.75" customHeight="1"/>
    <row r="51726" ht="15.75" customHeight="1"/>
    <row r="51727" ht="15.75" customHeight="1"/>
    <row r="51728" ht="15.75" customHeight="1"/>
    <row r="51729" ht="15.75" customHeight="1"/>
    <row r="51730" ht="15.75" customHeight="1"/>
    <row r="51731" ht="15.75" customHeight="1"/>
    <row r="51732" ht="15.75" customHeight="1"/>
    <row r="51733" ht="15.75" customHeight="1"/>
    <row r="51734" ht="15.75" customHeight="1"/>
    <row r="51735" ht="15.75" customHeight="1"/>
    <row r="51736" ht="15.75" customHeight="1"/>
    <row r="51737" ht="15.75" customHeight="1"/>
    <row r="51738" ht="15.75" customHeight="1"/>
    <row r="51739" ht="15.75" customHeight="1"/>
    <row r="51740" ht="15.75" customHeight="1"/>
    <row r="51741" ht="15.75" customHeight="1"/>
    <row r="51742" ht="15.75" customHeight="1"/>
    <row r="51743" ht="15.75" customHeight="1"/>
    <row r="51744" ht="15.75" customHeight="1"/>
    <row r="51745" ht="15.75" customHeight="1"/>
    <row r="51746" ht="15.75" customHeight="1"/>
    <row r="51747" ht="15.75" customHeight="1"/>
    <row r="51748" ht="15.75" customHeight="1"/>
    <row r="51749" ht="15.75" customHeight="1"/>
    <row r="51750" ht="15.75" customHeight="1"/>
    <row r="51751" ht="15.75" customHeight="1"/>
    <row r="51752" ht="15.75" customHeight="1"/>
    <row r="51753" ht="15.75" customHeight="1"/>
    <row r="51754" ht="15.75" customHeight="1"/>
    <row r="51755" ht="15.75" customHeight="1"/>
    <row r="51756" ht="15.75" customHeight="1"/>
    <row r="51757" ht="15.75" customHeight="1"/>
    <row r="51758" ht="15.75" customHeight="1"/>
    <row r="51759" ht="15.75" customHeight="1"/>
    <row r="51760" ht="15.75" customHeight="1"/>
    <row r="51761" ht="15.75" customHeight="1"/>
    <row r="51762" ht="15.75" customHeight="1"/>
    <row r="51763" ht="15.75" customHeight="1"/>
    <row r="51764" ht="15.75" customHeight="1"/>
    <row r="51765" ht="15.75" customHeight="1"/>
    <row r="51766" ht="15.75" customHeight="1"/>
    <row r="51767" ht="15.75" customHeight="1"/>
    <row r="51768" ht="15.75" customHeight="1"/>
    <row r="51769" ht="15.75" customHeight="1"/>
    <row r="51770" ht="15.75" customHeight="1"/>
    <row r="51771" ht="15.75" customHeight="1"/>
    <row r="51772" ht="15.75" customHeight="1"/>
    <row r="51773" ht="15.75" customHeight="1"/>
    <row r="51774" ht="15.75" customHeight="1"/>
    <row r="51775" ht="15.75" customHeight="1"/>
    <row r="51776" ht="15.75" customHeight="1"/>
    <row r="51777" ht="15.75" customHeight="1"/>
    <row r="51778" ht="15.75" customHeight="1"/>
    <row r="51779" ht="15.75" customHeight="1"/>
    <row r="51780" ht="15.75" customHeight="1"/>
    <row r="51781" ht="15.75" customHeight="1"/>
    <row r="51782" ht="15.75" customHeight="1"/>
    <row r="51783" ht="15.75" customHeight="1"/>
    <row r="51784" ht="15.75" customHeight="1"/>
    <row r="51785" ht="15.75" customHeight="1"/>
    <row r="51786" ht="15.75" customHeight="1"/>
    <row r="51787" ht="15.75" customHeight="1"/>
    <row r="51788" ht="15.75" customHeight="1"/>
    <row r="51789" ht="15.75" customHeight="1"/>
    <row r="51790" ht="15.75" customHeight="1"/>
    <row r="51791" ht="15.75" customHeight="1"/>
    <row r="51792" ht="15.75" customHeight="1"/>
    <row r="51793" ht="15.75" customHeight="1"/>
    <row r="51794" ht="15.75" customHeight="1"/>
    <row r="51795" ht="15.75" customHeight="1"/>
    <row r="51796" ht="15.75" customHeight="1"/>
    <row r="51797" ht="15.75" customHeight="1"/>
    <row r="51798" ht="15.75" customHeight="1"/>
    <row r="51799" ht="15.75" customHeight="1"/>
    <row r="51800" ht="15.75" customHeight="1"/>
    <row r="51801" ht="15.75" customHeight="1"/>
    <row r="51802" ht="15.75" customHeight="1"/>
    <row r="51803" ht="15.75" customHeight="1"/>
    <row r="51804" ht="15.75" customHeight="1"/>
    <row r="51805" ht="15.75" customHeight="1"/>
    <row r="51806" ht="15.75" customHeight="1"/>
    <row r="51807" ht="15.75" customHeight="1"/>
    <row r="51808" ht="15.75" customHeight="1"/>
    <row r="51809" ht="15.75" customHeight="1"/>
    <row r="51810" ht="15.75" customHeight="1"/>
    <row r="51811" ht="15.75" customHeight="1"/>
    <row r="51812" ht="15.75" customHeight="1"/>
    <row r="51813" ht="15.75" customHeight="1"/>
    <row r="51814" ht="15.75" customHeight="1"/>
    <row r="51815" ht="15.75" customHeight="1"/>
    <row r="51816" ht="15.75" customHeight="1"/>
    <row r="51817" ht="15.75" customHeight="1"/>
    <row r="51818" ht="15.75" customHeight="1"/>
    <row r="51819" ht="15.75" customHeight="1"/>
    <row r="51820" ht="15.75" customHeight="1"/>
    <row r="51821" ht="15.75" customHeight="1"/>
    <row r="51822" ht="15.75" customHeight="1"/>
    <row r="51823" ht="15.75" customHeight="1"/>
    <row r="51824" ht="15.75" customHeight="1"/>
    <row r="51825" ht="15.75" customHeight="1"/>
    <row r="51826" ht="15.75" customHeight="1"/>
    <row r="51827" ht="15.75" customHeight="1"/>
    <row r="51828" ht="15.75" customHeight="1"/>
    <row r="51829" ht="15.75" customHeight="1"/>
    <row r="51830" ht="15.75" customHeight="1"/>
    <row r="51831" ht="15.75" customHeight="1"/>
    <row r="51832" ht="15.75" customHeight="1"/>
    <row r="51833" ht="15.75" customHeight="1"/>
    <row r="51834" ht="15.75" customHeight="1"/>
    <row r="51835" ht="15.75" customHeight="1"/>
    <row r="51836" ht="15.75" customHeight="1"/>
    <row r="51837" ht="15.75" customHeight="1"/>
    <row r="51838" ht="15.75" customHeight="1"/>
    <row r="51839" ht="15.75" customHeight="1"/>
    <row r="51840" ht="15.75" customHeight="1"/>
    <row r="51841" ht="15.75" customHeight="1"/>
    <row r="51842" ht="15.75" customHeight="1"/>
    <row r="51843" ht="15.75" customHeight="1"/>
    <row r="51844" ht="15.75" customHeight="1"/>
    <row r="51845" ht="15.75" customHeight="1"/>
    <row r="51846" ht="15.75" customHeight="1"/>
    <row r="51847" ht="15.75" customHeight="1"/>
    <row r="51848" ht="15.75" customHeight="1"/>
    <row r="51849" ht="15.75" customHeight="1"/>
    <row r="51850" ht="15.75" customHeight="1"/>
    <row r="51851" ht="15.75" customHeight="1"/>
    <row r="51852" ht="15.75" customHeight="1"/>
    <row r="51853" ht="15.75" customHeight="1"/>
    <row r="51854" ht="15.75" customHeight="1"/>
    <row r="51855" ht="15.75" customHeight="1"/>
    <row r="51856" ht="15.75" customHeight="1"/>
    <row r="51857" ht="15.75" customHeight="1"/>
    <row r="51858" ht="15.75" customHeight="1"/>
    <row r="51859" ht="15.75" customHeight="1"/>
    <row r="51860" ht="15.75" customHeight="1"/>
    <row r="51861" ht="15.75" customHeight="1"/>
    <row r="51862" ht="15.75" customHeight="1"/>
    <row r="51863" ht="15.75" customHeight="1"/>
    <row r="51864" ht="15.75" customHeight="1"/>
    <row r="51865" ht="15.75" customHeight="1"/>
    <row r="51866" ht="15.75" customHeight="1"/>
    <row r="51867" ht="15.75" customHeight="1"/>
    <row r="51868" ht="15.75" customHeight="1"/>
    <row r="51869" ht="15.75" customHeight="1"/>
    <row r="51870" ht="15.75" customHeight="1"/>
    <row r="51871" ht="15.75" customHeight="1"/>
    <row r="51872" ht="15.75" customHeight="1"/>
    <row r="51873" ht="15.75" customHeight="1"/>
    <row r="51874" ht="15.75" customHeight="1"/>
    <row r="51875" ht="15.75" customHeight="1"/>
    <row r="51876" ht="15.75" customHeight="1"/>
    <row r="51877" ht="15.75" customHeight="1"/>
    <row r="51878" ht="15.75" customHeight="1"/>
    <row r="51879" ht="15.75" customHeight="1"/>
    <row r="51880" ht="15.75" customHeight="1"/>
    <row r="51881" ht="15.75" customHeight="1"/>
    <row r="51882" ht="15.75" customHeight="1"/>
    <row r="51883" ht="15.75" customHeight="1"/>
    <row r="51884" ht="15.75" customHeight="1"/>
    <row r="51885" ht="15.75" customHeight="1"/>
    <row r="51886" ht="15.75" customHeight="1"/>
    <row r="51887" ht="15.75" customHeight="1"/>
    <row r="51888" ht="15.75" customHeight="1"/>
    <row r="51889" ht="15.75" customHeight="1"/>
    <row r="51890" ht="15.75" customHeight="1"/>
    <row r="51891" ht="15.75" customHeight="1"/>
    <row r="51892" ht="15.75" customHeight="1"/>
    <row r="51893" ht="15.75" customHeight="1"/>
    <row r="51894" ht="15.75" customHeight="1"/>
    <row r="51895" ht="15.75" customHeight="1"/>
    <row r="51896" ht="15.75" customHeight="1"/>
    <row r="51897" ht="15.75" customHeight="1"/>
    <row r="51898" ht="15.75" customHeight="1"/>
    <row r="51899" ht="15.75" customHeight="1"/>
    <row r="51900" ht="15.75" customHeight="1"/>
    <row r="51901" ht="15.75" customHeight="1"/>
    <row r="51902" ht="15.75" customHeight="1"/>
    <row r="51903" ht="15.75" customHeight="1"/>
    <row r="51904" ht="15.75" customHeight="1"/>
    <row r="51905" ht="15.75" customHeight="1"/>
    <row r="51906" ht="15.75" customHeight="1"/>
    <row r="51907" ht="15.75" customHeight="1"/>
    <row r="51908" ht="15.75" customHeight="1"/>
    <row r="51909" ht="15.75" customHeight="1"/>
    <row r="51910" ht="15.75" customHeight="1"/>
    <row r="51911" ht="15.75" customHeight="1"/>
    <row r="51912" ht="15.75" customHeight="1"/>
    <row r="51913" ht="15.75" customHeight="1"/>
    <row r="51914" ht="15.75" customHeight="1"/>
    <row r="51915" ht="15.75" customHeight="1"/>
    <row r="51916" ht="15.75" customHeight="1"/>
    <row r="51917" ht="15.75" customHeight="1"/>
    <row r="51918" ht="15.75" customHeight="1"/>
    <row r="51919" ht="15.75" customHeight="1"/>
    <row r="51920" ht="15.75" customHeight="1"/>
    <row r="51921" ht="15.75" customHeight="1"/>
    <row r="51922" ht="15.75" customHeight="1"/>
    <row r="51923" ht="15.75" customHeight="1"/>
    <row r="51924" ht="15.75" customHeight="1"/>
    <row r="51925" ht="15.75" customHeight="1"/>
    <row r="51926" ht="15.75" customHeight="1"/>
    <row r="51927" ht="15.75" customHeight="1"/>
    <row r="51928" ht="15.75" customHeight="1"/>
    <row r="51929" ht="15.75" customHeight="1"/>
    <row r="51930" ht="15.75" customHeight="1"/>
    <row r="51931" ht="15.75" customHeight="1"/>
    <row r="51932" ht="15.75" customHeight="1"/>
    <row r="51933" ht="15.75" customHeight="1"/>
    <row r="51934" ht="15.75" customHeight="1"/>
    <row r="51935" ht="15.75" customHeight="1"/>
    <row r="51936" ht="15.75" customHeight="1"/>
    <row r="51937" ht="15.75" customHeight="1"/>
    <row r="51938" ht="15.75" customHeight="1"/>
    <row r="51939" ht="15.75" customHeight="1"/>
    <row r="51940" ht="15.75" customHeight="1"/>
    <row r="51941" ht="15.75" customHeight="1"/>
    <row r="51942" ht="15.75" customHeight="1"/>
    <row r="51943" ht="15.75" customHeight="1"/>
    <row r="51944" ht="15.75" customHeight="1"/>
    <row r="51945" ht="15.75" customHeight="1"/>
    <row r="51946" ht="15.75" customHeight="1"/>
    <row r="51947" ht="15.75" customHeight="1"/>
    <row r="51948" ht="15.75" customHeight="1"/>
    <row r="51949" ht="15.75" customHeight="1"/>
    <row r="51950" ht="15.75" customHeight="1"/>
    <row r="51951" ht="15.75" customHeight="1"/>
    <row r="51952" ht="15.75" customHeight="1"/>
    <row r="51953" ht="15.75" customHeight="1"/>
    <row r="51954" ht="15.75" customHeight="1"/>
    <row r="51955" ht="15.75" customHeight="1"/>
    <row r="51956" ht="15.75" customHeight="1"/>
    <row r="51957" ht="15.75" customHeight="1"/>
    <row r="51958" ht="15.75" customHeight="1"/>
    <row r="51959" ht="15.75" customHeight="1"/>
    <row r="51960" ht="15.75" customHeight="1"/>
    <row r="51961" ht="15.75" customHeight="1"/>
    <row r="51962" ht="15.75" customHeight="1"/>
    <row r="51963" ht="15.75" customHeight="1"/>
    <row r="51964" ht="15.75" customHeight="1"/>
    <row r="51965" ht="15.75" customHeight="1"/>
    <row r="51966" ht="15.75" customHeight="1"/>
    <row r="51967" ht="15.75" customHeight="1"/>
    <row r="51968" ht="15.75" customHeight="1"/>
    <row r="51969" ht="15.75" customHeight="1"/>
    <row r="51970" ht="15.75" customHeight="1"/>
    <row r="51971" ht="15.75" customHeight="1"/>
    <row r="51972" ht="15.75" customHeight="1"/>
    <row r="51973" ht="15.75" customHeight="1"/>
    <row r="51974" ht="15.75" customHeight="1"/>
    <row r="51975" ht="15.75" customHeight="1"/>
    <row r="51976" ht="15.75" customHeight="1"/>
    <row r="51977" ht="15.75" customHeight="1"/>
    <row r="51978" ht="15.75" customHeight="1"/>
    <row r="51979" ht="15.75" customHeight="1"/>
    <row r="51980" ht="15.75" customHeight="1"/>
    <row r="51981" ht="15.75" customHeight="1"/>
    <row r="51982" ht="15.75" customHeight="1"/>
    <row r="51983" ht="15.75" customHeight="1"/>
    <row r="51984" ht="15.75" customHeight="1"/>
    <row r="51985" ht="15.75" customHeight="1"/>
    <row r="51986" ht="15.75" customHeight="1"/>
    <row r="51987" ht="15.75" customHeight="1"/>
    <row r="51988" ht="15.75" customHeight="1"/>
    <row r="51989" ht="15.75" customHeight="1"/>
    <row r="51990" ht="15.75" customHeight="1"/>
    <row r="51991" ht="15.75" customHeight="1"/>
    <row r="51992" ht="15.75" customHeight="1"/>
    <row r="51993" ht="15.75" customHeight="1"/>
    <row r="51994" ht="15.75" customHeight="1"/>
    <row r="51995" ht="15.75" customHeight="1"/>
    <row r="51996" ht="15.75" customHeight="1"/>
    <row r="51997" ht="15.75" customHeight="1"/>
    <row r="51998" ht="15.75" customHeight="1"/>
    <row r="51999" ht="15.75" customHeight="1"/>
    <row r="52000" ht="15.75" customHeight="1"/>
    <row r="52001" ht="15.75" customHeight="1"/>
    <row r="52002" ht="15.75" customHeight="1"/>
    <row r="52003" ht="15.75" customHeight="1"/>
    <row r="52004" ht="15.75" customHeight="1"/>
    <row r="52005" ht="15.75" customHeight="1"/>
    <row r="52006" ht="15.75" customHeight="1"/>
    <row r="52007" ht="15.75" customHeight="1"/>
    <row r="52008" ht="15.75" customHeight="1"/>
    <row r="52009" ht="15.75" customHeight="1"/>
    <row r="52010" ht="15.75" customHeight="1"/>
    <row r="52011" ht="15.75" customHeight="1"/>
    <row r="52012" ht="15.75" customHeight="1"/>
    <row r="52013" ht="15.75" customHeight="1"/>
    <row r="52014" ht="15.75" customHeight="1"/>
    <row r="52015" ht="15.75" customHeight="1"/>
    <row r="52016" ht="15.75" customHeight="1"/>
    <row r="52017" ht="15.75" customHeight="1"/>
    <row r="52018" ht="15.75" customHeight="1"/>
    <row r="52019" ht="15.75" customHeight="1"/>
    <row r="52020" ht="15.75" customHeight="1"/>
    <row r="52021" ht="15.75" customHeight="1"/>
    <row r="52022" ht="15.75" customHeight="1"/>
    <row r="52023" ht="15.75" customHeight="1"/>
    <row r="52024" ht="15.75" customHeight="1"/>
    <row r="52025" ht="15.75" customHeight="1"/>
    <row r="52026" ht="15.75" customHeight="1"/>
    <row r="52027" ht="15.75" customHeight="1"/>
    <row r="52028" ht="15.75" customHeight="1"/>
    <row r="52029" ht="15.75" customHeight="1"/>
    <row r="52030" ht="15.75" customHeight="1"/>
    <row r="52031" ht="15.75" customHeight="1"/>
    <row r="52032" ht="15.75" customHeight="1"/>
    <row r="52033" ht="15.75" customHeight="1"/>
    <row r="52034" ht="15.75" customHeight="1"/>
    <row r="52035" ht="15.75" customHeight="1"/>
    <row r="52036" ht="15.75" customHeight="1"/>
    <row r="52037" ht="15.75" customHeight="1"/>
    <row r="52038" ht="15.75" customHeight="1"/>
    <row r="52039" ht="15.75" customHeight="1"/>
    <row r="52040" ht="15.75" customHeight="1"/>
    <row r="52041" ht="15.75" customHeight="1"/>
    <row r="52042" ht="15.75" customHeight="1"/>
    <row r="52043" ht="15.75" customHeight="1"/>
    <row r="52044" ht="15.75" customHeight="1"/>
    <row r="52045" ht="15.75" customHeight="1"/>
    <row r="52046" ht="15.75" customHeight="1"/>
    <row r="52047" ht="15.75" customHeight="1"/>
    <row r="52048" ht="15.75" customHeight="1"/>
    <row r="52049" ht="15.75" customHeight="1"/>
    <row r="52050" ht="15.75" customHeight="1"/>
    <row r="52051" ht="15.75" customHeight="1"/>
    <row r="52052" ht="15.75" customHeight="1"/>
    <row r="52053" ht="15.75" customHeight="1"/>
    <row r="52054" ht="15.75" customHeight="1"/>
    <row r="52055" ht="15.75" customHeight="1"/>
    <row r="52056" ht="15.75" customHeight="1"/>
    <row r="52057" ht="15.75" customHeight="1"/>
    <row r="52058" ht="15.75" customHeight="1"/>
    <row r="52059" ht="15.75" customHeight="1"/>
    <row r="52060" ht="15.75" customHeight="1"/>
    <row r="52061" ht="15.75" customHeight="1"/>
    <row r="52062" ht="15.75" customHeight="1"/>
    <row r="52063" ht="15.75" customHeight="1"/>
    <row r="52064" ht="15.75" customHeight="1"/>
    <row r="52065" ht="15.75" customHeight="1"/>
    <row r="52066" ht="15.75" customHeight="1"/>
    <row r="52067" ht="15.75" customHeight="1"/>
    <row r="52068" ht="15.75" customHeight="1"/>
    <row r="52069" ht="15.75" customHeight="1"/>
    <row r="52070" ht="15.75" customHeight="1"/>
    <row r="52071" ht="15.75" customHeight="1"/>
    <row r="52072" ht="15.75" customHeight="1"/>
    <row r="52073" ht="15.75" customHeight="1"/>
    <row r="52074" ht="15.75" customHeight="1"/>
    <row r="52075" ht="15.75" customHeight="1"/>
    <row r="52076" ht="15.75" customHeight="1"/>
    <row r="52077" ht="15.75" customHeight="1"/>
    <row r="52078" ht="15.75" customHeight="1"/>
    <row r="52079" ht="15.75" customHeight="1"/>
    <row r="52080" ht="15.75" customHeight="1"/>
    <row r="52081" ht="15.75" customHeight="1"/>
    <row r="52082" ht="15.75" customHeight="1"/>
    <row r="52083" ht="15.75" customHeight="1"/>
    <row r="52084" ht="15.75" customHeight="1"/>
    <row r="52085" ht="15.75" customHeight="1"/>
    <row r="52086" ht="15.75" customHeight="1"/>
    <row r="52087" ht="15.75" customHeight="1"/>
    <row r="52088" ht="15.75" customHeight="1"/>
    <row r="52089" ht="15.75" customHeight="1"/>
    <row r="52090" ht="15.75" customHeight="1"/>
    <row r="52091" ht="15.75" customHeight="1"/>
    <row r="52092" ht="15.75" customHeight="1"/>
    <row r="52093" ht="15.75" customHeight="1"/>
    <row r="52094" ht="15.75" customHeight="1"/>
    <row r="52095" ht="15.75" customHeight="1"/>
    <row r="52096" ht="15.75" customHeight="1"/>
    <row r="52097" ht="15.75" customHeight="1"/>
    <row r="52098" ht="15.75" customHeight="1"/>
    <row r="52099" ht="15.75" customHeight="1"/>
    <row r="52100" ht="15.75" customHeight="1"/>
    <row r="52101" ht="15.75" customHeight="1"/>
    <row r="52102" ht="15.75" customHeight="1"/>
    <row r="52103" ht="15.75" customHeight="1"/>
    <row r="52104" ht="15.75" customHeight="1"/>
    <row r="52105" ht="15.75" customHeight="1"/>
    <row r="52106" ht="15.75" customHeight="1"/>
    <row r="52107" ht="15.75" customHeight="1"/>
    <row r="52108" ht="15.75" customHeight="1"/>
    <row r="52109" ht="15.75" customHeight="1"/>
    <row r="52110" ht="15.75" customHeight="1"/>
    <row r="52111" ht="15.75" customHeight="1"/>
    <row r="52112" ht="15.75" customHeight="1"/>
    <row r="52113" ht="15.75" customHeight="1"/>
    <row r="52114" ht="15.75" customHeight="1"/>
    <row r="52115" ht="15.75" customHeight="1"/>
    <row r="52116" ht="15.75" customHeight="1"/>
    <row r="52117" ht="15.75" customHeight="1"/>
    <row r="52118" ht="15.75" customHeight="1"/>
    <row r="52119" ht="15.75" customHeight="1"/>
    <row r="52120" ht="15.75" customHeight="1"/>
    <row r="52121" ht="15.75" customHeight="1"/>
    <row r="52122" ht="15.75" customHeight="1"/>
    <row r="52123" ht="15.75" customHeight="1"/>
    <row r="52124" ht="15.75" customHeight="1"/>
    <row r="52125" ht="15.75" customHeight="1"/>
    <row r="52126" ht="15.75" customHeight="1"/>
    <row r="52127" ht="15.75" customHeight="1"/>
    <row r="52128" ht="15.75" customHeight="1"/>
    <row r="52129" ht="15.75" customHeight="1"/>
    <row r="52130" ht="15.75" customHeight="1"/>
    <row r="52131" ht="15.75" customHeight="1"/>
    <row r="52132" ht="15.75" customHeight="1"/>
    <row r="52133" ht="15.75" customHeight="1"/>
    <row r="52134" ht="15.75" customHeight="1"/>
    <row r="52135" ht="15.75" customHeight="1"/>
    <row r="52136" ht="15.75" customHeight="1"/>
    <row r="52137" ht="15.75" customHeight="1"/>
    <row r="52138" ht="15.75" customHeight="1"/>
    <row r="52139" ht="15.75" customHeight="1"/>
    <row r="52140" ht="15.75" customHeight="1"/>
    <row r="52141" ht="15.75" customHeight="1"/>
    <row r="52142" ht="15.75" customHeight="1"/>
    <row r="52143" ht="15.75" customHeight="1"/>
    <row r="52144" ht="15.75" customHeight="1"/>
    <row r="52145" ht="15.75" customHeight="1"/>
    <row r="52146" ht="15.75" customHeight="1"/>
    <row r="52147" ht="15.75" customHeight="1"/>
    <row r="52148" ht="15.75" customHeight="1"/>
    <row r="52149" ht="15.75" customHeight="1"/>
    <row r="52150" ht="15.75" customHeight="1"/>
    <row r="52151" ht="15.75" customHeight="1"/>
    <row r="52152" ht="15.75" customHeight="1"/>
    <row r="52153" ht="15.75" customHeight="1"/>
    <row r="52154" ht="15.75" customHeight="1"/>
    <row r="52155" ht="15.75" customHeight="1"/>
    <row r="52156" ht="15.75" customHeight="1"/>
    <row r="52157" ht="15.75" customHeight="1"/>
    <row r="52158" ht="15.75" customHeight="1"/>
    <row r="52159" ht="15.75" customHeight="1"/>
    <row r="52160" ht="15.75" customHeight="1"/>
    <row r="52161" ht="15.75" customHeight="1"/>
    <row r="52162" ht="15.75" customHeight="1"/>
    <row r="52163" ht="15.75" customHeight="1"/>
    <row r="52164" ht="15.75" customHeight="1"/>
    <row r="52165" ht="15.75" customHeight="1"/>
    <row r="52166" ht="15.75" customHeight="1"/>
    <row r="52167" ht="15.75" customHeight="1"/>
    <row r="52168" ht="15.75" customHeight="1"/>
    <row r="52169" ht="15.75" customHeight="1"/>
    <row r="52170" ht="15.75" customHeight="1"/>
    <row r="52171" ht="15.75" customHeight="1"/>
    <row r="52172" ht="15.75" customHeight="1"/>
    <row r="52173" ht="15.75" customHeight="1"/>
    <row r="52174" ht="15.75" customHeight="1"/>
    <row r="52175" ht="15.75" customHeight="1"/>
    <row r="52176" ht="15.75" customHeight="1"/>
    <row r="52177" ht="15.75" customHeight="1"/>
    <row r="52178" ht="15.75" customHeight="1"/>
    <row r="52179" ht="15.75" customHeight="1"/>
    <row r="52180" ht="15.75" customHeight="1"/>
    <row r="52181" ht="15.75" customHeight="1"/>
    <row r="52182" ht="15.75" customHeight="1"/>
    <row r="52183" ht="15.75" customHeight="1"/>
    <row r="52184" ht="15.75" customHeight="1"/>
    <row r="52185" ht="15.75" customHeight="1"/>
    <row r="52186" ht="15.75" customHeight="1"/>
    <row r="52187" ht="15.75" customHeight="1"/>
    <row r="52188" ht="15.75" customHeight="1"/>
    <row r="52189" ht="15.75" customHeight="1"/>
    <row r="52190" ht="15.75" customHeight="1"/>
    <row r="52191" ht="15.75" customHeight="1"/>
    <row r="52192" ht="15.75" customHeight="1"/>
    <row r="52193" ht="15.75" customHeight="1"/>
    <row r="52194" ht="15.75" customHeight="1"/>
    <row r="52195" ht="15.75" customHeight="1"/>
    <row r="52196" ht="15.75" customHeight="1"/>
    <row r="52197" ht="15.75" customHeight="1"/>
    <row r="52198" ht="15.75" customHeight="1"/>
    <row r="52199" ht="15.75" customHeight="1"/>
    <row r="52200" ht="15.75" customHeight="1"/>
    <row r="52201" ht="15.75" customHeight="1"/>
    <row r="52202" ht="15.75" customHeight="1"/>
    <row r="52203" ht="15.75" customHeight="1"/>
    <row r="52204" ht="15.75" customHeight="1"/>
    <row r="52205" ht="15.75" customHeight="1"/>
    <row r="52206" ht="15.75" customHeight="1"/>
    <row r="52207" ht="15.75" customHeight="1"/>
    <row r="52208" ht="15.75" customHeight="1"/>
    <row r="52209" ht="15.75" customHeight="1"/>
    <row r="52210" ht="15.75" customHeight="1"/>
    <row r="52211" ht="15.75" customHeight="1"/>
    <row r="52212" ht="15.75" customHeight="1"/>
    <row r="52213" ht="15.75" customHeight="1"/>
    <row r="52214" ht="15.75" customHeight="1"/>
    <row r="52215" ht="15.75" customHeight="1"/>
    <row r="52216" ht="15.75" customHeight="1"/>
    <row r="52217" ht="15.75" customHeight="1"/>
    <row r="52218" ht="15.75" customHeight="1"/>
    <row r="52219" ht="15.75" customHeight="1"/>
    <row r="52220" ht="15.75" customHeight="1"/>
    <row r="52221" ht="15.75" customHeight="1"/>
    <row r="52222" ht="15.75" customHeight="1"/>
    <row r="52223" ht="15.75" customHeight="1"/>
    <row r="52224" ht="15.75" customHeight="1"/>
    <row r="52225" ht="15.75" customHeight="1"/>
    <row r="52226" ht="15.75" customHeight="1"/>
    <row r="52227" ht="15.75" customHeight="1"/>
    <row r="52228" ht="15.75" customHeight="1"/>
    <row r="52229" ht="15.75" customHeight="1"/>
    <row r="52230" ht="15.75" customHeight="1"/>
    <row r="52231" ht="15.75" customHeight="1"/>
    <row r="52232" ht="15.75" customHeight="1"/>
    <row r="52233" ht="15.75" customHeight="1"/>
    <row r="52234" ht="15.75" customHeight="1"/>
    <row r="52235" ht="15.75" customHeight="1"/>
    <row r="52236" ht="15.75" customHeight="1"/>
    <row r="52237" ht="15.75" customHeight="1"/>
    <row r="52238" ht="15.75" customHeight="1"/>
    <row r="52239" ht="15.75" customHeight="1"/>
    <row r="52240" ht="15.75" customHeight="1"/>
    <row r="52241" ht="15.75" customHeight="1"/>
    <row r="52242" ht="15.75" customHeight="1"/>
    <row r="52243" ht="15.75" customHeight="1"/>
    <row r="52244" ht="15.75" customHeight="1"/>
    <row r="52245" ht="15.75" customHeight="1"/>
    <row r="52246" ht="15.75" customHeight="1"/>
    <row r="52247" ht="15.75" customHeight="1"/>
    <row r="52248" ht="15.75" customHeight="1"/>
    <row r="52249" ht="15.75" customHeight="1"/>
    <row r="52250" ht="15.75" customHeight="1"/>
    <row r="52251" ht="15.75" customHeight="1"/>
    <row r="52252" ht="15.75" customHeight="1"/>
    <row r="52253" ht="15.75" customHeight="1"/>
    <row r="52254" ht="15.75" customHeight="1"/>
    <row r="52255" ht="15.75" customHeight="1"/>
    <row r="52256" ht="15.75" customHeight="1"/>
    <row r="52257" ht="15.75" customHeight="1"/>
    <row r="52258" ht="15.75" customHeight="1"/>
    <row r="52259" ht="15.75" customHeight="1"/>
    <row r="52260" ht="15.75" customHeight="1"/>
    <row r="52261" ht="15.75" customHeight="1"/>
    <row r="52262" ht="15.75" customHeight="1"/>
    <row r="52263" ht="15.75" customHeight="1"/>
    <row r="52264" ht="15.75" customHeight="1"/>
    <row r="52265" ht="15.75" customHeight="1"/>
    <row r="52266" ht="15.75" customHeight="1"/>
    <row r="52267" ht="15.75" customHeight="1"/>
    <row r="52268" ht="15.75" customHeight="1"/>
    <row r="52269" ht="15.75" customHeight="1"/>
    <row r="52270" ht="15.75" customHeight="1"/>
    <row r="52271" ht="15.75" customHeight="1"/>
    <row r="52272" ht="15.75" customHeight="1"/>
    <row r="52273" ht="15.75" customHeight="1"/>
    <row r="52274" ht="15.75" customHeight="1"/>
    <row r="52275" ht="15.75" customHeight="1"/>
    <row r="52276" ht="15.75" customHeight="1"/>
    <row r="52277" ht="15.75" customHeight="1"/>
    <row r="52278" ht="15.75" customHeight="1"/>
    <row r="52279" ht="15.75" customHeight="1"/>
    <row r="52280" ht="15.75" customHeight="1"/>
    <row r="52281" ht="15.75" customHeight="1"/>
    <row r="52282" ht="15.75" customHeight="1"/>
    <row r="52283" ht="15.75" customHeight="1"/>
    <row r="52284" ht="15.75" customHeight="1"/>
    <row r="52285" ht="15.75" customHeight="1"/>
    <row r="52286" ht="15.75" customHeight="1"/>
    <row r="52287" ht="15.75" customHeight="1"/>
    <row r="52288" ht="15.75" customHeight="1"/>
    <row r="52289" ht="15.75" customHeight="1"/>
    <row r="52290" ht="15.75" customHeight="1"/>
    <row r="52291" ht="15.75" customHeight="1"/>
    <row r="52292" ht="15.75" customHeight="1"/>
    <row r="52293" ht="15.75" customHeight="1"/>
    <row r="52294" ht="15.75" customHeight="1"/>
    <row r="52295" ht="15.75" customHeight="1"/>
    <row r="52296" ht="15.75" customHeight="1"/>
    <row r="52297" ht="15.75" customHeight="1"/>
    <row r="52298" ht="15.75" customHeight="1"/>
    <row r="52299" ht="15.75" customHeight="1"/>
    <row r="52300" ht="15.75" customHeight="1"/>
    <row r="52301" ht="15.75" customHeight="1"/>
    <row r="52302" ht="15.75" customHeight="1"/>
    <row r="52303" ht="15.75" customHeight="1"/>
    <row r="52304" ht="15.75" customHeight="1"/>
    <row r="52305" ht="15.75" customHeight="1"/>
    <row r="52306" ht="15.75" customHeight="1"/>
    <row r="52307" ht="15.75" customHeight="1"/>
    <row r="52308" ht="15.75" customHeight="1"/>
    <row r="52309" ht="15.75" customHeight="1"/>
    <row r="52310" ht="15.75" customHeight="1"/>
    <row r="52311" ht="15.75" customHeight="1"/>
    <row r="52312" ht="15.75" customHeight="1"/>
    <row r="52313" ht="15.75" customHeight="1"/>
    <row r="52314" ht="15.75" customHeight="1"/>
    <row r="52315" ht="15.75" customHeight="1"/>
    <row r="52316" ht="15.75" customHeight="1"/>
    <row r="52317" ht="15.75" customHeight="1"/>
    <row r="52318" ht="15.75" customHeight="1"/>
    <row r="52319" ht="15.75" customHeight="1"/>
    <row r="52320" ht="15.75" customHeight="1"/>
    <row r="52321" ht="15.75" customHeight="1"/>
    <row r="52322" ht="15.75" customHeight="1"/>
    <row r="52323" ht="15.75" customHeight="1"/>
    <row r="52324" ht="15.75" customHeight="1"/>
    <row r="52325" ht="15.75" customHeight="1"/>
    <row r="52326" ht="15.75" customHeight="1"/>
    <row r="52327" ht="15.75" customHeight="1"/>
    <row r="52328" ht="15.75" customHeight="1"/>
    <row r="52329" ht="15.75" customHeight="1"/>
    <row r="52330" ht="15.75" customHeight="1"/>
    <row r="52331" ht="15.75" customHeight="1"/>
    <row r="52332" ht="15.75" customHeight="1"/>
    <row r="52333" ht="15.75" customHeight="1"/>
    <row r="52334" ht="15.75" customHeight="1"/>
    <row r="52335" ht="15.75" customHeight="1"/>
    <row r="52336" ht="15.75" customHeight="1"/>
    <row r="52337" ht="15.75" customHeight="1"/>
    <row r="52338" ht="15.75" customHeight="1"/>
    <row r="52339" ht="15.75" customHeight="1"/>
    <row r="52340" ht="15.75" customHeight="1"/>
    <row r="52341" ht="15.75" customHeight="1"/>
    <row r="52342" ht="15.75" customHeight="1"/>
    <row r="52343" ht="15.75" customHeight="1"/>
    <row r="52344" ht="15.75" customHeight="1"/>
    <row r="52345" ht="15.75" customHeight="1"/>
    <row r="52346" ht="15.75" customHeight="1"/>
    <row r="52347" ht="15.75" customHeight="1"/>
    <row r="52348" ht="15.75" customHeight="1"/>
    <row r="52349" ht="15.75" customHeight="1"/>
    <row r="52350" ht="15.75" customHeight="1"/>
    <row r="52351" ht="15.75" customHeight="1"/>
    <row r="52352" ht="15.75" customHeight="1"/>
    <row r="52353" ht="15.75" customHeight="1"/>
    <row r="52354" ht="15.75" customHeight="1"/>
    <row r="52355" ht="15.75" customHeight="1"/>
    <row r="52356" ht="15.75" customHeight="1"/>
    <row r="52357" ht="15.75" customHeight="1"/>
    <row r="52358" ht="15.75" customHeight="1"/>
    <row r="52359" ht="15.75" customHeight="1"/>
    <row r="52360" ht="15.75" customHeight="1"/>
    <row r="52361" ht="15.75" customHeight="1"/>
    <row r="52362" ht="15.75" customHeight="1"/>
    <row r="52363" ht="15.75" customHeight="1"/>
    <row r="52364" ht="15.75" customHeight="1"/>
    <row r="52365" ht="15.75" customHeight="1"/>
    <row r="52366" ht="15.75" customHeight="1"/>
    <row r="52367" ht="15.75" customHeight="1"/>
    <row r="52368" ht="15.75" customHeight="1"/>
    <row r="52369" ht="15.75" customHeight="1"/>
    <row r="52370" ht="15.75" customHeight="1"/>
    <row r="52371" ht="15.75" customHeight="1"/>
    <row r="52372" ht="15.75" customHeight="1"/>
    <row r="52373" ht="15.75" customHeight="1"/>
    <row r="52374" ht="15.75" customHeight="1"/>
    <row r="52375" ht="15.75" customHeight="1"/>
    <row r="52376" ht="15.75" customHeight="1"/>
    <row r="52377" ht="15.75" customHeight="1"/>
    <row r="52378" ht="15.75" customHeight="1"/>
    <row r="52379" ht="15.75" customHeight="1"/>
    <row r="52380" ht="15.75" customHeight="1"/>
    <row r="52381" ht="15.75" customHeight="1"/>
    <row r="52382" ht="15.75" customHeight="1"/>
    <row r="52383" ht="15.75" customHeight="1"/>
    <row r="52384" ht="15.75" customHeight="1"/>
    <row r="52385" ht="15.75" customHeight="1"/>
    <row r="52386" ht="15.75" customHeight="1"/>
    <row r="52387" ht="15.75" customHeight="1"/>
    <row r="52388" ht="15.75" customHeight="1"/>
    <row r="52389" ht="15.75" customHeight="1"/>
    <row r="52390" ht="15.75" customHeight="1"/>
    <row r="52391" ht="15.75" customHeight="1"/>
    <row r="52392" ht="15.75" customHeight="1"/>
    <row r="52393" ht="15.75" customHeight="1"/>
    <row r="52394" ht="15.75" customHeight="1"/>
    <row r="52395" ht="15.75" customHeight="1"/>
    <row r="52396" ht="15.75" customHeight="1"/>
    <row r="52397" ht="15.75" customHeight="1"/>
    <row r="52398" ht="15.75" customHeight="1"/>
    <row r="52399" ht="15.75" customHeight="1"/>
    <row r="52400" ht="15.75" customHeight="1"/>
    <row r="52401" ht="15.75" customHeight="1"/>
    <row r="52402" ht="15.75" customHeight="1"/>
    <row r="52403" ht="15.75" customHeight="1"/>
    <row r="52404" ht="15.75" customHeight="1"/>
    <row r="52405" ht="15.75" customHeight="1"/>
    <row r="52406" ht="15.75" customHeight="1"/>
    <row r="52407" ht="15.75" customHeight="1"/>
    <row r="52408" ht="15.75" customHeight="1"/>
    <row r="52409" ht="15.75" customHeight="1"/>
    <row r="52410" ht="15.75" customHeight="1"/>
    <row r="52411" ht="15.75" customHeight="1"/>
    <row r="52412" ht="15.75" customHeight="1"/>
    <row r="52413" ht="15.75" customHeight="1"/>
    <row r="52414" ht="15.75" customHeight="1"/>
    <row r="52415" ht="15.75" customHeight="1"/>
    <row r="52416" ht="15.75" customHeight="1"/>
    <row r="52417" ht="15.75" customHeight="1"/>
    <row r="52418" ht="15.75" customHeight="1"/>
    <row r="52419" ht="15.75" customHeight="1"/>
    <row r="52420" ht="15.75" customHeight="1"/>
    <row r="52421" ht="15.75" customHeight="1"/>
    <row r="52422" ht="15.75" customHeight="1"/>
    <row r="52423" ht="15.75" customHeight="1"/>
    <row r="52424" ht="15.75" customHeight="1"/>
    <row r="52425" ht="15.75" customHeight="1"/>
    <row r="52426" ht="15.75" customHeight="1"/>
    <row r="52427" ht="15.75" customHeight="1"/>
    <row r="52428" ht="15.75" customHeight="1"/>
    <row r="52429" ht="15.75" customHeight="1"/>
    <row r="52430" ht="15.75" customHeight="1"/>
    <row r="52431" ht="15.75" customHeight="1"/>
    <row r="52432" ht="15.75" customHeight="1"/>
    <row r="52433" ht="15.75" customHeight="1"/>
    <row r="52434" ht="15.75" customHeight="1"/>
    <row r="52435" ht="15.75" customHeight="1"/>
    <row r="52436" ht="15.75" customHeight="1"/>
    <row r="52437" ht="15.75" customHeight="1"/>
    <row r="52438" ht="15.75" customHeight="1"/>
    <row r="52439" ht="15.75" customHeight="1"/>
    <row r="52440" ht="15.75" customHeight="1"/>
    <row r="52441" ht="15.75" customHeight="1"/>
    <row r="52442" ht="15.75" customHeight="1"/>
    <row r="52443" ht="15.75" customHeight="1"/>
    <row r="52444" ht="15.75" customHeight="1"/>
    <row r="52445" ht="15.75" customHeight="1"/>
    <row r="52446" ht="15.75" customHeight="1"/>
    <row r="52447" ht="15.75" customHeight="1"/>
    <row r="52448" ht="15.75" customHeight="1"/>
    <row r="52449" ht="15.75" customHeight="1"/>
    <row r="52450" ht="15.75" customHeight="1"/>
    <row r="52451" ht="15.75" customHeight="1"/>
    <row r="52452" ht="15.75" customHeight="1"/>
    <row r="52453" ht="15.75" customHeight="1"/>
    <row r="52454" ht="15.75" customHeight="1"/>
    <row r="52455" ht="15.75" customHeight="1"/>
    <row r="52456" ht="15.75" customHeight="1"/>
    <row r="52457" ht="15.75" customHeight="1"/>
    <row r="52458" ht="15.75" customHeight="1"/>
    <row r="52459" ht="15.75" customHeight="1"/>
    <row r="52460" ht="15.75" customHeight="1"/>
    <row r="52461" ht="15.75" customHeight="1"/>
    <row r="52462" ht="15.75" customHeight="1"/>
    <row r="52463" ht="15.75" customHeight="1"/>
    <row r="52464" ht="15.75" customHeight="1"/>
    <row r="52465" ht="15.75" customHeight="1"/>
    <row r="52466" ht="15.75" customHeight="1"/>
    <row r="52467" ht="15.75" customHeight="1"/>
    <row r="52468" ht="15.75" customHeight="1"/>
    <row r="52469" ht="15.75" customHeight="1"/>
    <row r="52470" ht="15.75" customHeight="1"/>
    <row r="52471" ht="15.75" customHeight="1"/>
    <row r="52472" ht="15.75" customHeight="1"/>
    <row r="52473" ht="15.75" customHeight="1"/>
    <row r="52474" ht="15.75" customHeight="1"/>
    <row r="52475" ht="15.75" customHeight="1"/>
    <row r="52476" ht="15.75" customHeight="1"/>
    <row r="52477" ht="15.75" customHeight="1"/>
    <row r="52478" ht="15.75" customHeight="1"/>
    <row r="52479" ht="15.75" customHeight="1"/>
    <row r="52480" ht="15.75" customHeight="1"/>
    <row r="52481" ht="15.75" customHeight="1"/>
    <row r="52482" ht="15.75" customHeight="1"/>
    <row r="52483" ht="15.75" customHeight="1"/>
    <row r="52484" ht="15.75" customHeight="1"/>
    <row r="52485" ht="15.75" customHeight="1"/>
    <row r="52486" ht="15.75" customHeight="1"/>
    <row r="52487" ht="15.75" customHeight="1"/>
    <row r="52488" ht="15.75" customHeight="1"/>
    <row r="52489" ht="15.75" customHeight="1"/>
    <row r="52490" ht="15.75" customHeight="1"/>
    <row r="52491" ht="15.75" customHeight="1"/>
    <row r="52492" ht="15.75" customHeight="1"/>
    <row r="52493" ht="15.75" customHeight="1"/>
    <row r="52494" ht="15.75" customHeight="1"/>
    <row r="52495" ht="15.75" customHeight="1"/>
    <row r="52496" ht="15.75" customHeight="1"/>
    <row r="52497" ht="15.75" customHeight="1"/>
    <row r="52498" ht="15.75" customHeight="1"/>
    <row r="52499" ht="15.75" customHeight="1"/>
    <row r="52500" ht="15.75" customHeight="1"/>
    <row r="52501" ht="15.75" customHeight="1"/>
    <row r="52502" ht="15.75" customHeight="1"/>
    <row r="52503" ht="15.75" customHeight="1"/>
    <row r="52504" ht="15.75" customHeight="1"/>
    <row r="52505" ht="15.75" customHeight="1"/>
    <row r="52506" ht="15.75" customHeight="1"/>
    <row r="52507" ht="15.75" customHeight="1"/>
    <row r="52508" ht="15.75" customHeight="1"/>
    <row r="52509" ht="15.75" customHeight="1"/>
    <row r="52510" ht="15.75" customHeight="1"/>
    <row r="52511" ht="15.75" customHeight="1"/>
    <row r="52512" ht="15.75" customHeight="1"/>
    <row r="52513" ht="15.75" customHeight="1"/>
    <row r="52514" ht="15.75" customHeight="1"/>
    <row r="52515" ht="15.75" customHeight="1"/>
    <row r="52516" ht="15.75" customHeight="1"/>
    <row r="52517" ht="15.75" customHeight="1"/>
    <row r="52518" ht="15.75" customHeight="1"/>
    <row r="52519" ht="15.75" customHeight="1"/>
    <row r="52520" ht="15.75" customHeight="1"/>
    <row r="52521" ht="15.75" customHeight="1"/>
    <row r="52522" ht="15.75" customHeight="1"/>
    <row r="52523" ht="15.75" customHeight="1"/>
    <row r="52524" ht="15.75" customHeight="1"/>
    <row r="52525" ht="15.75" customHeight="1"/>
    <row r="52526" ht="15.75" customHeight="1"/>
    <row r="52527" ht="15.75" customHeight="1"/>
    <row r="52528" ht="15.75" customHeight="1"/>
    <row r="52529" ht="15.75" customHeight="1"/>
    <row r="52530" ht="15.75" customHeight="1"/>
    <row r="52531" ht="15.75" customHeight="1"/>
    <row r="52532" ht="15.75" customHeight="1"/>
    <row r="52533" ht="15.75" customHeight="1"/>
    <row r="52534" ht="15.75" customHeight="1"/>
    <row r="52535" ht="15.75" customHeight="1"/>
    <row r="52536" ht="15.75" customHeight="1"/>
    <row r="52537" ht="15.75" customHeight="1"/>
    <row r="52538" ht="15.75" customHeight="1"/>
    <row r="52539" ht="15.75" customHeight="1"/>
    <row r="52540" ht="15.75" customHeight="1"/>
    <row r="52541" ht="15.75" customHeight="1"/>
    <row r="52542" ht="15.75" customHeight="1"/>
    <row r="52543" ht="15.75" customHeight="1"/>
    <row r="52544" ht="15.75" customHeight="1"/>
    <row r="52545" ht="15.75" customHeight="1"/>
    <row r="52546" ht="15.75" customHeight="1"/>
    <row r="52547" ht="15.75" customHeight="1"/>
    <row r="52548" ht="15.75" customHeight="1"/>
    <row r="52549" ht="15.75" customHeight="1"/>
    <row r="52550" ht="15.75" customHeight="1"/>
    <row r="52551" ht="15.75" customHeight="1"/>
    <row r="52552" ht="15.75" customHeight="1"/>
    <row r="52553" ht="15.75" customHeight="1"/>
    <row r="52554" ht="15.75" customHeight="1"/>
    <row r="52555" ht="15.75" customHeight="1"/>
    <row r="52556" ht="15.75" customHeight="1"/>
    <row r="52557" ht="15.75" customHeight="1"/>
    <row r="52558" ht="15.75" customHeight="1"/>
    <row r="52559" ht="15.75" customHeight="1"/>
    <row r="52560" ht="15.75" customHeight="1"/>
    <row r="52561" ht="15.75" customHeight="1"/>
    <row r="52562" ht="15.75" customHeight="1"/>
    <row r="52563" ht="15.75" customHeight="1"/>
    <row r="52564" ht="15.75" customHeight="1"/>
    <row r="52565" ht="15.75" customHeight="1"/>
    <row r="52566" ht="15.75" customHeight="1"/>
    <row r="52567" ht="15.75" customHeight="1"/>
    <row r="52568" ht="15.75" customHeight="1"/>
    <row r="52569" ht="15.75" customHeight="1"/>
    <row r="52570" ht="15.75" customHeight="1"/>
    <row r="52571" ht="15.75" customHeight="1"/>
    <row r="52572" ht="15.75" customHeight="1"/>
    <row r="52573" ht="15.75" customHeight="1"/>
    <row r="52574" ht="15.75" customHeight="1"/>
    <row r="52575" ht="15.75" customHeight="1"/>
    <row r="52576" ht="15.75" customHeight="1"/>
    <row r="52577" ht="15.75" customHeight="1"/>
    <row r="52578" ht="15.75" customHeight="1"/>
    <row r="52579" ht="15.75" customHeight="1"/>
    <row r="52580" ht="15.75" customHeight="1"/>
    <row r="52581" ht="15.75" customHeight="1"/>
    <row r="52582" ht="15.75" customHeight="1"/>
    <row r="52583" ht="15.75" customHeight="1"/>
    <row r="52584" ht="15.75" customHeight="1"/>
    <row r="52585" ht="15.75" customHeight="1"/>
    <row r="52586" ht="15.75" customHeight="1"/>
    <row r="52587" ht="15.75" customHeight="1"/>
    <row r="52588" ht="15.75" customHeight="1"/>
    <row r="52589" ht="15.75" customHeight="1"/>
    <row r="52590" ht="15.75" customHeight="1"/>
    <row r="52591" ht="15.75" customHeight="1"/>
    <row r="52592" ht="15.75" customHeight="1"/>
    <row r="52593" ht="15.75" customHeight="1"/>
    <row r="52594" ht="15.75" customHeight="1"/>
    <row r="52595" ht="15.75" customHeight="1"/>
    <row r="52596" ht="15.75" customHeight="1"/>
    <row r="52597" ht="15.75" customHeight="1"/>
    <row r="52598" ht="15.75" customHeight="1"/>
    <row r="52599" ht="15.75" customHeight="1"/>
    <row r="52600" ht="15.75" customHeight="1"/>
    <row r="52601" ht="15.75" customHeight="1"/>
    <row r="52602" ht="15.75" customHeight="1"/>
    <row r="52603" ht="15.75" customHeight="1"/>
    <row r="52604" ht="15.75" customHeight="1"/>
    <row r="52605" ht="15.75" customHeight="1"/>
    <row r="52606" ht="15.75" customHeight="1"/>
    <row r="52607" ht="15.75" customHeight="1"/>
    <row r="52608" ht="15.75" customHeight="1"/>
    <row r="52609" ht="15.75" customHeight="1"/>
    <row r="52610" ht="15.75" customHeight="1"/>
    <row r="52611" ht="15.75" customHeight="1"/>
    <row r="52612" ht="15.75" customHeight="1"/>
    <row r="52613" ht="15.75" customHeight="1"/>
    <row r="52614" ht="15.75" customHeight="1"/>
    <row r="52615" ht="15.75" customHeight="1"/>
    <row r="52616" ht="15.75" customHeight="1"/>
    <row r="52617" ht="15.75" customHeight="1"/>
    <row r="52618" ht="15.75" customHeight="1"/>
    <row r="52619" ht="15.75" customHeight="1"/>
    <row r="52620" ht="15.75" customHeight="1"/>
    <row r="52621" ht="15.75" customHeight="1"/>
    <row r="52622" ht="15.75" customHeight="1"/>
    <row r="52623" ht="15.75" customHeight="1"/>
    <row r="52624" ht="15.75" customHeight="1"/>
    <row r="52625" ht="15.75" customHeight="1"/>
    <row r="52626" ht="15.75" customHeight="1"/>
    <row r="52627" ht="15.75" customHeight="1"/>
    <row r="52628" ht="15.75" customHeight="1"/>
    <row r="52629" ht="15.75" customHeight="1"/>
    <row r="52630" ht="15.75" customHeight="1"/>
    <row r="52631" ht="15.75" customHeight="1"/>
    <row r="52632" ht="15.75" customHeight="1"/>
    <row r="52633" ht="15.75" customHeight="1"/>
    <row r="52634" ht="15.75" customHeight="1"/>
    <row r="52635" ht="15.75" customHeight="1"/>
    <row r="52636" ht="15.75" customHeight="1"/>
    <row r="52637" ht="15.75" customHeight="1"/>
    <row r="52638" ht="15.75" customHeight="1"/>
    <row r="52639" ht="15.75" customHeight="1"/>
    <row r="52640" ht="15.75" customHeight="1"/>
    <row r="52641" ht="15.75" customHeight="1"/>
    <row r="52642" ht="15.75" customHeight="1"/>
    <row r="52643" ht="15.75" customHeight="1"/>
    <row r="52644" ht="15.75" customHeight="1"/>
    <row r="52645" ht="15.75" customHeight="1"/>
    <row r="52646" ht="15.75" customHeight="1"/>
    <row r="52647" ht="15.75" customHeight="1"/>
    <row r="52648" ht="15.75" customHeight="1"/>
    <row r="52649" ht="15.75" customHeight="1"/>
    <row r="52650" ht="15.75" customHeight="1"/>
    <row r="52651" ht="15.75" customHeight="1"/>
    <row r="52652" ht="15.75" customHeight="1"/>
    <row r="52653" ht="15.75" customHeight="1"/>
    <row r="52654" ht="15.75" customHeight="1"/>
    <row r="52655" ht="15.75" customHeight="1"/>
    <row r="52656" ht="15.75" customHeight="1"/>
    <row r="52657" ht="15.75" customHeight="1"/>
    <row r="52658" ht="15.75" customHeight="1"/>
    <row r="52659" ht="15.75" customHeight="1"/>
    <row r="52660" ht="15.75" customHeight="1"/>
    <row r="52661" ht="15.75" customHeight="1"/>
    <row r="52662" ht="15.75" customHeight="1"/>
    <row r="52663" ht="15.75" customHeight="1"/>
    <row r="52664" ht="15.75" customHeight="1"/>
    <row r="52665" ht="15.75" customHeight="1"/>
    <row r="52666" ht="15.75" customHeight="1"/>
    <row r="52667" ht="15.75" customHeight="1"/>
    <row r="52668" ht="15.75" customHeight="1"/>
    <row r="52669" ht="15.75" customHeight="1"/>
    <row r="52670" ht="15.75" customHeight="1"/>
    <row r="52671" ht="15.75" customHeight="1"/>
    <row r="52672" ht="15.75" customHeight="1"/>
    <row r="52673" ht="15.75" customHeight="1"/>
    <row r="52674" ht="15.75" customHeight="1"/>
    <row r="52675" ht="15.75" customHeight="1"/>
    <row r="52676" ht="15.75" customHeight="1"/>
    <row r="52677" ht="15.75" customHeight="1"/>
    <row r="52678" ht="15.75" customHeight="1"/>
    <row r="52679" ht="15.75" customHeight="1"/>
    <row r="52680" ht="15.75" customHeight="1"/>
    <row r="52681" ht="15.75" customHeight="1"/>
    <row r="52682" ht="15.75" customHeight="1"/>
    <row r="52683" ht="15.75" customHeight="1"/>
    <row r="52684" ht="15.75" customHeight="1"/>
    <row r="52685" ht="15.75" customHeight="1"/>
    <row r="52686" ht="15.75" customHeight="1"/>
    <row r="52687" ht="15.75" customHeight="1"/>
    <row r="52688" ht="15.75" customHeight="1"/>
    <row r="52689" ht="15.75" customHeight="1"/>
    <row r="52690" ht="15.75" customHeight="1"/>
    <row r="52691" ht="15.75" customHeight="1"/>
    <row r="52692" ht="15.75" customHeight="1"/>
    <row r="52693" ht="15.75" customHeight="1"/>
    <row r="52694" ht="15.75" customHeight="1"/>
    <row r="52695" ht="15.75" customHeight="1"/>
    <row r="52696" ht="15.75" customHeight="1"/>
    <row r="52697" ht="15.75" customHeight="1"/>
    <row r="52698" ht="15.75" customHeight="1"/>
    <row r="52699" ht="15.75" customHeight="1"/>
    <row r="52700" ht="15.75" customHeight="1"/>
    <row r="52701" ht="15.75" customHeight="1"/>
    <row r="52702" ht="15.75" customHeight="1"/>
    <row r="52703" ht="15.75" customHeight="1"/>
    <row r="52704" ht="15.75" customHeight="1"/>
    <row r="52705" ht="15.75" customHeight="1"/>
    <row r="52706" ht="15.75" customHeight="1"/>
    <row r="52707" ht="15.75" customHeight="1"/>
    <row r="52708" ht="15.75" customHeight="1"/>
    <row r="52709" ht="15.75" customHeight="1"/>
    <row r="52710" ht="15.75" customHeight="1"/>
    <row r="52711" ht="15.75" customHeight="1"/>
    <row r="52712" ht="15.75" customHeight="1"/>
    <row r="52713" ht="15.75" customHeight="1"/>
    <row r="52714" ht="15.75" customHeight="1"/>
    <row r="52715" ht="15.75" customHeight="1"/>
    <row r="52716" ht="15.75" customHeight="1"/>
    <row r="52717" ht="15.75" customHeight="1"/>
    <row r="52718" ht="15.75" customHeight="1"/>
    <row r="52719" ht="15.75" customHeight="1"/>
    <row r="52720" ht="15.75" customHeight="1"/>
    <row r="52721" ht="15.75" customHeight="1"/>
    <row r="52722" ht="15.75" customHeight="1"/>
    <row r="52723" ht="15.75" customHeight="1"/>
    <row r="52724" ht="15.75" customHeight="1"/>
    <row r="52725" ht="15.75" customHeight="1"/>
    <row r="52726" ht="15.75" customHeight="1"/>
    <row r="52727" ht="15.75" customHeight="1"/>
    <row r="52728" ht="15.75" customHeight="1"/>
    <row r="52729" ht="15.75" customHeight="1"/>
    <row r="52730" ht="15.75" customHeight="1"/>
    <row r="52731" ht="15.75" customHeight="1"/>
    <row r="52732" ht="15.75" customHeight="1"/>
    <row r="52733" ht="15.75" customHeight="1"/>
    <row r="52734" ht="15.75" customHeight="1"/>
    <row r="52735" ht="15.75" customHeight="1"/>
    <row r="52736" ht="15.75" customHeight="1"/>
    <row r="52737" ht="15.75" customHeight="1"/>
    <row r="52738" ht="15.75" customHeight="1"/>
    <row r="52739" ht="15.75" customHeight="1"/>
    <row r="52740" ht="15.75" customHeight="1"/>
    <row r="52741" ht="15.75" customHeight="1"/>
    <row r="52742" ht="15.75" customHeight="1"/>
    <row r="52743" ht="15.75" customHeight="1"/>
    <row r="52744" ht="15.75" customHeight="1"/>
    <row r="52745" ht="15.75" customHeight="1"/>
    <row r="52746" ht="15.75" customHeight="1"/>
    <row r="52747" ht="15.75" customHeight="1"/>
    <row r="52748" ht="15.75" customHeight="1"/>
    <row r="52749" ht="15.75" customHeight="1"/>
    <row r="52750" ht="15.75" customHeight="1"/>
    <row r="52751" ht="15.75" customHeight="1"/>
    <row r="52752" ht="15.75" customHeight="1"/>
    <row r="52753" ht="15.75" customHeight="1"/>
    <row r="52754" ht="15.75" customHeight="1"/>
    <row r="52755" ht="15.75" customHeight="1"/>
    <row r="52756" ht="15.75" customHeight="1"/>
    <row r="52757" ht="15.75" customHeight="1"/>
    <row r="52758" ht="15.75" customHeight="1"/>
    <row r="52759" ht="15.75" customHeight="1"/>
    <row r="52760" ht="15.75" customHeight="1"/>
    <row r="52761" ht="15.75" customHeight="1"/>
    <row r="52762" ht="15.75" customHeight="1"/>
    <row r="52763" ht="15.75" customHeight="1"/>
    <row r="52764" ht="15.75" customHeight="1"/>
    <row r="52765" ht="15.75" customHeight="1"/>
    <row r="52766" ht="15.75" customHeight="1"/>
    <row r="52767" ht="15.75" customHeight="1"/>
    <row r="52768" ht="15.75" customHeight="1"/>
    <row r="52769" ht="15.75" customHeight="1"/>
    <row r="52770" ht="15.75" customHeight="1"/>
    <row r="52771" ht="15.75" customHeight="1"/>
    <row r="52772" ht="15.75" customHeight="1"/>
    <row r="52773" ht="15.75" customHeight="1"/>
    <row r="52774" ht="15.75" customHeight="1"/>
    <row r="52775" ht="15.75" customHeight="1"/>
    <row r="52776" ht="15.75" customHeight="1"/>
    <row r="52777" ht="15.75" customHeight="1"/>
    <row r="52778" ht="15.75" customHeight="1"/>
    <row r="52779" ht="15.75" customHeight="1"/>
    <row r="52780" ht="15.75" customHeight="1"/>
    <row r="52781" ht="15.75" customHeight="1"/>
    <row r="52782" ht="15.75" customHeight="1"/>
    <row r="52783" ht="15.75" customHeight="1"/>
    <row r="52784" ht="15.75" customHeight="1"/>
    <row r="52785" ht="15.75" customHeight="1"/>
    <row r="52786" ht="15.75" customHeight="1"/>
    <row r="52787" ht="15.75" customHeight="1"/>
    <row r="52788" ht="15.75" customHeight="1"/>
    <row r="52789" ht="15.75" customHeight="1"/>
    <row r="52790" ht="15.75" customHeight="1"/>
    <row r="52791" ht="15.75" customHeight="1"/>
    <row r="52792" ht="15.75" customHeight="1"/>
    <row r="52793" ht="15.75" customHeight="1"/>
    <row r="52794" ht="15.75" customHeight="1"/>
    <row r="52795" ht="15.75" customHeight="1"/>
    <row r="52796" ht="15.75" customHeight="1"/>
    <row r="52797" ht="15.75" customHeight="1"/>
    <row r="52798" ht="15.75" customHeight="1"/>
    <row r="52799" ht="15.75" customHeight="1"/>
    <row r="52800" ht="15.75" customHeight="1"/>
    <row r="52801" ht="15.75" customHeight="1"/>
    <row r="52802" ht="15.75" customHeight="1"/>
    <row r="52803" ht="15.75" customHeight="1"/>
    <row r="52804" ht="15.75" customHeight="1"/>
    <row r="52805" ht="15.75" customHeight="1"/>
    <row r="52806" ht="15.75" customHeight="1"/>
    <row r="52807" ht="15.75" customHeight="1"/>
    <row r="52808" ht="15.75" customHeight="1"/>
    <row r="52809" ht="15.75" customHeight="1"/>
    <row r="52810" ht="15.75" customHeight="1"/>
    <row r="52811" ht="15.75" customHeight="1"/>
    <row r="52812" ht="15.75" customHeight="1"/>
    <row r="52813" ht="15.75" customHeight="1"/>
    <row r="52814" ht="15.75" customHeight="1"/>
    <row r="52815" ht="15.75" customHeight="1"/>
    <row r="52816" ht="15.75" customHeight="1"/>
    <row r="52817" ht="15.75" customHeight="1"/>
    <row r="52818" ht="15.75" customHeight="1"/>
    <row r="52819" ht="15.75" customHeight="1"/>
    <row r="52820" ht="15.75" customHeight="1"/>
    <row r="52821" ht="15.75" customHeight="1"/>
    <row r="52822" ht="15.75" customHeight="1"/>
    <row r="52823" ht="15.75" customHeight="1"/>
    <row r="52824" ht="15.75" customHeight="1"/>
    <row r="52825" ht="15.75" customHeight="1"/>
    <row r="52826" ht="15.75" customHeight="1"/>
    <row r="52827" ht="15.75" customHeight="1"/>
    <row r="52828" ht="15.75" customHeight="1"/>
    <row r="52829" ht="15.75" customHeight="1"/>
    <row r="52830" ht="15.75" customHeight="1"/>
    <row r="52831" ht="15.75" customHeight="1"/>
    <row r="52832" ht="15.75" customHeight="1"/>
    <row r="52833" ht="15.75" customHeight="1"/>
    <row r="52834" ht="15.75" customHeight="1"/>
    <row r="52835" ht="15.75" customHeight="1"/>
    <row r="52836" ht="15.75" customHeight="1"/>
    <row r="52837" ht="15.75" customHeight="1"/>
    <row r="52838" ht="15.75" customHeight="1"/>
    <row r="52839" ht="15.75" customHeight="1"/>
    <row r="52840" ht="15.75" customHeight="1"/>
    <row r="52841" ht="15.75" customHeight="1"/>
    <row r="52842" ht="15.75" customHeight="1"/>
    <row r="52843" ht="15.75" customHeight="1"/>
    <row r="52844" ht="15.75" customHeight="1"/>
    <row r="52845" ht="15.75" customHeight="1"/>
    <row r="52846" ht="15.75" customHeight="1"/>
    <row r="52847" ht="15.75" customHeight="1"/>
    <row r="52848" ht="15.75" customHeight="1"/>
    <row r="52849" ht="15.75" customHeight="1"/>
    <row r="52850" ht="15.75" customHeight="1"/>
    <row r="52851" ht="15.75" customHeight="1"/>
    <row r="52852" ht="15.75" customHeight="1"/>
    <row r="52853" ht="15.75" customHeight="1"/>
    <row r="52854" ht="15.75" customHeight="1"/>
    <row r="52855" ht="15.75" customHeight="1"/>
    <row r="52856" ht="15.75" customHeight="1"/>
    <row r="52857" ht="15.75" customHeight="1"/>
    <row r="52858" ht="15.75" customHeight="1"/>
    <row r="52859" ht="15.75" customHeight="1"/>
    <row r="52860" ht="15.75" customHeight="1"/>
    <row r="52861" ht="15.75" customHeight="1"/>
    <row r="52862" ht="15.75" customHeight="1"/>
    <row r="52863" ht="15.75" customHeight="1"/>
    <row r="52864" ht="15.75" customHeight="1"/>
    <row r="52865" ht="15.75" customHeight="1"/>
    <row r="52866" ht="15.75" customHeight="1"/>
    <row r="52867" ht="15.75" customHeight="1"/>
    <row r="52868" ht="15.75" customHeight="1"/>
    <row r="52869" ht="15.75" customHeight="1"/>
    <row r="52870" ht="15.75" customHeight="1"/>
    <row r="52871" ht="15.75" customHeight="1"/>
    <row r="52872" ht="15.75" customHeight="1"/>
    <row r="52873" ht="15.75" customHeight="1"/>
    <row r="52874" ht="15.75" customHeight="1"/>
    <row r="52875" ht="15.75" customHeight="1"/>
    <row r="52876" ht="15.75" customHeight="1"/>
    <row r="52877" ht="15.75" customHeight="1"/>
    <row r="52878" ht="15.75" customHeight="1"/>
    <row r="52879" ht="15.75" customHeight="1"/>
    <row r="52880" ht="15.75" customHeight="1"/>
    <row r="52881" ht="15.75" customHeight="1"/>
    <row r="52882" ht="15.75" customHeight="1"/>
    <row r="52883" ht="15.75" customHeight="1"/>
    <row r="52884" ht="15.75" customHeight="1"/>
    <row r="52885" ht="15.75" customHeight="1"/>
    <row r="52886" ht="15.75" customHeight="1"/>
    <row r="52887" ht="15.75" customHeight="1"/>
    <row r="52888" ht="15.75" customHeight="1"/>
    <row r="52889" ht="15.75" customHeight="1"/>
    <row r="52890" ht="15.75" customHeight="1"/>
    <row r="52891" ht="15.75" customHeight="1"/>
    <row r="52892" ht="15.75" customHeight="1"/>
    <row r="52893" ht="15.75" customHeight="1"/>
    <row r="52894" ht="15.75" customHeight="1"/>
    <row r="52895" ht="15.75" customHeight="1"/>
    <row r="52896" ht="15.75" customHeight="1"/>
    <row r="52897" ht="15.75" customHeight="1"/>
    <row r="52898" ht="15.75" customHeight="1"/>
    <row r="52899" ht="15.75" customHeight="1"/>
    <row r="52900" ht="15.75" customHeight="1"/>
    <row r="52901" ht="15.75" customHeight="1"/>
    <row r="52902" ht="15.75" customHeight="1"/>
    <row r="52903" ht="15.75" customHeight="1"/>
    <row r="52904" ht="15.75" customHeight="1"/>
    <row r="52905" ht="15.75" customHeight="1"/>
    <row r="52906" ht="15.75" customHeight="1"/>
    <row r="52907" ht="15.75" customHeight="1"/>
    <row r="52908" ht="15.75" customHeight="1"/>
    <row r="52909" ht="15.75" customHeight="1"/>
    <row r="52910" ht="15.75" customHeight="1"/>
    <row r="52911" ht="15.75" customHeight="1"/>
    <row r="52912" ht="15.75" customHeight="1"/>
    <row r="52913" ht="15.75" customHeight="1"/>
    <row r="52914" ht="15.75" customHeight="1"/>
    <row r="52915" ht="15.75" customHeight="1"/>
    <row r="52916" ht="15.75" customHeight="1"/>
    <row r="52917" ht="15.75" customHeight="1"/>
    <row r="52918" ht="15.75" customHeight="1"/>
    <row r="52919" ht="15.75" customHeight="1"/>
    <row r="52920" ht="15.75" customHeight="1"/>
    <row r="52921" ht="15.75" customHeight="1"/>
    <row r="52922" ht="15.75" customHeight="1"/>
    <row r="52923" ht="15.75" customHeight="1"/>
    <row r="52924" ht="15.75" customHeight="1"/>
    <row r="52925" ht="15.75" customHeight="1"/>
    <row r="52926" ht="15.75" customHeight="1"/>
    <row r="52927" ht="15.75" customHeight="1"/>
    <row r="52928" ht="15.75" customHeight="1"/>
    <row r="52929" ht="15.75" customHeight="1"/>
    <row r="52930" ht="15.75" customHeight="1"/>
    <row r="52931" ht="15.75" customHeight="1"/>
    <row r="52932" ht="15.75" customHeight="1"/>
    <row r="52933" ht="15.75" customHeight="1"/>
    <row r="52934" ht="15.75" customHeight="1"/>
    <row r="52935" ht="15.75" customHeight="1"/>
    <row r="52936" ht="15.75" customHeight="1"/>
    <row r="52937" ht="15.75" customHeight="1"/>
    <row r="52938" ht="15.75" customHeight="1"/>
    <row r="52939" ht="15.75" customHeight="1"/>
    <row r="52940" ht="15.75" customHeight="1"/>
    <row r="52941" ht="15.75" customHeight="1"/>
    <row r="52942" ht="15.75" customHeight="1"/>
    <row r="52943" ht="15.75" customHeight="1"/>
    <row r="52944" ht="15.75" customHeight="1"/>
    <row r="52945" ht="15.75" customHeight="1"/>
    <row r="52946" ht="15.75" customHeight="1"/>
    <row r="52947" ht="15.75" customHeight="1"/>
    <row r="52948" ht="15.75" customHeight="1"/>
    <row r="52949" ht="15.75" customHeight="1"/>
    <row r="52950" ht="15.75" customHeight="1"/>
    <row r="52951" ht="15.75" customHeight="1"/>
    <row r="52952" ht="15.75" customHeight="1"/>
    <row r="52953" ht="15.75" customHeight="1"/>
    <row r="52954" ht="15.75" customHeight="1"/>
    <row r="52955" ht="15.75" customHeight="1"/>
    <row r="52956" ht="15.75" customHeight="1"/>
    <row r="52957" ht="15.75" customHeight="1"/>
    <row r="52958" ht="15.75" customHeight="1"/>
    <row r="52959" ht="15.75" customHeight="1"/>
    <row r="52960" ht="15.75" customHeight="1"/>
    <row r="52961" ht="15.75" customHeight="1"/>
    <row r="52962" ht="15.75" customHeight="1"/>
    <row r="52963" ht="15.75" customHeight="1"/>
    <row r="52964" ht="15.75" customHeight="1"/>
    <row r="52965" ht="15.75" customHeight="1"/>
    <row r="52966" ht="15.75" customHeight="1"/>
    <row r="52967" ht="15.75" customHeight="1"/>
    <row r="52968" ht="15.75" customHeight="1"/>
    <row r="52969" ht="15.75" customHeight="1"/>
    <row r="52970" ht="15.75" customHeight="1"/>
    <row r="52971" ht="15.75" customHeight="1"/>
    <row r="52972" ht="15.75" customHeight="1"/>
    <row r="52973" ht="15.75" customHeight="1"/>
    <row r="52974" ht="15.75" customHeight="1"/>
    <row r="52975" ht="15.75" customHeight="1"/>
    <row r="52976" ht="15.75" customHeight="1"/>
    <row r="52977" ht="15.75" customHeight="1"/>
    <row r="52978" ht="15.75" customHeight="1"/>
    <row r="52979" ht="15.75" customHeight="1"/>
    <row r="52980" ht="15.75" customHeight="1"/>
    <row r="52981" ht="15.75" customHeight="1"/>
    <row r="52982" ht="15.75" customHeight="1"/>
    <row r="52983" ht="15.75" customHeight="1"/>
    <row r="52984" ht="15.75" customHeight="1"/>
    <row r="52985" ht="15.75" customHeight="1"/>
    <row r="52986" ht="15.75" customHeight="1"/>
    <row r="52987" ht="15.75" customHeight="1"/>
    <row r="52988" ht="15.75" customHeight="1"/>
    <row r="52989" ht="15.75" customHeight="1"/>
    <row r="52990" ht="15.75" customHeight="1"/>
    <row r="52991" ht="15.75" customHeight="1"/>
    <row r="52992" ht="15.75" customHeight="1"/>
    <row r="52993" ht="15.75" customHeight="1"/>
    <row r="52994" ht="15.75" customHeight="1"/>
    <row r="52995" ht="15.75" customHeight="1"/>
    <row r="52996" ht="15.75" customHeight="1"/>
    <row r="52997" ht="15.75" customHeight="1"/>
    <row r="52998" ht="15.75" customHeight="1"/>
    <row r="52999" ht="15.75" customHeight="1"/>
    <row r="53000" ht="15.75" customHeight="1"/>
    <row r="53001" ht="15.75" customHeight="1"/>
    <row r="53002" ht="15.75" customHeight="1"/>
    <row r="53003" ht="15.75" customHeight="1"/>
    <row r="53004" ht="15.75" customHeight="1"/>
    <row r="53005" ht="15.75" customHeight="1"/>
    <row r="53006" ht="15.75" customHeight="1"/>
    <row r="53007" ht="15.75" customHeight="1"/>
    <row r="53008" ht="15.75" customHeight="1"/>
    <row r="53009" ht="15.75" customHeight="1"/>
    <row r="53010" ht="15.75" customHeight="1"/>
    <row r="53011" ht="15.75" customHeight="1"/>
    <row r="53012" ht="15.75" customHeight="1"/>
    <row r="53013" ht="15.75" customHeight="1"/>
    <row r="53014" ht="15.75" customHeight="1"/>
    <row r="53015" ht="15.75" customHeight="1"/>
    <row r="53016" ht="15.75" customHeight="1"/>
    <row r="53017" ht="15.75" customHeight="1"/>
    <row r="53018" ht="15.75" customHeight="1"/>
    <row r="53019" ht="15.75" customHeight="1"/>
    <row r="53020" ht="15.75" customHeight="1"/>
    <row r="53021" ht="15.75" customHeight="1"/>
    <row r="53022" ht="15.75" customHeight="1"/>
    <row r="53023" ht="15.75" customHeight="1"/>
    <row r="53024" ht="15.75" customHeight="1"/>
    <row r="53025" ht="15.75" customHeight="1"/>
    <row r="53026" ht="15.75" customHeight="1"/>
    <row r="53027" ht="15.75" customHeight="1"/>
    <row r="53028" ht="15.75" customHeight="1"/>
    <row r="53029" ht="15.75" customHeight="1"/>
    <row r="53030" ht="15.75" customHeight="1"/>
    <row r="53031" ht="15.75" customHeight="1"/>
    <row r="53032" ht="15.75" customHeight="1"/>
    <row r="53033" ht="15.75" customHeight="1"/>
    <row r="53034" ht="15.75" customHeight="1"/>
    <row r="53035" ht="15.75" customHeight="1"/>
    <row r="53036" ht="15.75" customHeight="1"/>
    <row r="53037" ht="15.75" customHeight="1"/>
    <row r="53038" ht="15.75" customHeight="1"/>
    <row r="53039" ht="15.75" customHeight="1"/>
    <row r="53040" ht="15.75" customHeight="1"/>
    <row r="53041" ht="15.75" customHeight="1"/>
    <row r="53042" ht="15.75" customHeight="1"/>
    <row r="53043" ht="15.75" customHeight="1"/>
    <row r="53044" ht="15.75" customHeight="1"/>
    <row r="53045" ht="15.75" customHeight="1"/>
    <row r="53046" ht="15.75" customHeight="1"/>
    <row r="53047" ht="15.75" customHeight="1"/>
    <row r="53048" ht="15.75" customHeight="1"/>
    <row r="53049" ht="15.75" customHeight="1"/>
    <row r="53050" ht="15.75" customHeight="1"/>
    <row r="53051" ht="15.75" customHeight="1"/>
    <row r="53052" ht="15.75" customHeight="1"/>
    <row r="53053" ht="15.75" customHeight="1"/>
    <row r="53054" ht="15.75" customHeight="1"/>
    <row r="53055" ht="15.75" customHeight="1"/>
    <row r="53056" ht="15.75" customHeight="1"/>
    <row r="53057" ht="15.75" customHeight="1"/>
    <row r="53058" ht="15.75" customHeight="1"/>
    <row r="53059" ht="15.75" customHeight="1"/>
    <row r="53060" ht="15.75" customHeight="1"/>
    <row r="53061" ht="15.75" customHeight="1"/>
    <row r="53062" ht="15.75" customHeight="1"/>
    <row r="53063" ht="15.75" customHeight="1"/>
    <row r="53064" ht="15.75" customHeight="1"/>
    <row r="53065" ht="15.75" customHeight="1"/>
    <row r="53066" ht="15.75" customHeight="1"/>
    <row r="53067" ht="15.75" customHeight="1"/>
    <row r="53068" ht="15.75" customHeight="1"/>
    <row r="53069" ht="15.75" customHeight="1"/>
    <row r="53070" ht="15.75" customHeight="1"/>
    <row r="53071" ht="15.75" customHeight="1"/>
    <row r="53072" ht="15.75" customHeight="1"/>
    <row r="53073" ht="15.75" customHeight="1"/>
    <row r="53074" ht="15.75" customHeight="1"/>
    <row r="53075" ht="15.75" customHeight="1"/>
    <row r="53076" ht="15.75" customHeight="1"/>
    <row r="53077" ht="15.75" customHeight="1"/>
    <row r="53078" ht="15.75" customHeight="1"/>
    <row r="53079" ht="15.75" customHeight="1"/>
    <row r="53080" ht="15.75" customHeight="1"/>
    <row r="53081" ht="15.75" customHeight="1"/>
    <row r="53082" ht="15.75" customHeight="1"/>
    <row r="53083" ht="15.75" customHeight="1"/>
    <row r="53084" ht="15.75" customHeight="1"/>
    <row r="53085" ht="15.75" customHeight="1"/>
    <row r="53086" ht="15.75" customHeight="1"/>
    <row r="53087" ht="15.75" customHeight="1"/>
    <row r="53088" ht="15.75" customHeight="1"/>
    <row r="53089" ht="15.75" customHeight="1"/>
    <row r="53090" ht="15.75" customHeight="1"/>
    <row r="53091" ht="15.75" customHeight="1"/>
    <row r="53092" ht="15.75" customHeight="1"/>
    <row r="53093" ht="15.75" customHeight="1"/>
    <row r="53094" ht="15.75" customHeight="1"/>
    <row r="53095" ht="15.75" customHeight="1"/>
    <row r="53096" ht="15.75" customHeight="1"/>
    <row r="53097" ht="15.75" customHeight="1"/>
    <row r="53098" ht="15.75" customHeight="1"/>
    <row r="53099" ht="15.75" customHeight="1"/>
    <row r="53100" ht="15.75" customHeight="1"/>
    <row r="53101" ht="15.75" customHeight="1"/>
    <row r="53102" ht="15.75" customHeight="1"/>
    <row r="53103" ht="15.75" customHeight="1"/>
    <row r="53104" ht="15.75" customHeight="1"/>
    <row r="53105" ht="15.75" customHeight="1"/>
    <row r="53106" ht="15.75" customHeight="1"/>
    <row r="53107" ht="15.75" customHeight="1"/>
    <row r="53108" ht="15.75" customHeight="1"/>
    <row r="53109" ht="15.75" customHeight="1"/>
    <row r="53110" ht="15.75" customHeight="1"/>
    <row r="53111" ht="15.75" customHeight="1"/>
    <row r="53112" ht="15.75" customHeight="1"/>
    <row r="53113" ht="15.75" customHeight="1"/>
    <row r="53114" ht="15.75" customHeight="1"/>
    <row r="53115" ht="15.75" customHeight="1"/>
    <row r="53116" ht="15.75" customHeight="1"/>
    <row r="53117" ht="15.75" customHeight="1"/>
    <row r="53118" ht="15.75" customHeight="1"/>
    <row r="53119" ht="15.75" customHeight="1"/>
    <row r="53120" ht="15.75" customHeight="1"/>
    <row r="53121" ht="15.75" customHeight="1"/>
    <row r="53122" ht="15.75" customHeight="1"/>
    <row r="53123" ht="15.75" customHeight="1"/>
    <row r="53124" ht="15.75" customHeight="1"/>
    <row r="53125" ht="15.75" customHeight="1"/>
    <row r="53126" ht="15.75" customHeight="1"/>
    <row r="53127" ht="15.75" customHeight="1"/>
    <row r="53128" ht="15.75" customHeight="1"/>
    <row r="53129" ht="15.75" customHeight="1"/>
    <row r="53130" ht="15.75" customHeight="1"/>
    <row r="53131" ht="15.75" customHeight="1"/>
    <row r="53132" ht="15.75" customHeight="1"/>
    <row r="53133" ht="15.75" customHeight="1"/>
    <row r="53134" ht="15.75" customHeight="1"/>
    <row r="53135" ht="15.75" customHeight="1"/>
    <row r="53136" ht="15.75" customHeight="1"/>
    <row r="53137" ht="15.75" customHeight="1"/>
    <row r="53138" ht="15.75" customHeight="1"/>
    <row r="53139" ht="15.75" customHeight="1"/>
    <row r="53140" ht="15.75" customHeight="1"/>
    <row r="53141" ht="15.75" customHeight="1"/>
    <row r="53142" ht="15.75" customHeight="1"/>
    <row r="53143" ht="15.75" customHeight="1"/>
    <row r="53144" ht="15.75" customHeight="1"/>
    <row r="53145" ht="15.75" customHeight="1"/>
    <row r="53146" ht="15.75" customHeight="1"/>
    <row r="53147" ht="15.75" customHeight="1"/>
    <row r="53148" ht="15.75" customHeight="1"/>
    <row r="53149" ht="15.75" customHeight="1"/>
    <row r="53150" ht="15.75" customHeight="1"/>
    <row r="53151" ht="15.75" customHeight="1"/>
    <row r="53152" ht="15.75" customHeight="1"/>
    <row r="53153" ht="15.75" customHeight="1"/>
    <row r="53154" ht="15.75" customHeight="1"/>
    <row r="53155" ht="15.75" customHeight="1"/>
    <row r="53156" ht="15.75" customHeight="1"/>
    <row r="53157" ht="15.75" customHeight="1"/>
    <row r="53158" ht="15.75" customHeight="1"/>
    <row r="53159" ht="15.75" customHeight="1"/>
    <row r="53160" ht="15.75" customHeight="1"/>
    <row r="53161" ht="15.75" customHeight="1"/>
    <row r="53162" ht="15.75" customHeight="1"/>
    <row r="53163" ht="15.75" customHeight="1"/>
    <row r="53164" ht="15.75" customHeight="1"/>
    <row r="53165" ht="15.75" customHeight="1"/>
    <row r="53166" ht="15.75" customHeight="1"/>
    <row r="53167" ht="15.75" customHeight="1"/>
    <row r="53168" ht="15.75" customHeight="1"/>
    <row r="53169" ht="15.75" customHeight="1"/>
    <row r="53170" ht="15.75" customHeight="1"/>
    <row r="53171" ht="15.75" customHeight="1"/>
    <row r="53172" ht="15.75" customHeight="1"/>
    <row r="53173" ht="15.75" customHeight="1"/>
    <row r="53174" ht="15.75" customHeight="1"/>
    <row r="53175" ht="15.75" customHeight="1"/>
    <row r="53176" ht="15.75" customHeight="1"/>
    <row r="53177" ht="15.75" customHeight="1"/>
    <row r="53178" ht="15.75" customHeight="1"/>
    <row r="53179" ht="15.75" customHeight="1"/>
    <row r="53180" ht="15.75" customHeight="1"/>
    <row r="53181" ht="15.75" customHeight="1"/>
    <row r="53182" ht="15.75" customHeight="1"/>
    <row r="53183" ht="15.75" customHeight="1"/>
    <row r="53184" ht="15.75" customHeight="1"/>
    <row r="53185" ht="15.75" customHeight="1"/>
    <row r="53186" ht="15.75" customHeight="1"/>
    <row r="53187" ht="15.75" customHeight="1"/>
    <row r="53188" ht="15.75" customHeight="1"/>
    <row r="53189" ht="15.75" customHeight="1"/>
    <row r="53190" ht="15.75" customHeight="1"/>
    <row r="53191" ht="15.75" customHeight="1"/>
    <row r="53192" ht="15.75" customHeight="1"/>
    <row r="53193" ht="15.75" customHeight="1"/>
    <row r="53194" ht="15.75" customHeight="1"/>
    <row r="53195" ht="15.75" customHeight="1"/>
    <row r="53196" ht="15.75" customHeight="1"/>
    <row r="53197" ht="15.75" customHeight="1"/>
    <row r="53198" ht="15.75" customHeight="1"/>
    <row r="53199" ht="15.75" customHeight="1"/>
    <row r="53200" ht="15.75" customHeight="1"/>
    <row r="53201" ht="15.75" customHeight="1"/>
    <row r="53202" ht="15.75" customHeight="1"/>
    <row r="53203" ht="15.75" customHeight="1"/>
    <row r="53204" ht="15.75" customHeight="1"/>
    <row r="53205" ht="15.75" customHeight="1"/>
    <row r="53206" ht="15.75" customHeight="1"/>
    <row r="53207" ht="15.75" customHeight="1"/>
    <row r="53208" ht="15.75" customHeight="1"/>
    <row r="53209" ht="15.75" customHeight="1"/>
    <row r="53210" ht="15.75" customHeight="1"/>
    <row r="53211" ht="15.75" customHeight="1"/>
    <row r="53212" ht="15.75" customHeight="1"/>
    <row r="53213" ht="15.75" customHeight="1"/>
    <row r="53214" ht="15.75" customHeight="1"/>
    <row r="53215" ht="15.75" customHeight="1"/>
    <row r="53216" ht="15.75" customHeight="1"/>
    <row r="53217" ht="15.75" customHeight="1"/>
    <row r="53218" ht="15.75" customHeight="1"/>
    <row r="53219" ht="15.75" customHeight="1"/>
    <row r="53220" ht="15.75" customHeight="1"/>
    <row r="53221" ht="15.75" customHeight="1"/>
    <row r="53222" ht="15.75" customHeight="1"/>
    <row r="53223" ht="15.75" customHeight="1"/>
    <row r="53224" ht="15.75" customHeight="1"/>
    <row r="53225" ht="15.75" customHeight="1"/>
    <row r="53226" ht="15.75" customHeight="1"/>
    <row r="53227" ht="15.75" customHeight="1"/>
    <row r="53228" ht="15.75" customHeight="1"/>
    <row r="53229" ht="15.75" customHeight="1"/>
    <row r="53230" ht="15.75" customHeight="1"/>
    <row r="53231" ht="15.75" customHeight="1"/>
    <row r="53232" ht="15.75" customHeight="1"/>
    <row r="53233" ht="15.75" customHeight="1"/>
    <row r="53234" ht="15.75" customHeight="1"/>
    <row r="53235" ht="15.75" customHeight="1"/>
    <row r="53236" ht="15.75" customHeight="1"/>
    <row r="53237" ht="15.75" customHeight="1"/>
    <row r="53238" ht="15.75" customHeight="1"/>
    <row r="53239" ht="15.75" customHeight="1"/>
    <row r="53240" ht="15.75" customHeight="1"/>
    <row r="53241" ht="15.75" customHeight="1"/>
    <row r="53242" ht="15.75" customHeight="1"/>
    <row r="53243" ht="15.75" customHeight="1"/>
    <row r="53244" ht="15.75" customHeight="1"/>
    <row r="53245" ht="15.75" customHeight="1"/>
    <row r="53246" ht="15.75" customHeight="1"/>
    <row r="53247" ht="15.75" customHeight="1"/>
    <row r="53248" ht="15.75" customHeight="1"/>
    <row r="53249" ht="15.75" customHeight="1"/>
    <row r="53250" ht="15.75" customHeight="1"/>
    <row r="53251" ht="15.75" customHeight="1"/>
    <row r="53252" ht="15.75" customHeight="1"/>
    <row r="53253" ht="15.75" customHeight="1"/>
    <row r="53254" ht="15.75" customHeight="1"/>
    <row r="53255" ht="15.75" customHeight="1"/>
    <row r="53256" ht="15.75" customHeight="1"/>
    <row r="53257" ht="15.75" customHeight="1"/>
    <row r="53258" ht="15.75" customHeight="1"/>
    <row r="53259" ht="15.75" customHeight="1"/>
    <row r="53260" ht="15.75" customHeight="1"/>
    <row r="53261" ht="15.75" customHeight="1"/>
    <row r="53262" ht="15.75" customHeight="1"/>
    <row r="53263" ht="15.75" customHeight="1"/>
    <row r="53264" ht="15.75" customHeight="1"/>
    <row r="53265" ht="15.75" customHeight="1"/>
    <row r="53266" ht="15.75" customHeight="1"/>
    <row r="53267" ht="15.75" customHeight="1"/>
    <row r="53268" ht="15.75" customHeight="1"/>
    <row r="53269" ht="15.75" customHeight="1"/>
    <row r="53270" ht="15.75" customHeight="1"/>
    <row r="53271" ht="15.75" customHeight="1"/>
    <row r="53272" ht="15.75" customHeight="1"/>
    <row r="53273" ht="15.75" customHeight="1"/>
    <row r="53274" ht="15.75" customHeight="1"/>
    <row r="53275" ht="15.75" customHeight="1"/>
    <row r="53276" ht="15.75" customHeight="1"/>
    <row r="53277" ht="15.75" customHeight="1"/>
    <row r="53278" ht="15.75" customHeight="1"/>
    <row r="53279" ht="15.75" customHeight="1"/>
    <row r="53280" ht="15.75" customHeight="1"/>
    <row r="53281" ht="15.75" customHeight="1"/>
    <row r="53282" ht="15.75" customHeight="1"/>
    <row r="53283" ht="15.75" customHeight="1"/>
    <row r="53284" ht="15.75" customHeight="1"/>
    <row r="53285" ht="15.75" customHeight="1"/>
    <row r="53286" ht="15.75" customHeight="1"/>
    <row r="53287" ht="15.75" customHeight="1"/>
    <row r="53288" ht="15.75" customHeight="1"/>
    <row r="53289" ht="15.75" customHeight="1"/>
    <row r="53290" ht="15.75" customHeight="1"/>
    <row r="53291" ht="15.75" customHeight="1"/>
    <row r="53292" ht="15.75" customHeight="1"/>
    <row r="53293" ht="15.75" customHeight="1"/>
    <row r="53294" ht="15.75" customHeight="1"/>
    <row r="53295" ht="15.75" customHeight="1"/>
    <row r="53296" ht="15.75" customHeight="1"/>
    <row r="53297" ht="15.75" customHeight="1"/>
    <row r="53298" ht="15.75" customHeight="1"/>
    <row r="53299" ht="15.75" customHeight="1"/>
    <row r="53300" ht="15.75" customHeight="1"/>
    <row r="53301" ht="15.75" customHeight="1"/>
    <row r="53302" ht="15.75" customHeight="1"/>
    <row r="53303" ht="15.75" customHeight="1"/>
    <row r="53304" ht="15.75" customHeight="1"/>
    <row r="53305" ht="15.75" customHeight="1"/>
    <row r="53306" ht="15.75" customHeight="1"/>
    <row r="53307" ht="15.75" customHeight="1"/>
    <row r="53308" ht="15.75" customHeight="1"/>
    <row r="53309" ht="15.75" customHeight="1"/>
    <row r="53310" ht="15.75" customHeight="1"/>
    <row r="53311" ht="15.75" customHeight="1"/>
    <row r="53312" ht="15.75" customHeight="1"/>
    <row r="53313" ht="15.75" customHeight="1"/>
    <row r="53314" ht="15.75" customHeight="1"/>
    <row r="53315" ht="15.75" customHeight="1"/>
    <row r="53316" ht="15.75" customHeight="1"/>
    <row r="53317" ht="15.75" customHeight="1"/>
    <row r="53318" ht="15.75" customHeight="1"/>
    <row r="53319" ht="15.75" customHeight="1"/>
    <row r="53320" ht="15.75" customHeight="1"/>
    <row r="53321" ht="15.75" customHeight="1"/>
    <row r="53322" ht="15.75" customHeight="1"/>
    <row r="53323" ht="15.75" customHeight="1"/>
    <row r="53324" ht="15.75" customHeight="1"/>
    <row r="53325" ht="15.75" customHeight="1"/>
    <row r="53326" ht="15.75" customHeight="1"/>
    <row r="53327" ht="15.75" customHeight="1"/>
    <row r="53328" ht="15.75" customHeight="1"/>
    <row r="53329" ht="15.75" customHeight="1"/>
    <row r="53330" ht="15.75" customHeight="1"/>
    <row r="53331" ht="15.75" customHeight="1"/>
    <row r="53332" ht="15.75" customHeight="1"/>
    <row r="53333" ht="15.75" customHeight="1"/>
    <row r="53334" ht="15.75" customHeight="1"/>
    <row r="53335" ht="15.75" customHeight="1"/>
    <row r="53336" ht="15.75" customHeight="1"/>
    <row r="53337" ht="15.75" customHeight="1"/>
    <row r="53338" ht="15.75" customHeight="1"/>
    <row r="53339" ht="15.75" customHeight="1"/>
    <row r="53340" ht="15.75" customHeight="1"/>
    <row r="53341" ht="15.75" customHeight="1"/>
    <row r="53342" ht="15.75" customHeight="1"/>
    <row r="53343" ht="15.75" customHeight="1"/>
    <row r="53344" ht="15.75" customHeight="1"/>
    <row r="53345" ht="15.75" customHeight="1"/>
    <row r="53346" ht="15.75" customHeight="1"/>
    <row r="53347" ht="15.75" customHeight="1"/>
    <row r="53348" ht="15.75" customHeight="1"/>
    <row r="53349" ht="15.75" customHeight="1"/>
    <row r="53350" ht="15.75" customHeight="1"/>
    <row r="53351" ht="15.75" customHeight="1"/>
    <row r="53352" ht="15.75" customHeight="1"/>
    <row r="53353" ht="15.75" customHeight="1"/>
    <row r="53354" ht="15.75" customHeight="1"/>
    <row r="53355" ht="15.75" customHeight="1"/>
    <row r="53356" ht="15.75" customHeight="1"/>
    <row r="53357" ht="15.75" customHeight="1"/>
    <row r="53358" ht="15.75" customHeight="1"/>
    <row r="53359" ht="15.75" customHeight="1"/>
    <row r="53360" ht="15.75" customHeight="1"/>
    <row r="53361" ht="15.75" customHeight="1"/>
    <row r="53362" ht="15.75" customHeight="1"/>
    <row r="53363" ht="15.75" customHeight="1"/>
    <row r="53364" ht="15.75" customHeight="1"/>
    <row r="53365" ht="15.75" customHeight="1"/>
    <row r="53366" ht="15.75" customHeight="1"/>
    <row r="53367" ht="15.75" customHeight="1"/>
    <row r="53368" ht="15.75" customHeight="1"/>
    <row r="53369" ht="15.75" customHeight="1"/>
    <row r="53370" ht="15.75" customHeight="1"/>
    <row r="53371" ht="15.75" customHeight="1"/>
    <row r="53372" ht="15.75" customHeight="1"/>
    <row r="53373" ht="15.75" customHeight="1"/>
    <row r="53374" ht="15.75" customHeight="1"/>
    <row r="53375" ht="15.75" customHeight="1"/>
    <row r="53376" ht="15.75" customHeight="1"/>
    <row r="53377" ht="15.75" customHeight="1"/>
    <row r="53378" ht="15.75" customHeight="1"/>
    <row r="53379" ht="15.75" customHeight="1"/>
    <row r="53380" ht="15.75" customHeight="1"/>
    <row r="53381" ht="15.75" customHeight="1"/>
    <row r="53382" ht="15.75" customHeight="1"/>
    <row r="53383" ht="15.75" customHeight="1"/>
    <row r="53384" ht="15.75" customHeight="1"/>
    <row r="53385" ht="15.75" customHeight="1"/>
    <row r="53386" ht="15.75" customHeight="1"/>
    <row r="53387" ht="15.75" customHeight="1"/>
    <row r="53388" ht="15.75" customHeight="1"/>
    <row r="53389" ht="15.75" customHeight="1"/>
    <row r="53390" ht="15.75" customHeight="1"/>
    <row r="53391" ht="15.75" customHeight="1"/>
    <row r="53392" ht="15.75" customHeight="1"/>
    <row r="53393" ht="15.75" customHeight="1"/>
    <row r="53394" ht="15.75" customHeight="1"/>
    <row r="53395" ht="15.75" customHeight="1"/>
    <row r="53396" ht="15.75" customHeight="1"/>
    <row r="53397" ht="15.75" customHeight="1"/>
    <row r="53398" ht="15.75" customHeight="1"/>
    <row r="53399" ht="15.75" customHeight="1"/>
    <row r="53400" ht="15.75" customHeight="1"/>
    <row r="53401" ht="15.75" customHeight="1"/>
    <row r="53402" ht="15.75" customHeight="1"/>
    <row r="53403" ht="15.75" customHeight="1"/>
    <row r="53404" ht="15.75" customHeight="1"/>
    <row r="53405" ht="15.75" customHeight="1"/>
    <row r="53406" ht="15.75" customHeight="1"/>
    <row r="53407" ht="15.75" customHeight="1"/>
    <row r="53408" ht="15.75" customHeight="1"/>
    <row r="53409" ht="15.75" customHeight="1"/>
    <row r="53410" ht="15.75" customHeight="1"/>
    <row r="53411" ht="15.75" customHeight="1"/>
    <row r="53412" ht="15.75" customHeight="1"/>
    <row r="53413" ht="15.75" customHeight="1"/>
    <row r="53414" ht="15.75" customHeight="1"/>
    <row r="53415" ht="15.75" customHeight="1"/>
    <row r="53416" ht="15.75" customHeight="1"/>
    <row r="53417" ht="15.75" customHeight="1"/>
    <row r="53418" ht="15.75" customHeight="1"/>
    <row r="53419" ht="15.75" customHeight="1"/>
    <row r="53420" ht="15.75" customHeight="1"/>
    <row r="53421" ht="15.75" customHeight="1"/>
    <row r="53422" ht="15.75" customHeight="1"/>
    <row r="53423" ht="15.75" customHeight="1"/>
    <row r="53424" ht="15.75" customHeight="1"/>
    <row r="53425" ht="15.75" customHeight="1"/>
    <row r="53426" ht="15.75" customHeight="1"/>
    <row r="53427" ht="15.75" customHeight="1"/>
    <row r="53428" ht="15.75" customHeight="1"/>
    <row r="53429" ht="15.75" customHeight="1"/>
    <row r="53430" ht="15.75" customHeight="1"/>
    <row r="53431" ht="15.75" customHeight="1"/>
    <row r="53432" ht="15.75" customHeight="1"/>
    <row r="53433" ht="15.75" customHeight="1"/>
    <row r="53434" ht="15.75" customHeight="1"/>
    <row r="53435" ht="15.75" customHeight="1"/>
    <row r="53436" ht="15.75" customHeight="1"/>
    <row r="53437" ht="15.75" customHeight="1"/>
    <row r="53438" ht="15.75" customHeight="1"/>
    <row r="53439" ht="15.75" customHeight="1"/>
    <row r="53440" ht="15.75" customHeight="1"/>
    <row r="53441" ht="15.75" customHeight="1"/>
    <row r="53442" ht="15.75" customHeight="1"/>
    <row r="53443" ht="15.75" customHeight="1"/>
    <row r="53444" ht="15.75" customHeight="1"/>
    <row r="53445" ht="15.75" customHeight="1"/>
    <row r="53446" ht="15.75" customHeight="1"/>
    <row r="53447" ht="15.75" customHeight="1"/>
    <row r="53448" ht="15.75" customHeight="1"/>
    <row r="53449" ht="15.75" customHeight="1"/>
    <row r="53450" ht="15.75" customHeight="1"/>
    <row r="53451" ht="15.75" customHeight="1"/>
    <row r="53452" ht="15.75" customHeight="1"/>
    <row r="53453" ht="15.75" customHeight="1"/>
    <row r="53454" ht="15.75" customHeight="1"/>
    <row r="53455" ht="15.75" customHeight="1"/>
    <row r="53456" ht="15.75" customHeight="1"/>
    <row r="53457" ht="15.75" customHeight="1"/>
    <row r="53458" ht="15.75" customHeight="1"/>
    <row r="53459" ht="15.75" customHeight="1"/>
    <row r="53460" ht="15.75" customHeight="1"/>
    <row r="53461" ht="15.75" customHeight="1"/>
    <row r="53462" ht="15.75" customHeight="1"/>
    <row r="53463" ht="15.75" customHeight="1"/>
    <row r="53464" ht="15.75" customHeight="1"/>
    <row r="53465" ht="15.75" customHeight="1"/>
    <row r="53466" ht="15.75" customHeight="1"/>
    <row r="53467" ht="15.75" customHeight="1"/>
    <row r="53468" ht="15.75" customHeight="1"/>
    <row r="53469" ht="15.75" customHeight="1"/>
    <row r="53470" ht="15.75" customHeight="1"/>
    <row r="53471" ht="15.75" customHeight="1"/>
    <row r="53472" ht="15.75" customHeight="1"/>
    <row r="53473" ht="15.75" customHeight="1"/>
    <row r="53474" ht="15.75" customHeight="1"/>
    <row r="53475" ht="15.75" customHeight="1"/>
    <row r="53476" ht="15.75" customHeight="1"/>
    <row r="53477" ht="15.75" customHeight="1"/>
    <row r="53478" ht="15.75" customHeight="1"/>
    <row r="53479" ht="15.75" customHeight="1"/>
    <row r="53480" ht="15.75" customHeight="1"/>
    <row r="53481" ht="15.75" customHeight="1"/>
    <row r="53482" ht="15.75" customHeight="1"/>
    <row r="53483" ht="15.75" customHeight="1"/>
    <row r="53484" ht="15.75" customHeight="1"/>
    <row r="53485" ht="15.75" customHeight="1"/>
    <row r="53486" ht="15.75" customHeight="1"/>
    <row r="53487" ht="15.75" customHeight="1"/>
    <row r="53488" ht="15.75" customHeight="1"/>
    <row r="53489" ht="15.75" customHeight="1"/>
    <row r="53490" ht="15.75" customHeight="1"/>
    <row r="53491" ht="15.75" customHeight="1"/>
    <row r="53492" ht="15.75" customHeight="1"/>
    <row r="53493" ht="15.75" customHeight="1"/>
    <row r="53494" ht="15.75" customHeight="1"/>
    <row r="53495" ht="15.75" customHeight="1"/>
    <row r="53496" ht="15.75" customHeight="1"/>
    <row r="53497" ht="15.75" customHeight="1"/>
    <row r="53498" ht="15.75" customHeight="1"/>
    <row r="53499" ht="15.75" customHeight="1"/>
    <row r="53500" ht="15.75" customHeight="1"/>
    <row r="53501" ht="15.75" customHeight="1"/>
    <row r="53502" ht="15.75" customHeight="1"/>
    <row r="53503" ht="15.75" customHeight="1"/>
    <row r="53504" ht="15.75" customHeight="1"/>
    <row r="53505" ht="15.75" customHeight="1"/>
    <row r="53506" ht="15.75" customHeight="1"/>
    <row r="53507" ht="15.75" customHeight="1"/>
    <row r="53508" ht="15.75" customHeight="1"/>
    <row r="53509" ht="15.75" customHeight="1"/>
    <row r="53510" ht="15.75" customHeight="1"/>
    <row r="53511" ht="15.75" customHeight="1"/>
    <row r="53512" ht="15.75" customHeight="1"/>
    <row r="53513" ht="15.75" customHeight="1"/>
    <row r="53514" ht="15.75" customHeight="1"/>
    <row r="53515" ht="15.75" customHeight="1"/>
    <row r="53516" ht="15.75" customHeight="1"/>
    <row r="53517" ht="15.75" customHeight="1"/>
    <row r="53518" ht="15.75" customHeight="1"/>
    <row r="53519" ht="15.75" customHeight="1"/>
    <row r="53520" ht="15.75" customHeight="1"/>
    <row r="53521" ht="15.75" customHeight="1"/>
    <row r="53522" ht="15.75" customHeight="1"/>
    <row r="53523" ht="15.75" customHeight="1"/>
    <row r="53524" ht="15.75" customHeight="1"/>
    <row r="53525" ht="15.75" customHeight="1"/>
    <row r="53526" ht="15.75" customHeight="1"/>
    <row r="53527" ht="15.75" customHeight="1"/>
    <row r="53528" ht="15.75" customHeight="1"/>
    <row r="53529" ht="15.75" customHeight="1"/>
    <row r="53530" ht="15.75" customHeight="1"/>
    <row r="53531" ht="15.75" customHeight="1"/>
    <row r="53532" ht="15.75" customHeight="1"/>
    <row r="53533" ht="15.75" customHeight="1"/>
    <row r="53534" ht="15.75" customHeight="1"/>
    <row r="53535" ht="15.75" customHeight="1"/>
    <row r="53536" ht="15.75" customHeight="1"/>
    <row r="53537" ht="15.75" customHeight="1"/>
    <row r="53538" ht="15.75" customHeight="1"/>
    <row r="53539" ht="15.75" customHeight="1"/>
    <row r="53540" ht="15.75" customHeight="1"/>
    <row r="53541" ht="15.75" customHeight="1"/>
    <row r="53542" ht="15.75" customHeight="1"/>
    <row r="53543" ht="15.75" customHeight="1"/>
    <row r="53544" ht="15.75" customHeight="1"/>
    <row r="53545" ht="15.75" customHeight="1"/>
    <row r="53546" ht="15.75" customHeight="1"/>
    <row r="53547" ht="15.75" customHeight="1"/>
    <row r="53548" ht="15.75" customHeight="1"/>
    <row r="53549" ht="15.75" customHeight="1"/>
    <row r="53550" ht="15.75" customHeight="1"/>
    <row r="53551" ht="15.75" customHeight="1"/>
    <row r="53552" ht="15.75" customHeight="1"/>
    <row r="53553" ht="15.75" customHeight="1"/>
    <row r="53554" ht="15.75" customHeight="1"/>
    <row r="53555" ht="15.75" customHeight="1"/>
    <row r="53556" ht="15.75" customHeight="1"/>
    <row r="53557" ht="15.75" customHeight="1"/>
    <row r="53558" ht="15.75" customHeight="1"/>
    <row r="53559" ht="15.75" customHeight="1"/>
    <row r="53560" ht="15.75" customHeight="1"/>
    <row r="53561" ht="15.75" customHeight="1"/>
    <row r="53562" ht="15.75" customHeight="1"/>
    <row r="53563" ht="15.75" customHeight="1"/>
    <row r="53564" ht="15.75" customHeight="1"/>
    <row r="53565" ht="15.75" customHeight="1"/>
    <row r="53566" ht="15.75" customHeight="1"/>
    <row r="53567" ht="15.75" customHeight="1"/>
    <row r="53568" ht="15.75" customHeight="1"/>
    <row r="53569" ht="15.75" customHeight="1"/>
    <row r="53570" ht="15.75" customHeight="1"/>
    <row r="53571" ht="15.75" customHeight="1"/>
    <row r="53572" ht="15.75" customHeight="1"/>
    <row r="53573" ht="15.75" customHeight="1"/>
    <row r="53574" ht="15.75" customHeight="1"/>
    <row r="53575" ht="15.75" customHeight="1"/>
    <row r="53576" ht="15.75" customHeight="1"/>
    <row r="53577" ht="15.75" customHeight="1"/>
    <row r="53578" ht="15.75" customHeight="1"/>
    <row r="53579" ht="15.75" customHeight="1"/>
    <row r="53580" ht="15.75" customHeight="1"/>
    <row r="53581" ht="15.75" customHeight="1"/>
    <row r="53582" ht="15.75" customHeight="1"/>
    <row r="53583" ht="15.75" customHeight="1"/>
    <row r="53584" ht="15.75" customHeight="1"/>
    <row r="53585" ht="15.75" customHeight="1"/>
    <row r="53586" ht="15.75" customHeight="1"/>
    <row r="53587" ht="15.75" customHeight="1"/>
    <row r="53588" ht="15.75" customHeight="1"/>
    <row r="53589" ht="15.75" customHeight="1"/>
    <row r="53590" ht="15.75" customHeight="1"/>
    <row r="53591" ht="15.75" customHeight="1"/>
    <row r="53592" ht="15.75" customHeight="1"/>
    <row r="53593" ht="15.75" customHeight="1"/>
    <row r="53594" ht="15.75" customHeight="1"/>
    <row r="53595" ht="15.75" customHeight="1"/>
    <row r="53596" ht="15.75" customHeight="1"/>
    <row r="53597" ht="15.75" customHeight="1"/>
    <row r="53598" ht="15.75" customHeight="1"/>
    <row r="53599" ht="15.75" customHeight="1"/>
    <row r="53600" ht="15.75" customHeight="1"/>
    <row r="53601" ht="15.75" customHeight="1"/>
    <row r="53602" ht="15.75" customHeight="1"/>
    <row r="53603" ht="15.75" customHeight="1"/>
    <row r="53604" ht="15.75" customHeight="1"/>
    <row r="53605" ht="15.75" customHeight="1"/>
    <row r="53606" ht="15.75" customHeight="1"/>
    <row r="53607" ht="15.75" customHeight="1"/>
    <row r="53608" ht="15.75" customHeight="1"/>
    <row r="53609" ht="15.75" customHeight="1"/>
    <row r="53610" ht="15.75" customHeight="1"/>
    <row r="53611" ht="15.75" customHeight="1"/>
    <row r="53612" ht="15.75" customHeight="1"/>
    <row r="53613" ht="15.75" customHeight="1"/>
    <row r="53614" ht="15.75" customHeight="1"/>
    <row r="53615" ht="15.75" customHeight="1"/>
    <row r="53616" ht="15.75" customHeight="1"/>
    <row r="53617" ht="15.75" customHeight="1"/>
    <row r="53618" ht="15.75" customHeight="1"/>
    <row r="53619" ht="15.75" customHeight="1"/>
    <row r="53620" ht="15.75" customHeight="1"/>
    <row r="53621" ht="15.75" customHeight="1"/>
    <row r="53622" ht="15.75" customHeight="1"/>
    <row r="53623" ht="15.75" customHeight="1"/>
    <row r="53624" ht="15.75" customHeight="1"/>
    <row r="53625" ht="15.75" customHeight="1"/>
    <row r="53626" ht="15.75" customHeight="1"/>
    <row r="53627" ht="15.75" customHeight="1"/>
    <row r="53628" ht="15.75" customHeight="1"/>
    <row r="53629" ht="15.75" customHeight="1"/>
    <row r="53630" ht="15.75" customHeight="1"/>
    <row r="53631" ht="15.75" customHeight="1"/>
    <row r="53632" ht="15.75" customHeight="1"/>
    <row r="53633" ht="15.75" customHeight="1"/>
    <row r="53634" ht="15.75" customHeight="1"/>
    <row r="53635" ht="15.75" customHeight="1"/>
    <row r="53636" ht="15.75" customHeight="1"/>
    <row r="53637" ht="15.75" customHeight="1"/>
    <row r="53638" ht="15.75" customHeight="1"/>
    <row r="53639" ht="15.75" customHeight="1"/>
    <row r="53640" ht="15.75" customHeight="1"/>
    <row r="53641" ht="15.75" customHeight="1"/>
    <row r="53642" ht="15.75" customHeight="1"/>
    <row r="53643" ht="15.75" customHeight="1"/>
    <row r="53644" ht="15.75" customHeight="1"/>
    <row r="53645" ht="15.75" customHeight="1"/>
    <row r="53646" ht="15.75" customHeight="1"/>
    <row r="53647" ht="15.75" customHeight="1"/>
    <row r="53648" ht="15.75" customHeight="1"/>
    <row r="53649" ht="15.75" customHeight="1"/>
    <row r="53650" ht="15.75" customHeight="1"/>
    <row r="53651" ht="15.75" customHeight="1"/>
    <row r="53652" ht="15.75" customHeight="1"/>
    <row r="53653" ht="15.75" customHeight="1"/>
    <row r="53654" ht="15.75" customHeight="1"/>
    <row r="53655" ht="15.75" customHeight="1"/>
    <row r="53656" ht="15.75" customHeight="1"/>
    <row r="53657" ht="15.75" customHeight="1"/>
    <row r="53658" ht="15.75" customHeight="1"/>
    <row r="53659" ht="15.75" customHeight="1"/>
    <row r="53660" ht="15.75" customHeight="1"/>
    <row r="53661" ht="15.75" customHeight="1"/>
    <row r="53662" ht="15.75" customHeight="1"/>
    <row r="53663" ht="15.75" customHeight="1"/>
    <row r="53664" ht="15.75" customHeight="1"/>
    <row r="53665" ht="15.75" customHeight="1"/>
    <row r="53666" ht="15.75" customHeight="1"/>
    <row r="53667" ht="15.75" customHeight="1"/>
    <row r="53668" ht="15.75" customHeight="1"/>
    <row r="53669" ht="15.75" customHeight="1"/>
    <row r="53670" ht="15.75" customHeight="1"/>
    <row r="53671" ht="15.75" customHeight="1"/>
    <row r="53672" ht="15.75" customHeight="1"/>
    <row r="53673" ht="15.75" customHeight="1"/>
    <row r="53674" ht="15.75" customHeight="1"/>
    <row r="53675" ht="15.75" customHeight="1"/>
    <row r="53676" ht="15.75" customHeight="1"/>
    <row r="53677" ht="15.75" customHeight="1"/>
    <row r="53678" ht="15.75" customHeight="1"/>
    <row r="53679" ht="15.75" customHeight="1"/>
    <row r="53680" ht="15.75" customHeight="1"/>
    <row r="53681" ht="15.75" customHeight="1"/>
    <row r="53682" ht="15.75" customHeight="1"/>
    <row r="53683" ht="15.75" customHeight="1"/>
    <row r="53684" ht="15.75" customHeight="1"/>
    <row r="53685" ht="15.75" customHeight="1"/>
    <row r="53686" ht="15.75" customHeight="1"/>
    <row r="53687" ht="15.75" customHeight="1"/>
    <row r="53688" ht="15.75" customHeight="1"/>
    <row r="53689" ht="15.75" customHeight="1"/>
    <row r="53690" ht="15.75" customHeight="1"/>
    <row r="53691" ht="15.75" customHeight="1"/>
    <row r="53692" ht="15.75" customHeight="1"/>
    <row r="53693" ht="15.75" customHeight="1"/>
    <row r="53694" ht="15.75" customHeight="1"/>
    <row r="53695" ht="15.75" customHeight="1"/>
    <row r="53696" ht="15.75" customHeight="1"/>
    <row r="53697" ht="15.75" customHeight="1"/>
    <row r="53698" ht="15.75" customHeight="1"/>
    <row r="53699" ht="15.75" customHeight="1"/>
    <row r="53700" ht="15.75" customHeight="1"/>
    <row r="53701" ht="15.75" customHeight="1"/>
    <row r="53702" ht="15.75" customHeight="1"/>
    <row r="53703" ht="15.75" customHeight="1"/>
    <row r="53704" ht="15.75" customHeight="1"/>
    <row r="53705" ht="15.75" customHeight="1"/>
    <row r="53706" ht="15.75" customHeight="1"/>
    <row r="53707" ht="15.75" customHeight="1"/>
    <row r="53708" ht="15.75" customHeight="1"/>
    <row r="53709" ht="15.75" customHeight="1"/>
    <row r="53710" ht="15.75" customHeight="1"/>
    <row r="53711" ht="15.75" customHeight="1"/>
    <row r="53712" ht="15.75" customHeight="1"/>
    <row r="53713" ht="15.75" customHeight="1"/>
    <row r="53714" ht="15.75" customHeight="1"/>
    <row r="53715" ht="15.75" customHeight="1"/>
    <row r="53716" ht="15.75" customHeight="1"/>
    <row r="53717" ht="15.75" customHeight="1"/>
    <row r="53718" ht="15.75" customHeight="1"/>
    <row r="53719" ht="15.75" customHeight="1"/>
    <row r="53720" ht="15.75" customHeight="1"/>
    <row r="53721" ht="15.75" customHeight="1"/>
    <row r="53722" ht="15.75" customHeight="1"/>
    <row r="53723" ht="15.75" customHeight="1"/>
    <row r="53724" ht="15.75" customHeight="1"/>
    <row r="53725" ht="15.75" customHeight="1"/>
    <row r="53726" ht="15.75" customHeight="1"/>
    <row r="53727" ht="15.75" customHeight="1"/>
    <row r="53728" ht="15.75" customHeight="1"/>
    <row r="53729" ht="15.75" customHeight="1"/>
    <row r="53730" ht="15.75" customHeight="1"/>
    <row r="53731" ht="15.75" customHeight="1"/>
    <row r="53732" ht="15.75" customHeight="1"/>
    <row r="53733" ht="15.75" customHeight="1"/>
    <row r="53734" ht="15.75" customHeight="1"/>
    <row r="53735" ht="15.75" customHeight="1"/>
    <row r="53736" ht="15.75" customHeight="1"/>
    <row r="53737" ht="15.75" customHeight="1"/>
    <row r="53738" ht="15.75" customHeight="1"/>
    <row r="53739" ht="15.75" customHeight="1"/>
    <row r="53740" ht="15.75" customHeight="1"/>
    <row r="53741" ht="15.75" customHeight="1"/>
    <row r="53742" ht="15.75" customHeight="1"/>
    <row r="53743" ht="15.75" customHeight="1"/>
    <row r="53744" ht="15.75" customHeight="1"/>
    <row r="53745" ht="15.75" customHeight="1"/>
    <row r="53746" ht="15.75" customHeight="1"/>
    <row r="53747" ht="15.75" customHeight="1"/>
    <row r="53748" ht="15.75" customHeight="1"/>
    <row r="53749" ht="15.75" customHeight="1"/>
    <row r="53750" ht="15.75" customHeight="1"/>
    <row r="53751" ht="15.75" customHeight="1"/>
    <row r="53752" ht="15.75" customHeight="1"/>
    <row r="53753" ht="15.75" customHeight="1"/>
    <row r="53754" ht="15.75" customHeight="1"/>
    <row r="53755" ht="15.75" customHeight="1"/>
    <row r="53756" ht="15.75" customHeight="1"/>
    <row r="53757" ht="15.75" customHeight="1"/>
    <row r="53758" ht="15.75" customHeight="1"/>
    <row r="53759" ht="15.75" customHeight="1"/>
    <row r="53760" ht="15.75" customHeight="1"/>
    <row r="53761" ht="15.75" customHeight="1"/>
    <row r="53762" ht="15.75" customHeight="1"/>
    <row r="53763" ht="15.75" customHeight="1"/>
    <row r="53764" ht="15.75" customHeight="1"/>
    <row r="53765" ht="15.75" customHeight="1"/>
    <row r="53766" ht="15.75" customHeight="1"/>
    <row r="53767" ht="15.75" customHeight="1"/>
    <row r="53768" ht="15.75" customHeight="1"/>
    <row r="53769" ht="15.75" customHeight="1"/>
    <row r="53770" ht="15.75" customHeight="1"/>
    <row r="53771" ht="15.75" customHeight="1"/>
    <row r="53772" ht="15.75" customHeight="1"/>
    <row r="53773" ht="15.75" customHeight="1"/>
    <row r="53774" ht="15.75" customHeight="1"/>
    <row r="53775" ht="15.75" customHeight="1"/>
    <row r="53776" ht="15.75" customHeight="1"/>
    <row r="53777" ht="15.75" customHeight="1"/>
    <row r="53778" ht="15.75" customHeight="1"/>
    <row r="53779" ht="15.75" customHeight="1"/>
    <row r="53780" ht="15.75" customHeight="1"/>
    <row r="53781" ht="15.75" customHeight="1"/>
    <row r="53782" ht="15.75" customHeight="1"/>
    <row r="53783" ht="15.75" customHeight="1"/>
    <row r="53784" ht="15.75" customHeight="1"/>
    <row r="53785" ht="15.75" customHeight="1"/>
    <row r="53786" ht="15.75" customHeight="1"/>
    <row r="53787" ht="15.75" customHeight="1"/>
    <row r="53788" ht="15.75" customHeight="1"/>
    <row r="53789" ht="15.75" customHeight="1"/>
    <row r="53790" ht="15.75" customHeight="1"/>
    <row r="53791" ht="15.75" customHeight="1"/>
    <row r="53792" ht="15.75" customHeight="1"/>
    <row r="53793" ht="15.75" customHeight="1"/>
    <row r="53794" ht="15.75" customHeight="1"/>
    <row r="53795" ht="15.75" customHeight="1"/>
    <row r="53796" ht="15.75" customHeight="1"/>
    <row r="53797" ht="15.75" customHeight="1"/>
    <row r="53798" ht="15.75" customHeight="1"/>
    <row r="53799" ht="15.75" customHeight="1"/>
    <row r="53800" ht="15.75" customHeight="1"/>
    <row r="53801" ht="15.75" customHeight="1"/>
    <row r="53802" ht="15.75" customHeight="1"/>
    <row r="53803" ht="15.75" customHeight="1"/>
    <row r="53804" ht="15.75" customHeight="1"/>
    <row r="53805" ht="15.75" customHeight="1"/>
    <row r="53806" ht="15.75" customHeight="1"/>
    <row r="53807" ht="15.75" customHeight="1"/>
    <row r="53808" ht="15.75" customHeight="1"/>
    <row r="53809" ht="15.75" customHeight="1"/>
    <row r="53810" ht="15.75" customHeight="1"/>
    <row r="53811" ht="15.75" customHeight="1"/>
    <row r="53812" ht="15.75" customHeight="1"/>
    <row r="53813" ht="15.75" customHeight="1"/>
    <row r="53814" ht="15.75" customHeight="1"/>
    <row r="53815" ht="15.75" customHeight="1"/>
    <row r="53816" ht="15.75" customHeight="1"/>
    <row r="53817" ht="15.75" customHeight="1"/>
    <row r="53818" ht="15.75" customHeight="1"/>
    <row r="53819" ht="15.75" customHeight="1"/>
    <row r="53820" ht="15.75" customHeight="1"/>
    <row r="53821" ht="15.75" customHeight="1"/>
    <row r="53822" ht="15.75" customHeight="1"/>
    <row r="53823" ht="15.75" customHeight="1"/>
    <row r="53824" ht="15.75" customHeight="1"/>
    <row r="53825" ht="15.75" customHeight="1"/>
    <row r="53826" ht="15.75" customHeight="1"/>
    <row r="53827" ht="15.75" customHeight="1"/>
    <row r="53828" ht="15.75" customHeight="1"/>
    <row r="53829" ht="15.75" customHeight="1"/>
    <row r="53830" ht="15.75" customHeight="1"/>
    <row r="53831" ht="15.75" customHeight="1"/>
    <row r="53832" ht="15.75" customHeight="1"/>
    <row r="53833" ht="15.75" customHeight="1"/>
    <row r="53834" ht="15.75" customHeight="1"/>
    <row r="53835" ht="15.75" customHeight="1"/>
    <row r="53836" ht="15.75" customHeight="1"/>
    <row r="53837" ht="15.75" customHeight="1"/>
    <row r="53838" ht="15.75" customHeight="1"/>
    <row r="53839" ht="15.75" customHeight="1"/>
    <row r="53840" ht="15.75" customHeight="1"/>
    <row r="53841" ht="15.75" customHeight="1"/>
    <row r="53842" ht="15.75" customHeight="1"/>
    <row r="53843" ht="15.75" customHeight="1"/>
    <row r="53844" ht="15.75" customHeight="1"/>
    <row r="53845" ht="15.75" customHeight="1"/>
    <row r="53846" ht="15.75" customHeight="1"/>
    <row r="53847" ht="15.75" customHeight="1"/>
    <row r="53848" ht="15.75" customHeight="1"/>
    <row r="53849" ht="15.75" customHeight="1"/>
    <row r="53850" ht="15.75" customHeight="1"/>
    <row r="53851" ht="15.75" customHeight="1"/>
    <row r="53852" ht="15.75" customHeight="1"/>
    <row r="53853" ht="15.75" customHeight="1"/>
    <row r="53854" ht="15.75" customHeight="1"/>
    <row r="53855" ht="15.75" customHeight="1"/>
    <row r="53856" ht="15.75" customHeight="1"/>
    <row r="53857" ht="15.75" customHeight="1"/>
    <row r="53858" ht="15.75" customHeight="1"/>
    <row r="53859" ht="15.75" customHeight="1"/>
    <row r="53860" ht="15.75" customHeight="1"/>
    <row r="53861" ht="15.75" customHeight="1"/>
    <row r="53862" ht="15.75" customHeight="1"/>
    <row r="53863" ht="15.75" customHeight="1"/>
    <row r="53864" ht="15.75" customHeight="1"/>
    <row r="53865" ht="15.75" customHeight="1"/>
    <row r="53866" ht="15.75" customHeight="1"/>
    <row r="53867" ht="15.75" customHeight="1"/>
    <row r="53868" ht="15.75" customHeight="1"/>
    <row r="53869" ht="15.75" customHeight="1"/>
    <row r="53870" ht="15.75" customHeight="1"/>
    <row r="53871" ht="15.75" customHeight="1"/>
    <row r="53872" ht="15.75" customHeight="1"/>
    <row r="53873" ht="15.75" customHeight="1"/>
    <row r="53874" ht="15.75" customHeight="1"/>
    <row r="53875" ht="15.75" customHeight="1"/>
    <row r="53876" ht="15.75" customHeight="1"/>
    <row r="53877" ht="15.75" customHeight="1"/>
    <row r="53878" ht="15.75" customHeight="1"/>
    <row r="53879" ht="15.75" customHeight="1"/>
    <row r="53880" ht="15.75" customHeight="1"/>
    <row r="53881" ht="15.75" customHeight="1"/>
    <row r="53882" ht="15.75" customHeight="1"/>
    <row r="53883" ht="15.75" customHeight="1"/>
    <row r="53884" ht="15.75" customHeight="1"/>
    <row r="53885" ht="15.75" customHeight="1"/>
    <row r="53886" ht="15.75" customHeight="1"/>
    <row r="53887" ht="15.75" customHeight="1"/>
    <row r="53888" ht="15.75" customHeight="1"/>
    <row r="53889" ht="15.75" customHeight="1"/>
    <row r="53890" ht="15.75" customHeight="1"/>
    <row r="53891" ht="15.75" customHeight="1"/>
    <row r="53892" ht="15.75" customHeight="1"/>
    <row r="53893" ht="15.75" customHeight="1"/>
    <row r="53894" ht="15.75" customHeight="1"/>
    <row r="53895" ht="15.75" customHeight="1"/>
    <row r="53896" ht="15.75" customHeight="1"/>
    <row r="53897" ht="15.75" customHeight="1"/>
    <row r="53898" ht="15.75" customHeight="1"/>
    <row r="53899" ht="15.75" customHeight="1"/>
    <row r="53900" ht="15.75" customHeight="1"/>
    <row r="53901" ht="15.75" customHeight="1"/>
    <row r="53902" ht="15.75" customHeight="1"/>
    <row r="53903" ht="15.75" customHeight="1"/>
    <row r="53904" ht="15.75" customHeight="1"/>
    <row r="53905" ht="15.75" customHeight="1"/>
    <row r="53906" ht="15.75" customHeight="1"/>
    <row r="53907" ht="15.75" customHeight="1"/>
    <row r="53908" ht="15.75" customHeight="1"/>
    <row r="53909" ht="15.75" customHeight="1"/>
    <row r="53910" ht="15.75" customHeight="1"/>
    <row r="53911" ht="15.75" customHeight="1"/>
    <row r="53912" ht="15.75" customHeight="1"/>
    <row r="53913" ht="15.75" customHeight="1"/>
    <row r="53914" ht="15.75" customHeight="1"/>
    <row r="53915" ht="15.75" customHeight="1"/>
    <row r="53916" ht="15.75" customHeight="1"/>
    <row r="53917" ht="15.75" customHeight="1"/>
    <row r="53918" ht="15.75" customHeight="1"/>
    <row r="53919" ht="15.75" customHeight="1"/>
    <row r="53920" ht="15.75" customHeight="1"/>
    <row r="53921" ht="15.75" customHeight="1"/>
    <row r="53922" ht="15.75" customHeight="1"/>
    <row r="53923" ht="15.75" customHeight="1"/>
    <row r="53924" ht="15.75" customHeight="1"/>
    <row r="53925" ht="15.75" customHeight="1"/>
    <row r="53926" ht="15.75" customHeight="1"/>
    <row r="53927" ht="15.75" customHeight="1"/>
    <row r="53928" ht="15.75" customHeight="1"/>
    <row r="53929" ht="15.75" customHeight="1"/>
    <row r="53930" ht="15.75" customHeight="1"/>
    <row r="53931" ht="15.75" customHeight="1"/>
    <row r="53932" ht="15.75" customHeight="1"/>
    <row r="53933" ht="15.75" customHeight="1"/>
    <row r="53934" ht="15.75" customHeight="1"/>
    <row r="53935" ht="15.75" customHeight="1"/>
    <row r="53936" ht="15.75" customHeight="1"/>
    <row r="53937" ht="15.75" customHeight="1"/>
    <row r="53938" ht="15.75" customHeight="1"/>
    <row r="53939" ht="15.75" customHeight="1"/>
    <row r="53940" ht="15.75" customHeight="1"/>
    <row r="53941" ht="15.75" customHeight="1"/>
    <row r="53942" ht="15.75" customHeight="1"/>
    <row r="53943" ht="15.75" customHeight="1"/>
    <row r="53944" ht="15.75" customHeight="1"/>
    <row r="53945" ht="15.75" customHeight="1"/>
    <row r="53946" ht="15.75" customHeight="1"/>
    <row r="53947" ht="15.75" customHeight="1"/>
    <row r="53948" ht="15.75" customHeight="1"/>
    <row r="53949" ht="15.75" customHeight="1"/>
    <row r="53950" ht="15.75" customHeight="1"/>
    <row r="53951" ht="15.75" customHeight="1"/>
    <row r="53952" ht="15.75" customHeight="1"/>
    <row r="53953" ht="15.75" customHeight="1"/>
    <row r="53954" ht="15.75" customHeight="1"/>
    <row r="53955" ht="15.75" customHeight="1"/>
    <row r="53956" ht="15.75" customHeight="1"/>
    <row r="53957" ht="15.75" customHeight="1"/>
    <row r="53958" ht="15.75" customHeight="1"/>
    <row r="53959" ht="15.75" customHeight="1"/>
    <row r="53960" ht="15.75" customHeight="1"/>
    <row r="53961" ht="15.75" customHeight="1"/>
    <row r="53962" ht="15.75" customHeight="1"/>
    <row r="53963" ht="15.75" customHeight="1"/>
    <row r="53964" ht="15.75" customHeight="1"/>
    <row r="53965" ht="15.75" customHeight="1"/>
    <row r="53966" ht="15.75" customHeight="1"/>
    <row r="53967" ht="15.75" customHeight="1"/>
    <row r="53968" ht="15.75" customHeight="1"/>
    <row r="53969" ht="15.75" customHeight="1"/>
    <row r="53970" ht="15.75" customHeight="1"/>
    <row r="53971" ht="15.75" customHeight="1"/>
    <row r="53972" ht="15.75" customHeight="1"/>
    <row r="53973" ht="15.75" customHeight="1"/>
    <row r="53974" ht="15.75" customHeight="1"/>
    <row r="53975" ht="15.75" customHeight="1"/>
    <row r="53976" ht="15.75" customHeight="1"/>
    <row r="53977" ht="15.75" customHeight="1"/>
    <row r="53978" ht="15.75" customHeight="1"/>
    <row r="53979" ht="15.75" customHeight="1"/>
    <row r="53980" ht="15.75" customHeight="1"/>
    <row r="53981" ht="15.75" customHeight="1"/>
    <row r="53982" ht="15.75" customHeight="1"/>
    <row r="53983" ht="15.75" customHeight="1"/>
    <row r="53984" ht="15.75" customHeight="1"/>
    <row r="53985" ht="15.75" customHeight="1"/>
    <row r="53986" ht="15.75" customHeight="1"/>
    <row r="53987" ht="15.75" customHeight="1"/>
    <row r="53988" ht="15.75" customHeight="1"/>
    <row r="53989" ht="15.75" customHeight="1"/>
    <row r="53990" ht="15.75" customHeight="1"/>
    <row r="53991" ht="15.75" customHeight="1"/>
    <row r="53992" ht="15.75" customHeight="1"/>
    <row r="53993" ht="15.75" customHeight="1"/>
    <row r="53994" ht="15.75" customHeight="1"/>
    <row r="53995" ht="15.75" customHeight="1"/>
    <row r="53996" ht="15.75" customHeight="1"/>
    <row r="53997" ht="15.75" customHeight="1"/>
    <row r="53998" ht="15.75" customHeight="1"/>
    <row r="53999" ht="15.75" customHeight="1"/>
    <row r="54000" ht="15.75" customHeight="1"/>
    <row r="54001" ht="15.75" customHeight="1"/>
    <row r="54002" ht="15.75" customHeight="1"/>
    <row r="54003" ht="15.75" customHeight="1"/>
    <row r="54004" ht="15.75" customHeight="1"/>
    <row r="54005" ht="15.75" customHeight="1"/>
    <row r="54006" ht="15.75" customHeight="1"/>
    <row r="54007" ht="15.75" customHeight="1"/>
    <row r="54008" ht="15.75" customHeight="1"/>
    <row r="54009" ht="15.75" customHeight="1"/>
    <row r="54010" ht="15.75" customHeight="1"/>
    <row r="54011" ht="15.75" customHeight="1"/>
    <row r="54012" ht="15.75" customHeight="1"/>
    <row r="54013" ht="15.75" customHeight="1"/>
    <row r="54014" ht="15.75" customHeight="1"/>
    <row r="54015" ht="15.75" customHeight="1"/>
    <row r="54016" ht="15.75" customHeight="1"/>
    <row r="54017" ht="15.75" customHeight="1"/>
    <row r="54018" ht="15.75" customHeight="1"/>
    <row r="54019" ht="15.75" customHeight="1"/>
    <row r="54020" ht="15.75" customHeight="1"/>
    <row r="54021" ht="15.75" customHeight="1"/>
    <row r="54022" ht="15.75" customHeight="1"/>
    <row r="54023" ht="15.75" customHeight="1"/>
    <row r="54024" ht="15.75" customHeight="1"/>
    <row r="54025" ht="15.75" customHeight="1"/>
    <row r="54026" ht="15.75" customHeight="1"/>
    <row r="54027" ht="15.75" customHeight="1"/>
    <row r="54028" ht="15.75" customHeight="1"/>
    <row r="54029" ht="15.75" customHeight="1"/>
    <row r="54030" ht="15.75" customHeight="1"/>
    <row r="54031" ht="15.75" customHeight="1"/>
    <row r="54032" ht="15.75" customHeight="1"/>
    <row r="54033" ht="15.75" customHeight="1"/>
    <row r="54034" ht="15.75" customHeight="1"/>
    <row r="54035" ht="15.75" customHeight="1"/>
    <row r="54036" ht="15.75" customHeight="1"/>
    <row r="54037" ht="15.75" customHeight="1"/>
    <row r="54038" ht="15.75" customHeight="1"/>
    <row r="54039" ht="15.75" customHeight="1"/>
    <row r="54040" ht="15.75" customHeight="1"/>
    <row r="54041" ht="15.75" customHeight="1"/>
    <row r="54042" ht="15.75" customHeight="1"/>
    <row r="54043" ht="15.75" customHeight="1"/>
    <row r="54044" ht="15.75" customHeight="1"/>
    <row r="54045" ht="15.75" customHeight="1"/>
    <row r="54046" ht="15.75" customHeight="1"/>
    <row r="54047" ht="15.75" customHeight="1"/>
    <row r="54048" ht="15.75" customHeight="1"/>
    <row r="54049" ht="15.75" customHeight="1"/>
    <row r="54050" ht="15.75" customHeight="1"/>
    <row r="54051" ht="15.75" customHeight="1"/>
    <row r="54052" ht="15.75" customHeight="1"/>
    <row r="54053" ht="15.75" customHeight="1"/>
    <row r="54054" ht="15.75" customHeight="1"/>
    <row r="54055" ht="15.75" customHeight="1"/>
    <row r="54056" ht="15.75" customHeight="1"/>
    <row r="54057" ht="15.75" customHeight="1"/>
    <row r="54058" ht="15.75" customHeight="1"/>
    <row r="54059" ht="15.75" customHeight="1"/>
    <row r="54060" ht="15.75" customHeight="1"/>
    <row r="54061" ht="15.75" customHeight="1"/>
    <row r="54062" ht="15.75" customHeight="1"/>
    <row r="54063" ht="15.75" customHeight="1"/>
    <row r="54064" ht="15.75" customHeight="1"/>
    <row r="54065" ht="15.75" customHeight="1"/>
    <row r="54066" ht="15.75" customHeight="1"/>
    <row r="54067" ht="15.75" customHeight="1"/>
    <row r="54068" ht="15.75" customHeight="1"/>
    <row r="54069" ht="15.75" customHeight="1"/>
    <row r="54070" ht="15.75" customHeight="1"/>
    <row r="54071" ht="15.75" customHeight="1"/>
    <row r="54072" ht="15.75" customHeight="1"/>
    <row r="54073" ht="15.75" customHeight="1"/>
    <row r="54074" ht="15.75" customHeight="1"/>
    <row r="54075" ht="15.75" customHeight="1"/>
    <row r="54076" ht="15.75" customHeight="1"/>
    <row r="54077" ht="15.75" customHeight="1"/>
    <row r="54078" ht="15.75" customHeight="1"/>
    <row r="54079" ht="15.75" customHeight="1"/>
    <row r="54080" ht="15.75" customHeight="1"/>
    <row r="54081" ht="15.75" customHeight="1"/>
    <row r="54082" ht="15.75" customHeight="1"/>
    <row r="54083" ht="15.75" customHeight="1"/>
    <row r="54084" ht="15.75" customHeight="1"/>
    <row r="54085" ht="15.75" customHeight="1"/>
    <row r="54086" ht="15.75" customHeight="1"/>
    <row r="54087" ht="15.75" customHeight="1"/>
    <row r="54088" ht="15.75" customHeight="1"/>
    <row r="54089" ht="15.75" customHeight="1"/>
    <row r="54090" ht="15.75" customHeight="1"/>
    <row r="54091" ht="15.75" customHeight="1"/>
    <row r="54092" ht="15.75" customHeight="1"/>
    <row r="54093" ht="15.75" customHeight="1"/>
    <row r="54094" ht="15.75" customHeight="1"/>
    <row r="54095" ht="15.75" customHeight="1"/>
    <row r="54096" ht="15.75" customHeight="1"/>
    <row r="54097" ht="15.75" customHeight="1"/>
    <row r="54098" ht="15.75" customHeight="1"/>
    <row r="54099" ht="15.75" customHeight="1"/>
    <row r="54100" ht="15.75" customHeight="1"/>
    <row r="54101" ht="15.75" customHeight="1"/>
    <row r="54102" ht="15.75" customHeight="1"/>
    <row r="54103" ht="15.75" customHeight="1"/>
    <row r="54104" ht="15.75" customHeight="1"/>
    <row r="54105" ht="15.75" customHeight="1"/>
    <row r="54106" ht="15.75" customHeight="1"/>
    <row r="54107" ht="15.75" customHeight="1"/>
    <row r="54108" ht="15.75" customHeight="1"/>
    <row r="54109" ht="15.75" customHeight="1"/>
    <row r="54110" ht="15.75" customHeight="1"/>
    <row r="54111" ht="15.75" customHeight="1"/>
    <row r="54112" ht="15.75" customHeight="1"/>
    <row r="54113" ht="15.75" customHeight="1"/>
    <row r="54114" ht="15.75" customHeight="1"/>
    <row r="54115" ht="15.75" customHeight="1"/>
    <row r="54116" ht="15.75" customHeight="1"/>
    <row r="54117" ht="15.75" customHeight="1"/>
    <row r="54118" ht="15.75" customHeight="1"/>
    <row r="54119" ht="15.75" customHeight="1"/>
    <row r="54120" ht="15.75" customHeight="1"/>
    <row r="54121" ht="15.75" customHeight="1"/>
    <row r="54122" ht="15.75" customHeight="1"/>
    <row r="54123" ht="15.75" customHeight="1"/>
    <row r="54124" ht="15.75" customHeight="1"/>
    <row r="54125" ht="15.75" customHeight="1"/>
    <row r="54126" ht="15.75" customHeight="1"/>
    <row r="54127" ht="15.75" customHeight="1"/>
    <row r="54128" ht="15.75" customHeight="1"/>
    <row r="54129" ht="15.75" customHeight="1"/>
    <row r="54130" ht="15.75" customHeight="1"/>
    <row r="54131" ht="15.75" customHeight="1"/>
    <row r="54132" ht="15.75" customHeight="1"/>
    <row r="54133" ht="15.75" customHeight="1"/>
    <row r="54134" ht="15.75" customHeight="1"/>
    <row r="54135" ht="15.75" customHeight="1"/>
    <row r="54136" ht="15.75" customHeight="1"/>
    <row r="54137" ht="15.75" customHeight="1"/>
    <row r="54138" ht="15.75" customHeight="1"/>
    <row r="54139" ht="15.75" customHeight="1"/>
    <row r="54140" ht="15.75" customHeight="1"/>
    <row r="54141" ht="15.75" customHeight="1"/>
    <row r="54142" ht="15.75" customHeight="1"/>
    <row r="54143" ht="15.75" customHeight="1"/>
    <row r="54144" ht="15.75" customHeight="1"/>
    <row r="54145" ht="15.75" customHeight="1"/>
    <row r="54146" ht="15.75" customHeight="1"/>
    <row r="54147" ht="15.75" customHeight="1"/>
    <row r="54148" ht="15.75" customHeight="1"/>
    <row r="54149" ht="15.75" customHeight="1"/>
    <row r="54150" ht="15.75" customHeight="1"/>
    <row r="54151" ht="15.75" customHeight="1"/>
    <row r="54152" ht="15.75" customHeight="1"/>
    <row r="54153" ht="15.75" customHeight="1"/>
    <row r="54154" ht="15.75" customHeight="1"/>
    <row r="54155" ht="15.75" customHeight="1"/>
    <row r="54156" ht="15.75" customHeight="1"/>
    <row r="54157" ht="15.75" customHeight="1"/>
    <row r="54158" ht="15.75" customHeight="1"/>
    <row r="54159" ht="15.75" customHeight="1"/>
    <row r="54160" ht="15.75" customHeight="1"/>
    <row r="54161" ht="15.75" customHeight="1"/>
    <row r="54162" ht="15.75" customHeight="1"/>
    <row r="54163" ht="15.75" customHeight="1"/>
    <row r="54164" ht="15.75" customHeight="1"/>
    <row r="54165" ht="15.75" customHeight="1"/>
    <row r="54166" ht="15.75" customHeight="1"/>
    <row r="54167" ht="15.75" customHeight="1"/>
    <row r="54168" ht="15.75" customHeight="1"/>
    <row r="54169" ht="15.75" customHeight="1"/>
    <row r="54170" ht="15.75" customHeight="1"/>
    <row r="54171" ht="15.75" customHeight="1"/>
    <row r="54172" ht="15.75" customHeight="1"/>
    <row r="54173" ht="15.75" customHeight="1"/>
    <row r="54174" ht="15.75" customHeight="1"/>
    <row r="54175" ht="15.75" customHeight="1"/>
    <row r="54176" ht="15.75" customHeight="1"/>
    <row r="54177" ht="15.75" customHeight="1"/>
    <row r="54178" ht="15.75" customHeight="1"/>
    <row r="54179" ht="15.75" customHeight="1"/>
    <row r="54180" ht="15.75" customHeight="1"/>
    <row r="54181" ht="15.75" customHeight="1"/>
    <row r="54182" ht="15.75" customHeight="1"/>
    <row r="54183" ht="15.75" customHeight="1"/>
    <row r="54184" ht="15.75" customHeight="1"/>
    <row r="54185" ht="15.75" customHeight="1"/>
    <row r="54186" ht="15.75" customHeight="1"/>
    <row r="54187" ht="15.75" customHeight="1"/>
    <row r="54188" ht="15.75" customHeight="1"/>
    <row r="54189" ht="15.75" customHeight="1"/>
    <row r="54190" ht="15.75" customHeight="1"/>
    <row r="54191" ht="15.75" customHeight="1"/>
    <row r="54192" ht="15.75" customHeight="1"/>
    <row r="54193" ht="15.75" customHeight="1"/>
    <row r="54194" ht="15.75" customHeight="1"/>
    <row r="54195" ht="15.75" customHeight="1"/>
    <row r="54196" ht="15.75" customHeight="1"/>
    <row r="54197" ht="15.75" customHeight="1"/>
    <row r="54198" ht="15.75" customHeight="1"/>
    <row r="54199" ht="15.75" customHeight="1"/>
    <row r="54200" ht="15.75" customHeight="1"/>
    <row r="54201" ht="15.75" customHeight="1"/>
    <row r="54202" ht="15.75" customHeight="1"/>
    <row r="54203" ht="15.75" customHeight="1"/>
    <row r="54204" ht="15.75" customHeight="1"/>
    <row r="54205" ht="15.75" customHeight="1"/>
    <row r="54206" ht="15.75" customHeight="1"/>
    <row r="54207" ht="15.75" customHeight="1"/>
    <row r="54208" ht="15.75" customHeight="1"/>
    <row r="54209" ht="15.75" customHeight="1"/>
    <row r="54210" ht="15.75" customHeight="1"/>
    <row r="54211" ht="15.75" customHeight="1"/>
    <row r="54212" ht="15.75" customHeight="1"/>
    <row r="54213" ht="15.75" customHeight="1"/>
    <row r="54214" ht="15.75" customHeight="1"/>
    <row r="54215" ht="15.75" customHeight="1"/>
    <row r="54216" ht="15.75" customHeight="1"/>
    <row r="54217" ht="15.75" customHeight="1"/>
    <row r="54218" ht="15.75" customHeight="1"/>
    <row r="54219" ht="15.75" customHeight="1"/>
    <row r="54220" ht="15.75" customHeight="1"/>
    <row r="54221" ht="15.75" customHeight="1"/>
    <row r="54222" ht="15.75" customHeight="1"/>
    <row r="54223" ht="15.75" customHeight="1"/>
    <row r="54224" ht="15.75" customHeight="1"/>
    <row r="54225" ht="15.75" customHeight="1"/>
    <row r="54226" ht="15.75" customHeight="1"/>
    <row r="54227" ht="15.75" customHeight="1"/>
    <row r="54228" ht="15.75" customHeight="1"/>
    <row r="54229" ht="15.75" customHeight="1"/>
    <row r="54230" ht="15.75" customHeight="1"/>
    <row r="54231" ht="15.75" customHeight="1"/>
    <row r="54232" ht="15.75" customHeight="1"/>
    <row r="54233" ht="15.75" customHeight="1"/>
    <row r="54234" ht="15.75" customHeight="1"/>
    <row r="54235" ht="15.75" customHeight="1"/>
    <row r="54236" ht="15.75" customHeight="1"/>
    <row r="54237" ht="15.75" customHeight="1"/>
    <row r="54238" ht="15.75" customHeight="1"/>
    <row r="54239" ht="15.75" customHeight="1"/>
    <row r="54240" ht="15.75" customHeight="1"/>
    <row r="54241" ht="15.75" customHeight="1"/>
    <row r="54242" ht="15.75" customHeight="1"/>
    <row r="54243" ht="15.75" customHeight="1"/>
    <row r="54244" ht="15.75" customHeight="1"/>
    <row r="54245" ht="15.75" customHeight="1"/>
    <row r="54246" ht="15.75" customHeight="1"/>
    <row r="54247" ht="15.75" customHeight="1"/>
    <row r="54248" ht="15.75" customHeight="1"/>
    <row r="54249" ht="15.75" customHeight="1"/>
    <row r="54250" ht="15.75" customHeight="1"/>
    <row r="54251" ht="15.75" customHeight="1"/>
    <row r="54252" ht="15.75" customHeight="1"/>
    <row r="54253" ht="15.75" customHeight="1"/>
    <row r="54254" ht="15.75" customHeight="1"/>
    <row r="54255" ht="15.75" customHeight="1"/>
    <row r="54256" ht="15.75" customHeight="1"/>
    <row r="54257" ht="15.75" customHeight="1"/>
    <row r="54258" ht="15.75" customHeight="1"/>
    <row r="54259" ht="15.75" customHeight="1"/>
    <row r="54260" ht="15.75" customHeight="1"/>
    <row r="54261" ht="15.75" customHeight="1"/>
    <row r="54262" ht="15.75" customHeight="1"/>
    <row r="54263" ht="15.75" customHeight="1"/>
    <row r="54264" ht="15.75" customHeight="1"/>
    <row r="54265" ht="15.75" customHeight="1"/>
    <row r="54266" ht="15.75" customHeight="1"/>
    <row r="54267" ht="15.75" customHeight="1"/>
    <row r="54268" ht="15.75" customHeight="1"/>
    <row r="54269" ht="15.75" customHeight="1"/>
    <row r="54270" ht="15.75" customHeight="1"/>
    <row r="54271" ht="15.75" customHeight="1"/>
    <row r="54272" ht="15.75" customHeight="1"/>
    <row r="54273" ht="15.75" customHeight="1"/>
    <row r="54274" ht="15.75" customHeight="1"/>
    <row r="54275" ht="15.75" customHeight="1"/>
    <row r="54276" ht="15.75" customHeight="1"/>
    <row r="54277" ht="15.75" customHeight="1"/>
    <row r="54278" ht="15.75" customHeight="1"/>
    <row r="54279" ht="15.75" customHeight="1"/>
    <row r="54280" ht="15.75" customHeight="1"/>
    <row r="54281" ht="15.75" customHeight="1"/>
    <row r="54282" ht="15.75" customHeight="1"/>
    <row r="54283" ht="15.75" customHeight="1"/>
    <row r="54284" ht="15.75" customHeight="1"/>
    <row r="54285" ht="15.75" customHeight="1"/>
    <row r="54286" ht="15.75" customHeight="1"/>
    <row r="54287" ht="15.75" customHeight="1"/>
    <row r="54288" ht="15.75" customHeight="1"/>
    <row r="54289" ht="15.75" customHeight="1"/>
    <row r="54290" ht="15.75" customHeight="1"/>
    <row r="54291" ht="15.75" customHeight="1"/>
    <row r="54292" ht="15.75" customHeight="1"/>
    <row r="54293" ht="15.75" customHeight="1"/>
    <row r="54294" ht="15.75" customHeight="1"/>
    <row r="54295" ht="15.75" customHeight="1"/>
    <row r="54296" ht="15.75" customHeight="1"/>
    <row r="54297" ht="15.75" customHeight="1"/>
    <row r="54298" ht="15.75" customHeight="1"/>
    <row r="54299" ht="15.75" customHeight="1"/>
    <row r="54300" ht="15.75" customHeight="1"/>
    <row r="54301" ht="15.75" customHeight="1"/>
    <row r="54302" ht="15.75" customHeight="1"/>
    <row r="54303" ht="15.75" customHeight="1"/>
    <row r="54304" ht="15.75" customHeight="1"/>
    <row r="54305" ht="15.75" customHeight="1"/>
    <row r="54306" ht="15.75" customHeight="1"/>
    <row r="54307" ht="15.75" customHeight="1"/>
    <row r="54308" ht="15.75" customHeight="1"/>
    <row r="54309" ht="15.75" customHeight="1"/>
    <row r="54310" ht="15.75" customHeight="1"/>
    <row r="54311" ht="15.75" customHeight="1"/>
    <row r="54312" ht="15.75" customHeight="1"/>
    <row r="54313" ht="15.75" customHeight="1"/>
    <row r="54314" ht="15.75" customHeight="1"/>
    <row r="54315" ht="15.75" customHeight="1"/>
    <row r="54316" ht="15.75" customHeight="1"/>
    <row r="54317" ht="15.75" customHeight="1"/>
    <row r="54318" ht="15.75" customHeight="1"/>
    <row r="54319" ht="15.75" customHeight="1"/>
    <row r="54320" ht="15.75" customHeight="1"/>
    <row r="54321" ht="15.75" customHeight="1"/>
    <row r="54322" ht="15.75" customHeight="1"/>
    <row r="54323" ht="15.75" customHeight="1"/>
    <row r="54324" ht="15.75" customHeight="1"/>
    <row r="54325" ht="15.75" customHeight="1"/>
    <row r="54326" ht="15.75" customHeight="1"/>
    <row r="54327" ht="15.75" customHeight="1"/>
    <row r="54328" ht="15.75" customHeight="1"/>
    <row r="54329" ht="15.75" customHeight="1"/>
    <row r="54330" ht="15.75" customHeight="1"/>
    <row r="54331" ht="15.75" customHeight="1"/>
    <row r="54332" ht="15.75" customHeight="1"/>
    <row r="54333" ht="15.75" customHeight="1"/>
    <row r="54334" ht="15.75" customHeight="1"/>
    <row r="54335" ht="15.75" customHeight="1"/>
    <row r="54336" ht="15.75" customHeight="1"/>
    <row r="54337" ht="15.75" customHeight="1"/>
    <row r="54338" ht="15.75" customHeight="1"/>
    <row r="54339" ht="15.75" customHeight="1"/>
    <row r="54340" ht="15.75" customHeight="1"/>
    <row r="54341" ht="15.75" customHeight="1"/>
    <row r="54342" ht="15.75" customHeight="1"/>
    <row r="54343" ht="15.75" customHeight="1"/>
    <row r="54344" ht="15.75" customHeight="1"/>
    <row r="54345" ht="15.75" customHeight="1"/>
    <row r="54346" ht="15.75" customHeight="1"/>
    <row r="54347" ht="15.75" customHeight="1"/>
    <row r="54348" ht="15.75" customHeight="1"/>
    <row r="54349" ht="15.75" customHeight="1"/>
    <row r="54350" ht="15.75" customHeight="1"/>
    <row r="54351" ht="15.75" customHeight="1"/>
    <row r="54352" ht="15.75" customHeight="1"/>
    <row r="54353" ht="15.75" customHeight="1"/>
    <row r="54354" ht="15.75" customHeight="1"/>
    <row r="54355" ht="15.75" customHeight="1"/>
    <row r="54356" ht="15.75" customHeight="1"/>
    <row r="54357" ht="15.75" customHeight="1"/>
    <row r="54358" ht="15.75" customHeight="1"/>
    <row r="54359" ht="15.75" customHeight="1"/>
    <row r="54360" ht="15.75" customHeight="1"/>
    <row r="54361" ht="15.75" customHeight="1"/>
    <row r="54362" ht="15.75" customHeight="1"/>
    <row r="54363" ht="15.75" customHeight="1"/>
    <row r="54364" ht="15.75" customHeight="1"/>
    <row r="54365" ht="15.75" customHeight="1"/>
    <row r="54366" ht="15.75" customHeight="1"/>
    <row r="54367" ht="15.75" customHeight="1"/>
    <row r="54368" ht="15.75" customHeight="1"/>
    <row r="54369" ht="15.75" customHeight="1"/>
    <row r="54370" ht="15.75" customHeight="1"/>
    <row r="54371" ht="15.75" customHeight="1"/>
    <row r="54372" ht="15.75" customHeight="1"/>
    <row r="54373" ht="15.75" customHeight="1"/>
    <row r="54374" ht="15.75" customHeight="1"/>
    <row r="54375" ht="15.75" customHeight="1"/>
    <row r="54376" ht="15.75" customHeight="1"/>
    <row r="54377" ht="15.75" customHeight="1"/>
    <row r="54378" ht="15.75" customHeight="1"/>
    <row r="54379" ht="15.75" customHeight="1"/>
    <row r="54380" ht="15.75" customHeight="1"/>
    <row r="54381" ht="15.75" customHeight="1"/>
    <row r="54382" ht="15.75" customHeight="1"/>
    <row r="54383" ht="15.75" customHeight="1"/>
    <row r="54384" ht="15.75" customHeight="1"/>
    <row r="54385" ht="15.75" customHeight="1"/>
    <row r="54386" ht="15.75" customHeight="1"/>
    <row r="54387" ht="15.75" customHeight="1"/>
    <row r="54388" ht="15.75" customHeight="1"/>
    <row r="54389" ht="15.75" customHeight="1"/>
    <row r="54390" ht="15.75" customHeight="1"/>
    <row r="54391" ht="15.75" customHeight="1"/>
    <row r="54392" ht="15.75" customHeight="1"/>
    <row r="54393" ht="15.75" customHeight="1"/>
    <row r="54394" ht="15.75" customHeight="1"/>
    <row r="54395" ht="15.75" customHeight="1"/>
    <row r="54396" ht="15.75" customHeight="1"/>
    <row r="54397" ht="15.75" customHeight="1"/>
    <row r="54398" ht="15.75" customHeight="1"/>
    <row r="54399" ht="15.75" customHeight="1"/>
    <row r="54400" ht="15.75" customHeight="1"/>
    <row r="54401" ht="15.75" customHeight="1"/>
    <row r="54402" ht="15.75" customHeight="1"/>
    <row r="54403" ht="15.75" customHeight="1"/>
    <row r="54404" ht="15.75" customHeight="1"/>
    <row r="54405" ht="15.75" customHeight="1"/>
    <row r="54406" ht="15.75" customHeight="1"/>
    <row r="54407" ht="15.75" customHeight="1"/>
    <row r="54408" ht="15.75" customHeight="1"/>
    <row r="54409" ht="15.75" customHeight="1"/>
    <row r="54410" ht="15.75" customHeight="1"/>
    <row r="54411" ht="15.75" customHeight="1"/>
    <row r="54412" ht="15.75" customHeight="1"/>
    <row r="54413" ht="15.75" customHeight="1"/>
    <row r="54414" ht="15.75" customHeight="1"/>
    <row r="54415" ht="15.75" customHeight="1"/>
    <row r="54416" ht="15.75" customHeight="1"/>
    <row r="54417" ht="15.75" customHeight="1"/>
    <row r="54418" ht="15.75" customHeight="1"/>
    <row r="54419" ht="15.75" customHeight="1"/>
    <row r="54420" ht="15.75" customHeight="1"/>
    <row r="54421" ht="15.75" customHeight="1"/>
    <row r="54422" ht="15.75" customHeight="1"/>
    <row r="54423" ht="15.75" customHeight="1"/>
    <row r="54424" ht="15.75" customHeight="1"/>
    <row r="54425" ht="15.75" customHeight="1"/>
    <row r="54426" ht="15.75" customHeight="1"/>
    <row r="54427" ht="15.75" customHeight="1"/>
    <row r="54428" ht="15.75" customHeight="1"/>
    <row r="54429" ht="15.75" customHeight="1"/>
    <row r="54430" ht="15.75" customHeight="1"/>
    <row r="54431" ht="15.75" customHeight="1"/>
    <row r="54432" ht="15.75" customHeight="1"/>
    <row r="54433" ht="15.75" customHeight="1"/>
    <row r="54434" ht="15.75" customHeight="1"/>
    <row r="54435" ht="15.75" customHeight="1"/>
    <row r="54436" ht="15.75" customHeight="1"/>
    <row r="54437" ht="15.75" customHeight="1"/>
    <row r="54438" ht="15.75" customHeight="1"/>
    <row r="54439" ht="15.75" customHeight="1"/>
    <row r="54440" ht="15.75" customHeight="1"/>
    <row r="54441" ht="15.75" customHeight="1"/>
    <row r="54442" ht="15.75" customHeight="1"/>
    <row r="54443" ht="15.75" customHeight="1"/>
    <row r="54444" ht="15.75" customHeight="1"/>
    <row r="54445" ht="15.75" customHeight="1"/>
    <row r="54446" ht="15.75" customHeight="1"/>
    <row r="54447" ht="15.75" customHeight="1"/>
    <row r="54448" ht="15.75" customHeight="1"/>
    <row r="54449" ht="15.75" customHeight="1"/>
    <row r="54450" ht="15.75" customHeight="1"/>
    <row r="54451" ht="15.75" customHeight="1"/>
    <row r="54452" ht="15.75" customHeight="1"/>
    <row r="54453" ht="15.75" customHeight="1"/>
    <row r="54454" ht="15.75" customHeight="1"/>
    <row r="54455" ht="15.75" customHeight="1"/>
    <row r="54456" ht="15.75" customHeight="1"/>
    <row r="54457" ht="15.75" customHeight="1"/>
    <row r="54458" ht="15.75" customHeight="1"/>
    <row r="54459" ht="15.75" customHeight="1"/>
    <row r="54460" ht="15.75" customHeight="1"/>
    <row r="54461" ht="15.75" customHeight="1"/>
    <row r="54462" ht="15.75" customHeight="1"/>
    <row r="54463" ht="15.75" customHeight="1"/>
    <row r="54464" ht="15.75" customHeight="1"/>
    <row r="54465" ht="15.75" customHeight="1"/>
    <row r="54466" ht="15.75" customHeight="1"/>
    <row r="54467" ht="15.75" customHeight="1"/>
    <row r="54468" ht="15.75" customHeight="1"/>
    <row r="54469" ht="15.75" customHeight="1"/>
    <row r="54470" ht="15.75" customHeight="1"/>
    <row r="54471" ht="15.75" customHeight="1"/>
    <row r="54472" ht="15.75" customHeight="1"/>
    <row r="54473" ht="15.75" customHeight="1"/>
    <row r="54474" ht="15.75" customHeight="1"/>
    <row r="54475" ht="15.75" customHeight="1"/>
    <row r="54476" ht="15.75" customHeight="1"/>
    <row r="54477" ht="15.75" customHeight="1"/>
    <row r="54478" ht="15.75" customHeight="1"/>
    <row r="54479" ht="15.75" customHeight="1"/>
    <row r="54480" ht="15.75" customHeight="1"/>
    <row r="54481" ht="15.75" customHeight="1"/>
    <row r="54482" ht="15.75" customHeight="1"/>
    <row r="54483" ht="15.75" customHeight="1"/>
    <row r="54484" ht="15.75" customHeight="1"/>
    <row r="54485" ht="15.75" customHeight="1"/>
    <row r="54486" ht="15.75" customHeight="1"/>
    <row r="54487" ht="15.75" customHeight="1"/>
    <row r="54488" ht="15.75" customHeight="1"/>
    <row r="54489" ht="15.75" customHeight="1"/>
    <row r="54490" ht="15.75" customHeight="1"/>
    <row r="54491" ht="15.75" customHeight="1"/>
    <row r="54492" ht="15.75" customHeight="1"/>
    <row r="54493" ht="15.75" customHeight="1"/>
    <row r="54494" ht="15.75" customHeight="1"/>
    <row r="54495" ht="15.75" customHeight="1"/>
    <row r="54496" ht="15.75" customHeight="1"/>
    <row r="54497" ht="15.75" customHeight="1"/>
    <row r="54498" ht="15.75" customHeight="1"/>
    <row r="54499" ht="15.75" customHeight="1"/>
    <row r="54500" ht="15.75" customHeight="1"/>
    <row r="54501" ht="15.75" customHeight="1"/>
    <row r="54502" ht="15.75" customHeight="1"/>
    <row r="54503" ht="15.75" customHeight="1"/>
    <row r="54504" ht="15.75" customHeight="1"/>
    <row r="54505" ht="15.75" customHeight="1"/>
    <row r="54506" ht="15.75" customHeight="1"/>
    <row r="54507" ht="15.75" customHeight="1"/>
    <row r="54508" ht="15.75" customHeight="1"/>
    <row r="54509" ht="15.75" customHeight="1"/>
    <row r="54510" ht="15.75" customHeight="1"/>
    <row r="54511" ht="15.75" customHeight="1"/>
    <row r="54512" ht="15.75" customHeight="1"/>
    <row r="54513" ht="15.75" customHeight="1"/>
    <row r="54514" ht="15.75" customHeight="1"/>
    <row r="54515" ht="15.75" customHeight="1"/>
    <row r="54516" ht="15.75" customHeight="1"/>
    <row r="54517" ht="15.75" customHeight="1"/>
    <row r="54518" ht="15.75" customHeight="1"/>
    <row r="54519" ht="15.75" customHeight="1"/>
    <row r="54520" ht="15.75" customHeight="1"/>
    <row r="54521" ht="15.75" customHeight="1"/>
    <row r="54522" ht="15.75" customHeight="1"/>
    <row r="54523" ht="15.75" customHeight="1"/>
    <row r="54524" ht="15.75" customHeight="1"/>
    <row r="54525" ht="15.75" customHeight="1"/>
    <row r="54526" ht="15.75" customHeight="1"/>
    <row r="54527" ht="15.75" customHeight="1"/>
    <row r="54528" ht="15.75" customHeight="1"/>
    <row r="54529" ht="15.75" customHeight="1"/>
    <row r="54530" ht="15.75" customHeight="1"/>
    <row r="54531" ht="15.75" customHeight="1"/>
    <row r="54532" ht="15.75" customHeight="1"/>
    <row r="54533" ht="15.75" customHeight="1"/>
    <row r="54534" ht="15.75" customHeight="1"/>
    <row r="54535" ht="15.75" customHeight="1"/>
    <row r="54536" ht="15.75" customHeight="1"/>
    <row r="54537" ht="15.75" customHeight="1"/>
    <row r="54538" ht="15.75" customHeight="1"/>
    <row r="54539" ht="15.75" customHeight="1"/>
    <row r="54540" ht="15.75" customHeight="1"/>
    <row r="54541" ht="15.75" customHeight="1"/>
    <row r="54542" ht="15.75" customHeight="1"/>
    <row r="54543" ht="15.75" customHeight="1"/>
    <row r="54544" ht="15.75" customHeight="1"/>
    <row r="54545" ht="15.75" customHeight="1"/>
    <row r="54546" ht="15.75" customHeight="1"/>
    <row r="54547" ht="15.75" customHeight="1"/>
    <row r="54548" ht="15.75" customHeight="1"/>
    <row r="54549" ht="15.75" customHeight="1"/>
    <row r="54550" ht="15.75" customHeight="1"/>
    <row r="54551" ht="15.75" customHeight="1"/>
    <row r="54552" ht="15.75" customHeight="1"/>
    <row r="54553" ht="15.75" customHeight="1"/>
    <row r="54554" ht="15.75" customHeight="1"/>
    <row r="54555" ht="15.75" customHeight="1"/>
    <row r="54556" ht="15.75" customHeight="1"/>
    <row r="54557" ht="15.75" customHeight="1"/>
    <row r="54558" ht="15.75" customHeight="1"/>
    <row r="54559" ht="15.75" customHeight="1"/>
    <row r="54560" ht="15.75" customHeight="1"/>
    <row r="54561" ht="15.75" customHeight="1"/>
    <row r="54562" ht="15.75" customHeight="1"/>
    <row r="54563" ht="15.75" customHeight="1"/>
    <row r="54564" ht="15.75" customHeight="1"/>
    <row r="54565" ht="15.75" customHeight="1"/>
    <row r="54566" ht="15.75" customHeight="1"/>
    <row r="54567" ht="15.75" customHeight="1"/>
    <row r="54568" ht="15.75" customHeight="1"/>
    <row r="54569" ht="15.75" customHeight="1"/>
    <row r="54570" ht="15.75" customHeight="1"/>
    <row r="54571" ht="15.75" customHeight="1"/>
    <row r="54572" ht="15.75" customHeight="1"/>
    <row r="54573" ht="15.75" customHeight="1"/>
    <row r="54574" ht="15.75" customHeight="1"/>
    <row r="54575" ht="15.75" customHeight="1"/>
    <row r="54576" ht="15.75" customHeight="1"/>
    <row r="54577" ht="15.75" customHeight="1"/>
    <row r="54578" ht="15.75" customHeight="1"/>
    <row r="54579" ht="15.75" customHeight="1"/>
    <row r="54580" ht="15.75" customHeight="1"/>
    <row r="54581" ht="15.75" customHeight="1"/>
    <row r="54582" ht="15.75" customHeight="1"/>
    <row r="54583" ht="15.75" customHeight="1"/>
    <row r="54584" ht="15.75" customHeight="1"/>
    <row r="54585" ht="15.75" customHeight="1"/>
    <row r="54586" ht="15.75" customHeight="1"/>
    <row r="54587" ht="15.75" customHeight="1"/>
    <row r="54588" ht="15.75" customHeight="1"/>
    <row r="54589" ht="15.75" customHeight="1"/>
    <row r="54590" ht="15.75" customHeight="1"/>
    <row r="54591" ht="15.75" customHeight="1"/>
    <row r="54592" ht="15.75" customHeight="1"/>
    <row r="54593" ht="15.75" customHeight="1"/>
    <row r="54594" ht="15.75" customHeight="1"/>
    <row r="54595" ht="15.75" customHeight="1"/>
    <row r="54596" ht="15.75" customHeight="1"/>
    <row r="54597" ht="15.75" customHeight="1"/>
    <row r="54598" ht="15.75" customHeight="1"/>
    <row r="54599" ht="15.75" customHeight="1"/>
    <row r="54600" ht="15.75" customHeight="1"/>
    <row r="54601" ht="15.75" customHeight="1"/>
    <row r="54602" ht="15.75" customHeight="1"/>
    <row r="54603" ht="15.75" customHeight="1"/>
    <row r="54604" ht="15.75" customHeight="1"/>
    <row r="54605" ht="15.75" customHeight="1"/>
    <row r="54606" ht="15.75" customHeight="1"/>
    <row r="54607" ht="15.75" customHeight="1"/>
    <row r="54608" ht="15.75" customHeight="1"/>
    <row r="54609" ht="15.75" customHeight="1"/>
    <row r="54610" ht="15.75" customHeight="1"/>
    <row r="54611" ht="15.75" customHeight="1"/>
    <row r="54612" ht="15.75" customHeight="1"/>
    <row r="54613" ht="15.75" customHeight="1"/>
    <row r="54614" ht="15.75" customHeight="1"/>
    <row r="54615" ht="15.75" customHeight="1"/>
    <row r="54616" ht="15.75" customHeight="1"/>
    <row r="54617" ht="15.75" customHeight="1"/>
    <row r="54618" ht="15.75" customHeight="1"/>
    <row r="54619" ht="15.75" customHeight="1"/>
    <row r="54620" ht="15.75" customHeight="1"/>
    <row r="54621" ht="15.75" customHeight="1"/>
    <row r="54622" ht="15.75" customHeight="1"/>
    <row r="54623" ht="15.75" customHeight="1"/>
    <row r="54624" ht="15.75" customHeight="1"/>
    <row r="54625" ht="15.75" customHeight="1"/>
    <row r="54626" ht="15.75" customHeight="1"/>
    <row r="54627" ht="15.75" customHeight="1"/>
    <row r="54628" ht="15.75" customHeight="1"/>
    <row r="54629" ht="15.75" customHeight="1"/>
    <row r="54630" ht="15.75" customHeight="1"/>
    <row r="54631" ht="15.75" customHeight="1"/>
    <row r="54632" ht="15.75" customHeight="1"/>
    <row r="54633" ht="15.75" customHeight="1"/>
    <row r="54634" ht="15.75" customHeight="1"/>
    <row r="54635" ht="15.75" customHeight="1"/>
    <row r="54636" ht="15.75" customHeight="1"/>
    <row r="54637" ht="15.75" customHeight="1"/>
    <row r="54638" ht="15.75" customHeight="1"/>
    <row r="54639" ht="15.75" customHeight="1"/>
    <row r="54640" ht="15.75" customHeight="1"/>
    <row r="54641" ht="15.75" customHeight="1"/>
    <row r="54642" ht="15.75" customHeight="1"/>
    <row r="54643" ht="15.75" customHeight="1"/>
    <row r="54644" ht="15.75" customHeight="1"/>
    <row r="54645" ht="15.75" customHeight="1"/>
    <row r="54646" ht="15.75" customHeight="1"/>
    <row r="54647" ht="15.75" customHeight="1"/>
    <row r="54648" ht="15.75" customHeight="1"/>
    <row r="54649" ht="15.75" customHeight="1"/>
    <row r="54650" ht="15.75" customHeight="1"/>
    <row r="54651" ht="15.75" customHeight="1"/>
    <row r="54652" ht="15.75" customHeight="1"/>
    <row r="54653" ht="15.75" customHeight="1"/>
    <row r="54654" ht="15.75" customHeight="1"/>
    <row r="54655" ht="15.75" customHeight="1"/>
    <row r="54656" ht="15.75" customHeight="1"/>
    <row r="54657" ht="15.75" customHeight="1"/>
    <row r="54658" ht="15.75" customHeight="1"/>
    <row r="54659" ht="15.75" customHeight="1"/>
    <row r="54660" ht="15.75" customHeight="1"/>
    <row r="54661" ht="15.75" customHeight="1"/>
    <row r="54662" ht="15.75" customHeight="1"/>
    <row r="54663" ht="15.75" customHeight="1"/>
    <row r="54664" ht="15.75" customHeight="1"/>
    <row r="54665" ht="15.75" customHeight="1"/>
    <row r="54666" ht="15.75" customHeight="1"/>
    <row r="54667" ht="15.75" customHeight="1"/>
    <row r="54668" ht="15.75" customHeight="1"/>
    <row r="54669" ht="15.75" customHeight="1"/>
    <row r="54670" ht="15.75" customHeight="1"/>
    <row r="54671" ht="15.75" customHeight="1"/>
    <row r="54672" ht="15.75" customHeight="1"/>
    <row r="54673" ht="15.75" customHeight="1"/>
    <row r="54674" ht="15.75" customHeight="1"/>
    <row r="54675" ht="15.75" customHeight="1"/>
    <row r="54676" ht="15.75" customHeight="1"/>
    <row r="54677" ht="15.75" customHeight="1"/>
    <row r="54678" ht="15.75" customHeight="1"/>
    <row r="54679" ht="15.75" customHeight="1"/>
    <row r="54680" ht="15.75" customHeight="1"/>
    <row r="54681" ht="15.75" customHeight="1"/>
    <row r="54682" ht="15.75" customHeight="1"/>
    <row r="54683" ht="15.75" customHeight="1"/>
    <row r="54684" ht="15.75" customHeight="1"/>
    <row r="54685" ht="15.75" customHeight="1"/>
    <row r="54686" ht="15.75" customHeight="1"/>
    <row r="54687" ht="15.75" customHeight="1"/>
    <row r="54688" ht="15.75" customHeight="1"/>
    <row r="54689" ht="15.75" customHeight="1"/>
    <row r="54690" ht="15.75" customHeight="1"/>
    <row r="54691" ht="15.75" customHeight="1"/>
    <row r="54692" ht="15.75" customHeight="1"/>
    <row r="54693" ht="15.75" customHeight="1"/>
    <row r="54694" ht="15.75" customHeight="1"/>
    <row r="54695" ht="15.75" customHeight="1"/>
    <row r="54696" ht="15.75" customHeight="1"/>
    <row r="54697" ht="15.75" customHeight="1"/>
    <row r="54698" ht="15.75" customHeight="1"/>
    <row r="54699" ht="15.75" customHeight="1"/>
    <row r="54700" ht="15.75" customHeight="1"/>
    <row r="54701" ht="15.75" customHeight="1"/>
    <row r="54702" ht="15.75" customHeight="1"/>
    <row r="54703" ht="15.75" customHeight="1"/>
    <row r="54704" ht="15.75" customHeight="1"/>
    <row r="54705" ht="15.75" customHeight="1"/>
    <row r="54706" ht="15.75" customHeight="1"/>
    <row r="54707" ht="15.75" customHeight="1"/>
    <row r="54708" ht="15.75" customHeight="1"/>
    <row r="54709" ht="15.75" customHeight="1"/>
    <row r="54710" ht="15.75" customHeight="1"/>
    <row r="54711" ht="15.75" customHeight="1"/>
    <row r="54712" ht="15.75" customHeight="1"/>
    <row r="54713" ht="15.75" customHeight="1"/>
    <row r="54714" ht="15.75" customHeight="1"/>
    <row r="54715" ht="15.75" customHeight="1"/>
    <row r="54716" ht="15.75" customHeight="1"/>
    <row r="54717" ht="15.75" customHeight="1"/>
    <row r="54718" ht="15.75" customHeight="1"/>
    <row r="54719" ht="15.75" customHeight="1"/>
    <row r="54720" ht="15.75" customHeight="1"/>
    <row r="54721" ht="15.75" customHeight="1"/>
    <row r="54722" ht="15.75" customHeight="1"/>
    <row r="54723" ht="15.75" customHeight="1"/>
    <row r="54724" ht="15.75" customHeight="1"/>
    <row r="54725" ht="15.75" customHeight="1"/>
    <row r="54726" ht="15.75" customHeight="1"/>
    <row r="54727" ht="15.75" customHeight="1"/>
    <row r="54728" ht="15.75" customHeight="1"/>
    <row r="54729" ht="15.75" customHeight="1"/>
    <row r="54730" ht="15.75" customHeight="1"/>
    <row r="54731" ht="15.75" customHeight="1"/>
    <row r="54732" ht="15.75" customHeight="1"/>
    <row r="54733" ht="15.75" customHeight="1"/>
    <row r="54734" ht="15.75" customHeight="1"/>
    <row r="54735" ht="15.75" customHeight="1"/>
    <row r="54736" ht="15.75" customHeight="1"/>
    <row r="54737" ht="15.75" customHeight="1"/>
    <row r="54738" ht="15.75" customHeight="1"/>
    <row r="54739" ht="15.75" customHeight="1"/>
    <row r="54740" ht="15.75" customHeight="1"/>
    <row r="54741" ht="15.75" customHeight="1"/>
    <row r="54742" ht="15.75" customHeight="1"/>
    <row r="54743" ht="15.75" customHeight="1"/>
    <row r="54744" ht="15.75" customHeight="1"/>
    <row r="54745" ht="15.75" customHeight="1"/>
    <row r="54746" ht="15.75" customHeight="1"/>
    <row r="54747" ht="15.75" customHeight="1"/>
    <row r="54748" ht="15.75" customHeight="1"/>
    <row r="54749" ht="15.75" customHeight="1"/>
    <row r="54750" ht="15.75" customHeight="1"/>
    <row r="54751" ht="15.75" customHeight="1"/>
    <row r="54752" ht="15.75" customHeight="1"/>
    <row r="54753" ht="15.75" customHeight="1"/>
    <row r="54754" ht="15.75" customHeight="1"/>
    <row r="54755" ht="15.75" customHeight="1"/>
    <row r="54756" ht="15.75" customHeight="1"/>
    <row r="54757" ht="15.75" customHeight="1"/>
    <row r="54758" ht="15.75" customHeight="1"/>
    <row r="54759" ht="15.75" customHeight="1"/>
    <row r="54760" ht="15.75" customHeight="1"/>
    <row r="54761" ht="15.75" customHeight="1"/>
    <row r="54762" ht="15.75" customHeight="1"/>
    <row r="54763" ht="15.75" customHeight="1"/>
    <row r="54764" ht="15.75" customHeight="1"/>
    <row r="54765" ht="15.75" customHeight="1"/>
    <row r="54766" ht="15.75" customHeight="1"/>
    <row r="54767" ht="15.75" customHeight="1"/>
    <row r="54768" ht="15.75" customHeight="1"/>
    <row r="54769" ht="15.75" customHeight="1"/>
    <row r="54770" ht="15.75" customHeight="1"/>
    <row r="54771" ht="15.75" customHeight="1"/>
    <row r="54772" ht="15.75" customHeight="1"/>
    <row r="54773" ht="15.75" customHeight="1"/>
    <row r="54774" ht="15.75" customHeight="1"/>
    <row r="54775" ht="15.75" customHeight="1"/>
    <row r="54776" ht="15.75" customHeight="1"/>
    <row r="54777" ht="15.75" customHeight="1"/>
    <row r="54778" ht="15.75" customHeight="1"/>
    <row r="54779" ht="15.75" customHeight="1"/>
    <row r="54780" ht="15.75" customHeight="1"/>
    <row r="54781" ht="15.75" customHeight="1"/>
    <row r="54782" ht="15.75" customHeight="1"/>
    <row r="54783" ht="15.75" customHeight="1"/>
    <row r="54784" ht="15.75" customHeight="1"/>
    <row r="54785" ht="15.75" customHeight="1"/>
    <row r="54786" ht="15.75" customHeight="1"/>
    <row r="54787" ht="15.75" customHeight="1"/>
    <row r="54788" ht="15.75" customHeight="1"/>
    <row r="54789" ht="15.75" customHeight="1"/>
    <row r="54790" ht="15.75" customHeight="1"/>
    <row r="54791" ht="15.75" customHeight="1"/>
    <row r="54792" ht="15.75" customHeight="1"/>
    <row r="54793" ht="15.75" customHeight="1"/>
    <row r="54794" ht="15.75" customHeight="1"/>
    <row r="54795" ht="15.75" customHeight="1"/>
    <row r="54796" ht="15.75" customHeight="1"/>
    <row r="54797" ht="15.75" customHeight="1"/>
    <row r="54798" ht="15.75" customHeight="1"/>
    <row r="54799" ht="15.75" customHeight="1"/>
    <row r="54800" ht="15.75" customHeight="1"/>
    <row r="54801" ht="15.75" customHeight="1"/>
    <row r="54802" ht="15.75" customHeight="1"/>
    <row r="54803" ht="15.75" customHeight="1"/>
    <row r="54804" ht="15.75" customHeight="1"/>
    <row r="54805" ht="15.75" customHeight="1"/>
    <row r="54806" ht="15.75" customHeight="1"/>
    <row r="54807" ht="15.75" customHeight="1"/>
    <row r="54808" ht="15.75" customHeight="1"/>
    <row r="54809" ht="15.75" customHeight="1"/>
    <row r="54810" ht="15.75" customHeight="1"/>
    <row r="54811" ht="15.75" customHeight="1"/>
    <row r="54812" ht="15.75" customHeight="1"/>
    <row r="54813" ht="15.75" customHeight="1"/>
    <row r="54814" ht="15.75" customHeight="1"/>
    <row r="54815" ht="15.75" customHeight="1"/>
    <row r="54816" ht="15.75" customHeight="1"/>
    <row r="54817" ht="15.75" customHeight="1"/>
    <row r="54818" ht="15.75" customHeight="1"/>
    <row r="54819" ht="15.75" customHeight="1"/>
    <row r="54820" ht="15.75" customHeight="1"/>
    <row r="54821" ht="15.75" customHeight="1"/>
    <row r="54822" ht="15.75" customHeight="1"/>
    <row r="54823" ht="15.75" customHeight="1"/>
    <row r="54824" ht="15.75" customHeight="1"/>
    <row r="54825" ht="15.75" customHeight="1"/>
    <row r="54826" ht="15.75" customHeight="1"/>
    <row r="54827" ht="15.75" customHeight="1"/>
    <row r="54828" ht="15.75" customHeight="1"/>
    <row r="54829" ht="15.75" customHeight="1"/>
    <row r="54830" ht="15.75" customHeight="1"/>
    <row r="54831" ht="15.75" customHeight="1"/>
    <row r="54832" ht="15.75" customHeight="1"/>
    <row r="54833" ht="15.75" customHeight="1"/>
    <row r="54834" ht="15.75" customHeight="1"/>
    <row r="54835" ht="15.75" customHeight="1"/>
    <row r="54836" ht="15.75" customHeight="1"/>
    <row r="54837" ht="15.75" customHeight="1"/>
    <row r="54838" ht="15.75" customHeight="1"/>
    <row r="54839" ht="15.75" customHeight="1"/>
    <row r="54840" ht="15.75" customHeight="1"/>
    <row r="54841" ht="15.75" customHeight="1"/>
    <row r="54842" ht="15.75" customHeight="1"/>
    <row r="54843" ht="15.75" customHeight="1"/>
    <row r="54844" ht="15.75" customHeight="1"/>
    <row r="54845" ht="15.75" customHeight="1"/>
    <row r="54846" ht="15.75" customHeight="1"/>
    <row r="54847" ht="15.75" customHeight="1"/>
    <row r="54848" ht="15.75" customHeight="1"/>
    <row r="54849" ht="15.75" customHeight="1"/>
    <row r="54850" ht="15.75" customHeight="1"/>
    <row r="54851" ht="15.75" customHeight="1"/>
    <row r="54852" ht="15.75" customHeight="1"/>
    <row r="54853" ht="15.75" customHeight="1"/>
    <row r="54854" ht="15.75" customHeight="1"/>
    <row r="54855" ht="15.75" customHeight="1"/>
    <row r="54856" ht="15.75" customHeight="1"/>
    <row r="54857" ht="15.75" customHeight="1"/>
    <row r="54858" ht="15.75" customHeight="1"/>
    <row r="54859" ht="15.75" customHeight="1"/>
    <row r="54860" ht="15.75" customHeight="1"/>
    <row r="54861" ht="15.75" customHeight="1"/>
    <row r="54862" ht="15.75" customHeight="1"/>
    <row r="54863" ht="15.75" customHeight="1"/>
    <row r="54864" ht="15.75" customHeight="1"/>
    <row r="54865" ht="15.75" customHeight="1"/>
    <row r="54866" ht="15.75" customHeight="1"/>
    <row r="54867" ht="15.75" customHeight="1"/>
    <row r="54868" ht="15.75" customHeight="1"/>
    <row r="54869" ht="15.75" customHeight="1"/>
    <row r="54870" ht="15.75" customHeight="1"/>
    <row r="54871" ht="15.75" customHeight="1"/>
    <row r="54872" ht="15.75" customHeight="1"/>
    <row r="54873" ht="15.75" customHeight="1"/>
    <row r="54874" ht="15.75" customHeight="1"/>
    <row r="54875" ht="15.75" customHeight="1"/>
    <row r="54876" ht="15.75" customHeight="1"/>
    <row r="54877" ht="15.75" customHeight="1"/>
    <row r="54878" ht="15.75" customHeight="1"/>
    <row r="54879" ht="15.75" customHeight="1"/>
    <row r="54880" ht="15.75" customHeight="1"/>
    <row r="54881" ht="15.75" customHeight="1"/>
    <row r="54882" ht="15.75" customHeight="1"/>
    <row r="54883" ht="15.75" customHeight="1"/>
    <row r="54884" ht="15.75" customHeight="1"/>
    <row r="54885" ht="15.75" customHeight="1"/>
    <row r="54886" ht="15.75" customHeight="1"/>
    <row r="54887" ht="15.75" customHeight="1"/>
    <row r="54888" ht="15.75" customHeight="1"/>
    <row r="54889" ht="15.75" customHeight="1"/>
    <row r="54890" ht="15.75" customHeight="1"/>
    <row r="54891" ht="15.75" customHeight="1"/>
    <row r="54892" ht="15.75" customHeight="1"/>
    <row r="54893" ht="15.75" customHeight="1"/>
    <row r="54894" ht="15.75" customHeight="1"/>
    <row r="54895" ht="15.75" customHeight="1"/>
    <row r="54896" ht="15.75" customHeight="1"/>
    <row r="54897" ht="15.75" customHeight="1"/>
    <row r="54898" ht="15.75" customHeight="1"/>
    <row r="54899" ht="15.75" customHeight="1"/>
    <row r="54900" ht="15.75" customHeight="1"/>
    <row r="54901" ht="15.75" customHeight="1"/>
    <row r="54902" ht="15.75" customHeight="1"/>
    <row r="54903" ht="15.75" customHeight="1"/>
    <row r="54904" ht="15.75" customHeight="1"/>
    <row r="54905" ht="15.75" customHeight="1"/>
    <row r="54906" ht="15.75" customHeight="1"/>
    <row r="54907" ht="15.75" customHeight="1"/>
    <row r="54908" ht="15.75" customHeight="1"/>
    <row r="54909" ht="15.75" customHeight="1"/>
    <row r="54910" ht="15.75" customHeight="1"/>
    <row r="54911" ht="15.75" customHeight="1"/>
    <row r="54912" ht="15.75" customHeight="1"/>
    <row r="54913" ht="15.75" customHeight="1"/>
    <row r="54914" ht="15.75" customHeight="1"/>
    <row r="54915" ht="15.75" customHeight="1"/>
    <row r="54916" ht="15.75" customHeight="1"/>
    <row r="54917" ht="15.75" customHeight="1"/>
    <row r="54918" ht="15.75" customHeight="1"/>
    <row r="54919" ht="15.75" customHeight="1"/>
    <row r="54920" ht="15.75" customHeight="1"/>
    <row r="54921" ht="15.75" customHeight="1"/>
    <row r="54922" ht="15.75" customHeight="1"/>
    <row r="54923" ht="15.75" customHeight="1"/>
    <row r="54924" ht="15.75" customHeight="1"/>
    <row r="54925" ht="15.75" customHeight="1"/>
    <row r="54926" ht="15.75" customHeight="1"/>
    <row r="54927" ht="15.75" customHeight="1"/>
    <row r="54928" ht="15.75" customHeight="1"/>
    <row r="54929" ht="15.75" customHeight="1"/>
    <row r="54930" ht="15.75" customHeight="1"/>
    <row r="54931" ht="15.75" customHeight="1"/>
    <row r="54932" ht="15.75" customHeight="1"/>
    <row r="54933" ht="15.75" customHeight="1"/>
    <row r="54934" ht="15.75" customHeight="1"/>
    <row r="54935" ht="15.75" customHeight="1"/>
    <row r="54936" ht="15.75" customHeight="1"/>
    <row r="54937" ht="15.75" customHeight="1"/>
    <row r="54938" ht="15.75" customHeight="1"/>
    <row r="54939" ht="15.75" customHeight="1"/>
    <row r="54940" ht="15.75" customHeight="1"/>
    <row r="54941" ht="15.75" customHeight="1"/>
    <row r="54942" ht="15.75" customHeight="1"/>
    <row r="54943" ht="15.75" customHeight="1"/>
    <row r="54944" ht="15.75" customHeight="1"/>
    <row r="54945" ht="15.75" customHeight="1"/>
    <row r="54946" ht="15.75" customHeight="1"/>
    <row r="54947" ht="15.75" customHeight="1"/>
    <row r="54948" ht="15.75" customHeight="1"/>
    <row r="54949" ht="15.75" customHeight="1"/>
    <row r="54950" ht="15.75" customHeight="1"/>
    <row r="54951" ht="15.75" customHeight="1"/>
    <row r="54952" ht="15.75" customHeight="1"/>
    <row r="54953" ht="15.75" customHeight="1"/>
    <row r="54954" ht="15.75" customHeight="1"/>
    <row r="54955" ht="15.75" customHeight="1"/>
    <row r="54956" ht="15.75" customHeight="1"/>
    <row r="54957" ht="15.75" customHeight="1"/>
    <row r="54958" ht="15.75" customHeight="1"/>
    <row r="54959" ht="15.75" customHeight="1"/>
    <row r="54960" ht="15.75" customHeight="1"/>
    <row r="54961" ht="15.75" customHeight="1"/>
    <row r="54962" ht="15.75" customHeight="1"/>
    <row r="54963" ht="15.75" customHeight="1"/>
    <row r="54964" ht="15.75" customHeight="1"/>
    <row r="54965" ht="15.75" customHeight="1"/>
    <row r="54966" ht="15.75" customHeight="1"/>
    <row r="54967" ht="15.75" customHeight="1"/>
    <row r="54968" ht="15.75" customHeight="1"/>
    <row r="54969" ht="15.75" customHeight="1"/>
    <row r="54970" ht="15.75" customHeight="1"/>
    <row r="54971" ht="15.75" customHeight="1"/>
    <row r="54972" ht="15.75" customHeight="1"/>
    <row r="54973" ht="15.75" customHeight="1"/>
    <row r="54974" ht="15.75" customHeight="1"/>
    <row r="54975" ht="15.75" customHeight="1"/>
    <row r="54976" ht="15.75" customHeight="1"/>
    <row r="54977" ht="15.75" customHeight="1"/>
    <row r="54978" ht="15.75" customHeight="1"/>
    <row r="54979" ht="15.75" customHeight="1"/>
    <row r="54980" ht="15.75" customHeight="1"/>
    <row r="54981" ht="15.75" customHeight="1"/>
    <row r="54982" ht="15.75" customHeight="1"/>
    <row r="54983" ht="15.75" customHeight="1"/>
    <row r="54984" ht="15.75" customHeight="1"/>
    <row r="54985" ht="15.75" customHeight="1"/>
    <row r="54986" ht="15.75" customHeight="1"/>
    <row r="54987" ht="15.75" customHeight="1"/>
    <row r="54988" ht="15.75" customHeight="1"/>
    <row r="54989" ht="15.75" customHeight="1"/>
    <row r="54990" ht="15.75" customHeight="1"/>
    <row r="54991" ht="15.75" customHeight="1"/>
    <row r="54992" ht="15.75" customHeight="1"/>
    <row r="54993" ht="15.75" customHeight="1"/>
    <row r="54994" ht="15.75" customHeight="1"/>
    <row r="54995" ht="15.75" customHeight="1"/>
    <row r="54996" ht="15.75" customHeight="1"/>
    <row r="54997" ht="15.75" customHeight="1"/>
    <row r="54998" ht="15.75" customHeight="1"/>
    <row r="54999" ht="15.75" customHeight="1"/>
    <row r="55000" ht="15.75" customHeight="1"/>
    <row r="55001" ht="15.75" customHeight="1"/>
    <row r="55002" ht="15.75" customHeight="1"/>
    <row r="55003" ht="15.75" customHeight="1"/>
    <row r="55004" ht="15.75" customHeight="1"/>
    <row r="55005" ht="15.75" customHeight="1"/>
    <row r="55006" ht="15.75" customHeight="1"/>
    <row r="55007" ht="15.75" customHeight="1"/>
    <row r="55008" ht="15.75" customHeight="1"/>
    <row r="55009" ht="15.75" customHeight="1"/>
    <row r="55010" ht="15.75" customHeight="1"/>
    <row r="55011" ht="15.75" customHeight="1"/>
    <row r="55012" ht="15.75" customHeight="1"/>
    <row r="55013" ht="15.75" customHeight="1"/>
    <row r="55014" ht="15.75" customHeight="1"/>
    <row r="55015" ht="15.75" customHeight="1"/>
    <row r="55016" ht="15.75" customHeight="1"/>
    <row r="55017" ht="15.75" customHeight="1"/>
    <row r="55018" ht="15.75" customHeight="1"/>
    <row r="55019" ht="15.75" customHeight="1"/>
    <row r="55020" ht="15.75" customHeight="1"/>
    <row r="55021" ht="15.75" customHeight="1"/>
    <row r="55022" ht="15.75" customHeight="1"/>
    <row r="55023" ht="15.75" customHeight="1"/>
    <row r="55024" ht="15.75" customHeight="1"/>
    <row r="55025" ht="15.75" customHeight="1"/>
    <row r="55026" ht="15.75" customHeight="1"/>
    <row r="55027" ht="15.75" customHeight="1"/>
    <row r="55028" ht="15.75" customHeight="1"/>
    <row r="55029" ht="15.75" customHeight="1"/>
    <row r="55030" ht="15.75" customHeight="1"/>
    <row r="55031" ht="15.75" customHeight="1"/>
    <row r="55032" ht="15.75" customHeight="1"/>
    <row r="55033" ht="15.75" customHeight="1"/>
    <row r="55034" ht="15.75" customHeight="1"/>
    <row r="55035" ht="15.75" customHeight="1"/>
    <row r="55036" ht="15.75" customHeight="1"/>
    <row r="55037" ht="15.75" customHeight="1"/>
    <row r="55038" ht="15.75" customHeight="1"/>
    <row r="55039" ht="15.75" customHeight="1"/>
    <row r="55040" ht="15.75" customHeight="1"/>
    <row r="55041" ht="15.75" customHeight="1"/>
    <row r="55042" ht="15.75" customHeight="1"/>
    <row r="55043" ht="15.75" customHeight="1"/>
    <row r="55044" ht="15.75" customHeight="1"/>
    <row r="55045" ht="15.75" customHeight="1"/>
    <row r="55046" ht="15.75" customHeight="1"/>
    <row r="55047" ht="15.75" customHeight="1"/>
    <row r="55048" ht="15.75" customHeight="1"/>
    <row r="55049" ht="15.75" customHeight="1"/>
    <row r="55050" ht="15.75" customHeight="1"/>
    <row r="55051" ht="15.75" customHeight="1"/>
    <row r="55052" ht="15.75" customHeight="1"/>
    <row r="55053" ht="15.75" customHeight="1"/>
    <row r="55054" ht="15.75" customHeight="1"/>
    <row r="55055" ht="15.75" customHeight="1"/>
    <row r="55056" ht="15.75" customHeight="1"/>
    <row r="55057" ht="15.75" customHeight="1"/>
    <row r="55058" ht="15.75" customHeight="1"/>
    <row r="55059" ht="15.75" customHeight="1"/>
    <row r="55060" ht="15.75" customHeight="1"/>
    <row r="55061" ht="15.75" customHeight="1"/>
    <row r="55062" ht="15.75" customHeight="1"/>
    <row r="55063" ht="15.75" customHeight="1"/>
    <row r="55064" ht="15.75" customHeight="1"/>
    <row r="55065" ht="15.75" customHeight="1"/>
    <row r="55066" ht="15.75" customHeight="1"/>
    <row r="55067" ht="15.75" customHeight="1"/>
    <row r="55068" ht="15.75" customHeight="1"/>
    <row r="55069" ht="15.75" customHeight="1"/>
    <row r="55070" ht="15.75" customHeight="1"/>
    <row r="55071" ht="15.75" customHeight="1"/>
    <row r="55072" ht="15.75" customHeight="1"/>
    <row r="55073" ht="15.75" customHeight="1"/>
    <row r="55074" ht="15.75" customHeight="1"/>
    <row r="55075" ht="15.75" customHeight="1"/>
    <row r="55076" ht="15.75" customHeight="1"/>
    <row r="55077" ht="15.75" customHeight="1"/>
    <row r="55078" ht="15.75" customHeight="1"/>
    <row r="55079" ht="15.75" customHeight="1"/>
    <row r="55080" ht="15.75" customHeight="1"/>
    <row r="55081" ht="15.75" customHeight="1"/>
    <row r="55082" ht="15.75" customHeight="1"/>
    <row r="55083" ht="15.75" customHeight="1"/>
    <row r="55084" ht="15.75" customHeight="1"/>
    <row r="55085" ht="15.75" customHeight="1"/>
    <row r="55086" ht="15.75" customHeight="1"/>
    <row r="55087" ht="15.75" customHeight="1"/>
    <row r="55088" ht="15.75" customHeight="1"/>
    <row r="55089" ht="15.75" customHeight="1"/>
    <row r="55090" ht="15.75" customHeight="1"/>
    <row r="55091" ht="15.75" customHeight="1"/>
    <row r="55092" ht="15.75" customHeight="1"/>
    <row r="55093" ht="15.75" customHeight="1"/>
    <row r="55094" ht="15.75" customHeight="1"/>
    <row r="55095" ht="15.75" customHeight="1"/>
    <row r="55096" ht="15.75" customHeight="1"/>
    <row r="55097" ht="15.75" customHeight="1"/>
    <row r="55098" ht="15.75" customHeight="1"/>
    <row r="55099" ht="15.75" customHeight="1"/>
    <row r="55100" ht="15.75" customHeight="1"/>
    <row r="55101" ht="15.75" customHeight="1"/>
    <row r="55102" ht="15.75" customHeight="1"/>
    <row r="55103" ht="15.75" customHeight="1"/>
    <row r="55104" ht="15.75" customHeight="1"/>
    <row r="55105" ht="15.75" customHeight="1"/>
    <row r="55106" ht="15.75" customHeight="1"/>
    <row r="55107" ht="15.75" customHeight="1"/>
    <row r="55108" ht="15.75" customHeight="1"/>
    <row r="55109" ht="15.75" customHeight="1"/>
    <row r="55110" ht="15.75" customHeight="1"/>
    <row r="55111" ht="15.75" customHeight="1"/>
    <row r="55112" ht="15.75" customHeight="1"/>
    <row r="55113" ht="15.75" customHeight="1"/>
    <row r="55114" ht="15.75" customHeight="1"/>
    <row r="55115" ht="15.75" customHeight="1"/>
    <row r="55116" ht="15.75" customHeight="1"/>
    <row r="55117" ht="15.75" customHeight="1"/>
    <row r="55118" ht="15.75" customHeight="1"/>
    <row r="55119" ht="15.75" customHeight="1"/>
    <row r="55120" ht="15.75" customHeight="1"/>
    <row r="55121" ht="15.75" customHeight="1"/>
    <row r="55122" ht="15.75" customHeight="1"/>
    <row r="55123" ht="15.75" customHeight="1"/>
    <row r="55124" ht="15.75" customHeight="1"/>
    <row r="55125" ht="15.75" customHeight="1"/>
    <row r="55126" ht="15.75" customHeight="1"/>
    <row r="55127" ht="15.75" customHeight="1"/>
    <row r="55128" ht="15.75" customHeight="1"/>
    <row r="55129" ht="15.75" customHeight="1"/>
    <row r="55130" ht="15.75" customHeight="1"/>
    <row r="55131" ht="15.75" customHeight="1"/>
    <row r="55132" ht="15.75" customHeight="1"/>
    <row r="55133" ht="15.75" customHeight="1"/>
    <row r="55134" ht="15.75" customHeight="1"/>
    <row r="55135" ht="15.75" customHeight="1"/>
    <row r="55136" ht="15.75" customHeight="1"/>
    <row r="55137" ht="15.75" customHeight="1"/>
    <row r="55138" ht="15.75" customHeight="1"/>
    <row r="55139" ht="15.75" customHeight="1"/>
    <row r="55140" ht="15.75" customHeight="1"/>
    <row r="55141" ht="15.75" customHeight="1"/>
    <row r="55142" ht="15.75" customHeight="1"/>
    <row r="55143" ht="15.75" customHeight="1"/>
    <row r="55144" ht="15.75" customHeight="1"/>
    <row r="55145" ht="15.75" customHeight="1"/>
    <row r="55146" ht="15.75" customHeight="1"/>
    <row r="55147" ht="15.75" customHeight="1"/>
    <row r="55148" ht="15.75" customHeight="1"/>
    <row r="55149" ht="15.75" customHeight="1"/>
    <row r="55150" ht="15.75" customHeight="1"/>
    <row r="55151" ht="15.75" customHeight="1"/>
    <row r="55152" ht="15.75" customHeight="1"/>
    <row r="55153" ht="15.75" customHeight="1"/>
    <row r="55154" ht="15.75" customHeight="1"/>
    <row r="55155" ht="15.75" customHeight="1"/>
    <row r="55156" ht="15.75" customHeight="1"/>
    <row r="55157" ht="15.75" customHeight="1"/>
    <row r="55158" ht="15.75" customHeight="1"/>
    <row r="55159" ht="15.75" customHeight="1"/>
    <row r="55160" ht="15.75" customHeight="1"/>
    <row r="55161" ht="15.75" customHeight="1"/>
    <row r="55162" ht="15.75" customHeight="1"/>
    <row r="55163" ht="15.75" customHeight="1"/>
    <row r="55164" ht="15.75" customHeight="1"/>
    <row r="55165" ht="15.75" customHeight="1"/>
    <row r="55166" ht="15.75" customHeight="1"/>
    <row r="55167" ht="15.75" customHeight="1"/>
    <row r="55168" ht="15.75" customHeight="1"/>
    <row r="55169" ht="15.75" customHeight="1"/>
    <row r="55170" ht="15.75" customHeight="1"/>
    <row r="55171" ht="15.75" customHeight="1"/>
    <row r="55172" ht="15.75" customHeight="1"/>
    <row r="55173" ht="15.75" customHeight="1"/>
    <row r="55174" ht="15.75" customHeight="1"/>
    <row r="55175" ht="15.75" customHeight="1"/>
    <row r="55176" ht="15.75" customHeight="1"/>
    <row r="55177" ht="15.75" customHeight="1"/>
    <row r="55178" ht="15.75" customHeight="1"/>
    <row r="55179" ht="15.75" customHeight="1"/>
    <row r="55180" ht="15.75" customHeight="1"/>
    <row r="55181" ht="15.75" customHeight="1"/>
    <row r="55182" ht="15.75" customHeight="1"/>
    <row r="55183" ht="15.75" customHeight="1"/>
    <row r="55184" ht="15.75" customHeight="1"/>
    <row r="55185" ht="15.75" customHeight="1"/>
    <row r="55186" ht="15.75" customHeight="1"/>
    <row r="55187" ht="15.75" customHeight="1"/>
    <row r="55188" ht="15.75" customHeight="1"/>
    <row r="55189" ht="15.75" customHeight="1"/>
    <row r="55190" ht="15.75" customHeight="1"/>
    <row r="55191" ht="15.75" customHeight="1"/>
    <row r="55192" ht="15.75" customHeight="1"/>
    <row r="55193" ht="15.75" customHeight="1"/>
    <row r="55194" ht="15.75" customHeight="1"/>
    <row r="55195" ht="15.75" customHeight="1"/>
    <row r="55196" ht="15.75" customHeight="1"/>
    <row r="55197" ht="15.75" customHeight="1"/>
    <row r="55198" ht="15.75" customHeight="1"/>
    <row r="55199" ht="15.75" customHeight="1"/>
    <row r="55200" ht="15.75" customHeight="1"/>
    <row r="55201" ht="15.75" customHeight="1"/>
    <row r="55202" ht="15.75" customHeight="1"/>
    <row r="55203" ht="15.75" customHeight="1"/>
    <row r="55204" ht="15.75" customHeight="1"/>
    <row r="55205" ht="15.75" customHeight="1"/>
    <row r="55206" ht="15.75" customHeight="1"/>
    <row r="55207" ht="15.75" customHeight="1"/>
    <row r="55208" ht="15.75" customHeight="1"/>
    <row r="55209" ht="15.75" customHeight="1"/>
    <row r="55210" ht="15.75" customHeight="1"/>
    <row r="55211" ht="15.75" customHeight="1"/>
    <row r="55212" ht="15.75" customHeight="1"/>
    <row r="55213" ht="15.75" customHeight="1"/>
    <row r="55214" ht="15.75" customHeight="1"/>
    <row r="55215" ht="15.75" customHeight="1"/>
    <row r="55216" ht="15.75" customHeight="1"/>
    <row r="55217" ht="15.75" customHeight="1"/>
    <row r="55218" ht="15.75" customHeight="1"/>
    <row r="55219" ht="15.75" customHeight="1"/>
    <row r="55220" ht="15.75" customHeight="1"/>
    <row r="55221" ht="15.75" customHeight="1"/>
    <row r="55222" ht="15.75" customHeight="1"/>
    <row r="55223" ht="15.75" customHeight="1"/>
    <row r="55224" ht="15.75" customHeight="1"/>
    <row r="55225" ht="15.75" customHeight="1"/>
    <row r="55226" ht="15.75" customHeight="1"/>
    <row r="55227" ht="15.75" customHeight="1"/>
    <row r="55228" ht="15.75" customHeight="1"/>
    <row r="55229" ht="15.75" customHeight="1"/>
    <row r="55230" ht="15.75" customHeight="1"/>
    <row r="55231" ht="15.75" customHeight="1"/>
    <row r="55232" ht="15.75" customHeight="1"/>
    <row r="55233" ht="15.75" customHeight="1"/>
    <row r="55234" ht="15.75" customHeight="1"/>
    <row r="55235" ht="15.75" customHeight="1"/>
    <row r="55236" ht="15.75" customHeight="1"/>
    <row r="55237" ht="15.75" customHeight="1"/>
    <row r="55238" ht="15.75" customHeight="1"/>
    <row r="55239" ht="15.75" customHeight="1"/>
    <row r="55240" ht="15.75" customHeight="1"/>
    <row r="55241" ht="15.75" customHeight="1"/>
    <row r="55242" ht="15.75" customHeight="1"/>
    <row r="55243" ht="15.75" customHeight="1"/>
    <row r="55244" ht="15.75" customHeight="1"/>
    <row r="55245" ht="15.75" customHeight="1"/>
    <row r="55246" ht="15.75" customHeight="1"/>
    <row r="55247" ht="15.75" customHeight="1"/>
    <row r="55248" ht="15.75" customHeight="1"/>
    <row r="55249" ht="15.75" customHeight="1"/>
    <row r="55250" ht="15.75" customHeight="1"/>
    <row r="55251" ht="15.75" customHeight="1"/>
    <row r="55252" ht="15.75" customHeight="1"/>
    <row r="55253" ht="15.75" customHeight="1"/>
    <row r="55254" ht="15.75" customHeight="1"/>
    <row r="55255" ht="15.75" customHeight="1"/>
    <row r="55256" ht="15.75" customHeight="1"/>
    <row r="55257" ht="15.75" customHeight="1"/>
    <row r="55258" ht="15.75" customHeight="1"/>
    <row r="55259" ht="15.75" customHeight="1"/>
    <row r="55260" ht="15.75" customHeight="1"/>
    <row r="55261" ht="15.75" customHeight="1"/>
    <row r="55262" ht="15.75" customHeight="1"/>
    <row r="55263" ht="15.75" customHeight="1"/>
    <row r="55264" ht="15.75" customHeight="1"/>
    <row r="55265" ht="15.75" customHeight="1"/>
    <row r="55266" ht="15.75" customHeight="1"/>
    <row r="55267" ht="15.75" customHeight="1"/>
    <row r="55268" ht="15.75" customHeight="1"/>
    <row r="55269" ht="15.75" customHeight="1"/>
    <row r="55270" ht="15.75" customHeight="1"/>
    <row r="55271" ht="15.75" customHeight="1"/>
    <row r="55272" ht="15.75" customHeight="1"/>
    <row r="55273" ht="15.75" customHeight="1"/>
    <row r="55274" ht="15.75" customHeight="1"/>
    <row r="55275" ht="15.75" customHeight="1"/>
    <row r="55276" ht="15.75" customHeight="1"/>
    <row r="55277" ht="15.75" customHeight="1"/>
    <row r="55278" ht="15.75" customHeight="1"/>
    <row r="55279" ht="15.75" customHeight="1"/>
    <row r="55280" ht="15.75" customHeight="1"/>
    <row r="55281" ht="15.75" customHeight="1"/>
    <row r="55282" ht="15.75" customHeight="1"/>
    <row r="55283" ht="15.75" customHeight="1"/>
    <row r="55284" ht="15.75" customHeight="1"/>
    <row r="55285" ht="15.75" customHeight="1"/>
    <row r="55286" ht="15.75" customHeight="1"/>
    <row r="55287" ht="15.75" customHeight="1"/>
    <row r="55288" ht="15.75" customHeight="1"/>
    <row r="55289" ht="15.75" customHeight="1"/>
    <row r="55290" ht="15.75" customHeight="1"/>
    <row r="55291" ht="15.75" customHeight="1"/>
    <row r="55292" ht="15.75" customHeight="1"/>
    <row r="55293" ht="15.75" customHeight="1"/>
    <row r="55294" ht="15.75" customHeight="1"/>
    <row r="55295" ht="15.75" customHeight="1"/>
    <row r="55296" ht="15.75" customHeight="1"/>
    <row r="55297" ht="15.75" customHeight="1"/>
    <row r="55298" ht="15.75" customHeight="1"/>
    <row r="55299" ht="15.75" customHeight="1"/>
    <row r="55300" ht="15.75" customHeight="1"/>
    <row r="55301" ht="15.75" customHeight="1"/>
    <row r="55302" ht="15.75" customHeight="1"/>
    <row r="55303" ht="15.75" customHeight="1"/>
    <row r="55304" ht="15.75" customHeight="1"/>
    <row r="55305" ht="15.75" customHeight="1"/>
    <row r="55306" ht="15.75" customHeight="1"/>
    <row r="55307" ht="15.75" customHeight="1"/>
    <row r="55308" ht="15.75" customHeight="1"/>
    <row r="55309" ht="15.75" customHeight="1"/>
    <row r="55310" ht="15.75" customHeight="1"/>
    <row r="55311" ht="15.75" customHeight="1"/>
    <row r="55312" ht="15.75" customHeight="1"/>
    <row r="55313" ht="15.75" customHeight="1"/>
    <row r="55314" ht="15.75" customHeight="1"/>
    <row r="55315" ht="15.75" customHeight="1"/>
    <row r="55316" ht="15.75" customHeight="1"/>
    <row r="55317" ht="15.75" customHeight="1"/>
    <row r="55318" ht="15.75" customHeight="1"/>
    <row r="55319" ht="15.75" customHeight="1"/>
    <row r="55320" ht="15.75" customHeight="1"/>
    <row r="55321" ht="15.75" customHeight="1"/>
    <row r="55322" ht="15.75" customHeight="1"/>
    <row r="55323" ht="15.75" customHeight="1"/>
    <row r="55324" ht="15.75" customHeight="1"/>
    <row r="55325" ht="15.75" customHeight="1"/>
    <row r="55326" ht="15.75" customHeight="1"/>
    <row r="55327" ht="15.75" customHeight="1"/>
    <row r="55328" ht="15.75" customHeight="1"/>
    <row r="55329" ht="15.75" customHeight="1"/>
    <row r="55330" ht="15.75" customHeight="1"/>
    <row r="55331" ht="15.75" customHeight="1"/>
    <row r="55332" ht="15.75" customHeight="1"/>
    <row r="55333" ht="15.75" customHeight="1"/>
    <row r="55334" ht="15.75" customHeight="1"/>
    <row r="55335" ht="15.75" customHeight="1"/>
    <row r="55336" ht="15.75" customHeight="1"/>
    <row r="55337" ht="15.75" customHeight="1"/>
    <row r="55338" ht="15.75" customHeight="1"/>
    <row r="55339" ht="15.75" customHeight="1"/>
    <row r="55340" ht="15.75" customHeight="1"/>
    <row r="55341" ht="15.75" customHeight="1"/>
    <row r="55342" ht="15.75" customHeight="1"/>
    <row r="55343" ht="15.75" customHeight="1"/>
    <row r="55344" ht="15.75" customHeight="1"/>
    <row r="55345" ht="15.75" customHeight="1"/>
    <row r="55346" ht="15.75" customHeight="1"/>
    <row r="55347" ht="15.75" customHeight="1"/>
    <row r="55348" ht="15.75" customHeight="1"/>
    <row r="55349" ht="15.75" customHeight="1"/>
    <row r="55350" ht="15.75" customHeight="1"/>
    <row r="55351" ht="15.75" customHeight="1"/>
    <row r="55352" ht="15.75" customHeight="1"/>
    <row r="55353" ht="15.75" customHeight="1"/>
    <row r="55354" ht="15.75" customHeight="1"/>
    <row r="55355" ht="15.75" customHeight="1"/>
    <row r="55356" ht="15.75" customHeight="1"/>
    <row r="55357" ht="15.75" customHeight="1"/>
    <row r="55358" ht="15.75" customHeight="1"/>
    <row r="55359" ht="15.75" customHeight="1"/>
    <row r="55360" ht="15.75" customHeight="1"/>
    <row r="55361" ht="15.75" customHeight="1"/>
    <row r="55362" ht="15.75" customHeight="1"/>
    <row r="55363" ht="15.75" customHeight="1"/>
    <row r="55364" ht="15.75" customHeight="1"/>
    <row r="55365" ht="15.75" customHeight="1"/>
    <row r="55366" ht="15.75" customHeight="1"/>
    <row r="55367" ht="15.75" customHeight="1"/>
    <row r="55368" ht="15.75" customHeight="1"/>
    <row r="55369" ht="15.75" customHeight="1"/>
    <row r="55370" ht="15.75" customHeight="1"/>
    <row r="55371" ht="15.75" customHeight="1"/>
    <row r="55372" ht="15.75" customHeight="1"/>
    <row r="55373" ht="15.75" customHeight="1"/>
    <row r="55374" ht="15.75" customHeight="1"/>
    <row r="55375" ht="15.75" customHeight="1"/>
    <row r="55376" ht="15.75" customHeight="1"/>
    <row r="55377" ht="15.75" customHeight="1"/>
    <row r="55378" ht="15.75" customHeight="1"/>
    <row r="55379" ht="15.75" customHeight="1"/>
    <row r="55380" ht="15.75" customHeight="1"/>
    <row r="55381" ht="15.75" customHeight="1"/>
    <row r="55382" ht="15.75" customHeight="1"/>
    <row r="55383" ht="15.75" customHeight="1"/>
    <row r="55384" ht="15.75" customHeight="1"/>
    <row r="55385" ht="15.75" customHeight="1"/>
    <row r="55386" ht="15.75" customHeight="1"/>
    <row r="55387" ht="15.75" customHeight="1"/>
    <row r="55388" ht="15.75" customHeight="1"/>
    <row r="55389" ht="15.75" customHeight="1"/>
    <row r="55390" ht="15.75" customHeight="1"/>
    <row r="55391" ht="15.75" customHeight="1"/>
    <row r="55392" ht="15.75" customHeight="1"/>
    <row r="55393" ht="15.75" customHeight="1"/>
    <row r="55394" ht="15.75" customHeight="1"/>
    <row r="55395" ht="15.75" customHeight="1"/>
    <row r="55396" ht="15.75" customHeight="1"/>
    <row r="55397" ht="15.75" customHeight="1"/>
    <row r="55398" ht="15.75" customHeight="1"/>
    <row r="55399" ht="15.75" customHeight="1"/>
    <row r="55400" ht="15.75" customHeight="1"/>
    <row r="55401" ht="15.75" customHeight="1"/>
    <row r="55402" ht="15.75" customHeight="1"/>
    <row r="55403" ht="15.75" customHeight="1"/>
    <row r="55404" ht="15.75" customHeight="1"/>
    <row r="55405" ht="15.75" customHeight="1"/>
    <row r="55406" ht="15.75" customHeight="1"/>
    <row r="55407" ht="15.75" customHeight="1"/>
    <row r="55408" ht="15.75" customHeight="1"/>
    <row r="55409" ht="15.75" customHeight="1"/>
    <row r="55410" ht="15.75" customHeight="1"/>
    <row r="55411" ht="15.75" customHeight="1"/>
    <row r="55412" ht="15.75" customHeight="1"/>
    <row r="55413" ht="15.75" customHeight="1"/>
    <row r="55414" ht="15.75" customHeight="1"/>
    <row r="55415" ht="15.75" customHeight="1"/>
    <row r="55416" ht="15.75" customHeight="1"/>
    <row r="55417" ht="15.75" customHeight="1"/>
    <row r="55418" ht="15.75" customHeight="1"/>
    <row r="55419" ht="15.75" customHeight="1"/>
    <row r="55420" ht="15.75" customHeight="1"/>
    <row r="55421" ht="15.75" customHeight="1"/>
    <row r="55422" ht="15.75" customHeight="1"/>
    <row r="55423" ht="15.75" customHeight="1"/>
    <row r="55424" ht="15.75" customHeight="1"/>
    <row r="55425" ht="15.75" customHeight="1"/>
    <row r="55426" ht="15.75" customHeight="1"/>
    <row r="55427" ht="15.75" customHeight="1"/>
    <row r="55428" ht="15.75" customHeight="1"/>
    <row r="55429" ht="15.75" customHeight="1"/>
    <row r="55430" ht="15.75" customHeight="1"/>
    <row r="55431" ht="15.75" customHeight="1"/>
    <row r="55432" ht="15.75" customHeight="1"/>
    <row r="55433" ht="15.75" customHeight="1"/>
    <row r="55434" ht="15.75" customHeight="1"/>
    <row r="55435" ht="15.75" customHeight="1"/>
    <row r="55436" ht="15.75" customHeight="1"/>
    <row r="55437" ht="15.75" customHeight="1"/>
    <row r="55438" ht="15.75" customHeight="1"/>
    <row r="55439" ht="15.75" customHeight="1"/>
    <row r="55440" ht="15.75" customHeight="1"/>
    <row r="55441" ht="15.75" customHeight="1"/>
    <row r="55442" ht="15.75" customHeight="1"/>
    <row r="55443" ht="15.75" customHeight="1"/>
    <row r="55444" ht="15.75" customHeight="1"/>
    <row r="55445" ht="15.75" customHeight="1"/>
    <row r="55446" ht="15.75" customHeight="1"/>
    <row r="55447" ht="15.75" customHeight="1"/>
    <row r="55448" ht="15.75" customHeight="1"/>
    <row r="55449" ht="15.75" customHeight="1"/>
    <row r="55450" ht="15.75" customHeight="1"/>
    <row r="55451" ht="15.75" customHeight="1"/>
    <row r="55452" ht="15.75" customHeight="1"/>
    <row r="55453" ht="15.75" customHeight="1"/>
    <row r="55454" ht="15.75" customHeight="1"/>
    <row r="55455" ht="15.75" customHeight="1"/>
    <row r="55456" ht="15.75" customHeight="1"/>
    <row r="55457" ht="15.75" customHeight="1"/>
    <row r="55458" ht="15.75" customHeight="1"/>
    <row r="55459" ht="15.75" customHeight="1"/>
    <row r="55460" ht="15.75" customHeight="1"/>
    <row r="55461" ht="15.75" customHeight="1"/>
    <row r="55462" ht="15.75" customHeight="1"/>
    <row r="55463" ht="15.75" customHeight="1"/>
    <row r="55464" ht="15.75" customHeight="1"/>
    <row r="55465" ht="15.75" customHeight="1"/>
    <row r="55466" ht="15.75" customHeight="1"/>
    <row r="55467" ht="15.75" customHeight="1"/>
    <row r="55468" ht="15.75" customHeight="1"/>
    <row r="55469" ht="15.75" customHeight="1"/>
    <row r="55470" ht="15.75" customHeight="1"/>
    <row r="55471" ht="15.75" customHeight="1"/>
    <row r="55472" ht="15.75" customHeight="1"/>
    <row r="55473" ht="15.75" customHeight="1"/>
    <row r="55474" ht="15.75" customHeight="1"/>
    <row r="55475" ht="15.75" customHeight="1"/>
    <row r="55476" ht="15.75" customHeight="1"/>
    <row r="55477" ht="15.75" customHeight="1"/>
    <row r="55478" ht="15.75" customHeight="1"/>
    <row r="55479" ht="15.75" customHeight="1"/>
    <row r="55480" ht="15.75" customHeight="1"/>
    <row r="55481" ht="15.75" customHeight="1"/>
    <row r="55482" ht="15.75" customHeight="1"/>
    <row r="55483" ht="15.75" customHeight="1"/>
    <row r="55484" ht="15.75" customHeight="1"/>
    <row r="55485" ht="15.75" customHeight="1"/>
    <row r="55486" ht="15.75" customHeight="1"/>
    <row r="55487" ht="15.75" customHeight="1"/>
    <row r="55488" ht="15.75" customHeight="1"/>
    <row r="55489" ht="15.75" customHeight="1"/>
    <row r="55490" ht="15.75" customHeight="1"/>
    <row r="55491" ht="15.75" customHeight="1"/>
    <row r="55492" ht="15.75" customHeight="1"/>
    <row r="55493" ht="15.75" customHeight="1"/>
    <row r="55494" ht="15.75" customHeight="1"/>
    <row r="55495" ht="15.75" customHeight="1"/>
    <row r="55496" ht="15.75" customHeight="1"/>
    <row r="55497" ht="15.75" customHeight="1"/>
    <row r="55498" ht="15.75" customHeight="1"/>
    <row r="55499" ht="15.75" customHeight="1"/>
    <row r="55500" ht="15.75" customHeight="1"/>
    <row r="55501" ht="15.75" customHeight="1"/>
    <row r="55502" ht="15.75" customHeight="1"/>
    <row r="55503" ht="15.75" customHeight="1"/>
    <row r="55504" ht="15.75" customHeight="1"/>
    <row r="55505" ht="15.75" customHeight="1"/>
    <row r="55506" ht="15.75" customHeight="1"/>
    <row r="55507" ht="15.75" customHeight="1"/>
    <row r="55508" ht="15.75" customHeight="1"/>
    <row r="55509" ht="15.75" customHeight="1"/>
    <row r="55510" ht="15.75" customHeight="1"/>
    <row r="55511" ht="15.75" customHeight="1"/>
    <row r="55512" ht="15.75" customHeight="1"/>
    <row r="55513" ht="15.75" customHeight="1"/>
    <row r="55514" ht="15.75" customHeight="1"/>
    <row r="55515" ht="15.75" customHeight="1"/>
    <row r="55516" ht="15.75" customHeight="1"/>
    <row r="55517" ht="15.75" customHeight="1"/>
    <row r="55518" ht="15.75" customHeight="1"/>
    <row r="55519" ht="15.75" customHeight="1"/>
    <row r="55520" ht="15.75" customHeight="1"/>
    <row r="55521" ht="15.75" customHeight="1"/>
    <row r="55522" ht="15.75" customHeight="1"/>
    <row r="55523" ht="15.75" customHeight="1"/>
    <row r="55524" ht="15.75" customHeight="1"/>
    <row r="55525" ht="15.75" customHeight="1"/>
    <row r="55526" ht="15.75" customHeight="1"/>
    <row r="55527" ht="15.75" customHeight="1"/>
    <row r="55528" ht="15.75" customHeight="1"/>
    <row r="55529" ht="15.75" customHeight="1"/>
    <row r="55530" ht="15.75" customHeight="1"/>
    <row r="55531" ht="15.75" customHeight="1"/>
    <row r="55532" ht="15.75" customHeight="1"/>
    <row r="55533" ht="15.75" customHeight="1"/>
    <row r="55534" ht="15.75" customHeight="1"/>
    <row r="55535" ht="15.75" customHeight="1"/>
    <row r="55536" ht="15.75" customHeight="1"/>
    <row r="55537" ht="15.75" customHeight="1"/>
    <row r="55538" ht="15.75" customHeight="1"/>
    <row r="55539" ht="15.75" customHeight="1"/>
    <row r="55540" ht="15.75" customHeight="1"/>
    <row r="55541" ht="15.75" customHeight="1"/>
    <row r="55542" ht="15.75" customHeight="1"/>
    <row r="55543" ht="15.75" customHeight="1"/>
    <row r="55544" ht="15.75" customHeight="1"/>
    <row r="55545" ht="15.75" customHeight="1"/>
    <row r="55546" ht="15.75" customHeight="1"/>
    <row r="55547" ht="15.75" customHeight="1"/>
    <row r="55548" ht="15.75" customHeight="1"/>
    <row r="55549" ht="15.75" customHeight="1"/>
    <row r="55550" ht="15.75" customHeight="1"/>
    <row r="55551" ht="15.75" customHeight="1"/>
    <row r="55552" ht="15.75" customHeight="1"/>
    <row r="55553" ht="15.75" customHeight="1"/>
    <row r="55554" ht="15.75" customHeight="1"/>
    <row r="55555" ht="15.75" customHeight="1"/>
    <row r="55556" ht="15.75" customHeight="1"/>
    <row r="55557" ht="15.75" customHeight="1"/>
    <row r="55558" ht="15.75" customHeight="1"/>
    <row r="55559" ht="15.75" customHeight="1"/>
    <row r="55560" ht="15.75" customHeight="1"/>
    <row r="55561" ht="15.75" customHeight="1"/>
    <row r="55562" ht="15.75" customHeight="1"/>
    <row r="55563" ht="15.75" customHeight="1"/>
    <row r="55564" ht="15.75" customHeight="1"/>
    <row r="55565" ht="15.75" customHeight="1"/>
    <row r="55566" ht="15.75" customHeight="1"/>
    <row r="55567" ht="15.75" customHeight="1"/>
    <row r="55568" ht="15.75" customHeight="1"/>
    <row r="55569" ht="15.75" customHeight="1"/>
    <row r="55570" ht="15.75" customHeight="1"/>
    <row r="55571" ht="15.75" customHeight="1"/>
    <row r="55572" ht="15.75" customHeight="1"/>
    <row r="55573" ht="15.75" customHeight="1"/>
    <row r="55574" ht="15.75" customHeight="1"/>
    <row r="55575" ht="15.75" customHeight="1"/>
    <row r="55576" ht="15.75" customHeight="1"/>
    <row r="55577" ht="15.75" customHeight="1"/>
    <row r="55578" ht="15.75" customHeight="1"/>
    <row r="55579" ht="15.75" customHeight="1"/>
    <row r="55580" ht="15.75" customHeight="1"/>
    <row r="55581" ht="15.75" customHeight="1"/>
    <row r="55582" ht="15.75" customHeight="1"/>
    <row r="55583" ht="15.75" customHeight="1"/>
    <row r="55584" ht="15.75" customHeight="1"/>
    <row r="55585" ht="15.75" customHeight="1"/>
    <row r="55586" ht="15.75" customHeight="1"/>
    <row r="55587" ht="15.75" customHeight="1"/>
    <row r="55588" ht="15.75" customHeight="1"/>
    <row r="55589" ht="15.75" customHeight="1"/>
    <row r="55590" ht="15.75" customHeight="1"/>
    <row r="55591" ht="15.75" customHeight="1"/>
    <row r="55592" ht="15.75" customHeight="1"/>
    <row r="55593" ht="15.75" customHeight="1"/>
    <row r="55594" ht="15.75" customHeight="1"/>
    <row r="55595" ht="15.75" customHeight="1"/>
    <row r="55596" ht="15.75" customHeight="1"/>
    <row r="55597" ht="15.75" customHeight="1"/>
    <row r="55598" ht="15.75" customHeight="1"/>
    <row r="55599" ht="15.75" customHeight="1"/>
    <row r="55600" ht="15.75" customHeight="1"/>
    <row r="55601" ht="15.75" customHeight="1"/>
    <row r="55602" ht="15.75" customHeight="1"/>
    <row r="55603" ht="15.75" customHeight="1"/>
    <row r="55604" ht="15.75" customHeight="1"/>
    <row r="55605" ht="15.75" customHeight="1"/>
    <row r="55606" ht="15.75" customHeight="1"/>
    <row r="55607" ht="15.75" customHeight="1"/>
    <row r="55608" ht="15.75" customHeight="1"/>
    <row r="55609" ht="15.75" customHeight="1"/>
    <row r="55610" ht="15.75" customHeight="1"/>
    <row r="55611" ht="15.75" customHeight="1"/>
    <row r="55612" ht="15.75" customHeight="1"/>
    <row r="55613" ht="15.75" customHeight="1"/>
    <row r="55614" ht="15.75" customHeight="1"/>
    <row r="55615" ht="15.75" customHeight="1"/>
    <row r="55616" ht="15.75" customHeight="1"/>
    <row r="55617" ht="15.75" customHeight="1"/>
    <row r="55618" ht="15.75" customHeight="1"/>
    <row r="55619" ht="15.75" customHeight="1"/>
    <row r="55620" ht="15.75" customHeight="1"/>
    <row r="55621" ht="15.75" customHeight="1"/>
    <row r="55622" ht="15.75" customHeight="1"/>
    <row r="55623" ht="15.75" customHeight="1"/>
    <row r="55624" ht="15.75" customHeight="1"/>
    <row r="55625" ht="15.75" customHeight="1"/>
    <row r="55626" ht="15.75" customHeight="1"/>
    <row r="55627" ht="15.75" customHeight="1"/>
    <row r="55628" ht="15.75" customHeight="1"/>
    <row r="55629" ht="15.75" customHeight="1"/>
    <row r="55630" ht="15.75" customHeight="1"/>
    <row r="55631" ht="15.75" customHeight="1"/>
    <row r="55632" ht="15.75" customHeight="1"/>
    <row r="55633" ht="15.75" customHeight="1"/>
    <row r="55634" ht="15.75" customHeight="1"/>
    <row r="55635" ht="15.75" customHeight="1"/>
    <row r="55636" ht="15.75" customHeight="1"/>
    <row r="55637" ht="15.75" customHeight="1"/>
    <row r="55638" ht="15.75" customHeight="1"/>
    <row r="55639" ht="15.75" customHeight="1"/>
    <row r="55640" ht="15.75" customHeight="1"/>
    <row r="55641" ht="15.75" customHeight="1"/>
    <row r="55642" ht="15.75" customHeight="1"/>
    <row r="55643" ht="15.75" customHeight="1"/>
    <row r="55644" ht="15.75" customHeight="1"/>
    <row r="55645" ht="15.75" customHeight="1"/>
    <row r="55646" ht="15.75" customHeight="1"/>
    <row r="55647" ht="15.75" customHeight="1"/>
    <row r="55648" ht="15.75" customHeight="1"/>
    <row r="55649" ht="15.75" customHeight="1"/>
    <row r="55650" ht="15.75" customHeight="1"/>
    <row r="55651" ht="15.75" customHeight="1"/>
    <row r="55652" ht="15.75" customHeight="1"/>
    <row r="55653" ht="15.75" customHeight="1"/>
    <row r="55654" ht="15.75" customHeight="1"/>
    <row r="55655" ht="15.75" customHeight="1"/>
    <row r="55656" ht="15.75" customHeight="1"/>
    <row r="55657" ht="15.75" customHeight="1"/>
    <row r="55658" ht="15.75" customHeight="1"/>
    <row r="55659" ht="15.75" customHeight="1"/>
    <row r="55660" ht="15.75" customHeight="1"/>
    <row r="55661" ht="15.75" customHeight="1"/>
    <row r="55662" ht="15.75" customHeight="1"/>
    <row r="55663" ht="15.75" customHeight="1"/>
    <row r="55664" ht="15.75" customHeight="1"/>
    <row r="55665" ht="15.75" customHeight="1"/>
    <row r="55666" ht="15.75" customHeight="1"/>
    <row r="55667" ht="15.75" customHeight="1"/>
    <row r="55668" ht="15.75" customHeight="1"/>
    <row r="55669" ht="15.75" customHeight="1"/>
    <row r="55670" ht="15.75" customHeight="1"/>
    <row r="55671" ht="15.75" customHeight="1"/>
    <row r="55672" ht="15.75" customHeight="1"/>
    <row r="55673" ht="15.75" customHeight="1"/>
    <row r="55674" ht="15.75" customHeight="1"/>
    <row r="55675" ht="15.75" customHeight="1"/>
    <row r="55676" ht="15.75" customHeight="1"/>
    <row r="55677" ht="15.75" customHeight="1"/>
    <row r="55678" ht="15.75" customHeight="1"/>
    <row r="55679" ht="15.75" customHeight="1"/>
    <row r="55680" ht="15.75" customHeight="1"/>
    <row r="55681" ht="15.75" customHeight="1"/>
    <row r="55682" ht="15.75" customHeight="1"/>
    <row r="55683" ht="15.75" customHeight="1"/>
    <row r="55684" ht="15.75" customHeight="1"/>
    <row r="55685" ht="15.75" customHeight="1"/>
    <row r="55686" ht="15.75" customHeight="1"/>
    <row r="55687" ht="15.75" customHeight="1"/>
    <row r="55688" ht="15.75" customHeight="1"/>
    <row r="55689" ht="15.75" customHeight="1"/>
    <row r="55690" ht="15.75" customHeight="1"/>
    <row r="55691" ht="15.75" customHeight="1"/>
    <row r="55692" ht="15.75" customHeight="1"/>
    <row r="55693" ht="15.75" customHeight="1"/>
    <row r="55694" ht="15.75" customHeight="1"/>
    <row r="55695" ht="15.75" customHeight="1"/>
    <row r="55696" ht="15.75" customHeight="1"/>
    <row r="55697" ht="15.75" customHeight="1"/>
    <row r="55698" ht="15.75" customHeight="1"/>
    <row r="55699" ht="15.75" customHeight="1"/>
    <row r="55700" ht="15.75" customHeight="1"/>
    <row r="55701" ht="15.75" customHeight="1"/>
    <row r="55702" ht="15.75" customHeight="1"/>
    <row r="55703" ht="15.75" customHeight="1"/>
    <row r="55704" ht="15.75" customHeight="1"/>
    <row r="55705" ht="15.75" customHeight="1"/>
    <row r="55706" ht="15.75" customHeight="1"/>
    <row r="55707" ht="15.75" customHeight="1"/>
    <row r="55708" ht="15.75" customHeight="1"/>
    <row r="55709" ht="15.75" customHeight="1"/>
    <row r="55710" ht="15.75" customHeight="1"/>
    <row r="55711" ht="15.75" customHeight="1"/>
    <row r="55712" ht="15.75" customHeight="1"/>
    <row r="55713" ht="15.75" customHeight="1"/>
    <row r="55714" ht="15.75" customHeight="1"/>
    <row r="55715" ht="15.75" customHeight="1"/>
    <row r="55716" ht="15.75" customHeight="1"/>
    <row r="55717" ht="15.75" customHeight="1"/>
    <row r="55718" ht="15.75" customHeight="1"/>
    <row r="55719" ht="15.75" customHeight="1"/>
    <row r="55720" ht="15.75" customHeight="1"/>
    <row r="55721" ht="15.75" customHeight="1"/>
    <row r="55722" ht="15.75" customHeight="1"/>
    <row r="55723" ht="15.75" customHeight="1"/>
    <row r="55724" ht="15.75" customHeight="1"/>
    <row r="55725" ht="15.75" customHeight="1"/>
    <row r="55726" ht="15.75" customHeight="1"/>
    <row r="55727" ht="15.75" customHeight="1"/>
    <row r="55728" ht="15.75" customHeight="1"/>
    <row r="55729" ht="15.75" customHeight="1"/>
    <row r="55730" ht="15.75" customHeight="1"/>
    <row r="55731" ht="15.75" customHeight="1"/>
    <row r="55732" ht="15.75" customHeight="1"/>
    <row r="55733" ht="15.75" customHeight="1"/>
    <row r="55734" ht="15.75" customHeight="1"/>
    <row r="55735" ht="15.75" customHeight="1"/>
    <row r="55736" ht="15.75" customHeight="1"/>
    <row r="55737" ht="15.75" customHeight="1"/>
    <row r="55738" ht="15.75" customHeight="1"/>
    <row r="55739" ht="15.75" customHeight="1"/>
    <row r="55740" ht="15.75" customHeight="1"/>
    <row r="55741" ht="15.75" customHeight="1"/>
    <row r="55742" ht="15.75" customHeight="1"/>
    <row r="55743" ht="15.75" customHeight="1"/>
    <row r="55744" ht="15.75" customHeight="1"/>
    <row r="55745" ht="15.75" customHeight="1"/>
    <row r="55746" ht="15.75" customHeight="1"/>
    <row r="55747" ht="15.75" customHeight="1"/>
    <row r="55748" ht="15.75" customHeight="1"/>
    <row r="55749" ht="15.75" customHeight="1"/>
    <row r="55750" ht="15.75" customHeight="1"/>
    <row r="55751" ht="15.75" customHeight="1"/>
    <row r="55752" ht="15.75" customHeight="1"/>
    <row r="55753" ht="15.75" customHeight="1"/>
    <row r="55754" ht="15.75" customHeight="1"/>
    <row r="55755" ht="15.75" customHeight="1"/>
    <row r="55756" ht="15.75" customHeight="1"/>
    <row r="55757" ht="15.75" customHeight="1"/>
    <row r="55758" ht="15.75" customHeight="1"/>
    <row r="55759" ht="15.75" customHeight="1"/>
    <row r="55760" ht="15.75" customHeight="1"/>
    <row r="55761" ht="15.75" customHeight="1"/>
    <row r="55762" ht="15.75" customHeight="1"/>
    <row r="55763" ht="15.75" customHeight="1"/>
    <row r="55764" ht="15.75" customHeight="1"/>
    <row r="55765" ht="15.75" customHeight="1"/>
    <row r="55766" ht="15.75" customHeight="1"/>
    <row r="55767" ht="15.75" customHeight="1"/>
    <row r="55768" ht="15.75" customHeight="1"/>
    <row r="55769" ht="15.75" customHeight="1"/>
    <row r="55770" ht="15.75" customHeight="1"/>
    <row r="55771" ht="15.75" customHeight="1"/>
    <row r="55772" ht="15.75" customHeight="1"/>
    <row r="55773" ht="15.75" customHeight="1"/>
    <row r="55774" ht="15.75" customHeight="1"/>
    <row r="55775" ht="15.75" customHeight="1"/>
    <row r="55776" ht="15.75" customHeight="1"/>
    <row r="55777" ht="15.75" customHeight="1"/>
    <row r="55778" ht="15.75" customHeight="1"/>
    <row r="55779" ht="15.75" customHeight="1"/>
    <row r="55780" ht="15.75" customHeight="1"/>
    <row r="55781" ht="15.75" customHeight="1"/>
    <row r="55782" ht="15.75" customHeight="1"/>
    <row r="55783" ht="15.75" customHeight="1"/>
    <row r="55784" ht="15.75" customHeight="1"/>
    <row r="55785" ht="15.75" customHeight="1"/>
    <row r="55786" ht="15.75" customHeight="1"/>
    <row r="55787" ht="15.75" customHeight="1"/>
    <row r="55788" ht="15.75" customHeight="1"/>
    <row r="55789" ht="15.75" customHeight="1"/>
    <row r="55790" ht="15.75" customHeight="1"/>
    <row r="55791" ht="15.75" customHeight="1"/>
    <row r="55792" ht="15.75" customHeight="1"/>
    <row r="55793" ht="15.75" customHeight="1"/>
    <row r="55794" ht="15.75" customHeight="1"/>
    <row r="55795" ht="15.75" customHeight="1"/>
    <row r="55796" ht="15.75" customHeight="1"/>
    <row r="55797" ht="15.75" customHeight="1"/>
    <row r="55798" ht="15.75" customHeight="1"/>
    <row r="55799" ht="15.75" customHeight="1"/>
    <row r="55800" ht="15.75" customHeight="1"/>
    <row r="55801" ht="15.75" customHeight="1"/>
    <row r="55802" ht="15.75" customHeight="1"/>
    <row r="55803" ht="15.75" customHeight="1"/>
    <row r="55804" ht="15.75" customHeight="1"/>
    <row r="55805" ht="15.75" customHeight="1"/>
    <row r="55806" ht="15.75" customHeight="1"/>
    <row r="55807" ht="15.75" customHeight="1"/>
    <row r="55808" ht="15.75" customHeight="1"/>
    <row r="55809" ht="15.75" customHeight="1"/>
    <row r="55810" ht="15.75" customHeight="1"/>
    <row r="55811" ht="15.75" customHeight="1"/>
    <row r="55812" ht="15.75" customHeight="1"/>
    <row r="55813" ht="15.75" customHeight="1"/>
    <row r="55814" ht="15.75" customHeight="1"/>
    <row r="55815" ht="15.75" customHeight="1"/>
    <row r="55816" ht="15.75" customHeight="1"/>
    <row r="55817" ht="15.75" customHeight="1"/>
    <row r="55818" ht="15.75" customHeight="1"/>
    <row r="55819" ht="15.75" customHeight="1"/>
    <row r="55820" ht="15.75" customHeight="1"/>
    <row r="55821" ht="15.75" customHeight="1"/>
    <row r="55822" ht="15.75" customHeight="1"/>
    <row r="55823" ht="15.75" customHeight="1"/>
    <row r="55824" ht="15.75" customHeight="1"/>
    <row r="55825" ht="15.75" customHeight="1"/>
    <row r="55826" ht="15.75" customHeight="1"/>
    <row r="55827" ht="15.75" customHeight="1"/>
    <row r="55828" ht="15.75" customHeight="1"/>
    <row r="55829" ht="15.75" customHeight="1"/>
    <row r="55830" ht="15.75" customHeight="1"/>
    <row r="55831" ht="15.75" customHeight="1"/>
    <row r="55832" ht="15.75" customHeight="1"/>
    <row r="55833" ht="15.75" customHeight="1"/>
    <row r="55834" ht="15.75" customHeight="1"/>
    <row r="55835" ht="15.75" customHeight="1"/>
    <row r="55836" ht="15.75" customHeight="1"/>
    <row r="55837" ht="15.75" customHeight="1"/>
    <row r="55838" ht="15.75" customHeight="1"/>
    <row r="55839" ht="15.75" customHeight="1"/>
    <row r="55840" ht="15.75" customHeight="1"/>
    <row r="55841" ht="15.75" customHeight="1"/>
    <row r="55842" ht="15.75" customHeight="1"/>
    <row r="55843" ht="15.75" customHeight="1"/>
    <row r="55844" ht="15.75" customHeight="1"/>
    <row r="55845" ht="15.75" customHeight="1"/>
    <row r="55846" ht="15.75" customHeight="1"/>
    <row r="55847" ht="15.75" customHeight="1"/>
    <row r="55848" ht="15.75" customHeight="1"/>
    <row r="55849" ht="15.75" customHeight="1"/>
    <row r="55850" ht="15.75" customHeight="1"/>
    <row r="55851" ht="15.75" customHeight="1"/>
    <row r="55852" ht="15.75" customHeight="1"/>
    <row r="55853" ht="15.75" customHeight="1"/>
    <row r="55854" ht="15.75" customHeight="1"/>
    <row r="55855" ht="15.75" customHeight="1"/>
    <row r="55856" ht="15.75" customHeight="1"/>
    <row r="55857" ht="15.75" customHeight="1"/>
    <row r="55858" ht="15.75" customHeight="1"/>
    <row r="55859" ht="15.75" customHeight="1"/>
    <row r="55860" ht="15.75" customHeight="1"/>
    <row r="55861" ht="15.75" customHeight="1"/>
    <row r="55862" ht="15.75" customHeight="1"/>
    <row r="55863" ht="15.75" customHeight="1"/>
    <row r="55864" ht="15.75" customHeight="1"/>
    <row r="55865" ht="15.75" customHeight="1"/>
    <row r="55866" ht="15.75" customHeight="1"/>
    <row r="55867" ht="15.75" customHeight="1"/>
    <row r="55868" ht="15.75" customHeight="1"/>
    <row r="55869" ht="15.75" customHeight="1"/>
    <row r="55870" ht="15.75" customHeight="1"/>
    <row r="55871" ht="15.75" customHeight="1"/>
    <row r="55872" ht="15.75" customHeight="1"/>
    <row r="55873" ht="15.75" customHeight="1"/>
    <row r="55874" ht="15.75" customHeight="1"/>
    <row r="55875" ht="15.75" customHeight="1"/>
    <row r="55876" ht="15.75" customHeight="1"/>
    <row r="55877" ht="15.75" customHeight="1"/>
    <row r="55878" ht="15.75" customHeight="1"/>
    <row r="55879" ht="15.75" customHeight="1"/>
    <row r="55880" ht="15.75" customHeight="1"/>
    <row r="55881" ht="15.75" customHeight="1"/>
    <row r="55882" ht="15.75" customHeight="1"/>
    <row r="55883" ht="15.75" customHeight="1"/>
    <row r="55884" ht="15.75" customHeight="1"/>
    <row r="55885" ht="15.75" customHeight="1"/>
    <row r="55886" ht="15.75" customHeight="1"/>
    <row r="55887" ht="15.75" customHeight="1"/>
    <row r="55888" ht="15.75" customHeight="1"/>
    <row r="55889" ht="15.75" customHeight="1"/>
    <row r="55890" ht="15.75" customHeight="1"/>
    <row r="55891" ht="15.75" customHeight="1"/>
    <row r="55892" ht="15.75" customHeight="1"/>
    <row r="55893" ht="15.75" customHeight="1"/>
    <row r="55894" ht="15.75" customHeight="1"/>
    <row r="55895" ht="15.75" customHeight="1"/>
    <row r="55896" ht="15.75" customHeight="1"/>
    <row r="55897" ht="15.75" customHeight="1"/>
    <row r="55898" ht="15.75" customHeight="1"/>
    <row r="55899" ht="15.75" customHeight="1"/>
    <row r="55900" ht="15.75" customHeight="1"/>
    <row r="55901" ht="15.75" customHeight="1"/>
    <row r="55902" ht="15.75" customHeight="1"/>
    <row r="55903" ht="15.75" customHeight="1"/>
    <row r="55904" ht="15.75" customHeight="1"/>
    <row r="55905" ht="15.75" customHeight="1"/>
    <row r="55906" ht="15.75" customHeight="1"/>
    <row r="55907" ht="15.75" customHeight="1"/>
    <row r="55908" ht="15.75" customHeight="1"/>
    <row r="55909" ht="15.75" customHeight="1"/>
    <row r="55910" ht="15.75" customHeight="1"/>
    <row r="55911" ht="15.75" customHeight="1"/>
    <row r="55912" ht="15.75" customHeight="1"/>
    <row r="55913" ht="15.75" customHeight="1"/>
    <row r="55914" ht="15.75" customHeight="1"/>
    <row r="55915" ht="15.75" customHeight="1"/>
    <row r="55916" ht="15.75" customHeight="1"/>
    <row r="55917" ht="15.75" customHeight="1"/>
    <row r="55918" ht="15.75" customHeight="1"/>
    <row r="55919" ht="15.75" customHeight="1"/>
    <row r="55920" ht="15.75" customHeight="1"/>
    <row r="55921" ht="15.75" customHeight="1"/>
    <row r="55922" ht="15.75" customHeight="1"/>
    <row r="55923" ht="15.75" customHeight="1"/>
    <row r="55924" ht="15.75" customHeight="1"/>
    <row r="55925" ht="15.75" customHeight="1"/>
    <row r="55926" ht="15.75" customHeight="1"/>
    <row r="55927" ht="15.75" customHeight="1"/>
    <row r="55928" ht="15.75" customHeight="1"/>
    <row r="55929" ht="15.75" customHeight="1"/>
    <row r="55930" ht="15.75" customHeight="1"/>
    <row r="55931" ht="15.75" customHeight="1"/>
    <row r="55932" ht="15.75" customHeight="1"/>
    <row r="55933" ht="15.75" customHeight="1"/>
    <row r="55934" ht="15.75" customHeight="1"/>
    <row r="55935" ht="15.75" customHeight="1"/>
    <row r="55936" ht="15.75" customHeight="1"/>
    <row r="55937" ht="15.75" customHeight="1"/>
    <row r="55938" ht="15.75" customHeight="1"/>
    <row r="55939" ht="15.75" customHeight="1"/>
    <row r="55940" ht="15.75" customHeight="1"/>
    <row r="55941" ht="15.75" customHeight="1"/>
    <row r="55942" ht="15.75" customHeight="1"/>
    <row r="55943" ht="15.75" customHeight="1"/>
    <row r="55944" ht="15.75" customHeight="1"/>
    <row r="55945" ht="15.75" customHeight="1"/>
    <row r="55946" ht="15.75" customHeight="1"/>
    <row r="55947" ht="15.75" customHeight="1"/>
    <row r="55948" ht="15.75" customHeight="1"/>
    <row r="55949" ht="15.75" customHeight="1"/>
    <row r="55950" ht="15.75" customHeight="1"/>
    <row r="55951" ht="15.75" customHeight="1"/>
    <row r="55952" ht="15.75" customHeight="1"/>
    <row r="55953" ht="15.75" customHeight="1"/>
    <row r="55954" ht="15.75" customHeight="1"/>
    <row r="55955" ht="15.75" customHeight="1"/>
    <row r="55956" ht="15.75" customHeight="1"/>
    <row r="55957" ht="15.75" customHeight="1"/>
    <row r="55958" ht="15.75" customHeight="1"/>
    <row r="55959" ht="15.75" customHeight="1"/>
    <row r="55960" ht="15.75" customHeight="1"/>
    <row r="55961" ht="15.75" customHeight="1"/>
    <row r="55962" ht="15.75" customHeight="1"/>
    <row r="55963" ht="15.75" customHeight="1"/>
    <row r="55964" ht="15.75" customHeight="1"/>
    <row r="55965" ht="15.75" customHeight="1"/>
    <row r="55966" ht="15.75" customHeight="1"/>
    <row r="55967" ht="15.75" customHeight="1"/>
    <row r="55968" ht="15.75" customHeight="1"/>
    <row r="55969" ht="15.75" customHeight="1"/>
    <row r="55970" ht="15.75" customHeight="1"/>
    <row r="55971" ht="15.75" customHeight="1"/>
    <row r="55972" ht="15.75" customHeight="1"/>
    <row r="55973" ht="15.75" customHeight="1"/>
    <row r="55974" ht="15.75" customHeight="1"/>
    <row r="55975" ht="15.75" customHeight="1"/>
    <row r="55976" ht="15.75" customHeight="1"/>
    <row r="55977" ht="15.75" customHeight="1"/>
    <row r="55978" ht="15.75" customHeight="1"/>
    <row r="55979" ht="15.75" customHeight="1"/>
    <row r="55980" ht="15.75" customHeight="1"/>
    <row r="55981" ht="15.75" customHeight="1"/>
    <row r="55982" ht="15.75" customHeight="1"/>
    <row r="55983" ht="15.75" customHeight="1"/>
    <row r="55984" ht="15.75" customHeight="1"/>
    <row r="55985" ht="15.75" customHeight="1"/>
    <row r="55986" ht="15.75" customHeight="1"/>
    <row r="55987" ht="15.75" customHeight="1"/>
    <row r="55988" ht="15.75" customHeight="1"/>
    <row r="55989" ht="15.75" customHeight="1"/>
    <row r="55990" ht="15.75" customHeight="1"/>
    <row r="55991" ht="15.75" customHeight="1"/>
    <row r="55992" ht="15.75" customHeight="1"/>
    <row r="55993" ht="15.75" customHeight="1"/>
    <row r="55994" ht="15.75" customHeight="1"/>
    <row r="55995" ht="15.75" customHeight="1"/>
    <row r="55996" ht="15.75" customHeight="1"/>
    <row r="55997" ht="15.75" customHeight="1"/>
    <row r="55998" ht="15.75" customHeight="1"/>
    <row r="55999" ht="15.75" customHeight="1"/>
    <row r="56000" ht="15.75" customHeight="1"/>
    <row r="56001" ht="15.75" customHeight="1"/>
    <row r="56002" ht="15.75" customHeight="1"/>
    <row r="56003" ht="15.75" customHeight="1"/>
    <row r="56004" ht="15.75" customHeight="1"/>
    <row r="56005" ht="15.75" customHeight="1"/>
    <row r="56006" ht="15.75" customHeight="1"/>
    <row r="56007" ht="15.75" customHeight="1"/>
    <row r="56008" ht="15.75" customHeight="1"/>
    <row r="56009" ht="15.75" customHeight="1"/>
    <row r="56010" ht="15.75" customHeight="1"/>
    <row r="56011" ht="15.75" customHeight="1"/>
    <row r="56012" ht="15.75" customHeight="1"/>
    <row r="56013" ht="15.75" customHeight="1"/>
    <row r="56014" ht="15.75" customHeight="1"/>
    <row r="56015" ht="15.75" customHeight="1"/>
    <row r="56016" ht="15.75" customHeight="1"/>
    <row r="56017" ht="15.75" customHeight="1"/>
    <row r="56018" ht="15.75" customHeight="1"/>
    <row r="56019" ht="15.75" customHeight="1"/>
    <row r="56020" ht="15.75" customHeight="1"/>
    <row r="56021" ht="15.75" customHeight="1"/>
    <row r="56022" ht="15.75" customHeight="1"/>
    <row r="56023" ht="15.75" customHeight="1"/>
    <row r="56024" ht="15.75" customHeight="1"/>
    <row r="56025" ht="15.75" customHeight="1"/>
    <row r="56026" ht="15.75" customHeight="1"/>
    <row r="56027" ht="15.75" customHeight="1"/>
    <row r="56028" ht="15.75" customHeight="1"/>
    <row r="56029" ht="15.75" customHeight="1"/>
    <row r="56030" ht="15.75" customHeight="1"/>
    <row r="56031" ht="15.75" customHeight="1"/>
    <row r="56032" ht="15.75" customHeight="1"/>
    <row r="56033" ht="15.75" customHeight="1"/>
    <row r="56034" ht="15.75" customHeight="1"/>
    <row r="56035" ht="15.75" customHeight="1"/>
    <row r="56036" ht="15.75" customHeight="1"/>
    <row r="56037" ht="15.75" customHeight="1"/>
    <row r="56038" ht="15.75" customHeight="1"/>
    <row r="56039" ht="15.75" customHeight="1"/>
    <row r="56040" ht="15.75" customHeight="1"/>
    <row r="56041" ht="15.75" customHeight="1"/>
    <row r="56042" ht="15.75" customHeight="1"/>
    <row r="56043" ht="15.75" customHeight="1"/>
    <row r="56044" ht="15.75" customHeight="1"/>
    <row r="56045" ht="15.75" customHeight="1"/>
    <row r="56046" ht="15.75" customHeight="1"/>
    <row r="56047" ht="15.75" customHeight="1"/>
    <row r="56048" ht="15.75" customHeight="1"/>
    <row r="56049" ht="15.75" customHeight="1"/>
    <row r="56050" ht="15.75" customHeight="1"/>
    <row r="56051" ht="15.75" customHeight="1"/>
    <row r="56052" ht="15.75" customHeight="1"/>
    <row r="56053" ht="15.75" customHeight="1"/>
    <row r="56054" ht="15.75" customHeight="1"/>
    <row r="56055" ht="15.75" customHeight="1"/>
    <row r="56056" ht="15.75" customHeight="1"/>
    <row r="56057" ht="15.75" customHeight="1"/>
    <row r="56058" ht="15.75" customHeight="1"/>
    <row r="56059" ht="15.75" customHeight="1"/>
    <row r="56060" ht="15.75" customHeight="1"/>
    <row r="56061" ht="15.75" customHeight="1"/>
    <row r="56062" ht="15.75" customHeight="1"/>
    <row r="56063" ht="15.75" customHeight="1"/>
    <row r="56064" ht="15.75" customHeight="1"/>
    <row r="56065" ht="15.75" customHeight="1"/>
    <row r="56066" ht="15.75" customHeight="1"/>
    <row r="56067" ht="15.75" customHeight="1"/>
    <row r="56068" ht="15.75" customHeight="1"/>
    <row r="56069" ht="15.75" customHeight="1"/>
    <row r="56070" ht="15.75" customHeight="1"/>
    <row r="56071" ht="15.75" customHeight="1"/>
    <row r="56072" ht="15.75" customHeight="1"/>
    <row r="56073" ht="15.75" customHeight="1"/>
    <row r="56074" ht="15.75" customHeight="1"/>
    <row r="56075" ht="15.75" customHeight="1"/>
    <row r="56076" ht="15.75" customHeight="1"/>
    <row r="56077" ht="15.75" customHeight="1"/>
    <row r="56078" ht="15.75" customHeight="1"/>
    <row r="56079" ht="15.75" customHeight="1"/>
    <row r="56080" ht="15.75" customHeight="1"/>
    <row r="56081" ht="15.75" customHeight="1"/>
    <row r="56082" ht="15.75" customHeight="1"/>
    <row r="56083" ht="15.75" customHeight="1"/>
    <row r="56084" ht="15.75" customHeight="1"/>
    <row r="56085" ht="15.75" customHeight="1"/>
    <row r="56086" ht="15.75" customHeight="1"/>
    <row r="56087" ht="15.75" customHeight="1"/>
    <row r="56088" ht="15.75" customHeight="1"/>
    <row r="56089" ht="15.75" customHeight="1"/>
    <row r="56090" ht="15.75" customHeight="1"/>
    <row r="56091" ht="15.75" customHeight="1"/>
    <row r="56092" ht="15.75" customHeight="1"/>
    <row r="56093" ht="15.75" customHeight="1"/>
    <row r="56094" ht="15.75" customHeight="1"/>
    <row r="56095" ht="15.75" customHeight="1"/>
    <row r="56096" ht="15.75" customHeight="1"/>
    <row r="56097" ht="15.75" customHeight="1"/>
    <row r="56098" ht="15.75" customHeight="1"/>
    <row r="56099" ht="15.75" customHeight="1"/>
    <row r="56100" ht="15.75" customHeight="1"/>
    <row r="56101" ht="15.75" customHeight="1"/>
    <row r="56102" ht="15.75" customHeight="1"/>
    <row r="56103" ht="15.75" customHeight="1"/>
    <row r="56104" ht="15.75" customHeight="1"/>
    <row r="56105" ht="15.75" customHeight="1"/>
    <row r="56106" ht="15.75" customHeight="1"/>
    <row r="56107" ht="15.75" customHeight="1"/>
    <row r="56108" ht="15.75" customHeight="1"/>
    <row r="56109" ht="15.75" customHeight="1"/>
    <row r="56110" ht="15.75" customHeight="1"/>
    <row r="56111" ht="15.75" customHeight="1"/>
    <row r="56112" ht="15.75" customHeight="1"/>
    <row r="56113" ht="15.75" customHeight="1"/>
    <row r="56114" ht="15.75" customHeight="1"/>
    <row r="56115" ht="15.75" customHeight="1"/>
    <row r="56116" ht="15.75" customHeight="1"/>
    <row r="56117" ht="15.75" customHeight="1"/>
    <row r="56118" ht="15.75" customHeight="1"/>
    <row r="56119" ht="15.75" customHeight="1"/>
    <row r="56120" ht="15.75" customHeight="1"/>
    <row r="56121" ht="15.75" customHeight="1"/>
    <row r="56122" ht="15.75" customHeight="1"/>
    <row r="56123" ht="15.75" customHeight="1"/>
    <row r="56124" ht="15.75" customHeight="1"/>
    <row r="56125" ht="15.75" customHeight="1"/>
    <row r="56126" ht="15.75" customHeight="1"/>
    <row r="56127" ht="15.75" customHeight="1"/>
    <row r="56128" ht="15.75" customHeight="1"/>
    <row r="56129" ht="15.75" customHeight="1"/>
    <row r="56130" ht="15.75" customHeight="1"/>
    <row r="56131" ht="15.75" customHeight="1"/>
    <row r="56132" ht="15.75" customHeight="1"/>
    <row r="56133" ht="15.75" customHeight="1"/>
    <row r="56134" ht="15.75" customHeight="1"/>
    <row r="56135" ht="15.75" customHeight="1"/>
    <row r="56136" ht="15.75" customHeight="1"/>
    <row r="56137" ht="15.75" customHeight="1"/>
    <row r="56138" ht="15.75" customHeight="1"/>
    <row r="56139" ht="15.75" customHeight="1"/>
    <row r="56140" ht="15.75" customHeight="1"/>
    <row r="56141" ht="15.75" customHeight="1"/>
    <row r="56142" ht="15.75" customHeight="1"/>
    <row r="56143" ht="15.75" customHeight="1"/>
    <row r="56144" ht="15.75" customHeight="1"/>
    <row r="56145" ht="15.75" customHeight="1"/>
    <row r="56146" ht="15.75" customHeight="1"/>
    <row r="56147" ht="15.75" customHeight="1"/>
    <row r="56148" ht="15.75" customHeight="1"/>
    <row r="56149" ht="15.75" customHeight="1"/>
    <row r="56150" ht="15.75" customHeight="1"/>
    <row r="56151" ht="15.75" customHeight="1"/>
    <row r="56152" ht="15.75" customHeight="1"/>
    <row r="56153" ht="15.75" customHeight="1"/>
    <row r="56154" ht="15.75" customHeight="1"/>
    <row r="56155" ht="15.75" customHeight="1"/>
    <row r="56156" ht="15.75" customHeight="1"/>
    <row r="56157" ht="15.75" customHeight="1"/>
    <row r="56158" ht="15.75" customHeight="1"/>
    <row r="56159" ht="15.75" customHeight="1"/>
    <row r="56160" ht="15.75" customHeight="1"/>
    <row r="56161" ht="15.75" customHeight="1"/>
    <row r="56162" ht="15.75" customHeight="1"/>
    <row r="56163" ht="15.75" customHeight="1"/>
    <row r="56164" ht="15.75" customHeight="1"/>
    <row r="56165" ht="15.75" customHeight="1"/>
    <row r="56166" ht="15.75" customHeight="1"/>
    <row r="56167" ht="15.75" customHeight="1"/>
    <row r="56168" ht="15.75" customHeight="1"/>
    <row r="56169" ht="15.75" customHeight="1"/>
    <row r="56170" ht="15.75" customHeight="1"/>
    <row r="56171" ht="15.75" customHeight="1"/>
    <row r="56172" ht="15.75" customHeight="1"/>
    <row r="56173" ht="15.75" customHeight="1"/>
    <row r="56174" ht="15.75" customHeight="1"/>
    <row r="56175" ht="15.75" customHeight="1"/>
    <row r="56176" ht="15.75" customHeight="1"/>
    <row r="56177" ht="15.75" customHeight="1"/>
    <row r="56178" ht="15.75" customHeight="1"/>
    <row r="56179" ht="15.75" customHeight="1"/>
    <row r="56180" ht="15.75" customHeight="1"/>
    <row r="56181" ht="15.75" customHeight="1"/>
    <row r="56182" ht="15.75" customHeight="1"/>
    <row r="56183" ht="15.75" customHeight="1"/>
    <row r="56184" ht="15.75" customHeight="1"/>
    <row r="56185" ht="15.75" customHeight="1"/>
    <row r="56186" ht="15.75" customHeight="1"/>
    <row r="56187" ht="15.75" customHeight="1"/>
    <row r="56188" ht="15.75" customHeight="1"/>
    <row r="56189" ht="15.75" customHeight="1"/>
    <row r="56190" ht="15.75" customHeight="1"/>
    <row r="56191" ht="15.75" customHeight="1"/>
    <row r="56192" ht="15.75" customHeight="1"/>
    <row r="56193" ht="15.75" customHeight="1"/>
    <row r="56194" ht="15.75" customHeight="1"/>
    <row r="56195" ht="15.75" customHeight="1"/>
    <row r="56196" ht="15.75" customHeight="1"/>
    <row r="56197" ht="15.75" customHeight="1"/>
    <row r="56198" ht="15.75" customHeight="1"/>
    <row r="56199" ht="15.75" customHeight="1"/>
    <row r="56200" ht="15.75" customHeight="1"/>
    <row r="56201" ht="15.75" customHeight="1"/>
    <row r="56202" ht="15.75" customHeight="1"/>
    <row r="56203" ht="15.75" customHeight="1"/>
    <row r="56204" ht="15.75" customHeight="1"/>
    <row r="56205" ht="15.75" customHeight="1"/>
    <row r="56206" ht="15.75" customHeight="1"/>
    <row r="56207" ht="15.75" customHeight="1"/>
    <row r="56208" ht="15.75" customHeight="1"/>
    <row r="56209" ht="15.75" customHeight="1"/>
    <row r="56210" ht="15.75" customHeight="1"/>
    <row r="56211" ht="15.75" customHeight="1"/>
    <row r="56212" ht="15.75" customHeight="1"/>
    <row r="56213" ht="15.75" customHeight="1"/>
    <row r="56214" ht="15.75" customHeight="1"/>
    <row r="56215" ht="15.75" customHeight="1"/>
    <row r="56216" ht="15.75" customHeight="1"/>
    <row r="56217" ht="15.75" customHeight="1"/>
    <row r="56218" ht="15.75" customHeight="1"/>
    <row r="56219" ht="15.75" customHeight="1"/>
    <row r="56220" ht="15.75" customHeight="1"/>
    <row r="56221" ht="15.75" customHeight="1"/>
    <row r="56222" ht="15.75" customHeight="1"/>
    <row r="56223" ht="15.75" customHeight="1"/>
    <row r="56224" ht="15.75" customHeight="1"/>
    <row r="56225" ht="15.75" customHeight="1"/>
    <row r="56226" ht="15.75" customHeight="1"/>
    <row r="56227" ht="15.75" customHeight="1"/>
    <row r="56228" ht="15.75" customHeight="1"/>
    <row r="56229" ht="15.75" customHeight="1"/>
    <row r="56230" ht="15.75" customHeight="1"/>
    <row r="56231" ht="15.75" customHeight="1"/>
    <row r="56232" ht="15.75" customHeight="1"/>
    <row r="56233" ht="15.75" customHeight="1"/>
    <row r="56234" ht="15.75" customHeight="1"/>
    <row r="56235" ht="15.75" customHeight="1"/>
    <row r="56236" ht="15.75" customHeight="1"/>
    <row r="56237" ht="15.75" customHeight="1"/>
    <row r="56238" ht="15.75" customHeight="1"/>
    <row r="56239" ht="15.75" customHeight="1"/>
    <row r="56240" ht="15.75" customHeight="1"/>
    <row r="56241" ht="15.75" customHeight="1"/>
    <row r="56242" ht="15.75" customHeight="1"/>
    <row r="56243" ht="15.75" customHeight="1"/>
    <row r="56244" ht="15.75" customHeight="1"/>
    <row r="56245" ht="15.75" customHeight="1"/>
    <row r="56246" ht="15.75" customHeight="1"/>
    <row r="56247" ht="15.75" customHeight="1"/>
    <row r="56248" ht="15.75" customHeight="1"/>
    <row r="56249" ht="15.75" customHeight="1"/>
    <row r="56250" ht="15.75" customHeight="1"/>
    <row r="56251" ht="15.75" customHeight="1"/>
    <row r="56252" ht="15.75" customHeight="1"/>
    <row r="56253" ht="15.75" customHeight="1"/>
    <row r="56254" ht="15.75" customHeight="1"/>
    <row r="56255" ht="15.75" customHeight="1"/>
    <row r="56256" ht="15.75" customHeight="1"/>
    <row r="56257" ht="15.75" customHeight="1"/>
    <row r="56258" ht="15.75" customHeight="1"/>
    <row r="56259" ht="15.75" customHeight="1"/>
    <row r="56260" ht="15.75" customHeight="1"/>
    <row r="56261" ht="15.75" customHeight="1"/>
    <row r="56262" ht="15.75" customHeight="1"/>
    <row r="56263" ht="15.75" customHeight="1"/>
    <row r="56264" ht="15.75" customHeight="1"/>
    <row r="56265" ht="15.75" customHeight="1"/>
    <row r="56266" ht="15.75" customHeight="1"/>
    <row r="56267" ht="15.75" customHeight="1"/>
    <row r="56268" ht="15.75" customHeight="1"/>
    <row r="56269" ht="15.75" customHeight="1"/>
    <row r="56270" ht="15.75" customHeight="1"/>
    <row r="56271" ht="15.75" customHeight="1"/>
    <row r="56272" ht="15.75" customHeight="1"/>
    <row r="56273" ht="15.75" customHeight="1"/>
    <row r="56274" ht="15.75" customHeight="1"/>
    <row r="56275" ht="15.75" customHeight="1"/>
    <row r="56276" ht="15.75" customHeight="1"/>
    <row r="56277" ht="15.75" customHeight="1"/>
    <row r="56278" ht="15.75" customHeight="1"/>
    <row r="56279" ht="15.75" customHeight="1"/>
    <row r="56280" ht="15.75" customHeight="1"/>
    <row r="56281" ht="15.75" customHeight="1"/>
    <row r="56282" ht="15.75" customHeight="1"/>
    <row r="56283" ht="15.75" customHeight="1"/>
    <row r="56284" ht="15.75" customHeight="1"/>
    <row r="56285" ht="15.75" customHeight="1"/>
    <row r="56286" ht="15.75" customHeight="1"/>
    <row r="56287" ht="15.75" customHeight="1"/>
    <row r="56288" ht="15.75" customHeight="1"/>
    <row r="56289" ht="15.75" customHeight="1"/>
    <row r="56290" ht="15.75" customHeight="1"/>
    <row r="56291" ht="15.75" customHeight="1"/>
    <row r="56292" ht="15.75" customHeight="1"/>
    <row r="56293" ht="15.75" customHeight="1"/>
    <row r="56294" ht="15.75" customHeight="1"/>
    <row r="56295" ht="15.75" customHeight="1"/>
    <row r="56296" ht="15.75" customHeight="1"/>
    <row r="56297" ht="15.75" customHeight="1"/>
    <row r="56298" ht="15.75" customHeight="1"/>
    <row r="56299" ht="15.75" customHeight="1"/>
    <row r="56300" ht="15.75" customHeight="1"/>
    <row r="56301" ht="15.75" customHeight="1"/>
    <row r="56302" ht="15.75" customHeight="1"/>
    <row r="56303" ht="15.75" customHeight="1"/>
    <row r="56304" ht="15.75" customHeight="1"/>
    <row r="56305" ht="15.75" customHeight="1"/>
    <row r="56306" ht="15.75" customHeight="1"/>
    <row r="56307" ht="15.75" customHeight="1"/>
    <row r="56308" ht="15.75" customHeight="1"/>
    <row r="56309" ht="15.75" customHeight="1"/>
    <row r="56310" ht="15.75" customHeight="1"/>
    <row r="56311" ht="15.75" customHeight="1"/>
    <row r="56312" ht="15.75" customHeight="1"/>
    <row r="56313" ht="15.75" customHeight="1"/>
    <row r="56314" ht="15.75" customHeight="1"/>
    <row r="56315" ht="15.75" customHeight="1"/>
    <row r="56316" ht="15.75" customHeight="1"/>
    <row r="56317" ht="15.75" customHeight="1"/>
    <row r="56318" ht="15.75" customHeight="1"/>
    <row r="56319" ht="15.75" customHeight="1"/>
    <row r="56320" ht="15.75" customHeight="1"/>
    <row r="56321" ht="15.75" customHeight="1"/>
    <row r="56322" ht="15.75" customHeight="1"/>
    <row r="56323" ht="15.75" customHeight="1"/>
    <row r="56324" ht="15.75" customHeight="1"/>
    <row r="56325" ht="15.75" customHeight="1"/>
    <row r="56326" ht="15.75" customHeight="1"/>
    <row r="56327" ht="15.75" customHeight="1"/>
    <row r="56328" ht="15.75" customHeight="1"/>
    <row r="56329" ht="15.75" customHeight="1"/>
    <row r="56330" ht="15.75" customHeight="1"/>
    <row r="56331" ht="15.75" customHeight="1"/>
    <row r="56332" ht="15.75" customHeight="1"/>
    <row r="56333" ht="15.75" customHeight="1"/>
    <row r="56334" ht="15.75" customHeight="1"/>
    <row r="56335" ht="15.75" customHeight="1"/>
    <row r="56336" ht="15.75" customHeight="1"/>
    <row r="56337" ht="15.75" customHeight="1"/>
    <row r="56338" ht="15.75" customHeight="1"/>
    <row r="56339" ht="15.75" customHeight="1"/>
    <row r="56340" ht="15.75" customHeight="1"/>
    <row r="56341" ht="15.75" customHeight="1"/>
    <row r="56342" ht="15.75" customHeight="1"/>
    <row r="56343" ht="15.75" customHeight="1"/>
    <row r="56344" ht="15.75" customHeight="1"/>
    <row r="56345" ht="15.75" customHeight="1"/>
    <row r="56346" ht="15.75" customHeight="1"/>
    <row r="56347" ht="15.75" customHeight="1"/>
    <row r="56348" ht="15.75" customHeight="1"/>
    <row r="56349" ht="15.75" customHeight="1"/>
    <row r="56350" ht="15.75" customHeight="1"/>
    <row r="56351" ht="15.75" customHeight="1"/>
    <row r="56352" ht="15.75" customHeight="1"/>
    <row r="56353" ht="15.75" customHeight="1"/>
    <row r="56354" ht="15.75" customHeight="1"/>
    <row r="56355" ht="15.75" customHeight="1"/>
    <row r="56356" ht="15.75" customHeight="1"/>
    <row r="56357" ht="15.75" customHeight="1"/>
    <row r="56358" ht="15.75" customHeight="1"/>
    <row r="56359" ht="15.75" customHeight="1"/>
    <row r="56360" ht="15.75" customHeight="1"/>
    <row r="56361" ht="15.75" customHeight="1"/>
    <row r="56362" ht="15.75" customHeight="1"/>
    <row r="56363" ht="15.75" customHeight="1"/>
    <row r="56364" ht="15.75" customHeight="1"/>
    <row r="56365" ht="15.75" customHeight="1"/>
    <row r="56366" ht="15.75" customHeight="1"/>
    <row r="56367" ht="15.75" customHeight="1"/>
    <row r="56368" ht="15.75" customHeight="1"/>
    <row r="56369" ht="15.75" customHeight="1"/>
    <row r="56370" ht="15.75" customHeight="1"/>
    <row r="56371" ht="15.75" customHeight="1"/>
    <row r="56372" ht="15.75" customHeight="1"/>
    <row r="56373" ht="15.75" customHeight="1"/>
    <row r="56374" ht="15.75" customHeight="1"/>
    <row r="56375" ht="15.75" customHeight="1"/>
    <row r="56376" ht="15.75" customHeight="1"/>
    <row r="56377" ht="15.75" customHeight="1"/>
    <row r="56378" ht="15.75" customHeight="1"/>
    <row r="56379" ht="15.75" customHeight="1"/>
    <row r="56380" ht="15.75" customHeight="1"/>
    <row r="56381" ht="15.75" customHeight="1"/>
    <row r="56382" ht="15.75" customHeight="1"/>
    <row r="56383" ht="15.75" customHeight="1"/>
    <row r="56384" ht="15.75" customHeight="1"/>
    <row r="56385" ht="15.75" customHeight="1"/>
    <row r="56386" ht="15.75" customHeight="1"/>
    <row r="56387" ht="15.75" customHeight="1"/>
    <row r="56388" ht="15.75" customHeight="1"/>
    <row r="56389" ht="15.75" customHeight="1"/>
    <row r="56390" ht="15.75" customHeight="1"/>
    <row r="56391" ht="15.75" customHeight="1"/>
    <row r="56392" ht="15.75" customHeight="1"/>
    <row r="56393" ht="15.75" customHeight="1"/>
    <row r="56394" ht="15.75" customHeight="1"/>
    <row r="56395" ht="15.75" customHeight="1"/>
    <row r="56396" ht="15.75" customHeight="1"/>
    <row r="56397" ht="15.75" customHeight="1"/>
    <row r="56398" ht="15.75" customHeight="1"/>
    <row r="56399" ht="15.75" customHeight="1"/>
    <row r="56400" ht="15.75" customHeight="1"/>
    <row r="56401" ht="15.75" customHeight="1"/>
    <row r="56402" ht="15.75" customHeight="1"/>
    <row r="56403" ht="15.75" customHeight="1"/>
    <row r="56404" ht="15.75" customHeight="1"/>
    <row r="56405" ht="15.75" customHeight="1"/>
    <row r="56406" ht="15.75" customHeight="1"/>
    <row r="56407" ht="15.75" customHeight="1"/>
    <row r="56408" ht="15.75" customHeight="1"/>
    <row r="56409" ht="15.75" customHeight="1"/>
    <row r="56410" ht="15.75" customHeight="1"/>
    <row r="56411" ht="15.75" customHeight="1"/>
    <row r="56412" ht="15.75" customHeight="1"/>
    <row r="56413" ht="15.75" customHeight="1"/>
    <row r="56414" ht="15.75" customHeight="1"/>
    <row r="56415" ht="15.75" customHeight="1"/>
    <row r="56416" ht="15.75" customHeight="1"/>
    <row r="56417" ht="15.75" customHeight="1"/>
    <row r="56418" ht="15.75" customHeight="1"/>
    <row r="56419" ht="15.75" customHeight="1"/>
    <row r="56420" ht="15.75" customHeight="1"/>
    <row r="56421" ht="15.75" customHeight="1"/>
    <row r="56422" ht="15.75" customHeight="1"/>
    <row r="56423" ht="15.75" customHeight="1"/>
    <row r="56424" ht="15.75" customHeight="1"/>
    <row r="56425" ht="15.75" customHeight="1"/>
    <row r="56426" ht="15.75" customHeight="1"/>
    <row r="56427" ht="15.75" customHeight="1"/>
    <row r="56428" ht="15.75" customHeight="1"/>
    <row r="56429" ht="15.75" customHeight="1"/>
    <row r="56430" ht="15.75" customHeight="1"/>
    <row r="56431" ht="15.75" customHeight="1"/>
    <row r="56432" ht="15.75" customHeight="1"/>
    <row r="56433" ht="15.75" customHeight="1"/>
    <row r="56434" ht="15.75" customHeight="1"/>
    <row r="56435" ht="15.75" customHeight="1"/>
    <row r="56436" ht="15.75" customHeight="1"/>
    <row r="56437" ht="15.75" customHeight="1"/>
    <row r="56438" ht="15.75" customHeight="1"/>
    <row r="56439" ht="15.75" customHeight="1"/>
    <row r="56440" ht="15.75" customHeight="1"/>
    <row r="56441" ht="15.75" customHeight="1"/>
    <row r="56442" ht="15.75" customHeight="1"/>
    <row r="56443" ht="15.75" customHeight="1"/>
    <row r="56444" ht="15.75" customHeight="1"/>
    <row r="56445" ht="15.75" customHeight="1"/>
    <row r="56446" ht="15.75" customHeight="1"/>
    <row r="56447" ht="15.75" customHeight="1"/>
    <row r="56448" ht="15.75" customHeight="1"/>
    <row r="56449" ht="15.75" customHeight="1"/>
    <row r="56450" ht="15.75" customHeight="1"/>
    <row r="56451" ht="15.75" customHeight="1"/>
    <row r="56452" ht="15.75" customHeight="1"/>
    <row r="56453" ht="15.75" customHeight="1"/>
    <row r="56454" ht="15.75" customHeight="1"/>
    <row r="56455" ht="15.75" customHeight="1"/>
    <row r="56456" ht="15.75" customHeight="1"/>
    <row r="56457" ht="15.75" customHeight="1"/>
    <row r="56458" ht="15.75" customHeight="1"/>
    <row r="56459" ht="15.75" customHeight="1"/>
    <row r="56460" ht="15.75" customHeight="1"/>
    <row r="56461" ht="15.75" customHeight="1"/>
    <row r="56462" ht="15.75" customHeight="1"/>
    <row r="56463" ht="15.75" customHeight="1"/>
    <row r="56464" ht="15.75" customHeight="1"/>
    <row r="56465" ht="15.75" customHeight="1"/>
    <row r="56466" ht="15.75" customHeight="1"/>
    <row r="56467" ht="15.75" customHeight="1"/>
    <row r="56468" ht="15.75" customHeight="1"/>
    <row r="56469" ht="15.75" customHeight="1"/>
    <row r="56470" ht="15.75" customHeight="1"/>
    <row r="56471" ht="15.75" customHeight="1"/>
    <row r="56472" ht="15.75" customHeight="1"/>
    <row r="56473" ht="15.75" customHeight="1"/>
    <row r="56474" ht="15.75" customHeight="1"/>
    <row r="56475" ht="15.75" customHeight="1"/>
    <row r="56476" ht="15.75" customHeight="1"/>
    <row r="56477" ht="15.75" customHeight="1"/>
    <row r="56478" ht="15.75" customHeight="1"/>
    <row r="56479" ht="15.75" customHeight="1"/>
    <row r="56480" ht="15.75" customHeight="1"/>
    <row r="56481" ht="15.75" customHeight="1"/>
    <row r="56482" ht="15.75" customHeight="1"/>
    <row r="56483" ht="15.75" customHeight="1"/>
    <row r="56484" ht="15.75" customHeight="1"/>
    <row r="56485" ht="15.75" customHeight="1"/>
    <row r="56486" ht="15.75" customHeight="1"/>
    <row r="56487" ht="15.75" customHeight="1"/>
    <row r="56488" ht="15.75" customHeight="1"/>
    <row r="56489" ht="15.75" customHeight="1"/>
    <row r="56490" ht="15.75" customHeight="1"/>
    <row r="56491" ht="15.75" customHeight="1"/>
    <row r="56492" ht="15.75" customHeight="1"/>
    <row r="56493" ht="15.75" customHeight="1"/>
    <row r="56494" ht="15.75" customHeight="1"/>
    <row r="56495" ht="15.75" customHeight="1"/>
    <row r="56496" ht="15.75" customHeight="1"/>
    <row r="56497" ht="15.75" customHeight="1"/>
    <row r="56498" ht="15.75" customHeight="1"/>
    <row r="56499" ht="15.75" customHeight="1"/>
    <row r="56500" ht="15.75" customHeight="1"/>
    <row r="56501" ht="15.75" customHeight="1"/>
    <row r="56502" ht="15.75" customHeight="1"/>
    <row r="56503" ht="15.75" customHeight="1"/>
    <row r="56504" ht="15.75" customHeight="1"/>
    <row r="56505" ht="15.75" customHeight="1"/>
    <row r="56506" ht="15.75" customHeight="1"/>
    <row r="56507" ht="15.75" customHeight="1"/>
    <row r="56508" ht="15.75" customHeight="1"/>
    <row r="56509" ht="15.75" customHeight="1"/>
    <row r="56510" ht="15.75" customHeight="1"/>
    <row r="56511" ht="15.75" customHeight="1"/>
    <row r="56512" ht="15.75" customHeight="1"/>
    <row r="56513" ht="15.75" customHeight="1"/>
    <row r="56514" ht="15.75" customHeight="1"/>
    <row r="56515" ht="15.75" customHeight="1"/>
    <row r="56516" ht="15.75" customHeight="1"/>
    <row r="56517" ht="15.75" customHeight="1"/>
    <row r="56518" ht="15.75" customHeight="1"/>
    <row r="56519" ht="15.75" customHeight="1"/>
    <row r="56520" ht="15.75" customHeight="1"/>
    <row r="56521" ht="15.75" customHeight="1"/>
    <row r="56522" ht="15.75" customHeight="1"/>
    <row r="56523" ht="15.75" customHeight="1"/>
    <row r="56524" ht="15.75" customHeight="1"/>
    <row r="56525" ht="15.75" customHeight="1"/>
    <row r="56526" ht="15.75" customHeight="1"/>
    <row r="56527" ht="15.75" customHeight="1"/>
    <row r="56528" ht="15.75" customHeight="1"/>
    <row r="56529" ht="15.75" customHeight="1"/>
    <row r="56530" ht="15.75" customHeight="1"/>
    <row r="56531" ht="15.75" customHeight="1"/>
    <row r="56532" ht="15.75" customHeight="1"/>
    <row r="56533" ht="15.75" customHeight="1"/>
    <row r="56534" ht="15.75" customHeight="1"/>
    <row r="56535" ht="15.75" customHeight="1"/>
    <row r="56536" ht="15.75" customHeight="1"/>
    <row r="56537" ht="15.75" customHeight="1"/>
    <row r="56538" ht="15.75" customHeight="1"/>
    <row r="56539" ht="15.75" customHeight="1"/>
    <row r="56540" ht="15.75" customHeight="1"/>
    <row r="56541" ht="15.75" customHeight="1"/>
    <row r="56542" ht="15.75" customHeight="1"/>
    <row r="56543" ht="15.75" customHeight="1"/>
    <row r="56544" ht="15.75" customHeight="1"/>
    <row r="56545" ht="15.75" customHeight="1"/>
    <row r="56546" ht="15.75" customHeight="1"/>
    <row r="56547" ht="15.75" customHeight="1"/>
    <row r="56548" ht="15.75" customHeight="1"/>
    <row r="56549" ht="15.75" customHeight="1"/>
    <row r="56550" ht="15.75" customHeight="1"/>
    <row r="56551" ht="15.75" customHeight="1"/>
    <row r="56552" ht="15.75" customHeight="1"/>
    <row r="56553" ht="15.75" customHeight="1"/>
    <row r="56554" ht="15.75" customHeight="1"/>
    <row r="56555" ht="15.75" customHeight="1"/>
    <row r="56556" ht="15.75" customHeight="1"/>
    <row r="56557" ht="15.75" customHeight="1"/>
    <row r="56558" ht="15.75" customHeight="1"/>
    <row r="56559" ht="15.75" customHeight="1"/>
    <row r="56560" ht="15.75" customHeight="1"/>
    <row r="56561" ht="15.75" customHeight="1"/>
    <row r="56562" ht="15.75" customHeight="1"/>
    <row r="56563" ht="15.75" customHeight="1"/>
    <row r="56564" ht="15.75" customHeight="1"/>
    <row r="56565" ht="15.75" customHeight="1"/>
    <row r="56566" ht="15.75" customHeight="1"/>
    <row r="56567" ht="15.75" customHeight="1"/>
    <row r="56568" ht="15.75" customHeight="1"/>
    <row r="56569" ht="15.75" customHeight="1"/>
    <row r="56570" ht="15.75" customHeight="1"/>
    <row r="56571" ht="15.75" customHeight="1"/>
    <row r="56572" ht="15.75" customHeight="1"/>
    <row r="56573" ht="15.75" customHeight="1"/>
    <row r="56574" ht="15.75" customHeight="1"/>
    <row r="56575" ht="15.75" customHeight="1"/>
    <row r="56576" ht="15.75" customHeight="1"/>
    <row r="56577" ht="15.75" customHeight="1"/>
    <row r="56578" ht="15.75" customHeight="1"/>
    <row r="56579" ht="15.75" customHeight="1"/>
    <row r="56580" ht="15.75" customHeight="1"/>
    <row r="56581" ht="15.75" customHeight="1"/>
    <row r="56582" ht="15.75" customHeight="1"/>
    <row r="56583" ht="15.75" customHeight="1"/>
    <row r="56584" ht="15.75" customHeight="1"/>
    <row r="56585" ht="15.75" customHeight="1"/>
    <row r="56586" ht="15.75" customHeight="1"/>
    <row r="56587" ht="15.75" customHeight="1"/>
    <row r="56588" ht="15.75" customHeight="1"/>
    <row r="56589" ht="15.75" customHeight="1"/>
    <row r="56590" ht="15.75" customHeight="1"/>
    <row r="56591" ht="15.75" customHeight="1"/>
    <row r="56592" ht="15.75" customHeight="1"/>
    <row r="56593" ht="15.75" customHeight="1"/>
    <row r="56594" ht="15.75" customHeight="1"/>
    <row r="56595" ht="15.75" customHeight="1"/>
    <row r="56596" ht="15.75" customHeight="1"/>
    <row r="56597" ht="15.75" customHeight="1"/>
    <row r="56598" ht="15.75" customHeight="1"/>
    <row r="56599" ht="15.75" customHeight="1"/>
    <row r="56600" ht="15.75" customHeight="1"/>
    <row r="56601" ht="15.75" customHeight="1"/>
    <row r="56602" ht="15.75" customHeight="1"/>
    <row r="56603" ht="15.75" customHeight="1"/>
    <row r="56604" ht="15.75" customHeight="1"/>
    <row r="56605" ht="15.75" customHeight="1"/>
    <row r="56606" ht="15.75" customHeight="1"/>
    <row r="56607" ht="15.75" customHeight="1"/>
    <row r="56608" ht="15.75" customHeight="1"/>
    <row r="56609" ht="15.75" customHeight="1"/>
    <row r="56610" ht="15.75" customHeight="1"/>
    <row r="56611" ht="15.75" customHeight="1"/>
    <row r="56612" ht="15.75" customHeight="1"/>
    <row r="56613" ht="15.75" customHeight="1"/>
    <row r="56614" ht="15.75" customHeight="1"/>
    <row r="56615" ht="15.75" customHeight="1"/>
    <row r="56616" ht="15.75" customHeight="1"/>
    <row r="56617" ht="15.75" customHeight="1"/>
    <row r="56618" ht="15.75" customHeight="1"/>
    <row r="56619" ht="15.75" customHeight="1"/>
    <row r="56620" ht="15.75" customHeight="1"/>
    <row r="56621" ht="15.75" customHeight="1"/>
    <row r="56622" ht="15.75" customHeight="1"/>
    <row r="56623" ht="15.75" customHeight="1"/>
    <row r="56624" ht="15.75" customHeight="1"/>
    <row r="56625" ht="15.75" customHeight="1"/>
    <row r="56626" ht="15.75" customHeight="1"/>
    <row r="56627" ht="15.75" customHeight="1"/>
    <row r="56628" ht="15.75" customHeight="1"/>
    <row r="56629" ht="15.75" customHeight="1"/>
    <row r="56630" ht="15.75" customHeight="1"/>
    <row r="56631" ht="15.75" customHeight="1"/>
    <row r="56632" ht="15.75" customHeight="1"/>
    <row r="56633" ht="15.75" customHeight="1"/>
    <row r="56634" ht="15.75" customHeight="1"/>
    <row r="56635" ht="15.75" customHeight="1"/>
    <row r="56636" ht="15.75" customHeight="1"/>
    <row r="56637" ht="15.75" customHeight="1"/>
    <row r="56638" ht="15.75" customHeight="1"/>
    <row r="56639" ht="15.75" customHeight="1"/>
    <row r="56640" ht="15.75" customHeight="1"/>
    <row r="56641" ht="15.75" customHeight="1"/>
    <row r="56642" ht="15.75" customHeight="1"/>
    <row r="56643" ht="15.75" customHeight="1"/>
    <row r="56644" ht="15.75" customHeight="1"/>
    <row r="56645" ht="15.75" customHeight="1"/>
    <row r="56646" ht="15.75" customHeight="1"/>
    <row r="56647" ht="15.75" customHeight="1"/>
    <row r="56648" ht="15.75" customHeight="1"/>
    <row r="56649" ht="15.75" customHeight="1"/>
    <row r="56650" ht="15.75" customHeight="1"/>
    <row r="56651" ht="15.75" customHeight="1"/>
    <row r="56652" ht="15.75" customHeight="1"/>
    <row r="56653" ht="15.75" customHeight="1"/>
    <row r="56654" ht="15.75" customHeight="1"/>
    <row r="56655" ht="15.75" customHeight="1"/>
    <row r="56656" ht="15.75" customHeight="1"/>
    <row r="56657" ht="15.75" customHeight="1"/>
    <row r="56658" ht="15.75" customHeight="1"/>
    <row r="56659" ht="15.75" customHeight="1"/>
    <row r="56660" ht="15.75" customHeight="1"/>
    <row r="56661" ht="15.75" customHeight="1"/>
    <row r="56662" ht="15.75" customHeight="1"/>
    <row r="56663" ht="15.75" customHeight="1"/>
    <row r="56664" ht="15.75" customHeight="1"/>
    <row r="56665" ht="15.75" customHeight="1"/>
    <row r="56666" ht="15.75" customHeight="1"/>
    <row r="56667" ht="15.75" customHeight="1"/>
    <row r="56668" ht="15.75" customHeight="1"/>
    <row r="56669" ht="15.75" customHeight="1"/>
    <row r="56670" ht="15.75" customHeight="1"/>
    <row r="56671" ht="15.75" customHeight="1"/>
    <row r="56672" ht="15.75" customHeight="1"/>
    <row r="56673" ht="15.75" customHeight="1"/>
    <row r="56674" ht="15.75" customHeight="1"/>
    <row r="56675" ht="15.75" customHeight="1"/>
    <row r="56676" ht="15.75" customHeight="1"/>
    <row r="56677" ht="15.75" customHeight="1"/>
    <row r="56678" ht="15.75" customHeight="1"/>
    <row r="56679" ht="15.75" customHeight="1"/>
    <row r="56680" ht="15.75" customHeight="1"/>
    <row r="56681" ht="15.75" customHeight="1"/>
    <row r="56682" ht="15.75" customHeight="1"/>
    <row r="56683" ht="15.75" customHeight="1"/>
    <row r="56684" ht="15.75" customHeight="1"/>
    <row r="56685" ht="15.75" customHeight="1"/>
    <row r="56686" ht="15.75" customHeight="1"/>
    <row r="56687" ht="15.75" customHeight="1"/>
    <row r="56688" ht="15.75" customHeight="1"/>
    <row r="56689" ht="15.75" customHeight="1"/>
    <row r="56690" ht="15.75" customHeight="1"/>
    <row r="56691" ht="15.75" customHeight="1"/>
    <row r="56692" ht="15.75" customHeight="1"/>
    <row r="56693" ht="15.75" customHeight="1"/>
    <row r="56694" ht="15.75" customHeight="1"/>
    <row r="56695" ht="15.75" customHeight="1"/>
    <row r="56696" ht="15.75" customHeight="1"/>
    <row r="56697" ht="15.75" customHeight="1"/>
    <row r="56698" ht="15.75" customHeight="1"/>
    <row r="56699" ht="15.75" customHeight="1"/>
    <row r="56700" ht="15.75" customHeight="1"/>
    <row r="56701" ht="15.75" customHeight="1"/>
    <row r="56702" ht="15.75" customHeight="1"/>
    <row r="56703" ht="15.75" customHeight="1"/>
    <row r="56704" ht="15.75" customHeight="1"/>
    <row r="56705" ht="15.75" customHeight="1"/>
    <row r="56706" ht="15.75" customHeight="1"/>
    <row r="56707" ht="15.75" customHeight="1"/>
    <row r="56708" ht="15.75" customHeight="1"/>
    <row r="56709" ht="15.75" customHeight="1"/>
    <row r="56710" ht="15.75" customHeight="1"/>
    <row r="56711" ht="15.75" customHeight="1"/>
    <row r="56712" ht="15.75" customHeight="1"/>
    <row r="56713" ht="15.75" customHeight="1"/>
    <row r="56714" ht="15.75" customHeight="1"/>
    <row r="56715" ht="15.75" customHeight="1"/>
    <row r="56716" ht="15.75" customHeight="1"/>
    <row r="56717" ht="15.75" customHeight="1"/>
    <row r="56718" ht="15.75" customHeight="1"/>
    <row r="56719" ht="15.75" customHeight="1"/>
    <row r="56720" ht="15.75" customHeight="1"/>
    <row r="56721" ht="15.75" customHeight="1"/>
    <row r="56722" ht="15.75" customHeight="1"/>
    <row r="56723" ht="15.75" customHeight="1"/>
    <row r="56724" ht="15.75" customHeight="1"/>
    <row r="56725" ht="15.75" customHeight="1"/>
    <row r="56726" ht="15.75" customHeight="1"/>
    <row r="56727" ht="15.75" customHeight="1"/>
    <row r="56728" ht="15.75" customHeight="1"/>
    <row r="56729" ht="15.75" customHeight="1"/>
    <row r="56730" ht="15.75" customHeight="1"/>
    <row r="56731" ht="15.75" customHeight="1"/>
    <row r="56732" ht="15.75" customHeight="1"/>
    <row r="56733" ht="15.75" customHeight="1"/>
    <row r="56734" ht="15.75" customHeight="1"/>
    <row r="56735" ht="15.75" customHeight="1"/>
    <row r="56736" ht="15.75" customHeight="1"/>
    <row r="56737" ht="15.75" customHeight="1"/>
    <row r="56738" ht="15.75" customHeight="1"/>
    <row r="56739" ht="15.75" customHeight="1"/>
    <row r="56740" ht="15.75" customHeight="1"/>
    <row r="56741" ht="15.75" customHeight="1"/>
    <row r="56742" ht="15.75" customHeight="1"/>
    <row r="56743" ht="15.75" customHeight="1"/>
    <row r="56744" ht="15.75" customHeight="1"/>
    <row r="56745" ht="15.75" customHeight="1"/>
    <row r="56746" ht="15.75" customHeight="1"/>
    <row r="56747" ht="15.75" customHeight="1"/>
    <row r="56748" ht="15.75" customHeight="1"/>
    <row r="56749" ht="15.75" customHeight="1"/>
    <row r="56750" ht="15.75" customHeight="1"/>
    <row r="56751" ht="15.75" customHeight="1"/>
    <row r="56752" ht="15.75" customHeight="1"/>
    <row r="56753" ht="15.75" customHeight="1"/>
    <row r="56754" ht="15.75" customHeight="1"/>
    <row r="56755" ht="15.75" customHeight="1"/>
    <row r="56756" ht="15.75" customHeight="1"/>
    <row r="56757" ht="15.75" customHeight="1"/>
    <row r="56758" ht="15.75" customHeight="1"/>
    <row r="56759" ht="15.75" customHeight="1"/>
    <row r="56760" ht="15.75" customHeight="1"/>
    <row r="56761" ht="15.75" customHeight="1"/>
    <row r="56762" ht="15.75" customHeight="1"/>
    <row r="56763" ht="15.75" customHeight="1"/>
    <row r="56764" ht="15.75" customHeight="1"/>
    <row r="56765" ht="15.75" customHeight="1"/>
    <row r="56766" ht="15.75" customHeight="1"/>
    <row r="56767" ht="15.75" customHeight="1"/>
    <row r="56768" ht="15.75" customHeight="1"/>
    <row r="56769" ht="15.75" customHeight="1"/>
    <row r="56770" ht="15.75" customHeight="1"/>
    <row r="56771" ht="15.75" customHeight="1"/>
    <row r="56772" ht="15.75" customHeight="1"/>
    <row r="56773" ht="15.75" customHeight="1"/>
    <row r="56774" ht="15.75" customHeight="1"/>
    <row r="56775" ht="15.75" customHeight="1"/>
    <row r="56776" ht="15.75" customHeight="1"/>
    <row r="56777" ht="15.75" customHeight="1"/>
    <row r="56778" ht="15.75" customHeight="1"/>
    <row r="56779" ht="15.75" customHeight="1"/>
    <row r="56780" ht="15.75" customHeight="1"/>
    <row r="56781" ht="15.75" customHeight="1"/>
    <row r="56782" ht="15.75" customHeight="1"/>
    <row r="56783" ht="15.75" customHeight="1"/>
    <row r="56784" ht="15.75" customHeight="1"/>
    <row r="56785" ht="15.75" customHeight="1"/>
    <row r="56786" ht="15.75" customHeight="1"/>
    <row r="56787" ht="15.75" customHeight="1"/>
    <row r="56788" ht="15.75" customHeight="1"/>
    <row r="56789" ht="15.75" customHeight="1"/>
    <row r="56790" ht="15.75" customHeight="1"/>
    <row r="56791" ht="15.75" customHeight="1"/>
    <row r="56792" ht="15.75" customHeight="1"/>
    <row r="56793" ht="15.75" customHeight="1"/>
    <row r="56794" ht="15.75" customHeight="1"/>
    <row r="56795" ht="15.75" customHeight="1"/>
    <row r="56796" ht="15.75" customHeight="1"/>
    <row r="56797" ht="15.75" customHeight="1"/>
    <row r="56798" ht="15.75" customHeight="1"/>
    <row r="56799" ht="15.75" customHeight="1"/>
    <row r="56800" ht="15.75" customHeight="1"/>
    <row r="56801" ht="15.75" customHeight="1"/>
    <row r="56802" ht="15.75" customHeight="1"/>
    <row r="56803" ht="15.75" customHeight="1"/>
    <row r="56804" ht="15.75" customHeight="1"/>
    <row r="56805" ht="15.75" customHeight="1"/>
    <row r="56806" ht="15.75" customHeight="1"/>
    <row r="56807" ht="15.75" customHeight="1"/>
    <row r="56808" ht="15.75" customHeight="1"/>
    <row r="56809" ht="15.75" customHeight="1"/>
    <row r="56810" ht="15.75" customHeight="1"/>
    <row r="56811" ht="15.75" customHeight="1"/>
    <row r="56812" ht="15.75" customHeight="1"/>
    <row r="56813" ht="15.75" customHeight="1"/>
    <row r="56814" ht="15.75" customHeight="1"/>
    <row r="56815" ht="15.75" customHeight="1"/>
    <row r="56816" ht="15.75" customHeight="1"/>
    <row r="56817" ht="15.75" customHeight="1"/>
    <row r="56818" ht="15.75" customHeight="1"/>
    <row r="56819" ht="15.75" customHeight="1"/>
    <row r="56820" ht="15.75" customHeight="1"/>
    <row r="56821" ht="15.75" customHeight="1"/>
    <row r="56822" ht="15.75" customHeight="1"/>
    <row r="56823" ht="15.75" customHeight="1"/>
    <row r="56824" ht="15.75" customHeight="1"/>
    <row r="56825" ht="15.75" customHeight="1"/>
    <row r="56826" ht="15.75" customHeight="1"/>
    <row r="56827" ht="15.75" customHeight="1"/>
    <row r="56828" ht="15.75" customHeight="1"/>
    <row r="56829" ht="15.75" customHeight="1"/>
    <row r="56830" ht="15.75" customHeight="1"/>
    <row r="56831" ht="15.75" customHeight="1"/>
    <row r="56832" ht="15.75" customHeight="1"/>
    <row r="56833" ht="15.75" customHeight="1"/>
    <row r="56834" ht="15.75" customHeight="1"/>
    <row r="56835" ht="15.75" customHeight="1"/>
    <row r="56836" ht="15.75" customHeight="1"/>
    <row r="56837" ht="15.75" customHeight="1"/>
    <row r="56838" ht="15.75" customHeight="1"/>
    <row r="56839" ht="15.75" customHeight="1"/>
    <row r="56840" ht="15.75" customHeight="1"/>
    <row r="56841" ht="15.75" customHeight="1"/>
    <row r="56842" ht="15.75" customHeight="1"/>
    <row r="56843" ht="15.75" customHeight="1"/>
    <row r="56844" ht="15.75" customHeight="1"/>
    <row r="56845" ht="15.75" customHeight="1"/>
    <row r="56846" ht="15.75" customHeight="1"/>
    <row r="56847" ht="15.75" customHeight="1"/>
    <row r="56848" ht="15.75" customHeight="1"/>
    <row r="56849" ht="15.75" customHeight="1"/>
    <row r="56850" ht="15.75" customHeight="1"/>
    <row r="56851" ht="15.75" customHeight="1"/>
    <row r="56852" ht="15.75" customHeight="1"/>
    <row r="56853" ht="15.75" customHeight="1"/>
    <row r="56854" ht="15.75" customHeight="1"/>
    <row r="56855" ht="15.75" customHeight="1"/>
    <row r="56856" ht="15.75" customHeight="1"/>
    <row r="56857" ht="15.75" customHeight="1"/>
    <row r="56858" ht="15.75" customHeight="1"/>
    <row r="56859" ht="15.75" customHeight="1"/>
    <row r="56860" ht="15.75" customHeight="1"/>
    <row r="56861" ht="15.75" customHeight="1"/>
    <row r="56862" ht="15.75" customHeight="1"/>
    <row r="56863" ht="15.75" customHeight="1"/>
    <row r="56864" ht="15.75" customHeight="1"/>
    <row r="56865" ht="15.75" customHeight="1"/>
    <row r="56866" ht="15.75" customHeight="1"/>
    <row r="56867" ht="15.75" customHeight="1"/>
    <row r="56868" ht="15.75" customHeight="1"/>
    <row r="56869" ht="15.75" customHeight="1"/>
    <row r="56870" ht="15.75" customHeight="1"/>
    <row r="56871" ht="15.75" customHeight="1"/>
    <row r="56872" ht="15.75" customHeight="1"/>
    <row r="56873" ht="15.75" customHeight="1"/>
    <row r="56874" ht="15.75" customHeight="1"/>
    <row r="56875" ht="15.75" customHeight="1"/>
    <row r="56876" ht="15.75" customHeight="1"/>
    <row r="56877" ht="15.75" customHeight="1"/>
    <row r="56878" ht="15.75" customHeight="1"/>
    <row r="56879" ht="15.75" customHeight="1"/>
    <row r="56880" ht="15.75" customHeight="1"/>
    <row r="56881" ht="15.75" customHeight="1"/>
    <row r="56882" ht="15.75" customHeight="1"/>
    <row r="56883" ht="15.75" customHeight="1"/>
    <row r="56884" ht="15.75" customHeight="1"/>
    <row r="56885" ht="15.75" customHeight="1"/>
    <row r="56886" ht="15.75" customHeight="1"/>
    <row r="56887" ht="15.75" customHeight="1"/>
    <row r="56888" ht="15.75" customHeight="1"/>
    <row r="56889" ht="15.75" customHeight="1"/>
    <row r="56890" ht="15.75" customHeight="1"/>
    <row r="56891" ht="15.75" customHeight="1"/>
    <row r="56892" ht="15.75" customHeight="1"/>
    <row r="56893" ht="15.75" customHeight="1"/>
    <row r="56894" ht="15.75" customHeight="1"/>
    <row r="56895" ht="15.75" customHeight="1"/>
    <row r="56896" ht="15.75" customHeight="1"/>
    <row r="56897" ht="15.75" customHeight="1"/>
    <row r="56898" ht="15.75" customHeight="1"/>
    <row r="56899" ht="15.75" customHeight="1"/>
    <row r="56900" ht="15.75" customHeight="1"/>
    <row r="56901" ht="15.75" customHeight="1"/>
    <row r="56902" ht="15.75" customHeight="1"/>
    <row r="56903" ht="15.75" customHeight="1"/>
    <row r="56904" ht="15.75" customHeight="1"/>
    <row r="56905" ht="15.75" customHeight="1"/>
    <row r="56906" ht="15.75" customHeight="1"/>
    <row r="56907" ht="15.75" customHeight="1"/>
    <row r="56908" ht="15.75" customHeight="1"/>
    <row r="56909" ht="15.75" customHeight="1"/>
    <row r="56910" ht="15.75" customHeight="1"/>
    <row r="56911" ht="15.75" customHeight="1"/>
    <row r="56912" ht="15.75" customHeight="1"/>
    <row r="56913" ht="15.75" customHeight="1"/>
    <row r="56914" ht="15.75" customHeight="1"/>
    <row r="56915" ht="15.75" customHeight="1"/>
    <row r="56916" ht="15.75" customHeight="1"/>
    <row r="56917" ht="15.75" customHeight="1"/>
    <row r="56918" ht="15.75" customHeight="1"/>
    <row r="56919" ht="15.75" customHeight="1"/>
    <row r="56920" ht="15.75" customHeight="1"/>
    <row r="56921" ht="15.75" customHeight="1"/>
    <row r="56922" ht="15.75" customHeight="1"/>
    <row r="56923" ht="15.75" customHeight="1"/>
    <row r="56924" ht="15.75" customHeight="1"/>
    <row r="56925" ht="15.75" customHeight="1"/>
    <row r="56926" ht="15.75" customHeight="1"/>
    <row r="56927" ht="15.75" customHeight="1"/>
    <row r="56928" ht="15.75" customHeight="1"/>
    <row r="56929" ht="15.75" customHeight="1"/>
    <row r="56930" ht="15.75" customHeight="1"/>
    <row r="56931" ht="15.75" customHeight="1"/>
    <row r="56932" ht="15.75" customHeight="1"/>
    <row r="56933" ht="15.75" customHeight="1"/>
    <row r="56934" ht="15.75" customHeight="1"/>
    <row r="56935" ht="15.75" customHeight="1"/>
    <row r="56936" ht="15.75" customHeight="1"/>
    <row r="56937" ht="15.75" customHeight="1"/>
    <row r="56938" ht="15.75" customHeight="1"/>
    <row r="56939" ht="15.75" customHeight="1"/>
    <row r="56940" ht="15.75" customHeight="1"/>
    <row r="56941" ht="15.75" customHeight="1"/>
    <row r="56942" ht="15.75" customHeight="1"/>
    <row r="56943" ht="15.75" customHeight="1"/>
    <row r="56944" ht="15.75" customHeight="1"/>
    <row r="56945" ht="15.75" customHeight="1"/>
    <row r="56946" ht="15.75" customHeight="1"/>
    <row r="56947" ht="15.75" customHeight="1"/>
    <row r="56948" ht="15.75" customHeight="1"/>
    <row r="56949" ht="15.75" customHeight="1"/>
    <row r="56950" ht="15.75" customHeight="1"/>
    <row r="56951" ht="15.75" customHeight="1"/>
    <row r="56952" ht="15.75" customHeight="1"/>
    <row r="56953" ht="15.75" customHeight="1"/>
    <row r="56954" ht="15.75" customHeight="1"/>
    <row r="56955" ht="15.75" customHeight="1"/>
    <row r="56956" ht="15.75" customHeight="1"/>
    <row r="56957" ht="15.75" customHeight="1"/>
    <row r="56958" ht="15.75" customHeight="1"/>
    <row r="56959" ht="15.75" customHeight="1"/>
    <row r="56960" ht="15.75" customHeight="1"/>
    <row r="56961" ht="15.75" customHeight="1"/>
    <row r="56962" ht="15.75" customHeight="1"/>
    <row r="56963" ht="15.75" customHeight="1"/>
    <row r="56964" ht="15.75" customHeight="1"/>
    <row r="56965" ht="15.75" customHeight="1"/>
    <row r="56966" ht="15.75" customHeight="1"/>
    <row r="56967" ht="15.75" customHeight="1"/>
    <row r="56968" ht="15.75" customHeight="1"/>
    <row r="56969" ht="15.75" customHeight="1"/>
    <row r="56970" ht="15.75" customHeight="1"/>
    <row r="56971" ht="15.75" customHeight="1"/>
    <row r="56972" ht="15.75" customHeight="1"/>
    <row r="56973" ht="15.75" customHeight="1"/>
    <row r="56974" ht="15.75" customHeight="1"/>
    <row r="56975" ht="15.75" customHeight="1"/>
    <row r="56976" ht="15.75" customHeight="1"/>
    <row r="56977" ht="15.75" customHeight="1"/>
    <row r="56978" ht="15.75" customHeight="1"/>
    <row r="56979" ht="15.75" customHeight="1"/>
    <row r="56980" ht="15.75" customHeight="1"/>
    <row r="56981" ht="15.75" customHeight="1"/>
    <row r="56982" ht="15.75" customHeight="1"/>
    <row r="56983" ht="15.75" customHeight="1"/>
    <row r="56984" ht="15.75" customHeight="1"/>
    <row r="56985" ht="15.75" customHeight="1"/>
    <row r="56986" ht="15.75" customHeight="1"/>
    <row r="56987" ht="15.75" customHeight="1"/>
    <row r="56988" ht="15.75" customHeight="1"/>
    <row r="56989" ht="15.75" customHeight="1"/>
    <row r="56990" ht="15.75" customHeight="1"/>
    <row r="56991" ht="15.75" customHeight="1"/>
    <row r="56992" ht="15.75" customHeight="1"/>
    <row r="56993" ht="15.75" customHeight="1"/>
    <row r="56994" ht="15.75" customHeight="1"/>
    <row r="56995" ht="15.75" customHeight="1"/>
    <row r="56996" ht="15.75" customHeight="1"/>
    <row r="56997" ht="15.75" customHeight="1"/>
    <row r="56998" ht="15.75" customHeight="1"/>
    <row r="56999" ht="15.75" customHeight="1"/>
    <row r="57000" ht="15.75" customHeight="1"/>
    <row r="57001" ht="15.75" customHeight="1"/>
    <row r="57002" ht="15.75" customHeight="1"/>
    <row r="57003" ht="15.75" customHeight="1"/>
    <row r="57004" ht="15.75" customHeight="1"/>
    <row r="57005" ht="15.75" customHeight="1"/>
    <row r="57006" ht="15.75" customHeight="1"/>
    <row r="57007" ht="15.75" customHeight="1"/>
    <row r="57008" ht="15.75" customHeight="1"/>
    <row r="57009" ht="15.75" customHeight="1"/>
    <row r="57010" ht="15.75" customHeight="1"/>
    <row r="57011" ht="15.75" customHeight="1"/>
    <row r="57012" ht="15.75" customHeight="1"/>
    <row r="57013" ht="15.75" customHeight="1"/>
    <row r="57014" ht="15.75" customHeight="1"/>
    <row r="57015" ht="15.75" customHeight="1"/>
    <row r="57016" ht="15.75" customHeight="1"/>
    <row r="57017" ht="15.75" customHeight="1"/>
    <row r="57018" ht="15.75" customHeight="1"/>
    <row r="57019" ht="15.75" customHeight="1"/>
    <row r="57020" ht="15.75" customHeight="1"/>
    <row r="57021" ht="15.75" customHeight="1"/>
    <row r="57022" ht="15.75" customHeight="1"/>
    <row r="57023" ht="15.75" customHeight="1"/>
    <row r="57024" ht="15.75" customHeight="1"/>
    <row r="57025" ht="15.75" customHeight="1"/>
    <row r="57026" ht="15.75" customHeight="1"/>
    <row r="57027" ht="15.75" customHeight="1"/>
    <row r="57028" ht="15.75" customHeight="1"/>
    <row r="57029" ht="15.75" customHeight="1"/>
    <row r="57030" ht="15.75" customHeight="1"/>
    <row r="57031" ht="15.75" customHeight="1"/>
    <row r="57032" ht="15.75" customHeight="1"/>
    <row r="57033" ht="15.75" customHeight="1"/>
    <row r="57034" ht="15.75" customHeight="1"/>
    <row r="57035" ht="15.75" customHeight="1"/>
    <row r="57036" ht="15.75" customHeight="1"/>
    <row r="57037" ht="15.75" customHeight="1"/>
    <row r="57038" ht="15.75" customHeight="1"/>
    <row r="57039" ht="15.75" customHeight="1"/>
    <row r="57040" ht="15.75" customHeight="1"/>
    <row r="57041" ht="15.75" customHeight="1"/>
    <row r="57042" ht="15.75" customHeight="1"/>
    <row r="57043" ht="15.75" customHeight="1"/>
    <row r="57044" ht="15.75" customHeight="1"/>
    <row r="57045" ht="15.75" customHeight="1"/>
    <row r="57046" ht="15.75" customHeight="1"/>
    <row r="57047" ht="15.75" customHeight="1"/>
    <row r="57048" ht="15.75" customHeight="1"/>
    <row r="57049" ht="15.75" customHeight="1"/>
    <row r="57050" ht="15.75" customHeight="1"/>
    <row r="57051" ht="15.75" customHeight="1"/>
    <row r="57052" ht="15.75" customHeight="1"/>
    <row r="57053" ht="15.75" customHeight="1"/>
    <row r="57054" ht="15.75" customHeight="1"/>
    <row r="57055" ht="15.75" customHeight="1"/>
    <row r="57056" ht="15.75" customHeight="1"/>
    <row r="57057" ht="15.75" customHeight="1"/>
    <row r="57058" ht="15.75" customHeight="1"/>
    <row r="57059" ht="15.75" customHeight="1"/>
    <row r="57060" ht="15.75" customHeight="1"/>
    <row r="57061" ht="15.75" customHeight="1"/>
    <row r="57062" ht="15.75" customHeight="1"/>
    <row r="57063" ht="15.75" customHeight="1"/>
    <row r="57064" ht="15.75" customHeight="1"/>
    <row r="57065" ht="15.75" customHeight="1"/>
    <row r="57066" ht="15.75" customHeight="1"/>
    <row r="57067" ht="15.75" customHeight="1"/>
    <row r="57068" ht="15.75" customHeight="1"/>
    <row r="57069" ht="15.75" customHeight="1"/>
    <row r="57070" ht="15.75" customHeight="1"/>
    <row r="57071" ht="15.75" customHeight="1"/>
    <row r="57072" ht="15.75" customHeight="1"/>
    <row r="57073" ht="15.75" customHeight="1"/>
    <row r="57074" ht="15.75" customHeight="1"/>
    <row r="57075" ht="15.75" customHeight="1"/>
    <row r="57076" ht="15.75" customHeight="1"/>
    <row r="57077" ht="15.75" customHeight="1"/>
    <row r="57078" ht="15.75" customHeight="1"/>
    <row r="57079" ht="15.75" customHeight="1"/>
    <row r="57080" ht="15.75" customHeight="1"/>
    <row r="57081" ht="15.75" customHeight="1"/>
    <row r="57082" ht="15.75" customHeight="1"/>
    <row r="57083" ht="15.75" customHeight="1"/>
    <row r="57084" ht="15.75" customHeight="1"/>
    <row r="57085" ht="15.75" customHeight="1"/>
    <row r="57086" ht="15.75" customHeight="1"/>
    <row r="57087" ht="15.75" customHeight="1"/>
    <row r="57088" ht="15.75" customHeight="1"/>
    <row r="57089" ht="15.75" customHeight="1"/>
    <row r="57090" ht="15.75" customHeight="1"/>
    <row r="57091" ht="15.75" customHeight="1"/>
    <row r="57092" ht="15.75" customHeight="1"/>
    <row r="57093" ht="15.75" customHeight="1"/>
    <row r="57094" ht="15.75" customHeight="1"/>
    <row r="57095" ht="15.75" customHeight="1"/>
    <row r="57096" ht="15.75" customHeight="1"/>
    <row r="57097" ht="15.75" customHeight="1"/>
    <row r="57098" ht="15.75" customHeight="1"/>
    <row r="57099" ht="15.75" customHeight="1"/>
    <row r="57100" ht="15.75" customHeight="1"/>
    <row r="57101" ht="15.75" customHeight="1"/>
    <row r="57102" ht="15.75" customHeight="1"/>
    <row r="57103" ht="15.75" customHeight="1"/>
    <row r="57104" ht="15.75" customHeight="1"/>
    <row r="57105" ht="15.75" customHeight="1"/>
    <row r="57106" ht="15.75" customHeight="1"/>
    <row r="57107" ht="15.75" customHeight="1"/>
    <row r="57108" ht="15.75" customHeight="1"/>
    <row r="57109" ht="15.75" customHeight="1"/>
    <row r="57110" ht="15.75" customHeight="1"/>
    <row r="57111" ht="15.75" customHeight="1"/>
    <row r="57112" ht="15.75" customHeight="1"/>
    <row r="57113" ht="15.75" customHeight="1"/>
    <row r="57114" ht="15.75" customHeight="1"/>
    <row r="57115" ht="15.75" customHeight="1"/>
    <row r="57116" ht="15.75" customHeight="1"/>
    <row r="57117" ht="15.75" customHeight="1"/>
    <row r="57118" ht="15.75" customHeight="1"/>
    <row r="57119" ht="15.75" customHeight="1"/>
    <row r="57120" ht="15.75" customHeight="1"/>
    <row r="57121" ht="15.75" customHeight="1"/>
    <row r="57122" ht="15.75" customHeight="1"/>
    <row r="57123" ht="15.75" customHeight="1"/>
    <row r="57124" ht="15.75" customHeight="1"/>
    <row r="57125" ht="15.75" customHeight="1"/>
    <row r="57126" ht="15.75" customHeight="1"/>
    <row r="57127" ht="15.75" customHeight="1"/>
    <row r="57128" ht="15.75" customHeight="1"/>
    <row r="57129" ht="15.75" customHeight="1"/>
    <row r="57130" ht="15.75" customHeight="1"/>
    <row r="57131" ht="15.75" customHeight="1"/>
    <row r="57132" ht="15.75" customHeight="1"/>
    <row r="57133" ht="15.75" customHeight="1"/>
    <row r="57134" ht="15.75" customHeight="1"/>
    <row r="57135" ht="15.75" customHeight="1"/>
    <row r="57136" ht="15.75" customHeight="1"/>
    <row r="57137" ht="15.75" customHeight="1"/>
    <row r="57138" ht="15.75" customHeight="1"/>
    <row r="57139" ht="15.75" customHeight="1"/>
    <row r="57140" ht="15.75" customHeight="1"/>
    <row r="57141" ht="15.75" customHeight="1"/>
    <row r="57142" ht="15.75" customHeight="1"/>
    <row r="57143" ht="15.75" customHeight="1"/>
    <row r="57144" ht="15.75" customHeight="1"/>
    <row r="57145" ht="15.75" customHeight="1"/>
    <row r="57146" ht="15.75" customHeight="1"/>
    <row r="57147" ht="15.75" customHeight="1"/>
    <row r="57148" ht="15.75" customHeight="1"/>
    <row r="57149" ht="15.75" customHeight="1"/>
    <row r="57150" ht="15.75" customHeight="1"/>
    <row r="57151" ht="15.75" customHeight="1"/>
    <row r="57152" ht="15.75" customHeight="1"/>
    <row r="57153" ht="15.75" customHeight="1"/>
    <row r="57154" ht="15.75" customHeight="1"/>
    <row r="57155" ht="15.75" customHeight="1"/>
    <row r="57156" ht="15.75" customHeight="1"/>
    <row r="57157" ht="15.75" customHeight="1"/>
    <row r="57158" ht="15.75" customHeight="1"/>
    <row r="57159" ht="15.75" customHeight="1"/>
    <row r="57160" ht="15.75" customHeight="1"/>
    <row r="57161" ht="15.75" customHeight="1"/>
    <row r="57162" ht="15.75" customHeight="1"/>
    <row r="57163" ht="15.75" customHeight="1"/>
    <row r="57164" ht="15.75" customHeight="1"/>
    <row r="57165" ht="15.75" customHeight="1"/>
    <row r="57166" ht="15.75" customHeight="1"/>
    <row r="57167" ht="15.75" customHeight="1"/>
    <row r="57168" ht="15.75" customHeight="1"/>
    <row r="57169" ht="15.75" customHeight="1"/>
    <row r="57170" ht="15.75" customHeight="1"/>
    <row r="57171" ht="15.75" customHeight="1"/>
    <row r="57172" ht="15.75" customHeight="1"/>
    <row r="57173" ht="15.75" customHeight="1"/>
    <row r="57174" ht="15.75" customHeight="1"/>
    <row r="57175" ht="15.75" customHeight="1"/>
    <row r="57176" ht="15.75" customHeight="1"/>
    <row r="57177" ht="15.75" customHeight="1"/>
    <row r="57178" ht="15.75" customHeight="1"/>
    <row r="57179" ht="15.75" customHeight="1"/>
    <row r="57180" ht="15.75" customHeight="1"/>
    <row r="57181" ht="15.75" customHeight="1"/>
    <row r="57182" ht="15.75" customHeight="1"/>
    <row r="57183" ht="15.75" customHeight="1"/>
    <row r="57184" ht="15.75" customHeight="1"/>
    <row r="57185" ht="15.75" customHeight="1"/>
    <row r="57186" ht="15.75" customHeight="1"/>
    <row r="57187" ht="15.75" customHeight="1"/>
    <row r="57188" ht="15.75" customHeight="1"/>
    <row r="57189" ht="15.75" customHeight="1"/>
    <row r="57190" ht="15.75" customHeight="1"/>
    <row r="57191" ht="15.75" customHeight="1"/>
    <row r="57192" ht="15.75" customHeight="1"/>
    <row r="57193" ht="15.75" customHeight="1"/>
    <row r="57194" ht="15.75" customHeight="1"/>
    <row r="57195" ht="15.75" customHeight="1"/>
    <row r="57196" ht="15.75" customHeight="1"/>
    <row r="57197" ht="15.75" customHeight="1"/>
    <row r="57198" ht="15.75" customHeight="1"/>
    <row r="57199" ht="15.75" customHeight="1"/>
    <row r="57200" ht="15.75" customHeight="1"/>
    <row r="57201" ht="15.75" customHeight="1"/>
    <row r="57202" ht="15.75" customHeight="1"/>
    <row r="57203" ht="15.75" customHeight="1"/>
    <row r="57204" ht="15.75" customHeight="1"/>
    <row r="57205" ht="15.75" customHeight="1"/>
    <row r="57206" ht="15.75" customHeight="1"/>
    <row r="57207" ht="15.75" customHeight="1"/>
    <row r="57208" ht="15.75" customHeight="1"/>
    <row r="57209" ht="15.75" customHeight="1"/>
    <row r="57210" ht="15.75" customHeight="1"/>
    <row r="57211" ht="15.75" customHeight="1"/>
    <row r="57212" ht="15.75" customHeight="1"/>
    <row r="57213" ht="15.75" customHeight="1"/>
    <row r="57214" ht="15.75" customHeight="1"/>
    <row r="57215" ht="15.75" customHeight="1"/>
    <row r="57216" ht="15.75" customHeight="1"/>
    <row r="57217" ht="15.75" customHeight="1"/>
    <row r="57218" ht="15.75" customHeight="1"/>
    <row r="57219" ht="15.75" customHeight="1"/>
    <row r="57220" ht="15.75" customHeight="1"/>
    <row r="57221" ht="15.75" customHeight="1"/>
    <row r="57222" ht="15.75" customHeight="1"/>
    <row r="57223" ht="15.75" customHeight="1"/>
    <row r="57224" ht="15.75" customHeight="1"/>
    <row r="57225" ht="15.75" customHeight="1"/>
    <row r="57226" ht="15.75" customHeight="1"/>
    <row r="57227" ht="15.75" customHeight="1"/>
    <row r="57228" ht="15.75" customHeight="1"/>
    <row r="57229" ht="15.75" customHeight="1"/>
    <row r="57230" ht="15.75" customHeight="1"/>
    <row r="57231" ht="15.75" customHeight="1"/>
    <row r="57232" ht="15.75" customHeight="1"/>
    <row r="57233" ht="15.75" customHeight="1"/>
    <row r="57234" ht="15.75" customHeight="1"/>
    <row r="57235" ht="15.75" customHeight="1"/>
    <row r="57236" ht="15.75" customHeight="1"/>
    <row r="57237" ht="15.75" customHeight="1"/>
    <row r="57238" ht="15.75" customHeight="1"/>
    <row r="57239" ht="15.75" customHeight="1"/>
    <row r="57240" ht="15.75" customHeight="1"/>
    <row r="57241" ht="15.75" customHeight="1"/>
    <row r="57242" ht="15.75" customHeight="1"/>
    <row r="57243" ht="15.75" customHeight="1"/>
    <row r="57244" ht="15.75" customHeight="1"/>
    <row r="57245" ht="15.75" customHeight="1"/>
    <row r="57246" ht="15.75" customHeight="1"/>
    <row r="57247" ht="15.75" customHeight="1"/>
    <row r="57248" ht="15.75" customHeight="1"/>
    <row r="57249" ht="15.75" customHeight="1"/>
    <row r="57250" ht="15.75" customHeight="1"/>
    <row r="57251" ht="15.75" customHeight="1"/>
    <row r="57252" ht="15.75" customHeight="1"/>
    <row r="57253" ht="15.75" customHeight="1"/>
    <row r="57254" ht="15.75" customHeight="1"/>
    <row r="57255" ht="15.75" customHeight="1"/>
    <row r="57256" ht="15.75" customHeight="1"/>
    <row r="57257" ht="15.75" customHeight="1"/>
    <row r="57258" ht="15.75" customHeight="1"/>
    <row r="57259" ht="15.75" customHeight="1"/>
    <row r="57260" ht="15.75" customHeight="1"/>
    <row r="57261" ht="15.75" customHeight="1"/>
    <row r="57262" ht="15.75" customHeight="1"/>
    <row r="57263" ht="15.75" customHeight="1"/>
    <row r="57264" ht="15.75" customHeight="1"/>
    <row r="57265" ht="15.75" customHeight="1"/>
    <row r="57266" ht="15.75" customHeight="1"/>
    <row r="57267" ht="15.75" customHeight="1"/>
    <row r="57268" ht="15.75" customHeight="1"/>
    <row r="57269" ht="15.75" customHeight="1"/>
    <row r="57270" ht="15.75" customHeight="1"/>
    <row r="57271" ht="15.75" customHeight="1"/>
    <row r="57272" ht="15.75" customHeight="1"/>
    <row r="57273" ht="15.75" customHeight="1"/>
    <row r="57274" ht="15.75" customHeight="1"/>
    <row r="57275" ht="15.75" customHeight="1"/>
    <row r="57276" ht="15.75" customHeight="1"/>
    <row r="57277" ht="15.75" customHeight="1"/>
    <row r="57278" ht="15.75" customHeight="1"/>
    <row r="57279" ht="15.75" customHeight="1"/>
    <row r="57280" ht="15.75" customHeight="1"/>
    <row r="57281" ht="15.75" customHeight="1"/>
    <row r="57282" ht="15.75" customHeight="1"/>
    <row r="57283" ht="15.75" customHeight="1"/>
    <row r="57284" ht="15.75" customHeight="1"/>
    <row r="57285" ht="15.75" customHeight="1"/>
    <row r="57286" ht="15.75" customHeight="1"/>
    <row r="57287" ht="15.75" customHeight="1"/>
    <row r="57288" ht="15.75" customHeight="1"/>
    <row r="57289" ht="15.75" customHeight="1"/>
    <row r="57290" ht="15.75" customHeight="1"/>
    <row r="57291" ht="15.75" customHeight="1"/>
    <row r="57292" ht="15.75" customHeight="1"/>
    <row r="57293" ht="15.75" customHeight="1"/>
    <row r="57294" ht="15.75" customHeight="1"/>
    <row r="57295" ht="15.75" customHeight="1"/>
    <row r="57296" ht="15.75" customHeight="1"/>
    <row r="57297" ht="15.75" customHeight="1"/>
    <row r="57298" ht="15.75" customHeight="1"/>
    <row r="57299" ht="15.75" customHeight="1"/>
    <row r="57300" ht="15.75" customHeight="1"/>
    <row r="57301" ht="15.75" customHeight="1"/>
    <row r="57302" ht="15.75" customHeight="1"/>
    <row r="57303" ht="15.75" customHeight="1"/>
    <row r="57304" ht="15.75" customHeight="1"/>
    <row r="57305" ht="15.75" customHeight="1"/>
    <row r="57306" ht="15.75" customHeight="1"/>
    <row r="57307" ht="15.75" customHeight="1"/>
    <row r="57308" ht="15.75" customHeight="1"/>
    <row r="57309" ht="15.75" customHeight="1"/>
    <row r="57310" ht="15.75" customHeight="1"/>
    <row r="57311" ht="15.75" customHeight="1"/>
    <row r="57312" ht="15.75" customHeight="1"/>
    <row r="57313" ht="15.75" customHeight="1"/>
    <row r="57314" ht="15.75" customHeight="1"/>
    <row r="57315" ht="15.75" customHeight="1"/>
    <row r="57316" ht="15.75" customHeight="1"/>
    <row r="57317" ht="15.75" customHeight="1"/>
    <row r="57318" ht="15.75" customHeight="1"/>
    <row r="57319" ht="15.75" customHeight="1"/>
    <row r="57320" ht="15.75" customHeight="1"/>
    <row r="57321" ht="15.75" customHeight="1"/>
    <row r="57322" ht="15.75" customHeight="1"/>
    <row r="57323" ht="15.75" customHeight="1"/>
    <row r="57324" ht="15.75" customHeight="1"/>
    <row r="57325" ht="15.75" customHeight="1"/>
    <row r="57326" ht="15.75" customHeight="1"/>
    <row r="57327" ht="15.75" customHeight="1"/>
    <row r="57328" ht="15.75" customHeight="1"/>
    <row r="57329" ht="15.75" customHeight="1"/>
    <row r="57330" ht="15.75" customHeight="1"/>
    <row r="57331" ht="15.75" customHeight="1"/>
    <row r="57332" ht="15.75" customHeight="1"/>
    <row r="57333" ht="15.75" customHeight="1"/>
    <row r="57334" ht="15.75" customHeight="1"/>
    <row r="57335" ht="15.75" customHeight="1"/>
    <row r="57336" ht="15.75" customHeight="1"/>
    <row r="57337" ht="15.75" customHeight="1"/>
    <row r="57338" ht="15.75" customHeight="1"/>
    <row r="57339" ht="15.75" customHeight="1"/>
    <row r="57340" ht="15.75" customHeight="1"/>
    <row r="57341" ht="15.75" customHeight="1"/>
    <row r="57342" ht="15.75" customHeight="1"/>
    <row r="57343" ht="15.75" customHeight="1"/>
    <row r="57344" ht="15.75" customHeight="1"/>
    <row r="57345" ht="15.75" customHeight="1"/>
    <row r="57346" ht="15.75" customHeight="1"/>
    <row r="57347" ht="15.75" customHeight="1"/>
    <row r="57348" ht="15.75" customHeight="1"/>
    <row r="57349" ht="15.75" customHeight="1"/>
    <row r="57350" ht="15.75" customHeight="1"/>
    <row r="57351" ht="15.75" customHeight="1"/>
    <row r="57352" ht="15.75" customHeight="1"/>
    <row r="57353" ht="15.75" customHeight="1"/>
    <row r="57354" ht="15.75" customHeight="1"/>
    <row r="57355" ht="15.75" customHeight="1"/>
    <row r="57356" ht="15.75" customHeight="1"/>
    <row r="57357" ht="15.75" customHeight="1"/>
    <row r="57358" ht="15.75" customHeight="1"/>
    <row r="57359" ht="15.75" customHeight="1"/>
    <row r="57360" ht="15.75" customHeight="1"/>
    <row r="57361" ht="15.75" customHeight="1"/>
    <row r="57362" ht="15.75" customHeight="1"/>
    <row r="57363" ht="15.75" customHeight="1"/>
    <row r="57364" ht="15.75" customHeight="1"/>
    <row r="57365" ht="15.75" customHeight="1"/>
    <row r="57366" ht="15.75" customHeight="1"/>
    <row r="57367" ht="15.75" customHeight="1"/>
    <row r="57368" ht="15.75" customHeight="1"/>
    <row r="57369" ht="15.75" customHeight="1"/>
    <row r="57370" ht="15.75" customHeight="1"/>
    <row r="57371" ht="15.75" customHeight="1"/>
    <row r="57372" ht="15.75" customHeight="1"/>
    <row r="57373" ht="15.75" customHeight="1"/>
    <row r="57374" ht="15.75" customHeight="1"/>
    <row r="57375" ht="15.75" customHeight="1"/>
    <row r="57376" ht="15.75" customHeight="1"/>
    <row r="57377" ht="15.75" customHeight="1"/>
    <row r="57378" ht="15.75" customHeight="1"/>
    <row r="57379" ht="15.75" customHeight="1"/>
    <row r="57380" ht="15.75" customHeight="1"/>
    <row r="57381" ht="15.75" customHeight="1"/>
    <row r="57382" ht="15.75" customHeight="1"/>
    <row r="57383" ht="15.75" customHeight="1"/>
    <row r="57384" ht="15.75" customHeight="1"/>
    <row r="57385" ht="15.75" customHeight="1"/>
    <row r="57386" ht="15.75" customHeight="1"/>
    <row r="57387" ht="15.75" customHeight="1"/>
    <row r="57388" ht="15.75" customHeight="1"/>
    <row r="57389" ht="15.75" customHeight="1"/>
    <row r="57390" ht="15.75" customHeight="1"/>
    <row r="57391" ht="15.75" customHeight="1"/>
    <row r="57392" ht="15.75" customHeight="1"/>
    <row r="57393" ht="15.75" customHeight="1"/>
    <row r="57394" ht="15.75" customHeight="1"/>
    <row r="57395" ht="15.75" customHeight="1"/>
    <row r="57396" ht="15.75" customHeight="1"/>
    <row r="57397" ht="15.75" customHeight="1"/>
    <row r="57398" ht="15.75" customHeight="1"/>
    <row r="57399" ht="15.75" customHeight="1"/>
    <row r="57400" ht="15.75" customHeight="1"/>
    <row r="57401" ht="15.75" customHeight="1"/>
    <row r="57402" ht="15.75" customHeight="1"/>
    <row r="57403" ht="15.75" customHeight="1"/>
    <row r="57404" ht="15.75" customHeight="1"/>
    <row r="57405" ht="15.75" customHeight="1"/>
    <row r="57406" ht="15.75" customHeight="1"/>
    <row r="57407" ht="15.75" customHeight="1"/>
    <row r="57408" ht="15.75" customHeight="1"/>
    <row r="57409" ht="15.75" customHeight="1"/>
    <row r="57410" ht="15.75" customHeight="1"/>
    <row r="57411" ht="15.75" customHeight="1"/>
    <row r="57412" ht="15.75" customHeight="1"/>
    <row r="57413" ht="15.75" customHeight="1"/>
    <row r="57414" ht="15.75" customHeight="1"/>
    <row r="57415" ht="15.75" customHeight="1"/>
    <row r="57416" ht="15.75" customHeight="1"/>
    <row r="57417" ht="15.75" customHeight="1"/>
    <row r="57418" ht="15.75" customHeight="1"/>
    <row r="57419" ht="15.75" customHeight="1"/>
    <row r="57420" ht="15.75" customHeight="1"/>
    <row r="57421" ht="15.75" customHeight="1"/>
    <row r="57422" ht="15.75" customHeight="1"/>
    <row r="57423" ht="15.75" customHeight="1"/>
    <row r="57424" ht="15.75" customHeight="1"/>
    <row r="57425" ht="15.75" customHeight="1"/>
    <row r="57426" ht="15.75" customHeight="1"/>
    <row r="57427" ht="15.75" customHeight="1"/>
    <row r="57428" ht="15.75" customHeight="1"/>
    <row r="57429" ht="15.75" customHeight="1"/>
    <row r="57430" ht="15.75" customHeight="1"/>
    <row r="57431" ht="15.75" customHeight="1"/>
    <row r="57432" ht="15.75" customHeight="1"/>
    <row r="57433" ht="15.75" customHeight="1"/>
    <row r="57434" ht="15.75" customHeight="1"/>
    <row r="57435" ht="15.75" customHeight="1"/>
    <row r="57436" ht="15.75" customHeight="1"/>
    <row r="57437" ht="15.75" customHeight="1"/>
    <row r="57438" ht="15.75" customHeight="1"/>
    <row r="57439" ht="15.75" customHeight="1"/>
    <row r="57440" ht="15.75" customHeight="1"/>
    <row r="57441" ht="15.75" customHeight="1"/>
    <row r="57442" ht="15.75" customHeight="1"/>
    <row r="57443" ht="15.75" customHeight="1"/>
    <row r="57444" ht="15.75" customHeight="1"/>
    <row r="57445" ht="15.75" customHeight="1"/>
    <row r="57446" ht="15.75" customHeight="1"/>
    <row r="57447" ht="15.75" customHeight="1"/>
    <row r="57448" ht="15.75" customHeight="1"/>
    <row r="57449" ht="15.75" customHeight="1"/>
    <row r="57450" ht="15.75" customHeight="1"/>
    <row r="57451" ht="15.75" customHeight="1"/>
    <row r="57452" ht="15.75" customHeight="1"/>
    <row r="57453" ht="15.75" customHeight="1"/>
    <row r="57454" ht="15.75" customHeight="1"/>
    <row r="57455" ht="15.75" customHeight="1"/>
    <row r="57456" ht="15.75" customHeight="1"/>
    <row r="57457" ht="15.75" customHeight="1"/>
    <row r="57458" ht="15.75" customHeight="1"/>
    <row r="57459" ht="15.75" customHeight="1"/>
    <row r="57460" ht="15.75" customHeight="1"/>
    <row r="57461" ht="15.75" customHeight="1"/>
    <row r="57462" ht="15.75" customHeight="1"/>
    <row r="57463" ht="15.75" customHeight="1"/>
    <row r="57464" ht="15.75" customHeight="1"/>
    <row r="57465" ht="15.75" customHeight="1"/>
    <row r="57466" ht="15.75" customHeight="1"/>
    <row r="57467" ht="15.75" customHeight="1"/>
    <row r="57468" ht="15.75" customHeight="1"/>
    <row r="57469" ht="15.75" customHeight="1"/>
    <row r="57470" ht="15.75" customHeight="1"/>
    <row r="57471" ht="15.75" customHeight="1"/>
    <row r="57472" ht="15.75" customHeight="1"/>
    <row r="57473" ht="15.75" customHeight="1"/>
    <row r="57474" ht="15.75" customHeight="1"/>
    <row r="57475" ht="15.75" customHeight="1"/>
    <row r="57476" ht="15.75" customHeight="1"/>
    <row r="57477" ht="15.75" customHeight="1"/>
    <row r="57478" ht="15.75" customHeight="1"/>
    <row r="57479" ht="15.75" customHeight="1"/>
    <row r="57480" ht="15.75" customHeight="1"/>
    <row r="57481" ht="15.75" customHeight="1"/>
    <row r="57482" ht="15.75" customHeight="1"/>
    <row r="57483" ht="15.75" customHeight="1"/>
    <row r="57484" ht="15.75" customHeight="1"/>
    <row r="57485" ht="15.75" customHeight="1"/>
    <row r="57486" ht="15.75" customHeight="1"/>
    <row r="57487" ht="15.75" customHeight="1"/>
    <row r="57488" ht="15.75" customHeight="1"/>
    <row r="57489" ht="15.75" customHeight="1"/>
    <row r="57490" ht="15.75" customHeight="1"/>
    <row r="57491" ht="15.75" customHeight="1"/>
    <row r="57492" ht="15.75" customHeight="1"/>
    <row r="57493" ht="15.75" customHeight="1"/>
    <row r="57494" ht="15.75" customHeight="1"/>
    <row r="57495" ht="15.75" customHeight="1"/>
    <row r="57496" ht="15.75" customHeight="1"/>
    <row r="57497" ht="15.75" customHeight="1"/>
    <row r="57498" ht="15.75" customHeight="1"/>
    <row r="57499" ht="15.75" customHeight="1"/>
    <row r="57500" ht="15.75" customHeight="1"/>
    <row r="57501" ht="15.75" customHeight="1"/>
    <row r="57502" ht="15.75" customHeight="1"/>
    <row r="57503" ht="15.75" customHeight="1"/>
    <row r="57504" ht="15.75" customHeight="1"/>
    <row r="57505" ht="15.75" customHeight="1"/>
    <row r="57506" ht="15.75" customHeight="1"/>
    <row r="57507" ht="15.75" customHeight="1"/>
    <row r="57508" ht="15.75" customHeight="1"/>
    <row r="57509" ht="15.75" customHeight="1"/>
    <row r="57510" ht="15.75" customHeight="1"/>
    <row r="57511" ht="15.75" customHeight="1"/>
    <row r="57512" ht="15.75" customHeight="1"/>
    <row r="57513" ht="15.75" customHeight="1"/>
    <row r="57514" ht="15.75" customHeight="1"/>
    <row r="57515" ht="15.75" customHeight="1"/>
    <row r="57516" ht="15.75" customHeight="1"/>
    <row r="57517" ht="15.75" customHeight="1"/>
    <row r="57518" ht="15.75" customHeight="1"/>
    <row r="57519" ht="15.75" customHeight="1"/>
    <row r="57520" ht="15.75" customHeight="1"/>
    <row r="57521" ht="15.75" customHeight="1"/>
    <row r="57522" ht="15.75" customHeight="1"/>
    <row r="57523" ht="15.75" customHeight="1"/>
    <row r="57524" ht="15.75" customHeight="1"/>
    <row r="57525" ht="15.75" customHeight="1"/>
    <row r="57526" ht="15.75" customHeight="1"/>
    <row r="57527" ht="15.75" customHeight="1"/>
    <row r="57528" ht="15.75" customHeight="1"/>
    <row r="57529" ht="15.75" customHeight="1"/>
    <row r="57530" ht="15.75" customHeight="1"/>
    <row r="57531" ht="15.75" customHeight="1"/>
    <row r="57532" ht="15.75" customHeight="1"/>
    <row r="57533" ht="15.75" customHeight="1"/>
    <row r="57534" ht="15.75" customHeight="1"/>
    <row r="57535" ht="15.75" customHeight="1"/>
    <row r="57536" ht="15.75" customHeight="1"/>
    <row r="57537" ht="15.75" customHeight="1"/>
    <row r="57538" ht="15.75" customHeight="1"/>
    <row r="57539" ht="15.75" customHeight="1"/>
    <row r="57540" ht="15.75" customHeight="1"/>
    <row r="57541" ht="15.75" customHeight="1"/>
    <row r="57542" ht="15.75" customHeight="1"/>
    <row r="57543" ht="15.75" customHeight="1"/>
    <row r="57544" ht="15.75" customHeight="1"/>
    <row r="57545" ht="15.75" customHeight="1"/>
    <row r="57546" ht="15.75" customHeight="1"/>
    <row r="57547" ht="15.75" customHeight="1"/>
    <row r="57548" ht="15.75" customHeight="1"/>
    <row r="57549" ht="15.75" customHeight="1"/>
    <row r="57550" ht="15.75" customHeight="1"/>
    <row r="57551" ht="15.75" customHeight="1"/>
    <row r="57552" ht="15.75" customHeight="1"/>
    <row r="57553" ht="15.75" customHeight="1"/>
    <row r="57554" ht="15.75" customHeight="1"/>
    <row r="57555" ht="15.75" customHeight="1"/>
    <row r="57556" ht="15.75" customHeight="1"/>
    <row r="57557" ht="15.75" customHeight="1"/>
    <row r="57558" ht="15.75" customHeight="1"/>
    <row r="57559" ht="15.75" customHeight="1"/>
    <row r="57560" ht="15.75" customHeight="1"/>
    <row r="57561" ht="15.75" customHeight="1"/>
    <row r="57562" ht="15.75" customHeight="1"/>
    <row r="57563" ht="15.75" customHeight="1"/>
    <row r="57564" ht="15.75" customHeight="1"/>
    <row r="57565" ht="15.75" customHeight="1"/>
    <row r="57566" ht="15.75" customHeight="1"/>
    <row r="57567" ht="15.75" customHeight="1"/>
    <row r="57568" ht="15.75" customHeight="1"/>
    <row r="57569" ht="15.75" customHeight="1"/>
    <row r="57570" ht="15.75" customHeight="1"/>
    <row r="57571" ht="15.75" customHeight="1"/>
    <row r="57572" ht="15.75" customHeight="1"/>
    <row r="57573" ht="15.75" customHeight="1"/>
    <row r="57574" ht="15.75" customHeight="1"/>
    <row r="57575" ht="15.75" customHeight="1"/>
    <row r="57576" ht="15.75" customHeight="1"/>
    <row r="57577" ht="15.75" customHeight="1"/>
    <row r="57578" ht="15.75" customHeight="1"/>
    <row r="57579" ht="15.75" customHeight="1"/>
    <row r="57580" ht="15.75" customHeight="1"/>
    <row r="57581" ht="15.75" customHeight="1"/>
    <row r="57582" ht="15.75" customHeight="1"/>
    <row r="57583" ht="15.75" customHeight="1"/>
    <row r="57584" ht="15.75" customHeight="1"/>
    <row r="57585" ht="15.75" customHeight="1"/>
    <row r="57586" ht="15.75" customHeight="1"/>
    <row r="57587" ht="15.75" customHeight="1"/>
    <row r="57588" ht="15.75" customHeight="1"/>
    <row r="57589" ht="15.75" customHeight="1"/>
    <row r="57590" ht="15.75" customHeight="1"/>
    <row r="57591" ht="15.75" customHeight="1"/>
    <row r="57592" ht="15.75" customHeight="1"/>
    <row r="57593" ht="15.75" customHeight="1"/>
    <row r="57594" ht="15.75" customHeight="1"/>
    <row r="57595" ht="15.75" customHeight="1"/>
    <row r="57596" ht="15.75" customHeight="1"/>
    <row r="57597" ht="15.75" customHeight="1"/>
    <row r="57598" ht="15.75" customHeight="1"/>
    <row r="57599" ht="15.75" customHeight="1"/>
    <row r="57600" ht="15.75" customHeight="1"/>
    <row r="57601" ht="15.75" customHeight="1"/>
    <row r="57602" ht="15.75" customHeight="1"/>
    <row r="57603" ht="15.75" customHeight="1"/>
    <row r="57604" ht="15.75" customHeight="1"/>
    <row r="57605" ht="15.75" customHeight="1"/>
    <row r="57606" ht="15.75" customHeight="1"/>
    <row r="57607" ht="15.75" customHeight="1"/>
    <row r="57608" ht="15.75" customHeight="1"/>
    <row r="57609" ht="15.75" customHeight="1"/>
    <row r="57610" ht="15.75" customHeight="1"/>
    <row r="57611" ht="15.75" customHeight="1"/>
    <row r="57612" ht="15.75" customHeight="1"/>
    <row r="57613" ht="15.75" customHeight="1"/>
    <row r="57614" ht="15.75" customHeight="1"/>
    <row r="57615" ht="15.75" customHeight="1"/>
    <row r="57616" ht="15.75" customHeight="1"/>
    <row r="57617" ht="15.75" customHeight="1"/>
    <row r="57618" ht="15.75" customHeight="1"/>
    <row r="57619" ht="15.75" customHeight="1"/>
    <row r="57620" ht="15.75" customHeight="1"/>
    <row r="57621" ht="15.75" customHeight="1"/>
    <row r="57622" ht="15.75" customHeight="1"/>
    <row r="57623" ht="15.75" customHeight="1"/>
    <row r="57624" ht="15.75" customHeight="1"/>
    <row r="57625" ht="15.75" customHeight="1"/>
    <row r="57626" ht="15.75" customHeight="1"/>
    <row r="57627" ht="15.75" customHeight="1"/>
    <row r="57628" ht="15.75" customHeight="1"/>
    <row r="57629" ht="15.75" customHeight="1"/>
    <row r="57630" ht="15.75" customHeight="1"/>
    <row r="57631" ht="15.75" customHeight="1"/>
    <row r="57632" ht="15.75" customHeight="1"/>
    <row r="57633" ht="15.75" customHeight="1"/>
    <row r="57634" ht="15.75" customHeight="1"/>
    <row r="57635" ht="15.75" customHeight="1"/>
    <row r="57636" ht="15.75" customHeight="1"/>
    <row r="57637" ht="15.75" customHeight="1"/>
    <row r="57638" ht="15.75" customHeight="1"/>
    <row r="57639" ht="15.75" customHeight="1"/>
    <row r="57640" ht="15.75" customHeight="1"/>
    <row r="57641" ht="15.75" customHeight="1"/>
    <row r="57642" ht="15.75" customHeight="1"/>
    <row r="57643" ht="15.75" customHeight="1"/>
    <row r="57644" ht="15.75" customHeight="1"/>
    <row r="57645" ht="15.75" customHeight="1"/>
    <row r="57646" ht="15.75" customHeight="1"/>
    <row r="57647" ht="15.75" customHeight="1"/>
    <row r="57648" ht="15.75" customHeight="1"/>
    <row r="57649" ht="15.75" customHeight="1"/>
    <row r="57650" ht="15.75" customHeight="1"/>
    <row r="57651" ht="15.75" customHeight="1"/>
    <row r="57652" ht="15.75" customHeight="1"/>
    <row r="57653" ht="15.75" customHeight="1"/>
    <row r="57654" ht="15.75" customHeight="1"/>
    <row r="57655" ht="15.75" customHeight="1"/>
    <row r="57656" ht="15.75" customHeight="1"/>
    <row r="57657" ht="15.75" customHeight="1"/>
    <row r="57658" ht="15.75" customHeight="1"/>
    <row r="57659" ht="15.75" customHeight="1"/>
    <row r="57660" ht="15.75" customHeight="1"/>
    <row r="57661" ht="15.75" customHeight="1"/>
    <row r="57662" ht="15.75" customHeight="1"/>
    <row r="57663" ht="15.75" customHeight="1"/>
    <row r="57664" ht="15.75" customHeight="1"/>
    <row r="57665" ht="15.75" customHeight="1"/>
    <row r="57666" ht="15.75" customHeight="1"/>
    <row r="57667" ht="15.75" customHeight="1"/>
    <row r="57668" ht="15.75" customHeight="1"/>
    <row r="57669" ht="15.75" customHeight="1"/>
    <row r="57670" ht="15.75" customHeight="1"/>
    <row r="57671" ht="15.75" customHeight="1"/>
    <row r="57672" ht="15.75" customHeight="1"/>
    <row r="57673" ht="15.75" customHeight="1"/>
    <row r="57674" ht="15.75" customHeight="1"/>
    <row r="57675" ht="15.75" customHeight="1"/>
    <row r="57676" ht="15.75" customHeight="1"/>
    <row r="57677" ht="15.75" customHeight="1"/>
    <row r="57678" ht="15.75" customHeight="1"/>
    <row r="57679" ht="15.75" customHeight="1"/>
    <row r="57680" ht="15.75" customHeight="1"/>
    <row r="57681" ht="15.75" customHeight="1"/>
    <row r="57682" ht="15.75" customHeight="1"/>
    <row r="57683" ht="15.75" customHeight="1"/>
    <row r="57684" ht="15.75" customHeight="1"/>
    <row r="57685" ht="15.75" customHeight="1"/>
    <row r="57686" ht="15.75" customHeight="1"/>
    <row r="57687" ht="15.75" customHeight="1"/>
    <row r="57688" ht="15.75" customHeight="1"/>
    <row r="57689" ht="15.75" customHeight="1"/>
    <row r="57690" ht="15.75" customHeight="1"/>
    <row r="57691" ht="15.75" customHeight="1"/>
    <row r="57692" ht="15.75" customHeight="1"/>
    <row r="57693" ht="15.75" customHeight="1"/>
    <row r="57694" ht="15.75" customHeight="1"/>
    <row r="57695" ht="15.75" customHeight="1"/>
    <row r="57696" ht="15.75" customHeight="1"/>
    <row r="57697" ht="15.75" customHeight="1"/>
    <row r="57698" ht="15.75" customHeight="1"/>
    <row r="57699" ht="15.75" customHeight="1"/>
    <row r="57700" ht="15.75" customHeight="1"/>
    <row r="57701" ht="15.75" customHeight="1"/>
    <row r="57702" ht="15.75" customHeight="1"/>
    <row r="57703" ht="15.75" customHeight="1"/>
    <row r="57704" ht="15.75" customHeight="1"/>
    <row r="57705" ht="15.75" customHeight="1"/>
    <row r="57706" ht="15.75" customHeight="1"/>
    <row r="57707" ht="15.75" customHeight="1"/>
    <row r="57708" ht="15.75" customHeight="1"/>
    <row r="57709" ht="15.75" customHeight="1"/>
    <row r="57710" ht="15.75" customHeight="1"/>
    <row r="57711" ht="15.75" customHeight="1"/>
    <row r="57712" ht="15.75" customHeight="1"/>
    <row r="57713" ht="15.75" customHeight="1"/>
    <row r="57714" ht="15.75" customHeight="1"/>
    <row r="57715" ht="15.75" customHeight="1"/>
    <row r="57716" ht="15.75" customHeight="1"/>
    <row r="57717" ht="15.75" customHeight="1"/>
    <row r="57718" ht="15.75" customHeight="1"/>
    <row r="57719" ht="15.75" customHeight="1"/>
    <row r="57720" ht="15.75" customHeight="1"/>
    <row r="57721" ht="15.75" customHeight="1"/>
    <row r="57722" ht="15.75" customHeight="1"/>
    <row r="57723" ht="15.75" customHeight="1"/>
    <row r="57724" ht="15.75" customHeight="1"/>
    <row r="57725" ht="15.75" customHeight="1"/>
    <row r="57726" ht="15.75" customHeight="1"/>
    <row r="57727" ht="15.75" customHeight="1"/>
    <row r="57728" ht="15.75" customHeight="1"/>
    <row r="57729" ht="15.75" customHeight="1"/>
    <row r="57730" ht="15.75" customHeight="1"/>
    <row r="57731" ht="15.75" customHeight="1"/>
    <row r="57732" ht="15.75" customHeight="1"/>
    <row r="57733" ht="15.75" customHeight="1"/>
    <row r="57734" ht="15.75" customHeight="1"/>
    <row r="57735" ht="15.75" customHeight="1"/>
    <row r="57736" ht="15.75" customHeight="1"/>
    <row r="57737" ht="15.75" customHeight="1"/>
    <row r="57738" ht="15.75" customHeight="1"/>
    <row r="57739" ht="15.75" customHeight="1"/>
    <row r="57740" ht="15.75" customHeight="1"/>
    <row r="57741" ht="15.75" customHeight="1"/>
    <row r="57742" ht="15.75" customHeight="1"/>
    <row r="57743" ht="15.75" customHeight="1"/>
    <row r="57744" ht="15.75" customHeight="1"/>
    <row r="57745" ht="15.75" customHeight="1"/>
    <row r="57746" ht="15.75" customHeight="1"/>
    <row r="57747" ht="15.75" customHeight="1"/>
    <row r="57748" ht="15.75" customHeight="1"/>
    <row r="57749" ht="15.75" customHeight="1"/>
    <row r="57750" ht="15.75" customHeight="1"/>
    <row r="57751" ht="15.75" customHeight="1"/>
    <row r="57752" ht="15.75" customHeight="1"/>
    <row r="57753" ht="15.75" customHeight="1"/>
    <row r="57754" ht="15.75" customHeight="1"/>
    <row r="57755" ht="15.75" customHeight="1"/>
    <row r="57756" ht="15.75" customHeight="1"/>
    <row r="57757" ht="15.75" customHeight="1"/>
    <row r="57758" ht="15.75" customHeight="1"/>
    <row r="57759" ht="15.75" customHeight="1"/>
    <row r="57760" ht="15.75" customHeight="1"/>
    <row r="57761" ht="15.75" customHeight="1"/>
    <row r="57762" ht="15.75" customHeight="1"/>
    <row r="57763" ht="15.75" customHeight="1"/>
    <row r="57764" ht="15.75" customHeight="1"/>
    <row r="57765" ht="15.75" customHeight="1"/>
    <row r="57766" ht="15.75" customHeight="1"/>
    <row r="57767" ht="15.75" customHeight="1"/>
    <row r="57768" ht="15.75" customHeight="1"/>
    <row r="57769" ht="15.75" customHeight="1"/>
    <row r="57770" ht="15.75" customHeight="1"/>
    <row r="57771" ht="15.75" customHeight="1"/>
    <row r="57772" ht="15.75" customHeight="1"/>
    <row r="57773" ht="15.75" customHeight="1"/>
    <row r="57774" ht="15.75" customHeight="1"/>
    <row r="57775" ht="15.75" customHeight="1"/>
    <row r="57776" ht="15.75" customHeight="1"/>
    <row r="57777" ht="15.75" customHeight="1"/>
    <row r="57778" ht="15.75" customHeight="1"/>
    <row r="57779" ht="15.75" customHeight="1"/>
    <row r="57780" ht="15.75" customHeight="1"/>
    <row r="57781" ht="15.75" customHeight="1"/>
    <row r="57782" ht="15.75" customHeight="1"/>
    <row r="57783" ht="15.75" customHeight="1"/>
    <row r="57784" ht="15.75" customHeight="1"/>
    <row r="57785" ht="15.75" customHeight="1"/>
    <row r="57786" ht="15.75" customHeight="1"/>
    <row r="57787" ht="15.75" customHeight="1"/>
    <row r="57788" ht="15.75" customHeight="1"/>
    <row r="57789" ht="15.75" customHeight="1"/>
    <row r="57790" ht="15.75" customHeight="1"/>
    <row r="57791" ht="15.75" customHeight="1"/>
    <row r="57792" ht="15.75" customHeight="1"/>
    <row r="57793" ht="15.75" customHeight="1"/>
    <row r="57794" ht="15.75" customHeight="1"/>
    <row r="57795" ht="15.75" customHeight="1"/>
    <row r="57796" ht="15.75" customHeight="1"/>
    <row r="57797" ht="15.75" customHeight="1"/>
    <row r="57798" ht="15.75" customHeight="1"/>
    <row r="57799" ht="15.75" customHeight="1"/>
    <row r="57800" ht="15.75" customHeight="1"/>
    <row r="57801" ht="15.75" customHeight="1"/>
    <row r="57802" ht="15.75" customHeight="1"/>
    <row r="57803" ht="15.75" customHeight="1"/>
    <row r="57804" ht="15.75" customHeight="1"/>
    <row r="57805" ht="15.75" customHeight="1"/>
    <row r="57806" ht="15.75" customHeight="1"/>
    <row r="57807" ht="15.75" customHeight="1"/>
    <row r="57808" ht="15.75" customHeight="1"/>
    <row r="57809" ht="15.75" customHeight="1"/>
    <row r="57810" ht="15.75" customHeight="1"/>
    <row r="57811" ht="15.75" customHeight="1"/>
    <row r="57812" ht="15.75" customHeight="1"/>
    <row r="57813" ht="15.75" customHeight="1"/>
    <row r="57814" ht="15.75" customHeight="1"/>
    <row r="57815" ht="15.75" customHeight="1"/>
    <row r="57816" ht="15.75" customHeight="1"/>
    <row r="57817" ht="15.75" customHeight="1"/>
    <row r="57818" ht="15.75" customHeight="1"/>
    <row r="57819" ht="15.75" customHeight="1"/>
    <row r="57820" ht="15.75" customHeight="1"/>
    <row r="57821" ht="15.75" customHeight="1"/>
    <row r="57822" ht="15.75" customHeight="1"/>
    <row r="57823" ht="15.75" customHeight="1"/>
    <row r="57824" ht="15.75" customHeight="1"/>
    <row r="57825" ht="15.75" customHeight="1"/>
    <row r="57826" ht="15.75" customHeight="1"/>
    <row r="57827" ht="15.75" customHeight="1"/>
    <row r="57828" ht="15.75" customHeight="1"/>
    <row r="57829" ht="15.75" customHeight="1"/>
    <row r="57830" ht="15.75" customHeight="1"/>
    <row r="57831" ht="15.75" customHeight="1"/>
    <row r="57832" ht="15.75" customHeight="1"/>
    <row r="57833" ht="15.75" customHeight="1"/>
    <row r="57834" ht="15.75" customHeight="1"/>
    <row r="57835" ht="15.75" customHeight="1"/>
    <row r="57836" ht="15.75" customHeight="1"/>
    <row r="57837" ht="15.75" customHeight="1"/>
    <row r="57838" ht="15.75" customHeight="1"/>
    <row r="57839" ht="15.75" customHeight="1"/>
    <row r="57840" ht="15.75" customHeight="1"/>
    <row r="57841" ht="15.75" customHeight="1"/>
    <row r="57842" ht="15.75" customHeight="1"/>
    <row r="57843" ht="15.75" customHeight="1"/>
    <row r="57844" ht="15.75" customHeight="1"/>
    <row r="57845" ht="15.75" customHeight="1"/>
    <row r="57846" ht="15.75" customHeight="1"/>
    <row r="57847" ht="15.75" customHeight="1"/>
    <row r="57848" ht="15.75" customHeight="1"/>
    <row r="57849" ht="15.75" customHeight="1"/>
    <row r="57850" ht="15.75" customHeight="1"/>
    <row r="57851" ht="15.75" customHeight="1"/>
    <row r="57852" ht="15.75" customHeight="1"/>
    <row r="57853" ht="15.75" customHeight="1"/>
    <row r="57854" ht="15.75" customHeight="1"/>
    <row r="57855" ht="15.75" customHeight="1"/>
    <row r="57856" ht="15.75" customHeight="1"/>
    <row r="57857" ht="15.75" customHeight="1"/>
    <row r="57858" ht="15.75" customHeight="1"/>
    <row r="57859" ht="15.75" customHeight="1"/>
    <row r="57860" ht="15.75" customHeight="1"/>
    <row r="57861" ht="15.75" customHeight="1"/>
    <row r="57862" ht="15.75" customHeight="1"/>
    <row r="57863" ht="15.75" customHeight="1"/>
    <row r="57864" ht="15.75" customHeight="1"/>
    <row r="57865" ht="15.75" customHeight="1"/>
    <row r="57866" ht="15.75" customHeight="1"/>
    <row r="57867" ht="15.75" customHeight="1"/>
    <row r="57868" ht="15.75" customHeight="1"/>
    <row r="57869" ht="15.75" customHeight="1"/>
    <row r="57870" ht="15.75" customHeight="1"/>
    <row r="57871" ht="15.75" customHeight="1"/>
    <row r="57872" ht="15.75" customHeight="1"/>
    <row r="57873" ht="15.75" customHeight="1"/>
    <row r="57874" ht="15.75" customHeight="1"/>
    <row r="57875" ht="15.75" customHeight="1"/>
    <row r="57876" ht="15.75" customHeight="1"/>
    <row r="57877" ht="15.75" customHeight="1"/>
    <row r="57878" ht="15.75" customHeight="1"/>
    <row r="57879" ht="15.75" customHeight="1"/>
    <row r="57880" ht="15.75" customHeight="1"/>
    <row r="57881" ht="15.75" customHeight="1"/>
    <row r="57882" ht="15.75" customHeight="1"/>
    <row r="57883" ht="15.75" customHeight="1"/>
    <row r="57884" ht="15.75" customHeight="1"/>
    <row r="57885" ht="15.75" customHeight="1"/>
    <row r="57886" ht="15.75" customHeight="1"/>
    <row r="57887" ht="15.75" customHeight="1"/>
    <row r="57888" ht="15.75" customHeight="1"/>
    <row r="57889" ht="15.75" customHeight="1"/>
    <row r="57890" ht="15.75" customHeight="1"/>
    <row r="57891" ht="15.75" customHeight="1"/>
    <row r="57892" ht="15.75" customHeight="1"/>
    <row r="57893" ht="15.75" customHeight="1"/>
    <row r="57894" ht="15.75" customHeight="1"/>
    <row r="57895" ht="15.75" customHeight="1"/>
    <row r="57896" ht="15.75" customHeight="1"/>
    <row r="57897" ht="15.75" customHeight="1"/>
    <row r="57898" ht="15.75" customHeight="1"/>
    <row r="57899" ht="15.75" customHeight="1"/>
    <row r="57900" ht="15.75" customHeight="1"/>
    <row r="57901" ht="15.75" customHeight="1"/>
    <row r="57902" ht="15.75" customHeight="1"/>
    <row r="57903" ht="15.75" customHeight="1"/>
    <row r="57904" ht="15.75" customHeight="1"/>
    <row r="57905" ht="15.75" customHeight="1"/>
    <row r="57906" ht="15.75" customHeight="1"/>
    <row r="57907" ht="15.75" customHeight="1"/>
    <row r="57908" ht="15.75" customHeight="1"/>
    <row r="57909" ht="15.75" customHeight="1"/>
    <row r="57910" ht="15.75" customHeight="1"/>
    <row r="57911" ht="15.75" customHeight="1"/>
    <row r="57912" ht="15.75" customHeight="1"/>
    <row r="57913" ht="15.75" customHeight="1"/>
    <row r="57914" ht="15.75" customHeight="1"/>
    <row r="57915" ht="15.75" customHeight="1"/>
    <row r="57916" ht="15.75" customHeight="1"/>
    <row r="57917" ht="15.75" customHeight="1"/>
    <row r="57918" ht="15.75" customHeight="1"/>
    <row r="57919" ht="15.75" customHeight="1"/>
    <row r="57920" ht="15.75" customHeight="1"/>
    <row r="57921" ht="15.75" customHeight="1"/>
    <row r="57922" ht="15.75" customHeight="1"/>
    <row r="57923" ht="15.75" customHeight="1"/>
    <row r="57924" ht="15.75" customHeight="1"/>
    <row r="57925" ht="15.75" customHeight="1"/>
    <row r="57926" ht="15.75" customHeight="1"/>
    <row r="57927" ht="15.75" customHeight="1"/>
    <row r="57928" ht="15.75" customHeight="1"/>
    <row r="57929" ht="15.75" customHeight="1"/>
    <row r="57930" ht="15.75" customHeight="1"/>
    <row r="57931" ht="15.75" customHeight="1"/>
    <row r="57932" ht="15.75" customHeight="1"/>
    <row r="57933" ht="15.75" customHeight="1"/>
    <row r="57934" ht="15.75" customHeight="1"/>
    <row r="57935" ht="15.75" customHeight="1"/>
    <row r="57936" ht="15.75" customHeight="1"/>
    <row r="57937" ht="15.75" customHeight="1"/>
    <row r="57938" ht="15.75" customHeight="1"/>
    <row r="57939" ht="15.75" customHeight="1"/>
    <row r="57940" ht="15.75" customHeight="1"/>
    <row r="57941" ht="15.75" customHeight="1"/>
    <row r="57942" ht="15.75" customHeight="1"/>
    <row r="57943" ht="15.75" customHeight="1"/>
    <row r="57944" ht="15.75" customHeight="1"/>
    <row r="57945" ht="15.75" customHeight="1"/>
    <row r="57946" ht="15.75" customHeight="1"/>
    <row r="57947" ht="15.75" customHeight="1"/>
    <row r="57948" ht="15.75" customHeight="1"/>
    <row r="57949" ht="15.75" customHeight="1"/>
    <row r="57950" ht="15.75" customHeight="1"/>
    <row r="57951" ht="15.75" customHeight="1"/>
    <row r="57952" ht="15.75" customHeight="1"/>
    <row r="57953" ht="15.75" customHeight="1"/>
    <row r="57954" ht="15.75" customHeight="1"/>
    <row r="57955" ht="15.75" customHeight="1"/>
    <row r="57956" ht="15.75" customHeight="1"/>
    <row r="57957" ht="15.75" customHeight="1"/>
    <row r="57958" ht="15.75" customHeight="1"/>
    <row r="57959" ht="15.75" customHeight="1"/>
    <row r="57960" ht="15.75" customHeight="1"/>
    <row r="57961" ht="15.75" customHeight="1"/>
    <row r="57962" ht="15.75" customHeight="1"/>
    <row r="57963" ht="15.75" customHeight="1"/>
    <row r="57964" ht="15.75" customHeight="1"/>
    <row r="57965" ht="15.75" customHeight="1"/>
    <row r="57966" ht="15.75" customHeight="1"/>
    <row r="57967" ht="15.75" customHeight="1"/>
    <row r="57968" ht="15.75" customHeight="1"/>
    <row r="57969" ht="15.75" customHeight="1"/>
    <row r="57970" ht="15.75" customHeight="1"/>
    <row r="57971" ht="15.75" customHeight="1"/>
    <row r="57972" ht="15.75" customHeight="1"/>
    <row r="57973" ht="15.75" customHeight="1"/>
    <row r="57974" ht="15.75" customHeight="1"/>
    <row r="57975" ht="15.75" customHeight="1"/>
    <row r="57976" ht="15.75" customHeight="1"/>
    <row r="57977" ht="15.75" customHeight="1"/>
    <row r="57978" ht="15.75" customHeight="1"/>
    <row r="57979" ht="15.75" customHeight="1"/>
    <row r="57980" ht="15.75" customHeight="1"/>
    <row r="57981" ht="15.75" customHeight="1"/>
    <row r="57982" ht="15.75" customHeight="1"/>
    <row r="57983" ht="15.75" customHeight="1"/>
    <row r="57984" ht="15.75" customHeight="1"/>
    <row r="57985" ht="15.75" customHeight="1"/>
    <row r="57986" ht="15.75" customHeight="1"/>
    <row r="57987" ht="15.75" customHeight="1"/>
    <row r="57988" ht="15.75" customHeight="1"/>
    <row r="57989" ht="15.75" customHeight="1"/>
    <row r="57990" ht="15.75" customHeight="1"/>
    <row r="57991" ht="15.75" customHeight="1"/>
    <row r="57992" ht="15.75" customHeight="1"/>
    <row r="57993" ht="15.75" customHeight="1"/>
    <row r="57994" ht="15.75" customHeight="1"/>
    <row r="57995" ht="15.75" customHeight="1"/>
    <row r="57996" ht="15.75" customHeight="1"/>
    <row r="57997" ht="15.75" customHeight="1"/>
    <row r="57998" ht="15.75" customHeight="1"/>
    <row r="57999" ht="15.75" customHeight="1"/>
    <row r="58000" ht="15.75" customHeight="1"/>
    <row r="58001" ht="15.75" customHeight="1"/>
    <row r="58002" ht="15.75" customHeight="1"/>
    <row r="58003" ht="15.75" customHeight="1"/>
    <row r="58004" ht="15.75" customHeight="1"/>
    <row r="58005" ht="15.75" customHeight="1"/>
    <row r="58006" ht="15.75" customHeight="1"/>
    <row r="58007" ht="15.75" customHeight="1"/>
    <row r="58008" ht="15.75" customHeight="1"/>
    <row r="58009" ht="15.75" customHeight="1"/>
    <row r="58010" ht="15.75" customHeight="1"/>
    <row r="58011" ht="15.75" customHeight="1"/>
    <row r="58012" ht="15.75" customHeight="1"/>
    <row r="58013" ht="15.75" customHeight="1"/>
    <row r="58014" ht="15.75" customHeight="1"/>
    <row r="58015" ht="15.75" customHeight="1"/>
    <row r="58016" ht="15.75" customHeight="1"/>
    <row r="58017" ht="15.75" customHeight="1"/>
    <row r="58018" ht="15.75" customHeight="1"/>
    <row r="58019" ht="15.75" customHeight="1"/>
    <row r="58020" ht="15.75" customHeight="1"/>
    <row r="58021" ht="15.75" customHeight="1"/>
    <row r="58022" ht="15.75" customHeight="1"/>
    <row r="58023" ht="15.75" customHeight="1"/>
    <row r="58024" ht="15.75" customHeight="1"/>
    <row r="58025" ht="15.75" customHeight="1"/>
    <row r="58026" ht="15.75" customHeight="1"/>
    <row r="58027" ht="15.75" customHeight="1"/>
    <row r="58028" ht="15.75" customHeight="1"/>
    <row r="58029" ht="15.75" customHeight="1"/>
    <row r="58030" ht="15.75" customHeight="1"/>
    <row r="58031" ht="15.75" customHeight="1"/>
    <row r="58032" ht="15.75" customHeight="1"/>
    <row r="58033" ht="15.75" customHeight="1"/>
    <row r="58034" ht="15.75" customHeight="1"/>
    <row r="58035" ht="15.75" customHeight="1"/>
    <row r="58036" ht="15.75" customHeight="1"/>
    <row r="58037" ht="15.75" customHeight="1"/>
    <row r="58038" ht="15.75" customHeight="1"/>
    <row r="58039" ht="15.75" customHeight="1"/>
    <row r="58040" ht="15.75" customHeight="1"/>
    <row r="58041" ht="15.75" customHeight="1"/>
    <row r="58042" ht="15.75" customHeight="1"/>
    <row r="58043" ht="15.75" customHeight="1"/>
    <row r="58044" ht="15.75" customHeight="1"/>
    <row r="58045" ht="15.75" customHeight="1"/>
    <row r="58046" ht="15.75" customHeight="1"/>
    <row r="58047" ht="15.75" customHeight="1"/>
    <row r="58048" ht="15.75" customHeight="1"/>
    <row r="58049" ht="15.75" customHeight="1"/>
    <row r="58050" ht="15.75" customHeight="1"/>
    <row r="58051" ht="15.75" customHeight="1"/>
    <row r="58052" ht="15.75" customHeight="1"/>
    <row r="58053" ht="15.75" customHeight="1"/>
    <row r="58054" ht="15.75" customHeight="1"/>
    <row r="58055" ht="15.75" customHeight="1"/>
    <row r="58056" ht="15.75" customHeight="1"/>
    <row r="58057" ht="15.75" customHeight="1"/>
    <row r="58058" ht="15.75" customHeight="1"/>
    <row r="58059" ht="15.75" customHeight="1"/>
    <row r="58060" ht="15.75" customHeight="1"/>
    <row r="58061" ht="15.75" customHeight="1"/>
    <row r="58062" ht="15.75" customHeight="1"/>
    <row r="58063" ht="15.75" customHeight="1"/>
    <row r="58064" ht="15.75" customHeight="1"/>
    <row r="58065" ht="15.75" customHeight="1"/>
    <row r="58066" ht="15.75" customHeight="1"/>
    <row r="58067" ht="15.75" customHeight="1"/>
    <row r="58068" ht="15.75" customHeight="1"/>
    <row r="58069" ht="15.75" customHeight="1"/>
    <row r="58070" ht="15.75" customHeight="1"/>
    <row r="58071" ht="15.75" customHeight="1"/>
    <row r="58072" ht="15.75" customHeight="1"/>
    <row r="58073" ht="15.75" customHeight="1"/>
    <row r="58074" ht="15.75" customHeight="1"/>
    <row r="58075" ht="15.75" customHeight="1"/>
    <row r="58076" ht="15.75" customHeight="1"/>
    <row r="58077" ht="15.75" customHeight="1"/>
    <row r="58078" ht="15.75" customHeight="1"/>
    <row r="58079" ht="15.75" customHeight="1"/>
    <row r="58080" ht="15.75" customHeight="1"/>
    <row r="58081" ht="15.75" customHeight="1"/>
    <row r="58082" ht="15.75" customHeight="1"/>
    <row r="58083" ht="15.75" customHeight="1"/>
    <row r="58084" ht="15.75" customHeight="1"/>
    <row r="58085" ht="15.75" customHeight="1"/>
    <row r="58086" ht="15.75" customHeight="1"/>
    <row r="58087" ht="15.75" customHeight="1"/>
    <row r="58088" ht="15.75" customHeight="1"/>
    <row r="58089" ht="15.75" customHeight="1"/>
    <row r="58090" ht="15.75" customHeight="1"/>
    <row r="58091" ht="15.75" customHeight="1"/>
    <row r="58092" ht="15.75" customHeight="1"/>
    <row r="58093" ht="15.75" customHeight="1"/>
    <row r="58094" ht="15.75" customHeight="1"/>
    <row r="58095" ht="15.75" customHeight="1"/>
    <row r="58096" ht="15.75" customHeight="1"/>
    <row r="58097" ht="15.75" customHeight="1"/>
    <row r="58098" ht="15.75" customHeight="1"/>
    <row r="58099" ht="15.75" customHeight="1"/>
    <row r="58100" ht="15.75" customHeight="1"/>
    <row r="58101" ht="15.75" customHeight="1"/>
    <row r="58102" ht="15.75" customHeight="1"/>
    <row r="58103" ht="15.75" customHeight="1"/>
    <row r="58104" ht="15.75" customHeight="1"/>
    <row r="58105" ht="15.75" customHeight="1"/>
    <row r="58106" ht="15.75" customHeight="1"/>
    <row r="58107" ht="15.75" customHeight="1"/>
    <row r="58108" ht="15.75" customHeight="1"/>
    <row r="58109" ht="15.75" customHeight="1"/>
    <row r="58110" ht="15.75" customHeight="1"/>
    <row r="58111" ht="15.75" customHeight="1"/>
    <row r="58112" ht="15.75" customHeight="1"/>
    <row r="58113" ht="15.75" customHeight="1"/>
    <row r="58114" ht="15.75" customHeight="1"/>
    <row r="58115" ht="15.75" customHeight="1"/>
    <row r="58116" ht="15.75" customHeight="1"/>
    <row r="58117" ht="15.75" customHeight="1"/>
    <row r="58118" ht="15.75" customHeight="1"/>
    <row r="58119" ht="15.75" customHeight="1"/>
    <row r="58120" ht="15.75" customHeight="1"/>
    <row r="58121" ht="15.75" customHeight="1"/>
    <row r="58122" ht="15.75" customHeight="1"/>
    <row r="58123" ht="15.75" customHeight="1"/>
    <row r="58124" ht="15.75" customHeight="1"/>
    <row r="58125" ht="15.75" customHeight="1"/>
    <row r="58126" ht="15.75" customHeight="1"/>
    <row r="58127" ht="15.75" customHeight="1"/>
    <row r="58128" ht="15.75" customHeight="1"/>
    <row r="58129" ht="15.75" customHeight="1"/>
    <row r="58130" ht="15.75" customHeight="1"/>
    <row r="58131" ht="15.75" customHeight="1"/>
    <row r="58132" ht="15.75" customHeight="1"/>
    <row r="58133" ht="15.75" customHeight="1"/>
    <row r="58134" ht="15.75" customHeight="1"/>
    <row r="58135" ht="15.75" customHeight="1"/>
    <row r="58136" ht="15.75" customHeight="1"/>
    <row r="58137" ht="15.75" customHeight="1"/>
    <row r="58138" ht="15.75" customHeight="1"/>
    <row r="58139" ht="15.75" customHeight="1"/>
    <row r="58140" ht="15.75" customHeight="1"/>
    <row r="58141" ht="15.75" customHeight="1"/>
    <row r="58142" ht="15.75" customHeight="1"/>
    <row r="58143" ht="15.75" customHeight="1"/>
    <row r="58144" ht="15.75" customHeight="1"/>
    <row r="58145" ht="15.75" customHeight="1"/>
    <row r="58146" ht="15.75" customHeight="1"/>
    <row r="58147" ht="15.75" customHeight="1"/>
    <row r="58148" ht="15.75" customHeight="1"/>
    <row r="58149" ht="15.75" customHeight="1"/>
    <row r="58150" ht="15.75" customHeight="1"/>
    <row r="58151" ht="15.75" customHeight="1"/>
    <row r="58152" ht="15.75" customHeight="1"/>
    <row r="58153" ht="15.75" customHeight="1"/>
    <row r="58154" ht="15.75" customHeight="1"/>
    <row r="58155" ht="15.75" customHeight="1"/>
    <row r="58156" ht="15.75" customHeight="1"/>
    <row r="58157" ht="15.75" customHeight="1"/>
    <row r="58158" ht="15.75" customHeight="1"/>
    <row r="58159" ht="15.75" customHeight="1"/>
    <row r="58160" ht="15.75" customHeight="1"/>
    <row r="58161" ht="15.75" customHeight="1"/>
    <row r="58162" ht="15.75" customHeight="1"/>
    <row r="58163" ht="15.75" customHeight="1"/>
    <row r="58164" ht="15.75" customHeight="1"/>
    <row r="58165" ht="15.75" customHeight="1"/>
    <row r="58166" ht="15.75" customHeight="1"/>
    <row r="58167" ht="15.75" customHeight="1"/>
    <row r="58168" ht="15.75" customHeight="1"/>
    <row r="58169" ht="15.75" customHeight="1"/>
    <row r="58170" ht="15.75" customHeight="1"/>
    <row r="58171" ht="15.75" customHeight="1"/>
    <row r="58172" ht="15.75" customHeight="1"/>
    <row r="58173" ht="15.75" customHeight="1"/>
    <row r="58174" ht="15.75" customHeight="1"/>
    <row r="58175" ht="15.75" customHeight="1"/>
    <row r="58176" ht="15.75" customHeight="1"/>
    <row r="58177" ht="15.75" customHeight="1"/>
    <row r="58178" ht="15.75" customHeight="1"/>
    <row r="58179" ht="15.75" customHeight="1"/>
    <row r="58180" ht="15.75" customHeight="1"/>
    <row r="58181" ht="15.75" customHeight="1"/>
    <row r="58182" ht="15.75" customHeight="1"/>
    <row r="58183" ht="15.75" customHeight="1"/>
    <row r="58184" ht="15.75" customHeight="1"/>
    <row r="58185" ht="15.75" customHeight="1"/>
    <row r="58186" ht="15.75" customHeight="1"/>
    <row r="58187" ht="15.75" customHeight="1"/>
    <row r="58188" ht="15.75" customHeight="1"/>
    <row r="58189" ht="15.75" customHeight="1"/>
    <row r="58190" ht="15.75" customHeight="1"/>
    <row r="58191" ht="15.75" customHeight="1"/>
    <row r="58192" ht="15.75" customHeight="1"/>
    <row r="58193" ht="15.75" customHeight="1"/>
    <row r="58194" ht="15.75" customHeight="1"/>
    <row r="58195" ht="15.75" customHeight="1"/>
    <row r="58196" ht="15.75" customHeight="1"/>
    <row r="58197" ht="15.75" customHeight="1"/>
    <row r="58198" ht="15.75" customHeight="1"/>
    <row r="58199" ht="15.75" customHeight="1"/>
    <row r="58200" ht="15.75" customHeight="1"/>
    <row r="58201" ht="15.75" customHeight="1"/>
    <row r="58202" ht="15.75" customHeight="1"/>
    <row r="58203" ht="15.75" customHeight="1"/>
    <row r="58204" ht="15.75" customHeight="1"/>
    <row r="58205" ht="15.75" customHeight="1"/>
    <row r="58206" ht="15.75" customHeight="1"/>
    <row r="58207" ht="15.75" customHeight="1"/>
    <row r="58208" ht="15.75" customHeight="1"/>
    <row r="58209" ht="15.75" customHeight="1"/>
    <row r="58210" ht="15.75" customHeight="1"/>
    <row r="58211" ht="15.75" customHeight="1"/>
    <row r="58212" ht="15.75" customHeight="1"/>
    <row r="58213" ht="15.75" customHeight="1"/>
    <row r="58214" ht="15.75" customHeight="1"/>
    <row r="58215" ht="15.75" customHeight="1"/>
    <row r="58216" ht="15.75" customHeight="1"/>
    <row r="58217" ht="15.75" customHeight="1"/>
    <row r="58218" ht="15.75" customHeight="1"/>
    <row r="58219" ht="15.75" customHeight="1"/>
    <row r="58220" ht="15.75" customHeight="1"/>
    <row r="58221" ht="15.75" customHeight="1"/>
    <row r="58222" ht="15.75" customHeight="1"/>
    <row r="58223" ht="15.75" customHeight="1"/>
    <row r="58224" ht="15.75" customHeight="1"/>
    <row r="58225" ht="15.75" customHeight="1"/>
    <row r="58226" ht="15.75" customHeight="1"/>
    <row r="58227" ht="15.75" customHeight="1"/>
    <row r="58228" ht="15.75" customHeight="1"/>
    <row r="58229" ht="15.75" customHeight="1"/>
    <row r="58230" ht="15.75" customHeight="1"/>
    <row r="58231" ht="15.75" customHeight="1"/>
    <row r="58232" ht="15.75" customHeight="1"/>
    <row r="58233" ht="15.75" customHeight="1"/>
    <row r="58234" ht="15.75" customHeight="1"/>
    <row r="58235" ht="15.75" customHeight="1"/>
    <row r="58236" ht="15.75" customHeight="1"/>
    <row r="58237" ht="15.75" customHeight="1"/>
    <row r="58238" ht="15.75" customHeight="1"/>
    <row r="58239" ht="15.75" customHeight="1"/>
    <row r="58240" ht="15.75" customHeight="1"/>
    <row r="58241" ht="15.75" customHeight="1"/>
    <row r="58242" ht="15.75" customHeight="1"/>
    <row r="58243" ht="15.75" customHeight="1"/>
    <row r="58244" ht="15.75" customHeight="1"/>
    <row r="58245" ht="15.75" customHeight="1"/>
    <row r="58246" ht="15.75" customHeight="1"/>
    <row r="58247" ht="15.75" customHeight="1"/>
    <row r="58248" ht="15.75" customHeight="1"/>
    <row r="58249" ht="15.75" customHeight="1"/>
    <row r="58250" ht="15.75" customHeight="1"/>
    <row r="58251" ht="15.75" customHeight="1"/>
    <row r="58252" ht="15.75" customHeight="1"/>
    <row r="58253" ht="15.75" customHeight="1"/>
    <row r="58254" ht="15.75" customHeight="1"/>
    <row r="58255" ht="15.75" customHeight="1"/>
    <row r="58256" ht="15.75" customHeight="1"/>
    <row r="58257" ht="15.75" customHeight="1"/>
    <row r="58258" ht="15.75" customHeight="1"/>
    <row r="58259" ht="15.75" customHeight="1"/>
    <row r="58260" ht="15.75" customHeight="1"/>
    <row r="58261" ht="15.75" customHeight="1"/>
    <row r="58262" ht="15.75" customHeight="1"/>
    <row r="58263" ht="15.75" customHeight="1"/>
    <row r="58264" ht="15.75" customHeight="1"/>
    <row r="58265" ht="15.75" customHeight="1"/>
    <row r="58266" ht="15.75" customHeight="1"/>
    <row r="58267" ht="15.75" customHeight="1"/>
    <row r="58268" ht="15.75" customHeight="1"/>
    <row r="58269" ht="15.75" customHeight="1"/>
    <row r="58270" ht="15.75" customHeight="1"/>
    <row r="58271" ht="15.75" customHeight="1"/>
    <row r="58272" ht="15.75" customHeight="1"/>
    <row r="58273" ht="15.75" customHeight="1"/>
    <row r="58274" ht="15.75" customHeight="1"/>
    <row r="58275" ht="15.75" customHeight="1"/>
    <row r="58276" ht="15.75" customHeight="1"/>
    <row r="58277" ht="15.75" customHeight="1"/>
    <row r="58278" ht="15.75" customHeight="1"/>
    <row r="58279" ht="15.75" customHeight="1"/>
    <row r="58280" ht="15.75" customHeight="1"/>
    <row r="58281" ht="15.75" customHeight="1"/>
    <row r="58282" ht="15.75" customHeight="1"/>
    <row r="58283" ht="15.75" customHeight="1"/>
    <row r="58284" ht="15.75" customHeight="1"/>
    <row r="58285" ht="15.75" customHeight="1"/>
    <row r="58286" ht="15.75" customHeight="1"/>
    <row r="58287" ht="15.75" customHeight="1"/>
    <row r="58288" ht="15.75" customHeight="1"/>
    <row r="58289" ht="15.75" customHeight="1"/>
    <row r="58290" ht="15.75" customHeight="1"/>
    <row r="58291" ht="15.75" customHeight="1"/>
    <row r="58292" ht="15.75" customHeight="1"/>
    <row r="58293" ht="15.75" customHeight="1"/>
    <row r="58294" ht="15.75" customHeight="1"/>
    <row r="58295" ht="15.75" customHeight="1"/>
    <row r="58296" ht="15.75" customHeight="1"/>
    <row r="58297" ht="15.75" customHeight="1"/>
    <row r="58298" ht="15.75" customHeight="1"/>
    <row r="58299" ht="15.75" customHeight="1"/>
    <row r="58300" ht="15.75" customHeight="1"/>
    <row r="58301" ht="15.75" customHeight="1"/>
    <row r="58302" ht="15.75" customHeight="1"/>
    <row r="58303" ht="15.75" customHeight="1"/>
    <row r="58304" ht="15.75" customHeight="1"/>
    <row r="58305" ht="15.75" customHeight="1"/>
    <row r="58306" ht="15.75" customHeight="1"/>
    <row r="58307" ht="15.75" customHeight="1"/>
    <row r="58308" ht="15.75" customHeight="1"/>
    <row r="58309" ht="15.75" customHeight="1"/>
    <row r="58310" ht="15.75" customHeight="1"/>
    <row r="58311" ht="15.75" customHeight="1"/>
    <row r="58312" ht="15.75" customHeight="1"/>
    <row r="58313" ht="15.75" customHeight="1"/>
    <row r="58314" ht="15.75" customHeight="1"/>
    <row r="58315" ht="15.75" customHeight="1"/>
    <row r="58316" ht="15.75" customHeight="1"/>
    <row r="58317" ht="15.75" customHeight="1"/>
    <row r="58318" ht="15.75" customHeight="1"/>
    <row r="58319" ht="15.75" customHeight="1"/>
    <row r="58320" ht="15.75" customHeight="1"/>
    <row r="58321" ht="15.75" customHeight="1"/>
    <row r="58322" ht="15.75" customHeight="1"/>
    <row r="58323" ht="15.75" customHeight="1"/>
    <row r="58324" ht="15.75" customHeight="1"/>
    <row r="58325" ht="15.75" customHeight="1"/>
    <row r="58326" ht="15.75" customHeight="1"/>
    <row r="58327" ht="15.75" customHeight="1"/>
    <row r="58328" ht="15.75" customHeight="1"/>
    <row r="58329" ht="15.75" customHeight="1"/>
    <row r="58330" ht="15.75" customHeight="1"/>
    <row r="58331" ht="15.75" customHeight="1"/>
    <row r="58332" ht="15.75" customHeight="1"/>
    <row r="58333" ht="15.75" customHeight="1"/>
    <row r="58334" ht="15.75" customHeight="1"/>
    <row r="58335" ht="15.75" customHeight="1"/>
    <row r="58336" ht="15.75" customHeight="1"/>
    <row r="58337" ht="15.75" customHeight="1"/>
    <row r="58338" ht="15.75" customHeight="1"/>
    <row r="58339" ht="15.75" customHeight="1"/>
    <row r="58340" ht="15.75" customHeight="1"/>
    <row r="58341" ht="15.75" customHeight="1"/>
    <row r="58342" ht="15.75" customHeight="1"/>
    <row r="58343" ht="15.75" customHeight="1"/>
    <row r="58344" ht="15.75" customHeight="1"/>
    <row r="58345" ht="15.75" customHeight="1"/>
    <row r="58346" ht="15.75" customHeight="1"/>
    <row r="58347" ht="15.75" customHeight="1"/>
    <row r="58348" ht="15.75" customHeight="1"/>
    <row r="58349" ht="15.75" customHeight="1"/>
    <row r="58350" ht="15.75" customHeight="1"/>
    <row r="58351" ht="15.75" customHeight="1"/>
    <row r="58352" ht="15.75" customHeight="1"/>
    <row r="58353" ht="15.75" customHeight="1"/>
    <row r="58354" ht="15.75" customHeight="1"/>
    <row r="58355" ht="15.75" customHeight="1"/>
    <row r="58356" ht="15.75" customHeight="1"/>
    <row r="58357" ht="15.75" customHeight="1"/>
    <row r="58358" ht="15.75" customHeight="1"/>
    <row r="58359" ht="15.75" customHeight="1"/>
    <row r="58360" ht="15.75" customHeight="1"/>
    <row r="58361" ht="15.75" customHeight="1"/>
    <row r="58362" ht="15.75" customHeight="1"/>
    <row r="58363" ht="15.75" customHeight="1"/>
    <row r="58364" ht="15.75" customHeight="1"/>
    <row r="58365" ht="15.75" customHeight="1"/>
    <row r="58366" ht="15.75" customHeight="1"/>
    <row r="58367" ht="15.75" customHeight="1"/>
    <row r="58368" ht="15.75" customHeight="1"/>
    <row r="58369" ht="15.75" customHeight="1"/>
    <row r="58370" ht="15.75" customHeight="1"/>
    <row r="58371" ht="15.75" customHeight="1"/>
    <row r="58372" ht="15.75" customHeight="1"/>
    <row r="58373" ht="15.75" customHeight="1"/>
    <row r="58374" ht="15.75" customHeight="1"/>
    <row r="58375" ht="15.75" customHeight="1"/>
    <row r="58376" ht="15.75" customHeight="1"/>
    <row r="58377" ht="15.75" customHeight="1"/>
    <row r="58378" ht="15.75" customHeight="1"/>
    <row r="58379" ht="15.75" customHeight="1"/>
    <row r="58380" ht="15.75" customHeight="1"/>
    <row r="58381" ht="15.75" customHeight="1"/>
    <row r="58382" ht="15.75" customHeight="1"/>
    <row r="58383" ht="15.75" customHeight="1"/>
    <row r="58384" ht="15.75" customHeight="1"/>
    <row r="58385" ht="15.75" customHeight="1"/>
    <row r="58386" ht="15.75" customHeight="1"/>
    <row r="58387" ht="15.75" customHeight="1"/>
    <row r="58388" ht="15.75" customHeight="1"/>
    <row r="58389" ht="15.75" customHeight="1"/>
    <row r="58390" ht="15.75" customHeight="1"/>
    <row r="58391" ht="15.75" customHeight="1"/>
    <row r="58392" ht="15.75" customHeight="1"/>
    <row r="58393" ht="15.75" customHeight="1"/>
    <row r="58394" ht="15.75" customHeight="1"/>
    <row r="58395" ht="15.75" customHeight="1"/>
    <row r="58396" ht="15.75" customHeight="1"/>
    <row r="58397" ht="15.75" customHeight="1"/>
    <row r="58398" ht="15.75" customHeight="1"/>
    <row r="58399" ht="15.75" customHeight="1"/>
    <row r="58400" ht="15.75" customHeight="1"/>
    <row r="58401" ht="15.75" customHeight="1"/>
    <row r="58402" ht="15.75" customHeight="1"/>
    <row r="58403" ht="15.75" customHeight="1"/>
    <row r="58404" ht="15.75" customHeight="1"/>
    <row r="58405" ht="15.75" customHeight="1"/>
    <row r="58406" ht="15.75" customHeight="1"/>
    <row r="58407" ht="15.75" customHeight="1"/>
    <row r="58408" ht="15.75" customHeight="1"/>
    <row r="58409" ht="15.75" customHeight="1"/>
    <row r="58410" ht="15.75" customHeight="1"/>
    <row r="58411" ht="15.75" customHeight="1"/>
    <row r="58412" ht="15.75" customHeight="1"/>
    <row r="58413" ht="15.75" customHeight="1"/>
    <row r="58414" ht="15.75" customHeight="1"/>
    <row r="58415" ht="15.75" customHeight="1"/>
    <row r="58416" ht="15.75" customHeight="1"/>
    <row r="58417" ht="15.75" customHeight="1"/>
    <row r="58418" ht="15.75" customHeight="1"/>
    <row r="58419" ht="15.75" customHeight="1"/>
    <row r="58420" ht="15.75" customHeight="1"/>
    <row r="58421" ht="15.75" customHeight="1"/>
    <row r="58422" ht="15.75" customHeight="1"/>
    <row r="58423" ht="15.75" customHeight="1"/>
    <row r="58424" ht="15.75" customHeight="1"/>
    <row r="58425" ht="15.75" customHeight="1"/>
    <row r="58426" ht="15.75" customHeight="1"/>
    <row r="58427" ht="15.75" customHeight="1"/>
    <row r="58428" ht="15.75" customHeight="1"/>
    <row r="58429" ht="15.75" customHeight="1"/>
    <row r="58430" ht="15.75" customHeight="1"/>
    <row r="58431" ht="15.75" customHeight="1"/>
    <row r="58432" ht="15.75" customHeight="1"/>
    <row r="58433" ht="15.75" customHeight="1"/>
    <row r="58434" ht="15.75" customHeight="1"/>
    <row r="58435" ht="15.75" customHeight="1"/>
    <row r="58436" ht="15.75" customHeight="1"/>
    <row r="58437" ht="15.75" customHeight="1"/>
    <row r="58438" ht="15.75" customHeight="1"/>
    <row r="58439" ht="15.75" customHeight="1"/>
    <row r="58440" ht="15.75" customHeight="1"/>
    <row r="58441" ht="15.75" customHeight="1"/>
    <row r="58442" ht="15.75" customHeight="1"/>
    <row r="58443" ht="15.75" customHeight="1"/>
    <row r="58444" ht="15.75" customHeight="1"/>
    <row r="58445" ht="15.75" customHeight="1"/>
    <row r="58446" ht="15.75" customHeight="1"/>
    <row r="58447" ht="15.75" customHeight="1"/>
    <row r="58448" ht="15.75" customHeight="1"/>
    <row r="58449" ht="15.75" customHeight="1"/>
    <row r="58450" ht="15.75" customHeight="1"/>
    <row r="58451" ht="15.75" customHeight="1"/>
    <row r="58452" ht="15.75" customHeight="1"/>
    <row r="58453" ht="15.75" customHeight="1"/>
    <row r="58454" ht="15.75" customHeight="1"/>
    <row r="58455" ht="15.75" customHeight="1"/>
    <row r="58456" ht="15.75" customHeight="1"/>
    <row r="58457" ht="15.75" customHeight="1"/>
    <row r="58458" ht="15.75" customHeight="1"/>
    <row r="58459" ht="15.75" customHeight="1"/>
    <row r="58460" ht="15.75" customHeight="1"/>
    <row r="58461" ht="15.75" customHeight="1"/>
    <row r="58462" ht="15.75" customHeight="1"/>
    <row r="58463" ht="15.75" customHeight="1"/>
    <row r="58464" ht="15.75" customHeight="1"/>
    <row r="58465" ht="15.75" customHeight="1"/>
    <row r="58466" ht="15.75" customHeight="1"/>
    <row r="58467" ht="15.75" customHeight="1"/>
    <row r="58468" ht="15.75" customHeight="1"/>
    <row r="58469" ht="15.75" customHeight="1"/>
    <row r="58470" ht="15.75" customHeight="1"/>
    <row r="58471" ht="15.75" customHeight="1"/>
    <row r="58472" ht="15.75" customHeight="1"/>
    <row r="58473" ht="15.75" customHeight="1"/>
    <row r="58474" ht="15.75" customHeight="1"/>
    <row r="58475" ht="15.75" customHeight="1"/>
    <row r="58476" ht="15.75" customHeight="1"/>
    <row r="58477" ht="15.75" customHeight="1"/>
    <row r="58478" ht="15.75" customHeight="1"/>
    <row r="58479" ht="15.75" customHeight="1"/>
    <row r="58480" ht="15.75" customHeight="1"/>
    <row r="58481" ht="15.75" customHeight="1"/>
    <row r="58482" ht="15.75" customHeight="1"/>
    <row r="58483" ht="15.75" customHeight="1"/>
    <row r="58484" ht="15.75" customHeight="1"/>
    <row r="58485" ht="15.75" customHeight="1"/>
    <row r="58486" ht="15.75" customHeight="1"/>
    <row r="58487" ht="15.75" customHeight="1"/>
    <row r="58488" ht="15.75" customHeight="1"/>
    <row r="58489" ht="15.75" customHeight="1"/>
    <row r="58490" ht="15.75" customHeight="1"/>
    <row r="58491" ht="15.75" customHeight="1"/>
    <row r="58492" ht="15.75" customHeight="1"/>
    <row r="58493" ht="15.75" customHeight="1"/>
    <row r="58494" ht="15.75" customHeight="1"/>
    <row r="58495" ht="15.75" customHeight="1"/>
    <row r="58496" ht="15.75" customHeight="1"/>
    <row r="58497" ht="15.75" customHeight="1"/>
    <row r="58498" ht="15.75" customHeight="1"/>
    <row r="58499" ht="15.75" customHeight="1"/>
    <row r="58500" ht="15.75" customHeight="1"/>
    <row r="58501" ht="15.75" customHeight="1"/>
    <row r="58502" ht="15.75" customHeight="1"/>
    <row r="58503" ht="15.75" customHeight="1"/>
    <row r="58504" ht="15.75" customHeight="1"/>
    <row r="58505" ht="15.75" customHeight="1"/>
    <row r="58506" ht="15.75" customHeight="1"/>
    <row r="58507" ht="15.75" customHeight="1"/>
    <row r="58508" ht="15.75" customHeight="1"/>
    <row r="58509" ht="15.75" customHeight="1"/>
    <row r="58510" ht="15.75" customHeight="1"/>
    <row r="58511" ht="15.75" customHeight="1"/>
    <row r="58512" ht="15.75" customHeight="1"/>
    <row r="58513" ht="15.75" customHeight="1"/>
    <row r="58514" ht="15.75" customHeight="1"/>
    <row r="58515" ht="15.75" customHeight="1"/>
    <row r="58516" ht="15.75" customHeight="1"/>
    <row r="58517" ht="15.75" customHeight="1"/>
    <row r="58518" ht="15.75" customHeight="1"/>
    <row r="58519" ht="15.75" customHeight="1"/>
    <row r="58520" ht="15.75" customHeight="1"/>
    <row r="58521" ht="15.75" customHeight="1"/>
    <row r="58522" ht="15.75" customHeight="1"/>
    <row r="58523" ht="15.75" customHeight="1"/>
    <row r="58524" ht="15.75" customHeight="1"/>
    <row r="58525" ht="15.75" customHeight="1"/>
    <row r="58526" ht="15.75" customHeight="1"/>
    <row r="58527" ht="15.75" customHeight="1"/>
    <row r="58528" ht="15.75" customHeight="1"/>
    <row r="58529" ht="15.75" customHeight="1"/>
    <row r="58530" ht="15.75" customHeight="1"/>
    <row r="58531" ht="15.75" customHeight="1"/>
    <row r="58532" ht="15.75" customHeight="1"/>
    <row r="58533" ht="15.75" customHeight="1"/>
    <row r="58534" ht="15.75" customHeight="1"/>
    <row r="58535" ht="15.75" customHeight="1"/>
    <row r="58536" ht="15.75" customHeight="1"/>
    <row r="58537" ht="15.75" customHeight="1"/>
    <row r="58538" ht="15.75" customHeight="1"/>
    <row r="58539" ht="15.75" customHeight="1"/>
    <row r="58540" ht="15.75" customHeight="1"/>
    <row r="58541" ht="15.75" customHeight="1"/>
    <row r="58542" ht="15.75" customHeight="1"/>
    <row r="58543" ht="15.75" customHeight="1"/>
    <row r="58544" ht="15.75" customHeight="1"/>
    <row r="58545" ht="15.75" customHeight="1"/>
    <row r="58546" ht="15.75" customHeight="1"/>
    <row r="58547" ht="15.75" customHeight="1"/>
    <row r="58548" ht="15.75" customHeight="1"/>
    <row r="58549" ht="15.75" customHeight="1"/>
    <row r="58550" ht="15.75" customHeight="1"/>
    <row r="58551" ht="15.75" customHeight="1"/>
    <row r="58552" ht="15.75" customHeight="1"/>
    <row r="58553" ht="15.75" customHeight="1"/>
    <row r="58554" ht="15.75" customHeight="1"/>
    <row r="58555" ht="15.75" customHeight="1"/>
    <row r="58556" ht="15.75" customHeight="1"/>
    <row r="58557" ht="15.75" customHeight="1"/>
    <row r="58558" ht="15.75" customHeight="1"/>
    <row r="58559" ht="15.75" customHeight="1"/>
    <row r="58560" ht="15.75" customHeight="1"/>
    <row r="58561" ht="15.75" customHeight="1"/>
    <row r="58562" ht="15.75" customHeight="1"/>
    <row r="58563" ht="15.75" customHeight="1"/>
    <row r="58564" ht="15.75" customHeight="1"/>
    <row r="58565" ht="15.75" customHeight="1"/>
    <row r="58566" ht="15.75" customHeight="1"/>
    <row r="58567" ht="15.75" customHeight="1"/>
    <row r="58568" ht="15.75" customHeight="1"/>
    <row r="58569" ht="15.75" customHeight="1"/>
    <row r="58570" ht="15.75" customHeight="1"/>
    <row r="58571" ht="15.75" customHeight="1"/>
    <row r="58572" ht="15.75" customHeight="1"/>
    <row r="58573" ht="15.75" customHeight="1"/>
    <row r="58574" ht="15.75" customHeight="1"/>
    <row r="58575" ht="15.75" customHeight="1"/>
    <row r="58576" ht="15.75" customHeight="1"/>
    <row r="58577" ht="15.75" customHeight="1"/>
    <row r="58578" ht="15.75" customHeight="1"/>
    <row r="58579" ht="15.75" customHeight="1"/>
    <row r="58580" ht="15.75" customHeight="1"/>
    <row r="58581" ht="15.75" customHeight="1"/>
    <row r="58582" ht="15.75" customHeight="1"/>
    <row r="58583" ht="15.75" customHeight="1"/>
    <row r="58584" ht="15.75" customHeight="1"/>
    <row r="58585" ht="15.75" customHeight="1"/>
    <row r="58586" ht="15.75" customHeight="1"/>
    <row r="58587" ht="15.75" customHeight="1"/>
    <row r="58588" ht="15.75" customHeight="1"/>
    <row r="58589" ht="15.75" customHeight="1"/>
    <row r="58590" ht="15.75" customHeight="1"/>
    <row r="58591" ht="15.75" customHeight="1"/>
    <row r="58592" ht="15.75" customHeight="1"/>
    <row r="58593" ht="15.75" customHeight="1"/>
    <row r="58594" ht="15.75" customHeight="1"/>
    <row r="58595" ht="15.75" customHeight="1"/>
    <row r="58596" ht="15.75" customHeight="1"/>
    <row r="58597" ht="15.75" customHeight="1"/>
    <row r="58598" ht="15.75" customHeight="1"/>
    <row r="58599" ht="15.75" customHeight="1"/>
    <row r="58600" ht="15.75" customHeight="1"/>
    <row r="58601" ht="15.75" customHeight="1"/>
    <row r="58602" ht="15.75" customHeight="1"/>
    <row r="58603" ht="15.75" customHeight="1"/>
    <row r="58604" ht="15.75" customHeight="1"/>
    <row r="58605" ht="15.75" customHeight="1"/>
    <row r="58606" ht="15.75" customHeight="1"/>
    <row r="58607" ht="15.75" customHeight="1"/>
    <row r="58608" ht="15.75" customHeight="1"/>
    <row r="58609" ht="15.75" customHeight="1"/>
    <row r="58610" ht="15.75" customHeight="1"/>
    <row r="58611" ht="15.75" customHeight="1"/>
    <row r="58612" ht="15.75" customHeight="1"/>
    <row r="58613" ht="15.75" customHeight="1"/>
    <row r="58614" ht="15.75" customHeight="1"/>
    <row r="58615" ht="15.75" customHeight="1"/>
    <row r="58616" ht="15.75" customHeight="1"/>
    <row r="58617" ht="15.75" customHeight="1"/>
    <row r="58618" ht="15.75" customHeight="1"/>
    <row r="58619" ht="15.75" customHeight="1"/>
    <row r="58620" ht="15.75" customHeight="1"/>
    <row r="58621" ht="15.75" customHeight="1"/>
    <row r="58622" ht="15.75" customHeight="1"/>
    <row r="58623" ht="15.75" customHeight="1"/>
    <row r="58624" ht="15.75" customHeight="1"/>
    <row r="58625" ht="15.75" customHeight="1"/>
    <row r="58626" ht="15.75" customHeight="1"/>
    <row r="58627" ht="15.75" customHeight="1"/>
    <row r="58628" ht="15.75" customHeight="1"/>
    <row r="58629" ht="15.75" customHeight="1"/>
    <row r="58630" ht="15.75" customHeight="1"/>
    <row r="58631" ht="15.75" customHeight="1"/>
    <row r="58632" ht="15.75" customHeight="1"/>
    <row r="58633" ht="15.75" customHeight="1"/>
    <row r="58634" ht="15.75" customHeight="1"/>
    <row r="58635" ht="15.75" customHeight="1"/>
    <row r="58636" ht="15.75" customHeight="1"/>
    <row r="58637" ht="15.75" customHeight="1"/>
    <row r="58638" ht="15.75" customHeight="1"/>
    <row r="58639" ht="15.75" customHeight="1"/>
    <row r="58640" ht="15.75" customHeight="1"/>
    <row r="58641" ht="15.75" customHeight="1"/>
    <row r="58642" ht="15.75" customHeight="1"/>
    <row r="58643" ht="15.75" customHeight="1"/>
    <row r="58644" ht="15.75" customHeight="1"/>
    <row r="58645" ht="15.75" customHeight="1"/>
    <row r="58646" ht="15.75" customHeight="1"/>
    <row r="58647" ht="15.75" customHeight="1"/>
    <row r="58648" ht="15.75" customHeight="1"/>
    <row r="58649" ht="15.75" customHeight="1"/>
    <row r="58650" ht="15.75" customHeight="1"/>
    <row r="58651" ht="15.75" customHeight="1"/>
    <row r="58652" ht="15.75" customHeight="1"/>
    <row r="58653" ht="15.75" customHeight="1"/>
    <row r="58654" ht="15.75" customHeight="1"/>
    <row r="58655" ht="15.75" customHeight="1"/>
    <row r="58656" ht="15.75" customHeight="1"/>
    <row r="58657" ht="15.75" customHeight="1"/>
    <row r="58658" ht="15.75" customHeight="1"/>
    <row r="58659" ht="15.75" customHeight="1"/>
    <row r="58660" ht="15.75" customHeight="1"/>
    <row r="58661" ht="15.75" customHeight="1"/>
    <row r="58662" ht="15.75" customHeight="1"/>
    <row r="58663" ht="15.75" customHeight="1"/>
    <row r="58664" ht="15.75" customHeight="1"/>
    <row r="58665" ht="15.75" customHeight="1"/>
    <row r="58666" ht="15.75" customHeight="1"/>
    <row r="58667" ht="15.75" customHeight="1"/>
    <row r="58668" ht="15.75" customHeight="1"/>
    <row r="58669" ht="15.75" customHeight="1"/>
    <row r="58670" ht="15.75" customHeight="1"/>
    <row r="58671" ht="15.75" customHeight="1"/>
    <row r="58672" ht="15.75" customHeight="1"/>
    <row r="58673" ht="15.75" customHeight="1"/>
    <row r="58674" ht="15.75" customHeight="1"/>
    <row r="58675" ht="15.75" customHeight="1"/>
    <row r="58676" ht="15.75" customHeight="1"/>
    <row r="58677" ht="15.75" customHeight="1"/>
    <row r="58678" ht="15.75" customHeight="1"/>
    <row r="58679" ht="15.75" customHeight="1"/>
    <row r="58680" ht="15.75" customHeight="1"/>
    <row r="58681" ht="15.75" customHeight="1"/>
    <row r="58682" ht="15.75" customHeight="1"/>
    <row r="58683" ht="15.75" customHeight="1"/>
    <row r="58684" ht="15.75" customHeight="1"/>
    <row r="58685" ht="15.75" customHeight="1"/>
    <row r="58686" ht="15.75" customHeight="1"/>
    <row r="58687" ht="15.75" customHeight="1"/>
    <row r="58688" ht="15.75" customHeight="1"/>
    <row r="58689" ht="15.75" customHeight="1"/>
    <row r="58690" ht="15.75" customHeight="1"/>
    <row r="58691" ht="15.75" customHeight="1"/>
    <row r="58692" ht="15.75" customHeight="1"/>
    <row r="58693" ht="15.75" customHeight="1"/>
    <row r="58694" ht="15.75" customHeight="1"/>
    <row r="58695" ht="15.75" customHeight="1"/>
    <row r="58696" ht="15.75" customHeight="1"/>
    <row r="58697" ht="15.75" customHeight="1"/>
    <row r="58698" ht="15.75" customHeight="1"/>
    <row r="58699" ht="15.75" customHeight="1"/>
    <row r="58700" ht="15.75" customHeight="1"/>
    <row r="58701" ht="15.75" customHeight="1"/>
    <row r="58702" ht="15.75" customHeight="1"/>
    <row r="58703" ht="15.75" customHeight="1"/>
    <row r="58704" ht="15.75" customHeight="1"/>
    <row r="58705" ht="15.75" customHeight="1"/>
    <row r="58706" ht="15.75" customHeight="1"/>
    <row r="58707" ht="15.75" customHeight="1"/>
    <row r="58708" ht="15.75" customHeight="1"/>
    <row r="58709" ht="15.75" customHeight="1"/>
    <row r="58710" ht="15.75" customHeight="1"/>
    <row r="58711" ht="15.75" customHeight="1"/>
    <row r="58712" ht="15.75" customHeight="1"/>
    <row r="58713" ht="15.75" customHeight="1"/>
    <row r="58714" ht="15.75" customHeight="1"/>
    <row r="58715" ht="15.75" customHeight="1"/>
    <row r="58716" ht="15.75" customHeight="1"/>
    <row r="58717" ht="15.75" customHeight="1"/>
    <row r="58718" ht="15.75" customHeight="1"/>
    <row r="58719" ht="15.75" customHeight="1"/>
    <row r="58720" ht="15.75" customHeight="1"/>
    <row r="58721" ht="15.75" customHeight="1"/>
    <row r="58722" ht="15.75" customHeight="1"/>
    <row r="58723" ht="15.75" customHeight="1"/>
    <row r="58724" ht="15.75" customHeight="1"/>
    <row r="58725" ht="15.75" customHeight="1"/>
    <row r="58726" ht="15.75" customHeight="1"/>
    <row r="58727" ht="15.75" customHeight="1"/>
    <row r="58728" ht="15.75" customHeight="1"/>
    <row r="58729" ht="15.75" customHeight="1"/>
    <row r="58730" ht="15.75" customHeight="1"/>
    <row r="58731" ht="15.75" customHeight="1"/>
    <row r="58732" ht="15.75" customHeight="1"/>
    <row r="58733" ht="15.75" customHeight="1"/>
    <row r="58734" ht="15.75" customHeight="1"/>
    <row r="58735" ht="15.75" customHeight="1"/>
    <row r="58736" ht="15.75" customHeight="1"/>
    <row r="58737" ht="15.75" customHeight="1"/>
    <row r="58738" ht="15.75" customHeight="1"/>
    <row r="58739" ht="15.75" customHeight="1"/>
    <row r="58740" ht="15.75" customHeight="1"/>
    <row r="58741" ht="15.75" customHeight="1"/>
    <row r="58742" ht="15.75" customHeight="1"/>
    <row r="58743" ht="15.75" customHeight="1"/>
    <row r="58744" ht="15.75" customHeight="1"/>
    <row r="58745" ht="15.75" customHeight="1"/>
    <row r="58746" ht="15.75" customHeight="1"/>
    <row r="58747" ht="15.75" customHeight="1"/>
    <row r="58748" ht="15.75" customHeight="1"/>
    <row r="58749" ht="15.75" customHeight="1"/>
    <row r="58750" ht="15.75" customHeight="1"/>
    <row r="58751" ht="15.75" customHeight="1"/>
    <row r="58752" ht="15.75" customHeight="1"/>
    <row r="58753" ht="15.75" customHeight="1"/>
    <row r="58754" ht="15.75" customHeight="1"/>
    <row r="58755" ht="15.75" customHeight="1"/>
    <row r="58756" ht="15.75" customHeight="1"/>
    <row r="58757" ht="15.75" customHeight="1"/>
    <row r="58758" ht="15.75" customHeight="1"/>
    <row r="58759" ht="15.75" customHeight="1"/>
    <row r="58760" ht="15.75" customHeight="1"/>
    <row r="58761" ht="15.75" customHeight="1"/>
    <row r="58762" ht="15.75" customHeight="1"/>
    <row r="58763" ht="15.75" customHeight="1"/>
    <row r="58764" ht="15.75" customHeight="1"/>
    <row r="58765" ht="15.75" customHeight="1"/>
    <row r="58766" ht="15.75" customHeight="1"/>
    <row r="58767" ht="15.75" customHeight="1"/>
    <row r="58768" ht="15.75" customHeight="1"/>
    <row r="58769" ht="15.75" customHeight="1"/>
    <row r="58770" ht="15.75" customHeight="1"/>
    <row r="58771" ht="15.75" customHeight="1"/>
    <row r="58772" ht="15.75" customHeight="1"/>
    <row r="58773" ht="15.75" customHeight="1"/>
    <row r="58774" ht="15.75" customHeight="1"/>
    <row r="58775" ht="15.75" customHeight="1"/>
    <row r="58776" ht="15.75" customHeight="1"/>
    <row r="58777" ht="15.75" customHeight="1"/>
    <row r="58778" ht="15.75" customHeight="1"/>
    <row r="58779" ht="15.75" customHeight="1"/>
    <row r="58780" ht="15.75" customHeight="1"/>
    <row r="58781" ht="15.75" customHeight="1"/>
    <row r="58782" ht="15.75" customHeight="1"/>
    <row r="58783" ht="15.75" customHeight="1"/>
    <row r="58784" ht="15.75" customHeight="1"/>
    <row r="58785" ht="15.75" customHeight="1"/>
    <row r="58786" ht="15.75" customHeight="1"/>
    <row r="58787" ht="15.75" customHeight="1"/>
    <row r="58788" ht="15.75" customHeight="1"/>
    <row r="58789" ht="15.75" customHeight="1"/>
    <row r="58790" ht="15.75" customHeight="1"/>
    <row r="58791" ht="15.75" customHeight="1"/>
    <row r="58792" ht="15.75" customHeight="1"/>
    <row r="58793" ht="15.75" customHeight="1"/>
    <row r="58794" ht="15.75" customHeight="1"/>
    <row r="58795" ht="15.75" customHeight="1"/>
    <row r="58796" ht="15.75" customHeight="1"/>
    <row r="58797" ht="15.75" customHeight="1"/>
    <row r="58798" ht="15.75" customHeight="1"/>
    <row r="58799" ht="15.75" customHeight="1"/>
    <row r="58800" ht="15.75" customHeight="1"/>
    <row r="58801" ht="15.75" customHeight="1"/>
    <row r="58802" ht="15.75" customHeight="1"/>
    <row r="58803" ht="15.75" customHeight="1"/>
    <row r="58804" ht="15.75" customHeight="1"/>
    <row r="58805" ht="15.75" customHeight="1"/>
    <row r="58806" ht="15.75" customHeight="1"/>
    <row r="58807" ht="15.75" customHeight="1"/>
    <row r="58808" ht="15.75" customHeight="1"/>
    <row r="58809" ht="15.75" customHeight="1"/>
    <row r="58810" ht="15.75" customHeight="1"/>
    <row r="58811" ht="15.75" customHeight="1"/>
    <row r="58812" ht="15.75" customHeight="1"/>
    <row r="58813" ht="15.75" customHeight="1"/>
    <row r="58814" ht="15.75" customHeight="1"/>
    <row r="58815" ht="15.75" customHeight="1"/>
    <row r="58816" ht="15.75" customHeight="1"/>
    <row r="58817" ht="15.75" customHeight="1"/>
    <row r="58818" ht="15.75" customHeight="1"/>
    <row r="58819" ht="15.75" customHeight="1"/>
    <row r="58820" ht="15.75" customHeight="1"/>
    <row r="58821" ht="15.75" customHeight="1"/>
    <row r="58822" ht="15.75" customHeight="1"/>
    <row r="58823" ht="15.75" customHeight="1"/>
    <row r="58824" ht="15.75" customHeight="1"/>
    <row r="58825" ht="15.75" customHeight="1"/>
    <row r="58826" ht="15.75" customHeight="1"/>
    <row r="58827" ht="15.75" customHeight="1"/>
    <row r="58828" ht="15.75" customHeight="1"/>
    <row r="58829" ht="15.75" customHeight="1"/>
    <row r="58830" ht="15.75" customHeight="1"/>
    <row r="58831" ht="15.75" customHeight="1"/>
    <row r="58832" ht="15.75" customHeight="1"/>
    <row r="58833" ht="15.75" customHeight="1"/>
    <row r="58834" ht="15.75" customHeight="1"/>
    <row r="58835" ht="15.75" customHeight="1"/>
    <row r="58836" ht="15.75" customHeight="1"/>
    <row r="58837" ht="15.75" customHeight="1"/>
    <row r="58838" ht="15.75" customHeight="1"/>
    <row r="58839" ht="15.75" customHeight="1"/>
    <row r="58840" ht="15.75" customHeight="1"/>
    <row r="58841" ht="15.75" customHeight="1"/>
    <row r="58842" ht="15.75" customHeight="1"/>
    <row r="58843" ht="15.75" customHeight="1"/>
    <row r="58844" ht="15.75" customHeight="1"/>
    <row r="58845" ht="15.75" customHeight="1"/>
    <row r="58846" ht="15.75" customHeight="1"/>
    <row r="58847" ht="15.75" customHeight="1"/>
    <row r="58848" ht="15.75" customHeight="1"/>
    <row r="58849" ht="15.75" customHeight="1"/>
    <row r="58850" ht="15.75" customHeight="1"/>
    <row r="58851" ht="15.75" customHeight="1"/>
    <row r="58852" ht="15.75" customHeight="1"/>
    <row r="58853" ht="15.75" customHeight="1"/>
    <row r="58854" ht="15.75" customHeight="1"/>
    <row r="58855" ht="15.75" customHeight="1"/>
    <row r="58856" ht="15.75" customHeight="1"/>
    <row r="58857" ht="15.75" customHeight="1"/>
    <row r="58858" ht="15.75" customHeight="1"/>
    <row r="58859" ht="15.75" customHeight="1"/>
    <row r="58860" ht="15.75" customHeight="1"/>
    <row r="58861" ht="15.75" customHeight="1"/>
    <row r="58862" ht="15.75" customHeight="1"/>
    <row r="58863" ht="15.75" customHeight="1"/>
    <row r="58864" ht="15.75" customHeight="1"/>
    <row r="58865" ht="15.75" customHeight="1"/>
    <row r="58866" ht="15.75" customHeight="1"/>
    <row r="58867" ht="15.75" customHeight="1"/>
    <row r="58868" ht="15.75" customHeight="1"/>
    <row r="58869" ht="15.75" customHeight="1"/>
    <row r="58870" ht="15.75" customHeight="1"/>
    <row r="58871" ht="15.75" customHeight="1"/>
    <row r="58872" ht="15.75" customHeight="1"/>
    <row r="58873" ht="15.75" customHeight="1"/>
    <row r="58874" ht="15.75" customHeight="1"/>
    <row r="58875" ht="15.75" customHeight="1"/>
    <row r="58876" ht="15.75" customHeight="1"/>
    <row r="58877" ht="15.75" customHeight="1"/>
    <row r="58878" ht="15.75" customHeight="1"/>
    <row r="58879" ht="15.75" customHeight="1"/>
    <row r="58880" ht="15.75" customHeight="1"/>
    <row r="58881" ht="15.75" customHeight="1"/>
    <row r="58882" ht="15.75" customHeight="1"/>
    <row r="58883" ht="15.75" customHeight="1"/>
    <row r="58884" ht="15.75" customHeight="1"/>
    <row r="58885" ht="15.75" customHeight="1"/>
    <row r="58886" ht="15.75" customHeight="1"/>
    <row r="58887" ht="15.75" customHeight="1"/>
    <row r="58888" ht="15.75" customHeight="1"/>
    <row r="58889" ht="15.75" customHeight="1"/>
    <row r="58890" ht="15.75" customHeight="1"/>
    <row r="58891" ht="15.75" customHeight="1"/>
    <row r="58892" ht="15.75" customHeight="1"/>
    <row r="58893" ht="15.75" customHeight="1"/>
    <row r="58894" ht="15.75" customHeight="1"/>
    <row r="58895" ht="15.75" customHeight="1"/>
    <row r="58896" ht="15.75" customHeight="1"/>
    <row r="58897" ht="15.75" customHeight="1"/>
    <row r="58898" ht="15.75" customHeight="1"/>
    <row r="58899" ht="15.75" customHeight="1"/>
    <row r="58900" ht="15.75" customHeight="1"/>
    <row r="58901" ht="15.75" customHeight="1"/>
    <row r="58902" ht="15.75" customHeight="1"/>
    <row r="58903" ht="15.75" customHeight="1"/>
    <row r="58904" ht="15.75" customHeight="1"/>
    <row r="58905" ht="15.75" customHeight="1"/>
    <row r="58906" ht="15.75" customHeight="1"/>
    <row r="58907" ht="15.75" customHeight="1"/>
    <row r="58908" ht="15.75" customHeight="1"/>
    <row r="58909" ht="15.75" customHeight="1"/>
    <row r="58910" ht="15.75" customHeight="1"/>
    <row r="58911" ht="15.75" customHeight="1"/>
    <row r="58912" ht="15.75" customHeight="1"/>
    <row r="58913" ht="15.75" customHeight="1"/>
    <row r="58914" ht="15.75" customHeight="1"/>
    <row r="58915" ht="15.75" customHeight="1"/>
    <row r="58916" ht="15.75" customHeight="1"/>
    <row r="58917" ht="15.75" customHeight="1"/>
    <row r="58918" ht="15.75" customHeight="1"/>
    <row r="58919" ht="15.75" customHeight="1"/>
    <row r="58920" ht="15.75" customHeight="1"/>
    <row r="58921" ht="15.75" customHeight="1"/>
    <row r="58922" ht="15.75" customHeight="1"/>
    <row r="58923" ht="15.75" customHeight="1"/>
    <row r="58924" ht="15.75" customHeight="1"/>
    <row r="58925" ht="15.75" customHeight="1"/>
    <row r="58926" ht="15.75" customHeight="1"/>
    <row r="58927" ht="15.75" customHeight="1"/>
    <row r="58928" ht="15.75" customHeight="1"/>
    <row r="58929" ht="15.75" customHeight="1"/>
    <row r="58930" ht="15.75" customHeight="1"/>
    <row r="58931" ht="15.75" customHeight="1"/>
    <row r="58932" ht="15.75" customHeight="1"/>
    <row r="58933" ht="15.75" customHeight="1"/>
    <row r="58934" ht="15.75" customHeight="1"/>
    <row r="58935" ht="15.75" customHeight="1"/>
    <row r="58936" ht="15.75" customHeight="1"/>
    <row r="58937" ht="15.75" customHeight="1"/>
    <row r="58938" ht="15.75" customHeight="1"/>
    <row r="58939" ht="15.75" customHeight="1"/>
    <row r="58940" ht="15.75" customHeight="1"/>
    <row r="58941" ht="15.75" customHeight="1"/>
    <row r="58942" ht="15.75" customHeight="1"/>
    <row r="58943" ht="15.75" customHeight="1"/>
    <row r="58944" ht="15.75" customHeight="1"/>
    <row r="58945" ht="15.75" customHeight="1"/>
    <row r="58946" ht="15.75" customHeight="1"/>
    <row r="58947" ht="15.75" customHeight="1"/>
    <row r="58948" ht="15.75" customHeight="1"/>
    <row r="58949" ht="15.75" customHeight="1"/>
    <row r="58950" ht="15.75" customHeight="1"/>
    <row r="58951" ht="15.75" customHeight="1"/>
    <row r="58952" ht="15.75" customHeight="1"/>
    <row r="58953" ht="15.75" customHeight="1"/>
    <row r="58954" ht="15.75" customHeight="1"/>
    <row r="58955" ht="15.75" customHeight="1"/>
    <row r="58956" ht="15.75" customHeight="1"/>
    <row r="58957" ht="15.75" customHeight="1"/>
    <row r="58958" ht="15.75" customHeight="1"/>
    <row r="58959" ht="15.75" customHeight="1"/>
    <row r="58960" ht="15.75" customHeight="1"/>
    <row r="58961" ht="15.75" customHeight="1"/>
    <row r="58962" ht="15.75" customHeight="1"/>
    <row r="58963" ht="15.75" customHeight="1"/>
    <row r="58964" ht="15.75" customHeight="1"/>
    <row r="58965" ht="15.75" customHeight="1"/>
    <row r="58966" ht="15.75" customHeight="1"/>
    <row r="58967" ht="15.75" customHeight="1"/>
    <row r="58968" ht="15.75" customHeight="1"/>
    <row r="58969" ht="15.75" customHeight="1"/>
    <row r="58970" ht="15.75" customHeight="1"/>
    <row r="58971" ht="15.75" customHeight="1"/>
    <row r="58972" ht="15.75" customHeight="1"/>
    <row r="58973" ht="15.75" customHeight="1"/>
    <row r="58974" ht="15.75" customHeight="1"/>
    <row r="58975" ht="15.75" customHeight="1"/>
    <row r="58976" ht="15.75" customHeight="1"/>
    <row r="58977" ht="15.75" customHeight="1"/>
    <row r="58978" ht="15.75" customHeight="1"/>
    <row r="58979" ht="15.75" customHeight="1"/>
    <row r="58980" ht="15.75" customHeight="1"/>
    <row r="58981" ht="15.75" customHeight="1"/>
    <row r="58982" ht="15.75" customHeight="1"/>
    <row r="58983" ht="15.75" customHeight="1"/>
    <row r="58984" ht="15.75" customHeight="1"/>
    <row r="58985" ht="15.75" customHeight="1"/>
    <row r="58986" ht="15.75" customHeight="1"/>
    <row r="58987" ht="15.75" customHeight="1"/>
    <row r="58988" ht="15.75" customHeight="1"/>
    <row r="58989" ht="15.75" customHeight="1"/>
    <row r="58990" ht="15.75" customHeight="1"/>
    <row r="58991" ht="15.75" customHeight="1"/>
    <row r="58992" ht="15.75" customHeight="1"/>
    <row r="58993" ht="15.75" customHeight="1"/>
    <row r="58994" ht="15.75" customHeight="1"/>
    <row r="58995" ht="15.75" customHeight="1"/>
    <row r="58996" ht="15.75" customHeight="1"/>
    <row r="58997" ht="15.75" customHeight="1"/>
    <row r="58998" ht="15.75" customHeight="1"/>
    <row r="58999" ht="15.75" customHeight="1"/>
    <row r="59000" ht="15.75" customHeight="1"/>
    <row r="59001" ht="15.75" customHeight="1"/>
    <row r="59002" ht="15.75" customHeight="1"/>
    <row r="59003" ht="15.75" customHeight="1"/>
    <row r="59004" ht="15.75" customHeight="1"/>
    <row r="59005" ht="15.75" customHeight="1"/>
    <row r="59006" ht="15.75" customHeight="1"/>
    <row r="59007" ht="15.75" customHeight="1"/>
    <row r="59008" ht="15.75" customHeight="1"/>
    <row r="59009" ht="15.75" customHeight="1"/>
    <row r="59010" ht="15.75" customHeight="1"/>
    <row r="59011" ht="15.75" customHeight="1"/>
    <row r="59012" ht="15.75" customHeight="1"/>
    <row r="59013" ht="15.75" customHeight="1"/>
    <row r="59014" ht="15.75" customHeight="1"/>
    <row r="59015" ht="15.75" customHeight="1"/>
    <row r="59016" ht="15.75" customHeight="1"/>
    <row r="59017" ht="15.75" customHeight="1"/>
    <row r="59018" ht="15.75" customHeight="1"/>
    <row r="59019" ht="15.75" customHeight="1"/>
    <row r="59020" ht="15.75" customHeight="1"/>
    <row r="59021" ht="15.75" customHeight="1"/>
    <row r="59022" ht="15.75" customHeight="1"/>
    <row r="59023" ht="15.75" customHeight="1"/>
    <row r="59024" ht="15.75" customHeight="1"/>
    <row r="59025" ht="15.75" customHeight="1"/>
    <row r="59026" ht="15.75" customHeight="1"/>
    <row r="59027" ht="15.75" customHeight="1"/>
    <row r="59028" ht="15.75" customHeight="1"/>
    <row r="59029" ht="15.75" customHeight="1"/>
    <row r="59030" ht="15.75" customHeight="1"/>
    <row r="59031" ht="15.75" customHeight="1"/>
    <row r="59032" ht="15.75" customHeight="1"/>
    <row r="59033" ht="15.75" customHeight="1"/>
    <row r="59034" ht="15.75" customHeight="1"/>
    <row r="59035" ht="15.75" customHeight="1"/>
    <row r="59036" ht="15.75" customHeight="1"/>
    <row r="59037" ht="15.75" customHeight="1"/>
    <row r="59038" ht="15.75" customHeight="1"/>
    <row r="59039" ht="15.75" customHeight="1"/>
    <row r="59040" ht="15.75" customHeight="1"/>
    <row r="59041" ht="15.75" customHeight="1"/>
    <row r="59042" ht="15.75" customHeight="1"/>
    <row r="59043" ht="15.75" customHeight="1"/>
    <row r="59044" ht="15.75" customHeight="1"/>
    <row r="59045" ht="15.75" customHeight="1"/>
    <row r="59046" ht="15.75" customHeight="1"/>
    <row r="59047" ht="15.75" customHeight="1"/>
    <row r="59048" ht="15.75" customHeight="1"/>
    <row r="59049" ht="15.75" customHeight="1"/>
    <row r="59050" ht="15.75" customHeight="1"/>
    <row r="59051" ht="15.75" customHeight="1"/>
    <row r="59052" ht="15.75" customHeight="1"/>
    <row r="59053" ht="15.75" customHeight="1"/>
    <row r="59054" ht="15.75" customHeight="1"/>
    <row r="59055" ht="15.75" customHeight="1"/>
    <row r="59056" ht="15.75" customHeight="1"/>
    <row r="59057" ht="15.75" customHeight="1"/>
    <row r="59058" ht="15.75" customHeight="1"/>
    <row r="59059" ht="15.75" customHeight="1"/>
    <row r="59060" ht="15.75" customHeight="1"/>
    <row r="59061" ht="15.75" customHeight="1"/>
    <row r="59062" ht="15.75" customHeight="1"/>
    <row r="59063" ht="15.75" customHeight="1"/>
    <row r="59064" ht="15.75" customHeight="1"/>
    <row r="59065" ht="15.75" customHeight="1"/>
    <row r="59066" ht="15.75" customHeight="1"/>
    <row r="59067" ht="15.75" customHeight="1"/>
    <row r="59068" ht="15.75" customHeight="1"/>
    <row r="59069" ht="15.75" customHeight="1"/>
    <row r="59070" ht="15.75" customHeight="1"/>
    <row r="59071" ht="15.75" customHeight="1"/>
    <row r="59072" ht="15.75" customHeight="1"/>
    <row r="59073" ht="15.75" customHeight="1"/>
    <row r="59074" ht="15.75" customHeight="1"/>
    <row r="59075" ht="15.75" customHeight="1"/>
    <row r="59076" ht="15.75" customHeight="1"/>
    <row r="59077" ht="15.75" customHeight="1"/>
    <row r="59078" ht="15.75" customHeight="1"/>
    <row r="59079" ht="15.75" customHeight="1"/>
    <row r="59080" ht="15.75" customHeight="1"/>
    <row r="59081" ht="15.75" customHeight="1"/>
    <row r="59082" ht="15.75" customHeight="1"/>
    <row r="59083" ht="15.75" customHeight="1"/>
    <row r="59084" ht="15.75" customHeight="1"/>
    <row r="59085" ht="15.75" customHeight="1"/>
    <row r="59086" ht="15.75" customHeight="1"/>
    <row r="59087" ht="15.75" customHeight="1"/>
    <row r="59088" ht="15.75" customHeight="1"/>
    <row r="59089" ht="15.75" customHeight="1"/>
    <row r="59090" ht="15.75" customHeight="1"/>
    <row r="59091" ht="15.75" customHeight="1"/>
    <row r="59092" ht="15.75" customHeight="1"/>
    <row r="59093" ht="15.75" customHeight="1"/>
    <row r="59094" ht="15.75" customHeight="1"/>
    <row r="59095" ht="15.75" customHeight="1"/>
    <row r="59096" ht="15.75" customHeight="1"/>
    <row r="59097" ht="15.75" customHeight="1"/>
    <row r="59098" ht="15.75" customHeight="1"/>
    <row r="59099" ht="15.75" customHeight="1"/>
    <row r="59100" ht="15.75" customHeight="1"/>
    <row r="59101" ht="15.75" customHeight="1"/>
    <row r="59102" ht="15.75" customHeight="1"/>
    <row r="59103" ht="15.75" customHeight="1"/>
    <row r="59104" ht="15.75" customHeight="1"/>
    <row r="59105" ht="15.75" customHeight="1"/>
    <row r="59106" ht="15.75" customHeight="1"/>
    <row r="59107" ht="15.75" customHeight="1"/>
    <row r="59108" ht="15.75" customHeight="1"/>
    <row r="59109" ht="15.75" customHeight="1"/>
    <row r="59110" ht="15.75" customHeight="1"/>
    <row r="59111" ht="15.75" customHeight="1"/>
    <row r="59112" ht="15.75" customHeight="1"/>
    <row r="59113" ht="15.75" customHeight="1"/>
    <row r="59114" ht="15.75" customHeight="1"/>
    <row r="59115" ht="15.75" customHeight="1"/>
    <row r="59116" ht="15.75" customHeight="1"/>
    <row r="59117" ht="15.75" customHeight="1"/>
    <row r="59118" ht="15.75" customHeight="1"/>
    <row r="59119" ht="15.75" customHeight="1"/>
    <row r="59120" ht="15.75" customHeight="1"/>
    <row r="59121" ht="15.75" customHeight="1"/>
    <row r="59122" ht="15.75" customHeight="1"/>
    <row r="59123" ht="15.75" customHeight="1"/>
    <row r="59124" ht="15.75" customHeight="1"/>
    <row r="59125" ht="15.75" customHeight="1"/>
    <row r="59126" ht="15.75" customHeight="1"/>
    <row r="59127" ht="15.75" customHeight="1"/>
    <row r="59128" ht="15.75" customHeight="1"/>
    <row r="59129" ht="15.75" customHeight="1"/>
    <row r="59130" ht="15.75" customHeight="1"/>
    <row r="59131" ht="15.75" customHeight="1"/>
    <row r="59132" ht="15.75" customHeight="1"/>
    <row r="59133" ht="15.75" customHeight="1"/>
    <row r="59134" ht="15.75" customHeight="1"/>
    <row r="59135" ht="15.75" customHeight="1"/>
    <row r="59136" ht="15.75" customHeight="1"/>
    <row r="59137" ht="15.75" customHeight="1"/>
    <row r="59138" ht="15.75" customHeight="1"/>
    <row r="59139" ht="15.75" customHeight="1"/>
    <row r="59140" ht="15.75" customHeight="1"/>
    <row r="59141" ht="15.75" customHeight="1"/>
    <row r="59142" ht="15.75" customHeight="1"/>
    <row r="59143" ht="15.75" customHeight="1"/>
    <row r="59144" ht="15.75" customHeight="1"/>
    <row r="59145" ht="15.75" customHeight="1"/>
    <row r="59146" ht="15.75" customHeight="1"/>
    <row r="59147" ht="15.75" customHeight="1"/>
    <row r="59148" ht="15.75" customHeight="1"/>
    <row r="59149" ht="15.75" customHeight="1"/>
    <row r="59150" ht="15.75" customHeight="1"/>
    <row r="59151" ht="15.75" customHeight="1"/>
    <row r="59152" ht="15.75" customHeight="1"/>
    <row r="59153" ht="15.75" customHeight="1"/>
    <row r="59154" ht="15.75" customHeight="1"/>
    <row r="59155" ht="15.75" customHeight="1"/>
    <row r="59156" ht="15.75" customHeight="1"/>
    <row r="59157" ht="15.75" customHeight="1"/>
    <row r="59158" ht="15.75" customHeight="1"/>
    <row r="59159" ht="15.75" customHeight="1"/>
    <row r="59160" ht="15.75" customHeight="1"/>
    <row r="59161" ht="15.75" customHeight="1"/>
    <row r="59162" ht="15.75" customHeight="1"/>
    <row r="59163" ht="15.75" customHeight="1"/>
    <row r="59164" ht="15.75" customHeight="1"/>
    <row r="59165" ht="15.75" customHeight="1"/>
    <row r="59166" ht="15.75" customHeight="1"/>
    <row r="59167" ht="15.75" customHeight="1"/>
    <row r="59168" ht="15.75" customHeight="1"/>
    <row r="59169" ht="15.75" customHeight="1"/>
    <row r="59170" ht="15.75" customHeight="1"/>
    <row r="59171" ht="15.75" customHeight="1"/>
    <row r="59172" ht="15.75" customHeight="1"/>
    <row r="59173" ht="15.75" customHeight="1"/>
    <row r="59174" ht="15.75" customHeight="1"/>
    <row r="59175" ht="15.75" customHeight="1"/>
    <row r="59176" ht="15.75" customHeight="1"/>
    <row r="59177" ht="15.75" customHeight="1"/>
    <row r="59178" ht="15.75" customHeight="1"/>
    <row r="59179" ht="15.75" customHeight="1"/>
    <row r="59180" ht="15.75" customHeight="1"/>
    <row r="59181" ht="15.75" customHeight="1"/>
    <row r="59182" ht="15.75" customHeight="1"/>
    <row r="59183" ht="15.75" customHeight="1"/>
    <row r="59184" ht="15.75" customHeight="1"/>
    <row r="59185" ht="15.75" customHeight="1"/>
    <row r="59186" ht="15.75" customHeight="1"/>
    <row r="59187" ht="15.75" customHeight="1"/>
    <row r="59188" ht="15.75" customHeight="1"/>
    <row r="59189" ht="15.75" customHeight="1"/>
    <row r="59190" ht="15.75" customHeight="1"/>
    <row r="59191" ht="15.75" customHeight="1"/>
    <row r="59192" ht="15.75" customHeight="1"/>
    <row r="59193" ht="15.75" customHeight="1"/>
    <row r="59194" ht="15.75" customHeight="1"/>
    <row r="59195" ht="15.75" customHeight="1"/>
    <row r="59196" ht="15.75" customHeight="1"/>
    <row r="59197" ht="15.75" customHeight="1"/>
    <row r="59198" ht="15.75" customHeight="1"/>
    <row r="59199" ht="15.75" customHeight="1"/>
    <row r="59200" ht="15.75" customHeight="1"/>
    <row r="59201" ht="15.75" customHeight="1"/>
    <row r="59202" ht="15.75" customHeight="1"/>
    <row r="59203" ht="15.75" customHeight="1"/>
    <row r="59204" ht="15.75" customHeight="1"/>
    <row r="59205" ht="15.75" customHeight="1"/>
    <row r="59206" ht="15.75" customHeight="1"/>
    <row r="59207" ht="15.75" customHeight="1"/>
    <row r="59208" ht="15.75" customHeight="1"/>
    <row r="59209" ht="15.75" customHeight="1"/>
    <row r="59210" ht="15.75" customHeight="1"/>
    <row r="59211" ht="15.75" customHeight="1"/>
    <row r="59212" ht="15.75" customHeight="1"/>
    <row r="59213" ht="15.75" customHeight="1"/>
    <row r="59214" ht="15.75" customHeight="1"/>
    <row r="59215" ht="15.75" customHeight="1"/>
    <row r="59216" ht="15.75" customHeight="1"/>
    <row r="59217" ht="15.75" customHeight="1"/>
    <row r="59218" ht="15.75" customHeight="1"/>
    <row r="59219" ht="15.75" customHeight="1"/>
    <row r="59220" ht="15.75" customHeight="1"/>
    <row r="59221" ht="15.75" customHeight="1"/>
    <row r="59222" ht="15.75" customHeight="1"/>
    <row r="59223" ht="15.75" customHeight="1"/>
    <row r="59224" ht="15.75" customHeight="1"/>
    <row r="59225" ht="15.75" customHeight="1"/>
    <row r="59226" ht="15.75" customHeight="1"/>
    <row r="59227" ht="15.75" customHeight="1"/>
    <row r="59228" ht="15.75" customHeight="1"/>
    <row r="59229" ht="15.75" customHeight="1"/>
    <row r="59230" ht="15.75" customHeight="1"/>
    <row r="59231" ht="15.75" customHeight="1"/>
    <row r="59232" ht="15.75" customHeight="1"/>
    <row r="59233" ht="15.75" customHeight="1"/>
    <row r="59234" ht="15.75" customHeight="1"/>
    <row r="59235" ht="15.75" customHeight="1"/>
    <row r="59236" ht="15.75" customHeight="1"/>
    <row r="59237" ht="15.75" customHeight="1"/>
    <row r="59238" ht="15.75" customHeight="1"/>
    <row r="59239" ht="15.75" customHeight="1"/>
    <row r="59240" ht="15.75" customHeight="1"/>
    <row r="59241" ht="15.75" customHeight="1"/>
    <row r="59242" ht="15.75" customHeight="1"/>
    <row r="59243" ht="15.75" customHeight="1"/>
    <row r="59244" ht="15.75" customHeight="1"/>
    <row r="59245" ht="15.75" customHeight="1"/>
    <row r="59246" ht="15.75" customHeight="1"/>
    <row r="59247" ht="15.75" customHeight="1"/>
    <row r="59248" ht="15.75" customHeight="1"/>
    <row r="59249" ht="15.75" customHeight="1"/>
    <row r="59250" ht="15.75" customHeight="1"/>
    <row r="59251" ht="15.75" customHeight="1"/>
    <row r="59252" ht="15.75" customHeight="1"/>
    <row r="59253" ht="15.75" customHeight="1"/>
    <row r="59254" ht="15.75" customHeight="1"/>
    <row r="59255" ht="15.75" customHeight="1"/>
    <row r="59256" ht="15.75" customHeight="1"/>
    <row r="59257" ht="15.75" customHeight="1"/>
    <row r="59258" ht="15.75" customHeight="1"/>
    <row r="59259" ht="15.75" customHeight="1"/>
    <row r="59260" ht="15.75" customHeight="1"/>
    <row r="59261" ht="15.75" customHeight="1"/>
    <row r="59262" ht="15.75" customHeight="1"/>
    <row r="59263" ht="15.75" customHeight="1"/>
    <row r="59264" ht="15.75" customHeight="1"/>
    <row r="59265" ht="15.75" customHeight="1"/>
    <row r="59266" ht="15.75" customHeight="1"/>
    <row r="59267" ht="15.75" customHeight="1"/>
    <row r="59268" ht="15.75" customHeight="1"/>
    <row r="59269" ht="15.75" customHeight="1"/>
    <row r="59270" ht="15.75" customHeight="1"/>
    <row r="59271" ht="15.75" customHeight="1"/>
    <row r="59272" ht="15.75" customHeight="1"/>
    <row r="59273" ht="15.75" customHeight="1"/>
    <row r="59274" ht="15.75" customHeight="1"/>
    <row r="59275" ht="15.75" customHeight="1"/>
    <row r="59276" ht="15.75" customHeight="1"/>
    <row r="59277" ht="15.75" customHeight="1"/>
    <row r="59278" ht="15.75" customHeight="1"/>
    <row r="59279" ht="15.75" customHeight="1"/>
    <row r="59280" ht="15.75" customHeight="1"/>
    <row r="59281" ht="15.75" customHeight="1"/>
    <row r="59282" ht="15.75" customHeight="1"/>
    <row r="59283" ht="15.75" customHeight="1"/>
    <row r="59284" ht="15.75" customHeight="1"/>
    <row r="59285" ht="15.75" customHeight="1"/>
    <row r="59286" ht="15.75" customHeight="1"/>
    <row r="59287" ht="15.75" customHeight="1"/>
    <row r="59288" ht="15.75" customHeight="1"/>
    <row r="59289" ht="15.75" customHeight="1"/>
    <row r="59290" ht="15.75" customHeight="1"/>
    <row r="59291" ht="15.75" customHeight="1"/>
    <row r="59292" ht="15.75" customHeight="1"/>
    <row r="59293" ht="15.75" customHeight="1"/>
    <row r="59294" ht="15.75" customHeight="1"/>
    <row r="59295" ht="15.75" customHeight="1"/>
    <row r="59296" ht="15.75" customHeight="1"/>
    <row r="59297" ht="15.75" customHeight="1"/>
    <row r="59298" ht="15.75" customHeight="1"/>
    <row r="59299" ht="15.75" customHeight="1"/>
    <row r="59300" ht="15.75" customHeight="1"/>
    <row r="59301" ht="15.75" customHeight="1"/>
    <row r="59302" ht="15.75" customHeight="1"/>
    <row r="59303" ht="15.75" customHeight="1"/>
    <row r="59304" ht="15.75" customHeight="1"/>
    <row r="59305" ht="15.75" customHeight="1"/>
    <row r="59306" ht="15.75" customHeight="1"/>
    <row r="59307" ht="15.75" customHeight="1"/>
    <row r="59308" ht="15.75" customHeight="1"/>
    <row r="59309" ht="15.75" customHeight="1"/>
    <row r="59310" ht="15.75" customHeight="1"/>
    <row r="59311" ht="15.75" customHeight="1"/>
    <row r="59312" ht="15.75" customHeight="1"/>
    <row r="59313" ht="15.75" customHeight="1"/>
    <row r="59314" ht="15.75" customHeight="1"/>
    <row r="59315" ht="15.75" customHeight="1"/>
    <row r="59316" ht="15.75" customHeight="1"/>
    <row r="59317" ht="15.75" customHeight="1"/>
    <row r="59318" ht="15.75" customHeight="1"/>
    <row r="59319" ht="15.75" customHeight="1"/>
    <row r="59320" ht="15.75" customHeight="1"/>
    <row r="59321" ht="15.75" customHeight="1"/>
    <row r="59322" ht="15.75" customHeight="1"/>
    <row r="59323" ht="15.75" customHeight="1"/>
    <row r="59324" ht="15.75" customHeight="1"/>
    <row r="59325" ht="15.75" customHeight="1"/>
    <row r="59326" ht="15.75" customHeight="1"/>
    <row r="59327" ht="15.75" customHeight="1"/>
    <row r="59328" ht="15.75" customHeight="1"/>
    <row r="59329" ht="15.75" customHeight="1"/>
    <row r="59330" ht="15.75" customHeight="1"/>
    <row r="59331" ht="15.75" customHeight="1"/>
    <row r="59332" ht="15.75" customHeight="1"/>
    <row r="59333" ht="15.75" customHeight="1"/>
    <row r="59334" ht="15.75" customHeight="1"/>
    <row r="59335" ht="15.75" customHeight="1"/>
    <row r="59336" ht="15.75" customHeight="1"/>
    <row r="59337" ht="15.75" customHeight="1"/>
    <row r="59338" ht="15.75" customHeight="1"/>
    <row r="59339" ht="15.75" customHeight="1"/>
    <row r="59340" ht="15.75" customHeight="1"/>
    <row r="59341" ht="15.75" customHeight="1"/>
    <row r="59342" ht="15.75" customHeight="1"/>
    <row r="59343" ht="15.75" customHeight="1"/>
    <row r="59344" ht="15.75" customHeight="1"/>
    <row r="59345" ht="15.75" customHeight="1"/>
    <row r="59346" ht="15.75" customHeight="1"/>
    <row r="59347" ht="15.75" customHeight="1"/>
    <row r="59348" ht="15.75" customHeight="1"/>
    <row r="59349" ht="15.75" customHeight="1"/>
    <row r="59350" ht="15.75" customHeight="1"/>
    <row r="59351" ht="15.75" customHeight="1"/>
    <row r="59352" ht="15.75" customHeight="1"/>
    <row r="59353" ht="15.75" customHeight="1"/>
    <row r="59354" ht="15.75" customHeight="1"/>
    <row r="59355" ht="15.75" customHeight="1"/>
    <row r="59356" ht="15.75" customHeight="1"/>
    <row r="59357" ht="15.75" customHeight="1"/>
    <row r="59358" ht="15.75" customHeight="1"/>
    <row r="59359" ht="15.75" customHeight="1"/>
    <row r="59360" ht="15.75" customHeight="1"/>
    <row r="59361" ht="15.75" customHeight="1"/>
    <row r="59362" ht="15.75" customHeight="1"/>
    <row r="59363" ht="15.75" customHeight="1"/>
    <row r="59364" ht="15.75" customHeight="1"/>
    <row r="59365" ht="15.75" customHeight="1"/>
    <row r="59366" ht="15.75" customHeight="1"/>
    <row r="59367" ht="15.75" customHeight="1"/>
    <row r="59368" ht="15.75" customHeight="1"/>
    <row r="59369" ht="15.75" customHeight="1"/>
    <row r="59370" ht="15.75" customHeight="1"/>
    <row r="59371" ht="15.75" customHeight="1"/>
    <row r="59372" ht="15.75" customHeight="1"/>
    <row r="59373" ht="15.75" customHeight="1"/>
    <row r="59374" ht="15.75" customHeight="1"/>
    <row r="59375" ht="15.75" customHeight="1"/>
    <row r="59376" ht="15.75" customHeight="1"/>
    <row r="59377" ht="15.75" customHeight="1"/>
    <row r="59378" ht="15.75" customHeight="1"/>
    <row r="59379" ht="15.75" customHeight="1"/>
    <row r="59380" ht="15.75" customHeight="1"/>
    <row r="59381" ht="15.75" customHeight="1"/>
    <row r="59382" ht="15.75" customHeight="1"/>
    <row r="59383" ht="15.75" customHeight="1"/>
    <row r="59384" ht="15.75" customHeight="1"/>
    <row r="59385" ht="15.75" customHeight="1"/>
    <row r="59386" ht="15.75" customHeight="1"/>
    <row r="59387" ht="15.75" customHeight="1"/>
    <row r="59388" ht="15.75" customHeight="1"/>
    <row r="59389" ht="15.75" customHeight="1"/>
    <row r="59390" ht="15.75" customHeight="1"/>
    <row r="59391" ht="15.75" customHeight="1"/>
    <row r="59392" ht="15.75" customHeight="1"/>
    <row r="59393" ht="15.75" customHeight="1"/>
    <row r="59394" ht="15.75" customHeight="1"/>
    <row r="59395" ht="15.75" customHeight="1"/>
    <row r="59396" ht="15.75" customHeight="1"/>
    <row r="59397" ht="15.75" customHeight="1"/>
    <row r="59398" ht="15.75" customHeight="1"/>
    <row r="59399" ht="15.75" customHeight="1"/>
    <row r="59400" ht="15.75" customHeight="1"/>
    <row r="59401" ht="15.75" customHeight="1"/>
    <row r="59402" ht="15.75" customHeight="1"/>
    <row r="59403" ht="15.75" customHeight="1"/>
    <row r="59404" ht="15.75" customHeight="1"/>
    <row r="59405" ht="15.75" customHeight="1"/>
    <row r="59406" ht="15.75" customHeight="1"/>
    <row r="59407" ht="15.75" customHeight="1"/>
    <row r="59408" ht="15.75" customHeight="1"/>
    <row r="59409" ht="15.75" customHeight="1"/>
    <row r="59410" ht="15.75" customHeight="1"/>
    <row r="59411" ht="15.75" customHeight="1"/>
    <row r="59412" ht="15.75" customHeight="1"/>
    <row r="59413" ht="15.75" customHeight="1"/>
    <row r="59414" ht="15.75" customHeight="1"/>
    <row r="59415" ht="15.75" customHeight="1"/>
    <row r="59416" ht="15.75" customHeight="1"/>
    <row r="59417" ht="15.75" customHeight="1"/>
    <row r="59418" ht="15.75" customHeight="1"/>
    <row r="59419" ht="15.75" customHeight="1"/>
    <row r="59420" ht="15.75" customHeight="1"/>
    <row r="59421" ht="15.75" customHeight="1"/>
    <row r="59422" ht="15.75" customHeight="1"/>
    <row r="59423" ht="15.75" customHeight="1"/>
    <row r="59424" ht="15.75" customHeight="1"/>
    <row r="59425" ht="15.75" customHeight="1"/>
    <row r="59426" ht="15.75" customHeight="1"/>
    <row r="59427" ht="15.75" customHeight="1"/>
    <row r="59428" ht="15.75" customHeight="1"/>
    <row r="59429" ht="15.75" customHeight="1"/>
    <row r="59430" ht="15.75" customHeight="1"/>
    <row r="59431" ht="15.75" customHeight="1"/>
    <row r="59432" ht="15.75" customHeight="1"/>
    <row r="59433" ht="15.75" customHeight="1"/>
    <row r="59434" ht="15.75" customHeight="1"/>
    <row r="59435" ht="15.75" customHeight="1"/>
    <row r="59436" ht="15.75" customHeight="1"/>
    <row r="59437" ht="15.75" customHeight="1"/>
    <row r="59438" ht="15.75" customHeight="1"/>
    <row r="59439" ht="15.75" customHeight="1"/>
    <row r="59440" ht="15.75" customHeight="1"/>
    <row r="59441" ht="15.75" customHeight="1"/>
    <row r="59442" ht="15.75" customHeight="1"/>
    <row r="59443" ht="15.75" customHeight="1"/>
    <row r="59444" ht="15.75" customHeight="1"/>
    <row r="59445" ht="15.75" customHeight="1"/>
    <row r="59446" ht="15.75" customHeight="1"/>
    <row r="59447" ht="15.75" customHeight="1"/>
    <row r="59448" ht="15.75" customHeight="1"/>
    <row r="59449" ht="15.75" customHeight="1"/>
    <row r="59450" ht="15.75" customHeight="1"/>
    <row r="59451" ht="15.75" customHeight="1"/>
    <row r="59452" ht="15.75" customHeight="1"/>
    <row r="59453" ht="15.75" customHeight="1"/>
    <row r="59454" ht="15.75" customHeight="1"/>
    <row r="59455" ht="15.75" customHeight="1"/>
    <row r="59456" ht="15.75" customHeight="1"/>
    <row r="59457" ht="15.75" customHeight="1"/>
    <row r="59458" ht="15.75" customHeight="1"/>
    <row r="59459" ht="15.75" customHeight="1"/>
    <row r="59460" ht="15.75" customHeight="1"/>
    <row r="59461" ht="15.75" customHeight="1"/>
    <row r="59462" ht="15.75" customHeight="1"/>
    <row r="59463" ht="15.75" customHeight="1"/>
    <row r="59464" ht="15.75" customHeight="1"/>
    <row r="59465" ht="15.75" customHeight="1"/>
    <row r="59466" ht="15.75" customHeight="1"/>
    <row r="59467" ht="15.75" customHeight="1"/>
    <row r="59468" ht="15.75" customHeight="1"/>
    <row r="59469" ht="15.75" customHeight="1"/>
    <row r="59470" ht="15.75" customHeight="1"/>
    <row r="59471" ht="15.75" customHeight="1"/>
    <row r="59472" ht="15.75" customHeight="1"/>
    <row r="59473" ht="15.75" customHeight="1"/>
    <row r="59474" ht="15.75" customHeight="1"/>
    <row r="59475" ht="15.75" customHeight="1"/>
    <row r="59476" ht="15.75" customHeight="1"/>
    <row r="59477" ht="15.75" customHeight="1"/>
    <row r="59478" ht="15.75" customHeight="1"/>
    <row r="59479" ht="15.75" customHeight="1"/>
    <row r="59480" ht="15.75" customHeight="1"/>
    <row r="59481" ht="15.75" customHeight="1"/>
    <row r="59482" ht="15.75" customHeight="1"/>
    <row r="59483" ht="15.75" customHeight="1"/>
    <row r="59484" ht="15.75" customHeight="1"/>
    <row r="59485" ht="15.75" customHeight="1"/>
    <row r="59486" ht="15.75" customHeight="1"/>
    <row r="59487" ht="15.75" customHeight="1"/>
    <row r="59488" ht="15.75" customHeight="1"/>
    <row r="59489" ht="15.75" customHeight="1"/>
    <row r="59490" ht="15.75" customHeight="1"/>
    <row r="59491" ht="15.75" customHeight="1"/>
    <row r="59492" ht="15.75" customHeight="1"/>
    <row r="59493" ht="15.75" customHeight="1"/>
    <row r="59494" ht="15.75" customHeight="1"/>
    <row r="59495" ht="15.75" customHeight="1"/>
    <row r="59496" ht="15.75" customHeight="1"/>
    <row r="59497" ht="15.75" customHeight="1"/>
    <row r="59498" ht="15.75" customHeight="1"/>
    <row r="59499" ht="15.75" customHeight="1"/>
    <row r="59500" ht="15.75" customHeight="1"/>
    <row r="59501" ht="15.75" customHeight="1"/>
    <row r="59502" ht="15.75" customHeight="1"/>
    <row r="59503" ht="15.75" customHeight="1"/>
    <row r="59504" ht="15.75" customHeight="1"/>
    <row r="59505" ht="15.75" customHeight="1"/>
    <row r="59506" ht="15.75" customHeight="1"/>
    <row r="59507" ht="15.75" customHeight="1"/>
    <row r="59508" ht="15.75" customHeight="1"/>
    <row r="59509" ht="15.75" customHeight="1"/>
    <row r="59510" ht="15.75" customHeight="1"/>
    <row r="59511" ht="15.75" customHeight="1"/>
    <row r="59512" ht="15.75" customHeight="1"/>
    <row r="59513" ht="15.75" customHeight="1"/>
    <row r="59514" ht="15.75" customHeight="1"/>
    <row r="59515" ht="15.75" customHeight="1"/>
    <row r="59516" ht="15.75" customHeight="1"/>
    <row r="59517" ht="15.75" customHeight="1"/>
    <row r="59518" ht="15.75" customHeight="1"/>
    <row r="59519" ht="15.75" customHeight="1"/>
    <row r="59520" ht="15.75" customHeight="1"/>
    <row r="59521" ht="15.75" customHeight="1"/>
    <row r="59522" ht="15.75" customHeight="1"/>
    <row r="59523" ht="15.75" customHeight="1"/>
    <row r="59524" ht="15.75" customHeight="1"/>
    <row r="59525" ht="15.75" customHeight="1"/>
    <row r="59526" ht="15.75" customHeight="1"/>
    <row r="59527" ht="15.75" customHeight="1"/>
    <row r="59528" ht="15.75" customHeight="1"/>
    <row r="59529" ht="15.75" customHeight="1"/>
    <row r="59530" ht="15.75" customHeight="1"/>
    <row r="59531" ht="15.75" customHeight="1"/>
    <row r="59532" ht="15.75" customHeight="1"/>
    <row r="59533" ht="15.75" customHeight="1"/>
    <row r="59534" ht="15.75" customHeight="1"/>
    <row r="59535" ht="15.75" customHeight="1"/>
    <row r="59536" ht="15.75" customHeight="1"/>
    <row r="59537" ht="15.75" customHeight="1"/>
    <row r="59538" ht="15.75" customHeight="1"/>
    <row r="59539" ht="15.75" customHeight="1"/>
    <row r="59540" ht="15.75" customHeight="1"/>
    <row r="59541" ht="15.75" customHeight="1"/>
    <row r="59542" ht="15.75" customHeight="1"/>
    <row r="59543" ht="15.75" customHeight="1"/>
    <row r="59544" ht="15.75" customHeight="1"/>
    <row r="59545" ht="15.75" customHeight="1"/>
    <row r="59546" ht="15.75" customHeight="1"/>
    <row r="59547" ht="15.75" customHeight="1"/>
    <row r="59548" ht="15.75" customHeight="1"/>
    <row r="59549" ht="15.75" customHeight="1"/>
    <row r="59550" ht="15.75" customHeight="1"/>
    <row r="59551" ht="15.75" customHeight="1"/>
    <row r="59552" ht="15.75" customHeight="1"/>
    <row r="59553" ht="15.75" customHeight="1"/>
    <row r="59554" ht="15.75" customHeight="1"/>
    <row r="59555" ht="15.75" customHeight="1"/>
    <row r="59556" ht="15.75" customHeight="1"/>
    <row r="59557" ht="15.75" customHeight="1"/>
    <row r="59558" ht="15.75" customHeight="1"/>
    <row r="59559" ht="15.75" customHeight="1"/>
    <row r="59560" ht="15.75" customHeight="1"/>
    <row r="59561" ht="15.75" customHeight="1"/>
    <row r="59562" ht="15.75" customHeight="1"/>
    <row r="59563" ht="15.75" customHeight="1"/>
    <row r="59564" ht="15.75" customHeight="1"/>
    <row r="59565" ht="15.75" customHeight="1"/>
    <row r="59566" ht="15.75" customHeight="1"/>
    <row r="59567" ht="15.75" customHeight="1"/>
    <row r="59568" ht="15.75" customHeight="1"/>
    <row r="59569" ht="15.75" customHeight="1"/>
    <row r="59570" ht="15.75" customHeight="1"/>
    <row r="59571" ht="15.75" customHeight="1"/>
    <row r="59572" ht="15.75" customHeight="1"/>
    <row r="59573" ht="15.75" customHeight="1"/>
    <row r="59574" ht="15.75" customHeight="1"/>
    <row r="59575" ht="15.75" customHeight="1"/>
    <row r="59576" ht="15.75" customHeight="1"/>
    <row r="59577" ht="15.75" customHeight="1"/>
    <row r="59578" ht="15.75" customHeight="1"/>
    <row r="59579" ht="15.75" customHeight="1"/>
    <row r="59580" ht="15.75" customHeight="1"/>
    <row r="59581" ht="15.75" customHeight="1"/>
    <row r="59582" ht="15.75" customHeight="1"/>
    <row r="59583" ht="15.75" customHeight="1"/>
    <row r="59584" ht="15.75" customHeight="1"/>
    <row r="59585" ht="15.75" customHeight="1"/>
    <row r="59586" ht="15.75" customHeight="1"/>
    <row r="59587" ht="15.75" customHeight="1"/>
    <row r="59588" ht="15.75" customHeight="1"/>
    <row r="59589" ht="15.75" customHeight="1"/>
    <row r="59590" ht="15.75" customHeight="1"/>
    <row r="59591" ht="15.75" customHeight="1"/>
    <row r="59592" ht="15.75" customHeight="1"/>
    <row r="59593" ht="15.75" customHeight="1"/>
    <row r="59594" ht="15.75" customHeight="1"/>
    <row r="59595" ht="15.75" customHeight="1"/>
    <row r="59596" ht="15.75" customHeight="1"/>
    <row r="59597" ht="15.75" customHeight="1"/>
    <row r="59598" ht="15.75" customHeight="1"/>
    <row r="59599" ht="15.75" customHeight="1"/>
    <row r="59600" ht="15.75" customHeight="1"/>
    <row r="59601" ht="15.75" customHeight="1"/>
    <row r="59602" ht="15.75" customHeight="1"/>
    <row r="59603" ht="15.75" customHeight="1"/>
    <row r="59604" ht="15.75" customHeight="1"/>
    <row r="59605" ht="15.75" customHeight="1"/>
    <row r="59606" ht="15.75" customHeight="1"/>
    <row r="59607" ht="15.75" customHeight="1"/>
    <row r="59608" ht="15.75" customHeight="1"/>
    <row r="59609" ht="15.75" customHeight="1"/>
    <row r="59610" ht="15.75" customHeight="1"/>
    <row r="59611" ht="15.75" customHeight="1"/>
    <row r="59612" ht="15.75" customHeight="1"/>
    <row r="59613" ht="15.75" customHeight="1"/>
    <row r="59614" ht="15.75" customHeight="1"/>
    <row r="59615" ht="15.75" customHeight="1"/>
    <row r="59616" ht="15.75" customHeight="1"/>
    <row r="59617" ht="15.75" customHeight="1"/>
    <row r="59618" ht="15.75" customHeight="1"/>
    <row r="59619" ht="15.75" customHeight="1"/>
    <row r="59620" ht="15.75" customHeight="1"/>
    <row r="59621" ht="15.75" customHeight="1"/>
    <row r="59622" ht="15.75" customHeight="1"/>
    <row r="59623" ht="15.75" customHeight="1"/>
    <row r="59624" ht="15.75" customHeight="1"/>
    <row r="59625" ht="15.75" customHeight="1"/>
    <row r="59626" ht="15.75" customHeight="1"/>
    <row r="59627" ht="15.75" customHeight="1"/>
    <row r="59628" ht="15.75" customHeight="1"/>
    <row r="59629" ht="15.75" customHeight="1"/>
    <row r="59630" ht="15.75" customHeight="1"/>
    <row r="59631" ht="15.75" customHeight="1"/>
    <row r="59632" ht="15.75" customHeight="1"/>
    <row r="59633" ht="15.75" customHeight="1"/>
    <row r="59634" ht="15.75" customHeight="1"/>
    <row r="59635" ht="15.75" customHeight="1"/>
    <row r="59636" ht="15.75" customHeight="1"/>
    <row r="59637" ht="15.75" customHeight="1"/>
    <row r="59638" ht="15.75" customHeight="1"/>
    <row r="59639" ht="15.75" customHeight="1"/>
    <row r="59640" ht="15.75" customHeight="1"/>
    <row r="59641" ht="15.75" customHeight="1"/>
    <row r="59642" ht="15.75" customHeight="1"/>
    <row r="59643" ht="15.75" customHeight="1"/>
    <row r="59644" ht="15.75" customHeight="1"/>
    <row r="59645" ht="15.75" customHeight="1"/>
    <row r="59646" ht="15.75" customHeight="1"/>
    <row r="59647" ht="15.75" customHeight="1"/>
    <row r="59648" ht="15.75" customHeight="1"/>
    <row r="59649" ht="15.75" customHeight="1"/>
    <row r="59650" ht="15.75" customHeight="1"/>
    <row r="59651" ht="15.75" customHeight="1"/>
    <row r="59652" ht="15.75" customHeight="1"/>
    <row r="59653" ht="15.75" customHeight="1"/>
    <row r="59654" ht="15.75" customHeight="1"/>
    <row r="59655" ht="15.75" customHeight="1"/>
    <row r="59656" ht="15.75" customHeight="1"/>
    <row r="59657" ht="15.75" customHeight="1"/>
    <row r="59658" ht="15.75" customHeight="1"/>
    <row r="59659" ht="15.75" customHeight="1"/>
    <row r="59660" ht="15.75" customHeight="1"/>
    <row r="59661" ht="15.75" customHeight="1"/>
    <row r="59662" ht="15.75" customHeight="1"/>
    <row r="59663" ht="15.75" customHeight="1"/>
    <row r="59664" ht="15.75" customHeight="1"/>
    <row r="59665" ht="15.75" customHeight="1"/>
    <row r="59666" ht="15.75" customHeight="1"/>
    <row r="59667" ht="15.75" customHeight="1"/>
    <row r="59668" ht="15.75" customHeight="1"/>
    <row r="59669" ht="15.75" customHeight="1"/>
    <row r="59670" ht="15.75" customHeight="1"/>
    <row r="59671" ht="15.75" customHeight="1"/>
    <row r="59672" ht="15.75" customHeight="1"/>
    <row r="59673" ht="15.75" customHeight="1"/>
    <row r="59674" ht="15.75" customHeight="1"/>
    <row r="59675" ht="15.75" customHeight="1"/>
    <row r="59676" ht="15.75" customHeight="1"/>
    <row r="59677" ht="15.75" customHeight="1"/>
    <row r="59678" ht="15.75" customHeight="1"/>
    <row r="59679" ht="15.75" customHeight="1"/>
    <row r="59680" ht="15.75" customHeight="1"/>
    <row r="59681" ht="15.75" customHeight="1"/>
    <row r="59682" ht="15.75" customHeight="1"/>
    <row r="59683" ht="15.75" customHeight="1"/>
    <row r="59684" ht="15.75" customHeight="1"/>
    <row r="59685" ht="15.75" customHeight="1"/>
    <row r="59686" ht="15.75" customHeight="1"/>
    <row r="59687" ht="15.75" customHeight="1"/>
    <row r="59688" ht="15.75" customHeight="1"/>
    <row r="59689" ht="15.75" customHeight="1"/>
    <row r="59690" ht="15.75" customHeight="1"/>
    <row r="59691" ht="15.75" customHeight="1"/>
    <row r="59692" ht="15.75" customHeight="1"/>
    <row r="59693" ht="15.75" customHeight="1"/>
    <row r="59694" ht="15.75" customHeight="1"/>
    <row r="59695" ht="15.75" customHeight="1"/>
    <row r="59696" ht="15.75" customHeight="1"/>
    <row r="59697" ht="15.75" customHeight="1"/>
    <row r="59698" ht="15.75" customHeight="1"/>
    <row r="59699" ht="15.75" customHeight="1"/>
    <row r="59700" ht="15.75" customHeight="1"/>
    <row r="59701" ht="15.75" customHeight="1"/>
    <row r="59702" ht="15.75" customHeight="1"/>
    <row r="59703" ht="15.75" customHeight="1"/>
    <row r="59704" ht="15.75" customHeight="1"/>
    <row r="59705" ht="15.75" customHeight="1"/>
    <row r="59706" ht="15.75" customHeight="1"/>
    <row r="59707" ht="15.75" customHeight="1"/>
    <row r="59708" ht="15.75" customHeight="1"/>
    <row r="59709" ht="15.75" customHeight="1"/>
    <row r="59710" ht="15.75" customHeight="1"/>
    <row r="59711" ht="15.75" customHeight="1"/>
    <row r="59712" ht="15.75" customHeight="1"/>
    <row r="59713" ht="15.75" customHeight="1"/>
    <row r="59714" ht="15.75" customHeight="1"/>
    <row r="59715" ht="15.75" customHeight="1"/>
    <row r="59716" ht="15.75" customHeight="1"/>
    <row r="59717" ht="15.75" customHeight="1"/>
    <row r="59718" ht="15.75" customHeight="1"/>
    <row r="59719" ht="15.75" customHeight="1"/>
    <row r="59720" ht="15.75" customHeight="1"/>
    <row r="59721" ht="15.75" customHeight="1"/>
    <row r="59722" ht="15.75" customHeight="1"/>
    <row r="59723" ht="15.75" customHeight="1"/>
    <row r="59724" ht="15.75" customHeight="1"/>
    <row r="59725" ht="15.75" customHeight="1"/>
    <row r="59726" ht="15.75" customHeight="1"/>
    <row r="59727" ht="15.75" customHeight="1"/>
    <row r="59728" ht="15.75" customHeight="1"/>
    <row r="59729" ht="15.75" customHeight="1"/>
    <row r="59730" ht="15.75" customHeight="1"/>
    <row r="59731" ht="15.75" customHeight="1"/>
    <row r="59732" ht="15.75" customHeight="1"/>
    <row r="59733" ht="15.75" customHeight="1"/>
    <row r="59734" ht="15.75" customHeight="1"/>
    <row r="59735" ht="15.75" customHeight="1"/>
    <row r="59736" ht="15.75" customHeight="1"/>
    <row r="59737" ht="15.75" customHeight="1"/>
    <row r="59738" ht="15.75" customHeight="1"/>
    <row r="59739" ht="15.75" customHeight="1"/>
    <row r="59740" ht="15.75" customHeight="1"/>
    <row r="59741" ht="15.75" customHeight="1"/>
    <row r="59742" ht="15.75" customHeight="1"/>
    <row r="59743" ht="15.75" customHeight="1"/>
    <row r="59744" ht="15.75" customHeight="1"/>
    <row r="59745" ht="15.75" customHeight="1"/>
    <row r="59746" ht="15.75" customHeight="1"/>
    <row r="59747" ht="15.75" customHeight="1"/>
    <row r="59748" ht="15.75" customHeight="1"/>
    <row r="59749" ht="15.75" customHeight="1"/>
    <row r="59750" ht="15.75" customHeight="1"/>
    <row r="59751" ht="15.75" customHeight="1"/>
    <row r="59752" ht="15.75" customHeight="1"/>
    <row r="59753" ht="15.75" customHeight="1"/>
    <row r="59754" ht="15.75" customHeight="1"/>
    <row r="59755" ht="15.75" customHeight="1"/>
    <row r="59756" ht="15.75" customHeight="1"/>
    <row r="59757" ht="15.75" customHeight="1"/>
    <row r="59758" ht="15.75" customHeight="1"/>
    <row r="59759" ht="15.75" customHeight="1"/>
    <row r="59760" ht="15.75" customHeight="1"/>
    <row r="59761" ht="15.75" customHeight="1"/>
    <row r="59762" ht="15.75" customHeight="1"/>
    <row r="59763" ht="15.75" customHeight="1"/>
    <row r="59764" ht="15.75" customHeight="1"/>
    <row r="59765" ht="15.75" customHeight="1"/>
    <row r="59766" ht="15.75" customHeight="1"/>
    <row r="59767" ht="15.75" customHeight="1"/>
    <row r="59768" ht="15.75" customHeight="1"/>
    <row r="59769" ht="15.75" customHeight="1"/>
    <row r="59770" ht="15.75" customHeight="1"/>
    <row r="59771" ht="15.75" customHeight="1"/>
    <row r="59772" ht="15.75" customHeight="1"/>
    <row r="59773" ht="15.75" customHeight="1"/>
    <row r="59774" ht="15.75" customHeight="1"/>
    <row r="59775" ht="15.75" customHeight="1"/>
    <row r="59776" ht="15.75" customHeight="1"/>
    <row r="59777" ht="15.75" customHeight="1"/>
    <row r="59778" ht="15.75" customHeight="1"/>
    <row r="59779" ht="15.75" customHeight="1"/>
    <row r="59780" ht="15.75" customHeight="1"/>
    <row r="59781" ht="15.75" customHeight="1"/>
    <row r="59782" ht="15.75" customHeight="1"/>
    <row r="59783" ht="15.75" customHeight="1"/>
    <row r="59784" ht="15.75" customHeight="1"/>
    <row r="59785" ht="15.75" customHeight="1"/>
    <row r="59786" ht="15.75" customHeight="1"/>
    <row r="59787" ht="15.75" customHeight="1"/>
    <row r="59788" ht="15.75" customHeight="1"/>
    <row r="59789" ht="15.75" customHeight="1"/>
    <row r="59790" ht="15.75" customHeight="1"/>
    <row r="59791" ht="15.75" customHeight="1"/>
    <row r="59792" ht="15.75" customHeight="1"/>
    <row r="59793" ht="15.75" customHeight="1"/>
    <row r="59794" ht="15.75" customHeight="1"/>
    <row r="59795" ht="15.75" customHeight="1"/>
    <row r="59796" ht="15.75" customHeight="1"/>
    <row r="59797" ht="15.75" customHeight="1"/>
    <row r="59798" ht="15.75" customHeight="1"/>
    <row r="59799" ht="15.75" customHeight="1"/>
    <row r="59800" ht="15.75" customHeight="1"/>
    <row r="59801" ht="15.75" customHeight="1"/>
    <row r="59802" ht="15.75" customHeight="1"/>
    <row r="59803" ht="15.75" customHeight="1"/>
    <row r="59804" ht="15.75" customHeight="1"/>
    <row r="59805" ht="15.75" customHeight="1"/>
    <row r="59806" ht="15.75" customHeight="1"/>
    <row r="59807" ht="15.75" customHeight="1"/>
    <row r="59808" ht="15.75" customHeight="1"/>
    <row r="59809" ht="15.75" customHeight="1"/>
    <row r="59810" ht="15.75" customHeight="1"/>
    <row r="59811" ht="15.75" customHeight="1"/>
    <row r="59812" ht="15.75" customHeight="1"/>
    <row r="59813" ht="15.75" customHeight="1"/>
    <row r="59814" ht="15.75" customHeight="1"/>
    <row r="59815" ht="15.75" customHeight="1"/>
    <row r="59816" ht="15.75" customHeight="1"/>
    <row r="59817" ht="15.75" customHeight="1"/>
    <row r="59818" ht="15.75" customHeight="1"/>
    <row r="59819" ht="15.75" customHeight="1"/>
    <row r="59820" ht="15.75" customHeight="1"/>
    <row r="59821" ht="15.75" customHeight="1"/>
    <row r="59822" ht="15.75" customHeight="1"/>
    <row r="59823" ht="15.75" customHeight="1"/>
    <row r="59824" ht="15.75" customHeight="1"/>
    <row r="59825" ht="15.75" customHeight="1"/>
    <row r="59826" ht="15.75" customHeight="1"/>
    <row r="59827" ht="15.75" customHeight="1"/>
    <row r="59828" ht="15.75" customHeight="1"/>
    <row r="59829" ht="15.75" customHeight="1"/>
    <row r="59830" ht="15.75" customHeight="1"/>
    <row r="59831" ht="15.75" customHeight="1"/>
    <row r="59832" ht="15.75" customHeight="1"/>
    <row r="59833" ht="15.75" customHeight="1"/>
    <row r="59834" ht="15.75" customHeight="1"/>
    <row r="59835" ht="15.75" customHeight="1"/>
    <row r="59836" ht="15.75" customHeight="1"/>
    <row r="59837" ht="15.75" customHeight="1"/>
    <row r="59838" ht="15.75" customHeight="1"/>
    <row r="59839" ht="15.75" customHeight="1"/>
    <row r="59840" ht="15.75" customHeight="1"/>
    <row r="59841" ht="15.75" customHeight="1"/>
    <row r="59842" ht="15.75" customHeight="1"/>
    <row r="59843" ht="15.75" customHeight="1"/>
    <row r="59844" ht="15.75" customHeight="1"/>
    <row r="59845" ht="15.75" customHeight="1"/>
    <row r="59846" ht="15.75" customHeight="1"/>
    <row r="59847" ht="15.75" customHeight="1"/>
    <row r="59848" ht="15.75" customHeight="1"/>
    <row r="59849" ht="15.75" customHeight="1"/>
    <row r="59850" ht="15.75" customHeight="1"/>
    <row r="59851" ht="15.75" customHeight="1"/>
    <row r="59852" ht="15.75" customHeight="1"/>
    <row r="59853" ht="15.75" customHeight="1"/>
    <row r="59854" ht="15.75" customHeight="1"/>
    <row r="59855" ht="15.75" customHeight="1"/>
    <row r="59856" ht="15.75" customHeight="1"/>
    <row r="59857" ht="15.75" customHeight="1"/>
    <row r="59858" ht="15.75" customHeight="1"/>
    <row r="59859" ht="15.75" customHeight="1"/>
    <row r="59860" ht="15.75" customHeight="1"/>
    <row r="59861" ht="15.75" customHeight="1"/>
    <row r="59862" ht="15.75" customHeight="1"/>
    <row r="59863" ht="15.75" customHeight="1"/>
    <row r="59864" ht="15.75" customHeight="1"/>
    <row r="59865" ht="15.75" customHeight="1"/>
    <row r="59866" ht="15.75" customHeight="1"/>
    <row r="59867" ht="15.75" customHeight="1"/>
    <row r="59868" ht="15.75" customHeight="1"/>
    <row r="59869" ht="15.75" customHeight="1"/>
    <row r="59870" ht="15.75" customHeight="1"/>
    <row r="59871" ht="15.75" customHeight="1"/>
    <row r="59872" ht="15.75" customHeight="1"/>
    <row r="59873" ht="15.75" customHeight="1"/>
    <row r="59874" ht="15.75" customHeight="1"/>
    <row r="59875" ht="15.75" customHeight="1"/>
    <row r="59876" ht="15.75" customHeight="1"/>
    <row r="59877" ht="15.75" customHeight="1"/>
    <row r="59878" ht="15.75" customHeight="1"/>
    <row r="59879" ht="15.75" customHeight="1"/>
    <row r="59880" ht="15.75" customHeight="1"/>
    <row r="59881" ht="15.75" customHeight="1"/>
    <row r="59882" ht="15.75" customHeight="1"/>
    <row r="59883" ht="15.75" customHeight="1"/>
    <row r="59884" ht="15.75" customHeight="1"/>
    <row r="59885" ht="15.75" customHeight="1"/>
    <row r="59886" ht="15.75" customHeight="1"/>
    <row r="59887" ht="15.75" customHeight="1"/>
    <row r="59888" ht="15.75" customHeight="1"/>
    <row r="59889" ht="15.75" customHeight="1"/>
    <row r="59890" ht="15.75" customHeight="1"/>
    <row r="59891" ht="15.75" customHeight="1"/>
    <row r="59892" ht="15.75" customHeight="1"/>
    <row r="59893" ht="15.75" customHeight="1"/>
    <row r="59894" ht="15.75" customHeight="1"/>
    <row r="59895" ht="15.75" customHeight="1"/>
    <row r="59896" ht="15.75" customHeight="1"/>
    <row r="59897" ht="15.75" customHeight="1"/>
    <row r="59898" ht="15.75" customHeight="1"/>
    <row r="59899" ht="15.75" customHeight="1"/>
    <row r="59900" ht="15.75" customHeight="1"/>
    <row r="59901" ht="15.75" customHeight="1"/>
    <row r="59902" ht="15.75" customHeight="1"/>
    <row r="59903" ht="15.75" customHeight="1"/>
    <row r="59904" ht="15.75" customHeight="1"/>
    <row r="59905" ht="15.75" customHeight="1"/>
    <row r="59906" ht="15.75" customHeight="1"/>
    <row r="59907" ht="15.75" customHeight="1"/>
    <row r="59908" ht="15.75" customHeight="1"/>
    <row r="59909" ht="15.75" customHeight="1"/>
    <row r="59910" ht="15.75" customHeight="1"/>
    <row r="59911" ht="15.75" customHeight="1"/>
    <row r="59912" ht="15.75" customHeight="1"/>
    <row r="59913" ht="15.75" customHeight="1"/>
    <row r="59914" ht="15.75" customHeight="1"/>
    <row r="59915" ht="15.75" customHeight="1"/>
    <row r="59916" ht="15.75" customHeight="1"/>
    <row r="59917" ht="15.75" customHeight="1"/>
    <row r="59918" ht="15.75" customHeight="1"/>
    <row r="59919" ht="15.75" customHeight="1"/>
    <row r="59920" ht="15.75" customHeight="1"/>
    <row r="59921" ht="15.75" customHeight="1"/>
    <row r="59922" ht="15.75" customHeight="1"/>
    <row r="59923" ht="15.75" customHeight="1"/>
    <row r="59924" ht="15.75" customHeight="1"/>
    <row r="59925" ht="15.75" customHeight="1"/>
    <row r="59926" ht="15.75" customHeight="1"/>
    <row r="59927" ht="15.75" customHeight="1"/>
    <row r="59928" ht="15.75" customHeight="1"/>
    <row r="59929" ht="15.75" customHeight="1"/>
    <row r="59930" ht="15.75" customHeight="1"/>
    <row r="59931" ht="15.75" customHeight="1"/>
    <row r="59932" ht="15.75" customHeight="1"/>
    <row r="59933" ht="15.75" customHeight="1"/>
    <row r="59934" ht="15.75" customHeight="1"/>
    <row r="59935" ht="15.75" customHeight="1"/>
    <row r="59936" ht="15.75" customHeight="1"/>
    <row r="59937" ht="15.75" customHeight="1"/>
    <row r="59938" ht="15.75" customHeight="1"/>
    <row r="59939" ht="15.75" customHeight="1"/>
    <row r="59940" ht="15.75" customHeight="1"/>
    <row r="59941" ht="15.75" customHeight="1"/>
    <row r="59942" ht="15.75" customHeight="1"/>
    <row r="59943" ht="15.75" customHeight="1"/>
    <row r="59944" ht="15.75" customHeight="1"/>
    <row r="59945" ht="15.75" customHeight="1"/>
    <row r="59946" ht="15.75" customHeight="1"/>
    <row r="59947" ht="15.75" customHeight="1"/>
    <row r="59948" ht="15.75" customHeight="1"/>
    <row r="59949" ht="15.75" customHeight="1"/>
    <row r="59950" ht="15.75" customHeight="1"/>
    <row r="59951" ht="15.75" customHeight="1"/>
    <row r="59952" ht="15.75" customHeight="1"/>
    <row r="59953" ht="15.75" customHeight="1"/>
    <row r="59954" ht="15.75" customHeight="1"/>
    <row r="59955" ht="15.75" customHeight="1"/>
    <row r="59956" ht="15.75" customHeight="1"/>
    <row r="59957" ht="15.75" customHeight="1"/>
    <row r="59958" ht="15.75" customHeight="1"/>
    <row r="59959" ht="15.75" customHeight="1"/>
    <row r="59960" ht="15.75" customHeight="1"/>
    <row r="59961" ht="15.75" customHeight="1"/>
    <row r="59962" ht="15.75" customHeight="1"/>
    <row r="59963" ht="15.75" customHeight="1"/>
    <row r="59964" ht="15.75" customHeight="1"/>
    <row r="59965" ht="15.75" customHeight="1"/>
    <row r="59966" ht="15.75" customHeight="1"/>
    <row r="59967" ht="15.75" customHeight="1"/>
    <row r="59968" ht="15.75" customHeight="1"/>
    <row r="59969" ht="15.75" customHeight="1"/>
    <row r="59970" ht="15.75" customHeight="1"/>
    <row r="59971" ht="15.75" customHeight="1"/>
    <row r="59972" ht="15.75" customHeight="1"/>
    <row r="59973" ht="15.75" customHeight="1"/>
    <row r="59974" ht="15.75" customHeight="1"/>
    <row r="59975" ht="15.75" customHeight="1"/>
    <row r="59976" ht="15.75" customHeight="1"/>
    <row r="59977" ht="15.75" customHeight="1"/>
    <row r="59978" ht="15.75" customHeight="1"/>
    <row r="59979" ht="15.75" customHeight="1"/>
    <row r="59980" ht="15.75" customHeight="1"/>
    <row r="59981" ht="15.75" customHeight="1"/>
    <row r="59982" ht="15.75" customHeight="1"/>
    <row r="59983" ht="15.75" customHeight="1"/>
    <row r="59984" ht="15.75" customHeight="1"/>
    <row r="59985" ht="15.75" customHeight="1"/>
    <row r="59986" ht="15.75" customHeight="1"/>
    <row r="59987" ht="15.75" customHeight="1"/>
    <row r="59988" ht="15.75" customHeight="1"/>
    <row r="59989" ht="15.75" customHeight="1"/>
    <row r="59990" ht="15.75" customHeight="1"/>
    <row r="59991" ht="15.75" customHeight="1"/>
    <row r="59992" ht="15.75" customHeight="1"/>
    <row r="59993" ht="15.75" customHeight="1"/>
    <row r="59994" ht="15.75" customHeight="1"/>
    <row r="59995" ht="15.75" customHeight="1"/>
    <row r="59996" ht="15.75" customHeight="1"/>
    <row r="59997" ht="15.75" customHeight="1"/>
    <row r="59998" ht="15.75" customHeight="1"/>
    <row r="59999" ht="15.75" customHeight="1"/>
    <row r="60000" ht="15.75" customHeight="1"/>
    <row r="60001" ht="15.75" customHeight="1"/>
    <row r="60002" ht="15.75" customHeight="1"/>
    <row r="60003" ht="15.75" customHeight="1"/>
    <row r="60004" ht="15.75" customHeight="1"/>
    <row r="60005" ht="15.75" customHeight="1"/>
    <row r="60006" ht="15.75" customHeight="1"/>
    <row r="60007" ht="15.75" customHeight="1"/>
    <row r="60008" ht="15.75" customHeight="1"/>
    <row r="60009" ht="15.75" customHeight="1"/>
    <row r="60010" ht="15.75" customHeight="1"/>
    <row r="60011" ht="15.75" customHeight="1"/>
    <row r="60012" ht="15.75" customHeight="1"/>
    <row r="60013" ht="15.75" customHeight="1"/>
    <row r="60014" ht="15.75" customHeight="1"/>
    <row r="60015" ht="15.75" customHeight="1"/>
    <row r="60016" ht="15.75" customHeight="1"/>
    <row r="60017" ht="15.75" customHeight="1"/>
    <row r="60018" ht="15.75" customHeight="1"/>
    <row r="60019" ht="15.75" customHeight="1"/>
    <row r="60020" ht="15.75" customHeight="1"/>
    <row r="60021" ht="15.75" customHeight="1"/>
    <row r="60022" ht="15.75" customHeight="1"/>
    <row r="60023" ht="15.75" customHeight="1"/>
    <row r="60024" ht="15.75" customHeight="1"/>
    <row r="60025" ht="15.75" customHeight="1"/>
    <row r="60026" ht="15.75" customHeight="1"/>
    <row r="60027" ht="15.75" customHeight="1"/>
    <row r="60028" ht="15.75" customHeight="1"/>
    <row r="60029" ht="15.75" customHeight="1"/>
    <row r="60030" ht="15.75" customHeight="1"/>
    <row r="60031" ht="15.75" customHeight="1"/>
    <row r="60032" ht="15.75" customHeight="1"/>
    <row r="60033" ht="15.75" customHeight="1"/>
    <row r="60034" ht="15.75" customHeight="1"/>
    <row r="60035" ht="15.75" customHeight="1"/>
    <row r="60036" ht="15.75" customHeight="1"/>
    <row r="60037" ht="15.75" customHeight="1"/>
    <row r="60038" ht="15.75" customHeight="1"/>
    <row r="60039" ht="15.75" customHeight="1"/>
    <row r="60040" ht="15.75" customHeight="1"/>
    <row r="60041" ht="15.75" customHeight="1"/>
    <row r="60042" ht="15.75" customHeight="1"/>
    <row r="60043" ht="15.75" customHeight="1"/>
    <row r="60044" ht="15.75" customHeight="1"/>
    <row r="60045" ht="15.75" customHeight="1"/>
    <row r="60046" ht="15.75" customHeight="1"/>
    <row r="60047" ht="15.75" customHeight="1"/>
    <row r="60048" ht="15.75" customHeight="1"/>
    <row r="60049" ht="15.75" customHeight="1"/>
    <row r="60050" ht="15.75" customHeight="1"/>
    <row r="60051" ht="15.75" customHeight="1"/>
    <row r="60052" ht="15.75" customHeight="1"/>
    <row r="60053" ht="15.75" customHeight="1"/>
    <row r="60054" ht="15.75" customHeight="1"/>
    <row r="60055" ht="15.75" customHeight="1"/>
    <row r="60056" ht="15.75" customHeight="1"/>
    <row r="60057" ht="15.75" customHeight="1"/>
    <row r="60058" ht="15.75" customHeight="1"/>
    <row r="60059" ht="15.75" customHeight="1"/>
    <row r="60060" ht="15.75" customHeight="1"/>
    <row r="60061" ht="15.75" customHeight="1"/>
    <row r="60062" ht="15.75" customHeight="1"/>
    <row r="60063" ht="15.75" customHeight="1"/>
    <row r="60064" ht="15.75" customHeight="1"/>
    <row r="60065" ht="15.75" customHeight="1"/>
    <row r="60066" ht="15.75" customHeight="1"/>
    <row r="60067" ht="15.75" customHeight="1"/>
    <row r="60068" ht="15.75" customHeight="1"/>
    <row r="60069" ht="15.75" customHeight="1"/>
    <row r="60070" ht="15.75" customHeight="1"/>
    <row r="60071" ht="15.75" customHeight="1"/>
    <row r="60072" ht="15.75" customHeight="1"/>
    <row r="60073" ht="15.75" customHeight="1"/>
    <row r="60074" ht="15.75" customHeight="1"/>
    <row r="60075" ht="15.75" customHeight="1"/>
    <row r="60076" ht="15.75" customHeight="1"/>
    <row r="60077" ht="15.75" customHeight="1"/>
    <row r="60078" ht="15.75" customHeight="1"/>
    <row r="60079" ht="15.75" customHeight="1"/>
    <row r="60080" ht="15.75" customHeight="1"/>
    <row r="60081" ht="15.75" customHeight="1"/>
    <row r="60082" ht="15.75" customHeight="1"/>
    <row r="60083" ht="15.75" customHeight="1"/>
    <row r="60084" ht="15.75" customHeight="1"/>
    <row r="60085" ht="15.75" customHeight="1"/>
    <row r="60086" ht="15.75" customHeight="1"/>
    <row r="60087" ht="15.75" customHeight="1"/>
    <row r="60088" ht="15.75" customHeight="1"/>
    <row r="60089" ht="15.75" customHeight="1"/>
    <row r="60090" ht="15.75" customHeight="1"/>
    <row r="60091" ht="15.75" customHeight="1"/>
    <row r="60092" ht="15.75" customHeight="1"/>
    <row r="60093" ht="15.75" customHeight="1"/>
    <row r="60094" ht="15.75" customHeight="1"/>
    <row r="60095" ht="15.75" customHeight="1"/>
    <row r="60096" ht="15.75" customHeight="1"/>
    <row r="60097" ht="15.75" customHeight="1"/>
    <row r="60098" ht="15.75" customHeight="1"/>
    <row r="60099" ht="15.75" customHeight="1"/>
    <row r="60100" ht="15.75" customHeight="1"/>
    <row r="60101" ht="15.75" customHeight="1"/>
    <row r="60102" ht="15.75" customHeight="1"/>
    <row r="60103" ht="15.75" customHeight="1"/>
    <row r="60104" ht="15.75" customHeight="1"/>
    <row r="60105" ht="15.75" customHeight="1"/>
    <row r="60106" ht="15.75" customHeight="1"/>
    <row r="60107" ht="15.75" customHeight="1"/>
    <row r="60108" ht="15.75" customHeight="1"/>
    <row r="60109" ht="15.75" customHeight="1"/>
    <row r="60110" ht="15.75" customHeight="1"/>
    <row r="60111" ht="15.75" customHeight="1"/>
    <row r="60112" ht="15.75" customHeight="1"/>
    <row r="60113" ht="15.75" customHeight="1"/>
    <row r="60114" ht="15.75" customHeight="1"/>
    <row r="60115" ht="15.75" customHeight="1"/>
    <row r="60116" ht="15.75" customHeight="1"/>
    <row r="60117" ht="15.75" customHeight="1"/>
    <row r="60118" ht="15.75" customHeight="1"/>
    <row r="60119" ht="15.75" customHeight="1"/>
    <row r="60120" ht="15.75" customHeight="1"/>
    <row r="60121" ht="15.75" customHeight="1"/>
    <row r="60122" ht="15.75" customHeight="1"/>
    <row r="60123" ht="15.75" customHeight="1"/>
    <row r="60124" ht="15.75" customHeight="1"/>
    <row r="60125" ht="15.75" customHeight="1"/>
    <row r="60126" ht="15.75" customHeight="1"/>
    <row r="60127" ht="15.75" customHeight="1"/>
    <row r="60128" ht="15.75" customHeight="1"/>
    <row r="60129" ht="15.75" customHeight="1"/>
    <row r="60130" ht="15.75" customHeight="1"/>
    <row r="60131" ht="15.75" customHeight="1"/>
    <row r="60132" ht="15.75" customHeight="1"/>
    <row r="60133" ht="15.75" customHeight="1"/>
    <row r="60134" ht="15.75" customHeight="1"/>
    <row r="60135" ht="15.75" customHeight="1"/>
    <row r="60136" ht="15.75" customHeight="1"/>
    <row r="60137" ht="15.75" customHeight="1"/>
    <row r="60138" ht="15.75" customHeight="1"/>
    <row r="60139" ht="15.75" customHeight="1"/>
    <row r="60140" ht="15.75" customHeight="1"/>
    <row r="60141" ht="15.75" customHeight="1"/>
    <row r="60142" ht="15.75" customHeight="1"/>
    <row r="60143" ht="15.75" customHeight="1"/>
    <row r="60144" ht="15.75" customHeight="1"/>
    <row r="60145" ht="15.75" customHeight="1"/>
    <row r="60146" ht="15.75" customHeight="1"/>
    <row r="60147" ht="15.75" customHeight="1"/>
    <row r="60148" ht="15.75" customHeight="1"/>
    <row r="60149" ht="15.75" customHeight="1"/>
    <row r="60150" ht="15.75" customHeight="1"/>
    <row r="60151" ht="15.75" customHeight="1"/>
    <row r="60152" ht="15.75" customHeight="1"/>
    <row r="60153" ht="15.75" customHeight="1"/>
    <row r="60154" ht="15.75" customHeight="1"/>
    <row r="60155" ht="15.75" customHeight="1"/>
    <row r="60156" ht="15.75" customHeight="1"/>
    <row r="60157" ht="15.75" customHeight="1"/>
    <row r="60158" ht="15.75" customHeight="1"/>
    <row r="60159" ht="15.75" customHeight="1"/>
    <row r="60160" ht="15.75" customHeight="1"/>
    <row r="60161" ht="15.75" customHeight="1"/>
    <row r="60162" ht="15.75" customHeight="1"/>
    <row r="60163" ht="15.75" customHeight="1"/>
    <row r="60164" ht="15.75" customHeight="1"/>
    <row r="60165" ht="15.75" customHeight="1"/>
    <row r="60166" ht="15.75" customHeight="1"/>
    <row r="60167" ht="15.75" customHeight="1"/>
    <row r="60168" ht="15.75" customHeight="1"/>
    <row r="60169" ht="15.75" customHeight="1"/>
    <row r="60170" ht="15.75" customHeight="1"/>
    <row r="60171" ht="15.75" customHeight="1"/>
    <row r="60172" ht="15.75" customHeight="1"/>
    <row r="60173" ht="15.75" customHeight="1"/>
    <row r="60174" ht="15.75" customHeight="1"/>
    <row r="60175" ht="15.75" customHeight="1"/>
    <row r="60176" ht="15.75" customHeight="1"/>
    <row r="60177" ht="15.75" customHeight="1"/>
    <row r="60178" ht="15.75" customHeight="1"/>
    <row r="60179" ht="15.75" customHeight="1"/>
    <row r="60180" ht="15.75" customHeight="1"/>
    <row r="60181" ht="15.75" customHeight="1"/>
    <row r="60182" ht="15.75" customHeight="1"/>
    <row r="60183" ht="15.75" customHeight="1"/>
    <row r="60184" ht="15.75" customHeight="1"/>
    <row r="60185" ht="15.75" customHeight="1"/>
    <row r="60186" ht="15.75" customHeight="1"/>
    <row r="60187" ht="15.75" customHeight="1"/>
    <row r="60188" ht="15.75" customHeight="1"/>
    <row r="60189" ht="15.75" customHeight="1"/>
    <row r="60190" ht="15.75" customHeight="1"/>
    <row r="60191" ht="15.75" customHeight="1"/>
    <row r="60192" ht="15.75" customHeight="1"/>
    <row r="60193" ht="15.75" customHeight="1"/>
    <row r="60194" ht="15.75" customHeight="1"/>
    <row r="60195" ht="15.75" customHeight="1"/>
    <row r="60196" ht="15.75" customHeight="1"/>
    <row r="60197" ht="15.75" customHeight="1"/>
    <row r="60198" ht="15.75" customHeight="1"/>
    <row r="60199" ht="15.75" customHeight="1"/>
    <row r="60200" ht="15.75" customHeight="1"/>
    <row r="60201" ht="15.75" customHeight="1"/>
    <row r="60202" ht="15.75" customHeight="1"/>
    <row r="60203" ht="15.75" customHeight="1"/>
    <row r="60204" ht="15.75" customHeight="1"/>
    <row r="60205" ht="15.75" customHeight="1"/>
    <row r="60206" ht="15.75" customHeight="1"/>
    <row r="60207" ht="15.75" customHeight="1"/>
    <row r="60208" ht="15.75" customHeight="1"/>
    <row r="60209" ht="15.75" customHeight="1"/>
    <row r="60210" ht="15.75" customHeight="1"/>
    <row r="60211" ht="15.75" customHeight="1"/>
    <row r="60212" ht="15.75" customHeight="1"/>
    <row r="60213" ht="15.75" customHeight="1"/>
    <row r="60214" ht="15.75" customHeight="1"/>
    <row r="60215" ht="15.75" customHeight="1"/>
    <row r="60216" ht="15.75" customHeight="1"/>
    <row r="60217" ht="15.75" customHeight="1"/>
    <row r="60218" ht="15.75" customHeight="1"/>
    <row r="60219" ht="15.75" customHeight="1"/>
    <row r="60220" ht="15.75" customHeight="1"/>
    <row r="60221" ht="15.75" customHeight="1"/>
    <row r="60222" ht="15.75" customHeight="1"/>
    <row r="60223" ht="15.75" customHeight="1"/>
    <row r="60224" ht="15.75" customHeight="1"/>
    <row r="60225" ht="15.75" customHeight="1"/>
    <row r="60226" ht="15.75" customHeight="1"/>
    <row r="60227" ht="15.75" customHeight="1"/>
    <row r="60228" ht="15.75" customHeight="1"/>
    <row r="60229" ht="15.75" customHeight="1"/>
    <row r="60230" ht="15.75" customHeight="1"/>
    <row r="60231" ht="15.75" customHeight="1"/>
    <row r="60232" ht="15.75" customHeight="1"/>
    <row r="60233" ht="15.75" customHeight="1"/>
    <row r="60234" ht="15.75" customHeight="1"/>
    <row r="60235" ht="15.75" customHeight="1"/>
    <row r="60236" ht="15.75" customHeight="1"/>
    <row r="60237" ht="15.75" customHeight="1"/>
    <row r="60238" ht="15.75" customHeight="1"/>
    <row r="60239" ht="15.75" customHeight="1"/>
    <row r="60240" ht="15.75" customHeight="1"/>
    <row r="60241" ht="15.75" customHeight="1"/>
    <row r="60242" ht="15.75" customHeight="1"/>
    <row r="60243" ht="15.75" customHeight="1"/>
    <row r="60244" ht="15.75" customHeight="1"/>
    <row r="60245" ht="15.75" customHeight="1"/>
    <row r="60246" ht="15.75" customHeight="1"/>
    <row r="60247" ht="15.75" customHeight="1"/>
    <row r="60248" ht="15.75" customHeight="1"/>
    <row r="60249" ht="15.75" customHeight="1"/>
    <row r="60250" ht="15.75" customHeight="1"/>
    <row r="60251" ht="15.75" customHeight="1"/>
    <row r="60252" ht="15.75" customHeight="1"/>
    <row r="60253" ht="15.75" customHeight="1"/>
    <row r="60254" ht="15.75" customHeight="1"/>
    <row r="60255" ht="15.75" customHeight="1"/>
    <row r="60256" ht="15.75" customHeight="1"/>
    <row r="60257" ht="15.75" customHeight="1"/>
    <row r="60258" ht="15.75" customHeight="1"/>
    <row r="60259" ht="15.75" customHeight="1"/>
    <row r="60260" ht="15.75" customHeight="1"/>
    <row r="60261" ht="15.75" customHeight="1"/>
    <row r="60262" ht="15.75" customHeight="1"/>
    <row r="60263" ht="15.75" customHeight="1"/>
    <row r="60264" ht="15.75" customHeight="1"/>
    <row r="60265" ht="15.75" customHeight="1"/>
    <row r="60266" ht="15.75" customHeight="1"/>
    <row r="60267" ht="15.75" customHeight="1"/>
    <row r="60268" ht="15.75" customHeight="1"/>
    <row r="60269" ht="15.75" customHeight="1"/>
    <row r="60270" ht="15.75" customHeight="1"/>
    <row r="60271" ht="15.75" customHeight="1"/>
    <row r="60272" ht="15.75" customHeight="1"/>
    <row r="60273" ht="15.75" customHeight="1"/>
    <row r="60274" ht="15.75" customHeight="1"/>
    <row r="60275" ht="15.75" customHeight="1"/>
    <row r="60276" ht="15.75" customHeight="1"/>
    <row r="60277" ht="15.75" customHeight="1"/>
    <row r="60278" ht="15.75" customHeight="1"/>
    <row r="60279" ht="15.75" customHeight="1"/>
    <row r="60280" ht="15.75" customHeight="1"/>
    <row r="60281" ht="15.75" customHeight="1"/>
    <row r="60282" ht="15.75" customHeight="1"/>
    <row r="60283" ht="15.75" customHeight="1"/>
    <row r="60284" ht="15.75" customHeight="1"/>
    <row r="60285" ht="15.75" customHeight="1"/>
    <row r="60286" ht="15.75" customHeight="1"/>
    <row r="60287" ht="15.75" customHeight="1"/>
    <row r="60288" ht="15.75" customHeight="1"/>
    <row r="60289" ht="15.75" customHeight="1"/>
    <row r="60290" ht="15.75" customHeight="1"/>
    <row r="60291" ht="15.75" customHeight="1"/>
    <row r="60292" ht="15.75" customHeight="1"/>
    <row r="60293" ht="15.75" customHeight="1"/>
    <row r="60294" ht="15.75" customHeight="1"/>
    <row r="60295" ht="15.75" customHeight="1"/>
    <row r="60296" ht="15.75" customHeight="1"/>
    <row r="60297" ht="15.75" customHeight="1"/>
    <row r="60298" ht="15.75" customHeight="1"/>
    <row r="60299" ht="15.75" customHeight="1"/>
    <row r="60300" ht="15.75" customHeight="1"/>
    <row r="60301" ht="15.75" customHeight="1"/>
    <row r="60302" ht="15.75" customHeight="1"/>
    <row r="60303" ht="15.75" customHeight="1"/>
    <row r="60304" ht="15.75" customHeight="1"/>
    <row r="60305" ht="15.75" customHeight="1"/>
    <row r="60306" ht="15.75" customHeight="1"/>
    <row r="60307" ht="15.75" customHeight="1"/>
    <row r="60308" ht="15.75" customHeight="1"/>
    <row r="60309" ht="15.75" customHeight="1"/>
    <row r="60310" ht="15.75" customHeight="1"/>
    <row r="60311" ht="15.75" customHeight="1"/>
    <row r="60312" ht="15.75" customHeight="1"/>
    <row r="60313" ht="15.75" customHeight="1"/>
    <row r="60314" ht="15.75" customHeight="1"/>
    <row r="60315" ht="15.75" customHeight="1"/>
    <row r="60316" ht="15.75" customHeight="1"/>
    <row r="60317" ht="15.75" customHeight="1"/>
    <row r="60318" ht="15.75" customHeight="1"/>
    <row r="60319" ht="15.75" customHeight="1"/>
    <row r="60320" ht="15.75" customHeight="1"/>
    <row r="60321" ht="15.75" customHeight="1"/>
    <row r="60322" ht="15.75" customHeight="1"/>
    <row r="60323" ht="15.75" customHeight="1"/>
    <row r="60324" ht="15.75" customHeight="1"/>
    <row r="60325" ht="15.75" customHeight="1"/>
    <row r="60326" ht="15.75" customHeight="1"/>
    <row r="60327" ht="15.75" customHeight="1"/>
    <row r="60328" ht="15.75" customHeight="1"/>
    <row r="60329" ht="15.75" customHeight="1"/>
    <row r="60330" ht="15.75" customHeight="1"/>
    <row r="60331" ht="15.75" customHeight="1"/>
    <row r="60332" ht="15.75" customHeight="1"/>
    <row r="60333" ht="15.75" customHeight="1"/>
    <row r="60334" ht="15.75" customHeight="1"/>
    <row r="60335" ht="15.75" customHeight="1"/>
    <row r="60336" ht="15.75" customHeight="1"/>
    <row r="60337" ht="15.75" customHeight="1"/>
    <row r="60338" ht="15.75" customHeight="1"/>
    <row r="60339" ht="15.75" customHeight="1"/>
    <row r="60340" ht="15.75" customHeight="1"/>
    <row r="60341" ht="15.75" customHeight="1"/>
    <row r="60342" ht="15.75" customHeight="1"/>
    <row r="60343" ht="15.75" customHeight="1"/>
    <row r="60344" ht="15.75" customHeight="1"/>
    <row r="60345" ht="15.75" customHeight="1"/>
    <row r="60346" ht="15.75" customHeight="1"/>
    <row r="60347" ht="15.75" customHeight="1"/>
    <row r="60348" ht="15.75" customHeight="1"/>
    <row r="60349" ht="15.75" customHeight="1"/>
    <row r="60350" ht="15.75" customHeight="1"/>
    <row r="60351" ht="15.75" customHeight="1"/>
    <row r="60352" ht="15.75" customHeight="1"/>
    <row r="60353" ht="15.75" customHeight="1"/>
    <row r="60354" ht="15.75" customHeight="1"/>
    <row r="60355" ht="15.75" customHeight="1"/>
    <row r="60356" ht="15.75" customHeight="1"/>
    <row r="60357" ht="15.75" customHeight="1"/>
    <row r="60358" ht="15.75" customHeight="1"/>
    <row r="60359" ht="15.75" customHeight="1"/>
    <row r="60360" ht="15.75" customHeight="1"/>
    <row r="60361" ht="15.75" customHeight="1"/>
    <row r="60362" ht="15.75" customHeight="1"/>
    <row r="60363" ht="15.75" customHeight="1"/>
    <row r="60364" ht="15.75" customHeight="1"/>
    <row r="60365" ht="15.75" customHeight="1"/>
    <row r="60366" ht="15.75" customHeight="1"/>
    <row r="60367" ht="15.75" customHeight="1"/>
    <row r="60368" ht="15.75" customHeight="1"/>
    <row r="60369" ht="15.75" customHeight="1"/>
    <row r="60370" ht="15.75" customHeight="1"/>
    <row r="60371" ht="15.75" customHeight="1"/>
    <row r="60372" ht="15.75" customHeight="1"/>
    <row r="60373" ht="15.75" customHeight="1"/>
    <row r="60374" ht="15.75" customHeight="1"/>
    <row r="60375" ht="15.75" customHeight="1"/>
    <row r="60376" ht="15.75" customHeight="1"/>
    <row r="60377" ht="15.75" customHeight="1"/>
    <row r="60378" ht="15.75" customHeight="1"/>
    <row r="60379" ht="15.75" customHeight="1"/>
    <row r="60380" ht="15.75" customHeight="1"/>
    <row r="60381" ht="15.75" customHeight="1"/>
    <row r="60382" ht="15.75" customHeight="1"/>
    <row r="60383" ht="15.75" customHeight="1"/>
    <row r="60384" ht="15.75" customHeight="1"/>
    <row r="60385" ht="15.75" customHeight="1"/>
    <row r="60386" ht="15.75" customHeight="1"/>
    <row r="60387" ht="15.75" customHeight="1"/>
    <row r="60388" ht="15.75" customHeight="1"/>
    <row r="60389" ht="15.75" customHeight="1"/>
    <row r="60390" ht="15.75" customHeight="1"/>
    <row r="60391" ht="15.75" customHeight="1"/>
    <row r="60392" ht="15.75" customHeight="1"/>
    <row r="60393" ht="15.75" customHeight="1"/>
    <row r="60394" ht="15.75" customHeight="1"/>
    <row r="60395" ht="15.75" customHeight="1"/>
    <row r="60396" ht="15.75" customHeight="1"/>
    <row r="60397" ht="15.75" customHeight="1"/>
    <row r="60398" ht="15.75" customHeight="1"/>
    <row r="60399" ht="15.75" customHeight="1"/>
    <row r="60400" ht="15.75" customHeight="1"/>
    <row r="60401" ht="15.75" customHeight="1"/>
    <row r="60402" ht="15.75" customHeight="1"/>
    <row r="60403" ht="15.75" customHeight="1"/>
    <row r="60404" ht="15.75" customHeight="1"/>
    <row r="60405" ht="15.75" customHeight="1"/>
    <row r="60406" ht="15.75" customHeight="1"/>
    <row r="60407" ht="15.75" customHeight="1"/>
    <row r="60408" ht="15.75" customHeight="1"/>
    <row r="60409" ht="15.75" customHeight="1"/>
    <row r="60410" ht="15.75" customHeight="1"/>
    <row r="60411" ht="15.75" customHeight="1"/>
    <row r="60412" ht="15.75" customHeight="1"/>
    <row r="60413" ht="15.75" customHeight="1"/>
    <row r="60414" ht="15.75" customHeight="1"/>
    <row r="60415" ht="15.75" customHeight="1"/>
    <row r="60416" ht="15.75" customHeight="1"/>
    <row r="60417" ht="15.75" customHeight="1"/>
    <row r="60418" ht="15.75" customHeight="1"/>
    <row r="60419" ht="15.75" customHeight="1"/>
    <row r="60420" ht="15.75" customHeight="1"/>
    <row r="60421" ht="15.75" customHeight="1"/>
    <row r="60422" ht="15.75" customHeight="1"/>
    <row r="60423" ht="15.75" customHeight="1"/>
    <row r="60424" ht="15.75" customHeight="1"/>
    <row r="60425" ht="15.75" customHeight="1"/>
    <row r="60426" ht="15.75" customHeight="1"/>
    <row r="60427" ht="15.75" customHeight="1"/>
    <row r="60428" ht="15.75" customHeight="1"/>
    <row r="60429" ht="15.75" customHeight="1"/>
    <row r="60430" ht="15.75" customHeight="1"/>
    <row r="60431" ht="15.75" customHeight="1"/>
    <row r="60432" ht="15.75" customHeight="1"/>
    <row r="60433" ht="15.75" customHeight="1"/>
    <row r="60434" ht="15.75" customHeight="1"/>
    <row r="60435" ht="15.75" customHeight="1"/>
    <row r="60436" ht="15.75" customHeight="1"/>
    <row r="60437" ht="15.75" customHeight="1"/>
    <row r="60438" ht="15.75" customHeight="1"/>
    <row r="60439" ht="15.75" customHeight="1"/>
    <row r="60440" ht="15.75" customHeight="1"/>
    <row r="60441" ht="15.75" customHeight="1"/>
    <row r="60442" ht="15.75" customHeight="1"/>
    <row r="60443" ht="15.75" customHeight="1"/>
    <row r="60444" ht="15.75" customHeight="1"/>
    <row r="60445" ht="15.75" customHeight="1"/>
    <row r="60446" ht="15.75" customHeight="1"/>
    <row r="60447" ht="15.75" customHeight="1"/>
    <row r="60448" ht="15.75" customHeight="1"/>
    <row r="60449" ht="15.75" customHeight="1"/>
    <row r="60450" ht="15.75" customHeight="1"/>
    <row r="60451" ht="15.75" customHeight="1"/>
    <row r="60452" ht="15.75" customHeight="1"/>
    <row r="60453" ht="15.75" customHeight="1"/>
    <row r="60454" ht="15.75" customHeight="1"/>
    <row r="60455" ht="15.75" customHeight="1"/>
    <row r="60456" ht="15.75" customHeight="1"/>
    <row r="60457" ht="15.75" customHeight="1"/>
    <row r="60458" ht="15.75" customHeight="1"/>
    <row r="60459" ht="15.75" customHeight="1"/>
    <row r="60460" ht="15.75" customHeight="1"/>
    <row r="60461" ht="15.75" customHeight="1"/>
    <row r="60462" ht="15.75" customHeight="1"/>
    <row r="60463" ht="15.75" customHeight="1"/>
    <row r="60464" ht="15.75" customHeight="1"/>
    <row r="60465" ht="15.75" customHeight="1"/>
    <row r="60466" ht="15.75" customHeight="1"/>
    <row r="60467" ht="15.75" customHeight="1"/>
    <row r="60468" ht="15.75" customHeight="1"/>
    <row r="60469" ht="15.75" customHeight="1"/>
    <row r="60470" ht="15.75" customHeight="1"/>
    <row r="60471" ht="15.75" customHeight="1"/>
    <row r="60472" ht="15.75" customHeight="1"/>
    <row r="60473" ht="15.75" customHeight="1"/>
    <row r="60474" ht="15.75" customHeight="1"/>
    <row r="60475" ht="15.75" customHeight="1"/>
    <row r="60476" ht="15.75" customHeight="1"/>
    <row r="60477" ht="15.75" customHeight="1"/>
    <row r="60478" ht="15.75" customHeight="1"/>
    <row r="60479" ht="15.75" customHeight="1"/>
    <row r="60480" ht="15.75" customHeight="1"/>
    <row r="60481" ht="15.75" customHeight="1"/>
    <row r="60482" ht="15.75" customHeight="1"/>
    <row r="60483" ht="15.75" customHeight="1"/>
    <row r="60484" ht="15.75" customHeight="1"/>
    <row r="60485" ht="15.75" customHeight="1"/>
    <row r="60486" ht="15.75" customHeight="1"/>
    <row r="60487" ht="15.75" customHeight="1"/>
    <row r="60488" ht="15.75" customHeight="1"/>
    <row r="60489" ht="15.75" customHeight="1"/>
    <row r="60490" ht="15.75" customHeight="1"/>
    <row r="60491" ht="15.75" customHeight="1"/>
    <row r="60492" ht="15.75" customHeight="1"/>
    <row r="60493" ht="15.75" customHeight="1"/>
    <row r="60494" ht="15.75" customHeight="1"/>
    <row r="60495" ht="15.75" customHeight="1"/>
    <row r="60496" ht="15.75" customHeight="1"/>
    <row r="60497" ht="15.75" customHeight="1"/>
    <row r="60498" ht="15.75" customHeight="1"/>
    <row r="60499" ht="15.75" customHeight="1"/>
    <row r="60500" ht="15.75" customHeight="1"/>
    <row r="60501" ht="15.75" customHeight="1"/>
    <row r="60502" ht="15.75" customHeight="1"/>
    <row r="60503" ht="15.75" customHeight="1"/>
    <row r="60504" ht="15.75" customHeight="1"/>
    <row r="60505" ht="15.75" customHeight="1"/>
    <row r="60506" ht="15.75" customHeight="1"/>
    <row r="60507" ht="15.75" customHeight="1"/>
    <row r="60508" ht="15.75" customHeight="1"/>
    <row r="60509" ht="15.75" customHeight="1"/>
    <row r="60510" ht="15.75" customHeight="1"/>
    <row r="60511" ht="15.75" customHeight="1"/>
    <row r="60512" ht="15.75" customHeight="1"/>
    <row r="60513" ht="15.75" customHeight="1"/>
    <row r="60514" ht="15.75" customHeight="1"/>
    <row r="60515" ht="15.75" customHeight="1"/>
    <row r="60516" ht="15.75" customHeight="1"/>
    <row r="60517" ht="15.75" customHeight="1"/>
    <row r="60518" ht="15.75" customHeight="1"/>
    <row r="60519" ht="15.75" customHeight="1"/>
    <row r="60520" ht="15.75" customHeight="1"/>
    <row r="60521" ht="15.75" customHeight="1"/>
    <row r="60522" ht="15.75" customHeight="1"/>
    <row r="60523" ht="15.75" customHeight="1"/>
    <row r="60524" ht="15.75" customHeight="1"/>
    <row r="60525" ht="15.75" customHeight="1"/>
    <row r="60526" ht="15.75" customHeight="1"/>
    <row r="60527" ht="15.75" customHeight="1"/>
    <row r="60528" ht="15.75" customHeight="1"/>
    <row r="60529" ht="15.75" customHeight="1"/>
    <row r="60530" ht="15.75" customHeight="1"/>
    <row r="60531" ht="15.75" customHeight="1"/>
    <row r="60532" ht="15.75" customHeight="1"/>
    <row r="60533" ht="15.75" customHeight="1"/>
    <row r="60534" ht="15.75" customHeight="1"/>
    <row r="60535" ht="15.75" customHeight="1"/>
    <row r="60536" ht="15.75" customHeight="1"/>
    <row r="60537" ht="15.75" customHeight="1"/>
    <row r="60538" ht="15.75" customHeight="1"/>
    <row r="60539" ht="15.75" customHeight="1"/>
    <row r="60540" ht="15.75" customHeight="1"/>
    <row r="60541" ht="15.75" customHeight="1"/>
    <row r="60542" ht="15.75" customHeight="1"/>
    <row r="60543" ht="15.75" customHeight="1"/>
    <row r="60544" ht="15.75" customHeight="1"/>
    <row r="60545" ht="15.75" customHeight="1"/>
    <row r="60546" ht="15.75" customHeight="1"/>
    <row r="60547" ht="15.75" customHeight="1"/>
    <row r="60548" ht="15.75" customHeight="1"/>
    <row r="60549" ht="15.75" customHeight="1"/>
    <row r="60550" ht="15.75" customHeight="1"/>
    <row r="60551" ht="15.75" customHeight="1"/>
    <row r="60552" ht="15.75" customHeight="1"/>
    <row r="60553" ht="15.75" customHeight="1"/>
    <row r="60554" ht="15.75" customHeight="1"/>
    <row r="60555" ht="15.75" customHeight="1"/>
    <row r="60556" ht="15.75" customHeight="1"/>
    <row r="60557" ht="15.75" customHeight="1"/>
    <row r="60558" ht="15.75" customHeight="1"/>
    <row r="60559" ht="15.75" customHeight="1"/>
    <row r="60560" ht="15.75" customHeight="1"/>
    <row r="60561" ht="15.75" customHeight="1"/>
    <row r="60562" ht="15.75" customHeight="1"/>
    <row r="60563" ht="15.75" customHeight="1"/>
    <row r="60564" ht="15.75" customHeight="1"/>
    <row r="60565" ht="15.75" customHeight="1"/>
    <row r="60566" ht="15.75" customHeight="1"/>
    <row r="60567" ht="15.75" customHeight="1"/>
    <row r="60568" ht="15.75" customHeight="1"/>
    <row r="60569" ht="15.75" customHeight="1"/>
    <row r="60570" ht="15.75" customHeight="1"/>
    <row r="60571" ht="15.75" customHeight="1"/>
    <row r="60572" ht="15.75" customHeight="1"/>
    <row r="60573" ht="15.75" customHeight="1"/>
    <row r="60574" ht="15.75" customHeight="1"/>
    <row r="60575" ht="15.75" customHeight="1"/>
    <row r="60576" ht="15.75" customHeight="1"/>
    <row r="60577" ht="15.75" customHeight="1"/>
    <row r="60578" ht="15.75" customHeight="1"/>
    <row r="60579" ht="15.75" customHeight="1"/>
    <row r="60580" ht="15.75" customHeight="1"/>
    <row r="60581" ht="15.75" customHeight="1"/>
    <row r="60582" ht="15.75" customHeight="1"/>
    <row r="60583" ht="15.75" customHeight="1"/>
    <row r="60584" ht="15.75" customHeight="1"/>
    <row r="60585" ht="15.75" customHeight="1"/>
    <row r="60586" ht="15.75" customHeight="1"/>
    <row r="60587" ht="15.75" customHeight="1"/>
    <row r="60588" ht="15.75" customHeight="1"/>
    <row r="60589" ht="15.75" customHeight="1"/>
    <row r="60590" ht="15.75" customHeight="1"/>
    <row r="60591" ht="15.75" customHeight="1"/>
    <row r="60592" ht="15.75" customHeight="1"/>
    <row r="60593" ht="15.75" customHeight="1"/>
    <row r="60594" ht="15.75" customHeight="1"/>
    <row r="60595" ht="15.75" customHeight="1"/>
    <row r="60596" ht="15.75" customHeight="1"/>
    <row r="60597" ht="15.75" customHeight="1"/>
    <row r="60598" ht="15.75" customHeight="1"/>
    <row r="60599" ht="15.75" customHeight="1"/>
    <row r="60600" ht="15.75" customHeight="1"/>
    <row r="60601" ht="15.75" customHeight="1"/>
    <row r="60602" ht="15.75" customHeight="1"/>
    <row r="60603" ht="15.75" customHeight="1"/>
    <row r="60604" ht="15.75" customHeight="1"/>
    <row r="60605" ht="15.75" customHeight="1"/>
    <row r="60606" ht="15.75" customHeight="1"/>
    <row r="60607" ht="15.75" customHeight="1"/>
    <row r="60608" ht="15.75" customHeight="1"/>
    <row r="60609" ht="15.75" customHeight="1"/>
    <row r="60610" ht="15.75" customHeight="1"/>
    <row r="60611" ht="15.75" customHeight="1"/>
    <row r="60612" ht="15.75" customHeight="1"/>
    <row r="60613" ht="15.75" customHeight="1"/>
    <row r="60614" ht="15.75" customHeight="1"/>
    <row r="60615" ht="15.75" customHeight="1"/>
    <row r="60616" ht="15.75" customHeight="1"/>
    <row r="60617" ht="15.75" customHeight="1"/>
    <row r="60618" ht="15.75" customHeight="1"/>
    <row r="60619" ht="15.75" customHeight="1"/>
    <row r="60620" ht="15.75" customHeight="1"/>
    <row r="60621" ht="15.75" customHeight="1"/>
    <row r="60622" ht="15.75" customHeight="1"/>
    <row r="60623" ht="15.75" customHeight="1"/>
    <row r="60624" ht="15.75" customHeight="1"/>
    <row r="60625" ht="15.75" customHeight="1"/>
    <row r="60626" ht="15.75" customHeight="1"/>
    <row r="60627" ht="15.75" customHeight="1"/>
    <row r="60628" ht="15.75" customHeight="1"/>
    <row r="60629" ht="15.75" customHeight="1"/>
    <row r="60630" ht="15.75" customHeight="1"/>
    <row r="60631" ht="15.75" customHeight="1"/>
    <row r="60632" ht="15.75" customHeight="1"/>
    <row r="60633" ht="15.75" customHeight="1"/>
    <row r="60634" ht="15.75" customHeight="1"/>
    <row r="60635" ht="15.75" customHeight="1"/>
    <row r="60636" ht="15.75" customHeight="1"/>
    <row r="60637" ht="15.75" customHeight="1"/>
    <row r="60638" ht="15.75" customHeight="1"/>
    <row r="60639" ht="15.75" customHeight="1"/>
    <row r="60640" ht="15.75" customHeight="1"/>
    <row r="60641" ht="15.75" customHeight="1"/>
    <row r="60642" ht="15.75" customHeight="1"/>
    <row r="60643" ht="15.75" customHeight="1"/>
    <row r="60644" ht="15.75" customHeight="1"/>
    <row r="60645" ht="15.75" customHeight="1"/>
    <row r="60646" ht="15.75" customHeight="1"/>
    <row r="60647" ht="15.75" customHeight="1"/>
    <row r="60648" ht="15.75" customHeight="1"/>
    <row r="60649" ht="15.75" customHeight="1"/>
    <row r="60650" ht="15.75" customHeight="1"/>
    <row r="60651" ht="15.75" customHeight="1"/>
    <row r="60652" ht="15.75" customHeight="1"/>
    <row r="60653" ht="15.75" customHeight="1"/>
    <row r="60654" ht="15.75" customHeight="1"/>
    <row r="60655" ht="15.75" customHeight="1"/>
    <row r="60656" ht="15.75" customHeight="1"/>
    <row r="60657" ht="15.75" customHeight="1"/>
    <row r="60658" ht="15.75" customHeight="1"/>
    <row r="60659" ht="15.75" customHeight="1"/>
    <row r="60660" ht="15.75" customHeight="1"/>
    <row r="60661" ht="15.75" customHeight="1"/>
    <row r="60662" ht="15.75" customHeight="1"/>
    <row r="60663" ht="15.75" customHeight="1"/>
    <row r="60664" ht="15.75" customHeight="1"/>
    <row r="60665" ht="15.75" customHeight="1"/>
    <row r="60666" ht="15.75" customHeight="1"/>
    <row r="60667" ht="15.75" customHeight="1"/>
    <row r="60668" ht="15.75" customHeight="1"/>
    <row r="60669" ht="15.75" customHeight="1"/>
    <row r="60670" ht="15.75" customHeight="1"/>
    <row r="60671" ht="15.75" customHeight="1"/>
    <row r="60672" ht="15.75" customHeight="1"/>
    <row r="60673" ht="15.75" customHeight="1"/>
    <row r="60674" ht="15.75" customHeight="1"/>
    <row r="60675" ht="15.75" customHeight="1"/>
    <row r="60676" ht="15.75" customHeight="1"/>
    <row r="60677" ht="15.75" customHeight="1"/>
    <row r="60678" ht="15.75" customHeight="1"/>
    <row r="60679" ht="15.75" customHeight="1"/>
    <row r="60680" ht="15.75" customHeight="1"/>
    <row r="60681" ht="15.75" customHeight="1"/>
    <row r="60682" ht="15.75" customHeight="1"/>
    <row r="60683" ht="15.75" customHeight="1"/>
    <row r="60684" ht="15.75" customHeight="1"/>
    <row r="60685" ht="15.75" customHeight="1"/>
    <row r="60686" ht="15.75" customHeight="1"/>
    <row r="60687" ht="15.75" customHeight="1"/>
    <row r="60688" ht="15.75" customHeight="1"/>
    <row r="60689" ht="15.75" customHeight="1"/>
    <row r="60690" ht="15.75" customHeight="1"/>
    <row r="60691" ht="15.75" customHeight="1"/>
    <row r="60692" ht="15.75" customHeight="1"/>
    <row r="60693" ht="15.75" customHeight="1"/>
    <row r="60694" ht="15.75" customHeight="1"/>
    <row r="60695" ht="15.75" customHeight="1"/>
    <row r="60696" ht="15.75" customHeight="1"/>
    <row r="60697" ht="15.75" customHeight="1"/>
    <row r="60698" ht="15.75" customHeight="1"/>
    <row r="60699" ht="15.75" customHeight="1"/>
    <row r="60700" ht="15.75" customHeight="1"/>
    <row r="60701" ht="15.75" customHeight="1"/>
    <row r="60702" ht="15.75" customHeight="1"/>
    <row r="60703" ht="15.75" customHeight="1"/>
    <row r="60704" ht="15.75" customHeight="1"/>
    <row r="60705" ht="15.75" customHeight="1"/>
    <row r="60706" ht="15.75" customHeight="1"/>
    <row r="60707" ht="15.75" customHeight="1"/>
    <row r="60708" ht="15.75" customHeight="1"/>
    <row r="60709" ht="15.75" customHeight="1"/>
    <row r="60710" ht="15.75" customHeight="1"/>
    <row r="60711" ht="15.75" customHeight="1"/>
    <row r="60712" ht="15.75" customHeight="1"/>
    <row r="60713" ht="15.75" customHeight="1"/>
    <row r="60714" ht="15.75" customHeight="1"/>
    <row r="60715" ht="15.75" customHeight="1"/>
    <row r="60716" ht="15.75" customHeight="1"/>
    <row r="60717" ht="15.75" customHeight="1"/>
    <row r="60718" ht="15.75" customHeight="1"/>
    <row r="60719" ht="15.75" customHeight="1"/>
    <row r="60720" ht="15.75" customHeight="1"/>
    <row r="60721" ht="15.75" customHeight="1"/>
    <row r="60722" ht="15.75" customHeight="1"/>
    <row r="60723" ht="15.75" customHeight="1"/>
    <row r="60724" ht="15.75" customHeight="1"/>
    <row r="60725" ht="15.75" customHeight="1"/>
    <row r="60726" ht="15.75" customHeight="1"/>
    <row r="60727" ht="15.75" customHeight="1"/>
    <row r="60728" ht="15.75" customHeight="1"/>
    <row r="60729" ht="15.75" customHeight="1"/>
    <row r="60730" ht="15.75" customHeight="1"/>
    <row r="60731" ht="15.75" customHeight="1"/>
    <row r="60732" ht="15.75" customHeight="1"/>
    <row r="60733" ht="15.75" customHeight="1"/>
    <row r="60734" ht="15.75" customHeight="1"/>
    <row r="60735" ht="15.75" customHeight="1"/>
    <row r="60736" ht="15.75" customHeight="1"/>
    <row r="60737" ht="15.75" customHeight="1"/>
    <row r="60738" ht="15.75" customHeight="1"/>
    <row r="60739" ht="15.75" customHeight="1"/>
    <row r="60740" ht="15.75" customHeight="1"/>
    <row r="60741" ht="15.75" customHeight="1"/>
    <row r="60742" ht="15.75" customHeight="1"/>
    <row r="60743" ht="15.75" customHeight="1"/>
    <row r="60744" ht="15.75" customHeight="1"/>
    <row r="60745" ht="15.75" customHeight="1"/>
    <row r="60746" ht="15.75" customHeight="1"/>
    <row r="60747" ht="15.75" customHeight="1"/>
    <row r="60748" ht="15.75" customHeight="1"/>
    <row r="60749" ht="15.75" customHeight="1"/>
    <row r="60750" ht="15.75" customHeight="1"/>
    <row r="60751" ht="15.75" customHeight="1"/>
    <row r="60752" ht="15.75" customHeight="1"/>
    <row r="60753" ht="15.75" customHeight="1"/>
    <row r="60754" ht="15.75" customHeight="1"/>
    <row r="60755" ht="15.75" customHeight="1"/>
    <row r="60756" ht="15.75" customHeight="1"/>
    <row r="60757" ht="15.75" customHeight="1"/>
    <row r="60758" ht="15.75" customHeight="1"/>
    <row r="60759" ht="15.75" customHeight="1"/>
    <row r="60760" ht="15.75" customHeight="1"/>
    <row r="60761" ht="15.75" customHeight="1"/>
    <row r="60762" ht="15.75" customHeight="1"/>
    <row r="60763" ht="15.75" customHeight="1"/>
    <row r="60764" ht="15.75" customHeight="1"/>
    <row r="60765" ht="15.75" customHeight="1"/>
    <row r="60766" ht="15.75" customHeight="1"/>
    <row r="60767" ht="15.75" customHeight="1"/>
    <row r="60768" ht="15.75" customHeight="1"/>
    <row r="60769" ht="15.75" customHeight="1"/>
    <row r="60770" ht="15.75" customHeight="1"/>
    <row r="60771" ht="15.75" customHeight="1"/>
    <row r="60772" ht="15.75" customHeight="1"/>
    <row r="60773" ht="15.75" customHeight="1"/>
    <row r="60774" ht="15.75" customHeight="1"/>
    <row r="60775" ht="15.75" customHeight="1"/>
    <row r="60776" ht="15.75" customHeight="1"/>
    <row r="60777" ht="15.75" customHeight="1"/>
    <row r="60778" ht="15.75" customHeight="1"/>
    <row r="60779" ht="15.75" customHeight="1"/>
    <row r="60780" ht="15.75" customHeight="1"/>
    <row r="60781" ht="15.75" customHeight="1"/>
    <row r="60782" ht="15.75" customHeight="1"/>
    <row r="60783" ht="15.75" customHeight="1"/>
    <row r="60784" ht="15.75" customHeight="1"/>
    <row r="60785" ht="15.75" customHeight="1"/>
    <row r="60786" ht="15.75" customHeight="1"/>
    <row r="60787" ht="15.75" customHeight="1"/>
    <row r="60788" ht="15.75" customHeight="1"/>
    <row r="60789" ht="15.75" customHeight="1"/>
    <row r="60790" ht="15.75" customHeight="1"/>
    <row r="60791" ht="15.75" customHeight="1"/>
    <row r="60792" ht="15.75" customHeight="1"/>
    <row r="60793" ht="15.75" customHeight="1"/>
    <row r="60794" ht="15.75" customHeight="1"/>
    <row r="60795" ht="15.75" customHeight="1"/>
    <row r="60796" ht="15.75" customHeight="1"/>
    <row r="60797" ht="15.75" customHeight="1"/>
    <row r="60798" ht="15.75" customHeight="1"/>
    <row r="60799" ht="15.75" customHeight="1"/>
    <row r="60800" ht="15.75" customHeight="1"/>
    <row r="60801" ht="15.75" customHeight="1"/>
    <row r="60802" ht="15.75" customHeight="1"/>
    <row r="60803" ht="15.75" customHeight="1"/>
    <row r="60804" ht="15.75" customHeight="1"/>
    <row r="60805" ht="15.75" customHeight="1"/>
    <row r="60806" ht="15.75" customHeight="1"/>
    <row r="60807" ht="15.75" customHeight="1"/>
    <row r="60808" ht="15.75" customHeight="1"/>
    <row r="60809" ht="15.75" customHeight="1"/>
    <row r="60810" ht="15.75" customHeight="1"/>
    <row r="60811" ht="15.75" customHeight="1"/>
    <row r="60812" ht="15.75" customHeight="1"/>
    <row r="60813" ht="15.75" customHeight="1"/>
    <row r="60814" ht="15.75" customHeight="1"/>
    <row r="60815" ht="15.75" customHeight="1"/>
    <row r="60816" ht="15.75" customHeight="1"/>
    <row r="60817" ht="15.75" customHeight="1"/>
    <row r="60818" ht="15.75" customHeight="1"/>
    <row r="60819" ht="15.75" customHeight="1"/>
    <row r="60820" ht="15.75" customHeight="1"/>
    <row r="60821" ht="15.75" customHeight="1"/>
    <row r="60822" ht="15.75" customHeight="1"/>
    <row r="60823" ht="15.75" customHeight="1"/>
    <row r="60824" ht="15.75" customHeight="1"/>
    <row r="60825" ht="15.75" customHeight="1"/>
    <row r="60826" ht="15.75" customHeight="1"/>
    <row r="60827" ht="15.75" customHeight="1"/>
    <row r="60828" ht="15.75" customHeight="1"/>
    <row r="60829" ht="15.75" customHeight="1"/>
    <row r="60830" ht="15.75" customHeight="1"/>
    <row r="60831" ht="15.75" customHeight="1"/>
    <row r="60832" ht="15.75" customHeight="1"/>
    <row r="60833" ht="15.75" customHeight="1"/>
    <row r="60834" ht="15.75" customHeight="1"/>
    <row r="60835" ht="15.75" customHeight="1"/>
    <row r="60836" ht="15.75" customHeight="1"/>
    <row r="60837" ht="15.75" customHeight="1"/>
    <row r="60838" ht="15.75" customHeight="1"/>
    <row r="60839" ht="15.75" customHeight="1"/>
    <row r="60840" ht="15.75" customHeight="1"/>
    <row r="60841" ht="15.75" customHeight="1"/>
    <row r="60842" ht="15.75" customHeight="1"/>
    <row r="60843" ht="15.75" customHeight="1"/>
    <row r="60844" ht="15.75" customHeight="1"/>
    <row r="60845" ht="15.75" customHeight="1"/>
    <row r="60846" ht="15.75" customHeight="1"/>
    <row r="60847" ht="15.75" customHeight="1"/>
    <row r="60848" ht="15.75" customHeight="1"/>
    <row r="60849" ht="15.75" customHeight="1"/>
    <row r="60850" ht="15.75" customHeight="1"/>
    <row r="60851" ht="15.75" customHeight="1"/>
    <row r="60852" ht="15.75" customHeight="1"/>
    <row r="60853" ht="15.75" customHeight="1"/>
    <row r="60854" ht="15.75" customHeight="1"/>
    <row r="60855" ht="15.75" customHeight="1"/>
    <row r="60856" ht="15.75" customHeight="1"/>
    <row r="60857" ht="15.75" customHeight="1"/>
    <row r="60858" ht="15.75" customHeight="1"/>
    <row r="60859" ht="15.75" customHeight="1"/>
    <row r="60860" ht="15.75" customHeight="1"/>
    <row r="60861" ht="15.75" customHeight="1"/>
    <row r="60862" ht="15.75" customHeight="1"/>
    <row r="60863" ht="15.75" customHeight="1"/>
    <row r="60864" ht="15.75" customHeight="1"/>
    <row r="60865" ht="15.75" customHeight="1"/>
    <row r="60866" ht="15.75" customHeight="1"/>
    <row r="60867" ht="15.75" customHeight="1"/>
    <row r="60868" ht="15.75" customHeight="1"/>
    <row r="60869" ht="15.75" customHeight="1"/>
    <row r="60870" ht="15.75" customHeight="1"/>
    <row r="60871" ht="15.75" customHeight="1"/>
    <row r="60872" ht="15.75" customHeight="1"/>
    <row r="60873" ht="15.75" customHeight="1"/>
    <row r="60874" ht="15.75" customHeight="1"/>
    <row r="60875" ht="15.75" customHeight="1"/>
    <row r="60876" ht="15.75" customHeight="1"/>
    <row r="60877" ht="15.75" customHeight="1"/>
    <row r="60878" ht="15.75" customHeight="1"/>
    <row r="60879" ht="15.75" customHeight="1"/>
    <row r="60880" ht="15.75" customHeight="1"/>
    <row r="60881" ht="15.75" customHeight="1"/>
    <row r="60882" ht="15.75" customHeight="1"/>
    <row r="60883" ht="15.75" customHeight="1"/>
    <row r="60884" ht="15.75" customHeight="1"/>
    <row r="60885" ht="15.75" customHeight="1"/>
    <row r="60886" ht="15.75" customHeight="1"/>
    <row r="60887" ht="15.75" customHeight="1"/>
    <row r="60888" ht="15.75" customHeight="1"/>
    <row r="60889" ht="15.75" customHeight="1"/>
    <row r="60890" ht="15.75" customHeight="1"/>
    <row r="60891" ht="15.75" customHeight="1"/>
    <row r="60892" ht="15.75" customHeight="1"/>
    <row r="60893" ht="15.75" customHeight="1"/>
    <row r="60894" ht="15.75" customHeight="1"/>
    <row r="60895" ht="15.75" customHeight="1"/>
    <row r="60896" ht="15.75" customHeight="1"/>
    <row r="60897" ht="15.75" customHeight="1"/>
    <row r="60898" ht="15.75" customHeight="1"/>
    <row r="60899" ht="15.75" customHeight="1"/>
    <row r="60900" ht="15.75" customHeight="1"/>
    <row r="60901" ht="15.75" customHeight="1"/>
    <row r="60902" ht="15.75" customHeight="1"/>
    <row r="60903" ht="15.75" customHeight="1"/>
    <row r="60904" ht="15.75" customHeight="1"/>
    <row r="60905" ht="15.75" customHeight="1"/>
    <row r="60906" ht="15.75" customHeight="1"/>
    <row r="60907" ht="15.75" customHeight="1"/>
    <row r="60908" ht="15.75" customHeight="1"/>
    <row r="60909" ht="15.75" customHeight="1"/>
    <row r="60910" ht="15.75" customHeight="1"/>
    <row r="60911" ht="15.75" customHeight="1"/>
    <row r="60912" ht="15.75" customHeight="1"/>
    <row r="60913" ht="15.75" customHeight="1"/>
    <row r="60914" ht="15.75" customHeight="1"/>
    <row r="60915" ht="15.75" customHeight="1"/>
    <row r="60916" ht="15.75" customHeight="1"/>
    <row r="60917" ht="15.75" customHeight="1"/>
    <row r="60918" ht="15.75" customHeight="1"/>
    <row r="60919" ht="15.75" customHeight="1"/>
    <row r="60920" ht="15.75" customHeight="1"/>
    <row r="60921" ht="15.75" customHeight="1"/>
    <row r="60922" ht="15.75" customHeight="1"/>
    <row r="60923" ht="15.75" customHeight="1"/>
    <row r="60924" ht="15.75" customHeight="1"/>
    <row r="60925" ht="15.75" customHeight="1"/>
    <row r="60926" ht="15.75" customHeight="1"/>
    <row r="60927" ht="15.75" customHeight="1"/>
    <row r="60928" ht="15.75" customHeight="1"/>
    <row r="60929" ht="15.75" customHeight="1"/>
    <row r="60930" ht="15.75" customHeight="1"/>
    <row r="60931" ht="15.75" customHeight="1"/>
    <row r="60932" ht="15.75" customHeight="1"/>
    <row r="60933" ht="15.75" customHeight="1"/>
    <row r="60934" ht="15.75" customHeight="1"/>
    <row r="60935" ht="15.75" customHeight="1"/>
    <row r="60936" ht="15.75" customHeight="1"/>
    <row r="60937" ht="15.75" customHeight="1"/>
    <row r="60938" ht="15.75" customHeight="1"/>
    <row r="60939" ht="15.75" customHeight="1"/>
    <row r="60940" ht="15.75" customHeight="1"/>
    <row r="60941" ht="15.75" customHeight="1"/>
    <row r="60942" ht="15.75" customHeight="1"/>
    <row r="60943" ht="15.75" customHeight="1"/>
    <row r="60944" ht="15.75" customHeight="1"/>
    <row r="60945" ht="15.75" customHeight="1"/>
    <row r="60946" ht="15.75" customHeight="1"/>
    <row r="60947" ht="15.75" customHeight="1"/>
    <row r="60948" ht="15.75" customHeight="1"/>
    <row r="60949" ht="15.75" customHeight="1"/>
    <row r="60950" ht="15.75" customHeight="1"/>
    <row r="60951" ht="15.75" customHeight="1"/>
    <row r="60952" ht="15.75" customHeight="1"/>
    <row r="60953" ht="15.75" customHeight="1"/>
    <row r="60954" ht="15.75" customHeight="1"/>
    <row r="60955" ht="15.75" customHeight="1"/>
    <row r="60956" ht="15.75" customHeight="1"/>
    <row r="60957" ht="15.75" customHeight="1"/>
    <row r="60958" ht="15.75" customHeight="1"/>
    <row r="60959" ht="15.75" customHeight="1"/>
    <row r="60960" ht="15.75" customHeight="1"/>
    <row r="60961" ht="15.75" customHeight="1"/>
    <row r="60962" ht="15.75" customHeight="1"/>
    <row r="60963" ht="15.75" customHeight="1"/>
    <row r="60964" ht="15.75" customHeight="1"/>
    <row r="60965" ht="15.75" customHeight="1"/>
    <row r="60966" ht="15.75" customHeight="1"/>
    <row r="60967" ht="15.75" customHeight="1"/>
    <row r="60968" ht="15.75" customHeight="1"/>
    <row r="60969" ht="15.75" customHeight="1"/>
    <row r="60970" ht="15.75" customHeight="1"/>
    <row r="60971" ht="15.75" customHeight="1"/>
    <row r="60972" ht="15.75" customHeight="1"/>
    <row r="60973" ht="15.75" customHeight="1"/>
    <row r="60974" ht="15.75" customHeight="1"/>
    <row r="60975" ht="15.75" customHeight="1"/>
    <row r="60976" ht="15.75" customHeight="1"/>
    <row r="60977" ht="15.75" customHeight="1"/>
    <row r="60978" ht="15.75" customHeight="1"/>
    <row r="60979" ht="15.75" customHeight="1"/>
    <row r="60980" ht="15.75" customHeight="1"/>
    <row r="60981" ht="15.75" customHeight="1"/>
    <row r="60982" ht="15.75" customHeight="1"/>
    <row r="60983" ht="15.75" customHeight="1"/>
    <row r="60984" ht="15.75" customHeight="1"/>
    <row r="60985" ht="15.75" customHeight="1"/>
    <row r="60986" ht="15.75" customHeight="1"/>
    <row r="60987" ht="15.75" customHeight="1"/>
    <row r="60988" ht="15.75" customHeight="1"/>
    <row r="60989" ht="15.75" customHeight="1"/>
    <row r="60990" ht="15.75" customHeight="1"/>
    <row r="60991" ht="15.75" customHeight="1"/>
    <row r="60992" ht="15.75" customHeight="1"/>
    <row r="60993" ht="15.75" customHeight="1"/>
    <row r="60994" ht="15.75" customHeight="1"/>
    <row r="60995" ht="15.75" customHeight="1"/>
    <row r="60996" ht="15.75" customHeight="1"/>
    <row r="60997" ht="15.75" customHeight="1"/>
    <row r="60998" ht="15.75" customHeight="1"/>
    <row r="60999" ht="15.75" customHeight="1"/>
    <row r="61000" ht="15.75" customHeight="1"/>
    <row r="61001" ht="15.75" customHeight="1"/>
    <row r="61002" ht="15.75" customHeight="1"/>
    <row r="61003" ht="15.75" customHeight="1"/>
    <row r="61004" ht="15.75" customHeight="1"/>
    <row r="61005" ht="15.75" customHeight="1"/>
    <row r="61006" ht="15.75" customHeight="1"/>
    <row r="61007" ht="15.75" customHeight="1"/>
    <row r="61008" ht="15.75" customHeight="1"/>
    <row r="61009" ht="15.75" customHeight="1"/>
    <row r="61010" ht="15.75" customHeight="1"/>
    <row r="61011" ht="15.75" customHeight="1"/>
    <row r="61012" ht="15.75" customHeight="1"/>
    <row r="61013" ht="15.75" customHeight="1"/>
    <row r="61014" ht="15.75" customHeight="1"/>
    <row r="61015" ht="15.75" customHeight="1"/>
    <row r="61016" ht="15.75" customHeight="1"/>
    <row r="61017" ht="15.75" customHeight="1"/>
    <row r="61018" ht="15.75" customHeight="1"/>
    <row r="61019" ht="15.75" customHeight="1"/>
    <row r="61020" ht="15.75" customHeight="1"/>
    <row r="61021" ht="15.75" customHeight="1"/>
    <row r="61022" ht="15.75" customHeight="1"/>
    <row r="61023" ht="15.75" customHeight="1"/>
    <row r="61024" ht="15.75" customHeight="1"/>
    <row r="61025" ht="15.75" customHeight="1"/>
    <row r="61026" ht="15.75" customHeight="1"/>
    <row r="61027" ht="15.75" customHeight="1"/>
    <row r="61028" ht="15.75" customHeight="1"/>
    <row r="61029" ht="15.75" customHeight="1"/>
    <row r="61030" ht="15.75" customHeight="1"/>
    <row r="61031" ht="15.75" customHeight="1"/>
    <row r="61032" ht="15.75" customHeight="1"/>
    <row r="61033" ht="15.75" customHeight="1"/>
    <row r="61034" ht="15.75" customHeight="1"/>
    <row r="61035" ht="15.75" customHeight="1"/>
    <row r="61036" ht="15.75" customHeight="1"/>
    <row r="61037" ht="15.75" customHeight="1"/>
    <row r="61038" ht="15.75" customHeight="1"/>
    <row r="61039" ht="15.75" customHeight="1"/>
    <row r="61040" ht="15.75" customHeight="1"/>
    <row r="61041" ht="15.75" customHeight="1"/>
    <row r="61042" ht="15.75" customHeight="1"/>
    <row r="61043" ht="15.75" customHeight="1"/>
    <row r="61044" ht="15.75" customHeight="1"/>
    <row r="61045" ht="15.75" customHeight="1"/>
    <row r="61046" ht="15.75" customHeight="1"/>
    <row r="61047" ht="15.75" customHeight="1"/>
    <row r="61048" ht="15.75" customHeight="1"/>
    <row r="61049" ht="15.75" customHeight="1"/>
    <row r="61050" ht="15.75" customHeight="1"/>
    <row r="61051" ht="15.75" customHeight="1"/>
    <row r="61052" ht="15.75" customHeight="1"/>
    <row r="61053" ht="15.75" customHeight="1"/>
    <row r="61054" ht="15.75" customHeight="1"/>
    <row r="61055" ht="15.75" customHeight="1"/>
    <row r="61056" ht="15.75" customHeight="1"/>
    <row r="61057" ht="15.75" customHeight="1"/>
    <row r="61058" ht="15.75" customHeight="1"/>
    <row r="61059" ht="15.75" customHeight="1"/>
    <row r="61060" ht="15.75" customHeight="1"/>
    <row r="61061" ht="15.75" customHeight="1"/>
    <row r="61062" ht="15.75" customHeight="1"/>
    <row r="61063" ht="15.75" customHeight="1"/>
    <row r="61064" ht="15.75" customHeight="1"/>
    <row r="61065" ht="15.75" customHeight="1"/>
    <row r="61066" ht="15.75" customHeight="1"/>
    <row r="61067" ht="15.75" customHeight="1"/>
    <row r="61068" ht="15.75" customHeight="1"/>
    <row r="61069" ht="15.75" customHeight="1"/>
    <row r="61070" ht="15.75" customHeight="1"/>
    <row r="61071" ht="15.75" customHeight="1"/>
    <row r="61072" ht="15.75" customHeight="1"/>
    <row r="61073" ht="15.75" customHeight="1"/>
    <row r="61074" ht="15.75" customHeight="1"/>
    <row r="61075" ht="15.75" customHeight="1"/>
    <row r="61076" ht="15.75" customHeight="1"/>
    <row r="61077" ht="15.75" customHeight="1"/>
    <row r="61078" ht="15.75" customHeight="1"/>
    <row r="61079" ht="15.75" customHeight="1"/>
    <row r="61080" ht="15.75" customHeight="1"/>
    <row r="61081" ht="15.75" customHeight="1"/>
    <row r="61082" ht="15.75" customHeight="1"/>
    <row r="61083" ht="15.75" customHeight="1"/>
    <row r="61084" ht="15.75" customHeight="1"/>
    <row r="61085" ht="15.75" customHeight="1"/>
    <row r="61086" ht="15.75" customHeight="1"/>
    <row r="61087" ht="15.75" customHeight="1"/>
    <row r="61088" ht="15.75" customHeight="1"/>
    <row r="61089" ht="15.75" customHeight="1"/>
    <row r="61090" ht="15.75" customHeight="1"/>
    <row r="61091" ht="15.75" customHeight="1"/>
    <row r="61092" ht="15.75" customHeight="1"/>
    <row r="61093" ht="15.75" customHeight="1"/>
    <row r="61094" ht="15.75" customHeight="1"/>
    <row r="61095" ht="15.75" customHeight="1"/>
    <row r="61096" ht="15.75" customHeight="1"/>
    <row r="61097" ht="15.75" customHeight="1"/>
    <row r="61098" ht="15.75" customHeight="1"/>
    <row r="61099" ht="15.75" customHeight="1"/>
    <row r="61100" ht="15.75" customHeight="1"/>
    <row r="61101" ht="15.75" customHeight="1"/>
    <row r="61102" ht="15.75" customHeight="1"/>
    <row r="61103" ht="15.75" customHeight="1"/>
    <row r="61104" ht="15.75" customHeight="1"/>
    <row r="61105" ht="15.75" customHeight="1"/>
    <row r="61106" ht="15.75" customHeight="1"/>
    <row r="61107" ht="15.75" customHeight="1"/>
    <row r="61108" ht="15.75" customHeight="1"/>
    <row r="61109" ht="15.75" customHeight="1"/>
    <row r="61110" ht="15.75" customHeight="1"/>
    <row r="61111" ht="15.75" customHeight="1"/>
    <row r="61112" ht="15.75" customHeight="1"/>
    <row r="61113" ht="15.75" customHeight="1"/>
    <row r="61114" ht="15.75" customHeight="1"/>
    <row r="61115" ht="15.75" customHeight="1"/>
    <row r="61116" ht="15.75" customHeight="1"/>
    <row r="61117" ht="15.75" customHeight="1"/>
    <row r="61118" ht="15.75" customHeight="1"/>
    <row r="61119" ht="15.75" customHeight="1"/>
    <row r="61120" ht="15.75" customHeight="1"/>
    <row r="61121" ht="15.75" customHeight="1"/>
    <row r="61122" ht="15.75" customHeight="1"/>
    <row r="61123" ht="15.75" customHeight="1"/>
    <row r="61124" ht="15.75" customHeight="1"/>
    <row r="61125" ht="15.75" customHeight="1"/>
    <row r="61126" ht="15.75" customHeight="1"/>
    <row r="61127" ht="15.75" customHeight="1"/>
    <row r="61128" ht="15.75" customHeight="1"/>
    <row r="61129" ht="15.75" customHeight="1"/>
    <row r="61130" ht="15.75" customHeight="1"/>
    <row r="61131" ht="15.75" customHeight="1"/>
    <row r="61132" ht="15.75" customHeight="1"/>
    <row r="61133" ht="15.75" customHeight="1"/>
    <row r="61134" ht="15.75" customHeight="1"/>
    <row r="61135" ht="15.75" customHeight="1"/>
    <row r="61136" ht="15.75" customHeight="1"/>
    <row r="61137" ht="15.75" customHeight="1"/>
    <row r="61138" ht="15.75" customHeight="1"/>
    <row r="61139" ht="15.75" customHeight="1"/>
    <row r="61140" ht="15.75" customHeight="1"/>
    <row r="61141" ht="15.75" customHeight="1"/>
    <row r="61142" ht="15.75" customHeight="1"/>
    <row r="61143" ht="15.75" customHeight="1"/>
    <row r="61144" ht="15.75" customHeight="1"/>
    <row r="61145" ht="15.75" customHeight="1"/>
    <row r="61146" ht="15.75" customHeight="1"/>
    <row r="61147" ht="15.75" customHeight="1"/>
    <row r="61148" ht="15.75" customHeight="1"/>
    <row r="61149" ht="15.75" customHeight="1"/>
    <row r="61150" ht="15.75" customHeight="1"/>
    <row r="61151" ht="15.75" customHeight="1"/>
    <row r="61152" ht="15.75" customHeight="1"/>
    <row r="61153" ht="15.75" customHeight="1"/>
    <row r="61154" ht="15.75" customHeight="1"/>
    <row r="61155" ht="15.75" customHeight="1"/>
    <row r="61156" ht="15.75" customHeight="1"/>
    <row r="61157" ht="15.75" customHeight="1"/>
    <row r="61158" ht="15.75" customHeight="1"/>
    <row r="61159" ht="15.75" customHeight="1"/>
    <row r="61160" ht="15.75" customHeight="1"/>
    <row r="61161" ht="15.75" customHeight="1"/>
    <row r="61162" ht="15.75" customHeight="1"/>
    <row r="61163" ht="15.75" customHeight="1"/>
    <row r="61164" ht="15.75" customHeight="1"/>
    <row r="61165" ht="15.75" customHeight="1"/>
    <row r="61166" ht="15.75" customHeight="1"/>
    <row r="61167" ht="15.75" customHeight="1"/>
    <row r="61168" ht="15.75" customHeight="1"/>
    <row r="61169" ht="15.75" customHeight="1"/>
    <row r="61170" ht="15.75" customHeight="1"/>
    <row r="61171" ht="15.75" customHeight="1"/>
    <row r="61172" ht="15.75" customHeight="1"/>
    <row r="61173" ht="15.75" customHeight="1"/>
    <row r="61174" ht="15.75" customHeight="1"/>
    <row r="61175" ht="15.75" customHeight="1"/>
    <row r="61176" ht="15.75" customHeight="1"/>
    <row r="61177" ht="15.75" customHeight="1"/>
    <row r="61178" ht="15.75" customHeight="1"/>
    <row r="61179" ht="15.75" customHeight="1"/>
    <row r="61180" ht="15.75" customHeight="1"/>
    <row r="61181" ht="15.75" customHeight="1"/>
    <row r="61182" ht="15.75" customHeight="1"/>
    <row r="61183" ht="15.75" customHeight="1"/>
    <row r="61184" ht="15.75" customHeight="1"/>
    <row r="61185" ht="15.75" customHeight="1"/>
    <row r="61186" ht="15.75" customHeight="1"/>
    <row r="61187" ht="15.75" customHeight="1"/>
    <row r="61188" ht="15.75" customHeight="1"/>
    <row r="61189" ht="15.75" customHeight="1"/>
    <row r="61190" ht="15.75" customHeight="1"/>
    <row r="61191" ht="15.75" customHeight="1"/>
    <row r="61192" ht="15.75" customHeight="1"/>
    <row r="61193" ht="15.75" customHeight="1"/>
    <row r="61194" ht="15.75" customHeight="1"/>
    <row r="61195" ht="15.75" customHeight="1"/>
    <row r="61196" ht="15.75" customHeight="1"/>
    <row r="61197" ht="15.75" customHeight="1"/>
    <row r="61198" ht="15.75" customHeight="1"/>
    <row r="61199" ht="15.75" customHeight="1"/>
    <row r="61200" ht="15.75" customHeight="1"/>
    <row r="61201" ht="15.75" customHeight="1"/>
    <row r="61202" ht="15.75" customHeight="1"/>
    <row r="61203" ht="15.75" customHeight="1"/>
    <row r="61204" ht="15.75" customHeight="1"/>
    <row r="61205" ht="15.75" customHeight="1"/>
    <row r="61206" ht="15.75" customHeight="1"/>
    <row r="61207" ht="15.75" customHeight="1"/>
    <row r="61208" ht="15.75" customHeight="1"/>
    <row r="61209" ht="15.75" customHeight="1"/>
    <row r="61210" ht="15.75" customHeight="1"/>
    <row r="61211" ht="15.75" customHeight="1"/>
    <row r="61212" ht="15.75" customHeight="1"/>
    <row r="61213" ht="15.75" customHeight="1"/>
    <row r="61214" ht="15.75" customHeight="1"/>
    <row r="61215" ht="15.75" customHeight="1"/>
    <row r="61216" ht="15.75" customHeight="1"/>
    <row r="61217" ht="15.75" customHeight="1"/>
    <row r="61218" ht="15.75" customHeight="1"/>
    <row r="61219" ht="15.75" customHeight="1"/>
    <row r="61220" ht="15.75" customHeight="1"/>
    <row r="61221" ht="15.75" customHeight="1"/>
    <row r="61222" ht="15.75" customHeight="1"/>
    <row r="61223" ht="15.75" customHeight="1"/>
    <row r="61224" ht="15.75" customHeight="1"/>
    <row r="61225" ht="15.75" customHeight="1"/>
    <row r="61226" ht="15.75" customHeight="1"/>
    <row r="61227" ht="15.75" customHeight="1"/>
    <row r="61228" ht="15.75" customHeight="1"/>
    <row r="61229" ht="15.75" customHeight="1"/>
    <row r="61230" ht="15.75" customHeight="1"/>
    <row r="61231" ht="15.75" customHeight="1"/>
    <row r="61232" ht="15.75" customHeight="1"/>
    <row r="61233" ht="15.75" customHeight="1"/>
    <row r="61234" ht="15.75" customHeight="1"/>
    <row r="61235" ht="15.75" customHeight="1"/>
    <row r="61236" ht="15.75" customHeight="1"/>
    <row r="61237" ht="15.75" customHeight="1"/>
    <row r="61238" ht="15.75" customHeight="1"/>
    <row r="61239" ht="15.75" customHeight="1"/>
    <row r="61240" ht="15.75" customHeight="1"/>
    <row r="61241" ht="15.75" customHeight="1"/>
    <row r="61242" ht="15.75" customHeight="1"/>
    <row r="61243" ht="15.75" customHeight="1"/>
    <row r="61244" ht="15.75" customHeight="1"/>
    <row r="61245" ht="15.75" customHeight="1"/>
    <row r="61246" ht="15.75" customHeight="1"/>
    <row r="61247" ht="15.75" customHeight="1"/>
    <row r="61248" ht="15.75" customHeight="1"/>
    <row r="61249" ht="15.75" customHeight="1"/>
    <row r="61250" ht="15.75" customHeight="1"/>
    <row r="61251" ht="15.75" customHeight="1"/>
    <row r="61252" ht="15.75" customHeight="1"/>
    <row r="61253" ht="15.75" customHeight="1"/>
    <row r="61254" ht="15.75" customHeight="1"/>
    <row r="61255" ht="15.75" customHeight="1"/>
    <row r="61256" ht="15.75" customHeight="1"/>
    <row r="61257" ht="15.75" customHeight="1"/>
    <row r="61258" ht="15.75" customHeight="1"/>
    <row r="61259" ht="15.75" customHeight="1"/>
    <row r="61260" ht="15.75" customHeight="1"/>
    <row r="61261" ht="15.75" customHeight="1"/>
    <row r="61262" ht="15.75" customHeight="1"/>
    <row r="61263" ht="15.75" customHeight="1"/>
    <row r="61264" ht="15.75" customHeight="1"/>
    <row r="61265" ht="15.75" customHeight="1"/>
    <row r="61266" ht="15.75" customHeight="1"/>
    <row r="61267" ht="15.75" customHeight="1"/>
    <row r="61268" ht="15.75" customHeight="1"/>
    <row r="61269" ht="15.75" customHeight="1"/>
    <row r="61270" ht="15.75" customHeight="1"/>
    <row r="61271" ht="15.75" customHeight="1"/>
    <row r="61272" ht="15.75" customHeight="1"/>
    <row r="61273" ht="15.75" customHeight="1"/>
    <row r="61274" ht="15.75" customHeight="1"/>
    <row r="61275" ht="15.75" customHeight="1"/>
    <row r="61276" ht="15.75" customHeight="1"/>
    <row r="61277" ht="15.75" customHeight="1"/>
    <row r="61278" ht="15.75" customHeight="1"/>
    <row r="61279" ht="15.75" customHeight="1"/>
    <row r="61280" ht="15.75" customHeight="1"/>
    <row r="61281" ht="15.75" customHeight="1"/>
    <row r="61282" ht="15.75" customHeight="1"/>
    <row r="61283" ht="15.75" customHeight="1"/>
    <row r="61284" ht="15.75" customHeight="1"/>
    <row r="61285" ht="15.75" customHeight="1"/>
    <row r="61286" ht="15.75" customHeight="1"/>
    <row r="61287" ht="15.75" customHeight="1"/>
    <row r="61288" ht="15.75" customHeight="1"/>
    <row r="61289" ht="15.75" customHeight="1"/>
    <row r="61290" ht="15.75" customHeight="1"/>
    <row r="61291" ht="15.75" customHeight="1"/>
    <row r="61292" ht="15.75" customHeight="1"/>
    <row r="61293" ht="15.75" customHeight="1"/>
    <row r="61294" ht="15.75" customHeight="1"/>
    <row r="61295" ht="15.75" customHeight="1"/>
    <row r="61296" ht="15.75" customHeight="1"/>
    <row r="61297" ht="15.75" customHeight="1"/>
    <row r="61298" ht="15.75" customHeight="1"/>
    <row r="61299" ht="15.75" customHeight="1"/>
    <row r="61300" ht="15.75" customHeight="1"/>
    <row r="61301" ht="15.75" customHeight="1"/>
    <row r="61302" ht="15.75" customHeight="1"/>
    <row r="61303" ht="15.75" customHeight="1"/>
    <row r="61304" ht="15.75" customHeight="1"/>
    <row r="61305" ht="15.75" customHeight="1"/>
    <row r="61306" ht="15.75" customHeight="1"/>
    <row r="61307" ht="15.75" customHeight="1"/>
    <row r="61308" ht="15.75" customHeight="1"/>
    <row r="61309" ht="15.75" customHeight="1"/>
    <row r="61310" ht="15.75" customHeight="1"/>
    <row r="61311" ht="15.75" customHeight="1"/>
    <row r="61312" ht="15.75" customHeight="1"/>
    <row r="61313" ht="15.75" customHeight="1"/>
    <row r="61314" ht="15.75" customHeight="1"/>
    <row r="61315" ht="15.75" customHeight="1"/>
    <row r="61316" ht="15.75" customHeight="1"/>
    <row r="61317" ht="15.75" customHeight="1"/>
    <row r="61318" ht="15.75" customHeight="1"/>
    <row r="61319" ht="15.75" customHeight="1"/>
    <row r="61320" ht="15.75" customHeight="1"/>
    <row r="61321" ht="15.75" customHeight="1"/>
    <row r="61322" ht="15.75" customHeight="1"/>
    <row r="61323" ht="15.75" customHeight="1"/>
    <row r="61324" ht="15.75" customHeight="1"/>
    <row r="61325" ht="15.75" customHeight="1"/>
    <row r="61326" ht="15.75" customHeight="1"/>
    <row r="61327" ht="15.75" customHeight="1"/>
    <row r="61328" ht="15.75" customHeight="1"/>
    <row r="61329" ht="15.75" customHeight="1"/>
    <row r="61330" ht="15.75" customHeight="1"/>
    <row r="61331" ht="15.75" customHeight="1"/>
    <row r="61332" ht="15.75" customHeight="1"/>
    <row r="61333" ht="15.75" customHeight="1"/>
    <row r="61334" ht="15.75" customHeight="1"/>
    <row r="61335" ht="15.75" customHeight="1"/>
    <row r="61336" ht="15.75" customHeight="1"/>
    <row r="61337" ht="15.75" customHeight="1"/>
    <row r="61338" ht="15.75" customHeight="1"/>
    <row r="61339" ht="15.75" customHeight="1"/>
    <row r="61340" ht="15.75" customHeight="1"/>
    <row r="61341" ht="15.75" customHeight="1"/>
    <row r="61342" ht="15.75" customHeight="1"/>
    <row r="61343" ht="15.75" customHeight="1"/>
    <row r="61344" ht="15.75" customHeight="1"/>
    <row r="61345" ht="15.75" customHeight="1"/>
    <row r="61346" ht="15.75" customHeight="1"/>
    <row r="61347" ht="15.75" customHeight="1"/>
    <row r="61348" ht="15.75" customHeight="1"/>
    <row r="61349" ht="15.75" customHeight="1"/>
    <row r="61350" ht="15.75" customHeight="1"/>
    <row r="61351" ht="15.75" customHeight="1"/>
    <row r="61352" ht="15.75" customHeight="1"/>
    <row r="61353" ht="15.75" customHeight="1"/>
    <row r="61354" ht="15.75" customHeight="1"/>
    <row r="61355" ht="15.75" customHeight="1"/>
    <row r="61356" ht="15.75" customHeight="1"/>
    <row r="61357" ht="15.75" customHeight="1"/>
    <row r="61358" ht="15.75" customHeight="1"/>
    <row r="61359" ht="15.75" customHeight="1"/>
    <row r="61360" ht="15.75" customHeight="1"/>
    <row r="61361" ht="15.75" customHeight="1"/>
    <row r="61362" ht="15.75" customHeight="1"/>
    <row r="61363" ht="15.75" customHeight="1"/>
    <row r="61364" ht="15.75" customHeight="1"/>
    <row r="61365" ht="15.75" customHeight="1"/>
    <row r="61366" ht="15.75" customHeight="1"/>
    <row r="61367" ht="15.75" customHeight="1"/>
    <row r="61368" ht="15.75" customHeight="1"/>
    <row r="61369" ht="15.75" customHeight="1"/>
    <row r="61370" ht="15.75" customHeight="1"/>
    <row r="61371" ht="15.75" customHeight="1"/>
    <row r="61372" ht="15.75" customHeight="1"/>
    <row r="61373" ht="15.75" customHeight="1"/>
    <row r="61374" ht="15.75" customHeight="1"/>
    <row r="61375" ht="15.75" customHeight="1"/>
    <row r="61376" ht="15.75" customHeight="1"/>
    <row r="61377" ht="15.75" customHeight="1"/>
    <row r="61378" ht="15.75" customHeight="1"/>
    <row r="61379" ht="15.75" customHeight="1"/>
    <row r="61380" ht="15.75" customHeight="1"/>
    <row r="61381" ht="15.75" customHeight="1"/>
    <row r="61382" ht="15.75" customHeight="1"/>
    <row r="61383" ht="15.75" customHeight="1"/>
    <row r="61384" ht="15.75" customHeight="1"/>
    <row r="61385" ht="15.75" customHeight="1"/>
    <row r="61386" ht="15.75" customHeight="1"/>
    <row r="61387" ht="15.75" customHeight="1"/>
    <row r="61388" ht="15.75" customHeight="1"/>
    <row r="61389" ht="15.75" customHeight="1"/>
    <row r="61390" ht="15.75" customHeight="1"/>
    <row r="61391" ht="15.75" customHeight="1"/>
    <row r="61392" ht="15.75" customHeight="1"/>
    <row r="61393" ht="15.75" customHeight="1"/>
    <row r="61394" ht="15.75" customHeight="1"/>
    <row r="61395" ht="15.75" customHeight="1"/>
    <row r="61396" ht="15.75" customHeight="1"/>
    <row r="61397" ht="15.75" customHeight="1"/>
    <row r="61398" ht="15.75" customHeight="1"/>
    <row r="61399" ht="15.75" customHeight="1"/>
    <row r="61400" ht="15.75" customHeight="1"/>
    <row r="61401" ht="15.75" customHeight="1"/>
    <row r="61402" ht="15.75" customHeight="1"/>
    <row r="61403" ht="15.75" customHeight="1"/>
    <row r="61404" ht="15.75" customHeight="1"/>
    <row r="61405" ht="15.75" customHeight="1"/>
    <row r="61406" ht="15.75" customHeight="1"/>
    <row r="61407" ht="15.75" customHeight="1"/>
    <row r="61408" ht="15.75" customHeight="1"/>
    <row r="61409" ht="15.75" customHeight="1"/>
    <row r="61410" ht="15.75" customHeight="1"/>
    <row r="61411" ht="15.75" customHeight="1"/>
    <row r="61412" ht="15.75" customHeight="1"/>
    <row r="61413" ht="15.75" customHeight="1"/>
    <row r="61414" ht="15.75" customHeight="1"/>
    <row r="61415" ht="15.75" customHeight="1"/>
    <row r="61416" ht="15.75" customHeight="1"/>
    <row r="61417" ht="15.75" customHeight="1"/>
    <row r="61418" ht="15.75" customHeight="1"/>
    <row r="61419" ht="15.75" customHeight="1"/>
    <row r="61420" ht="15.75" customHeight="1"/>
    <row r="61421" ht="15.75" customHeight="1"/>
    <row r="61422" ht="15.75" customHeight="1"/>
    <row r="61423" ht="15.75" customHeight="1"/>
    <row r="61424" ht="15.75" customHeight="1"/>
    <row r="61425" ht="15.75" customHeight="1"/>
    <row r="61426" ht="15.75" customHeight="1"/>
    <row r="61427" ht="15.75" customHeight="1"/>
    <row r="61428" ht="15.75" customHeight="1"/>
    <row r="61429" ht="15.75" customHeight="1"/>
    <row r="61430" ht="15.75" customHeight="1"/>
    <row r="61431" ht="15.75" customHeight="1"/>
    <row r="61432" ht="15.75" customHeight="1"/>
    <row r="61433" ht="15.75" customHeight="1"/>
    <row r="61434" ht="15.75" customHeight="1"/>
    <row r="61435" ht="15.75" customHeight="1"/>
    <row r="61436" ht="15.75" customHeight="1"/>
    <row r="61437" ht="15.75" customHeight="1"/>
    <row r="61438" ht="15.75" customHeight="1"/>
    <row r="61439" ht="15.75" customHeight="1"/>
    <row r="61440" ht="15.75" customHeight="1"/>
    <row r="61441" ht="15.75" customHeight="1"/>
    <row r="61442" ht="15.75" customHeight="1"/>
    <row r="61443" ht="15.75" customHeight="1"/>
    <row r="61444" ht="15.75" customHeight="1"/>
    <row r="61445" ht="15.75" customHeight="1"/>
    <row r="61446" ht="15.75" customHeight="1"/>
    <row r="61447" ht="15.75" customHeight="1"/>
    <row r="61448" ht="15.75" customHeight="1"/>
    <row r="61449" ht="15.75" customHeight="1"/>
    <row r="61450" ht="15.75" customHeight="1"/>
    <row r="61451" ht="15.75" customHeight="1"/>
    <row r="61452" ht="15.75" customHeight="1"/>
    <row r="61453" ht="15.75" customHeight="1"/>
    <row r="61454" ht="15.75" customHeight="1"/>
    <row r="61455" ht="15.75" customHeight="1"/>
    <row r="61456" ht="15.75" customHeight="1"/>
    <row r="61457" ht="15.75" customHeight="1"/>
    <row r="61458" ht="15.75" customHeight="1"/>
    <row r="61459" ht="15.75" customHeight="1"/>
    <row r="61460" ht="15.75" customHeight="1"/>
    <row r="61461" ht="15.75" customHeight="1"/>
    <row r="61462" ht="15.75" customHeight="1"/>
    <row r="61463" ht="15.75" customHeight="1"/>
    <row r="61464" ht="15.75" customHeight="1"/>
    <row r="61465" ht="15.75" customHeight="1"/>
    <row r="61466" ht="15.75" customHeight="1"/>
    <row r="61467" ht="15.75" customHeight="1"/>
    <row r="61468" ht="15.75" customHeight="1"/>
    <row r="61469" ht="15.75" customHeight="1"/>
    <row r="61470" ht="15.75" customHeight="1"/>
    <row r="61471" ht="15.75" customHeight="1"/>
    <row r="61472" ht="15.75" customHeight="1"/>
    <row r="61473" ht="15.75" customHeight="1"/>
    <row r="61474" ht="15.75" customHeight="1"/>
    <row r="61475" ht="15.75" customHeight="1"/>
    <row r="61476" ht="15.75" customHeight="1"/>
    <row r="61477" ht="15.75" customHeight="1"/>
    <row r="61478" ht="15.75" customHeight="1"/>
    <row r="61479" ht="15.75" customHeight="1"/>
    <row r="61480" ht="15.75" customHeight="1"/>
    <row r="61481" ht="15.75" customHeight="1"/>
    <row r="61482" ht="15.75" customHeight="1"/>
    <row r="61483" ht="15.75" customHeight="1"/>
    <row r="61484" ht="15.75" customHeight="1"/>
    <row r="61485" ht="15.75" customHeight="1"/>
    <row r="61486" ht="15.75" customHeight="1"/>
    <row r="61487" ht="15.75" customHeight="1"/>
    <row r="61488" ht="15.75" customHeight="1"/>
    <row r="61489" ht="15.75" customHeight="1"/>
    <row r="61490" ht="15.75" customHeight="1"/>
    <row r="61491" ht="15.75" customHeight="1"/>
    <row r="61492" ht="15.75" customHeight="1"/>
    <row r="61493" ht="15.75" customHeight="1"/>
    <row r="61494" ht="15.75" customHeight="1"/>
    <row r="61495" ht="15.75" customHeight="1"/>
    <row r="61496" ht="15.75" customHeight="1"/>
    <row r="61497" ht="15.75" customHeight="1"/>
    <row r="61498" ht="15.75" customHeight="1"/>
    <row r="61499" ht="15.75" customHeight="1"/>
    <row r="61500" ht="15.75" customHeight="1"/>
    <row r="61501" ht="15.75" customHeight="1"/>
    <row r="61502" ht="15.75" customHeight="1"/>
    <row r="61503" ht="15.75" customHeight="1"/>
    <row r="61504" ht="15.75" customHeight="1"/>
    <row r="61505" ht="15.75" customHeight="1"/>
    <row r="61506" ht="15.75" customHeight="1"/>
    <row r="61507" ht="15.75" customHeight="1"/>
    <row r="61508" ht="15.75" customHeight="1"/>
    <row r="61509" ht="15.75" customHeight="1"/>
    <row r="61510" ht="15.75" customHeight="1"/>
    <row r="61511" ht="15.75" customHeight="1"/>
    <row r="61512" ht="15.75" customHeight="1"/>
    <row r="61513" ht="15.75" customHeight="1"/>
    <row r="61514" ht="15.75" customHeight="1"/>
    <row r="61515" ht="15.75" customHeight="1"/>
    <row r="61516" ht="15.75" customHeight="1"/>
    <row r="61517" ht="15.75" customHeight="1"/>
    <row r="61518" ht="15.75" customHeight="1"/>
    <row r="61519" ht="15.75" customHeight="1"/>
    <row r="61520" ht="15.75" customHeight="1"/>
    <row r="61521" ht="15.75" customHeight="1"/>
    <row r="61522" ht="15.75" customHeight="1"/>
    <row r="61523" ht="15.75" customHeight="1"/>
    <row r="61524" ht="15.75" customHeight="1"/>
    <row r="61525" ht="15.75" customHeight="1"/>
    <row r="61526" ht="15.75" customHeight="1"/>
    <row r="61527" ht="15.75" customHeight="1"/>
    <row r="61528" ht="15.75" customHeight="1"/>
    <row r="61529" ht="15.75" customHeight="1"/>
    <row r="61530" ht="15.75" customHeight="1"/>
    <row r="61531" ht="15.75" customHeight="1"/>
    <row r="61532" ht="15.75" customHeight="1"/>
    <row r="61533" ht="15.75" customHeight="1"/>
    <row r="61534" ht="15.75" customHeight="1"/>
    <row r="61535" ht="15.75" customHeight="1"/>
    <row r="61536" ht="15.75" customHeight="1"/>
    <row r="61537" ht="15.75" customHeight="1"/>
    <row r="61538" ht="15.75" customHeight="1"/>
    <row r="61539" ht="15.75" customHeight="1"/>
    <row r="61540" ht="15.75" customHeight="1"/>
    <row r="61541" ht="15.75" customHeight="1"/>
    <row r="61542" ht="15.75" customHeight="1"/>
    <row r="61543" ht="15.75" customHeight="1"/>
    <row r="61544" ht="15.75" customHeight="1"/>
    <row r="61545" ht="15.75" customHeight="1"/>
    <row r="61546" ht="15.75" customHeight="1"/>
    <row r="61547" ht="15.75" customHeight="1"/>
    <row r="61548" ht="15.75" customHeight="1"/>
    <row r="61549" ht="15.75" customHeight="1"/>
    <row r="61550" ht="15.75" customHeight="1"/>
    <row r="61551" ht="15.75" customHeight="1"/>
    <row r="61552" ht="15.75" customHeight="1"/>
    <row r="61553" ht="15.75" customHeight="1"/>
    <row r="61554" ht="15.75" customHeight="1"/>
    <row r="61555" ht="15.75" customHeight="1"/>
    <row r="61556" ht="15.75" customHeight="1"/>
    <row r="61557" ht="15.75" customHeight="1"/>
    <row r="61558" ht="15.75" customHeight="1"/>
    <row r="61559" ht="15.75" customHeight="1"/>
    <row r="61560" ht="15.75" customHeight="1"/>
    <row r="61561" ht="15.75" customHeight="1"/>
    <row r="61562" ht="15.75" customHeight="1"/>
    <row r="61563" ht="15.75" customHeight="1"/>
    <row r="61564" ht="15.75" customHeight="1"/>
    <row r="61565" ht="15.75" customHeight="1"/>
    <row r="61566" ht="15.75" customHeight="1"/>
    <row r="61567" ht="15.75" customHeight="1"/>
    <row r="61568" ht="15.75" customHeight="1"/>
    <row r="61569" ht="15.75" customHeight="1"/>
    <row r="61570" ht="15.75" customHeight="1"/>
    <row r="61571" ht="15.75" customHeight="1"/>
    <row r="61572" ht="15.75" customHeight="1"/>
    <row r="61573" ht="15.75" customHeight="1"/>
    <row r="61574" ht="15.75" customHeight="1"/>
    <row r="61575" ht="15.75" customHeight="1"/>
    <row r="61576" ht="15.75" customHeight="1"/>
    <row r="61577" ht="15.75" customHeight="1"/>
    <row r="61578" ht="15.75" customHeight="1"/>
    <row r="61579" ht="15.75" customHeight="1"/>
    <row r="61580" ht="15.75" customHeight="1"/>
    <row r="61581" ht="15.75" customHeight="1"/>
    <row r="61582" ht="15.75" customHeight="1"/>
    <row r="61583" ht="15.75" customHeight="1"/>
    <row r="61584" ht="15.75" customHeight="1"/>
    <row r="61585" ht="15.75" customHeight="1"/>
    <row r="61586" ht="15.75" customHeight="1"/>
    <row r="61587" ht="15.75" customHeight="1"/>
    <row r="61588" ht="15.75" customHeight="1"/>
    <row r="61589" ht="15.75" customHeight="1"/>
    <row r="61590" ht="15.75" customHeight="1"/>
    <row r="61591" ht="15.75" customHeight="1"/>
    <row r="61592" ht="15.75" customHeight="1"/>
    <row r="61593" ht="15.75" customHeight="1"/>
    <row r="61594" ht="15.75" customHeight="1"/>
    <row r="61595" ht="15.75" customHeight="1"/>
    <row r="61596" ht="15.75" customHeight="1"/>
    <row r="61597" ht="15.75" customHeight="1"/>
    <row r="61598" ht="15.75" customHeight="1"/>
    <row r="61599" ht="15.75" customHeight="1"/>
    <row r="61600" ht="15.75" customHeight="1"/>
    <row r="61601" ht="15.75" customHeight="1"/>
    <row r="61602" ht="15.75" customHeight="1"/>
    <row r="61603" ht="15.75" customHeight="1"/>
    <row r="61604" ht="15.75" customHeight="1"/>
    <row r="61605" ht="15.75" customHeight="1"/>
    <row r="61606" ht="15.75" customHeight="1"/>
    <row r="61607" ht="15.75" customHeight="1"/>
    <row r="61608" ht="15.75" customHeight="1"/>
    <row r="61609" ht="15.75" customHeight="1"/>
    <row r="61610" ht="15.75" customHeight="1"/>
    <row r="61611" ht="15.75" customHeight="1"/>
    <row r="61612" ht="15.75" customHeight="1"/>
    <row r="61613" ht="15.75" customHeight="1"/>
    <row r="61614" ht="15.75" customHeight="1"/>
    <row r="61615" ht="15.75" customHeight="1"/>
    <row r="61616" ht="15.75" customHeight="1"/>
    <row r="61617" ht="15.75" customHeight="1"/>
    <row r="61618" ht="15.75" customHeight="1"/>
    <row r="61619" ht="15.75" customHeight="1"/>
    <row r="61620" ht="15.75" customHeight="1"/>
    <row r="61621" ht="15.75" customHeight="1"/>
    <row r="61622" ht="15.75" customHeight="1"/>
    <row r="61623" ht="15.75" customHeight="1"/>
    <row r="61624" ht="15.75" customHeight="1"/>
    <row r="61625" ht="15.75" customHeight="1"/>
    <row r="61626" ht="15.75" customHeight="1"/>
    <row r="61627" ht="15.75" customHeight="1"/>
    <row r="61628" ht="15.75" customHeight="1"/>
    <row r="61629" ht="15.75" customHeight="1"/>
    <row r="61630" ht="15.75" customHeight="1"/>
    <row r="61631" ht="15.75" customHeight="1"/>
    <row r="61632" ht="15.75" customHeight="1"/>
    <row r="61633" ht="15.75" customHeight="1"/>
    <row r="61634" ht="15.75" customHeight="1"/>
    <row r="61635" ht="15.75" customHeight="1"/>
    <row r="61636" ht="15.75" customHeight="1"/>
    <row r="61637" ht="15.75" customHeight="1"/>
    <row r="61638" ht="15.75" customHeight="1"/>
    <row r="61639" ht="15.75" customHeight="1"/>
    <row r="61640" ht="15.75" customHeight="1"/>
    <row r="61641" ht="15.75" customHeight="1"/>
    <row r="61642" ht="15.75" customHeight="1"/>
    <row r="61643" ht="15.75" customHeight="1"/>
    <row r="61644" ht="15.75" customHeight="1"/>
    <row r="61645" ht="15.75" customHeight="1"/>
    <row r="61646" ht="15.75" customHeight="1"/>
    <row r="61647" ht="15.75" customHeight="1"/>
    <row r="61648" ht="15.75" customHeight="1"/>
    <row r="61649" ht="15.75" customHeight="1"/>
    <row r="61650" ht="15.75" customHeight="1"/>
    <row r="61651" ht="15.75" customHeight="1"/>
    <row r="61652" ht="15.75" customHeight="1"/>
    <row r="61653" ht="15.75" customHeight="1"/>
    <row r="61654" ht="15.75" customHeight="1"/>
    <row r="61655" ht="15.75" customHeight="1"/>
    <row r="61656" ht="15.75" customHeight="1"/>
    <row r="61657" ht="15.75" customHeight="1"/>
    <row r="61658" ht="15.75" customHeight="1"/>
    <row r="61659" ht="15.75" customHeight="1"/>
    <row r="61660" ht="15.75" customHeight="1"/>
    <row r="61661" ht="15.75" customHeight="1"/>
    <row r="61662" ht="15.75" customHeight="1"/>
    <row r="61663" ht="15.75" customHeight="1"/>
    <row r="61664" ht="15.75" customHeight="1"/>
    <row r="61665" ht="15.75" customHeight="1"/>
    <row r="61666" ht="15.75" customHeight="1"/>
    <row r="61667" ht="15.75" customHeight="1"/>
    <row r="61668" ht="15.75" customHeight="1"/>
    <row r="61669" ht="15.75" customHeight="1"/>
    <row r="61670" ht="15.75" customHeight="1"/>
    <row r="61671" ht="15.75" customHeight="1"/>
    <row r="61672" ht="15.75" customHeight="1"/>
    <row r="61673" ht="15.75" customHeight="1"/>
    <row r="61674" ht="15.75" customHeight="1"/>
    <row r="61675" ht="15.75" customHeight="1"/>
    <row r="61676" ht="15.75" customHeight="1"/>
    <row r="61677" ht="15.75" customHeight="1"/>
    <row r="61678" ht="15.75" customHeight="1"/>
    <row r="61679" ht="15.75" customHeight="1"/>
    <row r="61680" ht="15.75" customHeight="1"/>
    <row r="61681" ht="15.75" customHeight="1"/>
    <row r="61682" ht="15.75" customHeight="1"/>
    <row r="61683" ht="15.75" customHeight="1"/>
    <row r="61684" ht="15.75" customHeight="1"/>
    <row r="61685" ht="15.75" customHeight="1"/>
    <row r="61686" ht="15.75" customHeight="1"/>
    <row r="61687" ht="15.75" customHeight="1"/>
    <row r="61688" ht="15.75" customHeight="1"/>
    <row r="61689" ht="15.75" customHeight="1"/>
    <row r="61690" ht="15.75" customHeight="1"/>
    <row r="61691" ht="15.75" customHeight="1"/>
    <row r="61692" ht="15.75" customHeight="1"/>
    <row r="61693" ht="15.75" customHeight="1"/>
    <row r="61694" ht="15.75" customHeight="1"/>
    <row r="61695" ht="15.75" customHeight="1"/>
    <row r="61696" ht="15.75" customHeight="1"/>
    <row r="61697" ht="15.75" customHeight="1"/>
    <row r="61698" ht="15.75" customHeight="1"/>
    <row r="61699" ht="15.75" customHeight="1"/>
    <row r="61700" ht="15.75" customHeight="1"/>
    <row r="61701" ht="15.75" customHeight="1"/>
    <row r="61702" ht="15.75" customHeight="1"/>
    <row r="61703" ht="15.75" customHeight="1"/>
    <row r="61704" ht="15.75" customHeight="1"/>
    <row r="61705" ht="15.75" customHeight="1"/>
    <row r="61706" ht="15.75" customHeight="1"/>
    <row r="61707" ht="15.75" customHeight="1"/>
    <row r="61708" ht="15.75" customHeight="1"/>
    <row r="61709" ht="15.75" customHeight="1"/>
    <row r="61710" ht="15.75" customHeight="1"/>
    <row r="61711" ht="15.75" customHeight="1"/>
    <row r="61712" ht="15.75" customHeight="1"/>
    <row r="61713" ht="15.75" customHeight="1"/>
    <row r="61714" ht="15.75" customHeight="1"/>
    <row r="61715" ht="15.75" customHeight="1"/>
    <row r="61716" ht="15.75" customHeight="1"/>
    <row r="61717" ht="15.75" customHeight="1"/>
    <row r="61718" ht="15.75" customHeight="1"/>
    <row r="61719" ht="15.75" customHeight="1"/>
    <row r="61720" ht="15.75" customHeight="1"/>
    <row r="61721" ht="15.75" customHeight="1"/>
    <row r="61722" ht="15.75" customHeight="1"/>
    <row r="61723" ht="15.75" customHeight="1"/>
    <row r="61724" ht="15.75" customHeight="1"/>
    <row r="61725" ht="15.75" customHeight="1"/>
    <row r="61726" ht="15.75" customHeight="1"/>
    <row r="61727" ht="15.75" customHeight="1"/>
    <row r="61728" ht="15.75" customHeight="1"/>
    <row r="61729" ht="15.75" customHeight="1"/>
    <row r="61730" ht="15.75" customHeight="1"/>
    <row r="61731" ht="15.75" customHeight="1"/>
    <row r="61732" ht="15.75" customHeight="1"/>
    <row r="61733" ht="15.75" customHeight="1"/>
    <row r="61734" ht="15.75" customHeight="1"/>
    <row r="61735" ht="15.75" customHeight="1"/>
    <row r="61736" ht="15.75" customHeight="1"/>
    <row r="61737" ht="15.75" customHeight="1"/>
    <row r="61738" ht="15.75" customHeight="1"/>
    <row r="61739" ht="15.75" customHeight="1"/>
    <row r="61740" ht="15.75" customHeight="1"/>
    <row r="61741" ht="15.75" customHeight="1"/>
    <row r="61742" ht="15.75" customHeight="1"/>
    <row r="61743" ht="15.75" customHeight="1"/>
    <row r="61744" ht="15.75" customHeight="1"/>
    <row r="61745" ht="15.75" customHeight="1"/>
    <row r="61746" ht="15.75" customHeight="1"/>
    <row r="61747" ht="15.75" customHeight="1"/>
    <row r="61748" ht="15.75" customHeight="1"/>
    <row r="61749" ht="15.75" customHeight="1"/>
    <row r="61750" ht="15.75" customHeight="1"/>
    <row r="61751" ht="15.75" customHeight="1"/>
    <row r="61752" ht="15.75" customHeight="1"/>
    <row r="61753" ht="15.75" customHeight="1"/>
    <row r="61754" ht="15.75" customHeight="1"/>
    <row r="61755" ht="15.75" customHeight="1"/>
    <row r="61756" ht="15.75" customHeight="1"/>
    <row r="61757" ht="15.75" customHeight="1"/>
    <row r="61758" ht="15.75" customHeight="1"/>
    <row r="61759" ht="15.75" customHeight="1"/>
    <row r="61760" ht="15.75" customHeight="1"/>
    <row r="61761" ht="15.75" customHeight="1"/>
    <row r="61762" ht="15.75" customHeight="1"/>
    <row r="61763" ht="15.75" customHeight="1"/>
    <row r="61764" ht="15.75" customHeight="1"/>
    <row r="61765" ht="15.75" customHeight="1"/>
    <row r="61766" ht="15.75" customHeight="1"/>
    <row r="61767" ht="15.75" customHeight="1"/>
    <row r="61768" ht="15.75" customHeight="1"/>
    <row r="61769" ht="15.75" customHeight="1"/>
    <row r="61770" ht="15.75" customHeight="1"/>
    <row r="61771" ht="15.75" customHeight="1"/>
    <row r="61772" ht="15.75" customHeight="1"/>
    <row r="61773" ht="15.75" customHeight="1"/>
    <row r="61774" ht="15.75" customHeight="1"/>
    <row r="61775" ht="15.75" customHeight="1"/>
    <row r="61776" ht="15.75" customHeight="1"/>
    <row r="61777" ht="15.75" customHeight="1"/>
    <row r="61778" ht="15.75" customHeight="1"/>
    <row r="61779" ht="15.75" customHeight="1"/>
    <row r="61780" ht="15.75" customHeight="1"/>
    <row r="61781" ht="15.75" customHeight="1"/>
    <row r="61782" ht="15.75" customHeight="1"/>
    <row r="61783" ht="15.75" customHeight="1"/>
    <row r="61784" ht="15.75" customHeight="1"/>
    <row r="61785" ht="15.75" customHeight="1"/>
    <row r="61786" ht="15.75" customHeight="1"/>
    <row r="61787" ht="15.75" customHeight="1"/>
    <row r="61788" ht="15.75" customHeight="1"/>
    <row r="61789" ht="15.75" customHeight="1"/>
    <row r="61790" ht="15.75" customHeight="1"/>
    <row r="61791" ht="15.75" customHeight="1"/>
    <row r="61792" ht="15.75" customHeight="1"/>
    <row r="61793" ht="15.75" customHeight="1"/>
    <row r="61794" ht="15.75" customHeight="1"/>
    <row r="61795" ht="15.75" customHeight="1"/>
    <row r="61796" ht="15.75" customHeight="1"/>
    <row r="61797" ht="15.75" customHeight="1"/>
    <row r="61798" ht="15.75" customHeight="1"/>
    <row r="61799" ht="15.75" customHeight="1"/>
    <row r="61800" ht="15.75" customHeight="1"/>
    <row r="61801" ht="15.75" customHeight="1"/>
    <row r="61802" ht="15.75" customHeight="1"/>
    <row r="61803" ht="15.75" customHeight="1"/>
    <row r="61804" ht="15.75" customHeight="1"/>
    <row r="61805" ht="15.75" customHeight="1"/>
    <row r="61806" ht="15.75" customHeight="1"/>
    <row r="61807" ht="15.75" customHeight="1"/>
    <row r="61808" ht="15.75" customHeight="1"/>
    <row r="61809" ht="15.75" customHeight="1"/>
    <row r="61810" ht="15.75" customHeight="1"/>
    <row r="61811" ht="15.75" customHeight="1"/>
    <row r="61812" ht="15.75" customHeight="1"/>
    <row r="61813" ht="15.75" customHeight="1"/>
    <row r="61814" ht="15.75" customHeight="1"/>
    <row r="61815" ht="15.75" customHeight="1"/>
    <row r="61816" ht="15.75" customHeight="1"/>
    <row r="61817" ht="15.75" customHeight="1"/>
    <row r="61818" ht="15.75" customHeight="1"/>
    <row r="61819" ht="15.75" customHeight="1"/>
    <row r="61820" ht="15.75" customHeight="1"/>
    <row r="61821" ht="15.75" customHeight="1"/>
    <row r="61822" ht="15.75" customHeight="1"/>
    <row r="61823" ht="15.75" customHeight="1"/>
    <row r="61824" ht="15.75" customHeight="1"/>
    <row r="61825" ht="15.75" customHeight="1"/>
    <row r="61826" ht="15.75" customHeight="1"/>
    <row r="61827" ht="15.75" customHeight="1"/>
    <row r="61828" ht="15.75" customHeight="1"/>
    <row r="61829" ht="15.75" customHeight="1"/>
    <row r="61830" ht="15.75" customHeight="1"/>
    <row r="61831" ht="15.75" customHeight="1"/>
    <row r="61832" ht="15.75" customHeight="1"/>
    <row r="61833" ht="15.75" customHeight="1"/>
    <row r="61834" ht="15.75" customHeight="1"/>
    <row r="61835" ht="15.75" customHeight="1"/>
    <row r="61836" ht="15.75" customHeight="1"/>
    <row r="61837" ht="15.75" customHeight="1"/>
    <row r="61838" ht="15.75" customHeight="1"/>
    <row r="61839" ht="15.75" customHeight="1"/>
    <row r="61840" ht="15.75" customHeight="1"/>
    <row r="61841" ht="15.75" customHeight="1"/>
    <row r="61842" ht="15.75" customHeight="1"/>
    <row r="61843" ht="15.75" customHeight="1"/>
    <row r="61844" ht="15.75" customHeight="1"/>
    <row r="61845" ht="15.75" customHeight="1"/>
    <row r="61846" ht="15.75" customHeight="1"/>
    <row r="61847" ht="15.75" customHeight="1"/>
    <row r="61848" ht="15.75" customHeight="1"/>
    <row r="61849" ht="15.75" customHeight="1"/>
    <row r="61850" ht="15.75" customHeight="1"/>
    <row r="61851" ht="15.75" customHeight="1"/>
    <row r="61852" ht="15.75" customHeight="1"/>
    <row r="61853" ht="15.75" customHeight="1"/>
    <row r="61854" ht="15.75" customHeight="1"/>
    <row r="61855" ht="15.75" customHeight="1"/>
    <row r="61856" ht="15.75" customHeight="1"/>
    <row r="61857" ht="15.75" customHeight="1"/>
    <row r="61858" ht="15.75" customHeight="1"/>
    <row r="61859" ht="15.75" customHeight="1"/>
    <row r="61860" ht="15.75" customHeight="1"/>
    <row r="61861" ht="15.75" customHeight="1"/>
    <row r="61862" ht="15.75" customHeight="1"/>
    <row r="61863" ht="15.75" customHeight="1"/>
    <row r="61864" ht="15.75" customHeight="1"/>
    <row r="61865" ht="15.75" customHeight="1"/>
    <row r="61866" ht="15.75" customHeight="1"/>
    <row r="61867" ht="15.75" customHeight="1"/>
    <row r="61868" ht="15.75" customHeight="1"/>
    <row r="61869" ht="15.75" customHeight="1"/>
    <row r="61870" ht="15.75" customHeight="1"/>
    <row r="61871" ht="15.75" customHeight="1"/>
    <row r="61872" ht="15.75" customHeight="1"/>
    <row r="61873" ht="15.75" customHeight="1"/>
    <row r="61874" ht="15.75" customHeight="1"/>
    <row r="61875" ht="15.75" customHeight="1"/>
    <row r="61876" ht="15.75" customHeight="1"/>
    <row r="61877" ht="15.75" customHeight="1"/>
    <row r="61878" ht="15.75" customHeight="1"/>
    <row r="61879" ht="15.75" customHeight="1"/>
    <row r="61880" ht="15.75" customHeight="1"/>
    <row r="61881" ht="15.75" customHeight="1"/>
    <row r="61882" ht="15.75" customHeight="1"/>
    <row r="61883" ht="15.75" customHeight="1"/>
    <row r="61884" ht="15.75" customHeight="1"/>
    <row r="61885" ht="15.75" customHeight="1"/>
    <row r="61886" ht="15.75" customHeight="1"/>
    <row r="61887" ht="15.75" customHeight="1"/>
    <row r="61888" ht="15.75" customHeight="1"/>
    <row r="61889" ht="15.75" customHeight="1"/>
    <row r="61890" ht="15.75" customHeight="1"/>
    <row r="61891" ht="15.75" customHeight="1"/>
    <row r="61892" ht="15.75" customHeight="1"/>
    <row r="61893" ht="15.75" customHeight="1"/>
    <row r="61894" ht="15.75" customHeight="1"/>
    <row r="61895" ht="15.75" customHeight="1"/>
    <row r="61896" ht="15.75" customHeight="1"/>
    <row r="61897" ht="15.75" customHeight="1"/>
    <row r="61898" ht="15.75" customHeight="1"/>
    <row r="61899" ht="15.75" customHeight="1"/>
    <row r="61900" ht="15.75" customHeight="1"/>
    <row r="61901" ht="15.75" customHeight="1"/>
    <row r="61902" ht="15.75" customHeight="1"/>
    <row r="61903" ht="15.75" customHeight="1"/>
    <row r="61904" ht="15.75" customHeight="1"/>
    <row r="61905" ht="15.75" customHeight="1"/>
    <row r="61906" ht="15.75" customHeight="1"/>
    <row r="61907" ht="15.75" customHeight="1"/>
    <row r="61908" ht="15.75" customHeight="1"/>
    <row r="61909" ht="15.75" customHeight="1"/>
    <row r="61910" ht="15.75" customHeight="1"/>
    <row r="61911" ht="15.75" customHeight="1"/>
    <row r="61912" ht="15.75" customHeight="1"/>
    <row r="61913" ht="15.75" customHeight="1"/>
    <row r="61914" ht="15.75" customHeight="1"/>
    <row r="61915" ht="15.75" customHeight="1"/>
    <row r="61916" ht="15.75" customHeight="1"/>
    <row r="61917" ht="15.75" customHeight="1"/>
    <row r="61918" ht="15.75" customHeight="1"/>
    <row r="61919" ht="15.75" customHeight="1"/>
    <row r="61920" ht="15.75" customHeight="1"/>
    <row r="61921" ht="15.75" customHeight="1"/>
    <row r="61922" ht="15.75" customHeight="1"/>
    <row r="61923" ht="15.75" customHeight="1"/>
    <row r="61924" ht="15.75" customHeight="1"/>
    <row r="61925" ht="15.75" customHeight="1"/>
    <row r="61926" ht="15.75" customHeight="1"/>
    <row r="61927" ht="15.75" customHeight="1"/>
    <row r="61928" ht="15.75" customHeight="1"/>
    <row r="61929" ht="15.75" customHeight="1"/>
    <row r="61930" ht="15.75" customHeight="1"/>
    <row r="61931" ht="15.75" customHeight="1"/>
    <row r="61932" ht="15.75" customHeight="1"/>
    <row r="61933" ht="15.75" customHeight="1"/>
    <row r="61934" ht="15.75" customHeight="1"/>
    <row r="61935" ht="15.75" customHeight="1"/>
    <row r="61936" ht="15.75" customHeight="1"/>
    <row r="61937" ht="15.75" customHeight="1"/>
    <row r="61938" ht="15.75" customHeight="1"/>
    <row r="61939" ht="15.75" customHeight="1"/>
    <row r="61940" ht="15.75" customHeight="1"/>
    <row r="61941" ht="15.75" customHeight="1"/>
    <row r="61942" ht="15.75" customHeight="1"/>
    <row r="61943" ht="15.75" customHeight="1"/>
    <row r="61944" ht="15.75" customHeight="1"/>
    <row r="61945" ht="15.75" customHeight="1"/>
    <row r="61946" ht="15.75" customHeight="1"/>
    <row r="61947" ht="15.75" customHeight="1"/>
    <row r="61948" ht="15.75" customHeight="1"/>
    <row r="61949" ht="15.75" customHeight="1"/>
    <row r="61950" ht="15.75" customHeight="1"/>
    <row r="61951" ht="15.75" customHeight="1"/>
    <row r="61952" ht="15.75" customHeight="1"/>
    <row r="61953" ht="15.75" customHeight="1"/>
    <row r="61954" ht="15.75" customHeight="1"/>
    <row r="61955" ht="15.75" customHeight="1"/>
    <row r="61956" ht="15.75" customHeight="1"/>
    <row r="61957" ht="15.75" customHeight="1"/>
    <row r="61958" ht="15.75" customHeight="1"/>
    <row r="61959" ht="15.75" customHeight="1"/>
    <row r="61960" ht="15.75" customHeight="1"/>
    <row r="61961" ht="15.75" customHeight="1"/>
    <row r="61962" ht="15.75" customHeight="1"/>
    <row r="61963" ht="15.75" customHeight="1"/>
    <row r="61964" ht="15.75" customHeight="1"/>
    <row r="61965" ht="15.75" customHeight="1"/>
    <row r="61966" ht="15.75" customHeight="1"/>
    <row r="61967" ht="15.75" customHeight="1"/>
    <row r="61968" ht="15.75" customHeight="1"/>
    <row r="61969" ht="15.75" customHeight="1"/>
    <row r="61970" ht="15.75" customHeight="1"/>
    <row r="61971" ht="15.75" customHeight="1"/>
    <row r="61972" ht="15.75" customHeight="1"/>
    <row r="61973" ht="15.75" customHeight="1"/>
    <row r="61974" ht="15.75" customHeight="1"/>
    <row r="61975" ht="15.75" customHeight="1"/>
    <row r="61976" ht="15.75" customHeight="1"/>
    <row r="61977" ht="15.75" customHeight="1"/>
    <row r="61978" ht="15.75" customHeight="1"/>
    <row r="61979" ht="15.75" customHeight="1"/>
    <row r="61980" ht="15.75" customHeight="1"/>
    <row r="61981" ht="15.75" customHeight="1"/>
    <row r="61982" ht="15.75" customHeight="1"/>
    <row r="61983" ht="15.75" customHeight="1"/>
    <row r="61984" ht="15.75" customHeight="1"/>
    <row r="61985" ht="15.75" customHeight="1"/>
    <row r="61986" ht="15.75" customHeight="1"/>
    <row r="61987" ht="15.75" customHeight="1"/>
    <row r="61988" ht="15.75" customHeight="1"/>
    <row r="61989" ht="15.75" customHeight="1"/>
    <row r="61990" ht="15.75" customHeight="1"/>
    <row r="61991" ht="15.75" customHeight="1"/>
    <row r="61992" ht="15.75" customHeight="1"/>
    <row r="61993" ht="15.75" customHeight="1"/>
    <row r="61994" ht="15.75" customHeight="1"/>
    <row r="61995" ht="15.75" customHeight="1"/>
    <row r="61996" ht="15.75" customHeight="1"/>
    <row r="61997" ht="15.75" customHeight="1"/>
    <row r="61998" ht="15.75" customHeight="1"/>
    <row r="61999" ht="15.75" customHeight="1"/>
    <row r="62000" ht="15.75" customHeight="1"/>
    <row r="62001" ht="15.75" customHeight="1"/>
    <row r="62002" ht="15.75" customHeight="1"/>
    <row r="62003" ht="15.75" customHeight="1"/>
    <row r="62004" ht="15.75" customHeight="1"/>
    <row r="62005" ht="15.75" customHeight="1"/>
    <row r="62006" ht="15.75" customHeight="1"/>
    <row r="62007" ht="15.75" customHeight="1"/>
    <row r="62008" ht="15.75" customHeight="1"/>
    <row r="62009" ht="15.75" customHeight="1"/>
    <row r="62010" ht="15.75" customHeight="1"/>
    <row r="62011" ht="15.75" customHeight="1"/>
    <row r="62012" ht="15.75" customHeight="1"/>
    <row r="62013" ht="15.75" customHeight="1"/>
    <row r="62014" ht="15.75" customHeight="1"/>
    <row r="62015" ht="15.75" customHeight="1"/>
    <row r="62016" ht="15.75" customHeight="1"/>
    <row r="62017" ht="15.75" customHeight="1"/>
    <row r="62018" ht="15.75" customHeight="1"/>
    <row r="62019" ht="15.75" customHeight="1"/>
    <row r="62020" ht="15.75" customHeight="1"/>
    <row r="62021" ht="15.75" customHeight="1"/>
    <row r="62022" ht="15.75" customHeight="1"/>
    <row r="62023" ht="15.75" customHeight="1"/>
    <row r="62024" ht="15.75" customHeight="1"/>
    <row r="62025" ht="15.75" customHeight="1"/>
    <row r="62026" ht="15.75" customHeight="1"/>
    <row r="62027" ht="15.75" customHeight="1"/>
    <row r="62028" ht="15.75" customHeight="1"/>
    <row r="62029" ht="15.75" customHeight="1"/>
    <row r="62030" ht="15.75" customHeight="1"/>
    <row r="62031" ht="15.75" customHeight="1"/>
    <row r="62032" ht="15.75" customHeight="1"/>
    <row r="62033" ht="15.75" customHeight="1"/>
    <row r="62034" ht="15.75" customHeight="1"/>
    <row r="62035" ht="15.75" customHeight="1"/>
    <row r="62036" ht="15.75" customHeight="1"/>
    <row r="62037" ht="15.75" customHeight="1"/>
    <row r="62038" ht="15.75" customHeight="1"/>
    <row r="62039" ht="15.75" customHeight="1"/>
    <row r="62040" ht="15.75" customHeight="1"/>
    <row r="62041" ht="15.75" customHeight="1"/>
    <row r="62042" ht="15.75" customHeight="1"/>
    <row r="62043" ht="15.75" customHeight="1"/>
    <row r="62044" ht="15.75" customHeight="1"/>
    <row r="62045" ht="15.75" customHeight="1"/>
    <row r="62046" ht="15.75" customHeight="1"/>
    <row r="62047" ht="15.75" customHeight="1"/>
    <row r="62048" ht="15.75" customHeight="1"/>
    <row r="62049" ht="15.75" customHeight="1"/>
    <row r="62050" ht="15.75" customHeight="1"/>
    <row r="62051" ht="15.75" customHeight="1"/>
    <row r="62052" ht="15.75" customHeight="1"/>
    <row r="62053" ht="15.75" customHeight="1"/>
    <row r="62054" ht="15.75" customHeight="1"/>
    <row r="62055" ht="15.75" customHeight="1"/>
    <row r="62056" ht="15.75" customHeight="1"/>
    <row r="62057" ht="15.75" customHeight="1"/>
    <row r="62058" ht="15.75" customHeight="1"/>
    <row r="62059" ht="15.75" customHeight="1"/>
    <row r="62060" ht="15.75" customHeight="1"/>
    <row r="62061" ht="15.75" customHeight="1"/>
    <row r="62062" ht="15.75" customHeight="1"/>
    <row r="62063" ht="15.75" customHeight="1"/>
    <row r="62064" ht="15.75" customHeight="1"/>
    <row r="62065" ht="15.75" customHeight="1"/>
    <row r="62066" ht="15.75" customHeight="1"/>
    <row r="62067" ht="15.75" customHeight="1"/>
    <row r="62068" ht="15.75" customHeight="1"/>
    <row r="62069" ht="15.75" customHeight="1"/>
    <row r="62070" ht="15.75" customHeight="1"/>
    <row r="62071" ht="15.75" customHeight="1"/>
    <row r="62072" ht="15.75" customHeight="1"/>
    <row r="62073" ht="15.75" customHeight="1"/>
    <row r="62074" ht="15.75" customHeight="1"/>
    <row r="62075" ht="15.75" customHeight="1"/>
    <row r="62076" ht="15.75" customHeight="1"/>
    <row r="62077" ht="15.75" customHeight="1"/>
    <row r="62078" ht="15.75" customHeight="1"/>
    <row r="62079" ht="15.75" customHeight="1"/>
    <row r="62080" ht="15.75" customHeight="1"/>
    <row r="62081" ht="15.75" customHeight="1"/>
    <row r="62082" ht="15.75" customHeight="1"/>
    <row r="62083" ht="15.75" customHeight="1"/>
    <row r="62084" ht="15.75" customHeight="1"/>
    <row r="62085" ht="15.75" customHeight="1"/>
    <row r="62086" ht="15.75" customHeight="1"/>
    <row r="62087" ht="15.75" customHeight="1"/>
    <row r="62088" ht="15.75" customHeight="1"/>
    <row r="62089" ht="15.75" customHeight="1"/>
    <row r="62090" ht="15.75" customHeight="1"/>
    <row r="62091" ht="15.75" customHeight="1"/>
    <row r="62092" ht="15.75" customHeight="1"/>
    <row r="62093" ht="15.75" customHeight="1"/>
    <row r="62094" ht="15.75" customHeight="1"/>
    <row r="62095" ht="15.75" customHeight="1"/>
    <row r="62096" ht="15.75" customHeight="1"/>
    <row r="62097" ht="15.75" customHeight="1"/>
    <row r="62098" ht="15.75" customHeight="1"/>
    <row r="62099" ht="15.75" customHeight="1"/>
    <row r="62100" ht="15.75" customHeight="1"/>
    <row r="62101" ht="15.75" customHeight="1"/>
    <row r="62102" ht="15.75" customHeight="1"/>
    <row r="62103" ht="15.75" customHeight="1"/>
    <row r="62104" ht="15.75" customHeight="1"/>
    <row r="62105" ht="15.75" customHeight="1"/>
    <row r="62106" ht="15.75" customHeight="1"/>
    <row r="62107" ht="15.75" customHeight="1"/>
    <row r="62108" ht="15.75" customHeight="1"/>
    <row r="62109" ht="15.75" customHeight="1"/>
    <row r="62110" ht="15.75" customHeight="1"/>
    <row r="62111" ht="15.75" customHeight="1"/>
    <row r="62112" ht="15.75" customHeight="1"/>
    <row r="62113" ht="15.75" customHeight="1"/>
    <row r="62114" ht="15.75" customHeight="1"/>
    <row r="62115" ht="15.75" customHeight="1"/>
    <row r="62116" ht="15.75" customHeight="1"/>
    <row r="62117" ht="15.75" customHeight="1"/>
    <row r="62118" ht="15.75" customHeight="1"/>
    <row r="62119" ht="15.75" customHeight="1"/>
    <row r="62120" ht="15.75" customHeight="1"/>
    <row r="62121" ht="15.75" customHeight="1"/>
    <row r="62122" ht="15.75" customHeight="1"/>
    <row r="62123" ht="15.75" customHeight="1"/>
    <row r="62124" ht="15.75" customHeight="1"/>
    <row r="62125" ht="15.75" customHeight="1"/>
    <row r="62126" ht="15.75" customHeight="1"/>
    <row r="62127" ht="15.75" customHeight="1"/>
    <row r="62128" ht="15.75" customHeight="1"/>
    <row r="62129" ht="15.75" customHeight="1"/>
    <row r="62130" ht="15.75" customHeight="1"/>
    <row r="62131" ht="15.75" customHeight="1"/>
    <row r="62132" ht="15.75" customHeight="1"/>
    <row r="62133" ht="15.75" customHeight="1"/>
    <row r="62134" ht="15.75" customHeight="1"/>
    <row r="62135" ht="15.75" customHeight="1"/>
    <row r="62136" ht="15.75" customHeight="1"/>
    <row r="62137" ht="15.75" customHeight="1"/>
    <row r="62138" ht="15.75" customHeight="1"/>
    <row r="62139" ht="15.75" customHeight="1"/>
    <row r="62140" ht="15.75" customHeight="1"/>
    <row r="62141" ht="15.75" customHeight="1"/>
    <row r="62142" ht="15.75" customHeight="1"/>
    <row r="62143" ht="15.75" customHeight="1"/>
    <row r="62144" ht="15.75" customHeight="1"/>
    <row r="62145" ht="15.75" customHeight="1"/>
    <row r="62146" ht="15.75" customHeight="1"/>
    <row r="62147" ht="15.75" customHeight="1"/>
    <row r="62148" ht="15.75" customHeight="1"/>
    <row r="62149" ht="15.75" customHeight="1"/>
    <row r="62150" ht="15.75" customHeight="1"/>
    <row r="62151" ht="15.75" customHeight="1"/>
    <row r="62152" ht="15.75" customHeight="1"/>
    <row r="62153" ht="15.75" customHeight="1"/>
    <row r="62154" ht="15.75" customHeight="1"/>
    <row r="62155" ht="15.75" customHeight="1"/>
    <row r="62156" ht="15.75" customHeight="1"/>
    <row r="62157" ht="15.75" customHeight="1"/>
    <row r="62158" ht="15.75" customHeight="1"/>
    <row r="62159" ht="15.75" customHeight="1"/>
    <row r="62160" ht="15.75" customHeight="1"/>
    <row r="62161" ht="15.75" customHeight="1"/>
    <row r="62162" ht="15.75" customHeight="1"/>
    <row r="62163" ht="15.75" customHeight="1"/>
    <row r="62164" ht="15.75" customHeight="1"/>
    <row r="62165" ht="15.75" customHeight="1"/>
    <row r="62166" ht="15.75" customHeight="1"/>
    <row r="62167" ht="15.75" customHeight="1"/>
    <row r="62168" ht="15.75" customHeight="1"/>
    <row r="62169" ht="15.75" customHeight="1"/>
    <row r="62170" ht="15.75" customHeight="1"/>
    <row r="62171" ht="15.75" customHeight="1"/>
    <row r="62172" ht="15.75" customHeight="1"/>
    <row r="62173" ht="15.75" customHeight="1"/>
    <row r="62174" ht="15.75" customHeight="1"/>
    <row r="62175" ht="15.75" customHeight="1"/>
    <row r="62176" ht="15.75" customHeight="1"/>
    <row r="62177" ht="15.75" customHeight="1"/>
    <row r="62178" ht="15.75" customHeight="1"/>
    <row r="62179" ht="15.75" customHeight="1"/>
    <row r="62180" ht="15.75" customHeight="1"/>
    <row r="62181" ht="15.75" customHeight="1"/>
    <row r="62182" ht="15.75" customHeight="1"/>
    <row r="62183" ht="15.75" customHeight="1"/>
    <row r="62184" ht="15.75" customHeight="1"/>
    <row r="62185" ht="15.75" customHeight="1"/>
    <row r="62186" ht="15.75" customHeight="1"/>
    <row r="62187" ht="15.75" customHeight="1"/>
    <row r="62188" ht="15.75" customHeight="1"/>
    <row r="62189" ht="15.75" customHeight="1"/>
    <row r="62190" ht="15.75" customHeight="1"/>
    <row r="62191" ht="15.75" customHeight="1"/>
    <row r="62192" ht="15.75" customHeight="1"/>
    <row r="62193" ht="15.75" customHeight="1"/>
    <row r="62194" ht="15.75" customHeight="1"/>
    <row r="62195" ht="15.75" customHeight="1"/>
    <row r="62196" ht="15.75" customHeight="1"/>
    <row r="62197" ht="15.75" customHeight="1"/>
    <row r="62198" ht="15.75" customHeight="1"/>
    <row r="62199" ht="15.75" customHeight="1"/>
    <row r="62200" ht="15.75" customHeight="1"/>
    <row r="62201" ht="15.75" customHeight="1"/>
    <row r="62202" ht="15.75" customHeight="1"/>
    <row r="62203" ht="15.75" customHeight="1"/>
    <row r="62204" ht="15.75" customHeight="1"/>
    <row r="62205" ht="15.75" customHeight="1"/>
    <row r="62206" ht="15.75" customHeight="1"/>
    <row r="62207" ht="15.75" customHeight="1"/>
    <row r="62208" ht="15.75" customHeight="1"/>
    <row r="62209" ht="15.75" customHeight="1"/>
    <row r="62210" ht="15.75" customHeight="1"/>
    <row r="62211" ht="15.75" customHeight="1"/>
    <row r="62212" ht="15.75" customHeight="1"/>
    <row r="62213" ht="15.75" customHeight="1"/>
    <row r="62214" ht="15.75" customHeight="1"/>
    <row r="62215" ht="15.75" customHeight="1"/>
    <row r="62216" ht="15.75" customHeight="1"/>
    <row r="62217" ht="15.75" customHeight="1"/>
    <row r="62218" ht="15.75" customHeight="1"/>
    <row r="62219" ht="15.75" customHeight="1"/>
    <row r="62220" ht="15.75" customHeight="1"/>
    <row r="62221" ht="15.75" customHeight="1"/>
    <row r="62222" ht="15.75" customHeight="1"/>
    <row r="62223" ht="15.75" customHeight="1"/>
    <row r="62224" ht="15.75" customHeight="1"/>
    <row r="62225" ht="15.75" customHeight="1"/>
    <row r="62226" ht="15.75" customHeight="1"/>
    <row r="62227" ht="15.75" customHeight="1"/>
    <row r="62228" ht="15.75" customHeight="1"/>
    <row r="62229" ht="15.75" customHeight="1"/>
    <row r="62230" ht="15.75" customHeight="1"/>
    <row r="62231" ht="15.75" customHeight="1"/>
    <row r="62232" ht="15.75" customHeight="1"/>
    <row r="62233" ht="15.75" customHeight="1"/>
    <row r="62234" ht="15.75" customHeight="1"/>
    <row r="62235" ht="15.75" customHeight="1"/>
    <row r="62236" ht="15.75" customHeight="1"/>
    <row r="62237" ht="15.75" customHeight="1"/>
    <row r="62238" ht="15.75" customHeight="1"/>
    <row r="62239" ht="15.75" customHeight="1"/>
    <row r="62240" ht="15.75" customHeight="1"/>
    <row r="62241" ht="15.75" customHeight="1"/>
    <row r="62242" ht="15.75" customHeight="1"/>
    <row r="62243" ht="15.75" customHeight="1"/>
    <row r="62244" ht="15.75" customHeight="1"/>
    <row r="62245" ht="15.75" customHeight="1"/>
    <row r="62246" ht="15.75" customHeight="1"/>
    <row r="62247" ht="15.75" customHeight="1"/>
    <row r="62248" ht="15.75" customHeight="1"/>
    <row r="62249" ht="15.75" customHeight="1"/>
    <row r="62250" ht="15.75" customHeight="1"/>
    <row r="62251" ht="15.75" customHeight="1"/>
    <row r="62252" ht="15.75" customHeight="1"/>
    <row r="62253" ht="15.75" customHeight="1"/>
    <row r="62254" ht="15.75" customHeight="1"/>
    <row r="62255" ht="15.75" customHeight="1"/>
    <row r="62256" ht="15.75" customHeight="1"/>
    <row r="62257" ht="15.75" customHeight="1"/>
    <row r="62258" ht="15.75" customHeight="1"/>
    <row r="62259" ht="15.75" customHeight="1"/>
    <row r="62260" ht="15.75" customHeight="1"/>
    <row r="62261" ht="15.75" customHeight="1"/>
    <row r="62262" ht="15.75" customHeight="1"/>
    <row r="62263" ht="15.75" customHeight="1"/>
    <row r="62264" ht="15.75" customHeight="1"/>
    <row r="62265" ht="15.75" customHeight="1"/>
    <row r="62266" ht="15.75" customHeight="1"/>
    <row r="62267" ht="15.75" customHeight="1"/>
    <row r="62268" ht="15.75" customHeight="1"/>
    <row r="62269" ht="15.75" customHeight="1"/>
    <row r="62270" ht="15.75" customHeight="1"/>
    <row r="62271" ht="15.75" customHeight="1"/>
    <row r="62272" ht="15.75" customHeight="1"/>
    <row r="62273" ht="15.75" customHeight="1"/>
    <row r="62274" ht="15.75" customHeight="1"/>
    <row r="62275" ht="15.75" customHeight="1"/>
    <row r="62276" ht="15.75" customHeight="1"/>
    <row r="62277" ht="15.75" customHeight="1"/>
    <row r="62278" ht="15.75" customHeight="1"/>
    <row r="62279" ht="15.75" customHeight="1"/>
    <row r="62280" ht="15.75" customHeight="1"/>
    <row r="62281" ht="15.75" customHeight="1"/>
    <row r="62282" ht="15.75" customHeight="1"/>
    <row r="62283" ht="15.75" customHeight="1"/>
    <row r="62284" ht="15.75" customHeight="1"/>
    <row r="62285" ht="15.75" customHeight="1"/>
    <row r="62286" ht="15.75" customHeight="1"/>
    <row r="62287" ht="15.75" customHeight="1"/>
    <row r="62288" ht="15.75" customHeight="1"/>
    <row r="62289" ht="15.75" customHeight="1"/>
    <row r="62290" ht="15.75" customHeight="1"/>
    <row r="62291" ht="15.75" customHeight="1"/>
    <row r="62292" ht="15.75" customHeight="1"/>
    <row r="62293" ht="15.75" customHeight="1"/>
    <row r="62294" ht="15.75" customHeight="1"/>
    <row r="62295" ht="15.75" customHeight="1"/>
    <row r="62296" ht="15.75" customHeight="1"/>
    <row r="62297" ht="15.75" customHeight="1"/>
    <row r="62298" ht="15.75" customHeight="1"/>
    <row r="62299" ht="15.75" customHeight="1"/>
    <row r="62300" ht="15.75" customHeight="1"/>
    <row r="62301" ht="15.75" customHeight="1"/>
    <row r="62302" ht="15.75" customHeight="1"/>
    <row r="62303" ht="15.75" customHeight="1"/>
    <row r="62304" ht="15.75" customHeight="1"/>
    <row r="62305" ht="15.75" customHeight="1"/>
    <row r="62306" ht="15.75" customHeight="1"/>
    <row r="62307" ht="15.75" customHeight="1"/>
    <row r="62308" ht="15.75" customHeight="1"/>
    <row r="62309" ht="15.75" customHeight="1"/>
    <row r="62310" ht="15.75" customHeight="1"/>
    <row r="62311" ht="15.75" customHeight="1"/>
    <row r="62312" ht="15.75" customHeight="1"/>
    <row r="62313" ht="15.75" customHeight="1"/>
    <row r="62314" ht="15.75" customHeight="1"/>
    <row r="62315" ht="15.75" customHeight="1"/>
    <row r="62316" ht="15.75" customHeight="1"/>
    <row r="62317" ht="15.75" customHeight="1"/>
    <row r="62318" ht="15.75" customHeight="1"/>
    <row r="62319" ht="15.75" customHeight="1"/>
    <row r="62320" ht="15.75" customHeight="1"/>
    <row r="62321" ht="15.75" customHeight="1"/>
    <row r="62322" ht="15.75" customHeight="1"/>
    <row r="62323" ht="15.75" customHeight="1"/>
    <row r="62324" ht="15.75" customHeight="1"/>
    <row r="62325" ht="15.75" customHeight="1"/>
    <row r="62326" ht="15.75" customHeight="1"/>
    <row r="62327" ht="15.75" customHeight="1"/>
    <row r="62328" ht="15.75" customHeight="1"/>
    <row r="62329" ht="15.75" customHeight="1"/>
    <row r="62330" ht="15.75" customHeight="1"/>
    <row r="62331" ht="15.75" customHeight="1"/>
    <row r="62332" ht="15.75" customHeight="1"/>
    <row r="62333" ht="15.75" customHeight="1"/>
    <row r="62334" ht="15.75" customHeight="1"/>
    <row r="62335" ht="15.75" customHeight="1"/>
    <row r="62336" ht="15.75" customHeight="1"/>
    <row r="62337" ht="15.75" customHeight="1"/>
    <row r="62338" ht="15.75" customHeight="1"/>
    <row r="62339" ht="15.75" customHeight="1"/>
    <row r="62340" ht="15.75" customHeight="1"/>
    <row r="62341" ht="15.75" customHeight="1"/>
    <row r="62342" ht="15.75" customHeight="1"/>
    <row r="62343" ht="15.75" customHeight="1"/>
    <row r="62344" ht="15.75" customHeight="1"/>
    <row r="62345" ht="15.75" customHeight="1"/>
    <row r="62346" ht="15.75" customHeight="1"/>
    <row r="62347" ht="15.75" customHeight="1"/>
    <row r="62348" ht="15.75" customHeight="1"/>
    <row r="62349" ht="15.75" customHeight="1"/>
    <row r="62350" ht="15.75" customHeight="1"/>
    <row r="62351" ht="15.75" customHeight="1"/>
    <row r="62352" ht="15.75" customHeight="1"/>
    <row r="62353" ht="15.75" customHeight="1"/>
    <row r="62354" ht="15.75" customHeight="1"/>
    <row r="62355" ht="15.75" customHeight="1"/>
    <row r="62356" ht="15.75" customHeight="1"/>
    <row r="62357" ht="15.75" customHeight="1"/>
    <row r="62358" ht="15.75" customHeight="1"/>
    <row r="62359" ht="15.75" customHeight="1"/>
    <row r="62360" ht="15.75" customHeight="1"/>
    <row r="62361" ht="15.75" customHeight="1"/>
    <row r="62362" ht="15.75" customHeight="1"/>
    <row r="62363" ht="15.75" customHeight="1"/>
    <row r="62364" ht="15.75" customHeight="1"/>
    <row r="62365" ht="15.75" customHeight="1"/>
    <row r="62366" ht="15.75" customHeight="1"/>
    <row r="62367" ht="15.75" customHeight="1"/>
    <row r="62368" ht="15.75" customHeight="1"/>
    <row r="62369" ht="15.75" customHeight="1"/>
    <row r="62370" ht="15.75" customHeight="1"/>
    <row r="62371" ht="15.75" customHeight="1"/>
    <row r="62372" ht="15.75" customHeight="1"/>
    <row r="62373" ht="15.75" customHeight="1"/>
    <row r="62374" ht="15.75" customHeight="1"/>
    <row r="62375" ht="15.75" customHeight="1"/>
    <row r="62376" ht="15.75" customHeight="1"/>
    <row r="62377" ht="15.75" customHeight="1"/>
    <row r="62378" ht="15.75" customHeight="1"/>
    <row r="62379" ht="15.75" customHeight="1"/>
    <row r="62380" ht="15.75" customHeight="1"/>
    <row r="62381" ht="15.75" customHeight="1"/>
    <row r="62382" ht="15.75" customHeight="1"/>
    <row r="62383" ht="15.75" customHeight="1"/>
    <row r="62384" ht="15.75" customHeight="1"/>
    <row r="62385" ht="15.75" customHeight="1"/>
    <row r="62386" ht="15.75" customHeight="1"/>
    <row r="62387" ht="15.75" customHeight="1"/>
    <row r="62388" ht="15.75" customHeight="1"/>
    <row r="62389" ht="15.75" customHeight="1"/>
    <row r="62390" ht="15.75" customHeight="1"/>
    <row r="62391" ht="15.75" customHeight="1"/>
    <row r="62392" ht="15.75" customHeight="1"/>
    <row r="62393" ht="15.75" customHeight="1"/>
    <row r="62394" ht="15.75" customHeight="1"/>
    <row r="62395" ht="15.75" customHeight="1"/>
    <row r="62396" ht="15.75" customHeight="1"/>
    <row r="62397" ht="15.75" customHeight="1"/>
    <row r="62398" ht="15.75" customHeight="1"/>
    <row r="62399" ht="15.75" customHeight="1"/>
    <row r="62400" ht="15.75" customHeight="1"/>
    <row r="62401" ht="15.75" customHeight="1"/>
    <row r="62402" ht="15.75" customHeight="1"/>
    <row r="62403" ht="15.75" customHeight="1"/>
    <row r="62404" ht="15.75" customHeight="1"/>
    <row r="62405" ht="15.75" customHeight="1"/>
    <row r="62406" ht="15.75" customHeight="1"/>
    <row r="62407" ht="15.75" customHeight="1"/>
    <row r="62408" ht="15.75" customHeight="1"/>
    <row r="62409" ht="15.75" customHeight="1"/>
    <row r="62410" ht="15.75" customHeight="1"/>
    <row r="62411" ht="15.75" customHeight="1"/>
    <row r="62412" ht="15.75" customHeight="1"/>
    <row r="62413" ht="15.75" customHeight="1"/>
    <row r="62414" ht="15.75" customHeight="1"/>
    <row r="62415" ht="15.75" customHeight="1"/>
    <row r="62416" ht="15.75" customHeight="1"/>
    <row r="62417" ht="15.75" customHeight="1"/>
    <row r="62418" ht="15.75" customHeight="1"/>
    <row r="62419" ht="15.75" customHeight="1"/>
    <row r="62420" ht="15.75" customHeight="1"/>
    <row r="62421" ht="15.75" customHeight="1"/>
    <row r="62422" ht="15.75" customHeight="1"/>
    <row r="62423" ht="15.75" customHeight="1"/>
    <row r="62424" ht="15.75" customHeight="1"/>
    <row r="62425" ht="15.75" customHeight="1"/>
    <row r="62426" ht="15.75" customHeight="1"/>
    <row r="62427" ht="15.75" customHeight="1"/>
    <row r="62428" ht="15.75" customHeight="1"/>
    <row r="62429" ht="15.75" customHeight="1"/>
    <row r="62430" ht="15.75" customHeight="1"/>
    <row r="62431" ht="15.75" customHeight="1"/>
    <row r="62432" ht="15.75" customHeight="1"/>
    <row r="62433" ht="15.75" customHeight="1"/>
    <row r="62434" ht="15.75" customHeight="1"/>
    <row r="62435" ht="15.75" customHeight="1"/>
    <row r="62436" ht="15.75" customHeight="1"/>
    <row r="62437" ht="15.75" customHeight="1"/>
    <row r="62438" ht="15.75" customHeight="1"/>
    <row r="62439" ht="15.75" customHeight="1"/>
    <row r="62440" ht="15.75" customHeight="1"/>
    <row r="62441" ht="15.75" customHeight="1"/>
    <row r="62442" ht="15.75" customHeight="1"/>
    <row r="62443" ht="15.75" customHeight="1"/>
    <row r="62444" ht="15.75" customHeight="1"/>
    <row r="62445" ht="15.75" customHeight="1"/>
    <row r="62446" ht="15.75" customHeight="1"/>
    <row r="62447" ht="15.75" customHeight="1"/>
    <row r="62448" ht="15.75" customHeight="1"/>
    <row r="62449" ht="15.75" customHeight="1"/>
    <row r="62450" ht="15.75" customHeight="1"/>
    <row r="62451" ht="15.75" customHeight="1"/>
    <row r="62452" ht="15.75" customHeight="1"/>
    <row r="62453" ht="15.75" customHeight="1"/>
    <row r="62454" ht="15.75" customHeight="1"/>
    <row r="62455" ht="15.75" customHeight="1"/>
    <row r="62456" ht="15.75" customHeight="1"/>
    <row r="62457" ht="15.75" customHeight="1"/>
    <row r="62458" ht="15.75" customHeight="1"/>
    <row r="62459" ht="15.75" customHeight="1"/>
    <row r="62460" ht="15.75" customHeight="1"/>
    <row r="62461" ht="15.75" customHeight="1"/>
    <row r="62462" ht="15.75" customHeight="1"/>
    <row r="62463" ht="15.75" customHeight="1"/>
    <row r="62464" ht="15.75" customHeight="1"/>
    <row r="62465" ht="15.75" customHeight="1"/>
    <row r="62466" ht="15.75" customHeight="1"/>
    <row r="62467" ht="15.75" customHeight="1"/>
    <row r="62468" ht="15.75" customHeight="1"/>
    <row r="62469" ht="15.75" customHeight="1"/>
    <row r="62470" ht="15.75" customHeight="1"/>
    <row r="62471" ht="15.75" customHeight="1"/>
    <row r="62472" ht="15.75" customHeight="1"/>
    <row r="62473" ht="15.75" customHeight="1"/>
    <row r="62474" ht="15.75" customHeight="1"/>
    <row r="62475" ht="15.75" customHeight="1"/>
    <row r="62476" ht="15.75" customHeight="1"/>
    <row r="62477" ht="15.75" customHeight="1"/>
    <row r="62478" ht="15.75" customHeight="1"/>
    <row r="62479" ht="15.75" customHeight="1"/>
    <row r="62480" ht="15.75" customHeight="1"/>
    <row r="62481" ht="15.75" customHeight="1"/>
    <row r="62482" ht="15.75" customHeight="1"/>
    <row r="62483" ht="15.75" customHeight="1"/>
    <row r="62484" ht="15.75" customHeight="1"/>
    <row r="62485" ht="15.75" customHeight="1"/>
    <row r="62486" ht="15.75" customHeight="1"/>
    <row r="62487" ht="15.75" customHeight="1"/>
    <row r="62488" ht="15.75" customHeight="1"/>
    <row r="62489" ht="15.75" customHeight="1"/>
    <row r="62490" ht="15.75" customHeight="1"/>
    <row r="62491" ht="15.75" customHeight="1"/>
    <row r="62492" ht="15.75" customHeight="1"/>
    <row r="62493" ht="15.75" customHeight="1"/>
    <row r="62494" ht="15.75" customHeight="1"/>
    <row r="62495" ht="15.75" customHeight="1"/>
    <row r="62496" ht="15.75" customHeight="1"/>
    <row r="62497" ht="15.75" customHeight="1"/>
    <row r="62498" ht="15.75" customHeight="1"/>
    <row r="62499" ht="15.75" customHeight="1"/>
    <row r="62500" ht="15.75" customHeight="1"/>
    <row r="62501" ht="15.75" customHeight="1"/>
    <row r="62502" ht="15.75" customHeight="1"/>
    <row r="62503" ht="15.75" customHeight="1"/>
    <row r="62504" ht="15.75" customHeight="1"/>
    <row r="62505" ht="15.75" customHeight="1"/>
    <row r="62506" ht="15.75" customHeight="1"/>
    <row r="62507" ht="15.75" customHeight="1"/>
    <row r="62508" ht="15.75" customHeight="1"/>
    <row r="62509" ht="15.75" customHeight="1"/>
    <row r="62510" ht="15.75" customHeight="1"/>
    <row r="62511" ht="15.75" customHeight="1"/>
    <row r="62512" ht="15.75" customHeight="1"/>
    <row r="62513" ht="15.75" customHeight="1"/>
    <row r="62514" ht="15.75" customHeight="1"/>
    <row r="62515" ht="15.75" customHeight="1"/>
    <row r="62516" ht="15.75" customHeight="1"/>
    <row r="62517" ht="15.75" customHeight="1"/>
    <row r="62518" ht="15.75" customHeight="1"/>
    <row r="62519" ht="15.75" customHeight="1"/>
    <row r="62520" ht="15.75" customHeight="1"/>
    <row r="62521" ht="15.75" customHeight="1"/>
    <row r="62522" ht="15.75" customHeight="1"/>
    <row r="62523" ht="15.75" customHeight="1"/>
    <row r="62524" ht="15.75" customHeight="1"/>
    <row r="62525" ht="15.75" customHeight="1"/>
    <row r="62526" ht="15.75" customHeight="1"/>
    <row r="62527" ht="15.75" customHeight="1"/>
    <row r="62528" ht="15.75" customHeight="1"/>
    <row r="62529" ht="15.75" customHeight="1"/>
    <row r="62530" ht="15.75" customHeight="1"/>
    <row r="62531" ht="15.75" customHeight="1"/>
    <row r="62532" ht="15.75" customHeight="1"/>
    <row r="62533" ht="15.75" customHeight="1"/>
    <row r="62534" ht="15.75" customHeight="1"/>
    <row r="62535" ht="15.75" customHeight="1"/>
    <row r="62536" ht="15.75" customHeight="1"/>
    <row r="62537" ht="15.75" customHeight="1"/>
    <row r="62538" ht="15.75" customHeight="1"/>
    <row r="62539" ht="15.75" customHeight="1"/>
    <row r="62540" ht="15.75" customHeight="1"/>
    <row r="62541" ht="15.75" customHeight="1"/>
    <row r="62542" ht="15.75" customHeight="1"/>
    <row r="62543" ht="15.75" customHeight="1"/>
    <row r="62544" ht="15.75" customHeight="1"/>
    <row r="62545" ht="15.75" customHeight="1"/>
    <row r="62546" ht="15.75" customHeight="1"/>
    <row r="62547" ht="15.75" customHeight="1"/>
    <row r="62548" ht="15.75" customHeight="1"/>
    <row r="62549" ht="15.75" customHeight="1"/>
    <row r="62550" ht="15.75" customHeight="1"/>
    <row r="62551" ht="15.75" customHeight="1"/>
    <row r="62552" ht="15.75" customHeight="1"/>
    <row r="62553" ht="15.75" customHeight="1"/>
    <row r="62554" ht="15.75" customHeight="1"/>
    <row r="62555" ht="15.75" customHeight="1"/>
    <row r="62556" ht="15.75" customHeight="1"/>
    <row r="62557" ht="15.75" customHeight="1"/>
    <row r="62558" ht="15.75" customHeight="1"/>
    <row r="62559" ht="15.75" customHeight="1"/>
    <row r="62560" ht="15.75" customHeight="1"/>
    <row r="62561" ht="15.75" customHeight="1"/>
    <row r="62562" ht="15.75" customHeight="1"/>
    <row r="62563" ht="15.75" customHeight="1"/>
    <row r="62564" ht="15.75" customHeight="1"/>
    <row r="62565" ht="15.75" customHeight="1"/>
    <row r="62566" ht="15.75" customHeight="1"/>
    <row r="62567" ht="15.75" customHeight="1"/>
    <row r="62568" ht="15.75" customHeight="1"/>
    <row r="62569" ht="15.75" customHeight="1"/>
    <row r="62570" ht="15.75" customHeight="1"/>
    <row r="62571" ht="15.75" customHeight="1"/>
    <row r="62572" ht="15.75" customHeight="1"/>
    <row r="62573" ht="15.75" customHeight="1"/>
    <row r="62574" ht="15.75" customHeight="1"/>
    <row r="62575" ht="15.75" customHeight="1"/>
    <row r="62576" ht="15.75" customHeight="1"/>
    <row r="62577" ht="15.75" customHeight="1"/>
    <row r="62578" ht="15.75" customHeight="1"/>
    <row r="62579" ht="15.75" customHeight="1"/>
    <row r="62580" ht="15.75" customHeight="1"/>
    <row r="62581" ht="15.75" customHeight="1"/>
    <row r="62582" ht="15.75" customHeight="1"/>
    <row r="62583" ht="15.75" customHeight="1"/>
    <row r="62584" ht="15.75" customHeight="1"/>
    <row r="62585" ht="15.75" customHeight="1"/>
    <row r="62586" ht="15.75" customHeight="1"/>
    <row r="62587" ht="15.75" customHeight="1"/>
    <row r="62588" ht="15.75" customHeight="1"/>
    <row r="62589" ht="15.75" customHeight="1"/>
    <row r="62590" ht="15.75" customHeight="1"/>
    <row r="62591" ht="15.75" customHeight="1"/>
    <row r="62592" ht="15.75" customHeight="1"/>
    <row r="62593" ht="15.75" customHeight="1"/>
    <row r="62594" ht="15.75" customHeight="1"/>
    <row r="62595" ht="15.75" customHeight="1"/>
    <row r="62596" ht="15.75" customHeight="1"/>
    <row r="62597" ht="15.75" customHeight="1"/>
    <row r="62598" ht="15.75" customHeight="1"/>
    <row r="62599" ht="15.75" customHeight="1"/>
    <row r="62600" ht="15.75" customHeight="1"/>
    <row r="62601" ht="15.75" customHeight="1"/>
    <row r="62602" ht="15.75" customHeight="1"/>
    <row r="62603" ht="15.75" customHeight="1"/>
    <row r="62604" ht="15.75" customHeight="1"/>
    <row r="62605" ht="15.75" customHeight="1"/>
    <row r="62606" ht="15.75" customHeight="1"/>
    <row r="62607" ht="15.75" customHeight="1"/>
    <row r="62608" ht="15.75" customHeight="1"/>
    <row r="62609" ht="15.75" customHeight="1"/>
    <row r="62610" ht="15.75" customHeight="1"/>
    <row r="62611" ht="15.75" customHeight="1"/>
    <row r="62612" ht="15.75" customHeight="1"/>
    <row r="62613" ht="15.75" customHeight="1"/>
    <row r="62614" ht="15.75" customHeight="1"/>
    <row r="62615" ht="15.75" customHeight="1"/>
    <row r="62616" ht="15.75" customHeight="1"/>
    <row r="62617" ht="15.75" customHeight="1"/>
    <row r="62618" ht="15.75" customHeight="1"/>
    <row r="62619" ht="15.75" customHeight="1"/>
    <row r="62620" ht="15.75" customHeight="1"/>
    <row r="62621" ht="15.75" customHeight="1"/>
    <row r="62622" ht="15.75" customHeight="1"/>
    <row r="62623" ht="15.75" customHeight="1"/>
    <row r="62624" ht="15.75" customHeight="1"/>
    <row r="62625" ht="15.75" customHeight="1"/>
    <row r="62626" ht="15.75" customHeight="1"/>
    <row r="62627" ht="15.75" customHeight="1"/>
    <row r="62628" ht="15.75" customHeight="1"/>
    <row r="62629" ht="15.75" customHeight="1"/>
    <row r="62630" ht="15.75" customHeight="1"/>
    <row r="62631" ht="15.75" customHeight="1"/>
    <row r="62632" ht="15.75" customHeight="1"/>
    <row r="62633" ht="15.75" customHeight="1"/>
    <row r="62634" ht="15.75" customHeight="1"/>
    <row r="62635" ht="15.75" customHeight="1"/>
    <row r="62636" ht="15.75" customHeight="1"/>
    <row r="62637" ht="15.75" customHeight="1"/>
    <row r="62638" ht="15.75" customHeight="1"/>
    <row r="62639" ht="15.75" customHeight="1"/>
    <row r="62640" ht="15.75" customHeight="1"/>
    <row r="62641" ht="15.75" customHeight="1"/>
    <row r="62642" ht="15.75" customHeight="1"/>
    <row r="62643" ht="15.75" customHeight="1"/>
    <row r="62644" ht="15.75" customHeight="1"/>
    <row r="62645" ht="15.75" customHeight="1"/>
    <row r="62646" ht="15.75" customHeight="1"/>
    <row r="62647" ht="15.75" customHeight="1"/>
    <row r="62648" ht="15.75" customHeight="1"/>
    <row r="62649" ht="15.75" customHeight="1"/>
    <row r="62650" ht="15.75" customHeight="1"/>
    <row r="62651" ht="15.75" customHeight="1"/>
    <row r="62652" ht="15.75" customHeight="1"/>
    <row r="62653" ht="15.75" customHeight="1"/>
    <row r="62654" ht="15.75" customHeight="1"/>
    <row r="62655" ht="15.75" customHeight="1"/>
    <row r="62656" ht="15.75" customHeight="1"/>
    <row r="62657" ht="15.75" customHeight="1"/>
    <row r="62658" ht="15.75" customHeight="1"/>
    <row r="62659" ht="15.75" customHeight="1"/>
    <row r="62660" ht="15.75" customHeight="1"/>
    <row r="62661" ht="15.75" customHeight="1"/>
    <row r="62662" ht="15.75" customHeight="1"/>
    <row r="62663" ht="15.75" customHeight="1"/>
    <row r="62664" ht="15.75" customHeight="1"/>
    <row r="62665" ht="15.75" customHeight="1"/>
    <row r="62666" ht="15.75" customHeight="1"/>
    <row r="62667" ht="15.75" customHeight="1"/>
    <row r="62668" ht="15.75" customHeight="1"/>
    <row r="62669" ht="15.75" customHeight="1"/>
    <row r="62670" ht="15.75" customHeight="1"/>
    <row r="62671" ht="15.75" customHeight="1"/>
    <row r="62672" ht="15.75" customHeight="1"/>
    <row r="62673" ht="15.75" customHeight="1"/>
    <row r="62674" ht="15.75" customHeight="1"/>
    <row r="62675" ht="15.75" customHeight="1"/>
    <row r="62676" ht="15.75" customHeight="1"/>
    <row r="62677" ht="15.75" customHeight="1"/>
    <row r="62678" ht="15.75" customHeight="1"/>
    <row r="62679" ht="15.75" customHeight="1"/>
    <row r="62680" ht="15.75" customHeight="1"/>
    <row r="62681" ht="15.75" customHeight="1"/>
    <row r="62682" ht="15.75" customHeight="1"/>
    <row r="62683" ht="15.75" customHeight="1"/>
    <row r="62684" ht="15.75" customHeight="1"/>
    <row r="62685" ht="15.75" customHeight="1"/>
    <row r="62686" ht="15.75" customHeight="1"/>
    <row r="62687" ht="15.75" customHeight="1"/>
    <row r="62688" ht="15.75" customHeight="1"/>
    <row r="62689" ht="15.75" customHeight="1"/>
    <row r="62690" ht="15.75" customHeight="1"/>
    <row r="62691" ht="15.75" customHeight="1"/>
    <row r="62692" ht="15.75" customHeight="1"/>
    <row r="62693" ht="15.75" customHeight="1"/>
    <row r="62694" ht="15.75" customHeight="1"/>
    <row r="62695" ht="15.75" customHeight="1"/>
    <row r="62696" ht="15.75" customHeight="1"/>
    <row r="62697" ht="15.75" customHeight="1"/>
    <row r="62698" ht="15.75" customHeight="1"/>
    <row r="62699" ht="15.75" customHeight="1"/>
    <row r="62700" ht="15.75" customHeight="1"/>
    <row r="62701" ht="15.75" customHeight="1"/>
    <row r="62702" ht="15.75" customHeight="1"/>
    <row r="62703" ht="15.75" customHeight="1"/>
    <row r="62704" ht="15.75" customHeight="1"/>
    <row r="62705" ht="15.75" customHeight="1"/>
    <row r="62706" ht="15.75" customHeight="1"/>
    <row r="62707" ht="15.75" customHeight="1"/>
    <row r="62708" ht="15.75" customHeight="1"/>
    <row r="62709" ht="15.75" customHeight="1"/>
    <row r="62710" ht="15.75" customHeight="1"/>
    <row r="62711" ht="15.75" customHeight="1"/>
    <row r="62712" ht="15.75" customHeight="1"/>
    <row r="62713" ht="15.75" customHeight="1"/>
    <row r="62714" ht="15.75" customHeight="1"/>
    <row r="62715" ht="15.75" customHeight="1"/>
    <row r="62716" ht="15.75" customHeight="1"/>
    <row r="62717" ht="15.75" customHeight="1"/>
    <row r="62718" ht="15.75" customHeight="1"/>
    <row r="62719" ht="15.75" customHeight="1"/>
    <row r="62720" ht="15.75" customHeight="1"/>
    <row r="62721" ht="15.75" customHeight="1"/>
    <row r="62722" ht="15.75" customHeight="1"/>
    <row r="62723" ht="15.75" customHeight="1"/>
    <row r="62724" ht="15.75" customHeight="1"/>
    <row r="62725" ht="15.75" customHeight="1"/>
    <row r="62726" ht="15.75" customHeight="1"/>
    <row r="62727" ht="15.75" customHeight="1"/>
    <row r="62728" ht="15.75" customHeight="1"/>
    <row r="62729" ht="15.75" customHeight="1"/>
    <row r="62730" ht="15.75" customHeight="1"/>
    <row r="62731" ht="15.75" customHeight="1"/>
    <row r="62732" ht="15.75" customHeight="1"/>
    <row r="62733" ht="15.75" customHeight="1"/>
    <row r="62734" ht="15.75" customHeight="1"/>
    <row r="62735" ht="15.75" customHeight="1"/>
    <row r="62736" ht="15.75" customHeight="1"/>
    <row r="62737" ht="15.75" customHeight="1"/>
    <row r="62738" ht="15.75" customHeight="1"/>
    <row r="62739" ht="15.75" customHeight="1"/>
    <row r="62740" ht="15.75" customHeight="1"/>
    <row r="62741" ht="15.75" customHeight="1"/>
    <row r="62742" ht="15.75" customHeight="1"/>
    <row r="62743" ht="15.75" customHeight="1"/>
    <row r="62744" ht="15.75" customHeight="1"/>
    <row r="62745" ht="15.75" customHeight="1"/>
    <row r="62746" ht="15.75" customHeight="1"/>
    <row r="62747" ht="15.75" customHeight="1"/>
    <row r="62748" ht="15.75" customHeight="1"/>
    <row r="62749" ht="15.75" customHeight="1"/>
    <row r="62750" ht="15.75" customHeight="1"/>
    <row r="62751" ht="15.75" customHeight="1"/>
    <row r="62752" ht="15.75" customHeight="1"/>
    <row r="62753" ht="15.75" customHeight="1"/>
    <row r="62754" ht="15.75" customHeight="1"/>
    <row r="62755" ht="15.75" customHeight="1"/>
    <row r="62756" ht="15.75" customHeight="1"/>
    <row r="62757" ht="15.75" customHeight="1"/>
    <row r="62758" ht="15.75" customHeight="1"/>
    <row r="62759" ht="15.75" customHeight="1"/>
    <row r="62760" ht="15.75" customHeight="1"/>
    <row r="62761" ht="15.75" customHeight="1"/>
    <row r="62762" ht="15.75" customHeight="1"/>
    <row r="62763" ht="15.75" customHeight="1"/>
    <row r="62764" ht="15.75" customHeight="1"/>
    <row r="62765" ht="15.75" customHeight="1"/>
    <row r="62766" ht="15.75" customHeight="1"/>
    <row r="62767" ht="15.75" customHeight="1"/>
    <row r="62768" ht="15.75" customHeight="1"/>
    <row r="62769" ht="15.75" customHeight="1"/>
    <row r="62770" ht="15.75" customHeight="1"/>
    <row r="62771" ht="15.75" customHeight="1"/>
    <row r="62772" ht="15.75" customHeight="1"/>
    <row r="62773" ht="15.75" customHeight="1"/>
    <row r="62774" ht="15.75" customHeight="1"/>
    <row r="62775" ht="15.75" customHeight="1"/>
    <row r="62776" ht="15.75" customHeight="1"/>
    <row r="62777" ht="15.75" customHeight="1"/>
    <row r="62778" ht="15.75" customHeight="1"/>
    <row r="62779" ht="15.75" customHeight="1"/>
    <row r="62780" ht="15.75" customHeight="1"/>
    <row r="62781" ht="15.75" customHeight="1"/>
    <row r="62782" ht="15.75" customHeight="1"/>
    <row r="62783" ht="15.75" customHeight="1"/>
    <row r="62784" ht="15.75" customHeight="1"/>
    <row r="62785" ht="15.75" customHeight="1"/>
    <row r="62786" ht="15.75" customHeight="1"/>
    <row r="62787" ht="15.75" customHeight="1"/>
    <row r="62788" ht="15.75" customHeight="1"/>
    <row r="62789" ht="15.75" customHeight="1"/>
    <row r="62790" ht="15.75" customHeight="1"/>
    <row r="62791" ht="15.75" customHeight="1"/>
    <row r="62792" ht="15.75" customHeight="1"/>
    <row r="62793" ht="15.75" customHeight="1"/>
    <row r="62794" ht="15.75" customHeight="1"/>
    <row r="62795" ht="15.75" customHeight="1"/>
    <row r="62796" ht="15.75" customHeight="1"/>
    <row r="62797" ht="15.75" customHeight="1"/>
    <row r="62798" ht="15.75" customHeight="1"/>
    <row r="62799" ht="15.75" customHeight="1"/>
    <row r="62800" ht="15.75" customHeight="1"/>
    <row r="62801" ht="15.75" customHeight="1"/>
    <row r="62802" ht="15.75" customHeight="1"/>
    <row r="62803" ht="15.75" customHeight="1"/>
    <row r="62804" ht="15.75" customHeight="1"/>
    <row r="62805" ht="15.75" customHeight="1"/>
    <row r="62806" ht="15.75" customHeight="1"/>
    <row r="62807" ht="15.75" customHeight="1"/>
    <row r="62808" ht="15.75" customHeight="1"/>
    <row r="62809" ht="15.75" customHeight="1"/>
    <row r="62810" ht="15.75" customHeight="1"/>
    <row r="62811" ht="15.75" customHeight="1"/>
    <row r="62812" ht="15.75" customHeight="1"/>
    <row r="62813" ht="15.75" customHeight="1"/>
    <row r="62814" ht="15.75" customHeight="1"/>
    <row r="62815" ht="15.75" customHeight="1"/>
    <row r="62816" ht="15.75" customHeight="1"/>
    <row r="62817" ht="15.75" customHeight="1"/>
    <row r="62818" ht="15.75" customHeight="1"/>
    <row r="62819" ht="15.75" customHeight="1"/>
    <row r="62820" ht="15.75" customHeight="1"/>
    <row r="62821" ht="15.75" customHeight="1"/>
    <row r="62822" ht="15.75" customHeight="1"/>
    <row r="62823" ht="15.75" customHeight="1"/>
    <row r="62824" ht="15.75" customHeight="1"/>
    <row r="62825" ht="15.75" customHeight="1"/>
    <row r="62826" ht="15.75" customHeight="1"/>
    <row r="62827" ht="15.75" customHeight="1"/>
    <row r="62828" ht="15.75" customHeight="1"/>
    <row r="62829" ht="15.75" customHeight="1"/>
    <row r="62830" ht="15.75" customHeight="1"/>
    <row r="62831" ht="15.75" customHeight="1"/>
    <row r="62832" ht="15.75" customHeight="1"/>
    <row r="62833" ht="15.75" customHeight="1"/>
    <row r="62834" ht="15.75" customHeight="1"/>
    <row r="62835" ht="15.75" customHeight="1"/>
    <row r="62836" ht="15.75" customHeight="1"/>
    <row r="62837" ht="15.75" customHeight="1"/>
    <row r="62838" ht="15.75" customHeight="1"/>
    <row r="62839" ht="15.75" customHeight="1"/>
    <row r="62840" ht="15.75" customHeight="1"/>
    <row r="62841" ht="15.75" customHeight="1"/>
    <row r="62842" ht="15.75" customHeight="1"/>
    <row r="62843" ht="15.75" customHeight="1"/>
    <row r="62844" ht="15.75" customHeight="1"/>
    <row r="62845" ht="15.75" customHeight="1"/>
    <row r="62846" ht="15.75" customHeight="1"/>
    <row r="62847" ht="15.75" customHeight="1"/>
    <row r="62848" ht="15.75" customHeight="1"/>
    <row r="62849" ht="15.75" customHeight="1"/>
    <row r="62850" ht="15.75" customHeight="1"/>
    <row r="62851" ht="15.75" customHeight="1"/>
    <row r="62852" ht="15.75" customHeight="1"/>
    <row r="62853" ht="15.75" customHeight="1"/>
    <row r="62854" ht="15.75" customHeight="1"/>
    <row r="62855" ht="15.75" customHeight="1"/>
    <row r="62856" ht="15.75" customHeight="1"/>
    <row r="62857" ht="15.75" customHeight="1"/>
    <row r="62858" ht="15.75" customHeight="1"/>
    <row r="62859" ht="15.75" customHeight="1"/>
    <row r="62860" ht="15.75" customHeight="1"/>
    <row r="62861" ht="15.75" customHeight="1"/>
    <row r="62862" ht="15.75" customHeight="1"/>
    <row r="62863" ht="15.75" customHeight="1"/>
    <row r="62864" ht="15.75" customHeight="1"/>
    <row r="62865" ht="15.75" customHeight="1"/>
    <row r="62866" ht="15.75" customHeight="1"/>
    <row r="62867" ht="15.75" customHeight="1"/>
    <row r="62868" ht="15.75" customHeight="1"/>
    <row r="62869" ht="15.75" customHeight="1"/>
    <row r="62870" ht="15.75" customHeight="1"/>
    <row r="62871" ht="15.75" customHeight="1"/>
    <row r="62872" ht="15.75" customHeight="1"/>
    <row r="62873" ht="15.75" customHeight="1"/>
    <row r="62874" ht="15.75" customHeight="1"/>
    <row r="62875" ht="15.75" customHeight="1"/>
    <row r="62876" ht="15.75" customHeight="1"/>
    <row r="62877" ht="15.75" customHeight="1"/>
    <row r="62878" ht="15.75" customHeight="1"/>
    <row r="62879" ht="15.75" customHeight="1"/>
    <row r="62880" ht="15.75" customHeight="1"/>
    <row r="62881" ht="15.75" customHeight="1"/>
    <row r="62882" ht="15.75" customHeight="1"/>
    <row r="62883" ht="15.75" customHeight="1"/>
    <row r="62884" ht="15.75" customHeight="1"/>
    <row r="62885" ht="15.75" customHeight="1"/>
    <row r="62886" ht="15.75" customHeight="1"/>
    <row r="62887" ht="15.75" customHeight="1"/>
    <row r="62888" ht="15.75" customHeight="1"/>
    <row r="62889" ht="15.75" customHeight="1"/>
    <row r="62890" ht="15.75" customHeight="1"/>
    <row r="62891" ht="15.75" customHeight="1"/>
    <row r="62892" ht="15.75" customHeight="1"/>
    <row r="62893" ht="15.75" customHeight="1"/>
    <row r="62894" ht="15.75" customHeight="1"/>
    <row r="62895" ht="15.75" customHeight="1"/>
    <row r="62896" ht="15.75" customHeight="1"/>
    <row r="62897" ht="15.75" customHeight="1"/>
    <row r="62898" ht="15.75" customHeight="1"/>
    <row r="62899" ht="15.75" customHeight="1"/>
    <row r="62900" ht="15.75" customHeight="1"/>
    <row r="62901" ht="15.75" customHeight="1"/>
    <row r="62902" ht="15.75" customHeight="1"/>
    <row r="62903" ht="15.75" customHeight="1"/>
    <row r="62904" ht="15.75" customHeight="1"/>
    <row r="62905" ht="15.75" customHeight="1"/>
    <row r="62906" ht="15.75" customHeight="1"/>
    <row r="62907" ht="15.75" customHeight="1"/>
    <row r="62908" ht="15.75" customHeight="1"/>
    <row r="62909" ht="15.75" customHeight="1"/>
    <row r="62910" ht="15.75" customHeight="1"/>
    <row r="62911" ht="15.75" customHeight="1"/>
    <row r="62912" ht="15.75" customHeight="1"/>
    <row r="62913" ht="15.75" customHeight="1"/>
    <row r="62914" ht="15.75" customHeight="1"/>
    <row r="62915" ht="15.75" customHeight="1"/>
    <row r="62916" ht="15.75" customHeight="1"/>
    <row r="62917" ht="15.75" customHeight="1"/>
    <row r="62918" ht="15.75" customHeight="1"/>
    <row r="62919" ht="15.75" customHeight="1"/>
    <row r="62920" ht="15.75" customHeight="1"/>
    <row r="62921" ht="15.75" customHeight="1"/>
    <row r="62922" ht="15.75" customHeight="1"/>
    <row r="62923" ht="15.75" customHeight="1"/>
    <row r="62924" ht="15.75" customHeight="1"/>
    <row r="62925" ht="15.75" customHeight="1"/>
    <row r="62926" ht="15.75" customHeight="1"/>
    <row r="62927" ht="15.75" customHeight="1"/>
    <row r="62928" ht="15.75" customHeight="1"/>
    <row r="62929" ht="15.75" customHeight="1"/>
    <row r="62930" ht="15.75" customHeight="1"/>
    <row r="62931" ht="15.75" customHeight="1"/>
    <row r="62932" ht="15.75" customHeight="1"/>
    <row r="62933" ht="15.75" customHeight="1"/>
    <row r="62934" ht="15.75" customHeight="1"/>
    <row r="62935" ht="15.75" customHeight="1"/>
    <row r="62936" ht="15.75" customHeight="1"/>
    <row r="62937" ht="15.75" customHeight="1"/>
    <row r="62938" ht="15.75" customHeight="1"/>
    <row r="62939" ht="15.75" customHeight="1"/>
    <row r="62940" ht="15.75" customHeight="1"/>
    <row r="62941" ht="15.75" customHeight="1"/>
    <row r="62942" ht="15.75" customHeight="1"/>
    <row r="62943" ht="15.75" customHeight="1"/>
    <row r="62944" ht="15.75" customHeight="1"/>
    <row r="62945" ht="15.75" customHeight="1"/>
    <row r="62946" ht="15.75" customHeight="1"/>
    <row r="62947" ht="15.75" customHeight="1"/>
    <row r="62948" ht="15.75" customHeight="1"/>
    <row r="62949" ht="15.75" customHeight="1"/>
    <row r="62950" ht="15.75" customHeight="1"/>
    <row r="62951" ht="15.75" customHeight="1"/>
    <row r="62952" ht="15.75" customHeight="1"/>
    <row r="62953" ht="15.75" customHeight="1"/>
    <row r="62954" ht="15.75" customHeight="1"/>
    <row r="62955" ht="15.75" customHeight="1"/>
    <row r="62956" ht="15.75" customHeight="1"/>
    <row r="62957" ht="15.75" customHeight="1"/>
    <row r="62958" ht="15.75" customHeight="1"/>
    <row r="62959" ht="15.75" customHeight="1"/>
    <row r="62960" ht="15.75" customHeight="1"/>
    <row r="62961" ht="15.75" customHeight="1"/>
    <row r="62962" ht="15.75" customHeight="1"/>
    <row r="62963" ht="15.75" customHeight="1"/>
    <row r="62964" ht="15.75" customHeight="1"/>
    <row r="62965" ht="15.75" customHeight="1"/>
    <row r="62966" ht="15.75" customHeight="1"/>
    <row r="62967" ht="15.75" customHeight="1"/>
    <row r="62968" ht="15.75" customHeight="1"/>
    <row r="62969" ht="15.75" customHeight="1"/>
    <row r="62970" ht="15.75" customHeight="1"/>
    <row r="62971" ht="15.75" customHeight="1"/>
    <row r="62972" ht="15.75" customHeight="1"/>
    <row r="62973" ht="15.75" customHeight="1"/>
    <row r="62974" ht="15.75" customHeight="1"/>
    <row r="62975" ht="15.75" customHeight="1"/>
    <row r="62976" ht="15.75" customHeight="1"/>
    <row r="62977" ht="15.75" customHeight="1"/>
    <row r="62978" ht="15.75" customHeight="1"/>
    <row r="62979" ht="15.75" customHeight="1"/>
    <row r="62980" ht="15.75" customHeight="1"/>
    <row r="62981" ht="15.75" customHeight="1"/>
    <row r="62982" ht="15.75" customHeight="1"/>
    <row r="62983" ht="15.75" customHeight="1"/>
    <row r="62984" ht="15.75" customHeight="1"/>
    <row r="62985" ht="15.75" customHeight="1"/>
    <row r="62986" ht="15.75" customHeight="1"/>
    <row r="62987" ht="15.75" customHeight="1"/>
    <row r="62988" ht="15.75" customHeight="1"/>
    <row r="62989" ht="15.75" customHeight="1"/>
    <row r="62990" ht="15.75" customHeight="1"/>
    <row r="62991" ht="15.75" customHeight="1"/>
    <row r="62992" ht="15.75" customHeight="1"/>
    <row r="62993" ht="15.75" customHeight="1"/>
    <row r="62994" ht="15.75" customHeight="1"/>
    <row r="62995" ht="15.75" customHeight="1"/>
    <row r="62996" ht="15.75" customHeight="1"/>
    <row r="62997" ht="15.75" customHeight="1"/>
    <row r="62998" ht="15.75" customHeight="1"/>
    <row r="62999" ht="15.75" customHeight="1"/>
    <row r="63000" ht="15.75" customHeight="1"/>
    <row r="63001" ht="15.75" customHeight="1"/>
    <row r="63002" ht="15.75" customHeight="1"/>
    <row r="63003" ht="15.75" customHeight="1"/>
    <row r="63004" ht="15.75" customHeight="1"/>
    <row r="63005" ht="15.75" customHeight="1"/>
    <row r="63006" ht="15.75" customHeight="1"/>
    <row r="63007" ht="15.75" customHeight="1"/>
    <row r="63008" ht="15.75" customHeight="1"/>
    <row r="63009" ht="15.75" customHeight="1"/>
    <row r="63010" ht="15.75" customHeight="1"/>
    <row r="63011" ht="15.75" customHeight="1"/>
    <row r="63012" ht="15.75" customHeight="1"/>
    <row r="63013" ht="15.75" customHeight="1"/>
    <row r="63014" ht="15.75" customHeight="1"/>
    <row r="63015" ht="15.75" customHeight="1"/>
    <row r="63016" ht="15.75" customHeight="1"/>
    <row r="63017" ht="15.75" customHeight="1"/>
    <row r="63018" ht="15.75" customHeight="1"/>
    <row r="63019" ht="15.75" customHeight="1"/>
    <row r="63020" ht="15.75" customHeight="1"/>
    <row r="63021" ht="15.75" customHeight="1"/>
    <row r="63022" ht="15.75" customHeight="1"/>
    <row r="63023" ht="15.75" customHeight="1"/>
    <row r="63024" ht="15.75" customHeight="1"/>
    <row r="63025" ht="15.75" customHeight="1"/>
    <row r="63026" ht="15.75" customHeight="1"/>
    <row r="63027" ht="15.75" customHeight="1"/>
    <row r="63028" ht="15.75" customHeight="1"/>
    <row r="63029" ht="15.75" customHeight="1"/>
    <row r="63030" ht="15.75" customHeight="1"/>
    <row r="63031" ht="15.75" customHeight="1"/>
    <row r="63032" ht="15.75" customHeight="1"/>
    <row r="63033" ht="15.75" customHeight="1"/>
    <row r="63034" ht="15.75" customHeight="1"/>
    <row r="63035" ht="15.75" customHeight="1"/>
    <row r="63036" ht="15.75" customHeight="1"/>
    <row r="63037" ht="15.75" customHeight="1"/>
    <row r="63038" ht="15.75" customHeight="1"/>
    <row r="63039" ht="15.75" customHeight="1"/>
    <row r="63040" ht="15.75" customHeight="1"/>
    <row r="63041" ht="15.75" customHeight="1"/>
    <row r="63042" ht="15.75" customHeight="1"/>
    <row r="63043" ht="15.75" customHeight="1"/>
    <row r="63044" ht="15.75" customHeight="1"/>
    <row r="63045" ht="15.75" customHeight="1"/>
    <row r="63046" ht="15.75" customHeight="1"/>
    <row r="63047" ht="15.75" customHeight="1"/>
    <row r="63048" ht="15.75" customHeight="1"/>
    <row r="63049" ht="15.75" customHeight="1"/>
    <row r="63050" ht="15.75" customHeight="1"/>
    <row r="63051" ht="15.75" customHeight="1"/>
    <row r="63052" ht="15.75" customHeight="1"/>
    <row r="63053" ht="15.75" customHeight="1"/>
    <row r="63054" ht="15.75" customHeight="1"/>
    <row r="63055" ht="15.75" customHeight="1"/>
    <row r="63056" ht="15.75" customHeight="1"/>
    <row r="63057" ht="15.75" customHeight="1"/>
    <row r="63058" ht="15.75" customHeight="1"/>
    <row r="63059" ht="15.75" customHeight="1"/>
    <row r="63060" ht="15.75" customHeight="1"/>
    <row r="63061" ht="15.75" customHeight="1"/>
    <row r="63062" ht="15.75" customHeight="1"/>
    <row r="63063" ht="15.75" customHeight="1"/>
    <row r="63064" ht="15.75" customHeight="1"/>
    <row r="63065" ht="15.75" customHeight="1"/>
    <row r="63066" ht="15.75" customHeight="1"/>
    <row r="63067" ht="15.75" customHeight="1"/>
    <row r="63068" ht="15.75" customHeight="1"/>
    <row r="63069" ht="15.75" customHeight="1"/>
    <row r="63070" ht="15.75" customHeight="1"/>
    <row r="63071" ht="15.75" customHeight="1"/>
    <row r="63072" ht="15.75" customHeight="1"/>
    <row r="63073" ht="15.75" customHeight="1"/>
    <row r="63074" ht="15.75" customHeight="1"/>
    <row r="63075" ht="15.75" customHeight="1"/>
    <row r="63076" ht="15.75" customHeight="1"/>
    <row r="63077" ht="15.75" customHeight="1"/>
    <row r="63078" ht="15.75" customHeight="1"/>
    <row r="63079" ht="15.75" customHeight="1"/>
    <row r="63080" ht="15.75" customHeight="1"/>
    <row r="63081" ht="15.75" customHeight="1"/>
    <row r="63082" ht="15.75" customHeight="1"/>
    <row r="63083" ht="15.75" customHeight="1"/>
    <row r="63084" ht="15.75" customHeight="1"/>
    <row r="63085" ht="15.75" customHeight="1"/>
    <row r="63086" ht="15.75" customHeight="1"/>
    <row r="63087" ht="15.75" customHeight="1"/>
    <row r="63088" ht="15.75" customHeight="1"/>
    <row r="63089" ht="15.75" customHeight="1"/>
    <row r="63090" ht="15.75" customHeight="1"/>
    <row r="63091" ht="15.75" customHeight="1"/>
    <row r="63092" ht="15.75" customHeight="1"/>
    <row r="63093" ht="15.75" customHeight="1"/>
    <row r="63094" ht="15.75" customHeight="1"/>
    <row r="63095" ht="15.75" customHeight="1"/>
    <row r="63096" ht="15.75" customHeight="1"/>
    <row r="63097" ht="15.75" customHeight="1"/>
    <row r="63098" ht="15.75" customHeight="1"/>
    <row r="63099" ht="15.75" customHeight="1"/>
    <row r="63100" ht="15.75" customHeight="1"/>
    <row r="63101" ht="15.75" customHeight="1"/>
    <row r="63102" ht="15.75" customHeight="1"/>
    <row r="63103" ht="15.75" customHeight="1"/>
    <row r="63104" ht="15.75" customHeight="1"/>
    <row r="63105" ht="15.75" customHeight="1"/>
    <row r="63106" ht="15.75" customHeight="1"/>
    <row r="63107" ht="15.75" customHeight="1"/>
    <row r="63108" ht="15.75" customHeight="1"/>
    <row r="63109" ht="15.75" customHeight="1"/>
    <row r="63110" ht="15.75" customHeight="1"/>
    <row r="63111" ht="15.75" customHeight="1"/>
    <row r="63112" ht="15.75" customHeight="1"/>
    <row r="63113" ht="15.75" customHeight="1"/>
    <row r="63114" ht="15.75" customHeight="1"/>
    <row r="63115" ht="15.75" customHeight="1"/>
    <row r="63116" ht="15.75" customHeight="1"/>
    <row r="63117" ht="15.75" customHeight="1"/>
    <row r="63118" ht="15.75" customHeight="1"/>
    <row r="63119" ht="15.75" customHeight="1"/>
    <row r="63120" ht="15.75" customHeight="1"/>
    <row r="63121" ht="15.75" customHeight="1"/>
    <row r="63122" ht="15.75" customHeight="1"/>
    <row r="63123" ht="15.75" customHeight="1"/>
    <row r="63124" ht="15.75" customHeight="1"/>
    <row r="63125" ht="15.75" customHeight="1"/>
    <row r="63126" ht="15.75" customHeight="1"/>
    <row r="63127" ht="15.75" customHeight="1"/>
    <row r="63128" ht="15.75" customHeight="1"/>
    <row r="63129" ht="15.75" customHeight="1"/>
    <row r="63130" ht="15.75" customHeight="1"/>
    <row r="63131" ht="15.75" customHeight="1"/>
    <row r="63132" ht="15.75" customHeight="1"/>
    <row r="63133" ht="15.75" customHeight="1"/>
    <row r="63134" ht="15.75" customHeight="1"/>
    <row r="63135" ht="15.75" customHeight="1"/>
    <row r="63136" ht="15.75" customHeight="1"/>
    <row r="63137" ht="15.75" customHeight="1"/>
    <row r="63138" ht="15.75" customHeight="1"/>
    <row r="63139" ht="15.75" customHeight="1"/>
    <row r="63140" ht="15.75" customHeight="1"/>
    <row r="63141" ht="15.75" customHeight="1"/>
    <row r="63142" ht="15.75" customHeight="1"/>
    <row r="63143" ht="15.75" customHeight="1"/>
    <row r="63144" ht="15.75" customHeight="1"/>
    <row r="63145" ht="15.75" customHeight="1"/>
    <row r="63146" ht="15.75" customHeight="1"/>
    <row r="63147" ht="15.75" customHeight="1"/>
    <row r="63148" ht="15.75" customHeight="1"/>
    <row r="63149" ht="15.75" customHeight="1"/>
    <row r="63150" ht="15.75" customHeight="1"/>
    <row r="63151" ht="15.75" customHeight="1"/>
    <row r="63152" ht="15.75" customHeight="1"/>
    <row r="63153" ht="15.75" customHeight="1"/>
    <row r="63154" ht="15.75" customHeight="1"/>
    <row r="63155" ht="15.75" customHeight="1"/>
    <row r="63156" ht="15.75" customHeight="1"/>
    <row r="63157" ht="15.75" customHeight="1"/>
    <row r="63158" ht="15.75" customHeight="1"/>
    <row r="63159" ht="15.75" customHeight="1"/>
    <row r="63160" ht="15.75" customHeight="1"/>
    <row r="63161" ht="15.75" customHeight="1"/>
    <row r="63162" ht="15.75" customHeight="1"/>
    <row r="63163" ht="15.75" customHeight="1"/>
    <row r="63164" ht="15.75" customHeight="1"/>
    <row r="63165" ht="15.75" customHeight="1"/>
    <row r="63166" ht="15.75" customHeight="1"/>
    <row r="63167" ht="15.75" customHeight="1"/>
    <row r="63168" ht="15.75" customHeight="1"/>
    <row r="63169" ht="15.75" customHeight="1"/>
    <row r="63170" ht="15.75" customHeight="1"/>
    <row r="63171" ht="15.75" customHeight="1"/>
    <row r="63172" ht="15.75" customHeight="1"/>
    <row r="63173" ht="15.75" customHeight="1"/>
    <row r="63174" ht="15.75" customHeight="1"/>
    <row r="63175" ht="15.75" customHeight="1"/>
    <row r="63176" ht="15.75" customHeight="1"/>
    <row r="63177" ht="15.75" customHeight="1"/>
    <row r="63178" ht="15.75" customHeight="1"/>
    <row r="63179" ht="15.75" customHeight="1"/>
    <row r="63180" ht="15.75" customHeight="1"/>
    <row r="63181" ht="15.75" customHeight="1"/>
    <row r="63182" ht="15.75" customHeight="1"/>
    <row r="63183" ht="15.75" customHeight="1"/>
    <row r="63184" ht="15.75" customHeight="1"/>
    <row r="63185" ht="15.75" customHeight="1"/>
    <row r="63186" ht="15.75" customHeight="1"/>
    <row r="63187" ht="15.75" customHeight="1"/>
    <row r="63188" ht="15.75" customHeight="1"/>
    <row r="63189" ht="15.75" customHeight="1"/>
    <row r="63190" ht="15.75" customHeight="1"/>
    <row r="63191" ht="15.75" customHeight="1"/>
    <row r="63192" ht="15.75" customHeight="1"/>
    <row r="63193" ht="15.75" customHeight="1"/>
    <row r="63194" ht="15.75" customHeight="1"/>
    <row r="63195" ht="15.75" customHeight="1"/>
    <row r="63196" ht="15.75" customHeight="1"/>
    <row r="63197" ht="15.75" customHeight="1"/>
    <row r="63198" ht="15.75" customHeight="1"/>
    <row r="63199" ht="15.75" customHeight="1"/>
    <row r="63200" ht="15.75" customHeight="1"/>
    <row r="63201" ht="15.75" customHeight="1"/>
    <row r="63202" ht="15.75" customHeight="1"/>
    <row r="63203" ht="15.75" customHeight="1"/>
    <row r="63204" ht="15.75" customHeight="1"/>
    <row r="63205" ht="15.75" customHeight="1"/>
    <row r="63206" ht="15.75" customHeight="1"/>
    <row r="63207" ht="15.75" customHeight="1"/>
    <row r="63208" ht="15.75" customHeight="1"/>
    <row r="63209" ht="15.75" customHeight="1"/>
    <row r="63210" ht="15.75" customHeight="1"/>
    <row r="63211" ht="15.75" customHeight="1"/>
    <row r="63212" ht="15.75" customHeight="1"/>
    <row r="63213" ht="15.75" customHeight="1"/>
    <row r="63214" ht="15.75" customHeight="1"/>
    <row r="63215" ht="15.75" customHeight="1"/>
    <row r="63216" ht="15.75" customHeight="1"/>
    <row r="63217" ht="15.75" customHeight="1"/>
    <row r="63218" ht="15.75" customHeight="1"/>
    <row r="63219" ht="15.75" customHeight="1"/>
    <row r="63220" ht="15.75" customHeight="1"/>
    <row r="63221" ht="15.75" customHeight="1"/>
    <row r="63222" ht="15.75" customHeight="1"/>
    <row r="63223" ht="15.75" customHeight="1"/>
    <row r="63224" ht="15.75" customHeight="1"/>
    <row r="63225" ht="15.75" customHeight="1"/>
    <row r="63226" ht="15.75" customHeight="1"/>
    <row r="63227" ht="15.75" customHeight="1"/>
    <row r="63228" ht="15.75" customHeight="1"/>
    <row r="63229" ht="15.75" customHeight="1"/>
    <row r="63230" ht="15.75" customHeight="1"/>
    <row r="63231" ht="15.75" customHeight="1"/>
    <row r="63232" ht="15.75" customHeight="1"/>
    <row r="63233" ht="15.75" customHeight="1"/>
    <row r="63234" ht="15.75" customHeight="1"/>
    <row r="63235" ht="15.75" customHeight="1"/>
    <row r="63236" ht="15.75" customHeight="1"/>
    <row r="63237" ht="15.75" customHeight="1"/>
    <row r="63238" ht="15.75" customHeight="1"/>
    <row r="63239" ht="15.75" customHeight="1"/>
    <row r="63240" ht="15.75" customHeight="1"/>
    <row r="63241" ht="15.75" customHeight="1"/>
    <row r="63242" ht="15.75" customHeight="1"/>
    <row r="63243" ht="15.75" customHeight="1"/>
    <row r="63244" ht="15.75" customHeight="1"/>
    <row r="63245" ht="15.75" customHeight="1"/>
    <row r="63246" ht="15.75" customHeight="1"/>
    <row r="63247" ht="15.75" customHeight="1"/>
    <row r="63248" ht="15.75" customHeight="1"/>
    <row r="63249" ht="15.75" customHeight="1"/>
    <row r="63250" ht="15.75" customHeight="1"/>
    <row r="63251" ht="15.75" customHeight="1"/>
    <row r="63252" ht="15.75" customHeight="1"/>
    <row r="63253" ht="15.75" customHeight="1"/>
    <row r="63254" ht="15.75" customHeight="1"/>
    <row r="63255" ht="15.75" customHeight="1"/>
    <row r="63256" ht="15.75" customHeight="1"/>
    <row r="63257" ht="15.75" customHeight="1"/>
    <row r="63258" ht="15.75" customHeight="1"/>
    <row r="63259" ht="15.75" customHeight="1"/>
    <row r="63260" ht="15.75" customHeight="1"/>
    <row r="63261" ht="15.75" customHeight="1"/>
    <row r="63262" ht="15.75" customHeight="1"/>
    <row r="63263" ht="15.75" customHeight="1"/>
    <row r="63264" ht="15.75" customHeight="1"/>
    <row r="63265" ht="15.75" customHeight="1"/>
    <row r="63266" ht="15.75" customHeight="1"/>
    <row r="63267" ht="15.75" customHeight="1"/>
    <row r="63268" ht="15.75" customHeight="1"/>
    <row r="63269" ht="15.75" customHeight="1"/>
    <row r="63270" ht="15.75" customHeight="1"/>
    <row r="63271" ht="15.75" customHeight="1"/>
    <row r="63272" ht="15.75" customHeight="1"/>
    <row r="63273" ht="15.75" customHeight="1"/>
    <row r="63274" ht="15.75" customHeight="1"/>
    <row r="63275" ht="15.75" customHeight="1"/>
    <row r="63276" ht="15.75" customHeight="1"/>
    <row r="63277" ht="15.75" customHeight="1"/>
    <row r="63278" ht="15.75" customHeight="1"/>
    <row r="63279" ht="15.75" customHeight="1"/>
    <row r="63280" ht="15.75" customHeight="1"/>
    <row r="63281" ht="15.75" customHeight="1"/>
    <row r="63282" ht="15.75" customHeight="1"/>
    <row r="63283" ht="15.75" customHeight="1"/>
    <row r="63284" ht="15.75" customHeight="1"/>
    <row r="63285" ht="15.75" customHeight="1"/>
    <row r="63286" ht="15.75" customHeight="1"/>
    <row r="63287" ht="15.75" customHeight="1"/>
    <row r="63288" ht="15.75" customHeight="1"/>
    <row r="63289" ht="15.75" customHeight="1"/>
    <row r="63290" ht="15.75" customHeight="1"/>
    <row r="63291" ht="15.75" customHeight="1"/>
    <row r="63292" ht="15.75" customHeight="1"/>
    <row r="63293" ht="15.75" customHeight="1"/>
    <row r="63294" ht="15.75" customHeight="1"/>
    <row r="63295" ht="15.75" customHeight="1"/>
    <row r="63296" ht="15.75" customHeight="1"/>
    <row r="63297" ht="15.75" customHeight="1"/>
    <row r="63298" ht="15.75" customHeight="1"/>
    <row r="63299" ht="15.75" customHeight="1"/>
    <row r="63300" ht="15.75" customHeight="1"/>
    <row r="63301" ht="15.75" customHeight="1"/>
    <row r="63302" ht="15.75" customHeight="1"/>
    <row r="63303" ht="15.75" customHeight="1"/>
    <row r="63304" ht="15.75" customHeight="1"/>
    <row r="63305" ht="15.75" customHeight="1"/>
    <row r="63306" ht="15.75" customHeight="1"/>
    <row r="63307" ht="15.75" customHeight="1"/>
    <row r="63308" ht="15.75" customHeight="1"/>
    <row r="63309" ht="15.75" customHeight="1"/>
    <row r="63310" ht="15.75" customHeight="1"/>
    <row r="63311" ht="15.75" customHeight="1"/>
    <row r="63312" ht="15.75" customHeight="1"/>
    <row r="63313" ht="15.75" customHeight="1"/>
    <row r="63314" ht="15.75" customHeight="1"/>
    <row r="63315" ht="15.75" customHeight="1"/>
    <row r="63316" ht="15.75" customHeight="1"/>
    <row r="63317" ht="15.75" customHeight="1"/>
    <row r="63318" ht="15.75" customHeight="1"/>
    <row r="63319" ht="15.75" customHeight="1"/>
    <row r="63320" ht="15.75" customHeight="1"/>
    <row r="63321" ht="15.75" customHeight="1"/>
    <row r="63322" ht="15.75" customHeight="1"/>
    <row r="63323" ht="15.75" customHeight="1"/>
    <row r="63324" ht="15.75" customHeight="1"/>
    <row r="63325" ht="15.75" customHeight="1"/>
    <row r="63326" ht="15.75" customHeight="1"/>
    <row r="63327" ht="15.75" customHeight="1"/>
    <row r="63328" ht="15.75" customHeight="1"/>
    <row r="63329" ht="15.75" customHeight="1"/>
    <row r="63330" ht="15.75" customHeight="1"/>
    <row r="63331" ht="15.75" customHeight="1"/>
    <row r="63332" ht="15.75" customHeight="1"/>
    <row r="63333" ht="15.75" customHeight="1"/>
    <row r="63334" ht="15.75" customHeight="1"/>
    <row r="63335" ht="15.75" customHeight="1"/>
    <row r="63336" ht="15.75" customHeight="1"/>
    <row r="63337" ht="15.75" customHeight="1"/>
    <row r="63338" ht="15.75" customHeight="1"/>
    <row r="63339" ht="15.75" customHeight="1"/>
    <row r="63340" ht="15.75" customHeight="1"/>
    <row r="63341" ht="15.75" customHeight="1"/>
    <row r="63342" ht="15.75" customHeight="1"/>
    <row r="63343" ht="15.75" customHeight="1"/>
    <row r="63344" ht="15.75" customHeight="1"/>
    <row r="63345" ht="15.75" customHeight="1"/>
    <row r="63346" ht="15.75" customHeight="1"/>
    <row r="63347" ht="15.75" customHeight="1"/>
    <row r="63348" ht="15.75" customHeight="1"/>
    <row r="63349" ht="15.75" customHeight="1"/>
    <row r="63350" ht="15.75" customHeight="1"/>
    <row r="63351" ht="15.75" customHeight="1"/>
    <row r="63352" ht="15.75" customHeight="1"/>
    <row r="63353" ht="15.75" customHeight="1"/>
    <row r="63354" ht="15.75" customHeight="1"/>
    <row r="63355" ht="15.75" customHeight="1"/>
    <row r="63356" ht="15.75" customHeight="1"/>
    <row r="63357" ht="15.75" customHeight="1"/>
    <row r="63358" ht="15.75" customHeight="1"/>
    <row r="63359" ht="15.75" customHeight="1"/>
    <row r="63360" ht="15.75" customHeight="1"/>
    <row r="63361" ht="15.75" customHeight="1"/>
    <row r="63362" ht="15.75" customHeight="1"/>
    <row r="63363" ht="15.75" customHeight="1"/>
    <row r="63364" ht="15.75" customHeight="1"/>
    <row r="63365" ht="15.75" customHeight="1"/>
    <row r="63366" ht="15.75" customHeight="1"/>
    <row r="63367" ht="15.75" customHeight="1"/>
    <row r="63368" ht="15.75" customHeight="1"/>
    <row r="63369" ht="15.75" customHeight="1"/>
    <row r="63370" ht="15.75" customHeight="1"/>
    <row r="63371" ht="15.75" customHeight="1"/>
    <row r="63372" ht="15.75" customHeight="1"/>
    <row r="63373" ht="15.75" customHeight="1"/>
    <row r="63374" ht="15.75" customHeight="1"/>
    <row r="63375" ht="15.75" customHeight="1"/>
    <row r="63376" ht="15.75" customHeight="1"/>
    <row r="63377" ht="15.75" customHeight="1"/>
    <row r="63378" ht="15.75" customHeight="1"/>
    <row r="63379" ht="15.75" customHeight="1"/>
    <row r="63380" ht="15.75" customHeight="1"/>
    <row r="63381" ht="15.75" customHeight="1"/>
    <row r="63382" ht="15.75" customHeight="1"/>
    <row r="63383" ht="15.75" customHeight="1"/>
    <row r="63384" ht="15.75" customHeight="1"/>
    <row r="63385" ht="15.75" customHeight="1"/>
    <row r="63386" ht="15.75" customHeight="1"/>
    <row r="63387" ht="15.75" customHeight="1"/>
    <row r="63388" ht="15.75" customHeight="1"/>
    <row r="63389" ht="15.75" customHeight="1"/>
    <row r="63390" ht="15.75" customHeight="1"/>
    <row r="63391" ht="15.75" customHeight="1"/>
    <row r="63392" ht="15.75" customHeight="1"/>
    <row r="63393" ht="15.75" customHeight="1"/>
    <row r="63394" ht="15.75" customHeight="1"/>
    <row r="63395" ht="15.75" customHeight="1"/>
    <row r="63396" ht="15.75" customHeight="1"/>
    <row r="63397" ht="15.75" customHeight="1"/>
    <row r="63398" ht="15.75" customHeight="1"/>
    <row r="63399" ht="15.75" customHeight="1"/>
    <row r="63400" ht="15.75" customHeight="1"/>
    <row r="63401" ht="15.75" customHeight="1"/>
    <row r="63402" ht="15.75" customHeight="1"/>
    <row r="63403" ht="15.75" customHeight="1"/>
    <row r="63404" ht="15.75" customHeight="1"/>
    <row r="63405" ht="15.75" customHeight="1"/>
    <row r="63406" ht="15.75" customHeight="1"/>
    <row r="63407" ht="15.75" customHeight="1"/>
    <row r="63408" ht="15.75" customHeight="1"/>
    <row r="63409" ht="15.75" customHeight="1"/>
    <row r="63410" ht="15.75" customHeight="1"/>
    <row r="63411" ht="15.75" customHeight="1"/>
    <row r="63412" ht="15.75" customHeight="1"/>
    <row r="63413" ht="15.75" customHeight="1"/>
    <row r="63414" ht="15.75" customHeight="1"/>
    <row r="63415" ht="15.75" customHeight="1"/>
    <row r="63416" ht="15.75" customHeight="1"/>
    <row r="63417" ht="15.75" customHeight="1"/>
    <row r="63418" ht="15.75" customHeight="1"/>
    <row r="63419" ht="15.75" customHeight="1"/>
    <row r="63420" ht="15.75" customHeight="1"/>
    <row r="63421" ht="15.75" customHeight="1"/>
    <row r="63422" ht="15.75" customHeight="1"/>
    <row r="63423" ht="15.75" customHeight="1"/>
    <row r="63424" ht="15.75" customHeight="1"/>
    <row r="63425" ht="15.75" customHeight="1"/>
    <row r="63426" ht="15.75" customHeight="1"/>
    <row r="63427" ht="15.75" customHeight="1"/>
    <row r="63428" ht="15.75" customHeight="1"/>
    <row r="63429" ht="15.75" customHeight="1"/>
    <row r="63430" ht="15.75" customHeight="1"/>
    <row r="63431" ht="15.75" customHeight="1"/>
    <row r="63432" ht="15.75" customHeight="1"/>
    <row r="63433" ht="15.75" customHeight="1"/>
    <row r="63434" ht="15.75" customHeight="1"/>
    <row r="63435" ht="15.75" customHeight="1"/>
    <row r="63436" ht="15.75" customHeight="1"/>
    <row r="63437" ht="15.75" customHeight="1"/>
    <row r="63438" ht="15.75" customHeight="1"/>
    <row r="63439" ht="15.75" customHeight="1"/>
    <row r="63440" ht="15.75" customHeight="1"/>
    <row r="63441" ht="15.75" customHeight="1"/>
    <row r="63442" ht="15.75" customHeight="1"/>
    <row r="63443" ht="15.75" customHeight="1"/>
    <row r="63444" ht="15.75" customHeight="1"/>
    <row r="63445" ht="15.75" customHeight="1"/>
    <row r="63446" ht="15.75" customHeight="1"/>
    <row r="63447" ht="15.75" customHeight="1"/>
    <row r="63448" ht="15.75" customHeight="1"/>
    <row r="63449" ht="15.75" customHeight="1"/>
    <row r="63450" ht="15.75" customHeight="1"/>
    <row r="63451" ht="15.75" customHeight="1"/>
    <row r="63452" ht="15.75" customHeight="1"/>
    <row r="63453" ht="15.75" customHeight="1"/>
    <row r="63454" ht="15.75" customHeight="1"/>
    <row r="63455" ht="15.75" customHeight="1"/>
    <row r="63456" ht="15.75" customHeight="1"/>
    <row r="63457" ht="15.75" customHeight="1"/>
    <row r="63458" ht="15.75" customHeight="1"/>
    <row r="63459" ht="15.75" customHeight="1"/>
    <row r="63460" ht="15.75" customHeight="1"/>
    <row r="63461" ht="15.75" customHeight="1"/>
    <row r="63462" ht="15.75" customHeight="1"/>
    <row r="63463" ht="15.75" customHeight="1"/>
    <row r="63464" ht="15.75" customHeight="1"/>
    <row r="63465" ht="15.75" customHeight="1"/>
    <row r="63466" ht="15.75" customHeight="1"/>
    <row r="63467" ht="15.75" customHeight="1"/>
    <row r="63468" ht="15.75" customHeight="1"/>
    <row r="63469" ht="15.75" customHeight="1"/>
    <row r="63470" ht="15.75" customHeight="1"/>
    <row r="63471" ht="15.75" customHeight="1"/>
    <row r="63472" ht="15.75" customHeight="1"/>
    <row r="63473" ht="15.75" customHeight="1"/>
    <row r="63474" ht="15.75" customHeight="1"/>
    <row r="63475" ht="15.75" customHeight="1"/>
    <row r="63476" ht="15.75" customHeight="1"/>
    <row r="63477" ht="15.75" customHeight="1"/>
    <row r="63478" ht="15.75" customHeight="1"/>
    <row r="63479" ht="15.75" customHeight="1"/>
    <row r="63480" ht="15.75" customHeight="1"/>
    <row r="63481" ht="15.75" customHeight="1"/>
    <row r="63482" ht="15.75" customHeight="1"/>
    <row r="63483" ht="15.75" customHeight="1"/>
    <row r="63484" ht="15.75" customHeight="1"/>
    <row r="63485" ht="15.75" customHeight="1"/>
    <row r="63486" ht="15.75" customHeight="1"/>
    <row r="63487" ht="15.75" customHeight="1"/>
    <row r="63488" ht="15.75" customHeight="1"/>
    <row r="63489" ht="15.75" customHeight="1"/>
    <row r="63490" ht="15.75" customHeight="1"/>
    <row r="63491" ht="15.75" customHeight="1"/>
    <row r="63492" ht="15.75" customHeight="1"/>
    <row r="63493" ht="15.75" customHeight="1"/>
    <row r="63494" ht="15.75" customHeight="1"/>
    <row r="63495" ht="15.75" customHeight="1"/>
    <row r="63496" ht="15.75" customHeight="1"/>
    <row r="63497" ht="15.75" customHeight="1"/>
    <row r="63498" ht="15.75" customHeight="1"/>
    <row r="63499" ht="15.75" customHeight="1"/>
    <row r="63500" ht="15.75" customHeight="1"/>
    <row r="63501" ht="15.75" customHeight="1"/>
    <row r="63502" ht="15.75" customHeight="1"/>
    <row r="63503" ht="15.75" customHeight="1"/>
    <row r="63504" ht="15.75" customHeight="1"/>
    <row r="63505" ht="15.75" customHeight="1"/>
    <row r="63506" ht="15.75" customHeight="1"/>
    <row r="63507" ht="15.75" customHeight="1"/>
    <row r="63508" ht="15.75" customHeight="1"/>
    <row r="63509" ht="15.75" customHeight="1"/>
    <row r="63510" ht="15.75" customHeight="1"/>
    <row r="63511" ht="15.75" customHeight="1"/>
    <row r="63512" ht="15.75" customHeight="1"/>
    <row r="63513" ht="15.75" customHeight="1"/>
    <row r="63514" ht="15.75" customHeight="1"/>
    <row r="63515" ht="15.75" customHeight="1"/>
    <row r="63516" ht="15.75" customHeight="1"/>
    <row r="63517" ht="15.75" customHeight="1"/>
    <row r="63518" ht="15.75" customHeight="1"/>
    <row r="63519" ht="15.75" customHeight="1"/>
    <row r="63520" ht="15.75" customHeight="1"/>
    <row r="63521" ht="15.75" customHeight="1"/>
    <row r="63522" ht="15.75" customHeight="1"/>
    <row r="63523" ht="15.75" customHeight="1"/>
    <row r="63524" ht="15.75" customHeight="1"/>
    <row r="63525" ht="15.75" customHeight="1"/>
    <row r="63526" ht="15.75" customHeight="1"/>
    <row r="63527" ht="15.75" customHeight="1"/>
    <row r="63528" ht="15.75" customHeight="1"/>
    <row r="63529" ht="15.75" customHeight="1"/>
    <row r="63530" ht="15.75" customHeight="1"/>
    <row r="63531" ht="15.75" customHeight="1"/>
    <row r="63532" ht="15.75" customHeight="1"/>
    <row r="63533" ht="15.75" customHeight="1"/>
    <row r="63534" ht="15.75" customHeight="1"/>
    <row r="63535" ht="15.75" customHeight="1"/>
    <row r="63536" ht="15.75" customHeight="1"/>
    <row r="63537" ht="15.75" customHeight="1"/>
    <row r="63538" ht="15.75" customHeight="1"/>
    <row r="63539" ht="15.75" customHeight="1"/>
    <row r="63540" ht="15.75" customHeight="1"/>
    <row r="63541" ht="15.75" customHeight="1"/>
    <row r="63542" ht="15.75" customHeight="1"/>
    <row r="63543" ht="15.75" customHeight="1"/>
    <row r="63544" ht="15.75" customHeight="1"/>
    <row r="63545" ht="15.75" customHeight="1"/>
    <row r="63546" ht="15.75" customHeight="1"/>
    <row r="63547" ht="15.75" customHeight="1"/>
    <row r="63548" ht="15.75" customHeight="1"/>
    <row r="63549" ht="15.75" customHeight="1"/>
    <row r="63550" ht="15.75" customHeight="1"/>
    <row r="63551" ht="15.75" customHeight="1"/>
    <row r="63552" ht="15.75" customHeight="1"/>
    <row r="63553" ht="15.75" customHeight="1"/>
    <row r="63554" ht="15.75" customHeight="1"/>
    <row r="63555" ht="15.75" customHeight="1"/>
    <row r="63556" ht="15.75" customHeight="1"/>
    <row r="63557" ht="15.75" customHeight="1"/>
    <row r="63558" ht="15.75" customHeight="1"/>
    <row r="63559" ht="15.75" customHeight="1"/>
    <row r="63560" ht="15.75" customHeight="1"/>
    <row r="63561" ht="15.75" customHeight="1"/>
    <row r="63562" ht="15.75" customHeight="1"/>
    <row r="63563" ht="15.75" customHeight="1"/>
    <row r="63564" ht="15.75" customHeight="1"/>
    <row r="63565" ht="15.75" customHeight="1"/>
    <row r="63566" ht="15.75" customHeight="1"/>
    <row r="63567" ht="15.75" customHeight="1"/>
    <row r="63568" ht="15.75" customHeight="1"/>
    <row r="63569" ht="15.75" customHeight="1"/>
    <row r="63570" ht="15.75" customHeight="1"/>
    <row r="63571" ht="15.75" customHeight="1"/>
    <row r="63572" ht="15.75" customHeight="1"/>
    <row r="63573" ht="15.75" customHeight="1"/>
    <row r="63574" ht="15.75" customHeight="1"/>
    <row r="63575" ht="15.75" customHeight="1"/>
    <row r="63576" ht="15.75" customHeight="1"/>
    <row r="63577" ht="15.75" customHeight="1"/>
    <row r="63578" ht="15.75" customHeight="1"/>
    <row r="63579" ht="15.75" customHeight="1"/>
    <row r="63580" ht="15.75" customHeight="1"/>
    <row r="63581" ht="15.75" customHeight="1"/>
    <row r="63582" ht="15.75" customHeight="1"/>
    <row r="63583" ht="15.75" customHeight="1"/>
    <row r="63584" ht="15.75" customHeight="1"/>
    <row r="63585" ht="15.75" customHeight="1"/>
    <row r="63586" ht="15.75" customHeight="1"/>
    <row r="63587" ht="15.75" customHeight="1"/>
    <row r="63588" ht="15.75" customHeight="1"/>
    <row r="63589" ht="15.75" customHeight="1"/>
    <row r="63590" ht="15.75" customHeight="1"/>
    <row r="63591" ht="15.75" customHeight="1"/>
    <row r="63592" ht="15.75" customHeight="1"/>
    <row r="63593" ht="15.75" customHeight="1"/>
    <row r="63594" ht="15.75" customHeight="1"/>
    <row r="63595" ht="15.75" customHeight="1"/>
    <row r="63596" ht="15.75" customHeight="1"/>
    <row r="63597" ht="15.75" customHeight="1"/>
    <row r="63598" ht="15.75" customHeight="1"/>
    <row r="63599" ht="15.75" customHeight="1"/>
    <row r="63600" ht="15.75" customHeight="1"/>
    <row r="63601" ht="15.75" customHeight="1"/>
    <row r="63602" ht="15.75" customHeight="1"/>
    <row r="63603" ht="15.75" customHeight="1"/>
    <row r="63604" ht="15.75" customHeight="1"/>
    <row r="63605" ht="15.75" customHeight="1"/>
    <row r="63606" ht="15.75" customHeight="1"/>
    <row r="63607" ht="15.75" customHeight="1"/>
    <row r="63608" ht="15.75" customHeight="1"/>
    <row r="63609" ht="15.75" customHeight="1"/>
    <row r="63610" ht="15.75" customHeight="1"/>
    <row r="63611" ht="15.75" customHeight="1"/>
    <row r="63612" ht="15.75" customHeight="1"/>
    <row r="63613" ht="15.75" customHeight="1"/>
    <row r="63614" ht="15.75" customHeight="1"/>
    <row r="63615" ht="15.75" customHeight="1"/>
    <row r="63616" ht="15.75" customHeight="1"/>
    <row r="63617" ht="15.75" customHeight="1"/>
    <row r="63618" ht="15.75" customHeight="1"/>
    <row r="63619" ht="15.75" customHeight="1"/>
    <row r="63620" ht="15.75" customHeight="1"/>
    <row r="63621" ht="15.75" customHeight="1"/>
    <row r="63622" ht="15.75" customHeight="1"/>
    <row r="63623" ht="15.75" customHeight="1"/>
    <row r="63624" ht="15.75" customHeight="1"/>
    <row r="63625" ht="15.75" customHeight="1"/>
    <row r="63626" ht="15.75" customHeight="1"/>
    <row r="63627" ht="15.75" customHeight="1"/>
    <row r="63628" ht="15.75" customHeight="1"/>
    <row r="63629" ht="15.75" customHeight="1"/>
    <row r="63630" ht="15.75" customHeight="1"/>
    <row r="63631" ht="15.75" customHeight="1"/>
    <row r="63632" ht="15.75" customHeight="1"/>
    <row r="63633" ht="15.75" customHeight="1"/>
    <row r="63634" ht="15.75" customHeight="1"/>
    <row r="63635" ht="15.75" customHeight="1"/>
    <row r="63636" ht="15.75" customHeight="1"/>
    <row r="63637" ht="15.75" customHeight="1"/>
    <row r="63638" ht="15.75" customHeight="1"/>
    <row r="63639" ht="15.75" customHeight="1"/>
    <row r="63640" ht="15.75" customHeight="1"/>
    <row r="63641" ht="15.75" customHeight="1"/>
    <row r="63642" ht="15.75" customHeight="1"/>
    <row r="63643" ht="15.75" customHeight="1"/>
    <row r="63644" ht="15.75" customHeight="1"/>
    <row r="63645" ht="15.75" customHeight="1"/>
    <row r="63646" ht="15.75" customHeight="1"/>
    <row r="63647" ht="15.75" customHeight="1"/>
    <row r="63648" ht="15.75" customHeight="1"/>
    <row r="63649" ht="15.75" customHeight="1"/>
    <row r="63650" ht="15.75" customHeight="1"/>
    <row r="63651" ht="15.75" customHeight="1"/>
    <row r="63652" ht="15.75" customHeight="1"/>
    <row r="63653" ht="15.75" customHeight="1"/>
    <row r="63654" ht="15.75" customHeight="1"/>
    <row r="63655" ht="15.75" customHeight="1"/>
    <row r="63656" ht="15.75" customHeight="1"/>
    <row r="63657" ht="15.75" customHeight="1"/>
    <row r="63658" ht="15.75" customHeight="1"/>
    <row r="63659" ht="15.75" customHeight="1"/>
    <row r="63660" ht="15.75" customHeight="1"/>
    <row r="63661" ht="15.75" customHeight="1"/>
    <row r="63662" ht="15.75" customHeight="1"/>
    <row r="63663" ht="15.75" customHeight="1"/>
    <row r="63664" ht="15.75" customHeight="1"/>
    <row r="63665" ht="15.75" customHeight="1"/>
    <row r="63666" ht="15.75" customHeight="1"/>
    <row r="63667" ht="15.75" customHeight="1"/>
    <row r="63668" ht="15.75" customHeight="1"/>
    <row r="63669" ht="15.75" customHeight="1"/>
    <row r="63670" ht="15.75" customHeight="1"/>
    <row r="63671" ht="15.75" customHeight="1"/>
    <row r="63672" ht="15.75" customHeight="1"/>
    <row r="63673" ht="15.75" customHeight="1"/>
    <row r="63674" ht="15.75" customHeight="1"/>
    <row r="63675" ht="15.75" customHeight="1"/>
    <row r="63676" ht="15.75" customHeight="1"/>
    <row r="63677" ht="15.75" customHeight="1"/>
    <row r="63678" ht="15.75" customHeight="1"/>
    <row r="63679" ht="15.75" customHeight="1"/>
    <row r="63680" ht="15.75" customHeight="1"/>
    <row r="63681" ht="15.75" customHeight="1"/>
    <row r="63682" ht="15.75" customHeight="1"/>
    <row r="63683" ht="15.75" customHeight="1"/>
    <row r="63684" ht="15.75" customHeight="1"/>
    <row r="63685" ht="15.75" customHeight="1"/>
    <row r="63686" ht="15.75" customHeight="1"/>
    <row r="63687" ht="15.75" customHeight="1"/>
    <row r="63688" ht="15.75" customHeight="1"/>
    <row r="63689" ht="15.75" customHeight="1"/>
    <row r="63690" ht="15.75" customHeight="1"/>
    <row r="63691" ht="15.75" customHeight="1"/>
    <row r="63692" ht="15.75" customHeight="1"/>
    <row r="63693" ht="15.75" customHeight="1"/>
    <row r="63694" ht="15.75" customHeight="1"/>
    <row r="63695" ht="15.75" customHeight="1"/>
    <row r="63696" ht="15.75" customHeight="1"/>
    <row r="63697" ht="15.75" customHeight="1"/>
    <row r="63698" ht="15.75" customHeight="1"/>
    <row r="63699" ht="15.75" customHeight="1"/>
    <row r="63700" ht="15.75" customHeight="1"/>
    <row r="63701" ht="15.75" customHeight="1"/>
    <row r="63702" ht="15.75" customHeight="1"/>
    <row r="63703" ht="15.75" customHeight="1"/>
    <row r="63704" ht="15.75" customHeight="1"/>
    <row r="63705" ht="15.75" customHeight="1"/>
    <row r="63706" ht="15.75" customHeight="1"/>
    <row r="63707" ht="15.75" customHeight="1"/>
    <row r="63708" ht="15.75" customHeight="1"/>
    <row r="63709" ht="15.75" customHeight="1"/>
    <row r="63710" ht="15.75" customHeight="1"/>
    <row r="63711" ht="15.75" customHeight="1"/>
    <row r="63712" ht="15.75" customHeight="1"/>
    <row r="63713" ht="15.75" customHeight="1"/>
    <row r="63714" ht="15.75" customHeight="1"/>
    <row r="63715" ht="15.75" customHeight="1"/>
    <row r="63716" ht="15.75" customHeight="1"/>
    <row r="63717" ht="15.75" customHeight="1"/>
    <row r="63718" ht="15.75" customHeight="1"/>
    <row r="63719" ht="15.75" customHeight="1"/>
    <row r="63720" ht="15.75" customHeight="1"/>
    <row r="63721" ht="15.75" customHeight="1"/>
    <row r="63722" ht="15.75" customHeight="1"/>
    <row r="63723" ht="15.75" customHeight="1"/>
    <row r="63724" ht="15.75" customHeight="1"/>
    <row r="63725" ht="15.75" customHeight="1"/>
    <row r="63726" ht="15.75" customHeight="1"/>
    <row r="63727" ht="15.75" customHeight="1"/>
    <row r="63728" ht="15.75" customHeight="1"/>
    <row r="63729" ht="15.75" customHeight="1"/>
    <row r="63730" ht="15.75" customHeight="1"/>
    <row r="63731" ht="15.75" customHeight="1"/>
    <row r="63732" ht="15.75" customHeight="1"/>
    <row r="63733" ht="15.75" customHeight="1"/>
    <row r="63734" ht="15.75" customHeight="1"/>
    <row r="63735" ht="15.75" customHeight="1"/>
    <row r="63736" ht="15.75" customHeight="1"/>
    <row r="63737" ht="15.75" customHeight="1"/>
    <row r="63738" ht="15.75" customHeight="1"/>
    <row r="63739" ht="15.75" customHeight="1"/>
    <row r="63740" ht="15.75" customHeight="1"/>
    <row r="63741" ht="15.75" customHeight="1"/>
    <row r="63742" ht="15.75" customHeight="1"/>
    <row r="63743" ht="15.75" customHeight="1"/>
    <row r="63744" ht="15.75" customHeight="1"/>
    <row r="63745" ht="15.75" customHeight="1"/>
    <row r="63746" ht="15.75" customHeight="1"/>
    <row r="63747" ht="15.75" customHeight="1"/>
    <row r="63748" ht="15.75" customHeight="1"/>
    <row r="63749" ht="15.75" customHeight="1"/>
    <row r="63750" ht="15.75" customHeight="1"/>
    <row r="63751" ht="15.75" customHeight="1"/>
    <row r="63752" ht="15.75" customHeight="1"/>
    <row r="63753" ht="15.75" customHeight="1"/>
    <row r="63754" ht="15.75" customHeight="1"/>
    <row r="63755" ht="15.75" customHeight="1"/>
    <row r="63756" ht="15.75" customHeight="1"/>
    <row r="63757" ht="15.75" customHeight="1"/>
    <row r="63758" ht="15.75" customHeight="1"/>
    <row r="63759" ht="15.75" customHeight="1"/>
    <row r="63760" ht="15.75" customHeight="1"/>
    <row r="63761" ht="15.75" customHeight="1"/>
    <row r="63762" ht="15.75" customHeight="1"/>
    <row r="63763" ht="15.75" customHeight="1"/>
    <row r="63764" ht="15.75" customHeight="1"/>
    <row r="63765" ht="15.75" customHeight="1"/>
    <row r="63766" ht="15.75" customHeight="1"/>
    <row r="63767" ht="15.75" customHeight="1"/>
    <row r="63768" ht="15.75" customHeight="1"/>
    <row r="63769" ht="15.75" customHeight="1"/>
    <row r="63770" ht="15.75" customHeight="1"/>
    <row r="63771" ht="15.75" customHeight="1"/>
    <row r="63772" ht="15.75" customHeight="1"/>
    <row r="63773" ht="15.75" customHeight="1"/>
    <row r="63774" ht="15.75" customHeight="1"/>
    <row r="63775" ht="15.75" customHeight="1"/>
    <row r="63776" ht="15.75" customHeight="1"/>
    <row r="63777" ht="15.75" customHeight="1"/>
    <row r="63778" ht="15.75" customHeight="1"/>
    <row r="63779" ht="15.75" customHeight="1"/>
    <row r="63780" ht="15.75" customHeight="1"/>
    <row r="63781" ht="15.75" customHeight="1"/>
    <row r="63782" ht="15.75" customHeight="1"/>
    <row r="63783" ht="15.75" customHeight="1"/>
    <row r="63784" ht="15.75" customHeight="1"/>
    <row r="63785" ht="15.75" customHeight="1"/>
    <row r="63786" ht="15.75" customHeight="1"/>
    <row r="63787" ht="15.75" customHeight="1"/>
    <row r="63788" ht="15.75" customHeight="1"/>
    <row r="63789" ht="15.75" customHeight="1"/>
    <row r="63790" ht="15.75" customHeight="1"/>
    <row r="63791" ht="15.75" customHeight="1"/>
    <row r="63792" ht="15.75" customHeight="1"/>
    <row r="63793" ht="15.75" customHeight="1"/>
    <row r="63794" ht="15.75" customHeight="1"/>
    <row r="63795" ht="15.75" customHeight="1"/>
    <row r="63796" ht="15.75" customHeight="1"/>
    <row r="63797" ht="15.75" customHeight="1"/>
    <row r="63798" ht="15.75" customHeight="1"/>
    <row r="63799" ht="15.75" customHeight="1"/>
    <row r="63800" ht="15.75" customHeight="1"/>
    <row r="63801" ht="15.75" customHeight="1"/>
    <row r="63802" ht="15.75" customHeight="1"/>
    <row r="63803" ht="15.75" customHeight="1"/>
    <row r="63804" ht="15.75" customHeight="1"/>
    <row r="63805" ht="15.75" customHeight="1"/>
    <row r="63806" ht="15.75" customHeight="1"/>
    <row r="63807" ht="15.75" customHeight="1"/>
    <row r="63808" ht="15.75" customHeight="1"/>
    <row r="63809" ht="15.75" customHeight="1"/>
    <row r="63810" ht="15.75" customHeight="1"/>
    <row r="63811" ht="15.75" customHeight="1"/>
    <row r="63812" ht="15.75" customHeight="1"/>
    <row r="63813" ht="15.75" customHeight="1"/>
    <row r="63814" ht="15.75" customHeight="1"/>
    <row r="63815" ht="15.75" customHeight="1"/>
    <row r="63816" ht="15.75" customHeight="1"/>
    <row r="63817" ht="15.75" customHeight="1"/>
    <row r="63818" ht="15.75" customHeight="1"/>
    <row r="63819" ht="15.75" customHeight="1"/>
    <row r="63820" ht="15.75" customHeight="1"/>
    <row r="63821" ht="15.75" customHeight="1"/>
    <row r="63822" ht="15.75" customHeight="1"/>
    <row r="63823" ht="15.75" customHeight="1"/>
    <row r="63824" ht="15.75" customHeight="1"/>
    <row r="63825" ht="15.75" customHeight="1"/>
    <row r="63826" ht="15.75" customHeight="1"/>
    <row r="63827" ht="15.75" customHeight="1"/>
    <row r="63828" ht="15.75" customHeight="1"/>
    <row r="63829" ht="15.75" customHeight="1"/>
    <row r="63830" ht="15.75" customHeight="1"/>
    <row r="63831" ht="15.75" customHeight="1"/>
    <row r="63832" ht="15.75" customHeight="1"/>
    <row r="63833" ht="15.75" customHeight="1"/>
    <row r="63834" ht="15.75" customHeight="1"/>
    <row r="63835" ht="15.75" customHeight="1"/>
    <row r="63836" ht="15.75" customHeight="1"/>
    <row r="63837" ht="15.75" customHeight="1"/>
    <row r="63838" ht="15.75" customHeight="1"/>
    <row r="63839" ht="15.75" customHeight="1"/>
    <row r="63840" ht="15.75" customHeight="1"/>
    <row r="63841" ht="15.75" customHeight="1"/>
    <row r="63842" ht="15.75" customHeight="1"/>
    <row r="63843" ht="15.75" customHeight="1"/>
    <row r="63844" ht="15.75" customHeight="1"/>
    <row r="63845" ht="15.75" customHeight="1"/>
    <row r="63846" ht="15.75" customHeight="1"/>
    <row r="63847" ht="15.75" customHeight="1"/>
    <row r="63848" ht="15.75" customHeight="1"/>
    <row r="63849" ht="15.75" customHeight="1"/>
    <row r="63850" ht="15.75" customHeight="1"/>
    <row r="63851" ht="15.75" customHeight="1"/>
    <row r="63852" ht="15.75" customHeight="1"/>
    <row r="63853" ht="15.75" customHeight="1"/>
    <row r="63854" ht="15.75" customHeight="1"/>
    <row r="63855" ht="15.75" customHeight="1"/>
    <row r="63856" ht="15.75" customHeight="1"/>
    <row r="63857" ht="15.75" customHeight="1"/>
    <row r="63858" ht="15.75" customHeight="1"/>
    <row r="63859" ht="15.75" customHeight="1"/>
    <row r="63860" ht="15.75" customHeight="1"/>
    <row r="63861" ht="15.75" customHeight="1"/>
    <row r="63862" ht="15.75" customHeight="1"/>
    <row r="63863" ht="15.75" customHeight="1"/>
    <row r="63864" ht="15.75" customHeight="1"/>
    <row r="63865" ht="15.75" customHeight="1"/>
    <row r="63866" ht="15.75" customHeight="1"/>
    <row r="63867" ht="15.75" customHeight="1"/>
    <row r="63868" ht="15.75" customHeight="1"/>
    <row r="63869" ht="15.75" customHeight="1"/>
    <row r="63870" ht="15.75" customHeight="1"/>
    <row r="63871" ht="15.75" customHeight="1"/>
    <row r="63872" ht="15.75" customHeight="1"/>
    <row r="63873" ht="15.75" customHeight="1"/>
    <row r="63874" ht="15.75" customHeight="1"/>
    <row r="63875" ht="15.75" customHeight="1"/>
    <row r="63876" ht="15.75" customHeight="1"/>
    <row r="63877" ht="15.75" customHeight="1"/>
    <row r="63878" ht="15.75" customHeight="1"/>
    <row r="63879" ht="15.75" customHeight="1"/>
    <row r="63880" ht="15.75" customHeight="1"/>
    <row r="63881" ht="15.75" customHeight="1"/>
    <row r="63882" ht="15.75" customHeight="1"/>
    <row r="63883" ht="15.75" customHeight="1"/>
    <row r="63884" ht="15.75" customHeight="1"/>
    <row r="63885" ht="15.75" customHeight="1"/>
    <row r="63886" ht="15.75" customHeight="1"/>
    <row r="63887" ht="15.75" customHeight="1"/>
    <row r="63888" ht="15.75" customHeight="1"/>
    <row r="63889" ht="15.75" customHeight="1"/>
    <row r="63890" ht="15.75" customHeight="1"/>
    <row r="63891" ht="15.75" customHeight="1"/>
    <row r="63892" ht="15.75" customHeight="1"/>
    <row r="63893" ht="15.75" customHeight="1"/>
    <row r="63894" ht="15.75" customHeight="1"/>
    <row r="63895" ht="15.75" customHeight="1"/>
    <row r="63896" ht="15.75" customHeight="1"/>
    <row r="63897" ht="15.75" customHeight="1"/>
    <row r="63898" ht="15.75" customHeight="1"/>
    <row r="63899" ht="15.75" customHeight="1"/>
    <row r="63900" ht="15.75" customHeight="1"/>
    <row r="63901" ht="15.75" customHeight="1"/>
    <row r="63902" ht="15.75" customHeight="1"/>
    <row r="63903" ht="15.75" customHeight="1"/>
    <row r="63904" ht="15.75" customHeight="1"/>
    <row r="63905" ht="15.75" customHeight="1"/>
    <row r="63906" ht="15.75" customHeight="1"/>
    <row r="63907" ht="15.75" customHeight="1"/>
    <row r="63908" ht="15.75" customHeight="1"/>
    <row r="63909" ht="15.75" customHeight="1"/>
    <row r="63910" ht="15.75" customHeight="1"/>
    <row r="63911" ht="15.75" customHeight="1"/>
    <row r="63912" ht="15.75" customHeight="1"/>
    <row r="63913" ht="15.75" customHeight="1"/>
    <row r="63914" ht="15.75" customHeight="1"/>
    <row r="63915" ht="15.75" customHeight="1"/>
    <row r="63916" ht="15.75" customHeight="1"/>
    <row r="63917" ht="15.75" customHeight="1"/>
    <row r="63918" ht="15.75" customHeight="1"/>
    <row r="63919" ht="15.75" customHeight="1"/>
    <row r="63920" ht="15.75" customHeight="1"/>
    <row r="63921" ht="15.75" customHeight="1"/>
    <row r="63922" ht="15.75" customHeight="1"/>
    <row r="63923" ht="15.75" customHeight="1"/>
    <row r="63924" ht="15.75" customHeight="1"/>
    <row r="63925" ht="15.75" customHeight="1"/>
    <row r="63926" ht="15.75" customHeight="1"/>
    <row r="63927" ht="15.75" customHeight="1"/>
    <row r="63928" ht="15.75" customHeight="1"/>
    <row r="63929" ht="15.75" customHeight="1"/>
    <row r="63930" ht="15.75" customHeight="1"/>
    <row r="63931" ht="15.75" customHeight="1"/>
    <row r="63932" ht="15.75" customHeight="1"/>
    <row r="63933" ht="15.75" customHeight="1"/>
    <row r="63934" ht="15.75" customHeight="1"/>
    <row r="63935" ht="15.75" customHeight="1"/>
    <row r="63936" ht="15.75" customHeight="1"/>
    <row r="63937" ht="15.75" customHeight="1"/>
    <row r="63938" ht="15.75" customHeight="1"/>
    <row r="63939" ht="15.75" customHeight="1"/>
    <row r="63940" ht="15.75" customHeight="1"/>
    <row r="63941" ht="15.75" customHeight="1"/>
    <row r="63942" ht="15.75" customHeight="1"/>
    <row r="63943" ht="15.75" customHeight="1"/>
    <row r="63944" ht="15.75" customHeight="1"/>
    <row r="63945" ht="15.75" customHeight="1"/>
    <row r="63946" ht="15.75" customHeight="1"/>
    <row r="63947" ht="15.75" customHeight="1"/>
    <row r="63948" ht="15.75" customHeight="1"/>
    <row r="63949" ht="15.75" customHeight="1"/>
    <row r="63950" ht="15.75" customHeight="1"/>
    <row r="63951" ht="15.75" customHeight="1"/>
    <row r="63952" ht="15.75" customHeight="1"/>
    <row r="63953" ht="15.75" customHeight="1"/>
    <row r="63954" ht="15.75" customHeight="1"/>
    <row r="63955" ht="15.75" customHeight="1"/>
    <row r="63956" ht="15.75" customHeight="1"/>
    <row r="63957" ht="15.75" customHeight="1"/>
    <row r="63958" ht="15.75" customHeight="1"/>
    <row r="63959" ht="15.75" customHeight="1"/>
    <row r="63960" ht="15.75" customHeight="1"/>
    <row r="63961" ht="15.75" customHeight="1"/>
    <row r="63962" ht="15.75" customHeight="1"/>
    <row r="63963" ht="15.75" customHeight="1"/>
    <row r="63964" ht="15.75" customHeight="1"/>
    <row r="63965" ht="15.75" customHeight="1"/>
    <row r="63966" ht="15.75" customHeight="1"/>
    <row r="63967" ht="15.75" customHeight="1"/>
    <row r="63968" ht="15.75" customHeight="1"/>
    <row r="63969" ht="15.75" customHeight="1"/>
    <row r="63970" ht="15.75" customHeight="1"/>
    <row r="63971" ht="15.75" customHeight="1"/>
    <row r="63972" ht="15.75" customHeight="1"/>
    <row r="63973" ht="15.75" customHeight="1"/>
    <row r="63974" ht="15.75" customHeight="1"/>
    <row r="63975" ht="15.75" customHeight="1"/>
    <row r="63976" ht="15.75" customHeight="1"/>
    <row r="63977" ht="15.75" customHeight="1"/>
    <row r="63978" ht="15.75" customHeight="1"/>
    <row r="63979" ht="15.75" customHeight="1"/>
    <row r="63980" ht="15.75" customHeight="1"/>
    <row r="63981" ht="15.75" customHeight="1"/>
    <row r="63982" ht="15.75" customHeight="1"/>
    <row r="63983" ht="15.75" customHeight="1"/>
    <row r="63984" ht="15.75" customHeight="1"/>
    <row r="63985" ht="15.75" customHeight="1"/>
    <row r="63986" ht="15.75" customHeight="1"/>
    <row r="63987" ht="15.75" customHeight="1"/>
    <row r="63988" ht="15.75" customHeight="1"/>
    <row r="63989" ht="15.75" customHeight="1"/>
    <row r="63990" ht="15.75" customHeight="1"/>
    <row r="63991" ht="15.75" customHeight="1"/>
    <row r="63992" ht="15.75" customHeight="1"/>
    <row r="63993" ht="15.75" customHeight="1"/>
    <row r="63994" ht="15.75" customHeight="1"/>
    <row r="63995" ht="15.75" customHeight="1"/>
    <row r="63996" ht="15.75" customHeight="1"/>
    <row r="63997" ht="15.75" customHeight="1"/>
    <row r="63998" ht="15.75" customHeight="1"/>
    <row r="63999" ht="15.75" customHeight="1"/>
    <row r="64000" ht="15.75" customHeight="1"/>
    <row r="64001" ht="15.75" customHeight="1"/>
    <row r="64002" ht="15.75" customHeight="1"/>
    <row r="64003" ht="15.75" customHeight="1"/>
    <row r="64004" ht="15.75" customHeight="1"/>
    <row r="64005" ht="15.75" customHeight="1"/>
    <row r="64006" ht="15.75" customHeight="1"/>
    <row r="64007" ht="15.75" customHeight="1"/>
    <row r="64008" ht="15.75" customHeight="1"/>
    <row r="64009" ht="15.75" customHeight="1"/>
    <row r="64010" ht="15.75" customHeight="1"/>
    <row r="64011" ht="15.75" customHeight="1"/>
    <row r="64012" ht="15.75" customHeight="1"/>
    <row r="64013" ht="15.75" customHeight="1"/>
    <row r="64014" ht="15.75" customHeight="1"/>
    <row r="64015" ht="15.75" customHeight="1"/>
    <row r="64016" ht="15.75" customHeight="1"/>
    <row r="64017" ht="15.75" customHeight="1"/>
    <row r="64018" ht="15.75" customHeight="1"/>
    <row r="64019" ht="15.75" customHeight="1"/>
    <row r="64020" ht="15.75" customHeight="1"/>
    <row r="64021" ht="15.75" customHeight="1"/>
    <row r="64022" ht="15.75" customHeight="1"/>
    <row r="64023" ht="15.75" customHeight="1"/>
    <row r="64024" ht="15.75" customHeight="1"/>
    <row r="64025" ht="15.75" customHeight="1"/>
    <row r="64026" ht="15.75" customHeight="1"/>
    <row r="64027" ht="15.75" customHeight="1"/>
    <row r="64028" ht="15.75" customHeight="1"/>
    <row r="64029" ht="15.75" customHeight="1"/>
    <row r="64030" ht="15.75" customHeight="1"/>
    <row r="64031" ht="15.75" customHeight="1"/>
    <row r="64032" ht="15.75" customHeight="1"/>
    <row r="64033" ht="15.75" customHeight="1"/>
    <row r="64034" ht="15.75" customHeight="1"/>
    <row r="64035" ht="15.75" customHeight="1"/>
    <row r="64036" ht="15.75" customHeight="1"/>
    <row r="64037" ht="15.75" customHeight="1"/>
    <row r="64038" ht="15.75" customHeight="1"/>
    <row r="64039" ht="15.75" customHeight="1"/>
    <row r="64040" ht="15.75" customHeight="1"/>
    <row r="64041" ht="15.75" customHeight="1"/>
    <row r="64042" ht="15.75" customHeight="1"/>
    <row r="64043" ht="15.75" customHeight="1"/>
    <row r="64044" ht="15.75" customHeight="1"/>
    <row r="64045" ht="15.75" customHeight="1"/>
    <row r="64046" ht="15.75" customHeight="1"/>
    <row r="64047" ht="15.75" customHeight="1"/>
    <row r="64048" ht="15.75" customHeight="1"/>
    <row r="64049" ht="15.75" customHeight="1"/>
    <row r="64050" ht="15.75" customHeight="1"/>
    <row r="64051" ht="15.75" customHeight="1"/>
    <row r="64052" ht="15.75" customHeight="1"/>
    <row r="64053" ht="15.75" customHeight="1"/>
    <row r="64054" ht="15.75" customHeight="1"/>
    <row r="64055" ht="15.75" customHeight="1"/>
    <row r="64056" ht="15.75" customHeight="1"/>
    <row r="64057" ht="15.75" customHeight="1"/>
    <row r="64058" ht="15.75" customHeight="1"/>
    <row r="64059" ht="15.75" customHeight="1"/>
    <row r="64060" ht="15.75" customHeight="1"/>
    <row r="64061" ht="15.75" customHeight="1"/>
    <row r="64062" ht="15.75" customHeight="1"/>
    <row r="64063" ht="15.75" customHeight="1"/>
    <row r="64064" ht="15.75" customHeight="1"/>
    <row r="64065" ht="15.75" customHeight="1"/>
    <row r="64066" ht="15.75" customHeight="1"/>
    <row r="64067" ht="15.75" customHeight="1"/>
    <row r="64068" ht="15.75" customHeight="1"/>
    <row r="64069" ht="15.75" customHeight="1"/>
    <row r="64070" ht="15.75" customHeight="1"/>
    <row r="64071" ht="15.75" customHeight="1"/>
    <row r="64072" ht="15.75" customHeight="1"/>
    <row r="64073" ht="15.75" customHeight="1"/>
    <row r="64074" ht="15.75" customHeight="1"/>
    <row r="64075" ht="15.75" customHeight="1"/>
    <row r="64076" ht="15.75" customHeight="1"/>
    <row r="64077" ht="15.75" customHeight="1"/>
    <row r="64078" ht="15.75" customHeight="1"/>
    <row r="64079" ht="15.75" customHeight="1"/>
    <row r="64080" ht="15.75" customHeight="1"/>
    <row r="64081" ht="15.75" customHeight="1"/>
    <row r="64082" ht="15.75" customHeight="1"/>
    <row r="64083" ht="15.75" customHeight="1"/>
    <row r="64084" ht="15.75" customHeight="1"/>
    <row r="64085" ht="15.75" customHeight="1"/>
    <row r="64086" ht="15.75" customHeight="1"/>
    <row r="64087" ht="15.75" customHeight="1"/>
    <row r="64088" ht="15.75" customHeight="1"/>
    <row r="64089" ht="15.75" customHeight="1"/>
    <row r="64090" ht="15.75" customHeight="1"/>
    <row r="64091" ht="15.75" customHeight="1"/>
    <row r="64092" ht="15.75" customHeight="1"/>
    <row r="64093" ht="15.75" customHeight="1"/>
    <row r="64094" ht="15.75" customHeight="1"/>
    <row r="64095" ht="15.75" customHeight="1"/>
    <row r="64096" ht="15.75" customHeight="1"/>
    <row r="64097" ht="15.75" customHeight="1"/>
    <row r="64098" ht="15.75" customHeight="1"/>
    <row r="64099" ht="15.75" customHeight="1"/>
    <row r="64100" ht="15.75" customHeight="1"/>
    <row r="64101" ht="15.75" customHeight="1"/>
    <row r="64102" ht="15.75" customHeight="1"/>
    <row r="64103" ht="15.75" customHeight="1"/>
    <row r="64104" ht="15.75" customHeight="1"/>
    <row r="64105" ht="15.75" customHeight="1"/>
    <row r="64106" ht="15.75" customHeight="1"/>
    <row r="64107" ht="15.75" customHeight="1"/>
    <row r="64108" ht="15.75" customHeight="1"/>
    <row r="64109" ht="15.75" customHeight="1"/>
    <row r="64110" ht="15.75" customHeight="1"/>
    <row r="64111" ht="15.75" customHeight="1"/>
    <row r="64112" ht="15.75" customHeight="1"/>
    <row r="64113" ht="15.75" customHeight="1"/>
    <row r="64114" ht="15.75" customHeight="1"/>
    <row r="64115" ht="15.75" customHeight="1"/>
    <row r="64116" ht="15.75" customHeight="1"/>
    <row r="64117" ht="15.75" customHeight="1"/>
    <row r="64118" ht="15.75" customHeight="1"/>
    <row r="64119" ht="15.75" customHeight="1"/>
    <row r="64120" ht="15.75" customHeight="1"/>
    <row r="64121" ht="15.75" customHeight="1"/>
    <row r="64122" ht="15.75" customHeight="1"/>
    <row r="64123" ht="15.75" customHeight="1"/>
    <row r="64124" ht="15.75" customHeight="1"/>
    <row r="64125" ht="15.75" customHeight="1"/>
    <row r="64126" ht="15.75" customHeight="1"/>
    <row r="64127" ht="15.75" customHeight="1"/>
    <row r="64128" ht="15.75" customHeight="1"/>
    <row r="64129" ht="15.75" customHeight="1"/>
    <row r="64130" ht="15.75" customHeight="1"/>
    <row r="64131" ht="15.75" customHeight="1"/>
    <row r="64132" ht="15.75" customHeight="1"/>
    <row r="64133" ht="15.75" customHeight="1"/>
    <row r="64134" ht="15.75" customHeight="1"/>
    <row r="64135" ht="15.75" customHeight="1"/>
    <row r="64136" ht="15.75" customHeight="1"/>
    <row r="64137" ht="15.75" customHeight="1"/>
    <row r="64138" ht="15.75" customHeight="1"/>
    <row r="64139" ht="15.75" customHeight="1"/>
    <row r="64140" ht="15.75" customHeight="1"/>
    <row r="64141" ht="15.75" customHeight="1"/>
    <row r="64142" ht="15.75" customHeight="1"/>
    <row r="64143" ht="15.75" customHeight="1"/>
    <row r="64144" ht="15.75" customHeight="1"/>
    <row r="64145" ht="15.75" customHeight="1"/>
    <row r="64146" ht="15.75" customHeight="1"/>
    <row r="64147" ht="15.75" customHeight="1"/>
    <row r="64148" ht="15.75" customHeight="1"/>
    <row r="64149" ht="15.75" customHeight="1"/>
    <row r="64150" ht="15.75" customHeight="1"/>
    <row r="64151" ht="15.75" customHeight="1"/>
    <row r="64152" ht="15.75" customHeight="1"/>
    <row r="64153" ht="15.75" customHeight="1"/>
    <row r="64154" ht="15.75" customHeight="1"/>
    <row r="64155" ht="15.75" customHeight="1"/>
    <row r="64156" ht="15.75" customHeight="1"/>
    <row r="64157" ht="15.75" customHeight="1"/>
    <row r="64158" ht="15.75" customHeight="1"/>
    <row r="64159" ht="15.75" customHeight="1"/>
    <row r="64160" ht="15.75" customHeight="1"/>
    <row r="64161" ht="15.75" customHeight="1"/>
    <row r="64162" ht="15.75" customHeight="1"/>
    <row r="64163" ht="15.75" customHeight="1"/>
    <row r="64164" ht="15.75" customHeight="1"/>
    <row r="64165" ht="15.75" customHeight="1"/>
    <row r="64166" ht="15.75" customHeight="1"/>
    <row r="64167" ht="15.75" customHeight="1"/>
    <row r="64168" ht="15.75" customHeight="1"/>
    <row r="64169" ht="15.75" customHeight="1"/>
    <row r="64170" ht="15.75" customHeight="1"/>
    <row r="64171" ht="15.75" customHeight="1"/>
    <row r="64172" ht="15.75" customHeight="1"/>
    <row r="64173" ht="15.75" customHeight="1"/>
    <row r="64174" ht="15.75" customHeight="1"/>
    <row r="64175" ht="15.75" customHeight="1"/>
    <row r="64176" ht="15.75" customHeight="1"/>
    <row r="64177" ht="15.75" customHeight="1"/>
    <row r="64178" ht="15.75" customHeight="1"/>
    <row r="64179" ht="15.75" customHeight="1"/>
    <row r="64180" ht="15.75" customHeight="1"/>
    <row r="64181" ht="15.75" customHeight="1"/>
    <row r="64182" ht="15.75" customHeight="1"/>
    <row r="64183" ht="15.75" customHeight="1"/>
    <row r="64184" ht="15.75" customHeight="1"/>
    <row r="64185" ht="15.75" customHeight="1"/>
    <row r="64186" ht="15.75" customHeight="1"/>
    <row r="64187" ht="15.75" customHeight="1"/>
    <row r="64188" ht="15.75" customHeight="1"/>
    <row r="64189" ht="15.75" customHeight="1"/>
    <row r="64190" ht="15.75" customHeight="1"/>
    <row r="64191" ht="15.75" customHeight="1"/>
    <row r="64192" ht="15.75" customHeight="1"/>
    <row r="64193" ht="15.75" customHeight="1"/>
    <row r="64194" ht="15.75" customHeight="1"/>
    <row r="64195" ht="15.75" customHeight="1"/>
    <row r="64196" ht="15.75" customHeight="1"/>
    <row r="64197" ht="15.75" customHeight="1"/>
    <row r="64198" ht="15.75" customHeight="1"/>
    <row r="64199" ht="15.75" customHeight="1"/>
    <row r="64200" ht="15.75" customHeight="1"/>
    <row r="64201" ht="15.75" customHeight="1"/>
    <row r="64202" ht="15.75" customHeight="1"/>
    <row r="64203" ht="15.75" customHeight="1"/>
    <row r="64204" ht="15.75" customHeight="1"/>
    <row r="64205" ht="15.75" customHeight="1"/>
    <row r="64206" ht="15.75" customHeight="1"/>
    <row r="64207" ht="15.75" customHeight="1"/>
    <row r="64208" ht="15.75" customHeight="1"/>
    <row r="64209" ht="15.75" customHeight="1"/>
    <row r="64210" ht="15.75" customHeight="1"/>
    <row r="64211" ht="15.75" customHeight="1"/>
    <row r="64212" ht="15.75" customHeight="1"/>
    <row r="64213" ht="15.75" customHeight="1"/>
    <row r="64214" ht="15.75" customHeight="1"/>
    <row r="64215" ht="15.75" customHeight="1"/>
    <row r="64216" ht="15.75" customHeight="1"/>
    <row r="64217" ht="15.75" customHeight="1"/>
    <row r="64218" ht="15.75" customHeight="1"/>
    <row r="64219" ht="15.75" customHeight="1"/>
    <row r="64220" ht="15.75" customHeight="1"/>
    <row r="64221" ht="15.75" customHeight="1"/>
    <row r="64222" ht="15.75" customHeight="1"/>
    <row r="64223" ht="15.75" customHeight="1"/>
    <row r="64224" ht="15.75" customHeight="1"/>
    <row r="64225" ht="15.75" customHeight="1"/>
    <row r="64226" ht="15.75" customHeight="1"/>
    <row r="64227" ht="15.75" customHeight="1"/>
    <row r="64228" ht="15.75" customHeight="1"/>
    <row r="64229" ht="15.75" customHeight="1"/>
    <row r="64230" ht="15.75" customHeight="1"/>
    <row r="64231" ht="15.75" customHeight="1"/>
    <row r="64232" ht="15.75" customHeight="1"/>
    <row r="64233" ht="15.75" customHeight="1"/>
    <row r="64234" ht="15.75" customHeight="1"/>
    <row r="64235" ht="15.75" customHeight="1"/>
    <row r="64236" ht="15.75" customHeight="1"/>
    <row r="64237" ht="15.75" customHeight="1"/>
    <row r="64238" ht="15.75" customHeight="1"/>
    <row r="64239" ht="15.75" customHeight="1"/>
    <row r="64240" ht="15.75" customHeight="1"/>
    <row r="64241" ht="15.75" customHeight="1"/>
    <row r="64242" ht="15.75" customHeight="1"/>
    <row r="64243" ht="15.75" customHeight="1"/>
    <row r="64244" ht="15.75" customHeight="1"/>
    <row r="64245" ht="15.75" customHeight="1"/>
    <row r="64246" ht="15.75" customHeight="1"/>
    <row r="64247" ht="15.75" customHeight="1"/>
    <row r="64248" ht="15.75" customHeight="1"/>
    <row r="64249" ht="15.75" customHeight="1"/>
    <row r="64250" ht="15.75" customHeight="1"/>
    <row r="64251" ht="15.75" customHeight="1"/>
    <row r="64252" ht="15.75" customHeight="1"/>
    <row r="64253" ht="15.75" customHeight="1"/>
    <row r="64254" ht="15.75" customHeight="1"/>
    <row r="64255" ht="15.75" customHeight="1"/>
    <row r="64256" ht="15.75" customHeight="1"/>
    <row r="64257" ht="15.75" customHeight="1"/>
    <row r="64258" ht="15.75" customHeight="1"/>
    <row r="64259" ht="15.75" customHeight="1"/>
    <row r="64260" ht="15.75" customHeight="1"/>
    <row r="64261" ht="15.75" customHeight="1"/>
    <row r="64262" ht="15.75" customHeight="1"/>
    <row r="64263" ht="15.75" customHeight="1"/>
    <row r="64264" ht="15.75" customHeight="1"/>
    <row r="64265" ht="15.75" customHeight="1"/>
    <row r="64266" ht="15.75" customHeight="1"/>
    <row r="64267" ht="15.75" customHeight="1"/>
    <row r="64268" ht="15.75" customHeight="1"/>
    <row r="64269" ht="15.75" customHeight="1"/>
    <row r="64270" ht="15.75" customHeight="1"/>
    <row r="64271" ht="15.75" customHeight="1"/>
    <row r="64272" ht="15.75" customHeight="1"/>
    <row r="64273" ht="15.75" customHeight="1"/>
    <row r="64274" ht="15.75" customHeight="1"/>
    <row r="64275" ht="15.75" customHeight="1"/>
    <row r="64276" ht="15.75" customHeight="1"/>
    <row r="64277" ht="15.75" customHeight="1"/>
    <row r="64278" ht="15.75" customHeight="1"/>
    <row r="64279" ht="15.75" customHeight="1"/>
    <row r="64280" ht="15.75" customHeight="1"/>
    <row r="64281" ht="15.75" customHeight="1"/>
    <row r="64282" ht="15.75" customHeight="1"/>
    <row r="64283" ht="15.75" customHeight="1"/>
    <row r="64284" ht="15.75" customHeight="1"/>
    <row r="64285" ht="15.75" customHeight="1"/>
    <row r="64286" ht="15.75" customHeight="1"/>
    <row r="64287" ht="15.75" customHeight="1"/>
    <row r="64288" ht="15.75" customHeight="1"/>
    <row r="64289" ht="15.75" customHeight="1"/>
    <row r="64290" ht="15.75" customHeight="1"/>
    <row r="64291" ht="15.75" customHeight="1"/>
    <row r="64292" ht="15.75" customHeight="1"/>
    <row r="64293" ht="15.75" customHeight="1"/>
    <row r="64294" ht="15.75" customHeight="1"/>
    <row r="64295" ht="15.75" customHeight="1"/>
    <row r="64296" ht="15.75" customHeight="1"/>
    <row r="64297" ht="15.75" customHeight="1"/>
    <row r="64298" ht="15.75" customHeight="1"/>
    <row r="64299" ht="15.75" customHeight="1"/>
    <row r="64300" ht="15.75" customHeight="1"/>
    <row r="64301" ht="15.75" customHeight="1"/>
    <row r="64302" ht="15.75" customHeight="1"/>
    <row r="64303" ht="15.75" customHeight="1"/>
    <row r="64304" ht="15.75" customHeight="1"/>
    <row r="64305" ht="15.75" customHeight="1"/>
    <row r="64306" ht="15.75" customHeight="1"/>
    <row r="64307" ht="15.75" customHeight="1"/>
    <row r="64308" ht="15.75" customHeight="1"/>
    <row r="64309" ht="15.75" customHeight="1"/>
    <row r="64310" ht="15.75" customHeight="1"/>
    <row r="64311" ht="15.75" customHeight="1"/>
    <row r="64312" ht="15.75" customHeight="1"/>
    <row r="64313" ht="15.75" customHeight="1"/>
    <row r="64314" ht="15.75" customHeight="1"/>
    <row r="64315" ht="15.75" customHeight="1"/>
    <row r="64316" ht="15.75" customHeight="1"/>
    <row r="64317" ht="15.75" customHeight="1"/>
    <row r="64318" ht="15.75" customHeight="1"/>
    <row r="64319" ht="15.75" customHeight="1"/>
    <row r="64320" ht="15.75" customHeight="1"/>
    <row r="64321" ht="15.75" customHeight="1"/>
    <row r="64322" ht="15.75" customHeight="1"/>
    <row r="64323" ht="15.75" customHeight="1"/>
    <row r="64324" ht="15.75" customHeight="1"/>
    <row r="64325" ht="15.75" customHeight="1"/>
    <row r="64326" ht="15.75" customHeight="1"/>
    <row r="64327" ht="15.75" customHeight="1"/>
    <row r="64328" ht="15.75" customHeight="1"/>
    <row r="64329" ht="15.75" customHeight="1"/>
    <row r="64330" ht="15.75" customHeight="1"/>
    <row r="64331" ht="15.75" customHeight="1"/>
    <row r="64332" ht="15.75" customHeight="1"/>
    <row r="64333" ht="15.75" customHeight="1"/>
    <row r="64334" ht="15.75" customHeight="1"/>
    <row r="64335" ht="15.75" customHeight="1"/>
    <row r="64336" ht="15.75" customHeight="1"/>
    <row r="64337" ht="15.75" customHeight="1"/>
    <row r="64338" ht="15.75" customHeight="1"/>
    <row r="64339" ht="15.75" customHeight="1"/>
    <row r="64340" ht="15.75" customHeight="1"/>
    <row r="64341" ht="15.75" customHeight="1"/>
    <row r="64342" ht="15.75" customHeight="1"/>
    <row r="64343" ht="15.75" customHeight="1"/>
    <row r="64344" ht="15.75" customHeight="1"/>
    <row r="64345" ht="15.75" customHeight="1"/>
    <row r="64346" ht="15.75" customHeight="1"/>
    <row r="64347" ht="15.75" customHeight="1"/>
    <row r="64348" ht="15.75" customHeight="1"/>
    <row r="64349" ht="15.75" customHeight="1"/>
    <row r="64350" ht="15.75" customHeight="1"/>
    <row r="64351" ht="15.75" customHeight="1"/>
    <row r="64352" ht="15.75" customHeight="1"/>
    <row r="64353" ht="15.75" customHeight="1"/>
    <row r="64354" ht="15.75" customHeight="1"/>
    <row r="64355" ht="15.75" customHeight="1"/>
    <row r="64356" ht="15.75" customHeight="1"/>
    <row r="64357" ht="15.75" customHeight="1"/>
    <row r="64358" ht="15.75" customHeight="1"/>
    <row r="64359" ht="15.75" customHeight="1"/>
    <row r="64360" ht="15.75" customHeight="1"/>
    <row r="64361" ht="15.75" customHeight="1"/>
    <row r="64362" ht="15.75" customHeight="1"/>
    <row r="64363" ht="15.75" customHeight="1"/>
    <row r="64364" ht="15.75" customHeight="1"/>
    <row r="64365" ht="15.75" customHeight="1"/>
    <row r="64366" ht="15.75" customHeight="1"/>
    <row r="64367" ht="15.75" customHeight="1"/>
    <row r="64368" ht="15.75" customHeight="1"/>
    <row r="64369" ht="15.75" customHeight="1"/>
    <row r="64370" ht="15.75" customHeight="1"/>
    <row r="64371" ht="15.75" customHeight="1"/>
    <row r="64372" ht="15.75" customHeight="1"/>
    <row r="64373" ht="15.75" customHeight="1"/>
    <row r="64374" ht="15.75" customHeight="1"/>
    <row r="64375" ht="15.75" customHeight="1"/>
    <row r="64376" ht="15.75" customHeight="1"/>
    <row r="64377" ht="15.75" customHeight="1"/>
    <row r="64378" ht="15.75" customHeight="1"/>
    <row r="64379" ht="15.75" customHeight="1"/>
    <row r="64380" ht="15.75" customHeight="1"/>
    <row r="64381" ht="15.75" customHeight="1"/>
    <row r="64382" ht="15.75" customHeight="1"/>
    <row r="64383" ht="15.75" customHeight="1"/>
    <row r="64384" ht="15.75" customHeight="1"/>
    <row r="64385" ht="15.75" customHeight="1"/>
    <row r="64386" ht="15.75" customHeight="1"/>
    <row r="64387" ht="15.75" customHeight="1"/>
    <row r="64388" ht="15.75" customHeight="1"/>
    <row r="64389" ht="15.75" customHeight="1"/>
    <row r="64390" ht="15.75" customHeight="1"/>
    <row r="64391" ht="15.75" customHeight="1"/>
    <row r="64392" ht="15.75" customHeight="1"/>
    <row r="64393" ht="15.75" customHeight="1"/>
    <row r="64394" ht="15.75" customHeight="1"/>
    <row r="64395" ht="15.75" customHeight="1"/>
    <row r="64396" ht="15.75" customHeight="1"/>
    <row r="64397" ht="15.75" customHeight="1"/>
    <row r="64398" ht="15.75" customHeight="1"/>
    <row r="64399" ht="15.75" customHeight="1"/>
    <row r="64400" ht="15.75" customHeight="1"/>
    <row r="64401" ht="15.75" customHeight="1"/>
    <row r="64402" ht="15.75" customHeight="1"/>
    <row r="64403" ht="15.75" customHeight="1"/>
    <row r="64404" ht="15.75" customHeight="1"/>
    <row r="64405" ht="15.75" customHeight="1"/>
    <row r="64406" ht="15.75" customHeight="1"/>
    <row r="64407" ht="15.75" customHeight="1"/>
    <row r="64408" ht="15.75" customHeight="1"/>
    <row r="64409" ht="15.75" customHeight="1"/>
    <row r="64410" ht="15.75" customHeight="1"/>
    <row r="64411" ht="15.75" customHeight="1"/>
    <row r="64412" ht="15.75" customHeight="1"/>
    <row r="64413" ht="15.75" customHeight="1"/>
    <row r="64414" ht="15.75" customHeight="1"/>
    <row r="64415" ht="15.75" customHeight="1"/>
    <row r="64416" ht="15.75" customHeight="1"/>
    <row r="64417" ht="15.75" customHeight="1"/>
    <row r="64418" ht="15.75" customHeight="1"/>
    <row r="64419" ht="15.75" customHeight="1"/>
    <row r="64420" ht="15.75" customHeight="1"/>
    <row r="64421" ht="15.75" customHeight="1"/>
    <row r="64422" ht="15.75" customHeight="1"/>
    <row r="64423" ht="15.75" customHeight="1"/>
    <row r="64424" ht="15.75" customHeight="1"/>
    <row r="64425" ht="15.75" customHeight="1"/>
    <row r="64426" ht="15.75" customHeight="1"/>
    <row r="64427" ht="15.75" customHeight="1"/>
    <row r="64428" ht="15.75" customHeight="1"/>
    <row r="64429" ht="15.75" customHeight="1"/>
    <row r="64430" ht="15.75" customHeight="1"/>
    <row r="64431" ht="15.75" customHeight="1"/>
    <row r="64432" ht="15.75" customHeight="1"/>
    <row r="64433" ht="15.75" customHeight="1"/>
    <row r="64434" ht="15.75" customHeight="1"/>
    <row r="64435" ht="15.75" customHeight="1"/>
    <row r="64436" ht="15.75" customHeight="1"/>
    <row r="64437" ht="15.75" customHeight="1"/>
    <row r="64438" ht="15.75" customHeight="1"/>
    <row r="64439" ht="15.75" customHeight="1"/>
    <row r="64440" ht="15.75" customHeight="1"/>
    <row r="64441" ht="15.75" customHeight="1"/>
    <row r="64442" ht="15.75" customHeight="1"/>
    <row r="64443" ht="15.75" customHeight="1"/>
    <row r="64444" ht="15.75" customHeight="1"/>
    <row r="64445" ht="15.75" customHeight="1"/>
    <row r="64446" ht="15.75" customHeight="1"/>
    <row r="64447" ht="15.75" customHeight="1"/>
    <row r="64448" ht="15.75" customHeight="1"/>
    <row r="64449" ht="15.75" customHeight="1"/>
    <row r="64450" ht="15.75" customHeight="1"/>
    <row r="64451" ht="15.75" customHeight="1"/>
    <row r="64452" ht="15.75" customHeight="1"/>
    <row r="64453" ht="15.75" customHeight="1"/>
    <row r="64454" ht="15.75" customHeight="1"/>
    <row r="64455" ht="15.75" customHeight="1"/>
    <row r="64456" ht="15.75" customHeight="1"/>
    <row r="64457" ht="15.75" customHeight="1"/>
    <row r="64458" ht="15.75" customHeight="1"/>
    <row r="64459" ht="15.75" customHeight="1"/>
    <row r="64460" ht="15.75" customHeight="1"/>
    <row r="64461" ht="15.75" customHeight="1"/>
    <row r="64462" ht="15.75" customHeight="1"/>
    <row r="64463" ht="15.75" customHeight="1"/>
    <row r="64464" ht="15.75" customHeight="1"/>
    <row r="64465" ht="15.75" customHeight="1"/>
    <row r="64466" ht="15.75" customHeight="1"/>
    <row r="64467" ht="15.75" customHeight="1"/>
    <row r="64468" ht="15.75" customHeight="1"/>
    <row r="64469" ht="15.75" customHeight="1"/>
    <row r="64470" ht="15.75" customHeight="1"/>
    <row r="64471" ht="15.75" customHeight="1"/>
    <row r="64472" ht="15.75" customHeight="1"/>
    <row r="64473" ht="15.75" customHeight="1"/>
    <row r="64474" ht="15.75" customHeight="1"/>
    <row r="64475" ht="15.75" customHeight="1"/>
    <row r="64476" ht="15.75" customHeight="1"/>
    <row r="64477" ht="15.75" customHeight="1"/>
    <row r="64478" ht="15.75" customHeight="1"/>
    <row r="64479" ht="15.75" customHeight="1"/>
    <row r="64480" ht="15.75" customHeight="1"/>
    <row r="64481" ht="15.75" customHeight="1"/>
    <row r="64482" ht="15.75" customHeight="1"/>
    <row r="64483" ht="15.75" customHeight="1"/>
    <row r="64484" ht="15.75" customHeight="1"/>
    <row r="64485" ht="15.75" customHeight="1"/>
    <row r="64486" ht="15.75" customHeight="1"/>
    <row r="64487" ht="15.75" customHeight="1"/>
    <row r="64488" ht="15.75" customHeight="1"/>
    <row r="64489" ht="15.75" customHeight="1"/>
    <row r="64490" ht="15.75" customHeight="1"/>
    <row r="64491" ht="15.75" customHeight="1"/>
    <row r="64492" ht="15.75" customHeight="1"/>
    <row r="64493" ht="15.75" customHeight="1"/>
    <row r="64494" ht="15.75" customHeight="1"/>
    <row r="64495" ht="15.75" customHeight="1"/>
    <row r="64496" ht="15.75" customHeight="1"/>
    <row r="64497" ht="15.75" customHeight="1"/>
    <row r="64498" ht="15.75" customHeight="1"/>
    <row r="64499" ht="15.75" customHeight="1"/>
    <row r="64500" ht="15.75" customHeight="1"/>
    <row r="64501" ht="15.75" customHeight="1"/>
    <row r="64502" ht="15.75" customHeight="1"/>
    <row r="64503" ht="15.75" customHeight="1"/>
    <row r="64504" ht="15.75" customHeight="1"/>
    <row r="64505" ht="15.75" customHeight="1"/>
    <row r="64506" ht="15.75" customHeight="1"/>
    <row r="64507" ht="15.75" customHeight="1"/>
    <row r="64508" ht="15.75" customHeight="1"/>
    <row r="64509" ht="15.75" customHeight="1"/>
    <row r="64510" ht="15.75" customHeight="1"/>
    <row r="64511" ht="15.75" customHeight="1"/>
    <row r="64512" ht="15.75" customHeight="1"/>
    <row r="64513" ht="15.75" customHeight="1"/>
    <row r="64514" ht="15.75" customHeight="1"/>
    <row r="64515" ht="15.75" customHeight="1"/>
    <row r="64516" ht="15.75" customHeight="1"/>
    <row r="64517" ht="15.75" customHeight="1"/>
    <row r="64518" ht="15.75" customHeight="1"/>
    <row r="64519" ht="15.75" customHeight="1"/>
    <row r="64520" ht="15.75" customHeight="1"/>
    <row r="64521" ht="15.75" customHeight="1"/>
    <row r="64522" ht="15.75" customHeight="1"/>
    <row r="64523" ht="15.75" customHeight="1"/>
    <row r="64524" ht="15.75" customHeight="1"/>
    <row r="64525" ht="15.75" customHeight="1"/>
    <row r="64526" ht="15.75" customHeight="1"/>
    <row r="64527" ht="15.75" customHeight="1"/>
    <row r="64528" ht="15.75" customHeight="1"/>
    <row r="64529" ht="15.75" customHeight="1"/>
    <row r="64530" ht="15.75" customHeight="1"/>
    <row r="64531" ht="15.75" customHeight="1"/>
    <row r="64532" ht="15.75" customHeight="1"/>
    <row r="64533" ht="15.75" customHeight="1"/>
    <row r="64534" ht="15.75" customHeight="1"/>
    <row r="64535" ht="15.75" customHeight="1"/>
    <row r="64536" ht="15.75" customHeight="1"/>
    <row r="64537" ht="15.75" customHeight="1"/>
    <row r="64538" ht="15.75" customHeight="1"/>
    <row r="64539" ht="15.75" customHeight="1"/>
    <row r="64540" ht="15.75" customHeight="1"/>
    <row r="64541" ht="15.75" customHeight="1"/>
    <row r="64542" ht="15.75" customHeight="1"/>
    <row r="64543" ht="15.75" customHeight="1"/>
    <row r="64544" ht="15.75" customHeight="1"/>
    <row r="64545" ht="15.75" customHeight="1"/>
    <row r="64546" ht="15.75" customHeight="1"/>
    <row r="64547" ht="15.75" customHeight="1"/>
    <row r="64548" ht="15.75" customHeight="1"/>
    <row r="64549" ht="15.75" customHeight="1"/>
    <row r="64550" ht="15.75" customHeight="1"/>
    <row r="64551" ht="15.75" customHeight="1"/>
    <row r="64552" ht="15.75" customHeight="1"/>
    <row r="64553" ht="15.75" customHeight="1"/>
    <row r="64554" ht="15.75" customHeight="1"/>
    <row r="64555" ht="15.75" customHeight="1"/>
    <row r="64556" ht="15.75" customHeight="1"/>
    <row r="64557" ht="15.75" customHeight="1"/>
    <row r="64558" ht="15.75" customHeight="1"/>
    <row r="64559" ht="15.75" customHeight="1"/>
    <row r="64560" ht="15.75" customHeight="1"/>
    <row r="64561" ht="15.75" customHeight="1"/>
    <row r="64562" ht="15.75" customHeight="1"/>
    <row r="64563" ht="15.75" customHeight="1"/>
    <row r="64564" ht="15.75" customHeight="1"/>
    <row r="64565" ht="15.75" customHeight="1"/>
    <row r="64566" ht="15.75" customHeight="1"/>
    <row r="64567" ht="15.75" customHeight="1"/>
    <row r="64568" ht="15.75" customHeight="1"/>
    <row r="64569" ht="15.75" customHeight="1"/>
    <row r="64570" ht="15.75" customHeight="1"/>
    <row r="64571" ht="15.75" customHeight="1"/>
    <row r="64572" ht="15.75" customHeight="1"/>
    <row r="64573" ht="15.75" customHeight="1"/>
    <row r="64574" ht="15.75" customHeight="1"/>
    <row r="64575" ht="15.75" customHeight="1"/>
    <row r="64576" ht="15.75" customHeight="1"/>
    <row r="64577" ht="15.75" customHeight="1"/>
    <row r="64578" ht="15.75" customHeight="1"/>
    <row r="64579" ht="15.75" customHeight="1"/>
    <row r="64580" ht="15.75" customHeight="1"/>
    <row r="64581" ht="15.75" customHeight="1"/>
    <row r="64582" ht="15.75" customHeight="1"/>
    <row r="64583" ht="15.75" customHeight="1"/>
    <row r="64584" ht="15.75" customHeight="1"/>
    <row r="64585" ht="15.75" customHeight="1"/>
    <row r="64586" ht="15.75" customHeight="1"/>
    <row r="64587" ht="15.75" customHeight="1"/>
    <row r="64588" ht="15.75" customHeight="1"/>
    <row r="64589" ht="15.75" customHeight="1"/>
    <row r="64590" ht="15.75" customHeight="1"/>
    <row r="64591" ht="15.75" customHeight="1"/>
    <row r="64592" ht="15.75" customHeight="1"/>
    <row r="64593" ht="15.75" customHeight="1"/>
    <row r="64594" ht="15.75" customHeight="1"/>
    <row r="64595" ht="15.75" customHeight="1"/>
    <row r="64596" ht="15.75" customHeight="1"/>
    <row r="64597" ht="15.75" customHeight="1"/>
    <row r="64598" ht="15.75" customHeight="1"/>
    <row r="64599" ht="15.75" customHeight="1"/>
    <row r="64600" ht="15.75" customHeight="1"/>
    <row r="64601" ht="15.75" customHeight="1"/>
    <row r="64602" ht="15.75" customHeight="1"/>
    <row r="64603" ht="15.75" customHeight="1"/>
    <row r="64604" ht="15.75" customHeight="1"/>
    <row r="64605" ht="15.75" customHeight="1"/>
    <row r="64606" ht="15.75" customHeight="1"/>
    <row r="64607" ht="15.75" customHeight="1"/>
    <row r="64608" ht="15.75" customHeight="1"/>
    <row r="64609" ht="15.75" customHeight="1"/>
    <row r="64610" ht="15.75" customHeight="1"/>
    <row r="64611" ht="15.75" customHeight="1"/>
    <row r="64612" ht="15.75" customHeight="1"/>
    <row r="64613" ht="15.75" customHeight="1"/>
    <row r="64614" ht="15.75" customHeight="1"/>
    <row r="64615" ht="15.75" customHeight="1"/>
    <row r="64616" ht="15.75" customHeight="1"/>
    <row r="64617" ht="15.75" customHeight="1"/>
    <row r="64618" ht="15.75" customHeight="1"/>
    <row r="64619" ht="15.75" customHeight="1"/>
    <row r="64620" ht="15.75" customHeight="1"/>
    <row r="64621" ht="15.75" customHeight="1"/>
    <row r="64622" ht="15.75" customHeight="1"/>
    <row r="64623" ht="15.75" customHeight="1"/>
    <row r="64624" ht="15.75" customHeight="1"/>
    <row r="64625" ht="15.75" customHeight="1"/>
    <row r="64626" ht="15.75" customHeight="1"/>
    <row r="64627" ht="15.75" customHeight="1"/>
    <row r="64628" ht="15.75" customHeight="1"/>
    <row r="64629" ht="15.75" customHeight="1"/>
    <row r="64630" ht="15.75" customHeight="1"/>
    <row r="64631" ht="15.75" customHeight="1"/>
    <row r="64632" ht="15.75" customHeight="1"/>
    <row r="64633" ht="15.75" customHeight="1"/>
    <row r="64634" ht="15.75" customHeight="1"/>
    <row r="64635" ht="15.75" customHeight="1"/>
    <row r="64636" ht="15.75" customHeight="1"/>
    <row r="64637" ht="15.75" customHeight="1"/>
    <row r="64638" ht="15.75" customHeight="1"/>
    <row r="64639" ht="15.75" customHeight="1"/>
    <row r="64640" ht="15.75" customHeight="1"/>
    <row r="64641" ht="15.75" customHeight="1"/>
    <row r="64642" ht="15.75" customHeight="1"/>
    <row r="64643" ht="15.75" customHeight="1"/>
    <row r="64644" ht="15.75" customHeight="1"/>
    <row r="64645" ht="15.75" customHeight="1"/>
    <row r="64646" ht="15.75" customHeight="1"/>
    <row r="64647" ht="15.75" customHeight="1"/>
    <row r="64648" ht="15.75" customHeight="1"/>
    <row r="64649" ht="15.75" customHeight="1"/>
    <row r="64650" ht="15.75" customHeight="1"/>
    <row r="64651" ht="15.75" customHeight="1"/>
    <row r="64652" ht="15.75" customHeight="1"/>
    <row r="64653" ht="15.75" customHeight="1"/>
    <row r="64654" ht="15.75" customHeight="1"/>
    <row r="64655" ht="15.75" customHeight="1"/>
    <row r="64656" ht="15.75" customHeight="1"/>
    <row r="64657" ht="15.75" customHeight="1"/>
    <row r="64658" ht="15.75" customHeight="1"/>
    <row r="64659" ht="15.75" customHeight="1"/>
    <row r="64660" ht="15.75" customHeight="1"/>
    <row r="64661" ht="15.75" customHeight="1"/>
    <row r="64662" ht="15.75" customHeight="1"/>
    <row r="64663" ht="15.75" customHeight="1"/>
    <row r="64664" ht="15.75" customHeight="1"/>
    <row r="64665" ht="15.75" customHeight="1"/>
    <row r="64666" ht="15.75" customHeight="1"/>
    <row r="64667" ht="15.75" customHeight="1"/>
    <row r="64668" ht="15.75" customHeight="1"/>
    <row r="64669" ht="15.75" customHeight="1"/>
    <row r="64670" ht="15.75" customHeight="1"/>
    <row r="64671" ht="15.75" customHeight="1"/>
    <row r="64672" ht="15.75" customHeight="1"/>
    <row r="64673" ht="15.75" customHeight="1"/>
    <row r="64674" ht="15.75" customHeight="1"/>
    <row r="64675" ht="15.75" customHeight="1"/>
    <row r="64676" ht="15.75" customHeight="1"/>
    <row r="64677" ht="15.75" customHeight="1"/>
    <row r="64678" ht="15.75" customHeight="1"/>
    <row r="64679" ht="15.75" customHeight="1"/>
    <row r="64680" ht="15.75" customHeight="1"/>
    <row r="64681" ht="15.75" customHeight="1"/>
    <row r="64682" ht="15.75" customHeight="1"/>
    <row r="64683" ht="15.75" customHeight="1"/>
    <row r="64684" ht="15.75" customHeight="1"/>
    <row r="64685" ht="15.75" customHeight="1"/>
    <row r="64686" ht="15.75" customHeight="1"/>
    <row r="64687" ht="15.75" customHeight="1"/>
    <row r="64688" ht="15.75" customHeight="1"/>
    <row r="64689" ht="15.75" customHeight="1"/>
    <row r="64690" ht="15.75" customHeight="1"/>
    <row r="64691" ht="15.75" customHeight="1"/>
    <row r="64692" ht="15.75" customHeight="1"/>
    <row r="64693" ht="15.75" customHeight="1"/>
    <row r="64694" ht="15.75" customHeight="1"/>
    <row r="64695" ht="15.75" customHeight="1"/>
    <row r="64696" ht="15.75" customHeight="1"/>
    <row r="64697" ht="15.75" customHeight="1"/>
    <row r="64698" ht="15.75" customHeight="1"/>
    <row r="64699" ht="15.75" customHeight="1"/>
    <row r="64700" ht="15.75" customHeight="1"/>
    <row r="64701" ht="15.75" customHeight="1"/>
    <row r="64702" ht="15.75" customHeight="1"/>
    <row r="64703" ht="15.75" customHeight="1"/>
    <row r="64704" ht="15.75" customHeight="1"/>
    <row r="64705" ht="15.75" customHeight="1"/>
    <row r="64706" ht="15.75" customHeight="1"/>
    <row r="64707" ht="15.75" customHeight="1"/>
    <row r="64708" ht="15.75" customHeight="1"/>
    <row r="64709" ht="15.75" customHeight="1"/>
    <row r="64710" ht="15.75" customHeight="1"/>
    <row r="64711" ht="15.75" customHeight="1"/>
    <row r="64712" ht="15.75" customHeight="1"/>
    <row r="64713" ht="15.75" customHeight="1"/>
    <row r="64714" ht="15.75" customHeight="1"/>
    <row r="64715" ht="15.75" customHeight="1"/>
    <row r="64716" ht="15.75" customHeight="1"/>
    <row r="64717" ht="15.75" customHeight="1"/>
    <row r="64718" ht="15.75" customHeight="1"/>
    <row r="64719" ht="15.75" customHeight="1"/>
    <row r="64720" ht="15.75" customHeight="1"/>
    <row r="64721" ht="15.75" customHeight="1"/>
    <row r="64722" ht="15.75" customHeight="1"/>
    <row r="64723" ht="15.75" customHeight="1"/>
    <row r="64724" ht="15.75" customHeight="1"/>
    <row r="64725" ht="15.75" customHeight="1"/>
    <row r="64726" ht="15.75" customHeight="1"/>
    <row r="64727" ht="15.75" customHeight="1"/>
    <row r="64728" ht="15.75" customHeight="1"/>
    <row r="64729" ht="15.75" customHeight="1"/>
    <row r="64730" ht="15.75" customHeight="1"/>
    <row r="64731" ht="15.75" customHeight="1"/>
    <row r="64732" ht="15.75" customHeight="1"/>
    <row r="64733" ht="15.75" customHeight="1"/>
    <row r="64734" ht="15.75" customHeight="1"/>
    <row r="64735" ht="15.75" customHeight="1"/>
    <row r="64736" ht="15.75" customHeight="1"/>
    <row r="64737" ht="15.75" customHeight="1"/>
    <row r="64738" ht="15.75" customHeight="1"/>
    <row r="64739" ht="15.75" customHeight="1"/>
    <row r="64740" ht="15.75" customHeight="1"/>
    <row r="64741" ht="15.75" customHeight="1"/>
    <row r="64742" ht="15.75" customHeight="1"/>
    <row r="64743" ht="15.75" customHeight="1"/>
    <row r="64744" ht="15.75" customHeight="1"/>
    <row r="64745" ht="15.75" customHeight="1"/>
    <row r="64746" ht="15.75" customHeight="1"/>
    <row r="64747" ht="15.75" customHeight="1"/>
    <row r="64748" ht="15.75" customHeight="1"/>
    <row r="64749" ht="15.75" customHeight="1"/>
    <row r="64750" ht="15.75" customHeight="1"/>
    <row r="64751" ht="15.75" customHeight="1"/>
    <row r="64752" ht="15.75" customHeight="1"/>
    <row r="64753" ht="15.75" customHeight="1"/>
    <row r="64754" ht="15.75" customHeight="1"/>
    <row r="64755" ht="15.75" customHeight="1"/>
    <row r="64756" ht="15.75" customHeight="1"/>
    <row r="64757" ht="15.75" customHeight="1"/>
    <row r="64758" ht="15.75" customHeight="1"/>
    <row r="64759" ht="15.75" customHeight="1"/>
    <row r="64760" ht="15.75" customHeight="1"/>
    <row r="64761" ht="15.75" customHeight="1"/>
    <row r="64762" ht="15.75" customHeight="1"/>
    <row r="64763" ht="15.75" customHeight="1"/>
    <row r="64764" ht="15.75" customHeight="1"/>
    <row r="64765" ht="15.75" customHeight="1"/>
    <row r="64766" ht="15.75" customHeight="1"/>
    <row r="64767" ht="15.75" customHeight="1"/>
    <row r="64768" ht="15.75" customHeight="1"/>
    <row r="64769" ht="15.75" customHeight="1"/>
    <row r="64770" ht="15.75" customHeight="1"/>
    <row r="64771" ht="15.75" customHeight="1"/>
    <row r="64772" ht="15.75" customHeight="1"/>
    <row r="64773" ht="15.75" customHeight="1"/>
    <row r="64774" ht="15.75" customHeight="1"/>
    <row r="64775" ht="15.75" customHeight="1"/>
    <row r="64776" ht="15.75" customHeight="1"/>
    <row r="64777" ht="15.75" customHeight="1"/>
    <row r="64778" ht="15.75" customHeight="1"/>
    <row r="64779" ht="15.75" customHeight="1"/>
    <row r="64780" ht="15.75" customHeight="1"/>
    <row r="64781" ht="15.75" customHeight="1"/>
    <row r="64782" ht="15.75" customHeight="1"/>
    <row r="64783" ht="15.75" customHeight="1"/>
    <row r="64784" ht="15.75" customHeight="1"/>
    <row r="64785" ht="15.75" customHeight="1"/>
    <row r="64786" ht="15.75" customHeight="1"/>
    <row r="64787" ht="15.75" customHeight="1"/>
    <row r="64788" ht="15.75" customHeight="1"/>
    <row r="64789" ht="15.75" customHeight="1"/>
    <row r="64790" ht="15.75" customHeight="1"/>
    <row r="64791" ht="15.75" customHeight="1"/>
    <row r="64792" ht="15.75" customHeight="1"/>
    <row r="64793" ht="15.75" customHeight="1"/>
    <row r="64794" ht="15.75" customHeight="1"/>
    <row r="64795" ht="15.75" customHeight="1"/>
    <row r="64796" ht="15.75" customHeight="1"/>
    <row r="64797" ht="15.75" customHeight="1"/>
    <row r="64798" ht="15.75" customHeight="1"/>
    <row r="64799" ht="15.75" customHeight="1"/>
    <row r="64800" ht="15.75" customHeight="1"/>
    <row r="64801" ht="15.75" customHeight="1"/>
    <row r="64802" ht="15.75" customHeight="1"/>
    <row r="64803" ht="15.75" customHeight="1"/>
    <row r="64804" ht="15.75" customHeight="1"/>
    <row r="64805" ht="15.75" customHeight="1"/>
    <row r="64806" ht="15.75" customHeight="1"/>
    <row r="64807" ht="15.75" customHeight="1"/>
    <row r="64808" ht="15.75" customHeight="1"/>
    <row r="64809" ht="15.75" customHeight="1"/>
    <row r="64810" ht="15.75" customHeight="1"/>
    <row r="64811" ht="15.75" customHeight="1"/>
    <row r="64812" ht="15.75" customHeight="1"/>
    <row r="64813" ht="15.75" customHeight="1"/>
    <row r="64814" ht="15.75" customHeight="1"/>
    <row r="64815" ht="15.75" customHeight="1"/>
    <row r="64816" ht="15.75" customHeight="1"/>
    <row r="64817" ht="15.75" customHeight="1"/>
    <row r="64818" ht="15.75" customHeight="1"/>
    <row r="64819" ht="15.75" customHeight="1"/>
    <row r="64820" ht="15.75" customHeight="1"/>
    <row r="64821" ht="15.75" customHeight="1"/>
    <row r="64822" ht="15.75" customHeight="1"/>
    <row r="64823" ht="15.75" customHeight="1"/>
    <row r="64824" ht="15.75" customHeight="1"/>
    <row r="64825" ht="15.75" customHeight="1"/>
    <row r="64826" ht="15.75" customHeight="1"/>
    <row r="64827" ht="15.75" customHeight="1"/>
    <row r="64828" ht="15.75" customHeight="1"/>
    <row r="64829" ht="15.75" customHeight="1"/>
    <row r="64830" ht="15.75" customHeight="1"/>
    <row r="64831" ht="15.75" customHeight="1"/>
    <row r="64832" ht="15.75" customHeight="1"/>
    <row r="64833" ht="15.75" customHeight="1"/>
    <row r="64834" ht="15.75" customHeight="1"/>
    <row r="64835" ht="15.75" customHeight="1"/>
    <row r="64836" ht="15.75" customHeight="1"/>
    <row r="64837" ht="15.75" customHeight="1"/>
    <row r="64838" ht="15.75" customHeight="1"/>
    <row r="64839" ht="15.75" customHeight="1"/>
    <row r="64840" ht="15.75" customHeight="1"/>
    <row r="64841" ht="15.75" customHeight="1"/>
    <row r="64842" ht="15.75" customHeight="1"/>
    <row r="64843" ht="15.75" customHeight="1"/>
    <row r="64844" ht="15.75" customHeight="1"/>
    <row r="64845" ht="15.75" customHeight="1"/>
    <row r="64846" ht="15.75" customHeight="1"/>
    <row r="64847" ht="15.75" customHeight="1"/>
    <row r="64848" ht="15.75" customHeight="1"/>
    <row r="64849" ht="15.75" customHeight="1"/>
  </sheetData>
  <mergeCells count="5">
    <mergeCell ref="D7:D8"/>
    <mergeCell ref="C1:J1"/>
    <mergeCell ref="C2:J2"/>
    <mergeCell ref="C3:J3"/>
    <mergeCell ref="E6:V6"/>
  </mergeCells>
  <phoneticPr fontId="8" type="noConversion"/>
  <printOptions horizontalCentered="1"/>
  <pageMargins left="0.25" right="0.25" top="0.5" bottom="0.5" header="0.25" footer="0.25"/>
  <pageSetup scale="28" fitToHeight="0" orientation="landscape" r:id="rId1"/>
  <headerFooter alignWithMargins="0">
    <oddFooter>&amp;L&amp;"Times New Roman,Bold"&amp;11Black &amp; Veatch Corporation&amp;C&amp;"Times New Roman,Bold"&amp;11&amp;D&amp;R&amp;"Times New Roman,Bold"&amp;11Page:&amp;P of &amp;N</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00"/>
  </sheetPr>
  <dimension ref="A1:IR2599"/>
  <sheetViews>
    <sheetView zoomScale="70" zoomScaleNormal="70" workbookViewId="0">
      <pane xSplit="5" ySplit="6" topLeftCell="I163" activePane="bottomRight" state="frozen"/>
      <selection activeCell="J6" sqref="J6"/>
      <selection pane="topRight" activeCell="J6" sqref="J6"/>
      <selection pane="bottomLeft" activeCell="J6" sqref="J6"/>
      <selection pane="bottomRight" activeCell="O191" sqref="O191"/>
    </sheetView>
  </sheetViews>
  <sheetFormatPr defaultRowHeight="12.75" zeroHeight="1"/>
  <cols>
    <col min="1" max="1" width="22.5" style="1288" customWidth="1"/>
    <col min="2" max="2" width="1.375" style="1288" customWidth="1"/>
    <col min="3" max="3" width="7.125" style="1288" customWidth="1"/>
    <col min="4" max="4" width="12.5" style="1288" customWidth="1"/>
    <col min="5" max="5" width="36.25" style="1288" customWidth="1"/>
    <col min="6" max="6" width="12.75" style="1288" customWidth="1"/>
    <col min="7" max="7" width="15.75" style="1288" customWidth="1"/>
    <col min="8" max="8" width="16.875" style="1288" customWidth="1"/>
    <col min="9" max="9" width="15.875" style="1288" customWidth="1"/>
    <col min="10" max="11" width="16.75" style="1288" customWidth="1"/>
    <col min="12" max="12" width="16.25" style="1288" customWidth="1"/>
    <col min="13" max="26" width="16.25" style="1288" bestFit="1" customWidth="1"/>
    <col min="27" max="27" width="2.75" style="1288" customWidth="1"/>
    <col min="28" max="28" width="13" style="1288" customWidth="1"/>
    <col min="29" max="29" width="11.25" style="1288" bestFit="1" customWidth="1"/>
    <col min="30" max="34" width="8.625" style="1288" customWidth="1"/>
    <col min="35" max="36" width="9" style="1288"/>
    <col min="37" max="39" width="12.125" style="1288" customWidth="1"/>
    <col min="40" max="42" width="8.625" style="1288" customWidth="1"/>
    <col min="43" max="16384" width="9" style="1288"/>
  </cols>
  <sheetData>
    <row r="1" spans="1:32" s="1280" customFormat="1" ht="22.5">
      <c r="A1" s="1279"/>
      <c r="C1" s="4408" t="s">
        <v>391</v>
      </c>
      <c r="D1" s="4408"/>
      <c r="E1" s="4408"/>
      <c r="F1" s="4408"/>
      <c r="G1" s="4408"/>
      <c r="H1" s="4408"/>
      <c r="I1" s="4408"/>
      <c r="J1" s="4408"/>
      <c r="K1" s="4408"/>
      <c r="L1" s="4408"/>
      <c r="M1" s="4408"/>
      <c r="N1" s="4408"/>
      <c r="O1" s="1281"/>
      <c r="P1" s="1281"/>
      <c r="Q1" s="1281"/>
      <c r="R1" s="1281"/>
      <c r="S1" s="1281"/>
      <c r="T1" s="1281"/>
      <c r="U1" s="1281"/>
      <c r="V1" s="1281"/>
      <c r="W1" s="1281"/>
      <c r="X1" s="1281"/>
      <c r="Y1" s="1281"/>
      <c r="Z1" s="1281"/>
    </row>
    <row r="2" spans="1:32" s="1280" customFormat="1" ht="22.5">
      <c r="A2" s="1279"/>
      <c r="C2" s="4408" t="s">
        <v>981</v>
      </c>
      <c r="D2" s="4408"/>
      <c r="E2" s="4408"/>
      <c r="F2" s="4408"/>
      <c r="G2" s="4408"/>
      <c r="H2" s="4408"/>
      <c r="I2" s="4408"/>
      <c r="J2" s="4408"/>
      <c r="K2" s="4408"/>
      <c r="L2" s="4408"/>
      <c r="M2" s="4408"/>
      <c r="N2" s="4408"/>
      <c r="O2" s="1281"/>
      <c r="P2" s="1281"/>
      <c r="Q2" s="1281"/>
      <c r="R2" s="1281"/>
      <c r="S2" s="1281"/>
      <c r="T2" s="1281"/>
      <c r="U2" s="1281"/>
      <c r="V2" s="1281"/>
      <c r="W2" s="1281"/>
      <c r="X2" s="1281"/>
      <c r="Y2" s="1281"/>
      <c r="Z2" s="1281"/>
    </row>
    <row r="3" spans="1:32" s="1280" customFormat="1" ht="22.5">
      <c r="A3" s="1279"/>
      <c r="C3" s="4408" t="s">
        <v>3506</v>
      </c>
      <c r="D3" s="4408"/>
      <c r="E3" s="4408"/>
      <c r="F3" s="4408"/>
      <c r="G3" s="4408"/>
      <c r="H3" s="4408"/>
      <c r="I3" s="4408"/>
      <c r="J3" s="4408"/>
      <c r="K3" s="4408"/>
      <c r="L3" s="4408"/>
      <c r="M3" s="4408"/>
      <c r="N3" s="4408"/>
      <c r="O3" s="1281"/>
      <c r="P3" s="1281"/>
      <c r="Q3" s="1281"/>
      <c r="R3" s="1281"/>
      <c r="S3" s="1281"/>
      <c r="T3" s="1281"/>
      <c r="U3" s="1281"/>
      <c r="V3" s="1281"/>
      <c r="W3" s="1281"/>
      <c r="X3" s="1281"/>
      <c r="Y3" s="1281"/>
      <c r="Z3" s="1281"/>
    </row>
    <row r="4" spans="1:32" s="1280" customFormat="1" ht="15.75">
      <c r="A4" s="1279"/>
      <c r="D4" s="1282"/>
      <c r="E4" s="1282"/>
      <c r="F4" s="1282"/>
      <c r="G4" s="1282"/>
      <c r="I4" s="1283"/>
      <c r="J4" s="1283"/>
      <c r="K4" s="1283"/>
      <c r="L4" s="1283"/>
      <c r="M4" s="1283"/>
      <c r="N4" s="1283"/>
      <c r="O4" s="1283"/>
      <c r="P4" s="1283"/>
      <c r="Q4" s="1283"/>
      <c r="R4" s="1283"/>
      <c r="S4" s="1283"/>
      <c r="T4" s="1283"/>
      <c r="U4" s="1283"/>
      <c r="V4" s="1283"/>
      <c r="W4" s="1283"/>
      <c r="X4" s="1283"/>
      <c r="Y4" s="1283"/>
      <c r="Z4" s="1283"/>
    </row>
    <row r="5" spans="1:32" s="1280" customFormat="1" ht="16.5" thickBot="1">
      <c r="A5" s="1279"/>
      <c r="C5" s="1284"/>
      <c r="D5" s="1285"/>
      <c r="E5" s="1282"/>
      <c r="F5" s="1282"/>
      <c r="G5" s="1282"/>
      <c r="I5" s="1286"/>
      <c r="J5" s="1287"/>
      <c r="K5" s="1288"/>
      <c r="L5" s="1288"/>
      <c r="M5" s="1288"/>
      <c r="N5" s="1288"/>
      <c r="O5" s="1288"/>
      <c r="P5" s="1288"/>
      <c r="Q5" s="1288"/>
      <c r="R5" s="1288"/>
      <c r="S5" s="1288"/>
      <c r="T5" s="1288"/>
      <c r="U5" s="1288"/>
      <c r="V5" s="1288"/>
      <c r="W5" s="1288"/>
      <c r="X5" s="1288"/>
      <c r="Y5" s="1288"/>
      <c r="Z5" s="1288"/>
    </row>
    <row r="6" spans="1:32" s="1280" customFormat="1" ht="32.25" thickTop="1">
      <c r="A6" s="1279"/>
      <c r="C6" s="1289" t="s">
        <v>867</v>
      </c>
      <c r="D6" s="1289" t="s">
        <v>875</v>
      </c>
      <c r="E6" s="1289" t="s">
        <v>876</v>
      </c>
      <c r="F6" s="1289" t="s">
        <v>560</v>
      </c>
      <c r="G6" s="1290">
        <f t="shared" ref="G6:L6" si="0">H6-1</f>
        <v>2007</v>
      </c>
      <c r="H6" s="1290">
        <f t="shared" si="0"/>
        <v>2008</v>
      </c>
      <c r="I6" s="1290">
        <f t="shared" si="0"/>
        <v>2009</v>
      </c>
      <c r="J6" s="1290">
        <f t="shared" si="0"/>
        <v>2010</v>
      </c>
      <c r="K6" s="1290">
        <f t="shared" si="0"/>
        <v>2011</v>
      </c>
      <c r="L6" s="1290">
        <f t="shared" si="0"/>
        <v>2012</v>
      </c>
      <c r="M6" s="1290">
        <f>Dashboard!F$7</f>
        <v>2013</v>
      </c>
      <c r="N6" s="1290">
        <f>Dashboard!G$7</f>
        <v>2014</v>
      </c>
      <c r="O6" s="1290">
        <f>Dashboard!H$7</f>
        <v>2015</v>
      </c>
      <c r="P6" s="1290">
        <f>Dashboard!I$7</f>
        <v>2016</v>
      </c>
      <c r="Q6" s="1290">
        <f>Dashboard!J$7</f>
        <v>2017</v>
      </c>
      <c r="R6" s="1290">
        <f>Dashboard!K$7</f>
        <v>2018</v>
      </c>
      <c r="S6" s="1290">
        <f>Dashboard!L$7</f>
        <v>2019</v>
      </c>
      <c r="T6" s="1290">
        <f>Dashboard!M$7</f>
        <v>2020</v>
      </c>
      <c r="U6" s="1290">
        <f>Dashboard!N$7</f>
        <v>2021</v>
      </c>
      <c r="V6" s="1290">
        <f>Dashboard!O$7</f>
        <v>2022</v>
      </c>
      <c r="W6" s="1290">
        <f>Dashboard!P$7</f>
        <v>2023</v>
      </c>
      <c r="X6" s="1290">
        <f>Dashboard!Q$7</f>
        <v>2024</v>
      </c>
      <c r="Y6" s="1290">
        <f>Dashboard!R$7</f>
        <v>2025</v>
      </c>
      <c r="Z6" s="4201">
        <f>Dashboard!S$7</f>
        <v>2026</v>
      </c>
      <c r="AA6" s="1282"/>
      <c r="AB6" s="1291" t="s">
        <v>611</v>
      </c>
      <c r="AF6" s="1292"/>
    </row>
    <row r="7" spans="1:32" s="1280" customFormat="1" ht="16.5" thickBot="1">
      <c r="A7" s="1279"/>
      <c r="B7" s="1282"/>
      <c r="C7" s="1283"/>
      <c r="D7" s="1293"/>
      <c r="E7" s="1293"/>
      <c r="F7" s="1293"/>
      <c r="G7" s="1294" t="s">
        <v>555</v>
      </c>
      <c r="H7" s="1294" t="s">
        <v>555</v>
      </c>
      <c r="I7" s="1294" t="s">
        <v>555</v>
      </c>
      <c r="J7" s="1294" t="s">
        <v>555</v>
      </c>
      <c r="K7" s="1294" t="s">
        <v>555</v>
      </c>
      <c r="L7" s="1294" t="s">
        <v>555</v>
      </c>
      <c r="M7" s="1294" t="s">
        <v>555</v>
      </c>
      <c r="N7" s="1294" t="s">
        <v>555</v>
      </c>
      <c r="O7" s="1294" t="s">
        <v>555</v>
      </c>
      <c r="P7" s="1294" t="s">
        <v>562</v>
      </c>
      <c r="Q7" s="1294" t="s">
        <v>562</v>
      </c>
      <c r="R7" s="1294" t="s">
        <v>562</v>
      </c>
      <c r="S7" s="1294" t="s">
        <v>562</v>
      </c>
      <c r="T7" s="1294" t="s">
        <v>562</v>
      </c>
      <c r="U7" s="1294" t="s">
        <v>562</v>
      </c>
      <c r="V7" s="1294" t="s">
        <v>562</v>
      </c>
      <c r="W7" s="1294" t="s">
        <v>562</v>
      </c>
      <c r="X7" s="1294" t="s">
        <v>562</v>
      </c>
      <c r="Y7" s="1294" t="s">
        <v>562</v>
      </c>
      <c r="Z7" s="1294" t="s">
        <v>562</v>
      </c>
      <c r="AA7" s="1283"/>
      <c r="AB7" s="1295">
        <v>0</v>
      </c>
      <c r="AC7" s="1286"/>
    </row>
    <row r="8" spans="1:32" s="1280" customFormat="1" ht="17.25" customHeight="1" thickTop="1" thickBot="1">
      <c r="A8" s="1279"/>
      <c r="B8" s="1282"/>
      <c r="C8" s="1283"/>
      <c r="D8" s="1296" t="s">
        <v>877</v>
      </c>
      <c r="E8" s="1293"/>
      <c r="F8" s="1293"/>
      <c r="G8" s="1293"/>
      <c r="H8" s="1283"/>
      <c r="I8" s="1297"/>
      <c r="J8" s="1283"/>
      <c r="K8" s="1283"/>
      <c r="L8" s="1283"/>
      <c r="M8" s="1283"/>
      <c r="N8" s="1283"/>
      <c r="O8" s="1283"/>
      <c r="P8" s="1283"/>
      <c r="Q8" s="1283"/>
      <c r="R8" s="1283"/>
      <c r="S8" s="1283"/>
      <c r="T8" s="1283"/>
      <c r="U8" s="1283"/>
      <c r="V8" s="1283"/>
      <c r="W8" s="1283"/>
      <c r="X8" s="1283"/>
      <c r="Y8" s="1283"/>
      <c r="Z8" s="1283"/>
      <c r="AA8" s="1283"/>
      <c r="AB8" s="1286"/>
      <c r="AC8" s="1286"/>
    </row>
    <row r="9" spans="1:32" s="1280" customFormat="1" ht="17.25" customHeight="1">
      <c r="A9" s="1279"/>
      <c r="B9" s="1282"/>
      <c r="C9" s="1298">
        <v>1</v>
      </c>
      <c r="D9" s="1299">
        <v>555010</v>
      </c>
      <c r="E9" s="1300" t="s">
        <v>728</v>
      </c>
      <c r="F9" s="1299">
        <v>15</v>
      </c>
      <c r="G9" s="1301"/>
      <c r="H9" s="1302"/>
      <c r="I9" s="1303">
        <v>0</v>
      </c>
      <c r="J9" s="1303">
        <v>0</v>
      </c>
      <c r="K9" s="1303">
        <v>0</v>
      </c>
      <c r="L9" s="1303">
        <v>0</v>
      </c>
      <c r="M9" s="1302">
        <v>0</v>
      </c>
      <c r="N9" s="4232">
        <v>0</v>
      </c>
      <c r="O9" s="4232">
        <v>0</v>
      </c>
      <c r="P9" s="205">
        <f t="shared" ref="P9:Z9" si="1">O9*(1+VLOOKUP($F9,OM_Esc,P$173,FALSE))</f>
        <v>0</v>
      </c>
      <c r="Q9" s="205">
        <f t="shared" si="1"/>
        <v>0</v>
      </c>
      <c r="R9" s="205">
        <f t="shared" si="1"/>
        <v>0</v>
      </c>
      <c r="S9" s="205">
        <f t="shared" si="1"/>
        <v>0</v>
      </c>
      <c r="T9" s="205">
        <f t="shared" si="1"/>
        <v>0</v>
      </c>
      <c r="U9" s="205">
        <f t="shared" si="1"/>
        <v>0</v>
      </c>
      <c r="V9" s="205">
        <f t="shared" si="1"/>
        <v>0</v>
      </c>
      <c r="W9" s="205">
        <f t="shared" si="1"/>
        <v>0</v>
      </c>
      <c r="X9" s="205">
        <f t="shared" si="1"/>
        <v>0</v>
      </c>
      <c r="Y9" s="205">
        <f t="shared" si="1"/>
        <v>0</v>
      </c>
      <c r="Z9" s="205">
        <f t="shared" si="1"/>
        <v>0</v>
      </c>
      <c r="AA9" s="1283"/>
      <c r="AB9" s="1286"/>
    </row>
    <row r="10" spans="1:32" s="1280" customFormat="1" ht="17.25" customHeight="1">
      <c r="A10" s="1279"/>
      <c r="B10" s="1282"/>
      <c r="C10" s="1298">
        <f>+MAX($C$9:C9)+1</f>
        <v>2</v>
      </c>
      <c r="D10" s="1299">
        <v>555020</v>
      </c>
      <c r="E10" s="1300" t="s">
        <v>729</v>
      </c>
      <c r="F10" s="1299">
        <v>15</v>
      </c>
      <c r="G10" s="1305"/>
      <c r="H10" s="1306"/>
      <c r="I10" s="1305">
        <v>59265.07</v>
      </c>
      <c r="J10" s="1307">
        <v>0</v>
      </c>
      <c r="K10" s="1307">
        <v>0</v>
      </c>
      <c r="L10" s="1307">
        <v>0</v>
      </c>
      <c r="M10" s="1306">
        <v>0</v>
      </c>
      <c r="N10" s="4233">
        <v>0</v>
      </c>
      <c r="O10" s="4233">
        <v>0</v>
      </c>
      <c r="P10" s="205">
        <f t="shared" ref="P10:Z10" si="2">O10*(1+VLOOKUP($F10,OM_Esc,P$173,FALSE))</f>
        <v>0</v>
      </c>
      <c r="Q10" s="205">
        <f t="shared" si="2"/>
        <v>0</v>
      </c>
      <c r="R10" s="205">
        <f t="shared" si="2"/>
        <v>0</v>
      </c>
      <c r="S10" s="205">
        <f t="shared" si="2"/>
        <v>0</v>
      </c>
      <c r="T10" s="205">
        <f t="shared" si="2"/>
        <v>0</v>
      </c>
      <c r="U10" s="205">
        <f t="shared" si="2"/>
        <v>0</v>
      </c>
      <c r="V10" s="205">
        <f t="shared" si="2"/>
        <v>0</v>
      </c>
      <c r="W10" s="205">
        <f t="shared" si="2"/>
        <v>0</v>
      </c>
      <c r="X10" s="205">
        <f t="shared" si="2"/>
        <v>0</v>
      </c>
      <c r="Y10" s="205">
        <f t="shared" si="2"/>
        <v>0</v>
      </c>
      <c r="Z10" s="205">
        <f t="shared" si="2"/>
        <v>0</v>
      </c>
      <c r="AA10" s="1283"/>
      <c r="AB10" s="1286"/>
    </row>
    <row r="11" spans="1:32" s="1280" customFormat="1" ht="17.25" customHeight="1">
      <c r="A11" s="1279"/>
      <c r="B11" s="1282"/>
      <c r="C11" s="1298">
        <f>+MAX($C$9:C10)+1</f>
        <v>3</v>
      </c>
      <c r="D11" s="1299">
        <v>555025</v>
      </c>
      <c r="E11" s="1300" t="s">
        <v>730</v>
      </c>
      <c r="F11" s="1299">
        <v>15</v>
      </c>
      <c r="G11" s="1305"/>
      <c r="H11" s="1306"/>
      <c r="I11" s="1305">
        <v>0</v>
      </c>
      <c r="J11" s="1307">
        <v>0</v>
      </c>
      <c r="K11" s="1307">
        <v>0</v>
      </c>
      <c r="L11" s="1307">
        <v>0</v>
      </c>
      <c r="M11" s="1306">
        <v>0</v>
      </c>
      <c r="N11" s="4233">
        <v>0</v>
      </c>
      <c r="O11" s="4233">
        <v>0</v>
      </c>
      <c r="P11" s="205">
        <f t="shared" ref="P11:Z11" si="3">O11*(1+VLOOKUP($F11,OM_Esc,P$173,FALSE))</f>
        <v>0</v>
      </c>
      <c r="Q11" s="205">
        <f t="shared" si="3"/>
        <v>0</v>
      </c>
      <c r="R11" s="205">
        <f t="shared" si="3"/>
        <v>0</v>
      </c>
      <c r="S11" s="205">
        <f t="shared" si="3"/>
        <v>0</v>
      </c>
      <c r="T11" s="205">
        <f t="shared" si="3"/>
        <v>0</v>
      </c>
      <c r="U11" s="205">
        <f t="shared" si="3"/>
        <v>0</v>
      </c>
      <c r="V11" s="205">
        <f t="shared" si="3"/>
        <v>0</v>
      </c>
      <c r="W11" s="205">
        <f t="shared" si="3"/>
        <v>0</v>
      </c>
      <c r="X11" s="205">
        <f t="shared" si="3"/>
        <v>0</v>
      </c>
      <c r="Y11" s="205">
        <f t="shared" si="3"/>
        <v>0</v>
      </c>
      <c r="Z11" s="205">
        <f t="shared" si="3"/>
        <v>0</v>
      </c>
      <c r="AA11" s="1283"/>
      <c r="AB11" s="1286"/>
    </row>
    <row r="12" spans="1:32" s="1280" customFormat="1" ht="17.25" customHeight="1">
      <c r="A12" s="1279"/>
      <c r="B12" s="1282"/>
      <c r="C12" s="1298">
        <f>+MAX($C$9:C11)+1</f>
        <v>4</v>
      </c>
      <c r="D12" s="1299">
        <v>555030</v>
      </c>
      <c r="E12" s="1300" t="s">
        <v>731</v>
      </c>
      <c r="F12" s="1299">
        <v>15</v>
      </c>
      <c r="G12" s="1305"/>
      <c r="H12" s="1306"/>
      <c r="I12" s="1305">
        <v>17290.55</v>
      </c>
      <c r="J12" s="1307">
        <v>0</v>
      </c>
      <c r="K12" s="1307">
        <v>0</v>
      </c>
      <c r="L12" s="1307">
        <v>0</v>
      </c>
      <c r="M12" s="1306">
        <v>0</v>
      </c>
      <c r="N12" s="4233">
        <v>0</v>
      </c>
      <c r="O12" s="4233">
        <v>0</v>
      </c>
      <c r="P12" s="205">
        <f t="shared" ref="P12:Z12" si="4">O12*(1+VLOOKUP($F12,OM_Esc,P$173,FALSE))</f>
        <v>0</v>
      </c>
      <c r="Q12" s="205">
        <f t="shared" si="4"/>
        <v>0</v>
      </c>
      <c r="R12" s="205">
        <f t="shared" si="4"/>
        <v>0</v>
      </c>
      <c r="S12" s="205">
        <f t="shared" si="4"/>
        <v>0</v>
      </c>
      <c r="T12" s="205">
        <f t="shared" si="4"/>
        <v>0</v>
      </c>
      <c r="U12" s="205">
        <f t="shared" si="4"/>
        <v>0</v>
      </c>
      <c r="V12" s="205">
        <f t="shared" si="4"/>
        <v>0</v>
      </c>
      <c r="W12" s="205">
        <f t="shared" si="4"/>
        <v>0</v>
      </c>
      <c r="X12" s="205">
        <f t="shared" si="4"/>
        <v>0</v>
      </c>
      <c r="Y12" s="205">
        <f t="shared" si="4"/>
        <v>0</v>
      </c>
      <c r="Z12" s="205">
        <f t="shared" si="4"/>
        <v>0</v>
      </c>
      <c r="AA12" s="1283"/>
      <c r="AB12" s="1286"/>
    </row>
    <row r="13" spans="1:32" s="1280" customFormat="1" ht="17.25" customHeight="1">
      <c r="A13" s="1279"/>
      <c r="B13" s="1282"/>
      <c r="C13" s="1298">
        <f>+MAX($C$9:C12)+1</f>
        <v>5</v>
      </c>
      <c r="D13" s="1299">
        <v>555035</v>
      </c>
      <c r="E13" s="1300" t="s">
        <v>1846</v>
      </c>
      <c r="F13" s="1299">
        <v>15</v>
      </c>
      <c r="G13" s="1305"/>
      <c r="H13" s="1306"/>
      <c r="I13" s="1305">
        <v>0</v>
      </c>
      <c r="J13" s="1307">
        <v>0</v>
      </c>
      <c r="K13" s="1307">
        <v>0</v>
      </c>
      <c r="L13" s="1307">
        <v>0</v>
      </c>
      <c r="M13" s="1306">
        <v>0</v>
      </c>
      <c r="N13" s="4233">
        <v>0</v>
      </c>
      <c r="O13" s="4233">
        <v>0</v>
      </c>
      <c r="P13" s="205">
        <f t="shared" ref="P13:Z13" si="5">O13*(1+VLOOKUP($F13,OM_Esc,P$173,FALSE))</f>
        <v>0</v>
      </c>
      <c r="Q13" s="205">
        <f t="shared" si="5"/>
        <v>0</v>
      </c>
      <c r="R13" s="205">
        <f t="shared" si="5"/>
        <v>0</v>
      </c>
      <c r="S13" s="205">
        <f t="shared" si="5"/>
        <v>0</v>
      </c>
      <c r="T13" s="205">
        <f t="shared" si="5"/>
        <v>0</v>
      </c>
      <c r="U13" s="205">
        <f t="shared" si="5"/>
        <v>0</v>
      </c>
      <c r="V13" s="205">
        <f t="shared" si="5"/>
        <v>0</v>
      </c>
      <c r="W13" s="205">
        <f t="shared" si="5"/>
        <v>0</v>
      </c>
      <c r="X13" s="205">
        <f t="shared" si="5"/>
        <v>0</v>
      </c>
      <c r="Y13" s="205">
        <f t="shared" si="5"/>
        <v>0</v>
      </c>
      <c r="Z13" s="205">
        <f t="shared" si="5"/>
        <v>0</v>
      </c>
      <c r="AA13" s="1283"/>
      <c r="AB13" s="1286"/>
    </row>
    <row r="14" spans="1:32" s="1280" customFormat="1" ht="17.25" customHeight="1">
      <c r="A14" s="1279"/>
      <c r="B14" s="1282"/>
      <c r="C14" s="1298">
        <f>+MAX($C$9:C13)+1</f>
        <v>6</v>
      </c>
      <c r="D14" s="1299">
        <v>555070</v>
      </c>
      <c r="E14" s="1300" t="s">
        <v>732</v>
      </c>
      <c r="F14" s="1299">
        <v>15</v>
      </c>
      <c r="G14" s="1305"/>
      <c r="H14" s="1306"/>
      <c r="I14" s="1305">
        <v>0</v>
      </c>
      <c r="J14" s="1307">
        <v>0</v>
      </c>
      <c r="K14" s="1307">
        <v>0</v>
      </c>
      <c r="L14" s="1307">
        <v>0</v>
      </c>
      <c r="M14" s="1306">
        <v>0</v>
      </c>
      <c r="N14" s="4233">
        <v>0</v>
      </c>
      <c r="O14" s="4233">
        <v>0</v>
      </c>
      <c r="P14" s="205">
        <f t="shared" ref="P14:Z14" si="6">O14*(1+VLOOKUP($F14,OM_Esc,P$173,FALSE))</f>
        <v>0</v>
      </c>
      <c r="Q14" s="205">
        <f t="shared" si="6"/>
        <v>0</v>
      </c>
      <c r="R14" s="205">
        <f t="shared" si="6"/>
        <v>0</v>
      </c>
      <c r="S14" s="205">
        <f t="shared" si="6"/>
        <v>0</v>
      </c>
      <c r="T14" s="205">
        <f t="shared" si="6"/>
        <v>0</v>
      </c>
      <c r="U14" s="205">
        <f t="shared" si="6"/>
        <v>0</v>
      </c>
      <c r="V14" s="205">
        <f t="shared" si="6"/>
        <v>0</v>
      </c>
      <c r="W14" s="205">
        <f t="shared" si="6"/>
        <v>0</v>
      </c>
      <c r="X14" s="205">
        <f t="shared" si="6"/>
        <v>0</v>
      </c>
      <c r="Y14" s="205">
        <f t="shared" si="6"/>
        <v>0</v>
      </c>
      <c r="Z14" s="205">
        <f t="shared" si="6"/>
        <v>0</v>
      </c>
      <c r="AA14" s="1283"/>
      <c r="AB14" s="1286"/>
    </row>
    <row r="15" spans="1:32" s="1280" customFormat="1" ht="17.25" customHeight="1">
      <c r="A15" s="1279"/>
      <c r="B15" s="1282"/>
      <c r="C15" s="1298">
        <f>+MAX($C$9:C14)+1</f>
        <v>7</v>
      </c>
      <c r="D15" s="1299">
        <v>555500</v>
      </c>
      <c r="E15" s="1300" t="s">
        <v>733</v>
      </c>
      <c r="F15" s="1299">
        <v>15</v>
      </c>
      <c r="G15" s="1305"/>
      <c r="H15" s="1306"/>
      <c r="I15" s="1305">
        <v>0</v>
      </c>
      <c r="J15" s="1307">
        <v>0</v>
      </c>
      <c r="K15" s="1307">
        <v>0</v>
      </c>
      <c r="L15" s="1307">
        <v>0</v>
      </c>
      <c r="M15" s="1306">
        <v>0</v>
      </c>
      <c r="N15" s="4233">
        <v>0</v>
      </c>
      <c r="O15" s="4233">
        <v>0</v>
      </c>
      <c r="P15" s="205">
        <f t="shared" ref="P15:Z15" si="7">O15*(1+VLOOKUP($F15,OM_Esc,P$173,FALSE))</f>
        <v>0</v>
      </c>
      <c r="Q15" s="205">
        <f t="shared" si="7"/>
        <v>0</v>
      </c>
      <c r="R15" s="205">
        <f t="shared" si="7"/>
        <v>0</v>
      </c>
      <c r="S15" s="205">
        <f t="shared" si="7"/>
        <v>0</v>
      </c>
      <c r="T15" s="205">
        <f t="shared" si="7"/>
        <v>0</v>
      </c>
      <c r="U15" s="205">
        <f t="shared" si="7"/>
        <v>0</v>
      </c>
      <c r="V15" s="205">
        <f t="shared" si="7"/>
        <v>0</v>
      </c>
      <c r="W15" s="205">
        <f t="shared" si="7"/>
        <v>0</v>
      </c>
      <c r="X15" s="205">
        <f t="shared" si="7"/>
        <v>0</v>
      </c>
      <c r="Y15" s="205">
        <f t="shared" si="7"/>
        <v>0</v>
      </c>
      <c r="Z15" s="205">
        <f t="shared" si="7"/>
        <v>0</v>
      </c>
      <c r="AA15" s="1283"/>
      <c r="AB15" s="1286"/>
    </row>
    <row r="16" spans="1:32" s="1280" customFormat="1" ht="17.25" customHeight="1">
      <c r="A16" s="1279"/>
      <c r="B16" s="1282"/>
      <c r="C16" s="1298">
        <f>+MAX($C$9:C15)+1</f>
        <v>8</v>
      </c>
      <c r="D16" s="1299">
        <v>555666</v>
      </c>
      <c r="E16" s="1300" t="s">
        <v>734</v>
      </c>
      <c r="F16" s="1299">
        <v>15</v>
      </c>
      <c r="G16" s="1305"/>
      <c r="H16" s="1306"/>
      <c r="I16" s="1305">
        <v>0</v>
      </c>
      <c r="J16" s="1307">
        <v>0</v>
      </c>
      <c r="K16" s="1307">
        <v>0</v>
      </c>
      <c r="L16" s="1307">
        <v>0</v>
      </c>
      <c r="M16" s="1306">
        <v>0</v>
      </c>
      <c r="N16" s="4233">
        <v>0</v>
      </c>
      <c r="O16" s="4233">
        <v>0</v>
      </c>
      <c r="P16" s="205">
        <f t="shared" ref="P16:Z16" si="8">O16*(1+VLOOKUP($F16,OM_Esc,P$173,FALSE))</f>
        <v>0</v>
      </c>
      <c r="Q16" s="205">
        <f t="shared" si="8"/>
        <v>0</v>
      </c>
      <c r="R16" s="205">
        <f t="shared" si="8"/>
        <v>0</v>
      </c>
      <c r="S16" s="205">
        <f t="shared" si="8"/>
        <v>0</v>
      </c>
      <c r="T16" s="205">
        <f t="shared" si="8"/>
        <v>0</v>
      </c>
      <c r="U16" s="205">
        <f t="shared" si="8"/>
        <v>0</v>
      </c>
      <c r="V16" s="205">
        <f t="shared" si="8"/>
        <v>0</v>
      </c>
      <c r="W16" s="205">
        <f t="shared" si="8"/>
        <v>0</v>
      </c>
      <c r="X16" s="205">
        <f t="shared" si="8"/>
        <v>0</v>
      </c>
      <c r="Y16" s="205">
        <f t="shared" si="8"/>
        <v>0</v>
      </c>
      <c r="Z16" s="205">
        <f t="shared" si="8"/>
        <v>0</v>
      </c>
      <c r="AA16" s="1283"/>
      <c r="AB16" s="1286"/>
    </row>
    <row r="17" spans="1:29" s="1280" customFormat="1" ht="17.25" customHeight="1">
      <c r="A17" s="1279"/>
      <c r="B17" s="1282"/>
      <c r="C17" s="1298">
        <f>+MAX($C$9:C16)+1</f>
        <v>9</v>
      </c>
      <c r="D17" s="1299">
        <v>555900</v>
      </c>
      <c r="E17" s="1300" t="s">
        <v>1845</v>
      </c>
      <c r="F17" s="1299">
        <v>15</v>
      </c>
      <c r="G17" s="1305"/>
      <c r="H17" s="1306"/>
      <c r="I17" s="1305">
        <v>0</v>
      </c>
      <c r="J17" s="1307">
        <v>0</v>
      </c>
      <c r="K17" s="1307">
        <v>0</v>
      </c>
      <c r="L17" s="1307">
        <v>0</v>
      </c>
      <c r="M17" s="1306">
        <v>0</v>
      </c>
      <c r="N17" s="4233">
        <v>0</v>
      </c>
      <c r="O17" s="4233">
        <v>0</v>
      </c>
      <c r="P17" s="205">
        <f t="shared" ref="P17:Z17" si="9">O17*(1+VLOOKUP($F17,OM_Esc,P$173,FALSE))</f>
        <v>0</v>
      </c>
      <c r="Q17" s="205">
        <f t="shared" si="9"/>
        <v>0</v>
      </c>
      <c r="R17" s="205">
        <f t="shared" si="9"/>
        <v>0</v>
      </c>
      <c r="S17" s="205">
        <f t="shared" si="9"/>
        <v>0</v>
      </c>
      <c r="T17" s="205">
        <f t="shared" si="9"/>
        <v>0</v>
      </c>
      <c r="U17" s="205">
        <f t="shared" si="9"/>
        <v>0</v>
      </c>
      <c r="V17" s="205">
        <f t="shared" si="9"/>
        <v>0</v>
      </c>
      <c r="W17" s="205">
        <f t="shared" si="9"/>
        <v>0</v>
      </c>
      <c r="X17" s="205">
        <f t="shared" si="9"/>
        <v>0</v>
      </c>
      <c r="Y17" s="205">
        <f t="shared" si="9"/>
        <v>0</v>
      </c>
      <c r="Z17" s="205">
        <f t="shared" si="9"/>
        <v>0</v>
      </c>
      <c r="AA17" s="1283"/>
      <c r="AB17" s="1286"/>
    </row>
    <row r="18" spans="1:29" s="1280" customFormat="1" ht="17.25" customHeight="1">
      <c r="A18" s="1279"/>
      <c r="B18" s="1282"/>
      <c r="C18" s="1298">
        <f>+MAX($C$9:C17)+1</f>
        <v>10</v>
      </c>
      <c r="D18" s="1299">
        <v>555999</v>
      </c>
      <c r="E18" s="1300" t="s">
        <v>1844</v>
      </c>
      <c r="F18" s="1299">
        <v>15</v>
      </c>
      <c r="G18" s="1305"/>
      <c r="H18" s="1306"/>
      <c r="I18" s="1305">
        <v>0</v>
      </c>
      <c r="J18" s="1307">
        <v>0</v>
      </c>
      <c r="K18" s="1307">
        <v>0</v>
      </c>
      <c r="L18" s="1307">
        <v>0</v>
      </c>
      <c r="M18" s="1306">
        <v>0</v>
      </c>
      <c r="N18" s="4233">
        <v>0</v>
      </c>
      <c r="O18" s="4233">
        <v>0</v>
      </c>
      <c r="P18" s="205">
        <f t="shared" ref="P18:Z18" si="10">O18*(1+VLOOKUP($F18,OM_Esc,P$173,FALSE))</f>
        <v>0</v>
      </c>
      <c r="Q18" s="205">
        <f t="shared" si="10"/>
        <v>0</v>
      </c>
      <c r="R18" s="205">
        <f t="shared" si="10"/>
        <v>0</v>
      </c>
      <c r="S18" s="205">
        <f t="shared" si="10"/>
        <v>0</v>
      </c>
      <c r="T18" s="205">
        <f t="shared" si="10"/>
        <v>0</v>
      </c>
      <c r="U18" s="205">
        <f t="shared" si="10"/>
        <v>0</v>
      </c>
      <c r="V18" s="205">
        <f t="shared" si="10"/>
        <v>0</v>
      </c>
      <c r="W18" s="205">
        <f t="shared" si="10"/>
        <v>0</v>
      </c>
      <c r="X18" s="205">
        <f t="shared" si="10"/>
        <v>0</v>
      </c>
      <c r="Y18" s="205">
        <f t="shared" si="10"/>
        <v>0</v>
      </c>
      <c r="Z18" s="205">
        <f t="shared" si="10"/>
        <v>0</v>
      </c>
      <c r="AA18" s="1283"/>
      <c r="AB18" s="1286"/>
    </row>
    <row r="19" spans="1:29" s="1280" customFormat="1" ht="17.25" customHeight="1" thickBot="1">
      <c r="A19" s="1279"/>
      <c r="B19" s="1282"/>
      <c r="C19" s="1298">
        <f>+MAX($C$9:C18)+1</f>
        <v>11</v>
      </c>
      <c r="D19" s="1299">
        <v>557050</v>
      </c>
      <c r="E19" s="1300" t="s">
        <v>735</v>
      </c>
      <c r="F19" s="1299">
        <v>15</v>
      </c>
      <c r="G19" s="1308"/>
      <c r="H19" s="1309"/>
      <c r="I19" s="1308">
        <v>0</v>
      </c>
      <c r="J19" s="1310">
        <v>0</v>
      </c>
      <c r="K19" s="1310">
        <v>0</v>
      </c>
      <c r="L19" s="1310">
        <v>0</v>
      </c>
      <c r="M19" s="1309">
        <v>0</v>
      </c>
      <c r="N19" s="4234">
        <v>0</v>
      </c>
      <c r="O19" s="4234">
        <v>0</v>
      </c>
      <c r="P19" s="205">
        <f t="shared" ref="P19:Z19" si="11">O19*(1+VLOOKUP($F19,OM_Esc,P$173,FALSE))</f>
        <v>0</v>
      </c>
      <c r="Q19" s="205">
        <f t="shared" si="11"/>
        <v>0</v>
      </c>
      <c r="R19" s="205">
        <f t="shared" si="11"/>
        <v>0</v>
      </c>
      <c r="S19" s="205">
        <f t="shared" si="11"/>
        <v>0</v>
      </c>
      <c r="T19" s="205">
        <f t="shared" si="11"/>
        <v>0</v>
      </c>
      <c r="U19" s="205">
        <f t="shared" si="11"/>
        <v>0</v>
      </c>
      <c r="V19" s="205">
        <f t="shared" si="11"/>
        <v>0</v>
      </c>
      <c r="W19" s="205">
        <f t="shared" si="11"/>
        <v>0</v>
      </c>
      <c r="X19" s="205">
        <f t="shared" si="11"/>
        <v>0</v>
      </c>
      <c r="Y19" s="205">
        <f t="shared" si="11"/>
        <v>0</v>
      </c>
      <c r="Z19" s="205">
        <f t="shared" si="11"/>
        <v>0</v>
      </c>
      <c r="AA19" s="1283"/>
      <c r="AB19" s="1286"/>
    </row>
    <row r="20" spans="1:29" s="1280" customFormat="1" ht="17.25" customHeight="1">
      <c r="A20" s="1279"/>
      <c r="B20" s="1282"/>
      <c r="C20" s="1298">
        <f>+MAX($C$9:C19)+1</f>
        <v>12</v>
      </c>
      <c r="D20" s="1300"/>
      <c r="E20" s="1300"/>
      <c r="F20" s="1299"/>
      <c r="G20" s="1311">
        <f t="shared" ref="G20:Z20" si="12">SUM(G9:G19)</f>
        <v>0</v>
      </c>
      <c r="H20" s="1311">
        <f t="shared" si="12"/>
        <v>0</v>
      </c>
      <c r="I20" s="1311">
        <f t="shared" si="12"/>
        <v>76555.62</v>
      </c>
      <c r="J20" s="1311">
        <f t="shared" si="12"/>
        <v>0</v>
      </c>
      <c r="K20" s="1311">
        <f t="shared" si="12"/>
        <v>0</v>
      </c>
      <c r="L20" s="1311">
        <f t="shared" si="12"/>
        <v>0</v>
      </c>
      <c r="M20" s="1311">
        <f t="shared" si="12"/>
        <v>0</v>
      </c>
      <c r="N20" s="1311">
        <f t="shared" si="12"/>
        <v>0</v>
      </c>
      <c r="O20" s="1311">
        <f t="shared" si="12"/>
        <v>0</v>
      </c>
      <c r="P20" s="1311">
        <f t="shared" si="12"/>
        <v>0</v>
      </c>
      <c r="Q20" s="1311">
        <f t="shared" si="12"/>
        <v>0</v>
      </c>
      <c r="R20" s="1311">
        <f t="shared" si="12"/>
        <v>0</v>
      </c>
      <c r="S20" s="1311">
        <f t="shared" si="12"/>
        <v>0</v>
      </c>
      <c r="T20" s="1311">
        <f t="shared" si="12"/>
        <v>0</v>
      </c>
      <c r="U20" s="1311">
        <f t="shared" si="12"/>
        <v>0</v>
      </c>
      <c r="V20" s="1311">
        <f t="shared" si="12"/>
        <v>0</v>
      </c>
      <c r="W20" s="1311">
        <f t="shared" si="12"/>
        <v>0</v>
      </c>
      <c r="X20" s="1311">
        <f t="shared" si="12"/>
        <v>0</v>
      </c>
      <c r="Y20" s="1311">
        <f t="shared" si="12"/>
        <v>0</v>
      </c>
      <c r="Z20" s="1311">
        <f t="shared" si="12"/>
        <v>0</v>
      </c>
      <c r="AA20" s="1283"/>
      <c r="AB20" s="1286"/>
    </row>
    <row r="21" spans="1:29" s="1280" customFormat="1" ht="17.25" customHeight="1" thickBot="1">
      <c r="A21" s="1279"/>
      <c r="B21" s="1282"/>
      <c r="C21" s="1298">
        <f>+MAX($C$9:C20)+1</f>
        <v>13</v>
      </c>
      <c r="D21" s="1296" t="s">
        <v>2231</v>
      </c>
      <c r="E21" s="1293"/>
      <c r="F21" s="1293"/>
      <c r="G21" s="1293"/>
      <c r="H21" s="1283"/>
      <c r="I21" s="1297"/>
      <c r="J21" s="1283"/>
      <c r="K21" s="1283"/>
      <c r="L21" s="1283"/>
      <c r="M21" s="1283"/>
      <c r="N21" s="1283"/>
      <c r="O21" s="1283"/>
      <c r="P21" s="1283"/>
      <c r="Q21" s="1283"/>
      <c r="R21" s="1283"/>
      <c r="S21" s="1283"/>
      <c r="T21" s="1283"/>
      <c r="U21" s="1283"/>
      <c r="V21" s="1283"/>
      <c r="W21" s="1283"/>
      <c r="X21" s="1283"/>
      <c r="Y21" s="1283"/>
      <c r="Z21" s="1283"/>
      <c r="AA21" s="1283"/>
      <c r="AB21" s="1286"/>
      <c r="AC21" s="1286"/>
    </row>
    <row r="22" spans="1:29" s="1280" customFormat="1" ht="17.25" customHeight="1">
      <c r="A22" s="1279"/>
      <c r="B22" s="1282"/>
      <c r="C22" s="1298">
        <f>+MAX($C$9:C21)+1</f>
        <v>14</v>
      </c>
      <c r="D22" s="1299">
        <v>539900</v>
      </c>
      <c r="E22" s="1300" t="s">
        <v>2124</v>
      </c>
      <c r="F22" s="1299">
        <v>14</v>
      </c>
      <c r="G22" s="1301"/>
      <c r="H22" s="1302"/>
      <c r="I22" s="1303">
        <v>0</v>
      </c>
      <c r="J22" s="1303">
        <v>2319603.52</v>
      </c>
      <c r="K22" s="1303">
        <v>2611294.63</v>
      </c>
      <c r="L22" s="1303">
        <v>2543696.02</v>
      </c>
      <c r="M22" s="1302">
        <v>2474653.35</v>
      </c>
      <c r="N22" s="4232">
        <v>2843245.7</v>
      </c>
      <c r="O22" s="4232">
        <v>2825968.61</v>
      </c>
      <c r="P22" s="205">
        <f>O22/O$26*'Forecast (BV) 2017'!K$74</f>
        <v>1690215.5066057355</v>
      </c>
      <c r="Q22" s="205">
        <f>P22/P$26*'Forecast (BV) 2017'!L$74</f>
        <v>1670479.1566076695</v>
      </c>
      <c r="R22" s="205">
        <f>Q22/Q$26*'Forecast (BV) 2017'!M$74</f>
        <v>1737918.3527718324</v>
      </c>
      <c r="S22" s="205">
        <f>R22/R$26*'Forecast (BV) 2017'!N$74</f>
        <v>1801066.6048632814</v>
      </c>
      <c r="T22" s="205">
        <f>S22/S$26*'Forecast (BV) 2017'!O$74</f>
        <v>1868480.5788670133</v>
      </c>
      <c r="U22" s="205">
        <f>T22/T$26*'Forecast (BV) 2017'!P$74</f>
        <v>1968458.4457687328</v>
      </c>
      <c r="V22" s="205">
        <f>U22/U$26*'Forecast (BV) 2017'!Q$74</f>
        <v>1909181.553322359</v>
      </c>
      <c r="W22" s="205">
        <f>V22/V$26*'Forecast (BV) 2017'!R$74</f>
        <v>2018059.4603900374</v>
      </c>
      <c r="X22" s="205">
        <f>W22/W$26*'Forecast (BV) 2017'!S$74</f>
        <v>2109600.0187922232</v>
      </c>
      <c r="Y22" s="205">
        <f>X22/X$26*'Forecast (BV) 2017'!T$74</f>
        <v>2262329.3325491929</v>
      </c>
      <c r="Z22" s="205">
        <f>Y22/Y$26*'Forecast (BV) 2017'!U$74</f>
        <v>2432152.966225632</v>
      </c>
      <c r="AA22" s="1283"/>
      <c r="AB22" s="1286"/>
    </row>
    <row r="23" spans="1:29" s="1280" customFormat="1" ht="17.25" customHeight="1">
      <c r="A23" s="1279"/>
      <c r="B23" s="1282"/>
      <c r="C23" s="1298">
        <f>+MAX($C$9:C22)+1</f>
        <v>15</v>
      </c>
      <c r="D23" s="1299">
        <v>545040</v>
      </c>
      <c r="E23" s="1300" t="s">
        <v>2601</v>
      </c>
      <c r="F23" s="1299">
        <v>14</v>
      </c>
      <c r="G23" s="1305"/>
      <c r="H23" s="1306"/>
      <c r="I23" s="1307">
        <v>3091272.0300000003</v>
      </c>
      <c r="J23" s="1307">
        <v>125935.62</v>
      </c>
      <c r="K23" s="1307">
        <v>1071.8800000000001</v>
      </c>
      <c r="L23" s="1307">
        <v>279340.23</v>
      </c>
      <c r="M23" s="1306">
        <v>709269.02</v>
      </c>
      <c r="N23" s="4233"/>
      <c r="O23" s="4233"/>
      <c r="P23" s="205">
        <f>O23/O$26*'Forecast (BV) 2017'!K$74</f>
        <v>0</v>
      </c>
      <c r="Q23" s="205">
        <f>P23/P$26*'Forecast (BV) 2017'!L$74</f>
        <v>0</v>
      </c>
      <c r="R23" s="205">
        <f>Q23/Q$26*'Forecast (BV) 2017'!M$74</f>
        <v>0</v>
      </c>
      <c r="S23" s="205">
        <f>R23/R$26*'Forecast (BV) 2017'!N$74</f>
        <v>0</v>
      </c>
      <c r="T23" s="205">
        <f>S23/S$26*'Forecast (BV) 2017'!O$74</f>
        <v>0</v>
      </c>
      <c r="U23" s="205">
        <f>T23/T$26*'Forecast (BV) 2017'!P$74</f>
        <v>0</v>
      </c>
      <c r="V23" s="205">
        <f>U23/U$26*'Forecast (BV) 2017'!Q$74</f>
        <v>0</v>
      </c>
      <c r="W23" s="205">
        <f>V23/V$26*'Forecast (BV) 2017'!R$74</f>
        <v>0</v>
      </c>
      <c r="X23" s="205">
        <f>W23/W$26*'Forecast (BV) 2017'!S$74</f>
        <v>0</v>
      </c>
      <c r="Y23" s="205">
        <f>X23/X$26*'Forecast (BV) 2017'!T$74</f>
        <v>0</v>
      </c>
      <c r="Z23" s="205">
        <f>Y23/Y$26*'Forecast (BV) 2017'!U$74</f>
        <v>0</v>
      </c>
      <c r="AA23" s="1283"/>
      <c r="AB23" s="1286"/>
    </row>
    <row r="24" spans="1:29" s="1280" customFormat="1" ht="17.25" customHeight="1">
      <c r="A24" s="1279"/>
      <c r="B24" s="1282"/>
      <c r="C24" s="1298">
        <f>+MAX($C$9:C23)+1</f>
        <v>16</v>
      </c>
      <c r="D24" s="1299">
        <v>545900</v>
      </c>
      <c r="E24" s="1300" t="s">
        <v>2135</v>
      </c>
      <c r="F24" s="1299">
        <v>14</v>
      </c>
      <c r="G24" s="1305"/>
      <c r="H24" s="1306"/>
      <c r="I24" s="1307">
        <v>12283872.219999999</v>
      </c>
      <c r="J24" s="1307">
        <v>19786928.16</v>
      </c>
      <c r="K24" s="1307">
        <v>18632429.449999999</v>
      </c>
      <c r="L24" s="1307">
        <v>15309166.01</v>
      </c>
      <c r="M24" s="1306">
        <v>15260885.220000001</v>
      </c>
      <c r="N24" s="4233">
        <v>17144430.48</v>
      </c>
      <c r="O24" s="4233">
        <v>18476456.710000001</v>
      </c>
      <c r="P24" s="205">
        <f>O24/O$26*'Forecast (BV) 2017'!K$74</f>
        <v>11050792.824755261</v>
      </c>
      <c r="Q24" s="205">
        <f>P24/P$26*'Forecast (BV) 2017'!L$74</f>
        <v>10921754.655306989</v>
      </c>
      <c r="R24" s="205">
        <f>Q24/Q$26*'Forecast (BV) 2017'!M$74</f>
        <v>11362678.657107687</v>
      </c>
      <c r="S24" s="205">
        <f>R24/R$26*'Forecast (BV) 2017'!N$74</f>
        <v>11775548.050614441</v>
      </c>
      <c r="T24" s="205">
        <f>S24/S$26*'Forecast (BV) 2017'!O$74</f>
        <v>12216307.147485308</v>
      </c>
      <c r="U24" s="205">
        <f>T24/T$26*'Forecast (BV) 2017'!P$74</f>
        <v>12869972.132733593</v>
      </c>
      <c r="V24" s="205">
        <f>U24/U$26*'Forecast (BV) 2017'!Q$74</f>
        <v>12482414.063860085</v>
      </c>
      <c r="W24" s="205">
        <f>V24/V$26*'Forecast (BV) 2017'!R$74</f>
        <v>13194268.374446841</v>
      </c>
      <c r="X24" s="205">
        <f>W24/W$26*'Forecast (BV) 2017'!S$74</f>
        <v>13792769.418847052</v>
      </c>
      <c r="Y24" s="205">
        <f>X24/X$26*'Forecast (BV) 2017'!T$74</f>
        <v>14791328.477144115</v>
      </c>
      <c r="Z24" s="205">
        <f>Y24/Y$26*'Forecast (BV) 2017'!U$74</f>
        <v>15901651.856128011</v>
      </c>
      <c r="AA24" s="1283"/>
      <c r="AB24" s="1286"/>
    </row>
    <row r="25" spans="1:29" s="1280" customFormat="1" ht="17.25" customHeight="1" thickBot="1">
      <c r="A25" s="1279"/>
      <c r="B25" s="1282"/>
      <c r="C25" s="1298">
        <f>+MAX($C$9:C24)+1</f>
        <v>17</v>
      </c>
      <c r="D25" s="1299">
        <v>928800</v>
      </c>
      <c r="E25" s="1300" t="s">
        <v>2136</v>
      </c>
      <c r="F25" s="1299">
        <v>14</v>
      </c>
      <c r="G25" s="1308"/>
      <c r="H25" s="1309"/>
      <c r="I25" s="1308">
        <v>3388989</v>
      </c>
      <c r="J25" s="1310">
        <v>2408853</v>
      </c>
      <c r="K25" s="1310">
        <v>825667.65</v>
      </c>
      <c r="L25" s="1310">
        <v>423022.9</v>
      </c>
      <c r="M25" s="1309">
        <v>2266512.7000000002</v>
      </c>
      <c r="N25" s="4234">
        <v>2288984.15</v>
      </c>
      <c r="O25" s="4234">
        <v>468733.11</v>
      </c>
      <c r="P25" s="205">
        <f>O25/O$26*'Forecast (BV) 2017'!K$74</f>
        <v>280349.88363920007</v>
      </c>
      <c r="Q25" s="205">
        <f>P25/P$26*'Forecast (BV) 2017'!L$74</f>
        <v>277076.28722276929</v>
      </c>
      <c r="R25" s="205">
        <f>Q25/Q$26*'Forecast (BV) 2017'!M$74</f>
        <v>288262.18081057112</v>
      </c>
      <c r="S25" s="205">
        <f>R25/R$26*'Forecast (BV) 2017'!N$74</f>
        <v>298736.35114960012</v>
      </c>
      <c r="T25" s="205">
        <f>S25/S$26*'Forecast (BV) 2017'!O$74</f>
        <v>309918.06122960994</v>
      </c>
      <c r="U25" s="205">
        <f>T25/T$26*'Forecast (BV) 2017'!P$74</f>
        <v>326501.02549827856</v>
      </c>
      <c r="V25" s="205">
        <f>U25/U$26*'Forecast (BV) 2017'!Q$74</f>
        <v>316668.98346879391</v>
      </c>
      <c r="W25" s="205">
        <f>V25/V$26*'Forecast (BV) 2017'!R$74</f>
        <v>334728.16495068726</v>
      </c>
      <c r="X25" s="205">
        <f>W25/W$26*'Forecast (BV) 2017'!S$74</f>
        <v>349911.66362054448</v>
      </c>
      <c r="Y25" s="205">
        <f>X25/X$26*'Forecast (BV) 2017'!T$74</f>
        <v>375244.31804994744</v>
      </c>
      <c r="Z25" s="205">
        <f>Y25/Y$26*'Forecast (BV) 2017'!U$74</f>
        <v>403412.34499935433</v>
      </c>
      <c r="AA25" s="1283"/>
      <c r="AB25" s="1286"/>
    </row>
    <row r="26" spans="1:29" s="1280" customFormat="1" ht="17.25" customHeight="1">
      <c r="A26" s="1279"/>
      <c r="B26" s="1282"/>
      <c r="C26" s="1298">
        <f>+MAX($C$9:C25)+1</f>
        <v>18</v>
      </c>
      <c r="D26" s="1300"/>
      <c r="E26" s="1300"/>
      <c r="F26" s="1299"/>
      <c r="G26" s="1311">
        <f>SUM(G22:G25)</f>
        <v>0</v>
      </c>
      <c r="H26" s="1311">
        <f t="shared" ref="H26:Z26" si="13">SUM(H22:H25)</f>
        <v>0</v>
      </c>
      <c r="I26" s="1311">
        <f t="shared" si="13"/>
        <v>18764133.25</v>
      </c>
      <c r="J26" s="1311">
        <f t="shared" si="13"/>
        <v>24641320.300000001</v>
      </c>
      <c r="K26" s="1311">
        <f t="shared" si="13"/>
        <v>22070463.609999999</v>
      </c>
      <c r="L26" s="1311">
        <f t="shared" si="13"/>
        <v>18555225.159999996</v>
      </c>
      <c r="M26" s="1311">
        <f t="shared" si="13"/>
        <v>20711320.289999999</v>
      </c>
      <c r="N26" s="1311">
        <f t="shared" si="13"/>
        <v>22276660.329999998</v>
      </c>
      <c r="O26" s="1311">
        <f t="shared" si="13"/>
        <v>21771158.43</v>
      </c>
      <c r="P26" s="1311">
        <f t="shared" si="13"/>
        <v>13021358.215000195</v>
      </c>
      <c r="Q26" s="1311">
        <f t="shared" si="13"/>
        <v>12869310.099137427</v>
      </c>
      <c r="R26" s="1311">
        <f t="shared" si="13"/>
        <v>13388859.190690089</v>
      </c>
      <c r="S26" s="1311">
        <f t="shared" si="13"/>
        <v>13875351.006627321</v>
      </c>
      <c r="T26" s="1311">
        <f t="shared" si="13"/>
        <v>14394705.787581932</v>
      </c>
      <c r="U26" s="1311">
        <f t="shared" si="13"/>
        <v>15164931.604000604</v>
      </c>
      <c r="V26" s="1311">
        <f t="shared" si="13"/>
        <v>14708264.600651238</v>
      </c>
      <c r="W26" s="1311">
        <f t="shared" si="13"/>
        <v>15547055.999787565</v>
      </c>
      <c r="X26" s="1311">
        <f t="shared" si="13"/>
        <v>16252281.10125982</v>
      </c>
      <c r="Y26" s="1311">
        <f t="shared" si="13"/>
        <v>17428902.127743255</v>
      </c>
      <c r="Z26" s="1311">
        <f t="shared" si="13"/>
        <v>18737217.167352997</v>
      </c>
      <c r="AA26" s="1283"/>
      <c r="AB26" s="1286"/>
    </row>
    <row r="27" spans="1:29" s="1280" customFormat="1" ht="17.25" customHeight="1" thickBot="1">
      <c r="A27" s="1279"/>
      <c r="B27" s="1282"/>
      <c r="C27" s="1298">
        <f>+MAX($C$9:C26)+1</f>
        <v>19</v>
      </c>
      <c r="D27" s="1296" t="s">
        <v>313</v>
      </c>
      <c r="E27" s="1300"/>
      <c r="F27" s="1299"/>
      <c r="G27" s="1300"/>
      <c r="H27" s="1312"/>
      <c r="I27" s="1313"/>
      <c r="J27" s="1313"/>
      <c r="K27" s="1313"/>
      <c r="L27" s="1313"/>
      <c r="M27" s="1313"/>
      <c r="N27" s="1314"/>
      <c r="O27" s="1314"/>
      <c r="P27" s="1314"/>
      <c r="Q27" s="1314"/>
      <c r="R27" s="1314"/>
      <c r="S27" s="1314"/>
      <c r="T27" s="1314"/>
      <c r="U27" s="1314"/>
      <c r="V27" s="1314"/>
      <c r="W27" s="1314"/>
      <c r="X27" s="1314"/>
      <c r="Y27" s="1314"/>
      <c r="Z27" s="1314"/>
      <c r="AA27" s="1283"/>
      <c r="AB27" s="1286"/>
    </row>
    <row r="28" spans="1:29" s="1280" customFormat="1" ht="17.25" customHeight="1">
      <c r="A28" s="1315"/>
      <c r="B28" s="1282"/>
      <c r="C28" s="1298">
        <f>+MAX($C$9:C27)+1</f>
        <v>20</v>
      </c>
      <c r="D28" s="1299">
        <v>535500</v>
      </c>
      <c r="E28" s="1300" t="s">
        <v>736</v>
      </c>
      <c r="F28" s="1299">
        <v>11</v>
      </c>
      <c r="G28" s="1301"/>
      <c r="H28" s="1302"/>
      <c r="I28" s="1303">
        <v>0</v>
      </c>
      <c r="J28" s="1303">
        <v>0</v>
      </c>
      <c r="K28" s="1303">
        <v>0</v>
      </c>
      <c r="L28" s="1303">
        <v>0</v>
      </c>
      <c r="M28" s="1302">
        <v>0</v>
      </c>
      <c r="N28" s="4232"/>
      <c r="O28" s="4235"/>
      <c r="P28" s="16">
        <f>O28/O$67*'Forecast (BV) 2017'!K$71</f>
        <v>0</v>
      </c>
      <c r="Q28" s="16">
        <f>P28/P$67*'Forecast (BV) 2017'!L$71</f>
        <v>0</v>
      </c>
      <c r="R28" s="16">
        <f>Q28/Q$67*'Forecast (BV) 2017'!M$71</f>
        <v>0</v>
      </c>
      <c r="S28" s="16">
        <f>R28/R$67*'Forecast (BV) 2017'!N$71</f>
        <v>0</v>
      </c>
      <c r="T28" s="16">
        <f>S28/S$67*'Forecast (BV) 2017'!O$71</f>
        <v>0</v>
      </c>
      <c r="U28" s="16">
        <f>T28/T$67*'Forecast (BV) 2017'!P$71</f>
        <v>0</v>
      </c>
      <c r="V28" s="16">
        <f>U28/U$67*'Forecast (BV) 2017'!Q$71</f>
        <v>0</v>
      </c>
      <c r="W28" s="16">
        <f>V28/V$67*'Forecast (BV) 2017'!R$71</f>
        <v>0</v>
      </c>
      <c r="X28" s="16">
        <f>W28/W$67*'Forecast (BV) 2017'!S$71</f>
        <v>0</v>
      </c>
      <c r="Y28" s="16">
        <f>X28/X$67*'Forecast (BV) 2017'!T$71</f>
        <v>0</v>
      </c>
      <c r="Z28" s="16">
        <f>Y28/Y$67*'Forecast (BV) 2017'!U$71</f>
        <v>0</v>
      </c>
      <c r="AA28" s="1283"/>
      <c r="AB28" s="1286"/>
    </row>
    <row r="29" spans="1:29" s="1280" customFormat="1" ht="17.25" customHeight="1">
      <c r="A29" s="1315"/>
      <c r="B29" s="1282"/>
      <c r="C29" s="1298">
        <f>+MAX($C$9:C28)+1</f>
        <v>21</v>
      </c>
      <c r="D29" s="1299">
        <v>535000</v>
      </c>
      <c r="E29" s="1300" t="s">
        <v>2114</v>
      </c>
      <c r="F29" s="1299">
        <v>11</v>
      </c>
      <c r="G29" s="1305"/>
      <c r="H29" s="1306"/>
      <c r="I29" s="1307">
        <v>487325.76</v>
      </c>
      <c r="J29" s="1307">
        <v>3915725.86</v>
      </c>
      <c r="K29" s="1307">
        <v>4101060.46</v>
      </c>
      <c r="L29" s="1307">
        <v>4086110.77</v>
      </c>
      <c r="M29" s="1306">
        <v>4269177.6900000004</v>
      </c>
      <c r="N29" s="4233">
        <v>4361332.43</v>
      </c>
      <c r="O29" s="4236">
        <v>4500525.3099999996</v>
      </c>
      <c r="P29" s="16">
        <f>O29/O$67*'Forecast (BV) 2017'!K$71</f>
        <v>4932673.1421354162</v>
      </c>
      <c r="Q29" s="16">
        <f>P29/P$67*'Forecast (BV) 2017'!L$71</f>
        <v>4798789.0518333567</v>
      </c>
      <c r="R29" s="16">
        <f>Q29/Q$67*'Forecast (BV) 2017'!M$71</f>
        <v>5008740.4427482355</v>
      </c>
      <c r="S29" s="16">
        <f>R29/R$67*'Forecast (BV) 2017'!N$71</f>
        <v>5059916.6926302845</v>
      </c>
      <c r="T29" s="16">
        <f>S29/S$67*'Forecast (BV) 2017'!O$71</f>
        <v>5241777.1610321971</v>
      </c>
      <c r="U29" s="16">
        <f>T29/T$67*'Forecast (BV) 2017'!P$71</f>
        <v>5446305.661080136</v>
      </c>
      <c r="V29" s="16">
        <f>U29/U$67*'Forecast (BV) 2017'!Q$71</f>
        <v>5344330.9191717291</v>
      </c>
      <c r="W29" s="16">
        <f>V29/V$67*'Forecast (BV) 2017'!R$71</f>
        <v>5657468.6193627715</v>
      </c>
      <c r="X29" s="16">
        <f>W29/W$67*'Forecast (BV) 2017'!S$71</f>
        <v>5909646.497279441</v>
      </c>
      <c r="Y29" s="16">
        <f>X29/X$67*'Forecast (BV) 2017'!T$71</f>
        <v>6267720.8867401257</v>
      </c>
      <c r="Z29" s="16">
        <f>Y29/Y$67*'Forecast (BV) 2017'!U$71</f>
        <v>6640950.38848578</v>
      </c>
      <c r="AA29" s="1283"/>
      <c r="AB29" s="1286"/>
    </row>
    <row r="30" spans="1:29" s="1280" customFormat="1" ht="17.25" customHeight="1">
      <c r="A30" s="1315"/>
      <c r="B30" s="1282"/>
      <c r="C30" s="1298">
        <f>+MAX($C$9:C29)+1</f>
        <v>22</v>
      </c>
      <c r="D30" s="1299">
        <v>535600</v>
      </c>
      <c r="E30" s="1300" t="s">
        <v>737</v>
      </c>
      <c r="F30" s="1299">
        <v>11</v>
      </c>
      <c r="G30" s="1305"/>
      <c r="H30" s="1306"/>
      <c r="I30" s="1307">
        <v>0</v>
      </c>
      <c r="J30" s="1307">
        <v>0</v>
      </c>
      <c r="K30" s="1307">
        <v>0</v>
      </c>
      <c r="L30" s="1307">
        <v>0</v>
      </c>
      <c r="M30" s="1306">
        <v>0</v>
      </c>
      <c r="N30" s="4233"/>
      <c r="O30" s="4236"/>
      <c r="P30" s="16">
        <f>O30/O$67*'Forecast (BV) 2017'!K$71</f>
        <v>0</v>
      </c>
      <c r="Q30" s="16">
        <f>P30/P$67*'Forecast (BV) 2017'!L$71</f>
        <v>0</v>
      </c>
      <c r="R30" s="16">
        <f>Q30/Q$67*'Forecast (BV) 2017'!M$71</f>
        <v>0</v>
      </c>
      <c r="S30" s="16">
        <f>R30/R$67*'Forecast (BV) 2017'!N$71</f>
        <v>0</v>
      </c>
      <c r="T30" s="16">
        <f>S30/S$67*'Forecast (BV) 2017'!O$71</f>
        <v>0</v>
      </c>
      <c r="U30" s="16">
        <f>T30/T$67*'Forecast (BV) 2017'!P$71</f>
        <v>0</v>
      </c>
      <c r="V30" s="16">
        <f>U30/U$67*'Forecast (BV) 2017'!Q$71</f>
        <v>0</v>
      </c>
      <c r="W30" s="16">
        <f>V30/V$67*'Forecast (BV) 2017'!R$71</f>
        <v>0</v>
      </c>
      <c r="X30" s="16">
        <f>W30/W$67*'Forecast (BV) 2017'!S$71</f>
        <v>0</v>
      </c>
      <c r="Y30" s="16">
        <f>X30/X$67*'Forecast (BV) 2017'!T$71</f>
        <v>0</v>
      </c>
      <c r="Z30" s="16">
        <f>Y30/Y$67*'Forecast (BV) 2017'!U$71</f>
        <v>0</v>
      </c>
      <c r="AA30" s="1283"/>
      <c r="AB30" s="1286"/>
    </row>
    <row r="31" spans="1:29" s="1280" customFormat="1" ht="17.25" customHeight="1">
      <c r="A31" s="1315"/>
      <c r="B31" s="1282"/>
      <c r="C31" s="1298">
        <f>+MAX($C$9:C30)+1</f>
        <v>23</v>
      </c>
      <c r="D31" s="1299">
        <v>536000</v>
      </c>
      <c r="E31" s="1300" t="s">
        <v>2115</v>
      </c>
      <c r="F31" s="1299">
        <v>11</v>
      </c>
      <c r="G31" s="1305"/>
      <c r="H31" s="1306"/>
      <c r="I31" s="1307">
        <v>1997173.1600000001</v>
      </c>
      <c r="J31" s="1307">
        <v>2038901.65</v>
      </c>
      <c r="K31" s="1307">
        <v>2263883.0299999998</v>
      </c>
      <c r="L31" s="1307">
        <v>3263993.13</v>
      </c>
      <c r="M31" s="1306">
        <v>3114953.2</v>
      </c>
      <c r="N31" s="4233">
        <v>2960558.88</v>
      </c>
      <c r="O31" s="4236">
        <v>2687742.2</v>
      </c>
      <c r="P31" s="16">
        <f>O31/O$67*'Forecast (BV) 2017'!K$71</f>
        <v>2945823.6205150811</v>
      </c>
      <c r="Q31" s="16">
        <f>P31/P$67*'Forecast (BV) 2017'!L$71</f>
        <v>2865867.1944032465</v>
      </c>
      <c r="R31" s="16">
        <f>Q31/Q$67*'Forecast (BV) 2017'!M$71</f>
        <v>2991251.4938886357</v>
      </c>
      <c r="S31" s="16">
        <f>R31/R$67*'Forecast (BV) 2017'!N$71</f>
        <v>3021814.2742245444</v>
      </c>
      <c r="T31" s="16">
        <f>S31/S$67*'Forecast (BV) 2017'!O$71</f>
        <v>3130422.4969912302</v>
      </c>
      <c r="U31" s="16">
        <f>T31/T$67*'Forecast (BV) 2017'!P$71</f>
        <v>3252568.21172815</v>
      </c>
      <c r="V31" s="16">
        <f>U31/U$67*'Forecast (BV) 2017'!Q$71</f>
        <v>3191668.2504386683</v>
      </c>
      <c r="W31" s="16">
        <f>V31/V$67*'Forecast (BV) 2017'!R$71</f>
        <v>3378676.0669138543</v>
      </c>
      <c r="X31" s="16">
        <f>W31/W$67*'Forecast (BV) 2017'!S$71</f>
        <v>3529278.2916979385</v>
      </c>
      <c r="Y31" s="16">
        <f>X31/X$67*'Forecast (BV) 2017'!T$71</f>
        <v>3743122.5834196792</v>
      </c>
      <c r="Z31" s="16">
        <f>Y31/Y$67*'Forecast (BV) 2017'!U$71</f>
        <v>3966017.6041182224</v>
      </c>
      <c r="AA31" s="1283"/>
      <c r="AB31" s="1286"/>
    </row>
    <row r="32" spans="1:29" s="1280" customFormat="1" ht="17.25" customHeight="1">
      <c r="A32" s="1315"/>
      <c r="B32" s="1282"/>
      <c r="C32" s="1298">
        <f>+MAX($C$9:C31)+1</f>
        <v>24</v>
      </c>
      <c r="D32" s="1299">
        <v>537010</v>
      </c>
      <c r="E32" s="1300" t="s">
        <v>2116</v>
      </c>
      <c r="F32" s="1299">
        <v>11</v>
      </c>
      <c r="G32" s="1305"/>
      <c r="H32" s="1306"/>
      <c r="I32" s="1307">
        <v>655775.59000000008</v>
      </c>
      <c r="J32" s="1307">
        <v>92280.37</v>
      </c>
      <c r="K32" s="1307">
        <v>64363.37</v>
      </c>
      <c r="L32" s="1307">
        <v>80398.740000000005</v>
      </c>
      <c r="M32" s="1306">
        <v>73227.83</v>
      </c>
      <c r="N32" s="4233">
        <v>18560</v>
      </c>
      <c r="O32" s="4236">
        <v>285719.69</v>
      </c>
      <c r="P32" s="16">
        <f>O32/O$67*'Forecast (BV) 2017'!K$71</f>
        <v>313154.96391292533</v>
      </c>
      <c r="Q32" s="16">
        <f>P32/P$67*'Forecast (BV) 2017'!L$71</f>
        <v>304655.21818501246</v>
      </c>
      <c r="R32" s="16">
        <f>Q32/Q$67*'Forecast (BV) 2017'!M$71</f>
        <v>317984.16140725772</v>
      </c>
      <c r="S32" s="16">
        <f>R32/R$67*'Forecast (BV) 2017'!N$71</f>
        <v>321233.12930422119</v>
      </c>
      <c r="T32" s="16">
        <f>S32/S$67*'Forecast (BV) 2017'!O$71</f>
        <v>332778.69633827242</v>
      </c>
      <c r="U32" s="16">
        <f>T32/T$67*'Forecast (BV) 2017'!P$71</f>
        <v>345763.36270599964</v>
      </c>
      <c r="V32" s="16">
        <f>U32/U$67*'Forecast (BV) 2017'!Q$71</f>
        <v>339289.4091919153</v>
      </c>
      <c r="W32" s="16">
        <f>V32/V$67*'Forecast (BV) 2017'!R$71</f>
        <v>359169.22331652412</v>
      </c>
      <c r="X32" s="16">
        <f>W32/W$67*'Forecast (BV) 2017'!S$71</f>
        <v>375178.95110165875</v>
      </c>
      <c r="Y32" s="16">
        <f>X32/X$67*'Forecast (BV) 2017'!T$71</f>
        <v>397911.60929298576</v>
      </c>
      <c r="Z32" s="16">
        <f>Y32/Y$67*'Forecast (BV) 2017'!U$71</f>
        <v>421606.40272091614</v>
      </c>
      <c r="AA32" s="1283"/>
      <c r="AB32" s="1286"/>
    </row>
    <row r="33" spans="1:28" s="1280" customFormat="1" ht="17.25" customHeight="1">
      <c r="A33" s="1315"/>
      <c r="B33" s="1282"/>
      <c r="C33" s="1298">
        <f>+MAX($C$9:C32)+1</f>
        <v>25</v>
      </c>
      <c r="D33" s="1299">
        <v>537020</v>
      </c>
      <c r="E33" s="1300" t="s">
        <v>2117</v>
      </c>
      <c r="F33" s="1299">
        <v>11</v>
      </c>
      <c r="G33" s="1305"/>
      <c r="H33" s="1306"/>
      <c r="I33" s="1307">
        <v>1142728.82</v>
      </c>
      <c r="J33" s="1307">
        <v>1122240.79</v>
      </c>
      <c r="K33" s="1307">
        <v>988036.62</v>
      </c>
      <c r="L33" s="1307">
        <v>1349270.24</v>
      </c>
      <c r="M33" s="1306">
        <v>959569.55</v>
      </c>
      <c r="N33" s="4233">
        <v>955066.37</v>
      </c>
      <c r="O33" s="4236">
        <v>1155056.1000000001</v>
      </c>
      <c r="P33" s="16">
        <f>O33/O$67*'Forecast (BV) 2017'!K$71</f>
        <v>1265966.483839123</v>
      </c>
      <c r="Q33" s="16">
        <f>P33/P$67*'Forecast (BV) 2017'!L$71</f>
        <v>1231605.2427518365</v>
      </c>
      <c r="R33" s="16">
        <f>Q33/Q$67*'Forecast (BV) 2017'!M$71</f>
        <v>1285489.093652725</v>
      </c>
      <c r="S33" s="16">
        <f>R33/R$67*'Forecast (BV) 2017'!N$71</f>
        <v>1298623.4358749632</v>
      </c>
      <c r="T33" s="16">
        <f>S33/S$67*'Forecast (BV) 2017'!O$71</f>
        <v>1345297.7747370829</v>
      </c>
      <c r="U33" s="16">
        <f>T33/T$67*'Forecast (BV) 2017'!P$71</f>
        <v>1397789.845180349</v>
      </c>
      <c r="V33" s="16">
        <f>U33/U$67*'Forecast (BV) 2017'!Q$71</f>
        <v>1371618.111977224</v>
      </c>
      <c r="W33" s="16">
        <f>V33/V$67*'Forecast (BV) 2017'!R$71</f>
        <v>1451984.6438445081</v>
      </c>
      <c r="X33" s="16">
        <f>W33/W$67*'Forecast (BV) 2017'!S$71</f>
        <v>1516705.8877236375</v>
      </c>
      <c r="Y33" s="16">
        <f>X33/X$67*'Forecast (BV) 2017'!T$71</f>
        <v>1608605.3837405457</v>
      </c>
      <c r="Z33" s="16">
        <f>Y33/Y$67*'Forecast (BV) 2017'!U$71</f>
        <v>1704394.4267958945</v>
      </c>
      <c r="AA33" s="1283"/>
      <c r="AB33" s="1286"/>
    </row>
    <row r="34" spans="1:28" s="1280" customFormat="1" ht="17.25" customHeight="1">
      <c r="A34" s="1315"/>
      <c r="B34" s="1282"/>
      <c r="C34" s="1298">
        <f>+MAX($C$9:C33)+1</f>
        <v>26</v>
      </c>
      <c r="D34" s="1299">
        <v>537030</v>
      </c>
      <c r="E34" s="1300" t="s">
        <v>2118</v>
      </c>
      <c r="F34" s="1299">
        <v>11</v>
      </c>
      <c r="G34" s="1305"/>
      <c r="H34" s="1306"/>
      <c r="I34" s="1307">
        <v>4020</v>
      </c>
      <c r="J34" s="1307">
        <v>4020</v>
      </c>
      <c r="K34" s="1307">
        <v>4020</v>
      </c>
      <c r="L34" s="1307">
        <v>4020</v>
      </c>
      <c r="M34" s="1306">
        <v>4020</v>
      </c>
      <c r="N34" s="4233">
        <v>4020</v>
      </c>
      <c r="O34" s="4236">
        <v>4020</v>
      </c>
      <c r="P34" s="16">
        <f>O34/O$67*'Forecast (BV) 2017'!K$71</f>
        <v>4406.0070026324047</v>
      </c>
      <c r="Q34" s="16">
        <f>P34/P$67*'Forecast (BV) 2017'!L$71</f>
        <v>4286.4178422696386</v>
      </c>
      <c r="R34" s="16">
        <f>Q34/Q$67*'Forecast (BV) 2017'!M$71</f>
        <v>4473.9525261880835</v>
      </c>
      <c r="S34" s="16">
        <f>R34/R$67*'Forecast (BV) 2017'!N$71</f>
        <v>4519.6646398537296</v>
      </c>
      <c r="T34" s="16">
        <f>S34/S$67*'Forecast (BV) 2017'!O$71</f>
        <v>4682.1076954124346</v>
      </c>
      <c r="U34" s="16">
        <f>T34/T$67*'Forecast (BV) 2017'!P$71</f>
        <v>4864.7984956098708</v>
      </c>
      <c r="V34" s="16">
        <f>U34/U$67*'Forecast (BV) 2017'!Q$71</f>
        <v>4773.7116925735827</v>
      </c>
      <c r="W34" s="16">
        <f>V34/V$67*'Forecast (BV) 2017'!R$71</f>
        <v>5053.4153867114537</v>
      </c>
      <c r="X34" s="16">
        <f>W34/W$67*'Forecast (BV) 2017'!S$71</f>
        <v>5278.6679959951935</v>
      </c>
      <c r="Y34" s="16">
        <f>X34/X$67*'Forecast (BV) 2017'!T$71</f>
        <v>5598.5104469272055</v>
      </c>
      <c r="Z34" s="16">
        <f>Y34/Y$67*'Forecast (BV) 2017'!U$71</f>
        <v>5931.8898845861231</v>
      </c>
      <c r="AA34" s="1283"/>
      <c r="AB34" s="1286"/>
    </row>
    <row r="35" spans="1:28" s="1280" customFormat="1" ht="17.25" customHeight="1">
      <c r="A35" s="1315"/>
      <c r="B35" s="1282"/>
      <c r="C35" s="1298">
        <f>+MAX($C$9:C34)+1</f>
        <v>27</v>
      </c>
      <c r="D35" s="1299">
        <v>537040</v>
      </c>
      <c r="E35" s="1300" t="s">
        <v>2119</v>
      </c>
      <c r="F35" s="1299">
        <v>11</v>
      </c>
      <c r="G35" s="1305"/>
      <c r="H35" s="1306"/>
      <c r="I35" s="1307">
        <v>0</v>
      </c>
      <c r="J35" s="1307">
        <v>373.56</v>
      </c>
      <c r="K35" s="1307">
        <v>0</v>
      </c>
      <c r="L35" s="1307">
        <v>0</v>
      </c>
      <c r="M35" s="1306">
        <v>0</v>
      </c>
      <c r="N35" s="4233"/>
      <c r="O35" s="4236"/>
      <c r="P35" s="16">
        <f>O35/O$67*'Forecast (BV) 2017'!K$71</f>
        <v>0</v>
      </c>
      <c r="Q35" s="16">
        <f>P35/P$67*'Forecast (BV) 2017'!L$71</f>
        <v>0</v>
      </c>
      <c r="R35" s="16">
        <f>Q35/Q$67*'Forecast (BV) 2017'!M$71</f>
        <v>0</v>
      </c>
      <c r="S35" s="16">
        <f>R35/R$67*'Forecast (BV) 2017'!N$71</f>
        <v>0</v>
      </c>
      <c r="T35" s="16">
        <f>S35/S$67*'Forecast (BV) 2017'!O$71</f>
        <v>0</v>
      </c>
      <c r="U35" s="16">
        <f>T35/T$67*'Forecast (BV) 2017'!P$71</f>
        <v>0</v>
      </c>
      <c r="V35" s="16">
        <f>U35/U$67*'Forecast (BV) 2017'!Q$71</f>
        <v>0</v>
      </c>
      <c r="W35" s="16">
        <f>V35/V$67*'Forecast (BV) 2017'!R$71</f>
        <v>0</v>
      </c>
      <c r="X35" s="16">
        <f>W35/W$67*'Forecast (BV) 2017'!S$71</f>
        <v>0</v>
      </c>
      <c r="Y35" s="16">
        <f>X35/X$67*'Forecast (BV) 2017'!T$71</f>
        <v>0</v>
      </c>
      <c r="Z35" s="16">
        <f>Y35/Y$67*'Forecast (BV) 2017'!U$71</f>
        <v>0</v>
      </c>
      <c r="AA35" s="1283"/>
      <c r="AB35" s="1286"/>
    </row>
    <row r="36" spans="1:28" s="1280" customFormat="1" ht="17.25" customHeight="1">
      <c r="A36" s="1315"/>
      <c r="B36" s="1282"/>
      <c r="C36" s="1298">
        <f>+MAX($C$9:C35)+1</f>
        <v>28</v>
      </c>
      <c r="D36" s="1299">
        <v>537500</v>
      </c>
      <c r="E36" s="1300" t="s">
        <v>738</v>
      </c>
      <c r="F36" s="1299">
        <v>11</v>
      </c>
      <c r="G36" s="1305"/>
      <c r="H36" s="1306"/>
      <c r="I36" s="1307">
        <v>0</v>
      </c>
      <c r="J36" s="1307">
        <v>0</v>
      </c>
      <c r="K36" s="1307">
        <v>0</v>
      </c>
      <c r="L36" s="1307">
        <v>0</v>
      </c>
      <c r="M36" s="1306">
        <v>0</v>
      </c>
      <c r="N36" s="4233"/>
      <c r="O36" s="4236"/>
      <c r="P36" s="16">
        <f>O36/O$67*'Forecast (BV) 2017'!K$71</f>
        <v>0</v>
      </c>
      <c r="Q36" s="16">
        <f>P36/P$67*'Forecast (BV) 2017'!L$71</f>
        <v>0</v>
      </c>
      <c r="R36" s="16">
        <f>Q36/Q$67*'Forecast (BV) 2017'!M$71</f>
        <v>0</v>
      </c>
      <c r="S36" s="16">
        <f>R36/R$67*'Forecast (BV) 2017'!N$71</f>
        <v>0</v>
      </c>
      <c r="T36" s="16">
        <f>S36/S$67*'Forecast (BV) 2017'!O$71</f>
        <v>0</v>
      </c>
      <c r="U36" s="16">
        <f>T36/T$67*'Forecast (BV) 2017'!P$71</f>
        <v>0</v>
      </c>
      <c r="V36" s="16">
        <f>U36/U$67*'Forecast (BV) 2017'!Q$71</f>
        <v>0</v>
      </c>
      <c r="W36" s="16">
        <f>V36/V$67*'Forecast (BV) 2017'!R$71</f>
        <v>0</v>
      </c>
      <c r="X36" s="16">
        <f>W36/W$67*'Forecast (BV) 2017'!S$71</f>
        <v>0</v>
      </c>
      <c r="Y36" s="16">
        <f>X36/X$67*'Forecast (BV) 2017'!T$71</f>
        <v>0</v>
      </c>
      <c r="Z36" s="16">
        <f>Y36/Y$67*'Forecast (BV) 2017'!U$71</f>
        <v>0</v>
      </c>
      <c r="AA36" s="1283"/>
      <c r="AB36" s="1286"/>
    </row>
    <row r="37" spans="1:28" s="1280" customFormat="1" ht="17.25" customHeight="1">
      <c r="A37" s="1315"/>
      <c r="B37" s="1282"/>
      <c r="C37" s="1298">
        <f>+MAX($C$9:C36)+1</f>
        <v>29</v>
      </c>
      <c r="D37" s="1299">
        <v>537600</v>
      </c>
      <c r="E37" s="1300" t="s">
        <v>739</v>
      </c>
      <c r="F37" s="1299">
        <v>11</v>
      </c>
      <c r="G37" s="1305"/>
      <c r="H37" s="1306"/>
      <c r="I37" s="1307">
        <v>0</v>
      </c>
      <c r="J37" s="1307">
        <v>0</v>
      </c>
      <c r="K37" s="1307">
        <v>0</v>
      </c>
      <c r="L37" s="1307">
        <v>0</v>
      </c>
      <c r="M37" s="1306">
        <v>0</v>
      </c>
      <c r="N37" s="4233"/>
      <c r="O37" s="4236"/>
      <c r="P37" s="16">
        <f>O37/O$67*'Forecast (BV) 2017'!K$71</f>
        <v>0</v>
      </c>
      <c r="Q37" s="16">
        <f>P37/P$67*'Forecast (BV) 2017'!L$71</f>
        <v>0</v>
      </c>
      <c r="R37" s="16">
        <f>Q37/Q$67*'Forecast (BV) 2017'!M$71</f>
        <v>0</v>
      </c>
      <c r="S37" s="16">
        <f>R37/R$67*'Forecast (BV) 2017'!N$71</f>
        <v>0</v>
      </c>
      <c r="T37" s="16">
        <f>S37/S$67*'Forecast (BV) 2017'!O$71</f>
        <v>0</v>
      </c>
      <c r="U37" s="16">
        <f>T37/T$67*'Forecast (BV) 2017'!P$71</f>
        <v>0</v>
      </c>
      <c r="V37" s="16">
        <f>U37/U$67*'Forecast (BV) 2017'!Q$71</f>
        <v>0</v>
      </c>
      <c r="W37" s="16">
        <f>V37/V$67*'Forecast (BV) 2017'!R$71</f>
        <v>0</v>
      </c>
      <c r="X37" s="16">
        <f>W37/W$67*'Forecast (BV) 2017'!S$71</f>
        <v>0</v>
      </c>
      <c r="Y37" s="16">
        <f>X37/X$67*'Forecast (BV) 2017'!T$71</f>
        <v>0</v>
      </c>
      <c r="Z37" s="16">
        <f>Y37/Y$67*'Forecast (BV) 2017'!U$71</f>
        <v>0</v>
      </c>
      <c r="AA37" s="1283"/>
      <c r="AB37" s="1286"/>
    </row>
    <row r="38" spans="1:28" s="1280" customFormat="1" ht="17.25" customHeight="1">
      <c r="A38" s="1315"/>
      <c r="B38" s="1282"/>
      <c r="C38" s="1298">
        <f>+MAX($C$9:C37)+1</f>
        <v>30</v>
      </c>
      <c r="D38" s="1299">
        <v>538010</v>
      </c>
      <c r="E38" s="1300" t="s">
        <v>2120</v>
      </c>
      <c r="F38" s="1299">
        <v>11</v>
      </c>
      <c r="G38" s="1305"/>
      <c r="H38" s="1306"/>
      <c r="I38" s="1307">
        <v>3953964.1399999997</v>
      </c>
      <c r="J38" s="1307">
        <v>441.2</v>
      </c>
      <c r="K38" s="1307">
        <v>696</v>
      </c>
      <c r="L38" s="1307">
        <v>696</v>
      </c>
      <c r="M38" s="1306">
        <v>696</v>
      </c>
      <c r="N38" s="4233">
        <v>696</v>
      </c>
      <c r="O38" s="4236">
        <v>696</v>
      </c>
      <c r="P38" s="16">
        <f>O38/O$67*'Forecast (BV) 2017'!K$71</f>
        <v>762.8310631423268</v>
      </c>
      <c r="Q38" s="16">
        <f>P38/P$67*'Forecast (BV) 2017'!L$71</f>
        <v>742.12607418399716</v>
      </c>
      <c r="R38" s="16">
        <f>Q38/Q$67*'Forecast (BV) 2017'!M$71</f>
        <v>774.59476572808603</v>
      </c>
      <c r="S38" s="16">
        <f>R38/R$67*'Forecast (BV) 2017'!N$71</f>
        <v>782.50910182542179</v>
      </c>
      <c r="T38" s="16">
        <f>S38/S$67*'Forecast (BV) 2017'!O$71</f>
        <v>810.63357114603343</v>
      </c>
      <c r="U38" s="16">
        <f>T38/T$67*'Forecast (BV) 2017'!P$71</f>
        <v>842.26362013544019</v>
      </c>
      <c r="V38" s="16">
        <f>U38/U$67*'Forecast (BV) 2017'!Q$71</f>
        <v>826.49336766945612</v>
      </c>
      <c r="W38" s="16">
        <f>V38/V$67*'Forecast (BV) 2017'!R$71</f>
        <v>874.91967889332636</v>
      </c>
      <c r="X38" s="16">
        <f>W38/W$67*'Forecast (BV) 2017'!S$71</f>
        <v>913.91863811260077</v>
      </c>
      <c r="Y38" s="16">
        <f>X38/X$67*'Forecast (BV) 2017'!T$71</f>
        <v>969.29434603515801</v>
      </c>
      <c r="Z38" s="16">
        <f>Y38/Y$67*'Forecast (BV) 2017'!U$71</f>
        <v>1027.013771062672</v>
      </c>
      <c r="AA38" s="1283"/>
      <c r="AB38" s="1286"/>
    </row>
    <row r="39" spans="1:28" s="1280" customFormat="1" ht="17.25" customHeight="1">
      <c r="A39" s="1315"/>
      <c r="B39" s="1282"/>
      <c r="C39" s="1298">
        <f>+MAX($C$9:C38)+1</f>
        <v>31</v>
      </c>
      <c r="D39" s="1299">
        <v>538500</v>
      </c>
      <c r="E39" s="1300" t="s">
        <v>740</v>
      </c>
      <c r="F39" s="1299">
        <v>11</v>
      </c>
      <c r="G39" s="1305"/>
      <c r="H39" s="1306"/>
      <c r="I39" s="1307">
        <v>0</v>
      </c>
      <c r="J39" s="1307">
        <v>0</v>
      </c>
      <c r="K39" s="1307">
        <v>0</v>
      </c>
      <c r="L39" s="1307">
        <v>0</v>
      </c>
      <c r="M39" s="1306">
        <v>0</v>
      </c>
      <c r="N39" s="4233"/>
      <c r="O39" s="4236"/>
      <c r="P39" s="16">
        <f>O39/O$67*'Forecast (BV) 2017'!K$71</f>
        <v>0</v>
      </c>
      <c r="Q39" s="16">
        <f>P39/P$67*'Forecast (BV) 2017'!L$71</f>
        <v>0</v>
      </c>
      <c r="R39" s="16">
        <f>Q39/Q$67*'Forecast (BV) 2017'!M$71</f>
        <v>0</v>
      </c>
      <c r="S39" s="16">
        <f>R39/R$67*'Forecast (BV) 2017'!N$71</f>
        <v>0</v>
      </c>
      <c r="T39" s="16">
        <f>S39/S$67*'Forecast (BV) 2017'!O$71</f>
        <v>0</v>
      </c>
      <c r="U39" s="16">
        <f>T39/T$67*'Forecast (BV) 2017'!P$71</f>
        <v>0</v>
      </c>
      <c r="V39" s="16">
        <f>U39/U$67*'Forecast (BV) 2017'!Q$71</f>
        <v>0</v>
      </c>
      <c r="W39" s="16">
        <f>V39/V$67*'Forecast (BV) 2017'!R$71</f>
        <v>0</v>
      </c>
      <c r="X39" s="16">
        <f>W39/W$67*'Forecast (BV) 2017'!S$71</f>
        <v>0</v>
      </c>
      <c r="Y39" s="16">
        <f>X39/X$67*'Forecast (BV) 2017'!T$71</f>
        <v>0</v>
      </c>
      <c r="Z39" s="16">
        <f>Y39/Y$67*'Forecast (BV) 2017'!U$71</f>
        <v>0</v>
      </c>
      <c r="AA39" s="1283"/>
      <c r="AB39" s="1286"/>
    </row>
    <row r="40" spans="1:28" s="1280" customFormat="1" ht="17.25" customHeight="1">
      <c r="A40" s="1315"/>
      <c r="B40" s="1282"/>
      <c r="C40" s="1298">
        <f>+MAX($C$9:C39)+1</f>
        <v>32</v>
      </c>
      <c r="D40" s="1299">
        <v>538600</v>
      </c>
      <c r="E40" s="1300" t="s">
        <v>741</v>
      </c>
      <c r="F40" s="1299">
        <v>11</v>
      </c>
      <c r="G40" s="1305"/>
      <c r="H40" s="1306"/>
      <c r="I40" s="1307">
        <v>0</v>
      </c>
      <c r="J40" s="1307">
        <v>0</v>
      </c>
      <c r="K40" s="1307">
        <v>0</v>
      </c>
      <c r="L40" s="1307">
        <v>0</v>
      </c>
      <c r="M40" s="1306">
        <v>0</v>
      </c>
      <c r="N40" s="4233"/>
      <c r="O40" s="4236"/>
      <c r="P40" s="16">
        <f>O40/O$67*'Forecast (BV) 2017'!K$71</f>
        <v>0</v>
      </c>
      <c r="Q40" s="16">
        <f>P40/P$67*'Forecast (BV) 2017'!L$71</f>
        <v>0</v>
      </c>
      <c r="R40" s="16">
        <f>Q40/Q$67*'Forecast (BV) 2017'!M$71</f>
        <v>0</v>
      </c>
      <c r="S40" s="16">
        <f>R40/R$67*'Forecast (BV) 2017'!N$71</f>
        <v>0</v>
      </c>
      <c r="T40" s="16">
        <f>S40/S$67*'Forecast (BV) 2017'!O$71</f>
        <v>0</v>
      </c>
      <c r="U40" s="16">
        <f>T40/T$67*'Forecast (BV) 2017'!P$71</f>
        <v>0</v>
      </c>
      <c r="V40" s="16">
        <f>U40/U$67*'Forecast (BV) 2017'!Q$71</f>
        <v>0</v>
      </c>
      <c r="W40" s="16">
        <f>V40/V$67*'Forecast (BV) 2017'!R$71</f>
        <v>0</v>
      </c>
      <c r="X40" s="16">
        <f>W40/W$67*'Forecast (BV) 2017'!S$71</f>
        <v>0</v>
      </c>
      <c r="Y40" s="16">
        <f>X40/X$67*'Forecast (BV) 2017'!T$71</f>
        <v>0</v>
      </c>
      <c r="Z40" s="16">
        <f>Y40/Y$67*'Forecast (BV) 2017'!U$71</f>
        <v>0</v>
      </c>
      <c r="AA40" s="1283"/>
      <c r="AB40" s="1286"/>
    </row>
    <row r="41" spans="1:28" s="1280" customFormat="1" ht="17.25" customHeight="1">
      <c r="A41" s="1315"/>
      <c r="B41" s="1282"/>
      <c r="C41" s="1298">
        <f>+MAX($C$9:C40)+1</f>
        <v>33</v>
      </c>
      <c r="D41" s="1299">
        <v>539010</v>
      </c>
      <c r="E41" s="1300" t="s">
        <v>742</v>
      </c>
      <c r="F41" s="1299">
        <v>11</v>
      </c>
      <c r="G41" s="1305"/>
      <c r="H41" s="1306"/>
      <c r="I41" s="1307">
        <v>2871900.54</v>
      </c>
      <c r="J41" s="1307">
        <v>2938302.47</v>
      </c>
      <c r="K41" s="1307">
        <v>3071121.57</v>
      </c>
      <c r="L41" s="1307">
        <v>3523251.71</v>
      </c>
      <c r="M41" s="1306">
        <v>3094407.27</v>
      </c>
      <c r="N41" s="4233">
        <v>2646836.67</v>
      </c>
      <c r="O41" s="4236">
        <v>2787314.03</v>
      </c>
      <c r="P41" s="16">
        <f>O41/O$67*'Forecast (BV) 2017'!K$71</f>
        <v>3054956.5011730217</v>
      </c>
      <c r="Q41" s="16">
        <f>P41/P$67*'Forecast (BV) 2017'!L$71</f>
        <v>2972037.9577613156</v>
      </c>
      <c r="R41" s="16">
        <f>Q41/Q$67*'Forecast (BV) 2017'!M$71</f>
        <v>3102067.3248253693</v>
      </c>
      <c r="S41" s="16">
        <f>R41/R$67*'Forecast (BV) 2017'!N$71</f>
        <v>3133762.3536216905</v>
      </c>
      <c r="T41" s="16">
        <f>S41/S$67*'Forecast (BV) 2017'!O$71</f>
        <v>3246394.1466154335</v>
      </c>
      <c r="U41" s="16">
        <f>T41/T$67*'Forecast (BV) 2017'!P$71</f>
        <v>3373064.9502329063</v>
      </c>
      <c r="V41" s="16">
        <f>U41/U$67*'Forecast (BV) 2017'!Q$71</f>
        <v>3309908.8497227347</v>
      </c>
      <c r="W41" s="16">
        <f>V41/V$67*'Forecast (BV) 2017'!R$71</f>
        <v>3503844.6783081368</v>
      </c>
      <c r="X41" s="16">
        <f>W41/W$67*'Forecast (BV) 2017'!S$71</f>
        <v>3660026.2101864144</v>
      </c>
      <c r="Y41" s="16">
        <f>X41/X$67*'Forecast (BV) 2017'!T$71</f>
        <v>3881792.7153785494</v>
      </c>
      <c r="Z41" s="16">
        <f>Y41/Y$67*'Forecast (BV) 2017'!U$71</f>
        <v>4112945.2486870596</v>
      </c>
      <c r="AA41" s="1283"/>
      <c r="AB41" s="1286"/>
    </row>
    <row r="42" spans="1:28" s="1280" customFormat="1" ht="17.25" customHeight="1">
      <c r="A42" s="1315"/>
      <c r="B42" s="1282"/>
      <c r="C42" s="1298">
        <f>+MAX($C$9:C41)+1</f>
        <v>34</v>
      </c>
      <c r="D42" s="1299">
        <v>539030</v>
      </c>
      <c r="E42" s="1300" t="s">
        <v>2121</v>
      </c>
      <c r="F42" s="1299">
        <v>11</v>
      </c>
      <c r="G42" s="1305"/>
      <c r="H42" s="1306"/>
      <c r="I42" s="1307">
        <v>36133.32</v>
      </c>
      <c r="J42" s="1307">
        <v>235458.95</v>
      </c>
      <c r="K42" s="1307">
        <v>544303.16</v>
      </c>
      <c r="L42" s="1307">
        <v>570212.65</v>
      </c>
      <c r="M42" s="1306">
        <v>588232.53</v>
      </c>
      <c r="N42" s="4233">
        <v>452302.22</v>
      </c>
      <c r="O42" s="4236">
        <v>584483.81999999995</v>
      </c>
      <c r="P42" s="16">
        <f>O42/O$67*'Forecast (BV) 2017'!K$71</f>
        <v>640606.9163794372</v>
      </c>
      <c r="Q42" s="16">
        <f>P42/P$67*'Forecast (BV) 2017'!L$71</f>
        <v>623219.37178256607</v>
      </c>
      <c r="R42" s="16">
        <f>Q42/Q$67*'Forecast (BV) 2017'!M$71</f>
        <v>650485.78681717929</v>
      </c>
      <c r="S42" s="16">
        <f>R42/R$67*'Forecast (BV) 2017'!N$71</f>
        <v>657132.05318921187</v>
      </c>
      <c r="T42" s="16">
        <f>S42/S$67*'Forecast (BV) 2017'!O$71</f>
        <v>680750.29638459091</v>
      </c>
      <c r="U42" s="16">
        <f>T42/T$67*'Forecast (BV) 2017'!P$71</f>
        <v>707312.43986176862</v>
      </c>
      <c r="V42" s="16">
        <f>U42/U$67*'Forecast (BV) 2017'!Q$71</f>
        <v>694068.96658061526</v>
      </c>
      <c r="W42" s="16">
        <f>V42/V$67*'Forecast (BV) 2017'!R$71</f>
        <v>734736.20131141494</v>
      </c>
      <c r="X42" s="16">
        <f>W42/W$67*'Forecast (BV) 2017'!S$71</f>
        <v>767486.57582363568</v>
      </c>
      <c r="Y42" s="16">
        <f>X42/X$67*'Forecast (BV) 2017'!T$71</f>
        <v>813989.74436067673</v>
      </c>
      <c r="Z42" s="16">
        <f>Y42/Y$67*'Forecast (BV) 2017'!U$71</f>
        <v>862461.10934384505</v>
      </c>
      <c r="AA42" s="1283"/>
      <c r="AB42" s="1286"/>
    </row>
    <row r="43" spans="1:28" s="1280" customFormat="1" ht="17.25" customHeight="1">
      <c r="A43" s="1315"/>
      <c r="B43" s="1282"/>
      <c r="C43" s="1298">
        <f>+MAX($C$9:C42)+1</f>
        <v>35</v>
      </c>
      <c r="D43" s="1299">
        <v>539050</v>
      </c>
      <c r="E43" s="1300" t="s">
        <v>2122</v>
      </c>
      <c r="F43" s="1299">
        <v>11</v>
      </c>
      <c r="G43" s="1305"/>
      <c r="H43" s="1306"/>
      <c r="I43" s="1307">
        <v>-3668.96</v>
      </c>
      <c r="J43" s="1307">
        <v>-4806.88</v>
      </c>
      <c r="K43" s="1307">
        <v>0</v>
      </c>
      <c r="L43" s="1307">
        <v>0</v>
      </c>
      <c r="M43" s="1306">
        <v>0</v>
      </c>
      <c r="N43" s="4233">
        <v>0</v>
      </c>
      <c r="O43" s="4236">
        <v>0</v>
      </c>
      <c r="P43" s="16">
        <f>O43/O$67*'Forecast (BV) 2017'!K$71</f>
        <v>0</v>
      </c>
      <c r="Q43" s="16">
        <f>P43/P$67*'Forecast (BV) 2017'!L$71</f>
        <v>0</v>
      </c>
      <c r="R43" s="16">
        <f>Q43/Q$67*'Forecast (BV) 2017'!M$71</f>
        <v>0</v>
      </c>
      <c r="S43" s="16">
        <f>R43/R$67*'Forecast (BV) 2017'!N$71</f>
        <v>0</v>
      </c>
      <c r="T43" s="16">
        <f>S43/S$67*'Forecast (BV) 2017'!O$71</f>
        <v>0</v>
      </c>
      <c r="U43" s="16">
        <f>T43/T$67*'Forecast (BV) 2017'!P$71</f>
        <v>0</v>
      </c>
      <c r="V43" s="16">
        <f>U43/U$67*'Forecast (BV) 2017'!Q$71</f>
        <v>0</v>
      </c>
      <c r="W43" s="16">
        <f>V43/V$67*'Forecast (BV) 2017'!R$71</f>
        <v>0</v>
      </c>
      <c r="X43" s="16">
        <f>W43/W$67*'Forecast (BV) 2017'!S$71</f>
        <v>0</v>
      </c>
      <c r="Y43" s="16">
        <f>X43/X$67*'Forecast (BV) 2017'!T$71</f>
        <v>0</v>
      </c>
      <c r="Z43" s="16">
        <f>Y43/Y$67*'Forecast (BV) 2017'!U$71</f>
        <v>0</v>
      </c>
      <c r="AA43" s="1283"/>
      <c r="AB43" s="1286"/>
    </row>
    <row r="44" spans="1:28" s="1280" customFormat="1" ht="17.25" customHeight="1">
      <c r="A44" s="1315"/>
      <c r="B44" s="1282"/>
      <c r="C44" s="1298">
        <f>+MAX($C$9:C43)+1</f>
        <v>36</v>
      </c>
      <c r="D44" s="1299">
        <v>539090</v>
      </c>
      <c r="E44" s="1300" t="s">
        <v>2123</v>
      </c>
      <c r="F44" s="1299">
        <v>11</v>
      </c>
      <c r="G44" s="1305"/>
      <c r="H44" s="1306"/>
      <c r="I44" s="1307">
        <v>131516.09999999998</v>
      </c>
      <c r="J44" s="1307">
        <v>138051.92000000001</v>
      </c>
      <c r="K44" s="1307">
        <v>138273.35999999999</v>
      </c>
      <c r="L44" s="1307">
        <v>138549.29</v>
      </c>
      <c r="M44" s="1306">
        <v>143091.19</v>
      </c>
      <c r="N44" s="4233">
        <v>148857.07999999999</v>
      </c>
      <c r="O44" s="4236">
        <v>146110.29999999999</v>
      </c>
      <c r="P44" s="16">
        <f>O44/O$67*'Forecast (BV) 2017'!K$71</f>
        <v>160140.05098425905</v>
      </c>
      <c r="Q44" s="16">
        <f>P44/P$67*'Forecast (BV) 2017'!L$71</f>
        <v>155793.48180581332</v>
      </c>
      <c r="R44" s="16">
        <f>Q44/Q$67*'Forecast (BV) 2017'!M$71</f>
        <v>162609.58850425339</v>
      </c>
      <c r="S44" s="16">
        <f>R44/R$67*'Forecast (BV) 2017'!N$71</f>
        <v>164271.03393741796</v>
      </c>
      <c r="T44" s="16">
        <f>S44/S$67*'Forecast (BV) 2017'!O$71</f>
        <v>170175.16418134805</v>
      </c>
      <c r="U44" s="16">
        <f>T44/T$67*'Forecast (BV) 2017'!P$71</f>
        <v>176815.21582913099</v>
      </c>
      <c r="V44" s="16">
        <f>U44/U$67*'Forecast (BV) 2017'!Q$71</f>
        <v>173504.58893418749</v>
      </c>
      <c r="W44" s="16">
        <f>V44/V$67*'Forecast (BV) 2017'!R$71</f>
        <v>183670.65626294183</v>
      </c>
      <c r="X44" s="16">
        <f>W44/W$67*'Forecast (BV) 2017'!S$71</f>
        <v>191857.65285951644</v>
      </c>
      <c r="Y44" s="16">
        <f>X44/X$67*'Forecast (BV) 2017'!T$71</f>
        <v>203482.59725215612</v>
      </c>
      <c r="Z44" s="16">
        <f>Y44/Y$67*'Forecast (BV) 2017'!U$71</f>
        <v>215599.55487657798</v>
      </c>
      <c r="AA44" s="1283"/>
      <c r="AB44" s="1286"/>
    </row>
    <row r="45" spans="1:28" s="1280" customFormat="1" ht="17.25" customHeight="1">
      <c r="A45" s="1315"/>
      <c r="B45" s="1282"/>
      <c r="C45" s="1298">
        <f>+MAX($C$9:C44)+1</f>
        <v>37</v>
      </c>
      <c r="D45" s="1299">
        <v>539600</v>
      </c>
      <c r="E45" s="1300" t="s">
        <v>310</v>
      </c>
      <c r="F45" s="1299">
        <v>11</v>
      </c>
      <c r="G45" s="1305"/>
      <c r="H45" s="1306"/>
      <c r="I45" s="1307">
        <v>0</v>
      </c>
      <c r="J45" s="1307">
        <v>0</v>
      </c>
      <c r="K45" s="1307">
        <v>0</v>
      </c>
      <c r="L45" s="1307">
        <v>0</v>
      </c>
      <c r="M45" s="1306">
        <v>0</v>
      </c>
      <c r="N45" s="4233"/>
      <c r="O45" s="4236"/>
      <c r="P45" s="16">
        <f>O45/O$67*'Forecast (BV) 2017'!K$71</f>
        <v>0</v>
      </c>
      <c r="Q45" s="16">
        <f>P45/P$67*'Forecast (BV) 2017'!L$71</f>
        <v>0</v>
      </c>
      <c r="R45" s="16">
        <f>Q45/Q$67*'Forecast (BV) 2017'!M$71</f>
        <v>0</v>
      </c>
      <c r="S45" s="16">
        <f>R45/R$67*'Forecast (BV) 2017'!N$71</f>
        <v>0</v>
      </c>
      <c r="T45" s="16">
        <f>S45/S$67*'Forecast (BV) 2017'!O$71</f>
        <v>0</v>
      </c>
      <c r="U45" s="16">
        <f>T45/T$67*'Forecast (BV) 2017'!P$71</f>
        <v>0</v>
      </c>
      <c r="V45" s="16">
        <f>U45/U$67*'Forecast (BV) 2017'!Q$71</f>
        <v>0</v>
      </c>
      <c r="W45" s="16">
        <f>V45/V$67*'Forecast (BV) 2017'!R$71</f>
        <v>0</v>
      </c>
      <c r="X45" s="16">
        <f>W45/W$67*'Forecast (BV) 2017'!S$71</f>
        <v>0</v>
      </c>
      <c r="Y45" s="16">
        <f>X45/X$67*'Forecast (BV) 2017'!T$71</f>
        <v>0</v>
      </c>
      <c r="Z45" s="16">
        <f>Y45/Y$67*'Forecast (BV) 2017'!U$71</f>
        <v>0</v>
      </c>
      <c r="AA45" s="1283"/>
      <c r="AB45" s="1286"/>
    </row>
    <row r="46" spans="1:28" s="1280" customFormat="1" ht="17.25" customHeight="1">
      <c r="A46" s="1315"/>
      <c r="B46" s="1282"/>
      <c r="C46" s="1298">
        <f>+MAX($C$9:C45)+1</f>
        <v>38</v>
      </c>
      <c r="D46" s="1299">
        <v>540000</v>
      </c>
      <c r="E46" s="1300" t="s">
        <v>2125</v>
      </c>
      <c r="F46" s="1299">
        <v>11</v>
      </c>
      <c r="G46" s="1305"/>
      <c r="H46" s="1306"/>
      <c r="I46" s="1307">
        <v>158708.77000000002</v>
      </c>
      <c r="J46" s="1307">
        <v>-101146.63</v>
      </c>
      <c r="K46" s="1307">
        <v>56294.6</v>
      </c>
      <c r="L46" s="1307">
        <v>40571.58</v>
      </c>
      <c r="M46" s="1306">
        <v>68746.399999999994</v>
      </c>
      <c r="N46" s="4233">
        <v>67787.259999999995</v>
      </c>
      <c r="O46" s="4236">
        <v>75886.83</v>
      </c>
      <c r="P46" s="16">
        <f>O46/O$67*'Forecast (BV) 2017'!K$71</f>
        <v>83173.608056610654</v>
      </c>
      <c r="Q46" s="16">
        <f>P46/P$67*'Forecast (BV) 2017'!L$71</f>
        <v>80916.085100816636</v>
      </c>
      <c r="R46" s="16">
        <f>Q46/Q$67*'Forecast (BV) 2017'!M$71</f>
        <v>84456.237508185484</v>
      </c>
      <c r="S46" s="16">
        <f>R46/R$67*'Forecast (BV) 2017'!N$71</f>
        <v>85319.159746664474</v>
      </c>
      <c r="T46" s="16">
        <f>S46/S$67*'Forecast (BV) 2017'!O$71</f>
        <v>88385.649433695318</v>
      </c>
      <c r="U46" s="16">
        <f>T46/T$67*'Forecast (BV) 2017'!P$71</f>
        <v>91834.36229368209</v>
      </c>
      <c r="V46" s="16">
        <f>U46/U$67*'Forecast (BV) 2017'!Q$71</f>
        <v>90114.887483418861</v>
      </c>
      <c r="W46" s="16">
        <f>V46/V$67*'Forecast (BV) 2017'!R$71</f>
        <v>95394.943873322496</v>
      </c>
      <c r="X46" s="16">
        <f>W46/W$67*'Forecast (BV) 2017'!S$71</f>
        <v>99647.109661325376</v>
      </c>
      <c r="Y46" s="16">
        <f>X46/X$67*'Forecast (BV) 2017'!T$71</f>
        <v>105684.87824357935</v>
      </c>
      <c r="Z46" s="16">
        <f>Y46/Y$67*'Forecast (BV) 2017'!U$71</f>
        <v>111978.18886823555</v>
      </c>
      <c r="AA46" s="1283"/>
      <c r="AB46" s="1286"/>
    </row>
    <row r="47" spans="1:28" s="1280" customFormat="1" ht="17.25" customHeight="1">
      <c r="A47" s="1315"/>
      <c r="B47" s="1282"/>
      <c r="C47" s="1298">
        <f>+MAX($C$9:C46)+1</f>
        <v>39</v>
      </c>
      <c r="D47" s="1299">
        <v>541000</v>
      </c>
      <c r="E47" s="1300" t="s">
        <v>2126</v>
      </c>
      <c r="F47" s="1299">
        <v>11</v>
      </c>
      <c r="G47" s="1305"/>
      <c r="H47" s="1306"/>
      <c r="I47" s="1307">
        <v>1728947.8199999998</v>
      </c>
      <c r="J47" s="1307">
        <v>1077035.72</v>
      </c>
      <c r="K47" s="1307">
        <v>718019.78</v>
      </c>
      <c r="L47" s="1307">
        <v>444530.29</v>
      </c>
      <c r="M47" s="1306">
        <v>668975.30000000005</v>
      </c>
      <c r="N47" s="4233">
        <v>777933.99</v>
      </c>
      <c r="O47" s="4236">
        <v>1155251.79</v>
      </c>
      <c r="P47" s="16">
        <f>O47/O$67*'Forecast (BV) 2017'!K$71</f>
        <v>1266180.9643143334</v>
      </c>
      <c r="Q47" s="16">
        <f>P47/P$67*'Forecast (BV) 2017'!L$71</f>
        <v>1231813.9017338152</v>
      </c>
      <c r="R47" s="16">
        <f>Q47/Q$67*'Forecast (BV) 2017'!M$71</f>
        <v>1285706.8816551752</v>
      </c>
      <c r="S47" s="16">
        <f>R47/R$67*'Forecast (BV) 2017'!N$71</f>
        <v>1298843.4491021705</v>
      </c>
      <c r="T47" s="16">
        <f>S47/S$67*'Forecast (BV) 2017'!O$71</f>
        <v>1345525.6955467635</v>
      </c>
      <c r="U47" s="16">
        <f>T47/T$67*'Forecast (BV) 2017'!P$71</f>
        <v>1398026.6592145795</v>
      </c>
      <c r="V47" s="16">
        <f>U47/U$67*'Forecast (BV) 2017'!Q$71</f>
        <v>1371850.4919874531</v>
      </c>
      <c r="W47" s="16">
        <f>V47/V$67*'Forecast (BV) 2017'!R$71</f>
        <v>1452230.639580087</v>
      </c>
      <c r="X47" s="16">
        <f>W47/W$67*'Forecast (BV) 2017'!S$71</f>
        <v>1516962.8485545176</v>
      </c>
      <c r="Y47" s="16">
        <f>X47/X$67*'Forecast (BV) 2017'!T$71</f>
        <v>1608877.9142155112</v>
      </c>
      <c r="Z47" s="16">
        <f>Y47/Y$67*'Forecast (BV) 2017'!U$71</f>
        <v>1704683.1858833367</v>
      </c>
      <c r="AA47" s="1283"/>
      <c r="AB47" s="1286"/>
    </row>
    <row r="48" spans="1:28" s="1280" customFormat="1" ht="17.25" customHeight="1">
      <c r="A48" s="1315"/>
      <c r="B48" s="1282"/>
      <c r="C48" s="1298">
        <f>+MAX($C$9:C47)+1</f>
        <v>40</v>
      </c>
      <c r="D48" s="1299">
        <v>541500</v>
      </c>
      <c r="E48" s="1300" t="s">
        <v>743</v>
      </c>
      <c r="F48" s="1299">
        <v>11</v>
      </c>
      <c r="G48" s="1305"/>
      <c r="H48" s="1306"/>
      <c r="I48" s="1307">
        <v>0</v>
      </c>
      <c r="J48" s="1307">
        <v>0</v>
      </c>
      <c r="K48" s="1307">
        <v>0</v>
      </c>
      <c r="L48" s="1307">
        <v>0</v>
      </c>
      <c r="M48" s="1306">
        <v>0</v>
      </c>
      <c r="N48" s="4233"/>
      <c r="O48" s="4236"/>
      <c r="P48" s="16">
        <f>O48/O$67*'Forecast (BV) 2017'!K$71</f>
        <v>0</v>
      </c>
      <c r="Q48" s="16">
        <f>P48/P$67*'Forecast (BV) 2017'!L$71</f>
        <v>0</v>
      </c>
      <c r="R48" s="16">
        <f>Q48/Q$67*'Forecast (BV) 2017'!M$71</f>
        <v>0</v>
      </c>
      <c r="S48" s="16">
        <f>R48/R$67*'Forecast (BV) 2017'!N$71</f>
        <v>0</v>
      </c>
      <c r="T48" s="16">
        <f>S48/S$67*'Forecast (BV) 2017'!O$71</f>
        <v>0</v>
      </c>
      <c r="U48" s="16">
        <f>T48/T$67*'Forecast (BV) 2017'!P$71</f>
        <v>0</v>
      </c>
      <c r="V48" s="16">
        <f>U48/U$67*'Forecast (BV) 2017'!Q$71</f>
        <v>0</v>
      </c>
      <c r="W48" s="16">
        <f>V48/V$67*'Forecast (BV) 2017'!R$71</f>
        <v>0</v>
      </c>
      <c r="X48" s="16">
        <f>W48/W$67*'Forecast (BV) 2017'!S$71</f>
        <v>0</v>
      </c>
      <c r="Y48" s="16">
        <f>X48/X$67*'Forecast (BV) 2017'!T$71</f>
        <v>0</v>
      </c>
      <c r="Z48" s="16">
        <f>Y48/Y$67*'Forecast (BV) 2017'!U$71</f>
        <v>0</v>
      </c>
      <c r="AA48" s="1283"/>
      <c r="AB48" s="1286"/>
    </row>
    <row r="49" spans="1:28" s="1280" customFormat="1" ht="17.25" customHeight="1">
      <c r="A49" s="1315"/>
      <c r="B49" s="1282"/>
      <c r="C49" s="1298">
        <f>+MAX($C$9:C48)+1</f>
        <v>41</v>
      </c>
      <c r="D49" s="1299">
        <v>541600</v>
      </c>
      <c r="E49" s="1300" t="s">
        <v>744</v>
      </c>
      <c r="F49" s="1299">
        <v>11</v>
      </c>
      <c r="G49" s="1305"/>
      <c r="H49" s="1306"/>
      <c r="I49" s="1307">
        <v>0</v>
      </c>
      <c r="J49" s="1307">
        <v>0</v>
      </c>
      <c r="K49" s="1307">
        <v>0</v>
      </c>
      <c r="L49" s="1307">
        <v>0</v>
      </c>
      <c r="M49" s="1306">
        <v>0</v>
      </c>
      <c r="N49" s="4233"/>
      <c r="O49" s="4236"/>
      <c r="P49" s="16">
        <f>O49/O$67*'Forecast (BV) 2017'!K$71</f>
        <v>0</v>
      </c>
      <c r="Q49" s="16">
        <f>P49/P$67*'Forecast (BV) 2017'!L$71</f>
        <v>0</v>
      </c>
      <c r="R49" s="16">
        <f>Q49/Q$67*'Forecast (BV) 2017'!M$71</f>
        <v>0</v>
      </c>
      <c r="S49" s="16">
        <f>R49/R$67*'Forecast (BV) 2017'!N$71</f>
        <v>0</v>
      </c>
      <c r="T49" s="16">
        <f>S49/S$67*'Forecast (BV) 2017'!O$71</f>
        <v>0</v>
      </c>
      <c r="U49" s="16">
        <f>T49/T$67*'Forecast (BV) 2017'!P$71</f>
        <v>0</v>
      </c>
      <c r="V49" s="16">
        <f>U49/U$67*'Forecast (BV) 2017'!Q$71</f>
        <v>0</v>
      </c>
      <c r="W49" s="16">
        <f>V49/V$67*'Forecast (BV) 2017'!R$71</f>
        <v>0</v>
      </c>
      <c r="X49" s="16">
        <f>W49/W$67*'Forecast (BV) 2017'!S$71</f>
        <v>0</v>
      </c>
      <c r="Y49" s="16">
        <f>X49/X$67*'Forecast (BV) 2017'!T$71</f>
        <v>0</v>
      </c>
      <c r="Z49" s="16">
        <f>Y49/Y$67*'Forecast (BV) 2017'!U$71</f>
        <v>0</v>
      </c>
      <c r="AA49" s="1283"/>
      <c r="AB49" s="1286"/>
    </row>
    <row r="50" spans="1:28" s="1280" customFormat="1" ht="17.25" customHeight="1">
      <c r="A50" s="1279"/>
      <c r="B50" s="1282"/>
      <c r="C50" s="1298">
        <f>+MAX($C$9:C49)+1</f>
        <v>42</v>
      </c>
      <c r="D50" s="1299">
        <v>542010</v>
      </c>
      <c r="E50" s="1300" t="s">
        <v>2127</v>
      </c>
      <c r="F50" s="1299">
        <v>11</v>
      </c>
      <c r="G50" s="1305"/>
      <c r="H50" s="1306"/>
      <c r="I50" s="1307">
        <v>101340.95</v>
      </c>
      <c r="J50" s="1307">
        <v>217001.03</v>
      </c>
      <c r="K50" s="1307">
        <v>353478.23</v>
      </c>
      <c r="L50" s="1307">
        <v>165629.72</v>
      </c>
      <c r="M50" s="1306">
        <v>41850.04</v>
      </c>
      <c r="N50" s="4233">
        <v>11181.88</v>
      </c>
      <c r="O50" s="4236">
        <v>32647.599999999999</v>
      </c>
      <c r="P50" s="16">
        <f>O50/O$67*'Forecast (BV) 2017'!K$71</f>
        <v>35782.476173915842</v>
      </c>
      <c r="Q50" s="16">
        <f>P50/P$67*'Forecast (BV) 2017'!L$71</f>
        <v>34811.257499323947</v>
      </c>
      <c r="R50" s="16">
        <f>Q50/Q$67*'Forecast (BV) 2017'!M$71</f>
        <v>36334.281714919918</v>
      </c>
      <c r="S50" s="16">
        <f>R50/R$67*'Forecast (BV) 2017'!N$71</f>
        <v>36705.523207982245</v>
      </c>
      <c r="T50" s="16">
        <f>S50/S$67*'Forecast (BV) 2017'!O$71</f>
        <v>38024.770944464428</v>
      </c>
      <c r="U50" s="16">
        <f>T50/T$67*'Forecast (BV) 2017'!P$71</f>
        <v>39508.456558525577</v>
      </c>
      <c r="V50" s="16">
        <f>U50/U$67*'Forecast (BV) 2017'!Q$71</f>
        <v>38768.713894145607</v>
      </c>
      <c r="W50" s="16">
        <f>V50/V$67*'Forecast (BV) 2017'!R$71</f>
        <v>41040.269696318632</v>
      </c>
      <c r="X50" s="16">
        <f>W50/W$67*'Forecast (BV) 2017'!S$71</f>
        <v>42869.612255236992</v>
      </c>
      <c r="Y50" s="16">
        <f>X50/X$67*'Forecast (BV) 2017'!T$71</f>
        <v>45467.146683358376</v>
      </c>
      <c r="Z50" s="16">
        <f>Y50/Y$67*'Forecast (BV) 2017'!U$71</f>
        <v>48174.618954232326</v>
      </c>
      <c r="AA50" s="1283"/>
      <c r="AB50" s="1286"/>
    </row>
    <row r="51" spans="1:28" s="1280" customFormat="1" ht="17.25" customHeight="1">
      <c r="A51" s="1279"/>
      <c r="B51" s="1282"/>
      <c r="C51" s="1298">
        <f>+MAX($C$9:C50)+1</f>
        <v>43</v>
      </c>
      <c r="D51" s="1299">
        <v>542030</v>
      </c>
      <c r="E51" s="1300" t="s">
        <v>2128</v>
      </c>
      <c r="F51" s="1299">
        <v>11</v>
      </c>
      <c r="G51" s="1305"/>
      <c r="H51" s="1306"/>
      <c r="I51" s="1307">
        <v>237357.64</v>
      </c>
      <c r="J51" s="1307">
        <v>620.03</v>
      </c>
      <c r="K51" s="1307">
        <v>771.12</v>
      </c>
      <c r="L51" s="1307">
        <v>0</v>
      </c>
      <c r="M51" s="1306">
        <v>0</v>
      </c>
      <c r="N51" s="4233"/>
      <c r="O51" s="4236"/>
      <c r="P51" s="16">
        <f>O51/O$67*'Forecast (BV) 2017'!K$71</f>
        <v>0</v>
      </c>
      <c r="Q51" s="16">
        <f>P51/P$67*'Forecast (BV) 2017'!L$71</f>
        <v>0</v>
      </c>
      <c r="R51" s="16">
        <f>Q51/Q$67*'Forecast (BV) 2017'!M$71</f>
        <v>0</v>
      </c>
      <c r="S51" s="16">
        <f>R51/R$67*'Forecast (BV) 2017'!N$71</f>
        <v>0</v>
      </c>
      <c r="T51" s="16">
        <f>S51/S$67*'Forecast (BV) 2017'!O$71</f>
        <v>0</v>
      </c>
      <c r="U51" s="16">
        <f>T51/T$67*'Forecast (BV) 2017'!P$71</f>
        <v>0</v>
      </c>
      <c r="V51" s="16">
        <f>U51/U$67*'Forecast (BV) 2017'!Q$71</f>
        <v>0</v>
      </c>
      <c r="W51" s="16">
        <f>V51/V$67*'Forecast (BV) 2017'!R$71</f>
        <v>0</v>
      </c>
      <c r="X51" s="16">
        <f>W51/W$67*'Forecast (BV) 2017'!S$71</f>
        <v>0</v>
      </c>
      <c r="Y51" s="16">
        <f>X51/X$67*'Forecast (BV) 2017'!T$71</f>
        <v>0</v>
      </c>
      <c r="Z51" s="16">
        <f>Y51/Y$67*'Forecast (BV) 2017'!U$71</f>
        <v>0</v>
      </c>
      <c r="AA51" s="1283"/>
      <c r="AB51" s="1286"/>
    </row>
    <row r="52" spans="1:28" s="1280" customFormat="1" ht="17.25" customHeight="1">
      <c r="A52" s="1279"/>
      <c r="B52" s="1282"/>
      <c r="C52" s="1298">
        <f>+MAX($C$9:C51)+1</f>
        <v>44</v>
      </c>
      <c r="D52" s="1299">
        <v>542050</v>
      </c>
      <c r="E52" s="1300" t="s">
        <v>2129</v>
      </c>
      <c r="F52" s="1299">
        <v>11</v>
      </c>
      <c r="G52" s="1305"/>
      <c r="H52" s="1306"/>
      <c r="I52" s="1307">
        <v>258113.27</v>
      </c>
      <c r="J52" s="1307">
        <v>305362.43</v>
      </c>
      <c r="K52" s="1307">
        <v>194000.76</v>
      </c>
      <c r="L52" s="1307">
        <v>200347.22</v>
      </c>
      <c r="M52" s="1306">
        <v>185411.36</v>
      </c>
      <c r="N52" s="4233">
        <v>140705.14000000001</v>
      </c>
      <c r="O52" s="4236">
        <v>162485.96</v>
      </c>
      <c r="P52" s="16">
        <f>O52/O$67*'Forecast (BV) 2017'!K$71</f>
        <v>178088.12875359421</v>
      </c>
      <c r="Q52" s="16">
        <f>P52/P$67*'Forecast (BV) 2017'!L$71</f>
        <v>173254.40747818674</v>
      </c>
      <c r="R52" s="16">
        <f>Q52/Q$67*'Forecast (BV) 2017'!M$71</f>
        <v>180834.44557514822</v>
      </c>
      <c r="S52" s="16">
        <f>R52/R$67*'Forecast (BV) 2017'!N$71</f>
        <v>182682.10146385262</v>
      </c>
      <c r="T52" s="16">
        <f>S52/S$67*'Forecast (BV) 2017'!O$71</f>
        <v>189247.95117225798</v>
      </c>
      <c r="U52" s="16">
        <f>T52/T$67*'Forecast (BV) 2017'!P$71</f>
        <v>196632.20242928498</v>
      </c>
      <c r="V52" s="16">
        <f>U52/U$67*'Forecast (BV) 2017'!Q$71</f>
        <v>192950.5291370755</v>
      </c>
      <c r="W52" s="16">
        <f>V52/V$67*'Forecast (BV) 2017'!R$71</f>
        <v>204255.98268372685</v>
      </c>
      <c r="X52" s="16">
        <f>W52/W$67*'Forecast (BV) 2017'!S$71</f>
        <v>213360.55643048638</v>
      </c>
      <c r="Y52" s="16">
        <f>X52/X$67*'Forecast (BV) 2017'!T$71</f>
        <v>226288.39416392939</v>
      </c>
      <c r="Z52" s="16">
        <f>Y52/Y$67*'Forecast (BV) 2017'!U$71</f>
        <v>239763.38868439445</v>
      </c>
      <c r="AA52" s="1283"/>
      <c r="AB52" s="1286"/>
    </row>
    <row r="53" spans="1:28" s="1280" customFormat="1" ht="17.25" customHeight="1">
      <c r="A53" s="1315"/>
      <c r="B53" s="1282"/>
      <c r="C53" s="1298">
        <f>+MAX($C$9:C52)+1</f>
        <v>45</v>
      </c>
      <c r="D53" s="1299">
        <v>543010</v>
      </c>
      <c r="E53" s="1300" t="s">
        <v>745</v>
      </c>
      <c r="F53" s="1299">
        <v>11</v>
      </c>
      <c r="G53" s="1305"/>
      <c r="H53" s="1306"/>
      <c r="I53" s="1307">
        <v>798022.54</v>
      </c>
      <c r="J53" s="1307">
        <v>1049723.32</v>
      </c>
      <c r="K53" s="1307">
        <v>1049205.6599999999</v>
      </c>
      <c r="L53" s="1307">
        <v>1060295.6200000001</v>
      </c>
      <c r="M53" s="1306">
        <v>1060383.77</v>
      </c>
      <c r="N53" s="4233">
        <v>1615728.44</v>
      </c>
      <c r="O53" s="4236">
        <v>1516788.81</v>
      </c>
      <c r="P53" s="16">
        <f>O53/O$67*'Forecast (BV) 2017'!K$71</f>
        <v>1662433.3627797193</v>
      </c>
      <c r="Q53" s="16">
        <f>P53/P$67*'Forecast (BV) 2017'!L$71</f>
        <v>1617311.0990395355</v>
      </c>
      <c r="R53" s="16">
        <f>Q53/Q$67*'Forecast (BV) 2017'!M$71</f>
        <v>1688069.9323863972</v>
      </c>
      <c r="S53" s="16">
        <f>R53/R$67*'Forecast (BV) 2017'!N$71</f>
        <v>1705317.5996723424</v>
      </c>
      <c r="T53" s="16">
        <f>S53/S$67*'Forecast (BV) 2017'!O$71</f>
        <v>1766609.0944319575</v>
      </c>
      <c r="U53" s="16">
        <f>T53/T$67*'Forecast (BV) 2017'!P$71</f>
        <v>1835540.2788671358</v>
      </c>
      <c r="V53" s="16">
        <f>U53/U$67*'Forecast (BV) 2017'!Q$71</f>
        <v>1801172.2580750673</v>
      </c>
      <c r="W53" s="16">
        <f>V53/V$67*'Forecast (BV) 2017'!R$71</f>
        <v>1906707.4405088946</v>
      </c>
      <c r="X53" s="16">
        <f>W53/W$67*'Forecast (BV) 2017'!S$71</f>
        <v>1991697.6487638394</v>
      </c>
      <c r="Y53" s="16">
        <f>X53/X$67*'Forecast (BV) 2017'!T$71</f>
        <v>2112377.6115839016</v>
      </c>
      <c r="Z53" s="16">
        <f>Y53/Y$67*'Forecast (BV) 2017'!U$71</f>
        <v>2238165.2236548318</v>
      </c>
      <c r="AA53" s="1283"/>
      <c r="AB53" s="1286"/>
    </row>
    <row r="54" spans="1:28" s="1280" customFormat="1" ht="17.25" customHeight="1">
      <c r="A54" s="1279"/>
      <c r="B54" s="1282"/>
      <c r="C54" s="1298">
        <f>+MAX($C$9:C53)+1</f>
        <v>46</v>
      </c>
      <c r="D54" s="1299">
        <v>544010</v>
      </c>
      <c r="E54" s="1300" t="s">
        <v>2130</v>
      </c>
      <c r="F54" s="1299">
        <v>11</v>
      </c>
      <c r="G54" s="1305"/>
      <c r="H54" s="1306"/>
      <c r="I54" s="1307">
        <v>5312256.0600000005</v>
      </c>
      <c r="J54" s="1307">
        <v>6981647.3200000003</v>
      </c>
      <c r="K54" s="1307">
        <v>6978604.3899999997</v>
      </c>
      <c r="L54" s="1307">
        <v>6302323.5999999996</v>
      </c>
      <c r="M54" s="1306">
        <v>6720675.8300000001</v>
      </c>
      <c r="N54" s="4233">
        <v>7615049.2199999997</v>
      </c>
      <c r="O54" s="4236">
        <v>7618627.6900000004</v>
      </c>
      <c r="P54" s="16">
        <f>O54/O$67*'Forecast (BV) 2017'!K$71</f>
        <v>8350180.8339773975</v>
      </c>
      <c r="Q54" s="16">
        <f>P54/P$67*'Forecast (BV) 2017'!L$71</f>
        <v>8123537.7273695329</v>
      </c>
      <c r="R54" s="16">
        <f>Q54/Q$67*'Forecast (BV) 2017'!M$71</f>
        <v>8478949.900438305</v>
      </c>
      <c r="S54" s="16">
        <f>R54/R$67*'Forecast (BV) 2017'!N$71</f>
        <v>8565582.6305232588</v>
      </c>
      <c r="T54" s="16">
        <f>S54/S$67*'Forecast (BV) 2017'!O$71</f>
        <v>8873441.6258286703</v>
      </c>
      <c r="U54" s="16">
        <f>T54/T$67*'Forecast (BV) 2017'!P$71</f>
        <v>9219673.7624188308</v>
      </c>
      <c r="V54" s="16">
        <f>U54/U$67*'Forecast (BV) 2017'!Q$71</f>
        <v>9047047.7823676281</v>
      </c>
      <c r="W54" s="16">
        <f>V54/V$67*'Forecast (BV) 2017'!R$71</f>
        <v>9577136.9139979947</v>
      </c>
      <c r="X54" s="16">
        <f>W54/W$67*'Forecast (BV) 2017'!S$71</f>
        <v>10004031.383235272</v>
      </c>
      <c r="Y54" s="16">
        <f>X54/X$67*'Forecast (BV) 2017'!T$71</f>
        <v>10610190.724804448</v>
      </c>
      <c r="Z54" s="16">
        <f>Y54/Y$67*'Forecast (BV) 2017'!U$71</f>
        <v>11242005.106651429</v>
      </c>
      <c r="AA54" s="1283"/>
      <c r="AB54" s="1286"/>
    </row>
    <row r="55" spans="1:28" s="1280" customFormat="1" ht="17.25" customHeight="1">
      <c r="A55" s="1279"/>
      <c r="B55" s="1282"/>
      <c r="C55" s="1298">
        <f>+MAX($C$9:C54)+1</f>
        <v>47</v>
      </c>
      <c r="D55" s="1299">
        <v>544500</v>
      </c>
      <c r="E55" s="1300" t="s">
        <v>746</v>
      </c>
      <c r="F55" s="1299">
        <v>11</v>
      </c>
      <c r="G55" s="1305"/>
      <c r="H55" s="1306"/>
      <c r="I55" s="1307">
        <v>0</v>
      </c>
      <c r="J55" s="1307">
        <v>0</v>
      </c>
      <c r="K55" s="1307">
        <v>0</v>
      </c>
      <c r="L55" s="1307">
        <v>0</v>
      </c>
      <c r="M55" s="1306">
        <v>0</v>
      </c>
      <c r="N55" s="4233"/>
      <c r="O55" s="4236"/>
      <c r="P55" s="16">
        <f>O55/O$67*'Forecast (BV) 2017'!K$71</f>
        <v>0</v>
      </c>
      <c r="Q55" s="16">
        <f>P55/P$67*'Forecast (BV) 2017'!L$71</f>
        <v>0</v>
      </c>
      <c r="R55" s="16">
        <f>Q55/Q$67*'Forecast (BV) 2017'!M$71</f>
        <v>0</v>
      </c>
      <c r="S55" s="16">
        <f>R55/R$67*'Forecast (BV) 2017'!N$71</f>
        <v>0</v>
      </c>
      <c r="T55" s="16">
        <f>S55/S$67*'Forecast (BV) 2017'!O$71</f>
        <v>0</v>
      </c>
      <c r="U55" s="16">
        <f>T55/T$67*'Forecast (BV) 2017'!P$71</f>
        <v>0</v>
      </c>
      <c r="V55" s="16">
        <f>U55/U$67*'Forecast (BV) 2017'!Q$71</f>
        <v>0</v>
      </c>
      <c r="W55" s="16">
        <f>V55/V$67*'Forecast (BV) 2017'!R$71</f>
        <v>0</v>
      </c>
      <c r="X55" s="16">
        <f>W55/W$67*'Forecast (BV) 2017'!S$71</f>
        <v>0</v>
      </c>
      <c r="Y55" s="16">
        <f>X55/X$67*'Forecast (BV) 2017'!T$71</f>
        <v>0</v>
      </c>
      <c r="Z55" s="16">
        <f>Y55/Y$67*'Forecast (BV) 2017'!U$71</f>
        <v>0</v>
      </c>
      <c r="AA55" s="1283"/>
      <c r="AB55" s="1286"/>
    </row>
    <row r="56" spans="1:28" s="1280" customFormat="1" ht="17.25" customHeight="1">
      <c r="A56" s="1279"/>
      <c r="B56" s="1282"/>
      <c r="C56" s="1298">
        <f>+MAX($C$9:C55)+1</f>
        <v>48</v>
      </c>
      <c r="D56" s="1299">
        <v>544600</v>
      </c>
      <c r="E56" s="1300" t="s">
        <v>747</v>
      </c>
      <c r="F56" s="1299">
        <v>11</v>
      </c>
      <c r="G56" s="1305"/>
      <c r="H56" s="1306"/>
      <c r="I56" s="1307">
        <v>0</v>
      </c>
      <c r="J56" s="1307">
        <v>0</v>
      </c>
      <c r="K56" s="1307">
        <v>0</v>
      </c>
      <c r="L56" s="1307">
        <v>0</v>
      </c>
      <c r="M56" s="1306">
        <v>0</v>
      </c>
      <c r="N56" s="4233"/>
      <c r="O56" s="4236"/>
      <c r="P56" s="16">
        <f>O56/O$67*'Forecast (BV) 2017'!K$71</f>
        <v>0</v>
      </c>
      <c r="Q56" s="16">
        <f>P56/P$67*'Forecast (BV) 2017'!L$71</f>
        <v>0</v>
      </c>
      <c r="R56" s="16">
        <f>Q56/Q$67*'Forecast (BV) 2017'!M$71</f>
        <v>0</v>
      </c>
      <c r="S56" s="16">
        <f>R56/R$67*'Forecast (BV) 2017'!N$71</f>
        <v>0</v>
      </c>
      <c r="T56" s="16">
        <f>S56/S$67*'Forecast (BV) 2017'!O$71</f>
        <v>0</v>
      </c>
      <c r="U56" s="16">
        <f>T56/T$67*'Forecast (BV) 2017'!P$71</f>
        <v>0</v>
      </c>
      <c r="V56" s="16">
        <f>U56/U$67*'Forecast (BV) 2017'!Q$71</f>
        <v>0</v>
      </c>
      <c r="W56" s="16">
        <f>V56/V$67*'Forecast (BV) 2017'!R$71</f>
        <v>0</v>
      </c>
      <c r="X56" s="16">
        <f>W56/W$67*'Forecast (BV) 2017'!S$71</f>
        <v>0</v>
      </c>
      <c r="Y56" s="16">
        <f>X56/X$67*'Forecast (BV) 2017'!T$71</f>
        <v>0</v>
      </c>
      <c r="Z56" s="16">
        <f>Y56/Y$67*'Forecast (BV) 2017'!U$71</f>
        <v>0</v>
      </c>
      <c r="AA56" s="1283"/>
      <c r="AB56" s="1286"/>
    </row>
    <row r="57" spans="1:28" s="1280" customFormat="1" ht="17.25" customHeight="1">
      <c r="A57" s="1279"/>
      <c r="B57" s="1282"/>
      <c r="C57" s="1298">
        <f>+MAX($C$9:C56)+1</f>
        <v>49</v>
      </c>
      <c r="D57" s="1299">
        <v>545010</v>
      </c>
      <c r="E57" s="1300" t="s">
        <v>748</v>
      </c>
      <c r="F57" s="1299">
        <v>11</v>
      </c>
      <c r="G57" s="1305"/>
      <c r="H57" s="1306"/>
      <c r="I57" s="1307">
        <v>2645175.31</v>
      </c>
      <c r="J57" s="1307">
        <v>1282139.6499999999</v>
      </c>
      <c r="K57" s="1307">
        <v>1263223.17</v>
      </c>
      <c r="L57" s="1307">
        <v>1335607.8500000001</v>
      </c>
      <c r="M57" s="1306">
        <v>1208203.6399999999</v>
      </c>
      <c r="N57" s="4233">
        <v>2943729.78</v>
      </c>
      <c r="O57" s="4236">
        <v>3544999.62</v>
      </c>
      <c r="P57" s="16">
        <f>O57/O$67*'Forecast (BV) 2017'!K$71</f>
        <v>3885396.3059823909</v>
      </c>
      <c r="Q57" s="16">
        <f>P57/P$67*'Forecast (BV) 2017'!L$71</f>
        <v>3779937.716917186</v>
      </c>
      <c r="R57" s="16">
        <f>Q57/Q$67*'Forecast (BV) 2017'!M$71</f>
        <v>3945313.4341380079</v>
      </c>
      <c r="S57" s="16">
        <f>R57/R$67*'Forecast (BV) 2017'!N$71</f>
        <v>3985624.2365196282</v>
      </c>
      <c r="T57" s="16">
        <f>S57/S$67*'Forecast (BV) 2017'!O$71</f>
        <v>4128873.1345861079</v>
      </c>
      <c r="U57" s="16">
        <f>T57/T$67*'Forecast (BV) 2017'!P$71</f>
        <v>4289977.3179884478</v>
      </c>
      <c r="V57" s="16">
        <f>U57/U$67*'Forecast (BV) 2017'!Q$71</f>
        <v>4209653.2677022163</v>
      </c>
      <c r="W57" s="16">
        <f>V57/V$67*'Forecast (BV) 2017'!R$71</f>
        <v>4456307.3695508111</v>
      </c>
      <c r="X57" s="16">
        <f>W57/W$67*'Forecast (BV) 2017'!S$71</f>
        <v>4654944.2885346087</v>
      </c>
      <c r="Y57" s="16">
        <f>X57/X$67*'Forecast (BV) 2017'!T$71</f>
        <v>4936994.379831587</v>
      </c>
      <c r="Z57" s="16">
        <f>Y57/Y$67*'Forecast (BV) 2017'!U$71</f>
        <v>5230981.9369999142</v>
      </c>
      <c r="AA57" s="1283"/>
      <c r="AB57" s="1286"/>
    </row>
    <row r="58" spans="1:28" s="1280" customFormat="1" ht="17.25" customHeight="1">
      <c r="A58" s="1279"/>
      <c r="B58" s="1282"/>
      <c r="C58" s="1298">
        <f>+MAX($C$9:C57)+1</f>
        <v>50</v>
      </c>
      <c r="D58" s="1299">
        <v>545030</v>
      </c>
      <c r="E58" s="1300" t="s">
        <v>2131</v>
      </c>
      <c r="F58" s="1299">
        <v>11</v>
      </c>
      <c r="G58" s="1305"/>
      <c r="H58" s="1306"/>
      <c r="I58" s="1307">
        <v>605975.93999999994</v>
      </c>
      <c r="J58" s="1307">
        <v>372.02</v>
      </c>
      <c r="K58" s="1307">
        <v>462.65</v>
      </c>
      <c r="L58" s="1307">
        <v>72468.960000000006</v>
      </c>
      <c r="M58" s="1306">
        <v>268018.93</v>
      </c>
      <c r="N58" s="4233">
        <v>5375.3</v>
      </c>
      <c r="O58" s="4236">
        <v>0</v>
      </c>
      <c r="P58" s="16">
        <f>O58/O$67*'Forecast (BV) 2017'!K$71</f>
        <v>0</v>
      </c>
      <c r="Q58" s="16">
        <f>P58/P$67*'Forecast (BV) 2017'!L$71</f>
        <v>0</v>
      </c>
      <c r="R58" s="16">
        <f>Q58/Q$67*'Forecast (BV) 2017'!M$71</f>
        <v>0</v>
      </c>
      <c r="S58" s="16">
        <f>R58/R$67*'Forecast (BV) 2017'!N$71</f>
        <v>0</v>
      </c>
      <c r="T58" s="16">
        <f>S58/S$67*'Forecast (BV) 2017'!O$71</f>
        <v>0</v>
      </c>
      <c r="U58" s="16">
        <f>T58/T$67*'Forecast (BV) 2017'!P$71</f>
        <v>0</v>
      </c>
      <c r="V58" s="16">
        <f>U58/U$67*'Forecast (BV) 2017'!Q$71</f>
        <v>0</v>
      </c>
      <c r="W58" s="16">
        <f>V58/V$67*'Forecast (BV) 2017'!R$71</f>
        <v>0</v>
      </c>
      <c r="X58" s="16">
        <f>W58/W$67*'Forecast (BV) 2017'!S$71</f>
        <v>0</v>
      </c>
      <c r="Y58" s="16">
        <f>X58/X$67*'Forecast (BV) 2017'!T$71</f>
        <v>0</v>
      </c>
      <c r="Z58" s="16">
        <f>Y58/Y$67*'Forecast (BV) 2017'!U$71</f>
        <v>0</v>
      </c>
      <c r="AA58" s="1283"/>
      <c r="AB58" s="1286"/>
    </row>
    <row r="59" spans="1:28" s="1280" customFormat="1" ht="17.25" customHeight="1">
      <c r="A59" s="1279"/>
      <c r="B59" s="1282"/>
      <c r="C59" s="1298">
        <f>+MAX($C$9:C58)+1</f>
        <v>51</v>
      </c>
      <c r="D59" s="1299">
        <v>545050</v>
      </c>
      <c r="E59" s="1300" t="s">
        <v>2132</v>
      </c>
      <c r="F59" s="1299">
        <v>11</v>
      </c>
      <c r="G59" s="1305"/>
      <c r="H59" s="1306"/>
      <c r="I59" s="1307">
        <v>23577.910000000003</v>
      </c>
      <c r="J59" s="1307">
        <v>0</v>
      </c>
      <c r="K59" s="1307">
        <v>0</v>
      </c>
      <c r="L59" s="1307">
        <v>0</v>
      </c>
      <c r="M59" s="1306">
        <v>0</v>
      </c>
      <c r="N59" s="4233"/>
      <c r="O59" s="4236"/>
      <c r="P59" s="16">
        <f>O59/O$67*'Forecast (BV) 2017'!K$71</f>
        <v>0</v>
      </c>
      <c r="Q59" s="16">
        <f>P59/P$67*'Forecast (BV) 2017'!L$71</f>
        <v>0</v>
      </c>
      <c r="R59" s="16">
        <f>Q59/Q$67*'Forecast (BV) 2017'!M$71</f>
        <v>0</v>
      </c>
      <c r="S59" s="16">
        <f>R59/R$67*'Forecast (BV) 2017'!N$71</f>
        <v>0</v>
      </c>
      <c r="T59" s="16">
        <f>S59/S$67*'Forecast (BV) 2017'!O$71</f>
        <v>0</v>
      </c>
      <c r="U59" s="16">
        <f>T59/T$67*'Forecast (BV) 2017'!P$71</f>
        <v>0</v>
      </c>
      <c r="V59" s="16">
        <f>U59/U$67*'Forecast (BV) 2017'!Q$71</f>
        <v>0</v>
      </c>
      <c r="W59" s="16">
        <f>V59/V$67*'Forecast (BV) 2017'!R$71</f>
        <v>0</v>
      </c>
      <c r="X59" s="16">
        <f>W59/W$67*'Forecast (BV) 2017'!S$71</f>
        <v>0</v>
      </c>
      <c r="Y59" s="16">
        <f>X59/X$67*'Forecast (BV) 2017'!T$71</f>
        <v>0</v>
      </c>
      <c r="Z59" s="16">
        <f>Y59/Y$67*'Forecast (BV) 2017'!U$71</f>
        <v>0</v>
      </c>
      <c r="AA59" s="1283"/>
      <c r="AB59" s="1286"/>
    </row>
    <row r="60" spans="1:28" s="1280" customFormat="1" ht="17.25" customHeight="1">
      <c r="A60" s="1279"/>
      <c r="B60" s="1282"/>
      <c r="C60" s="1298">
        <f>+MAX($C$9:C59)+1</f>
        <v>52</v>
      </c>
      <c r="D60" s="1299">
        <v>545060</v>
      </c>
      <c r="E60" s="1300" t="s">
        <v>2134</v>
      </c>
      <c r="F60" s="1299">
        <v>11</v>
      </c>
      <c r="G60" s="1305"/>
      <c r="H60" s="1306"/>
      <c r="I60" s="1307">
        <v>340175.63</v>
      </c>
      <c r="J60" s="1307">
        <v>400123.94</v>
      </c>
      <c r="K60" s="1307">
        <v>326527.57</v>
      </c>
      <c r="L60" s="1307">
        <v>312070.01</v>
      </c>
      <c r="M60" s="1306">
        <v>307959.71999999997</v>
      </c>
      <c r="N60" s="4233">
        <v>250664.88</v>
      </c>
      <c r="O60" s="4236">
        <v>312013.21000000002</v>
      </c>
      <c r="P60" s="16">
        <f>O60/O$67*'Forecast (BV) 2017'!K$71</f>
        <v>341973.23088900873</v>
      </c>
      <c r="Q60" s="16">
        <f>P60/P$67*'Forecast (BV) 2017'!L$71</f>
        <v>332691.29113627452</v>
      </c>
      <c r="R60" s="16">
        <f>Q60/Q$67*'Forecast (BV) 2017'!M$71</f>
        <v>347246.83808048576</v>
      </c>
      <c r="S60" s="16">
        <f>R60/R$67*'Forecast (BV) 2017'!N$71</f>
        <v>350794.79413041193</v>
      </c>
      <c r="T60" s="16">
        <f>S60/S$67*'Forecast (BV) 2017'!O$71</f>
        <v>363402.84865953628</v>
      </c>
      <c r="U60" s="16">
        <f>T60/T$67*'Forecast (BV) 2017'!P$71</f>
        <v>377582.43647224043</v>
      </c>
      <c r="V60" s="16">
        <f>U60/U$67*'Forecast (BV) 2017'!Q$71</f>
        <v>370512.71363542706</v>
      </c>
      <c r="W60" s="16">
        <f>V60/V$67*'Forecast (BV) 2017'!R$71</f>
        <v>392221.97917194827</v>
      </c>
      <c r="X60" s="16">
        <f>W60/W$67*'Forecast (BV) 2017'!S$71</f>
        <v>409705.01143152424</v>
      </c>
      <c r="Y60" s="16">
        <f>X60/X$67*'Forecast (BV) 2017'!T$71</f>
        <v>434529.65566275921</v>
      </c>
      <c r="Z60" s="16">
        <f>Y60/Y$67*'Forecast (BV) 2017'!U$71</f>
        <v>460404.97618314577</v>
      </c>
      <c r="AA60" s="1283"/>
      <c r="AB60" s="1286"/>
    </row>
    <row r="61" spans="1:28" s="1280" customFormat="1" ht="17.25" customHeight="1">
      <c r="A61" s="1279"/>
      <c r="B61" s="1282"/>
      <c r="C61" s="1298">
        <f>+MAX($C$9:C60)+1</f>
        <v>53</v>
      </c>
      <c r="D61" s="1299">
        <v>545070</v>
      </c>
      <c r="E61" s="1300" t="s">
        <v>2133</v>
      </c>
      <c r="F61" s="1299">
        <v>11</v>
      </c>
      <c r="G61" s="1305"/>
      <c r="H61" s="1306"/>
      <c r="I61" s="1307">
        <v>221346.05</v>
      </c>
      <c r="J61" s="1307">
        <v>146144.35999999999</v>
      </c>
      <c r="K61" s="1307">
        <v>159437.07999999999</v>
      </c>
      <c r="L61" s="1307">
        <v>232155.64</v>
      </c>
      <c r="M61" s="1306">
        <v>141712.5</v>
      </c>
      <c r="N61" s="4233">
        <v>149540.72</v>
      </c>
      <c r="O61" s="4236">
        <v>32596.92</v>
      </c>
      <c r="P61" s="16">
        <f>O61/O$67*'Forecast (BV) 2017'!K$71</f>
        <v>35726.929797076686</v>
      </c>
      <c r="Q61" s="16">
        <f>P61/P$67*'Forecast (BV) 2017'!L$71</f>
        <v>34757.218778864684</v>
      </c>
      <c r="R61" s="16">
        <f>Q61/Q$67*'Forecast (BV) 2017'!M$71</f>
        <v>36277.878751231554</v>
      </c>
      <c r="S61" s="16">
        <f>R61/R$67*'Forecast (BV) 2017'!N$71</f>
        <v>36648.543953268862</v>
      </c>
      <c r="T61" s="16">
        <f>S61/S$67*'Forecast (BV) 2017'!O$71</f>
        <v>37965.743775806834</v>
      </c>
      <c r="U61" s="16">
        <f>T61/T$67*'Forecast (BV) 2017'!P$71</f>
        <v>39447.126213312258</v>
      </c>
      <c r="V61" s="16">
        <f>U61/U$67*'Forecast (BV) 2017'!Q$71</f>
        <v>38708.531877085989</v>
      </c>
      <c r="W61" s="16">
        <f>V61/V$67*'Forecast (BV) 2017'!R$71</f>
        <v>40976.561464527942</v>
      </c>
      <c r="X61" s="16">
        <f>W61/W$67*'Forecast (BV) 2017'!S$71</f>
        <v>42803.064271645679</v>
      </c>
      <c r="Y61" s="16">
        <f>X61/X$67*'Forecast (BV) 2017'!T$71</f>
        <v>45396.566457126952</v>
      </c>
      <c r="Z61" s="16">
        <f>Y61/Y$67*'Forecast (BV) 2017'!U$71</f>
        <v>48099.835825040573</v>
      </c>
      <c r="AA61" s="1283"/>
      <c r="AB61" s="1286"/>
    </row>
    <row r="62" spans="1:28" s="1280" customFormat="1" ht="17.25" customHeight="1">
      <c r="A62" s="1279"/>
      <c r="B62" s="1282"/>
      <c r="C62" s="1298">
        <f>+MAX($C$9:C61)+1</f>
        <v>54</v>
      </c>
      <c r="D62" s="1299">
        <v>545500</v>
      </c>
      <c r="E62" s="1300" t="s">
        <v>749</v>
      </c>
      <c r="F62" s="1299">
        <v>11</v>
      </c>
      <c r="G62" s="1305"/>
      <c r="H62" s="1306"/>
      <c r="I62" s="1307">
        <v>0</v>
      </c>
      <c r="J62" s="1307">
        <v>0</v>
      </c>
      <c r="K62" s="1307">
        <v>0</v>
      </c>
      <c r="L62" s="1307">
        <v>0</v>
      </c>
      <c r="M62" s="1306">
        <v>0</v>
      </c>
      <c r="N62" s="4233"/>
      <c r="O62" s="4236"/>
      <c r="P62" s="16">
        <f>O62/O$67*'Forecast (BV) 2017'!K$71</f>
        <v>0</v>
      </c>
      <c r="Q62" s="16">
        <f>P62/P$67*'Forecast (BV) 2017'!L$71</f>
        <v>0</v>
      </c>
      <c r="R62" s="16">
        <f>Q62/Q$67*'Forecast (BV) 2017'!M$71</f>
        <v>0</v>
      </c>
      <c r="S62" s="16">
        <f>R62/R$67*'Forecast (BV) 2017'!N$71</f>
        <v>0</v>
      </c>
      <c r="T62" s="16">
        <f>S62/S$67*'Forecast (BV) 2017'!O$71</f>
        <v>0</v>
      </c>
      <c r="U62" s="16">
        <f>T62/T$67*'Forecast (BV) 2017'!P$71</f>
        <v>0</v>
      </c>
      <c r="V62" s="16">
        <f>U62/U$67*'Forecast (BV) 2017'!Q$71</f>
        <v>0</v>
      </c>
      <c r="W62" s="16">
        <f>V62/V$67*'Forecast (BV) 2017'!R$71</f>
        <v>0</v>
      </c>
      <c r="X62" s="16">
        <f>W62/W$67*'Forecast (BV) 2017'!S$71</f>
        <v>0</v>
      </c>
      <c r="Y62" s="16">
        <f>X62/X$67*'Forecast (BV) 2017'!T$71</f>
        <v>0</v>
      </c>
      <c r="Z62" s="16">
        <f>Y62/Y$67*'Forecast (BV) 2017'!U$71</f>
        <v>0</v>
      </c>
      <c r="AA62" s="1283"/>
      <c r="AB62" s="1286"/>
    </row>
    <row r="63" spans="1:28" s="1280" customFormat="1" ht="17.25" customHeight="1">
      <c r="A63" s="1279"/>
      <c r="B63" s="1282"/>
      <c r="C63" s="1298">
        <f>+MAX($C$9:C62)+1</f>
        <v>55</v>
      </c>
      <c r="D63" s="1299">
        <v>547010</v>
      </c>
      <c r="E63" s="1300" t="s">
        <v>750</v>
      </c>
      <c r="F63" s="1299">
        <v>11</v>
      </c>
      <c r="G63" s="1305"/>
      <c r="H63" s="1306"/>
      <c r="I63" s="1307">
        <v>0</v>
      </c>
      <c r="J63" s="1307">
        <v>0</v>
      </c>
      <c r="K63" s="1307">
        <v>0</v>
      </c>
      <c r="L63" s="1307">
        <v>0</v>
      </c>
      <c r="M63" s="1306">
        <v>0</v>
      </c>
      <c r="N63" s="4233"/>
      <c r="O63" s="4236"/>
      <c r="P63" s="16">
        <f>O63/O$67*'Forecast (BV) 2017'!K$71</f>
        <v>0</v>
      </c>
      <c r="Q63" s="16">
        <f>P63/P$67*'Forecast (BV) 2017'!L$71</f>
        <v>0</v>
      </c>
      <c r="R63" s="16">
        <f>Q63/Q$67*'Forecast (BV) 2017'!M$71</f>
        <v>0</v>
      </c>
      <c r="S63" s="16">
        <f>R63/R$67*'Forecast (BV) 2017'!N$71</f>
        <v>0</v>
      </c>
      <c r="T63" s="16">
        <f>S63/S$67*'Forecast (BV) 2017'!O$71</f>
        <v>0</v>
      </c>
      <c r="U63" s="16">
        <f>T63/T$67*'Forecast (BV) 2017'!P$71</f>
        <v>0</v>
      </c>
      <c r="V63" s="16">
        <f>U63/U$67*'Forecast (BV) 2017'!Q$71</f>
        <v>0</v>
      </c>
      <c r="W63" s="16">
        <f>V63/V$67*'Forecast (BV) 2017'!R$71</f>
        <v>0</v>
      </c>
      <c r="X63" s="16">
        <f>W63/W$67*'Forecast (BV) 2017'!S$71</f>
        <v>0</v>
      </c>
      <c r="Y63" s="16">
        <f>X63/X$67*'Forecast (BV) 2017'!T$71</f>
        <v>0</v>
      </c>
      <c r="Z63" s="16">
        <f>Y63/Y$67*'Forecast (BV) 2017'!U$71</f>
        <v>0</v>
      </c>
      <c r="AA63" s="1283"/>
      <c r="AB63" s="1286"/>
    </row>
    <row r="64" spans="1:28" s="1280" customFormat="1" ht="17.25" customHeight="1">
      <c r="A64" s="1279"/>
      <c r="B64" s="1282"/>
      <c r="C64" s="1298">
        <f>+MAX($C$9:C63)+1</f>
        <v>56</v>
      </c>
      <c r="D64" s="1299">
        <v>548010</v>
      </c>
      <c r="E64" s="1300" t="s">
        <v>751</v>
      </c>
      <c r="F64" s="1299">
        <v>11</v>
      </c>
      <c r="G64" s="1305"/>
      <c r="H64" s="1306"/>
      <c r="I64" s="1307">
        <v>0</v>
      </c>
      <c r="J64" s="1307">
        <v>0</v>
      </c>
      <c r="K64" s="1307">
        <v>0</v>
      </c>
      <c r="L64" s="1307">
        <v>0</v>
      </c>
      <c r="M64" s="1306">
        <v>0</v>
      </c>
      <c r="N64" s="4233"/>
      <c r="O64" s="4236"/>
      <c r="P64" s="16">
        <f>O64/O$67*'Forecast (BV) 2017'!K$71</f>
        <v>0</v>
      </c>
      <c r="Q64" s="16">
        <f>P64/P$67*'Forecast (BV) 2017'!L$71</f>
        <v>0</v>
      </c>
      <c r="R64" s="16">
        <f>Q64/Q$67*'Forecast (BV) 2017'!M$71</f>
        <v>0</v>
      </c>
      <c r="S64" s="16">
        <f>R64/R$67*'Forecast (BV) 2017'!N$71</f>
        <v>0</v>
      </c>
      <c r="T64" s="16">
        <f>S64/S$67*'Forecast (BV) 2017'!O$71</f>
        <v>0</v>
      </c>
      <c r="U64" s="16">
        <f>T64/T$67*'Forecast (BV) 2017'!P$71</f>
        <v>0</v>
      </c>
      <c r="V64" s="16">
        <f>U64/U$67*'Forecast (BV) 2017'!Q$71</f>
        <v>0</v>
      </c>
      <c r="W64" s="16">
        <f>V64/V$67*'Forecast (BV) 2017'!R$71</f>
        <v>0</v>
      </c>
      <c r="X64" s="16">
        <f>W64/W$67*'Forecast (BV) 2017'!S$71</f>
        <v>0</v>
      </c>
      <c r="Y64" s="16">
        <f>X64/X$67*'Forecast (BV) 2017'!T$71</f>
        <v>0</v>
      </c>
      <c r="Z64" s="16">
        <f>Y64/Y$67*'Forecast (BV) 2017'!U$71</f>
        <v>0</v>
      </c>
      <c r="AA64" s="1283"/>
      <c r="AB64" s="1286"/>
    </row>
    <row r="65" spans="1:31" s="1280" customFormat="1" ht="17.25" customHeight="1">
      <c r="A65" s="1279"/>
      <c r="B65" s="1282"/>
      <c r="C65" s="1298">
        <f>+MAX($C$9:C64)+1</f>
        <v>57</v>
      </c>
      <c r="D65" s="1299">
        <v>549000</v>
      </c>
      <c r="E65" s="1300" t="s">
        <v>752</v>
      </c>
      <c r="F65" s="1299">
        <v>11</v>
      </c>
      <c r="G65" s="1305"/>
      <c r="H65" s="1306"/>
      <c r="I65" s="1307">
        <v>0</v>
      </c>
      <c r="J65" s="1307">
        <v>0</v>
      </c>
      <c r="K65" s="1307">
        <v>0</v>
      </c>
      <c r="L65" s="1307">
        <v>0</v>
      </c>
      <c r="M65" s="1306">
        <v>0</v>
      </c>
      <c r="N65" s="4233"/>
      <c r="O65" s="4236"/>
      <c r="P65" s="16">
        <f>O65/O$67*'Forecast (BV) 2017'!K$71</f>
        <v>0</v>
      </c>
      <c r="Q65" s="16">
        <f>P65/P$67*'Forecast (BV) 2017'!L$71</f>
        <v>0</v>
      </c>
      <c r="R65" s="16">
        <f>Q65/Q$67*'Forecast (BV) 2017'!M$71</f>
        <v>0</v>
      </c>
      <c r="S65" s="16">
        <f>R65/R$67*'Forecast (BV) 2017'!N$71</f>
        <v>0</v>
      </c>
      <c r="T65" s="16">
        <f>S65/S$67*'Forecast (BV) 2017'!O$71</f>
        <v>0</v>
      </c>
      <c r="U65" s="16">
        <f>T65/T$67*'Forecast (BV) 2017'!P$71</f>
        <v>0</v>
      </c>
      <c r="V65" s="16">
        <f>U65/U$67*'Forecast (BV) 2017'!Q$71</f>
        <v>0</v>
      </c>
      <c r="W65" s="16">
        <f>V65/V$67*'Forecast (BV) 2017'!R$71</f>
        <v>0</v>
      </c>
      <c r="X65" s="16">
        <f>W65/W$67*'Forecast (BV) 2017'!S$71</f>
        <v>0</v>
      </c>
      <c r="Y65" s="16">
        <f>X65/X$67*'Forecast (BV) 2017'!T$71</f>
        <v>0</v>
      </c>
      <c r="Z65" s="16">
        <f>Y65/Y$67*'Forecast (BV) 2017'!U$71</f>
        <v>0</v>
      </c>
      <c r="AA65" s="1283"/>
      <c r="AB65" s="1286"/>
    </row>
    <row r="66" spans="1:31" s="1280" customFormat="1" ht="17.25" customHeight="1" thickBot="1">
      <c r="A66" s="1279"/>
      <c r="B66" s="1282"/>
      <c r="C66" s="1298">
        <f>+MAX($C$9:C65)+1</f>
        <v>58</v>
      </c>
      <c r="D66" s="1299">
        <v>550000</v>
      </c>
      <c r="E66" s="1300" t="s">
        <v>311</v>
      </c>
      <c r="F66" s="1299">
        <v>11</v>
      </c>
      <c r="G66" s="1308"/>
      <c r="H66" s="1309"/>
      <c r="I66" s="1310">
        <v>0</v>
      </c>
      <c r="J66" s="1310">
        <v>0</v>
      </c>
      <c r="K66" s="1310">
        <v>0</v>
      </c>
      <c r="L66" s="1310">
        <v>0</v>
      </c>
      <c r="M66" s="1309">
        <v>0</v>
      </c>
      <c r="N66" s="4234"/>
      <c r="O66" s="4237"/>
      <c r="P66" s="277">
        <f>O66/O$67*'Forecast (BV) 2017'!K$71</f>
        <v>0</v>
      </c>
      <c r="Q66" s="277">
        <f>P66/P$67*'Forecast (BV) 2017'!L$71</f>
        <v>0</v>
      </c>
      <c r="R66" s="277">
        <f>Q66/Q$67*'Forecast (BV) 2017'!M$71</f>
        <v>0</v>
      </c>
      <c r="S66" s="277">
        <f>R66/R$67*'Forecast (BV) 2017'!N$71</f>
        <v>0</v>
      </c>
      <c r="T66" s="277">
        <f>S66/S$67*'Forecast (BV) 2017'!O$71</f>
        <v>0</v>
      </c>
      <c r="U66" s="277">
        <f>T66/T$67*'Forecast (BV) 2017'!P$71</f>
        <v>0</v>
      </c>
      <c r="V66" s="277">
        <f>U66/U$67*'Forecast (BV) 2017'!Q$71</f>
        <v>0</v>
      </c>
      <c r="W66" s="277">
        <f>V66/V$67*'Forecast (BV) 2017'!R$71</f>
        <v>0</v>
      </c>
      <c r="X66" s="277">
        <f>W66/W$67*'Forecast (BV) 2017'!S$71</f>
        <v>0</v>
      </c>
      <c r="Y66" s="277">
        <f>X66/X$67*'Forecast (BV) 2017'!T$71</f>
        <v>0</v>
      </c>
      <c r="Z66" s="277">
        <f>Y66/Y$67*'Forecast (BV) 2017'!U$71</f>
        <v>0</v>
      </c>
      <c r="AA66" s="1283"/>
      <c r="AB66" s="1286"/>
    </row>
    <row r="67" spans="1:31" s="1280" customFormat="1" ht="17.25" customHeight="1">
      <c r="A67" s="1279"/>
      <c r="B67" s="1282"/>
      <c r="C67" s="1298">
        <f>+MAX($C$9:C66)+1</f>
        <v>59</v>
      </c>
      <c r="D67" s="1282"/>
      <c r="E67" s="1282"/>
      <c r="F67" s="1298"/>
      <c r="G67" s="1316">
        <f t="shared" ref="G67:Z67" si="14">SUM(G28:G66)</f>
        <v>0</v>
      </c>
      <c r="H67" s="1316">
        <f t="shared" si="14"/>
        <v>0</v>
      </c>
      <c r="I67" s="1316">
        <f t="shared" si="14"/>
        <v>23707866.359999996</v>
      </c>
      <c r="J67" s="1316">
        <f t="shared" si="14"/>
        <v>21840013.079999998</v>
      </c>
      <c r="K67" s="1316">
        <f t="shared" si="14"/>
        <v>22275782.579999998</v>
      </c>
      <c r="L67" s="1316">
        <f t="shared" si="14"/>
        <v>23182503.020000007</v>
      </c>
      <c r="M67" s="1316">
        <f t="shared" si="14"/>
        <v>22919312.75</v>
      </c>
      <c r="N67" s="1316">
        <f t="shared" si="14"/>
        <v>25125926.260000002</v>
      </c>
      <c r="O67" s="1316">
        <f t="shared" si="14"/>
        <v>26602965.880000006</v>
      </c>
      <c r="P67" s="1316">
        <f t="shared" si="14"/>
        <v>29157426.357729089</v>
      </c>
      <c r="Q67" s="1316">
        <f t="shared" si="14"/>
        <v>28366026.767493136</v>
      </c>
      <c r="R67" s="1316">
        <f t="shared" si="14"/>
        <v>29607066.269383427</v>
      </c>
      <c r="S67" s="1316">
        <f t="shared" si="14"/>
        <v>29909573.184843589</v>
      </c>
      <c r="T67" s="1316">
        <f t="shared" si="14"/>
        <v>30984564.991925973</v>
      </c>
      <c r="U67" s="1316">
        <f t="shared" si="14"/>
        <v>32193549.351190228</v>
      </c>
      <c r="V67" s="1316">
        <f t="shared" si="14"/>
        <v>31590768.477236833</v>
      </c>
      <c r="W67" s="1316">
        <f t="shared" si="14"/>
        <v>33441750.524913382</v>
      </c>
      <c r="X67" s="1316">
        <f t="shared" si="14"/>
        <v>34932394.176444799</v>
      </c>
      <c r="Y67" s="1316">
        <f t="shared" si="14"/>
        <v>37049000.596623883</v>
      </c>
      <c r="Z67" s="1316">
        <f t="shared" si="14"/>
        <v>39255190.100388512</v>
      </c>
      <c r="AA67" s="1283"/>
      <c r="AB67" s="1286"/>
    </row>
    <row r="68" spans="1:31" s="1280" customFormat="1" ht="17.25" customHeight="1" thickBot="1">
      <c r="A68" s="1279"/>
      <c r="B68" s="1282"/>
      <c r="C68" s="1298">
        <f>+MAX($C$9:C67)+1</f>
        <v>60</v>
      </c>
      <c r="D68" s="1293" t="s">
        <v>889</v>
      </c>
      <c r="E68" s="1293"/>
      <c r="F68" s="1317"/>
      <c r="G68" s="1293"/>
      <c r="H68" s="1318"/>
      <c r="I68" s="1313"/>
      <c r="J68" s="1313"/>
      <c r="K68" s="1313"/>
      <c r="L68" s="1313"/>
      <c r="M68" s="1313"/>
      <c r="N68" s="1319"/>
      <c r="O68" s="1319"/>
      <c r="P68" s="1319"/>
      <c r="Q68" s="1319"/>
      <c r="R68" s="1319"/>
      <c r="S68" s="1319"/>
      <c r="T68" s="1319"/>
      <c r="U68" s="1319"/>
      <c r="V68" s="1319"/>
      <c r="W68" s="1319"/>
      <c r="X68" s="1319"/>
      <c r="Y68" s="1319"/>
      <c r="Z68" s="1319"/>
      <c r="AA68" s="1283"/>
      <c r="AB68" s="1319"/>
    </row>
    <row r="69" spans="1:31" s="1280" customFormat="1" ht="17.25" customHeight="1">
      <c r="A69" s="1279"/>
      <c r="B69" s="1282"/>
      <c r="C69" s="1298">
        <f>+MAX($C$9:C68)+1</f>
        <v>61</v>
      </c>
      <c r="D69" s="1299">
        <v>560000</v>
      </c>
      <c r="E69" s="1300" t="s">
        <v>754</v>
      </c>
      <c r="F69" s="1299">
        <v>12</v>
      </c>
      <c r="G69" s="1301"/>
      <c r="H69" s="1302"/>
      <c r="I69" s="1303">
        <v>0</v>
      </c>
      <c r="J69" s="1303">
        <v>0</v>
      </c>
      <c r="K69" s="1303">
        <v>0</v>
      </c>
      <c r="L69" s="1303">
        <v>0</v>
      </c>
      <c r="M69" s="1302">
        <v>0</v>
      </c>
      <c r="N69" s="4232"/>
      <c r="O69" s="4232"/>
      <c r="P69" s="205">
        <f t="shared" ref="P69:Z69" si="15">O69*(1+VLOOKUP($F69,OM_Esc,P$173,FALSE))</f>
        <v>0</v>
      </c>
      <c r="Q69" s="205">
        <f t="shared" si="15"/>
        <v>0</v>
      </c>
      <c r="R69" s="205">
        <f t="shared" si="15"/>
        <v>0</v>
      </c>
      <c r="S69" s="205">
        <f t="shared" si="15"/>
        <v>0</v>
      </c>
      <c r="T69" s="205">
        <f t="shared" si="15"/>
        <v>0</v>
      </c>
      <c r="U69" s="205">
        <f t="shared" si="15"/>
        <v>0</v>
      </c>
      <c r="V69" s="205">
        <f t="shared" si="15"/>
        <v>0</v>
      </c>
      <c r="W69" s="205">
        <f t="shared" si="15"/>
        <v>0</v>
      </c>
      <c r="X69" s="205">
        <f t="shared" si="15"/>
        <v>0</v>
      </c>
      <c r="Y69" s="205">
        <f t="shared" si="15"/>
        <v>0</v>
      </c>
      <c r="Z69" s="205">
        <f t="shared" si="15"/>
        <v>0</v>
      </c>
      <c r="AA69" s="1283"/>
      <c r="AB69" s="1286"/>
      <c r="AE69" s="1286"/>
    </row>
    <row r="70" spans="1:31" s="1280" customFormat="1" ht="17.25" customHeight="1">
      <c r="A70" s="1279"/>
      <c r="B70" s="1282"/>
      <c r="C70" s="1298">
        <f>+MAX($C$9:C69)+1</f>
        <v>62</v>
      </c>
      <c r="D70" s="1299">
        <v>561000</v>
      </c>
      <c r="E70" s="1300" t="s">
        <v>755</v>
      </c>
      <c r="F70" s="1299">
        <v>12</v>
      </c>
      <c r="G70" s="1305"/>
      <c r="H70" s="1306"/>
      <c r="I70" s="1307">
        <v>0</v>
      </c>
      <c r="J70" s="1307">
        <v>0</v>
      </c>
      <c r="K70" s="1307">
        <v>0</v>
      </c>
      <c r="L70" s="1307">
        <v>0</v>
      </c>
      <c r="M70" s="1306">
        <v>0</v>
      </c>
      <c r="N70" s="4233"/>
      <c r="O70" s="4233"/>
      <c r="P70" s="205">
        <f t="shared" ref="P70:Z70" si="16">O70*(1+VLOOKUP($F70,OM_Esc,P$173,FALSE))</f>
        <v>0</v>
      </c>
      <c r="Q70" s="205">
        <f t="shared" si="16"/>
        <v>0</v>
      </c>
      <c r="R70" s="205">
        <f t="shared" si="16"/>
        <v>0</v>
      </c>
      <c r="S70" s="205">
        <f t="shared" si="16"/>
        <v>0</v>
      </c>
      <c r="T70" s="205">
        <f t="shared" si="16"/>
        <v>0</v>
      </c>
      <c r="U70" s="205">
        <f t="shared" si="16"/>
        <v>0</v>
      </c>
      <c r="V70" s="205">
        <f t="shared" si="16"/>
        <v>0</v>
      </c>
      <c r="W70" s="205">
        <f t="shared" si="16"/>
        <v>0</v>
      </c>
      <c r="X70" s="205">
        <f t="shared" si="16"/>
        <v>0</v>
      </c>
      <c r="Y70" s="205">
        <f t="shared" si="16"/>
        <v>0</v>
      </c>
      <c r="Z70" s="205">
        <f t="shared" si="16"/>
        <v>0</v>
      </c>
      <c r="AA70" s="1283"/>
      <c r="AB70" s="1286"/>
      <c r="AE70" s="1286"/>
    </row>
    <row r="71" spans="1:31" s="1280" customFormat="1" ht="17.25" customHeight="1">
      <c r="A71" s="1279"/>
      <c r="B71" s="1282"/>
      <c r="C71" s="1298">
        <f>+MAX($C$9:C70)+1</f>
        <v>63</v>
      </c>
      <c r="D71" s="1299">
        <v>561010</v>
      </c>
      <c r="E71" s="1300" t="s">
        <v>756</v>
      </c>
      <c r="F71" s="1299">
        <v>12</v>
      </c>
      <c r="G71" s="1305"/>
      <c r="H71" s="1306"/>
      <c r="I71" s="1307">
        <v>1918961.19</v>
      </c>
      <c r="J71" s="1307">
        <v>1915119.45</v>
      </c>
      <c r="K71" s="1307">
        <v>2118544.42</v>
      </c>
      <c r="L71" s="1307">
        <v>1402818.79</v>
      </c>
      <c r="M71" s="1306">
        <v>1556628.5</v>
      </c>
      <c r="N71" s="4233">
        <v>2052586.2</v>
      </c>
      <c r="O71" s="4233">
        <v>2028872.03</v>
      </c>
      <c r="P71" s="205">
        <f t="shared" ref="P71:Z71" si="17">O71*(1+VLOOKUP($F71,OM_Esc,P$173,FALSE))</f>
        <v>2200239.0504937046</v>
      </c>
      <c r="Q71" s="205">
        <f t="shared" si="17"/>
        <v>2320037.0226474004</v>
      </c>
      <c r="R71" s="205">
        <f t="shared" si="17"/>
        <v>2490065.996331729</v>
      </c>
      <c r="S71" s="205">
        <f t="shared" si="17"/>
        <v>2606582.405855957</v>
      </c>
      <c r="T71" s="205">
        <f t="shared" si="17"/>
        <v>2715619.522475814</v>
      </c>
      <c r="U71" s="205">
        <f t="shared" si="17"/>
        <v>2808580.9690446863</v>
      </c>
      <c r="V71" s="205">
        <f t="shared" si="17"/>
        <v>2812400.6859495095</v>
      </c>
      <c r="W71" s="205">
        <f t="shared" si="17"/>
        <v>2954429.7104529054</v>
      </c>
      <c r="X71" s="205">
        <f t="shared" si="17"/>
        <v>3067139.4128037659</v>
      </c>
      <c r="Y71" s="205">
        <f t="shared" si="17"/>
        <v>3215265.3902534093</v>
      </c>
      <c r="Z71" s="205">
        <f t="shared" si="17"/>
        <v>3360690.5983139034</v>
      </c>
      <c r="AA71" s="1283"/>
      <c r="AB71" s="1286"/>
      <c r="AE71" s="1286"/>
    </row>
    <row r="72" spans="1:31" s="1280" customFormat="1" ht="17.25" customHeight="1">
      <c r="A72" s="1279"/>
      <c r="B72" s="1282"/>
      <c r="C72" s="1298">
        <f>+MAX($C$9:C71)+1</f>
        <v>64</v>
      </c>
      <c r="D72" s="1299">
        <v>561500</v>
      </c>
      <c r="E72" s="1300" t="s">
        <v>757</v>
      </c>
      <c r="F72" s="1299">
        <v>12</v>
      </c>
      <c r="G72" s="1305"/>
      <c r="H72" s="1306"/>
      <c r="I72" s="1307">
        <v>0</v>
      </c>
      <c r="J72" s="1307">
        <v>0</v>
      </c>
      <c r="K72" s="1307">
        <v>0</v>
      </c>
      <c r="L72" s="1307">
        <v>0</v>
      </c>
      <c r="M72" s="1306">
        <v>0</v>
      </c>
      <c r="N72" s="4233"/>
      <c r="O72" s="4233"/>
      <c r="P72" s="205">
        <f t="shared" ref="P72:Z72" si="18">O72*(1+VLOOKUP($F72,OM_Esc,P$173,FALSE))</f>
        <v>0</v>
      </c>
      <c r="Q72" s="205">
        <f t="shared" si="18"/>
        <v>0</v>
      </c>
      <c r="R72" s="205">
        <f t="shared" si="18"/>
        <v>0</v>
      </c>
      <c r="S72" s="205">
        <f t="shared" si="18"/>
        <v>0</v>
      </c>
      <c r="T72" s="205">
        <f t="shared" si="18"/>
        <v>0</v>
      </c>
      <c r="U72" s="205">
        <f t="shared" si="18"/>
        <v>0</v>
      </c>
      <c r="V72" s="205">
        <f t="shared" si="18"/>
        <v>0</v>
      </c>
      <c r="W72" s="205">
        <f t="shared" si="18"/>
        <v>0</v>
      </c>
      <c r="X72" s="205">
        <f t="shared" si="18"/>
        <v>0</v>
      </c>
      <c r="Y72" s="205">
        <f t="shared" si="18"/>
        <v>0</v>
      </c>
      <c r="Z72" s="205">
        <f t="shared" si="18"/>
        <v>0</v>
      </c>
      <c r="AA72" s="1283"/>
      <c r="AB72" s="1286"/>
      <c r="AE72" s="1286"/>
    </row>
    <row r="73" spans="1:31" s="1280" customFormat="1" ht="17.25" customHeight="1">
      <c r="A73" s="1279"/>
      <c r="B73" s="1282"/>
      <c r="C73" s="1298">
        <f>+MAX($C$9:C72)+1</f>
        <v>65</v>
      </c>
      <c r="D73" s="1299">
        <v>561600</v>
      </c>
      <c r="E73" s="1300" t="s">
        <v>758</v>
      </c>
      <c r="F73" s="1299">
        <v>12</v>
      </c>
      <c r="G73" s="1305"/>
      <c r="H73" s="1306"/>
      <c r="I73" s="1307">
        <v>0</v>
      </c>
      <c r="J73" s="1307">
        <v>0</v>
      </c>
      <c r="K73" s="1307">
        <v>0</v>
      </c>
      <c r="L73" s="1307">
        <v>0</v>
      </c>
      <c r="M73" s="1306">
        <v>0</v>
      </c>
      <c r="N73" s="4233"/>
      <c r="O73" s="4233"/>
      <c r="P73" s="205">
        <f t="shared" ref="P73:Z73" si="19">O73*(1+VLOOKUP($F73,OM_Esc,P$173,FALSE))</f>
        <v>0</v>
      </c>
      <c r="Q73" s="205">
        <f t="shared" si="19"/>
        <v>0</v>
      </c>
      <c r="R73" s="205">
        <f t="shared" si="19"/>
        <v>0</v>
      </c>
      <c r="S73" s="205">
        <f t="shared" si="19"/>
        <v>0</v>
      </c>
      <c r="T73" s="205">
        <f t="shared" si="19"/>
        <v>0</v>
      </c>
      <c r="U73" s="205">
        <f t="shared" si="19"/>
        <v>0</v>
      </c>
      <c r="V73" s="205">
        <f t="shared" si="19"/>
        <v>0</v>
      </c>
      <c r="W73" s="205">
        <f t="shared" si="19"/>
        <v>0</v>
      </c>
      <c r="X73" s="205">
        <f t="shared" si="19"/>
        <v>0</v>
      </c>
      <c r="Y73" s="205">
        <f t="shared" si="19"/>
        <v>0</v>
      </c>
      <c r="Z73" s="205">
        <f t="shared" si="19"/>
        <v>0</v>
      </c>
      <c r="AA73" s="1283"/>
      <c r="AB73" s="1286"/>
      <c r="AE73" s="1286"/>
    </row>
    <row r="74" spans="1:31" s="1280" customFormat="1" ht="17.25" customHeight="1">
      <c r="A74" s="1279"/>
      <c r="B74" s="1282"/>
      <c r="C74" s="1298">
        <f>+MAX($C$9:C73)+1</f>
        <v>66</v>
      </c>
      <c r="D74" s="1299">
        <v>562000</v>
      </c>
      <c r="E74" s="1300" t="s">
        <v>759</v>
      </c>
      <c r="F74" s="1299">
        <v>12</v>
      </c>
      <c r="G74" s="1305"/>
      <c r="H74" s="1306"/>
      <c r="I74" s="1307">
        <v>0</v>
      </c>
      <c r="J74" s="1307">
        <v>0</v>
      </c>
      <c r="K74" s="1307">
        <v>0</v>
      </c>
      <c r="L74" s="1307">
        <v>0</v>
      </c>
      <c r="M74" s="1306">
        <v>0</v>
      </c>
      <c r="N74" s="4233"/>
      <c r="O74" s="4233"/>
      <c r="P74" s="205">
        <f t="shared" ref="P74:Z74" si="20">O74*(1+VLOOKUP($F74,OM_Esc,P$173,FALSE))</f>
        <v>0</v>
      </c>
      <c r="Q74" s="205">
        <f t="shared" si="20"/>
        <v>0</v>
      </c>
      <c r="R74" s="205">
        <f t="shared" si="20"/>
        <v>0</v>
      </c>
      <c r="S74" s="205">
        <f t="shared" si="20"/>
        <v>0</v>
      </c>
      <c r="T74" s="205">
        <f t="shared" si="20"/>
        <v>0</v>
      </c>
      <c r="U74" s="205">
        <f t="shared" si="20"/>
        <v>0</v>
      </c>
      <c r="V74" s="205">
        <f t="shared" si="20"/>
        <v>0</v>
      </c>
      <c r="W74" s="205">
        <f t="shared" si="20"/>
        <v>0</v>
      </c>
      <c r="X74" s="205">
        <f t="shared" si="20"/>
        <v>0</v>
      </c>
      <c r="Y74" s="205">
        <f t="shared" si="20"/>
        <v>0</v>
      </c>
      <c r="Z74" s="205">
        <f t="shared" si="20"/>
        <v>0</v>
      </c>
      <c r="AA74" s="1283"/>
      <c r="AB74" s="1286"/>
      <c r="AE74" s="1286"/>
    </row>
    <row r="75" spans="1:31" s="1280" customFormat="1" ht="17.25" customHeight="1">
      <c r="A75" s="1279"/>
      <c r="B75" s="1282"/>
      <c r="C75" s="1298">
        <f>+MAX($C$9:C74)+1</f>
        <v>67</v>
      </c>
      <c r="D75" s="1299">
        <v>563000</v>
      </c>
      <c r="E75" s="1300" t="s">
        <v>760</v>
      </c>
      <c r="F75" s="1299">
        <v>12</v>
      </c>
      <c r="G75" s="1305"/>
      <c r="H75" s="1306"/>
      <c r="I75" s="1307">
        <v>0</v>
      </c>
      <c r="J75" s="1307">
        <v>0</v>
      </c>
      <c r="K75" s="1307">
        <v>0</v>
      </c>
      <c r="L75" s="1307">
        <v>0</v>
      </c>
      <c r="M75" s="1306">
        <v>0</v>
      </c>
      <c r="N75" s="4233"/>
      <c r="O75" s="4233"/>
      <c r="P75" s="205">
        <f t="shared" ref="P75:Z75" si="21">O75*(1+VLOOKUP($F75,OM_Esc,P$173,FALSE))</f>
        <v>0</v>
      </c>
      <c r="Q75" s="205">
        <f t="shared" si="21"/>
        <v>0</v>
      </c>
      <c r="R75" s="205">
        <f t="shared" si="21"/>
        <v>0</v>
      </c>
      <c r="S75" s="205">
        <f t="shared" si="21"/>
        <v>0</v>
      </c>
      <c r="T75" s="205">
        <f t="shared" si="21"/>
        <v>0</v>
      </c>
      <c r="U75" s="205">
        <f t="shared" si="21"/>
        <v>0</v>
      </c>
      <c r="V75" s="205">
        <f t="shared" si="21"/>
        <v>0</v>
      </c>
      <c r="W75" s="205">
        <f t="shared" si="21"/>
        <v>0</v>
      </c>
      <c r="X75" s="205">
        <f t="shared" si="21"/>
        <v>0</v>
      </c>
      <c r="Y75" s="205">
        <f t="shared" si="21"/>
        <v>0</v>
      </c>
      <c r="Z75" s="205">
        <f t="shared" si="21"/>
        <v>0</v>
      </c>
      <c r="AA75" s="1283"/>
      <c r="AB75" s="1286"/>
      <c r="AE75" s="1286"/>
    </row>
    <row r="76" spans="1:31" s="1280" customFormat="1" ht="17.25" customHeight="1">
      <c r="A76" s="1279"/>
      <c r="B76" s="1282"/>
      <c r="C76" s="1298">
        <f>+MAX($C$9:C75)+1</f>
        <v>68</v>
      </c>
      <c r="D76" s="1299">
        <v>565010</v>
      </c>
      <c r="E76" s="1300" t="s">
        <v>761</v>
      </c>
      <c r="F76" s="1299">
        <v>12</v>
      </c>
      <c r="G76" s="1305"/>
      <c r="H76" s="1306"/>
      <c r="I76" s="1307">
        <v>0</v>
      </c>
      <c r="J76" s="1307">
        <v>0</v>
      </c>
      <c r="K76" s="1307">
        <v>0</v>
      </c>
      <c r="L76" s="1307">
        <v>0</v>
      </c>
      <c r="M76" s="1306">
        <v>0</v>
      </c>
      <c r="N76" s="4233"/>
      <c r="O76" s="4233"/>
      <c r="P76" s="205">
        <f t="shared" ref="P76:Z76" si="22">O76*(1+VLOOKUP($F76,OM_Esc,P$173,FALSE))</f>
        <v>0</v>
      </c>
      <c r="Q76" s="205">
        <f t="shared" si="22"/>
        <v>0</v>
      </c>
      <c r="R76" s="205">
        <f t="shared" si="22"/>
        <v>0</v>
      </c>
      <c r="S76" s="205">
        <f t="shared" si="22"/>
        <v>0</v>
      </c>
      <c r="T76" s="205">
        <f t="shared" si="22"/>
        <v>0</v>
      </c>
      <c r="U76" s="205">
        <f t="shared" si="22"/>
        <v>0</v>
      </c>
      <c r="V76" s="205">
        <f t="shared" si="22"/>
        <v>0</v>
      </c>
      <c r="W76" s="205">
        <f t="shared" si="22"/>
        <v>0</v>
      </c>
      <c r="X76" s="205">
        <f t="shared" si="22"/>
        <v>0</v>
      </c>
      <c r="Y76" s="205">
        <f t="shared" si="22"/>
        <v>0</v>
      </c>
      <c r="Z76" s="205">
        <f t="shared" si="22"/>
        <v>0</v>
      </c>
      <c r="AA76" s="1283"/>
      <c r="AB76" s="1286"/>
      <c r="AE76" s="1286"/>
    </row>
    <row r="77" spans="1:31" s="1280" customFormat="1" ht="17.25" customHeight="1">
      <c r="A77" s="1279"/>
      <c r="B77" s="1282"/>
      <c r="C77" s="1298">
        <f>+MAX($C$9:C76)+1</f>
        <v>69</v>
      </c>
      <c r="D77" s="1299">
        <v>566000</v>
      </c>
      <c r="E77" s="1300" t="s">
        <v>762</v>
      </c>
      <c r="F77" s="1299">
        <v>12</v>
      </c>
      <c r="G77" s="1305"/>
      <c r="H77" s="1306"/>
      <c r="I77" s="1307">
        <v>0</v>
      </c>
      <c r="J77" s="1307">
        <v>0</v>
      </c>
      <c r="K77" s="1307">
        <v>0</v>
      </c>
      <c r="L77" s="1307">
        <v>0</v>
      </c>
      <c r="M77" s="1306">
        <v>0</v>
      </c>
      <c r="N77" s="4233"/>
      <c r="O77" s="4233"/>
      <c r="P77" s="205">
        <f t="shared" ref="P77:Z77" si="23">O77*(1+VLOOKUP($F77,OM_Esc,P$173,FALSE))</f>
        <v>0</v>
      </c>
      <c r="Q77" s="205">
        <f t="shared" si="23"/>
        <v>0</v>
      </c>
      <c r="R77" s="205">
        <f t="shared" si="23"/>
        <v>0</v>
      </c>
      <c r="S77" s="205">
        <f t="shared" si="23"/>
        <v>0</v>
      </c>
      <c r="T77" s="205">
        <f t="shared" si="23"/>
        <v>0</v>
      </c>
      <c r="U77" s="205">
        <f t="shared" si="23"/>
        <v>0</v>
      </c>
      <c r="V77" s="205">
        <f t="shared" si="23"/>
        <v>0</v>
      </c>
      <c r="W77" s="205">
        <f t="shared" si="23"/>
        <v>0</v>
      </c>
      <c r="X77" s="205">
        <f t="shared" si="23"/>
        <v>0</v>
      </c>
      <c r="Y77" s="205">
        <f t="shared" si="23"/>
        <v>0</v>
      </c>
      <c r="Z77" s="205">
        <f t="shared" si="23"/>
        <v>0</v>
      </c>
      <c r="AA77" s="1283"/>
      <c r="AB77" s="1286"/>
      <c r="AE77" s="1286"/>
    </row>
    <row r="78" spans="1:31" s="1280" customFormat="1" ht="17.25" customHeight="1">
      <c r="A78" s="1279"/>
      <c r="B78" s="1282"/>
      <c r="C78" s="1298">
        <f>+MAX($C$9:C77)+1</f>
        <v>70</v>
      </c>
      <c r="D78" s="1299">
        <v>567000</v>
      </c>
      <c r="E78" s="1300" t="s">
        <v>2190</v>
      </c>
      <c r="F78" s="1299">
        <v>12</v>
      </c>
      <c r="G78" s="1305"/>
      <c r="H78" s="1306"/>
      <c r="I78" s="1307">
        <v>7402.28</v>
      </c>
      <c r="J78" s="1307">
        <v>-5849.05</v>
      </c>
      <c r="K78" s="1307">
        <v>3830.42</v>
      </c>
      <c r="L78" s="1307">
        <v>3023.3</v>
      </c>
      <c r="M78" s="1306">
        <v>-10263.299999999999</v>
      </c>
      <c r="N78" s="4233">
        <v>4294.04</v>
      </c>
      <c r="O78" s="4233">
        <v>4728.34</v>
      </c>
      <c r="P78" s="205">
        <f t="shared" ref="P78:Z78" si="24">O78*(1+VLOOKUP($F78,OM_Esc,P$173,FALSE))</f>
        <v>5127.7153798662221</v>
      </c>
      <c r="Q78" s="205">
        <f t="shared" si="24"/>
        <v>5406.9077267848224</v>
      </c>
      <c r="R78" s="205">
        <f t="shared" si="24"/>
        <v>5803.1647531240133</v>
      </c>
      <c r="S78" s="205">
        <f t="shared" si="24"/>
        <v>6074.709331423408</v>
      </c>
      <c r="T78" s="205">
        <f t="shared" si="24"/>
        <v>6328.8232195222718</v>
      </c>
      <c r="U78" s="205">
        <f t="shared" si="24"/>
        <v>6545.4723328078753</v>
      </c>
      <c r="V78" s="205">
        <f t="shared" si="24"/>
        <v>6554.3742842186557</v>
      </c>
      <c r="W78" s="205">
        <f t="shared" si="24"/>
        <v>6885.3766874211815</v>
      </c>
      <c r="X78" s="205">
        <f t="shared" si="24"/>
        <v>7148.0496338335124</v>
      </c>
      <c r="Y78" s="205">
        <f t="shared" si="24"/>
        <v>7493.2611473532925</v>
      </c>
      <c r="Z78" s="205">
        <f t="shared" si="24"/>
        <v>7832.1784462825681</v>
      </c>
      <c r="AA78" s="1283"/>
      <c r="AB78" s="1286"/>
      <c r="AE78" s="1286"/>
    </row>
    <row r="79" spans="1:31" s="1280" customFormat="1" ht="17.25" customHeight="1">
      <c r="A79" s="1279"/>
      <c r="B79" s="1282"/>
      <c r="C79" s="1298">
        <f>+MAX($C$9:C78)+1</f>
        <v>71</v>
      </c>
      <c r="D79" s="1299">
        <v>568000</v>
      </c>
      <c r="E79" s="1300" t="s">
        <v>763</v>
      </c>
      <c r="F79" s="1299">
        <v>12</v>
      </c>
      <c r="G79" s="1305"/>
      <c r="H79" s="1306"/>
      <c r="I79" s="1307">
        <v>0</v>
      </c>
      <c r="J79" s="1307">
        <v>0</v>
      </c>
      <c r="K79" s="1307">
        <v>0</v>
      </c>
      <c r="L79" s="1307">
        <v>0</v>
      </c>
      <c r="M79" s="1306">
        <v>0</v>
      </c>
      <c r="N79" s="4233"/>
      <c r="O79" s="4233"/>
      <c r="P79" s="205">
        <f t="shared" ref="P79:Z79" si="25">O79*(1+VLOOKUP($F79,OM_Esc,P$173,FALSE))</f>
        <v>0</v>
      </c>
      <c r="Q79" s="205">
        <f t="shared" si="25"/>
        <v>0</v>
      </c>
      <c r="R79" s="205">
        <f t="shared" si="25"/>
        <v>0</v>
      </c>
      <c r="S79" s="205">
        <f t="shared" si="25"/>
        <v>0</v>
      </c>
      <c r="T79" s="205">
        <f t="shared" si="25"/>
        <v>0</v>
      </c>
      <c r="U79" s="205">
        <f t="shared" si="25"/>
        <v>0</v>
      </c>
      <c r="V79" s="205">
        <f t="shared" si="25"/>
        <v>0</v>
      </c>
      <c r="W79" s="205">
        <f t="shared" si="25"/>
        <v>0</v>
      </c>
      <c r="X79" s="205">
        <f t="shared" si="25"/>
        <v>0</v>
      </c>
      <c r="Y79" s="205">
        <f t="shared" si="25"/>
        <v>0</v>
      </c>
      <c r="Z79" s="205">
        <f t="shared" si="25"/>
        <v>0</v>
      </c>
      <c r="AA79" s="1283"/>
      <c r="AB79" s="1286"/>
      <c r="AE79" s="1286"/>
    </row>
    <row r="80" spans="1:31" s="1280" customFormat="1" ht="17.25" customHeight="1">
      <c r="A80" s="1279"/>
      <c r="B80" s="1282"/>
      <c r="C80" s="1298">
        <f>+MAX($C$9:C79)+1</f>
        <v>72</v>
      </c>
      <c r="D80" s="1299">
        <v>570000</v>
      </c>
      <c r="E80" s="1300" t="s">
        <v>764</v>
      </c>
      <c r="F80" s="1299">
        <v>12</v>
      </c>
      <c r="G80" s="1305"/>
      <c r="H80" s="1306"/>
      <c r="I80" s="1307">
        <v>0</v>
      </c>
      <c r="J80" s="1307">
        <v>0</v>
      </c>
      <c r="K80" s="1307">
        <v>0</v>
      </c>
      <c r="L80" s="1307">
        <v>0</v>
      </c>
      <c r="M80" s="1306">
        <v>0</v>
      </c>
      <c r="N80" s="4233"/>
      <c r="O80" s="4233"/>
      <c r="P80" s="205">
        <f t="shared" ref="P80:Z80" si="26">O80*(1+VLOOKUP($F80,OM_Esc,P$173,FALSE))</f>
        <v>0</v>
      </c>
      <c r="Q80" s="205">
        <f t="shared" si="26"/>
        <v>0</v>
      </c>
      <c r="R80" s="205">
        <f t="shared" si="26"/>
        <v>0</v>
      </c>
      <c r="S80" s="205">
        <f t="shared" si="26"/>
        <v>0</v>
      </c>
      <c r="T80" s="205">
        <f t="shared" si="26"/>
        <v>0</v>
      </c>
      <c r="U80" s="205">
        <f t="shared" si="26"/>
        <v>0</v>
      </c>
      <c r="V80" s="205">
        <f t="shared" si="26"/>
        <v>0</v>
      </c>
      <c r="W80" s="205">
        <f t="shared" si="26"/>
        <v>0</v>
      </c>
      <c r="X80" s="205">
        <f t="shared" si="26"/>
        <v>0</v>
      </c>
      <c r="Y80" s="205">
        <f t="shared" si="26"/>
        <v>0</v>
      </c>
      <c r="Z80" s="205">
        <f t="shared" si="26"/>
        <v>0</v>
      </c>
      <c r="AA80" s="1283"/>
      <c r="AB80" s="1320"/>
      <c r="AE80" s="1286"/>
    </row>
    <row r="81" spans="1:31" s="1280" customFormat="1" ht="17.25" customHeight="1">
      <c r="A81" s="1279"/>
      <c r="B81" s="1282"/>
      <c r="C81" s="1298">
        <f>+MAX($C$9:C80)+1</f>
        <v>73</v>
      </c>
      <c r="D81" s="1299">
        <v>570010</v>
      </c>
      <c r="E81" s="1300" t="s">
        <v>2137</v>
      </c>
      <c r="F81" s="1299">
        <v>12</v>
      </c>
      <c r="G81" s="1305"/>
      <c r="H81" s="1306"/>
      <c r="I81" s="1307">
        <v>125238.81</v>
      </c>
      <c r="J81" s="1307">
        <v>75971.210000000006</v>
      </c>
      <c r="K81" s="1307">
        <v>109234.15</v>
      </c>
      <c r="L81" s="1307">
        <v>110024.45</v>
      </c>
      <c r="M81" s="1306">
        <v>106600.82</v>
      </c>
      <c r="N81" s="4233">
        <v>127232.89</v>
      </c>
      <c r="O81" s="4233">
        <v>733007.38</v>
      </c>
      <c r="P81" s="205">
        <f t="shared" ref="P81:Z81" si="27">O81*(1+VLOOKUP($F81,OM_Esc,P$173,FALSE))</f>
        <v>794920.25023188768</v>
      </c>
      <c r="Q81" s="205">
        <f t="shared" si="27"/>
        <v>838201.83546705579</v>
      </c>
      <c r="R81" s="205">
        <f t="shared" si="27"/>
        <v>899631.28527047124</v>
      </c>
      <c r="S81" s="205">
        <f t="shared" si="27"/>
        <v>941727.28088255587</v>
      </c>
      <c r="T81" s="205">
        <f t="shared" si="27"/>
        <v>981121.09675386839</v>
      </c>
      <c r="U81" s="205">
        <f t="shared" si="27"/>
        <v>1014706.9638676554</v>
      </c>
      <c r="V81" s="205">
        <f t="shared" si="27"/>
        <v>1016086.982242075</v>
      </c>
      <c r="W81" s="205">
        <f t="shared" si="27"/>
        <v>1067400.382789664</v>
      </c>
      <c r="X81" s="205">
        <f t="shared" si="27"/>
        <v>1108121.0602888674</v>
      </c>
      <c r="Y81" s="205">
        <f t="shared" si="27"/>
        <v>1161637.2175599115</v>
      </c>
      <c r="Z81" s="205">
        <f t="shared" si="27"/>
        <v>1214177.6189110887</v>
      </c>
      <c r="AA81" s="1283"/>
      <c r="AB81" s="1320"/>
      <c r="AE81" s="1286"/>
    </row>
    <row r="82" spans="1:31" s="1280" customFormat="1" ht="17.25" customHeight="1">
      <c r="A82" s="1279"/>
      <c r="B82" s="1282"/>
      <c r="C82" s="1298">
        <f>+MAX($C$9:C81)+1</f>
        <v>74</v>
      </c>
      <c r="D82" s="1299">
        <v>571020</v>
      </c>
      <c r="E82" s="1300" t="s">
        <v>2138</v>
      </c>
      <c r="F82" s="1299">
        <v>12</v>
      </c>
      <c r="G82" s="1305"/>
      <c r="H82" s="1306"/>
      <c r="I82" s="1307">
        <v>7891.2</v>
      </c>
      <c r="J82" s="1307">
        <v>0</v>
      </c>
      <c r="K82" s="1307">
        <v>0</v>
      </c>
      <c r="L82" s="1307">
        <v>0</v>
      </c>
      <c r="M82" s="1306">
        <v>0</v>
      </c>
      <c r="N82" s="4233"/>
      <c r="O82" s="4233"/>
      <c r="P82" s="205">
        <f t="shared" ref="P82:Z82" si="28">O82*(1+VLOOKUP($F82,OM_Esc,P$173,FALSE))</f>
        <v>0</v>
      </c>
      <c r="Q82" s="205">
        <f t="shared" si="28"/>
        <v>0</v>
      </c>
      <c r="R82" s="205">
        <f t="shared" si="28"/>
        <v>0</v>
      </c>
      <c r="S82" s="205">
        <f t="shared" si="28"/>
        <v>0</v>
      </c>
      <c r="T82" s="205">
        <f t="shared" si="28"/>
        <v>0</v>
      </c>
      <c r="U82" s="205">
        <f t="shared" si="28"/>
        <v>0</v>
      </c>
      <c r="V82" s="205">
        <f t="shared" si="28"/>
        <v>0</v>
      </c>
      <c r="W82" s="205">
        <f t="shared" si="28"/>
        <v>0</v>
      </c>
      <c r="X82" s="205">
        <f t="shared" si="28"/>
        <v>0</v>
      </c>
      <c r="Y82" s="205">
        <f t="shared" si="28"/>
        <v>0</v>
      </c>
      <c r="Z82" s="205">
        <f t="shared" si="28"/>
        <v>0</v>
      </c>
      <c r="AA82" s="1283"/>
      <c r="AB82" s="1320"/>
      <c r="AE82" s="1286"/>
    </row>
    <row r="83" spans="1:31" s="1280" customFormat="1" ht="17.25" customHeight="1" thickBot="1">
      <c r="A83" s="1279"/>
      <c r="B83" s="1282"/>
      <c r="C83" s="1298">
        <f>+MAX($C$9:C82)+1</f>
        <v>75</v>
      </c>
      <c r="D83" s="1299">
        <v>571050</v>
      </c>
      <c r="E83" s="1300" t="s">
        <v>765</v>
      </c>
      <c r="F83" s="1299">
        <v>12</v>
      </c>
      <c r="G83" s="1308"/>
      <c r="H83" s="1309"/>
      <c r="I83" s="1310">
        <v>0</v>
      </c>
      <c r="J83" s="1310">
        <v>0</v>
      </c>
      <c r="K83" s="1310">
        <v>0</v>
      </c>
      <c r="L83" s="1310">
        <v>0</v>
      </c>
      <c r="M83" s="1309">
        <v>0</v>
      </c>
      <c r="N83" s="4234"/>
      <c r="O83" s="4234"/>
      <c r="P83" s="277">
        <f t="shared" ref="P83:Z83" si="29">O83*(1+VLOOKUP($F83,OM_Esc,P$173,FALSE))</f>
        <v>0</v>
      </c>
      <c r="Q83" s="277">
        <f t="shared" si="29"/>
        <v>0</v>
      </c>
      <c r="R83" s="277">
        <f t="shared" si="29"/>
        <v>0</v>
      </c>
      <c r="S83" s="277">
        <f t="shared" si="29"/>
        <v>0</v>
      </c>
      <c r="T83" s="277">
        <f t="shared" si="29"/>
        <v>0</v>
      </c>
      <c r="U83" s="277">
        <f t="shared" si="29"/>
        <v>0</v>
      </c>
      <c r="V83" s="277">
        <f t="shared" si="29"/>
        <v>0</v>
      </c>
      <c r="W83" s="277">
        <f t="shared" si="29"/>
        <v>0</v>
      </c>
      <c r="X83" s="277">
        <f t="shared" si="29"/>
        <v>0</v>
      </c>
      <c r="Y83" s="277">
        <f t="shared" si="29"/>
        <v>0</v>
      </c>
      <c r="Z83" s="277">
        <f t="shared" si="29"/>
        <v>0</v>
      </c>
      <c r="AA83" s="1283"/>
      <c r="AB83" s="1286"/>
      <c r="AE83" s="1286"/>
    </row>
    <row r="84" spans="1:31" s="1280" customFormat="1" ht="17.25" customHeight="1">
      <c r="A84" s="1279"/>
      <c r="B84" s="1282"/>
      <c r="C84" s="1298">
        <f>+MAX($C$9:C83)+1</f>
        <v>76</v>
      </c>
      <c r="D84" s="1300"/>
      <c r="E84" s="1300"/>
      <c r="F84" s="1299"/>
      <c r="G84" s="1311">
        <f t="shared" ref="G84:Z84" si="30">SUM(G69:G83)</f>
        <v>0</v>
      </c>
      <c r="H84" s="1311">
        <f t="shared" si="30"/>
        <v>0</v>
      </c>
      <c r="I84" s="1311">
        <f t="shared" si="30"/>
        <v>2059493.48</v>
      </c>
      <c r="J84" s="1311">
        <f t="shared" si="30"/>
        <v>1985241.6099999999</v>
      </c>
      <c r="K84" s="1311">
        <f t="shared" si="30"/>
        <v>2231608.9899999998</v>
      </c>
      <c r="L84" s="1311">
        <f t="shared" si="30"/>
        <v>1515866.54</v>
      </c>
      <c r="M84" s="1311">
        <f t="shared" si="30"/>
        <v>1652966.02</v>
      </c>
      <c r="N84" s="1311">
        <f t="shared" si="30"/>
        <v>2184113.13</v>
      </c>
      <c r="O84" s="1311">
        <f t="shared" si="30"/>
        <v>2766607.75</v>
      </c>
      <c r="P84" s="1311">
        <f t="shared" si="30"/>
        <v>3000287.0161054586</v>
      </c>
      <c r="Q84" s="1311">
        <f t="shared" si="30"/>
        <v>3163645.765841241</v>
      </c>
      <c r="R84" s="1311">
        <f t="shared" si="30"/>
        <v>3395500.4463553242</v>
      </c>
      <c r="S84" s="1311">
        <f t="shared" si="30"/>
        <v>3554384.3960699365</v>
      </c>
      <c r="T84" s="1311">
        <f t="shared" si="30"/>
        <v>3703069.4424492046</v>
      </c>
      <c r="U84" s="1311">
        <f t="shared" si="30"/>
        <v>3829833.4052451495</v>
      </c>
      <c r="V84" s="1311">
        <f t="shared" si="30"/>
        <v>3835042.0424758028</v>
      </c>
      <c r="W84" s="1311">
        <f t="shared" si="30"/>
        <v>4028715.4699299904</v>
      </c>
      <c r="X84" s="1311">
        <f t="shared" si="30"/>
        <v>4182408.5227264669</v>
      </c>
      <c r="Y84" s="1311">
        <f t="shared" si="30"/>
        <v>4384395.8689606739</v>
      </c>
      <c r="Z84" s="1311">
        <f t="shared" si="30"/>
        <v>4582700.3956712745</v>
      </c>
    </row>
    <row r="85" spans="1:31" s="1280" customFormat="1" ht="17.25" customHeight="1" thickBot="1">
      <c r="A85" s="1279"/>
      <c r="B85" s="1282"/>
      <c r="C85" s="1298">
        <f>+MAX($C$9:C84)+1</f>
        <v>77</v>
      </c>
      <c r="D85" s="1296" t="s">
        <v>314</v>
      </c>
      <c r="E85" s="1300"/>
      <c r="F85" s="1299"/>
      <c r="G85" s="1300"/>
      <c r="H85" s="1304"/>
      <c r="I85" s="1313"/>
      <c r="J85" s="1313"/>
      <c r="K85" s="1313"/>
      <c r="L85" s="1313"/>
      <c r="M85" s="1313"/>
      <c r="N85" s="1283"/>
      <c r="O85" s="1283"/>
      <c r="P85" s="1283"/>
      <c r="Q85" s="1283"/>
      <c r="R85" s="1283"/>
      <c r="S85" s="1283"/>
      <c r="T85" s="1283"/>
      <c r="U85" s="1283"/>
      <c r="V85" s="1283"/>
      <c r="W85" s="1283"/>
      <c r="X85" s="1283"/>
      <c r="Y85" s="1283"/>
      <c r="Z85" s="1283"/>
    </row>
    <row r="86" spans="1:31" s="1280" customFormat="1" ht="17.25" customHeight="1">
      <c r="A86" s="1279"/>
      <c r="B86" s="1282"/>
      <c r="C86" s="1298">
        <f>+MAX($C$9:C85)+1</f>
        <v>78</v>
      </c>
      <c r="D86" s="1299">
        <v>580000</v>
      </c>
      <c r="E86" s="1300" t="s">
        <v>766</v>
      </c>
      <c r="F86" s="1299">
        <v>16</v>
      </c>
      <c r="G86" s="1301"/>
      <c r="H86" s="1302"/>
      <c r="I86" s="1303">
        <v>0</v>
      </c>
      <c r="J86" s="1303">
        <v>0</v>
      </c>
      <c r="K86" s="1303">
        <v>0</v>
      </c>
      <c r="L86" s="1303">
        <v>0</v>
      </c>
      <c r="M86" s="1302">
        <v>0</v>
      </c>
      <c r="N86" s="4232">
        <v>0</v>
      </c>
      <c r="O86" s="4232">
        <v>0</v>
      </c>
      <c r="P86" s="205">
        <f t="shared" ref="P86:Z86" si="31">O86*(1+VLOOKUP($F86,OM_Esc,P$173,FALSE))</f>
        <v>0</v>
      </c>
      <c r="Q86" s="205">
        <f t="shared" si="31"/>
        <v>0</v>
      </c>
      <c r="R86" s="205">
        <f t="shared" si="31"/>
        <v>0</v>
      </c>
      <c r="S86" s="205">
        <f t="shared" si="31"/>
        <v>0</v>
      </c>
      <c r="T86" s="205">
        <f t="shared" si="31"/>
        <v>0</v>
      </c>
      <c r="U86" s="205">
        <f t="shared" si="31"/>
        <v>0</v>
      </c>
      <c r="V86" s="205">
        <f t="shared" si="31"/>
        <v>0</v>
      </c>
      <c r="W86" s="205">
        <f t="shared" si="31"/>
        <v>0</v>
      </c>
      <c r="X86" s="205">
        <f t="shared" si="31"/>
        <v>0</v>
      </c>
      <c r="Y86" s="205">
        <f t="shared" si="31"/>
        <v>0</v>
      </c>
      <c r="Z86" s="205">
        <f t="shared" si="31"/>
        <v>0</v>
      </c>
      <c r="AE86" s="1286"/>
    </row>
    <row r="87" spans="1:31" s="1280" customFormat="1" ht="17.25" customHeight="1">
      <c r="A87" s="1279"/>
      <c r="B87" s="1282"/>
      <c r="C87" s="1298">
        <f>+MAX($C$9:C86)+1</f>
        <v>79</v>
      </c>
      <c r="D87" s="1299">
        <v>581010</v>
      </c>
      <c r="E87" s="1300" t="s">
        <v>767</v>
      </c>
      <c r="F87" s="1299">
        <v>16</v>
      </c>
      <c r="G87" s="1305"/>
      <c r="H87" s="1306"/>
      <c r="I87" s="1307">
        <v>0</v>
      </c>
      <c r="J87" s="1307">
        <v>0</v>
      </c>
      <c r="K87" s="1307">
        <v>0</v>
      </c>
      <c r="L87" s="1307">
        <v>0</v>
      </c>
      <c r="M87" s="1306">
        <v>0</v>
      </c>
      <c r="N87" s="4233">
        <v>0</v>
      </c>
      <c r="O87" s="4233">
        <v>0</v>
      </c>
      <c r="P87" s="205">
        <f t="shared" ref="P87:Z87" si="32">O87*(1+VLOOKUP($F87,OM_Esc,P$173,FALSE))</f>
        <v>0</v>
      </c>
      <c r="Q87" s="205">
        <f t="shared" si="32"/>
        <v>0</v>
      </c>
      <c r="R87" s="205">
        <f t="shared" si="32"/>
        <v>0</v>
      </c>
      <c r="S87" s="205">
        <f t="shared" si="32"/>
        <v>0</v>
      </c>
      <c r="T87" s="205">
        <f t="shared" si="32"/>
        <v>0</v>
      </c>
      <c r="U87" s="205">
        <f t="shared" si="32"/>
        <v>0</v>
      </c>
      <c r="V87" s="205">
        <f t="shared" si="32"/>
        <v>0</v>
      </c>
      <c r="W87" s="205">
        <f t="shared" si="32"/>
        <v>0</v>
      </c>
      <c r="X87" s="205">
        <f t="shared" si="32"/>
        <v>0</v>
      </c>
      <c r="Y87" s="205">
        <f t="shared" si="32"/>
        <v>0</v>
      </c>
      <c r="Z87" s="205">
        <f t="shared" si="32"/>
        <v>0</v>
      </c>
      <c r="AE87" s="1286"/>
    </row>
    <row r="88" spans="1:31" s="1280" customFormat="1" ht="17.25" customHeight="1">
      <c r="A88" s="1279"/>
      <c r="B88" s="1282"/>
      <c r="C88" s="1298">
        <f>+MAX($C$9:C87)+1</f>
        <v>80</v>
      </c>
      <c r="D88" s="1299">
        <v>582000</v>
      </c>
      <c r="E88" s="1300" t="s">
        <v>768</v>
      </c>
      <c r="F88" s="1299">
        <v>16</v>
      </c>
      <c r="G88" s="1305"/>
      <c r="H88" s="1306"/>
      <c r="I88" s="1307">
        <v>0</v>
      </c>
      <c r="J88" s="1307">
        <v>0</v>
      </c>
      <c r="K88" s="1307">
        <v>0</v>
      </c>
      <c r="L88" s="1307">
        <v>0</v>
      </c>
      <c r="M88" s="1306">
        <v>0</v>
      </c>
      <c r="N88" s="4233">
        <v>0</v>
      </c>
      <c r="O88" s="4233">
        <v>0</v>
      </c>
      <c r="P88" s="205">
        <f t="shared" ref="P88:Z88" si="33">O88*(1+VLOOKUP($F88,OM_Esc,P$173,FALSE))</f>
        <v>0</v>
      </c>
      <c r="Q88" s="205">
        <f t="shared" si="33"/>
        <v>0</v>
      </c>
      <c r="R88" s="205">
        <f t="shared" si="33"/>
        <v>0</v>
      </c>
      <c r="S88" s="205">
        <f t="shared" si="33"/>
        <v>0</v>
      </c>
      <c r="T88" s="205">
        <f t="shared" si="33"/>
        <v>0</v>
      </c>
      <c r="U88" s="205">
        <f t="shared" si="33"/>
        <v>0</v>
      </c>
      <c r="V88" s="205">
        <f t="shared" si="33"/>
        <v>0</v>
      </c>
      <c r="W88" s="205">
        <f t="shared" si="33"/>
        <v>0</v>
      </c>
      <c r="X88" s="205">
        <f t="shared" si="33"/>
        <v>0</v>
      </c>
      <c r="Y88" s="205">
        <f t="shared" si="33"/>
        <v>0</v>
      </c>
      <c r="Z88" s="205">
        <f t="shared" si="33"/>
        <v>0</v>
      </c>
      <c r="AE88" s="1286"/>
    </row>
    <row r="89" spans="1:31" s="1280" customFormat="1" ht="17.25" customHeight="1">
      <c r="A89" s="1279"/>
      <c r="B89" s="1282"/>
      <c r="C89" s="1298">
        <f>+MAX($C$9:C88)+1</f>
        <v>81</v>
      </c>
      <c r="D89" s="1299">
        <v>583000</v>
      </c>
      <c r="E89" s="1300" t="s">
        <v>769</v>
      </c>
      <c r="F89" s="1299">
        <v>16</v>
      </c>
      <c r="G89" s="1305"/>
      <c r="H89" s="1306"/>
      <c r="I89" s="1307">
        <v>0</v>
      </c>
      <c r="J89" s="1307">
        <v>0</v>
      </c>
      <c r="K89" s="1307">
        <v>0</v>
      </c>
      <c r="L89" s="1307">
        <v>0</v>
      </c>
      <c r="M89" s="1306">
        <v>0</v>
      </c>
      <c r="N89" s="4233">
        <v>0</v>
      </c>
      <c r="O89" s="4233">
        <v>0</v>
      </c>
      <c r="P89" s="205">
        <f t="shared" ref="P89:Z89" si="34">O89*(1+VLOOKUP($F89,OM_Esc,P$173,FALSE))</f>
        <v>0</v>
      </c>
      <c r="Q89" s="205">
        <f t="shared" si="34"/>
        <v>0</v>
      </c>
      <c r="R89" s="205">
        <f t="shared" si="34"/>
        <v>0</v>
      </c>
      <c r="S89" s="205">
        <f t="shared" si="34"/>
        <v>0</v>
      </c>
      <c r="T89" s="205">
        <f t="shared" si="34"/>
        <v>0</v>
      </c>
      <c r="U89" s="205">
        <f t="shared" si="34"/>
        <v>0</v>
      </c>
      <c r="V89" s="205">
        <f t="shared" si="34"/>
        <v>0</v>
      </c>
      <c r="W89" s="205">
        <f t="shared" si="34"/>
        <v>0</v>
      </c>
      <c r="X89" s="205">
        <f t="shared" si="34"/>
        <v>0</v>
      </c>
      <c r="Y89" s="205">
        <f t="shared" si="34"/>
        <v>0</v>
      </c>
      <c r="Z89" s="205">
        <f t="shared" si="34"/>
        <v>0</v>
      </c>
      <c r="AE89" s="1286"/>
    </row>
    <row r="90" spans="1:31" s="1280" customFormat="1" ht="17.25" customHeight="1">
      <c r="A90" s="1279"/>
      <c r="B90" s="1282"/>
      <c r="C90" s="1298">
        <f>+MAX($C$9:C89)+1</f>
        <v>82</v>
      </c>
      <c r="D90" s="1299">
        <v>584000</v>
      </c>
      <c r="E90" s="1300" t="s">
        <v>1945</v>
      </c>
      <c r="F90" s="1299">
        <v>16</v>
      </c>
      <c r="G90" s="1305"/>
      <c r="H90" s="1306"/>
      <c r="I90" s="1307">
        <v>0</v>
      </c>
      <c r="J90" s="1307">
        <v>0</v>
      </c>
      <c r="K90" s="1307">
        <v>0</v>
      </c>
      <c r="L90" s="1307">
        <v>0</v>
      </c>
      <c r="M90" s="1306">
        <v>0</v>
      </c>
      <c r="N90" s="4233">
        <v>0</v>
      </c>
      <c r="O90" s="4233">
        <v>0</v>
      </c>
      <c r="P90" s="205">
        <f t="shared" ref="P90:Z90" si="35">O90*(1+VLOOKUP($F90,OM_Esc,P$173,FALSE))</f>
        <v>0</v>
      </c>
      <c r="Q90" s="205">
        <f t="shared" si="35"/>
        <v>0</v>
      </c>
      <c r="R90" s="205">
        <f t="shared" si="35"/>
        <v>0</v>
      </c>
      <c r="S90" s="205">
        <f t="shared" si="35"/>
        <v>0</v>
      </c>
      <c r="T90" s="205">
        <f t="shared" si="35"/>
        <v>0</v>
      </c>
      <c r="U90" s="205">
        <f t="shared" si="35"/>
        <v>0</v>
      </c>
      <c r="V90" s="205">
        <f t="shared" si="35"/>
        <v>0</v>
      </c>
      <c r="W90" s="205">
        <f t="shared" si="35"/>
        <v>0</v>
      </c>
      <c r="X90" s="205">
        <f t="shared" si="35"/>
        <v>0</v>
      </c>
      <c r="Y90" s="205">
        <f t="shared" si="35"/>
        <v>0</v>
      </c>
      <c r="Z90" s="205">
        <f t="shared" si="35"/>
        <v>0</v>
      </c>
      <c r="AE90" s="1286"/>
    </row>
    <row r="91" spans="1:31" s="1280" customFormat="1" ht="17.25" customHeight="1">
      <c r="A91" s="1279"/>
      <c r="B91" s="1282"/>
      <c r="C91" s="1298">
        <f>+MAX($C$9:C90)+1</f>
        <v>83</v>
      </c>
      <c r="D91" s="1299">
        <v>586000</v>
      </c>
      <c r="E91" s="1300" t="s">
        <v>1945</v>
      </c>
      <c r="F91" s="1299">
        <v>16</v>
      </c>
      <c r="G91" s="1305"/>
      <c r="H91" s="1306"/>
      <c r="I91" s="1307">
        <v>0</v>
      </c>
      <c r="J91" s="1307">
        <v>0</v>
      </c>
      <c r="K91" s="1307">
        <v>0</v>
      </c>
      <c r="L91" s="1307">
        <v>0</v>
      </c>
      <c r="M91" s="1306">
        <v>0</v>
      </c>
      <c r="N91" s="4233">
        <v>0</v>
      </c>
      <c r="O91" s="4233">
        <v>0</v>
      </c>
      <c r="P91" s="205">
        <f t="shared" ref="P91:Z91" si="36">O91*(1+VLOOKUP($F91,OM_Esc,P$173,FALSE))</f>
        <v>0</v>
      </c>
      <c r="Q91" s="205">
        <f t="shared" si="36"/>
        <v>0</v>
      </c>
      <c r="R91" s="205">
        <f t="shared" si="36"/>
        <v>0</v>
      </c>
      <c r="S91" s="205">
        <f t="shared" si="36"/>
        <v>0</v>
      </c>
      <c r="T91" s="205">
        <f t="shared" si="36"/>
        <v>0</v>
      </c>
      <c r="U91" s="205">
        <f t="shared" si="36"/>
        <v>0</v>
      </c>
      <c r="V91" s="205">
        <f t="shared" si="36"/>
        <v>0</v>
      </c>
      <c r="W91" s="205">
        <f t="shared" si="36"/>
        <v>0</v>
      </c>
      <c r="X91" s="205">
        <f t="shared" si="36"/>
        <v>0</v>
      </c>
      <c r="Y91" s="205">
        <f t="shared" si="36"/>
        <v>0</v>
      </c>
      <c r="Z91" s="205">
        <f t="shared" si="36"/>
        <v>0</v>
      </c>
      <c r="AE91" s="1286"/>
    </row>
    <row r="92" spans="1:31" s="1280" customFormat="1" ht="17.25" customHeight="1">
      <c r="A92" s="1279"/>
      <c r="B92" s="1282"/>
      <c r="C92" s="1298">
        <f>+MAX($C$9:C91)+1</f>
        <v>84</v>
      </c>
      <c r="D92" s="1299">
        <v>584010</v>
      </c>
      <c r="E92" s="1300" t="s">
        <v>770</v>
      </c>
      <c r="F92" s="1299">
        <v>16</v>
      </c>
      <c r="G92" s="1305"/>
      <c r="H92" s="1306"/>
      <c r="I92" s="1307">
        <v>0</v>
      </c>
      <c r="J92" s="1307">
        <v>0</v>
      </c>
      <c r="K92" s="1307">
        <v>0</v>
      </c>
      <c r="L92" s="1307">
        <v>0</v>
      </c>
      <c r="M92" s="1306">
        <v>0</v>
      </c>
      <c r="N92" s="4233">
        <v>0</v>
      </c>
      <c r="O92" s="4233">
        <v>0</v>
      </c>
      <c r="P92" s="205">
        <f t="shared" ref="P92:Z92" si="37">O92*(1+VLOOKUP($F92,OM_Esc,P$173,FALSE))</f>
        <v>0</v>
      </c>
      <c r="Q92" s="205">
        <f t="shared" si="37"/>
        <v>0</v>
      </c>
      <c r="R92" s="205">
        <f t="shared" si="37"/>
        <v>0</v>
      </c>
      <c r="S92" s="205">
        <f t="shared" si="37"/>
        <v>0</v>
      </c>
      <c r="T92" s="205">
        <f t="shared" si="37"/>
        <v>0</v>
      </c>
      <c r="U92" s="205">
        <f t="shared" si="37"/>
        <v>0</v>
      </c>
      <c r="V92" s="205">
        <f t="shared" si="37"/>
        <v>0</v>
      </c>
      <c r="W92" s="205">
        <f t="shared" si="37"/>
        <v>0</v>
      </c>
      <c r="X92" s="205">
        <f t="shared" si="37"/>
        <v>0</v>
      </c>
      <c r="Y92" s="205">
        <f t="shared" si="37"/>
        <v>0</v>
      </c>
      <c r="Z92" s="205">
        <f t="shared" si="37"/>
        <v>0</v>
      </c>
      <c r="AE92" s="1286"/>
    </row>
    <row r="93" spans="1:31" s="1280" customFormat="1" ht="17.25" customHeight="1">
      <c r="A93" s="1279"/>
      <c r="B93" s="1282"/>
      <c r="C93" s="1298">
        <f>+MAX($C$9:C92)+1</f>
        <v>85</v>
      </c>
      <c r="D93" s="1299">
        <v>586010</v>
      </c>
      <c r="E93" s="1300" t="s">
        <v>771</v>
      </c>
      <c r="F93" s="1299">
        <v>16</v>
      </c>
      <c r="G93" s="1305"/>
      <c r="H93" s="1306"/>
      <c r="I93" s="1307">
        <v>0</v>
      </c>
      <c r="J93" s="1307">
        <v>0</v>
      </c>
      <c r="K93" s="1307">
        <v>0</v>
      </c>
      <c r="L93" s="1307">
        <v>0</v>
      </c>
      <c r="M93" s="1306">
        <v>0</v>
      </c>
      <c r="N93" s="4233">
        <v>0</v>
      </c>
      <c r="O93" s="4233">
        <v>0</v>
      </c>
      <c r="P93" s="205">
        <f t="shared" ref="P93:Z93" si="38">O93*(1+VLOOKUP($F93,OM_Esc,P$173,FALSE))</f>
        <v>0</v>
      </c>
      <c r="Q93" s="205">
        <f t="shared" si="38"/>
        <v>0</v>
      </c>
      <c r="R93" s="205">
        <f t="shared" si="38"/>
        <v>0</v>
      </c>
      <c r="S93" s="205">
        <f t="shared" si="38"/>
        <v>0</v>
      </c>
      <c r="T93" s="205">
        <f t="shared" si="38"/>
        <v>0</v>
      </c>
      <c r="U93" s="205">
        <f t="shared" si="38"/>
        <v>0</v>
      </c>
      <c r="V93" s="205">
        <f t="shared" si="38"/>
        <v>0</v>
      </c>
      <c r="W93" s="205">
        <f t="shared" si="38"/>
        <v>0</v>
      </c>
      <c r="X93" s="205">
        <f t="shared" si="38"/>
        <v>0</v>
      </c>
      <c r="Y93" s="205">
        <f t="shared" si="38"/>
        <v>0</v>
      </c>
      <c r="Z93" s="205">
        <f t="shared" si="38"/>
        <v>0</v>
      </c>
      <c r="AE93" s="1286"/>
    </row>
    <row r="94" spans="1:31" s="1280" customFormat="1" ht="17.25" customHeight="1">
      <c r="A94" s="1279"/>
      <c r="B94" s="1282"/>
      <c r="C94" s="1298">
        <f>+MAX($C$9:C93)+1</f>
        <v>86</v>
      </c>
      <c r="D94" s="1299">
        <v>587000</v>
      </c>
      <c r="E94" s="1300" t="s">
        <v>772</v>
      </c>
      <c r="F94" s="1299">
        <v>16</v>
      </c>
      <c r="G94" s="1305"/>
      <c r="H94" s="1306"/>
      <c r="I94" s="1307">
        <v>0</v>
      </c>
      <c r="J94" s="1307">
        <v>0</v>
      </c>
      <c r="K94" s="1307">
        <v>0</v>
      </c>
      <c r="L94" s="1307">
        <v>0</v>
      </c>
      <c r="M94" s="1306">
        <v>0</v>
      </c>
      <c r="N94" s="4233">
        <v>0</v>
      </c>
      <c r="O94" s="4233">
        <v>0</v>
      </c>
      <c r="P94" s="205">
        <f t="shared" ref="P94:Z94" si="39">O94*(1+VLOOKUP($F94,OM_Esc,P$173,FALSE))</f>
        <v>0</v>
      </c>
      <c r="Q94" s="205">
        <f t="shared" si="39"/>
        <v>0</v>
      </c>
      <c r="R94" s="205">
        <f t="shared" si="39"/>
        <v>0</v>
      </c>
      <c r="S94" s="205">
        <f t="shared" si="39"/>
        <v>0</v>
      </c>
      <c r="T94" s="205">
        <f t="shared" si="39"/>
        <v>0</v>
      </c>
      <c r="U94" s="205">
        <f t="shared" si="39"/>
        <v>0</v>
      </c>
      <c r="V94" s="205">
        <f t="shared" si="39"/>
        <v>0</v>
      </c>
      <c r="W94" s="205">
        <f t="shared" si="39"/>
        <v>0</v>
      </c>
      <c r="X94" s="205">
        <f t="shared" si="39"/>
        <v>0</v>
      </c>
      <c r="Y94" s="205">
        <f t="shared" si="39"/>
        <v>0</v>
      </c>
      <c r="Z94" s="205">
        <f t="shared" si="39"/>
        <v>0</v>
      </c>
      <c r="AE94" s="1286"/>
    </row>
    <row r="95" spans="1:31" s="1280" customFormat="1" ht="17.25" customHeight="1">
      <c r="A95" s="1279"/>
      <c r="B95" s="1282"/>
      <c r="C95" s="1298">
        <f>+MAX($C$9:C94)+1</f>
        <v>87</v>
      </c>
      <c r="D95" s="1299">
        <v>588000</v>
      </c>
      <c r="E95" s="1300" t="s">
        <v>773</v>
      </c>
      <c r="F95" s="1299">
        <v>16</v>
      </c>
      <c r="G95" s="1305"/>
      <c r="H95" s="1306"/>
      <c r="I95" s="1307">
        <v>0</v>
      </c>
      <c r="J95" s="1307">
        <v>0</v>
      </c>
      <c r="K95" s="1307">
        <v>0</v>
      </c>
      <c r="L95" s="1307">
        <v>0</v>
      </c>
      <c r="M95" s="1306">
        <v>0</v>
      </c>
      <c r="N95" s="4233">
        <v>0</v>
      </c>
      <c r="O95" s="4233">
        <v>0</v>
      </c>
      <c r="P95" s="205">
        <f t="shared" ref="P95:Z95" si="40">O95*(1+VLOOKUP($F95,OM_Esc,P$173,FALSE))</f>
        <v>0</v>
      </c>
      <c r="Q95" s="205">
        <f t="shared" si="40"/>
        <v>0</v>
      </c>
      <c r="R95" s="205">
        <f t="shared" si="40"/>
        <v>0</v>
      </c>
      <c r="S95" s="205">
        <f t="shared" si="40"/>
        <v>0</v>
      </c>
      <c r="T95" s="205">
        <f t="shared" si="40"/>
        <v>0</v>
      </c>
      <c r="U95" s="205">
        <f t="shared" si="40"/>
        <v>0</v>
      </c>
      <c r="V95" s="205">
        <f t="shared" si="40"/>
        <v>0</v>
      </c>
      <c r="W95" s="205">
        <f t="shared" si="40"/>
        <v>0</v>
      </c>
      <c r="X95" s="205">
        <f t="shared" si="40"/>
        <v>0</v>
      </c>
      <c r="Y95" s="205">
        <f t="shared" si="40"/>
        <v>0</v>
      </c>
      <c r="Z95" s="205">
        <f t="shared" si="40"/>
        <v>0</v>
      </c>
      <c r="AE95" s="1286"/>
    </row>
    <row r="96" spans="1:31" s="1280" customFormat="1" ht="17.25" customHeight="1">
      <c r="A96" s="1279"/>
      <c r="B96" s="1282"/>
      <c r="C96" s="1298">
        <f>+MAX($C$9:C95)+1</f>
        <v>88</v>
      </c>
      <c r="D96" s="1299">
        <v>588030</v>
      </c>
      <c r="E96" s="1300" t="s">
        <v>774</v>
      </c>
      <c r="F96" s="1299">
        <v>16</v>
      </c>
      <c r="G96" s="1305"/>
      <c r="H96" s="1306"/>
      <c r="I96" s="1307">
        <v>0</v>
      </c>
      <c r="J96" s="1307">
        <v>0</v>
      </c>
      <c r="K96" s="1307">
        <v>0</v>
      </c>
      <c r="L96" s="1307">
        <v>0</v>
      </c>
      <c r="M96" s="1306">
        <v>0</v>
      </c>
      <c r="N96" s="4233">
        <v>0</v>
      </c>
      <c r="O96" s="4233">
        <v>0</v>
      </c>
      <c r="P96" s="205">
        <f t="shared" ref="P96:Z96" si="41">O96*(1+VLOOKUP($F96,OM_Esc,P$173,FALSE))</f>
        <v>0</v>
      </c>
      <c r="Q96" s="205">
        <f t="shared" si="41"/>
        <v>0</v>
      </c>
      <c r="R96" s="205">
        <f t="shared" si="41"/>
        <v>0</v>
      </c>
      <c r="S96" s="205">
        <f t="shared" si="41"/>
        <v>0</v>
      </c>
      <c r="T96" s="205">
        <f t="shared" si="41"/>
        <v>0</v>
      </c>
      <c r="U96" s="205">
        <f t="shared" si="41"/>
        <v>0</v>
      </c>
      <c r="V96" s="205">
        <f t="shared" si="41"/>
        <v>0</v>
      </c>
      <c r="W96" s="205">
        <f t="shared" si="41"/>
        <v>0</v>
      </c>
      <c r="X96" s="205">
        <f t="shared" si="41"/>
        <v>0</v>
      </c>
      <c r="Y96" s="205">
        <f t="shared" si="41"/>
        <v>0</v>
      </c>
      <c r="Z96" s="205">
        <f t="shared" si="41"/>
        <v>0</v>
      </c>
      <c r="AE96" s="1286"/>
    </row>
    <row r="97" spans="1:31" s="1280" customFormat="1" ht="17.25" customHeight="1">
      <c r="A97" s="1279"/>
      <c r="B97" s="1282"/>
      <c r="C97" s="1298">
        <f>+MAX($C$9:C96)+1</f>
        <v>89</v>
      </c>
      <c r="D97" s="1299">
        <v>590000</v>
      </c>
      <c r="E97" s="1300" t="s">
        <v>775</v>
      </c>
      <c r="F97" s="1299">
        <v>16</v>
      </c>
      <c r="G97" s="1305"/>
      <c r="H97" s="1306"/>
      <c r="I97" s="1307">
        <v>0</v>
      </c>
      <c r="J97" s="1307">
        <v>0</v>
      </c>
      <c r="K97" s="1307">
        <v>0</v>
      </c>
      <c r="L97" s="1307">
        <v>0</v>
      </c>
      <c r="M97" s="1306">
        <v>0</v>
      </c>
      <c r="N97" s="4233">
        <v>0</v>
      </c>
      <c r="O97" s="4233">
        <v>0</v>
      </c>
      <c r="P97" s="205">
        <f t="shared" ref="P97:Z97" si="42">O97*(1+VLOOKUP($F97,OM_Esc,P$173,FALSE))</f>
        <v>0</v>
      </c>
      <c r="Q97" s="205">
        <f t="shared" si="42"/>
        <v>0</v>
      </c>
      <c r="R97" s="205">
        <f t="shared" si="42"/>
        <v>0</v>
      </c>
      <c r="S97" s="205">
        <f t="shared" si="42"/>
        <v>0</v>
      </c>
      <c r="T97" s="205">
        <f t="shared" si="42"/>
        <v>0</v>
      </c>
      <c r="U97" s="205">
        <f t="shared" si="42"/>
        <v>0</v>
      </c>
      <c r="V97" s="205">
        <f t="shared" si="42"/>
        <v>0</v>
      </c>
      <c r="W97" s="205">
        <f t="shared" si="42"/>
        <v>0</v>
      </c>
      <c r="X97" s="205">
        <f t="shared" si="42"/>
        <v>0</v>
      </c>
      <c r="Y97" s="205">
        <f t="shared" si="42"/>
        <v>0</v>
      </c>
      <c r="Z97" s="205">
        <f t="shared" si="42"/>
        <v>0</v>
      </c>
      <c r="AE97" s="1286"/>
    </row>
    <row r="98" spans="1:31" s="1280" customFormat="1" ht="17.25" customHeight="1">
      <c r="A98" s="1279"/>
      <c r="B98" s="1282"/>
      <c r="C98" s="1298">
        <f>+MAX($C$9:C97)+1</f>
        <v>90</v>
      </c>
      <c r="D98" s="1299">
        <v>592000</v>
      </c>
      <c r="E98" s="1300" t="s">
        <v>776</v>
      </c>
      <c r="F98" s="1299">
        <v>16</v>
      </c>
      <c r="G98" s="1305"/>
      <c r="H98" s="1306"/>
      <c r="I98" s="1307">
        <v>0</v>
      </c>
      <c r="J98" s="1307">
        <v>0</v>
      </c>
      <c r="K98" s="1307">
        <v>0</v>
      </c>
      <c r="L98" s="1307">
        <v>0</v>
      </c>
      <c r="M98" s="1306">
        <v>0</v>
      </c>
      <c r="N98" s="4233">
        <v>0</v>
      </c>
      <c r="O98" s="4233">
        <v>0</v>
      </c>
      <c r="P98" s="205">
        <f t="shared" ref="P98:Z98" si="43">O98*(1+VLOOKUP($F98,OM_Esc,P$173,FALSE))</f>
        <v>0</v>
      </c>
      <c r="Q98" s="205">
        <f t="shared" si="43"/>
        <v>0</v>
      </c>
      <c r="R98" s="205">
        <f t="shared" si="43"/>
        <v>0</v>
      </c>
      <c r="S98" s="205">
        <f t="shared" si="43"/>
        <v>0</v>
      </c>
      <c r="T98" s="205">
        <f t="shared" si="43"/>
        <v>0</v>
      </c>
      <c r="U98" s="205">
        <f t="shared" si="43"/>
        <v>0</v>
      </c>
      <c r="V98" s="205">
        <f t="shared" si="43"/>
        <v>0</v>
      </c>
      <c r="W98" s="205">
        <f t="shared" si="43"/>
        <v>0</v>
      </c>
      <c r="X98" s="205">
        <f t="shared" si="43"/>
        <v>0</v>
      </c>
      <c r="Y98" s="205">
        <f t="shared" si="43"/>
        <v>0</v>
      </c>
      <c r="Z98" s="205">
        <f t="shared" si="43"/>
        <v>0</v>
      </c>
      <c r="AE98" s="1286"/>
    </row>
    <row r="99" spans="1:31" s="1280" customFormat="1" ht="17.25" customHeight="1">
      <c r="A99" s="1279"/>
      <c r="B99" s="1282"/>
      <c r="C99" s="1298">
        <f>+MAX($C$9:C98)+1</f>
        <v>91</v>
      </c>
      <c r="D99" s="1299">
        <v>593000</v>
      </c>
      <c r="E99" s="1300" t="s">
        <v>777</v>
      </c>
      <c r="F99" s="1299">
        <v>16</v>
      </c>
      <c r="G99" s="1305"/>
      <c r="H99" s="1306"/>
      <c r="I99" s="1307">
        <v>0</v>
      </c>
      <c r="J99" s="1307">
        <v>0</v>
      </c>
      <c r="K99" s="1307">
        <v>0</v>
      </c>
      <c r="L99" s="1307">
        <v>0</v>
      </c>
      <c r="M99" s="1306">
        <v>0</v>
      </c>
      <c r="N99" s="4233">
        <v>0</v>
      </c>
      <c r="O99" s="4233">
        <v>0</v>
      </c>
      <c r="P99" s="205">
        <f t="shared" ref="P99:Z99" si="44">O99*(1+VLOOKUP($F99,OM_Esc,P$173,FALSE))</f>
        <v>0</v>
      </c>
      <c r="Q99" s="205">
        <f t="shared" si="44"/>
        <v>0</v>
      </c>
      <c r="R99" s="205">
        <f t="shared" si="44"/>
        <v>0</v>
      </c>
      <c r="S99" s="205">
        <f t="shared" si="44"/>
        <v>0</v>
      </c>
      <c r="T99" s="205">
        <f t="shared" si="44"/>
        <v>0</v>
      </c>
      <c r="U99" s="205">
        <f t="shared" si="44"/>
        <v>0</v>
      </c>
      <c r="V99" s="205">
        <f t="shared" si="44"/>
        <v>0</v>
      </c>
      <c r="W99" s="205">
        <f t="shared" si="44"/>
        <v>0</v>
      </c>
      <c r="X99" s="205">
        <f t="shared" si="44"/>
        <v>0</v>
      </c>
      <c r="Y99" s="205">
        <f t="shared" si="44"/>
        <v>0</v>
      </c>
      <c r="Z99" s="205">
        <f t="shared" si="44"/>
        <v>0</v>
      </c>
      <c r="AE99" s="1286"/>
    </row>
    <row r="100" spans="1:31" s="1280" customFormat="1" ht="17.25" customHeight="1">
      <c r="A100" s="1279"/>
      <c r="B100" s="1282"/>
      <c r="C100" s="1298">
        <f>+MAX($C$9:C99)+1</f>
        <v>92</v>
      </c>
      <c r="D100" s="1299">
        <v>593010</v>
      </c>
      <c r="E100" s="1300" t="s">
        <v>778</v>
      </c>
      <c r="F100" s="1299">
        <v>16</v>
      </c>
      <c r="G100" s="1305"/>
      <c r="H100" s="1306"/>
      <c r="I100" s="1307">
        <v>0</v>
      </c>
      <c r="J100" s="1307">
        <v>0</v>
      </c>
      <c r="K100" s="1307">
        <v>0</v>
      </c>
      <c r="L100" s="1307">
        <v>0</v>
      </c>
      <c r="M100" s="1306">
        <v>0</v>
      </c>
      <c r="N100" s="4233">
        <v>0</v>
      </c>
      <c r="O100" s="4233">
        <v>0</v>
      </c>
      <c r="P100" s="205">
        <f t="shared" ref="P100:Z100" si="45">O100*(1+VLOOKUP($F100,OM_Esc,P$173,FALSE))</f>
        <v>0</v>
      </c>
      <c r="Q100" s="205">
        <f t="shared" si="45"/>
        <v>0</v>
      </c>
      <c r="R100" s="205">
        <f t="shared" si="45"/>
        <v>0</v>
      </c>
      <c r="S100" s="205">
        <f t="shared" si="45"/>
        <v>0</v>
      </c>
      <c r="T100" s="205">
        <f t="shared" si="45"/>
        <v>0</v>
      </c>
      <c r="U100" s="205">
        <f t="shared" si="45"/>
        <v>0</v>
      </c>
      <c r="V100" s="205">
        <f t="shared" si="45"/>
        <v>0</v>
      </c>
      <c r="W100" s="205">
        <f t="shared" si="45"/>
        <v>0</v>
      </c>
      <c r="X100" s="205">
        <f t="shared" si="45"/>
        <v>0</v>
      </c>
      <c r="Y100" s="205">
        <f t="shared" si="45"/>
        <v>0</v>
      </c>
      <c r="Z100" s="205">
        <f t="shared" si="45"/>
        <v>0</v>
      </c>
      <c r="AE100" s="1286"/>
    </row>
    <row r="101" spans="1:31" s="1280" customFormat="1" ht="17.25" customHeight="1">
      <c r="A101" s="1279"/>
      <c r="B101" s="1282"/>
      <c r="C101" s="1298">
        <f>+MAX($C$9:C100)+1</f>
        <v>93</v>
      </c>
      <c r="D101" s="1299">
        <v>594010</v>
      </c>
      <c r="E101" s="1300" t="s">
        <v>779</v>
      </c>
      <c r="F101" s="1299">
        <v>16</v>
      </c>
      <c r="G101" s="1305"/>
      <c r="H101" s="1306"/>
      <c r="I101" s="1307">
        <v>0</v>
      </c>
      <c r="J101" s="1307">
        <v>0</v>
      </c>
      <c r="K101" s="1307">
        <v>0</v>
      </c>
      <c r="L101" s="1307">
        <v>0</v>
      </c>
      <c r="M101" s="1306">
        <v>0</v>
      </c>
      <c r="N101" s="4233">
        <v>0</v>
      </c>
      <c r="O101" s="4233">
        <v>0</v>
      </c>
      <c r="P101" s="205">
        <f t="shared" ref="P101:Z101" si="46">O101*(1+VLOOKUP($F101,OM_Esc,P$173,FALSE))</f>
        <v>0</v>
      </c>
      <c r="Q101" s="205">
        <f t="shared" si="46"/>
        <v>0</v>
      </c>
      <c r="R101" s="205">
        <f t="shared" si="46"/>
        <v>0</v>
      </c>
      <c r="S101" s="205">
        <f t="shared" si="46"/>
        <v>0</v>
      </c>
      <c r="T101" s="205">
        <f t="shared" si="46"/>
        <v>0</v>
      </c>
      <c r="U101" s="205">
        <f t="shared" si="46"/>
        <v>0</v>
      </c>
      <c r="V101" s="205">
        <f t="shared" si="46"/>
        <v>0</v>
      </c>
      <c r="W101" s="205">
        <f t="shared" si="46"/>
        <v>0</v>
      </c>
      <c r="X101" s="205">
        <f t="shared" si="46"/>
        <v>0</v>
      </c>
      <c r="Y101" s="205">
        <f t="shared" si="46"/>
        <v>0</v>
      </c>
      <c r="Z101" s="205">
        <f t="shared" si="46"/>
        <v>0</v>
      </c>
      <c r="AE101" s="1286"/>
    </row>
    <row r="102" spans="1:31" s="1280" customFormat="1" ht="17.25" customHeight="1">
      <c r="A102" s="1279"/>
      <c r="B102" s="1282"/>
      <c r="C102" s="1298">
        <f>+MAX($C$9:C101)+1</f>
        <v>94</v>
      </c>
      <c r="D102" s="1299">
        <v>595000</v>
      </c>
      <c r="E102" s="1300" t="s">
        <v>780</v>
      </c>
      <c r="F102" s="1299">
        <v>16</v>
      </c>
      <c r="G102" s="1305"/>
      <c r="H102" s="1306"/>
      <c r="I102" s="1307">
        <v>0</v>
      </c>
      <c r="J102" s="1307">
        <v>0</v>
      </c>
      <c r="K102" s="1307">
        <v>0</v>
      </c>
      <c r="L102" s="1307">
        <v>0</v>
      </c>
      <c r="M102" s="1306">
        <v>0</v>
      </c>
      <c r="N102" s="4233">
        <v>0</v>
      </c>
      <c r="O102" s="4233">
        <v>0</v>
      </c>
      <c r="P102" s="205">
        <f t="shared" ref="P102:Z102" si="47">O102*(1+VLOOKUP($F102,OM_Esc,P$173,FALSE))</f>
        <v>0</v>
      </c>
      <c r="Q102" s="205">
        <f t="shared" si="47"/>
        <v>0</v>
      </c>
      <c r="R102" s="205">
        <f t="shared" si="47"/>
        <v>0</v>
      </c>
      <c r="S102" s="205">
        <f t="shared" si="47"/>
        <v>0</v>
      </c>
      <c r="T102" s="205">
        <f t="shared" si="47"/>
        <v>0</v>
      </c>
      <c r="U102" s="205">
        <f t="shared" si="47"/>
        <v>0</v>
      </c>
      <c r="V102" s="205">
        <f t="shared" si="47"/>
        <v>0</v>
      </c>
      <c r="W102" s="205">
        <f t="shared" si="47"/>
        <v>0</v>
      </c>
      <c r="X102" s="205">
        <f t="shared" si="47"/>
        <v>0</v>
      </c>
      <c r="Y102" s="205">
        <f t="shared" si="47"/>
        <v>0</v>
      </c>
      <c r="Z102" s="205">
        <f t="shared" si="47"/>
        <v>0</v>
      </c>
      <c r="AE102" s="1286"/>
    </row>
    <row r="103" spans="1:31" s="1280" customFormat="1" ht="17.25" customHeight="1">
      <c r="A103" s="1279"/>
      <c r="B103" s="1282"/>
      <c r="C103" s="1298">
        <f>+MAX($C$9:C102)+1</f>
        <v>95</v>
      </c>
      <c r="D103" s="1299">
        <v>596010</v>
      </c>
      <c r="E103" s="1300" t="s">
        <v>781</v>
      </c>
      <c r="F103" s="1299">
        <v>16</v>
      </c>
      <c r="G103" s="1305"/>
      <c r="H103" s="1306"/>
      <c r="I103" s="1307">
        <v>0</v>
      </c>
      <c r="J103" s="1307">
        <v>0</v>
      </c>
      <c r="K103" s="1307">
        <v>0</v>
      </c>
      <c r="L103" s="1307">
        <v>0</v>
      </c>
      <c r="M103" s="1306">
        <v>0</v>
      </c>
      <c r="N103" s="4233">
        <v>0</v>
      </c>
      <c r="O103" s="4233">
        <v>0</v>
      </c>
      <c r="P103" s="205">
        <f t="shared" ref="P103:Z103" si="48">O103*(1+VLOOKUP($F103,OM_Esc,P$173,FALSE))</f>
        <v>0</v>
      </c>
      <c r="Q103" s="205">
        <f t="shared" si="48"/>
        <v>0</v>
      </c>
      <c r="R103" s="205">
        <f t="shared" si="48"/>
        <v>0</v>
      </c>
      <c r="S103" s="205">
        <f t="shared" si="48"/>
        <v>0</v>
      </c>
      <c r="T103" s="205">
        <f t="shared" si="48"/>
        <v>0</v>
      </c>
      <c r="U103" s="205">
        <f t="shared" si="48"/>
        <v>0</v>
      </c>
      <c r="V103" s="205">
        <f t="shared" si="48"/>
        <v>0</v>
      </c>
      <c r="W103" s="205">
        <f t="shared" si="48"/>
        <v>0</v>
      </c>
      <c r="X103" s="205">
        <f t="shared" si="48"/>
        <v>0</v>
      </c>
      <c r="Y103" s="205">
        <f t="shared" si="48"/>
        <v>0</v>
      </c>
      <c r="Z103" s="205">
        <f t="shared" si="48"/>
        <v>0</v>
      </c>
      <c r="AE103" s="1286"/>
    </row>
    <row r="104" spans="1:31" s="1280" customFormat="1" ht="17.25" customHeight="1" thickBot="1">
      <c r="A104" s="1279"/>
      <c r="B104" s="1282"/>
      <c r="C104" s="1298">
        <f>+MAX($C$9:C103)+1</f>
        <v>96</v>
      </c>
      <c r="D104" s="1299">
        <v>597000</v>
      </c>
      <c r="E104" s="1300" t="s">
        <v>782</v>
      </c>
      <c r="F104" s="1299">
        <v>16</v>
      </c>
      <c r="G104" s="1308"/>
      <c r="H104" s="1309"/>
      <c r="I104" s="1310">
        <v>0</v>
      </c>
      <c r="J104" s="1310">
        <v>0</v>
      </c>
      <c r="K104" s="1310">
        <v>0</v>
      </c>
      <c r="L104" s="1310">
        <v>0</v>
      </c>
      <c r="M104" s="1309">
        <v>0</v>
      </c>
      <c r="N104" s="4234">
        <v>0</v>
      </c>
      <c r="O104" s="4234">
        <v>0</v>
      </c>
      <c r="P104" s="277">
        <f t="shared" ref="P104:Z104" si="49">O104*(1+VLOOKUP($F104,OM_Esc,P$173,FALSE))</f>
        <v>0</v>
      </c>
      <c r="Q104" s="277">
        <f t="shared" si="49"/>
        <v>0</v>
      </c>
      <c r="R104" s="277">
        <f t="shared" si="49"/>
        <v>0</v>
      </c>
      <c r="S104" s="277">
        <f t="shared" si="49"/>
        <v>0</v>
      </c>
      <c r="T104" s="277">
        <f t="shared" si="49"/>
        <v>0</v>
      </c>
      <c r="U104" s="277">
        <f t="shared" si="49"/>
        <v>0</v>
      </c>
      <c r="V104" s="277">
        <f t="shared" si="49"/>
        <v>0</v>
      </c>
      <c r="W104" s="277">
        <f t="shared" si="49"/>
        <v>0</v>
      </c>
      <c r="X104" s="277">
        <f t="shared" si="49"/>
        <v>0</v>
      </c>
      <c r="Y104" s="277">
        <f t="shared" si="49"/>
        <v>0</v>
      </c>
      <c r="Z104" s="277">
        <f t="shared" si="49"/>
        <v>0</v>
      </c>
      <c r="AE104" s="1286"/>
    </row>
    <row r="105" spans="1:31" s="1280" customFormat="1" ht="17.25" customHeight="1">
      <c r="A105" s="1279"/>
      <c r="B105" s="1282"/>
      <c r="C105" s="1298">
        <f>+MAX($C$9:C104)+1</f>
        <v>97</v>
      </c>
      <c r="D105" s="1300"/>
      <c r="E105" s="1300"/>
      <c r="F105" s="1299"/>
      <c r="G105" s="1311">
        <f t="shared" ref="G105:Z105" si="50">SUM(G86:G104)</f>
        <v>0</v>
      </c>
      <c r="H105" s="1311">
        <f t="shared" si="50"/>
        <v>0</v>
      </c>
      <c r="I105" s="1311">
        <f t="shared" si="50"/>
        <v>0</v>
      </c>
      <c r="J105" s="1311">
        <f t="shared" si="50"/>
        <v>0</v>
      </c>
      <c r="K105" s="1311">
        <f t="shared" si="50"/>
        <v>0</v>
      </c>
      <c r="L105" s="1311">
        <f t="shared" si="50"/>
        <v>0</v>
      </c>
      <c r="M105" s="1311">
        <f t="shared" si="50"/>
        <v>0</v>
      </c>
      <c r="N105" s="1311">
        <f t="shared" si="50"/>
        <v>0</v>
      </c>
      <c r="O105" s="1311">
        <f t="shared" si="50"/>
        <v>0</v>
      </c>
      <c r="P105" s="1311">
        <f t="shared" si="50"/>
        <v>0</v>
      </c>
      <c r="Q105" s="1311">
        <f t="shared" si="50"/>
        <v>0</v>
      </c>
      <c r="R105" s="1311">
        <f t="shared" si="50"/>
        <v>0</v>
      </c>
      <c r="S105" s="1311">
        <f t="shared" si="50"/>
        <v>0</v>
      </c>
      <c r="T105" s="1311">
        <f t="shared" si="50"/>
        <v>0</v>
      </c>
      <c r="U105" s="1311">
        <f t="shared" si="50"/>
        <v>0</v>
      </c>
      <c r="V105" s="1311">
        <f t="shared" si="50"/>
        <v>0</v>
      </c>
      <c r="W105" s="1311">
        <f t="shared" si="50"/>
        <v>0</v>
      </c>
      <c r="X105" s="1311">
        <f t="shared" si="50"/>
        <v>0</v>
      </c>
      <c r="Y105" s="1311">
        <f t="shared" si="50"/>
        <v>0</v>
      </c>
      <c r="Z105" s="1311">
        <f t="shared" si="50"/>
        <v>0</v>
      </c>
    </row>
    <row r="106" spans="1:31" s="1280" customFormat="1" ht="17.25" customHeight="1" thickBot="1">
      <c r="A106" s="1279"/>
      <c r="C106" s="1298">
        <f>+MAX($C$9:C105)+1</f>
        <v>98</v>
      </c>
      <c r="D106" s="1296" t="s">
        <v>316</v>
      </c>
      <c r="E106" s="1282"/>
      <c r="F106" s="1298"/>
      <c r="G106" s="1282"/>
      <c r="H106" s="1304"/>
      <c r="I106" s="1313"/>
      <c r="J106" s="1283"/>
      <c r="K106" s="1283"/>
      <c r="L106" s="1283"/>
      <c r="M106" s="1283"/>
      <c r="N106" s="1283"/>
      <c r="O106" s="1283"/>
      <c r="P106" s="1283"/>
      <c r="Q106" s="1283"/>
      <c r="R106" s="1283"/>
      <c r="S106" s="1283"/>
      <c r="T106" s="1283"/>
      <c r="U106" s="1283"/>
      <c r="V106" s="1283"/>
      <c r="W106" s="1283"/>
      <c r="X106" s="1283"/>
      <c r="Y106" s="1283"/>
      <c r="Z106" s="1283"/>
    </row>
    <row r="107" spans="1:31" s="1280" customFormat="1" ht="17.25" customHeight="1">
      <c r="A107" s="1279"/>
      <c r="C107" s="1298">
        <f>+MAX($C$9:C106)+1</f>
        <v>99</v>
      </c>
      <c r="D107" s="1299">
        <v>901000</v>
      </c>
      <c r="E107" s="1300" t="s">
        <v>788</v>
      </c>
      <c r="F107" s="1299">
        <v>17</v>
      </c>
      <c r="G107" s="1301"/>
      <c r="H107" s="1302"/>
      <c r="I107" s="1303">
        <v>0</v>
      </c>
      <c r="J107" s="1303">
        <v>0</v>
      </c>
      <c r="K107" s="1303">
        <v>0</v>
      </c>
      <c r="L107" s="1303">
        <v>0</v>
      </c>
      <c r="M107" s="1302">
        <v>0</v>
      </c>
      <c r="N107" s="4232">
        <v>0</v>
      </c>
      <c r="O107" s="4232">
        <v>0</v>
      </c>
      <c r="P107" s="205">
        <f t="shared" ref="P107:Z107" si="51">O107*(1+VLOOKUP($F107,OM_Esc,P$173,FALSE))</f>
        <v>0</v>
      </c>
      <c r="Q107" s="205">
        <f t="shared" si="51"/>
        <v>0</v>
      </c>
      <c r="R107" s="205">
        <f t="shared" si="51"/>
        <v>0</v>
      </c>
      <c r="S107" s="205">
        <f t="shared" si="51"/>
        <v>0</v>
      </c>
      <c r="T107" s="205">
        <f t="shared" si="51"/>
        <v>0</v>
      </c>
      <c r="U107" s="205">
        <f t="shared" si="51"/>
        <v>0</v>
      </c>
      <c r="V107" s="205">
        <f t="shared" si="51"/>
        <v>0</v>
      </c>
      <c r="W107" s="205">
        <f t="shared" si="51"/>
        <v>0</v>
      </c>
      <c r="X107" s="205">
        <f t="shared" si="51"/>
        <v>0</v>
      </c>
      <c r="Y107" s="205">
        <f t="shared" si="51"/>
        <v>0</v>
      </c>
      <c r="Z107" s="205">
        <f t="shared" si="51"/>
        <v>0</v>
      </c>
      <c r="AE107" s="1286"/>
    </row>
    <row r="108" spans="1:31" s="1280" customFormat="1" ht="17.25" customHeight="1">
      <c r="A108" s="1279"/>
      <c r="C108" s="1298">
        <f>+MAX($C$9:C107)+1</f>
        <v>100</v>
      </c>
      <c r="D108" s="1299">
        <v>902000</v>
      </c>
      <c r="E108" s="1300" t="s">
        <v>789</v>
      </c>
      <c r="F108" s="1299">
        <v>17</v>
      </c>
      <c r="G108" s="1305"/>
      <c r="H108" s="1306"/>
      <c r="I108" s="1307">
        <v>0</v>
      </c>
      <c r="J108" s="1307">
        <v>0</v>
      </c>
      <c r="K108" s="1307">
        <v>0</v>
      </c>
      <c r="L108" s="1307">
        <v>0</v>
      </c>
      <c r="M108" s="1306">
        <v>0</v>
      </c>
      <c r="N108" s="4233">
        <v>0</v>
      </c>
      <c r="O108" s="4233">
        <v>0</v>
      </c>
      <c r="P108" s="205">
        <f t="shared" ref="P108:Z108" si="52">O108*(1+VLOOKUP($F108,OM_Esc,P$173,FALSE))</f>
        <v>0</v>
      </c>
      <c r="Q108" s="205">
        <f t="shared" si="52"/>
        <v>0</v>
      </c>
      <c r="R108" s="205">
        <f t="shared" si="52"/>
        <v>0</v>
      </c>
      <c r="S108" s="205">
        <f t="shared" si="52"/>
        <v>0</v>
      </c>
      <c r="T108" s="205">
        <f t="shared" si="52"/>
        <v>0</v>
      </c>
      <c r="U108" s="205">
        <f t="shared" si="52"/>
        <v>0</v>
      </c>
      <c r="V108" s="205">
        <f t="shared" si="52"/>
        <v>0</v>
      </c>
      <c r="W108" s="205">
        <f t="shared" si="52"/>
        <v>0</v>
      </c>
      <c r="X108" s="205">
        <f t="shared" si="52"/>
        <v>0</v>
      </c>
      <c r="Y108" s="205">
        <f t="shared" si="52"/>
        <v>0</v>
      </c>
      <c r="Z108" s="205">
        <f t="shared" si="52"/>
        <v>0</v>
      </c>
      <c r="AE108" s="1286"/>
    </row>
    <row r="109" spans="1:31" s="1280" customFormat="1" ht="17.25" customHeight="1">
      <c r="A109" s="1279"/>
      <c r="C109" s="1298">
        <f>+MAX($C$9:C108)+1</f>
        <v>101</v>
      </c>
      <c r="D109" s="1299">
        <v>903000</v>
      </c>
      <c r="E109" s="1300" t="s">
        <v>790</v>
      </c>
      <c r="F109" s="1299">
        <v>17</v>
      </c>
      <c r="G109" s="1305"/>
      <c r="H109" s="1306"/>
      <c r="I109" s="1307">
        <v>0</v>
      </c>
      <c r="J109" s="1307">
        <v>0</v>
      </c>
      <c r="K109" s="1307">
        <v>0</v>
      </c>
      <c r="L109" s="1307">
        <v>0</v>
      </c>
      <c r="M109" s="1306">
        <v>0</v>
      </c>
      <c r="N109" s="4233">
        <v>0</v>
      </c>
      <c r="O109" s="4233">
        <v>0</v>
      </c>
      <c r="P109" s="205">
        <f t="shared" ref="P109:Z109" si="53">O109*(1+VLOOKUP($F109,OM_Esc,P$173,FALSE))</f>
        <v>0</v>
      </c>
      <c r="Q109" s="205">
        <f t="shared" si="53"/>
        <v>0</v>
      </c>
      <c r="R109" s="205">
        <f t="shared" si="53"/>
        <v>0</v>
      </c>
      <c r="S109" s="205">
        <f t="shared" si="53"/>
        <v>0</v>
      </c>
      <c r="T109" s="205">
        <f t="shared" si="53"/>
        <v>0</v>
      </c>
      <c r="U109" s="205">
        <f t="shared" si="53"/>
        <v>0</v>
      </c>
      <c r="V109" s="205">
        <f t="shared" si="53"/>
        <v>0</v>
      </c>
      <c r="W109" s="205">
        <f t="shared" si="53"/>
        <v>0</v>
      </c>
      <c r="X109" s="205">
        <f t="shared" si="53"/>
        <v>0</v>
      </c>
      <c r="Y109" s="205">
        <f t="shared" si="53"/>
        <v>0</v>
      </c>
      <c r="Z109" s="205">
        <f t="shared" si="53"/>
        <v>0</v>
      </c>
      <c r="AE109" s="1286"/>
    </row>
    <row r="110" spans="1:31" s="1280" customFormat="1" ht="17.25" customHeight="1">
      <c r="A110" s="1279"/>
      <c r="C110" s="1298">
        <f>+MAX($C$9:C109)+1</f>
        <v>102</v>
      </c>
      <c r="D110" s="1299">
        <v>903010</v>
      </c>
      <c r="E110" s="1300" t="s">
        <v>791</v>
      </c>
      <c r="F110" s="1299">
        <v>17</v>
      </c>
      <c r="G110" s="1305"/>
      <c r="H110" s="1306"/>
      <c r="I110" s="1307">
        <v>0</v>
      </c>
      <c r="J110" s="1307">
        <v>0</v>
      </c>
      <c r="K110" s="1307">
        <v>0</v>
      </c>
      <c r="L110" s="1307">
        <v>0</v>
      </c>
      <c r="M110" s="1306">
        <v>0</v>
      </c>
      <c r="N110" s="4233">
        <v>0</v>
      </c>
      <c r="O110" s="4233">
        <v>0</v>
      </c>
      <c r="P110" s="205">
        <f t="shared" ref="P110:Z110" si="54">O110*(1+VLOOKUP($F110,OM_Esc,P$173,FALSE))</f>
        <v>0</v>
      </c>
      <c r="Q110" s="205">
        <f t="shared" si="54"/>
        <v>0</v>
      </c>
      <c r="R110" s="205">
        <f t="shared" si="54"/>
        <v>0</v>
      </c>
      <c r="S110" s="205">
        <f t="shared" si="54"/>
        <v>0</v>
      </c>
      <c r="T110" s="205">
        <f t="shared" si="54"/>
        <v>0</v>
      </c>
      <c r="U110" s="205">
        <f t="shared" si="54"/>
        <v>0</v>
      </c>
      <c r="V110" s="205">
        <f t="shared" si="54"/>
        <v>0</v>
      </c>
      <c r="W110" s="205">
        <f t="shared" si="54"/>
        <v>0</v>
      </c>
      <c r="X110" s="205">
        <f t="shared" si="54"/>
        <v>0</v>
      </c>
      <c r="Y110" s="205">
        <f t="shared" si="54"/>
        <v>0</v>
      </c>
      <c r="Z110" s="205">
        <f t="shared" si="54"/>
        <v>0</v>
      </c>
      <c r="AE110" s="1286"/>
    </row>
    <row r="111" spans="1:31" s="1280" customFormat="1" ht="17.25" customHeight="1">
      <c r="A111" s="1279"/>
      <c r="C111" s="1298">
        <f>+MAX($C$9:C110)+1</f>
        <v>103</v>
      </c>
      <c r="D111" s="1299">
        <v>903030</v>
      </c>
      <c r="E111" s="1300" t="s">
        <v>792</v>
      </c>
      <c r="F111" s="1299">
        <v>17</v>
      </c>
      <c r="G111" s="1305"/>
      <c r="H111" s="1306"/>
      <c r="I111" s="1307">
        <v>0</v>
      </c>
      <c r="J111" s="1307">
        <v>0</v>
      </c>
      <c r="K111" s="1307">
        <v>0</v>
      </c>
      <c r="L111" s="1307">
        <v>0</v>
      </c>
      <c r="M111" s="1306">
        <v>0</v>
      </c>
      <c r="N111" s="4233">
        <v>0</v>
      </c>
      <c r="O111" s="4233">
        <v>0</v>
      </c>
      <c r="P111" s="205">
        <f t="shared" ref="P111:Z111" si="55">O111*(1+VLOOKUP($F111,OM_Esc,P$173,FALSE))</f>
        <v>0</v>
      </c>
      <c r="Q111" s="205">
        <f t="shared" si="55"/>
        <v>0</v>
      </c>
      <c r="R111" s="205">
        <f t="shared" si="55"/>
        <v>0</v>
      </c>
      <c r="S111" s="205">
        <f t="shared" si="55"/>
        <v>0</v>
      </c>
      <c r="T111" s="205">
        <f t="shared" si="55"/>
        <v>0</v>
      </c>
      <c r="U111" s="205">
        <f t="shared" si="55"/>
        <v>0</v>
      </c>
      <c r="V111" s="205">
        <f t="shared" si="55"/>
        <v>0</v>
      </c>
      <c r="W111" s="205">
        <f t="shared" si="55"/>
        <v>0</v>
      </c>
      <c r="X111" s="205">
        <f t="shared" si="55"/>
        <v>0</v>
      </c>
      <c r="Y111" s="205">
        <f t="shared" si="55"/>
        <v>0</v>
      </c>
      <c r="Z111" s="205">
        <f t="shared" si="55"/>
        <v>0</v>
      </c>
      <c r="AE111" s="1286"/>
    </row>
    <row r="112" spans="1:31" s="1280" customFormat="1" ht="17.25" customHeight="1">
      <c r="A112" s="1279"/>
      <c r="C112" s="1298">
        <f>+MAX($C$9:C111)+1</f>
        <v>104</v>
      </c>
      <c r="D112" s="1299">
        <v>904000</v>
      </c>
      <c r="E112" s="1300" t="s">
        <v>793</v>
      </c>
      <c r="F112" s="1299">
        <v>17</v>
      </c>
      <c r="G112" s="1305"/>
      <c r="H112" s="1306"/>
      <c r="I112" s="1307">
        <v>0</v>
      </c>
      <c r="J112" s="1307">
        <v>0</v>
      </c>
      <c r="K112" s="1307">
        <v>0</v>
      </c>
      <c r="L112" s="1307">
        <v>0</v>
      </c>
      <c r="M112" s="1306">
        <v>0</v>
      </c>
      <c r="N112" s="4233">
        <v>0</v>
      </c>
      <c r="O112" s="4233">
        <v>0</v>
      </c>
      <c r="P112" s="205">
        <f t="shared" ref="P112:Z112" si="56">O112*(1+VLOOKUP($F112,OM_Esc,P$173,FALSE))</f>
        <v>0</v>
      </c>
      <c r="Q112" s="205">
        <f t="shared" si="56"/>
        <v>0</v>
      </c>
      <c r="R112" s="205">
        <f t="shared" si="56"/>
        <v>0</v>
      </c>
      <c r="S112" s="205">
        <f t="shared" si="56"/>
        <v>0</v>
      </c>
      <c r="T112" s="205">
        <f t="shared" si="56"/>
        <v>0</v>
      </c>
      <c r="U112" s="205">
        <f t="shared" si="56"/>
        <v>0</v>
      </c>
      <c r="V112" s="205">
        <f t="shared" si="56"/>
        <v>0</v>
      </c>
      <c r="W112" s="205">
        <f t="shared" si="56"/>
        <v>0</v>
      </c>
      <c r="X112" s="205">
        <f t="shared" si="56"/>
        <v>0</v>
      </c>
      <c r="Y112" s="205">
        <f t="shared" si="56"/>
        <v>0</v>
      </c>
      <c r="Z112" s="205">
        <f t="shared" si="56"/>
        <v>0</v>
      </c>
      <c r="AE112" s="1286"/>
    </row>
    <row r="113" spans="1:31" s="1280" customFormat="1" ht="17.25" customHeight="1">
      <c r="A113" s="1279"/>
      <c r="C113" s="1298">
        <f>+MAX($C$9:C112)+1</f>
        <v>105</v>
      </c>
      <c r="D113" s="1299">
        <v>906000</v>
      </c>
      <c r="E113" s="1300" t="s">
        <v>2192</v>
      </c>
      <c r="F113" s="1299">
        <v>17</v>
      </c>
      <c r="G113" s="1305"/>
      <c r="H113" s="1306"/>
      <c r="I113" s="1307">
        <v>0</v>
      </c>
      <c r="J113" s="1307">
        <v>0</v>
      </c>
      <c r="K113" s="1307">
        <v>0</v>
      </c>
      <c r="L113" s="1307">
        <v>0</v>
      </c>
      <c r="M113" s="1306">
        <v>0</v>
      </c>
      <c r="N113" s="4233">
        <v>0</v>
      </c>
      <c r="O113" s="4233">
        <v>0</v>
      </c>
      <c r="P113" s="205">
        <f t="shared" ref="P113:Z113" si="57">O113*(1+VLOOKUP($F113,OM_Esc,P$173,FALSE))</f>
        <v>0</v>
      </c>
      <c r="Q113" s="205">
        <f t="shared" si="57"/>
        <v>0</v>
      </c>
      <c r="R113" s="205">
        <f t="shared" si="57"/>
        <v>0</v>
      </c>
      <c r="S113" s="205">
        <f t="shared" si="57"/>
        <v>0</v>
      </c>
      <c r="T113" s="205">
        <f t="shared" si="57"/>
        <v>0</v>
      </c>
      <c r="U113" s="205">
        <f t="shared" si="57"/>
        <v>0</v>
      </c>
      <c r="V113" s="205">
        <f t="shared" si="57"/>
        <v>0</v>
      </c>
      <c r="W113" s="205">
        <f t="shared" si="57"/>
        <v>0</v>
      </c>
      <c r="X113" s="205">
        <f t="shared" si="57"/>
        <v>0</v>
      </c>
      <c r="Y113" s="205">
        <f t="shared" si="57"/>
        <v>0</v>
      </c>
      <c r="Z113" s="205">
        <f t="shared" si="57"/>
        <v>0</v>
      </c>
      <c r="AE113" s="1286"/>
    </row>
    <row r="114" spans="1:31" s="1280" customFormat="1" ht="17.25" customHeight="1">
      <c r="A114" s="1279"/>
      <c r="C114" s="1298">
        <f>+MAX($C$9:C113)+1</f>
        <v>106</v>
      </c>
      <c r="D114" s="1299">
        <v>906100</v>
      </c>
      <c r="E114" s="1300" t="s">
        <v>794</v>
      </c>
      <c r="F114" s="1299">
        <v>17</v>
      </c>
      <c r="G114" s="1305"/>
      <c r="H114" s="1306"/>
      <c r="I114" s="1307">
        <v>0</v>
      </c>
      <c r="J114" s="1307">
        <v>0</v>
      </c>
      <c r="K114" s="1307">
        <v>0</v>
      </c>
      <c r="L114" s="1307">
        <v>0</v>
      </c>
      <c r="M114" s="1306">
        <v>0</v>
      </c>
      <c r="N114" s="4233">
        <v>0</v>
      </c>
      <c r="O114" s="4233">
        <v>0</v>
      </c>
      <c r="P114" s="205">
        <f t="shared" ref="P114:Z114" si="58">O114*(1+VLOOKUP($F114,OM_Esc,P$173,FALSE))</f>
        <v>0</v>
      </c>
      <c r="Q114" s="205">
        <f t="shared" si="58"/>
        <v>0</v>
      </c>
      <c r="R114" s="205">
        <f t="shared" si="58"/>
        <v>0</v>
      </c>
      <c r="S114" s="205">
        <f t="shared" si="58"/>
        <v>0</v>
      </c>
      <c r="T114" s="205">
        <f t="shared" si="58"/>
        <v>0</v>
      </c>
      <c r="U114" s="205">
        <f t="shared" si="58"/>
        <v>0</v>
      </c>
      <c r="V114" s="205">
        <f t="shared" si="58"/>
        <v>0</v>
      </c>
      <c r="W114" s="205">
        <f t="shared" si="58"/>
        <v>0</v>
      </c>
      <c r="X114" s="205">
        <f t="shared" si="58"/>
        <v>0</v>
      </c>
      <c r="Y114" s="205">
        <f t="shared" si="58"/>
        <v>0</v>
      </c>
      <c r="Z114" s="205">
        <f t="shared" si="58"/>
        <v>0</v>
      </c>
      <c r="AE114" s="1286"/>
    </row>
    <row r="115" spans="1:31" s="1280" customFormat="1" ht="17.25" customHeight="1">
      <c r="A115" s="1279"/>
      <c r="C115" s="1298">
        <f>+MAX($C$9:C114)+1</f>
        <v>107</v>
      </c>
      <c r="D115" s="1299">
        <v>908000</v>
      </c>
      <c r="E115" s="1300" t="s">
        <v>795</v>
      </c>
      <c r="F115" s="1299">
        <v>17</v>
      </c>
      <c r="G115" s="1305"/>
      <c r="H115" s="1306"/>
      <c r="I115" s="1307">
        <v>0</v>
      </c>
      <c r="J115" s="1307">
        <v>0</v>
      </c>
      <c r="K115" s="1307">
        <v>0</v>
      </c>
      <c r="L115" s="1307">
        <v>0</v>
      </c>
      <c r="M115" s="1306">
        <v>0</v>
      </c>
      <c r="N115" s="4233">
        <v>0</v>
      </c>
      <c r="O115" s="4233">
        <v>0</v>
      </c>
      <c r="P115" s="205">
        <f t="shared" ref="P115:Z115" si="59">O115*(1+VLOOKUP($F115,OM_Esc,P$173,FALSE))</f>
        <v>0</v>
      </c>
      <c r="Q115" s="205">
        <f t="shared" si="59"/>
        <v>0</v>
      </c>
      <c r="R115" s="205">
        <f t="shared" si="59"/>
        <v>0</v>
      </c>
      <c r="S115" s="205">
        <f t="shared" si="59"/>
        <v>0</v>
      </c>
      <c r="T115" s="205">
        <f t="shared" si="59"/>
        <v>0</v>
      </c>
      <c r="U115" s="205">
        <f t="shared" si="59"/>
        <v>0</v>
      </c>
      <c r="V115" s="205">
        <f t="shared" si="59"/>
        <v>0</v>
      </c>
      <c r="W115" s="205">
        <f t="shared" si="59"/>
        <v>0</v>
      </c>
      <c r="X115" s="205">
        <f t="shared" si="59"/>
        <v>0</v>
      </c>
      <c r="Y115" s="205">
        <f t="shared" si="59"/>
        <v>0</v>
      </c>
      <c r="Z115" s="205">
        <f t="shared" si="59"/>
        <v>0</v>
      </c>
      <c r="AE115" s="1286"/>
    </row>
    <row r="116" spans="1:31" s="1280" customFormat="1" ht="17.25" customHeight="1">
      <c r="A116" s="1279"/>
      <c r="C116" s="1298">
        <f>+MAX($C$9:C115)+1</f>
        <v>108</v>
      </c>
      <c r="D116" s="1299">
        <v>909010</v>
      </c>
      <c r="E116" s="1300" t="s">
        <v>796</v>
      </c>
      <c r="F116" s="1299">
        <v>17</v>
      </c>
      <c r="G116" s="1305"/>
      <c r="H116" s="1306"/>
      <c r="I116" s="1307">
        <v>0</v>
      </c>
      <c r="J116" s="1307">
        <v>0</v>
      </c>
      <c r="K116" s="1307">
        <v>0</v>
      </c>
      <c r="L116" s="1307">
        <v>0</v>
      </c>
      <c r="M116" s="1306">
        <v>0</v>
      </c>
      <c r="N116" s="4233">
        <v>0</v>
      </c>
      <c r="O116" s="4233">
        <v>0</v>
      </c>
      <c r="P116" s="205">
        <f t="shared" ref="P116:Z116" si="60">O116*(1+VLOOKUP($F116,OM_Esc,P$173,FALSE))</f>
        <v>0</v>
      </c>
      <c r="Q116" s="205">
        <f t="shared" si="60"/>
        <v>0</v>
      </c>
      <c r="R116" s="205">
        <f t="shared" si="60"/>
        <v>0</v>
      </c>
      <c r="S116" s="205">
        <f t="shared" si="60"/>
        <v>0</v>
      </c>
      <c r="T116" s="205">
        <f t="shared" si="60"/>
        <v>0</v>
      </c>
      <c r="U116" s="205">
        <f t="shared" si="60"/>
        <v>0</v>
      </c>
      <c r="V116" s="205">
        <f t="shared" si="60"/>
        <v>0</v>
      </c>
      <c r="W116" s="205">
        <f t="shared" si="60"/>
        <v>0</v>
      </c>
      <c r="X116" s="205">
        <f t="shared" si="60"/>
        <v>0</v>
      </c>
      <c r="Y116" s="205">
        <f t="shared" si="60"/>
        <v>0</v>
      </c>
      <c r="Z116" s="205">
        <f t="shared" si="60"/>
        <v>0</v>
      </c>
      <c r="AE116" s="1286"/>
    </row>
    <row r="117" spans="1:31" s="1280" customFormat="1" ht="17.25" customHeight="1" thickBot="1">
      <c r="A117" s="1279"/>
      <c r="C117" s="1298">
        <f>+MAX($C$9:C116)+1</f>
        <v>109</v>
      </c>
      <c r="D117" s="1299">
        <v>910020</v>
      </c>
      <c r="E117" s="1300" t="s">
        <v>797</v>
      </c>
      <c r="F117" s="1299">
        <v>17</v>
      </c>
      <c r="G117" s="1308"/>
      <c r="H117" s="1309"/>
      <c r="I117" s="1310">
        <v>0</v>
      </c>
      <c r="J117" s="1310">
        <v>0</v>
      </c>
      <c r="K117" s="1310">
        <v>0</v>
      </c>
      <c r="L117" s="1310">
        <v>0</v>
      </c>
      <c r="M117" s="1309">
        <v>0</v>
      </c>
      <c r="N117" s="4234">
        <v>0</v>
      </c>
      <c r="O117" s="4234">
        <v>0</v>
      </c>
      <c r="P117" s="277">
        <f t="shared" ref="P117:Z117" si="61">O117*(1+VLOOKUP($F117,OM_Esc,P$173,FALSE))</f>
        <v>0</v>
      </c>
      <c r="Q117" s="277">
        <f t="shared" si="61"/>
        <v>0</v>
      </c>
      <c r="R117" s="277">
        <f t="shared" si="61"/>
        <v>0</v>
      </c>
      <c r="S117" s="277">
        <f t="shared" si="61"/>
        <v>0</v>
      </c>
      <c r="T117" s="277">
        <f t="shared" si="61"/>
        <v>0</v>
      </c>
      <c r="U117" s="277">
        <f t="shared" si="61"/>
        <v>0</v>
      </c>
      <c r="V117" s="277">
        <f t="shared" si="61"/>
        <v>0</v>
      </c>
      <c r="W117" s="277">
        <f t="shared" si="61"/>
        <v>0</v>
      </c>
      <c r="X117" s="277">
        <f t="shared" si="61"/>
        <v>0</v>
      </c>
      <c r="Y117" s="277">
        <f t="shared" si="61"/>
        <v>0</v>
      </c>
      <c r="Z117" s="277">
        <f t="shared" si="61"/>
        <v>0</v>
      </c>
      <c r="AE117" s="1286"/>
    </row>
    <row r="118" spans="1:31" s="1280" customFormat="1" ht="17.25" customHeight="1">
      <c r="A118" s="1279"/>
      <c r="C118" s="1298">
        <f>+MAX($C$9:C117)+1</f>
        <v>110</v>
      </c>
      <c r="D118" s="1321"/>
      <c r="E118" s="1321"/>
      <c r="F118" s="1322"/>
      <c r="G118" s="1311">
        <f t="shared" ref="G118:N118" si="62">SUM(G107:G117)</f>
        <v>0</v>
      </c>
      <c r="H118" s="1311">
        <f t="shared" si="62"/>
        <v>0</v>
      </c>
      <c r="I118" s="1311">
        <f t="shared" si="62"/>
        <v>0</v>
      </c>
      <c r="J118" s="1311">
        <f>SUM(J107:J117)</f>
        <v>0</v>
      </c>
      <c r="K118" s="1311">
        <f>SUM(K107:K117)</f>
        <v>0</v>
      </c>
      <c r="L118" s="1311">
        <f>SUM(L107:L117)</f>
        <v>0</v>
      </c>
      <c r="M118" s="1311">
        <f>SUM(M107:M117)</f>
        <v>0</v>
      </c>
      <c r="N118" s="1311">
        <f t="shared" si="62"/>
        <v>0</v>
      </c>
      <c r="O118" s="1311">
        <f>SUM(O107:O117)</f>
        <v>0</v>
      </c>
      <c r="P118" s="1311">
        <f>SUM(P107:P117)</f>
        <v>0</v>
      </c>
      <c r="Q118" s="1311">
        <f>SUM(Q107:Q117)</f>
        <v>0</v>
      </c>
      <c r="R118" s="1311">
        <f>SUM(R107:R117)</f>
        <v>0</v>
      </c>
      <c r="S118" s="1311">
        <f>SUM(S107:S117)</f>
        <v>0</v>
      </c>
      <c r="T118" s="1311">
        <f t="shared" ref="T118:Z118" si="63">SUM(T107:T117)</f>
        <v>0</v>
      </c>
      <c r="U118" s="1311">
        <f t="shared" si="63"/>
        <v>0</v>
      </c>
      <c r="V118" s="1311">
        <f t="shared" si="63"/>
        <v>0</v>
      </c>
      <c r="W118" s="1311">
        <f t="shared" si="63"/>
        <v>0</v>
      </c>
      <c r="X118" s="1311">
        <f t="shared" si="63"/>
        <v>0</v>
      </c>
      <c r="Y118" s="1311">
        <f t="shared" si="63"/>
        <v>0</v>
      </c>
      <c r="Z118" s="1311">
        <f t="shared" si="63"/>
        <v>0</v>
      </c>
    </row>
    <row r="119" spans="1:31" s="1280" customFormat="1" ht="17.25" customHeight="1" thickBot="1">
      <c r="A119" s="1279"/>
      <c r="C119" s="1298">
        <f>+MAX($C$9:C118)+1</f>
        <v>111</v>
      </c>
      <c r="D119" s="1296" t="s">
        <v>520</v>
      </c>
      <c r="E119" s="1321"/>
      <c r="F119" s="1322"/>
      <c r="G119" s="1321"/>
      <c r="H119" s="1323"/>
      <c r="I119" s="1313"/>
      <c r="J119" s="1313"/>
      <c r="K119" s="1313"/>
      <c r="L119" s="1313"/>
      <c r="M119" s="1313"/>
      <c r="N119" s="1283"/>
      <c r="O119" s="1283"/>
      <c r="P119" s="1283"/>
      <c r="Q119" s="1283"/>
      <c r="R119" s="1283"/>
      <c r="S119" s="1283"/>
      <c r="T119" s="1283"/>
      <c r="U119" s="1283"/>
      <c r="V119" s="1283"/>
      <c r="W119" s="1283"/>
      <c r="X119" s="1283"/>
      <c r="Y119" s="1283"/>
      <c r="Z119" s="1283"/>
    </row>
    <row r="120" spans="1:31" s="1280" customFormat="1" ht="17.25" customHeight="1">
      <c r="A120" s="1279"/>
      <c r="C120" s="1298">
        <f>+MAX($C$9:C119)+1</f>
        <v>112</v>
      </c>
      <c r="D120" s="1299">
        <v>426300</v>
      </c>
      <c r="E120" s="1300" t="s">
        <v>3828</v>
      </c>
      <c r="F120" s="1299">
        <v>13</v>
      </c>
      <c r="G120" s="1301"/>
      <c r="H120" s="1302"/>
      <c r="I120" s="1303">
        <v>0</v>
      </c>
      <c r="J120" s="1303">
        <v>0</v>
      </c>
      <c r="K120" s="1303">
        <v>0</v>
      </c>
      <c r="L120" s="1303">
        <v>0</v>
      </c>
      <c r="M120" s="1302">
        <v>0</v>
      </c>
      <c r="N120" s="4232"/>
      <c r="O120" s="4232"/>
      <c r="P120" s="205">
        <f>O120/O$159*'Forecast (BV) 2017'!K$73</f>
        <v>0</v>
      </c>
      <c r="Q120" s="205">
        <f>P120/P$159*'Forecast (BV) 2017'!L$73</f>
        <v>0</v>
      </c>
      <c r="R120" s="205">
        <f>Q120/Q$159*'Forecast (BV) 2017'!M$73</f>
        <v>0</v>
      </c>
      <c r="S120" s="205">
        <f>R120/R$159*'Forecast (BV) 2017'!N$73</f>
        <v>0</v>
      </c>
      <c r="T120" s="205">
        <f>S120/S$159*'Forecast (BV) 2017'!O$73</f>
        <v>0</v>
      </c>
      <c r="U120" s="205">
        <f>T120/T$159*'Forecast (BV) 2017'!P$73</f>
        <v>0</v>
      </c>
      <c r="V120" s="205">
        <f>U120/U$159*'Forecast (BV) 2017'!Q$73</f>
        <v>0</v>
      </c>
      <c r="W120" s="205">
        <f>V120/V$159*'Forecast (BV) 2017'!R$73</f>
        <v>0</v>
      </c>
      <c r="X120" s="205">
        <f>W120/W$159*'Forecast (BV) 2017'!S$73</f>
        <v>0</v>
      </c>
      <c r="Y120" s="205">
        <f>X120/X$159*'Forecast (BV) 2017'!T$73</f>
        <v>0</v>
      </c>
      <c r="Z120" s="205">
        <f>Y120/Y$159*'Forecast (BV) 2017'!U$73</f>
        <v>0</v>
      </c>
    </row>
    <row r="121" spans="1:31" s="1280" customFormat="1" ht="17.25" customHeight="1">
      <c r="A121" s="1279"/>
      <c r="C121" s="1298">
        <f>+MAX($C$9:C120)+1</f>
        <v>113</v>
      </c>
      <c r="D121" s="1299">
        <v>426500</v>
      </c>
      <c r="E121" s="1300" t="s">
        <v>812</v>
      </c>
      <c r="F121" s="1299">
        <v>13</v>
      </c>
      <c r="G121" s="1305"/>
      <c r="H121" s="1306"/>
      <c r="I121" s="1307"/>
      <c r="J121" s="1307"/>
      <c r="K121" s="1307"/>
      <c r="L121" s="1307"/>
      <c r="M121" s="1306"/>
      <c r="N121" s="4233"/>
      <c r="O121" s="4233"/>
      <c r="P121" s="205">
        <f>O121/O$159*'Forecast (BV) 2017'!K$73</f>
        <v>0</v>
      </c>
      <c r="Q121" s="205">
        <f>P121/P$159*'Forecast (BV) 2017'!L$73</f>
        <v>0</v>
      </c>
      <c r="R121" s="205">
        <f>Q121/Q$159*'Forecast (BV) 2017'!M$73</f>
        <v>0</v>
      </c>
      <c r="S121" s="205">
        <f>R121/R$159*'Forecast (BV) 2017'!N$73</f>
        <v>0</v>
      </c>
      <c r="T121" s="205">
        <f>S121/S$159*'Forecast (BV) 2017'!O$73</f>
        <v>0</v>
      </c>
      <c r="U121" s="205">
        <f>T121/T$159*'Forecast (BV) 2017'!P$73</f>
        <v>0</v>
      </c>
      <c r="V121" s="205">
        <f>U121/U$159*'Forecast (BV) 2017'!Q$73</f>
        <v>0</v>
      </c>
      <c r="W121" s="205">
        <f>V121/V$159*'Forecast (BV) 2017'!R$73</f>
        <v>0</v>
      </c>
      <c r="X121" s="205">
        <f>W121/W$159*'Forecast (BV) 2017'!S$73</f>
        <v>0</v>
      </c>
      <c r="Y121" s="205">
        <f>X121/X$159*'Forecast (BV) 2017'!T$73</f>
        <v>0</v>
      </c>
      <c r="Z121" s="205">
        <f>Y121/Y$159*'Forecast (BV) 2017'!U$73</f>
        <v>0</v>
      </c>
    </row>
    <row r="122" spans="1:31" s="1280" customFormat="1" ht="17.25" customHeight="1">
      <c r="A122" s="1279"/>
      <c r="C122" s="1298">
        <f>+MAX($C$9:C121)+1</f>
        <v>114</v>
      </c>
      <c r="D122" s="1299">
        <v>920010</v>
      </c>
      <c r="E122" s="1300" t="s">
        <v>813</v>
      </c>
      <c r="F122" s="1299">
        <v>13</v>
      </c>
      <c r="G122" s="1305"/>
      <c r="H122" s="1306"/>
      <c r="I122" s="1307">
        <v>8528917.0800000001</v>
      </c>
      <c r="J122" s="1307">
        <v>80645.16</v>
      </c>
      <c r="K122" s="1307">
        <v>58931.46</v>
      </c>
      <c r="L122" s="1307">
        <v>0</v>
      </c>
      <c r="M122" s="1306">
        <v>0</v>
      </c>
      <c r="N122" s="4233">
        <v>8263.14</v>
      </c>
      <c r="O122" s="4233">
        <v>70538.05</v>
      </c>
      <c r="P122" s="205">
        <f>O122/O$159*'Forecast (BV) 2017'!K$73</f>
        <v>72539.862899123793</v>
      </c>
      <c r="Q122" s="205">
        <f>P122/P$159*'Forecast (BV) 2017'!L$73</f>
        <v>72551.177790701098</v>
      </c>
      <c r="R122" s="205">
        <f>Q122/Q$159*'Forecast (BV) 2017'!M$73</f>
        <v>77358.665964283689</v>
      </c>
      <c r="S122" s="205">
        <f>R122/R$159*'Forecast (BV) 2017'!N$73</f>
        <v>80521.294552458727</v>
      </c>
      <c r="T122" s="205">
        <f>S122/S$159*'Forecast (BV) 2017'!O$73</f>
        <v>83368.649157093212</v>
      </c>
      <c r="U122" s="205">
        <f>T122/T$159*'Forecast (BV) 2017'!P$73</f>
        <v>86978.189340710407</v>
      </c>
      <c r="V122" s="205">
        <f>U122/U$159*'Forecast (BV) 2017'!Q$73</f>
        <v>85149.219473230754</v>
      </c>
      <c r="W122" s="205">
        <f>V122/V$159*'Forecast (BV) 2017'!R$73</f>
        <v>89613.182670787151</v>
      </c>
      <c r="X122" s="205">
        <f>W122/W$159*'Forecast (BV) 2017'!S$73</f>
        <v>93096.846821129526</v>
      </c>
      <c r="Y122" s="205">
        <f>X122/X$159*'Forecast (BV) 2017'!T$73</f>
        <v>98941.252687689703</v>
      </c>
      <c r="Z122" s="205">
        <f>Y122/Y$159*'Forecast (BV) 2017'!U$73</f>
        <v>105065.10371081036</v>
      </c>
    </row>
    <row r="123" spans="1:31" s="1280" customFormat="1" ht="17.25" customHeight="1">
      <c r="A123" s="1279"/>
      <c r="C123" s="1298">
        <f>+MAX($C$9:C122)+1</f>
        <v>115</v>
      </c>
      <c r="D123" s="1299">
        <v>920030</v>
      </c>
      <c r="E123" s="1300" t="s">
        <v>814</v>
      </c>
      <c r="F123" s="1299">
        <v>13</v>
      </c>
      <c r="G123" s="1305"/>
      <c r="H123" s="1306"/>
      <c r="I123" s="1307">
        <v>222489.34000000003</v>
      </c>
      <c r="J123" s="1307">
        <v>0</v>
      </c>
      <c r="K123" s="1307">
        <v>0</v>
      </c>
      <c r="L123" s="1307">
        <v>0</v>
      </c>
      <c r="M123" s="1306">
        <v>0</v>
      </c>
      <c r="N123" s="4233"/>
      <c r="O123" s="4233"/>
      <c r="P123" s="205">
        <f>O123/O$159*'Forecast (BV) 2017'!K$73</f>
        <v>0</v>
      </c>
      <c r="Q123" s="205">
        <f>P123/P$159*'Forecast (BV) 2017'!L$73</f>
        <v>0</v>
      </c>
      <c r="R123" s="205">
        <f>Q123/Q$159*'Forecast (BV) 2017'!M$73</f>
        <v>0</v>
      </c>
      <c r="S123" s="205">
        <f>R123/R$159*'Forecast (BV) 2017'!N$73</f>
        <v>0</v>
      </c>
      <c r="T123" s="205">
        <f>S123/S$159*'Forecast (BV) 2017'!O$73</f>
        <v>0</v>
      </c>
      <c r="U123" s="205">
        <f>T123/T$159*'Forecast (BV) 2017'!P$73</f>
        <v>0</v>
      </c>
      <c r="V123" s="205">
        <f>U123/U$159*'Forecast (BV) 2017'!Q$73</f>
        <v>0</v>
      </c>
      <c r="W123" s="205">
        <f>V123/V$159*'Forecast (BV) 2017'!R$73</f>
        <v>0</v>
      </c>
      <c r="X123" s="205">
        <f>W123/W$159*'Forecast (BV) 2017'!S$73</f>
        <v>0</v>
      </c>
      <c r="Y123" s="205">
        <f>X123/X$159*'Forecast (BV) 2017'!T$73</f>
        <v>0</v>
      </c>
      <c r="Z123" s="205">
        <f>Y123/Y$159*'Forecast (BV) 2017'!U$73</f>
        <v>0</v>
      </c>
    </row>
    <row r="124" spans="1:31" s="1280" customFormat="1" ht="17.25" customHeight="1">
      <c r="A124" s="1279"/>
      <c r="C124" s="1298">
        <f>+MAX($C$9:C123)+1</f>
        <v>116</v>
      </c>
      <c r="D124" s="1299">
        <v>920050</v>
      </c>
      <c r="E124" s="1300" t="s">
        <v>1843</v>
      </c>
      <c r="F124" s="1299">
        <v>13</v>
      </c>
      <c r="G124" s="1305"/>
      <c r="H124" s="1306"/>
      <c r="I124" s="1307">
        <v>0</v>
      </c>
      <c r="J124" s="1307">
        <v>1359.97</v>
      </c>
      <c r="K124" s="1307">
        <v>69538.820000000007</v>
      </c>
      <c r="L124" s="1307">
        <v>73934.06</v>
      </c>
      <c r="M124" s="1306">
        <v>85984.88</v>
      </c>
      <c r="N124" s="4233">
        <v>93480.72</v>
      </c>
      <c r="O124" s="4233">
        <v>98374.45</v>
      </c>
      <c r="P124" s="205">
        <f>O124/O$159*'Forecast (BV) 2017'!K$73</f>
        <v>101166.23745307259</v>
      </c>
      <c r="Q124" s="205">
        <f>P124/P$159*'Forecast (BV) 2017'!L$73</f>
        <v>101182.0175353931</v>
      </c>
      <c r="R124" s="205">
        <f>Q124/Q$159*'Forecast (BV) 2017'!M$73</f>
        <v>107886.6826765147</v>
      </c>
      <c r="S124" s="205">
        <f>R124/R$159*'Forecast (BV) 2017'!N$73</f>
        <v>112297.37800926059</v>
      </c>
      <c r="T124" s="205">
        <f>S124/S$159*'Forecast (BV) 2017'!O$73</f>
        <v>116268.3829234294</v>
      </c>
      <c r="U124" s="205">
        <f>T124/T$159*'Forecast (BV) 2017'!P$73</f>
        <v>121302.35438019977</v>
      </c>
      <c r="V124" s="205">
        <f>U124/U$159*'Forecast (BV) 2017'!Q$73</f>
        <v>118751.61892919308</v>
      </c>
      <c r="W124" s="205">
        <f>V124/V$159*'Forecast (BV) 2017'!R$73</f>
        <v>124977.19398237149</v>
      </c>
      <c r="X124" s="205">
        <f>W124/W$159*'Forecast (BV) 2017'!S$73</f>
        <v>129835.61500158948</v>
      </c>
      <c r="Y124" s="205">
        <f>X124/X$159*'Forecast (BV) 2017'!T$73</f>
        <v>137986.39621399372</v>
      </c>
      <c r="Z124" s="205">
        <f>Y124/Y$159*'Forecast (BV) 2017'!U$73</f>
        <v>146526.89990358299</v>
      </c>
    </row>
    <row r="125" spans="1:31" s="1280" customFormat="1" ht="17.25" customHeight="1">
      <c r="A125" s="1279"/>
      <c r="C125" s="1298">
        <f>+MAX($C$9:C124)+1</f>
        <v>117</v>
      </c>
      <c r="D125" s="1299">
        <v>920060</v>
      </c>
      <c r="E125" s="1300" t="s">
        <v>3988</v>
      </c>
      <c r="F125" s="1299">
        <v>13</v>
      </c>
      <c r="G125" s="1305"/>
      <c r="H125" s="1306"/>
      <c r="I125" s="1307"/>
      <c r="J125" s="1307"/>
      <c r="K125" s="1307"/>
      <c r="L125" s="1307"/>
      <c r="M125" s="1306"/>
      <c r="N125" s="4233">
        <v>0</v>
      </c>
      <c r="O125" s="4233">
        <v>90286.56</v>
      </c>
      <c r="P125" s="205">
        <f>O125/O$159*'Forecast (BV) 2017'!K$73</f>
        <v>92848.819665889736</v>
      </c>
      <c r="Q125" s="205">
        <f>P125/P$159*'Forecast (BV) 2017'!L$73</f>
        <v>92863.302383193222</v>
      </c>
      <c r="R125" s="205">
        <f>Q125/Q$159*'Forecast (BV) 2017'!M$73</f>
        <v>99016.74112205056</v>
      </c>
      <c r="S125" s="205">
        <f>R125/R$159*'Forecast (BV) 2017'!N$73</f>
        <v>103064.80958699934</v>
      </c>
      <c r="T125" s="205">
        <f>S125/S$159*'Forecast (BV) 2017'!O$73</f>
        <v>106709.33693575092</v>
      </c>
      <c r="U125" s="205">
        <f>T125/T$159*'Forecast (BV) 2017'!P$73</f>
        <v>111329.43865901326</v>
      </c>
      <c r="V125" s="205">
        <f>U125/U$159*'Forecast (BV) 2017'!Q$73</f>
        <v>108988.41282007395</v>
      </c>
      <c r="W125" s="205">
        <f>V125/V$159*'Forecast (BV) 2017'!R$73</f>
        <v>114702.15003103977</v>
      </c>
      <c r="X125" s="205">
        <f>W125/W$159*'Forecast (BV) 2017'!S$73</f>
        <v>119161.13425770518</v>
      </c>
      <c r="Y125" s="205">
        <f>X125/X$159*'Forecast (BV) 2017'!T$73</f>
        <v>126641.79612651978</v>
      </c>
      <c r="Z125" s="205">
        <f>Y125/Y$159*'Forecast (BV) 2017'!U$73</f>
        <v>134480.13930201222</v>
      </c>
    </row>
    <row r="126" spans="1:31" s="1280" customFormat="1" ht="17.25" customHeight="1">
      <c r="A126" s="1279"/>
      <c r="C126" s="1298">
        <f>+MAX($C$9:C125)+1</f>
        <v>118</v>
      </c>
      <c r="D126" s="1299">
        <v>921010</v>
      </c>
      <c r="E126" s="1300" t="s">
        <v>815</v>
      </c>
      <c r="F126" s="1299">
        <v>13</v>
      </c>
      <c r="G126" s="1305"/>
      <c r="H126" s="1306"/>
      <c r="I126" s="1307">
        <v>1280219.3199999998</v>
      </c>
      <c r="J126" s="1307">
        <v>11048601.199999999</v>
      </c>
      <c r="K126" s="1307">
        <v>10658161.789999999</v>
      </c>
      <c r="L126" s="1307">
        <v>10908128.85</v>
      </c>
      <c r="M126" s="1306">
        <v>11434202.99</v>
      </c>
      <c r="N126" s="4233">
        <v>11234808.310000001</v>
      </c>
      <c r="O126" s="4233">
        <v>12396349.32</v>
      </c>
      <c r="P126" s="205">
        <f>O126/O$159*'Forecast (BV) 2017'!K$73</f>
        <v>12748147.703579081</v>
      </c>
      <c r="Q126" s="205">
        <f>P126/P$159*'Forecast (BV) 2017'!L$73</f>
        <v>12750136.18140786</v>
      </c>
      <c r="R126" s="205">
        <f>Q126/Q$159*'Forecast (BV) 2017'!M$73</f>
        <v>13595003.635944787</v>
      </c>
      <c r="S126" s="205">
        <f>R126/R$159*'Forecast (BV) 2017'!N$73</f>
        <v>14150803.643861596</v>
      </c>
      <c r="T126" s="205">
        <f>S126/S$159*'Forecast (BV) 2017'!O$73</f>
        <v>14651197.435821529</v>
      </c>
      <c r="U126" s="205">
        <f>T126/T$159*'Forecast (BV) 2017'!P$73</f>
        <v>15285537.63945199</v>
      </c>
      <c r="V126" s="205">
        <f>U126/U$159*'Forecast (BV) 2017'!Q$73</f>
        <v>14964114.67166323</v>
      </c>
      <c r="W126" s="205">
        <f>V126/V$159*'Forecast (BV) 2017'!R$73</f>
        <v>15748611.083862508</v>
      </c>
      <c r="X126" s="205">
        <f>W126/W$159*'Forecast (BV) 2017'!S$73</f>
        <v>16360829.846944351</v>
      </c>
      <c r="Y126" s="205">
        <f>X126/X$159*'Forecast (BV) 2017'!T$73</f>
        <v>17387925.105315361</v>
      </c>
      <c r="Z126" s="205">
        <f>Y126/Y$159*'Forecast (BV) 2017'!U$73</f>
        <v>18464130.025443476</v>
      </c>
    </row>
    <row r="127" spans="1:31" s="1280" customFormat="1" ht="17.25" customHeight="1">
      <c r="A127" s="1279"/>
      <c r="C127" s="1298">
        <f>+MAX($C$9:C126)+1</f>
        <v>119</v>
      </c>
      <c r="D127" s="1299">
        <v>921030</v>
      </c>
      <c r="E127" s="1300" t="s">
        <v>816</v>
      </c>
      <c r="F127" s="1299">
        <v>13</v>
      </c>
      <c r="G127" s="1305"/>
      <c r="H127" s="1306"/>
      <c r="I127" s="1307">
        <v>276476.18</v>
      </c>
      <c r="J127" s="1307">
        <v>82735.509999999995</v>
      </c>
      <c r="K127" s="1307">
        <v>42461.58</v>
      </c>
      <c r="L127" s="1307">
        <v>35410.089999999997</v>
      </c>
      <c r="M127" s="1306">
        <v>68339.13</v>
      </c>
      <c r="N127" s="4233">
        <v>41751.68</v>
      </c>
      <c r="O127" s="4233">
        <v>132220.35999999999</v>
      </c>
      <c r="P127" s="205">
        <f>O127/O$159*'Forecast (BV) 2017'!K$73</f>
        <v>135972.66704810792</v>
      </c>
      <c r="Q127" s="205">
        <f>P127/P$159*'Forecast (BV) 2017'!L$73</f>
        <v>135993.87629670088</v>
      </c>
      <c r="R127" s="205">
        <f>Q127/Q$159*'Forecast (BV) 2017'!M$73</f>
        <v>145005.29377998589</v>
      </c>
      <c r="S127" s="205">
        <f>R127/R$159*'Forecast (BV) 2017'!N$73</f>
        <v>150933.49693381274</v>
      </c>
      <c r="T127" s="205">
        <f>S127/S$159*'Forecast (BV) 2017'!O$73</f>
        <v>156270.73337389619</v>
      </c>
      <c r="U127" s="205">
        <f>T127/T$159*'Forecast (BV) 2017'!P$73</f>
        <v>163036.65194567881</v>
      </c>
      <c r="V127" s="205">
        <f>U127/U$159*'Forecast (BV) 2017'!Q$73</f>
        <v>159608.33128318089</v>
      </c>
      <c r="W127" s="205">
        <f>V127/V$159*'Forecast (BV) 2017'!R$73</f>
        <v>167975.82685482848</v>
      </c>
      <c r="X127" s="205">
        <f>W127/W$159*'Forecast (BV) 2017'!S$73</f>
        <v>174505.79653895446</v>
      </c>
      <c r="Y127" s="205">
        <f>X127/X$159*'Forecast (BV) 2017'!T$73</f>
        <v>185460.86898088755</v>
      </c>
      <c r="Z127" s="205">
        <f>Y127/Y$159*'Forecast (BV) 2017'!U$73</f>
        <v>196939.74863326497</v>
      </c>
    </row>
    <row r="128" spans="1:31" s="1280" customFormat="1" ht="17.25" customHeight="1">
      <c r="A128" s="1279"/>
      <c r="C128" s="1298">
        <f>+MAX($C$9:C127)+1</f>
        <v>120</v>
      </c>
      <c r="D128" s="1299">
        <v>921500</v>
      </c>
      <c r="E128" s="1300" t="s">
        <v>817</v>
      </c>
      <c r="F128" s="1299">
        <v>13</v>
      </c>
      <c r="G128" s="1305"/>
      <c r="H128" s="1306"/>
      <c r="I128" s="1307">
        <v>0</v>
      </c>
      <c r="J128" s="1307">
        <v>0</v>
      </c>
      <c r="K128" s="1307">
        <v>0</v>
      </c>
      <c r="L128" s="1307">
        <v>0</v>
      </c>
      <c r="M128" s="1306">
        <v>0</v>
      </c>
      <c r="N128" s="4233"/>
      <c r="O128" s="4233"/>
      <c r="P128" s="205">
        <f>O128/O$159*'Forecast (BV) 2017'!K$73</f>
        <v>0</v>
      </c>
      <c r="Q128" s="205">
        <f>P128/P$159*'Forecast (BV) 2017'!L$73</f>
        <v>0</v>
      </c>
      <c r="R128" s="205">
        <f>Q128/Q$159*'Forecast (BV) 2017'!M$73</f>
        <v>0</v>
      </c>
      <c r="S128" s="205">
        <f>R128/R$159*'Forecast (BV) 2017'!N$73</f>
        <v>0</v>
      </c>
      <c r="T128" s="205">
        <f>S128/S$159*'Forecast (BV) 2017'!O$73</f>
        <v>0</v>
      </c>
      <c r="U128" s="205">
        <f>T128/T$159*'Forecast (BV) 2017'!P$73</f>
        <v>0</v>
      </c>
      <c r="V128" s="205">
        <f>U128/U$159*'Forecast (BV) 2017'!Q$73</f>
        <v>0</v>
      </c>
      <c r="W128" s="205">
        <f>V128/V$159*'Forecast (BV) 2017'!R$73</f>
        <v>0</v>
      </c>
      <c r="X128" s="205">
        <f>W128/W$159*'Forecast (BV) 2017'!S$73</f>
        <v>0</v>
      </c>
      <c r="Y128" s="205">
        <f>X128/X$159*'Forecast (BV) 2017'!T$73</f>
        <v>0</v>
      </c>
      <c r="Z128" s="205">
        <f>Y128/Y$159*'Forecast (BV) 2017'!U$73</f>
        <v>0</v>
      </c>
    </row>
    <row r="129" spans="1:26" s="1280" customFormat="1" ht="17.25" customHeight="1">
      <c r="A129" s="1279"/>
      <c r="C129" s="1298">
        <f>+MAX($C$9:C128)+1</f>
        <v>121</v>
      </c>
      <c r="D129" s="1299">
        <v>921600</v>
      </c>
      <c r="E129" s="1300" t="s">
        <v>818</v>
      </c>
      <c r="F129" s="1299">
        <v>13</v>
      </c>
      <c r="G129" s="1305"/>
      <c r="H129" s="1306"/>
      <c r="I129" s="1307">
        <v>0</v>
      </c>
      <c r="J129" s="1307">
        <v>0</v>
      </c>
      <c r="K129" s="1307">
        <v>0</v>
      </c>
      <c r="L129" s="1307">
        <v>0</v>
      </c>
      <c r="M129" s="1306">
        <v>0</v>
      </c>
      <c r="N129" s="4233"/>
      <c r="O129" s="4233"/>
      <c r="P129" s="205">
        <f>O129/O$159*'Forecast (BV) 2017'!K$73</f>
        <v>0</v>
      </c>
      <c r="Q129" s="205">
        <f>P129/P$159*'Forecast (BV) 2017'!L$73</f>
        <v>0</v>
      </c>
      <c r="R129" s="205">
        <f>Q129/Q$159*'Forecast (BV) 2017'!M$73</f>
        <v>0</v>
      </c>
      <c r="S129" s="205">
        <f>R129/R$159*'Forecast (BV) 2017'!N$73</f>
        <v>0</v>
      </c>
      <c r="T129" s="205">
        <f>S129/S$159*'Forecast (BV) 2017'!O$73</f>
        <v>0</v>
      </c>
      <c r="U129" s="205">
        <f>T129/T$159*'Forecast (BV) 2017'!P$73</f>
        <v>0</v>
      </c>
      <c r="V129" s="205">
        <f>U129/U$159*'Forecast (BV) 2017'!Q$73</f>
        <v>0</v>
      </c>
      <c r="W129" s="205">
        <f>V129/V$159*'Forecast (BV) 2017'!R$73</f>
        <v>0</v>
      </c>
      <c r="X129" s="205">
        <f>W129/W$159*'Forecast (BV) 2017'!S$73</f>
        <v>0</v>
      </c>
      <c r="Y129" s="205">
        <f>X129/X$159*'Forecast (BV) 2017'!T$73</f>
        <v>0</v>
      </c>
      <c r="Z129" s="205">
        <f>Y129/Y$159*'Forecast (BV) 2017'!U$73</f>
        <v>0</v>
      </c>
    </row>
    <row r="130" spans="1:26" s="1280" customFormat="1" ht="17.25" customHeight="1">
      <c r="A130" s="1279"/>
      <c r="C130" s="1298">
        <f>+MAX($C$9:C129)+1</f>
        <v>122</v>
      </c>
      <c r="D130" s="1299">
        <v>923010</v>
      </c>
      <c r="E130" s="1300" t="s">
        <v>819</v>
      </c>
      <c r="F130" s="1299">
        <v>13</v>
      </c>
      <c r="G130" s="1305"/>
      <c r="H130" s="1306"/>
      <c r="I130" s="1307">
        <v>252310.32</v>
      </c>
      <c r="J130" s="1307">
        <v>202227.54</v>
      </c>
      <c r="K130" s="1307">
        <v>198536.51</v>
      </c>
      <c r="L130" s="1307">
        <v>241463.01</v>
      </c>
      <c r="M130" s="1306">
        <v>300482.19</v>
      </c>
      <c r="N130" s="4233">
        <v>316090.5</v>
      </c>
      <c r="O130" s="4233">
        <v>402225.46</v>
      </c>
      <c r="P130" s="205">
        <f>O130/O$159*'Forecast (BV) 2017'!K$73</f>
        <v>413640.29375545541</v>
      </c>
      <c r="Q130" s="205">
        <f>P130/P$159*'Forecast (BV) 2017'!L$73</f>
        <v>413704.81407419877</v>
      </c>
      <c r="R130" s="205">
        <f>Q130/Q$159*'Forecast (BV) 2017'!M$73</f>
        <v>441118.30426940287</v>
      </c>
      <c r="S130" s="205">
        <f>R130/R$159*'Forecast (BV) 2017'!N$73</f>
        <v>459152.39705603156</v>
      </c>
      <c r="T130" s="205">
        <f>S130/S$159*'Forecast (BV) 2017'!O$73</f>
        <v>475388.71937614423</v>
      </c>
      <c r="U130" s="205">
        <f>T130/T$159*'Forecast (BV) 2017'!P$73</f>
        <v>495971.21294867579</v>
      </c>
      <c r="V130" s="205">
        <f>U130/U$159*'Forecast (BV) 2017'!Q$73</f>
        <v>485541.97303811484</v>
      </c>
      <c r="W130" s="205">
        <f>V130/V$159*'Forecast (BV) 2017'!R$73</f>
        <v>510996.59859921545</v>
      </c>
      <c r="X130" s="205">
        <f>W130/W$159*'Forecast (BV) 2017'!S$73</f>
        <v>530861.31580300792</v>
      </c>
      <c r="Y130" s="205">
        <f>X130/X$159*'Forecast (BV) 2017'!T$73</f>
        <v>564187.56791947363</v>
      </c>
      <c r="Z130" s="205">
        <f>Y130/Y$159*'Forecast (BV) 2017'!U$73</f>
        <v>599107.28564269084</v>
      </c>
    </row>
    <row r="131" spans="1:26" s="1280" customFormat="1" ht="17.25" customHeight="1">
      <c r="A131" s="1279"/>
      <c r="C131" s="1298">
        <f>+MAX($C$9:C130)+1</f>
        <v>123</v>
      </c>
      <c r="D131" s="1299">
        <v>923020</v>
      </c>
      <c r="E131" s="1300" t="s">
        <v>820</v>
      </c>
      <c r="F131" s="1299">
        <v>13</v>
      </c>
      <c r="G131" s="1305"/>
      <c r="H131" s="1306"/>
      <c r="I131" s="1307">
        <v>49250</v>
      </c>
      <c r="J131" s="1307">
        <v>155862.1</v>
      </c>
      <c r="K131" s="1307">
        <v>111958.6</v>
      </c>
      <c r="L131" s="1307">
        <v>132337.42000000001</v>
      </c>
      <c r="M131" s="1306">
        <v>144906.29999999999</v>
      </c>
      <c r="N131" s="4233">
        <v>110335.5</v>
      </c>
      <c r="O131" s="4233">
        <v>132966.35999999999</v>
      </c>
      <c r="P131" s="205">
        <f>O131/O$159*'Forecast (BV) 2017'!K$73</f>
        <v>136739.83792570871</v>
      </c>
      <c r="Q131" s="205">
        <f>P131/P$159*'Forecast (BV) 2017'!L$73</f>
        <v>136761.16683892405</v>
      </c>
      <c r="R131" s="205">
        <f>Q131/Q$159*'Forecast (BV) 2017'!M$73</f>
        <v>145823.4276071807</v>
      </c>
      <c r="S131" s="205">
        <f>R131/R$159*'Forecast (BV) 2017'!N$73</f>
        <v>151785.07825391073</v>
      </c>
      <c r="T131" s="205">
        <f>S131/S$159*'Forecast (BV) 2017'!O$73</f>
        <v>157152.42789580594</v>
      </c>
      <c r="U131" s="205">
        <f>T131/T$159*'Forecast (BV) 2017'!P$73</f>
        <v>163956.52043152691</v>
      </c>
      <c r="V131" s="205">
        <f>U131/U$159*'Forecast (BV) 2017'!Q$73</f>
        <v>160508.85685380606</v>
      </c>
      <c r="W131" s="205">
        <f>V131/V$159*'Forecast (BV) 2017'!R$73</f>
        <v>168923.56264100937</v>
      </c>
      <c r="X131" s="205">
        <f>W131/W$159*'Forecast (BV) 2017'!S$73</f>
        <v>175490.37504273467</v>
      </c>
      <c r="Y131" s="205">
        <f>X131/X$159*'Forecast (BV) 2017'!T$73</f>
        <v>186507.25705803215</v>
      </c>
      <c r="Z131" s="205">
        <f>Y131/Y$159*'Forecast (BV) 2017'!U$73</f>
        <v>198050.9016544823</v>
      </c>
    </row>
    <row r="132" spans="1:26" s="1280" customFormat="1" ht="17.25" customHeight="1">
      <c r="A132" s="1279"/>
      <c r="C132" s="1298">
        <f>+MAX($C$9:C131)+1</f>
        <v>124</v>
      </c>
      <c r="D132" s="1299">
        <v>923030</v>
      </c>
      <c r="E132" s="1300" t="s">
        <v>821</v>
      </c>
      <c r="F132" s="1299">
        <v>13</v>
      </c>
      <c r="G132" s="1305"/>
      <c r="H132" s="1306"/>
      <c r="I132" s="1307">
        <v>321081.79000000004</v>
      </c>
      <c r="J132" s="1307">
        <v>9153.89</v>
      </c>
      <c r="K132" s="1307">
        <v>472.58</v>
      </c>
      <c r="L132" s="1307">
        <v>0</v>
      </c>
      <c r="M132" s="1306">
        <v>0</v>
      </c>
      <c r="N132" s="4233">
        <v>2114.88</v>
      </c>
      <c r="O132" s="4233">
        <v>0</v>
      </c>
      <c r="P132" s="205">
        <f>O132/O$159*'Forecast (BV) 2017'!K$73</f>
        <v>0</v>
      </c>
      <c r="Q132" s="205">
        <f>P132/P$159*'Forecast (BV) 2017'!L$73</f>
        <v>0</v>
      </c>
      <c r="R132" s="205">
        <f>Q132/Q$159*'Forecast (BV) 2017'!M$73</f>
        <v>0</v>
      </c>
      <c r="S132" s="205">
        <f>R132/R$159*'Forecast (BV) 2017'!N$73</f>
        <v>0</v>
      </c>
      <c r="T132" s="205">
        <f>S132/S$159*'Forecast (BV) 2017'!O$73</f>
        <v>0</v>
      </c>
      <c r="U132" s="205">
        <f>T132/T$159*'Forecast (BV) 2017'!P$73</f>
        <v>0</v>
      </c>
      <c r="V132" s="205">
        <f>U132/U$159*'Forecast (BV) 2017'!Q$73</f>
        <v>0</v>
      </c>
      <c r="W132" s="205">
        <f>V132/V$159*'Forecast (BV) 2017'!R$73</f>
        <v>0</v>
      </c>
      <c r="X132" s="205">
        <f>W132/W$159*'Forecast (BV) 2017'!S$73</f>
        <v>0</v>
      </c>
      <c r="Y132" s="205">
        <f>X132/X$159*'Forecast (BV) 2017'!T$73</f>
        <v>0</v>
      </c>
      <c r="Z132" s="205">
        <f>Y132/Y$159*'Forecast (BV) 2017'!U$73</f>
        <v>0</v>
      </c>
    </row>
    <row r="133" spans="1:26" s="1280" customFormat="1" ht="17.25" customHeight="1">
      <c r="A133" s="1279"/>
      <c r="C133" s="1298">
        <f>+MAX($C$9:C132)+1</f>
        <v>125</v>
      </c>
      <c r="D133" s="1299">
        <v>923040</v>
      </c>
      <c r="E133" s="1300" t="s">
        <v>822</v>
      </c>
      <c r="F133" s="1299">
        <v>13</v>
      </c>
      <c r="G133" s="1305"/>
      <c r="H133" s="1306"/>
      <c r="I133" s="1307">
        <v>7933.79</v>
      </c>
      <c r="J133" s="1307">
        <v>318.48</v>
      </c>
      <c r="K133" s="1307">
        <v>24052.81</v>
      </c>
      <c r="L133" s="1307">
        <v>53825.27</v>
      </c>
      <c r="M133" s="1306">
        <v>0</v>
      </c>
      <c r="N133" s="4233"/>
      <c r="O133" s="4233"/>
      <c r="P133" s="205">
        <f>O133/O$159*'Forecast (BV) 2017'!K$73</f>
        <v>0</v>
      </c>
      <c r="Q133" s="205">
        <f>P133/P$159*'Forecast (BV) 2017'!L$73</f>
        <v>0</v>
      </c>
      <c r="R133" s="205">
        <f>Q133/Q$159*'Forecast (BV) 2017'!M$73</f>
        <v>0</v>
      </c>
      <c r="S133" s="205">
        <f>R133/R$159*'Forecast (BV) 2017'!N$73</f>
        <v>0</v>
      </c>
      <c r="T133" s="205">
        <f>S133/S$159*'Forecast (BV) 2017'!O$73</f>
        <v>0</v>
      </c>
      <c r="U133" s="205">
        <f>T133/T$159*'Forecast (BV) 2017'!P$73</f>
        <v>0</v>
      </c>
      <c r="V133" s="205">
        <f>U133/U$159*'Forecast (BV) 2017'!Q$73</f>
        <v>0</v>
      </c>
      <c r="W133" s="205">
        <f>V133/V$159*'Forecast (BV) 2017'!R$73</f>
        <v>0</v>
      </c>
      <c r="X133" s="205">
        <f>W133/W$159*'Forecast (BV) 2017'!S$73</f>
        <v>0</v>
      </c>
      <c r="Y133" s="205">
        <f>X133/X$159*'Forecast (BV) 2017'!T$73</f>
        <v>0</v>
      </c>
      <c r="Z133" s="205">
        <f>Y133/Y$159*'Forecast (BV) 2017'!U$73</f>
        <v>0</v>
      </c>
    </row>
    <row r="134" spans="1:26" s="1280" customFormat="1" ht="17.25" customHeight="1">
      <c r="A134" s="1279"/>
      <c r="C134" s="1298">
        <f>+MAX($C$9:C133)+1</f>
        <v>126</v>
      </c>
      <c r="D134" s="1299">
        <v>924020</v>
      </c>
      <c r="E134" s="1300" t="s">
        <v>823</v>
      </c>
      <c r="F134" s="1299">
        <v>13</v>
      </c>
      <c r="G134" s="1305"/>
      <c r="H134" s="1306"/>
      <c r="I134" s="1307">
        <v>676929.85000000009</v>
      </c>
      <c r="J134" s="1307">
        <v>736643.54</v>
      </c>
      <c r="K134" s="1307">
        <v>647560.43000000005</v>
      </c>
      <c r="L134" s="1307">
        <v>693787.89</v>
      </c>
      <c r="M134" s="1306">
        <v>768189.05</v>
      </c>
      <c r="N134" s="4233">
        <v>804301.4</v>
      </c>
      <c r="O134" s="4233">
        <v>812255.65</v>
      </c>
      <c r="P134" s="205">
        <f>O134/O$159*'Forecast (BV) 2017'!K$73</f>
        <v>835306.80944594694</v>
      </c>
      <c r="Q134" s="205">
        <f>P134/P$159*'Forecast (BV) 2017'!L$73</f>
        <v>835437.10202722484</v>
      </c>
      <c r="R134" s="205">
        <f>Q134/Q$159*'Forecast (BV) 2017'!M$73</f>
        <v>890796.01018106006</v>
      </c>
      <c r="S134" s="205">
        <f>R134/R$159*'Forecast (BV) 2017'!N$73</f>
        <v>927214.12692226155</v>
      </c>
      <c r="T134" s="205">
        <f>S134/S$159*'Forecast (BV) 2017'!O$73</f>
        <v>960001.81902840675</v>
      </c>
      <c r="U134" s="205">
        <f>T134/T$159*'Forecast (BV) 2017'!P$73</f>
        <v>1001566.1861755721</v>
      </c>
      <c r="V134" s="205">
        <f>U134/U$159*'Forecast (BV) 2017'!Q$73</f>
        <v>980505.33875293843</v>
      </c>
      <c r="W134" s="205">
        <f>V134/V$159*'Forecast (BV) 2017'!R$73</f>
        <v>1031908.5080864719</v>
      </c>
      <c r="X134" s="205">
        <f>W134/W$159*'Forecast (BV) 2017'!S$73</f>
        <v>1072023.3948577684</v>
      </c>
      <c r="Y134" s="205">
        <f>X134/X$159*'Forecast (BV) 2017'!T$73</f>
        <v>1139322.5573099009</v>
      </c>
      <c r="Z134" s="205">
        <f>Y134/Y$159*'Forecast (BV) 2017'!U$73</f>
        <v>1209839.5703728935</v>
      </c>
    </row>
    <row r="135" spans="1:26" s="1280" customFormat="1" ht="17.25" customHeight="1">
      <c r="A135" s="1279"/>
      <c r="C135" s="1298">
        <f>+MAX($C$9:C134)+1</f>
        <v>127</v>
      </c>
      <c r="D135" s="1299">
        <v>924040</v>
      </c>
      <c r="E135" s="1300" t="s">
        <v>1946</v>
      </c>
      <c r="F135" s="1299">
        <v>13</v>
      </c>
      <c r="G135" s="1305"/>
      <c r="H135" s="1306"/>
      <c r="I135" s="1307">
        <v>0</v>
      </c>
      <c r="J135" s="1307">
        <v>0</v>
      </c>
      <c r="K135" s="1307">
        <v>0</v>
      </c>
      <c r="L135" s="1307">
        <v>0</v>
      </c>
      <c r="M135" s="1306">
        <v>0</v>
      </c>
      <c r="N135" s="4233"/>
      <c r="O135" s="4233"/>
      <c r="P135" s="205">
        <f>O135/O$159*'Forecast (BV) 2017'!K$73</f>
        <v>0</v>
      </c>
      <c r="Q135" s="205">
        <f>P135/P$159*'Forecast (BV) 2017'!L$73</f>
        <v>0</v>
      </c>
      <c r="R135" s="205">
        <f>Q135/Q$159*'Forecast (BV) 2017'!M$73</f>
        <v>0</v>
      </c>
      <c r="S135" s="205">
        <f>R135/R$159*'Forecast (BV) 2017'!N$73</f>
        <v>0</v>
      </c>
      <c r="T135" s="205">
        <f>S135/S$159*'Forecast (BV) 2017'!O$73</f>
        <v>0</v>
      </c>
      <c r="U135" s="205">
        <f>T135/T$159*'Forecast (BV) 2017'!P$73</f>
        <v>0</v>
      </c>
      <c r="V135" s="205">
        <f>U135/U$159*'Forecast (BV) 2017'!Q$73</f>
        <v>0</v>
      </c>
      <c r="W135" s="205">
        <f>V135/V$159*'Forecast (BV) 2017'!R$73</f>
        <v>0</v>
      </c>
      <c r="X135" s="205">
        <f>W135/W$159*'Forecast (BV) 2017'!S$73</f>
        <v>0</v>
      </c>
      <c r="Y135" s="205">
        <f>X135/X$159*'Forecast (BV) 2017'!T$73</f>
        <v>0</v>
      </c>
      <c r="Z135" s="205">
        <f>Y135/Y$159*'Forecast (BV) 2017'!U$73</f>
        <v>0</v>
      </c>
    </row>
    <row r="136" spans="1:26" s="1280" customFormat="1" ht="17.25" customHeight="1">
      <c r="A136" s="1279"/>
      <c r="C136" s="1298">
        <f>+MAX($C$9:C135)+1</f>
        <v>128</v>
      </c>
      <c r="D136" s="1299">
        <v>924500</v>
      </c>
      <c r="E136" s="1300" t="s">
        <v>824</v>
      </c>
      <c r="F136" s="1299">
        <v>13</v>
      </c>
      <c r="G136" s="1305"/>
      <c r="H136" s="1306"/>
      <c r="I136" s="1307">
        <v>0</v>
      </c>
      <c r="J136" s="1307">
        <v>0</v>
      </c>
      <c r="K136" s="1307">
        <v>0</v>
      </c>
      <c r="L136" s="1307">
        <v>0</v>
      </c>
      <c r="M136" s="1306">
        <v>0</v>
      </c>
      <c r="N136" s="4233"/>
      <c r="O136" s="4233"/>
      <c r="P136" s="205">
        <f>O136/O$159*'Forecast (BV) 2017'!K$73</f>
        <v>0</v>
      </c>
      <c r="Q136" s="205">
        <f>P136/P$159*'Forecast (BV) 2017'!L$73</f>
        <v>0</v>
      </c>
      <c r="R136" s="205">
        <f>Q136/Q$159*'Forecast (BV) 2017'!M$73</f>
        <v>0</v>
      </c>
      <c r="S136" s="205">
        <f>R136/R$159*'Forecast (BV) 2017'!N$73</f>
        <v>0</v>
      </c>
      <c r="T136" s="205">
        <f>S136/S$159*'Forecast (BV) 2017'!O$73</f>
        <v>0</v>
      </c>
      <c r="U136" s="205">
        <f>T136/T$159*'Forecast (BV) 2017'!P$73</f>
        <v>0</v>
      </c>
      <c r="V136" s="205">
        <f>U136/U$159*'Forecast (BV) 2017'!Q$73</f>
        <v>0</v>
      </c>
      <c r="W136" s="205">
        <f>V136/V$159*'Forecast (BV) 2017'!R$73</f>
        <v>0</v>
      </c>
      <c r="X136" s="205">
        <f>W136/W$159*'Forecast (BV) 2017'!S$73</f>
        <v>0</v>
      </c>
      <c r="Y136" s="205">
        <f>X136/X$159*'Forecast (BV) 2017'!T$73</f>
        <v>0</v>
      </c>
      <c r="Z136" s="205">
        <f>Y136/Y$159*'Forecast (BV) 2017'!U$73</f>
        <v>0</v>
      </c>
    </row>
    <row r="137" spans="1:26" s="1280" customFormat="1" ht="17.25" customHeight="1">
      <c r="A137" s="1279"/>
      <c r="C137" s="1298">
        <f>+MAX($C$9:C136)+1</f>
        <v>129</v>
      </c>
      <c r="D137" s="1299">
        <v>924600</v>
      </c>
      <c r="E137" s="1300" t="s">
        <v>825</v>
      </c>
      <c r="F137" s="1299">
        <v>13</v>
      </c>
      <c r="G137" s="1305"/>
      <c r="H137" s="1306"/>
      <c r="I137" s="1307">
        <v>0</v>
      </c>
      <c r="J137" s="1307">
        <v>0</v>
      </c>
      <c r="K137" s="1307">
        <v>0</v>
      </c>
      <c r="L137" s="1307">
        <v>0</v>
      </c>
      <c r="M137" s="1306">
        <v>0</v>
      </c>
      <c r="N137" s="4233"/>
      <c r="O137" s="4233"/>
      <c r="P137" s="205">
        <f>O137/O$159*'Forecast (BV) 2017'!K$73</f>
        <v>0</v>
      </c>
      <c r="Q137" s="205">
        <f>P137/P$159*'Forecast (BV) 2017'!L$73</f>
        <v>0</v>
      </c>
      <c r="R137" s="205">
        <f>Q137/Q$159*'Forecast (BV) 2017'!M$73</f>
        <v>0</v>
      </c>
      <c r="S137" s="205">
        <f>R137/R$159*'Forecast (BV) 2017'!N$73</f>
        <v>0</v>
      </c>
      <c r="T137" s="205">
        <f>S137/S$159*'Forecast (BV) 2017'!O$73</f>
        <v>0</v>
      </c>
      <c r="U137" s="205">
        <f>T137/T$159*'Forecast (BV) 2017'!P$73</f>
        <v>0</v>
      </c>
      <c r="V137" s="205">
        <f>U137/U$159*'Forecast (BV) 2017'!Q$73</f>
        <v>0</v>
      </c>
      <c r="W137" s="205">
        <f>V137/V$159*'Forecast (BV) 2017'!R$73</f>
        <v>0</v>
      </c>
      <c r="X137" s="205">
        <f>W137/W$159*'Forecast (BV) 2017'!S$73</f>
        <v>0</v>
      </c>
      <c r="Y137" s="205">
        <f>X137/X$159*'Forecast (BV) 2017'!T$73</f>
        <v>0</v>
      </c>
      <c r="Z137" s="205">
        <f>Y137/Y$159*'Forecast (BV) 2017'!U$73</f>
        <v>0</v>
      </c>
    </row>
    <row r="138" spans="1:26" s="1280" customFormat="1" ht="17.25" customHeight="1">
      <c r="A138" s="1279"/>
      <c r="C138" s="1298">
        <f>+MAX($C$9:C137)+1</f>
        <v>130</v>
      </c>
      <c r="D138" s="1299">
        <v>925030</v>
      </c>
      <c r="E138" s="1300" t="s">
        <v>826</v>
      </c>
      <c r="F138" s="1299">
        <v>13</v>
      </c>
      <c r="G138" s="1305"/>
      <c r="H138" s="1306"/>
      <c r="I138" s="1307">
        <v>1892723.48</v>
      </c>
      <c r="J138" s="1307">
        <v>1889619.08</v>
      </c>
      <c r="K138" s="1307">
        <v>1484023.4</v>
      </c>
      <c r="L138" s="1307">
        <v>1306344.82</v>
      </c>
      <c r="M138" s="1306">
        <v>1463127.78</v>
      </c>
      <c r="N138" s="4233">
        <v>1486783.61</v>
      </c>
      <c r="O138" s="4233">
        <v>3042480.55</v>
      </c>
      <c r="P138" s="205">
        <f>O138/O$159*'Forecast (BV) 2017'!K$73</f>
        <v>3128823.6911886665</v>
      </c>
      <c r="Q138" s="205">
        <f>P138/P$159*'Forecast (BV) 2017'!L$73</f>
        <v>3129311.7304461929</v>
      </c>
      <c r="R138" s="205">
        <f>Q138/Q$159*'Forecast (BV) 2017'!M$73</f>
        <v>3336670.5851704171</v>
      </c>
      <c r="S138" s="205">
        <f>R138/R$159*'Forecast (BV) 2017'!N$73</f>
        <v>3473082.5779373921</v>
      </c>
      <c r="T138" s="205">
        <f>S138/S$159*'Forecast (BV) 2017'!O$73</f>
        <v>3595896.0240640333</v>
      </c>
      <c r="U138" s="205">
        <f>T138/T$159*'Forecast (BV) 2017'!P$73</f>
        <v>3751584.4192365496</v>
      </c>
      <c r="V138" s="205">
        <f>U138/U$159*'Forecast (BV) 2017'!Q$73</f>
        <v>3672696.4254751271</v>
      </c>
      <c r="W138" s="205">
        <f>V138/V$159*'Forecast (BV) 2017'!R$73</f>
        <v>3865238.19838324</v>
      </c>
      <c r="X138" s="205">
        <f>W138/W$159*'Forecast (BV) 2017'!S$73</f>
        <v>4015497.248926159</v>
      </c>
      <c r="Y138" s="205">
        <f>X138/X$159*'Forecast (BV) 2017'!T$73</f>
        <v>4267580.9282356268</v>
      </c>
      <c r="Z138" s="205">
        <f>Y138/Y$159*'Forecast (BV) 2017'!U$73</f>
        <v>4531717.7682665354</v>
      </c>
    </row>
    <row r="139" spans="1:26" s="1280" customFormat="1" ht="17.25" customHeight="1">
      <c r="A139" s="1279"/>
      <c r="C139" s="1298">
        <f>+MAX($C$9:C138)+1</f>
        <v>131</v>
      </c>
      <c r="D139" s="1299">
        <v>925040</v>
      </c>
      <c r="E139" s="1300" t="s">
        <v>827</v>
      </c>
      <c r="F139" s="1299">
        <v>13</v>
      </c>
      <c r="G139" s="1305"/>
      <c r="H139" s="1306"/>
      <c r="I139" s="1307">
        <v>538716.52</v>
      </c>
      <c r="J139" s="1307">
        <v>562986.43999999994</v>
      </c>
      <c r="K139" s="1307">
        <v>546860.98</v>
      </c>
      <c r="L139" s="1307">
        <v>540575.93999999994</v>
      </c>
      <c r="M139" s="1306">
        <v>567936.65</v>
      </c>
      <c r="N139" s="4233">
        <v>629831.72</v>
      </c>
      <c r="O139" s="4233">
        <v>650889.11</v>
      </c>
      <c r="P139" s="205">
        <f>O139/O$159*'Forecast (BV) 2017'!K$73</f>
        <v>669360.81734514493</v>
      </c>
      <c r="Q139" s="205">
        <f>P139/P$159*'Forecast (BV) 2017'!L$73</f>
        <v>669465.22538744984</v>
      </c>
      <c r="R139" s="205">
        <f>Q139/Q$159*'Forecast (BV) 2017'!M$73</f>
        <v>713826.27164034033</v>
      </c>
      <c r="S139" s="205">
        <f>R139/R$159*'Forecast (BV) 2017'!N$73</f>
        <v>743009.39347341924</v>
      </c>
      <c r="T139" s="205">
        <f>S139/S$159*'Forecast (BV) 2017'!O$73</f>
        <v>769283.32795934484</v>
      </c>
      <c r="U139" s="205">
        <f>T139/T$159*'Forecast (BV) 2017'!P$73</f>
        <v>802590.32181051932</v>
      </c>
      <c r="V139" s="205">
        <f>U139/U$159*'Forecast (BV) 2017'!Q$73</f>
        <v>785713.52171098941</v>
      </c>
      <c r="W139" s="205">
        <f>V139/V$159*'Forecast (BV) 2017'!R$73</f>
        <v>826904.69488249382</v>
      </c>
      <c r="X139" s="205">
        <f>W139/W$159*'Forecast (BV) 2017'!S$73</f>
        <v>859050.16896854038</v>
      </c>
      <c r="Y139" s="205">
        <f>X139/X$159*'Forecast (BV) 2017'!T$73</f>
        <v>912979.36226158065</v>
      </c>
      <c r="Z139" s="205">
        <f>Y139/Y$159*'Forecast (BV) 2017'!U$73</f>
        <v>969487.13277992641</v>
      </c>
    </row>
    <row r="140" spans="1:26" s="1280" customFormat="1" ht="17.25" customHeight="1">
      <c r="A140" s="1279"/>
      <c r="C140" s="1298">
        <f>+MAX($C$9:C139)+1</f>
        <v>132</v>
      </c>
      <c r="D140" s="1299">
        <v>925050</v>
      </c>
      <c r="E140" s="1300" t="s">
        <v>828</v>
      </c>
      <c r="F140" s="1299">
        <v>13</v>
      </c>
      <c r="G140" s="1305"/>
      <c r="H140" s="1306"/>
      <c r="I140" s="1307">
        <v>0</v>
      </c>
      <c r="J140" s="1307">
        <v>0</v>
      </c>
      <c r="K140" s="1307">
        <v>0</v>
      </c>
      <c r="L140" s="1307">
        <v>0</v>
      </c>
      <c r="M140" s="1306">
        <v>0</v>
      </c>
      <c r="N140" s="4233"/>
      <c r="O140" s="4233"/>
      <c r="P140" s="205">
        <f>O140/O$159*'Forecast (BV) 2017'!K$73</f>
        <v>0</v>
      </c>
      <c r="Q140" s="205">
        <f>P140/P$159*'Forecast (BV) 2017'!L$73</f>
        <v>0</v>
      </c>
      <c r="R140" s="205">
        <f>Q140/Q$159*'Forecast (BV) 2017'!M$73</f>
        <v>0</v>
      </c>
      <c r="S140" s="205">
        <f>R140/R$159*'Forecast (BV) 2017'!N$73</f>
        <v>0</v>
      </c>
      <c r="T140" s="205">
        <f>S140/S$159*'Forecast (BV) 2017'!O$73</f>
        <v>0</v>
      </c>
      <c r="U140" s="205">
        <f>T140/T$159*'Forecast (BV) 2017'!P$73</f>
        <v>0</v>
      </c>
      <c r="V140" s="205">
        <f>U140/U$159*'Forecast (BV) 2017'!Q$73</f>
        <v>0</v>
      </c>
      <c r="W140" s="205">
        <f>V140/V$159*'Forecast (BV) 2017'!R$73</f>
        <v>0</v>
      </c>
      <c r="X140" s="205">
        <f>W140/W$159*'Forecast (BV) 2017'!S$73</f>
        <v>0</v>
      </c>
      <c r="Y140" s="205">
        <f>X140/X$159*'Forecast (BV) 2017'!T$73</f>
        <v>0</v>
      </c>
      <c r="Z140" s="205">
        <f>Y140/Y$159*'Forecast (BV) 2017'!U$73</f>
        <v>0</v>
      </c>
    </row>
    <row r="141" spans="1:26" s="1280" customFormat="1" ht="17.25" customHeight="1">
      <c r="A141" s="1279"/>
      <c r="C141" s="1298">
        <f>+MAX($C$9:C140)+1</f>
        <v>133</v>
      </c>
      <c r="D141" s="1299">
        <v>926010</v>
      </c>
      <c r="E141" s="1300" t="s">
        <v>3825</v>
      </c>
      <c r="F141" s="1299">
        <v>13</v>
      </c>
      <c r="G141" s="1305"/>
      <c r="H141" s="1306"/>
      <c r="I141" s="1307"/>
      <c r="J141" s="1307"/>
      <c r="K141" s="1307"/>
      <c r="L141" s="1307"/>
      <c r="M141" s="1306"/>
      <c r="N141" s="4233">
        <v>-701322.63</v>
      </c>
      <c r="O141" s="4233">
        <v>-1511418.6</v>
      </c>
      <c r="P141" s="205">
        <f>O141/O$159*'Forecast (BV) 2017'!K$73</f>
        <v>-1554311.4393888919</v>
      </c>
      <c r="Q141" s="205">
        <f>P141/P$159*'Forecast (BV) 2017'!L$73</f>
        <v>-1554553.8835390625</v>
      </c>
      <c r="R141" s="205">
        <f>Q141/Q$159*'Forecast (BV) 2017'!M$73</f>
        <v>-1657563.9191841187</v>
      </c>
      <c r="S141" s="205">
        <f>R141/R$159*'Forecast (BV) 2017'!N$73</f>
        <v>-1725329.5530946041</v>
      </c>
      <c r="T141" s="205">
        <f>S141/S$159*'Forecast (BV) 2017'!O$73</f>
        <v>-1786339.8122418332</v>
      </c>
      <c r="U141" s="205">
        <f>T141/T$159*'Forecast (BV) 2017'!P$73</f>
        <v>-1863681.4196574967</v>
      </c>
      <c r="V141" s="205">
        <f>U141/U$159*'Forecast (BV) 2017'!Q$73</f>
        <v>-1824492.0874240671</v>
      </c>
      <c r="W141" s="205">
        <f>V141/V$159*'Forecast (BV) 2017'!R$73</f>
        <v>-1920141.4143689177</v>
      </c>
      <c r="X141" s="205">
        <f>W141/W$159*'Forecast (BV) 2017'!S$73</f>
        <v>-1994785.8763717753</v>
      </c>
      <c r="Y141" s="205">
        <f>X141/X$159*'Forecast (BV) 2017'!T$73</f>
        <v>-2120013.9445231939</v>
      </c>
      <c r="Z141" s="205">
        <f>Y141/Y$159*'Forecast (BV) 2017'!U$73</f>
        <v>-2251229.6832624078</v>
      </c>
    </row>
    <row r="142" spans="1:26" s="1280" customFormat="1" ht="17.25" customHeight="1">
      <c r="A142" s="1279"/>
      <c r="C142" s="1298">
        <f>+MAX($C$9:C141)+1</f>
        <v>134</v>
      </c>
      <c r="D142" s="1299">
        <v>926020</v>
      </c>
      <c r="E142" s="1300" t="s">
        <v>3826</v>
      </c>
      <c r="F142" s="1299">
        <v>13</v>
      </c>
      <c r="G142" s="1305"/>
      <c r="H142" s="1306"/>
      <c r="I142" s="1307"/>
      <c r="J142" s="1307"/>
      <c r="K142" s="1307"/>
      <c r="L142" s="1307"/>
      <c r="M142" s="1306"/>
      <c r="N142" s="4233">
        <v>-490077.78</v>
      </c>
      <c r="O142" s="4233">
        <v>-688143.83</v>
      </c>
      <c r="P142" s="205">
        <f>O142/O$159*'Forecast (BV) 2017'!K$73</f>
        <v>-707672.79621534678</v>
      </c>
      <c r="Q142" s="205">
        <f>P142/P$159*'Forecast (BV) 2017'!L$73</f>
        <v>-707783.18022548093</v>
      </c>
      <c r="R142" s="205">
        <f>Q142/Q$159*'Forecast (BV) 2017'!M$73</f>
        <v>-754683.30468949466</v>
      </c>
      <c r="S142" s="205">
        <f>R142/R$159*'Forecast (BV) 2017'!N$73</f>
        <v>-785536.77100355166</v>
      </c>
      <c r="T142" s="205">
        <f>S142/S$159*'Forecast (BV) 2017'!O$73</f>
        <v>-813314.5377975204</v>
      </c>
      <c r="U142" s="205">
        <f>T142/T$159*'Forecast (BV) 2017'!P$73</f>
        <v>-848527.91279857641</v>
      </c>
      <c r="V142" s="205">
        <f>U142/U$159*'Forecast (BV) 2017'!Q$73</f>
        <v>-830685.14099581132</v>
      </c>
      <c r="W142" s="205">
        <f>V142/V$159*'Forecast (BV) 2017'!R$73</f>
        <v>-874233.9594242411</v>
      </c>
      <c r="X142" s="205">
        <f>W142/W$159*'Forecast (BV) 2017'!S$73</f>
        <v>-908219.3331459458</v>
      </c>
      <c r="Y142" s="205">
        <f>X142/X$159*'Forecast (BV) 2017'!T$73</f>
        <v>-965235.25344838097</v>
      </c>
      <c r="Z142" s="205">
        <f>Y142/Y$159*'Forecast (BV) 2017'!U$73</f>
        <v>-1024977.3401292528</v>
      </c>
    </row>
    <row r="143" spans="1:26" s="1280" customFormat="1" ht="17.25" customHeight="1">
      <c r="A143" s="1279"/>
      <c r="C143" s="1298">
        <f>+MAX($C$9:C142)+1</f>
        <v>135</v>
      </c>
      <c r="D143" s="1299">
        <v>926900</v>
      </c>
      <c r="E143" s="1300" t="s">
        <v>3827</v>
      </c>
      <c r="F143" s="1299">
        <v>13</v>
      </c>
      <c r="G143" s="1305"/>
      <c r="H143" s="1306"/>
      <c r="I143" s="1307"/>
      <c r="J143" s="1307"/>
      <c r="K143" s="1307"/>
      <c r="L143" s="1307"/>
      <c r="M143" s="1306"/>
      <c r="N143" s="4233">
        <v>215048</v>
      </c>
      <c r="O143" s="4233">
        <v>516844.4</v>
      </c>
      <c r="P143" s="205">
        <f>O143/O$159*'Forecast (BV) 2017'!K$73</f>
        <v>531512.02671721007</v>
      </c>
      <c r="Q143" s="205">
        <f>P143/P$159*'Forecast (BV) 2017'!L$73</f>
        <v>531594.93286996509</v>
      </c>
      <c r="R143" s="205">
        <f>Q143/Q$159*'Forecast (BV) 2017'!M$73</f>
        <v>566820.22390909062</v>
      </c>
      <c r="S143" s="205">
        <f>R143/R$159*'Forecast (BV) 2017'!N$73</f>
        <v>589993.34643059748</v>
      </c>
      <c r="T143" s="205">
        <f>S143/S$159*'Forecast (BV) 2017'!O$73</f>
        <v>610856.40235884534</v>
      </c>
      <c r="U143" s="205">
        <f>T143/T$159*'Forecast (BV) 2017'!P$73</f>
        <v>637304.12285122531</v>
      </c>
      <c r="V143" s="205">
        <f>U143/U$159*'Forecast (BV) 2017'!Q$73</f>
        <v>623902.94669487292</v>
      </c>
      <c r="W143" s="205">
        <f>V143/V$159*'Forecast (BV) 2017'!R$73</f>
        <v>656611.17126959702</v>
      </c>
      <c r="X143" s="205">
        <f>W143/W$159*'Forecast (BV) 2017'!S$73</f>
        <v>682136.57645991934</v>
      </c>
      <c r="Y143" s="205">
        <f>X143/X$159*'Forecast (BV) 2017'!T$73</f>
        <v>724959.54141938139</v>
      </c>
      <c r="Z143" s="205">
        <f>Y143/Y$159*'Forecast (BV) 2017'!U$73</f>
        <v>769830.04900690599</v>
      </c>
    </row>
    <row r="144" spans="1:26" s="1280" customFormat="1" ht="17.25" customHeight="1">
      <c r="A144" s="1279"/>
      <c r="C144" s="1298">
        <f>+MAX($C$9:C143)+1</f>
        <v>136</v>
      </c>
      <c r="D144" s="1299">
        <v>926999</v>
      </c>
      <c r="E144" s="1300" t="s">
        <v>829</v>
      </c>
      <c r="F144" s="1299">
        <v>13</v>
      </c>
      <c r="G144" s="1305"/>
      <c r="H144" s="1306"/>
      <c r="I144" s="1307">
        <v>58015.19</v>
      </c>
      <c r="J144" s="1307">
        <v>276284</v>
      </c>
      <c r="K144" s="1307">
        <v>86122</v>
      </c>
      <c r="L144" s="1307">
        <v>99471</v>
      </c>
      <c r="M144" s="1306">
        <v>153854.45000000001</v>
      </c>
      <c r="N144" s="4233">
        <v>140043.48000000001</v>
      </c>
      <c r="O144" s="4233">
        <v>230215.42</v>
      </c>
      <c r="P144" s="205">
        <f>O144/O$159*'Forecast (BV) 2017'!K$73</f>
        <v>236748.74771934014</v>
      </c>
      <c r="Q144" s="205">
        <f>P144/P$159*'Forecast (BV) 2017'!L$73</f>
        <v>236785.67619293314</v>
      </c>
      <c r="R144" s="205">
        <f>Q144/Q$159*'Forecast (BV) 2017'!M$73</f>
        <v>252475.90166735934</v>
      </c>
      <c r="S144" s="205">
        <f>R144/R$159*'Forecast (BV) 2017'!N$73</f>
        <v>262797.78990683751</v>
      </c>
      <c r="T144" s="205">
        <f>S144/S$159*'Forecast (BV) 2017'!O$73</f>
        <v>272090.7167200236</v>
      </c>
      <c r="U144" s="205">
        <f>T144/T$159*'Forecast (BV) 2017'!P$73</f>
        <v>283871.19278050883</v>
      </c>
      <c r="V144" s="205">
        <f>U144/U$159*'Forecast (BV) 2017'!Q$73</f>
        <v>277901.97380990826</v>
      </c>
      <c r="W144" s="205">
        <f>V144/V$159*'Forecast (BV) 2017'!R$73</f>
        <v>292471.03493918508</v>
      </c>
      <c r="X144" s="205">
        <f>W144/W$159*'Forecast (BV) 2017'!S$73</f>
        <v>303840.68870066578</v>
      </c>
      <c r="Y144" s="205">
        <f>X144/X$159*'Forecast (BV) 2017'!T$73</f>
        <v>322915.10812706919</v>
      </c>
      <c r="Z144" s="205">
        <f>Y144/Y$159*'Forecast (BV) 2017'!U$73</f>
        <v>342901.55424097722</v>
      </c>
    </row>
    <row r="145" spans="1:26" s="1280" customFormat="1" ht="17.25" customHeight="1">
      <c r="A145" s="1279"/>
      <c r="C145" s="1298">
        <f>+MAX($C$9:C144)+1</f>
        <v>137</v>
      </c>
      <c r="D145" s="1299">
        <v>928010</v>
      </c>
      <c r="E145" s="1300" t="s">
        <v>2139</v>
      </c>
      <c r="F145" s="1299">
        <v>13</v>
      </c>
      <c r="G145" s="1305"/>
      <c r="H145" s="1306"/>
      <c r="I145" s="1307">
        <v>1630523.79</v>
      </c>
      <c r="J145" s="1307">
        <v>1068441.1000000001</v>
      </c>
      <c r="K145" s="1307">
        <v>1223690.48</v>
      </c>
      <c r="L145" s="1307">
        <v>835203.06</v>
      </c>
      <c r="M145" s="1306">
        <v>1607738.61</v>
      </c>
      <c r="N145" s="4233">
        <v>1237304.07</v>
      </c>
      <c r="O145" s="4233">
        <v>1005996.26</v>
      </c>
      <c r="P145" s="205">
        <f>O145/O$159*'Forecast (BV) 2017'!K$73</f>
        <v>1034545.6215111034</v>
      </c>
      <c r="Q145" s="205">
        <f>P145/P$159*'Forecast (BV) 2017'!L$73</f>
        <v>1034706.9917022141</v>
      </c>
      <c r="R145" s="205">
        <f>Q145/Q$159*'Forecast (BV) 2017'!M$73</f>
        <v>1103270.2015246903</v>
      </c>
      <c r="S145" s="205">
        <f>R145/R$159*'Forecast (BV) 2017'!N$73</f>
        <v>1148374.8298986412</v>
      </c>
      <c r="T145" s="205">
        <f>S145/S$159*'Forecast (BV) 2017'!O$73</f>
        <v>1188983.0985303381</v>
      </c>
      <c r="U145" s="205">
        <f>T145/T$159*'Forecast (BV) 2017'!P$73</f>
        <v>1240461.469778744</v>
      </c>
      <c r="V145" s="205">
        <f>U145/U$159*'Forecast (BV) 2017'!Q$73</f>
        <v>1214377.1529265314</v>
      </c>
      <c r="W145" s="205">
        <f>V145/V$159*'Forecast (BV) 2017'!R$73</f>
        <v>1278041.094324392</v>
      </c>
      <c r="X145" s="205">
        <f>W145/W$159*'Forecast (BV) 2017'!S$73</f>
        <v>1327724.2526529892</v>
      </c>
      <c r="Y145" s="205">
        <f>X145/X$159*'Forecast (BV) 2017'!T$73</f>
        <v>1411075.7266968789</v>
      </c>
      <c r="Z145" s="205">
        <f>Y145/Y$159*'Forecast (BV) 2017'!U$73</f>
        <v>1498412.5785953444</v>
      </c>
    </row>
    <row r="146" spans="1:26" s="1280" customFormat="1" ht="17.25" customHeight="1">
      <c r="A146" s="1279"/>
      <c r="C146" s="1298">
        <f>+MAX($C$9:C145)+1</f>
        <v>138</v>
      </c>
      <c r="D146" s="1299">
        <v>928030</v>
      </c>
      <c r="E146" s="1300" t="s">
        <v>830</v>
      </c>
      <c r="F146" s="1299">
        <v>13</v>
      </c>
      <c r="G146" s="1305"/>
      <c r="H146" s="1306"/>
      <c r="I146" s="1307">
        <v>0</v>
      </c>
      <c r="J146" s="1307">
        <v>0</v>
      </c>
      <c r="K146" s="1307">
        <v>0</v>
      </c>
      <c r="L146" s="1307">
        <v>0</v>
      </c>
      <c r="M146" s="1306">
        <v>0</v>
      </c>
      <c r="N146" s="4233"/>
      <c r="O146" s="4233"/>
      <c r="P146" s="205">
        <f>O146/O$159*'Forecast (BV) 2017'!K$73</f>
        <v>0</v>
      </c>
      <c r="Q146" s="205">
        <f>P146/P$159*'Forecast (BV) 2017'!L$73</f>
        <v>0</v>
      </c>
      <c r="R146" s="205">
        <f>Q146/Q$159*'Forecast (BV) 2017'!M$73</f>
        <v>0</v>
      </c>
      <c r="S146" s="205">
        <f>R146/R$159*'Forecast (BV) 2017'!N$73</f>
        <v>0</v>
      </c>
      <c r="T146" s="205">
        <f>S146/S$159*'Forecast (BV) 2017'!O$73</f>
        <v>0</v>
      </c>
      <c r="U146" s="205">
        <f>T146/T$159*'Forecast (BV) 2017'!P$73</f>
        <v>0</v>
      </c>
      <c r="V146" s="205">
        <f>U146/U$159*'Forecast (BV) 2017'!Q$73</f>
        <v>0</v>
      </c>
      <c r="W146" s="205">
        <f>V146/V$159*'Forecast (BV) 2017'!R$73</f>
        <v>0</v>
      </c>
      <c r="X146" s="205">
        <f>W146/W$159*'Forecast (BV) 2017'!S$73</f>
        <v>0</v>
      </c>
      <c r="Y146" s="205">
        <f>X146/X$159*'Forecast (BV) 2017'!T$73</f>
        <v>0</v>
      </c>
      <c r="Z146" s="205">
        <f>Y146/Y$159*'Forecast (BV) 2017'!U$73</f>
        <v>0</v>
      </c>
    </row>
    <row r="147" spans="1:26" s="1280" customFormat="1" ht="17.25" customHeight="1">
      <c r="A147" s="1279"/>
      <c r="C147" s="1298">
        <f>+MAX($C$9:C146)+1</f>
        <v>139</v>
      </c>
      <c r="D147" s="1299">
        <v>928500</v>
      </c>
      <c r="E147" s="1300" t="s">
        <v>831</v>
      </c>
      <c r="F147" s="1299">
        <v>13</v>
      </c>
      <c r="G147" s="1305"/>
      <c r="H147" s="1306"/>
      <c r="I147" s="1307">
        <v>0</v>
      </c>
      <c r="J147" s="1307">
        <v>0</v>
      </c>
      <c r="K147" s="1307">
        <v>0</v>
      </c>
      <c r="L147" s="1307">
        <v>0</v>
      </c>
      <c r="M147" s="1306">
        <v>0</v>
      </c>
      <c r="N147" s="4233"/>
      <c r="O147" s="4233"/>
      <c r="P147" s="205">
        <f>O147/O$159*'Forecast (BV) 2017'!K$73</f>
        <v>0</v>
      </c>
      <c r="Q147" s="205">
        <f>P147/P$159*'Forecast (BV) 2017'!L$73</f>
        <v>0</v>
      </c>
      <c r="R147" s="205">
        <f>Q147/Q$159*'Forecast (BV) 2017'!M$73</f>
        <v>0</v>
      </c>
      <c r="S147" s="205">
        <f>R147/R$159*'Forecast (BV) 2017'!N$73</f>
        <v>0</v>
      </c>
      <c r="T147" s="205">
        <f>S147/S$159*'Forecast (BV) 2017'!O$73</f>
        <v>0</v>
      </c>
      <c r="U147" s="205">
        <f>T147/T$159*'Forecast (BV) 2017'!P$73</f>
        <v>0</v>
      </c>
      <c r="V147" s="205">
        <f>U147/U$159*'Forecast (BV) 2017'!Q$73</f>
        <v>0</v>
      </c>
      <c r="W147" s="205">
        <f>V147/V$159*'Forecast (BV) 2017'!R$73</f>
        <v>0</v>
      </c>
      <c r="X147" s="205">
        <f>W147/W$159*'Forecast (BV) 2017'!S$73</f>
        <v>0</v>
      </c>
      <c r="Y147" s="205">
        <f>X147/X$159*'Forecast (BV) 2017'!T$73</f>
        <v>0</v>
      </c>
      <c r="Z147" s="205">
        <f>Y147/Y$159*'Forecast (BV) 2017'!U$73</f>
        <v>0</v>
      </c>
    </row>
    <row r="148" spans="1:26" s="1280" customFormat="1" ht="17.25" customHeight="1">
      <c r="A148" s="1279"/>
      <c r="C148" s="1298">
        <f>+MAX($C$9:C147)+1</f>
        <v>140</v>
      </c>
      <c r="D148" s="1299">
        <v>928600</v>
      </c>
      <c r="E148" s="1300" t="s">
        <v>832</v>
      </c>
      <c r="F148" s="1299">
        <v>13</v>
      </c>
      <c r="G148" s="1305"/>
      <c r="H148" s="1306"/>
      <c r="I148" s="1307">
        <v>0</v>
      </c>
      <c r="J148" s="1307">
        <v>0</v>
      </c>
      <c r="K148" s="1307">
        <v>0</v>
      </c>
      <c r="L148" s="1307">
        <v>0</v>
      </c>
      <c r="M148" s="1306">
        <v>0</v>
      </c>
      <c r="N148" s="4233"/>
      <c r="O148" s="4233"/>
      <c r="P148" s="205">
        <f>O148/O$159*'Forecast (BV) 2017'!K$73</f>
        <v>0</v>
      </c>
      <c r="Q148" s="205">
        <f>P148/P$159*'Forecast (BV) 2017'!L$73</f>
        <v>0</v>
      </c>
      <c r="R148" s="205">
        <f>Q148/Q$159*'Forecast (BV) 2017'!M$73</f>
        <v>0</v>
      </c>
      <c r="S148" s="205">
        <f>R148/R$159*'Forecast (BV) 2017'!N$73</f>
        <v>0</v>
      </c>
      <c r="T148" s="205">
        <f>S148/S$159*'Forecast (BV) 2017'!O$73</f>
        <v>0</v>
      </c>
      <c r="U148" s="205">
        <f>T148/T$159*'Forecast (BV) 2017'!P$73</f>
        <v>0</v>
      </c>
      <c r="V148" s="205">
        <f>U148/U$159*'Forecast (BV) 2017'!Q$73</f>
        <v>0</v>
      </c>
      <c r="W148" s="205">
        <f>V148/V$159*'Forecast (BV) 2017'!R$73</f>
        <v>0</v>
      </c>
      <c r="X148" s="205">
        <f>W148/W$159*'Forecast (BV) 2017'!S$73</f>
        <v>0</v>
      </c>
      <c r="Y148" s="205">
        <f>X148/X$159*'Forecast (BV) 2017'!T$73</f>
        <v>0</v>
      </c>
      <c r="Z148" s="205">
        <f>Y148/Y$159*'Forecast (BV) 2017'!U$73</f>
        <v>0</v>
      </c>
    </row>
    <row r="149" spans="1:26" s="1280" customFormat="1" ht="17.25" customHeight="1">
      <c r="A149" s="1279"/>
      <c r="C149" s="1298">
        <f>+MAX($C$9:C148)+1</f>
        <v>141</v>
      </c>
      <c r="D149" s="1299">
        <v>929010</v>
      </c>
      <c r="E149" s="1300" t="s">
        <v>833</v>
      </c>
      <c r="F149" s="1299">
        <v>13</v>
      </c>
      <c r="G149" s="1305"/>
      <c r="H149" s="1306"/>
      <c r="I149" s="1307">
        <v>0</v>
      </c>
      <c r="J149" s="1307">
        <v>0</v>
      </c>
      <c r="K149" s="1307">
        <v>0</v>
      </c>
      <c r="L149" s="1307">
        <v>0</v>
      </c>
      <c r="M149" s="1306">
        <v>0</v>
      </c>
      <c r="N149" s="4233"/>
      <c r="O149" s="4233"/>
      <c r="P149" s="205">
        <f>O149/O$159*'Forecast (BV) 2017'!K$73</f>
        <v>0</v>
      </c>
      <c r="Q149" s="205">
        <f>P149/P$159*'Forecast (BV) 2017'!L$73</f>
        <v>0</v>
      </c>
      <c r="R149" s="205">
        <f>Q149/Q$159*'Forecast (BV) 2017'!M$73</f>
        <v>0</v>
      </c>
      <c r="S149" s="205">
        <f>R149/R$159*'Forecast (BV) 2017'!N$73</f>
        <v>0</v>
      </c>
      <c r="T149" s="205">
        <f>S149/S$159*'Forecast (BV) 2017'!O$73</f>
        <v>0</v>
      </c>
      <c r="U149" s="205">
        <f>T149/T$159*'Forecast (BV) 2017'!P$73</f>
        <v>0</v>
      </c>
      <c r="V149" s="205">
        <f>U149/U$159*'Forecast (BV) 2017'!Q$73</f>
        <v>0</v>
      </c>
      <c r="W149" s="205">
        <f>V149/V$159*'Forecast (BV) 2017'!R$73</f>
        <v>0</v>
      </c>
      <c r="X149" s="205">
        <f>W149/W$159*'Forecast (BV) 2017'!S$73</f>
        <v>0</v>
      </c>
      <c r="Y149" s="205">
        <f>X149/X$159*'Forecast (BV) 2017'!T$73</f>
        <v>0</v>
      </c>
      <c r="Z149" s="205">
        <f>Y149/Y$159*'Forecast (BV) 2017'!U$73</f>
        <v>0</v>
      </c>
    </row>
    <row r="150" spans="1:26" s="1280" customFormat="1" ht="17.25" customHeight="1">
      <c r="A150" s="1279"/>
      <c r="C150" s="1298">
        <f>+MAX($C$9:C149)+1</f>
        <v>142</v>
      </c>
      <c r="D150" s="1299">
        <v>929020</v>
      </c>
      <c r="E150" s="1300" t="s">
        <v>834</v>
      </c>
      <c r="F150" s="1299">
        <v>13</v>
      </c>
      <c r="G150" s="1305"/>
      <c r="H150" s="1306"/>
      <c r="I150" s="1307">
        <v>0</v>
      </c>
      <c r="J150" s="1307">
        <v>0</v>
      </c>
      <c r="K150" s="1307">
        <v>0</v>
      </c>
      <c r="L150" s="1307">
        <v>0</v>
      </c>
      <c r="M150" s="1306">
        <v>0</v>
      </c>
      <c r="N150" s="4233"/>
      <c r="O150" s="4233"/>
      <c r="P150" s="205">
        <f>O150/O$159*'Forecast (BV) 2017'!K$73</f>
        <v>0</v>
      </c>
      <c r="Q150" s="205">
        <f>P150/P$159*'Forecast (BV) 2017'!L$73</f>
        <v>0</v>
      </c>
      <c r="R150" s="205">
        <f>Q150/Q$159*'Forecast (BV) 2017'!M$73</f>
        <v>0</v>
      </c>
      <c r="S150" s="205">
        <f>R150/R$159*'Forecast (BV) 2017'!N$73</f>
        <v>0</v>
      </c>
      <c r="T150" s="205">
        <f>S150/S$159*'Forecast (BV) 2017'!O$73</f>
        <v>0</v>
      </c>
      <c r="U150" s="205">
        <f>T150/T$159*'Forecast (BV) 2017'!P$73</f>
        <v>0</v>
      </c>
      <c r="V150" s="205">
        <f>U150/U$159*'Forecast (BV) 2017'!Q$73</f>
        <v>0</v>
      </c>
      <c r="W150" s="205">
        <f>V150/V$159*'Forecast (BV) 2017'!R$73</f>
        <v>0</v>
      </c>
      <c r="X150" s="205">
        <f>W150/W$159*'Forecast (BV) 2017'!S$73</f>
        <v>0</v>
      </c>
      <c r="Y150" s="205">
        <f>X150/X$159*'Forecast (BV) 2017'!T$73</f>
        <v>0</v>
      </c>
      <c r="Z150" s="205">
        <f>Y150/Y$159*'Forecast (BV) 2017'!U$73</f>
        <v>0</v>
      </c>
    </row>
    <row r="151" spans="1:26" s="1280" customFormat="1" ht="17.25" customHeight="1">
      <c r="A151" s="1279"/>
      <c r="C151" s="1298">
        <f>+MAX($C$9:C150)+1</f>
        <v>143</v>
      </c>
      <c r="D151" s="1299">
        <v>929880</v>
      </c>
      <c r="E151" s="1300" t="s">
        <v>835</v>
      </c>
      <c r="F151" s="1299">
        <v>13</v>
      </c>
      <c r="G151" s="1305"/>
      <c r="H151" s="1306"/>
      <c r="I151" s="1307">
        <v>-1729049.01</v>
      </c>
      <c r="J151" s="1307">
        <v>-1808514.73</v>
      </c>
      <c r="K151" s="1307">
        <v>-3737593.87</v>
      </c>
      <c r="L151" s="1307">
        <v>-5490543.6799999997</v>
      </c>
      <c r="M151" s="1306">
        <v>-3237148.7</v>
      </c>
      <c r="N151" s="4233">
        <v>-2958131.07</v>
      </c>
      <c r="O151" s="4233">
        <v>-220461.69</v>
      </c>
      <c r="P151" s="205">
        <f>O151/O$159*'Forecast (BV) 2017'!K$73</f>
        <v>-226718.21473813252</v>
      </c>
      <c r="Q151" s="205">
        <f>P151/P$159*'Forecast (BV) 2017'!L$73</f>
        <v>-226753.57863207773</v>
      </c>
      <c r="R151" s="205">
        <f>Q151/Q$159*'Forecast (BV) 2017'!M$73</f>
        <v>-241779.0431494982</v>
      </c>
      <c r="S151" s="205">
        <f>R151/R$159*'Forecast (BV) 2017'!N$73</f>
        <v>-251663.61528313931</v>
      </c>
      <c r="T151" s="205">
        <f>S151/S$159*'Forecast (BV) 2017'!O$73</f>
        <v>-260562.82086320568</v>
      </c>
      <c r="U151" s="205">
        <f>T151/T$159*'Forecast (BV) 2017'!P$73</f>
        <v>-271844.18360293494</v>
      </c>
      <c r="V151" s="205">
        <f>U151/U$159*'Forecast (BV) 2017'!Q$73</f>
        <v>-266127.86754452903</v>
      </c>
      <c r="W151" s="205">
        <f>V151/V$159*'Forecast (BV) 2017'!R$73</f>
        <v>-280079.6690279991</v>
      </c>
      <c r="X151" s="205">
        <f>W151/W$159*'Forecast (BV) 2017'!S$73</f>
        <v>-290967.61512201355</v>
      </c>
      <c r="Y151" s="205">
        <f>X151/X$159*'Forecast (BV) 2017'!T$73</f>
        <v>-309233.89260470227</v>
      </c>
      <c r="Z151" s="205">
        <f>Y151/Y$159*'Forecast (BV) 2017'!U$73</f>
        <v>-328373.55617444101</v>
      </c>
    </row>
    <row r="152" spans="1:26" s="1280" customFormat="1" ht="17.25" customHeight="1">
      <c r="A152" s="1279"/>
      <c r="C152" s="1298">
        <f>+MAX($C$9:C151)+1</f>
        <v>144</v>
      </c>
      <c r="D152" s="1299">
        <v>929980</v>
      </c>
      <c r="E152" s="1300" t="s">
        <v>836</v>
      </c>
      <c r="F152" s="1299">
        <v>13</v>
      </c>
      <c r="G152" s="1305"/>
      <c r="H152" s="1306"/>
      <c r="I152" s="1307">
        <v>-1766317.59</v>
      </c>
      <c r="J152" s="1307">
        <v>-3139100.99</v>
      </c>
      <c r="K152" s="1307">
        <v>-11203.25</v>
      </c>
      <c r="L152" s="1307">
        <v>1546478.31</v>
      </c>
      <c r="M152" s="1306">
        <v>-555120.84</v>
      </c>
      <c r="N152" s="4233">
        <v>-1610422.44</v>
      </c>
      <c r="O152" s="4233">
        <v>-2475298.7000000002</v>
      </c>
      <c r="P152" s="205">
        <f>O152/O$159*'Forecast (BV) 2017'!K$73</f>
        <v>-2545545.6782882339</v>
      </c>
      <c r="Q152" s="205">
        <f>P152/P$159*'Forecast (BV) 2017'!L$73</f>
        <v>-2545942.7368461606</v>
      </c>
      <c r="R152" s="205">
        <f>Q152/Q$159*'Forecast (BV) 2017'!M$73</f>
        <v>-2714645.5749078076</v>
      </c>
      <c r="S152" s="205">
        <f>R152/R$159*'Forecast (BV) 2017'!N$73</f>
        <v>-2825627.5262502749</v>
      </c>
      <c r="T152" s="205">
        <f>S152/S$159*'Forecast (BV) 2017'!O$73</f>
        <v>-2925545.9837535759</v>
      </c>
      <c r="U152" s="205">
        <f>T152/T$159*'Forecast (BV) 2017'!P$73</f>
        <v>-3052210.8139282889</v>
      </c>
      <c r="V152" s="205">
        <f>U152/U$159*'Forecast (BV) 2017'!Q$73</f>
        <v>-2988029.1880496098</v>
      </c>
      <c r="W152" s="205">
        <f>V152/V$159*'Forecast (BV) 2017'!R$73</f>
        <v>-3144677.1574754613</v>
      </c>
      <c r="X152" s="205">
        <f>W152/W$159*'Forecast (BV) 2017'!S$73</f>
        <v>-3266924.7861323222</v>
      </c>
      <c r="Y152" s="205">
        <f>X152/X$159*'Forecast (BV) 2017'!T$73</f>
        <v>-3472014.8083794466</v>
      </c>
      <c r="Z152" s="205">
        <f>Y152/Y$159*'Forecast (BV) 2017'!U$73</f>
        <v>-3686911.0307236174</v>
      </c>
    </row>
    <row r="153" spans="1:26" s="1280" customFormat="1" ht="17.25" customHeight="1">
      <c r="A153" s="1279"/>
      <c r="C153" s="1298">
        <f>+MAX($C$9:C152)+1</f>
        <v>145</v>
      </c>
      <c r="D153" s="1299">
        <v>930010</v>
      </c>
      <c r="E153" s="1300" t="s">
        <v>837</v>
      </c>
      <c r="F153" s="1299">
        <v>13</v>
      </c>
      <c r="G153" s="1305"/>
      <c r="H153" s="1306"/>
      <c r="I153" s="1307">
        <v>1097869.75</v>
      </c>
      <c r="J153" s="1307">
        <v>431314.33</v>
      </c>
      <c r="K153" s="1307">
        <v>402967.6</v>
      </c>
      <c r="L153" s="1307">
        <v>1158144.53</v>
      </c>
      <c r="M153" s="1306">
        <v>1491893.38</v>
      </c>
      <c r="N153" s="4233">
        <v>1523135.8</v>
      </c>
      <c r="O153" s="4233">
        <v>1539376.26</v>
      </c>
      <c r="P153" s="205">
        <f>O153/O$159*'Forecast (BV) 2017'!K$73</f>
        <v>1583062.5152037225</v>
      </c>
      <c r="Q153" s="205">
        <f>P153/P$159*'Forecast (BV) 2017'!L$73</f>
        <v>1583309.4439957517</v>
      </c>
      <c r="R153" s="205">
        <f>Q153/Q$159*'Forecast (BV) 2017'!M$73</f>
        <v>1688224.9210275635</v>
      </c>
      <c r="S153" s="205">
        <f>R153/R$159*'Forecast (BV) 2017'!N$73</f>
        <v>1757244.0584694687</v>
      </c>
      <c r="T153" s="205">
        <f>S153/S$159*'Forecast (BV) 2017'!O$73</f>
        <v>1819382.8627343443</v>
      </c>
      <c r="U153" s="205">
        <f>T153/T$159*'Forecast (BV) 2017'!P$73</f>
        <v>1898155.1064833049</v>
      </c>
      <c r="V153" s="205">
        <f>U153/U$159*'Forecast (BV) 2017'!Q$73</f>
        <v>1858240.8645351147</v>
      </c>
      <c r="W153" s="205">
        <f>V153/V$159*'Forecast (BV) 2017'!R$73</f>
        <v>1955659.4772105715</v>
      </c>
      <c r="X153" s="205">
        <f>W153/W$159*'Forecast (BV) 2017'!S$73</f>
        <v>2031684.6847524601</v>
      </c>
      <c r="Y153" s="205">
        <f>X153/X$159*'Forecast (BV) 2017'!T$73</f>
        <v>2159229.1752053075</v>
      </c>
      <c r="Z153" s="205">
        <f>Y153/Y$159*'Forecast (BV) 2017'!U$73</f>
        <v>2292872.0939529715</v>
      </c>
    </row>
    <row r="154" spans="1:26" s="1280" customFormat="1" ht="17.25" customHeight="1">
      <c r="A154" s="1279"/>
      <c r="C154" s="1298">
        <f>+MAX($C$9:C153)+1</f>
        <v>146</v>
      </c>
      <c r="D154" s="1299">
        <v>930110</v>
      </c>
      <c r="E154" s="1300" t="s">
        <v>838</v>
      </c>
      <c r="F154" s="1299">
        <v>13</v>
      </c>
      <c r="G154" s="1305"/>
      <c r="H154" s="1306"/>
      <c r="I154" s="1307">
        <v>659906.79</v>
      </c>
      <c r="J154" s="1307">
        <v>709708.86</v>
      </c>
      <c r="K154" s="1307">
        <v>581424.91</v>
      </c>
      <c r="L154" s="1307">
        <v>598892.38</v>
      </c>
      <c r="M154" s="1306">
        <v>612331.06999999995</v>
      </c>
      <c r="N154" s="4233">
        <v>501582.15</v>
      </c>
      <c r="O154" s="4233">
        <v>557758.56999999995</v>
      </c>
      <c r="P154" s="205">
        <f>O154/O$159*'Forecast (BV) 2017'!K$73</f>
        <v>573587.30782338523</v>
      </c>
      <c r="Q154" s="205">
        <f>P154/P$159*'Forecast (BV) 2017'!L$73</f>
        <v>573676.77695027296</v>
      </c>
      <c r="R154" s="205">
        <f>Q154/Q$159*'Forecast (BV) 2017'!M$73</f>
        <v>611690.55432275962</v>
      </c>
      <c r="S154" s="205">
        <f>R154/R$159*'Forecast (BV) 2017'!N$73</f>
        <v>636698.09562538459</v>
      </c>
      <c r="T154" s="205">
        <f>S154/S$159*'Forecast (BV) 2017'!O$73</f>
        <v>659212.70203375351</v>
      </c>
      <c r="U154" s="205">
        <f>T154/T$159*'Forecast (BV) 2017'!P$73</f>
        <v>687754.06334402307</v>
      </c>
      <c r="V154" s="205">
        <f>U154/U$159*'Forecast (BV) 2017'!Q$73</f>
        <v>673292.0301880379</v>
      </c>
      <c r="W154" s="205">
        <f>V154/V$159*'Forecast (BV) 2017'!R$73</f>
        <v>708589.48637801874</v>
      </c>
      <c r="X154" s="205">
        <f>W154/W$159*'Forecast (BV) 2017'!S$73</f>
        <v>736135.52053767059</v>
      </c>
      <c r="Y154" s="205">
        <f>X154/X$159*'Forecast (BV) 2017'!T$73</f>
        <v>782348.4149773696</v>
      </c>
      <c r="Z154" s="205">
        <f>Y154/Y$159*'Forecast (BV) 2017'!U$73</f>
        <v>830770.93855930609</v>
      </c>
    </row>
    <row r="155" spans="1:26" s="1280" customFormat="1" ht="17.25" customHeight="1">
      <c r="A155" s="1279"/>
      <c r="C155" s="1298">
        <f>+MAX($C$9:C154)+1</f>
        <v>147</v>
      </c>
      <c r="D155" s="1299">
        <v>931000</v>
      </c>
      <c r="E155" s="1300" t="s">
        <v>839</v>
      </c>
      <c r="F155" s="1299">
        <v>13</v>
      </c>
      <c r="G155" s="1305"/>
      <c r="H155" s="1306"/>
      <c r="I155" s="1307">
        <v>189150.61</v>
      </c>
      <c r="J155" s="1307">
        <v>186536.64</v>
      </c>
      <c r="K155" s="1307">
        <v>186536.64</v>
      </c>
      <c r="L155" s="1307">
        <v>186536.64</v>
      </c>
      <c r="M155" s="1306">
        <v>186536.64</v>
      </c>
      <c r="N155" s="4233">
        <v>186536.64</v>
      </c>
      <c r="O155" s="4233">
        <v>186536.64</v>
      </c>
      <c r="P155" s="205">
        <f>O155/O$159*'Forecast (BV) 2017'!K$73</f>
        <v>191830.3992138032</v>
      </c>
      <c r="Q155" s="205">
        <f>P155/P$159*'Forecast (BV) 2017'!L$73</f>
        <v>191860.32124675985</v>
      </c>
      <c r="R155" s="205">
        <f>Q155/Q$159*'Forecast (BV) 2017'!M$73</f>
        <v>204573.63967191949</v>
      </c>
      <c r="S155" s="205">
        <f>R155/R$159*'Forecast (BV) 2017'!N$73</f>
        <v>212937.15568074191</v>
      </c>
      <c r="T155" s="205">
        <f>S155/S$159*'Forecast (BV) 2017'!O$73</f>
        <v>220466.93515206335</v>
      </c>
      <c r="U155" s="205">
        <f>T155/T$159*'Forecast (BV) 2017'!P$73</f>
        <v>230012.30106162469</v>
      </c>
      <c r="V155" s="205">
        <f>U155/U$159*'Forecast (BV) 2017'!Q$73</f>
        <v>225175.6222231694</v>
      </c>
      <c r="W155" s="205">
        <f>V155/V$159*'Forecast (BV) 2017'!R$73</f>
        <v>236980.49485511519</v>
      </c>
      <c r="X155" s="205">
        <f>W155/W$159*'Forecast (BV) 2017'!S$73</f>
        <v>246192.98379538677</v>
      </c>
      <c r="Y155" s="205">
        <f>X155/X$159*'Forecast (BV) 2017'!T$73</f>
        <v>261648.41293107203</v>
      </c>
      <c r="Z155" s="205">
        <f>Y155/Y$159*'Forecast (BV) 2017'!U$73</f>
        <v>277842.82989770902</v>
      </c>
    </row>
    <row r="156" spans="1:26" s="1280" customFormat="1" ht="17.25" customHeight="1">
      <c r="A156" s="1279"/>
      <c r="C156" s="1298">
        <f>+MAX($C$9:C155)+1</f>
        <v>148</v>
      </c>
      <c r="D156" s="1299">
        <v>931010</v>
      </c>
      <c r="E156" s="1300" t="s">
        <v>840</v>
      </c>
      <c r="F156" s="1299">
        <v>13</v>
      </c>
      <c r="G156" s="1305"/>
      <c r="H156" s="1306"/>
      <c r="I156" s="1307">
        <v>63711.77</v>
      </c>
      <c r="J156" s="1307">
        <v>4167.38</v>
      </c>
      <c r="K156" s="1307">
        <v>0</v>
      </c>
      <c r="L156" s="1307">
        <v>0</v>
      </c>
      <c r="M156" s="1306">
        <v>6703</v>
      </c>
      <c r="N156" s="4233">
        <v>13193.92</v>
      </c>
      <c r="O156" s="4233">
        <v>11059.77</v>
      </c>
      <c r="P156" s="205">
        <f>O156/O$159*'Forecast (BV) 2017'!K$73</f>
        <v>11373.637341772877</v>
      </c>
      <c r="Q156" s="205">
        <f>P156/P$159*'Forecast (BV) 2017'!L$73</f>
        <v>11375.411421130331</v>
      </c>
      <c r="R156" s="205">
        <f>Q156/Q$159*'Forecast (BV) 2017'!M$73</f>
        <v>12129.184930286645</v>
      </c>
      <c r="S156" s="205">
        <f>R156/R$159*'Forecast (BV) 2017'!N$73</f>
        <v>12625.058360026205</v>
      </c>
      <c r="T156" s="205">
        <f>S156/S$159*'Forecast (BV) 2017'!O$73</f>
        <v>13071.499494076528</v>
      </c>
      <c r="U156" s="205">
        <f>T156/T$159*'Forecast (BV) 2017'!P$73</f>
        <v>13637.444884352612</v>
      </c>
      <c r="V156" s="205">
        <f>U156/U$159*'Forecast (BV) 2017'!Q$73</f>
        <v>13350.677868943829</v>
      </c>
      <c r="W156" s="205">
        <f>V156/V$159*'Forecast (BV) 2017'!R$73</f>
        <v>14050.589565587532</v>
      </c>
      <c r="X156" s="205">
        <f>W156/W$159*'Forecast (BV) 2017'!S$73</f>
        <v>14596.798657843869</v>
      </c>
      <c r="Y156" s="205">
        <f>X156/X$159*'Forecast (BV) 2017'!T$73</f>
        <v>15513.152096460421</v>
      </c>
      <c r="Z156" s="205">
        <f>Y156/Y$159*'Forecast (BV) 2017'!U$73</f>
        <v>16473.320173547596</v>
      </c>
    </row>
    <row r="157" spans="1:26" s="1280" customFormat="1" ht="17.25" customHeight="1">
      <c r="A157" s="1279"/>
      <c r="C157" s="1298">
        <f>+MAX($C$9:C156)+1</f>
        <v>149</v>
      </c>
      <c r="D157" s="1299">
        <v>935010</v>
      </c>
      <c r="E157" s="1300" t="s">
        <v>841</v>
      </c>
      <c r="F157" s="1299">
        <v>13</v>
      </c>
      <c r="G157" s="1305"/>
      <c r="H157" s="1306"/>
      <c r="I157" s="1307">
        <v>1000233.82</v>
      </c>
      <c r="J157" s="1307">
        <v>605889.39</v>
      </c>
      <c r="K157" s="1307">
        <v>511602.52</v>
      </c>
      <c r="L157" s="1307">
        <v>688997.97</v>
      </c>
      <c r="M157" s="1306">
        <v>894311.68</v>
      </c>
      <c r="N157" s="4233">
        <v>915387.65</v>
      </c>
      <c r="O157" s="4233">
        <v>1228911.3899999999</v>
      </c>
      <c r="P157" s="205">
        <f>O157/O$159*'Forecast (BV) 2017'!K$73</f>
        <v>1263786.902895269</v>
      </c>
      <c r="Q157" s="205">
        <f>P157/P$159*'Forecast (BV) 2017'!L$73</f>
        <v>1263984.030532565</v>
      </c>
      <c r="R157" s="205">
        <f>Q157/Q$159*'Forecast (BV) 2017'!M$73</f>
        <v>1347739.9179409347</v>
      </c>
      <c r="S157" s="205">
        <f>R157/R$159*'Forecast (BV) 2017'!N$73</f>
        <v>1402839.1203479751</v>
      </c>
      <c r="T157" s="205">
        <f>S157/S$159*'Forecast (BV) 2017'!O$73</f>
        <v>1452445.630664099</v>
      </c>
      <c r="U157" s="205">
        <f>T157/T$159*'Forecast (BV) 2017'!P$73</f>
        <v>1515330.910939211</v>
      </c>
      <c r="V157" s="205">
        <f>U157/U$159*'Forecast (BV) 2017'!Q$73</f>
        <v>1483466.6631734655</v>
      </c>
      <c r="W157" s="205">
        <f>V157/V$159*'Forecast (BV) 2017'!R$73</f>
        <v>1561237.6707079504</v>
      </c>
      <c r="X157" s="205">
        <f>W157/W$159*'Forecast (BV) 2017'!S$73</f>
        <v>1621929.9432231451</v>
      </c>
      <c r="Y157" s="205">
        <f>X157/X$159*'Forecast (BV) 2017'!T$73</f>
        <v>1723750.9736769018</v>
      </c>
      <c r="Z157" s="205">
        <f>Y157/Y$159*'Forecast (BV) 2017'!U$73</f>
        <v>1830440.4876764542</v>
      </c>
    </row>
    <row r="158" spans="1:26" s="1280" customFormat="1" ht="17.25" customHeight="1" thickBot="1">
      <c r="A158" s="1279"/>
      <c r="C158" s="1298">
        <f>+MAX($C$9:C157)+1</f>
        <v>150</v>
      </c>
      <c r="D158" s="1299">
        <v>935020</v>
      </c>
      <c r="E158" s="1300" t="s">
        <v>842</v>
      </c>
      <c r="F158" s="1299">
        <v>13</v>
      </c>
      <c r="G158" s="1308"/>
      <c r="H158" s="1309"/>
      <c r="I158" s="1310">
        <v>979772.87999999989</v>
      </c>
      <c r="J158" s="1310">
        <v>2605903.52</v>
      </c>
      <c r="K158" s="1310">
        <v>1895279.45</v>
      </c>
      <c r="L158" s="1310">
        <v>1886174.61</v>
      </c>
      <c r="M158" s="1309">
        <v>2777066.25</v>
      </c>
      <c r="N158" s="4234">
        <v>2984419.79</v>
      </c>
      <c r="O158" s="4234">
        <v>3271141.19</v>
      </c>
      <c r="P158" s="277">
        <f>O158/O$159*'Forecast (BV) 2017'!K$73</f>
        <v>3363973.5355071006</v>
      </c>
      <c r="Q158" s="277">
        <f>P158/P$159*'Forecast (BV) 2017'!L$73</f>
        <v>3364498.2538385391</v>
      </c>
      <c r="R158" s="277">
        <f>Q158/Q$159*'Forecast (BV) 2017'!M$73</f>
        <v>3587441.3687253823</v>
      </c>
      <c r="S158" s="277">
        <f>R158/R$159*'Forecast (BV) 2017'!N$73</f>
        <v>3734105.5399556747</v>
      </c>
      <c r="T158" s="277">
        <f>S158/S$159*'Forecast (BV) 2017'!O$73</f>
        <v>3866149.1523004449</v>
      </c>
      <c r="U158" s="277">
        <f>T158/T$159*'Forecast (BV) 2017'!P$73</f>
        <v>4033538.4630567012</v>
      </c>
      <c r="V158" s="277">
        <f>U158/U$159*'Forecast (BV) 2017'!Q$73</f>
        <v>3948721.5639677481</v>
      </c>
      <c r="W158" s="277">
        <f>V158/V$159*'Forecast (BV) 2017'!R$73</f>
        <v>4155734.0045749214</v>
      </c>
      <c r="X158" s="277">
        <f>W158/W$159*'Forecast (BV) 2017'!S$73</f>
        <v>4317285.9229269503</v>
      </c>
      <c r="Y158" s="277">
        <f>X158/X$159*'Forecast (BV) 2017'!T$73</f>
        <v>4588315.2009007903</v>
      </c>
      <c r="Z158" s="277">
        <f>Y158/Y$159*'Forecast (BV) 2017'!U$73</f>
        <v>4872303.5068314709</v>
      </c>
    </row>
    <row r="159" spans="1:26" s="1280" customFormat="1" ht="17.25" customHeight="1">
      <c r="A159" s="1279"/>
      <c r="C159" s="1298">
        <f>+MAX($C$9:C158)+1</f>
        <v>151</v>
      </c>
      <c r="D159" s="1300"/>
      <c r="E159" s="1300"/>
      <c r="F159" s="1300"/>
      <c r="G159" s="1311">
        <f>SUM(G121:G158)</f>
        <v>0</v>
      </c>
      <c r="H159" s="1311">
        <f>SUM(H121:H158)</f>
        <v>0</v>
      </c>
      <c r="I159" s="1311">
        <f>SUM(I120:I158)</f>
        <v>16230865.669999998</v>
      </c>
      <c r="J159" s="1311">
        <f t="shared" ref="J159:P159" si="64">SUM(J120:J158)</f>
        <v>15710782.41</v>
      </c>
      <c r="K159" s="1311">
        <f t="shared" si="64"/>
        <v>14981385.439999999</v>
      </c>
      <c r="L159" s="1311">
        <f t="shared" si="64"/>
        <v>15495162.170000002</v>
      </c>
      <c r="M159" s="1311">
        <f t="shared" si="64"/>
        <v>18771334.510000002</v>
      </c>
      <c r="N159" s="1311">
        <f t="shared" si="64"/>
        <v>16684459.040000003</v>
      </c>
      <c r="O159" s="1311">
        <f t="shared" si="64"/>
        <v>21481102.950000003</v>
      </c>
      <c r="P159" s="1311">
        <f t="shared" si="64"/>
        <v>22090719.305608291</v>
      </c>
      <c r="Q159" s="1311">
        <f t="shared" ref="Q159" si="65">SUM(Q120:Q158)</f>
        <v>22094165.053695187</v>
      </c>
      <c r="R159" s="1311">
        <f t="shared" ref="R159" si="66">SUM(R120:R158)</f>
        <v>23558199.690145094</v>
      </c>
      <c r="S159" s="1311">
        <f t="shared" ref="S159" si="67">SUM(S120:S158)</f>
        <v>24521321.72563092</v>
      </c>
      <c r="T159" s="1311">
        <f t="shared" ref="T159" si="68">SUM(T120:T158)</f>
        <v>25388432.701867282</v>
      </c>
      <c r="U159" s="1311">
        <f t="shared" ref="U159" si="69">SUM(U120:U158)</f>
        <v>26487653.679572839</v>
      </c>
      <c r="V159" s="1311">
        <f t="shared" ref="V159:W159" si="70">SUM(V120:V158)</f>
        <v>25930673.581373662</v>
      </c>
      <c r="W159" s="1311">
        <f t="shared" si="70"/>
        <v>27290093.823522683</v>
      </c>
      <c r="X159" s="1311">
        <f t="shared" ref="X159" si="71">SUM(X120:X158)</f>
        <v>28350981.50409691</v>
      </c>
      <c r="Y159" s="1311">
        <f t="shared" ref="Y159" si="72">SUM(Y120:Y158)</f>
        <v>30130790.899184581</v>
      </c>
      <c r="Z159" s="1311">
        <f t="shared" ref="Z159" si="73">SUM(Z120:Z158)</f>
        <v>31995700.324354641</v>
      </c>
    </row>
    <row r="160" spans="1:26" s="1280" customFormat="1" ht="17.25" customHeight="1">
      <c r="A160" s="1279"/>
      <c r="C160" s="1298"/>
      <c r="D160" s="1300"/>
      <c r="E160" s="1300"/>
      <c r="F160" s="1300"/>
      <c r="G160" s="1300"/>
      <c r="H160" s="1282"/>
      <c r="I160" s="1313"/>
      <c r="J160" s="1313"/>
      <c r="K160" s="1313"/>
      <c r="L160" s="1313"/>
      <c r="M160" s="1313"/>
      <c r="N160" s="1283"/>
      <c r="O160" s="1283"/>
      <c r="P160" s="1283"/>
      <c r="Q160" s="1283"/>
      <c r="R160" s="1283"/>
      <c r="S160" s="1283"/>
      <c r="T160" s="1283"/>
      <c r="U160" s="1283"/>
      <c r="V160" s="1283"/>
      <c r="W160" s="1283"/>
      <c r="X160" s="1283"/>
      <c r="Y160" s="1283"/>
      <c r="Z160" s="1283"/>
    </row>
    <row r="161" spans="1:252" s="1280" customFormat="1" ht="17.25" customHeight="1">
      <c r="A161" s="1279"/>
      <c r="C161" s="1298"/>
      <c r="D161" s="1300"/>
      <c r="E161" s="1300"/>
      <c r="F161" s="1300"/>
      <c r="G161" s="1300"/>
      <c r="H161" s="1282"/>
      <c r="I161" s="1283"/>
      <c r="J161" s="1283"/>
      <c r="K161" s="1283"/>
      <c r="L161" s="1283"/>
      <c r="M161" s="1283"/>
      <c r="N161" s="1283"/>
      <c r="O161" s="1283"/>
      <c r="P161" s="1283"/>
      <c r="Q161" s="1283"/>
      <c r="R161" s="1283"/>
      <c r="S161" s="1283"/>
      <c r="T161" s="1283"/>
      <c r="U161" s="1283"/>
      <c r="V161" s="1283"/>
      <c r="W161" s="1283"/>
      <c r="X161" s="1283"/>
      <c r="Y161" s="1283"/>
      <c r="Z161" s="1283"/>
    </row>
    <row r="162" spans="1:252" s="1280" customFormat="1" ht="17.25" customHeight="1">
      <c r="A162" s="1279"/>
      <c r="C162" s="1298"/>
      <c r="G162" s="1324">
        <f t="shared" ref="G162:Z162" si="74">G6</f>
        <v>2007</v>
      </c>
      <c r="H162" s="1324">
        <f t="shared" si="74"/>
        <v>2008</v>
      </c>
      <c r="I162" s="1324">
        <f t="shared" si="74"/>
        <v>2009</v>
      </c>
      <c r="J162" s="1324">
        <f t="shared" si="74"/>
        <v>2010</v>
      </c>
      <c r="K162" s="1324">
        <f t="shared" si="74"/>
        <v>2011</v>
      </c>
      <c r="L162" s="1324">
        <f t="shared" si="74"/>
        <v>2012</v>
      </c>
      <c r="M162" s="1324">
        <f t="shared" si="74"/>
        <v>2013</v>
      </c>
      <c r="N162" s="1324">
        <f t="shared" si="74"/>
        <v>2014</v>
      </c>
      <c r="O162" s="1324">
        <f t="shared" si="74"/>
        <v>2015</v>
      </c>
      <c r="P162" s="1324">
        <f t="shared" si="74"/>
        <v>2016</v>
      </c>
      <c r="Q162" s="1324">
        <f t="shared" si="74"/>
        <v>2017</v>
      </c>
      <c r="R162" s="1324">
        <f t="shared" si="74"/>
        <v>2018</v>
      </c>
      <c r="S162" s="1324">
        <f t="shared" si="74"/>
        <v>2019</v>
      </c>
      <c r="T162" s="1324">
        <f t="shared" si="74"/>
        <v>2020</v>
      </c>
      <c r="U162" s="1324">
        <f t="shared" si="74"/>
        <v>2021</v>
      </c>
      <c r="V162" s="1324">
        <f t="shared" si="74"/>
        <v>2022</v>
      </c>
      <c r="W162" s="1324">
        <f t="shared" si="74"/>
        <v>2023</v>
      </c>
      <c r="X162" s="1324">
        <f t="shared" si="74"/>
        <v>2024</v>
      </c>
      <c r="Y162" s="1324">
        <f t="shared" si="74"/>
        <v>2025</v>
      </c>
      <c r="Z162" s="4202">
        <f t="shared" si="74"/>
        <v>2026</v>
      </c>
    </row>
    <row r="163" spans="1:252" s="1280" customFormat="1" ht="17.25" customHeight="1">
      <c r="A163" s="1279"/>
      <c r="C163" s="1298"/>
      <c r="D163" s="1280" t="s">
        <v>877</v>
      </c>
      <c r="G163" s="1325">
        <f t="shared" ref="G163:Z163" si="75">G20</f>
        <v>0</v>
      </c>
      <c r="H163" s="1325">
        <f t="shared" si="75"/>
        <v>0</v>
      </c>
      <c r="I163" s="1325">
        <f t="shared" si="75"/>
        <v>76555.62</v>
      </c>
      <c r="J163" s="1325">
        <f t="shared" si="75"/>
        <v>0</v>
      </c>
      <c r="K163" s="1325">
        <f t="shared" si="75"/>
        <v>0</v>
      </c>
      <c r="L163" s="1325">
        <f t="shared" si="75"/>
        <v>0</v>
      </c>
      <c r="M163" s="1325">
        <f t="shared" si="75"/>
        <v>0</v>
      </c>
      <c r="N163" s="1325">
        <f t="shared" si="75"/>
        <v>0</v>
      </c>
      <c r="O163" s="1325">
        <f t="shared" si="75"/>
        <v>0</v>
      </c>
      <c r="P163" s="1325">
        <f t="shared" si="75"/>
        <v>0</v>
      </c>
      <c r="Q163" s="1325">
        <f t="shared" si="75"/>
        <v>0</v>
      </c>
      <c r="R163" s="1325">
        <f t="shared" si="75"/>
        <v>0</v>
      </c>
      <c r="S163" s="1325">
        <f t="shared" si="75"/>
        <v>0</v>
      </c>
      <c r="T163" s="1325">
        <f t="shared" si="75"/>
        <v>0</v>
      </c>
      <c r="U163" s="1325">
        <f t="shared" si="75"/>
        <v>0</v>
      </c>
      <c r="V163" s="1325">
        <f t="shared" si="75"/>
        <v>0</v>
      </c>
      <c r="W163" s="1325">
        <f t="shared" si="75"/>
        <v>0</v>
      </c>
      <c r="X163" s="1325">
        <f t="shared" si="75"/>
        <v>0</v>
      </c>
      <c r="Y163" s="1325">
        <f t="shared" si="75"/>
        <v>0</v>
      </c>
      <c r="Z163" s="1325">
        <f t="shared" si="75"/>
        <v>0</v>
      </c>
    </row>
    <row r="164" spans="1:252" s="1280" customFormat="1" ht="17.25" customHeight="1">
      <c r="A164" s="1279"/>
      <c r="C164" s="1298"/>
      <c r="D164" s="1280" t="s">
        <v>313</v>
      </c>
      <c r="E164" s="1282"/>
      <c r="F164" s="1282"/>
      <c r="G164" s="1325">
        <f t="shared" ref="G164:Z164" si="76">G67</f>
        <v>0</v>
      </c>
      <c r="H164" s="1325">
        <f t="shared" si="76"/>
        <v>0</v>
      </c>
      <c r="I164" s="1325">
        <f t="shared" si="76"/>
        <v>23707866.359999996</v>
      </c>
      <c r="J164" s="1325">
        <f t="shared" si="76"/>
        <v>21840013.079999998</v>
      </c>
      <c r="K164" s="1325">
        <f t="shared" si="76"/>
        <v>22275782.579999998</v>
      </c>
      <c r="L164" s="1325">
        <f t="shared" si="76"/>
        <v>23182503.020000007</v>
      </c>
      <c r="M164" s="1325">
        <f t="shared" si="76"/>
        <v>22919312.75</v>
      </c>
      <c r="N164" s="1325">
        <f t="shared" si="76"/>
        <v>25125926.260000002</v>
      </c>
      <c r="O164" s="1325">
        <f t="shared" si="76"/>
        <v>26602965.880000006</v>
      </c>
      <c r="P164" s="1325">
        <f t="shared" si="76"/>
        <v>29157426.357729089</v>
      </c>
      <c r="Q164" s="1325">
        <f t="shared" si="76"/>
        <v>28366026.767493136</v>
      </c>
      <c r="R164" s="1325">
        <f t="shared" si="76"/>
        <v>29607066.269383427</v>
      </c>
      <c r="S164" s="1325">
        <f t="shared" si="76"/>
        <v>29909573.184843589</v>
      </c>
      <c r="T164" s="1325">
        <f t="shared" si="76"/>
        <v>30984564.991925973</v>
      </c>
      <c r="U164" s="1325">
        <f t="shared" si="76"/>
        <v>32193549.351190228</v>
      </c>
      <c r="V164" s="1325">
        <f t="shared" si="76"/>
        <v>31590768.477236833</v>
      </c>
      <c r="W164" s="1325">
        <f t="shared" si="76"/>
        <v>33441750.524913382</v>
      </c>
      <c r="X164" s="1325">
        <f t="shared" si="76"/>
        <v>34932394.176444799</v>
      </c>
      <c r="Y164" s="1325">
        <f t="shared" si="76"/>
        <v>37049000.596623883</v>
      </c>
      <c r="Z164" s="1325">
        <f t="shared" si="76"/>
        <v>39255190.100388512</v>
      </c>
    </row>
    <row r="165" spans="1:252" s="1280" customFormat="1" ht="17.25" customHeight="1">
      <c r="A165" s="1279"/>
      <c r="C165" s="1298"/>
      <c r="D165" s="1280" t="s">
        <v>889</v>
      </c>
      <c r="E165" s="1282"/>
      <c r="F165" s="1282"/>
      <c r="G165" s="1325">
        <f t="shared" ref="G165:Z165" si="77">G84</f>
        <v>0</v>
      </c>
      <c r="H165" s="1325">
        <f t="shared" si="77"/>
        <v>0</v>
      </c>
      <c r="I165" s="1325">
        <f t="shared" si="77"/>
        <v>2059493.48</v>
      </c>
      <c r="J165" s="1325">
        <f t="shared" si="77"/>
        <v>1985241.6099999999</v>
      </c>
      <c r="K165" s="1325">
        <f t="shared" si="77"/>
        <v>2231608.9899999998</v>
      </c>
      <c r="L165" s="1325">
        <f t="shared" si="77"/>
        <v>1515866.54</v>
      </c>
      <c r="M165" s="1325">
        <f t="shared" si="77"/>
        <v>1652966.02</v>
      </c>
      <c r="N165" s="1325">
        <f t="shared" si="77"/>
        <v>2184113.13</v>
      </c>
      <c r="O165" s="1325">
        <f t="shared" si="77"/>
        <v>2766607.75</v>
      </c>
      <c r="P165" s="1325">
        <f t="shared" si="77"/>
        <v>3000287.0161054586</v>
      </c>
      <c r="Q165" s="1325">
        <f t="shared" si="77"/>
        <v>3163645.765841241</v>
      </c>
      <c r="R165" s="1325">
        <f t="shared" si="77"/>
        <v>3395500.4463553242</v>
      </c>
      <c r="S165" s="1325">
        <f t="shared" si="77"/>
        <v>3554384.3960699365</v>
      </c>
      <c r="T165" s="1325">
        <f t="shared" si="77"/>
        <v>3703069.4424492046</v>
      </c>
      <c r="U165" s="1325">
        <f t="shared" si="77"/>
        <v>3829833.4052451495</v>
      </c>
      <c r="V165" s="1325">
        <f t="shared" si="77"/>
        <v>3835042.0424758028</v>
      </c>
      <c r="W165" s="1325">
        <f t="shared" si="77"/>
        <v>4028715.4699299904</v>
      </c>
      <c r="X165" s="1325">
        <f t="shared" si="77"/>
        <v>4182408.5227264669</v>
      </c>
      <c r="Y165" s="1325">
        <f t="shared" si="77"/>
        <v>4384395.8689606739</v>
      </c>
      <c r="Z165" s="1325">
        <f t="shared" si="77"/>
        <v>4582700.3956712745</v>
      </c>
    </row>
    <row r="166" spans="1:252" s="1280" customFormat="1" ht="17.25" customHeight="1">
      <c r="A166" s="1279"/>
      <c r="C166" s="1298"/>
      <c r="D166" s="1280" t="s">
        <v>520</v>
      </c>
      <c r="E166" s="1282"/>
      <c r="F166" s="1282"/>
      <c r="G166" s="2142">
        <f t="shared" ref="G166:Z166" si="78">G159</f>
        <v>0</v>
      </c>
      <c r="H166" s="2142">
        <f t="shared" si="78"/>
        <v>0</v>
      </c>
      <c r="I166" s="2142">
        <f t="shared" si="78"/>
        <v>16230865.669999998</v>
      </c>
      <c r="J166" s="2142">
        <f t="shared" si="78"/>
        <v>15710782.41</v>
      </c>
      <c r="K166" s="2142">
        <f t="shared" si="78"/>
        <v>14981385.439999999</v>
      </c>
      <c r="L166" s="2142">
        <f t="shared" si="78"/>
        <v>15495162.170000002</v>
      </c>
      <c r="M166" s="2142">
        <f t="shared" si="78"/>
        <v>18771334.510000002</v>
      </c>
      <c r="N166" s="2142">
        <f t="shared" si="78"/>
        <v>16684459.040000003</v>
      </c>
      <c r="O166" s="2142">
        <f t="shared" si="78"/>
        <v>21481102.950000003</v>
      </c>
      <c r="P166" s="2142">
        <f t="shared" si="78"/>
        <v>22090719.305608291</v>
      </c>
      <c r="Q166" s="2142">
        <f t="shared" si="78"/>
        <v>22094165.053695187</v>
      </c>
      <c r="R166" s="2142">
        <f t="shared" si="78"/>
        <v>23558199.690145094</v>
      </c>
      <c r="S166" s="2142">
        <f t="shared" si="78"/>
        <v>24521321.72563092</v>
      </c>
      <c r="T166" s="2142">
        <f t="shared" si="78"/>
        <v>25388432.701867282</v>
      </c>
      <c r="U166" s="2142">
        <f t="shared" si="78"/>
        <v>26487653.679572839</v>
      </c>
      <c r="V166" s="2142">
        <f t="shared" si="78"/>
        <v>25930673.581373662</v>
      </c>
      <c r="W166" s="2142">
        <f t="shared" si="78"/>
        <v>27290093.823522683</v>
      </c>
      <c r="X166" s="2142">
        <f t="shared" si="78"/>
        <v>28350981.50409691</v>
      </c>
      <c r="Y166" s="2142">
        <f t="shared" si="78"/>
        <v>30130790.899184581</v>
      </c>
      <c r="Z166" s="2142">
        <f t="shared" si="78"/>
        <v>31995700.324354641</v>
      </c>
    </row>
    <row r="167" spans="1:252" s="1280" customFormat="1" ht="17.25" customHeight="1">
      <c r="A167" s="1279"/>
      <c r="C167" s="1298"/>
      <c r="D167" s="1280" t="s">
        <v>2231</v>
      </c>
      <c r="G167" s="1325">
        <f t="shared" ref="G167:Z167" si="79">G26</f>
        <v>0</v>
      </c>
      <c r="H167" s="1325">
        <f t="shared" si="79"/>
        <v>0</v>
      </c>
      <c r="I167" s="1325">
        <f t="shared" si="79"/>
        <v>18764133.25</v>
      </c>
      <c r="J167" s="1325">
        <f t="shared" si="79"/>
        <v>24641320.300000001</v>
      </c>
      <c r="K167" s="1325">
        <f t="shared" si="79"/>
        <v>22070463.609999999</v>
      </c>
      <c r="L167" s="1325">
        <f t="shared" si="79"/>
        <v>18555225.159999996</v>
      </c>
      <c r="M167" s="1325">
        <f t="shared" si="79"/>
        <v>20711320.289999999</v>
      </c>
      <c r="N167" s="1325">
        <f t="shared" si="79"/>
        <v>22276660.329999998</v>
      </c>
      <c r="O167" s="1325">
        <f t="shared" si="79"/>
        <v>21771158.43</v>
      </c>
      <c r="P167" s="1325">
        <f t="shared" si="79"/>
        <v>13021358.215000195</v>
      </c>
      <c r="Q167" s="1325">
        <f t="shared" si="79"/>
        <v>12869310.099137427</v>
      </c>
      <c r="R167" s="1325">
        <f t="shared" si="79"/>
        <v>13388859.190690089</v>
      </c>
      <c r="S167" s="1325">
        <f t="shared" si="79"/>
        <v>13875351.006627321</v>
      </c>
      <c r="T167" s="1325">
        <f t="shared" si="79"/>
        <v>14394705.787581932</v>
      </c>
      <c r="U167" s="1325">
        <f t="shared" si="79"/>
        <v>15164931.604000604</v>
      </c>
      <c r="V167" s="1325">
        <f t="shared" si="79"/>
        <v>14708264.600651238</v>
      </c>
      <c r="W167" s="1325">
        <f t="shared" si="79"/>
        <v>15547055.999787565</v>
      </c>
      <c r="X167" s="1325">
        <f t="shared" si="79"/>
        <v>16252281.10125982</v>
      </c>
      <c r="Y167" s="1325">
        <f t="shared" si="79"/>
        <v>17428902.127743255</v>
      </c>
      <c r="Z167" s="1325">
        <f t="shared" si="79"/>
        <v>18737217.167352997</v>
      </c>
    </row>
    <row r="168" spans="1:252" s="1280" customFormat="1" ht="17.25" customHeight="1">
      <c r="A168" s="1279"/>
      <c r="C168" s="1298"/>
      <c r="D168" s="1282"/>
      <c r="E168" s="1282"/>
      <c r="F168" s="1282"/>
      <c r="G168" s="2143">
        <f t="shared" ref="G168:Z168" si="80">SUM(G163:G167)</f>
        <v>0</v>
      </c>
      <c r="H168" s="2143">
        <f t="shared" si="80"/>
        <v>0</v>
      </c>
      <c r="I168" s="2143">
        <f t="shared" si="80"/>
        <v>60838914.379999995</v>
      </c>
      <c r="J168" s="2143">
        <f t="shared" si="80"/>
        <v>64177357.399999991</v>
      </c>
      <c r="K168" s="2143">
        <f t="shared" si="80"/>
        <v>61559240.619999997</v>
      </c>
      <c r="L168" s="2143">
        <f t="shared" si="80"/>
        <v>58748756.890000001</v>
      </c>
      <c r="M168" s="2143">
        <f t="shared" si="80"/>
        <v>64054933.57</v>
      </c>
      <c r="N168" s="2143">
        <f t="shared" si="80"/>
        <v>66271158.760000005</v>
      </c>
      <c r="O168" s="2143">
        <f t="shared" si="80"/>
        <v>72621835.01000002</v>
      </c>
      <c r="P168" s="2143">
        <f t="shared" si="80"/>
        <v>67269790.894443035</v>
      </c>
      <c r="Q168" s="2143">
        <f t="shared" si="80"/>
        <v>66493147.686166987</v>
      </c>
      <c r="R168" s="2143">
        <f t="shared" si="80"/>
        <v>69949625.596573934</v>
      </c>
      <c r="S168" s="2143">
        <f t="shared" si="80"/>
        <v>71860630.313171774</v>
      </c>
      <c r="T168" s="2143">
        <f t="shared" si="80"/>
        <v>74470772.9238244</v>
      </c>
      <c r="U168" s="2143">
        <f t="shared" si="80"/>
        <v>77675968.040008813</v>
      </c>
      <c r="V168" s="2143">
        <f t="shared" si="80"/>
        <v>76064748.701737538</v>
      </c>
      <c r="W168" s="2143">
        <f t="shared" si="80"/>
        <v>80307615.81815362</v>
      </c>
      <c r="X168" s="2143">
        <f t="shared" si="80"/>
        <v>83718065.304527998</v>
      </c>
      <c r="Y168" s="2143">
        <f t="shared" si="80"/>
        <v>88993089.49251239</v>
      </c>
      <c r="Z168" s="2143">
        <f t="shared" si="80"/>
        <v>94570807.987767428</v>
      </c>
    </row>
    <row r="169" spans="1:252" s="1280" customFormat="1" ht="17.25" customHeight="1">
      <c r="A169" s="1279"/>
      <c r="C169" s="1298"/>
      <c r="H169" s="1325"/>
      <c r="I169" s="1325"/>
      <c r="J169" s="1325"/>
      <c r="K169" s="1325"/>
      <c r="L169" s="1325"/>
      <c r="M169" s="1325"/>
      <c r="N169" s="205"/>
      <c r="O169" s="205"/>
      <c r="P169" s="205"/>
      <c r="Q169" s="205"/>
      <c r="R169" s="205"/>
      <c r="S169" s="205"/>
      <c r="T169" s="205"/>
      <c r="U169" s="205"/>
      <c r="V169" s="205"/>
      <c r="W169" s="205"/>
      <c r="X169" s="205"/>
      <c r="Y169" s="205"/>
      <c r="Z169" s="205"/>
    </row>
    <row r="170" spans="1:252" s="1280" customFormat="1" ht="17.25" customHeight="1">
      <c r="A170" s="1279"/>
      <c r="I170" s="1283"/>
      <c r="J170" s="1283"/>
      <c r="K170" s="1283"/>
      <c r="L170" s="1283"/>
      <c r="M170" s="1283"/>
      <c r="N170" s="2142"/>
      <c r="O170" s="2142"/>
      <c r="P170" s="2142"/>
      <c r="Q170" s="2142"/>
      <c r="R170" s="2142"/>
      <c r="S170" s="2142"/>
      <c r="T170" s="2142"/>
      <c r="U170" s="2142"/>
      <c r="V170" s="2142"/>
      <c r="W170" s="2142"/>
      <c r="X170" s="2142"/>
      <c r="Y170" s="2142"/>
      <c r="Z170" s="2142"/>
    </row>
    <row r="171" spans="1:252" s="1280" customFormat="1" ht="17.25" customHeight="1">
      <c r="A171" s="1279"/>
      <c r="C171" s="1326"/>
      <c r="D171" s="1326" t="s">
        <v>685</v>
      </c>
      <c r="E171" s="1326"/>
      <c r="F171" s="1326"/>
      <c r="G171" s="1326"/>
      <c r="H171" s="1326"/>
      <c r="I171" s="1327"/>
      <c r="J171" s="1327"/>
      <c r="K171" s="1327"/>
      <c r="L171" s="1328"/>
      <c r="M171" s="1327"/>
      <c r="N171" s="1327"/>
      <c r="O171" s="1327"/>
      <c r="P171" s="1327"/>
      <c r="Q171" s="1327"/>
      <c r="R171" s="1327"/>
      <c r="S171" s="1327"/>
      <c r="T171" s="1327"/>
      <c r="U171" s="1327"/>
      <c r="V171" s="1327"/>
      <c r="W171" s="1327"/>
      <c r="X171" s="1327"/>
      <c r="Y171" s="1327"/>
      <c r="Z171" s="1327"/>
      <c r="AA171" s="1326"/>
      <c r="AB171" s="1326"/>
    </row>
    <row r="172" spans="1:252" s="1280" customFormat="1" ht="17.25" customHeight="1">
      <c r="A172" s="1279"/>
      <c r="H172" s="1288"/>
      <c r="I172" s="1288"/>
      <c r="J172" s="1288"/>
      <c r="K172" s="1288"/>
      <c r="L172" s="1288"/>
      <c r="M172" s="1288"/>
      <c r="N172" s="1288"/>
      <c r="O172" s="1288"/>
      <c r="P172" s="1288"/>
      <c r="Q172" s="1288"/>
      <c r="R172" s="1288"/>
      <c r="S172" s="1288"/>
      <c r="T172" s="1288"/>
      <c r="U172" s="1288"/>
      <c r="V172" s="1288"/>
      <c r="W172" s="1288"/>
      <c r="X172" s="1288"/>
      <c r="Y172" s="1288"/>
      <c r="Z172" s="1288"/>
    </row>
    <row r="173" spans="1:252" s="2" customFormat="1" ht="15.75">
      <c r="A173" s="411"/>
      <c r="H173" s="56" t="s">
        <v>572</v>
      </c>
      <c r="J173" s="5">
        <v>3</v>
      </c>
      <c r="K173" s="5">
        <v>4</v>
      </c>
      <c r="L173" s="5">
        <v>5</v>
      </c>
      <c r="M173" s="5">
        <v>6</v>
      </c>
      <c r="N173" s="5">
        <v>7</v>
      </c>
      <c r="O173" s="5">
        <v>8</v>
      </c>
      <c r="P173" s="5">
        <v>9</v>
      </c>
      <c r="Q173" s="5">
        <v>10</v>
      </c>
      <c r="R173" s="5">
        <v>11</v>
      </c>
      <c r="S173" s="5">
        <v>12</v>
      </c>
      <c r="T173" s="5">
        <v>13</v>
      </c>
      <c r="U173" s="5">
        <v>14</v>
      </c>
      <c r="V173" s="5">
        <v>15</v>
      </c>
      <c r="W173" s="5">
        <v>16</v>
      </c>
      <c r="X173" s="5">
        <v>17</v>
      </c>
      <c r="Y173" s="5">
        <v>18</v>
      </c>
      <c r="Z173" s="5">
        <v>19</v>
      </c>
    </row>
    <row r="174" spans="1:252" s="2" customFormat="1" ht="17.25" customHeight="1">
      <c r="A174" s="411"/>
      <c r="H174" s="442" t="s">
        <v>386</v>
      </c>
      <c r="I174" s="991" t="s">
        <v>560</v>
      </c>
      <c r="J174" s="990">
        <f t="shared" ref="J174:Z174" si="81">J6</f>
        <v>2010</v>
      </c>
      <c r="K174" s="990">
        <f t="shared" si="81"/>
        <v>2011</v>
      </c>
      <c r="L174" s="990">
        <f t="shared" si="81"/>
        <v>2012</v>
      </c>
      <c r="M174" s="990">
        <f t="shared" si="81"/>
        <v>2013</v>
      </c>
      <c r="N174" s="990">
        <f t="shared" si="81"/>
        <v>2014</v>
      </c>
      <c r="O174" s="990">
        <f t="shared" si="81"/>
        <v>2015</v>
      </c>
      <c r="P174" s="990">
        <f t="shared" si="81"/>
        <v>2016</v>
      </c>
      <c r="Q174" s="990">
        <f t="shared" si="81"/>
        <v>2017</v>
      </c>
      <c r="R174" s="990">
        <f t="shared" si="81"/>
        <v>2018</v>
      </c>
      <c r="S174" s="990">
        <f t="shared" si="81"/>
        <v>2019</v>
      </c>
      <c r="T174" s="990">
        <f t="shared" si="81"/>
        <v>2020</v>
      </c>
      <c r="U174" s="990">
        <f t="shared" si="81"/>
        <v>2021</v>
      </c>
      <c r="V174" s="990">
        <f t="shared" si="81"/>
        <v>2022</v>
      </c>
      <c r="W174" s="990">
        <f t="shared" si="81"/>
        <v>2023</v>
      </c>
      <c r="X174" s="990">
        <f t="shared" si="81"/>
        <v>2024</v>
      </c>
      <c r="Y174" s="990">
        <f t="shared" si="81"/>
        <v>2025</v>
      </c>
      <c r="Z174" s="4203">
        <f t="shared" si="81"/>
        <v>2026</v>
      </c>
    </row>
    <row r="175" spans="1:252" customFormat="1" ht="15.75">
      <c r="A175" s="411"/>
      <c r="D175" s="987"/>
      <c r="E175" s="987"/>
      <c r="H175" s="428">
        <v>11</v>
      </c>
      <c r="I175" s="1513" t="s">
        <v>2175</v>
      </c>
      <c r="J175" s="437"/>
      <c r="K175" s="437"/>
      <c r="L175" s="437"/>
      <c r="M175" s="437"/>
      <c r="N175" s="437"/>
      <c r="O175" s="1515">
        <v>0.39731487846180802</v>
      </c>
      <c r="P175" s="3086">
        <f>'Forecast (BV) 2017'!Z71</f>
        <v>5.057580080964108E-2</v>
      </c>
      <c r="Q175" s="3086">
        <f>'Forecast (BV) 2017'!AA71</f>
        <v>-2.7142299204544362E-2</v>
      </c>
      <c r="R175" s="3086">
        <f>'Forecast (BV) 2017'!AB71</f>
        <v>4.3750910624976713E-2</v>
      </c>
      <c r="S175" s="3086">
        <f>'Forecast (BV) 2017'!AC71</f>
        <v>1.0217389075559469E-2</v>
      </c>
      <c r="T175" s="3086">
        <f>'Forecast (BV) 2017'!AD71</f>
        <v>3.5941395767797868E-2</v>
      </c>
      <c r="U175" s="3086">
        <f>'Forecast (BV) 2017'!AE71</f>
        <v>3.9018923117987825E-2</v>
      </c>
      <c r="V175" s="3086">
        <f>'Forecast (BV) 2017'!AF71</f>
        <v>-1.8723653840644339E-2</v>
      </c>
      <c r="W175" s="3086">
        <f>'Forecast (BV) 2017'!AG71</f>
        <v>5.859249828032187E-2</v>
      </c>
      <c r="X175" s="3086">
        <f>'Forecast (BV) 2017'!AH71</f>
        <v>4.4574330832978237E-2</v>
      </c>
      <c r="Y175" s="3086">
        <f>'Forecast (BV) 2017'!AI71</f>
        <v>6.0591507398205291E-2</v>
      </c>
      <c r="Z175" s="3086">
        <f>'Forecast (BV) 2017'!AJ71</f>
        <v>5.9547881676615955E-2</v>
      </c>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row>
    <row r="176" spans="1:252" customFormat="1" ht="15.75">
      <c r="A176" s="411"/>
      <c r="D176" s="987"/>
      <c r="E176" s="987"/>
      <c r="H176" s="428">
        <v>12</v>
      </c>
      <c r="I176" s="1513" t="s">
        <v>2176</v>
      </c>
      <c r="J176" s="437"/>
      <c r="K176" s="437"/>
      <c r="L176" s="437"/>
      <c r="M176" s="437"/>
      <c r="N176" s="437"/>
      <c r="O176" s="1515">
        <v>-6.6239331033354554E-2</v>
      </c>
      <c r="P176" s="3087">
        <f>'Forecast (BV) 2017'!Z72</f>
        <v>8.4464184019385602E-2</v>
      </c>
      <c r="Q176" s="3087">
        <f>'Forecast (BV) 2017'!AA72</f>
        <v>5.4447707455612449E-2</v>
      </c>
      <c r="R176" s="3087">
        <f>'Forecast (BV) 2017'!AB72</f>
        <v>7.3287181206405094E-2</v>
      </c>
      <c r="S176" s="3087">
        <f>'Forecast (BV) 2017'!AC72</f>
        <v>4.6792498550590755E-2</v>
      </c>
      <c r="T176" s="3087">
        <f>'Forecast (BV) 2017'!AD72</f>
        <v>4.1831448096516732E-2</v>
      </c>
      <c r="U176" s="3087">
        <f>'Forecast (BV) 2017'!AE72</f>
        <v>3.4232132225990197E-2</v>
      </c>
      <c r="V176" s="3087">
        <f>'Forecast (BV) 2017'!AF72</f>
        <v>1.3600166585627793E-3</v>
      </c>
      <c r="W176" s="3087">
        <f>'Forecast (BV) 2017'!AG72</f>
        <v>5.0500991986298205E-2</v>
      </c>
      <c r="X176" s="3087">
        <f>'Forecast (BV) 2017'!AH72</f>
        <v>3.8149393756801375E-2</v>
      </c>
      <c r="Y176" s="3087">
        <f>'Forecast (BV) 2017'!AI72</f>
        <v>4.8294504263905358E-2</v>
      </c>
      <c r="Z176" s="3087">
        <f>'Forecast (BV) 2017'!AJ72</f>
        <v>4.5229612616528803E-2</v>
      </c>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row>
    <row r="177" spans="1:252" customFormat="1" ht="15.75">
      <c r="A177" s="411"/>
      <c r="D177" s="987"/>
      <c r="E177" s="987"/>
      <c r="H177" s="428">
        <v>13</v>
      </c>
      <c r="I177" s="1513" t="s">
        <v>2177</v>
      </c>
      <c r="J177" s="437"/>
      <c r="K177" s="437"/>
      <c r="L177" s="437"/>
      <c r="M177" s="437"/>
      <c r="N177" s="437"/>
      <c r="O177" s="1515">
        <v>-4.7131036051222354E-2</v>
      </c>
      <c r="P177" s="3087">
        <f>'Forecast (BV) 2017'!Z73</f>
        <v>2.9407631490024233E-2</v>
      </c>
      <c r="Q177" s="3087">
        <f>'Forecast (BV) 2017'!AA73</f>
        <v>1.5598170612762807E-4</v>
      </c>
      <c r="R177" s="3087">
        <f>'Forecast (BV) 2017'!AB73</f>
        <v>6.6263406328860297E-2</v>
      </c>
      <c r="S177" s="3087">
        <f>'Forecast (BV) 2017'!AC73</f>
        <v>4.0882667103324E-2</v>
      </c>
      <c r="T177" s="3087">
        <f>'Forecast (BV) 2017'!AD73</f>
        <v>3.5361510522902151E-2</v>
      </c>
      <c r="U177" s="3087">
        <f>'Forecast (BV) 2017'!AE73</f>
        <v>4.3296133739862297E-2</v>
      </c>
      <c r="V177" s="3087">
        <f>'Forecast (BV) 2017'!AF73</f>
        <v>-2.1027913794746889E-2</v>
      </c>
      <c r="W177" s="3087">
        <f>'Forecast (BV) 2017'!AG73</f>
        <v>5.2425180467564392E-2</v>
      </c>
      <c r="X177" s="3087">
        <f>'Forecast (BV) 2017'!AH73</f>
        <v>3.8874460726836757E-2</v>
      </c>
      <c r="Y177" s="3087">
        <f>'Forecast (BV) 2017'!AI73</f>
        <v>6.277769941864153E-2</v>
      </c>
      <c r="Z177" s="3087">
        <f>'Forecast (BV) 2017'!AJ73</f>
        <v>6.18938092733754E-2</v>
      </c>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row>
    <row r="178" spans="1:252" s="2" customFormat="1" ht="17.25" customHeight="1">
      <c r="A178" s="411"/>
      <c r="D178" s="987"/>
      <c r="E178" s="987"/>
      <c r="H178" s="428">
        <v>14</v>
      </c>
      <c r="I178" s="1513" t="s">
        <v>2174</v>
      </c>
      <c r="J178" s="437"/>
      <c r="K178" s="437"/>
      <c r="L178" s="437"/>
      <c r="M178" s="437"/>
      <c r="N178" s="437"/>
      <c r="O178" s="1515">
        <v>-0.4674726668833068</v>
      </c>
      <c r="P178" s="2994">
        <v>-5.2102456493574575E-2</v>
      </c>
      <c r="Q178" s="3087">
        <f>'Forecast (BV) 2017'!AA74</f>
        <v>-1.1676824594811785E-2</v>
      </c>
      <c r="R178" s="3087">
        <f>'Forecast (BV) 2017'!AB74</f>
        <v>4.0371168893310383E-2</v>
      </c>
      <c r="S178" s="3087">
        <f>'Forecast (BV) 2017'!AC74</f>
        <v>3.6335568924013462E-2</v>
      </c>
      <c r="T178" s="3087">
        <f>'Forecast (BV) 2017'!AD74</f>
        <v>3.7430028307503527E-2</v>
      </c>
      <c r="U178" s="3087">
        <f>'Forecast (BV) 2017'!AE74</f>
        <v>5.3507576173118743E-2</v>
      </c>
      <c r="V178" s="3087">
        <f>'Forecast (BV) 2017'!AF74</f>
        <v>-3.0113357268877761E-2</v>
      </c>
      <c r="W178" s="3087">
        <f>'Forecast (BV) 2017'!AG74</f>
        <v>5.7028576919889495E-2</v>
      </c>
      <c r="X178" s="3087">
        <f>'Forecast (BV) 2017'!AH74</f>
        <v>4.5360684458967127E-2</v>
      </c>
      <c r="Y178" s="3087">
        <f>'Forecast (BV) 2017'!AI74</f>
        <v>7.2397284981258858E-2</v>
      </c>
      <c r="Z178" s="3087">
        <f>'Forecast (BV) 2017'!AJ74</f>
        <v>7.5065832031219637E-2</v>
      </c>
    </row>
    <row r="179" spans="1:252" customFormat="1" ht="15.75">
      <c r="A179" s="411"/>
      <c r="H179" s="428">
        <v>15</v>
      </c>
      <c r="I179" s="1513" t="s">
        <v>2180</v>
      </c>
      <c r="J179" s="437"/>
      <c r="K179" s="437"/>
      <c r="L179" s="437"/>
      <c r="M179" s="437"/>
      <c r="N179" s="437"/>
      <c r="O179" s="437">
        <v>-1</v>
      </c>
      <c r="P179" s="2995">
        <f t="shared" ref="P179:S181" si="82">O179</f>
        <v>-1</v>
      </c>
      <c r="Q179" s="2995">
        <f t="shared" si="82"/>
        <v>-1</v>
      </c>
      <c r="R179" s="2995">
        <f t="shared" si="82"/>
        <v>-1</v>
      </c>
      <c r="S179" s="2995">
        <f t="shared" si="82"/>
        <v>-1</v>
      </c>
      <c r="T179" s="2995">
        <f t="shared" ref="T179:Z179" si="83">S179</f>
        <v>-1</v>
      </c>
      <c r="U179" s="2995">
        <f t="shared" si="83"/>
        <v>-1</v>
      </c>
      <c r="V179" s="2995">
        <f t="shared" si="83"/>
        <v>-1</v>
      </c>
      <c r="W179" s="2995">
        <f t="shared" si="83"/>
        <v>-1</v>
      </c>
      <c r="X179" s="2995">
        <f t="shared" si="83"/>
        <v>-1</v>
      </c>
      <c r="Y179" s="2995">
        <f t="shared" si="83"/>
        <v>-1</v>
      </c>
      <c r="Z179" s="4204">
        <f t="shared" si="83"/>
        <v>-1</v>
      </c>
    </row>
    <row r="180" spans="1:252" customFormat="1" ht="15.75">
      <c r="A180" s="411"/>
      <c r="H180" s="428">
        <v>16</v>
      </c>
      <c r="I180" s="1513" t="s">
        <v>2178</v>
      </c>
      <c r="J180" s="437"/>
      <c r="K180" s="437"/>
      <c r="L180" s="437"/>
      <c r="M180" s="437"/>
      <c r="N180" s="437"/>
      <c r="O180" s="437">
        <v>-1</v>
      </c>
      <c r="P180" s="2995">
        <f t="shared" si="82"/>
        <v>-1</v>
      </c>
      <c r="Q180" s="2995">
        <f t="shared" si="82"/>
        <v>-1</v>
      </c>
      <c r="R180" s="2995">
        <f t="shared" si="82"/>
        <v>-1</v>
      </c>
      <c r="S180" s="2995">
        <f t="shared" si="82"/>
        <v>-1</v>
      </c>
      <c r="T180" s="2995">
        <f t="shared" ref="T180:Z180" si="84">S180</f>
        <v>-1</v>
      </c>
      <c r="U180" s="2995">
        <f t="shared" si="84"/>
        <v>-1</v>
      </c>
      <c r="V180" s="2995">
        <f t="shared" si="84"/>
        <v>-1</v>
      </c>
      <c r="W180" s="2995">
        <f t="shared" si="84"/>
        <v>-1</v>
      </c>
      <c r="X180" s="2995">
        <f t="shared" si="84"/>
        <v>-1</v>
      </c>
      <c r="Y180" s="2995">
        <f t="shared" si="84"/>
        <v>-1</v>
      </c>
      <c r="Z180" s="4204">
        <f t="shared" si="84"/>
        <v>-1</v>
      </c>
    </row>
    <row r="181" spans="1:252" customFormat="1" ht="15.75">
      <c r="A181" s="411"/>
      <c r="H181" s="428">
        <v>17</v>
      </c>
      <c r="I181" s="1513" t="s">
        <v>2179</v>
      </c>
      <c r="J181" s="437"/>
      <c r="K181" s="437"/>
      <c r="L181" s="437"/>
      <c r="M181" s="437"/>
      <c r="N181" s="437"/>
      <c r="O181" s="437">
        <v>-1</v>
      </c>
      <c r="P181" s="2995">
        <f t="shared" si="82"/>
        <v>-1</v>
      </c>
      <c r="Q181" s="2995">
        <f t="shared" si="82"/>
        <v>-1</v>
      </c>
      <c r="R181" s="2995">
        <f t="shared" si="82"/>
        <v>-1</v>
      </c>
      <c r="S181" s="2995">
        <f t="shared" si="82"/>
        <v>-1</v>
      </c>
      <c r="T181" s="2995">
        <f t="shared" ref="T181:Z181" si="85">S181</f>
        <v>-1</v>
      </c>
      <c r="U181" s="2995">
        <f t="shared" si="85"/>
        <v>-1</v>
      </c>
      <c r="V181" s="2995">
        <f t="shared" si="85"/>
        <v>-1</v>
      </c>
      <c r="W181" s="2995">
        <f t="shared" si="85"/>
        <v>-1</v>
      </c>
      <c r="X181" s="2995">
        <f t="shared" si="85"/>
        <v>-1</v>
      </c>
      <c r="Y181" s="2995">
        <f t="shared" si="85"/>
        <v>-1</v>
      </c>
      <c r="Z181" s="4204">
        <f t="shared" si="85"/>
        <v>-1</v>
      </c>
    </row>
    <row r="182" spans="1:252" ht="15.75">
      <c r="A182" s="411"/>
    </row>
    <row r="183" spans="1:252" ht="15.75">
      <c r="A183" s="411"/>
    </row>
    <row r="184" spans="1:252" ht="15.75">
      <c r="A184" s="411"/>
      <c r="O184" t="s">
        <v>3469</v>
      </c>
    </row>
    <row r="185" spans="1:252" ht="15.75">
      <c r="A185" s="411"/>
      <c r="E185" s="3146" t="s">
        <v>2536</v>
      </c>
      <c r="F185" s="3146" t="s">
        <v>3502</v>
      </c>
      <c r="O185" t="s">
        <v>3470</v>
      </c>
    </row>
    <row r="186" spans="1:252" ht="15.75">
      <c r="A186" s="411"/>
      <c r="E186" s="1624" t="s">
        <v>2539</v>
      </c>
      <c r="F186" s="1624" t="s">
        <v>3494</v>
      </c>
    </row>
    <row r="187" spans="1:252" ht="15.75">
      <c r="A187" s="411"/>
      <c r="E187" s="1624" t="s">
        <v>2537</v>
      </c>
      <c r="F187" s="1624" t="s">
        <v>3495</v>
      </c>
    </row>
    <row r="188" spans="1:252" ht="15.75">
      <c r="A188" s="411"/>
      <c r="E188" s="1624" t="s">
        <v>2541</v>
      </c>
      <c r="F188" s="1624" t="s">
        <v>3496</v>
      </c>
    </row>
    <row r="189" spans="1:252" ht="15.75">
      <c r="A189" s="411"/>
      <c r="E189" s="1624" t="s">
        <v>2542</v>
      </c>
      <c r="F189" s="1624" t="s">
        <v>3496</v>
      </c>
    </row>
    <row r="190" spans="1:252" ht="15.75">
      <c r="A190" s="411"/>
      <c r="E190" s="1624" t="s">
        <v>2543</v>
      </c>
      <c r="F190" s="1624" t="s">
        <v>3496</v>
      </c>
    </row>
    <row r="191" spans="1:252" ht="15.75">
      <c r="A191" s="411"/>
      <c r="E191" s="1624" t="s">
        <v>2787</v>
      </c>
      <c r="F191" s="1624" t="s">
        <v>3499</v>
      </c>
    </row>
    <row r="192" spans="1:252" ht="15.75">
      <c r="A192" s="411"/>
    </row>
    <row r="193" spans="1:6" ht="15.75">
      <c r="A193" s="411"/>
      <c r="E193" s="3146" t="s">
        <v>3471</v>
      </c>
      <c r="F193" s="3146"/>
    </row>
    <row r="194" spans="1:6" ht="15.75">
      <c r="A194" s="411"/>
      <c r="E194" s="562" t="s">
        <v>3504</v>
      </c>
      <c r="F194" s="1624" t="s">
        <v>3503</v>
      </c>
    </row>
    <row r="195" spans="1:6" ht="15.75">
      <c r="A195" s="411"/>
    </row>
    <row r="196" spans="1:6" ht="15.75">
      <c r="A196" s="411"/>
    </row>
    <row r="197" spans="1:6" ht="15.75">
      <c r="A197" s="411"/>
    </row>
    <row r="198" spans="1:6" ht="15.75">
      <c r="A198" s="411"/>
    </row>
    <row r="199" spans="1:6" ht="15.75">
      <c r="A199" s="411"/>
    </row>
    <row r="200" spans="1:6" ht="15.75">
      <c r="A200" s="411"/>
    </row>
    <row r="201" spans="1:6" ht="15.75">
      <c r="A201" s="411"/>
    </row>
    <row r="202" spans="1:6" ht="15.75">
      <c r="A202" s="411"/>
    </row>
    <row r="203" spans="1:6" ht="15.75">
      <c r="A203" s="411"/>
    </row>
    <row r="204" spans="1:6" ht="15.75">
      <c r="A204" s="411"/>
    </row>
    <row r="205" spans="1:6" ht="15.75">
      <c r="A205" s="411"/>
    </row>
    <row r="206" spans="1:6" ht="15.75">
      <c r="A206" s="411"/>
    </row>
    <row r="207" spans="1:6" ht="15.75">
      <c r="A207" s="411"/>
    </row>
    <row r="208" spans="1:6" ht="15.75">
      <c r="A208" s="411"/>
    </row>
    <row r="209" spans="1:1" ht="15.75">
      <c r="A209" s="411"/>
    </row>
    <row r="210" spans="1:1" ht="15.75">
      <c r="A210" s="411"/>
    </row>
    <row r="211" spans="1:1"/>
    <row r="212" spans="1:1"/>
    <row r="213" spans="1:1"/>
    <row r="214" spans="1:1"/>
    <row r="215" spans="1:1"/>
    <row r="216" spans="1:1"/>
    <row r="217" spans="1:1"/>
    <row r="218" spans="1:1"/>
    <row r="219" spans="1:1"/>
    <row r="220" spans="1:1"/>
    <row r="221" spans="1:1"/>
    <row r="222" spans="1:1"/>
    <row r="223" spans="1:1"/>
    <row r="224" spans="1:1"/>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ht="15.75" customHeight="1"/>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sheetData>
  <mergeCells count="3">
    <mergeCell ref="C1:N1"/>
    <mergeCell ref="C2:N2"/>
    <mergeCell ref="C3:N3"/>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B285"/>
  <sheetViews>
    <sheetView showGridLines="0" zoomScale="89" zoomScaleNormal="89" workbookViewId="0">
      <pane xSplit="1" ySplit="8" topLeftCell="B9" activePane="bottomRight" state="frozen"/>
      <selection activeCell="G45" sqref="G45"/>
      <selection pane="topRight" activeCell="G45" sqref="G45"/>
      <selection pane="bottomLeft" activeCell="G45" sqref="G45"/>
      <selection pane="bottomRight" activeCell="G45" sqref="G45"/>
    </sheetView>
  </sheetViews>
  <sheetFormatPr defaultColWidth="0" defaultRowHeight="15.75" zeroHeight="1"/>
  <cols>
    <col min="1" max="1" width="22.625" customWidth="1"/>
    <col min="2" max="2" width="2" style="1" customWidth="1"/>
    <col min="3" max="3" width="9" customWidth="1"/>
    <col min="4" max="4" width="0.375" customWidth="1"/>
    <col min="5" max="5" width="30.75" customWidth="1"/>
    <col min="6" max="6" width="0.375" customWidth="1"/>
    <col min="7" max="7" width="155.125" customWidth="1"/>
    <col min="8" max="8" width="1.75" customWidth="1"/>
  </cols>
  <sheetData>
    <row r="1" spans="1:8" ht="22.5">
      <c r="A1" s="411"/>
      <c r="C1" s="430" t="s">
        <v>391</v>
      </c>
      <c r="D1" s="430"/>
      <c r="E1" s="109"/>
      <c r="F1" s="109"/>
      <c r="G1" s="430"/>
      <c r="H1" s="53"/>
    </row>
    <row r="2" spans="1:8" ht="22.5">
      <c r="A2" s="411"/>
      <c r="C2" s="430" t="s">
        <v>717</v>
      </c>
      <c r="D2" s="430"/>
      <c r="E2" s="109"/>
      <c r="F2" s="109"/>
      <c r="G2" s="430"/>
      <c r="H2" s="53"/>
    </row>
    <row r="3" spans="1:8" ht="22.5">
      <c r="A3" s="411"/>
      <c r="C3" s="430" t="s">
        <v>430</v>
      </c>
      <c r="D3" s="430"/>
      <c r="E3" s="109"/>
      <c r="F3" s="109"/>
      <c r="G3" s="430"/>
      <c r="H3" s="53"/>
    </row>
    <row r="4" spans="1:8" ht="15.75" customHeight="1">
      <c r="A4" s="411"/>
      <c r="C4" s="7"/>
      <c r="G4" s="50"/>
    </row>
    <row r="5" spans="1:8">
      <c r="A5" s="411"/>
    </row>
    <row r="6" spans="1:8">
      <c r="A6" s="411"/>
      <c r="H6" s="20"/>
    </row>
    <row r="7" spans="1:8">
      <c r="A7" s="411"/>
      <c r="C7" s="431" t="s">
        <v>867</v>
      </c>
      <c r="D7" s="86"/>
      <c r="E7" s="431" t="s">
        <v>201</v>
      </c>
      <c r="F7" s="86"/>
      <c r="G7" s="4341" t="s">
        <v>399</v>
      </c>
      <c r="H7" s="20"/>
    </row>
    <row r="8" spans="1:8">
      <c r="A8" s="411"/>
      <c r="C8" s="432" t="s">
        <v>398</v>
      </c>
      <c r="D8" s="86"/>
      <c r="E8" s="432" t="s">
        <v>202</v>
      </c>
      <c r="F8" s="86"/>
      <c r="G8" s="4342"/>
      <c r="H8" s="20"/>
    </row>
    <row r="9" spans="1:8">
      <c r="A9" s="411"/>
      <c r="C9" s="65"/>
      <c r="D9" s="51"/>
      <c r="E9" s="65"/>
      <c r="F9" s="51"/>
      <c r="G9" s="102"/>
      <c r="H9" s="20"/>
    </row>
    <row r="10" spans="1:8">
      <c r="A10" s="411"/>
      <c r="C10" s="54"/>
      <c r="D10" s="51"/>
      <c r="E10" s="58" t="s">
        <v>110</v>
      </c>
      <c r="F10" s="51"/>
      <c r="G10" s="51"/>
    </row>
    <row r="11" spans="1:8">
      <c r="A11" s="411"/>
      <c r="C11" s="54">
        <f>MAX($C$9:C10)+1</f>
        <v>1</v>
      </c>
      <c r="D11" s="51"/>
      <c r="E11" s="107" t="s">
        <v>431</v>
      </c>
      <c r="F11" s="51"/>
      <c r="G11" s="51" t="s">
        <v>432</v>
      </c>
    </row>
    <row r="12" spans="1:8">
      <c r="A12" s="411"/>
      <c r="C12" s="54">
        <f>MAX($C$9:C11)+1</f>
        <v>2</v>
      </c>
      <c r="D12" s="51"/>
      <c r="E12" s="107" t="s">
        <v>433</v>
      </c>
      <c r="F12" s="51"/>
      <c r="G12" s="51" t="s">
        <v>595</v>
      </c>
    </row>
    <row r="13" spans="1:8">
      <c r="A13" s="411"/>
      <c r="C13" s="54">
        <f>MAX($C$9:C12)+1</f>
        <v>3</v>
      </c>
      <c r="D13" s="51"/>
      <c r="E13" s="107" t="s">
        <v>576</v>
      </c>
      <c r="F13" s="51"/>
      <c r="G13" s="51" t="s">
        <v>596</v>
      </c>
    </row>
    <row r="14" spans="1:8">
      <c r="A14" s="411"/>
      <c r="C14" s="54">
        <f>MAX($C$9:C13)+1</f>
        <v>4</v>
      </c>
      <c r="D14" s="51"/>
      <c r="E14" s="107" t="s">
        <v>577</v>
      </c>
      <c r="F14" s="51"/>
      <c r="G14" s="51" t="s">
        <v>690</v>
      </c>
    </row>
    <row r="15" spans="1:8">
      <c r="A15" s="411"/>
      <c r="C15" s="54">
        <f>MAX($C$9:C14)+1</f>
        <v>5</v>
      </c>
      <c r="D15" s="51"/>
      <c r="E15" s="107" t="s">
        <v>434</v>
      </c>
      <c r="F15" s="51"/>
      <c r="G15" s="51" t="s">
        <v>690</v>
      </c>
    </row>
    <row r="16" spans="1:8">
      <c r="A16" s="411"/>
      <c r="C16" s="54">
        <f>MAX($C$9:C15)+1</f>
        <v>6</v>
      </c>
      <c r="D16" s="51"/>
      <c r="E16" s="107" t="s">
        <v>578</v>
      </c>
      <c r="F16" s="51"/>
      <c r="G16" s="51" t="s">
        <v>691</v>
      </c>
    </row>
    <row r="17" spans="1:7">
      <c r="A17" s="411"/>
      <c r="C17" s="54">
        <f>MAX($C$9:C16)+1</f>
        <v>7</v>
      </c>
      <c r="D17" s="51"/>
      <c r="E17" s="107" t="s">
        <v>294</v>
      </c>
      <c r="F17" s="51"/>
      <c r="G17" s="51" t="s">
        <v>692</v>
      </c>
    </row>
    <row r="18" spans="1:7">
      <c r="A18" s="411"/>
      <c r="C18" s="54">
        <f>MAX($C$9:C17)+1</f>
        <v>8</v>
      </c>
      <c r="D18" s="51"/>
      <c r="E18" s="107" t="s">
        <v>295</v>
      </c>
      <c r="F18" s="51"/>
      <c r="G18" s="51" t="s">
        <v>693</v>
      </c>
    </row>
    <row r="19" spans="1:7">
      <c r="A19" s="411"/>
      <c r="C19" s="54">
        <f>MAX($C$9:C18)+1</f>
        <v>9</v>
      </c>
      <c r="D19" s="51"/>
      <c r="E19" s="107" t="s">
        <v>296</v>
      </c>
      <c r="F19" s="51"/>
      <c r="G19" s="51" t="s">
        <v>355</v>
      </c>
    </row>
    <row r="20" spans="1:7">
      <c r="A20" s="411"/>
      <c r="C20" s="54">
        <f>MAX($C$9:C19)+1</f>
        <v>10</v>
      </c>
      <c r="D20" s="51"/>
      <c r="E20" s="107" t="s">
        <v>589</v>
      </c>
      <c r="F20" s="51"/>
      <c r="G20" s="51" t="s">
        <v>694</v>
      </c>
    </row>
    <row r="21" spans="1:7">
      <c r="A21" s="411"/>
      <c r="C21" s="54"/>
      <c r="D21" s="51"/>
      <c r="E21" s="51"/>
      <c r="F21" s="51"/>
      <c r="G21" s="51"/>
    </row>
    <row r="22" spans="1:7">
      <c r="A22" s="411"/>
      <c r="C22" s="54"/>
      <c r="D22" s="51"/>
      <c r="E22" s="58"/>
      <c r="F22" s="51"/>
      <c r="G22" s="51"/>
    </row>
    <row r="23" spans="1:7">
      <c r="A23" s="411"/>
      <c r="C23" s="54"/>
      <c r="D23" s="51"/>
      <c r="E23" s="107"/>
      <c r="F23" s="51"/>
      <c r="G23" s="51"/>
    </row>
    <row r="24" spans="1:7">
      <c r="A24" s="411"/>
      <c r="C24" s="54"/>
      <c r="D24" s="51"/>
      <c r="E24" s="107"/>
      <c r="F24" s="51"/>
      <c r="G24" s="51"/>
    </row>
    <row r="25" spans="1:7">
      <c r="A25" s="411"/>
      <c r="C25" s="54"/>
      <c r="D25" s="51"/>
      <c r="E25" s="107"/>
      <c r="F25" s="51"/>
      <c r="G25" s="51"/>
    </row>
    <row r="26" spans="1:7">
      <c r="A26" s="411"/>
      <c r="C26" s="54"/>
      <c r="D26" s="51"/>
      <c r="E26" s="107"/>
      <c r="F26" s="51"/>
      <c r="G26" s="51"/>
    </row>
    <row r="27" spans="1:7">
      <c r="A27" s="411"/>
      <c r="C27" s="54"/>
      <c r="D27" s="51"/>
      <c r="E27" s="107"/>
      <c r="F27" s="51"/>
      <c r="G27" s="51"/>
    </row>
    <row r="28" spans="1:7">
      <c r="A28" s="411"/>
      <c r="C28" s="54"/>
      <c r="D28" s="51"/>
      <c r="E28" s="107"/>
      <c r="F28" s="51"/>
      <c r="G28" s="51"/>
    </row>
    <row r="29" spans="1:7">
      <c r="A29" s="411"/>
      <c r="C29" s="54"/>
      <c r="D29" s="51"/>
      <c r="E29" s="107"/>
      <c r="F29" s="51"/>
      <c r="G29" s="51"/>
    </row>
    <row r="30" spans="1:7">
      <c r="A30" s="411"/>
      <c r="C30" s="54"/>
      <c r="D30" s="51"/>
      <c r="E30" s="107"/>
      <c r="F30" s="51"/>
      <c r="G30" s="51"/>
    </row>
    <row r="31" spans="1:7">
      <c r="A31" s="411"/>
      <c r="C31" s="54"/>
      <c r="D31" s="51"/>
      <c r="E31" s="107"/>
      <c r="F31" s="51"/>
      <c r="G31" s="51"/>
    </row>
    <row r="32" spans="1:7">
      <c r="A32" s="411"/>
      <c r="C32" s="54"/>
      <c r="D32" s="51"/>
      <c r="E32" s="107"/>
      <c r="F32" s="51"/>
      <c r="G32" s="51"/>
    </row>
    <row r="33" spans="1:7">
      <c r="A33" s="411"/>
      <c r="C33" s="54"/>
      <c r="D33" s="51"/>
      <c r="E33" s="107"/>
      <c r="F33" s="51"/>
      <c r="G33" s="51"/>
    </row>
    <row r="34" spans="1:7">
      <c r="A34" s="415"/>
      <c r="C34" s="54"/>
      <c r="D34" s="51"/>
      <c r="E34" s="52"/>
      <c r="F34" s="51"/>
      <c r="G34" s="51"/>
    </row>
    <row r="35" spans="1:7">
      <c r="A35" s="415"/>
      <c r="C35" s="54"/>
      <c r="D35" s="51"/>
      <c r="E35" s="58"/>
      <c r="F35" s="51"/>
      <c r="G35" s="51"/>
    </row>
    <row r="36" spans="1:7">
      <c r="A36" s="415"/>
      <c r="C36" s="54"/>
      <c r="D36" s="51"/>
      <c r="E36" s="107"/>
      <c r="F36" s="51"/>
      <c r="G36" s="51"/>
    </row>
    <row r="37" spans="1:7">
      <c r="A37" s="415"/>
      <c r="C37" s="54"/>
      <c r="D37" s="51"/>
      <c r="E37" s="52"/>
      <c r="F37" s="51"/>
      <c r="G37" s="51"/>
    </row>
    <row r="38" spans="1:7">
      <c r="A38" s="415"/>
      <c r="C38" s="54"/>
      <c r="D38" s="51"/>
      <c r="E38" s="58"/>
      <c r="F38" s="51"/>
      <c r="G38" s="51"/>
    </row>
    <row r="39" spans="1:7">
      <c r="A39" s="415"/>
      <c r="C39" s="54"/>
      <c r="D39" s="51"/>
      <c r="E39" s="107"/>
      <c r="F39" s="51"/>
      <c r="G39" s="51"/>
    </row>
    <row r="40" spans="1:7">
      <c r="A40" s="415"/>
      <c r="C40" s="54"/>
      <c r="D40" s="51"/>
      <c r="E40" s="107"/>
      <c r="F40" s="51"/>
      <c r="G40" s="51"/>
    </row>
    <row r="41" spans="1:7">
      <c r="A41" s="415"/>
      <c r="C41" s="54"/>
      <c r="D41" s="51"/>
      <c r="E41" s="107"/>
      <c r="F41" s="51"/>
      <c r="G41" s="51"/>
    </row>
    <row r="42" spans="1:7">
      <c r="A42" s="415"/>
      <c r="C42" s="51"/>
      <c r="D42" s="51"/>
      <c r="E42" s="51"/>
      <c r="F42" s="51"/>
      <c r="G42" s="51"/>
    </row>
    <row r="43" spans="1:7">
      <c r="A43" s="415"/>
      <c r="C43" s="51"/>
      <c r="D43" s="51"/>
      <c r="E43" s="58"/>
      <c r="F43" s="51"/>
      <c r="G43" s="51"/>
    </row>
    <row r="44" spans="1:7">
      <c r="A44" s="415"/>
      <c r="C44" s="54"/>
      <c r="D44" s="51"/>
      <c r="E44" s="107"/>
      <c r="F44" s="51"/>
      <c r="G44" s="51"/>
    </row>
    <row r="45" spans="1:7">
      <c r="A45" s="415"/>
      <c r="C45" s="51"/>
      <c r="D45" s="51"/>
      <c r="E45" s="51"/>
      <c r="F45" s="51"/>
      <c r="G45" s="51"/>
    </row>
    <row r="46" spans="1:7">
      <c r="A46" s="415"/>
      <c r="C46" s="51"/>
      <c r="D46" s="51"/>
      <c r="E46" s="51"/>
      <c r="F46" s="51"/>
      <c r="G46" s="51"/>
    </row>
    <row r="47" spans="1:7">
      <c r="A47" s="415"/>
      <c r="C47" s="51"/>
      <c r="D47" s="51"/>
      <c r="E47" s="51"/>
      <c r="F47" s="51"/>
      <c r="G47" s="51"/>
    </row>
    <row r="48" spans="1:7">
      <c r="A48" s="415"/>
      <c r="C48" s="51"/>
      <c r="D48" s="51"/>
      <c r="E48" s="51"/>
      <c r="F48" s="51"/>
      <c r="G48" s="51"/>
    </row>
    <row r="49" spans="1:7">
      <c r="A49" s="415"/>
      <c r="C49" s="51"/>
      <c r="D49" s="51"/>
      <c r="E49" s="51"/>
      <c r="F49" s="51"/>
      <c r="G49" s="51"/>
    </row>
    <row r="50" spans="1:7">
      <c r="A50" s="415"/>
      <c r="C50" s="51"/>
      <c r="D50" s="51"/>
      <c r="E50" s="51"/>
      <c r="F50" s="51"/>
      <c r="G50" s="51"/>
    </row>
    <row r="51" spans="1:7">
      <c r="A51" s="415"/>
      <c r="C51" s="51"/>
      <c r="D51" s="51"/>
      <c r="E51" s="51"/>
      <c r="F51" s="51"/>
      <c r="G51" s="51"/>
    </row>
    <row r="52" spans="1:7">
      <c r="A52" s="415"/>
      <c r="C52" s="51"/>
      <c r="D52" s="51"/>
      <c r="E52" s="51"/>
      <c r="F52" s="51"/>
      <c r="G52" s="51"/>
    </row>
    <row r="53" spans="1:7">
      <c r="A53" s="415"/>
      <c r="C53" s="51"/>
      <c r="D53" s="51"/>
      <c r="E53" s="51"/>
      <c r="F53" s="51"/>
      <c r="G53" s="51"/>
    </row>
    <row r="54" spans="1:7">
      <c r="A54" s="415"/>
      <c r="C54" s="51"/>
      <c r="D54" s="51"/>
      <c r="E54" s="51"/>
      <c r="F54" s="51"/>
      <c r="G54" s="51"/>
    </row>
    <row r="55" spans="1:7">
      <c r="A55" s="415"/>
      <c r="C55" s="51"/>
      <c r="D55" s="51"/>
      <c r="E55" s="51"/>
      <c r="F55" s="51"/>
      <c r="G55" s="51"/>
    </row>
    <row r="56" spans="1:7">
      <c r="A56" s="415"/>
      <c r="C56" s="51"/>
      <c r="D56" s="51"/>
      <c r="E56" s="51"/>
      <c r="F56" s="51"/>
      <c r="G56" s="51"/>
    </row>
    <row r="57" spans="1:7">
      <c r="A57" s="415"/>
      <c r="C57" s="51"/>
      <c r="D57" s="51"/>
      <c r="E57" s="51"/>
      <c r="F57" s="51"/>
      <c r="G57" s="51"/>
    </row>
    <row r="58" spans="1:7" ht="7.5" customHeight="1">
      <c r="A58" s="415"/>
    </row>
    <row r="59" spans="1:7" hidden="1"/>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spans="28:28" hidden="1"/>
    <row r="274" spans="28:28" hidden="1"/>
    <row r="275" spans="28:28" hidden="1">
      <c r="AB275" t="s">
        <v>194</v>
      </c>
    </row>
    <row r="276" spans="28:28" hidden="1"/>
    <row r="277" spans="28:28" hidden="1"/>
    <row r="278" spans="28:28" hidden="1"/>
    <row r="279" spans="28:28" hidden="1"/>
    <row r="280" spans="28:28" hidden="1"/>
    <row r="281" spans="28:28" hidden="1"/>
    <row r="282" spans="28:28" hidden="1"/>
    <row r="283" spans="28:28" hidden="1"/>
    <row r="284" spans="28:28" hidden="1"/>
    <row r="285" spans="28:28"/>
  </sheetData>
  <mergeCells count="1">
    <mergeCell ref="G7:G8"/>
  </mergeCells>
  <phoneticPr fontId="8" type="noConversion"/>
  <hyperlinks>
    <hyperlink ref="E12" location="'O&amp;M_Summ'!A1" display="O&amp;M_Summ"/>
    <hyperlink ref="E11" location="'O&amp;M_Detail'!A1" display="O&amp;M_Detail"/>
    <hyperlink ref="E13" location="Fuel_Summ!A1" display="Fuel_Summ"/>
    <hyperlink ref="E14" location="CIP_E!A1" display="CIP_E"/>
    <hyperlink ref="E16" location="Debt_Sum!A1" display="Debt_Sum"/>
    <hyperlink ref="E18" location="'Other E_Summ.'!A1" display="Other E_Summ"/>
    <hyperlink ref="E20" location="'Rev. Req._Summ.'!A1" display="Rev. Req._Summ."/>
    <hyperlink ref="E15" location="CIP_Summ!A1" display="CIP_Summ"/>
    <hyperlink ref="E17" location="'Other Inc_Summ.'!A1" display="Other Inc_Summ"/>
    <hyperlink ref="E19" location="'Cash Balances'!A1" display="Cash Balance"/>
  </hyperlinks>
  <pageMargins left="0.75" right="0.75" top="0.75" bottom="0.75" header="0.5" footer="0.5"/>
  <pageSetup scale="51"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808000"/>
    <pageSetUpPr fitToPage="1"/>
  </sheetPr>
  <dimension ref="A1:IR197"/>
  <sheetViews>
    <sheetView showGridLines="0" zoomScale="70" zoomScaleNormal="70" zoomScaleSheetLayoutView="75" workbookViewId="0">
      <pane xSplit="5" ySplit="6" topLeftCell="F166" activePane="bottomRight" state="frozen"/>
      <selection activeCell="J6" sqref="J6"/>
      <selection pane="topRight" activeCell="J6" sqref="J6"/>
      <selection pane="bottomLeft" activeCell="J6" sqref="J6"/>
      <selection pane="bottomRight" activeCell="O184" sqref="O184"/>
    </sheetView>
  </sheetViews>
  <sheetFormatPr defaultRowHeight="15.75"/>
  <cols>
    <col min="1" max="1" width="23.625" customWidth="1"/>
    <col min="2" max="2" width="1.375" customWidth="1"/>
    <col min="3" max="3" width="7.125" customWidth="1"/>
    <col min="4" max="4" width="10.25" customWidth="1"/>
    <col min="5" max="5" width="36" customWidth="1"/>
    <col min="6" max="6" width="12.75" customWidth="1"/>
    <col min="7" max="7" width="15.75" customWidth="1"/>
    <col min="8" max="8" width="16.875" customWidth="1"/>
    <col min="9" max="9" width="15.875" customWidth="1"/>
    <col min="10" max="11" width="16.75" customWidth="1"/>
    <col min="12" max="12" width="16.25" customWidth="1"/>
    <col min="13" max="13" width="16.25" bestFit="1" customWidth="1"/>
    <col min="14" max="14" width="15.375" bestFit="1" customWidth="1"/>
    <col min="15" max="26" width="16.25" bestFit="1" customWidth="1"/>
    <col min="27" max="27" width="2.75" customWidth="1"/>
    <col min="28" max="28" width="13" customWidth="1"/>
    <col min="29" max="29" width="11.25" bestFit="1" customWidth="1"/>
    <col min="30" max="34" width="8.625" customWidth="1"/>
    <col min="37" max="39" width="12.125" customWidth="1"/>
    <col min="40" max="42" width="8.625" customWidth="1"/>
  </cols>
  <sheetData>
    <row r="1" spans="1:32" s="2" customFormat="1" ht="22.5">
      <c r="A1" s="411"/>
      <c r="C1" s="4405" t="s">
        <v>391</v>
      </c>
      <c r="D1" s="4405"/>
      <c r="E1" s="4405"/>
      <c r="F1" s="4405"/>
      <c r="G1" s="4405"/>
      <c r="H1" s="4405"/>
      <c r="I1" s="4405"/>
      <c r="J1" s="4405"/>
      <c r="K1" s="4405"/>
      <c r="L1" s="4405"/>
      <c r="M1" s="4405"/>
      <c r="N1" s="4405"/>
      <c r="O1" s="3146" t="s">
        <v>2536</v>
      </c>
      <c r="P1" s="3147" t="s">
        <v>3502</v>
      </c>
      <c r="Q1" s="823"/>
      <c r="R1" s="823"/>
      <c r="S1" s="823"/>
      <c r="T1" s="823"/>
      <c r="U1" s="823"/>
      <c r="V1" s="823"/>
      <c r="W1" s="823"/>
      <c r="X1" s="823"/>
      <c r="Y1" s="823"/>
      <c r="Z1" s="823"/>
    </row>
    <row r="2" spans="1:32" s="2" customFormat="1" ht="22.5">
      <c r="A2" s="411"/>
      <c r="C2" s="4405" t="str">
        <f>Client</f>
        <v>Grant County Public Utility District</v>
      </c>
      <c r="D2" s="4405"/>
      <c r="E2" s="4405"/>
      <c r="F2" s="4405"/>
      <c r="G2" s="4405"/>
      <c r="H2" s="4405"/>
      <c r="I2" s="4405"/>
      <c r="J2" s="4405"/>
      <c r="K2" s="4405"/>
      <c r="L2" s="4405"/>
      <c r="M2" s="4405"/>
      <c r="N2" s="4405"/>
      <c r="O2" s="562" t="s">
        <v>4018</v>
      </c>
      <c r="P2" s="562" t="s">
        <v>4019</v>
      </c>
      <c r="Q2" s="823"/>
      <c r="R2" s="823"/>
      <c r="S2" s="823"/>
      <c r="V2" s="823"/>
      <c r="W2" s="823"/>
      <c r="X2" s="823"/>
      <c r="Y2" s="823"/>
      <c r="Z2" s="823"/>
    </row>
    <row r="3" spans="1:32" s="2" customFormat="1" ht="22.5">
      <c r="A3" s="411"/>
      <c r="C3" s="4405" t="s">
        <v>3505</v>
      </c>
      <c r="D3" s="4405"/>
      <c r="E3" s="4405"/>
      <c r="F3" s="4405"/>
      <c r="G3" s="4405"/>
      <c r="H3" s="4405"/>
      <c r="I3" s="4405"/>
      <c r="J3" s="4405"/>
      <c r="K3" s="4405"/>
      <c r="L3" s="4405"/>
      <c r="M3" s="4405"/>
      <c r="N3" s="4405"/>
      <c r="O3" s="562" t="s">
        <v>3973</v>
      </c>
      <c r="P3" s="1624"/>
      <c r="Q3" s="823"/>
      <c r="R3" s="823"/>
      <c r="S3" s="823"/>
      <c r="U3" s="823"/>
      <c r="V3" s="823"/>
      <c r="W3" s="823"/>
      <c r="X3" s="823"/>
      <c r="Y3" s="823"/>
      <c r="Z3" s="823"/>
    </row>
    <row r="4" spans="1:32" s="2" customFormat="1">
      <c r="A4" s="411"/>
      <c r="D4" s="4"/>
      <c r="E4" s="4"/>
      <c r="F4" s="4"/>
      <c r="G4" s="4"/>
      <c r="I4" s="11"/>
      <c r="J4" s="11"/>
      <c r="K4" s="11"/>
      <c r="L4" s="11"/>
      <c r="M4" s="11"/>
      <c r="N4" s="11"/>
      <c r="O4" s="562" t="s">
        <v>3972</v>
      </c>
      <c r="P4" s="1624"/>
      <c r="Q4" s="11"/>
      <c r="R4" s="11"/>
      <c r="S4" s="11"/>
      <c r="T4" s="11"/>
      <c r="U4" s="11"/>
      <c r="V4" s="11"/>
      <c r="W4" s="11"/>
      <c r="X4" s="11"/>
      <c r="Y4" s="11"/>
      <c r="Z4" s="11"/>
    </row>
    <row r="5" spans="1:32" s="2" customFormat="1" ht="16.5" thickBot="1">
      <c r="A5" s="411"/>
      <c r="C5" s="441"/>
      <c r="D5" s="40"/>
      <c r="E5" s="4"/>
      <c r="F5" s="4"/>
      <c r="G5" s="4"/>
      <c r="I5" s="13"/>
      <c r="J5"/>
      <c r="K5"/>
      <c r="L5"/>
      <c r="M5"/>
      <c r="N5"/>
      <c r="O5" s="1624"/>
      <c r="P5" s="1624"/>
      <c r="Q5"/>
      <c r="R5"/>
      <c r="S5"/>
      <c r="T5"/>
      <c r="U5"/>
      <c r="V5"/>
      <c r="W5"/>
      <c r="X5"/>
      <c r="Y5"/>
      <c r="Z5"/>
    </row>
    <row r="6" spans="1:32" s="2" customFormat="1" ht="32.25" thickTop="1">
      <c r="A6" s="411"/>
      <c r="C6" s="116" t="s">
        <v>867</v>
      </c>
      <c r="D6" s="116" t="s">
        <v>875</v>
      </c>
      <c r="E6" s="116" t="s">
        <v>876</v>
      </c>
      <c r="F6" s="116" t="s">
        <v>560</v>
      </c>
      <c r="G6" s="146">
        <f t="shared" ref="G6:L6" si="0">H6-1</f>
        <v>2007</v>
      </c>
      <c r="H6" s="146">
        <f t="shared" si="0"/>
        <v>2008</v>
      </c>
      <c r="I6" s="146">
        <f t="shared" si="0"/>
        <v>2009</v>
      </c>
      <c r="J6" s="146">
        <f t="shared" si="0"/>
        <v>2010</v>
      </c>
      <c r="K6" s="146">
        <f t="shared" si="0"/>
        <v>2011</v>
      </c>
      <c r="L6" s="146">
        <f t="shared" si="0"/>
        <v>2012</v>
      </c>
      <c r="M6" s="146">
        <f>Dashboard!F$7</f>
        <v>2013</v>
      </c>
      <c r="N6" s="146">
        <f>Dashboard!G$7</f>
        <v>2014</v>
      </c>
      <c r="O6" s="146">
        <f>Dashboard!H$7</f>
        <v>2015</v>
      </c>
      <c r="P6" s="146">
        <f>Dashboard!I$7</f>
        <v>2016</v>
      </c>
      <c r="Q6" s="146">
        <f>Dashboard!J$7</f>
        <v>2017</v>
      </c>
      <c r="R6" s="146">
        <f>Dashboard!K$7</f>
        <v>2018</v>
      </c>
      <c r="S6" s="146">
        <f>Dashboard!L$7</f>
        <v>2019</v>
      </c>
      <c r="T6" s="146">
        <f>Dashboard!M$7</f>
        <v>2020</v>
      </c>
      <c r="U6" s="146">
        <f>Dashboard!N$7</f>
        <v>2021</v>
      </c>
      <c r="V6" s="146">
        <f>Dashboard!O$7</f>
        <v>2022</v>
      </c>
      <c r="W6" s="146">
        <f>Dashboard!P$7</f>
        <v>2023</v>
      </c>
      <c r="X6" s="146">
        <f>Dashboard!Q$7</f>
        <v>2024</v>
      </c>
      <c r="Y6" s="146">
        <f>Dashboard!R$7</f>
        <v>2025</v>
      </c>
      <c r="Z6" s="146">
        <f>Dashboard!S$7</f>
        <v>2026</v>
      </c>
      <c r="AA6" s="4"/>
      <c r="AB6" s="286" t="s">
        <v>611</v>
      </c>
      <c r="AF6" s="426"/>
    </row>
    <row r="7" spans="1:32" s="2" customFormat="1" ht="16.5" thickBot="1">
      <c r="A7" s="411"/>
      <c r="B7" s="4"/>
      <c r="C7" s="11"/>
      <c r="D7" s="120"/>
      <c r="E7" s="120"/>
      <c r="F7" s="120"/>
      <c r="G7" s="10" t="s">
        <v>555</v>
      </c>
      <c r="H7" s="10" t="s">
        <v>555</v>
      </c>
      <c r="I7" s="10" t="s">
        <v>555</v>
      </c>
      <c r="J7" s="10" t="s">
        <v>555</v>
      </c>
      <c r="K7" s="10" t="s">
        <v>555</v>
      </c>
      <c r="L7" s="10" t="s">
        <v>555</v>
      </c>
      <c r="M7" s="10" t="s">
        <v>555</v>
      </c>
      <c r="N7" s="4306" t="s">
        <v>555</v>
      </c>
      <c r="O7" s="4306" t="s">
        <v>555</v>
      </c>
      <c r="P7" s="4306" t="s">
        <v>561</v>
      </c>
      <c r="Q7" s="10" t="s">
        <v>562</v>
      </c>
      <c r="R7" s="10" t="s">
        <v>562</v>
      </c>
      <c r="S7" s="10" t="s">
        <v>562</v>
      </c>
      <c r="T7" s="10" t="s">
        <v>562</v>
      </c>
      <c r="U7" s="10" t="s">
        <v>562</v>
      </c>
      <c r="V7" s="10" t="s">
        <v>562</v>
      </c>
      <c r="W7" s="10" t="s">
        <v>562</v>
      </c>
      <c r="X7" s="10" t="s">
        <v>562</v>
      </c>
      <c r="Y7" s="10" t="s">
        <v>562</v>
      </c>
      <c r="Z7" s="10" t="s">
        <v>562</v>
      </c>
      <c r="AA7" s="11"/>
      <c r="AB7" s="115">
        <v>0</v>
      </c>
      <c r="AC7" s="13"/>
    </row>
    <row r="8" spans="1:32" s="2" customFormat="1" ht="17.25" customHeight="1" thickTop="1" thickBot="1">
      <c r="A8" s="411"/>
      <c r="B8" s="4"/>
      <c r="C8" s="11"/>
      <c r="D8" s="282" t="s">
        <v>877</v>
      </c>
      <c r="E8" s="120"/>
      <c r="F8" s="120"/>
      <c r="G8" s="120"/>
      <c r="H8" s="11"/>
      <c r="I8" s="235"/>
      <c r="J8" s="11"/>
      <c r="K8" s="11"/>
      <c r="L8" s="11"/>
      <c r="M8" s="11"/>
      <c r="N8" s="11"/>
      <c r="O8" s="11"/>
      <c r="P8" s="11"/>
      <c r="Q8" s="11"/>
      <c r="R8" s="11"/>
      <c r="S8" s="11"/>
      <c r="T8" s="11"/>
      <c r="U8" s="11"/>
      <c r="V8" s="11"/>
      <c r="W8" s="11"/>
      <c r="X8" s="11"/>
      <c r="Y8" s="11"/>
      <c r="Z8" s="11"/>
      <c r="AA8" s="11"/>
      <c r="AB8" s="13"/>
      <c r="AC8" s="13"/>
    </row>
    <row r="9" spans="1:32" s="2" customFormat="1" ht="17.25" customHeight="1">
      <c r="A9" s="411"/>
      <c r="B9" s="4"/>
      <c r="C9" s="236">
        <v>1</v>
      </c>
      <c r="D9" s="237">
        <v>555010</v>
      </c>
      <c r="E9" s="112" t="s">
        <v>728</v>
      </c>
      <c r="F9" s="237">
        <v>4</v>
      </c>
      <c r="G9" s="972">
        <v>40961739</v>
      </c>
      <c r="H9" s="973">
        <v>37675304.710000001</v>
      </c>
      <c r="I9" s="972">
        <v>37204238</v>
      </c>
      <c r="J9" s="978">
        <v>40438561.270000003</v>
      </c>
      <c r="K9" s="978">
        <v>30360109</v>
      </c>
      <c r="L9" s="978">
        <v>115446</v>
      </c>
      <c r="M9" s="4308">
        <f>SUMIF('Lead Sheet 2015'!$J$624:$J$978,$D9,'Lead Sheet 2015'!$E$624:$E$978)</f>
        <v>193335</v>
      </c>
      <c r="N9" s="4309">
        <f>SUMIF('Lead Sheet 2015'!$J$624:$J$978,$D9,'Lead Sheet 2015'!$D$624:$D$978)</f>
        <v>265099</v>
      </c>
      <c r="O9" s="4310">
        <f>SUMIF('Lead Sheet 2015'!$J$624:$J$978,$D9,'Lead Sheet 2015'!$C$624:$C$978)</f>
        <v>234998</v>
      </c>
      <c r="P9" s="4307">
        <f>'Forecast (BV) 2017'!K84</f>
        <v>380548</v>
      </c>
      <c r="Q9" s="4307">
        <f>'Forecast (BV) 2017'!L84</f>
        <v>381095.78080000007</v>
      </c>
      <c r="R9" s="4307">
        <f>'Forecast (BV) 2017'!M84</f>
        <v>451643.34248768003</v>
      </c>
      <c r="S9" s="4307">
        <f>'Forecast (BV) 2017'!N84</f>
        <v>794143.01386301382</v>
      </c>
      <c r="T9" s="4307">
        <f>'Forecast (BV) 2017'!O84</f>
        <v>1892800</v>
      </c>
      <c r="U9" s="4307">
        <f>'Forecast (BV) 2017'!P84</f>
        <v>1892800</v>
      </c>
      <c r="V9" s="4307">
        <f>'Forecast (BV) 2017'!Q84</f>
        <v>1968512</v>
      </c>
      <c r="W9" s="4307">
        <f>'Forecast (BV) 2017'!R84</f>
        <v>1968512</v>
      </c>
      <c r="X9" s="4307">
        <f>'Forecast (BV) 2017'!S84</f>
        <v>2047252.48</v>
      </c>
      <c r="Y9" s="4307">
        <f>'Forecast (BV) 2017'!T84</f>
        <v>2047252.48</v>
      </c>
      <c r="Z9" s="4307">
        <f>'Forecast (BV) 2017'!U84</f>
        <v>2129142.5792</v>
      </c>
      <c r="AA9" s="11"/>
      <c r="AB9" s="13"/>
    </row>
    <row r="10" spans="1:32" s="2" customFormat="1" ht="17.25" customHeight="1">
      <c r="A10" s="411"/>
      <c r="B10" s="4"/>
      <c r="C10" s="236">
        <f>+MAX($C9:C$9)+1</f>
        <v>2</v>
      </c>
      <c r="D10" s="237">
        <v>555000</v>
      </c>
      <c r="E10" s="112" t="s">
        <v>2160</v>
      </c>
      <c r="F10" s="237">
        <v>4</v>
      </c>
      <c r="G10" s="974"/>
      <c r="H10" s="975"/>
      <c r="I10" s="974">
        <v>0</v>
      </c>
      <c r="J10" s="957">
        <v>0</v>
      </c>
      <c r="K10" s="957">
        <v>0</v>
      </c>
      <c r="L10" s="957">
        <v>0</v>
      </c>
      <c r="M10" s="4311">
        <f>SUMIF('Lead Sheet 2015'!$J$624:$J$978,$D10,'Lead Sheet 2015'!$E$624:$E$978)</f>
        <v>0</v>
      </c>
      <c r="N10" s="4312">
        <f>SUMIF('Lead Sheet 2015'!$J$624:$J$978,$D10,'Lead Sheet 2015'!$D$624:$D$978)</f>
        <v>0</v>
      </c>
      <c r="O10" s="4313">
        <f>SUMIF('Lead Sheet 2015'!$J$624:$J$978,$D10,'Lead Sheet 2015'!$C$624:$C$978)</f>
        <v>0</v>
      </c>
      <c r="P10" s="205">
        <f t="shared" ref="P10:Z10" si="1">O10*(1+VLOOKUP($F10,OM_Esc,P$176,FALSE))</f>
        <v>0</v>
      </c>
      <c r="Q10" s="205">
        <f t="shared" si="1"/>
        <v>0</v>
      </c>
      <c r="R10" s="205">
        <f t="shared" si="1"/>
        <v>0</v>
      </c>
      <c r="S10" s="205">
        <f t="shared" si="1"/>
        <v>0</v>
      </c>
      <c r="T10" s="205">
        <f t="shared" si="1"/>
        <v>0</v>
      </c>
      <c r="U10" s="205">
        <f t="shared" si="1"/>
        <v>0</v>
      </c>
      <c r="V10" s="205">
        <f t="shared" si="1"/>
        <v>0</v>
      </c>
      <c r="W10" s="205">
        <f t="shared" si="1"/>
        <v>0</v>
      </c>
      <c r="X10" s="205">
        <f t="shared" si="1"/>
        <v>0</v>
      </c>
      <c r="Y10" s="205">
        <f t="shared" si="1"/>
        <v>0</v>
      </c>
      <c r="Z10" s="205">
        <f t="shared" si="1"/>
        <v>0</v>
      </c>
      <c r="AA10" s="11"/>
      <c r="AB10" s="13"/>
    </row>
    <row r="11" spans="1:32" s="2" customFormat="1" ht="17.25" customHeight="1">
      <c r="A11" s="411"/>
      <c r="B11" s="4"/>
      <c r="C11" s="236">
        <f>+MAX($C$9:C10)+1</f>
        <v>3</v>
      </c>
      <c r="D11" s="237">
        <v>555020</v>
      </c>
      <c r="E11" s="112" t="s">
        <v>729</v>
      </c>
      <c r="F11" s="237">
        <v>4</v>
      </c>
      <c r="G11" s="974">
        <v>34926400.240000002</v>
      </c>
      <c r="H11" s="975">
        <v>42248581.149999999</v>
      </c>
      <c r="I11" s="974">
        <v>38968285.659999996</v>
      </c>
      <c r="J11" s="957">
        <v>67342847.040000007</v>
      </c>
      <c r="K11" s="957">
        <v>87177732.120000005</v>
      </c>
      <c r="L11" s="957">
        <v>82984562.430000007</v>
      </c>
      <c r="M11" s="4311">
        <f>SUMIF('Lead Sheet 2015'!$J$624:$J$978,$D11,'Lead Sheet 2015'!$E$624:$E$978)</f>
        <v>90265419.799999997</v>
      </c>
      <c r="N11" s="4312">
        <f>SUMIF('Lead Sheet 2015'!$J$624:$J$978,$D11,'Lead Sheet 2015'!$D$624:$D$978)</f>
        <v>107261620.67</v>
      </c>
      <c r="O11" s="4313">
        <f>SUMIF('Lead Sheet 2015'!$J$624:$J$978,$D11,'Lead Sheet 2015'!$C$624:$C$978)</f>
        <v>115383956.84999999</v>
      </c>
      <c r="P11" s="4307">
        <f>'Fin Forecast - PRP'!K13-'Debt from Forecast17'!G100</f>
        <v>114823135.93920723</v>
      </c>
      <c r="Q11" s="4307">
        <f>'Fin Forecast - PRP'!L13-'Debt from Forecast17'!H100</f>
        <v>116671199.562686</v>
      </c>
      <c r="R11" s="4307">
        <f>'Fin Forecast - PRP'!M13-'Debt from Forecast17'!I100</f>
        <v>127279625.13555317</v>
      </c>
      <c r="S11" s="4307">
        <f>'Fin Forecast - PRP'!N13-'Debt from Forecast17'!J100</f>
        <v>134049266.69362669</v>
      </c>
      <c r="T11" s="4307">
        <f>'Fin Forecast - PRP'!O13-'Debt from Forecast17'!K100</f>
        <v>144612218.08112264</v>
      </c>
      <c r="U11" s="4307">
        <f>'Fin Forecast - PRP'!P13-'Debt from Forecast17'!L100</f>
        <v>156519110.80220935</v>
      </c>
      <c r="V11" s="4307">
        <f>'Fin Forecast - PRP'!Q13-'Debt from Forecast17'!M100</f>
        <v>155347812.82198545</v>
      </c>
      <c r="W11" s="4307">
        <f>'Fin Forecast - PRP'!R13-'Debt from Forecast17'!N100</f>
        <v>166619928.29523996</v>
      </c>
      <c r="X11" s="4307">
        <f>'Fin Forecast - PRP'!S13-'Debt from Forecast17'!O100</f>
        <v>174102849.54167992</v>
      </c>
      <c r="Y11" s="4307">
        <f>'Fin Forecast - PRP'!T13-'Debt from Forecast17'!P100</f>
        <v>183049483.59444222</v>
      </c>
      <c r="Z11" s="4307">
        <f>'Fin Forecast - PRP'!U13-'Debt from Forecast17'!Q100</f>
        <v>192239464.24400994</v>
      </c>
      <c r="AA11" s="11"/>
      <c r="AB11" s="13"/>
    </row>
    <row r="12" spans="1:32" s="2" customFormat="1" ht="17.25" customHeight="1">
      <c r="A12" s="411"/>
      <c r="B12" s="4"/>
      <c r="C12" s="236">
        <f>+MAX($C$9:C11)+1</f>
        <v>4</v>
      </c>
      <c r="D12" s="237">
        <v>555020</v>
      </c>
      <c r="E12" s="112" t="s">
        <v>2667</v>
      </c>
      <c r="F12" s="237">
        <v>4</v>
      </c>
      <c r="G12" s="974"/>
      <c r="H12" s="975"/>
      <c r="I12" s="974"/>
      <c r="J12" s="957"/>
      <c r="K12" s="957"/>
      <c r="L12" s="957"/>
      <c r="M12" s="4311"/>
      <c r="N12" s="4312"/>
      <c r="O12" s="4313"/>
      <c r="P12" s="4307">
        <f>'Net Power'!E16</f>
        <v>-22331156</v>
      </c>
      <c r="Q12" s="4307">
        <f>'Net Power'!F16</f>
        <v>-27158062</v>
      </c>
      <c r="R12" s="4307">
        <f>'Net Power'!G16</f>
        <v>-29268149.043546669</v>
      </c>
      <c r="S12" s="4307">
        <f>'Net Power'!H16</f>
        <v>-38768509.543191545</v>
      </c>
      <c r="T12" s="4307">
        <f>'Net Power'!I16</f>
        <v>-50617381.579403922</v>
      </c>
      <c r="U12" s="4307">
        <f>'Net Power'!J16</f>
        <v>-59823693.53993424</v>
      </c>
      <c r="V12" s="4307">
        <f>'Net Power'!K16</f>
        <v>-69354432.552820072</v>
      </c>
      <c r="W12" s="4307">
        <f>'Net Power'!L16</f>
        <v>-77056309.364797801</v>
      </c>
      <c r="X12" s="4307">
        <f>'Net Power'!M16</f>
        <v>-86654691.012235552</v>
      </c>
      <c r="Y12" s="4307">
        <f>'Net Power'!N16</f>
        <v>-88404604.947769329</v>
      </c>
      <c r="Z12" s="4307">
        <f>'Net Power'!O16</f>
        <v>-92946228.790804625</v>
      </c>
      <c r="AA12" s="11"/>
      <c r="AB12" s="13"/>
    </row>
    <row r="13" spans="1:32" s="2" customFormat="1" ht="17.25" customHeight="1">
      <c r="A13" s="411"/>
      <c r="B13" s="4"/>
      <c r="C13" s="236">
        <f>+MAX($C$9:C12)+1</f>
        <v>5</v>
      </c>
      <c r="D13" s="237">
        <v>555020</v>
      </c>
      <c r="E13" s="112" t="s">
        <v>3002</v>
      </c>
      <c r="F13" s="237">
        <v>4</v>
      </c>
      <c r="G13" s="974"/>
      <c r="H13" s="975"/>
      <c r="I13" s="974"/>
      <c r="J13" s="957"/>
      <c r="K13" s="957"/>
      <c r="L13" s="957"/>
      <c r="M13" s="4311"/>
      <c r="N13" s="4312"/>
      <c r="O13" s="4313"/>
      <c r="P13" s="4307">
        <f>'Forecast (BV) 2017'!K86</f>
        <v>-2198034.8555999999</v>
      </c>
      <c r="Q13" s="4307">
        <f>'Forecast (BV) 2017'!L86</f>
        <v>-2193976.8762559998</v>
      </c>
      <c r="R13" s="4307">
        <f>'Forecast (BV) 2017'!M86</f>
        <v>-1833101.7469336165</v>
      </c>
      <c r="S13" s="4307">
        <f>'Forecast (BV) 2017'!N86</f>
        <v>-1497050.6505834539</v>
      </c>
      <c r="T13" s="4307">
        <f>'Forecast (BV) 2017'!O86</f>
        <v>-1183496.5581636291</v>
      </c>
      <c r="U13" s="4307">
        <f>'Forecast (BV) 2017'!P86</f>
        <v>-777629.05171368131</v>
      </c>
      <c r="V13" s="4307">
        <f>'Forecast (BV) 2017'!Q86</f>
        <v>-571060.48089506885</v>
      </c>
      <c r="W13" s="4307">
        <f>'Forecast (BV) 2017'!R86</f>
        <v>-302385.60408511473</v>
      </c>
      <c r="X13" s="4307">
        <f>'Forecast (BV) 2017'!S86</f>
        <v>-764.03775527885557</v>
      </c>
      <c r="Y13" s="4307">
        <f>'Forecast (BV) 2017'!T86</f>
        <v>0</v>
      </c>
      <c r="Z13" s="4307">
        <f>'Forecast (BV) 2017'!U86</f>
        <v>0</v>
      </c>
      <c r="AA13" s="11"/>
      <c r="AB13" s="13"/>
    </row>
    <row r="14" spans="1:32" s="2" customFormat="1" ht="17.25" customHeight="1">
      <c r="A14" s="411"/>
      <c r="B14" s="4"/>
      <c r="C14" s="236">
        <f>+MAX($C$9:C13)+1</f>
        <v>6</v>
      </c>
      <c r="D14" s="237">
        <v>555025</v>
      </c>
      <c r="E14" s="112" t="s">
        <v>730</v>
      </c>
      <c r="F14" s="237">
        <v>4</v>
      </c>
      <c r="G14" s="974">
        <v>-34307531.210000001</v>
      </c>
      <c r="H14" s="975">
        <v>-51042153.68</v>
      </c>
      <c r="I14" s="974">
        <v>-35555239.740000002</v>
      </c>
      <c r="J14" s="957">
        <v>-9555732</v>
      </c>
      <c r="K14" s="957">
        <v>-6673655.25</v>
      </c>
      <c r="L14" s="957">
        <v>-4110400.8</v>
      </c>
      <c r="M14" s="4311">
        <f>SUMIF('Lead Sheet 2015'!$J$624:$J$978,$D14,'Lead Sheet 2015'!$E$624:$E$978)</f>
        <v>-4718395.32</v>
      </c>
      <c r="N14" s="4312">
        <f>SUMIF('Lead Sheet 2015'!$J$624:$J$978,$D14,'Lead Sheet 2015'!$D$624:$D$978)</f>
        <v>-5832284.7599999998</v>
      </c>
      <c r="O14" s="4313">
        <f>SUMIF('Lead Sheet 2015'!$J$624:$J$978,$D14,'Lead Sheet 2015'!$C$624:$C$978)</f>
        <v>-19734509.690000001</v>
      </c>
      <c r="P14" s="339">
        <v>0</v>
      </c>
      <c r="Q14" s="339">
        <f t="shared" ref="Q14:Z14" si="2">P14*(1+VLOOKUP($F14,OM_Esc,Q$176,FALSE))</f>
        <v>0</v>
      </c>
      <c r="R14" s="339">
        <f t="shared" si="2"/>
        <v>0</v>
      </c>
      <c r="S14" s="339">
        <f t="shared" si="2"/>
        <v>0</v>
      </c>
      <c r="T14" s="339">
        <f t="shared" si="2"/>
        <v>0</v>
      </c>
      <c r="U14" s="339">
        <f t="shared" si="2"/>
        <v>0</v>
      </c>
      <c r="V14" s="339">
        <f t="shared" si="2"/>
        <v>0</v>
      </c>
      <c r="W14" s="339">
        <f t="shared" si="2"/>
        <v>0</v>
      </c>
      <c r="X14" s="339">
        <f t="shared" si="2"/>
        <v>0</v>
      </c>
      <c r="Y14" s="339">
        <f t="shared" si="2"/>
        <v>0</v>
      </c>
      <c r="Z14" s="339">
        <f t="shared" si="2"/>
        <v>0</v>
      </c>
      <c r="AA14" s="11"/>
      <c r="AB14" s="13"/>
    </row>
    <row r="15" spans="1:32" s="2" customFormat="1" ht="17.25" customHeight="1">
      <c r="A15" s="411"/>
      <c r="B15" s="4"/>
      <c r="C15" s="236">
        <f>+MAX($C$9:C14)+1</f>
        <v>7</v>
      </c>
      <c r="D15" s="237">
        <v>555030</v>
      </c>
      <c r="E15" s="112" t="s">
        <v>731</v>
      </c>
      <c r="F15" s="237">
        <v>4</v>
      </c>
      <c r="G15" s="974">
        <v>19942822</v>
      </c>
      <c r="H15" s="975">
        <v>23967486.609999999</v>
      </c>
      <c r="I15" s="974">
        <v>22230401.550000001</v>
      </c>
      <c r="J15" s="957">
        <v>12355086.039999999</v>
      </c>
      <c r="K15" s="957">
        <v>0</v>
      </c>
      <c r="L15" s="957">
        <v>0</v>
      </c>
      <c r="M15" s="4311">
        <f>SUMIF('Lead Sheet 2015'!$J$624:$J$978,$D15,'Lead Sheet 2015'!$E$624:$E$978)</f>
        <v>0</v>
      </c>
      <c r="N15" s="4312">
        <f>SUMIF('Lead Sheet 2015'!$J$624:$J$978,$D15,'Lead Sheet 2015'!$D$624:$D$978)</f>
        <v>0</v>
      </c>
      <c r="O15" s="4313">
        <f>SUMIF('Lead Sheet 2015'!$J$624:$J$978,$D15,'Lead Sheet 2015'!$C$624:$C$978)</f>
        <v>0</v>
      </c>
      <c r="P15" s="205">
        <f t="shared" ref="P15:Z15" si="3">O15*(1+VLOOKUP($F15,OM_Esc,P$176,FALSE))</f>
        <v>0</v>
      </c>
      <c r="Q15" s="205">
        <f t="shared" si="3"/>
        <v>0</v>
      </c>
      <c r="R15" s="205">
        <f t="shared" si="3"/>
        <v>0</v>
      </c>
      <c r="S15" s="205">
        <f t="shared" si="3"/>
        <v>0</v>
      </c>
      <c r="T15" s="205">
        <f t="shared" si="3"/>
        <v>0</v>
      </c>
      <c r="U15" s="205">
        <f t="shared" si="3"/>
        <v>0</v>
      </c>
      <c r="V15" s="205">
        <f t="shared" si="3"/>
        <v>0</v>
      </c>
      <c r="W15" s="205">
        <f t="shared" si="3"/>
        <v>0</v>
      </c>
      <c r="X15" s="205">
        <f t="shared" si="3"/>
        <v>0</v>
      </c>
      <c r="Y15" s="205">
        <f t="shared" si="3"/>
        <v>0</v>
      </c>
      <c r="Z15" s="205">
        <f t="shared" si="3"/>
        <v>0</v>
      </c>
      <c r="AA15" s="11"/>
      <c r="AB15" s="13"/>
    </row>
    <row r="16" spans="1:32" s="2" customFormat="1" ht="17.25" customHeight="1">
      <c r="A16" s="411"/>
      <c r="B16" s="4"/>
      <c r="C16" s="236">
        <f>+MAX($C$9:C15)+1</f>
        <v>8</v>
      </c>
      <c r="D16" s="237">
        <v>555035</v>
      </c>
      <c r="E16" s="112" t="s">
        <v>1846</v>
      </c>
      <c r="F16" s="237">
        <v>4</v>
      </c>
      <c r="G16" s="974"/>
      <c r="H16" s="975"/>
      <c r="I16" s="974">
        <v>0</v>
      </c>
      <c r="J16" s="957">
        <v>0</v>
      </c>
      <c r="K16" s="957">
        <v>0</v>
      </c>
      <c r="L16" s="957">
        <v>0</v>
      </c>
      <c r="M16" s="4311">
        <f>SUMIF('Lead Sheet 2015'!$J$624:$J$978,$D16,'Lead Sheet 2015'!$E$624:$E$978)</f>
        <v>-3738711.54</v>
      </c>
      <c r="N16" s="4312">
        <f>SUMIF('Lead Sheet 2015'!$J$624:$J$978,$D16,'Lead Sheet 2015'!$D$624:$D$978)</f>
        <v>-771965.4</v>
      </c>
      <c r="O16" s="4313">
        <f>SUMIF('Lead Sheet 2015'!$J$624:$J$978,$D16,'Lead Sheet 2015'!$C$624:$C$978)</f>
        <v>-9879760.8200000003</v>
      </c>
      <c r="P16" s="339">
        <v>0</v>
      </c>
      <c r="Q16" s="339">
        <v>0</v>
      </c>
      <c r="R16" s="339">
        <v>0</v>
      </c>
      <c r="S16" s="339">
        <v>0</v>
      </c>
      <c r="T16" s="339">
        <v>0</v>
      </c>
      <c r="U16" s="339">
        <v>0</v>
      </c>
      <c r="V16" s="339">
        <v>0</v>
      </c>
      <c r="W16" s="339">
        <v>0</v>
      </c>
      <c r="X16" s="339">
        <v>0</v>
      </c>
      <c r="Y16" s="339">
        <v>0</v>
      </c>
      <c r="Z16" s="339">
        <v>0</v>
      </c>
      <c r="AA16" s="11"/>
      <c r="AB16" s="13"/>
    </row>
    <row r="17" spans="1:28" s="2" customFormat="1" ht="17.25" customHeight="1">
      <c r="A17" s="411"/>
      <c r="B17" s="4"/>
      <c r="C17" s="236">
        <f>+MAX($C$9:C16)+1</f>
        <v>9</v>
      </c>
      <c r="D17" s="237">
        <v>555070</v>
      </c>
      <c r="E17" s="112" t="s">
        <v>732</v>
      </c>
      <c r="F17" s="237">
        <v>4</v>
      </c>
      <c r="G17" s="974">
        <v>19822069.899999999</v>
      </c>
      <c r="H17" s="975">
        <v>45509240.490000002</v>
      </c>
      <c r="I17" s="974">
        <v>48422029.659999996</v>
      </c>
      <c r="J17" s="957">
        <v>25364141.510000002</v>
      </c>
      <c r="K17" s="957">
        <v>20155666.239999998</v>
      </c>
      <c r="L17" s="957">
        <v>17833129.68</v>
      </c>
      <c r="M17" s="4311">
        <f>SUMIF('Lead Sheet 2015'!$J$624:$J$978,$D17,'Lead Sheet 2015'!$E$624:$E$978)</f>
        <v>32100472.760000002</v>
      </c>
      <c r="N17" s="4312">
        <f>SUMIF('Lead Sheet 2015'!$J$624:$J$978,$D17,'Lead Sheet 2015'!$D$624:$D$978)</f>
        <v>54469470.229999997</v>
      </c>
      <c r="O17" s="4313">
        <f>SUMIF('Lead Sheet 2015'!$J$624:$J$978,$D17,'Lead Sheet 2015'!$C$624:$C$978)</f>
        <v>43555640.840000004</v>
      </c>
      <c r="P17" s="4307">
        <f>'Forecast (BV) 2017'!K82</f>
        <v>13332459.16</v>
      </c>
      <c r="Q17" s="4307">
        <f>'Forecast (BV) 2017'!L82</f>
        <v>12878309.359999999</v>
      </c>
      <c r="R17" s="4307">
        <f>'Forecast (BV) 2017'!M82</f>
        <v>10615986.178582095</v>
      </c>
      <c r="S17" s="4307">
        <f>'Forecast (BV) 2017'!N82</f>
        <v>21054529.889413234</v>
      </c>
      <c r="T17" s="4307">
        <f>'Forecast (BV) 2017'!O82</f>
        <v>45889950.905892216</v>
      </c>
      <c r="U17" s="4307">
        <f>'Forecast (BV) 2017'!P82</f>
        <v>112717916.89019872</v>
      </c>
      <c r="V17" s="4307">
        <f>'Forecast (BV) 2017'!Q82</f>
        <v>124787420.04669285</v>
      </c>
      <c r="W17" s="4307">
        <f>'Forecast (BV) 2017'!R82</f>
        <v>132243110.39536577</v>
      </c>
      <c r="X17" s="4307">
        <f>'Forecast (BV) 2017'!S82</f>
        <v>142216139.55369937</v>
      </c>
      <c r="Y17" s="4307">
        <f>'Forecast (BV) 2017'!T82</f>
        <v>148679659.5540238</v>
      </c>
      <c r="Z17" s="4307">
        <f>'Forecast (BV) 2017'!U82</f>
        <v>158797248.46992144</v>
      </c>
      <c r="AA17" s="11"/>
      <c r="AB17" s="13"/>
    </row>
    <row r="18" spans="1:28" s="2" customFormat="1" ht="17.25" customHeight="1">
      <c r="A18" s="411"/>
      <c r="B18" s="4"/>
      <c r="C18" s="236">
        <f>+MAX($C$9:C17)+1</f>
        <v>10</v>
      </c>
      <c r="D18" s="237">
        <v>555500</v>
      </c>
      <c r="E18" s="112" t="s">
        <v>733</v>
      </c>
      <c r="F18" s="237">
        <v>4</v>
      </c>
      <c r="G18" s="974">
        <v>226207.92</v>
      </c>
      <c r="H18" s="975">
        <v>257735.7</v>
      </c>
      <c r="I18" s="974">
        <v>152384.59</v>
      </c>
      <c r="J18" s="957">
        <v>225750.58</v>
      </c>
      <c r="K18" s="957">
        <v>261351.11</v>
      </c>
      <c r="L18" s="957">
        <v>320602.83</v>
      </c>
      <c r="M18" s="4311">
        <f>SUMIF('Lead Sheet 2015'!$J$624:$J$978,$D18,'Lead Sheet 2015'!$E$624:$E$978)</f>
        <v>353867</v>
      </c>
      <c r="N18" s="4312">
        <f>SUMIF('Lead Sheet 2015'!$J$624:$J$978,$D18,'Lead Sheet 2015'!$D$624:$D$978)</f>
        <v>346805</v>
      </c>
      <c r="O18" s="4313">
        <f>SUMIF('Lead Sheet 2015'!$J$624:$J$978,$D18,'Lead Sheet 2015'!$C$624:$C$978)</f>
        <v>367483</v>
      </c>
      <c r="P18" s="4307">
        <f>'Forecast (BV) 2017'!K87</f>
        <v>352260</v>
      </c>
      <c r="Q18" s="4307">
        <f>'Forecast (BV) 2017'!L87</f>
        <v>362827.8</v>
      </c>
      <c r="R18" s="4307">
        <f>'Forecast (BV) 2017'!M87</f>
        <v>373712.63400000002</v>
      </c>
      <c r="S18" s="4307">
        <f>'Forecast (BV) 2017'!N87</f>
        <v>384924.01302000001</v>
      </c>
      <c r="T18" s="4307">
        <f>'Forecast (BV) 2017'!O87</f>
        <v>396471.73341060005</v>
      </c>
      <c r="U18" s="4307">
        <f>'Forecast (BV) 2017'!P87</f>
        <v>408365.88541291805</v>
      </c>
      <c r="V18" s="4307">
        <f>'Forecast (BV) 2017'!Q87</f>
        <v>420616.8619753056</v>
      </c>
      <c r="W18" s="4307">
        <f>'Forecast (BV) 2017'!R87</f>
        <v>433235.36783456476</v>
      </c>
      <c r="X18" s="4307">
        <f>'Forecast (BV) 2017'!S87</f>
        <v>446232.42886960175</v>
      </c>
      <c r="Y18" s="4307">
        <f>'Forecast (BV) 2017'!T87</f>
        <v>459619.40173568978</v>
      </c>
      <c r="Z18" s="4307">
        <f>'Forecast (BV) 2017'!U87</f>
        <v>473407.98378776049</v>
      </c>
      <c r="AA18" s="11"/>
      <c r="AB18" s="13"/>
    </row>
    <row r="19" spans="1:28" s="2" customFormat="1" ht="17.25" customHeight="1">
      <c r="A19" s="411"/>
      <c r="B19" s="4"/>
      <c r="C19" s="236">
        <f>+MAX($C$9:C18)+1</f>
        <v>11</v>
      </c>
      <c r="D19" s="237">
        <v>555666</v>
      </c>
      <c r="E19" s="112" t="s">
        <v>734</v>
      </c>
      <c r="F19" s="237">
        <v>4</v>
      </c>
      <c r="G19" s="974">
        <v>2613287.5099999998</v>
      </c>
      <c r="H19" s="975">
        <v>2954857.75</v>
      </c>
      <c r="I19" s="974">
        <v>7007756.7300000004</v>
      </c>
      <c r="J19" s="957">
        <v>285672.27</v>
      </c>
      <c r="K19" s="957">
        <v>584491.59</v>
      </c>
      <c r="L19" s="957">
        <v>1068455.8</v>
      </c>
      <c r="M19" s="4311">
        <f>SUMIF('Lead Sheet 2015'!$J$624:$J$978,$D19,'Lead Sheet 2015'!$E$624:$E$978)</f>
        <v>466004.59</v>
      </c>
      <c r="N19" s="4312">
        <f>SUMIF('Lead Sheet 2015'!$J$624:$J$978,$D19,'Lead Sheet 2015'!$D$624:$D$978)</f>
        <v>1171626.93</v>
      </c>
      <c r="O19" s="4313">
        <f>SUMIF('Lead Sheet 2015'!$J$624:$J$978,$D19,'Lead Sheet 2015'!$C$624:$C$978)</f>
        <v>1030239.12</v>
      </c>
      <c r="P19" s="205">
        <v>0</v>
      </c>
      <c r="Q19" s="205">
        <f t="shared" ref="Q19:Z19" si="4">P19*(1+VLOOKUP($F19,OM_Esc,Q$176,FALSE))</f>
        <v>0</v>
      </c>
      <c r="R19" s="205">
        <f t="shared" si="4"/>
        <v>0</v>
      </c>
      <c r="S19" s="205">
        <f t="shared" si="4"/>
        <v>0</v>
      </c>
      <c r="T19" s="205">
        <f t="shared" si="4"/>
        <v>0</v>
      </c>
      <c r="U19" s="205">
        <f t="shared" si="4"/>
        <v>0</v>
      </c>
      <c r="V19" s="205">
        <f t="shared" si="4"/>
        <v>0</v>
      </c>
      <c r="W19" s="205">
        <f t="shared" si="4"/>
        <v>0</v>
      </c>
      <c r="X19" s="205">
        <f t="shared" si="4"/>
        <v>0</v>
      </c>
      <c r="Y19" s="205">
        <f t="shared" si="4"/>
        <v>0</v>
      </c>
      <c r="Z19" s="205">
        <f t="shared" si="4"/>
        <v>0</v>
      </c>
      <c r="AA19" s="11"/>
      <c r="AB19" s="13"/>
    </row>
    <row r="20" spans="1:28" s="2" customFormat="1" ht="17.25" customHeight="1">
      <c r="A20" s="411"/>
      <c r="B20" s="4"/>
      <c r="C20" s="236">
        <f>+MAX($C$9:C19)+1</f>
        <v>12</v>
      </c>
      <c r="D20" s="237">
        <v>555900</v>
      </c>
      <c r="E20" s="112" t="s">
        <v>1845</v>
      </c>
      <c r="F20" s="237">
        <v>4</v>
      </c>
      <c r="G20" s="974"/>
      <c r="H20" s="975"/>
      <c r="I20" s="974">
        <v>0</v>
      </c>
      <c r="J20" s="957">
        <v>2063616</v>
      </c>
      <c r="K20" s="957">
        <v>2119476</v>
      </c>
      <c r="L20" s="957">
        <v>2087688</v>
      </c>
      <c r="M20" s="4311">
        <f>SUMIF('Lead Sheet 2015'!$J$624:$J$978,$D20,'Lead Sheet 2015'!$E$624:$E$978)</f>
        <v>2055900</v>
      </c>
      <c r="N20" s="4312">
        <f>SUMIF('Lead Sheet 2015'!$J$624:$J$978,$D20,'Lead Sheet 2015'!$D$624:$D$978)</f>
        <v>2055900</v>
      </c>
      <c r="O20" s="4313">
        <f>SUMIF('Lead Sheet 2015'!$J$624:$J$978,$D20,'Lead Sheet 2015'!$C$624:$C$978)</f>
        <v>2055900</v>
      </c>
      <c r="P20" s="4307">
        <f>'Forecast (BV) 2017'!K85</f>
        <v>2025078</v>
      </c>
      <c r="Q20" s="4307">
        <f>'Forecast (BV) 2017'!L85</f>
        <v>2097223.59</v>
      </c>
      <c r="R20" s="4307">
        <f>'Forecast (BV) 2017'!M85</f>
        <v>2118195.8259000001</v>
      </c>
      <c r="S20" s="4307">
        <f>'Forecast (BV) 2017'!N85</f>
        <v>2139377.784159</v>
      </c>
      <c r="T20" s="4307">
        <f>'Forecast (BV) 2017'!O85</f>
        <v>2160771.5620005899</v>
      </c>
      <c r="U20" s="4307">
        <f>'Forecast (BV) 2017'!P85</f>
        <v>2182379.2776205959</v>
      </c>
      <c r="V20" s="4307">
        <f>'Forecast (BV) 2017'!Q85</f>
        <v>2204203.0703968019</v>
      </c>
      <c r="W20" s="4307">
        <f>'Forecast (BV) 2017'!R85</f>
        <v>923943.93</v>
      </c>
      <c r="X20" s="4307">
        <f>'Forecast (BV) 2017'!S85</f>
        <v>933183.36930000002</v>
      </c>
      <c r="Y20" s="4307">
        <f>'Forecast (BV) 2017'!T85</f>
        <v>942515.20299300004</v>
      </c>
      <c r="Z20" s="4307">
        <f>'Forecast (BV) 2017'!U85</f>
        <v>951940.35502293007</v>
      </c>
      <c r="AA20" s="11"/>
      <c r="AB20" s="13"/>
    </row>
    <row r="21" spans="1:28" s="2" customFormat="1" ht="17.25" customHeight="1">
      <c r="A21" s="411"/>
      <c r="B21" s="4"/>
      <c r="C21" s="236">
        <f>+MAX($C$9:C20)+1</f>
        <v>13</v>
      </c>
      <c r="D21" s="237">
        <v>555999</v>
      </c>
      <c r="E21" s="112" t="s">
        <v>1844</v>
      </c>
      <c r="F21" s="237">
        <v>4</v>
      </c>
      <c r="G21" s="974"/>
      <c r="H21" s="975"/>
      <c r="I21" s="974">
        <v>0</v>
      </c>
      <c r="J21" s="957">
        <v>64560.92</v>
      </c>
      <c r="K21" s="957">
        <v>50312.09</v>
      </c>
      <c r="L21" s="957">
        <v>18242.28</v>
      </c>
      <c r="M21" s="4311">
        <f>SUMIF('Lead Sheet 2015'!$J$624:$J$978,$D21,'Lead Sheet 2015'!$E$624:$E$978)</f>
        <v>81740.479999999996</v>
      </c>
      <c r="N21" s="4312">
        <f>SUMIF('Lead Sheet 2015'!$J$624:$J$978,$D21,'Lead Sheet 2015'!$D$624:$D$978)</f>
        <v>80620.03</v>
      </c>
      <c r="O21" s="4313">
        <f>SUMIF('Lead Sheet 2015'!$J$624:$J$978,$D21,'Lead Sheet 2015'!$C$624:$C$978)</f>
        <v>2447.09</v>
      </c>
      <c r="P21" s="205">
        <v>0</v>
      </c>
      <c r="Q21" s="205">
        <f t="shared" ref="Q21:Z21" si="5">P21*(1+VLOOKUP($F21,OM_Esc,Q$176,FALSE))</f>
        <v>0</v>
      </c>
      <c r="R21" s="205">
        <f t="shared" si="5"/>
        <v>0</v>
      </c>
      <c r="S21" s="205">
        <f t="shared" si="5"/>
        <v>0</v>
      </c>
      <c r="T21" s="205">
        <f t="shared" si="5"/>
        <v>0</v>
      </c>
      <c r="U21" s="205">
        <f t="shared" si="5"/>
        <v>0</v>
      </c>
      <c r="V21" s="205">
        <f t="shared" si="5"/>
        <v>0</v>
      </c>
      <c r="W21" s="205">
        <f t="shared" si="5"/>
        <v>0</v>
      </c>
      <c r="X21" s="205">
        <f t="shared" si="5"/>
        <v>0</v>
      </c>
      <c r="Y21" s="205">
        <f t="shared" si="5"/>
        <v>0</v>
      </c>
      <c r="Z21" s="205">
        <f t="shared" si="5"/>
        <v>0</v>
      </c>
      <c r="AA21" s="11"/>
      <c r="AB21" s="13"/>
    </row>
    <row r="22" spans="1:28" s="2" customFormat="1" ht="17.25" customHeight="1" thickBot="1">
      <c r="A22" s="411"/>
      <c r="B22" s="4"/>
      <c r="C22" s="236">
        <f>+MAX($C$9:C21)+1</f>
        <v>14</v>
      </c>
      <c r="D22" s="237">
        <v>557050</v>
      </c>
      <c r="E22" s="112" t="s">
        <v>735</v>
      </c>
      <c r="F22" s="237">
        <v>4</v>
      </c>
      <c r="G22" s="976">
        <v>320025.69</v>
      </c>
      <c r="H22" s="977">
        <v>691350.6</v>
      </c>
      <c r="I22" s="976">
        <v>109472.5</v>
      </c>
      <c r="J22" s="979">
        <v>113288.67</v>
      </c>
      <c r="K22" s="979">
        <v>69059.149999999994</v>
      </c>
      <c r="L22" s="979">
        <v>61544.3</v>
      </c>
      <c r="M22" s="4314">
        <f>SUMIF('Lead Sheet 2015'!$J$624:$J$978,$D22,'Lead Sheet 2015'!$E$624:$E$978)</f>
        <v>101486.62</v>
      </c>
      <c r="N22" s="4315">
        <f>SUMIF('Lead Sheet 2015'!$J$624:$J$978,$D22,'Lead Sheet 2015'!$D$624:$D$978)</f>
        <v>104336.04</v>
      </c>
      <c r="O22" s="4316">
        <f>SUMIF('Lead Sheet 2015'!$J$624:$J$978,$D22,'Lead Sheet 2015'!$C$624:$C$978)</f>
        <v>121876.26</v>
      </c>
      <c r="P22" s="277">
        <v>0</v>
      </c>
      <c r="Q22" s="277">
        <f t="shared" ref="Q22:Z22" si="6">P22*(1+VLOOKUP($F22,OM_Esc,Q$176,FALSE))</f>
        <v>0</v>
      </c>
      <c r="R22" s="277">
        <f t="shared" si="6"/>
        <v>0</v>
      </c>
      <c r="S22" s="16">
        <f t="shared" si="6"/>
        <v>0</v>
      </c>
      <c r="T22" s="16">
        <f t="shared" si="6"/>
        <v>0</v>
      </c>
      <c r="U22" s="16">
        <f t="shared" si="6"/>
        <v>0</v>
      </c>
      <c r="V22" s="16">
        <f t="shared" si="6"/>
        <v>0</v>
      </c>
      <c r="W22" s="16">
        <f t="shared" si="6"/>
        <v>0</v>
      </c>
      <c r="X22" s="16">
        <f t="shared" si="6"/>
        <v>0</v>
      </c>
      <c r="Y22" s="16">
        <f t="shared" si="6"/>
        <v>0</v>
      </c>
      <c r="Z22" s="16">
        <f t="shared" si="6"/>
        <v>0</v>
      </c>
      <c r="AA22" s="11"/>
      <c r="AB22" s="13"/>
    </row>
    <row r="23" spans="1:28" s="2" customFormat="1" ht="17.25" customHeight="1">
      <c r="A23" s="411"/>
      <c r="B23" s="4"/>
      <c r="C23" s="236">
        <f>+MAX($C$9:C22)+1</f>
        <v>15</v>
      </c>
      <c r="D23" s="112"/>
      <c r="E23" s="112"/>
      <c r="F23" s="237"/>
      <c r="G23" s="117">
        <f t="shared" ref="G23:Z23" si="7">SUM(G9:G22)</f>
        <v>84505021.050000012</v>
      </c>
      <c r="H23" s="117">
        <f t="shared" si="7"/>
        <v>102262403.33</v>
      </c>
      <c r="I23" s="117">
        <f t="shared" si="7"/>
        <v>118539328.95</v>
      </c>
      <c r="J23" s="117">
        <f t="shared" si="7"/>
        <v>138697792.29999998</v>
      </c>
      <c r="K23" s="117">
        <f t="shared" si="7"/>
        <v>134104542.05000001</v>
      </c>
      <c r="L23" s="117">
        <f t="shared" si="7"/>
        <v>100379270.52</v>
      </c>
      <c r="M23" s="2907">
        <f t="shared" si="7"/>
        <v>117161119.39</v>
      </c>
      <c r="N23" s="2907">
        <f t="shared" si="7"/>
        <v>159151227.73999998</v>
      </c>
      <c r="O23" s="2907">
        <f t="shared" si="7"/>
        <v>133138270.65000002</v>
      </c>
      <c r="P23" s="2907">
        <f t="shared" si="7"/>
        <v>106384290.24360722</v>
      </c>
      <c r="Q23" s="2907">
        <f t="shared" si="7"/>
        <v>103038617.21722999</v>
      </c>
      <c r="R23" s="2907">
        <f t="shared" si="7"/>
        <v>109737912.32604267</v>
      </c>
      <c r="S23" s="2908">
        <f t="shared" si="7"/>
        <v>118156681.20030692</v>
      </c>
      <c r="T23" s="2908">
        <f t="shared" si="7"/>
        <v>143151334.14485851</v>
      </c>
      <c r="U23" s="2908">
        <f t="shared" si="7"/>
        <v>213119250.26379368</v>
      </c>
      <c r="V23" s="2908">
        <f t="shared" si="7"/>
        <v>214803071.76733527</v>
      </c>
      <c r="W23" s="2908">
        <f t="shared" si="7"/>
        <v>224830035.01955739</v>
      </c>
      <c r="X23" s="2908">
        <f t="shared" si="7"/>
        <v>233090202.32355806</v>
      </c>
      <c r="Y23" s="2908">
        <f t="shared" si="7"/>
        <v>246773925.28542536</v>
      </c>
      <c r="Z23" s="2908">
        <f t="shared" si="7"/>
        <v>261644974.84113747</v>
      </c>
      <c r="AA23" s="11"/>
      <c r="AB23" s="13"/>
    </row>
    <row r="24" spans="1:28" s="2" customFormat="1" ht="17.25" customHeight="1" thickBot="1">
      <c r="A24" s="411"/>
      <c r="B24" s="4"/>
      <c r="C24" s="236">
        <f>+MAX($C$9:C23)+1</f>
        <v>16</v>
      </c>
      <c r="D24" s="282" t="s">
        <v>313</v>
      </c>
      <c r="E24" s="112"/>
      <c r="F24" s="237"/>
      <c r="G24" s="112"/>
      <c r="H24" s="285"/>
      <c r="I24" s="983"/>
      <c r="J24" s="983"/>
      <c r="K24" s="983"/>
      <c r="L24" s="983"/>
      <c r="M24" s="2920"/>
      <c r="N24" s="2909"/>
      <c r="O24" s="2910"/>
      <c r="P24" s="2910"/>
      <c r="Q24" s="2910"/>
      <c r="R24" s="2910"/>
      <c r="S24" s="2910"/>
      <c r="T24" s="2911"/>
      <c r="U24" s="2911"/>
      <c r="V24" s="2911"/>
      <c r="W24" s="2911"/>
      <c r="X24" s="2911"/>
      <c r="Y24" s="2911"/>
      <c r="Z24" s="2911"/>
      <c r="AA24" s="11"/>
      <c r="AB24" s="13"/>
    </row>
    <row r="25" spans="1:28" s="2" customFormat="1" ht="17.25" customHeight="1">
      <c r="A25" s="411"/>
      <c r="B25" s="4"/>
      <c r="C25" s="236">
        <f>+MAX($C$9:C24)+1</f>
        <v>17</v>
      </c>
      <c r="D25" s="237">
        <v>535500</v>
      </c>
      <c r="E25" s="112" t="s">
        <v>736</v>
      </c>
      <c r="F25" s="237">
        <v>5</v>
      </c>
      <c r="G25" s="972">
        <v>2890.7</v>
      </c>
      <c r="H25" s="973">
        <v>2859.4</v>
      </c>
      <c r="I25" s="978">
        <v>3679.77</v>
      </c>
      <c r="J25" s="978">
        <v>14191.26</v>
      </c>
      <c r="K25" s="978">
        <v>2813.25</v>
      </c>
      <c r="L25" s="978">
        <v>3383.85</v>
      </c>
      <c r="M25" s="4308">
        <f>SUMIF('Lead Sheet 2015'!$J$624:$J$978,$D25,'Lead Sheet 2015'!$E$624:$E$978)</f>
        <v>1806.1</v>
      </c>
      <c r="N25" s="4309">
        <f>SUMIF('Lead Sheet 2015'!$J$624:$J$978,$D25,'Lead Sheet 2015'!$D$624:$D$978)</f>
        <v>1629.91</v>
      </c>
      <c r="O25" s="4317">
        <f>SUMIF('Lead Sheet 2015'!$J$624:$J$978,$D25,'Lead Sheet 2015'!$C$624:$C$978)</f>
        <v>6904.05</v>
      </c>
      <c r="P25" s="4318">
        <f>O25/O$47*'Forecast (BV) 2017'!K$61</f>
        <v>7502.6239977139394</v>
      </c>
      <c r="Q25" s="2905">
        <f>P25/P$47*'Forecast (BV) 2017'!L$61</f>
        <v>8285.7181859629491</v>
      </c>
      <c r="R25" s="2905">
        <f>Q25/Q$47*'Forecast (BV) 2017'!M$61</f>
        <v>8743.7890799069555</v>
      </c>
      <c r="S25" s="2905">
        <f>R25/R$47*'Forecast (BV) 2017'!N$61</f>
        <v>8960.055737090921</v>
      </c>
      <c r="T25" s="2905">
        <f>S25/S$47*'Forecast (BV) 2017'!O$61</f>
        <v>9290.1281257122846</v>
      </c>
      <c r="U25" s="2905">
        <f>T25/T$47*'Forecast (BV) 2017'!P$61</f>
        <v>9521.8477585751461</v>
      </c>
      <c r="V25" s="2905">
        <f>U25/U$47*'Forecast (BV) 2017'!Q$61</f>
        <v>9777.3050627476568</v>
      </c>
      <c r="W25" s="2905">
        <f>V25/V$47*'Forecast (BV) 2017'!R$61</f>
        <v>10191.729418546789</v>
      </c>
      <c r="X25" s="2905">
        <f>W25/W$47*'Forecast (BV) 2017'!S$61</f>
        <v>10471.09741946662</v>
      </c>
      <c r="Y25" s="2905">
        <f>X25/X$47*'Forecast (BV) 2017'!T$61</f>
        <v>10772.487062392622</v>
      </c>
      <c r="Z25" s="2905">
        <f>Y25/Y$47*'Forecast (BV) 2017'!U$61</f>
        <v>11268.243405573585</v>
      </c>
      <c r="AA25" s="11"/>
      <c r="AB25" s="13"/>
    </row>
    <row r="26" spans="1:28" s="2" customFormat="1" ht="17.25" customHeight="1">
      <c r="A26" s="411"/>
      <c r="B26" s="4"/>
      <c r="C26" s="236">
        <f>+MAX($C$9:C25)+1</f>
        <v>18</v>
      </c>
      <c r="D26" s="237">
        <v>535000</v>
      </c>
      <c r="E26" s="112" t="s">
        <v>2161</v>
      </c>
      <c r="F26" s="237">
        <v>5</v>
      </c>
      <c r="G26" s="974"/>
      <c r="H26" s="975"/>
      <c r="I26" s="957">
        <v>0</v>
      </c>
      <c r="J26" s="957">
        <v>0</v>
      </c>
      <c r="K26" s="957">
        <v>0</v>
      </c>
      <c r="L26" s="957">
        <v>0</v>
      </c>
      <c r="M26" s="4311">
        <f>SUMIF('Lead Sheet 2015'!$J$624:$J$978,$D26,'Lead Sheet 2015'!$E$624:$E$978)</f>
        <v>0</v>
      </c>
      <c r="N26" s="4312">
        <f>SUMIF('Lead Sheet 2015'!$J$624:$J$978,$D26,'Lead Sheet 2015'!$D$624:$D$978)</f>
        <v>0</v>
      </c>
      <c r="O26" s="4319">
        <f>SUMIF('Lead Sheet 2015'!$J$624:$J$978,$D26,'Lead Sheet 2015'!$C$624:$C$978)</f>
        <v>0</v>
      </c>
      <c r="P26" s="4320">
        <f>O26/O$47*'Forecast (BV) 2017'!K$61</f>
        <v>0</v>
      </c>
      <c r="Q26" s="2905">
        <f>P26/P$47*'Forecast (BV) 2017'!L$61</f>
        <v>0</v>
      </c>
      <c r="R26" s="2905">
        <f>Q26/Q$47*'Forecast (BV) 2017'!M$61</f>
        <v>0</v>
      </c>
      <c r="S26" s="2905">
        <f>R26/R$47*'Forecast (BV) 2017'!N$61</f>
        <v>0</v>
      </c>
      <c r="T26" s="2905">
        <f>S26/S$47*'Forecast (BV) 2017'!O$61</f>
        <v>0</v>
      </c>
      <c r="U26" s="2905">
        <f>T26/T$47*'Forecast (BV) 2017'!P$61</f>
        <v>0</v>
      </c>
      <c r="V26" s="2905">
        <f>U26/U$47*'Forecast (BV) 2017'!Q$61</f>
        <v>0</v>
      </c>
      <c r="W26" s="2905">
        <f>V26/V$47*'Forecast (BV) 2017'!R$61</f>
        <v>0</v>
      </c>
      <c r="X26" s="2905">
        <f>W26/W$47*'Forecast (BV) 2017'!S$61</f>
        <v>0</v>
      </c>
      <c r="Y26" s="2905">
        <f>X26/X$47*'Forecast (BV) 2017'!T$61</f>
        <v>0</v>
      </c>
      <c r="Z26" s="2905">
        <f>Y26/Y$47*'Forecast (BV) 2017'!U$61</f>
        <v>0</v>
      </c>
      <c r="AA26" s="11"/>
      <c r="AB26" s="13"/>
    </row>
    <row r="27" spans="1:28" s="2" customFormat="1" ht="17.25" customHeight="1">
      <c r="A27" s="411"/>
      <c r="B27" s="4"/>
      <c r="C27" s="236">
        <f>+MAX($C$9:C26)+1</f>
        <v>19</v>
      </c>
      <c r="D27" s="237">
        <v>535600</v>
      </c>
      <c r="E27" s="112" t="s">
        <v>737</v>
      </c>
      <c r="F27" s="237">
        <v>5</v>
      </c>
      <c r="G27" s="974">
        <v>2890.56</v>
      </c>
      <c r="H27" s="975">
        <v>2859.5</v>
      </c>
      <c r="I27" s="957">
        <v>3550.76</v>
      </c>
      <c r="J27" s="957">
        <v>53952.68</v>
      </c>
      <c r="K27" s="957">
        <v>21138.17</v>
      </c>
      <c r="L27" s="957">
        <v>22477.91</v>
      </c>
      <c r="M27" s="4311">
        <f>SUMIF('Lead Sheet 2015'!$J$624:$J$978,$D27,'Lead Sheet 2015'!$E$624:$E$978)</f>
        <v>31476.03</v>
      </c>
      <c r="N27" s="4312">
        <f>SUMIF('Lead Sheet 2015'!$J$624:$J$978,$D27,'Lead Sheet 2015'!$D$624:$D$978)</f>
        <v>9785.2099999999991</v>
      </c>
      <c r="O27" s="4319">
        <f>SUMIF('Lead Sheet 2015'!$J$624:$J$978,$D27,'Lead Sheet 2015'!$C$624:$C$978)</f>
        <v>35183.08</v>
      </c>
      <c r="P27" s="4320">
        <f>O27/O$47*'Forecast (BV) 2017'!K$61</f>
        <v>38233.416664347642</v>
      </c>
      <c r="Q27" s="2905">
        <f>P27/P$47*'Forecast (BV) 2017'!L$61</f>
        <v>42224.069320788418</v>
      </c>
      <c r="R27" s="2905">
        <f>Q27/Q$47*'Forecast (BV) 2017'!M$61</f>
        <v>44558.401329870554</v>
      </c>
      <c r="S27" s="2905">
        <f>R27/R$47*'Forecast (BV) 2017'!N$61</f>
        <v>45660.497505453874</v>
      </c>
      <c r="T27" s="2905">
        <f>S27/S$47*'Forecast (BV) 2017'!O$61</f>
        <v>47342.54836757922</v>
      </c>
      <c r="U27" s="2905">
        <f>T27/T$47*'Forecast (BV) 2017'!P$61</f>
        <v>48523.392999438016</v>
      </c>
      <c r="V27" s="2905">
        <f>U27/U$47*'Forecast (BV) 2017'!Q$61</f>
        <v>49825.20494594561</v>
      </c>
      <c r="W27" s="2905">
        <f>V27/V$47*'Forecast (BV) 2017'!R$61</f>
        <v>51937.113936180234</v>
      </c>
      <c r="X27" s="2905">
        <f>W27/W$47*'Forecast (BV) 2017'!S$61</f>
        <v>53360.774935999536</v>
      </c>
      <c r="Y27" s="2905">
        <f>X27/X$47*'Forecast (BV) 2017'!T$61</f>
        <v>54896.658354896703</v>
      </c>
      <c r="Z27" s="2905">
        <f>Y27/Y$47*'Forecast (BV) 2017'!U$61</f>
        <v>57423.035638178728</v>
      </c>
      <c r="AA27" s="11"/>
      <c r="AB27" s="13"/>
    </row>
    <row r="28" spans="1:28" s="2" customFormat="1" ht="17.25" customHeight="1">
      <c r="A28" s="411"/>
      <c r="B28" s="4"/>
      <c r="C28" s="236">
        <f>+MAX($C$9:C27)+1</f>
        <v>20</v>
      </c>
      <c r="D28" s="237">
        <v>536000</v>
      </c>
      <c r="E28" s="112" t="s">
        <v>2162</v>
      </c>
      <c r="F28" s="237">
        <v>5</v>
      </c>
      <c r="G28" s="974"/>
      <c r="H28" s="975"/>
      <c r="I28" s="957">
        <v>0</v>
      </c>
      <c r="J28" s="957">
        <v>0</v>
      </c>
      <c r="K28" s="957">
        <v>0</v>
      </c>
      <c r="L28" s="957">
        <v>0</v>
      </c>
      <c r="M28" s="4311">
        <f>SUMIF('Lead Sheet 2015'!$J$624:$J$978,$D28,'Lead Sheet 2015'!$E$624:$E$978)</f>
        <v>0</v>
      </c>
      <c r="N28" s="4312">
        <f>SUMIF('Lead Sheet 2015'!$J$624:$J$978,$D28,'Lead Sheet 2015'!$D$624:$D$978)</f>
        <v>0</v>
      </c>
      <c r="O28" s="4319">
        <f>SUMIF('Lead Sheet 2015'!$J$624:$J$978,$D28,'Lead Sheet 2015'!$C$624:$C$978)</f>
        <v>0</v>
      </c>
      <c r="P28" s="4320">
        <f>O28/O$47*'Forecast (BV) 2017'!K$61</f>
        <v>0</v>
      </c>
      <c r="Q28" s="2905">
        <f>P28/P$47*'Forecast (BV) 2017'!L$61</f>
        <v>0</v>
      </c>
      <c r="R28" s="2905">
        <f>Q28/Q$47*'Forecast (BV) 2017'!M$61</f>
        <v>0</v>
      </c>
      <c r="S28" s="2905">
        <f>R28/R$47*'Forecast (BV) 2017'!N$61</f>
        <v>0</v>
      </c>
      <c r="T28" s="2905">
        <f>S28/S$47*'Forecast (BV) 2017'!O$61</f>
        <v>0</v>
      </c>
      <c r="U28" s="2905">
        <f>T28/T$47*'Forecast (BV) 2017'!P$61</f>
        <v>0</v>
      </c>
      <c r="V28" s="2905">
        <f>U28/U$47*'Forecast (BV) 2017'!Q$61</f>
        <v>0</v>
      </c>
      <c r="W28" s="2905">
        <f>V28/V$47*'Forecast (BV) 2017'!R$61</f>
        <v>0</v>
      </c>
      <c r="X28" s="2905">
        <f>W28/W$47*'Forecast (BV) 2017'!S$61</f>
        <v>0</v>
      </c>
      <c r="Y28" s="2905">
        <f>X28/X$47*'Forecast (BV) 2017'!T$61</f>
        <v>0</v>
      </c>
      <c r="Z28" s="2905">
        <f>Y28/Y$47*'Forecast (BV) 2017'!U$61</f>
        <v>0</v>
      </c>
      <c r="AA28" s="11"/>
      <c r="AB28" s="13"/>
    </row>
    <row r="29" spans="1:28" s="2" customFormat="1" ht="17.25" customHeight="1">
      <c r="A29" s="411"/>
      <c r="B29" s="4"/>
      <c r="C29" s="236">
        <f>+MAX($C$9:C28)+1</f>
        <v>21</v>
      </c>
      <c r="D29" s="237">
        <v>537010</v>
      </c>
      <c r="E29" s="112" t="s">
        <v>2163</v>
      </c>
      <c r="F29" s="237">
        <v>5</v>
      </c>
      <c r="G29" s="974"/>
      <c r="H29" s="975"/>
      <c r="I29" s="957">
        <v>0</v>
      </c>
      <c r="J29" s="957">
        <v>0</v>
      </c>
      <c r="K29" s="957">
        <v>0</v>
      </c>
      <c r="L29" s="957">
        <v>0</v>
      </c>
      <c r="M29" s="4311">
        <f>SUMIF('Lead Sheet 2015'!$J$624:$J$978,$D29,'Lead Sheet 2015'!$E$624:$E$978)</f>
        <v>0</v>
      </c>
      <c r="N29" s="4312">
        <f>SUMIF('Lead Sheet 2015'!$J$624:$J$978,$D29,'Lead Sheet 2015'!$D$624:$D$978)</f>
        <v>0</v>
      </c>
      <c r="O29" s="4319">
        <f>SUMIF('Lead Sheet 2015'!$J$624:$J$978,$D29,'Lead Sheet 2015'!$C$624:$C$978)</f>
        <v>0</v>
      </c>
      <c r="P29" s="4320">
        <f>O29/O$47*'Forecast (BV) 2017'!K$61</f>
        <v>0</v>
      </c>
      <c r="Q29" s="2905">
        <f>P29/P$47*'Forecast (BV) 2017'!L$61</f>
        <v>0</v>
      </c>
      <c r="R29" s="2905">
        <f>Q29/Q$47*'Forecast (BV) 2017'!M$61</f>
        <v>0</v>
      </c>
      <c r="S29" s="2905">
        <f>R29/R$47*'Forecast (BV) 2017'!N$61</f>
        <v>0</v>
      </c>
      <c r="T29" s="2905">
        <f>S29/S$47*'Forecast (BV) 2017'!O$61</f>
        <v>0</v>
      </c>
      <c r="U29" s="2905">
        <f>T29/T$47*'Forecast (BV) 2017'!P$61</f>
        <v>0</v>
      </c>
      <c r="V29" s="2905">
        <f>U29/U$47*'Forecast (BV) 2017'!Q$61</f>
        <v>0</v>
      </c>
      <c r="W29" s="2905">
        <f>V29/V$47*'Forecast (BV) 2017'!R$61</f>
        <v>0</v>
      </c>
      <c r="X29" s="2905">
        <f>W29/W$47*'Forecast (BV) 2017'!S$61</f>
        <v>0</v>
      </c>
      <c r="Y29" s="2905">
        <f>X29/X$47*'Forecast (BV) 2017'!T$61</f>
        <v>0</v>
      </c>
      <c r="Z29" s="2905">
        <f>Y29/Y$47*'Forecast (BV) 2017'!U$61</f>
        <v>0</v>
      </c>
      <c r="AA29" s="11"/>
      <c r="AB29" s="13"/>
    </row>
    <row r="30" spans="1:28" s="2" customFormat="1" ht="17.25" customHeight="1">
      <c r="A30" s="411"/>
      <c r="B30" s="4"/>
      <c r="C30" s="236">
        <f>+MAX($C$9:C29)+1</f>
        <v>22</v>
      </c>
      <c r="D30" s="237">
        <v>537500</v>
      </c>
      <c r="E30" s="112" t="s">
        <v>738</v>
      </c>
      <c r="F30" s="237">
        <v>5</v>
      </c>
      <c r="G30" s="974">
        <v>12245.96</v>
      </c>
      <c r="H30" s="975">
        <v>6649.16</v>
      </c>
      <c r="I30" s="957">
        <v>9025.4599999999991</v>
      </c>
      <c r="J30" s="957">
        <v>13799.25</v>
      </c>
      <c r="K30" s="957">
        <v>10976.42</v>
      </c>
      <c r="L30" s="957">
        <v>9321.48</v>
      </c>
      <c r="M30" s="4311">
        <f>SUMIF('Lead Sheet 2015'!$J$624:$J$978,$D30,'Lead Sheet 2015'!$E$624:$E$978)</f>
        <v>9193.8799999999992</v>
      </c>
      <c r="N30" s="4312">
        <f>SUMIF('Lead Sheet 2015'!$J$624:$J$978,$D30,'Lead Sheet 2015'!$D$624:$D$978)</f>
        <v>8753.02</v>
      </c>
      <c r="O30" s="4319">
        <f>SUMIF('Lead Sheet 2015'!$J$624:$J$978,$D30,'Lead Sheet 2015'!$C$624:$C$978)</f>
        <v>11054.5</v>
      </c>
      <c r="P30" s="4320">
        <f>O30/O$47*'Forecast (BV) 2017'!K$61</f>
        <v>12012.913722051368</v>
      </c>
      <c r="Q30" s="2905">
        <f>P30/P$47*'Forecast (BV) 2017'!L$61</f>
        <v>13266.774094441294</v>
      </c>
      <c r="R30" s="2905">
        <f>Q30/Q$47*'Forecast (BV) 2017'!M$61</f>
        <v>14000.219636855387</v>
      </c>
      <c r="S30" s="2905">
        <f>R30/R$47*'Forecast (BV) 2017'!N$61</f>
        <v>14346.497511702781</v>
      </c>
      <c r="T30" s="2905">
        <f>S30/S$47*'Forecast (BV) 2017'!O$61</f>
        <v>14874.996757799616</v>
      </c>
      <c r="U30" s="2905">
        <f>T30/T$47*'Forecast (BV) 2017'!P$61</f>
        <v>15246.017344481708</v>
      </c>
      <c r="V30" s="2905">
        <f>U30/U$47*'Forecast (BV) 2017'!Q$61</f>
        <v>15655.045779816766</v>
      </c>
      <c r="W30" s="2905">
        <f>V30/V$47*'Forecast (BV) 2017'!R$61</f>
        <v>16318.606159764988</v>
      </c>
      <c r="X30" s="2905">
        <f>W30/W$47*'Forecast (BV) 2017'!S$61</f>
        <v>16765.91948544604</v>
      </c>
      <c r="Y30" s="2905">
        <f>X30/X$47*'Forecast (BV) 2017'!T$61</f>
        <v>17248.493019491347</v>
      </c>
      <c r="Z30" s="2905">
        <f>Y30/Y$47*'Forecast (BV) 2017'!U$61</f>
        <v>18042.279057497148</v>
      </c>
      <c r="AA30" s="11"/>
      <c r="AB30" s="13"/>
    </row>
    <row r="31" spans="1:28" s="2" customFormat="1" ht="17.25" customHeight="1">
      <c r="A31" s="411"/>
      <c r="B31" s="4"/>
      <c r="C31" s="236">
        <f>+MAX($C$9:C30)+1</f>
        <v>23</v>
      </c>
      <c r="D31" s="237">
        <v>537600</v>
      </c>
      <c r="E31" s="112" t="s">
        <v>739</v>
      </c>
      <c r="F31" s="237">
        <v>5</v>
      </c>
      <c r="G31" s="974">
        <v>11856.9</v>
      </c>
      <c r="H31" s="975">
        <v>5677.03</v>
      </c>
      <c r="I31" s="957">
        <v>12998.93</v>
      </c>
      <c r="J31" s="957">
        <v>20479.599999999999</v>
      </c>
      <c r="K31" s="957">
        <v>17874.439999999999</v>
      </c>
      <c r="L31" s="957">
        <v>12687.68</v>
      </c>
      <c r="M31" s="4311">
        <f>SUMIF('Lead Sheet 2015'!$J$624:$J$978,$D31,'Lead Sheet 2015'!$E$624:$E$978)</f>
        <v>10834.9</v>
      </c>
      <c r="N31" s="4312">
        <f>SUMIF('Lead Sheet 2015'!$J$624:$J$978,$D31,'Lead Sheet 2015'!$D$624:$D$978)</f>
        <v>8305.15</v>
      </c>
      <c r="O31" s="4319">
        <f>SUMIF('Lead Sheet 2015'!$J$624:$J$978,$D31,'Lead Sheet 2015'!$C$624:$C$978)</f>
        <v>8092.56</v>
      </c>
      <c r="P31" s="4320">
        <f>O31/O$47*'Forecast (BV) 2017'!K$61</f>
        <v>8794.1765860531013</v>
      </c>
      <c r="Q31" s="2905">
        <f>P31/P$47*'Forecast (BV) 2017'!L$61</f>
        <v>9712.0779199160388</v>
      </c>
      <c r="R31" s="2905">
        <f>Q31/Q$47*'Forecast (BV) 2017'!M$61</f>
        <v>10249.004244826128</v>
      </c>
      <c r="S31" s="2905">
        <f>R31/R$47*'Forecast (BV) 2017'!N$61</f>
        <v>10502.50051140309</v>
      </c>
      <c r="T31" s="2905">
        <f>S31/S$47*'Forecast (BV) 2017'!O$61</f>
        <v>10889.39380001799</v>
      </c>
      <c r="U31" s="2905">
        <f>T31/T$47*'Forecast (BV) 2017'!P$61</f>
        <v>11161.003222331079</v>
      </c>
      <c r="V31" s="2905">
        <f>U31/U$47*'Forecast (BV) 2017'!Q$61</f>
        <v>11460.436679715409</v>
      </c>
      <c r="W31" s="2905">
        <f>V31/V$47*'Forecast (BV) 2017'!R$61</f>
        <v>11946.202855332016</v>
      </c>
      <c r="X31" s="2905">
        <f>W31/W$47*'Forecast (BV) 2017'!S$61</f>
        <v>12273.663158997804</v>
      </c>
      <c r="Y31" s="2905">
        <f>X31/X$47*'Forecast (BV) 2017'!T$61</f>
        <v>12626.936059506528</v>
      </c>
      <c r="Z31" s="2905">
        <f>Y31/Y$47*'Forecast (BV) 2017'!U$61</f>
        <v>13208.035262521067</v>
      </c>
      <c r="AA31" s="11"/>
      <c r="AB31" s="13"/>
    </row>
    <row r="32" spans="1:28" s="2" customFormat="1" ht="17.25" customHeight="1">
      <c r="A32" s="411"/>
      <c r="B32" s="4"/>
      <c r="C32" s="236">
        <f>+MAX($C$9:C31)+1</f>
        <v>24</v>
      </c>
      <c r="D32" s="237">
        <v>538500</v>
      </c>
      <c r="E32" s="112" t="s">
        <v>740</v>
      </c>
      <c r="F32" s="237">
        <v>5</v>
      </c>
      <c r="G32" s="974">
        <v>12246.18</v>
      </c>
      <c r="H32" s="975">
        <v>6649.39</v>
      </c>
      <c r="I32" s="957">
        <v>9025.61</v>
      </c>
      <c r="J32" s="957">
        <v>13798.7</v>
      </c>
      <c r="K32" s="957">
        <v>10975.98</v>
      </c>
      <c r="L32" s="957">
        <v>9321.17</v>
      </c>
      <c r="M32" s="4311">
        <f>SUMIF('Lead Sheet 2015'!$J$624:$J$978,$D32,'Lead Sheet 2015'!$E$624:$E$978)</f>
        <v>9193.35</v>
      </c>
      <c r="N32" s="4312">
        <f>SUMIF('Lead Sheet 2015'!$J$624:$J$978,$D32,'Lead Sheet 2015'!$D$624:$D$978)</f>
        <v>8752.7800000000007</v>
      </c>
      <c r="O32" s="4319">
        <f>SUMIF('Lead Sheet 2015'!$J$624:$J$978,$D32,'Lead Sheet 2015'!$C$624:$C$978)</f>
        <v>11054.21</v>
      </c>
      <c r="P32" s="4320">
        <f>O32/O$47*'Forecast (BV) 2017'!K$61</f>
        <v>12012.598579351163</v>
      </c>
      <c r="Q32" s="2905">
        <f>P32/P$47*'Forecast (BV) 2017'!L$61</f>
        <v>13266.426058393765</v>
      </c>
      <c r="R32" s="2905">
        <f>Q32/Q$47*'Forecast (BV) 2017'!M$61</f>
        <v>13999.852359846504</v>
      </c>
      <c r="S32" s="2905">
        <f>R32/R$47*'Forecast (BV) 2017'!N$61</f>
        <v>14346.12115055769</v>
      </c>
      <c r="T32" s="2905">
        <f>S32/S$47*'Forecast (BV) 2017'!O$61</f>
        <v>14874.606532184727</v>
      </c>
      <c r="U32" s="2905">
        <f>T32/T$47*'Forecast (BV) 2017'!P$61</f>
        <v>15245.61738563871</v>
      </c>
      <c r="V32" s="2905">
        <f>U32/U$47*'Forecast (BV) 2017'!Q$61</f>
        <v>15654.635090660662</v>
      </c>
      <c r="W32" s="2905">
        <f>V32/V$47*'Forecast (BV) 2017'!R$61</f>
        <v>16318.178062991154</v>
      </c>
      <c r="X32" s="2905">
        <f>W32/W$47*'Forecast (BV) 2017'!S$61</f>
        <v>16765.479654006282</v>
      </c>
      <c r="Y32" s="2905">
        <f>X32/X$47*'Forecast (BV) 2017'!T$61</f>
        <v>17248.040528381331</v>
      </c>
      <c r="Z32" s="2905">
        <f>Y32/Y$47*'Forecast (BV) 2017'!U$61</f>
        <v>18041.805742473698</v>
      </c>
      <c r="AA32" s="11"/>
      <c r="AB32" s="13"/>
    </row>
    <row r="33" spans="1:28" s="2" customFormat="1" ht="17.25" customHeight="1">
      <c r="A33" s="411"/>
      <c r="B33" s="4"/>
      <c r="C33" s="236">
        <f>+MAX($C$9:C32)+1</f>
        <v>25</v>
      </c>
      <c r="D33" s="237">
        <v>538600</v>
      </c>
      <c r="E33" s="112" t="s">
        <v>741</v>
      </c>
      <c r="F33" s="237">
        <v>5</v>
      </c>
      <c r="G33" s="974">
        <v>11857.08</v>
      </c>
      <c r="H33" s="975">
        <v>5677.21</v>
      </c>
      <c r="I33" s="957">
        <v>12999.17</v>
      </c>
      <c r="J33" s="957">
        <v>20479.03</v>
      </c>
      <c r="K33" s="957">
        <v>17873.96</v>
      </c>
      <c r="L33" s="957">
        <v>12687.34</v>
      </c>
      <c r="M33" s="4311">
        <f>SUMIF('Lead Sheet 2015'!$J$624:$J$978,$D33,'Lead Sheet 2015'!$E$624:$E$978)</f>
        <v>10834.39</v>
      </c>
      <c r="N33" s="4312">
        <f>SUMIF('Lead Sheet 2015'!$J$624:$J$978,$D33,'Lead Sheet 2015'!$D$624:$D$978)</f>
        <v>8304.9</v>
      </c>
      <c r="O33" s="4319">
        <f>SUMIF('Lead Sheet 2015'!$J$624:$J$978,$D33,'Lead Sheet 2015'!$C$624:$C$978)</f>
        <v>8092.37</v>
      </c>
      <c r="P33" s="4320">
        <f>O33/O$47*'Forecast (BV) 2017'!K$61</f>
        <v>8793.9701132495211</v>
      </c>
      <c r="Q33" s="2905">
        <f>P33/P$47*'Forecast (BV) 2017'!L$61</f>
        <v>9711.8498962986941</v>
      </c>
      <c r="R33" s="2905">
        <f>Q33/Q$47*'Forecast (BV) 2017'!M$61</f>
        <v>10248.763615061689</v>
      </c>
      <c r="S33" s="2905">
        <f>R33/R$47*'Forecast (BV) 2017'!N$61</f>
        <v>10502.253929963206</v>
      </c>
      <c r="T33" s="2905">
        <f>S33/S$47*'Forecast (BV) 2017'!O$61</f>
        <v>10889.138134959963</v>
      </c>
      <c r="U33" s="2905">
        <f>T33/T$47*'Forecast (BV) 2017'!P$61</f>
        <v>11160.741180330497</v>
      </c>
      <c r="V33" s="2905">
        <f>U33/U$47*'Forecast (BV) 2017'!Q$61</f>
        <v>11460.167607509688</v>
      </c>
      <c r="W33" s="2905">
        <f>V33/V$47*'Forecast (BV) 2017'!R$61</f>
        <v>11945.922378135368</v>
      </c>
      <c r="X33" s="2905">
        <f>W33/W$47*'Forecast (BV) 2017'!S$61</f>
        <v>12273.374993571759</v>
      </c>
      <c r="Y33" s="2905">
        <f>X33/X$47*'Forecast (BV) 2017'!T$61</f>
        <v>12626.639599813761</v>
      </c>
      <c r="Z33" s="2905">
        <f>Y33/Y$47*'Forecast (BV) 2017'!U$61</f>
        <v>13207.725159574673</v>
      </c>
      <c r="AA33" s="11"/>
      <c r="AB33" s="13"/>
    </row>
    <row r="34" spans="1:28" s="2" customFormat="1" ht="17.25" customHeight="1">
      <c r="A34" s="411"/>
      <c r="B34" s="4"/>
      <c r="C34" s="236">
        <f>+MAX($C$9:C33)+1</f>
        <v>26</v>
      </c>
      <c r="D34" s="237">
        <v>539010</v>
      </c>
      <c r="E34" s="112" t="s">
        <v>742</v>
      </c>
      <c r="F34" s="237">
        <v>5</v>
      </c>
      <c r="G34" s="974">
        <v>-343.75</v>
      </c>
      <c r="H34" s="975">
        <v>-1023.55</v>
      </c>
      <c r="I34" s="957">
        <v>-128.47999999999999</v>
      </c>
      <c r="J34" s="957">
        <v>0</v>
      </c>
      <c r="K34" s="957">
        <v>1075.28</v>
      </c>
      <c r="L34" s="957">
        <v>0</v>
      </c>
      <c r="M34" s="4311">
        <f>SUMIF('Lead Sheet 2015'!$J$624:$J$978,$D34,'Lead Sheet 2015'!$E$624:$E$978)</f>
        <v>0</v>
      </c>
      <c r="N34" s="4312">
        <f>SUMIF('Lead Sheet 2015'!$J$624:$J$978,$D34,'Lead Sheet 2015'!$D$624:$D$978)</f>
        <v>0</v>
      </c>
      <c r="O34" s="4319">
        <f>SUMIF('Lead Sheet 2015'!$J$624:$J$978,$D34,'Lead Sheet 2015'!$C$624:$C$978)</f>
        <v>0</v>
      </c>
      <c r="P34" s="4320">
        <f>O34/O$47*'Forecast (BV) 2017'!K$61</f>
        <v>0</v>
      </c>
      <c r="Q34" s="2905">
        <f>P34/P$47*'Forecast (BV) 2017'!L$61</f>
        <v>0</v>
      </c>
      <c r="R34" s="2905">
        <f>Q34/Q$47*'Forecast (BV) 2017'!M$61</f>
        <v>0</v>
      </c>
      <c r="S34" s="2905">
        <f>R34/R$47*'Forecast (BV) 2017'!N$61</f>
        <v>0</v>
      </c>
      <c r="T34" s="2905">
        <f>S34/S$47*'Forecast (BV) 2017'!O$61</f>
        <v>0</v>
      </c>
      <c r="U34" s="2905">
        <f>T34/T$47*'Forecast (BV) 2017'!P$61</f>
        <v>0</v>
      </c>
      <c r="V34" s="2905">
        <f>U34/U$47*'Forecast (BV) 2017'!Q$61</f>
        <v>0</v>
      </c>
      <c r="W34" s="2905">
        <f>V34/V$47*'Forecast (BV) 2017'!R$61</f>
        <v>0</v>
      </c>
      <c r="X34" s="2905">
        <f>W34/W$47*'Forecast (BV) 2017'!S$61</f>
        <v>0</v>
      </c>
      <c r="Y34" s="2905">
        <f>X34/X$47*'Forecast (BV) 2017'!T$61</f>
        <v>0</v>
      </c>
      <c r="Z34" s="2905">
        <f>Y34/Y$47*'Forecast (BV) 2017'!U$61</f>
        <v>0</v>
      </c>
      <c r="AA34" s="11"/>
      <c r="AB34" s="13"/>
    </row>
    <row r="35" spans="1:28" s="2" customFormat="1" ht="17.25" customHeight="1">
      <c r="A35" s="411"/>
      <c r="B35" s="4"/>
      <c r="C35" s="236">
        <f>+MAX($C$9:C34)+1</f>
        <v>27</v>
      </c>
      <c r="D35" s="237">
        <v>539600</v>
      </c>
      <c r="E35" s="112" t="s">
        <v>310</v>
      </c>
      <c r="F35" s="237">
        <v>5</v>
      </c>
      <c r="G35" s="974">
        <v>1730</v>
      </c>
      <c r="H35" s="975"/>
      <c r="I35" s="957">
        <v>0</v>
      </c>
      <c r="J35" s="957">
        <v>0</v>
      </c>
      <c r="K35" s="957">
        <v>0</v>
      </c>
      <c r="L35" s="957">
        <v>0</v>
      </c>
      <c r="M35" s="4311">
        <f>SUMIF('Lead Sheet 2015'!$J$624:$J$978,$D35,'Lead Sheet 2015'!$E$624:$E$978)</f>
        <v>0</v>
      </c>
      <c r="N35" s="4312">
        <f>SUMIF('Lead Sheet 2015'!$J$624:$J$978,$D35,'Lead Sheet 2015'!$D$624:$D$978)</f>
        <v>0</v>
      </c>
      <c r="O35" s="4319">
        <f>SUMIF('Lead Sheet 2015'!$J$624:$J$978,$D35,'Lead Sheet 2015'!$C$624:$C$978)</f>
        <v>0</v>
      </c>
      <c r="P35" s="4320">
        <f>O35/O$47*'Forecast (BV) 2017'!K$61</f>
        <v>0</v>
      </c>
      <c r="Q35" s="2905">
        <f>P35/P$47*'Forecast (BV) 2017'!L$61</f>
        <v>0</v>
      </c>
      <c r="R35" s="2905">
        <f>Q35/Q$47*'Forecast (BV) 2017'!M$61</f>
        <v>0</v>
      </c>
      <c r="S35" s="2905">
        <f>R35/R$47*'Forecast (BV) 2017'!N$61</f>
        <v>0</v>
      </c>
      <c r="T35" s="2905">
        <f>S35/S$47*'Forecast (BV) 2017'!O$61</f>
        <v>0</v>
      </c>
      <c r="U35" s="2905">
        <f>T35/T$47*'Forecast (BV) 2017'!P$61</f>
        <v>0</v>
      </c>
      <c r="V35" s="2905">
        <f>U35/U$47*'Forecast (BV) 2017'!Q$61</f>
        <v>0</v>
      </c>
      <c r="W35" s="2905">
        <f>V35/V$47*'Forecast (BV) 2017'!R$61</f>
        <v>0</v>
      </c>
      <c r="X35" s="2905">
        <f>W35/W$47*'Forecast (BV) 2017'!S$61</f>
        <v>0</v>
      </c>
      <c r="Y35" s="2905">
        <f>X35/X$47*'Forecast (BV) 2017'!T$61</f>
        <v>0</v>
      </c>
      <c r="Z35" s="2905">
        <f>Y35/Y$47*'Forecast (BV) 2017'!U$61</f>
        <v>0</v>
      </c>
      <c r="AA35" s="11"/>
      <c r="AB35" s="13"/>
    </row>
    <row r="36" spans="1:28" s="2" customFormat="1" ht="17.25" customHeight="1">
      <c r="A36" s="411"/>
      <c r="B36" s="4"/>
      <c r="C36" s="236">
        <f>+MAX($C$9:C35)+1</f>
        <v>28</v>
      </c>
      <c r="D36" s="237">
        <v>541500</v>
      </c>
      <c r="E36" s="112" t="s">
        <v>743</v>
      </c>
      <c r="F36" s="237">
        <v>5</v>
      </c>
      <c r="G36" s="974">
        <v>2890.87</v>
      </c>
      <c r="H36" s="975">
        <v>2859.72</v>
      </c>
      <c r="I36" s="957">
        <v>3228.77</v>
      </c>
      <c r="J36" s="957">
        <v>0</v>
      </c>
      <c r="K36" s="957">
        <v>0</v>
      </c>
      <c r="L36" s="957">
        <v>0</v>
      </c>
      <c r="M36" s="4311">
        <f>SUMIF('Lead Sheet 2015'!$J$624:$J$978,$D36,'Lead Sheet 2015'!$E$624:$E$978)</f>
        <v>0</v>
      </c>
      <c r="N36" s="4312">
        <f>SUMIF('Lead Sheet 2015'!$J$624:$J$978,$D36,'Lead Sheet 2015'!$D$624:$D$978)</f>
        <v>0</v>
      </c>
      <c r="O36" s="4319">
        <f>SUMIF('Lead Sheet 2015'!$J$624:$J$978,$D36,'Lead Sheet 2015'!$C$624:$C$978)</f>
        <v>0</v>
      </c>
      <c r="P36" s="4320">
        <f>O36/O$47*'Forecast (BV) 2017'!K$61</f>
        <v>0</v>
      </c>
      <c r="Q36" s="2905">
        <f>P36/P$47*'Forecast (BV) 2017'!L$61</f>
        <v>0</v>
      </c>
      <c r="R36" s="2905">
        <f>Q36/Q$47*'Forecast (BV) 2017'!M$61</f>
        <v>0</v>
      </c>
      <c r="S36" s="2905">
        <f>R36/R$47*'Forecast (BV) 2017'!N$61</f>
        <v>0</v>
      </c>
      <c r="T36" s="2905">
        <f>S36/S$47*'Forecast (BV) 2017'!O$61</f>
        <v>0</v>
      </c>
      <c r="U36" s="2905">
        <f>T36/T$47*'Forecast (BV) 2017'!P$61</f>
        <v>0</v>
      </c>
      <c r="V36" s="2905">
        <f>U36/U$47*'Forecast (BV) 2017'!Q$61</f>
        <v>0</v>
      </c>
      <c r="W36" s="2905">
        <f>V36/V$47*'Forecast (BV) 2017'!R$61</f>
        <v>0</v>
      </c>
      <c r="X36" s="2905">
        <f>W36/W$47*'Forecast (BV) 2017'!S$61</f>
        <v>0</v>
      </c>
      <c r="Y36" s="2905">
        <f>X36/X$47*'Forecast (BV) 2017'!T$61</f>
        <v>0</v>
      </c>
      <c r="Z36" s="2905">
        <f>Y36/Y$47*'Forecast (BV) 2017'!U$61</f>
        <v>0</v>
      </c>
      <c r="AA36" s="11"/>
      <c r="AB36" s="13"/>
    </row>
    <row r="37" spans="1:28" s="2" customFormat="1" ht="17.25" customHeight="1">
      <c r="A37" s="411"/>
      <c r="B37" s="4"/>
      <c r="C37" s="236">
        <f>+MAX($C$9:C36)+1</f>
        <v>29</v>
      </c>
      <c r="D37" s="237">
        <v>541600</v>
      </c>
      <c r="E37" s="112" t="s">
        <v>744</v>
      </c>
      <c r="F37" s="237">
        <v>5</v>
      </c>
      <c r="G37" s="974">
        <v>2890.91</v>
      </c>
      <c r="H37" s="975">
        <v>2859.67</v>
      </c>
      <c r="I37" s="957">
        <v>3228.62</v>
      </c>
      <c r="J37" s="957">
        <v>0</v>
      </c>
      <c r="K37" s="957">
        <v>0</v>
      </c>
      <c r="L37" s="957">
        <v>0</v>
      </c>
      <c r="M37" s="4311">
        <f>SUMIF('Lead Sheet 2015'!$J$624:$J$978,$D37,'Lead Sheet 2015'!$E$624:$E$978)</f>
        <v>0</v>
      </c>
      <c r="N37" s="4312">
        <f>SUMIF('Lead Sheet 2015'!$J$624:$J$978,$D37,'Lead Sheet 2015'!$D$624:$D$978)</f>
        <v>0</v>
      </c>
      <c r="O37" s="4319">
        <f>SUMIF('Lead Sheet 2015'!$J$624:$J$978,$D37,'Lead Sheet 2015'!$C$624:$C$978)</f>
        <v>0</v>
      </c>
      <c r="P37" s="4320">
        <f>O37/O$47*'Forecast (BV) 2017'!K$61</f>
        <v>0</v>
      </c>
      <c r="Q37" s="2905">
        <f>P37/P$47*'Forecast (BV) 2017'!L$61</f>
        <v>0</v>
      </c>
      <c r="R37" s="2905">
        <f>Q37/Q$47*'Forecast (BV) 2017'!M$61</f>
        <v>0</v>
      </c>
      <c r="S37" s="2905">
        <f>R37/R$47*'Forecast (BV) 2017'!N$61</f>
        <v>0</v>
      </c>
      <c r="T37" s="2905">
        <f>S37/S$47*'Forecast (BV) 2017'!O$61</f>
        <v>0</v>
      </c>
      <c r="U37" s="2905">
        <f>T37/T$47*'Forecast (BV) 2017'!P$61</f>
        <v>0</v>
      </c>
      <c r="V37" s="2905">
        <f>U37/U$47*'Forecast (BV) 2017'!Q$61</f>
        <v>0</v>
      </c>
      <c r="W37" s="2905">
        <f>V37/V$47*'Forecast (BV) 2017'!R$61</f>
        <v>0</v>
      </c>
      <c r="X37" s="2905">
        <f>W37/W$47*'Forecast (BV) 2017'!S$61</f>
        <v>0</v>
      </c>
      <c r="Y37" s="2905">
        <f>X37/X$47*'Forecast (BV) 2017'!T$61</f>
        <v>0</v>
      </c>
      <c r="Z37" s="2905">
        <f>Y37/Y$47*'Forecast (BV) 2017'!U$61</f>
        <v>0</v>
      </c>
      <c r="AA37" s="11"/>
      <c r="AB37" s="13"/>
    </row>
    <row r="38" spans="1:28" s="2" customFormat="1" ht="17.25" customHeight="1">
      <c r="A38" s="411"/>
      <c r="B38" s="4"/>
      <c r="C38" s="236">
        <f>+MAX($C$9:C37)+1</f>
        <v>30</v>
      </c>
      <c r="D38" s="237">
        <v>543010</v>
      </c>
      <c r="E38" s="112" t="s">
        <v>745</v>
      </c>
      <c r="F38" s="237">
        <v>5</v>
      </c>
      <c r="G38" s="974">
        <v>-27.58</v>
      </c>
      <c r="H38" s="975">
        <v>-475.83</v>
      </c>
      <c r="I38" s="957">
        <v>230.07</v>
      </c>
      <c r="J38" s="957">
        <v>0</v>
      </c>
      <c r="K38" s="957">
        <v>0</v>
      </c>
      <c r="L38" s="957">
        <v>0</v>
      </c>
      <c r="M38" s="4311">
        <f>SUMIF('Lead Sheet 2015'!$J$624:$J$978,$D38,'Lead Sheet 2015'!$E$624:$E$978)</f>
        <v>0</v>
      </c>
      <c r="N38" s="4312">
        <f>SUMIF('Lead Sheet 2015'!$J$624:$J$978,$D38,'Lead Sheet 2015'!$D$624:$D$978)</f>
        <v>0</v>
      </c>
      <c r="O38" s="4319">
        <f>SUMIF('Lead Sheet 2015'!$J$624:$J$978,$D38,'Lead Sheet 2015'!$C$624:$C$978)</f>
        <v>0</v>
      </c>
      <c r="P38" s="4320">
        <f>O38/O$47*'Forecast (BV) 2017'!K$61</f>
        <v>0</v>
      </c>
      <c r="Q38" s="2905">
        <f>P38/P$47*'Forecast (BV) 2017'!L$61</f>
        <v>0</v>
      </c>
      <c r="R38" s="2905">
        <f>Q38/Q$47*'Forecast (BV) 2017'!M$61</f>
        <v>0</v>
      </c>
      <c r="S38" s="2905">
        <f>R38/R$47*'Forecast (BV) 2017'!N$61</f>
        <v>0</v>
      </c>
      <c r="T38" s="2905">
        <f>S38/S$47*'Forecast (BV) 2017'!O$61</f>
        <v>0</v>
      </c>
      <c r="U38" s="2905">
        <f>T38/T$47*'Forecast (BV) 2017'!P$61</f>
        <v>0</v>
      </c>
      <c r="V38" s="2905">
        <f>U38/U$47*'Forecast (BV) 2017'!Q$61</f>
        <v>0</v>
      </c>
      <c r="W38" s="2905">
        <f>V38/V$47*'Forecast (BV) 2017'!R$61</f>
        <v>0</v>
      </c>
      <c r="X38" s="2905">
        <f>W38/W$47*'Forecast (BV) 2017'!S$61</f>
        <v>0</v>
      </c>
      <c r="Y38" s="2905">
        <f>X38/X$47*'Forecast (BV) 2017'!T$61</f>
        <v>0</v>
      </c>
      <c r="Z38" s="2905">
        <f>Y38/Y$47*'Forecast (BV) 2017'!U$61</f>
        <v>0</v>
      </c>
      <c r="AA38" s="11"/>
      <c r="AB38" s="13"/>
    </row>
    <row r="39" spans="1:28" s="2" customFormat="1" ht="17.25" customHeight="1">
      <c r="A39" s="411"/>
      <c r="B39" s="4"/>
      <c r="C39" s="236">
        <f>+MAX($C$9:C38)+1</f>
        <v>31</v>
      </c>
      <c r="D39" s="237">
        <v>544500</v>
      </c>
      <c r="E39" s="112" t="s">
        <v>746</v>
      </c>
      <c r="F39" s="237">
        <v>5</v>
      </c>
      <c r="G39" s="974">
        <v>222518.2</v>
      </c>
      <c r="H39" s="975">
        <v>134413.25</v>
      </c>
      <c r="I39" s="957">
        <v>115251.9</v>
      </c>
      <c r="J39" s="957">
        <v>140317.23000000001</v>
      </c>
      <c r="K39" s="957">
        <v>118054.09</v>
      </c>
      <c r="L39" s="957">
        <v>132077.76000000001</v>
      </c>
      <c r="M39" s="4311">
        <f>SUMIF('Lead Sheet 2015'!$J$624:$J$978,$D39,'Lead Sheet 2015'!$E$624:$E$978)</f>
        <v>272196.27</v>
      </c>
      <c r="N39" s="4312">
        <f>SUMIF('Lead Sheet 2015'!$J$624:$J$978,$D39,'Lead Sheet 2015'!$D$624:$D$978)</f>
        <v>259161.53</v>
      </c>
      <c r="O39" s="4319">
        <f>SUMIF('Lead Sheet 2015'!$J$624:$J$978,$D39,'Lead Sheet 2015'!$C$624:$C$978)</f>
        <v>216716.9</v>
      </c>
      <c r="P39" s="4320">
        <f>O39/O$47*'Forecast (BV) 2017'!K$61</f>
        <v>235506.03119186158</v>
      </c>
      <c r="Q39" s="2905">
        <f>P39/P$47*'Forecast (BV) 2017'!L$61</f>
        <v>260087.21830454789</v>
      </c>
      <c r="R39" s="2905">
        <f>Q39/Q$47*'Forecast (BV) 2017'!M$61</f>
        <v>274465.98209040891</v>
      </c>
      <c r="S39" s="2905">
        <f>R39/R$47*'Forecast (BV) 2017'!N$61</f>
        <v>281254.55394580855</v>
      </c>
      <c r="T39" s="2905">
        <f>S39/S$47*'Forecast (BV) 2017'!O$61</f>
        <v>291615.46744406206</v>
      </c>
      <c r="U39" s="2905">
        <f>T39/T$47*'Forecast (BV) 2017'!P$61</f>
        <v>298889.1054540964</v>
      </c>
      <c r="V39" s="2905">
        <f>U39/U$47*'Forecast (BV) 2017'!Q$61</f>
        <v>306907.86473924399</v>
      </c>
      <c r="W39" s="2905">
        <f>V39/V$47*'Forecast (BV) 2017'!R$61</f>
        <v>319916.57146548224</v>
      </c>
      <c r="X39" s="2905">
        <f>W39/W$47*'Forecast (BV) 2017'!S$61</f>
        <v>328685.88326341863</v>
      </c>
      <c r="Y39" s="2905">
        <f>X39/X$47*'Forecast (BV) 2017'!T$61</f>
        <v>338146.45048222935</v>
      </c>
      <c r="Z39" s="2905">
        <f>Y39/Y$47*'Forecast (BV) 2017'!U$61</f>
        <v>353708.1538084675</v>
      </c>
      <c r="AA39" s="11"/>
      <c r="AB39" s="13"/>
    </row>
    <row r="40" spans="1:28" s="2" customFormat="1" ht="17.25" customHeight="1">
      <c r="A40" s="411"/>
      <c r="B40" s="4"/>
      <c r="C40" s="236">
        <f>+MAX($C$9:C39)+1</f>
        <v>32</v>
      </c>
      <c r="D40" s="237">
        <v>544600</v>
      </c>
      <c r="E40" s="112" t="s">
        <v>747</v>
      </c>
      <c r="F40" s="237">
        <v>5</v>
      </c>
      <c r="G40" s="974">
        <v>197094.64</v>
      </c>
      <c r="H40" s="975">
        <v>185516.41</v>
      </c>
      <c r="I40" s="957">
        <v>107672.05</v>
      </c>
      <c r="J40" s="957">
        <v>174562.48</v>
      </c>
      <c r="K40" s="957">
        <v>332413.99</v>
      </c>
      <c r="L40" s="957">
        <v>111576.87</v>
      </c>
      <c r="M40" s="4311">
        <f>SUMIF('Lead Sheet 2015'!$J$624:$J$978,$D40,'Lead Sheet 2015'!$E$624:$E$978)</f>
        <v>119117.9</v>
      </c>
      <c r="N40" s="4312">
        <f>SUMIF('Lead Sheet 2015'!$J$624:$J$978,$D40,'Lead Sheet 2015'!$D$624:$D$978)</f>
        <v>100724.7</v>
      </c>
      <c r="O40" s="4319">
        <f>SUMIF('Lead Sheet 2015'!$J$624:$J$978,$D40,'Lead Sheet 2015'!$C$624:$C$978)</f>
        <v>121627.45</v>
      </c>
      <c r="P40" s="4320">
        <f>O40/O$47*'Forecast (BV) 2017'!K$61</f>
        <v>132172.4241786708</v>
      </c>
      <c r="Q40" s="2905">
        <f>P40/P$47*'Forecast (BV) 2017'!L$61</f>
        <v>145968.05851309004</v>
      </c>
      <c r="R40" s="2905">
        <f>Q40/Q$47*'Forecast (BV) 2017'!M$61</f>
        <v>154037.81391023082</v>
      </c>
      <c r="S40" s="2905">
        <f>R40/R$47*'Forecast (BV) 2017'!N$61</f>
        <v>157847.74605633493</v>
      </c>
      <c r="T40" s="2905">
        <f>S40/S$47*'Forecast (BV) 2017'!O$61</f>
        <v>163662.57401143742</v>
      </c>
      <c r="U40" s="2905">
        <f>T40/T$47*'Forecast (BV) 2017'!P$61</f>
        <v>167744.7385467531</v>
      </c>
      <c r="V40" s="2905">
        <f>U40/U$47*'Forecast (BV) 2017'!Q$61</f>
        <v>172245.08551561582</v>
      </c>
      <c r="W40" s="2905">
        <f>V40/V$47*'Forecast (BV) 2017'!R$61</f>
        <v>179545.92742923772</v>
      </c>
      <c r="X40" s="2905">
        <f>W40/W$47*'Forecast (BV) 2017'!S$61</f>
        <v>184467.50499073809</v>
      </c>
      <c r="Y40" s="2905">
        <f>X40/X$47*'Forecast (BV) 2017'!T$61</f>
        <v>189777.03399552515</v>
      </c>
      <c r="Z40" s="2905">
        <f>Y40/Y$47*'Forecast (BV) 2017'!U$61</f>
        <v>198510.68740800413</v>
      </c>
      <c r="AA40" s="11"/>
      <c r="AB40" s="13"/>
    </row>
    <row r="41" spans="1:28" s="2" customFormat="1" ht="17.25" customHeight="1">
      <c r="A41" s="411"/>
      <c r="B41" s="4"/>
      <c r="C41" s="236">
        <f>+MAX($C$9:C40)+1</f>
        <v>33</v>
      </c>
      <c r="D41" s="237">
        <v>545010</v>
      </c>
      <c r="E41" s="112" t="s">
        <v>748</v>
      </c>
      <c r="F41" s="237">
        <v>5</v>
      </c>
      <c r="G41" s="974">
        <v>-1681.31</v>
      </c>
      <c r="H41" s="975">
        <v>0</v>
      </c>
      <c r="I41" s="957">
        <v>1.6</v>
      </c>
      <c r="J41" s="957">
        <v>0</v>
      </c>
      <c r="K41" s="957">
        <v>0</v>
      </c>
      <c r="L41" s="957">
        <v>0</v>
      </c>
      <c r="M41" s="4311">
        <f>SUMIF('Lead Sheet 2015'!$J$624:$J$978,$D41,'Lead Sheet 2015'!$E$624:$E$978)</f>
        <v>0</v>
      </c>
      <c r="N41" s="4312">
        <f>SUMIF('Lead Sheet 2015'!$J$624:$J$978,$D41,'Lead Sheet 2015'!$D$624:$D$978)</f>
        <v>0</v>
      </c>
      <c r="O41" s="4319">
        <f>SUMIF('Lead Sheet 2015'!$J$624:$J$978,$D41,'Lead Sheet 2015'!$C$624:$C$978)</f>
        <v>0</v>
      </c>
      <c r="P41" s="4320">
        <f>O41/O$47*'Forecast (BV) 2017'!K$61</f>
        <v>0</v>
      </c>
      <c r="Q41" s="2905">
        <f>P41/P$47*'Forecast (BV) 2017'!L$61</f>
        <v>0</v>
      </c>
      <c r="R41" s="2905">
        <f>Q41/Q$47*'Forecast (BV) 2017'!M$61</f>
        <v>0</v>
      </c>
      <c r="S41" s="2905">
        <f>R41/R$47*'Forecast (BV) 2017'!N$61</f>
        <v>0</v>
      </c>
      <c r="T41" s="2905">
        <f>S41/S$47*'Forecast (BV) 2017'!O$61</f>
        <v>0</v>
      </c>
      <c r="U41" s="2905">
        <f>T41/T$47*'Forecast (BV) 2017'!P$61</f>
        <v>0</v>
      </c>
      <c r="V41" s="2905">
        <f>U41/U$47*'Forecast (BV) 2017'!Q$61</f>
        <v>0</v>
      </c>
      <c r="W41" s="2905">
        <f>V41/V$47*'Forecast (BV) 2017'!R$61</f>
        <v>0</v>
      </c>
      <c r="X41" s="2905">
        <f>W41/W$47*'Forecast (BV) 2017'!S$61</f>
        <v>0</v>
      </c>
      <c r="Y41" s="2905">
        <f>X41/X$47*'Forecast (BV) 2017'!T$61</f>
        <v>0</v>
      </c>
      <c r="Z41" s="2905">
        <f>Y41/Y$47*'Forecast (BV) 2017'!U$61</f>
        <v>0</v>
      </c>
      <c r="AA41" s="11"/>
      <c r="AB41" s="13"/>
    </row>
    <row r="42" spans="1:28" s="2" customFormat="1" ht="17.25" customHeight="1">
      <c r="A42" s="411"/>
      <c r="B42" s="4"/>
      <c r="C42" s="236">
        <f>+MAX($C$9:C41)+1</f>
        <v>34</v>
      </c>
      <c r="D42" s="237">
        <v>545500</v>
      </c>
      <c r="E42" s="112" t="s">
        <v>749</v>
      </c>
      <c r="F42" s="237">
        <v>5</v>
      </c>
      <c r="G42" s="974">
        <v>1430.12</v>
      </c>
      <c r="H42" s="975">
        <v>12558.78</v>
      </c>
      <c r="I42" s="957">
        <v>5372.95</v>
      </c>
      <c r="J42" s="957">
        <v>0</v>
      </c>
      <c r="K42" s="957">
        <v>0</v>
      </c>
      <c r="L42" s="957">
        <v>0</v>
      </c>
      <c r="M42" s="4311">
        <f>SUMIF('Lead Sheet 2015'!$J$624:$J$978,$D42,'Lead Sheet 2015'!$E$624:$E$978)</f>
        <v>0</v>
      </c>
      <c r="N42" s="4312">
        <f>SUMIF('Lead Sheet 2015'!$J$624:$J$978,$D42,'Lead Sheet 2015'!$D$624:$D$978)</f>
        <v>0</v>
      </c>
      <c r="O42" s="4319">
        <f>SUMIF('Lead Sheet 2015'!$J$624:$J$978,$D42,'Lead Sheet 2015'!$C$624:$C$978)</f>
        <v>0</v>
      </c>
      <c r="P42" s="4320">
        <f>O42/O$47*'Forecast (BV) 2017'!K$61</f>
        <v>0</v>
      </c>
      <c r="Q42" s="2905">
        <f>P42/P$47*'Forecast (BV) 2017'!L$61</f>
        <v>0</v>
      </c>
      <c r="R42" s="2905">
        <f>Q42/Q$47*'Forecast (BV) 2017'!M$61</f>
        <v>0</v>
      </c>
      <c r="S42" s="2905">
        <f>R42/R$47*'Forecast (BV) 2017'!N$61</f>
        <v>0</v>
      </c>
      <c r="T42" s="2905">
        <f>S42/S$47*'Forecast (BV) 2017'!O$61</f>
        <v>0</v>
      </c>
      <c r="U42" s="2905">
        <f>T42/T$47*'Forecast (BV) 2017'!P$61</f>
        <v>0</v>
      </c>
      <c r="V42" s="2905">
        <f>U42/U$47*'Forecast (BV) 2017'!Q$61</f>
        <v>0</v>
      </c>
      <c r="W42" s="2905">
        <f>V42/V$47*'Forecast (BV) 2017'!R$61</f>
        <v>0</v>
      </c>
      <c r="X42" s="2905">
        <f>W42/W$47*'Forecast (BV) 2017'!S$61</f>
        <v>0</v>
      </c>
      <c r="Y42" s="2905">
        <f>X42/X$47*'Forecast (BV) 2017'!T$61</f>
        <v>0</v>
      </c>
      <c r="Z42" s="2905">
        <f>Y42/Y$47*'Forecast (BV) 2017'!U$61</f>
        <v>0</v>
      </c>
      <c r="AA42" s="11"/>
      <c r="AB42" s="13"/>
    </row>
    <row r="43" spans="1:28" s="2" customFormat="1" ht="17.25" customHeight="1">
      <c r="A43" s="411"/>
      <c r="B43" s="4"/>
      <c r="C43" s="236">
        <f>+MAX($C$9:C42)+1</f>
        <v>35</v>
      </c>
      <c r="D43" s="237">
        <v>547010</v>
      </c>
      <c r="E43" s="112" t="s">
        <v>750</v>
      </c>
      <c r="F43" s="237">
        <v>5</v>
      </c>
      <c r="G43" s="974">
        <v>15366.52</v>
      </c>
      <c r="H43" s="975">
        <v>-237.17</v>
      </c>
      <c r="I43" s="957">
        <v>0</v>
      </c>
      <c r="J43" s="957">
        <v>0</v>
      </c>
      <c r="K43" s="957">
        <v>0</v>
      </c>
      <c r="L43" s="957">
        <v>0</v>
      </c>
      <c r="M43" s="4311">
        <f>SUMIF('Lead Sheet 2015'!$J$624:$J$978,$D43,'Lead Sheet 2015'!$E$624:$E$978)</f>
        <v>0</v>
      </c>
      <c r="N43" s="4312">
        <f>SUMIF('Lead Sheet 2015'!$J$624:$J$978,$D43,'Lead Sheet 2015'!$D$624:$D$978)</f>
        <v>0</v>
      </c>
      <c r="O43" s="4319">
        <f>SUMIF('Lead Sheet 2015'!$J$624:$J$978,$D43,'Lead Sheet 2015'!$C$624:$C$978)</f>
        <v>0</v>
      </c>
      <c r="P43" s="4320">
        <f>O43/O$47*'Forecast (BV) 2017'!K$61</f>
        <v>0</v>
      </c>
      <c r="Q43" s="2905">
        <f>P43/P$47*'Forecast (BV) 2017'!L$61</f>
        <v>0</v>
      </c>
      <c r="R43" s="2905">
        <f>Q43/Q$47*'Forecast (BV) 2017'!M$61</f>
        <v>0</v>
      </c>
      <c r="S43" s="2905">
        <f>R43/R$47*'Forecast (BV) 2017'!N$61</f>
        <v>0</v>
      </c>
      <c r="T43" s="2905">
        <f>S43/S$47*'Forecast (BV) 2017'!O$61</f>
        <v>0</v>
      </c>
      <c r="U43" s="2905">
        <f>T43/T$47*'Forecast (BV) 2017'!P$61</f>
        <v>0</v>
      </c>
      <c r="V43" s="2905">
        <f>U43/U$47*'Forecast (BV) 2017'!Q$61</f>
        <v>0</v>
      </c>
      <c r="W43" s="2905">
        <f>V43/V$47*'Forecast (BV) 2017'!R$61</f>
        <v>0</v>
      </c>
      <c r="X43" s="2905">
        <f>W43/W$47*'Forecast (BV) 2017'!S$61</f>
        <v>0</v>
      </c>
      <c r="Y43" s="2905">
        <f>X43/X$47*'Forecast (BV) 2017'!T$61</f>
        <v>0</v>
      </c>
      <c r="Z43" s="2905">
        <f>Y43/Y$47*'Forecast (BV) 2017'!U$61</f>
        <v>0</v>
      </c>
      <c r="AA43" s="11"/>
      <c r="AB43" s="13"/>
    </row>
    <row r="44" spans="1:28" s="2" customFormat="1" ht="17.25" customHeight="1">
      <c r="A44" s="411"/>
      <c r="B44" s="4"/>
      <c r="C44" s="236">
        <f>+MAX($C$9:C43)+1</f>
        <v>36</v>
      </c>
      <c r="D44" s="237">
        <v>548010</v>
      </c>
      <c r="E44" s="112" t="s">
        <v>751</v>
      </c>
      <c r="F44" s="237">
        <v>5</v>
      </c>
      <c r="G44" s="974">
        <v>106905.94</v>
      </c>
      <c r="H44" s="975">
        <v>9086.02</v>
      </c>
      <c r="I44" s="957">
        <v>0</v>
      </c>
      <c r="J44" s="957">
        <v>0</v>
      </c>
      <c r="K44" s="957">
        <v>0</v>
      </c>
      <c r="L44" s="957">
        <v>0</v>
      </c>
      <c r="M44" s="4311">
        <f>SUMIF('Lead Sheet 2015'!$J$624:$J$978,$D44,'Lead Sheet 2015'!$E$624:$E$978)</f>
        <v>0</v>
      </c>
      <c r="N44" s="4312">
        <f>SUMIF('Lead Sheet 2015'!$J$624:$J$978,$D44,'Lead Sheet 2015'!$D$624:$D$978)</f>
        <v>0</v>
      </c>
      <c r="O44" s="4319">
        <f>SUMIF('Lead Sheet 2015'!$J$624:$J$978,$D44,'Lead Sheet 2015'!$C$624:$C$978)</f>
        <v>0</v>
      </c>
      <c r="P44" s="4320">
        <f>O44/O$47*'Forecast (BV) 2017'!K$61</f>
        <v>0</v>
      </c>
      <c r="Q44" s="2905">
        <f>P44/P$47*'Forecast (BV) 2017'!L$61</f>
        <v>0</v>
      </c>
      <c r="R44" s="2905">
        <f>Q44/Q$47*'Forecast (BV) 2017'!M$61</f>
        <v>0</v>
      </c>
      <c r="S44" s="2905">
        <f>R44/R$47*'Forecast (BV) 2017'!N$61</f>
        <v>0</v>
      </c>
      <c r="T44" s="2905">
        <f>S44/S$47*'Forecast (BV) 2017'!O$61</f>
        <v>0</v>
      </c>
      <c r="U44" s="2905">
        <f>T44/T$47*'Forecast (BV) 2017'!P$61</f>
        <v>0</v>
      </c>
      <c r="V44" s="2905">
        <f>U44/U$47*'Forecast (BV) 2017'!Q$61</f>
        <v>0</v>
      </c>
      <c r="W44" s="2905">
        <f>V44/V$47*'Forecast (BV) 2017'!R$61</f>
        <v>0</v>
      </c>
      <c r="X44" s="2905">
        <f>W44/W$47*'Forecast (BV) 2017'!S$61</f>
        <v>0</v>
      </c>
      <c r="Y44" s="2905">
        <f>X44/X$47*'Forecast (BV) 2017'!T$61</f>
        <v>0</v>
      </c>
      <c r="Z44" s="2905">
        <f>Y44/Y$47*'Forecast (BV) 2017'!U$61</f>
        <v>0</v>
      </c>
      <c r="AA44" s="11"/>
      <c r="AB44" s="13"/>
    </row>
    <row r="45" spans="1:28" s="2" customFormat="1" ht="17.25" customHeight="1">
      <c r="A45" s="411"/>
      <c r="B45" s="4"/>
      <c r="C45" s="236">
        <f>+MAX($C$9:C44)+1</f>
        <v>37</v>
      </c>
      <c r="D45" s="237">
        <v>549000</v>
      </c>
      <c r="E45" s="112" t="s">
        <v>752</v>
      </c>
      <c r="F45" s="237">
        <v>5</v>
      </c>
      <c r="G45" s="974">
        <v>8607.4</v>
      </c>
      <c r="H45" s="975">
        <v>2990.58</v>
      </c>
      <c r="I45" s="957">
        <v>0</v>
      </c>
      <c r="J45" s="957">
        <v>0</v>
      </c>
      <c r="K45" s="957">
        <v>0</v>
      </c>
      <c r="L45" s="957">
        <v>147537.82</v>
      </c>
      <c r="M45" s="4311">
        <f>SUMIF('Lead Sheet 2015'!$J$624:$J$978,$D45,'Lead Sheet 2015'!$E$624:$E$978)</f>
        <v>0</v>
      </c>
      <c r="N45" s="4312">
        <f>SUMIF('Lead Sheet 2015'!$J$624:$J$978,$D45,'Lead Sheet 2015'!$D$624:$D$978)</f>
        <v>0</v>
      </c>
      <c r="O45" s="4319">
        <f>SUMIF('Lead Sheet 2015'!$J$624:$J$978,$D45,'Lead Sheet 2015'!$C$624:$C$978)</f>
        <v>0</v>
      </c>
      <c r="P45" s="4320">
        <f>O45/O$47*'Forecast (BV) 2017'!K$61</f>
        <v>0</v>
      </c>
      <c r="Q45" s="2905">
        <f>P45/P$47*'Forecast (BV) 2017'!L$61</f>
        <v>0</v>
      </c>
      <c r="R45" s="2905">
        <f>Q45/Q$47*'Forecast (BV) 2017'!M$61</f>
        <v>0</v>
      </c>
      <c r="S45" s="2905">
        <f>R45/R$47*'Forecast (BV) 2017'!N$61</f>
        <v>0</v>
      </c>
      <c r="T45" s="2905">
        <f>S45/S$47*'Forecast (BV) 2017'!O$61</f>
        <v>0</v>
      </c>
      <c r="U45" s="2905">
        <f>T45/T$47*'Forecast (BV) 2017'!P$61</f>
        <v>0</v>
      </c>
      <c r="V45" s="2905">
        <f>U45/U$47*'Forecast (BV) 2017'!Q$61</f>
        <v>0</v>
      </c>
      <c r="W45" s="2905">
        <f>V45/V$47*'Forecast (BV) 2017'!R$61</f>
        <v>0</v>
      </c>
      <c r="X45" s="2905">
        <f>W45/W$47*'Forecast (BV) 2017'!S$61</f>
        <v>0</v>
      </c>
      <c r="Y45" s="2905">
        <f>X45/X$47*'Forecast (BV) 2017'!T$61</f>
        <v>0</v>
      </c>
      <c r="Z45" s="2905">
        <f>Y45/Y$47*'Forecast (BV) 2017'!U$61</f>
        <v>0</v>
      </c>
      <c r="AA45" s="11"/>
      <c r="AB45" s="13"/>
    </row>
    <row r="46" spans="1:28" s="2" customFormat="1" ht="17.25" customHeight="1" thickBot="1">
      <c r="A46" s="411"/>
      <c r="B46" s="4"/>
      <c r="C46" s="236">
        <f>+MAX($C$9:C45)+1</f>
        <v>38</v>
      </c>
      <c r="D46" s="237">
        <v>550000</v>
      </c>
      <c r="E46" s="112" t="s">
        <v>311</v>
      </c>
      <c r="F46" s="237">
        <v>5</v>
      </c>
      <c r="G46" s="976">
        <v>222044.43</v>
      </c>
      <c r="H46" s="977"/>
      <c r="I46" s="979">
        <v>0</v>
      </c>
      <c r="J46" s="979">
        <v>0</v>
      </c>
      <c r="K46" s="979">
        <v>0</v>
      </c>
      <c r="L46" s="979">
        <v>0</v>
      </c>
      <c r="M46" s="4314">
        <f>SUMIF('Lead Sheet 2015'!$J$624:$J$978,$D46,'Lead Sheet 2015'!$E$624:$E$978)</f>
        <v>0</v>
      </c>
      <c r="N46" s="4315">
        <f>SUMIF('Lead Sheet 2015'!$J$624:$J$978,$D46,'Lead Sheet 2015'!$D$624:$D$978)</f>
        <v>0</v>
      </c>
      <c r="O46" s="4321">
        <f>SUMIF('Lead Sheet 2015'!$J$624:$J$978,$D46,'Lead Sheet 2015'!$C$624:$C$978)</f>
        <v>0</v>
      </c>
      <c r="P46" s="4322">
        <f>O46/O$47*'Forecast (BV) 2017'!K$61</f>
        <v>0</v>
      </c>
      <c r="Q46" s="2905">
        <f>P46/P$47*'Forecast (BV) 2017'!L$61</f>
        <v>0</v>
      </c>
      <c r="R46" s="2905">
        <f>Q46/Q$47*'Forecast (BV) 2017'!M$61</f>
        <v>0</v>
      </c>
      <c r="S46" s="2905">
        <f>R46/R$47*'Forecast (BV) 2017'!N$61</f>
        <v>0</v>
      </c>
      <c r="T46" s="2905">
        <f>S46/S$47*'Forecast (BV) 2017'!O$61</f>
        <v>0</v>
      </c>
      <c r="U46" s="2905">
        <f>T46/T$47*'Forecast (BV) 2017'!P$61</f>
        <v>0</v>
      </c>
      <c r="V46" s="2905">
        <f>U46/U$47*'Forecast (BV) 2017'!Q$61</f>
        <v>0</v>
      </c>
      <c r="W46" s="2905">
        <f>V46/V$47*'Forecast (BV) 2017'!R$61</f>
        <v>0</v>
      </c>
      <c r="X46" s="2905">
        <f>W46/W$47*'Forecast (BV) 2017'!S$61</f>
        <v>0</v>
      </c>
      <c r="Y46" s="2905">
        <f>X46/X$47*'Forecast (BV) 2017'!T$61</f>
        <v>0</v>
      </c>
      <c r="Z46" s="2905">
        <f>Y46/Y$47*'Forecast (BV) 2017'!U$61</f>
        <v>0</v>
      </c>
      <c r="AA46" s="11"/>
      <c r="AB46" s="13"/>
    </row>
    <row r="47" spans="1:28" s="2" customFormat="1" ht="17.25" customHeight="1">
      <c r="A47" s="411"/>
      <c r="B47" s="4"/>
      <c r="C47" s="236">
        <f>+MAX($C$9:C46)+1</f>
        <v>39</v>
      </c>
      <c r="D47" s="4"/>
      <c r="E47" s="4"/>
      <c r="F47" s="236"/>
      <c r="G47" s="971">
        <f t="shared" ref="G47:Z47" si="8">SUM(G25:G46)</f>
        <v>833413.77</v>
      </c>
      <c r="H47" s="971">
        <f t="shared" si="8"/>
        <v>378919.57000000007</v>
      </c>
      <c r="I47" s="971">
        <f t="shared" si="8"/>
        <v>286137.18</v>
      </c>
      <c r="J47" s="971">
        <f t="shared" si="8"/>
        <v>451580.23</v>
      </c>
      <c r="K47" s="971">
        <f t="shared" si="8"/>
        <v>533195.57999999996</v>
      </c>
      <c r="L47" s="971">
        <f t="shared" si="8"/>
        <v>461071.88</v>
      </c>
      <c r="M47" s="971">
        <f t="shared" si="8"/>
        <v>464652.82000000007</v>
      </c>
      <c r="N47" s="971">
        <f t="shared" si="8"/>
        <v>405417.2</v>
      </c>
      <c r="O47" s="971">
        <f t="shared" si="8"/>
        <v>418725.12</v>
      </c>
      <c r="P47" s="284">
        <f t="shared" si="8"/>
        <v>455028.15503329912</v>
      </c>
      <c r="Q47" s="284">
        <f t="shared" si="8"/>
        <v>502522.19229343906</v>
      </c>
      <c r="R47" s="284">
        <f t="shared" si="8"/>
        <v>530303.82626700692</v>
      </c>
      <c r="S47" s="284">
        <f t="shared" si="8"/>
        <v>543420.22634831513</v>
      </c>
      <c r="T47" s="284">
        <f t="shared" si="8"/>
        <v>563438.85317375325</v>
      </c>
      <c r="U47" s="284">
        <f t="shared" si="8"/>
        <v>577492.46389164461</v>
      </c>
      <c r="V47" s="284">
        <f t="shared" si="8"/>
        <v>592985.74542125559</v>
      </c>
      <c r="W47" s="284">
        <f t="shared" si="8"/>
        <v>618120.2517056705</v>
      </c>
      <c r="X47" s="284">
        <f t="shared" si="8"/>
        <v>635063.69790164474</v>
      </c>
      <c r="Y47" s="284">
        <f t="shared" si="8"/>
        <v>653342.73910223681</v>
      </c>
      <c r="Z47" s="284">
        <f t="shared" si="8"/>
        <v>683409.9654822906</v>
      </c>
      <c r="AA47" s="11"/>
      <c r="AB47" s="13"/>
    </row>
    <row r="48" spans="1:28" s="2" customFormat="1" ht="25.5" customHeight="1" thickBot="1">
      <c r="A48" s="411"/>
      <c r="B48" s="4"/>
      <c r="C48" s="236">
        <f>+MAX($C$9:C47)+1</f>
        <v>40</v>
      </c>
      <c r="D48" s="120" t="s">
        <v>889</v>
      </c>
      <c r="E48" s="120"/>
      <c r="F48" s="585"/>
      <c r="G48" s="120"/>
      <c r="H48" s="283"/>
      <c r="I48" s="983"/>
      <c r="J48" s="983"/>
      <c r="K48" s="983"/>
      <c r="L48" s="983"/>
      <c r="M48" s="2920"/>
      <c r="N48" s="2906"/>
      <c r="O48" s="2906"/>
      <c r="P48" s="2906"/>
      <c r="Q48" s="2906"/>
      <c r="R48" s="2906"/>
      <c r="S48" s="2906"/>
      <c r="T48" s="2906"/>
      <c r="U48" s="2906"/>
      <c r="V48" s="2906"/>
      <c r="W48" s="2906"/>
      <c r="X48" s="2906"/>
      <c r="Y48" s="2906"/>
      <c r="Z48" s="2906"/>
      <c r="AA48" s="11"/>
      <c r="AB48" s="16"/>
    </row>
    <row r="49" spans="1:31" s="2" customFormat="1" ht="17.25" customHeight="1">
      <c r="A49" s="411"/>
      <c r="B49" s="4"/>
      <c r="C49" s="236">
        <f>+MAX($C$9:C48)+1</f>
        <v>41</v>
      </c>
      <c r="D49" s="237">
        <v>560000</v>
      </c>
      <c r="E49" s="112" t="s">
        <v>754</v>
      </c>
      <c r="F49" s="237">
        <v>6</v>
      </c>
      <c r="G49" s="972">
        <v>33101.54</v>
      </c>
      <c r="H49" s="973">
        <v>33378.83</v>
      </c>
      <c r="I49" s="978">
        <v>37803.360000000001</v>
      </c>
      <c r="J49" s="978">
        <v>135343.44</v>
      </c>
      <c r="K49" s="978">
        <v>138316.99</v>
      </c>
      <c r="L49" s="978">
        <v>222610.73</v>
      </c>
      <c r="M49" s="4308">
        <f>SUMIF('Lead Sheet 2015'!$J$624:$J$978,$D49,'Lead Sheet 2015'!$E$624:$E$978)</f>
        <v>106557.15</v>
      </c>
      <c r="N49" s="4309">
        <f>SUMIF('Lead Sheet 2015'!$J$624:$J$978,$D49,'Lead Sheet 2015'!$D$624:$D$978)</f>
        <v>110398.35</v>
      </c>
      <c r="O49" s="4317">
        <f>SUMIF('Lead Sheet 2015'!$J$624:$J$978,$D49,'Lead Sheet 2015'!$C$624:$C$978)</f>
        <v>109222.59</v>
      </c>
      <c r="P49" s="4318">
        <f>O49/(O$62-O$56)*('Forecast (BV) 2017'!K$62-'O&amp;M_Detail - Elec'!P$56)</f>
        <v>86927.320070722853</v>
      </c>
      <c r="Q49" s="2905">
        <f>P49/(P$62-P$56)*('Forecast (BV) 2017'!L$62-'O&amp;M_Detail - Elec'!Q$56)</f>
        <v>94080.553097659809</v>
      </c>
      <c r="R49" s="2905">
        <f>Q49/(Q$62-Q$56)*('Forecast (BV) 2017'!M$62-'O&amp;M_Detail - Elec'!R$56)</f>
        <v>99459.582039505753</v>
      </c>
      <c r="S49" s="2905">
        <f>R49/(R$62-R$56)*('Forecast (BV) 2017'!N$62-'O&amp;M_Detail - Elec'!S$56)</f>
        <v>102243.97658460141</v>
      </c>
      <c r="T49" s="2905">
        <f>S49/(S$62-S$56)*('Forecast (BV) 2017'!O$62-'O&amp;M_Detail - Elec'!T$56)</f>
        <v>106355.2016800221</v>
      </c>
      <c r="U49" s="2905">
        <f>T49/(T$62-T$56)*('Forecast (BV) 2017'!P$62-'O&amp;M_Detail - Elec'!U$56)</f>
        <v>109274.531673862</v>
      </c>
      <c r="V49" s="2905">
        <f>U49/(U$62-U$56)*('Forecast (BV) 2017'!Q$62-'O&amp;M_Detail - Elec'!V$56)</f>
        <v>112603.5737123757</v>
      </c>
      <c r="W49" s="2905">
        <f>V49/(V$62-V$56)*('Forecast (BV) 2017'!R$62-'O&amp;M_Detail - Elec'!W$56)</f>
        <v>117832.33370321582</v>
      </c>
      <c r="X49" s="2905">
        <f>W49/(W$62-W$56)*('Forecast (BV) 2017'!S$62-'O&amp;M_Detail - Elec'!X$56)</f>
        <v>121430.21571194817</v>
      </c>
      <c r="Y49" s="2905">
        <f>X49/(X$62-X$56)*('Forecast (BV) 2017'!T$62-'O&amp;M_Detail - Elec'!Y$56)</f>
        <v>125336.8347933263</v>
      </c>
      <c r="Z49" s="2905">
        <f>Y49/(Y$62-Y$56)*('Forecast (BV) 2017'!U$62-'O&amp;M_Detail - Elec'!Z$56)</f>
        <v>131625.78833291138</v>
      </c>
      <c r="AA49" s="11"/>
      <c r="AB49" s="13"/>
      <c r="AE49" s="13"/>
    </row>
    <row r="50" spans="1:31" s="2" customFormat="1" ht="17.25" customHeight="1">
      <c r="A50" s="411"/>
      <c r="B50" s="4"/>
      <c r="C50" s="236">
        <f>+MAX($C$9:C49)+1</f>
        <v>42</v>
      </c>
      <c r="D50" s="237">
        <v>561000</v>
      </c>
      <c r="E50" s="112" t="s">
        <v>755</v>
      </c>
      <c r="F50" s="237">
        <v>6</v>
      </c>
      <c r="G50" s="974">
        <v>25431.45</v>
      </c>
      <c r="H50" s="975">
        <v>58208.05</v>
      </c>
      <c r="I50" s="957">
        <v>43569.64</v>
      </c>
      <c r="J50" s="957">
        <v>166265.85</v>
      </c>
      <c r="K50" s="957">
        <v>250897.7</v>
      </c>
      <c r="L50" s="957">
        <v>109460.95</v>
      </c>
      <c r="M50" s="4311">
        <f>SUMIF('Lead Sheet 2015'!$J$624:$J$978,$D50,'Lead Sheet 2015'!$E$624:$E$978)</f>
        <v>137793.48000000001</v>
      </c>
      <c r="N50" s="4312">
        <f>SUMIF('Lead Sheet 2015'!$J$624:$J$978,$D50,'Lead Sheet 2015'!$D$624:$D$978)</f>
        <v>206066.18</v>
      </c>
      <c r="O50" s="4319">
        <f>SUMIF('Lead Sheet 2015'!$J$624:$J$978,$D50,'Lead Sheet 2015'!$C$624:$C$978)</f>
        <v>347295.07</v>
      </c>
      <c r="P50" s="4320">
        <f>O50/(O$62-O$56)*('Forecast (BV) 2017'!K$62-'O&amp;M_Detail - Elec'!P$56)</f>
        <v>276402.80008809629</v>
      </c>
      <c r="Q50" s="2905">
        <f>P50/(P$62-P$56)*('Forecast (BV) 2017'!L$62-'O&amp;M_Detail - Elec'!Q$56)</f>
        <v>299147.93518163671</v>
      </c>
      <c r="R50" s="2905">
        <f>Q50/(Q$62-Q$56)*('Forecast (BV) 2017'!M$62-'O&amp;M_Detail - Elec'!R$56)</f>
        <v>316251.63353644055</v>
      </c>
      <c r="S50" s="2905">
        <f>R50/(R$62-R$56)*('Forecast (BV) 2017'!N$62-'O&amp;M_Detail - Elec'!S$56)</f>
        <v>325105.17288619059</v>
      </c>
      <c r="T50" s="2905">
        <f>S50/(S$62-S$56)*('Forecast (BV) 2017'!O$62-'O&amp;M_Detail - Elec'!T$56)</f>
        <v>338177.63534381852</v>
      </c>
      <c r="U50" s="2905">
        <f>T50/(T$62-T$56)*('Forecast (BV) 2017'!P$62-'O&amp;M_Detail - Elec'!U$56)</f>
        <v>347460.22894065344</v>
      </c>
      <c r="V50" s="2905">
        <f>U50/(U$62-U$56)*('Forecast (BV) 2017'!Q$62-'O&amp;M_Detail - Elec'!V$56)</f>
        <v>358045.58392810205</v>
      </c>
      <c r="W50" s="2905">
        <f>V50/(V$62-V$56)*('Forecast (BV) 2017'!R$62-'O&amp;M_Detail - Elec'!W$56)</f>
        <v>374671.47209859884</v>
      </c>
      <c r="X50" s="2905">
        <f>W50/(W$62-W$56)*('Forecast (BV) 2017'!S$62-'O&amp;M_Detail - Elec'!X$56)</f>
        <v>386111.65754077194</v>
      </c>
      <c r="Y50" s="2905">
        <f>X50/(X$62-X$56)*('Forecast (BV) 2017'!T$62-'O&amp;M_Detail - Elec'!Y$56)</f>
        <v>398533.53425446787</v>
      </c>
      <c r="Z50" s="2905">
        <f>Y50/(Y$62-Y$56)*('Forecast (BV) 2017'!U$62-'O&amp;M_Detail - Elec'!Z$56)</f>
        <v>418530.5198575097</v>
      </c>
      <c r="AA50" s="11"/>
      <c r="AB50" s="13"/>
      <c r="AE50" s="13"/>
    </row>
    <row r="51" spans="1:31" s="2" customFormat="1" ht="17.25" customHeight="1">
      <c r="A51" s="411"/>
      <c r="B51" s="4"/>
      <c r="C51" s="236">
        <f>+MAX($C$9:C50)+1</f>
        <v>43</v>
      </c>
      <c r="D51" s="237">
        <v>561010</v>
      </c>
      <c r="E51" s="112" t="s">
        <v>756</v>
      </c>
      <c r="F51" s="237">
        <v>6</v>
      </c>
      <c r="G51" s="974">
        <v>552728</v>
      </c>
      <c r="H51" s="975">
        <v>548952.68000000005</v>
      </c>
      <c r="I51" s="957">
        <v>561558.15</v>
      </c>
      <c r="J51" s="957">
        <v>594760.62</v>
      </c>
      <c r="K51" s="957">
        <v>645772.05000000005</v>
      </c>
      <c r="L51" s="957">
        <v>681673.91</v>
      </c>
      <c r="M51" s="4311">
        <f>SUMIF('Lead Sheet 2015'!$J$624:$J$978,$D51,'Lead Sheet 2015'!$E$624:$E$978)</f>
        <v>727917.95</v>
      </c>
      <c r="N51" s="4312">
        <f>SUMIF('Lead Sheet 2015'!$J$624:$J$978,$D51,'Lead Sheet 2015'!$D$624:$D$978)</f>
        <v>787799.51</v>
      </c>
      <c r="O51" s="4319">
        <f>SUMIF('Lead Sheet 2015'!$J$624:$J$978,$D51,'Lead Sheet 2015'!$C$624:$C$978)</f>
        <v>835320.65</v>
      </c>
      <c r="P51" s="4320">
        <f>O51/(O$62-O$56)*('Forecast (BV) 2017'!K$62-'O&amp;M_Detail - Elec'!P$56)</f>
        <v>664809.22585917683</v>
      </c>
      <c r="Q51" s="2905">
        <f>P51/(P$62-P$56)*('Forecast (BV) 2017'!L$62-'O&amp;M_Detail - Elec'!Q$56)</f>
        <v>719516.25360556552</v>
      </c>
      <c r="R51" s="2905">
        <f>Q51/(Q$62-Q$56)*('Forecast (BV) 2017'!M$62-'O&amp;M_Detail - Elec'!R$56)</f>
        <v>760654.39134860528</v>
      </c>
      <c r="S51" s="2905">
        <f>R51/(R$62-R$56)*('Forecast (BV) 2017'!N$62-'O&amp;M_Detail - Elec'!S$56)</f>
        <v>781949.09111049306</v>
      </c>
      <c r="T51" s="2905">
        <f>S51/(S$62-S$56)*('Forecast (BV) 2017'!O$62-'O&amp;M_Detail - Elec'!T$56)</f>
        <v>813391.2242718027</v>
      </c>
      <c r="U51" s="2905">
        <f>T51/(T$62-T$56)*('Forecast (BV) 2017'!P$62-'O&amp;M_Detail - Elec'!U$56)</f>
        <v>835717.89339784009</v>
      </c>
      <c r="V51" s="2905">
        <f>U51/(U$62-U$56)*('Forecast (BV) 2017'!Q$62-'O&amp;M_Detail - Elec'!V$56)</f>
        <v>861177.98878184974</v>
      </c>
      <c r="W51" s="2905">
        <f>V51/(V$62-V$56)*('Forecast (BV) 2017'!R$62-'O&amp;M_Detail - Elec'!W$56)</f>
        <v>901166.88846132602</v>
      </c>
      <c r="X51" s="2905">
        <f>W51/(W$62-W$56)*('Forecast (BV) 2017'!S$62-'O&amp;M_Detail - Elec'!X$56)</f>
        <v>928683.03817135957</v>
      </c>
      <c r="Y51" s="2905">
        <f>X51/(X$62-X$56)*('Forecast (BV) 2017'!T$62-'O&amp;M_Detail - Elec'!Y$56)</f>
        <v>958560.37023571727</v>
      </c>
      <c r="Z51" s="2905">
        <f>Y51/(Y$62-Y$56)*('Forecast (BV) 2017'!U$62-'O&amp;M_Detail - Elec'!Z$56)</f>
        <v>1006657.4970160471</v>
      </c>
      <c r="AA51" s="11"/>
      <c r="AB51" s="13"/>
      <c r="AE51" s="13"/>
    </row>
    <row r="52" spans="1:31" s="2" customFormat="1" ht="17.25" customHeight="1">
      <c r="A52" s="411"/>
      <c r="B52" s="4"/>
      <c r="C52" s="236">
        <f>+MAX($C$9:C51)+1</f>
        <v>44</v>
      </c>
      <c r="D52" s="237">
        <v>561500</v>
      </c>
      <c r="E52" s="112" t="s">
        <v>757</v>
      </c>
      <c r="F52" s="237">
        <v>6</v>
      </c>
      <c r="G52" s="974">
        <v>950.1</v>
      </c>
      <c r="H52" s="975">
        <v>1134.69</v>
      </c>
      <c r="I52" s="957">
        <v>1111.51</v>
      </c>
      <c r="J52" s="957">
        <v>881.72</v>
      </c>
      <c r="K52" s="957">
        <v>1024.94</v>
      </c>
      <c r="L52" s="957">
        <v>1053.99</v>
      </c>
      <c r="M52" s="4311">
        <f>SUMIF('Lead Sheet 2015'!$J$624:$J$978,$D52,'Lead Sheet 2015'!$E$624:$E$978)</f>
        <v>1190.0999999999999</v>
      </c>
      <c r="N52" s="4312">
        <f>SUMIF('Lead Sheet 2015'!$J$624:$J$978,$D52,'Lead Sheet 2015'!$D$624:$D$978)</f>
        <v>1040.56</v>
      </c>
      <c r="O52" s="4319">
        <f>SUMIF('Lead Sheet 2015'!$J$624:$J$978,$D52,'Lead Sheet 2015'!$C$624:$C$978)</f>
        <v>1157.52</v>
      </c>
      <c r="P52" s="4320">
        <f>O52/(O$62-O$56)*('Forecast (BV) 2017'!K$62-'O&amp;M_Detail - Elec'!P$56)</f>
        <v>921.23901775505522</v>
      </c>
      <c r="Q52" s="2905">
        <f>P52/(P$62-P$56)*('Forecast (BV) 2017'!L$62-'O&amp;M_Detail - Elec'!Q$56)</f>
        <v>997.04760545966883</v>
      </c>
      <c r="R52" s="2905">
        <f>Q52/(Q$62-Q$56)*('Forecast (BV) 2017'!M$62-'O&amp;M_Detail - Elec'!R$56)</f>
        <v>1054.0535195362854</v>
      </c>
      <c r="S52" s="2905">
        <f>R52/(R$62-R$56)*('Forecast (BV) 2017'!N$62-'O&amp;M_Detail - Elec'!S$56)</f>
        <v>1083.5619973506198</v>
      </c>
      <c r="T52" s="2905">
        <f>S52/(S$62-S$56)*('Forecast (BV) 2017'!O$62-'O&amp;M_Detail - Elec'!T$56)</f>
        <v>1127.1319701232062</v>
      </c>
      <c r="U52" s="2905">
        <f>T52/(T$62-T$56)*('Forecast (BV) 2017'!P$62-'O&amp;M_Detail - Elec'!U$56)</f>
        <v>1158.0704678686777</v>
      </c>
      <c r="V52" s="2905">
        <f>U52/(U$62-U$56)*('Forecast (BV) 2017'!Q$62-'O&amp;M_Detail - Elec'!V$56)</f>
        <v>1193.3510150560348</v>
      </c>
      <c r="W52" s="2905">
        <f>V52/(V$62-V$56)*('Forecast (BV) 2017'!R$62-'O&amp;M_Detail - Elec'!W$56)</f>
        <v>1248.7644076939246</v>
      </c>
      <c r="X52" s="2905">
        <f>W52/(W$62-W$56)*('Forecast (BV) 2017'!S$62-'O&amp;M_Detail - Elec'!X$56)</f>
        <v>1286.8940691746482</v>
      </c>
      <c r="Y52" s="2905">
        <f>X52/(X$62-X$56)*('Forecast (BV) 2017'!T$62-'O&amp;M_Detail - Elec'!Y$56)</f>
        <v>1328.2956667661063</v>
      </c>
      <c r="Z52" s="2905">
        <f>Y52/(Y$62-Y$56)*('Forecast (BV) 2017'!U$62-'O&amp;M_Detail - Elec'!Z$56)</f>
        <v>1394.9447867067752</v>
      </c>
      <c r="AA52" s="11"/>
      <c r="AB52" s="13"/>
      <c r="AE52" s="13"/>
    </row>
    <row r="53" spans="1:31" s="2" customFormat="1" ht="17.25" customHeight="1">
      <c r="A53" s="411"/>
      <c r="B53" s="4"/>
      <c r="C53" s="236">
        <f>+MAX($C$9:C52)+1</f>
        <v>45</v>
      </c>
      <c r="D53" s="237">
        <v>561600</v>
      </c>
      <c r="E53" s="112" t="s">
        <v>758</v>
      </c>
      <c r="F53" s="237">
        <v>6</v>
      </c>
      <c r="G53" s="974">
        <v>813.66</v>
      </c>
      <c r="H53" s="975">
        <v>989.07</v>
      </c>
      <c r="I53" s="957">
        <v>889.46</v>
      </c>
      <c r="J53" s="957">
        <v>797.68</v>
      </c>
      <c r="K53" s="957">
        <v>558.79999999999995</v>
      </c>
      <c r="L53" s="957">
        <v>967.95</v>
      </c>
      <c r="M53" s="4311">
        <f>SUMIF('Lead Sheet 2015'!$J$624:$J$978,$D53,'Lead Sheet 2015'!$E$624:$E$978)</f>
        <v>870.68</v>
      </c>
      <c r="N53" s="4312">
        <f>SUMIF('Lead Sheet 2015'!$J$624:$J$978,$D53,'Lead Sheet 2015'!$D$624:$D$978)</f>
        <v>985.69</v>
      </c>
      <c r="O53" s="4319">
        <f>SUMIF('Lead Sheet 2015'!$J$624:$J$978,$D53,'Lead Sheet 2015'!$C$624:$C$978)</f>
        <v>945.96</v>
      </c>
      <c r="P53" s="4320">
        <f>O53/(O$62-O$56)*('Forecast (BV) 2017'!K$62-'O&amp;M_Detail - Elec'!P$56)</f>
        <v>752.86410708719689</v>
      </c>
      <c r="Q53" s="2905">
        <f>P53/(P$62-P$56)*('Forecast (BV) 2017'!L$62-'O&amp;M_Detail - Elec'!Q$56)</f>
        <v>814.81715465877778</v>
      </c>
      <c r="R53" s="2905">
        <f>Q53/(Q$62-Q$56)*('Forecast (BV) 2017'!M$62-'O&amp;M_Detail - Elec'!R$56)</f>
        <v>861.4040943919282</v>
      </c>
      <c r="S53" s="2905">
        <f>R53/(R$62-R$56)*('Forecast (BV) 2017'!N$62-'O&amp;M_Detail - Elec'!S$56)</f>
        <v>885.51930594183455</v>
      </c>
      <c r="T53" s="2905">
        <f>S53/(S$62-S$56)*('Forecast (BV) 2017'!O$62-'O&amp;M_Detail - Elec'!T$56)</f>
        <v>921.12599217097591</v>
      </c>
      <c r="U53" s="2905">
        <f>T53/(T$62-T$56)*('Forecast (BV) 2017'!P$62-'O&amp;M_Detail - Elec'!U$56)</f>
        <v>946.40985882322047</v>
      </c>
      <c r="V53" s="2905">
        <f>U53/(U$62-U$56)*('Forecast (BV) 2017'!Q$62-'O&amp;M_Detail - Elec'!V$56)</f>
        <v>975.24217827977623</v>
      </c>
      <c r="W53" s="2905">
        <f>V53/(V$62-V$56)*('Forecast (BV) 2017'!R$62-'O&amp;M_Detail - Elec'!W$56)</f>
        <v>1020.527661813312</v>
      </c>
      <c r="X53" s="2905">
        <f>W53/(W$62-W$56)*('Forecast (BV) 2017'!S$62-'O&amp;M_Detail - Elec'!X$56)</f>
        <v>1051.6883627725224</v>
      </c>
      <c r="Y53" s="2905">
        <f>X53/(X$62-X$56)*('Forecast (BV) 2017'!T$62-'O&amp;M_Detail - Elec'!Y$56)</f>
        <v>1085.5229878827718</v>
      </c>
      <c r="Z53" s="2905">
        <f>Y53/(Y$62-Y$56)*('Forecast (BV) 2017'!U$62-'O&amp;M_Detail - Elec'!Z$56)</f>
        <v>1139.9906441643695</v>
      </c>
      <c r="AA53" s="11"/>
      <c r="AB53" s="13"/>
      <c r="AE53" s="13"/>
    </row>
    <row r="54" spans="1:31" s="2" customFormat="1" ht="17.25" customHeight="1">
      <c r="A54" s="411"/>
      <c r="B54" s="4"/>
      <c r="C54" s="236">
        <f>+MAX($C$9:C53)+1</f>
        <v>46</v>
      </c>
      <c r="D54" s="237">
        <v>562000</v>
      </c>
      <c r="E54" s="112" t="s">
        <v>759</v>
      </c>
      <c r="F54" s="237">
        <v>6</v>
      </c>
      <c r="G54" s="974">
        <v>1647.74</v>
      </c>
      <c r="H54" s="975">
        <v>2839.36</v>
      </c>
      <c r="I54" s="957">
        <v>2125.31</v>
      </c>
      <c r="J54" s="957">
        <v>8110.56</v>
      </c>
      <c r="K54" s="957">
        <v>12238.91</v>
      </c>
      <c r="L54" s="957">
        <v>5339.58</v>
      </c>
      <c r="M54" s="4311">
        <f>SUMIF('Lead Sheet 2015'!$J$624:$J$978,$D54,'Lead Sheet 2015'!$E$624:$E$978)</f>
        <v>6721.67</v>
      </c>
      <c r="N54" s="4312">
        <f>SUMIF('Lead Sheet 2015'!$J$624:$J$978,$D54,'Lead Sheet 2015'!$D$624:$D$978)</f>
        <v>10052.040000000001</v>
      </c>
      <c r="O54" s="4319">
        <f>SUMIF('Lead Sheet 2015'!$J$624:$J$978,$D54,'Lead Sheet 2015'!$C$624:$C$978)</f>
        <v>16941.32</v>
      </c>
      <c r="P54" s="4320">
        <f>O54/(O$62-O$56)*('Forecast (BV) 2017'!K$62-'O&amp;M_Detail - Elec'!P$56)</f>
        <v>13483.140676855755</v>
      </c>
      <c r="Q54" s="2905">
        <f>P54/(P$62-P$56)*('Forecast (BV) 2017'!L$62-'O&amp;M_Detail - Elec'!Q$56)</f>
        <v>14592.665819446747</v>
      </c>
      <c r="R54" s="2905">
        <f>Q54/(Q$62-Q$56)*('Forecast (BV) 2017'!M$62-'O&amp;M_Detail - Elec'!R$56)</f>
        <v>15426.997349152036</v>
      </c>
      <c r="S54" s="2905">
        <f>R54/(R$62-R$56)*('Forecast (BV) 2017'!N$62-'O&amp;M_Detail - Elec'!S$56)</f>
        <v>15858.879792103809</v>
      </c>
      <c r="T54" s="2905">
        <f>S54/(S$62-S$56)*('Forecast (BV) 2017'!O$62-'O&amp;M_Detail - Elec'!T$56)</f>
        <v>16496.564541509153</v>
      </c>
      <c r="U54" s="2905">
        <f>T54/(T$62-T$56)*('Forecast (BV) 2017'!P$62-'O&amp;M_Detail - Elec'!U$56)</f>
        <v>16949.376579854332</v>
      </c>
      <c r="V54" s="2905">
        <f>U54/(U$62-U$56)*('Forecast (BV) 2017'!Q$62-'O&amp;M_Detail - Elec'!V$56)</f>
        <v>17465.738318464566</v>
      </c>
      <c r="W54" s="2905">
        <f>V54/(V$62-V$56)*('Forecast (BV) 2017'!R$62-'O&amp;M_Detail - Elec'!W$56)</f>
        <v>18276.761900747493</v>
      </c>
      <c r="X54" s="2905">
        <f>W54/(W$62-W$56)*('Forecast (BV) 2017'!S$62-'O&amp;M_Detail - Elec'!X$56)</f>
        <v>18834.822924865101</v>
      </c>
      <c r="Y54" s="2905">
        <f>X54/(X$62-X$56)*('Forecast (BV) 2017'!T$62-'O&amp;M_Detail - Elec'!Y$56)</f>
        <v>19440.771602475961</v>
      </c>
      <c r="Z54" s="2905">
        <f>Y54/(Y$62-Y$56)*('Forecast (BV) 2017'!U$62-'O&amp;M_Detail - Elec'!Z$56)</f>
        <v>20416.239904218699</v>
      </c>
      <c r="AA54" s="11"/>
      <c r="AB54" s="13"/>
      <c r="AE54" s="13"/>
    </row>
    <row r="55" spans="1:31" s="2" customFormat="1" ht="17.25" customHeight="1">
      <c r="A55" s="411"/>
      <c r="B55" s="4"/>
      <c r="C55" s="236">
        <f>+MAX($C$9:C54)+1</f>
        <v>47</v>
      </c>
      <c r="D55" s="237">
        <v>563000</v>
      </c>
      <c r="E55" s="112" t="s">
        <v>760</v>
      </c>
      <c r="F55" s="237">
        <v>6</v>
      </c>
      <c r="G55" s="974">
        <v>3101.42</v>
      </c>
      <c r="H55" s="975">
        <v>7152.58</v>
      </c>
      <c r="I55" s="957">
        <v>5313.37</v>
      </c>
      <c r="J55" s="957">
        <v>20276.560000000001</v>
      </c>
      <c r="K55" s="957">
        <v>30597.26</v>
      </c>
      <c r="L55" s="957">
        <v>13348.91</v>
      </c>
      <c r="M55" s="4311">
        <f>SUMIF('Lead Sheet 2015'!$J$624:$J$978,$D55,'Lead Sheet 2015'!$E$624:$E$978)</f>
        <v>16804.14</v>
      </c>
      <c r="N55" s="4312">
        <f>SUMIF('Lead Sheet 2015'!$J$624:$J$978,$D55,'Lead Sheet 2015'!$D$624:$D$978)</f>
        <v>25130.09</v>
      </c>
      <c r="O55" s="4319">
        <f>SUMIF('Lead Sheet 2015'!$J$624:$J$978,$D55,'Lead Sheet 2015'!$C$624:$C$978)</f>
        <v>42353.16</v>
      </c>
      <c r="P55" s="4320">
        <f>O55/(O$62-O$56)*('Forecast (BV) 2017'!K$62-'O&amp;M_Detail - Elec'!P$56)</f>
        <v>33707.740269906957</v>
      </c>
      <c r="Q55" s="2905">
        <f>P55/(P$62-P$56)*('Forecast (BV) 2017'!L$62-'O&amp;M_Detail - Elec'!Q$56)</f>
        <v>36481.543957469621</v>
      </c>
      <c r="R55" s="2905">
        <f>Q55/(Q$62-Q$56)*('Forecast (BV) 2017'!M$62-'O&amp;M_Detail - Elec'!R$56)</f>
        <v>38567.365886968197</v>
      </c>
      <c r="S55" s="2905">
        <f>R55/(R$62-R$56)*('Forecast (BV) 2017'!N$62-'O&amp;M_Detail - Elec'!S$56)</f>
        <v>39647.068425349345</v>
      </c>
      <c r="T55" s="2905">
        <f>S55/(S$62-S$56)*('Forecast (BV) 2017'!O$62-'O&amp;M_Detail - Elec'!T$56)</f>
        <v>41241.275029151439</v>
      </c>
      <c r="U55" s="2905">
        <f>T55/(T$62-T$56)*('Forecast (BV) 2017'!P$62-'O&amp;M_Detail - Elec'!U$56)</f>
        <v>42373.301383057711</v>
      </c>
      <c r="V55" s="2905">
        <f>U55/(U$62-U$56)*('Forecast (BV) 2017'!Q$62-'O&amp;M_Detail - Elec'!V$56)</f>
        <v>43664.201462463418</v>
      </c>
      <c r="W55" s="2905">
        <f>V55/(V$62-V$56)*('Forecast (BV) 2017'!R$62-'O&amp;M_Detail - Elec'!W$56)</f>
        <v>45691.753716018749</v>
      </c>
      <c r="X55" s="2905">
        <f>W55/(W$62-W$56)*('Forecast (BV) 2017'!S$62-'O&amp;M_Detail - Elec'!X$56)</f>
        <v>47086.901664597543</v>
      </c>
      <c r="Y55" s="2905">
        <f>X55/(X$62-X$56)*('Forecast (BV) 2017'!T$62-'O&amp;M_Detail - Elec'!Y$56)</f>
        <v>48601.768351174571</v>
      </c>
      <c r="Z55" s="2905">
        <f>Y55/(Y$62-Y$56)*('Forecast (BV) 2017'!U$62-'O&amp;M_Detail - Elec'!Z$56)</f>
        <v>51040.431044438054</v>
      </c>
      <c r="AA55" s="11"/>
      <c r="AB55" s="13"/>
      <c r="AE55" s="13"/>
    </row>
    <row r="56" spans="1:31" s="2" customFormat="1" ht="17.25" customHeight="1">
      <c r="A56" s="411"/>
      <c r="B56" s="4"/>
      <c r="C56" s="236">
        <f>+MAX($C$9:C55)+1</f>
        <v>48</v>
      </c>
      <c r="D56" s="237">
        <v>565010</v>
      </c>
      <c r="E56" s="112" t="s">
        <v>761</v>
      </c>
      <c r="F56" s="237">
        <v>6</v>
      </c>
      <c r="G56" s="974">
        <v>7101869.0599999996</v>
      </c>
      <c r="H56" s="975">
        <v>5422867.2199999997</v>
      </c>
      <c r="I56" s="957">
        <v>7058844.1600000001</v>
      </c>
      <c r="J56" s="957">
        <v>7472973.6500000004</v>
      </c>
      <c r="K56" s="957">
        <v>7119005.1799999997</v>
      </c>
      <c r="L56" s="957">
        <v>5191750.8600000003</v>
      </c>
      <c r="M56" s="4311">
        <f>SUMIF('Lead Sheet 2015'!$J$624:$J$978,$D56,'Lead Sheet 2015'!$E$624:$E$978)</f>
        <v>4600961.9400000004</v>
      </c>
      <c r="N56" s="4312">
        <f>SUMIF('Lead Sheet 2015'!$J$624:$J$978,$D56,'Lead Sheet 2015'!$D$624:$D$978)</f>
        <v>2622470.92</v>
      </c>
      <c r="O56" s="4319">
        <f>SUMIF('Lead Sheet 2015'!$J$624:$J$978,$D56,'Lead Sheet 2015'!$C$624:$C$978)</f>
        <v>5478671.9100000001</v>
      </c>
      <c r="P56" s="4323">
        <v>500000</v>
      </c>
      <c r="Q56" s="2912">
        <f>P56*(1+INDEX(Dashboard!$F$16:$S$16,1,MATCH(Q6,Dashboard!$F$7:$S$7)))</f>
        <v>515000</v>
      </c>
      <c r="R56" s="2912">
        <f>Q56*(1+INDEX(Dashboard!$F$16:$S$16,1,MATCH(R6,Dashboard!$F$7:$S$7)))</f>
        <v>530450</v>
      </c>
      <c r="S56" s="2912">
        <f>R56*(1+INDEX(Dashboard!$F$16:$S$16,1,MATCH(S6,Dashboard!$F$7:$S$7)))</f>
        <v>546363.5</v>
      </c>
      <c r="T56" s="2912">
        <f>S56*(1+INDEX(Dashboard!$F$16:$S$16,1,MATCH(T6,Dashboard!$F$7:$S$7)))</f>
        <v>562754.40500000003</v>
      </c>
      <c r="U56" s="2912">
        <f>T56*(1+INDEX(Dashboard!$F$16:$S$16,1,MATCH(U6,Dashboard!$F$7:$S$7)))</f>
        <v>579637.03714999999</v>
      </c>
      <c r="V56" s="2912">
        <f>U56*(1+INDEX(Dashboard!$F$16:$S$16,1,MATCH(V6,Dashboard!$F$7:$S$7)))</f>
        <v>597026.14826449996</v>
      </c>
      <c r="W56" s="2912">
        <f>V56*(1+INDEX(Dashboard!$F$16:$S$16,1,MATCH(W6,Dashboard!$F$7:$S$7)))</f>
        <v>614936.93271243502</v>
      </c>
      <c r="X56" s="2912">
        <f>W56*(1+INDEX(Dashboard!$F$16:$S$16,1,MATCH(X6,Dashboard!$F$7:$S$7)))</f>
        <v>633385.04069380811</v>
      </c>
      <c r="Y56" s="2912">
        <f>X56*(1+INDEX(Dashboard!$F$16:$S$16,1,MATCH(Y6,Dashboard!$F$7:$S$7)))</f>
        <v>652386.59191462235</v>
      </c>
      <c r="Z56" s="2912">
        <f>Y56*(1+INDEX(Dashboard!$F$16:$S$16,1,MATCH(Z6,Dashboard!$F$7:$S$7)))</f>
        <v>671958.18967206101</v>
      </c>
      <c r="AA56" s="11"/>
      <c r="AB56" s="13"/>
      <c r="AE56" s="13"/>
    </row>
    <row r="57" spans="1:31" s="2" customFormat="1" ht="17.25" customHeight="1">
      <c r="A57" s="411"/>
      <c r="B57" s="4"/>
      <c r="C57" s="236">
        <f>+MAX($C$9:C56)+1</f>
        <v>49</v>
      </c>
      <c r="D57" s="237">
        <v>566000</v>
      </c>
      <c r="E57" s="112" t="s">
        <v>762</v>
      </c>
      <c r="F57" s="237">
        <v>6</v>
      </c>
      <c r="G57" s="974">
        <v>24371.49</v>
      </c>
      <c r="H57" s="975">
        <v>612526.29</v>
      </c>
      <c r="I57" s="957">
        <v>52560.31</v>
      </c>
      <c r="J57" s="957">
        <v>455233.66</v>
      </c>
      <c r="K57" s="957">
        <v>555855.26</v>
      </c>
      <c r="L57" s="957">
        <v>457582.3</v>
      </c>
      <c r="M57" s="4311">
        <f>SUMIF('Lead Sheet 2015'!$J$624:$J$978,$D57,'Lead Sheet 2015'!$E$624:$E$978)</f>
        <v>355671.23</v>
      </c>
      <c r="N57" s="4312">
        <f>SUMIF('Lead Sheet 2015'!$J$624:$J$978,$D57,'Lead Sheet 2015'!$D$624:$D$978)</f>
        <v>389898.36</v>
      </c>
      <c r="O57" s="4319">
        <f>SUMIF('Lead Sheet 2015'!$J$624:$J$978,$D57,'Lead Sheet 2015'!$C$624:$C$978)</f>
        <v>534094.73</v>
      </c>
      <c r="P57" s="4320">
        <f>O57/(O$62-O$56)*('Forecast (BV) 2017'!K$62-'O&amp;M_Detail - Elec'!P$56)</f>
        <v>425071.62248026073</v>
      </c>
      <c r="Q57" s="2905">
        <f>P57/(P$62-P$56)*('Forecast (BV) 2017'!L$62-'O&amp;M_Detail - Elec'!Q$56)</f>
        <v>460050.68736188434</v>
      </c>
      <c r="R57" s="2905">
        <f>Q57/(Q$62-Q$56)*('Forecast (BV) 2017'!M$62-'O&amp;M_Detail - Elec'!R$56)</f>
        <v>486353.9549401151</v>
      </c>
      <c r="S57" s="2905">
        <f>R57/(R$62-R$56)*('Forecast (BV) 2017'!N$62-'O&amp;M_Detail - Elec'!S$56)</f>
        <v>499969.54904730798</v>
      </c>
      <c r="T57" s="2905">
        <f>S57/(S$62-S$56)*('Forecast (BV) 2017'!O$62-'O&amp;M_Detail - Elec'!T$56)</f>
        <v>520073.29917178262</v>
      </c>
      <c r="U57" s="2905">
        <f>T57/(T$62-T$56)*('Forecast (BV) 2017'!P$62-'O&amp;M_Detail - Elec'!U$56)</f>
        <v>534348.72300892859</v>
      </c>
      <c r="V57" s="2905">
        <f>U57/(U$62-U$56)*('Forecast (BV) 2017'!Q$62-'O&amp;M_Detail - Elec'!V$56)</f>
        <v>550627.62473355001</v>
      </c>
      <c r="W57" s="2905">
        <f>V57/(V$62-V$56)*('Forecast (BV) 2017'!R$62-'O&amp;M_Detail - Elec'!W$56)</f>
        <v>576196.08228013036</v>
      </c>
      <c r="X57" s="2905">
        <f>W57/(W$62-W$56)*('Forecast (BV) 2017'!S$62-'O&amp;M_Detail - Elec'!X$56)</f>
        <v>593789.60226556344</v>
      </c>
      <c r="Y57" s="2905">
        <f>X57/(X$62-X$56)*('Forecast (BV) 2017'!T$62-'O&amp;M_Detail - Elec'!Y$56)</f>
        <v>612892.83597831009</v>
      </c>
      <c r="Z57" s="2905">
        <f>Y57/(Y$62-Y$56)*('Forecast (BV) 2017'!U$62-'O&amp;M_Detail - Elec'!Z$56)</f>
        <v>643645.60372266802</v>
      </c>
      <c r="AA57" s="11"/>
      <c r="AB57" s="13"/>
      <c r="AE57" s="13"/>
    </row>
    <row r="58" spans="1:31" s="2" customFormat="1" ht="17.25" customHeight="1">
      <c r="A58" s="411"/>
      <c r="B58" s="4"/>
      <c r="C58" s="236">
        <f>+MAX($C$9:C57)+1</f>
        <v>50</v>
      </c>
      <c r="D58" s="237">
        <v>567000</v>
      </c>
      <c r="E58" s="112" t="s">
        <v>2190</v>
      </c>
      <c r="F58" s="237">
        <v>6</v>
      </c>
      <c r="G58" s="974"/>
      <c r="H58" s="975"/>
      <c r="I58" s="957">
        <v>0</v>
      </c>
      <c r="J58" s="957">
        <v>0</v>
      </c>
      <c r="K58" s="957">
        <v>0</v>
      </c>
      <c r="L58" s="957">
        <v>0</v>
      </c>
      <c r="M58" s="4311">
        <f>SUMIF('Lead Sheet 2015'!$J$624:$J$978,$D58,'Lead Sheet 2015'!$E$624:$E$978)</f>
        <v>0</v>
      </c>
      <c r="N58" s="4312">
        <f>SUMIF('Lead Sheet 2015'!$J$624:$J$978,$D58,'Lead Sheet 2015'!$D$624:$D$978)</f>
        <v>0</v>
      </c>
      <c r="O58" s="4319">
        <f>SUMIF('Lead Sheet 2015'!$J$624:$J$978,$D58,'Lead Sheet 2015'!$C$624:$C$978)</f>
        <v>0</v>
      </c>
      <c r="P58" s="4320">
        <f>O58/(O$62-O$56)*('Forecast (BV) 2017'!K$62-'O&amp;M_Detail - Elec'!P$56)</f>
        <v>0</v>
      </c>
      <c r="Q58" s="2905">
        <f>P58/(P$62-P$56)*('Forecast (BV) 2017'!L$62-'O&amp;M_Detail - Elec'!Q$56)</f>
        <v>0</v>
      </c>
      <c r="R58" s="2905">
        <f>Q58/(Q$62-Q$56)*('Forecast (BV) 2017'!M$62-'O&amp;M_Detail - Elec'!R$56)</f>
        <v>0</v>
      </c>
      <c r="S58" s="2905">
        <f>R58/(R$62-R$56)*('Forecast (BV) 2017'!N$62-'O&amp;M_Detail - Elec'!S$56)</f>
        <v>0</v>
      </c>
      <c r="T58" s="2905">
        <f>S58/(S$62-S$56)*('Forecast (BV) 2017'!O$62-'O&amp;M_Detail - Elec'!T$56)</f>
        <v>0</v>
      </c>
      <c r="U58" s="2905">
        <f>T58/(T$62-T$56)*('Forecast (BV) 2017'!P$62-'O&amp;M_Detail - Elec'!U$56)</f>
        <v>0</v>
      </c>
      <c r="V58" s="2905">
        <f>U58/(U$62-U$56)*('Forecast (BV) 2017'!Q$62-'O&amp;M_Detail - Elec'!V$56)</f>
        <v>0</v>
      </c>
      <c r="W58" s="2905">
        <f>V58/(V$62-V$56)*('Forecast (BV) 2017'!R$62-'O&amp;M_Detail - Elec'!W$56)</f>
        <v>0</v>
      </c>
      <c r="X58" s="2905">
        <f>W58/(W$62-W$56)*('Forecast (BV) 2017'!S$62-'O&amp;M_Detail - Elec'!X$56)</f>
        <v>0</v>
      </c>
      <c r="Y58" s="2905">
        <f>X58/(X$62-X$56)*('Forecast (BV) 2017'!T$62-'O&amp;M_Detail - Elec'!Y$56)</f>
        <v>0</v>
      </c>
      <c r="Z58" s="2905">
        <f>Y58/(Y$62-Y$56)*('Forecast (BV) 2017'!U$62-'O&amp;M_Detail - Elec'!Z$56)</f>
        <v>0</v>
      </c>
      <c r="AA58" s="11"/>
      <c r="AB58" s="13"/>
      <c r="AE58" s="13"/>
    </row>
    <row r="59" spans="1:31" s="2" customFormat="1" ht="17.25" customHeight="1">
      <c r="A59" s="411"/>
      <c r="B59" s="4"/>
      <c r="C59" s="236">
        <f>+MAX($C$9:C58)+1</f>
        <v>51</v>
      </c>
      <c r="D59" s="237">
        <v>568000</v>
      </c>
      <c r="E59" s="112" t="s">
        <v>763</v>
      </c>
      <c r="F59" s="237">
        <v>6</v>
      </c>
      <c r="G59" s="974">
        <v>25873.95</v>
      </c>
      <c r="H59" s="975">
        <v>32338.83</v>
      </c>
      <c r="I59" s="957">
        <v>31874.03</v>
      </c>
      <c r="J59" s="957">
        <v>61557.68</v>
      </c>
      <c r="K59" s="957">
        <v>79189.23</v>
      </c>
      <c r="L59" s="957">
        <v>46960.160000000003</v>
      </c>
      <c r="M59" s="4311">
        <f>SUMIF('Lead Sheet 2015'!$J$624:$J$978,$D59,'Lead Sheet 2015'!$E$624:$E$978)</f>
        <v>56351.33</v>
      </c>
      <c r="N59" s="4312">
        <f>SUMIF('Lead Sheet 2015'!$J$624:$J$978,$D59,'Lead Sheet 2015'!$D$624:$D$978)</f>
        <v>73293.210000000006</v>
      </c>
      <c r="O59" s="4319">
        <f>SUMIF('Lead Sheet 2015'!$J$624:$J$978,$D59,'Lead Sheet 2015'!$C$624:$C$978)</f>
        <v>109960.02</v>
      </c>
      <c r="P59" s="4320">
        <f>O59/(O$62-O$56)*('Forecast (BV) 2017'!K$62-'O&amp;M_Detail - Elec'!P$56)</f>
        <v>87514.220762601297</v>
      </c>
      <c r="Q59" s="2905">
        <f>P59/(P$62-P$56)*('Forecast (BV) 2017'!L$62-'O&amp;M_Detail - Elec'!Q$56)</f>
        <v>94715.74973849034</v>
      </c>
      <c r="R59" s="2905">
        <f>Q59/(Q$62-Q$56)*('Forecast (BV) 2017'!M$62-'O&amp;M_Detail - Elec'!R$56)</f>
        <v>100131.09586813219</v>
      </c>
      <c r="S59" s="2905">
        <f>R59/(R$62-R$56)*('Forecast (BV) 2017'!N$62-'O&amp;M_Detail - Elec'!S$56)</f>
        <v>102934.28960183334</v>
      </c>
      <c r="T59" s="2905">
        <f>S59/(S$62-S$56)*('Forecast (BV) 2017'!O$62-'O&amp;M_Detail - Elec'!T$56)</f>
        <v>107073.27214854791</v>
      </c>
      <c r="U59" s="2905">
        <f>T59/(T$62-T$56)*('Forecast (BV) 2017'!P$62-'O&amp;M_Detail - Elec'!U$56)</f>
        <v>110012.31236458046</v>
      </c>
      <c r="V59" s="2905">
        <f>U59/(U$62-U$56)*('Forecast (BV) 2017'!Q$62-'O&amp;M_Detail - Elec'!V$56)</f>
        <v>113363.83084748594</v>
      </c>
      <c r="W59" s="2905">
        <f>V59/(V$62-V$56)*('Forecast (BV) 2017'!R$62-'O&amp;M_Detail - Elec'!W$56)</f>
        <v>118627.89346647327</v>
      </c>
      <c r="X59" s="2905">
        <f>W59/(W$62-W$56)*('Forecast (BV) 2017'!S$62-'O&amp;M_Detail - Elec'!X$56)</f>
        <v>122250.06702633711</v>
      </c>
      <c r="Y59" s="2905">
        <f>X59/(X$62-X$56)*('Forecast (BV) 2017'!T$62-'O&amp;M_Detail - Elec'!Y$56)</f>
        <v>126183.06213587189</v>
      </c>
      <c r="Z59" s="2905">
        <f>Y59/(Y$62-Y$56)*('Forecast (BV) 2017'!U$62-'O&amp;M_Detail - Elec'!Z$56)</f>
        <v>132514.47633317159</v>
      </c>
      <c r="AA59" s="11"/>
      <c r="AB59" s="13"/>
      <c r="AE59" s="13"/>
    </row>
    <row r="60" spans="1:31" s="2" customFormat="1" ht="17.25" customHeight="1">
      <c r="A60" s="411"/>
      <c r="B60" s="4"/>
      <c r="C60" s="236">
        <f>+MAX($C$9:C59)+1</f>
        <v>52</v>
      </c>
      <c r="D60" s="237">
        <v>570000</v>
      </c>
      <c r="E60" s="112" t="s">
        <v>764</v>
      </c>
      <c r="F60" s="237">
        <v>6</v>
      </c>
      <c r="G60" s="974">
        <v>93898.87</v>
      </c>
      <c r="H60" s="975">
        <v>183740.25</v>
      </c>
      <c r="I60" s="957">
        <v>242214.04</v>
      </c>
      <c r="J60" s="957">
        <v>283282.58</v>
      </c>
      <c r="K60" s="957">
        <v>297976.71000000002</v>
      </c>
      <c r="L60" s="957">
        <v>202689.38</v>
      </c>
      <c r="M60" s="4311">
        <f>SUMIF('Lead Sheet 2015'!$J$624:$J$978,$D60,'Lead Sheet 2015'!$E$624:$E$978)</f>
        <v>260356.93</v>
      </c>
      <c r="N60" s="4312">
        <f>SUMIF('Lead Sheet 2015'!$J$624:$J$978,$D60,'Lead Sheet 2015'!$D$624:$D$978)</f>
        <v>401294.11</v>
      </c>
      <c r="O60" s="4319">
        <f>SUMIF('Lead Sheet 2015'!$J$624:$J$978,$D60,'Lead Sheet 2015'!$C$624:$C$978)</f>
        <v>414187.96</v>
      </c>
      <c r="P60" s="4320">
        <f>O60/(O$62-O$56)*('Forecast (BV) 2017'!K$62-'O&amp;M_Detail - Elec'!P$56)</f>
        <v>329641.05107157555</v>
      </c>
      <c r="Q60" s="2905">
        <f>P60/(P$62-P$56)*('Forecast (BV) 2017'!L$62-'O&amp;M_Detail - Elec'!Q$56)</f>
        <v>356767.15195264458</v>
      </c>
      <c r="R60" s="2905">
        <f>Q60/(Q$62-Q$56)*('Forecast (BV) 2017'!M$62-'O&amp;M_Detail - Elec'!R$56)</f>
        <v>377165.21268535679</v>
      </c>
      <c r="S60" s="2905">
        <f>R60/(R$62-R$56)*('Forecast (BV) 2017'!N$62-'O&amp;M_Detail - Elec'!S$56)</f>
        <v>387724.04210396245</v>
      </c>
      <c r="T60" s="2905">
        <f>S60/(S$62-S$56)*('Forecast (BV) 2017'!O$62-'O&amp;M_Detail - Elec'!T$56)</f>
        <v>403314.40610625449</v>
      </c>
      <c r="U60" s="2905">
        <f>T60/(T$62-T$56)*('Forecast (BV) 2017'!P$62-'O&amp;M_Detail - Elec'!U$56)</f>
        <v>414384.93038804783</v>
      </c>
      <c r="V60" s="2905">
        <f>U60/(U$62-U$56)*('Forecast (BV) 2017'!Q$62-'O&amp;M_Detail - Elec'!V$56)</f>
        <v>427009.14238197898</v>
      </c>
      <c r="W60" s="2905">
        <f>V60/(V$62-V$56)*('Forecast (BV) 2017'!R$62-'O&amp;M_Detail - Elec'!W$56)</f>
        <v>446837.36137894372</v>
      </c>
      <c r="X60" s="2905">
        <f>W60/(W$62-W$56)*('Forecast (BV) 2017'!S$62-'O&amp;M_Detail - Elec'!X$56)</f>
        <v>460481.05367297883</v>
      </c>
      <c r="Y60" s="2905">
        <f>X60/(X$62-X$56)*('Forecast (BV) 2017'!T$62-'O&amp;M_Detail - Elec'!Y$56)</f>
        <v>475295.52188704594</v>
      </c>
      <c r="Z60" s="2905">
        <f>Y60/(Y$62-Y$56)*('Forecast (BV) 2017'!U$62-'O&amp;M_Detail - Elec'!Z$56)</f>
        <v>499144.14914534037</v>
      </c>
      <c r="AA60" s="11"/>
      <c r="AB60" s="425"/>
      <c r="AE60" s="13"/>
    </row>
    <row r="61" spans="1:31" s="2" customFormat="1" ht="17.25" customHeight="1" thickBot="1">
      <c r="A61" s="411"/>
      <c r="B61" s="4"/>
      <c r="C61" s="236">
        <f>+MAX($C$9:C60)+1</f>
        <v>53</v>
      </c>
      <c r="D61" s="237">
        <v>571050</v>
      </c>
      <c r="E61" s="112" t="s">
        <v>765</v>
      </c>
      <c r="F61" s="237">
        <v>6</v>
      </c>
      <c r="G61" s="976">
        <v>124813.61</v>
      </c>
      <c r="H61" s="977">
        <v>262701.71999999997</v>
      </c>
      <c r="I61" s="979">
        <v>151509.18</v>
      </c>
      <c r="J61" s="979">
        <v>0</v>
      </c>
      <c r="K61" s="979">
        <v>0</v>
      </c>
      <c r="L61" s="979">
        <v>0</v>
      </c>
      <c r="M61" s="4314">
        <f>SUMIF('Lead Sheet 2015'!$J$624:$J$978,$D61,'Lead Sheet 2015'!$E$624:$E$978)</f>
        <v>0</v>
      </c>
      <c r="N61" s="4315">
        <f>SUMIF('Lead Sheet 2015'!$J$624:$J$978,$D61,'Lead Sheet 2015'!$D$624:$D$978)</f>
        <v>92905.14</v>
      </c>
      <c r="O61" s="4321">
        <f>SUMIF('Lead Sheet 2015'!$J$624:$J$978,$D61,'Lead Sheet 2015'!$C$624:$C$978)</f>
        <v>185359.57</v>
      </c>
      <c r="P61" s="4322">
        <f>O61/(O$62-O$56)*('Forecast (BV) 2017'!K$62-'O&amp;M_Detail - Elec'!P$56)</f>
        <v>147522.6935157055</v>
      </c>
      <c r="Q61" s="2905">
        <f>P61/(P$62-P$56)*('Forecast (BV) 2017'!L$62-'O&amp;M_Detail - Elec'!Q$56)</f>
        <v>159662.30857137145</v>
      </c>
      <c r="R61" s="2905">
        <f>Q61/(Q$62-Q$56)*('Forecast (BV) 2017'!M$62-'O&amp;M_Detail - Elec'!R$56)</f>
        <v>168790.95578325426</v>
      </c>
      <c r="S61" s="2905">
        <f>R61/(R$62-R$56)*('Forecast (BV) 2017'!N$62-'O&amp;M_Detail - Elec'!S$56)</f>
        <v>173516.29854970283</v>
      </c>
      <c r="T61" s="2905">
        <f>S61/(S$62-S$56)*('Forecast (BV) 2017'!O$62-'O&amp;M_Detail - Elec'!T$56)</f>
        <v>180493.38008439625</v>
      </c>
      <c r="U61" s="2905">
        <f>T61/(T$62-T$56)*('Forecast (BV) 2017'!P$62-'O&amp;M_Detail - Elec'!U$56)</f>
        <v>185447.71922198916</v>
      </c>
      <c r="V61" s="2905">
        <f>U61/(U$62-U$56)*('Forecast (BV) 2017'!Q$62-'O&amp;M_Detail - Elec'!V$56)</f>
        <v>191097.37284008064</v>
      </c>
      <c r="W61" s="2905">
        <f>V61/(V$62-V$56)*('Forecast (BV) 2017'!R$62-'O&amp;M_Detail - Elec'!W$56)</f>
        <v>199971.00148718862</v>
      </c>
      <c r="X61" s="2905">
        <f>W61/(W$62-W$56)*('Forecast (BV) 2017'!S$62-'O&amp;M_Detail - Elec'!X$56)</f>
        <v>206076.89828060256</v>
      </c>
      <c r="Y61" s="2905">
        <f>X61/(X$62-X$56)*('Forecast (BV) 2017'!T$62-'O&amp;M_Detail - Elec'!Y$56)</f>
        <v>212706.7468593448</v>
      </c>
      <c r="Z61" s="2905">
        <f>Y61/(Y$62-Y$56)*('Forecast (BV) 2017'!U$62-'O&amp;M_Detail - Elec'!Z$56)</f>
        <v>223379.60971534799</v>
      </c>
      <c r="AA61" s="11"/>
      <c r="AB61" s="13"/>
      <c r="AE61" s="13"/>
    </row>
    <row r="62" spans="1:31" s="2" customFormat="1" ht="17.25" customHeight="1">
      <c r="A62" s="411"/>
      <c r="B62" s="4"/>
      <c r="C62" s="236">
        <f>+MAX($C$9:C61)+1</f>
        <v>54</v>
      </c>
      <c r="D62" s="112"/>
      <c r="E62" s="112"/>
      <c r="F62" s="237"/>
      <c r="G62" s="117">
        <f t="shared" ref="G62:Z62" si="9">SUM(G49:G61)</f>
        <v>7988600.8900000006</v>
      </c>
      <c r="H62" s="117">
        <f t="shared" si="9"/>
        <v>7166829.5699999994</v>
      </c>
      <c r="I62" s="117">
        <f t="shared" si="9"/>
        <v>8189372.5199999996</v>
      </c>
      <c r="J62" s="117">
        <f t="shared" si="9"/>
        <v>9199484</v>
      </c>
      <c r="K62" s="117">
        <f t="shared" si="9"/>
        <v>9131433.0300000012</v>
      </c>
      <c r="L62" s="117">
        <f t="shared" si="9"/>
        <v>6933438.7200000007</v>
      </c>
      <c r="M62" s="2907">
        <f t="shared" si="9"/>
        <v>6271196.5999999996</v>
      </c>
      <c r="N62" s="2907">
        <f t="shared" si="9"/>
        <v>4721334.16</v>
      </c>
      <c r="O62" s="2907">
        <f t="shared" si="9"/>
        <v>8075510.46</v>
      </c>
      <c r="P62" s="2908">
        <f t="shared" si="9"/>
        <v>2566753.9179197438</v>
      </c>
      <c r="Q62" s="2908">
        <f t="shared" si="9"/>
        <v>2751826.7140462874</v>
      </c>
      <c r="R62" s="2908">
        <f t="shared" si="9"/>
        <v>2895166.6470514582</v>
      </c>
      <c r="S62" s="2908">
        <f t="shared" si="9"/>
        <v>2977280.9494048376</v>
      </c>
      <c r="T62" s="2908">
        <f t="shared" si="9"/>
        <v>3091418.9213395794</v>
      </c>
      <c r="U62" s="2908">
        <f t="shared" si="9"/>
        <v>3177710.5344355055</v>
      </c>
      <c r="V62" s="2908">
        <f t="shared" si="9"/>
        <v>3274249.7984641865</v>
      </c>
      <c r="W62" s="2908">
        <f t="shared" si="9"/>
        <v>3416477.7732745847</v>
      </c>
      <c r="X62" s="2908">
        <f t="shared" si="9"/>
        <v>3520467.8803847791</v>
      </c>
      <c r="Y62" s="2908">
        <f t="shared" si="9"/>
        <v>3632351.8566670059</v>
      </c>
      <c r="Z62" s="2908">
        <f t="shared" si="9"/>
        <v>3801447.4401745857</v>
      </c>
    </row>
    <row r="63" spans="1:31" s="2" customFormat="1" ht="17.25" customHeight="1" thickBot="1">
      <c r="A63" s="411"/>
      <c r="B63" s="4"/>
      <c r="C63" s="236">
        <f>+MAX($C$9:C62)+1</f>
        <v>55</v>
      </c>
      <c r="D63" s="282" t="s">
        <v>314</v>
      </c>
      <c r="E63" s="112"/>
      <c r="F63" s="237"/>
      <c r="G63" s="112"/>
      <c r="H63" s="205"/>
      <c r="I63" s="983"/>
      <c r="J63" s="983"/>
      <c r="K63" s="983"/>
      <c r="L63" s="983"/>
      <c r="M63" s="2920"/>
      <c r="N63" s="11"/>
      <c r="O63" s="11"/>
      <c r="P63" s="11"/>
      <c r="Q63" s="11"/>
      <c r="R63" s="11"/>
      <c r="S63" s="11"/>
      <c r="T63" s="11"/>
      <c r="U63" s="11"/>
      <c r="V63" s="11"/>
      <c r="W63" s="11"/>
      <c r="X63" s="11"/>
      <c r="Y63" s="11"/>
      <c r="Z63" s="11"/>
    </row>
    <row r="64" spans="1:31" s="2" customFormat="1" ht="17.25" customHeight="1">
      <c r="A64" s="411"/>
      <c r="B64" s="4"/>
      <c r="C64" s="236">
        <f>+MAX($C$9:C63)+1</f>
        <v>56</v>
      </c>
      <c r="D64" s="237">
        <v>580000</v>
      </c>
      <c r="E64" s="112" t="s">
        <v>766</v>
      </c>
      <c r="F64" s="237">
        <v>7</v>
      </c>
      <c r="G64" s="972">
        <v>231328.92</v>
      </c>
      <c r="H64" s="973">
        <v>218813.54</v>
      </c>
      <c r="I64" s="978">
        <v>235116.28</v>
      </c>
      <c r="J64" s="978">
        <v>120014.56</v>
      </c>
      <c r="K64" s="978">
        <v>110885.77</v>
      </c>
      <c r="L64" s="978">
        <v>149106.48000000001</v>
      </c>
      <c r="M64" s="4308">
        <f>SUMIF('Lead Sheet 2015'!$J$624:$J$978,$D64,'Lead Sheet 2015'!$E$624:$E$978)</f>
        <v>128777.13</v>
      </c>
      <c r="N64" s="4309">
        <f>SUMIF('Lead Sheet 2015'!$J$624:$J$978,$D64,'Lead Sheet 2015'!$D$624:$D$978)</f>
        <v>131596.04</v>
      </c>
      <c r="O64" s="4317">
        <f>SUMIF('Lead Sheet 2015'!$J$624:$J$978,$D64,'Lead Sheet 2015'!$C$624:$C$978)</f>
        <v>138206.04</v>
      </c>
      <c r="P64" s="4318">
        <f>O64/O$83*'Forecast (BV) 2017'!K$63</f>
        <v>132946.28206071234</v>
      </c>
      <c r="Q64" s="2905">
        <f>P64/P$83*'Forecast (BV) 2017'!L$63</f>
        <v>146444.43948579367</v>
      </c>
      <c r="R64" s="2905">
        <f>Q64/Q$83*'Forecast (BV) 2017'!M$63</f>
        <v>154249.71552118316</v>
      </c>
      <c r="S64" s="2905">
        <f>R64/R$83*'Forecast (BV) 2017'!N$63</f>
        <v>157875.35144357188</v>
      </c>
      <c r="T64" s="2905">
        <f>S64/S$83*'Forecast (BV) 2017'!O$63</f>
        <v>163728.09435192996</v>
      </c>
      <c r="U64" s="2905">
        <f>T64/T$83*'Forecast (BV) 2017'!P$63</f>
        <v>167201.11855658647</v>
      </c>
      <c r="V64" s="2905">
        <f>U64/U$83*'Forecast (BV) 2017'!Q$63</f>
        <v>171589.05447612071</v>
      </c>
      <c r="W64" s="2905">
        <f>V64/V$83*'Forecast (BV) 2017'!R$63</f>
        <v>179317.19300456045</v>
      </c>
      <c r="X64" s="2905">
        <f>W64/W$83*'Forecast (BV) 2017'!S$63</f>
        <v>183830.40716682861</v>
      </c>
      <c r="Y64" s="2905">
        <f>X64/X$83*'Forecast (BV) 2017'!T$63</f>
        <v>188846.88544030287</v>
      </c>
      <c r="Z64" s="2905">
        <f>Y64/Y$83*'Forecast (BV) 2017'!U$63</f>
        <v>198211.48167551271</v>
      </c>
      <c r="AE64" s="13"/>
    </row>
    <row r="65" spans="1:31" s="2" customFormat="1" ht="17.25" customHeight="1">
      <c r="A65" s="411"/>
      <c r="B65" s="4"/>
      <c r="C65" s="236">
        <f>+MAX($C$9:C64)+1</f>
        <v>57</v>
      </c>
      <c r="D65" s="237">
        <v>581010</v>
      </c>
      <c r="E65" s="112" t="s">
        <v>767</v>
      </c>
      <c r="F65" s="237">
        <v>7</v>
      </c>
      <c r="G65" s="974">
        <v>571185.14</v>
      </c>
      <c r="H65" s="975">
        <v>671934.92</v>
      </c>
      <c r="I65" s="957">
        <v>686721.89</v>
      </c>
      <c r="J65" s="957">
        <v>1030629.1</v>
      </c>
      <c r="K65" s="957">
        <v>1135331.1000000001</v>
      </c>
      <c r="L65" s="957">
        <v>1151005.53</v>
      </c>
      <c r="M65" s="4311">
        <f>SUMIF('Lead Sheet 2015'!$J$624:$J$978,$D65,'Lead Sheet 2015'!$E$624:$E$978)</f>
        <v>1430501.21</v>
      </c>
      <c r="N65" s="4312">
        <f>SUMIF('Lead Sheet 2015'!$J$624:$J$978,$D65,'Lead Sheet 2015'!$D$624:$D$978)</f>
        <v>1507282.65</v>
      </c>
      <c r="O65" s="4319">
        <f>SUMIF('Lead Sheet 2015'!$J$624:$J$978,$D65,'Lead Sheet 2015'!$C$624:$C$978)</f>
        <v>1344942.57</v>
      </c>
      <c r="P65" s="4320">
        <f>O65/O$83*'Forecast (BV) 2017'!K$63</f>
        <v>1293757.5974731592</v>
      </c>
      <c r="Q65" s="2905">
        <f>P65/P$83*'Forecast (BV) 2017'!L$63</f>
        <v>1425113.9878129263</v>
      </c>
      <c r="R65" s="2905">
        <f>Q65/Q$83*'Forecast (BV) 2017'!M$63</f>
        <v>1501070.4945661486</v>
      </c>
      <c r="S65" s="2905">
        <f>R65/R$83*'Forecast (BV) 2017'!N$63</f>
        <v>1536353.1211094011</v>
      </c>
      <c r="T65" s="2905">
        <f>S65/S$83*'Forecast (BV) 2017'!O$63</f>
        <v>1593308.6860667386</v>
      </c>
      <c r="U65" s="2905">
        <f>T65/T$83*'Forecast (BV) 2017'!P$63</f>
        <v>1627106.1821782179</v>
      </c>
      <c r="V65" s="2905">
        <f>U65/U$83*'Forecast (BV) 2017'!Q$63</f>
        <v>1669807.0786991925</v>
      </c>
      <c r="W65" s="2905">
        <f>V65/V$83*'Forecast (BV) 2017'!R$63</f>
        <v>1745012.9271104177</v>
      </c>
      <c r="X65" s="2905">
        <f>W65/W$83*'Forecast (BV) 2017'!S$63</f>
        <v>1788932.9602317007</v>
      </c>
      <c r="Y65" s="2905">
        <f>X65/X$83*'Forecast (BV) 2017'!T$63</f>
        <v>1837750.4734277639</v>
      </c>
      <c r="Z65" s="2905">
        <f>Y65/Y$83*'Forecast (BV) 2017'!U$63</f>
        <v>1928881.397427869</v>
      </c>
      <c r="AE65" s="13"/>
    </row>
    <row r="66" spans="1:31" s="2" customFormat="1" ht="17.25" customHeight="1">
      <c r="A66" s="411"/>
      <c r="B66" s="4"/>
      <c r="C66" s="236">
        <f>+MAX($C$9:C65)+1</f>
        <v>58</v>
      </c>
      <c r="D66" s="237">
        <v>582000</v>
      </c>
      <c r="E66" s="112" t="s">
        <v>768</v>
      </c>
      <c r="F66" s="237">
        <v>7</v>
      </c>
      <c r="G66" s="974">
        <v>177192.69</v>
      </c>
      <c r="H66" s="975">
        <v>205989.39</v>
      </c>
      <c r="I66" s="957">
        <v>190077.35</v>
      </c>
      <c r="J66" s="957">
        <v>622958.35</v>
      </c>
      <c r="K66" s="957">
        <v>721608.99</v>
      </c>
      <c r="L66" s="957">
        <v>726342.84</v>
      </c>
      <c r="M66" s="4311">
        <f>SUMIF('Lead Sheet 2015'!$J$624:$J$978,$D66,'Lead Sheet 2015'!$E$624:$E$978)</f>
        <v>920397.94</v>
      </c>
      <c r="N66" s="4312">
        <f>SUMIF('Lead Sheet 2015'!$J$624:$J$978,$D66,'Lead Sheet 2015'!$D$624:$D$978)</f>
        <v>779655.37</v>
      </c>
      <c r="O66" s="4319">
        <f>SUMIF('Lead Sheet 2015'!$J$624:$J$978,$D66,'Lead Sheet 2015'!$C$624:$C$978)</f>
        <v>794879.41</v>
      </c>
      <c r="P66" s="4320">
        <f>O66/O$83*'Forecast (BV) 2017'!K$63</f>
        <v>764628.39284095401</v>
      </c>
      <c r="Q66" s="2905">
        <f>P66/P$83*'Forecast (BV) 2017'!L$63</f>
        <v>842261.8118299921</v>
      </c>
      <c r="R66" s="2905">
        <f>Q66/Q$83*'Forecast (BV) 2017'!M$63</f>
        <v>887153.1437131539</v>
      </c>
      <c r="S66" s="2905">
        <f>R66/R$83*'Forecast (BV) 2017'!N$63</f>
        <v>908005.65741561679</v>
      </c>
      <c r="T66" s="2905">
        <f>S66/S$83*'Forecast (BV) 2017'!O$63</f>
        <v>941667.173438197</v>
      </c>
      <c r="U66" s="2905">
        <f>T66/T$83*'Forecast (BV) 2017'!P$63</f>
        <v>961641.95479155239</v>
      </c>
      <c r="V66" s="2905">
        <f>U66/U$83*'Forecast (BV) 2017'!Q$63</f>
        <v>986878.76726977096</v>
      </c>
      <c r="W66" s="2905">
        <f>V66/V$83*'Forecast (BV) 2017'!R$63</f>
        <v>1031326.4498304205</v>
      </c>
      <c r="X66" s="2905">
        <f>W66/W$83*'Forecast (BV) 2017'!S$63</f>
        <v>1057283.788673986</v>
      </c>
      <c r="Y66" s="2905">
        <f>X66/X$83*'Forecast (BV) 2017'!T$63</f>
        <v>1086135.6050656359</v>
      </c>
      <c r="Z66" s="2905">
        <f>Y66/Y$83*'Forecast (BV) 2017'!U$63</f>
        <v>1139995.2245897306</v>
      </c>
      <c r="AE66" s="13"/>
    </row>
    <row r="67" spans="1:31" s="2" customFormat="1" ht="17.25" customHeight="1">
      <c r="A67" s="411"/>
      <c r="B67" s="4"/>
      <c r="C67" s="236">
        <f>+MAX($C$9:C66)+1</f>
        <v>59</v>
      </c>
      <c r="D67" s="237">
        <v>583000</v>
      </c>
      <c r="E67" s="112" t="s">
        <v>769</v>
      </c>
      <c r="F67" s="237">
        <v>7</v>
      </c>
      <c r="G67" s="974">
        <v>212935.8</v>
      </c>
      <c r="H67" s="975">
        <v>267547.13</v>
      </c>
      <c r="I67" s="957">
        <v>252979.23</v>
      </c>
      <c r="J67" s="957">
        <v>1059027.07</v>
      </c>
      <c r="K67" s="957">
        <v>1199717.71</v>
      </c>
      <c r="L67" s="957">
        <v>1069127.22</v>
      </c>
      <c r="M67" s="4311">
        <f>SUMIF('Lead Sheet 2015'!$J$624:$J$978,$D67,'Lead Sheet 2015'!$E$624:$E$978)</f>
        <v>1530062.33</v>
      </c>
      <c r="N67" s="4312">
        <f>SUMIF('Lead Sheet 2015'!$J$624:$J$978,$D67,'Lead Sheet 2015'!$D$624:$D$978)</f>
        <v>1224353.26</v>
      </c>
      <c r="O67" s="4319">
        <f>SUMIF('Lead Sheet 2015'!$J$624:$J$978,$D67,'Lead Sheet 2015'!$C$624:$C$978)</f>
        <v>1216954.8999999999</v>
      </c>
      <c r="P67" s="4320">
        <f>O67/O$83*'Forecast (BV) 2017'!K$63</f>
        <v>1170640.801158661</v>
      </c>
      <c r="Q67" s="2905">
        <f>P67/P$83*'Forecast (BV) 2017'!L$63</f>
        <v>1289497.0307375137</v>
      </c>
      <c r="R67" s="2905">
        <f>Q67/Q$83*'Forecast (BV) 2017'!M$63</f>
        <v>1358225.3505498734</v>
      </c>
      <c r="S67" s="2905">
        <f>R67/R$83*'Forecast (BV) 2017'!N$63</f>
        <v>1390150.4053547645</v>
      </c>
      <c r="T67" s="2905">
        <f>S67/S$83*'Forecast (BV) 2017'!O$63</f>
        <v>1441685.954457876</v>
      </c>
      <c r="U67" s="2905">
        <f>T67/T$83*'Forecast (BV) 2017'!P$63</f>
        <v>1472267.2070838492</v>
      </c>
      <c r="V67" s="2905">
        <f>U67/U$83*'Forecast (BV) 2017'!Q$63</f>
        <v>1510904.593106654</v>
      </c>
      <c r="W67" s="2905">
        <f>V67/V$83*'Forecast (BV) 2017'!R$63</f>
        <v>1578953.6888629866</v>
      </c>
      <c r="X67" s="2905">
        <f>W67/W$83*'Forecast (BV) 2017'!S$63</f>
        <v>1618694.195786719</v>
      </c>
      <c r="Y67" s="2905">
        <f>X67/X$83*'Forecast (BV) 2017'!T$63</f>
        <v>1662866.1278936516</v>
      </c>
      <c r="Z67" s="2905">
        <f>Y67/Y$83*'Forecast (BV) 2017'!U$63</f>
        <v>1745324.8342928814</v>
      </c>
      <c r="AE67" s="13"/>
    </row>
    <row r="68" spans="1:31" s="2" customFormat="1" ht="17.25" customHeight="1">
      <c r="A68" s="411"/>
      <c r="B68" s="4"/>
      <c r="C68" s="236">
        <f>+MAX($C$9:C67)+1</f>
        <v>60</v>
      </c>
      <c r="D68" s="237">
        <v>584000</v>
      </c>
      <c r="E68" s="112" t="s">
        <v>2164</v>
      </c>
      <c r="F68" s="237">
        <v>7</v>
      </c>
      <c r="G68" s="974"/>
      <c r="H68" s="975"/>
      <c r="I68" s="957">
        <v>0</v>
      </c>
      <c r="J68" s="957">
        <v>0</v>
      </c>
      <c r="K68" s="957">
        <v>0</v>
      </c>
      <c r="L68" s="957">
        <v>0</v>
      </c>
      <c r="M68" s="4311">
        <f>SUMIF('Lead Sheet 2015'!$J$624:$J$978,$D68,'Lead Sheet 2015'!$E$624:$E$978)</f>
        <v>0</v>
      </c>
      <c r="N68" s="4312">
        <f>SUMIF('Lead Sheet 2015'!$J$624:$J$978,$D68,'Lead Sheet 2015'!$D$624:$D$978)</f>
        <v>0</v>
      </c>
      <c r="O68" s="4319">
        <f>SUMIF('Lead Sheet 2015'!$J$624:$J$978,$D68,'Lead Sheet 2015'!$C$624:$C$978)</f>
        <v>0</v>
      </c>
      <c r="P68" s="4320">
        <f>O68/O$83*'Forecast (BV) 2017'!K$63</f>
        <v>0</v>
      </c>
      <c r="Q68" s="2905">
        <f>P68/P$83*'Forecast (BV) 2017'!L$63</f>
        <v>0</v>
      </c>
      <c r="R68" s="2905">
        <f>Q68/Q$83*'Forecast (BV) 2017'!M$63</f>
        <v>0</v>
      </c>
      <c r="S68" s="2905">
        <f>R68/R$83*'Forecast (BV) 2017'!N$63</f>
        <v>0</v>
      </c>
      <c r="T68" s="2905">
        <f>S68/S$83*'Forecast (BV) 2017'!O$63</f>
        <v>0</v>
      </c>
      <c r="U68" s="2905">
        <f>T68/T$83*'Forecast (BV) 2017'!P$63</f>
        <v>0</v>
      </c>
      <c r="V68" s="2905">
        <f>U68/U$83*'Forecast (BV) 2017'!Q$63</f>
        <v>0</v>
      </c>
      <c r="W68" s="2905">
        <f>V68/V$83*'Forecast (BV) 2017'!R$63</f>
        <v>0</v>
      </c>
      <c r="X68" s="2905">
        <f>W68/W$83*'Forecast (BV) 2017'!S$63</f>
        <v>0</v>
      </c>
      <c r="Y68" s="2905">
        <f>X68/X$83*'Forecast (BV) 2017'!T$63</f>
        <v>0</v>
      </c>
      <c r="Z68" s="2905">
        <f>Y68/Y$83*'Forecast (BV) 2017'!U$63</f>
        <v>0</v>
      </c>
      <c r="AE68" s="13"/>
    </row>
    <row r="69" spans="1:31" s="2" customFormat="1" ht="17.25" customHeight="1">
      <c r="A69" s="411"/>
      <c r="B69" s="4"/>
      <c r="C69" s="236">
        <f>+MAX($C$9:C68)+1</f>
        <v>61</v>
      </c>
      <c r="D69" s="237">
        <v>586000</v>
      </c>
      <c r="E69" s="112" t="s">
        <v>2165</v>
      </c>
      <c r="F69" s="237">
        <v>7</v>
      </c>
      <c r="G69" s="974"/>
      <c r="H69" s="975"/>
      <c r="I69" s="957">
        <v>0</v>
      </c>
      <c r="J69" s="957">
        <v>0</v>
      </c>
      <c r="K69" s="957">
        <v>0</v>
      </c>
      <c r="L69" s="957">
        <v>0</v>
      </c>
      <c r="M69" s="4311">
        <f>SUMIF('Lead Sheet 2015'!$J$624:$J$978,$D69,'Lead Sheet 2015'!$E$624:$E$978)</f>
        <v>0</v>
      </c>
      <c r="N69" s="4312">
        <f>SUMIF('Lead Sheet 2015'!$J$624:$J$978,$D69,'Lead Sheet 2015'!$D$624:$D$978)</f>
        <v>0</v>
      </c>
      <c r="O69" s="4319">
        <f>SUMIF('Lead Sheet 2015'!$J$624:$J$978,$D69,'Lead Sheet 2015'!$C$624:$C$978)</f>
        <v>0</v>
      </c>
      <c r="P69" s="4320">
        <f>O69/O$83*'Forecast (BV) 2017'!K$63</f>
        <v>0</v>
      </c>
      <c r="Q69" s="2905">
        <f>P69/P$83*'Forecast (BV) 2017'!L$63</f>
        <v>0</v>
      </c>
      <c r="R69" s="2905">
        <f>Q69/Q$83*'Forecast (BV) 2017'!M$63</f>
        <v>0</v>
      </c>
      <c r="S69" s="2905">
        <f>R69/R$83*'Forecast (BV) 2017'!N$63</f>
        <v>0</v>
      </c>
      <c r="T69" s="2905">
        <f>S69/S$83*'Forecast (BV) 2017'!O$63</f>
        <v>0</v>
      </c>
      <c r="U69" s="2905">
        <f>T69/T$83*'Forecast (BV) 2017'!P$63</f>
        <v>0</v>
      </c>
      <c r="V69" s="2905">
        <f>U69/U$83*'Forecast (BV) 2017'!Q$63</f>
        <v>0</v>
      </c>
      <c r="W69" s="2905">
        <f>V69/V$83*'Forecast (BV) 2017'!R$63</f>
        <v>0</v>
      </c>
      <c r="X69" s="2905">
        <f>W69/W$83*'Forecast (BV) 2017'!S$63</f>
        <v>0</v>
      </c>
      <c r="Y69" s="2905">
        <f>X69/X$83*'Forecast (BV) 2017'!T$63</f>
        <v>0</v>
      </c>
      <c r="Z69" s="2905">
        <f>Y69/Y$83*'Forecast (BV) 2017'!U$63</f>
        <v>0</v>
      </c>
      <c r="AE69" s="13"/>
    </row>
    <row r="70" spans="1:31" s="2" customFormat="1" ht="17.25" customHeight="1">
      <c r="A70" s="411"/>
      <c r="B70" s="4"/>
      <c r="C70" s="236">
        <f>+MAX($C$9:C69)+1</f>
        <v>62</v>
      </c>
      <c r="D70" s="237">
        <v>584010</v>
      </c>
      <c r="E70" s="112" t="s">
        <v>770</v>
      </c>
      <c r="F70" s="237">
        <v>7</v>
      </c>
      <c r="G70" s="974">
        <v>-43764.93</v>
      </c>
      <c r="H70" s="975">
        <v>-27889.77</v>
      </c>
      <c r="I70" s="957">
        <v>-57410.54</v>
      </c>
      <c r="J70" s="957">
        <v>124592.73</v>
      </c>
      <c r="K70" s="957">
        <v>144321.93</v>
      </c>
      <c r="L70" s="957">
        <v>145268.28</v>
      </c>
      <c r="M70" s="4311">
        <f>SUMIF('Lead Sheet 2015'!$J$624:$J$978,$D70,'Lead Sheet 2015'!$E$624:$E$978)</f>
        <v>184079.61</v>
      </c>
      <c r="N70" s="4312">
        <f>SUMIF('Lead Sheet 2015'!$J$624:$J$978,$D70,'Lead Sheet 2015'!$D$624:$D$978)</f>
        <v>155931.07999999999</v>
      </c>
      <c r="O70" s="4319">
        <f>SUMIF('Lead Sheet 2015'!$J$624:$J$978,$D70,'Lead Sheet 2015'!$C$624:$C$978)</f>
        <v>158976.38</v>
      </c>
      <c r="P70" s="4320">
        <f>O70/O$83*'Forecast (BV) 2017'!K$63</f>
        <v>152926.15761562221</v>
      </c>
      <c r="Q70" s="2905">
        <f>P70/P$83*'Forecast (BV) 2017'!L$63</f>
        <v>168452.89005155303</v>
      </c>
      <c r="R70" s="2905">
        <f>Q70/Q$83*'Forecast (BV) 2017'!M$63</f>
        <v>177431.1845530594</v>
      </c>
      <c r="S70" s="2905">
        <f>R70/R$83*'Forecast (BV) 2017'!N$63</f>
        <v>181601.70035786301</v>
      </c>
      <c r="T70" s="2905">
        <f>S70/S$83*'Forecast (BV) 2017'!O$63</f>
        <v>188334.02465165971</v>
      </c>
      <c r="U70" s="2905">
        <f>T70/T$83*'Forecast (BV) 2017'!P$63</f>
        <v>192328.99343673361</v>
      </c>
      <c r="V70" s="2905">
        <f>U70/U$83*'Forecast (BV) 2017'!Q$63</f>
        <v>197376.3717434959</v>
      </c>
      <c r="W70" s="2905">
        <f>V70/V$83*'Forecast (BV) 2017'!R$63</f>
        <v>206265.93610254905</v>
      </c>
      <c r="X70" s="2905">
        <f>W70/W$83*'Forecast (BV) 2017'!S$63</f>
        <v>211457.4201337978</v>
      </c>
      <c r="Y70" s="2905">
        <f>X70/X$83*'Forecast (BV) 2017'!T$63</f>
        <v>217227.80148808294</v>
      </c>
      <c r="Z70" s="2905">
        <f>Y70/Y$83*'Forecast (BV) 2017'!U$63</f>
        <v>227999.75913649896</v>
      </c>
      <c r="AE70" s="13"/>
    </row>
    <row r="71" spans="1:31" s="2" customFormat="1" ht="17.25" customHeight="1">
      <c r="A71" s="411"/>
      <c r="B71" s="4"/>
      <c r="C71" s="236">
        <f>+MAX($C$9:C70)+1</f>
        <v>63</v>
      </c>
      <c r="D71" s="237">
        <v>586010</v>
      </c>
      <c r="E71" s="112" t="s">
        <v>771</v>
      </c>
      <c r="F71" s="237">
        <v>7</v>
      </c>
      <c r="G71" s="974">
        <v>371166.41</v>
      </c>
      <c r="H71" s="975">
        <v>463795.20000000001</v>
      </c>
      <c r="I71" s="957">
        <v>424585.99</v>
      </c>
      <c r="J71" s="957">
        <v>1586516.39</v>
      </c>
      <c r="K71" s="957">
        <v>1824075.3</v>
      </c>
      <c r="L71" s="957">
        <v>1846297.11</v>
      </c>
      <c r="M71" s="4311">
        <f>SUMIF('Lead Sheet 2015'!$J$624:$J$978,$D71,'Lead Sheet 2015'!$E$624:$E$978)</f>
        <v>2411701.46</v>
      </c>
      <c r="N71" s="4312">
        <f>SUMIF('Lead Sheet 2015'!$J$624:$J$978,$D71,'Lead Sheet 2015'!$D$624:$D$978)</f>
        <v>1972672.34</v>
      </c>
      <c r="O71" s="4319">
        <f>SUMIF('Lead Sheet 2015'!$J$624:$J$978,$D71,'Lead Sheet 2015'!$C$624:$C$978)</f>
        <v>2033701.22</v>
      </c>
      <c r="P71" s="4320">
        <f>O71/O$83*'Forecast (BV) 2017'!K$63</f>
        <v>1956303.9069879635</v>
      </c>
      <c r="Q71" s="2905">
        <f>P71/P$83*'Forecast (BV) 2017'!L$63</f>
        <v>2154929.2291746056</v>
      </c>
      <c r="R71" s="2905">
        <f>Q71/Q$83*'Forecast (BV) 2017'!M$63</f>
        <v>2269783.8288404983</v>
      </c>
      <c r="S71" s="2905">
        <f>R71/R$83*'Forecast (BV) 2017'!N$63</f>
        <v>2323135.0441610282</v>
      </c>
      <c r="T71" s="2905">
        <f>S71/S$83*'Forecast (BV) 2017'!O$63</f>
        <v>2409258.1281671552</v>
      </c>
      <c r="U71" s="2905">
        <f>T71/T$83*'Forecast (BV) 2017'!P$63</f>
        <v>2460363.6627885038</v>
      </c>
      <c r="V71" s="2905">
        <f>U71/U$83*'Forecast (BV) 2017'!Q$63</f>
        <v>2524932.1189344046</v>
      </c>
      <c r="W71" s="2905">
        <f>V71/V$83*'Forecast (BV) 2017'!R$63</f>
        <v>2638651.6405531191</v>
      </c>
      <c r="X71" s="2905">
        <f>W71/W$83*'Forecast (BV) 2017'!S$63</f>
        <v>2705063.5654438548</v>
      </c>
      <c r="Y71" s="2905">
        <f>X71/X$83*'Forecast (BV) 2017'!T$63</f>
        <v>2778881.0193327591</v>
      </c>
      <c r="Z71" s="2905">
        <f>Y71/Y$83*'Forecast (BV) 2017'!U$63</f>
        <v>2916681.008308304</v>
      </c>
      <c r="AE71" s="13"/>
    </row>
    <row r="72" spans="1:31" s="2" customFormat="1" ht="17.25" customHeight="1">
      <c r="A72" s="411"/>
      <c r="B72" s="4"/>
      <c r="C72" s="236">
        <f>+MAX($C$9:C71)+1</f>
        <v>64</v>
      </c>
      <c r="D72" s="237">
        <v>587000</v>
      </c>
      <c r="E72" s="112" t="s">
        <v>772</v>
      </c>
      <c r="F72" s="237">
        <v>7</v>
      </c>
      <c r="G72" s="974">
        <v>70440.89</v>
      </c>
      <c r="H72" s="975">
        <v>78913.58</v>
      </c>
      <c r="I72" s="957">
        <v>36094.61</v>
      </c>
      <c r="J72" s="957">
        <v>0</v>
      </c>
      <c r="K72" s="957">
        <v>1513068.3</v>
      </c>
      <c r="L72" s="957">
        <v>1410914.51</v>
      </c>
      <c r="M72" s="4311">
        <f>SUMIF('Lead Sheet 2015'!$J$624:$J$978,$D72,'Lead Sheet 2015'!$E$624:$E$978)</f>
        <v>255360.23</v>
      </c>
      <c r="N72" s="4312">
        <f>SUMIF('Lead Sheet 2015'!$J$624:$J$978,$D72,'Lead Sheet 2015'!$D$624:$D$978)</f>
        <v>171265.09</v>
      </c>
      <c r="O72" s="4319">
        <f>SUMIF('Lead Sheet 2015'!$J$624:$J$978,$D72,'Lead Sheet 2015'!$C$624:$C$978)</f>
        <v>48441.99</v>
      </c>
      <c r="P72" s="4320">
        <f>O72/O$83*'Forecast (BV) 2017'!K$63</f>
        <v>46598.415424696388</v>
      </c>
      <c r="Q72" s="2905">
        <f>P72/P$83*'Forecast (BV) 2017'!L$63</f>
        <v>51329.595096758581</v>
      </c>
      <c r="R72" s="2905">
        <f>Q72/Q$83*'Forecast (BV) 2017'!M$63</f>
        <v>54065.38800171105</v>
      </c>
      <c r="S72" s="2905">
        <f>R72/R$83*'Forecast (BV) 2017'!N$63</f>
        <v>55336.193670522596</v>
      </c>
      <c r="T72" s="2905">
        <f>S72/S$83*'Forecast (BV) 2017'!O$63</f>
        <v>57387.612794022934</v>
      </c>
      <c r="U72" s="2905">
        <f>T72/T$83*'Forecast (BV) 2017'!P$63</f>
        <v>58604.927202219049</v>
      </c>
      <c r="V72" s="2905">
        <f>U72/U$83*'Forecast (BV) 2017'!Q$63</f>
        <v>60142.923283538774</v>
      </c>
      <c r="W72" s="2905">
        <f>V72/V$83*'Forecast (BV) 2017'!R$63</f>
        <v>62851.679060878836</v>
      </c>
      <c r="X72" s="2905">
        <f>W72/W$83*'Forecast (BV) 2017'!S$63</f>
        <v>64433.585866952235</v>
      </c>
      <c r="Y72" s="2905">
        <f>X72/X$83*'Forecast (BV) 2017'!T$63</f>
        <v>66191.889558736308</v>
      </c>
      <c r="Z72" s="2905">
        <f>Y72/Y$83*'Forecast (BV) 2017'!U$63</f>
        <v>69474.232914931694</v>
      </c>
      <c r="AE72" s="13"/>
    </row>
    <row r="73" spans="1:31" s="2" customFormat="1" ht="17.25" customHeight="1">
      <c r="A73" s="411"/>
      <c r="B73" s="4"/>
      <c r="C73" s="236">
        <f>+MAX($C$9:C72)+1</f>
        <v>65</v>
      </c>
      <c r="D73" s="237">
        <v>588000</v>
      </c>
      <c r="E73" s="112" t="s">
        <v>773</v>
      </c>
      <c r="F73" s="237">
        <v>7</v>
      </c>
      <c r="G73" s="974">
        <v>1948881.57</v>
      </c>
      <c r="H73" s="975">
        <v>2198453.38</v>
      </c>
      <c r="I73" s="957">
        <v>2301508.36</v>
      </c>
      <c r="J73" s="957">
        <v>4131242.7</v>
      </c>
      <c r="K73" s="957">
        <v>4178926.77</v>
      </c>
      <c r="L73" s="957">
        <v>4364569.45</v>
      </c>
      <c r="M73" s="4311">
        <f>SUMIF('Lead Sheet 2015'!$J$624:$J$978,$D73,'Lead Sheet 2015'!$E$624:$E$978)</f>
        <v>5887131.3899999997</v>
      </c>
      <c r="N73" s="4312">
        <f>SUMIF('Lead Sheet 2015'!$J$624:$J$978,$D73,'Lead Sheet 2015'!$D$624:$D$978)</f>
        <v>6135749.3600000003</v>
      </c>
      <c r="O73" s="4319">
        <f>SUMIF('Lead Sheet 2015'!$J$624:$J$978,$D73,'Lead Sheet 2015'!$C$624:$C$978)</f>
        <v>5844537.0700000003</v>
      </c>
      <c r="P73" s="4320">
        <f>O73/O$83*'Forecast (BV) 2017'!K$63</f>
        <v>5622109.3797529349</v>
      </c>
      <c r="Q73" s="2905">
        <f>P73/P$83*'Forecast (BV) 2017'!L$63</f>
        <v>6192927.279228121</v>
      </c>
      <c r="R73" s="2905">
        <f>Q73/Q$83*'Forecast (BV) 2017'!M$63</f>
        <v>6523001.3131156154</v>
      </c>
      <c r="S73" s="2905">
        <f>R73/R$83*'Forecast (BV) 2017'!N$63</f>
        <v>6676324.3050103579</v>
      </c>
      <c r="T73" s="2905">
        <f>S73/S$83*'Forecast (BV) 2017'!O$63</f>
        <v>6923828.4870929811</v>
      </c>
      <c r="U73" s="2905">
        <f>T73/T$83*'Forecast (BV) 2017'!P$63</f>
        <v>7070697.7462738557</v>
      </c>
      <c r="V73" s="2905">
        <f>U73/U$83*'Forecast (BV) 2017'!Q$63</f>
        <v>7256257.321980549</v>
      </c>
      <c r="W73" s="2905">
        <f>V73/V$83*'Forecast (BV) 2017'!R$63</f>
        <v>7583069.3202952491</v>
      </c>
      <c r="X73" s="2905">
        <f>W73/W$83*'Forecast (BV) 2017'!S$63</f>
        <v>7773926.7348932307</v>
      </c>
      <c r="Y73" s="2905">
        <f>X73/X$83*'Forecast (BV) 2017'!T$63</f>
        <v>7986066.4737220835</v>
      </c>
      <c r="Z73" s="2905">
        <f>Y73/Y$83*'Forecast (BV) 2017'!U$63</f>
        <v>8382081.9433952356</v>
      </c>
      <c r="AE73" s="13"/>
    </row>
    <row r="74" spans="1:31" s="2" customFormat="1" ht="17.25" customHeight="1">
      <c r="A74" s="411"/>
      <c r="B74" s="4"/>
      <c r="C74" s="236">
        <f>+MAX($C$9:C73)+1</f>
        <v>66</v>
      </c>
      <c r="D74" s="237">
        <v>588030</v>
      </c>
      <c r="E74" s="112" t="s">
        <v>774</v>
      </c>
      <c r="F74" s="237">
        <v>7</v>
      </c>
      <c r="G74" s="974">
        <v>67740.94</v>
      </c>
      <c r="H74" s="975">
        <v>43616.82</v>
      </c>
      <c r="I74" s="957">
        <v>62740.99</v>
      </c>
      <c r="J74" s="957">
        <v>72632.2</v>
      </c>
      <c r="K74" s="957">
        <v>76284.87</v>
      </c>
      <c r="L74" s="957">
        <v>82103.850000000006</v>
      </c>
      <c r="M74" s="4311">
        <f>SUMIF('Lead Sheet 2015'!$J$624:$J$978,$D74,'Lead Sheet 2015'!$E$624:$E$978)</f>
        <v>121371.7</v>
      </c>
      <c r="N74" s="4312">
        <f>SUMIF('Lead Sheet 2015'!$J$624:$J$978,$D74,'Lead Sheet 2015'!$D$624:$D$978)</f>
        <v>150784.01999999999</v>
      </c>
      <c r="O74" s="4319">
        <f>SUMIF('Lead Sheet 2015'!$J$624:$J$978,$D74,'Lead Sheet 2015'!$C$624:$C$978)</f>
        <v>54227.57</v>
      </c>
      <c r="P74" s="4320">
        <f>O74/O$83*'Forecast (BV) 2017'!K$63</f>
        <v>52163.811485279672</v>
      </c>
      <c r="Q74" s="2905">
        <f>P74/P$83*'Forecast (BV) 2017'!L$63</f>
        <v>57460.05090173077</v>
      </c>
      <c r="R74" s="2905">
        <f>Q74/Q$83*'Forecast (BV) 2017'!M$63</f>
        <v>60522.588201680941</v>
      </c>
      <c r="S74" s="2905">
        <f>R74/R$83*'Forecast (BV) 2017'!N$63</f>
        <v>61945.170208775919</v>
      </c>
      <c r="T74" s="2905">
        <f>S74/S$83*'Forecast (BV) 2017'!O$63</f>
        <v>64241.596803120061</v>
      </c>
      <c r="U74" s="2905">
        <f>T74/T$83*'Forecast (BV) 2017'!P$63</f>
        <v>65604.298919248322</v>
      </c>
      <c r="V74" s="2905">
        <f>U74/U$83*'Forecast (BV) 2017'!Q$63</f>
        <v>67325.982734456804</v>
      </c>
      <c r="W74" s="2905">
        <f>V74/V$83*'Forecast (BV) 2017'!R$63</f>
        <v>70358.253777174352</v>
      </c>
      <c r="X74" s="2905">
        <f>W74/W$83*'Forecast (BV) 2017'!S$63</f>
        <v>72129.092713803955</v>
      </c>
      <c r="Y74" s="2905">
        <f>X74/X$83*'Forecast (BV) 2017'!T$63</f>
        <v>74097.396173828602</v>
      </c>
      <c r="Z74" s="2905">
        <f>Y74/Y$83*'Forecast (BV) 2017'!U$63</f>
        <v>77771.760173163071</v>
      </c>
      <c r="AE74" s="13"/>
    </row>
    <row r="75" spans="1:31" s="2" customFormat="1" ht="17.25" customHeight="1">
      <c r="A75" s="411"/>
      <c r="B75" s="4"/>
      <c r="C75" s="236">
        <f>+MAX($C$9:C74)+1</f>
        <v>67</v>
      </c>
      <c r="D75" s="237">
        <v>590000</v>
      </c>
      <c r="E75" s="112" t="s">
        <v>775</v>
      </c>
      <c r="F75" s="237">
        <v>7</v>
      </c>
      <c r="G75" s="974">
        <v>156567.22</v>
      </c>
      <c r="H75" s="975">
        <v>145133.46</v>
      </c>
      <c r="I75" s="957">
        <v>182192.93</v>
      </c>
      <c r="J75" s="957">
        <v>294070.5</v>
      </c>
      <c r="K75" s="957">
        <v>251923.36</v>
      </c>
      <c r="L75" s="957">
        <v>283672.09000000003</v>
      </c>
      <c r="M75" s="4311">
        <f>SUMIF('Lead Sheet 2015'!$J$624:$J$978,$D75,'Lead Sheet 2015'!$E$624:$E$978)</f>
        <v>318399.46999999997</v>
      </c>
      <c r="N75" s="4312">
        <f>SUMIF('Lead Sheet 2015'!$J$624:$J$978,$D75,'Lead Sheet 2015'!$D$624:$D$978)</f>
        <v>322464.63</v>
      </c>
      <c r="O75" s="4319">
        <f>SUMIF('Lead Sheet 2015'!$J$624:$J$978,$D75,'Lead Sheet 2015'!$C$624:$C$978)</f>
        <v>353557.15</v>
      </c>
      <c r="P75" s="4320">
        <f>O75/O$83*'Forecast (BV) 2017'!K$63</f>
        <v>340101.69590621063</v>
      </c>
      <c r="Q75" s="2905">
        <f>P75/P$83*'Forecast (BV) 2017'!L$63</f>
        <v>374632.53167477099</v>
      </c>
      <c r="R75" s="2905">
        <f>Q75/Q$83*'Forecast (BV) 2017'!M$63</f>
        <v>394599.90176970756</v>
      </c>
      <c r="S75" s="2905">
        <f>R75/R$83*'Forecast (BV) 2017'!N$63</f>
        <v>403874.96314660087</v>
      </c>
      <c r="T75" s="2905">
        <f>S75/S$83*'Forecast (BV) 2017'!O$63</f>
        <v>418847.38477420696</v>
      </c>
      <c r="U75" s="2905">
        <f>T75/T$83*'Forecast (BV) 2017'!P$63</f>
        <v>427732.03655700444</v>
      </c>
      <c r="V75" s="2905">
        <f>U75/U$83*'Forecast (BV) 2017'!Q$63</f>
        <v>438957.20528402354</v>
      </c>
      <c r="W75" s="2905">
        <f>V75/V$83*'Forecast (BV) 2017'!R$63</f>
        <v>458727.24306906061</v>
      </c>
      <c r="X75" s="2905">
        <f>W75/W$83*'Forecast (BV) 2017'!S$63</f>
        <v>470272.89719930821</v>
      </c>
      <c r="Y75" s="2905">
        <f>X75/X$83*'Forecast (BV) 2017'!T$63</f>
        <v>483105.99596551608</v>
      </c>
      <c r="Z75" s="2905">
        <f>Y75/Y$83*'Forecast (BV) 2017'!U$63</f>
        <v>507062.40160322574</v>
      </c>
      <c r="AE75" s="13"/>
    </row>
    <row r="76" spans="1:31" s="2" customFormat="1" ht="17.25" customHeight="1">
      <c r="A76" s="411"/>
      <c r="B76" s="4"/>
      <c r="C76" s="236">
        <f>+MAX($C$9:C75)+1</f>
        <v>68</v>
      </c>
      <c r="D76" s="237">
        <v>592000</v>
      </c>
      <c r="E76" s="112" t="s">
        <v>776</v>
      </c>
      <c r="F76" s="237">
        <v>7</v>
      </c>
      <c r="G76" s="974">
        <v>700202.18</v>
      </c>
      <c r="H76" s="975">
        <v>495416.47</v>
      </c>
      <c r="I76" s="957">
        <v>915999.79</v>
      </c>
      <c r="J76" s="957">
        <v>2572048.4900000002</v>
      </c>
      <c r="K76" s="957">
        <v>1484220.34</v>
      </c>
      <c r="L76" s="957">
        <v>1765551.6</v>
      </c>
      <c r="M76" s="4311">
        <f>SUMIF('Lead Sheet 2015'!$J$624:$J$978,$D76,'Lead Sheet 2015'!$E$624:$E$978)</f>
        <v>1524442.28</v>
      </c>
      <c r="N76" s="4312">
        <f>SUMIF('Lead Sheet 2015'!$J$624:$J$978,$D76,'Lead Sheet 2015'!$D$624:$D$978)</f>
        <v>1645209.55</v>
      </c>
      <c r="O76" s="4319">
        <f>SUMIF('Lead Sheet 2015'!$J$624:$J$978,$D76,'Lead Sheet 2015'!$C$624:$C$978)</f>
        <v>1773988.59</v>
      </c>
      <c r="P76" s="4320">
        <f>O76/O$83*'Forecast (BV) 2017'!K$63</f>
        <v>1706475.2557748228</v>
      </c>
      <c r="Q76" s="2905">
        <f>P76/P$83*'Forecast (BV) 2017'!L$63</f>
        <v>1879735.2468585556</v>
      </c>
      <c r="R76" s="2905">
        <f>Q76/Q$83*'Forecast (BV) 2017'!M$63</f>
        <v>1979922.4067582341</v>
      </c>
      <c r="S76" s="2905">
        <f>R76/R$83*'Forecast (BV) 2017'!N$63</f>
        <v>2026460.4361946587</v>
      </c>
      <c r="T76" s="2905">
        <f>S76/S$83*'Forecast (BV) 2017'!O$63</f>
        <v>2101585.2219104688</v>
      </c>
      <c r="U76" s="2905">
        <f>T76/T$83*'Forecast (BV) 2017'!P$63</f>
        <v>2146164.353993658</v>
      </c>
      <c r="V76" s="2905">
        <f>U76/U$83*'Forecast (BV) 2017'!Q$63</f>
        <v>2202487.1330480673</v>
      </c>
      <c r="W76" s="2905">
        <f>V76/V$83*'Forecast (BV) 2017'!R$63</f>
        <v>2301684.169381584</v>
      </c>
      <c r="X76" s="2905">
        <f>W76/W$83*'Forecast (BV) 2017'!S$63</f>
        <v>2359614.9980782904</v>
      </c>
      <c r="Y76" s="2905">
        <f>X76/X$83*'Forecast (BV) 2017'!T$63</f>
        <v>2424005.6370049696</v>
      </c>
      <c r="Z76" s="2905">
        <f>Y76/Y$83*'Forecast (BV) 2017'!U$63</f>
        <v>2544207.9586344678</v>
      </c>
      <c r="AE76" s="13"/>
    </row>
    <row r="77" spans="1:31" s="2" customFormat="1" ht="17.25" customHeight="1">
      <c r="A77" s="411"/>
      <c r="B77" s="4"/>
      <c r="C77" s="236">
        <f>+MAX($C$9:C76)+1</f>
        <v>69</v>
      </c>
      <c r="D77" s="237">
        <v>593000</v>
      </c>
      <c r="E77" s="112" t="s">
        <v>777</v>
      </c>
      <c r="F77" s="237">
        <v>7</v>
      </c>
      <c r="G77" s="974">
        <v>24375.75</v>
      </c>
      <c r="H77" s="975">
        <v>21794.91</v>
      </c>
      <c r="I77" s="957">
        <v>-1826.45</v>
      </c>
      <c r="J77" s="957">
        <v>0</v>
      </c>
      <c r="K77" s="957">
        <v>0</v>
      </c>
      <c r="L77" s="957">
        <v>0</v>
      </c>
      <c r="M77" s="4311">
        <f>SUMIF('Lead Sheet 2015'!$J$624:$J$978,$D77,'Lead Sheet 2015'!$E$624:$E$978)</f>
        <v>0</v>
      </c>
      <c r="N77" s="4312">
        <f>SUMIF('Lead Sheet 2015'!$J$624:$J$978,$D77,'Lead Sheet 2015'!$D$624:$D$978)</f>
        <v>0</v>
      </c>
      <c r="O77" s="4319">
        <f>SUMIF('Lead Sheet 2015'!$J$624:$J$978,$D77,'Lead Sheet 2015'!$C$624:$C$978)</f>
        <v>0</v>
      </c>
      <c r="P77" s="4320">
        <f>O77/O$83*'Forecast (BV) 2017'!K$63</f>
        <v>0</v>
      </c>
      <c r="Q77" s="2905">
        <f>P77/P$83*'Forecast (BV) 2017'!L$63</f>
        <v>0</v>
      </c>
      <c r="R77" s="2905">
        <f>Q77/Q$83*'Forecast (BV) 2017'!M$63</f>
        <v>0</v>
      </c>
      <c r="S77" s="2905">
        <f>R77/R$83*'Forecast (BV) 2017'!N$63</f>
        <v>0</v>
      </c>
      <c r="T77" s="2905">
        <f>S77/S$83*'Forecast (BV) 2017'!O$63</f>
        <v>0</v>
      </c>
      <c r="U77" s="2905">
        <f>T77/T$83*'Forecast (BV) 2017'!P$63</f>
        <v>0</v>
      </c>
      <c r="V77" s="2905">
        <f>U77/U$83*'Forecast (BV) 2017'!Q$63</f>
        <v>0</v>
      </c>
      <c r="W77" s="2905">
        <f>V77/V$83*'Forecast (BV) 2017'!R$63</f>
        <v>0</v>
      </c>
      <c r="X77" s="2905">
        <f>W77/W$83*'Forecast (BV) 2017'!S$63</f>
        <v>0</v>
      </c>
      <c r="Y77" s="2905">
        <f>X77/X$83*'Forecast (BV) 2017'!T$63</f>
        <v>0</v>
      </c>
      <c r="Z77" s="2905">
        <f>Y77/Y$83*'Forecast (BV) 2017'!U$63</f>
        <v>0</v>
      </c>
      <c r="AE77" s="13"/>
    </row>
    <row r="78" spans="1:31" s="2" customFormat="1" ht="17.25" customHeight="1">
      <c r="A78" s="411"/>
      <c r="B78" s="4"/>
      <c r="C78" s="236">
        <f>+MAX($C$9:C77)+1</f>
        <v>70</v>
      </c>
      <c r="D78" s="237">
        <v>593010</v>
      </c>
      <c r="E78" s="112" t="s">
        <v>778</v>
      </c>
      <c r="F78" s="237">
        <v>7</v>
      </c>
      <c r="G78" s="974">
        <v>3038336.81</v>
      </c>
      <c r="H78" s="975">
        <v>2418298.2000000002</v>
      </c>
      <c r="I78" s="957">
        <v>4116147.9</v>
      </c>
      <c r="J78" s="957">
        <v>-617946.03</v>
      </c>
      <c r="K78" s="957">
        <v>-259144.22</v>
      </c>
      <c r="L78" s="957">
        <v>426434.38</v>
      </c>
      <c r="M78" s="4311">
        <f>SUMIF('Lead Sheet 2015'!$J$624:$J$978,$D78,'Lead Sheet 2015'!$E$624:$E$978)</f>
        <v>559523.97</v>
      </c>
      <c r="N78" s="4312">
        <f>SUMIF('Lead Sheet 2015'!$J$624:$J$978,$D78,'Lead Sheet 2015'!$D$624:$D$978)</f>
        <v>419914.2</v>
      </c>
      <c r="O78" s="4319">
        <f>SUMIF('Lead Sheet 2015'!$J$624:$J$978,$D78,'Lead Sheet 2015'!$C$624:$C$978)</f>
        <v>132393.87</v>
      </c>
      <c r="P78" s="4320">
        <f>O78/O$83*'Forecast (BV) 2017'!K$63</f>
        <v>127355.3079455086</v>
      </c>
      <c r="Q78" s="2905">
        <f>P78/P$83*'Forecast (BV) 2017'!L$63</f>
        <v>140285.80866295734</v>
      </c>
      <c r="R78" s="2905">
        <f>Q78/Q$83*'Forecast (BV) 2017'!M$63</f>
        <v>147762.83861579781</v>
      </c>
      <c r="S78" s="2905">
        <f>R78/R$83*'Forecast (BV) 2017'!N$63</f>
        <v>151236.00064964281</v>
      </c>
      <c r="T78" s="2905">
        <f>S78/S$83*'Forecast (BV) 2017'!O$63</f>
        <v>156842.61005508254</v>
      </c>
      <c r="U78" s="2905">
        <f>T78/T$83*'Forecast (BV) 2017'!P$63</f>
        <v>160169.57836311124</v>
      </c>
      <c r="V78" s="2905">
        <f>U78/U$83*'Forecast (BV) 2017'!Q$63</f>
        <v>164372.98233662167</v>
      </c>
      <c r="W78" s="2905">
        <f>V78/V$83*'Forecast (BV) 2017'!R$63</f>
        <v>171776.11875291896</v>
      </c>
      <c r="X78" s="2905">
        <f>W78/W$83*'Forecast (BV) 2017'!S$63</f>
        <v>176099.53246972532</v>
      </c>
      <c r="Y78" s="2905">
        <f>X78/X$83*'Forecast (BV) 2017'!T$63</f>
        <v>180905.04583510483</v>
      </c>
      <c r="Z78" s="2905">
        <f>Y78/Y$83*'Forecast (BV) 2017'!U$63</f>
        <v>189875.81973591889</v>
      </c>
      <c r="AE78" s="13"/>
    </row>
    <row r="79" spans="1:31" s="2" customFormat="1" ht="17.25" customHeight="1">
      <c r="A79" s="411"/>
      <c r="B79" s="4"/>
      <c r="C79" s="236">
        <f>+MAX($C$9:C78)+1</f>
        <v>71</v>
      </c>
      <c r="D79" s="237">
        <v>594010</v>
      </c>
      <c r="E79" s="112" t="s">
        <v>779</v>
      </c>
      <c r="F79" s="237">
        <v>7</v>
      </c>
      <c r="G79" s="974">
        <v>1004810.3</v>
      </c>
      <c r="H79" s="975">
        <v>1280405.7</v>
      </c>
      <c r="I79" s="957">
        <v>1242802.02</v>
      </c>
      <c r="J79" s="957">
        <v>0</v>
      </c>
      <c r="K79" s="957">
        <v>0</v>
      </c>
      <c r="L79" s="957">
        <v>0</v>
      </c>
      <c r="M79" s="4311">
        <f>SUMIF('Lead Sheet 2015'!$J$624:$J$978,$D79,'Lead Sheet 2015'!$E$624:$E$978)</f>
        <v>0</v>
      </c>
      <c r="N79" s="4312">
        <f>SUMIF('Lead Sheet 2015'!$J$624:$J$978,$D79,'Lead Sheet 2015'!$D$624:$D$978)</f>
        <v>0</v>
      </c>
      <c r="O79" s="4319">
        <f>SUMIF('Lead Sheet 2015'!$J$624:$J$978,$D79,'Lead Sheet 2015'!$C$624:$C$978)</f>
        <v>0</v>
      </c>
      <c r="P79" s="4320">
        <f>O79/O$83*'Forecast (BV) 2017'!K$63</f>
        <v>0</v>
      </c>
      <c r="Q79" s="2905">
        <f>P79/P$83*'Forecast (BV) 2017'!L$63</f>
        <v>0</v>
      </c>
      <c r="R79" s="2905">
        <f>Q79/Q$83*'Forecast (BV) 2017'!M$63</f>
        <v>0</v>
      </c>
      <c r="S79" s="2905">
        <f>R79/R$83*'Forecast (BV) 2017'!N$63</f>
        <v>0</v>
      </c>
      <c r="T79" s="2905">
        <f>S79/S$83*'Forecast (BV) 2017'!O$63</f>
        <v>0</v>
      </c>
      <c r="U79" s="2905">
        <f>T79/T$83*'Forecast (BV) 2017'!P$63</f>
        <v>0</v>
      </c>
      <c r="V79" s="2905">
        <f>U79/U$83*'Forecast (BV) 2017'!Q$63</f>
        <v>0</v>
      </c>
      <c r="W79" s="2905">
        <f>V79/V$83*'Forecast (BV) 2017'!R$63</f>
        <v>0</v>
      </c>
      <c r="X79" s="2905">
        <f>W79/W$83*'Forecast (BV) 2017'!S$63</f>
        <v>0</v>
      </c>
      <c r="Y79" s="2905">
        <f>X79/X$83*'Forecast (BV) 2017'!T$63</f>
        <v>0</v>
      </c>
      <c r="Z79" s="2905">
        <f>Y79/Y$83*'Forecast (BV) 2017'!U$63</f>
        <v>0</v>
      </c>
      <c r="AE79" s="13"/>
    </row>
    <row r="80" spans="1:31" s="2" customFormat="1" ht="17.25" customHeight="1">
      <c r="A80" s="411"/>
      <c r="B80" s="4"/>
      <c r="C80" s="236">
        <f>+MAX($C$9:C79)+1</f>
        <v>72</v>
      </c>
      <c r="D80" s="237">
        <v>595000</v>
      </c>
      <c r="E80" s="112" t="s">
        <v>780</v>
      </c>
      <c r="F80" s="237">
        <v>7</v>
      </c>
      <c r="G80" s="974">
        <v>377862.61</v>
      </c>
      <c r="H80" s="975">
        <v>455475.6</v>
      </c>
      <c r="I80" s="957">
        <v>593576.61</v>
      </c>
      <c r="J80" s="957">
        <v>1297.1099999999999</v>
      </c>
      <c r="K80" s="957">
        <v>0</v>
      </c>
      <c r="L80" s="957">
        <v>0</v>
      </c>
      <c r="M80" s="4311">
        <f>SUMIF('Lead Sheet 2015'!$J$624:$J$978,$D80,'Lead Sheet 2015'!$E$624:$E$978)</f>
        <v>0</v>
      </c>
      <c r="N80" s="4312">
        <f>SUMIF('Lead Sheet 2015'!$J$624:$J$978,$D80,'Lead Sheet 2015'!$D$624:$D$978)</f>
        <v>0</v>
      </c>
      <c r="O80" s="4319">
        <f>SUMIF('Lead Sheet 2015'!$J$624:$J$978,$D80,'Lead Sheet 2015'!$C$624:$C$978)</f>
        <v>0</v>
      </c>
      <c r="P80" s="4320">
        <f>O80/O$83*'Forecast (BV) 2017'!K$63</f>
        <v>0</v>
      </c>
      <c r="Q80" s="2905">
        <f>P80/P$83*'Forecast (BV) 2017'!L$63</f>
        <v>0</v>
      </c>
      <c r="R80" s="2905">
        <f>Q80/Q$83*'Forecast (BV) 2017'!M$63</f>
        <v>0</v>
      </c>
      <c r="S80" s="2905">
        <f>R80/R$83*'Forecast (BV) 2017'!N$63</f>
        <v>0</v>
      </c>
      <c r="T80" s="2905">
        <f>S80/S$83*'Forecast (BV) 2017'!O$63</f>
        <v>0</v>
      </c>
      <c r="U80" s="2905">
        <f>T80/T$83*'Forecast (BV) 2017'!P$63</f>
        <v>0</v>
      </c>
      <c r="V80" s="2905">
        <f>U80/U$83*'Forecast (BV) 2017'!Q$63</f>
        <v>0</v>
      </c>
      <c r="W80" s="2905">
        <f>V80/V$83*'Forecast (BV) 2017'!R$63</f>
        <v>0</v>
      </c>
      <c r="X80" s="2905">
        <f>W80/W$83*'Forecast (BV) 2017'!S$63</f>
        <v>0</v>
      </c>
      <c r="Y80" s="2905">
        <f>X80/X$83*'Forecast (BV) 2017'!T$63</f>
        <v>0</v>
      </c>
      <c r="Z80" s="2905">
        <f>Y80/Y$83*'Forecast (BV) 2017'!U$63</f>
        <v>0</v>
      </c>
      <c r="AE80" s="13"/>
    </row>
    <row r="81" spans="1:31" s="2" customFormat="1" ht="17.25" customHeight="1">
      <c r="A81" s="411"/>
      <c r="B81" s="4"/>
      <c r="C81" s="236">
        <f>+MAX($C$9:C80)+1</f>
        <v>73</v>
      </c>
      <c r="D81" s="237">
        <v>596010</v>
      </c>
      <c r="E81" s="112" t="s">
        <v>781</v>
      </c>
      <c r="F81" s="237">
        <v>7</v>
      </c>
      <c r="G81" s="974">
        <v>49261.599999999999</v>
      </c>
      <c r="H81" s="975">
        <v>24200.14</v>
      </c>
      <c r="I81" s="957">
        <v>35774.089999999997</v>
      </c>
      <c r="J81" s="957">
        <v>859.58</v>
      </c>
      <c r="K81" s="957">
        <v>0</v>
      </c>
      <c r="L81" s="957">
        <v>0</v>
      </c>
      <c r="M81" s="4311">
        <f>SUMIF('Lead Sheet 2015'!$J$624:$J$978,$D81,'Lead Sheet 2015'!$E$624:$E$978)</f>
        <v>0</v>
      </c>
      <c r="N81" s="4312">
        <f>SUMIF('Lead Sheet 2015'!$J$624:$J$978,$D81,'Lead Sheet 2015'!$D$624:$D$978)</f>
        <v>8393.42</v>
      </c>
      <c r="O81" s="4319">
        <f>SUMIF('Lead Sheet 2015'!$J$624:$J$978,$D81,'Lead Sheet 2015'!$C$624:$C$978)</f>
        <v>8860.77</v>
      </c>
      <c r="P81" s="4320">
        <f>O81/O$83*'Forecast (BV) 2017'!K$63</f>
        <v>8523.5524271956419</v>
      </c>
      <c r="Q81" s="2905">
        <f>P81/P$83*'Forecast (BV) 2017'!L$63</f>
        <v>9388.9564888953901</v>
      </c>
      <c r="R81" s="2905">
        <f>Q81/Q$83*'Forecast (BV) 2017'!M$63</f>
        <v>9889.3742400739793</v>
      </c>
      <c r="S81" s="2905">
        <f>R81/R$83*'Forecast (BV) 2017'!N$63</f>
        <v>10121.823748156436</v>
      </c>
      <c r="T81" s="2905">
        <f>S81/S$83*'Forecast (BV) 2017'!O$63</f>
        <v>10497.059221078545</v>
      </c>
      <c r="U81" s="2905">
        <f>T81/T$83*'Forecast (BV) 2017'!P$63</f>
        <v>10719.724371472077</v>
      </c>
      <c r="V81" s="2905">
        <f>U81/U$83*'Forecast (BV) 2017'!Q$63</f>
        <v>11001.047032607084</v>
      </c>
      <c r="W81" s="2905">
        <f>V81/V$83*'Forecast (BV) 2017'!R$63</f>
        <v>11496.519285691269</v>
      </c>
      <c r="X81" s="2905">
        <f>W81/W$83*'Forecast (BV) 2017'!S$63</f>
        <v>11785.873880125786</v>
      </c>
      <c r="Y81" s="2905">
        <f>X81/X$83*'Forecast (BV) 2017'!T$63</f>
        <v>12107.494123287752</v>
      </c>
      <c r="Z81" s="2905">
        <f>Y81/Y$83*'Forecast (BV) 2017'!U$63</f>
        <v>12707.884188606607</v>
      </c>
      <c r="AE81" s="13"/>
    </row>
    <row r="82" spans="1:31" s="2" customFormat="1" ht="17.25" customHeight="1" thickBot="1">
      <c r="A82" s="411"/>
      <c r="B82" s="4"/>
      <c r="C82" s="236">
        <f>+MAX($C$9:C81)+1</f>
        <v>74</v>
      </c>
      <c r="D82" s="237">
        <v>597000</v>
      </c>
      <c r="E82" s="112" t="s">
        <v>782</v>
      </c>
      <c r="F82" s="237">
        <v>7</v>
      </c>
      <c r="G82" s="976">
        <v>72548.899999999994</v>
      </c>
      <c r="H82" s="977">
        <v>86757.2</v>
      </c>
      <c r="I82" s="979">
        <v>106219.14</v>
      </c>
      <c r="J82" s="979">
        <v>0</v>
      </c>
      <c r="K82" s="979">
        <v>0</v>
      </c>
      <c r="L82" s="979">
        <v>0</v>
      </c>
      <c r="M82" s="4314">
        <f>SUMIF('Lead Sheet 2015'!$J$624:$J$978,$D82,'Lead Sheet 2015'!$E$624:$E$978)</f>
        <v>0</v>
      </c>
      <c r="N82" s="4315">
        <f>SUMIF('Lead Sheet 2015'!$J$624:$J$978,$D82,'Lead Sheet 2015'!$D$624:$D$978)</f>
        <v>0</v>
      </c>
      <c r="O82" s="4321">
        <f>SUMIF('Lead Sheet 2015'!$J$624:$J$978,$D82,'Lead Sheet 2015'!$C$624:$C$978)</f>
        <v>0</v>
      </c>
      <c r="P82" s="4322">
        <f>O82/O$83*'Forecast (BV) 2017'!K$63</f>
        <v>0</v>
      </c>
      <c r="Q82" s="2905">
        <f>P82/P$83*'Forecast (BV) 2017'!L$63</f>
        <v>0</v>
      </c>
      <c r="R82" s="2905">
        <f>Q82/Q$83*'Forecast (BV) 2017'!M$63</f>
        <v>0</v>
      </c>
      <c r="S82" s="2905">
        <f>R82/R$83*'Forecast (BV) 2017'!N$63</f>
        <v>0</v>
      </c>
      <c r="T82" s="2905">
        <f>S82/S$83*'Forecast (BV) 2017'!O$63</f>
        <v>0</v>
      </c>
      <c r="U82" s="2905">
        <f>T82/T$83*'Forecast (BV) 2017'!P$63</f>
        <v>0</v>
      </c>
      <c r="V82" s="2905">
        <f>U82/U$83*'Forecast (BV) 2017'!Q$63</f>
        <v>0</v>
      </c>
      <c r="W82" s="2905">
        <f>V82/V$83*'Forecast (BV) 2017'!R$63</f>
        <v>0</v>
      </c>
      <c r="X82" s="2905">
        <f>W82/W$83*'Forecast (BV) 2017'!S$63</f>
        <v>0</v>
      </c>
      <c r="Y82" s="2905">
        <f>X82/X$83*'Forecast (BV) 2017'!T$63</f>
        <v>0</v>
      </c>
      <c r="Z82" s="2905">
        <f>Y82/Y$83*'Forecast (BV) 2017'!U$63</f>
        <v>0</v>
      </c>
      <c r="AE82" s="13"/>
    </row>
    <row r="83" spans="1:31" s="2" customFormat="1" ht="17.25" customHeight="1">
      <c r="A83" s="411"/>
      <c r="B83" s="4"/>
      <c r="C83" s="236">
        <f>+MAX($C$9:C82)+1</f>
        <v>75</v>
      </c>
      <c r="D83" s="112"/>
      <c r="E83" s="112"/>
      <c r="F83" s="237"/>
      <c r="G83" s="117">
        <f t="shared" ref="G83:Z83" si="10">SUM(G64:G82)</f>
        <v>9031072.8000000007</v>
      </c>
      <c r="H83" s="117">
        <f t="shared" si="10"/>
        <v>9048655.8699999992</v>
      </c>
      <c r="I83" s="117">
        <f t="shared" si="10"/>
        <v>11323300.189999999</v>
      </c>
      <c r="J83" s="117">
        <f t="shared" si="10"/>
        <v>10997942.75</v>
      </c>
      <c r="K83" s="117">
        <f t="shared" si="10"/>
        <v>12381220.219999999</v>
      </c>
      <c r="L83" s="117">
        <f t="shared" si="10"/>
        <v>13420393.34</v>
      </c>
      <c r="M83" s="2907">
        <f t="shared" si="10"/>
        <v>15271748.720000001</v>
      </c>
      <c r="N83" s="2907">
        <f t="shared" si="10"/>
        <v>14625271.010000002</v>
      </c>
      <c r="O83" s="2907">
        <f t="shared" si="10"/>
        <v>13903667.529999999</v>
      </c>
      <c r="P83" s="2908">
        <f t="shared" si="10"/>
        <v>13374530.556853719</v>
      </c>
      <c r="Q83" s="2908">
        <f t="shared" si="10"/>
        <v>14732458.858004173</v>
      </c>
      <c r="R83" s="2908">
        <f t="shared" si="10"/>
        <v>15517677.528446738</v>
      </c>
      <c r="S83" s="2908">
        <f t="shared" si="10"/>
        <v>15882420.172470961</v>
      </c>
      <c r="T83" s="2908">
        <f t="shared" si="10"/>
        <v>16471212.033784516</v>
      </c>
      <c r="U83" s="2908">
        <f t="shared" si="10"/>
        <v>16820601.784516007</v>
      </c>
      <c r="V83" s="2908">
        <f t="shared" si="10"/>
        <v>17262032.579929501</v>
      </c>
      <c r="W83" s="2908">
        <f t="shared" si="10"/>
        <v>18039491.139086608</v>
      </c>
      <c r="X83" s="2908">
        <f t="shared" si="10"/>
        <v>18493525.052538324</v>
      </c>
      <c r="Y83" s="2908">
        <f t="shared" si="10"/>
        <v>18998187.84503172</v>
      </c>
      <c r="Z83" s="2908">
        <f t="shared" si="10"/>
        <v>19940275.70607635</v>
      </c>
    </row>
    <row r="84" spans="1:31" s="2" customFormat="1" ht="17.25" customHeight="1" thickBot="1">
      <c r="A84" s="411"/>
      <c r="B84" s="4"/>
      <c r="C84" s="236">
        <f>+MAX($C$9:C83)+1</f>
        <v>76</v>
      </c>
      <c r="D84" s="282" t="s">
        <v>315</v>
      </c>
      <c r="E84" s="112"/>
      <c r="F84" s="237"/>
      <c r="G84" s="112"/>
      <c r="H84" s="205"/>
      <c r="I84" s="983"/>
      <c r="J84" s="983"/>
      <c r="K84" s="983"/>
      <c r="L84" s="983"/>
      <c r="M84" s="2920"/>
      <c r="N84" s="11"/>
      <c r="O84" s="11"/>
      <c r="P84" s="11"/>
      <c r="Q84" s="11"/>
      <c r="R84" s="11"/>
      <c r="S84" s="11"/>
      <c r="T84" s="11"/>
      <c r="U84" s="11"/>
      <c r="V84" s="11"/>
      <c r="W84" s="11"/>
      <c r="X84" s="11"/>
      <c r="Y84" s="11"/>
      <c r="Z84" s="11"/>
    </row>
    <row r="85" spans="1:31" s="2" customFormat="1" ht="17.25" customHeight="1">
      <c r="A85" s="411"/>
      <c r="B85" s="4"/>
      <c r="C85" s="236">
        <f>+MAX($C$9:C84)+1</f>
        <v>77</v>
      </c>
      <c r="D85" s="237">
        <v>326421</v>
      </c>
      <c r="E85" s="112" t="s">
        <v>784</v>
      </c>
      <c r="F85" s="237">
        <v>9</v>
      </c>
      <c r="G85" s="972">
        <v>301726.74</v>
      </c>
      <c r="H85" s="973">
        <v>251391.5</v>
      </c>
      <c r="I85" s="978">
        <v>0</v>
      </c>
      <c r="J85" s="978">
        <v>0</v>
      </c>
      <c r="K85" s="978">
        <v>0</v>
      </c>
      <c r="L85" s="978">
        <v>0</v>
      </c>
      <c r="M85" s="4308">
        <f>SUMIF('Lead Sheet 2015'!$J$624:$J$978,$D85,'Lead Sheet 2015'!$E$624:$E$978)</f>
        <v>0</v>
      </c>
      <c r="N85" s="4309">
        <f>SUMIF('Lead Sheet 2015'!$J$624:$J$978,$D85,'Lead Sheet 2015'!$D$624:$D$978)</f>
        <v>0</v>
      </c>
      <c r="O85" s="4317">
        <f>SUMIF('Lead Sheet 2015'!$J$624:$J$978,$D85,'Lead Sheet 2015'!$C$624:$C$978)</f>
        <v>0</v>
      </c>
      <c r="P85" s="4318">
        <f>SUMIFS('Budget (BV) 2017'!$N$9:$N$291,'Budget (BV) 2017'!$A$9:$A$291,'O&amp;M_Detail - Elec'!$D85)</f>
        <v>0</v>
      </c>
      <c r="Q85" s="2905">
        <f t="shared" ref="Q85:Z85" si="11">P85*(1+VLOOKUP($F85,OM_Esc,Q$176,FALSE))</f>
        <v>0</v>
      </c>
      <c r="R85" s="2905">
        <f t="shared" si="11"/>
        <v>0</v>
      </c>
      <c r="S85" s="2905">
        <f t="shared" si="11"/>
        <v>0</v>
      </c>
      <c r="T85" s="2905">
        <f t="shared" si="11"/>
        <v>0</v>
      </c>
      <c r="U85" s="2905">
        <f t="shared" si="11"/>
        <v>0</v>
      </c>
      <c r="V85" s="2905">
        <f t="shared" si="11"/>
        <v>0</v>
      </c>
      <c r="W85" s="2905">
        <f t="shared" si="11"/>
        <v>0</v>
      </c>
      <c r="X85" s="2905">
        <f t="shared" si="11"/>
        <v>0</v>
      </c>
      <c r="Y85" s="2905">
        <f t="shared" si="11"/>
        <v>0</v>
      </c>
      <c r="Z85" s="2905">
        <f t="shared" si="11"/>
        <v>0</v>
      </c>
      <c r="AE85" s="13"/>
    </row>
    <row r="86" spans="1:31" s="2" customFormat="1" ht="17.25" customHeight="1">
      <c r="A86" s="411"/>
      <c r="B86" s="4"/>
      <c r="C86" s="236">
        <f>+MAX($C$9:C85)+1</f>
        <v>78</v>
      </c>
      <c r="D86" s="237">
        <v>326422</v>
      </c>
      <c r="E86" s="112" t="s">
        <v>785</v>
      </c>
      <c r="F86" s="237">
        <v>9</v>
      </c>
      <c r="G86" s="974">
        <v>198193.4</v>
      </c>
      <c r="H86" s="975">
        <v>160987.49</v>
      </c>
      <c r="I86" s="957">
        <v>0</v>
      </c>
      <c r="J86" s="957">
        <v>0</v>
      </c>
      <c r="K86" s="957">
        <v>0</v>
      </c>
      <c r="L86" s="957">
        <v>0</v>
      </c>
      <c r="M86" s="4311">
        <f>SUMIF('Lead Sheet 2015'!$J$624:$J$978,$D86,'Lead Sheet 2015'!$E$624:$E$978)</f>
        <v>0</v>
      </c>
      <c r="N86" s="4312">
        <f>SUMIF('Lead Sheet 2015'!$J$624:$J$978,$D86,'Lead Sheet 2015'!$D$624:$D$978)</f>
        <v>0</v>
      </c>
      <c r="O86" s="4319">
        <f>SUMIF('Lead Sheet 2015'!$J$624:$J$978,$D86,'Lead Sheet 2015'!$C$624:$C$978)</f>
        <v>0</v>
      </c>
      <c r="P86" s="4320">
        <f>SUMIFS('Budget (BV) 2017'!$N$9:$N$291,'Budget (BV) 2017'!$A$9:$A$291,'O&amp;M_Detail - Elec'!$D86)</f>
        <v>0</v>
      </c>
      <c r="Q86" s="2905">
        <f t="shared" ref="Q86:Z86" si="12">P86*(1+VLOOKUP($F86,OM_Esc,Q$176,FALSE))</f>
        <v>0</v>
      </c>
      <c r="R86" s="2905">
        <f t="shared" si="12"/>
        <v>0</v>
      </c>
      <c r="S86" s="2905">
        <f t="shared" si="12"/>
        <v>0</v>
      </c>
      <c r="T86" s="2905">
        <f t="shared" si="12"/>
        <v>0</v>
      </c>
      <c r="U86" s="2905">
        <f t="shared" si="12"/>
        <v>0</v>
      </c>
      <c r="V86" s="2905">
        <f t="shared" si="12"/>
        <v>0</v>
      </c>
      <c r="W86" s="2905">
        <f t="shared" si="12"/>
        <v>0</v>
      </c>
      <c r="X86" s="2905">
        <f t="shared" si="12"/>
        <v>0</v>
      </c>
      <c r="Y86" s="2905">
        <f t="shared" si="12"/>
        <v>0</v>
      </c>
      <c r="Z86" s="2905">
        <f t="shared" si="12"/>
        <v>0</v>
      </c>
      <c r="AE86" s="13"/>
    </row>
    <row r="87" spans="1:31" s="2" customFormat="1" ht="17.25" customHeight="1">
      <c r="A87" s="411"/>
      <c r="B87" s="4"/>
      <c r="C87" s="236">
        <f>+MAX($C$9:C86)+1</f>
        <v>79</v>
      </c>
      <c r="D87" s="237">
        <v>935803</v>
      </c>
      <c r="E87" s="112" t="s">
        <v>786</v>
      </c>
      <c r="F87" s="237">
        <v>9</v>
      </c>
      <c r="G87" s="980"/>
      <c r="H87" s="975">
        <v>0</v>
      </c>
      <c r="I87" s="957">
        <v>230547.5</v>
      </c>
      <c r="J87" s="957">
        <v>0</v>
      </c>
      <c r="K87" s="957">
        <v>0</v>
      </c>
      <c r="L87" s="957">
        <v>0</v>
      </c>
      <c r="M87" s="4311">
        <f>SUMIF('Lead Sheet 2015'!$J$624:$J$978,$D87,'Lead Sheet 2015'!$E$624:$E$978)</f>
        <v>0</v>
      </c>
      <c r="N87" s="4312">
        <f>SUMIF('Lead Sheet 2015'!$J$624:$J$978,$D87,'Lead Sheet 2015'!$D$624:$D$978)</f>
        <v>0</v>
      </c>
      <c r="O87" s="4319">
        <f>SUMIF('Lead Sheet 2015'!$J$624:$J$978,$D87,'Lead Sheet 2015'!$C$624:$C$978)</f>
        <v>0</v>
      </c>
      <c r="P87" s="4320">
        <f>SUMIFS('Budget (BV) 2017'!$N$9:$N$291,'Budget (BV) 2017'!$A$9:$A$291,'O&amp;M_Detail - Elec'!$D87)</f>
        <v>0</v>
      </c>
      <c r="Q87" s="2905">
        <f t="shared" ref="Q87:Z87" si="13">P87*(1+VLOOKUP($F87,OM_Esc,Q$176,FALSE))</f>
        <v>0</v>
      </c>
      <c r="R87" s="2905">
        <f t="shared" si="13"/>
        <v>0</v>
      </c>
      <c r="S87" s="2905">
        <f t="shared" si="13"/>
        <v>0</v>
      </c>
      <c r="T87" s="2905">
        <f t="shared" si="13"/>
        <v>0</v>
      </c>
      <c r="U87" s="2905">
        <f t="shared" si="13"/>
        <v>0</v>
      </c>
      <c r="V87" s="2905">
        <f t="shared" si="13"/>
        <v>0</v>
      </c>
      <c r="W87" s="2905">
        <f t="shared" si="13"/>
        <v>0</v>
      </c>
      <c r="X87" s="2905">
        <f t="shared" si="13"/>
        <v>0</v>
      </c>
      <c r="Y87" s="2905">
        <f t="shared" si="13"/>
        <v>0</v>
      </c>
      <c r="Z87" s="2905">
        <f t="shared" si="13"/>
        <v>0</v>
      </c>
      <c r="AE87" s="13"/>
    </row>
    <row r="88" spans="1:31" s="2" customFormat="1" ht="17.25" customHeight="1" thickBot="1">
      <c r="A88" s="411"/>
      <c r="B88" s="4"/>
      <c r="C88" s="236">
        <f>+MAX($C$9:C87)+1</f>
        <v>80</v>
      </c>
      <c r="D88" s="237">
        <v>935804</v>
      </c>
      <c r="E88" s="112" t="s">
        <v>787</v>
      </c>
      <c r="F88" s="237">
        <v>9</v>
      </c>
      <c r="G88" s="981"/>
      <c r="H88" s="977">
        <v>0</v>
      </c>
      <c r="I88" s="979">
        <v>187606.84</v>
      </c>
      <c r="J88" s="979">
        <v>0</v>
      </c>
      <c r="K88" s="979">
        <v>3454.56</v>
      </c>
      <c r="L88" s="979">
        <v>9770.23</v>
      </c>
      <c r="M88" s="4314">
        <f>SUMIF('Lead Sheet 2015'!$J$624:$J$978,$D88,'Lead Sheet 2015'!$E$624:$E$978)</f>
        <v>30.4</v>
      </c>
      <c r="N88" s="4315">
        <f>SUMIF('Lead Sheet 2015'!$J$624:$J$978,$D88,'Lead Sheet 2015'!$D$624:$D$978)</f>
        <v>0</v>
      </c>
      <c r="O88" s="4321">
        <f>SUMIF('Lead Sheet 2015'!$J$624:$J$978,$D88,'Lead Sheet 2015'!$C$624:$C$978)</f>
        <v>0</v>
      </c>
      <c r="P88" s="4322">
        <f>SUMIFS('Budget (BV) 2017'!$N$9:$N$291,'Budget (BV) 2017'!$A$9:$A$291,'O&amp;M_Detail - Elec'!$D88)</f>
        <v>0</v>
      </c>
      <c r="Q88" s="2905">
        <f t="shared" ref="Q88:Z88" si="14">P88*(1+VLOOKUP($F88,OM_Esc,Q$176,FALSE))</f>
        <v>0</v>
      </c>
      <c r="R88" s="2905">
        <f t="shared" si="14"/>
        <v>0</v>
      </c>
      <c r="S88" s="2905">
        <f t="shared" si="14"/>
        <v>0</v>
      </c>
      <c r="T88" s="2905">
        <f t="shared" si="14"/>
        <v>0</v>
      </c>
      <c r="U88" s="2905">
        <f t="shared" si="14"/>
        <v>0</v>
      </c>
      <c r="V88" s="2905">
        <f t="shared" si="14"/>
        <v>0</v>
      </c>
      <c r="W88" s="2905">
        <f t="shared" si="14"/>
        <v>0</v>
      </c>
      <c r="X88" s="2905">
        <f t="shared" si="14"/>
        <v>0</v>
      </c>
      <c r="Y88" s="2905">
        <f t="shared" si="14"/>
        <v>0</v>
      </c>
      <c r="Z88" s="2905">
        <f t="shared" si="14"/>
        <v>0</v>
      </c>
      <c r="AE88" s="13"/>
    </row>
    <row r="89" spans="1:31" s="2" customFormat="1" ht="17.25" customHeight="1">
      <c r="A89" s="411"/>
      <c r="C89" s="236">
        <f>+MAX($C$9:C88)+1</f>
        <v>81</v>
      </c>
      <c r="D89" s="112"/>
      <c r="E89" s="112"/>
      <c r="F89" s="237"/>
      <c r="G89" s="117">
        <f t="shared" ref="G89:R89" si="15">SUM(G85:G88)</f>
        <v>499920.14</v>
      </c>
      <c r="H89" s="117">
        <f t="shared" si="15"/>
        <v>412378.99</v>
      </c>
      <c r="I89" s="117">
        <f t="shared" si="15"/>
        <v>418154.33999999997</v>
      </c>
      <c r="J89" s="117">
        <f>SUM(J85:J88)</f>
        <v>0</v>
      </c>
      <c r="K89" s="117">
        <f>SUM(K85:K88)</f>
        <v>3454.56</v>
      </c>
      <c r="L89" s="117">
        <f>SUM(L85:L88)</f>
        <v>9770.23</v>
      </c>
      <c r="M89" s="2907">
        <f>SUM(M85:M88)</f>
        <v>30.4</v>
      </c>
      <c r="N89" s="2907">
        <f t="shared" si="15"/>
        <v>0</v>
      </c>
      <c r="O89" s="2907">
        <f t="shared" si="15"/>
        <v>0</v>
      </c>
      <c r="P89" s="2908">
        <f t="shared" si="15"/>
        <v>0</v>
      </c>
      <c r="Q89" s="2908">
        <f t="shared" si="15"/>
        <v>0</v>
      </c>
      <c r="R89" s="2908">
        <f t="shared" si="15"/>
        <v>0</v>
      </c>
      <c r="S89" s="2908">
        <f t="shared" ref="S89:Z89" si="16">SUM(S85:S88)</f>
        <v>0</v>
      </c>
      <c r="T89" s="2908">
        <f t="shared" si="16"/>
        <v>0</v>
      </c>
      <c r="U89" s="2908">
        <f t="shared" si="16"/>
        <v>0</v>
      </c>
      <c r="V89" s="2908">
        <f t="shared" si="16"/>
        <v>0</v>
      </c>
      <c r="W89" s="2908">
        <f t="shared" si="16"/>
        <v>0</v>
      </c>
      <c r="X89" s="2908">
        <f t="shared" si="16"/>
        <v>0</v>
      </c>
      <c r="Y89" s="2908">
        <f t="shared" si="16"/>
        <v>0</v>
      </c>
      <c r="Z89" s="2908">
        <f t="shared" si="16"/>
        <v>0</v>
      </c>
    </row>
    <row r="90" spans="1:31" s="2" customFormat="1" ht="17.25" customHeight="1" thickBot="1">
      <c r="A90" s="411"/>
      <c r="C90" s="236">
        <f>+MAX($C$9:C89)+1</f>
        <v>82</v>
      </c>
      <c r="D90" s="282" t="s">
        <v>316</v>
      </c>
      <c r="E90" s="4"/>
      <c r="F90" s="236"/>
      <c r="G90" s="4"/>
      <c r="H90" s="205"/>
      <c r="I90" s="983"/>
      <c r="J90" s="11"/>
      <c r="K90" s="11"/>
      <c r="L90" s="11"/>
      <c r="M90" s="11"/>
      <c r="N90" s="11"/>
      <c r="O90" s="11"/>
      <c r="P90" s="11"/>
      <c r="Q90" s="11"/>
      <c r="R90" s="11"/>
      <c r="S90" s="11"/>
      <c r="T90" s="11"/>
      <c r="U90" s="11"/>
      <c r="V90" s="11"/>
      <c r="W90" s="11"/>
      <c r="X90" s="11"/>
      <c r="Y90" s="11"/>
      <c r="Z90" s="11"/>
    </row>
    <row r="91" spans="1:31" s="2" customFormat="1" ht="17.25" customHeight="1">
      <c r="A91" s="411"/>
      <c r="C91" s="236">
        <f>+MAX($C$9:C90)+1</f>
        <v>83</v>
      </c>
      <c r="D91" s="237">
        <v>901000</v>
      </c>
      <c r="E91" s="112" t="s">
        <v>788</v>
      </c>
      <c r="F91" s="237">
        <v>8</v>
      </c>
      <c r="G91" s="972">
        <v>315185.28000000003</v>
      </c>
      <c r="H91" s="973">
        <v>453580.87</v>
      </c>
      <c r="I91" s="978">
        <v>476166.52</v>
      </c>
      <c r="J91" s="978">
        <v>457039.21</v>
      </c>
      <c r="K91" s="978">
        <v>403218.91</v>
      </c>
      <c r="L91" s="978">
        <v>315630.3</v>
      </c>
      <c r="M91" s="4308">
        <f>SUMIF('Lead Sheet 2015'!$J$624:$J$978,$D91,'Lead Sheet 2015'!$E$624:$E$978)</f>
        <v>330158.83</v>
      </c>
      <c r="N91" s="4309">
        <f>SUMIF('Lead Sheet 2015'!$J$624:$J$978,$D91,'Lead Sheet 2015'!$D$624:$D$978)</f>
        <v>465654.77</v>
      </c>
      <c r="O91" s="4317">
        <f>SUMIF('Lead Sheet 2015'!$J$624:$J$978,$D91,'Lead Sheet 2015'!$C$624:$C$978)</f>
        <v>535648.55000000005</v>
      </c>
      <c r="P91" s="4318">
        <f>O91/O$102*'Forecast (BV) 2017'!K$64</f>
        <v>628015.57640124962</v>
      </c>
      <c r="Q91" s="2905">
        <f>P91/P$102*'Forecast (BV) 2017'!L$64</f>
        <v>685811.35728822195</v>
      </c>
      <c r="R91" s="2905">
        <f>Q91/Q$102*'Forecast (BV) 2017'!M$64</f>
        <v>717764.38111597847</v>
      </c>
      <c r="S91" s="2905">
        <f>R91/R$102*'Forecast (BV) 2017'!N$64</f>
        <v>731631.92182029551</v>
      </c>
      <c r="T91" s="2905">
        <f>S91/S$102*'Forecast (BV) 2017'!O$64</f>
        <v>759340.32887195365</v>
      </c>
      <c r="U91" s="2905">
        <f>T91/T$102*'Forecast (BV) 2017'!P$64</f>
        <v>765759.52172088216</v>
      </c>
      <c r="V91" s="2905">
        <f>U91/U$102*'Forecast (BV) 2017'!Q$64</f>
        <v>784298.31865794049</v>
      </c>
      <c r="W91" s="2905">
        <f>V91/V$102*'Forecast (BV) 2017'!R$64</f>
        <v>826871.35679276392</v>
      </c>
      <c r="X91" s="2905">
        <f>W91/W$102*'Forecast (BV) 2017'!S$64</f>
        <v>841294.12955183338</v>
      </c>
      <c r="Y91" s="2905">
        <f>X91/X$102*'Forecast (BV) 2017'!T$64</f>
        <v>859877.56168780732</v>
      </c>
      <c r="Z91" s="2905">
        <f>Y91/Y$102*'Forecast (BV) 2017'!U$64</f>
        <v>913261.30223637633</v>
      </c>
      <c r="AE91" s="13"/>
    </row>
    <row r="92" spans="1:31" s="2" customFormat="1" ht="17.25" customHeight="1">
      <c r="A92" s="411"/>
      <c r="C92" s="236">
        <f>+MAX($C$9:C91)+1</f>
        <v>84</v>
      </c>
      <c r="D92" s="237">
        <v>902000</v>
      </c>
      <c r="E92" s="112" t="s">
        <v>789</v>
      </c>
      <c r="F92" s="237">
        <v>8</v>
      </c>
      <c r="G92" s="974">
        <v>635508.63</v>
      </c>
      <c r="H92" s="975">
        <v>704003.36</v>
      </c>
      <c r="I92" s="957">
        <v>759532.09</v>
      </c>
      <c r="J92" s="957">
        <v>715628.15</v>
      </c>
      <c r="K92" s="957">
        <v>764185.38</v>
      </c>
      <c r="L92" s="957">
        <v>756243.03</v>
      </c>
      <c r="M92" s="4311">
        <f>SUMIF('Lead Sheet 2015'!$J$624:$J$978,$D92,'Lead Sheet 2015'!$E$624:$E$978)</f>
        <v>885075.6</v>
      </c>
      <c r="N92" s="4312">
        <f>SUMIF('Lead Sheet 2015'!$J$624:$J$978,$D92,'Lead Sheet 2015'!$D$624:$D$978)</f>
        <v>870503.54</v>
      </c>
      <c r="O92" s="4319">
        <f>SUMIF('Lead Sheet 2015'!$J$624:$J$978,$D92,'Lead Sheet 2015'!$C$624:$C$978)</f>
        <v>885538.91</v>
      </c>
      <c r="P92" s="4320">
        <f>O92/O$102*'Forecast (BV) 2017'!K$64</f>
        <v>1038240.8931927182</v>
      </c>
      <c r="Q92" s="2905">
        <f>P92/P$102*'Forecast (BV) 2017'!L$64</f>
        <v>1133789.3882073099</v>
      </c>
      <c r="R92" s="2905">
        <f>Q92/Q$102*'Forecast (BV) 2017'!M$64</f>
        <v>1186614.4091872708</v>
      </c>
      <c r="S92" s="2905">
        <f>R92/R$102*'Forecast (BV) 2017'!N$64</f>
        <v>1209540.3498617702</v>
      </c>
      <c r="T92" s="2905">
        <f>S92/S$102*'Forecast (BV) 2017'!O$64</f>
        <v>1255348.1329284129</v>
      </c>
      <c r="U92" s="2905">
        <f>T92/T$102*'Forecast (BV) 2017'!P$64</f>
        <v>1265960.3991961365</v>
      </c>
      <c r="V92" s="2905">
        <f>U92/U$102*'Forecast (BV) 2017'!Q$64</f>
        <v>1296608.901898802</v>
      </c>
      <c r="W92" s="2905">
        <f>V92/V$102*'Forecast (BV) 2017'!R$64</f>
        <v>1366991.0242536559</v>
      </c>
      <c r="X92" s="2905">
        <f>W92/W$102*'Forecast (BV) 2017'!S$64</f>
        <v>1390834.8794610377</v>
      </c>
      <c r="Y92" s="2905">
        <f>X92/X$102*'Forecast (BV) 2017'!T$64</f>
        <v>1421557.1734684599</v>
      </c>
      <c r="Z92" s="2905">
        <f>Y92/Y$102*'Forecast (BV) 2017'!U$64</f>
        <v>1509811.644459005</v>
      </c>
      <c r="AE92" s="13"/>
    </row>
    <row r="93" spans="1:31" s="2" customFormat="1" ht="17.25" customHeight="1">
      <c r="A93" s="411"/>
      <c r="C93" s="236">
        <f>+MAX($C$9:C92)+1</f>
        <v>85</v>
      </c>
      <c r="D93" s="237">
        <v>903000</v>
      </c>
      <c r="E93" s="112" t="s">
        <v>790</v>
      </c>
      <c r="F93" s="237">
        <v>8</v>
      </c>
      <c r="G93" s="974">
        <v>2294810.2000000002</v>
      </c>
      <c r="H93" s="975">
        <v>2398070.33</v>
      </c>
      <c r="I93" s="957">
        <v>2312930.87</v>
      </c>
      <c r="J93" s="957">
        <v>2137558.19</v>
      </c>
      <c r="K93" s="957">
        <v>2103917.2599999998</v>
      </c>
      <c r="L93" s="957">
        <v>2148190.2999999998</v>
      </c>
      <c r="M93" s="4311">
        <f>SUMIF('Lead Sheet 2015'!$J$624:$J$978,$D93,'Lead Sheet 2015'!$E$624:$E$978)</f>
        <v>2142731.14</v>
      </c>
      <c r="N93" s="4312">
        <f>SUMIF('Lead Sheet 2015'!$J$624:$J$978,$D93,'Lead Sheet 2015'!$D$624:$D$978)</f>
        <v>2299433.9700000002</v>
      </c>
      <c r="O93" s="4319">
        <f>SUMIF('Lead Sheet 2015'!$J$624:$J$978,$D93,'Lead Sheet 2015'!$C$624:$C$978)</f>
        <v>2274637.56</v>
      </c>
      <c r="P93" s="4320">
        <f>O93/O$102*'Forecast (BV) 2017'!K$64</f>
        <v>2666875.1709443289</v>
      </c>
      <c r="Q93" s="2905">
        <f>P93/P$102*'Forecast (BV) 2017'!L$64</f>
        <v>2912305.6010557092</v>
      </c>
      <c r="R93" s="2905">
        <f>Q93/Q$102*'Forecast (BV) 2017'!M$64</f>
        <v>3047994.4742061924</v>
      </c>
      <c r="S93" s="2905">
        <f>R93/R$102*'Forecast (BV) 2017'!N$64</f>
        <v>3106883.14094648</v>
      </c>
      <c r="T93" s="2905">
        <f>S93/S$102*'Forecast (BV) 2017'!O$64</f>
        <v>3224547.201471745</v>
      </c>
      <c r="U93" s="2905">
        <f>T93/T$102*'Forecast (BV) 2017'!P$64</f>
        <v>3251806.3757177247</v>
      </c>
      <c r="V93" s="2905">
        <f>U93/U$102*'Forecast (BV) 2017'!Q$64</f>
        <v>3330531.5843087789</v>
      </c>
      <c r="W93" s="2905">
        <f>V93/V$102*'Forecast (BV) 2017'!R$64</f>
        <v>3511318.4670227929</v>
      </c>
      <c r="X93" s="2905">
        <f>W93/W$102*'Forecast (BV) 2017'!S$64</f>
        <v>3572564.932895097</v>
      </c>
      <c r="Y93" s="2905">
        <f>X93/X$102*'Forecast (BV) 2017'!T$64</f>
        <v>3651479.6853576908</v>
      </c>
      <c r="Z93" s="2905">
        <f>Y93/Y$102*'Forecast (BV) 2017'!U$64</f>
        <v>3878174.3368135192</v>
      </c>
      <c r="AE93" s="13"/>
    </row>
    <row r="94" spans="1:31" s="2" customFormat="1" ht="17.25" customHeight="1">
      <c r="A94" s="411"/>
      <c r="C94" s="236">
        <f>+MAX($C$9:C93)+1</f>
        <v>86</v>
      </c>
      <c r="D94" s="237">
        <v>903010</v>
      </c>
      <c r="E94" s="112" t="s">
        <v>791</v>
      </c>
      <c r="F94" s="237">
        <v>8</v>
      </c>
      <c r="G94" s="974">
        <v>-73.180000000000007</v>
      </c>
      <c r="H94" s="975">
        <v>80.63</v>
      </c>
      <c r="I94" s="957">
        <v>16897.189999999999</v>
      </c>
      <c r="J94" s="957">
        <v>-2189.0500000000002</v>
      </c>
      <c r="K94" s="957">
        <v>-698.39</v>
      </c>
      <c r="L94" s="957">
        <v>115.38</v>
      </c>
      <c r="M94" s="4311">
        <f>SUMIF('Lead Sheet 2015'!$J$624:$J$978,$D94,'Lead Sheet 2015'!$E$624:$E$978)</f>
        <v>-493.54</v>
      </c>
      <c r="N94" s="4312">
        <f>SUMIF('Lead Sheet 2015'!$J$624:$J$978,$D94,'Lead Sheet 2015'!$D$624:$D$978)</f>
        <v>2673.35</v>
      </c>
      <c r="O94" s="4319">
        <f>SUMIF('Lead Sheet 2015'!$J$624:$J$978,$D94,'Lead Sheet 2015'!$C$624:$C$978)</f>
        <v>1950.19</v>
      </c>
      <c r="P94" s="4320">
        <f>O94/O$102*'Forecast (BV) 2017'!K$64</f>
        <v>2286.4800006309229</v>
      </c>
      <c r="Q94" s="2905">
        <f>P94/P$102*'Forecast (BV) 2017'!L$64</f>
        <v>2496.9029615965869</v>
      </c>
      <c r="R94" s="2905">
        <f>Q94/Q$102*'Forecast (BV) 2017'!M$64</f>
        <v>2613.2375760348273</v>
      </c>
      <c r="S94" s="2905">
        <f>R94/R$102*'Forecast (BV) 2017'!N$64</f>
        <v>2663.7265378851898</v>
      </c>
      <c r="T94" s="2905">
        <f>S94/S$102*'Forecast (BV) 2017'!O$64</f>
        <v>2764.6073455492324</v>
      </c>
      <c r="U94" s="2905">
        <f>T94/T$102*'Forecast (BV) 2017'!P$64</f>
        <v>2787.9783519713574</v>
      </c>
      <c r="V94" s="2905">
        <f>U94/U$102*'Forecast (BV) 2017'!Q$64</f>
        <v>2855.4744301343276</v>
      </c>
      <c r="W94" s="2905">
        <f>V94/V$102*'Forecast (BV) 2017'!R$64</f>
        <v>3010.4744077131922</v>
      </c>
      <c r="X94" s="2905">
        <f>W94/W$102*'Forecast (BV) 2017'!S$64</f>
        <v>3062.9848592154121</v>
      </c>
      <c r="Y94" s="2905">
        <f>X94/X$102*'Forecast (BV) 2017'!T$64</f>
        <v>3130.6434452738549</v>
      </c>
      <c r="Z94" s="2905">
        <f>Y94/Y$102*'Forecast (BV) 2017'!U$64</f>
        <v>3325.0030435223966</v>
      </c>
      <c r="AE94" s="13"/>
    </row>
    <row r="95" spans="1:31" s="2" customFormat="1" ht="17.25" customHeight="1">
      <c r="A95" s="411"/>
      <c r="C95" s="236">
        <f>+MAX($C$9:C94)+1</f>
        <v>87</v>
      </c>
      <c r="D95" s="237">
        <v>903030</v>
      </c>
      <c r="E95" s="112" t="s">
        <v>792</v>
      </c>
      <c r="F95" s="237">
        <v>8</v>
      </c>
      <c r="G95" s="974">
        <v>193028.46</v>
      </c>
      <c r="H95" s="975">
        <v>185909.97</v>
      </c>
      <c r="I95" s="957">
        <v>179008.37</v>
      </c>
      <c r="J95" s="957">
        <v>0</v>
      </c>
      <c r="K95" s="957">
        <v>0</v>
      </c>
      <c r="L95" s="957">
        <v>0</v>
      </c>
      <c r="M95" s="4311">
        <f>SUMIF('Lead Sheet 2015'!$J$624:$J$978,$D95,'Lead Sheet 2015'!$E$624:$E$978)</f>
        <v>0</v>
      </c>
      <c r="N95" s="4312">
        <f>SUMIF('Lead Sheet 2015'!$J$624:$J$978,$D95,'Lead Sheet 2015'!$D$624:$D$978)</f>
        <v>0</v>
      </c>
      <c r="O95" s="4319">
        <f>SUMIF('Lead Sheet 2015'!$J$624:$J$978,$D95,'Lead Sheet 2015'!$C$624:$C$978)</f>
        <v>0</v>
      </c>
      <c r="P95" s="4320">
        <f>O95/O$102*'Forecast (BV) 2017'!K$64</f>
        <v>0</v>
      </c>
      <c r="Q95" s="2905">
        <f>P95/P$102*'Forecast (BV) 2017'!L$64</f>
        <v>0</v>
      </c>
      <c r="R95" s="2905">
        <f>Q95/Q$102*'Forecast (BV) 2017'!M$64</f>
        <v>0</v>
      </c>
      <c r="S95" s="2905">
        <f>R95/R$102*'Forecast (BV) 2017'!N$64</f>
        <v>0</v>
      </c>
      <c r="T95" s="2905">
        <f>S95/S$102*'Forecast (BV) 2017'!O$64</f>
        <v>0</v>
      </c>
      <c r="U95" s="2905">
        <f>T95/T$102*'Forecast (BV) 2017'!P$64</f>
        <v>0</v>
      </c>
      <c r="V95" s="2905">
        <f>U95/U$102*'Forecast (BV) 2017'!Q$64</f>
        <v>0</v>
      </c>
      <c r="W95" s="2905">
        <f>V95/V$102*'Forecast (BV) 2017'!R$64</f>
        <v>0</v>
      </c>
      <c r="X95" s="2905">
        <f>W95/W$102*'Forecast (BV) 2017'!S$64</f>
        <v>0</v>
      </c>
      <c r="Y95" s="2905">
        <f>X95/X$102*'Forecast (BV) 2017'!T$64</f>
        <v>0</v>
      </c>
      <c r="Z95" s="2905">
        <f>Y95/Y$102*'Forecast (BV) 2017'!U$64</f>
        <v>0</v>
      </c>
      <c r="AE95" s="13"/>
    </row>
    <row r="96" spans="1:31" s="2" customFormat="1" ht="17.25" customHeight="1">
      <c r="A96" s="411"/>
      <c r="C96" s="236">
        <f>+MAX($C$9:C95)+1</f>
        <v>88</v>
      </c>
      <c r="D96" s="237">
        <v>904000</v>
      </c>
      <c r="E96" s="112" t="s">
        <v>793</v>
      </c>
      <c r="F96" s="237">
        <v>8</v>
      </c>
      <c r="G96" s="974">
        <v>13004.97</v>
      </c>
      <c r="H96" s="975">
        <v>167834.98</v>
      </c>
      <c r="I96" s="957">
        <v>118370.34</v>
      </c>
      <c r="J96" s="957">
        <v>84844.25</v>
      </c>
      <c r="K96" s="957">
        <v>196772.86</v>
      </c>
      <c r="L96" s="957">
        <v>169066.25</v>
      </c>
      <c r="M96" s="4311">
        <f>SUMIF('Lead Sheet 2015'!$J$624:$J$978,$D96,'Lead Sheet 2015'!$E$624:$E$978)</f>
        <v>24961.63</v>
      </c>
      <c r="N96" s="4312">
        <f>SUMIF('Lead Sheet 2015'!$J$624:$J$978,$D96,'Lead Sheet 2015'!$D$624:$D$978)</f>
        <v>58302.67</v>
      </c>
      <c r="O96" s="4319">
        <f>SUMIF('Lead Sheet 2015'!$J$624:$J$978,$D96,'Lead Sheet 2015'!$C$624:$C$978)</f>
        <v>322688.88</v>
      </c>
      <c r="P96" s="4320">
        <f>O96/O$102*'Forecast (BV) 2017'!K$64</f>
        <v>378333.2242222511</v>
      </c>
      <c r="Q96" s="2905">
        <f>P96/P$102*'Forecast (BV) 2017'!L$64</f>
        <v>413150.93408656883</v>
      </c>
      <c r="R96" s="2905">
        <f>Q96/Q$102*'Forecast (BV) 2017'!M$64</f>
        <v>432400.28232356504</v>
      </c>
      <c r="S96" s="2905">
        <f>R96/R$102*'Forecast (BV) 2017'!N$64</f>
        <v>440754.45630243688</v>
      </c>
      <c r="T96" s="2905">
        <f>S96/S$102*'Forecast (BV) 2017'!O$64</f>
        <v>457446.73492072808</v>
      </c>
      <c r="U96" s="2905">
        <f>T96/T$102*'Forecast (BV) 2017'!P$64</f>
        <v>461313.82678707357</v>
      </c>
      <c r="V96" s="2905">
        <f>U96/U$102*'Forecast (BV) 2017'!Q$64</f>
        <v>472482.08929831674</v>
      </c>
      <c r="W96" s="2905">
        <f>V96/V$102*'Forecast (BV) 2017'!R$64</f>
        <v>498129.21556034707</v>
      </c>
      <c r="X96" s="2905">
        <f>W96/W$102*'Forecast (BV) 2017'!S$64</f>
        <v>506817.8760414006</v>
      </c>
      <c r="Y96" s="2905">
        <f>X96/X$102*'Forecast (BV) 2017'!T$64</f>
        <v>518013.0279792028</v>
      </c>
      <c r="Z96" s="2905">
        <f>Y96/Y$102*'Forecast (BV) 2017'!U$64</f>
        <v>550172.80783453572</v>
      </c>
      <c r="AE96" s="13"/>
    </row>
    <row r="97" spans="1:31" s="2" customFormat="1" ht="17.25" customHeight="1">
      <c r="A97" s="411"/>
      <c r="C97" s="236">
        <f>+MAX($C$9:C96)+1</f>
        <v>89</v>
      </c>
      <c r="D97" s="237">
        <v>906000</v>
      </c>
      <c r="E97" s="112" t="s">
        <v>2192</v>
      </c>
      <c r="F97" s="237">
        <v>8</v>
      </c>
      <c r="G97" s="974"/>
      <c r="H97" s="975">
        <v>167834.98</v>
      </c>
      <c r="I97" s="957">
        <v>0</v>
      </c>
      <c r="J97" s="957">
        <v>0</v>
      </c>
      <c r="K97" s="957">
        <v>0</v>
      </c>
      <c r="L97" s="957">
        <v>0</v>
      </c>
      <c r="M97" s="4311">
        <f>SUMIF('Lead Sheet 2015'!$J$624:$J$978,$D97,'Lead Sheet 2015'!$E$624:$E$978)</f>
        <v>0</v>
      </c>
      <c r="N97" s="4312">
        <f>SUMIF('Lead Sheet 2015'!$J$624:$J$978,$D97,'Lead Sheet 2015'!$D$624:$D$978)</f>
        <v>0</v>
      </c>
      <c r="O97" s="4319">
        <f>SUMIF('Lead Sheet 2015'!$J$624:$J$978,$D97,'Lead Sheet 2015'!$C$624:$C$978)</f>
        <v>0</v>
      </c>
      <c r="P97" s="4320">
        <f>O97/O$102*'Forecast (BV) 2017'!K$64</f>
        <v>0</v>
      </c>
      <c r="Q97" s="2905">
        <f>P97/P$102*'Forecast (BV) 2017'!L$64</f>
        <v>0</v>
      </c>
      <c r="R97" s="2905">
        <f>Q97/Q$102*'Forecast (BV) 2017'!M$64</f>
        <v>0</v>
      </c>
      <c r="S97" s="2905">
        <f>R97/R$102*'Forecast (BV) 2017'!N$64</f>
        <v>0</v>
      </c>
      <c r="T97" s="2905">
        <f>S97/S$102*'Forecast (BV) 2017'!O$64</f>
        <v>0</v>
      </c>
      <c r="U97" s="2905">
        <f>T97/T$102*'Forecast (BV) 2017'!P$64</f>
        <v>0</v>
      </c>
      <c r="V97" s="2905">
        <f>U97/U$102*'Forecast (BV) 2017'!Q$64</f>
        <v>0</v>
      </c>
      <c r="W97" s="2905">
        <f>V97/V$102*'Forecast (BV) 2017'!R$64</f>
        <v>0</v>
      </c>
      <c r="X97" s="2905">
        <f>W97/W$102*'Forecast (BV) 2017'!S$64</f>
        <v>0</v>
      </c>
      <c r="Y97" s="2905">
        <f>X97/X$102*'Forecast (BV) 2017'!T$64</f>
        <v>0</v>
      </c>
      <c r="Z97" s="2905">
        <f>Y97/Y$102*'Forecast (BV) 2017'!U$64</f>
        <v>0</v>
      </c>
      <c r="AE97" s="13"/>
    </row>
    <row r="98" spans="1:31" s="2" customFormat="1" ht="17.25" customHeight="1">
      <c r="A98" s="411"/>
      <c r="C98" s="236">
        <f>+MAX($C$9:C97)+1</f>
        <v>90</v>
      </c>
      <c r="D98" s="237">
        <v>906100</v>
      </c>
      <c r="E98" s="112" t="s">
        <v>794</v>
      </c>
      <c r="F98" s="237">
        <v>8</v>
      </c>
      <c r="G98" s="974"/>
      <c r="H98" s="975">
        <v>0</v>
      </c>
      <c r="I98" s="957">
        <v>932153.79</v>
      </c>
      <c r="J98" s="957">
        <v>2340070.6</v>
      </c>
      <c r="K98" s="957">
        <v>378599.17</v>
      </c>
      <c r="L98" s="957">
        <v>3030342.87</v>
      </c>
      <c r="M98" s="4311">
        <f>SUMIF('Lead Sheet 2015'!$J$624:$J$978,$D98,'Lead Sheet 2015'!$E$624:$E$978)</f>
        <v>3369375.3</v>
      </c>
      <c r="N98" s="4312">
        <f>SUMIF('Lead Sheet 2015'!$J$624:$J$978,$D98,'Lead Sheet 2015'!$D$624:$D$978)</f>
        <v>2762273.3</v>
      </c>
      <c r="O98" s="4319">
        <f>SUMIF('Lead Sheet 2015'!$J$624:$J$978,$D98,'Lead Sheet 2015'!$C$624:$C$978)</f>
        <v>1967122.87</v>
      </c>
      <c r="P98" s="4320">
        <f>O98/O$102*'Forecast (BV) 2017'!K$64</f>
        <v>2306332.7681091088</v>
      </c>
      <c r="Q98" s="2905">
        <f>P98/P$102*'Forecast (BV) 2017'!L$64</f>
        <v>2518582.7636934752</v>
      </c>
      <c r="R98" s="2905">
        <f>Q98/Q$102*'Forecast (BV) 2017'!M$64</f>
        <v>2635927.4740212355</v>
      </c>
      <c r="S98" s="2905">
        <f>R98/R$102*'Forecast (BV) 2017'!N$64</f>
        <v>2686854.8152230699</v>
      </c>
      <c r="T98" s="2905">
        <f>S98/S$102*'Forecast (BV) 2017'!O$64</f>
        <v>2788611.5383628714</v>
      </c>
      <c r="U98" s="2905">
        <f>T98/T$102*'Forecast (BV) 2017'!P$64</f>
        <v>2812185.4676866187</v>
      </c>
      <c r="V98" s="2905">
        <f>U98/U$102*'Forecast (BV) 2017'!Q$64</f>
        <v>2880267.5924999379</v>
      </c>
      <c r="W98" s="2905">
        <f>V98/V$102*'Forecast (BV) 2017'!R$64</f>
        <v>3036613.3848303626</v>
      </c>
      <c r="X98" s="2905">
        <f>W98/W$102*'Forecast (BV) 2017'!S$64</f>
        <v>3089579.7676259074</v>
      </c>
      <c r="Y98" s="2905">
        <f>X98/X$102*'Forecast (BV) 2017'!T$64</f>
        <v>3157825.8113382771</v>
      </c>
      <c r="Z98" s="2905">
        <f>Y98/Y$102*'Forecast (BV) 2017'!U$64</f>
        <v>3353872.9712143494</v>
      </c>
      <c r="AE98" s="13"/>
    </row>
    <row r="99" spans="1:31" s="2" customFormat="1" ht="17.25" customHeight="1">
      <c r="A99" s="411"/>
      <c r="C99" s="236">
        <f>+MAX($C$9:C98)+1</f>
        <v>91</v>
      </c>
      <c r="D99" s="237">
        <v>908000</v>
      </c>
      <c r="E99" s="112" t="s">
        <v>795</v>
      </c>
      <c r="F99" s="237">
        <v>8</v>
      </c>
      <c r="G99" s="974">
        <v>634115.72</v>
      </c>
      <c r="H99" s="975">
        <v>418326.77</v>
      </c>
      <c r="I99" s="957">
        <v>271629.53000000003</v>
      </c>
      <c r="J99" s="957">
        <v>519017.9</v>
      </c>
      <c r="K99" s="957">
        <v>732146.33</v>
      </c>
      <c r="L99" s="957">
        <v>384042.23</v>
      </c>
      <c r="M99" s="4311">
        <f>SUMIF('Lead Sheet 2015'!$J$624:$J$978,$D99,'Lead Sheet 2015'!$E$624:$E$978)</f>
        <v>566238.31999999995</v>
      </c>
      <c r="N99" s="4312">
        <f>SUMIF('Lead Sheet 2015'!$J$624:$J$978,$D99,'Lead Sheet 2015'!$D$624:$D$978)</f>
        <v>436793.75</v>
      </c>
      <c r="O99" s="4319">
        <f>SUMIF('Lead Sheet 2015'!$J$624:$J$978,$D99,'Lead Sheet 2015'!$C$624:$C$978)</f>
        <v>855451.35</v>
      </c>
      <c r="P99" s="4320">
        <f>O99/O$102*'Forecast (BV) 2017'!K$64</f>
        <v>1002965.0461174161</v>
      </c>
      <c r="Q99" s="2905">
        <f>P99/P$102*'Forecast (BV) 2017'!L$64</f>
        <v>1095267.1325956949</v>
      </c>
      <c r="R99" s="2905">
        <f>Q99/Q$102*'Forecast (BV) 2017'!M$64</f>
        <v>1146297.3414332555</v>
      </c>
      <c r="S99" s="2905">
        <f>R99/R$102*'Forecast (BV) 2017'!N$64</f>
        <v>1168444.3376618235</v>
      </c>
      <c r="T99" s="2905">
        <f>S99/S$102*'Forecast (BV) 2017'!O$64</f>
        <v>1212695.730144246</v>
      </c>
      <c r="U99" s="2905">
        <f>T99/T$102*'Forecast (BV) 2017'!P$64</f>
        <v>1222947.4281811889</v>
      </c>
      <c r="V99" s="2905">
        <f>U99/U$102*'Forecast (BV) 2017'!Q$64</f>
        <v>1252554.6003973414</v>
      </c>
      <c r="W99" s="2905">
        <f>V99/V$102*'Forecast (BV) 2017'!R$64</f>
        <v>1320545.3808186385</v>
      </c>
      <c r="X99" s="2905">
        <f>W99/W$102*'Forecast (BV) 2017'!S$64</f>
        <v>1343579.1040080118</v>
      </c>
      <c r="Y99" s="2905">
        <f>X99/X$102*'Forecast (BV) 2017'!T$64</f>
        <v>1373257.5603547196</v>
      </c>
      <c r="Z99" s="2905">
        <f>Y99/Y$102*'Forecast (BV) 2017'!U$64</f>
        <v>1458513.4486051835</v>
      </c>
      <c r="AE99" s="13"/>
    </row>
    <row r="100" spans="1:31" s="2" customFormat="1" ht="17.25" customHeight="1">
      <c r="A100" s="411"/>
      <c r="C100" s="236">
        <f>+MAX($C$9:C99)+1</f>
        <v>92</v>
      </c>
      <c r="D100" s="237">
        <v>909010</v>
      </c>
      <c r="E100" s="112" t="s">
        <v>796</v>
      </c>
      <c r="F100" s="237">
        <v>8</v>
      </c>
      <c r="G100" s="974">
        <v>47998.38</v>
      </c>
      <c r="H100" s="975">
        <v>1255.5899999999999</v>
      </c>
      <c r="I100" s="957">
        <v>72.930000000000007</v>
      </c>
      <c r="J100" s="957">
        <v>1266.05</v>
      </c>
      <c r="K100" s="957">
        <v>0</v>
      </c>
      <c r="L100" s="957">
        <v>0</v>
      </c>
      <c r="M100" s="4311">
        <f>SUMIF('Lead Sheet 2015'!$J$624:$J$978,$D100,'Lead Sheet 2015'!$E$624:$E$978)</f>
        <v>0</v>
      </c>
      <c r="N100" s="4312">
        <f>SUMIF('Lead Sheet 2015'!$J$624:$J$978,$D100,'Lead Sheet 2015'!$D$624:$D$978)</f>
        <v>0</v>
      </c>
      <c r="O100" s="4319">
        <f>SUMIF('Lead Sheet 2015'!$J$624:$J$978,$D100,'Lead Sheet 2015'!$C$624:$C$978)</f>
        <v>0</v>
      </c>
      <c r="P100" s="4320">
        <f>O100/O$102*'Forecast (BV) 2017'!K$64</f>
        <v>0</v>
      </c>
      <c r="Q100" s="2905">
        <f>P100/P$102*'Forecast (BV) 2017'!L$64</f>
        <v>0</v>
      </c>
      <c r="R100" s="2905">
        <f>Q100/Q$102*'Forecast (BV) 2017'!M$64</f>
        <v>0</v>
      </c>
      <c r="S100" s="2905">
        <f>R100/R$102*'Forecast (BV) 2017'!N$64</f>
        <v>0</v>
      </c>
      <c r="T100" s="2905">
        <f>S100/S$102*'Forecast (BV) 2017'!O$64</f>
        <v>0</v>
      </c>
      <c r="U100" s="2905">
        <f>T100/T$102*'Forecast (BV) 2017'!P$64</f>
        <v>0</v>
      </c>
      <c r="V100" s="2905">
        <f>U100/U$102*'Forecast (BV) 2017'!Q$64</f>
        <v>0</v>
      </c>
      <c r="W100" s="2905">
        <f>V100/V$102*'Forecast (BV) 2017'!R$64</f>
        <v>0</v>
      </c>
      <c r="X100" s="2905">
        <f>W100/W$102*'Forecast (BV) 2017'!S$64</f>
        <v>0</v>
      </c>
      <c r="Y100" s="2905">
        <f>X100/X$102*'Forecast (BV) 2017'!T$64</f>
        <v>0</v>
      </c>
      <c r="Z100" s="2905">
        <f>Y100/Y$102*'Forecast (BV) 2017'!U$64</f>
        <v>0</v>
      </c>
      <c r="AE100" s="13"/>
    </row>
    <row r="101" spans="1:31" s="2" customFormat="1" ht="17.25" customHeight="1" thickBot="1">
      <c r="A101" s="411"/>
      <c r="C101" s="236">
        <f>+MAX($C$9:C100)+1</f>
        <v>93</v>
      </c>
      <c r="D101" s="237">
        <v>910020</v>
      </c>
      <c r="E101" s="112" t="s">
        <v>797</v>
      </c>
      <c r="F101" s="237">
        <v>8</v>
      </c>
      <c r="G101" s="976">
        <v>61327.86</v>
      </c>
      <c r="H101" s="977">
        <v>56484.07</v>
      </c>
      <c r="I101" s="979">
        <v>60802.86</v>
      </c>
      <c r="J101" s="979">
        <v>113664.67</v>
      </c>
      <c r="K101" s="979">
        <v>81244.240000000005</v>
      </c>
      <c r="L101" s="979">
        <v>0</v>
      </c>
      <c r="M101" s="4314">
        <f>SUMIF('Lead Sheet 2015'!$J$624:$J$978,$D101,'Lead Sheet 2015'!$E$624:$E$978)</f>
        <v>0</v>
      </c>
      <c r="N101" s="4315">
        <f>SUMIF('Lead Sheet 2015'!$J$624:$J$978,$D101,'Lead Sheet 2015'!$D$624:$D$978)</f>
        <v>214117.53</v>
      </c>
      <c r="O101" s="4321">
        <f>SUMIF('Lead Sheet 2015'!$J$624:$J$978,$D101,'Lead Sheet 2015'!$C$624:$C$978)</f>
        <v>7374.75</v>
      </c>
      <c r="P101" s="4322">
        <f>O101/O$102*'Forecast (BV) 2017'!K$64</f>
        <v>8646.4490047907639</v>
      </c>
      <c r="Q101" s="2905">
        <f>P101/P$102*'Forecast (BV) 2017'!L$64</f>
        <v>9442.1749245121919</v>
      </c>
      <c r="R101" s="2905">
        <f>Q101/Q$102*'Forecast (BV) 2017'!M$64</f>
        <v>9882.100622945889</v>
      </c>
      <c r="S101" s="2905">
        <f>R101/R$102*'Forecast (BV) 2017'!N$64</f>
        <v>10073.027389776793</v>
      </c>
      <c r="T101" s="2905">
        <f>S101/S$102*'Forecast (BV) 2017'!O$64</f>
        <v>10454.513673841626</v>
      </c>
      <c r="U101" s="2905">
        <f>T101/T$102*'Forecast (BV) 2017'!P$64</f>
        <v>10542.892411098799</v>
      </c>
      <c r="V101" s="2905">
        <f>U101/U$102*'Forecast (BV) 2017'!Q$64</f>
        <v>10798.132517156346</v>
      </c>
      <c r="W101" s="2905">
        <f>V101/V$102*'Forecast (BV) 2017'!R$64</f>
        <v>11384.273398121652</v>
      </c>
      <c r="X101" s="2905">
        <f>W101/W$102*'Forecast (BV) 2017'!S$64</f>
        <v>11582.844538480284</v>
      </c>
      <c r="Y101" s="2905">
        <f>X101/X$102*'Forecast (BV) 2017'!T$64</f>
        <v>11838.699177020373</v>
      </c>
      <c r="Z101" s="2905">
        <f>Y101/Y$102*'Forecast (BV) 2017'!U$64</f>
        <v>12573.680613282189</v>
      </c>
      <c r="AE101" s="13"/>
    </row>
    <row r="102" spans="1:31" s="2" customFormat="1" ht="17.25" customHeight="1">
      <c r="A102" s="411"/>
      <c r="C102" s="236">
        <f>+MAX($C$9:C101)+1</f>
        <v>94</v>
      </c>
      <c r="D102" s="241"/>
      <c r="E102" s="241"/>
      <c r="F102" s="586"/>
      <c r="G102" s="117">
        <f t="shared" ref="G102:Z102" si="17">SUM(G91:G101)</f>
        <v>4194906.32</v>
      </c>
      <c r="H102" s="117">
        <f t="shared" si="17"/>
        <v>4553381.5500000007</v>
      </c>
      <c r="I102" s="117">
        <f t="shared" si="17"/>
        <v>5127564.49</v>
      </c>
      <c r="J102" s="117">
        <f t="shared" si="17"/>
        <v>6366899.9699999997</v>
      </c>
      <c r="K102" s="117">
        <f t="shared" si="17"/>
        <v>4659385.76</v>
      </c>
      <c r="L102" s="117">
        <f t="shared" si="17"/>
        <v>6803630.3599999994</v>
      </c>
      <c r="M102" s="2907">
        <f t="shared" si="17"/>
        <v>7318047.2800000003</v>
      </c>
      <c r="N102" s="2907">
        <f t="shared" si="17"/>
        <v>7109752.8799999999</v>
      </c>
      <c r="O102" s="2907">
        <f t="shared" si="17"/>
        <v>6850413.0599999996</v>
      </c>
      <c r="P102" s="2908">
        <f t="shared" si="17"/>
        <v>8031695.6079924935</v>
      </c>
      <c r="Q102" s="2908">
        <f t="shared" si="17"/>
        <v>8770846.2548130881</v>
      </c>
      <c r="R102" s="2908">
        <f t="shared" si="17"/>
        <v>9179493.7004864793</v>
      </c>
      <c r="S102" s="2908">
        <f t="shared" si="17"/>
        <v>9356845.7757435367</v>
      </c>
      <c r="T102" s="2908">
        <f t="shared" si="17"/>
        <v>9711208.7877193484</v>
      </c>
      <c r="U102" s="2908">
        <f t="shared" si="17"/>
        <v>9793303.890052693</v>
      </c>
      <c r="V102" s="2908">
        <f t="shared" si="17"/>
        <v>10030396.694008408</v>
      </c>
      <c r="W102" s="2908">
        <f t="shared" si="17"/>
        <v>10574863.577084396</v>
      </c>
      <c r="X102" s="2908">
        <f t="shared" si="17"/>
        <v>10759316.518980984</v>
      </c>
      <c r="Y102" s="2908">
        <f t="shared" si="17"/>
        <v>10996980.162808452</v>
      </c>
      <c r="Z102" s="2908">
        <f t="shared" si="17"/>
        <v>11679705.194819774</v>
      </c>
    </row>
    <row r="103" spans="1:31" s="2" customFormat="1" ht="17.25" customHeight="1" thickBot="1">
      <c r="A103" s="411"/>
      <c r="C103" s="236">
        <f>+MAX($C$9:C102)+1</f>
        <v>95</v>
      </c>
      <c r="D103" s="282" t="s">
        <v>317</v>
      </c>
      <c r="E103" s="241"/>
      <c r="F103" s="586"/>
      <c r="G103" s="241"/>
      <c r="H103" s="263"/>
      <c r="I103" s="983"/>
      <c r="J103" s="983"/>
      <c r="K103" s="983"/>
      <c r="L103" s="983"/>
      <c r="M103" s="2920"/>
      <c r="N103" s="11"/>
      <c r="O103" s="11"/>
      <c r="P103" s="11"/>
      <c r="Q103" s="11"/>
      <c r="R103" s="11"/>
      <c r="S103" s="11"/>
      <c r="T103" s="11"/>
      <c r="U103" s="11"/>
      <c r="V103" s="11"/>
      <c r="W103" s="11"/>
      <c r="X103" s="11"/>
      <c r="Y103" s="11"/>
      <c r="Z103" s="11"/>
    </row>
    <row r="104" spans="1:31" s="2" customFormat="1" ht="17.25" customHeight="1">
      <c r="A104" s="411"/>
      <c r="C104" s="236">
        <f>+MAX($C$9:C103)+1</f>
        <v>96</v>
      </c>
      <c r="D104" s="237">
        <v>326235</v>
      </c>
      <c r="E104" s="112" t="s">
        <v>798</v>
      </c>
      <c r="F104" s="237">
        <v>9</v>
      </c>
      <c r="G104" s="972">
        <v>240061.24</v>
      </c>
      <c r="H104" s="973">
        <v>227122.53</v>
      </c>
      <c r="I104" s="978">
        <v>0</v>
      </c>
      <c r="J104" s="978">
        <v>0</v>
      </c>
      <c r="K104" s="978">
        <v>0</v>
      </c>
      <c r="L104" s="978">
        <v>0</v>
      </c>
      <c r="M104" s="4308">
        <f>SUMIF('Lead Sheet 2015'!$J$624:$J$978,$D104,'Lead Sheet 2015'!$E$624:$E$978)</f>
        <v>0</v>
      </c>
      <c r="N104" s="4309">
        <f>SUMIF('Lead Sheet 2015'!$J$624:$J$978,$D104,'Lead Sheet 2015'!$D$624:$D$978)</f>
        <v>0</v>
      </c>
      <c r="O104" s="4317">
        <f>SUMIF('Lead Sheet 2015'!$J$624:$J$978,$D104,'Lead Sheet 2015'!$C$624:$C$978)</f>
        <v>0</v>
      </c>
      <c r="P104" s="4318">
        <f>O104/O$119*'Forecast (BV) 2017'!K$65</f>
        <v>0</v>
      </c>
      <c r="Q104" s="2905">
        <f>P104/P$119*'Forecast (BV) 2017'!L$65</f>
        <v>0</v>
      </c>
      <c r="R104" s="2905">
        <f>Q104/Q$119*'Forecast (BV) 2017'!M$65</f>
        <v>0</v>
      </c>
      <c r="S104" s="2905">
        <f>R104/R$119*'Forecast (BV) 2017'!N$65</f>
        <v>0</v>
      </c>
      <c r="T104" s="2905">
        <f>S104/S$119*'Forecast (BV) 2017'!O$65</f>
        <v>0</v>
      </c>
      <c r="U104" s="2905">
        <f>T104/T$119*'Forecast (BV) 2017'!P$65</f>
        <v>0</v>
      </c>
      <c r="V104" s="2905">
        <f>U104/U$119*'Forecast (BV) 2017'!Q$65</f>
        <v>0</v>
      </c>
      <c r="W104" s="2905">
        <f>V104/V$119*'Forecast (BV) 2017'!R$65</f>
        <v>0</v>
      </c>
      <c r="X104" s="2905">
        <f>W104/W$119*'Forecast (BV) 2017'!S$65</f>
        <v>0</v>
      </c>
      <c r="Y104" s="2905">
        <f>X104/X$119*'Forecast (BV) 2017'!T$65</f>
        <v>0</v>
      </c>
      <c r="Z104" s="2905">
        <f>Y104/Y$119*'Forecast (BV) 2017'!U$65</f>
        <v>0</v>
      </c>
      <c r="AE104" s="13"/>
    </row>
    <row r="105" spans="1:31" s="2" customFormat="1" ht="17.25" customHeight="1">
      <c r="A105" s="411"/>
      <c r="C105" s="236">
        <f>+MAX($C$9:C104)+1</f>
        <v>97</v>
      </c>
      <c r="D105" s="237">
        <v>326410</v>
      </c>
      <c r="E105" s="112" t="s">
        <v>799</v>
      </c>
      <c r="F105" s="237">
        <v>9</v>
      </c>
      <c r="G105" s="974">
        <v>204020.1</v>
      </c>
      <c r="H105" s="975">
        <v>68148.41</v>
      </c>
      <c r="I105" s="957">
        <v>0</v>
      </c>
      <c r="J105" s="957">
        <v>0</v>
      </c>
      <c r="K105" s="957">
        <v>0</v>
      </c>
      <c r="L105" s="957">
        <v>0</v>
      </c>
      <c r="M105" s="4311">
        <f>SUMIF('Lead Sheet 2015'!$J$624:$J$978,$D105,'Lead Sheet 2015'!$E$624:$E$978)</f>
        <v>0</v>
      </c>
      <c r="N105" s="4312">
        <f>SUMIF('Lead Sheet 2015'!$J$624:$J$978,$D105,'Lead Sheet 2015'!$D$624:$D$978)</f>
        <v>0</v>
      </c>
      <c r="O105" s="4319">
        <f>SUMIF('Lead Sheet 2015'!$J$624:$J$978,$D105,'Lead Sheet 2015'!$C$624:$C$978)</f>
        <v>0</v>
      </c>
      <c r="P105" s="4320">
        <f>O105/O$119*'Forecast (BV) 2017'!K$65</f>
        <v>0</v>
      </c>
      <c r="Q105" s="2905">
        <f>P105/P$119*'Forecast (BV) 2017'!L$65</f>
        <v>0</v>
      </c>
      <c r="R105" s="2905">
        <f>Q105/Q$119*'Forecast (BV) 2017'!M$65</f>
        <v>0</v>
      </c>
      <c r="S105" s="2905">
        <f>R105/R$119*'Forecast (BV) 2017'!N$65</f>
        <v>0</v>
      </c>
      <c r="T105" s="2905">
        <f>S105/S$119*'Forecast (BV) 2017'!O$65</f>
        <v>0</v>
      </c>
      <c r="U105" s="2905">
        <f>T105/T$119*'Forecast (BV) 2017'!P$65</f>
        <v>0</v>
      </c>
      <c r="V105" s="2905">
        <f>U105/U$119*'Forecast (BV) 2017'!Q$65</f>
        <v>0</v>
      </c>
      <c r="W105" s="2905">
        <f>V105/V$119*'Forecast (BV) 2017'!R$65</f>
        <v>0</v>
      </c>
      <c r="X105" s="2905">
        <f>W105/W$119*'Forecast (BV) 2017'!S$65</f>
        <v>0</v>
      </c>
      <c r="Y105" s="2905">
        <f>X105/X$119*'Forecast (BV) 2017'!T$65</f>
        <v>0</v>
      </c>
      <c r="Z105" s="2905">
        <f>Y105/Y$119*'Forecast (BV) 2017'!U$65</f>
        <v>0</v>
      </c>
      <c r="AE105" s="13"/>
    </row>
    <row r="106" spans="1:31" s="2" customFormat="1" ht="17.25" customHeight="1">
      <c r="A106" s="411"/>
      <c r="C106" s="236">
        <f>+MAX($C$9:C105)+1</f>
        <v>98</v>
      </c>
      <c r="D106" s="237">
        <v>326510</v>
      </c>
      <c r="E106" s="112" t="s">
        <v>800</v>
      </c>
      <c r="F106" s="237">
        <v>9</v>
      </c>
      <c r="G106" s="974">
        <v>168140.29</v>
      </c>
      <c r="H106" s="975">
        <v>88794.65</v>
      </c>
      <c r="I106" s="957">
        <v>0</v>
      </c>
      <c r="J106" s="957">
        <v>0</v>
      </c>
      <c r="K106" s="957">
        <v>0</v>
      </c>
      <c r="L106" s="957">
        <v>0</v>
      </c>
      <c r="M106" s="4311">
        <f>SUMIF('Lead Sheet 2015'!$J$624:$J$978,$D106,'Lead Sheet 2015'!$E$624:$E$978)</f>
        <v>0</v>
      </c>
      <c r="N106" s="4312">
        <f>SUMIF('Lead Sheet 2015'!$J$624:$J$978,$D106,'Lead Sheet 2015'!$D$624:$D$978)</f>
        <v>0</v>
      </c>
      <c r="O106" s="4319">
        <f>SUMIF('Lead Sheet 2015'!$J$624:$J$978,$D106,'Lead Sheet 2015'!$C$624:$C$978)</f>
        <v>0</v>
      </c>
      <c r="P106" s="4320">
        <f>O106/O$119*'Forecast (BV) 2017'!K$65</f>
        <v>0</v>
      </c>
      <c r="Q106" s="2905">
        <f>P106/P$119*'Forecast (BV) 2017'!L$65</f>
        <v>0</v>
      </c>
      <c r="R106" s="2905">
        <f>Q106/Q$119*'Forecast (BV) 2017'!M$65</f>
        <v>0</v>
      </c>
      <c r="S106" s="2905">
        <f>R106/R$119*'Forecast (BV) 2017'!N$65</f>
        <v>0</v>
      </c>
      <c r="T106" s="2905">
        <f>S106/S$119*'Forecast (BV) 2017'!O$65</f>
        <v>0</v>
      </c>
      <c r="U106" s="2905">
        <f>T106/T$119*'Forecast (BV) 2017'!P$65</f>
        <v>0</v>
      </c>
      <c r="V106" s="2905">
        <f>U106/U$119*'Forecast (BV) 2017'!Q$65</f>
        <v>0</v>
      </c>
      <c r="W106" s="2905">
        <f>V106/V$119*'Forecast (BV) 2017'!R$65</f>
        <v>0</v>
      </c>
      <c r="X106" s="2905">
        <f>W106/W$119*'Forecast (BV) 2017'!S$65</f>
        <v>0</v>
      </c>
      <c r="Y106" s="2905">
        <f>X106/X$119*'Forecast (BV) 2017'!T$65</f>
        <v>0</v>
      </c>
      <c r="Z106" s="2905">
        <f>Y106/Y$119*'Forecast (BV) 2017'!U$65</f>
        <v>0</v>
      </c>
      <c r="AE106" s="13"/>
    </row>
    <row r="107" spans="1:31" s="2" customFormat="1" ht="17.25" customHeight="1">
      <c r="A107" s="411"/>
      <c r="C107" s="236">
        <f>+MAX($C$9:C106)+1</f>
        <v>99</v>
      </c>
      <c r="D107" s="237">
        <v>326532</v>
      </c>
      <c r="E107" s="112" t="s">
        <v>801</v>
      </c>
      <c r="F107" s="237">
        <v>9</v>
      </c>
      <c r="G107" s="974">
        <v>0</v>
      </c>
      <c r="H107" s="975">
        <v>54257</v>
      </c>
      <c r="I107" s="957">
        <v>0</v>
      </c>
      <c r="J107" s="957">
        <v>0</v>
      </c>
      <c r="K107" s="957">
        <v>0</v>
      </c>
      <c r="L107" s="957">
        <v>0</v>
      </c>
      <c r="M107" s="4311">
        <f>SUMIF('Lead Sheet 2015'!$J$624:$J$978,$D107,'Lead Sheet 2015'!$E$624:$E$978)</f>
        <v>0</v>
      </c>
      <c r="N107" s="4312">
        <f>SUMIF('Lead Sheet 2015'!$J$624:$J$978,$D107,'Lead Sheet 2015'!$D$624:$D$978)</f>
        <v>0</v>
      </c>
      <c r="O107" s="4319">
        <f>SUMIF('Lead Sheet 2015'!$J$624:$J$978,$D107,'Lead Sheet 2015'!$C$624:$C$978)</f>
        <v>0</v>
      </c>
      <c r="P107" s="4320">
        <f>O107/O$119*'Forecast (BV) 2017'!K$65</f>
        <v>0</v>
      </c>
      <c r="Q107" s="2905">
        <f>P107/P$119*'Forecast (BV) 2017'!L$65</f>
        <v>0</v>
      </c>
      <c r="R107" s="2905">
        <f>Q107/Q$119*'Forecast (BV) 2017'!M$65</f>
        <v>0</v>
      </c>
      <c r="S107" s="2905">
        <f>R107/R$119*'Forecast (BV) 2017'!N$65</f>
        <v>0</v>
      </c>
      <c r="T107" s="2905">
        <f>S107/S$119*'Forecast (BV) 2017'!O$65</f>
        <v>0</v>
      </c>
      <c r="U107" s="2905">
        <f>T107/T$119*'Forecast (BV) 2017'!P$65</f>
        <v>0</v>
      </c>
      <c r="V107" s="2905">
        <f>U107/U$119*'Forecast (BV) 2017'!Q$65</f>
        <v>0</v>
      </c>
      <c r="W107" s="2905">
        <f>V107/V$119*'Forecast (BV) 2017'!R$65</f>
        <v>0</v>
      </c>
      <c r="X107" s="2905">
        <f>W107/W$119*'Forecast (BV) 2017'!S$65</f>
        <v>0</v>
      </c>
      <c r="Y107" s="2905">
        <f>X107/X$119*'Forecast (BV) 2017'!T$65</f>
        <v>0</v>
      </c>
      <c r="Z107" s="2905">
        <f>Y107/Y$119*'Forecast (BV) 2017'!U$65</f>
        <v>0</v>
      </c>
      <c r="AE107" s="13"/>
    </row>
    <row r="108" spans="1:31" s="2" customFormat="1" ht="17.25" customHeight="1">
      <c r="A108" s="411"/>
      <c r="C108" s="236">
        <f>+MAX($C$9:C107)+1</f>
        <v>100</v>
      </c>
      <c r="D108" s="237">
        <v>326720</v>
      </c>
      <c r="E108" s="112" t="s">
        <v>802</v>
      </c>
      <c r="F108" s="237">
        <v>9</v>
      </c>
      <c r="G108" s="974">
        <v>450757.46</v>
      </c>
      <c r="H108" s="975">
        <v>496435.47</v>
      </c>
      <c r="I108" s="957">
        <v>0</v>
      </c>
      <c r="J108" s="957">
        <v>0</v>
      </c>
      <c r="K108" s="957">
        <v>0</v>
      </c>
      <c r="L108" s="957">
        <v>0</v>
      </c>
      <c r="M108" s="4311">
        <f>SUMIF('Lead Sheet 2015'!$J$624:$J$978,$D108,'Lead Sheet 2015'!$E$624:$E$978)</f>
        <v>0</v>
      </c>
      <c r="N108" s="4312">
        <f>SUMIF('Lead Sheet 2015'!$J$624:$J$978,$D108,'Lead Sheet 2015'!$D$624:$D$978)</f>
        <v>0</v>
      </c>
      <c r="O108" s="4319">
        <f>SUMIF('Lead Sheet 2015'!$J$624:$J$978,$D108,'Lead Sheet 2015'!$C$624:$C$978)</f>
        <v>0</v>
      </c>
      <c r="P108" s="4320">
        <f>O108/O$119*'Forecast (BV) 2017'!K$65</f>
        <v>0</v>
      </c>
      <c r="Q108" s="2905">
        <f>P108/P$119*'Forecast (BV) 2017'!L$65</f>
        <v>0</v>
      </c>
      <c r="R108" s="2905">
        <f>Q108/Q$119*'Forecast (BV) 2017'!M$65</f>
        <v>0</v>
      </c>
      <c r="S108" s="2905">
        <f>R108/R$119*'Forecast (BV) 2017'!N$65</f>
        <v>0</v>
      </c>
      <c r="T108" s="2905">
        <f>S108/S$119*'Forecast (BV) 2017'!O$65</f>
        <v>0</v>
      </c>
      <c r="U108" s="2905">
        <f>T108/T$119*'Forecast (BV) 2017'!P$65</f>
        <v>0</v>
      </c>
      <c r="V108" s="2905">
        <f>U108/U$119*'Forecast (BV) 2017'!Q$65</f>
        <v>0</v>
      </c>
      <c r="W108" s="2905">
        <f>V108/V$119*'Forecast (BV) 2017'!R$65</f>
        <v>0</v>
      </c>
      <c r="X108" s="2905">
        <f>W108/W$119*'Forecast (BV) 2017'!S$65</f>
        <v>0</v>
      </c>
      <c r="Y108" s="2905">
        <f>X108/X$119*'Forecast (BV) 2017'!T$65</f>
        <v>0</v>
      </c>
      <c r="Z108" s="2905">
        <f>Y108/Y$119*'Forecast (BV) 2017'!U$65</f>
        <v>0</v>
      </c>
      <c r="AE108" s="13"/>
    </row>
    <row r="109" spans="1:31" s="2" customFormat="1" ht="17.25" customHeight="1">
      <c r="A109" s="411"/>
      <c r="C109" s="236">
        <f>+MAX($C$9:C108)+1</f>
        <v>101</v>
      </c>
      <c r="D109" s="237">
        <v>326724</v>
      </c>
      <c r="E109" s="112" t="s">
        <v>803</v>
      </c>
      <c r="F109" s="237">
        <v>9</v>
      </c>
      <c r="G109" s="974">
        <v>138190.51999999999</v>
      </c>
      <c r="H109" s="975">
        <v>145913.75</v>
      </c>
      <c r="I109" s="957">
        <v>0</v>
      </c>
      <c r="J109" s="957">
        <v>0</v>
      </c>
      <c r="K109" s="957">
        <v>0</v>
      </c>
      <c r="L109" s="957">
        <v>0</v>
      </c>
      <c r="M109" s="4311">
        <f>SUMIF('Lead Sheet 2015'!$J$624:$J$978,$D109,'Lead Sheet 2015'!$E$624:$E$978)</f>
        <v>0</v>
      </c>
      <c r="N109" s="4312">
        <f>SUMIF('Lead Sheet 2015'!$J$624:$J$978,$D109,'Lead Sheet 2015'!$D$624:$D$978)</f>
        <v>0</v>
      </c>
      <c r="O109" s="4319">
        <f>SUMIF('Lead Sheet 2015'!$J$624:$J$978,$D109,'Lead Sheet 2015'!$C$624:$C$978)</f>
        <v>0</v>
      </c>
      <c r="P109" s="4320">
        <f>O109/O$119*'Forecast (BV) 2017'!K$65</f>
        <v>0</v>
      </c>
      <c r="Q109" s="2905">
        <f>P109/P$119*'Forecast (BV) 2017'!L$65</f>
        <v>0</v>
      </c>
      <c r="R109" s="2905">
        <f>Q109/Q$119*'Forecast (BV) 2017'!M$65</f>
        <v>0</v>
      </c>
      <c r="S109" s="2905">
        <f>R109/R$119*'Forecast (BV) 2017'!N$65</f>
        <v>0</v>
      </c>
      <c r="T109" s="2905">
        <f>S109/S$119*'Forecast (BV) 2017'!O$65</f>
        <v>0</v>
      </c>
      <c r="U109" s="2905">
        <f>T109/T$119*'Forecast (BV) 2017'!P$65</f>
        <v>0</v>
      </c>
      <c r="V109" s="2905">
        <f>U109/U$119*'Forecast (BV) 2017'!Q$65</f>
        <v>0</v>
      </c>
      <c r="W109" s="2905">
        <f>V109/V$119*'Forecast (BV) 2017'!R$65</f>
        <v>0</v>
      </c>
      <c r="X109" s="2905">
        <f>W109/W$119*'Forecast (BV) 2017'!S$65</f>
        <v>0</v>
      </c>
      <c r="Y109" s="2905">
        <f>X109/X$119*'Forecast (BV) 2017'!T$65</f>
        <v>0</v>
      </c>
      <c r="Z109" s="2905">
        <f>Y109/Y$119*'Forecast (BV) 2017'!U$65</f>
        <v>0</v>
      </c>
      <c r="AE109" s="13"/>
    </row>
    <row r="110" spans="1:31" s="2" customFormat="1" ht="17.25" customHeight="1">
      <c r="A110" s="411"/>
      <c r="C110" s="236">
        <f>+MAX($C$9:C109)+1</f>
        <v>102</v>
      </c>
      <c r="D110" s="237">
        <v>326725</v>
      </c>
      <c r="E110" s="112" t="s">
        <v>804</v>
      </c>
      <c r="F110" s="237">
        <v>9</v>
      </c>
      <c r="G110" s="974">
        <v>37230.22</v>
      </c>
      <c r="H110" s="975">
        <v>51942.5</v>
      </c>
      <c r="I110" s="957">
        <v>0</v>
      </c>
      <c r="J110" s="957">
        <v>0</v>
      </c>
      <c r="K110" s="957">
        <v>0</v>
      </c>
      <c r="L110" s="957">
        <v>0</v>
      </c>
      <c r="M110" s="4311">
        <f>SUMIF('Lead Sheet 2015'!$J$624:$J$978,$D110,'Lead Sheet 2015'!$E$624:$E$978)</f>
        <v>0</v>
      </c>
      <c r="N110" s="4312">
        <f>SUMIF('Lead Sheet 2015'!$J$624:$J$978,$D110,'Lead Sheet 2015'!$D$624:$D$978)</f>
        <v>0</v>
      </c>
      <c r="O110" s="4319">
        <f>SUMIF('Lead Sheet 2015'!$J$624:$J$978,$D110,'Lead Sheet 2015'!$C$624:$C$978)</f>
        <v>0</v>
      </c>
      <c r="P110" s="4320">
        <f>O110/O$119*'Forecast (BV) 2017'!K$65</f>
        <v>0</v>
      </c>
      <c r="Q110" s="2905">
        <f>P110/P$119*'Forecast (BV) 2017'!L$65</f>
        <v>0</v>
      </c>
      <c r="R110" s="2905">
        <f>Q110/Q$119*'Forecast (BV) 2017'!M$65</f>
        <v>0</v>
      </c>
      <c r="S110" s="2905">
        <f>R110/R$119*'Forecast (BV) 2017'!N$65</f>
        <v>0</v>
      </c>
      <c r="T110" s="2905">
        <f>S110/S$119*'Forecast (BV) 2017'!O$65</f>
        <v>0</v>
      </c>
      <c r="U110" s="2905">
        <f>T110/T$119*'Forecast (BV) 2017'!P$65</f>
        <v>0</v>
      </c>
      <c r="V110" s="2905">
        <f>U110/U$119*'Forecast (BV) 2017'!Q$65</f>
        <v>0</v>
      </c>
      <c r="W110" s="2905">
        <f>V110/V$119*'Forecast (BV) 2017'!R$65</f>
        <v>0</v>
      </c>
      <c r="X110" s="2905">
        <f>W110/W$119*'Forecast (BV) 2017'!S$65</f>
        <v>0</v>
      </c>
      <c r="Y110" s="2905">
        <f>X110/X$119*'Forecast (BV) 2017'!T$65</f>
        <v>0</v>
      </c>
      <c r="Z110" s="2905">
        <f>Y110/Y$119*'Forecast (BV) 2017'!U$65</f>
        <v>0</v>
      </c>
      <c r="AE110" s="13"/>
    </row>
    <row r="111" spans="1:31" s="2" customFormat="1" ht="17.25" customHeight="1">
      <c r="A111" s="411"/>
      <c r="C111" s="236">
        <f>+MAX($C$9:C110)+1</f>
        <v>103</v>
      </c>
      <c r="D111" s="237">
        <v>326728</v>
      </c>
      <c r="E111" s="112" t="s">
        <v>312</v>
      </c>
      <c r="F111" s="237">
        <v>9</v>
      </c>
      <c r="G111" s="974">
        <v>847.47</v>
      </c>
      <c r="H111" s="975"/>
      <c r="I111" s="957">
        <v>0</v>
      </c>
      <c r="J111" s="957">
        <v>0</v>
      </c>
      <c r="K111" s="957">
        <v>0</v>
      </c>
      <c r="L111" s="957">
        <v>0</v>
      </c>
      <c r="M111" s="4311">
        <f>SUMIF('Lead Sheet 2015'!$J$624:$J$978,$D111,'Lead Sheet 2015'!$E$624:$E$978)</f>
        <v>0</v>
      </c>
      <c r="N111" s="4312">
        <f>SUMIF('Lead Sheet 2015'!$J$624:$J$978,$D111,'Lead Sheet 2015'!$D$624:$D$978)</f>
        <v>0</v>
      </c>
      <c r="O111" s="4319">
        <f>SUMIF('Lead Sheet 2015'!$J$624:$J$978,$D111,'Lead Sheet 2015'!$C$624:$C$978)</f>
        <v>0</v>
      </c>
      <c r="P111" s="4320">
        <f>O111/O$119*'Forecast (BV) 2017'!K$65</f>
        <v>0</v>
      </c>
      <c r="Q111" s="2905">
        <f>P111/P$119*'Forecast (BV) 2017'!L$65</f>
        <v>0</v>
      </c>
      <c r="R111" s="2905">
        <f>Q111/Q$119*'Forecast (BV) 2017'!M$65</f>
        <v>0</v>
      </c>
      <c r="S111" s="2905">
        <f>R111/R$119*'Forecast (BV) 2017'!N$65</f>
        <v>0</v>
      </c>
      <c r="T111" s="2905">
        <f>S111/S$119*'Forecast (BV) 2017'!O$65</f>
        <v>0</v>
      </c>
      <c r="U111" s="2905">
        <f>T111/T$119*'Forecast (BV) 2017'!P$65</f>
        <v>0</v>
      </c>
      <c r="V111" s="2905">
        <f>U111/U$119*'Forecast (BV) 2017'!Q$65</f>
        <v>0</v>
      </c>
      <c r="W111" s="2905">
        <f>V111/V$119*'Forecast (BV) 2017'!R$65</f>
        <v>0</v>
      </c>
      <c r="X111" s="2905">
        <f>W111/W$119*'Forecast (BV) 2017'!S$65</f>
        <v>0</v>
      </c>
      <c r="Y111" s="2905">
        <f>X111/X$119*'Forecast (BV) 2017'!T$65</f>
        <v>0</v>
      </c>
      <c r="Z111" s="2905">
        <f>Y111/Y$119*'Forecast (BV) 2017'!U$65</f>
        <v>0</v>
      </c>
      <c r="AE111" s="13"/>
    </row>
    <row r="112" spans="1:31" s="2" customFormat="1" ht="17.25" customHeight="1">
      <c r="A112" s="411"/>
      <c r="C112" s="236">
        <f>+MAX($C$9:C111)+1</f>
        <v>104</v>
      </c>
      <c r="D112" s="237">
        <v>923801</v>
      </c>
      <c r="E112" s="112" t="s">
        <v>805</v>
      </c>
      <c r="F112" s="237">
        <v>9</v>
      </c>
      <c r="G112" s="974"/>
      <c r="H112" s="975">
        <v>0</v>
      </c>
      <c r="I112" s="957">
        <v>1219.8800000000001</v>
      </c>
      <c r="J112" s="957">
        <v>0</v>
      </c>
      <c r="K112" s="957">
        <v>0</v>
      </c>
      <c r="L112" s="957">
        <v>0</v>
      </c>
      <c r="M112" s="4311">
        <f>SUMIF('Lead Sheet 2015'!$J$624:$J$978,$D112,'Lead Sheet 2015'!$E$624:$E$978)</f>
        <v>0</v>
      </c>
      <c r="N112" s="4312">
        <f>SUMIF('Lead Sheet 2015'!$J$624:$J$978,$D112,'Lead Sheet 2015'!$D$624:$D$978)</f>
        <v>0</v>
      </c>
      <c r="O112" s="4319">
        <f>SUMIF('Lead Sheet 2015'!$J$624:$J$978,$D112,'Lead Sheet 2015'!$C$624:$C$978)</f>
        <v>0</v>
      </c>
      <c r="P112" s="4320">
        <f>O112/O$119*'Forecast (BV) 2017'!K$65</f>
        <v>0</v>
      </c>
      <c r="Q112" s="2905">
        <f>P112/P$119*'Forecast (BV) 2017'!L$65</f>
        <v>0</v>
      </c>
      <c r="R112" s="2905">
        <f>Q112/Q$119*'Forecast (BV) 2017'!M$65</f>
        <v>0</v>
      </c>
      <c r="S112" s="2905">
        <f>R112/R$119*'Forecast (BV) 2017'!N$65</f>
        <v>0</v>
      </c>
      <c r="T112" s="2905">
        <f>S112/S$119*'Forecast (BV) 2017'!O$65</f>
        <v>0</v>
      </c>
      <c r="U112" s="2905">
        <f>T112/T$119*'Forecast (BV) 2017'!P$65</f>
        <v>0</v>
      </c>
      <c r="V112" s="2905">
        <f>U112/U$119*'Forecast (BV) 2017'!Q$65</f>
        <v>0</v>
      </c>
      <c r="W112" s="2905">
        <f>V112/V$119*'Forecast (BV) 2017'!R$65</f>
        <v>0</v>
      </c>
      <c r="X112" s="2905">
        <f>W112/W$119*'Forecast (BV) 2017'!S$65</f>
        <v>0</v>
      </c>
      <c r="Y112" s="2905">
        <f>X112/X$119*'Forecast (BV) 2017'!T$65</f>
        <v>0</v>
      </c>
      <c r="Z112" s="2905">
        <f>Y112/Y$119*'Forecast (BV) 2017'!U$65</f>
        <v>0</v>
      </c>
      <c r="AE112" s="13"/>
    </row>
    <row r="113" spans="1:31" s="2" customFormat="1" ht="17.25" customHeight="1">
      <c r="A113" s="411"/>
      <c r="C113" s="236">
        <f>+MAX($C$9:C112)+1</f>
        <v>105</v>
      </c>
      <c r="D113" s="237">
        <v>930801</v>
      </c>
      <c r="E113" s="112" t="s">
        <v>806</v>
      </c>
      <c r="F113" s="237">
        <v>9</v>
      </c>
      <c r="G113" s="974"/>
      <c r="H113" s="975">
        <v>0</v>
      </c>
      <c r="I113" s="957">
        <v>497638.76</v>
      </c>
      <c r="J113" s="957">
        <v>515768.99</v>
      </c>
      <c r="K113" s="957">
        <v>515416.87</v>
      </c>
      <c r="L113" s="957">
        <v>334357.36</v>
      </c>
      <c r="M113" s="4311">
        <f>SUMIF('Lead Sheet 2015'!$J$624:$J$978,$D113,'Lead Sheet 2015'!$E$624:$E$978)</f>
        <v>353968.52</v>
      </c>
      <c r="N113" s="4312">
        <f>SUMIF('Lead Sheet 2015'!$J$624:$J$978,$D113,'Lead Sheet 2015'!$D$624:$D$978)</f>
        <v>362486.65</v>
      </c>
      <c r="O113" s="4319">
        <f>SUMIF('Lead Sheet 2015'!$J$624:$J$978,$D113,'Lead Sheet 2015'!$C$624:$C$978)</f>
        <v>302471.88</v>
      </c>
      <c r="P113" s="4320">
        <f>O113/O$119*'Forecast (BV) 2017'!K$65</f>
        <v>375092.17896713072</v>
      </c>
      <c r="Q113" s="2905">
        <f>P113/P$119*'Forecast (BV) 2017'!L$65</f>
        <v>410987.80325742089</v>
      </c>
      <c r="R113" s="2905">
        <f>Q113/Q$119*'Forecast (BV) 2017'!M$65</f>
        <v>431206.40701813158</v>
      </c>
      <c r="S113" s="2905">
        <f>R113/R$119*'Forecast (BV) 2017'!N$65</f>
        <v>440240.69842148328</v>
      </c>
      <c r="T113" s="2905">
        <f>S113/S$119*'Forecast (BV) 2017'!O$65</f>
        <v>456775.90130861284</v>
      </c>
      <c r="U113" s="2905">
        <f>T113/T$119*'Forecast (BV) 2017'!P$65</f>
        <v>462913.06086465291</v>
      </c>
      <c r="V113" s="2905">
        <f>U113/U$119*'Forecast (BV) 2017'!Q$65</f>
        <v>474490.50058406766</v>
      </c>
      <c r="W113" s="2905">
        <f>V113/V$119*'Forecast (BV) 2017'!R$65</f>
        <v>498518.80432717263</v>
      </c>
      <c r="X113" s="2905">
        <f>W113/W$119*'Forecast (BV) 2017'!S$65</f>
        <v>508723.62149190204</v>
      </c>
      <c r="Y113" s="2905">
        <f>X113/X$119*'Forecast (BV) 2017'!T$65</f>
        <v>521002.17949397035</v>
      </c>
      <c r="Z113" s="2905">
        <f>Y113/Y$119*'Forecast (BV) 2017'!U$65</f>
        <v>550776.94014866219</v>
      </c>
      <c r="AE113" s="13"/>
    </row>
    <row r="114" spans="1:31" s="2" customFormat="1" ht="17.25" customHeight="1">
      <c r="A114" s="411"/>
      <c r="C114" s="236">
        <f>+MAX($C$9:C113)+1</f>
        <v>106</v>
      </c>
      <c r="D114" s="237">
        <v>935801</v>
      </c>
      <c r="E114" s="112" t="s">
        <v>807</v>
      </c>
      <c r="F114" s="237">
        <v>9</v>
      </c>
      <c r="G114" s="974"/>
      <c r="H114" s="975">
        <v>0</v>
      </c>
      <c r="I114" s="957">
        <v>224334.34</v>
      </c>
      <c r="J114" s="957">
        <v>726964.97</v>
      </c>
      <c r="K114" s="957">
        <v>510278.49</v>
      </c>
      <c r="L114" s="957">
        <v>672438.39</v>
      </c>
      <c r="M114" s="4311">
        <f>SUMIF('Lead Sheet 2015'!$J$624:$J$978,$D114,'Lead Sheet 2015'!$E$624:$E$978)</f>
        <v>889963.7</v>
      </c>
      <c r="N114" s="4312">
        <f>SUMIF('Lead Sheet 2015'!$J$624:$J$978,$D114,'Lead Sheet 2015'!$D$624:$D$978)</f>
        <v>696213.85</v>
      </c>
      <c r="O114" s="4319">
        <f>SUMIF('Lead Sheet 2015'!$J$624:$J$978,$D114,'Lead Sheet 2015'!$C$624:$C$978)</f>
        <v>659763.71</v>
      </c>
      <c r="P114" s="4320">
        <f>O114/O$119*'Forecast (BV) 2017'!K$65</f>
        <v>818165.99806678924</v>
      </c>
      <c r="Q114" s="2905">
        <f>P114/P$119*'Forecast (BV) 2017'!L$65</f>
        <v>896462.96324096655</v>
      </c>
      <c r="R114" s="2905">
        <f>Q114/Q$119*'Forecast (BV) 2017'!M$65</f>
        <v>940564.58692970895</v>
      </c>
      <c r="S114" s="2905">
        <f>R114/R$119*'Forecast (BV) 2017'!N$65</f>
        <v>960270.54311147495</v>
      </c>
      <c r="T114" s="2905">
        <f>S114/S$119*'Forecast (BV) 2017'!O$65</f>
        <v>996337.78613061225</v>
      </c>
      <c r="U114" s="2905">
        <f>T114/T$119*'Forecast (BV) 2017'!P$65</f>
        <v>1009724.40295448</v>
      </c>
      <c r="V114" s="2905">
        <f>U114/U$119*'Forecast (BV) 2017'!Q$65</f>
        <v>1034977.5755190916</v>
      </c>
      <c r="W114" s="2905">
        <f>V114/V$119*'Forecast (BV) 2017'!R$65</f>
        <v>1087389.0685231944</v>
      </c>
      <c r="X114" s="2905">
        <f>W114/W$119*'Forecast (BV) 2017'!S$65</f>
        <v>1109648.2221095494</v>
      </c>
      <c r="Y114" s="2905">
        <f>X114/X$119*'Forecast (BV) 2017'!T$65</f>
        <v>1136430.7017929328</v>
      </c>
      <c r="Z114" s="2905">
        <f>Y114/Y$119*'Forecast (BV) 2017'!U$65</f>
        <v>1201376.5954538626</v>
      </c>
      <c r="AE114" s="13"/>
    </row>
    <row r="115" spans="1:31" s="2" customFormat="1" ht="17.25" customHeight="1">
      <c r="A115" s="411"/>
      <c r="C115" s="236">
        <f>+MAX($C$9:C114)+1</f>
        <v>107</v>
      </c>
      <c r="D115" s="237">
        <v>935802</v>
      </c>
      <c r="E115" s="112" t="s">
        <v>808</v>
      </c>
      <c r="F115" s="237">
        <v>9</v>
      </c>
      <c r="G115" s="974"/>
      <c r="H115" s="975">
        <v>0</v>
      </c>
      <c r="I115" s="957">
        <v>39863.89</v>
      </c>
      <c r="J115" s="957">
        <v>0</v>
      </c>
      <c r="K115" s="957">
        <v>0</v>
      </c>
      <c r="L115" s="957">
        <v>0</v>
      </c>
      <c r="M115" s="4311">
        <f>SUMIF('Lead Sheet 2015'!$J$624:$J$978,$D115,'Lead Sheet 2015'!$E$624:$E$978)</f>
        <v>0</v>
      </c>
      <c r="N115" s="4312">
        <f>SUMIF('Lead Sheet 2015'!$J$624:$J$978,$D115,'Lead Sheet 2015'!$D$624:$D$978)</f>
        <v>0</v>
      </c>
      <c r="O115" s="4319">
        <f>SUMIF('Lead Sheet 2015'!$J$624:$J$978,$D115,'Lead Sheet 2015'!$C$624:$C$978)</f>
        <v>0</v>
      </c>
      <c r="P115" s="4320">
        <f>O115/O$119*'Forecast (BV) 2017'!K$65</f>
        <v>0</v>
      </c>
      <c r="Q115" s="2905">
        <f>P115/P$119*'Forecast (BV) 2017'!L$65</f>
        <v>0</v>
      </c>
      <c r="R115" s="2905">
        <f>Q115/Q$119*'Forecast (BV) 2017'!M$65</f>
        <v>0</v>
      </c>
      <c r="S115" s="2905">
        <f>R115/R$119*'Forecast (BV) 2017'!N$65</f>
        <v>0</v>
      </c>
      <c r="T115" s="2905">
        <f>S115/S$119*'Forecast (BV) 2017'!O$65</f>
        <v>0</v>
      </c>
      <c r="U115" s="2905">
        <f>T115/T$119*'Forecast (BV) 2017'!P$65</f>
        <v>0</v>
      </c>
      <c r="V115" s="2905">
        <f>U115/U$119*'Forecast (BV) 2017'!Q$65</f>
        <v>0</v>
      </c>
      <c r="W115" s="2905">
        <f>V115/V$119*'Forecast (BV) 2017'!R$65</f>
        <v>0</v>
      </c>
      <c r="X115" s="2905">
        <f>W115/W$119*'Forecast (BV) 2017'!S$65</f>
        <v>0</v>
      </c>
      <c r="Y115" s="2905">
        <f>X115/X$119*'Forecast (BV) 2017'!T$65</f>
        <v>0</v>
      </c>
      <c r="Z115" s="2905">
        <f>Y115/Y$119*'Forecast (BV) 2017'!U$65</f>
        <v>0</v>
      </c>
      <c r="AE115" s="13"/>
    </row>
    <row r="116" spans="1:31" s="2" customFormat="1" ht="17.25" customHeight="1">
      <c r="A116" s="411"/>
      <c r="C116" s="236">
        <f>+MAX($C$9:C115)+1</f>
        <v>108</v>
      </c>
      <c r="D116" s="237">
        <v>935805</v>
      </c>
      <c r="E116" s="112" t="s">
        <v>809</v>
      </c>
      <c r="F116" s="237">
        <v>9</v>
      </c>
      <c r="G116" s="974"/>
      <c r="H116" s="975">
        <v>0</v>
      </c>
      <c r="I116" s="957">
        <v>126255.87</v>
      </c>
      <c r="J116" s="957">
        <v>17543.25</v>
      </c>
      <c r="K116" s="957">
        <v>147.82</v>
      </c>
      <c r="L116" s="957">
        <v>5125.16</v>
      </c>
      <c r="M116" s="4311">
        <f>SUMIF('Lead Sheet 2015'!$J$624:$J$978,$D116,'Lead Sheet 2015'!$E$624:$E$978)</f>
        <v>7626.35</v>
      </c>
      <c r="N116" s="4312">
        <f>SUMIF('Lead Sheet 2015'!$J$624:$J$978,$D116,'Lead Sheet 2015'!$D$624:$D$978)</f>
        <v>1272</v>
      </c>
      <c r="O116" s="4319">
        <f>SUMIF('Lead Sheet 2015'!$J$624:$J$978,$D116,'Lead Sheet 2015'!$C$624:$C$978)</f>
        <v>59579.23</v>
      </c>
      <c r="P116" s="4320">
        <f>O116/O$119*'Forecast (BV) 2017'!K$65</f>
        <v>73883.572918857259</v>
      </c>
      <c r="Q116" s="2905">
        <f>P116/P$119*'Forecast (BV) 2017'!L$65</f>
        <v>80954.093509349113</v>
      </c>
      <c r="R116" s="2905">
        <f>Q116/Q$119*'Forecast (BV) 2017'!M$65</f>
        <v>84936.641717593287</v>
      </c>
      <c r="S116" s="2905">
        <f>R116/R$119*'Forecast (BV) 2017'!N$65</f>
        <v>86716.166232094634</v>
      </c>
      <c r="T116" s="2905">
        <f>S116/S$119*'Forecast (BV) 2017'!O$65</f>
        <v>89973.178605968729</v>
      </c>
      <c r="U116" s="2905">
        <f>T116/T$119*'Forecast (BV) 2017'!P$65</f>
        <v>91182.042189373591</v>
      </c>
      <c r="V116" s="2905">
        <f>U116/U$119*'Forecast (BV) 2017'!Q$65</f>
        <v>93462.501926173412</v>
      </c>
      <c r="W116" s="2905">
        <f>V116/V$119*'Forecast (BV) 2017'!R$65</f>
        <v>98195.463665361574</v>
      </c>
      <c r="X116" s="2905">
        <f>W116/W$119*'Forecast (BV) 2017'!S$65</f>
        <v>100205.55183939403</v>
      </c>
      <c r="Y116" s="2905">
        <f>X116/X$119*'Forecast (BV) 2017'!T$65</f>
        <v>102624.11395919693</v>
      </c>
      <c r="Z116" s="2905">
        <f>Y116/Y$119*'Forecast (BV) 2017'!U$65</f>
        <v>108488.98084613147</v>
      </c>
      <c r="AE116" s="13"/>
    </row>
    <row r="117" spans="1:31" s="2" customFormat="1" ht="17.25" customHeight="1">
      <c r="A117" s="411"/>
      <c r="C117" s="236">
        <f>+MAX($C$9:C116)+1</f>
        <v>109</v>
      </c>
      <c r="D117" s="237">
        <v>935806</v>
      </c>
      <c r="E117" s="112" t="s">
        <v>810</v>
      </c>
      <c r="F117" s="237">
        <v>9</v>
      </c>
      <c r="G117" s="974"/>
      <c r="H117" s="975">
        <v>0</v>
      </c>
      <c r="I117" s="957">
        <v>131328</v>
      </c>
      <c r="J117" s="957">
        <v>163159</v>
      </c>
      <c r="K117" s="957">
        <v>143364</v>
      </c>
      <c r="L117" s="957">
        <v>144192</v>
      </c>
      <c r="M117" s="4311">
        <f>SUMIF('Lead Sheet 2015'!$J$624:$J$978,$D117,'Lead Sheet 2015'!$E$624:$E$978)</f>
        <v>140840.17000000001</v>
      </c>
      <c r="N117" s="4312">
        <f>SUMIF('Lead Sheet 2015'!$J$624:$J$978,$D117,'Lead Sheet 2015'!$D$624:$D$978)</f>
        <v>124425.54</v>
      </c>
      <c r="O117" s="4319">
        <f>SUMIF('Lead Sheet 2015'!$J$624:$J$978,$D117,'Lead Sheet 2015'!$C$624:$C$978)</f>
        <v>117492</v>
      </c>
      <c r="P117" s="4320">
        <f>O117/O$119*'Forecast (BV) 2017'!K$65</f>
        <v>145700.58641883047</v>
      </c>
      <c r="Q117" s="2905">
        <f>P117/P$119*'Forecast (BV) 2017'!L$65</f>
        <v>159643.86170483317</v>
      </c>
      <c r="R117" s="2905">
        <f>Q117/Q$119*'Forecast (BV) 2017'!M$65</f>
        <v>167497.56431366218</v>
      </c>
      <c r="S117" s="2905">
        <f>R117/R$119*'Forecast (BV) 2017'!N$65</f>
        <v>171006.8391777011</v>
      </c>
      <c r="T117" s="2905">
        <f>S117/S$119*'Forecast (BV) 2017'!O$65</f>
        <v>177429.76370746113</v>
      </c>
      <c r="U117" s="2905">
        <f>T117/T$119*'Forecast (BV) 2017'!P$65</f>
        <v>179813.67837271283</v>
      </c>
      <c r="V117" s="2905">
        <f>U117/U$119*'Forecast (BV) 2017'!Q$65</f>
        <v>184310.81227988293</v>
      </c>
      <c r="W117" s="2905">
        <f>V117/V$119*'Forecast (BV) 2017'!R$65</f>
        <v>193644.35251967277</v>
      </c>
      <c r="X117" s="2905">
        <f>W117/W$119*'Forecast (BV) 2017'!S$65</f>
        <v>197608.30572523485</v>
      </c>
      <c r="Y117" s="2905">
        <f>X117/X$119*'Forecast (BV) 2017'!T$65</f>
        <v>202377.78160768386</v>
      </c>
      <c r="Z117" s="2905">
        <f>Y117/Y$119*'Forecast (BV) 2017'!U$65</f>
        <v>213943.47220623159</v>
      </c>
      <c r="AE117" s="13"/>
    </row>
    <row r="118" spans="1:31" s="2" customFormat="1" ht="17.25" customHeight="1" thickBot="1">
      <c r="A118" s="411"/>
      <c r="C118" s="236">
        <f>+MAX($C$9:C117)+1</f>
        <v>110</v>
      </c>
      <c r="D118" s="237">
        <v>935807</v>
      </c>
      <c r="E118" s="112" t="s">
        <v>811</v>
      </c>
      <c r="F118" s="237">
        <v>9</v>
      </c>
      <c r="G118" s="976"/>
      <c r="H118" s="977">
        <v>0</v>
      </c>
      <c r="I118" s="979">
        <v>118059.93</v>
      </c>
      <c r="J118" s="979">
        <v>27294.46</v>
      </c>
      <c r="K118" s="979">
        <v>41440.17</v>
      </c>
      <c r="L118" s="979">
        <v>123700.03</v>
      </c>
      <c r="M118" s="4314">
        <f>SUMIF('Lead Sheet 2015'!$J$624:$J$978,$D118,'Lead Sheet 2015'!$E$624:$E$978)</f>
        <v>77286.86</v>
      </c>
      <c r="N118" s="4315">
        <f>SUMIF('Lead Sheet 2015'!$J$624:$J$978,$D118,'Lead Sheet 2015'!$D$624:$D$978)</f>
        <v>113264.66</v>
      </c>
      <c r="O118" s="4321">
        <f>SUMIF('Lead Sheet 2015'!$J$624:$J$978,$D118,'Lead Sheet 2015'!$C$624:$C$978)</f>
        <v>140814.85</v>
      </c>
      <c r="P118" s="4322">
        <f>O118/O$119*'Forecast (BV) 2017'!K$65</f>
        <v>174623.00600449095</v>
      </c>
      <c r="Q118" s="2905">
        <f>P118/P$119*'Forecast (BV) 2017'!L$65</f>
        <v>191334.10308265095</v>
      </c>
      <c r="R118" s="2905">
        <f>Q118/Q$119*'Forecast (BV) 2017'!M$65</f>
        <v>200746.81164839899</v>
      </c>
      <c r="S118" s="2905">
        <f>R118/R$119*'Forecast (BV) 2017'!N$65</f>
        <v>204952.69812227302</v>
      </c>
      <c r="T118" s="2905">
        <f>S118/S$119*'Forecast (BV) 2017'!O$65</f>
        <v>212650.61078202416</v>
      </c>
      <c r="U118" s="2905">
        <f>T118/T$119*'Forecast (BV) 2017'!P$65</f>
        <v>215507.74646785995</v>
      </c>
      <c r="V118" s="2905">
        <f>U118/U$119*'Forecast (BV) 2017'!Q$65</f>
        <v>220897.58778955054</v>
      </c>
      <c r="W118" s="2905">
        <f>V118/V$119*'Forecast (BV) 2017'!R$65</f>
        <v>232083.89042151673</v>
      </c>
      <c r="X118" s="2905">
        <f>W118/W$119*'Forecast (BV) 2017'!S$65</f>
        <v>236834.71155017437</v>
      </c>
      <c r="Y118" s="2905">
        <f>X118/X$119*'Forecast (BV) 2017'!T$65</f>
        <v>242550.9563239945</v>
      </c>
      <c r="Z118" s="2905">
        <f>Y118/Y$119*'Forecast (BV) 2017'!U$65</f>
        <v>256412.50423177468</v>
      </c>
      <c r="AE118" s="13"/>
    </row>
    <row r="119" spans="1:31" s="2" customFormat="1" ht="17.25" customHeight="1">
      <c r="A119" s="411"/>
      <c r="C119" s="236">
        <f>+MAX($C$9:C118)+1</f>
        <v>111</v>
      </c>
      <c r="D119" s="241"/>
      <c r="E119" s="241"/>
      <c r="F119" s="586"/>
      <c r="G119" s="117">
        <f t="shared" ref="G119:Z119" si="18">SUM(G104:G118)</f>
        <v>1239247.3</v>
      </c>
      <c r="H119" s="117">
        <f t="shared" si="18"/>
        <v>1132614.31</v>
      </c>
      <c r="I119" s="117">
        <f t="shared" si="18"/>
        <v>1138700.67</v>
      </c>
      <c r="J119" s="117">
        <f t="shared" si="18"/>
        <v>1450730.67</v>
      </c>
      <c r="K119" s="117">
        <f t="shared" si="18"/>
        <v>1210647.3499999999</v>
      </c>
      <c r="L119" s="117">
        <f t="shared" si="18"/>
        <v>1279812.9400000002</v>
      </c>
      <c r="M119" s="2907">
        <f t="shared" si="18"/>
        <v>1469685.6</v>
      </c>
      <c r="N119" s="2907">
        <f t="shared" si="18"/>
        <v>1297662.7</v>
      </c>
      <c r="O119" s="2907">
        <f t="shared" si="18"/>
        <v>1280121.67</v>
      </c>
      <c r="P119" s="2908">
        <f t="shared" si="18"/>
        <v>1587465.3423760985</v>
      </c>
      <c r="Q119" s="2908">
        <f t="shared" si="18"/>
        <v>1739382.8247952205</v>
      </c>
      <c r="R119" s="2908">
        <f t="shared" si="18"/>
        <v>1824952.0116274948</v>
      </c>
      <c r="S119" s="2908">
        <f t="shared" si="18"/>
        <v>1863186.9450650269</v>
      </c>
      <c r="T119" s="2908">
        <f t="shared" si="18"/>
        <v>1933167.2405346793</v>
      </c>
      <c r="U119" s="2908">
        <f t="shared" si="18"/>
        <v>1959140.9308490793</v>
      </c>
      <c r="V119" s="2908">
        <f t="shared" si="18"/>
        <v>2008138.9780987659</v>
      </c>
      <c r="W119" s="2908">
        <f t="shared" si="18"/>
        <v>2109831.5794569179</v>
      </c>
      <c r="X119" s="2908">
        <f t="shared" si="18"/>
        <v>2153020.4127162546</v>
      </c>
      <c r="Y119" s="2908">
        <f t="shared" si="18"/>
        <v>2204985.7331777783</v>
      </c>
      <c r="Z119" s="2908">
        <f t="shared" si="18"/>
        <v>2330998.4928866625</v>
      </c>
    </row>
    <row r="120" spans="1:31" s="2" customFormat="1" ht="17.25" customHeight="1" thickBot="1">
      <c r="A120" s="411"/>
      <c r="C120" s="236">
        <f>+MAX($C$9:C119)+1</f>
        <v>112</v>
      </c>
      <c r="D120" s="282" t="s">
        <v>520</v>
      </c>
      <c r="E120" s="241"/>
      <c r="F120" s="586"/>
      <c r="G120" s="241"/>
      <c r="H120" s="263"/>
      <c r="I120" s="983"/>
      <c r="J120" s="983"/>
      <c r="K120" s="983"/>
      <c r="L120" s="983"/>
      <c r="M120" s="2920"/>
      <c r="N120" s="11"/>
      <c r="O120" s="11"/>
      <c r="P120" s="11"/>
      <c r="Q120" s="11"/>
      <c r="R120" s="11"/>
      <c r="S120" s="11"/>
      <c r="T120" s="11"/>
      <c r="U120" s="11"/>
      <c r="V120" s="11"/>
      <c r="W120" s="11"/>
      <c r="X120" s="11"/>
      <c r="Y120" s="11"/>
      <c r="Z120" s="11"/>
    </row>
    <row r="121" spans="1:31" s="2" customFormat="1" ht="17.25" customHeight="1">
      <c r="A121" s="411"/>
      <c r="C121" s="236">
        <f>+MAX($C$9:C120)+1</f>
        <v>113</v>
      </c>
      <c r="D121" s="237">
        <v>426300</v>
      </c>
      <c r="E121" s="112" t="s">
        <v>3828</v>
      </c>
      <c r="F121" s="237">
        <v>10</v>
      </c>
      <c r="G121" s="972">
        <v>0</v>
      </c>
      <c r="H121" s="973">
        <v>484222.05</v>
      </c>
      <c r="I121" s="978">
        <v>55946.17</v>
      </c>
      <c r="J121" s="978">
        <v>2273.54</v>
      </c>
      <c r="K121" s="978">
        <v>0</v>
      </c>
      <c r="L121" s="978">
        <v>0</v>
      </c>
      <c r="M121" s="4308">
        <f>SUMIF('Lead Sheet 2015'!$J$624:$J$978,$D121,'Lead Sheet 2015'!$E$624:$E$978)</f>
        <v>0</v>
      </c>
      <c r="N121" s="4309">
        <f>SUMIF('Lead Sheet 2015'!$J$624:$J$978,$D121,'Lead Sheet 2015'!$D$624:$D$978)</f>
        <v>45000</v>
      </c>
      <c r="O121" s="4317">
        <f>SUMIF('Lead Sheet 2015'!$J$624:$J$978,$D121,'Lead Sheet 2015'!$C$624:$C$978)</f>
        <v>-45000</v>
      </c>
      <c r="P121" s="4318">
        <f>O121/O$159*'Forecast (BV) 2017'!K$66</f>
        <v>-52629.727727413847</v>
      </c>
      <c r="Q121" s="2905">
        <f>P121/P$159*'Forecast (BV) 2017'!L$66</f>
        <v>-57706.878890780928</v>
      </c>
      <c r="R121" s="2905">
        <f>Q121/Q$159*'Forecast (BV) 2017'!M$66</f>
        <v>-60577.227111733191</v>
      </c>
      <c r="S121" s="2905">
        <f>R121/R$159*'Forecast (BV) 2017'!N$66</f>
        <v>-61867.00901261752</v>
      </c>
      <c r="T121" s="2905">
        <f>S121/S$159*'Forecast (BV) 2017'!O$66</f>
        <v>-64186.672123138051</v>
      </c>
      <c r="U121" s="2905">
        <f>T121/T$159*'Forecast (BV) 2017'!P$66</f>
        <v>-65115.707703020285</v>
      </c>
      <c r="V121" s="2905">
        <f>U121/U$159*'Forecast (BV) 2017'!Q$66</f>
        <v>-66755.043267993213</v>
      </c>
      <c r="W121" s="2905">
        <f>V121/V$159*'Forecast (BV) 2017'!R$66</f>
        <v>-70085.22923313966</v>
      </c>
      <c r="X121" s="2905">
        <f>W121/W$159*'Forecast (BV) 2017'!S$66</f>
        <v>-71563.98881180145</v>
      </c>
      <c r="Y121" s="2905">
        <f>X121/X$159*'Forecast (BV) 2017'!T$66</f>
        <v>-73321.589271803852</v>
      </c>
      <c r="Z121" s="2905">
        <f>Y121/Y$159*'Forecast (BV) 2017'!U$66</f>
        <v>-77437.118916363455</v>
      </c>
    </row>
    <row r="122" spans="1:31" s="2" customFormat="1" ht="17.25" customHeight="1">
      <c r="A122" s="411"/>
      <c r="C122" s="236">
        <f>+MAX($C$9:C121)+1</f>
        <v>114</v>
      </c>
      <c r="D122" s="237">
        <v>426500</v>
      </c>
      <c r="E122" s="112" t="s">
        <v>812</v>
      </c>
      <c r="F122" s="237"/>
      <c r="G122" s="974"/>
      <c r="H122" s="975"/>
      <c r="I122" s="957"/>
      <c r="J122" s="957"/>
      <c r="K122" s="957">
        <v>0</v>
      </c>
      <c r="L122" s="957">
        <v>0</v>
      </c>
      <c r="M122" s="4311">
        <f>SUMIF('Lead Sheet 2015'!$J$624:$J$978,$D122,'Lead Sheet 2015'!$E$624:$E$978)</f>
        <v>0</v>
      </c>
      <c r="N122" s="4312">
        <f>SUMIF('Lead Sheet 2015'!$J$624:$J$978,$D122,'Lead Sheet 2015'!$D$624:$D$978)</f>
        <v>0.03</v>
      </c>
      <c r="O122" s="4319">
        <f>SUMIF('Lead Sheet 2015'!$J$624:$J$978,$D122,'Lead Sheet 2015'!$C$624:$C$978)</f>
        <v>0</v>
      </c>
      <c r="P122" s="4320">
        <f>O122/O$159*'Forecast (BV) 2017'!K$66</f>
        <v>0</v>
      </c>
      <c r="Q122" s="2905">
        <f>P122/P$159*'Forecast (BV) 2017'!L$66</f>
        <v>0</v>
      </c>
      <c r="R122" s="2905">
        <f>Q122/Q$159*'Forecast (BV) 2017'!M$66</f>
        <v>0</v>
      </c>
      <c r="S122" s="2905">
        <f>R122/R$159*'Forecast (BV) 2017'!N$66</f>
        <v>0</v>
      </c>
      <c r="T122" s="2905">
        <f>S122/S$159*'Forecast (BV) 2017'!O$66</f>
        <v>0</v>
      </c>
      <c r="U122" s="2905">
        <f>T122/T$159*'Forecast (BV) 2017'!P$66</f>
        <v>0</v>
      </c>
      <c r="V122" s="2905">
        <f>U122/U$159*'Forecast (BV) 2017'!Q$66</f>
        <v>0</v>
      </c>
      <c r="W122" s="2905">
        <f>V122/V$159*'Forecast (BV) 2017'!R$66</f>
        <v>0</v>
      </c>
      <c r="X122" s="2905">
        <f>W122/W$159*'Forecast (BV) 2017'!S$66</f>
        <v>0</v>
      </c>
      <c r="Y122" s="2905">
        <f>X122/X$159*'Forecast (BV) 2017'!T$66</f>
        <v>0</v>
      </c>
      <c r="Z122" s="2905">
        <f>Y122/Y$159*'Forecast (BV) 2017'!U$66</f>
        <v>0</v>
      </c>
    </row>
    <row r="123" spans="1:31" s="2" customFormat="1" ht="17.25" customHeight="1">
      <c r="A123" s="411"/>
      <c r="C123" s="236">
        <f>+MAX($C$9:C122)+1</f>
        <v>115</v>
      </c>
      <c r="D123" s="237">
        <v>920010</v>
      </c>
      <c r="E123" s="112" t="s">
        <v>813</v>
      </c>
      <c r="F123" s="237">
        <v>10</v>
      </c>
      <c r="G123" s="974">
        <v>4829773</v>
      </c>
      <c r="H123" s="975">
        <v>5208433.84</v>
      </c>
      <c r="I123" s="957">
        <v>5527775.9800000004</v>
      </c>
      <c r="J123" s="957">
        <v>0</v>
      </c>
      <c r="K123" s="957">
        <v>0</v>
      </c>
      <c r="L123" s="957">
        <v>0</v>
      </c>
      <c r="M123" s="4311">
        <f>SUMIF('Lead Sheet 2015'!$J$624:$J$978,$D123,'Lead Sheet 2015'!$E$624:$E$978)</f>
        <v>0</v>
      </c>
      <c r="N123" s="4312">
        <f>SUMIF('Lead Sheet 2015'!$J$624:$J$978,$D123,'Lead Sheet 2015'!$D$624:$D$978)</f>
        <v>0</v>
      </c>
      <c r="O123" s="4319">
        <f>SUMIF('Lead Sheet 2015'!$J$624:$J$978,$D123,'Lead Sheet 2015'!$C$624:$C$978)</f>
        <v>31552.77</v>
      </c>
      <c r="P123" s="4320">
        <f>O123/O$159*'Forecast (BV) 2017'!K$66</f>
        <v>36902.526536571371</v>
      </c>
      <c r="Q123" s="2905">
        <f>P123/P$159*'Forecast (BV) 2017'!L$66</f>
        <v>40462.486156859239</v>
      </c>
      <c r="R123" s="2905">
        <f>Q123/Q$159*'Forecast (BV) 2017'!M$66</f>
        <v>42475.095873206257</v>
      </c>
      <c r="S123" s="2905">
        <f>R123/R$159*'Forecast (BV) 2017'!N$66</f>
        <v>43379.455688067726</v>
      </c>
      <c r="T123" s="2905">
        <f>S123/S$159*'Forecast (BV) 2017'!O$66</f>
        <v>45005.940057039697</v>
      </c>
      <c r="U123" s="2905">
        <f>T123/T$159*'Forecast (BV) 2017'!P$66</f>
        <v>45657.354412013934</v>
      </c>
      <c r="V123" s="2905">
        <f>U123/U$159*'Forecast (BV) 2017'!Q$66</f>
        <v>46806.811701667517</v>
      </c>
      <c r="W123" s="2905">
        <f>V123/V$159*'Forecast (BV) 2017'!R$66</f>
        <v>49141.847075345162</v>
      </c>
      <c r="X123" s="2905">
        <f>W123/W$159*'Forecast (BV) 2017'!S$66</f>
        <v>50178.712872474323</v>
      </c>
      <c r="Y123" s="2905">
        <f>X123/X$159*'Forecast (BV) 2017'!T$66</f>
        <v>51411.094273948773</v>
      </c>
      <c r="Z123" s="2905">
        <f>Y123/Y$159*'Forecast (BV) 2017'!U$66</f>
        <v>54296.791169570351</v>
      </c>
    </row>
    <row r="124" spans="1:31" s="2" customFormat="1" ht="17.25" customHeight="1">
      <c r="A124" s="411"/>
      <c r="C124" s="236">
        <f>+MAX($C$9:C123)+1</f>
        <v>116</v>
      </c>
      <c r="D124" s="237">
        <v>920030</v>
      </c>
      <c r="E124" s="112" t="s">
        <v>814</v>
      </c>
      <c r="F124" s="237">
        <v>10</v>
      </c>
      <c r="G124" s="974">
        <v>157912.09</v>
      </c>
      <c r="H124" s="975">
        <v>149097.21</v>
      </c>
      <c r="I124" s="957">
        <v>162866.39000000001</v>
      </c>
      <c r="J124" s="957">
        <v>0</v>
      </c>
      <c r="K124" s="957">
        <v>0</v>
      </c>
      <c r="L124" s="957">
        <v>0</v>
      </c>
      <c r="M124" s="4311">
        <f>SUMIF('Lead Sheet 2015'!$J$624:$J$978,$D124,'Lead Sheet 2015'!$E$624:$E$978)</f>
        <v>0</v>
      </c>
      <c r="N124" s="4312">
        <f>SUMIF('Lead Sheet 2015'!$J$624:$J$978,$D124,'Lead Sheet 2015'!$D$624:$D$978)</f>
        <v>0</v>
      </c>
      <c r="O124" s="4319">
        <f>SUMIF('Lead Sheet 2015'!$J$624:$J$978,$D124,'Lead Sheet 2015'!$C$624:$C$978)</f>
        <v>0</v>
      </c>
      <c r="P124" s="4320">
        <f>O124/O$159*'Forecast (BV) 2017'!K$66</f>
        <v>0</v>
      </c>
      <c r="Q124" s="2905">
        <f>P124/P$159*'Forecast (BV) 2017'!L$66</f>
        <v>0</v>
      </c>
      <c r="R124" s="2905">
        <f>Q124/Q$159*'Forecast (BV) 2017'!M$66</f>
        <v>0</v>
      </c>
      <c r="S124" s="2905">
        <f>R124/R$159*'Forecast (BV) 2017'!N$66</f>
        <v>0</v>
      </c>
      <c r="T124" s="2905">
        <f>S124/S$159*'Forecast (BV) 2017'!O$66</f>
        <v>0</v>
      </c>
      <c r="U124" s="2905">
        <f>T124/T$159*'Forecast (BV) 2017'!P$66</f>
        <v>0</v>
      </c>
      <c r="V124" s="2905">
        <f>U124/U$159*'Forecast (BV) 2017'!Q$66</f>
        <v>0</v>
      </c>
      <c r="W124" s="2905">
        <f>V124/V$159*'Forecast (BV) 2017'!R$66</f>
        <v>0</v>
      </c>
      <c r="X124" s="2905">
        <f>W124/W$159*'Forecast (BV) 2017'!S$66</f>
        <v>0</v>
      </c>
      <c r="Y124" s="2905">
        <f>X124/X$159*'Forecast (BV) 2017'!T$66</f>
        <v>0</v>
      </c>
      <c r="Z124" s="2905">
        <f>Y124/Y$159*'Forecast (BV) 2017'!U$66</f>
        <v>0</v>
      </c>
    </row>
    <row r="125" spans="1:31" s="2" customFormat="1" ht="17.25" customHeight="1">
      <c r="A125" s="411"/>
      <c r="C125" s="236">
        <f>+MAX($C$9:C124)+1</f>
        <v>117</v>
      </c>
      <c r="D125" s="237">
        <v>920050</v>
      </c>
      <c r="E125" s="112" t="s">
        <v>1843</v>
      </c>
      <c r="F125" s="237">
        <v>10</v>
      </c>
      <c r="G125" s="974"/>
      <c r="H125" s="975"/>
      <c r="I125" s="957">
        <v>0</v>
      </c>
      <c r="J125" s="957">
        <v>992.61</v>
      </c>
      <c r="K125" s="957">
        <v>50762.46</v>
      </c>
      <c r="L125" s="957">
        <v>53983.06</v>
      </c>
      <c r="M125" s="4311">
        <f>SUMIF('Lead Sheet 2015'!$J$624:$J$978,$D125,'Lead Sheet 2015'!$E$624:$E$978)</f>
        <v>58765.72</v>
      </c>
      <c r="N125" s="4312">
        <f>SUMIF('Lead Sheet 2015'!$J$624:$J$978,$D125,'Lead Sheet 2015'!$D$624:$D$978)</f>
        <v>63889.86</v>
      </c>
      <c r="O125" s="4319">
        <f>SUMIF('Lead Sheet 2015'!$J$624:$J$978,$D125,'Lead Sheet 2015'!$C$624:$C$978)</f>
        <v>67639.55</v>
      </c>
      <c r="P125" s="4320">
        <f>O125/O$159*'Forecast (BV) 2017'!K$66</f>
        <v>79107.802224551007</v>
      </c>
      <c r="Q125" s="2905">
        <f>P125/P$159*'Forecast (BV) 2017'!L$66</f>
        <v>86739.273779487135</v>
      </c>
      <c r="R125" s="2905">
        <f>Q125/Q$159*'Forecast (BV) 2017'!M$66</f>
        <v>91053.69737967629</v>
      </c>
      <c r="S125" s="2905">
        <f>R125/R$159*'Forecast (BV) 2017'!N$66</f>
        <v>92992.369987986516</v>
      </c>
      <c r="T125" s="2905">
        <f>S125/S$159*'Forecast (BV) 2017'!O$66</f>
        <v>96479.058186813374</v>
      </c>
      <c r="U125" s="2905">
        <f>T125/T$159*'Forecast (BV) 2017'!P$66</f>
        <v>97875.492599196121</v>
      </c>
      <c r="V125" s="2905">
        <f>U125/U$159*'Forecast (BV) 2017'!Q$66</f>
        <v>100339.5797083909</v>
      </c>
      <c r="W125" s="2905">
        <f>V125/V$159*'Forecast (BV) 2017'!R$66</f>
        <v>105345.18593280917</v>
      </c>
      <c r="X125" s="2905">
        <f>W125/W$159*'Forecast (BV) 2017'!S$66</f>
        <v>107567.9110985619</v>
      </c>
      <c r="Y125" s="2905">
        <f>X125/X$159*'Forecast (BV) 2017'!T$66</f>
        <v>110209.76230288092</v>
      </c>
      <c r="Z125" s="2905">
        <f>Y125/Y$159*'Forecast (BV) 2017'!U$66</f>
        <v>116395.81948442919</v>
      </c>
    </row>
    <row r="126" spans="1:31" s="2" customFormat="1" ht="17.25" customHeight="1">
      <c r="A126" s="411"/>
      <c r="C126" s="236">
        <f>+MAX($C$9:C125)+1</f>
        <v>118</v>
      </c>
      <c r="D126" s="237">
        <v>920060</v>
      </c>
      <c r="E126" s="112" t="s">
        <v>3829</v>
      </c>
      <c r="F126" s="237"/>
      <c r="G126" s="974"/>
      <c r="H126" s="975"/>
      <c r="I126" s="957"/>
      <c r="J126" s="957"/>
      <c r="K126" s="957">
        <v>50762.46</v>
      </c>
      <c r="L126" s="957">
        <v>53983.06</v>
      </c>
      <c r="M126" s="4311">
        <f>SUMIF('Lead Sheet 2015'!$J$624:$J$978,$D126,'Lead Sheet 2015'!$E$624:$E$978)</f>
        <v>0</v>
      </c>
      <c r="N126" s="4312">
        <f>SUMIF('Lead Sheet 2015'!$J$624:$J$978,$D126,'Lead Sheet 2015'!$D$624:$D$978)</f>
        <v>0</v>
      </c>
      <c r="O126" s="4319">
        <f>SUMIF('Lead Sheet 2015'!$J$624:$J$978,$D126,'Lead Sheet 2015'!$C$624:$C$978)</f>
        <v>61712.28</v>
      </c>
      <c r="P126" s="4320">
        <f>O126/O$159*'Forecast (BV) 2017'!K$66</f>
        <v>72175.566529731703</v>
      </c>
      <c r="Q126" s="2905">
        <f>P126/P$159*'Forecast (BV) 2017'!L$66</f>
        <v>79138.290400754704</v>
      </c>
      <c r="R126" s="2905">
        <f>Q126/Q$159*'Forecast (BV) 2017'!M$66</f>
        <v>83074.640025397108</v>
      </c>
      <c r="S126" s="2905">
        <f>R126/R$159*'Forecast (BV) 2017'!N$66</f>
        <v>84843.426287759459</v>
      </c>
      <c r="T126" s="2905">
        <f>S126/S$159*'Forecast (BV) 2017'!O$66</f>
        <v>88024.575162917536</v>
      </c>
      <c r="U126" s="2905">
        <f>T126/T$159*'Forecast (BV) 2017'!P$66</f>
        <v>89298.63969259875</v>
      </c>
      <c r="V126" s="2905">
        <f>U126/U$159*'Forecast (BV) 2017'!Q$66</f>
        <v>91546.798257033603</v>
      </c>
      <c r="W126" s="2905">
        <f>V126/V$159*'Forecast (BV) 2017'!R$66</f>
        <v>96113.762006660007</v>
      </c>
      <c r="X126" s="2905">
        <f>W126/W$159*'Forecast (BV) 2017'!S$66</f>
        <v>98141.709232683526</v>
      </c>
      <c r="Y126" s="2905">
        <f>X126/X$159*'Forecast (BV) 2017'!T$66</f>
        <v>100552.05438192347</v>
      </c>
      <c r="Z126" s="2905">
        <f>Y126/Y$159*'Forecast (BV) 2017'!U$66</f>
        <v>106196.0258879982</v>
      </c>
    </row>
    <row r="127" spans="1:31" s="2" customFormat="1" ht="17.25" customHeight="1">
      <c r="A127" s="411"/>
      <c r="C127" s="236">
        <f>+MAX($C$9:C126)+1</f>
        <v>119</v>
      </c>
      <c r="D127" s="237">
        <v>921010</v>
      </c>
      <c r="E127" s="112" t="s">
        <v>815</v>
      </c>
      <c r="F127" s="237">
        <v>10</v>
      </c>
      <c r="G127" s="974">
        <v>1724478.84</v>
      </c>
      <c r="H127" s="975">
        <v>1473260.48</v>
      </c>
      <c r="I127" s="957">
        <v>1433230.87</v>
      </c>
      <c r="J127" s="957">
        <v>7096350.6399999997</v>
      </c>
      <c r="K127" s="957">
        <v>6874597.0599999996</v>
      </c>
      <c r="L127" s="957">
        <v>6626580.7699999996</v>
      </c>
      <c r="M127" s="4311">
        <f>SUMIF('Lead Sheet 2015'!$J$624:$J$978,$D127,'Lead Sheet 2015'!$E$624:$E$978)</f>
        <v>6305510.0999999996</v>
      </c>
      <c r="N127" s="4312">
        <f>SUMIF('Lead Sheet 2015'!$J$624:$J$978,$D127,'Lead Sheet 2015'!$D$624:$D$978)</f>
        <v>6704236.5800000001</v>
      </c>
      <c r="O127" s="4319">
        <f>SUMIF('Lead Sheet 2015'!$J$624:$J$978,$D127,'Lead Sheet 2015'!$C$624:$C$978)</f>
        <v>7086539.9900000002</v>
      </c>
      <c r="P127" s="4320">
        <f>O127/O$159*'Forecast (BV) 2017'!K$66</f>
        <v>8288059.3378473343</v>
      </c>
      <c r="Q127" s="2905">
        <f>P127/P$159*'Forecast (BV) 2017'!L$66</f>
        <v>9087602.3323912416</v>
      </c>
      <c r="R127" s="2905">
        <f>Q127/Q$159*'Forecast (BV) 2017'!M$66</f>
        <v>9539620.942457987</v>
      </c>
      <c r="S127" s="2905">
        <f>R127/R$159*'Forecast (BV) 2017'!N$66</f>
        <v>9742734.0762134325</v>
      </c>
      <c r="T127" s="2905">
        <f>S127/S$159*'Forecast (BV) 2017'!O$66</f>
        <v>10108031.529458577</v>
      </c>
      <c r="U127" s="2905">
        <f>T127/T$159*'Forecast (BV) 2017'!P$66</f>
        <v>10254334.813657872</v>
      </c>
      <c r="V127" s="2905">
        <f>U127/U$159*'Forecast (BV) 2017'!Q$66</f>
        <v>10512495.192284759</v>
      </c>
      <c r="W127" s="2905">
        <f>V127/V$159*'Forecast (BV) 2017'!R$66</f>
        <v>11036928.437088028</v>
      </c>
      <c r="X127" s="2905">
        <f>W127/W$159*'Forecast (BV) 2017'!S$66</f>
        <v>11269801.523527637</v>
      </c>
      <c r="Y127" s="2905">
        <f>X127/X$159*'Forecast (BV) 2017'!T$66</f>
        <v>11546586.100110959</v>
      </c>
      <c r="Z127" s="2905">
        <f>Y127/Y$159*'Forecast (BV) 2017'!U$66</f>
        <v>12194694.220248785</v>
      </c>
    </row>
    <row r="128" spans="1:31" s="2" customFormat="1" ht="17.25" customHeight="1">
      <c r="A128" s="411"/>
      <c r="C128" s="236">
        <f>+MAX($C$9:C127)+1</f>
        <v>120</v>
      </c>
      <c r="D128" s="237">
        <v>921030</v>
      </c>
      <c r="E128" s="112" t="s">
        <v>816</v>
      </c>
      <c r="F128" s="237">
        <v>10</v>
      </c>
      <c r="G128" s="974">
        <v>107246.39999999999</v>
      </c>
      <c r="H128" s="975">
        <v>302580.95</v>
      </c>
      <c r="I128" s="957">
        <v>191394.11</v>
      </c>
      <c r="J128" s="957">
        <v>60405.45</v>
      </c>
      <c r="K128" s="957">
        <v>31001.34</v>
      </c>
      <c r="L128" s="957">
        <v>25853.08</v>
      </c>
      <c r="M128" s="4311">
        <f>SUMIF('Lead Sheet 2015'!$J$624:$J$978,$D128,'Lead Sheet 2015'!$E$624:$E$978)</f>
        <v>46708.76</v>
      </c>
      <c r="N128" s="4312">
        <f>SUMIF('Lead Sheet 2015'!$J$624:$J$978,$D128,'Lead Sheet 2015'!$D$624:$D$978)</f>
        <v>28537.360000000001</v>
      </c>
      <c r="O128" s="4319">
        <f>SUMIF('Lead Sheet 2015'!$J$624:$J$978,$D128,'Lead Sheet 2015'!$C$624:$C$978)</f>
        <v>90857.24</v>
      </c>
      <c r="P128" s="4320">
        <f>O128/O$159*'Forecast (BV) 2017'!K$66</f>
        <v>106262.04007253988</v>
      </c>
      <c r="Q128" s="2905">
        <f>P128/P$159*'Forecast (BV) 2017'!L$66</f>
        <v>116513.06100068038</v>
      </c>
      <c r="R128" s="2905">
        <f>Q128/Q$159*'Forecast (BV) 2017'!M$66</f>
        <v>122308.43693833888</v>
      </c>
      <c r="S128" s="2905">
        <f>R128/R$159*'Forecast (BV) 2017'!N$66</f>
        <v>124912.57079870118</v>
      </c>
      <c r="T128" s="2905">
        <f>S128/S$159*'Forecast (BV) 2017'!O$66</f>
        <v>129596.08608651697</v>
      </c>
      <c r="U128" s="2905">
        <f>T128/T$159*'Forecast (BV) 2017'!P$66</f>
        <v>131471.85516762585</v>
      </c>
      <c r="V128" s="2905">
        <f>U128/U$159*'Forecast (BV) 2017'!Q$66</f>
        <v>134781.75527578764</v>
      </c>
      <c r="W128" s="2905">
        <f>V128/V$159*'Forecast (BV) 2017'!R$66</f>
        <v>141505.56650867526</v>
      </c>
      <c r="X128" s="2905">
        <f>W128/W$159*'Forecast (BV) 2017'!S$66</f>
        <v>144491.25570735912</v>
      </c>
      <c r="Y128" s="2905">
        <f>X128/X$159*'Forecast (BV) 2017'!T$66</f>
        <v>148039.93852554911</v>
      </c>
      <c r="Z128" s="2905">
        <f>Y128/Y$159*'Forecast (BV) 2017'!U$66</f>
        <v>156349.39773983505</v>
      </c>
    </row>
    <row r="129" spans="1:26" s="2" customFormat="1" ht="17.25" customHeight="1">
      <c r="A129" s="411"/>
      <c r="C129" s="236">
        <f>+MAX($C$9:C128)+1</f>
        <v>121</v>
      </c>
      <c r="D129" s="237">
        <v>921500</v>
      </c>
      <c r="E129" s="112" t="s">
        <v>817</v>
      </c>
      <c r="F129" s="237">
        <v>10</v>
      </c>
      <c r="G129" s="974">
        <v>38275.82</v>
      </c>
      <c r="H129" s="975">
        <v>24988.21</v>
      </c>
      <c r="I129" s="957">
        <v>22072.1</v>
      </c>
      <c r="J129" s="957">
        <v>27448.22</v>
      </c>
      <c r="K129" s="957">
        <v>21576.7</v>
      </c>
      <c r="L129" s="957">
        <v>23273.74</v>
      </c>
      <c r="M129" s="4311">
        <f>SUMIF('Lead Sheet 2015'!$J$624:$J$978,$D129,'Lead Sheet 2015'!$E$624:$E$978)</f>
        <v>43161.33</v>
      </c>
      <c r="N129" s="4312">
        <f>SUMIF('Lead Sheet 2015'!$J$624:$J$978,$D129,'Lead Sheet 2015'!$D$624:$D$978)</f>
        <v>41900.67</v>
      </c>
      <c r="O129" s="4319">
        <f>SUMIF('Lead Sheet 2015'!$J$624:$J$978,$D129,'Lead Sheet 2015'!$C$624:$C$978)</f>
        <v>37033.08</v>
      </c>
      <c r="P129" s="4320">
        <f>O129/O$159*'Forecast (BV) 2017'!K$66</f>
        <v>43312.020384611897</v>
      </c>
      <c r="Q129" s="2905">
        <f>P129/P$159*'Forecast (BV) 2017'!L$66</f>
        <v>47490.299166946701</v>
      </c>
      <c r="R129" s="2905">
        <f>Q129/Q$159*'Forecast (BV) 2017'!M$66</f>
        <v>49852.473284599655</v>
      </c>
      <c r="S129" s="2905">
        <f>R129/R$159*'Forecast (BV) 2017'!N$66</f>
        <v>50913.908758333018</v>
      </c>
      <c r="T129" s="2905">
        <f>S129/S$159*'Forecast (BV) 2017'!O$66</f>
        <v>52822.892525998701</v>
      </c>
      <c r="U129" s="2905">
        <f>T129/T$159*'Forecast (BV) 2017'!P$66</f>
        <v>53587.449169390369</v>
      </c>
      <c r="V129" s="2905">
        <f>U129/U$159*'Forecast (BV) 2017'!Q$66</f>
        <v>54936.552394378989</v>
      </c>
      <c r="W129" s="2905">
        <f>V129/V$159*'Forecast (BV) 2017'!R$66</f>
        <v>57677.153355760005</v>
      </c>
      <c r="X129" s="2905">
        <f>W129/W$159*'Forecast (BV) 2017'!S$66</f>
        <v>58894.109395256644</v>
      </c>
      <c r="Y129" s="2905">
        <f>X129/X$159*'Forecast (BV) 2017'!T$66</f>
        <v>60340.539582885664</v>
      </c>
      <c r="Z129" s="2905">
        <f>Y129/Y$159*'Forecast (BV) 2017'!U$66</f>
        <v>63727.444884426724</v>
      </c>
    </row>
    <row r="130" spans="1:26" s="2" customFormat="1" ht="17.25" customHeight="1">
      <c r="A130" s="411"/>
      <c r="C130" s="236">
        <f>+MAX($C$9:C129)+1</f>
        <v>122</v>
      </c>
      <c r="D130" s="237">
        <v>921600</v>
      </c>
      <c r="E130" s="112" t="s">
        <v>818</v>
      </c>
      <c r="F130" s="237">
        <v>10</v>
      </c>
      <c r="G130" s="974">
        <v>34370.07</v>
      </c>
      <c r="H130" s="975">
        <v>30403.13</v>
      </c>
      <c r="I130" s="957">
        <v>21200.84</v>
      </c>
      <c r="J130" s="957">
        <v>40540.720000000001</v>
      </c>
      <c r="K130" s="957">
        <v>58478.9</v>
      </c>
      <c r="L130" s="957">
        <v>24096.080000000002</v>
      </c>
      <c r="M130" s="4311">
        <f>SUMIF('Lead Sheet 2015'!$J$624:$J$978,$D130,'Lead Sheet 2015'!$E$624:$E$978)</f>
        <v>25970.09</v>
      </c>
      <c r="N130" s="4312">
        <f>SUMIF('Lead Sheet 2015'!$J$624:$J$978,$D130,'Lead Sheet 2015'!$D$624:$D$978)</f>
        <v>19215.849999999999</v>
      </c>
      <c r="O130" s="4319">
        <f>SUMIF('Lead Sheet 2015'!$J$624:$J$978,$D130,'Lead Sheet 2015'!$C$624:$C$978)</f>
        <v>26066.720000000001</v>
      </c>
      <c r="P130" s="4320">
        <f>O130/O$159*'Forecast (BV) 2017'!K$66</f>
        <v>30486.319474371849</v>
      </c>
      <c r="Q130" s="2905">
        <f>P130/P$159*'Forecast (BV) 2017'!L$66</f>
        <v>33427.312313775488</v>
      </c>
      <c r="R130" s="2905">
        <f>Q130/Q$159*'Forecast (BV) 2017'!M$66</f>
        <v>35089.991499954616</v>
      </c>
      <c r="S130" s="2905">
        <f>R130/R$159*'Forecast (BV) 2017'!N$66</f>
        <v>35837.111137097272</v>
      </c>
      <c r="T130" s="2905">
        <f>S130/S$159*'Forecast (BV) 2017'!O$66</f>
        <v>37180.800221458776</v>
      </c>
      <c r="U130" s="2905">
        <f>T130/T$159*'Forecast (BV) 2017'!P$66</f>
        <v>37718.953784366066</v>
      </c>
      <c r="V130" s="2905">
        <f>U130/U$159*'Forecast (BV) 2017'!Q$66</f>
        <v>38668.556032325869</v>
      </c>
      <c r="W130" s="2905">
        <f>V130/V$159*'Forecast (BV) 2017'!R$66</f>
        <v>40597.601034579253</v>
      </c>
      <c r="X130" s="2905">
        <f>W130/W$159*'Forecast (BV) 2017'!S$66</f>
        <v>41454.187965341363</v>
      </c>
      <c r="Y130" s="2905">
        <f>X130/X$159*'Forecast (BV) 2017'!T$66</f>
        <v>42472.296388958122</v>
      </c>
      <c r="Z130" s="2905">
        <f>Y130/Y$159*'Forecast (BV) 2017'!U$66</f>
        <v>44856.259919990007</v>
      </c>
    </row>
    <row r="131" spans="1:26" s="2" customFormat="1" ht="17.25" customHeight="1">
      <c r="A131" s="411"/>
      <c r="C131" s="236">
        <f>+MAX($C$9:C130)+1</f>
        <v>123</v>
      </c>
      <c r="D131" s="237">
        <v>923010</v>
      </c>
      <c r="E131" s="112" t="s">
        <v>819</v>
      </c>
      <c r="F131" s="237">
        <v>10</v>
      </c>
      <c r="G131" s="974">
        <v>347750.35</v>
      </c>
      <c r="H131" s="975">
        <v>229723.18</v>
      </c>
      <c r="I131" s="957">
        <v>247729.24</v>
      </c>
      <c r="J131" s="957">
        <v>210135.2</v>
      </c>
      <c r="K131" s="957">
        <v>154826.75</v>
      </c>
      <c r="L131" s="957">
        <v>245153.04</v>
      </c>
      <c r="M131" s="4311">
        <f>SUMIF('Lead Sheet 2015'!$J$624:$J$978,$D131,'Lead Sheet 2015'!$E$624:$E$978)</f>
        <v>227148.42</v>
      </c>
      <c r="N131" s="4312">
        <f>SUMIF('Lead Sheet 2015'!$J$624:$J$978,$D131,'Lead Sheet 2015'!$D$624:$D$978)</f>
        <v>246035.14</v>
      </c>
      <c r="O131" s="4319">
        <f>SUMIF('Lead Sheet 2015'!$J$624:$J$978,$D131,'Lead Sheet 2015'!$C$624:$C$978)</f>
        <v>271364.78999999998</v>
      </c>
      <c r="P131" s="4320">
        <f>O131/O$159*'Forecast (BV) 2017'!K$66</f>
        <v>317374.55583348521</v>
      </c>
      <c r="Q131" s="2905">
        <f>P131/P$159*'Forecast (BV) 2017'!L$66</f>
        <v>347991.44603893772</v>
      </c>
      <c r="R131" s="2905">
        <f>Q131/Q$159*'Forecast (BV) 2017'!M$66</f>
        <v>365300.5891990618</v>
      </c>
      <c r="S131" s="2905">
        <f>R131/R$159*'Forecast (BV) 2017'!N$66</f>
        <v>373078.39796971239</v>
      </c>
      <c r="T131" s="2905">
        <f>S131/S$159*'Forecast (BV) 2017'!O$66</f>
        <v>387066.72892209346</v>
      </c>
      <c r="U131" s="2905">
        <f>T131/T$159*'Forecast (BV) 2017'!P$66</f>
        <v>392669.11881181062</v>
      </c>
      <c r="V131" s="2905">
        <f>U131/U$159*'Forecast (BV) 2017'!Q$66</f>
        <v>402554.85106355307</v>
      </c>
      <c r="W131" s="2905">
        <f>V131/V$159*'Forecast (BV) 2017'!R$66</f>
        <v>422636.9669545067</v>
      </c>
      <c r="X131" s="2905">
        <f>W131/W$159*'Forecast (BV) 2017'!S$66</f>
        <v>431554.37323281885</v>
      </c>
      <c r="Y131" s="2905">
        <f>X131/X$159*'Forecast (BV) 2017'!T$66</f>
        <v>442153.28167131788</v>
      </c>
      <c r="Z131" s="2905">
        <f>Y131/Y$159*'Forecast (BV) 2017'!U$66</f>
        <v>466971.2780654222</v>
      </c>
    </row>
    <row r="132" spans="1:26" s="2" customFormat="1" ht="17.25" customHeight="1">
      <c r="A132" s="411"/>
      <c r="C132" s="236">
        <f>+MAX($C$9:C131)+1</f>
        <v>124</v>
      </c>
      <c r="D132" s="237">
        <v>923020</v>
      </c>
      <c r="E132" s="112" t="s">
        <v>820</v>
      </c>
      <c r="F132" s="237">
        <v>10</v>
      </c>
      <c r="G132" s="974">
        <v>90037.24</v>
      </c>
      <c r="H132" s="975">
        <v>104448.5</v>
      </c>
      <c r="I132" s="957">
        <v>49250</v>
      </c>
      <c r="J132" s="957">
        <v>127087.9</v>
      </c>
      <c r="K132" s="957">
        <v>81741.399999999994</v>
      </c>
      <c r="L132" s="957">
        <v>96620.05</v>
      </c>
      <c r="M132" s="4311">
        <f>SUMIF('Lead Sheet 2015'!$J$624:$J$978,$D132,'Lead Sheet 2015'!$E$624:$E$978)</f>
        <v>99043.7</v>
      </c>
      <c r="N132" s="4312">
        <f>SUMIF('Lead Sheet 2015'!$J$624:$J$978,$D132,'Lead Sheet 2015'!$D$624:$D$978)</f>
        <v>75414.5</v>
      </c>
      <c r="O132" s="4319">
        <f>SUMIF('Lead Sheet 2015'!$J$624:$J$978,$D132,'Lead Sheet 2015'!$C$624:$C$978)</f>
        <v>91383.64</v>
      </c>
      <c r="P132" s="4320">
        <f>O132/O$159*'Forecast (BV) 2017'!K$66</f>
        <v>106877.69093200011</v>
      </c>
      <c r="Q132" s="2905">
        <f>P132/P$159*'Forecast (BV) 2017'!L$66</f>
        <v>117188.10324619386</v>
      </c>
      <c r="R132" s="2905">
        <f>Q132/Q$159*'Forecast (BV) 2017'!M$66</f>
        <v>123017.0558794859</v>
      </c>
      <c r="S132" s="2905">
        <f>R132/R$159*'Forecast (BV) 2017'!N$66</f>
        <v>125636.27732190654</v>
      </c>
      <c r="T132" s="2905">
        <f>S132/S$159*'Forecast (BV) 2017'!O$66</f>
        <v>130346.92751330849</v>
      </c>
      <c r="U132" s="2905">
        <f>T132/T$159*'Forecast (BV) 2017'!P$66</f>
        <v>132233.56424617846</v>
      </c>
      <c r="V132" s="2905">
        <f>U132/U$159*'Forecast (BV) 2017'!Q$66</f>
        <v>135562.64093748253</v>
      </c>
      <c r="W132" s="2905">
        <f>V132/V$159*'Forecast (BV) 2017'!R$66</f>
        <v>142325.40794574912</v>
      </c>
      <c r="X132" s="2905">
        <f>W132/W$159*'Forecast (BV) 2017'!S$66</f>
        <v>145328.3953453709</v>
      </c>
      <c r="Y132" s="2905">
        <f>X132/X$159*'Forecast (BV) 2017'!T$66</f>
        <v>148897.63818316412</v>
      </c>
      <c r="Z132" s="2905">
        <f>Y132/Y$159*'Forecast (BV) 2017'!U$66</f>
        <v>157255.23994866997</v>
      </c>
    </row>
    <row r="133" spans="1:26" s="2" customFormat="1" ht="17.25" customHeight="1">
      <c r="A133" s="411"/>
      <c r="C133" s="236">
        <f>+MAX($C$9:C132)+1</f>
        <v>125</v>
      </c>
      <c r="D133" s="237">
        <v>923030</v>
      </c>
      <c r="E133" s="112" t="s">
        <v>821</v>
      </c>
      <c r="F133" s="237">
        <v>10</v>
      </c>
      <c r="G133" s="974">
        <v>284477.62</v>
      </c>
      <c r="H133" s="975">
        <v>124071.01</v>
      </c>
      <c r="I133" s="957">
        <v>236068.85</v>
      </c>
      <c r="J133" s="957">
        <v>6683.31</v>
      </c>
      <c r="K133" s="957">
        <v>345.03</v>
      </c>
      <c r="L133" s="957">
        <v>0</v>
      </c>
      <c r="M133" s="4311">
        <f>SUMIF('Lead Sheet 2015'!$J$624:$J$978,$D133,'Lead Sheet 2015'!$E$624:$E$978)</f>
        <v>5154.5</v>
      </c>
      <c r="N133" s="4312">
        <f>SUMIF('Lead Sheet 2015'!$J$624:$J$978,$D133,'Lead Sheet 2015'!$D$624:$D$978)</f>
        <v>57630.03</v>
      </c>
      <c r="O133" s="4319">
        <f>SUMIF('Lead Sheet 2015'!$J$624:$J$978,$D133,'Lead Sheet 2015'!$C$624:$C$978)</f>
        <v>47699.57</v>
      </c>
      <c r="P133" s="4320">
        <f>O133/O$159*'Forecast (BV) 2017'!K$66</f>
        <v>55787.008484771504</v>
      </c>
      <c r="Q133" s="2905">
        <f>P133/P$159*'Forecast (BV) 2017'!L$66</f>
        <v>61168.740202940608</v>
      </c>
      <c r="R133" s="2905">
        <f>Q133/Q$159*'Forecast (BV) 2017'!M$66</f>
        <v>64211.281889378115</v>
      </c>
      <c r="S133" s="2905">
        <f>R133/R$159*'Forecast (BV) 2017'!N$66</f>
        <v>65578.438379732892</v>
      </c>
      <c r="T133" s="2905">
        <f>S133/S$159*'Forecast (BV) 2017'!O$66</f>
        <v>68037.259111214924</v>
      </c>
      <c r="U133" s="2905">
        <f>T133/T$159*'Forecast (BV) 2017'!P$66</f>
        <v>69022.027948439005</v>
      </c>
      <c r="V133" s="2905">
        <f>U133/U$159*'Forecast (BV) 2017'!Q$66</f>
        <v>70759.707982548251</v>
      </c>
      <c r="W133" s="2905">
        <f>V133/V$159*'Forecast (BV) 2017'!R$66</f>
        <v>74289.673283826487</v>
      </c>
      <c r="X133" s="2905">
        <f>W133/W$159*'Forecast (BV) 2017'!S$66</f>
        <v>75857.144306838687</v>
      </c>
      <c r="Y133" s="2905">
        <f>X133/X$159*'Forecast (BV) 2017'!T$66</f>
        <v>77720.183999592395</v>
      </c>
      <c r="Z133" s="2905">
        <f>Y133/Y$159*'Forecast (BV) 2017'!U$66</f>
        <v>82082.606096653428</v>
      </c>
    </row>
    <row r="134" spans="1:26" s="2" customFormat="1" ht="17.25" customHeight="1">
      <c r="A134" s="411"/>
      <c r="C134" s="236">
        <f>+MAX($C$9:C133)+1</f>
        <v>126</v>
      </c>
      <c r="D134" s="237">
        <v>923040</v>
      </c>
      <c r="E134" s="112" t="s">
        <v>822</v>
      </c>
      <c r="F134" s="237">
        <v>10</v>
      </c>
      <c r="G134" s="974">
        <v>2694.12</v>
      </c>
      <c r="H134" s="975">
        <v>5710.17</v>
      </c>
      <c r="I134" s="957">
        <v>3881.54</v>
      </c>
      <c r="J134" s="957">
        <v>232.52</v>
      </c>
      <c r="K134" s="957">
        <v>0</v>
      </c>
      <c r="L134" s="957">
        <v>0</v>
      </c>
      <c r="M134" s="4311">
        <f>SUMIF('Lead Sheet 2015'!$J$624:$J$978,$D134,'Lead Sheet 2015'!$E$624:$E$978)</f>
        <v>0</v>
      </c>
      <c r="N134" s="4312">
        <f>SUMIF('Lead Sheet 2015'!$J$624:$J$978,$D134,'Lead Sheet 2015'!$D$624:$D$978)</f>
        <v>0</v>
      </c>
      <c r="O134" s="4319">
        <f>SUMIF('Lead Sheet 2015'!$J$624:$J$978,$D134,'Lead Sheet 2015'!$C$624:$C$978)</f>
        <v>0</v>
      </c>
      <c r="P134" s="4320">
        <f>O134/O$159*'Forecast (BV) 2017'!K$66</f>
        <v>0</v>
      </c>
      <c r="Q134" s="2905">
        <f>P134/P$159*'Forecast (BV) 2017'!L$66</f>
        <v>0</v>
      </c>
      <c r="R134" s="2905">
        <f>Q134/Q$159*'Forecast (BV) 2017'!M$66</f>
        <v>0</v>
      </c>
      <c r="S134" s="2905">
        <f>R134/R$159*'Forecast (BV) 2017'!N$66</f>
        <v>0</v>
      </c>
      <c r="T134" s="2905">
        <f>S134/S$159*'Forecast (BV) 2017'!O$66</f>
        <v>0</v>
      </c>
      <c r="U134" s="2905">
        <f>T134/T$159*'Forecast (BV) 2017'!P$66</f>
        <v>0</v>
      </c>
      <c r="V134" s="2905">
        <f>U134/U$159*'Forecast (BV) 2017'!Q$66</f>
        <v>0</v>
      </c>
      <c r="W134" s="2905">
        <f>V134/V$159*'Forecast (BV) 2017'!R$66</f>
        <v>0</v>
      </c>
      <c r="X134" s="2905">
        <f>W134/W$159*'Forecast (BV) 2017'!S$66</f>
        <v>0</v>
      </c>
      <c r="Y134" s="2905">
        <f>X134/X$159*'Forecast (BV) 2017'!T$66</f>
        <v>0</v>
      </c>
      <c r="Z134" s="2905">
        <f>Y134/Y$159*'Forecast (BV) 2017'!U$66</f>
        <v>0</v>
      </c>
    </row>
    <row r="135" spans="1:26" s="2" customFormat="1" ht="17.25" customHeight="1">
      <c r="A135" s="411"/>
      <c r="C135" s="236">
        <f>+MAX($C$9:C134)+1</f>
        <v>127</v>
      </c>
      <c r="D135" s="237">
        <v>924020</v>
      </c>
      <c r="E135" s="112" t="s">
        <v>823</v>
      </c>
      <c r="F135" s="237">
        <v>10</v>
      </c>
      <c r="G135" s="974">
        <v>140963.64000000001</v>
      </c>
      <c r="H135" s="975">
        <v>142550.76999999999</v>
      </c>
      <c r="I135" s="957">
        <v>175398.76</v>
      </c>
      <c r="J135" s="957">
        <v>134448.63</v>
      </c>
      <c r="K135" s="957">
        <v>104262.66</v>
      </c>
      <c r="L135" s="957">
        <v>110887.34</v>
      </c>
      <c r="M135" s="4311">
        <f>SUMIF('Lead Sheet 2015'!$J$624:$J$978,$D135,'Lead Sheet 2015'!$E$624:$E$978)</f>
        <v>128149.26</v>
      </c>
      <c r="N135" s="4312">
        <f>SUMIF('Lead Sheet 2015'!$J$624:$J$978,$D135,'Lead Sheet 2015'!$D$624:$D$978)</f>
        <v>136245.53</v>
      </c>
      <c r="O135" s="4319">
        <f>SUMIF('Lead Sheet 2015'!$J$624:$J$978,$D135,'Lead Sheet 2015'!$C$624:$C$978)</f>
        <v>138761.67000000001</v>
      </c>
      <c r="P135" s="4320">
        <f>O135/O$159*'Forecast (BV) 2017'!K$66</f>
        <v>162288.64246891669</v>
      </c>
      <c r="Q135" s="2905">
        <f>P135/P$159*'Forecast (BV) 2017'!L$66</f>
        <v>177944.50856383354</v>
      </c>
      <c r="R135" s="2905">
        <f>Q135/Q$159*'Forecast (BV) 2017'!M$66</f>
        <v>186795.49328874168</v>
      </c>
      <c r="S135" s="2905">
        <f>R135/R$159*'Forecast (BV) 2017'!N$66</f>
        <v>190772.65529990799</v>
      </c>
      <c r="T135" s="2905">
        <f>S135/S$159*'Forecast (BV) 2017'!O$66</f>
        <v>197925.5514566463</v>
      </c>
      <c r="U135" s="2905">
        <f>T135/T$159*'Forecast (BV) 2017'!P$66</f>
        <v>200790.31875784358</v>
      </c>
      <c r="V135" s="2905">
        <f>U135/U$159*'Forecast (BV) 2017'!Q$66</f>
        <v>205845.36188419996</v>
      </c>
      <c r="W135" s="2905">
        <f>V135/V$159*'Forecast (BV) 2017'!R$66</f>
        <v>216114.29890496182</v>
      </c>
      <c r="X135" s="2905">
        <f>W135/W$159*'Forecast (BV) 2017'!S$66</f>
        <v>220674.19109748641</v>
      </c>
      <c r="Y135" s="2905">
        <f>X135/X$159*'Forecast (BV) 2017'!T$66</f>
        <v>226093.9149868798</v>
      </c>
      <c r="Z135" s="2905">
        <f>Y135/Y$159*'Forecast (BV) 2017'!U$66</f>
        <v>238784.5320182931</v>
      </c>
    </row>
    <row r="136" spans="1:26" s="2" customFormat="1" ht="17.25" customHeight="1">
      <c r="A136" s="411"/>
      <c r="C136" s="236">
        <f>+MAX($C$9:C135)+1</f>
        <v>128</v>
      </c>
      <c r="D136" s="237">
        <v>924040</v>
      </c>
      <c r="E136" s="112" t="s">
        <v>2166</v>
      </c>
      <c r="F136" s="237">
        <v>10</v>
      </c>
      <c r="G136" s="974"/>
      <c r="H136" s="975"/>
      <c r="I136" s="957">
        <v>0</v>
      </c>
      <c r="J136" s="957">
        <v>0</v>
      </c>
      <c r="K136" s="957">
        <v>0</v>
      </c>
      <c r="L136" s="957">
        <v>0</v>
      </c>
      <c r="M136" s="4311">
        <f>SUMIF('Lead Sheet 2015'!$J$624:$J$978,$D136,'Lead Sheet 2015'!$E$624:$E$978)</f>
        <v>0</v>
      </c>
      <c r="N136" s="4312">
        <f>SUMIF('Lead Sheet 2015'!$J$624:$J$978,$D136,'Lead Sheet 2015'!$D$624:$D$978)</f>
        <v>0</v>
      </c>
      <c r="O136" s="4319">
        <f>SUMIF('Lead Sheet 2015'!$J$624:$J$978,$D136,'Lead Sheet 2015'!$C$624:$C$978)</f>
        <v>0</v>
      </c>
      <c r="P136" s="4320">
        <f>O136/O$159*'Forecast (BV) 2017'!K$66</f>
        <v>0</v>
      </c>
      <c r="Q136" s="2905">
        <f>P136/P$159*'Forecast (BV) 2017'!L$66</f>
        <v>0</v>
      </c>
      <c r="R136" s="2905">
        <f>Q136/Q$159*'Forecast (BV) 2017'!M$66</f>
        <v>0</v>
      </c>
      <c r="S136" s="2905">
        <f>R136/R$159*'Forecast (BV) 2017'!N$66</f>
        <v>0</v>
      </c>
      <c r="T136" s="2905">
        <f>S136/S$159*'Forecast (BV) 2017'!O$66</f>
        <v>0</v>
      </c>
      <c r="U136" s="2905">
        <f>T136/T$159*'Forecast (BV) 2017'!P$66</f>
        <v>0</v>
      </c>
      <c r="V136" s="2905">
        <f>U136/U$159*'Forecast (BV) 2017'!Q$66</f>
        <v>0</v>
      </c>
      <c r="W136" s="2905">
        <f>V136/V$159*'Forecast (BV) 2017'!R$66</f>
        <v>0</v>
      </c>
      <c r="X136" s="2905">
        <f>W136/W$159*'Forecast (BV) 2017'!S$66</f>
        <v>0</v>
      </c>
      <c r="Y136" s="2905">
        <f>X136/X$159*'Forecast (BV) 2017'!T$66</f>
        <v>0</v>
      </c>
      <c r="Z136" s="2905">
        <f>Y136/Y$159*'Forecast (BV) 2017'!U$66</f>
        <v>0</v>
      </c>
    </row>
    <row r="137" spans="1:26" s="2" customFormat="1" ht="17.25" customHeight="1">
      <c r="A137" s="411"/>
      <c r="C137" s="236">
        <f>+MAX($C$9:C136)+1</f>
        <v>129</v>
      </c>
      <c r="D137" s="237">
        <v>924500</v>
      </c>
      <c r="E137" s="112" t="s">
        <v>824</v>
      </c>
      <c r="F137" s="237">
        <v>10</v>
      </c>
      <c r="G137" s="974">
        <v>11121.29</v>
      </c>
      <c r="H137" s="975">
        <v>10718.16</v>
      </c>
      <c r="I137" s="957">
        <v>10758.39</v>
      </c>
      <c r="J137" s="957">
        <v>10261.19</v>
      </c>
      <c r="K137" s="957">
        <v>8799.18</v>
      </c>
      <c r="L137" s="957">
        <v>9202.18</v>
      </c>
      <c r="M137" s="4311">
        <f>SUMIF('Lead Sheet 2015'!$J$624:$J$978,$D137,'Lead Sheet 2015'!$E$624:$E$978)</f>
        <v>9222.11</v>
      </c>
      <c r="N137" s="4312">
        <f>SUMIF('Lead Sheet 2015'!$J$624:$J$978,$D137,'Lead Sheet 2015'!$D$624:$D$978)</f>
        <v>9800.39</v>
      </c>
      <c r="O137" s="4319">
        <f>SUMIF('Lead Sheet 2015'!$J$624:$J$978,$D137,'Lead Sheet 2015'!$C$624:$C$978)</f>
        <v>11085.42</v>
      </c>
      <c r="P137" s="4320">
        <f>O137/O$159*'Forecast (BV) 2017'!K$66</f>
        <v>12964.947474311732</v>
      </c>
      <c r="Q137" s="2905">
        <f>P137/P$159*'Forecast (BV) 2017'!L$66</f>
        <v>14215.666430965346</v>
      </c>
      <c r="R137" s="2905">
        <f>Q137/Q$159*'Forecast (BV) 2017'!M$66</f>
        <v>14922.755665976649</v>
      </c>
      <c r="S137" s="2905">
        <f>R137/R$159*'Forecast (BV) 2017'!N$66</f>
        <v>15240.483978858896</v>
      </c>
      <c r="T137" s="2905">
        <f>S137/S$159*'Forecast (BV) 2017'!O$66</f>
        <v>15811.915975272816</v>
      </c>
      <c r="U137" s="2905">
        <f>T137/T$159*'Forecast (BV) 2017'!P$66</f>
        <v>16040.777077449218</v>
      </c>
      <c r="V137" s="2905">
        <f>U137/U$159*'Forecast (BV) 2017'!Q$66</f>
        <v>16444.615372086158</v>
      </c>
      <c r="W137" s="2905">
        <f>V137/V$159*'Forecast (BV) 2017'!R$66</f>
        <v>17264.982263236241</v>
      </c>
      <c r="X137" s="2905">
        <f>W137/W$159*'Forecast (BV) 2017'!S$66</f>
        <v>17629.263841202664</v>
      </c>
      <c r="Y137" s="2905">
        <f>X137/X$159*'Forecast (BV) 2017'!T$66</f>
        <v>18062.23582545422</v>
      </c>
      <c r="Z137" s="2905">
        <f>Y137/Y$159*'Forecast (BV) 2017'!U$66</f>
        <v>19076.066372840753</v>
      </c>
    </row>
    <row r="138" spans="1:26" s="2" customFormat="1" ht="17.25" customHeight="1">
      <c r="A138" s="411"/>
      <c r="C138" s="236">
        <f>+MAX($C$9:C137)+1</f>
        <v>130</v>
      </c>
      <c r="D138" s="237">
        <v>924600</v>
      </c>
      <c r="E138" s="112" t="s">
        <v>825</v>
      </c>
      <c r="F138" s="237">
        <v>10</v>
      </c>
      <c r="G138" s="974">
        <v>9203.24</v>
      </c>
      <c r="H138" s="975">
        <v>8966.73</v>
      </c>
      <c r="I138" s="957">
        <v>8999.2800000000007</v>
      </c>
      <c r="J138" s="957">
        <v>8587.01</v>
      </c>
      <c r="K138" s="957">
        <v>7369.41</v>
      </c>
      <c r="L138" s="957">
        <v>7711.04</v>
      </c>
      <c r="M138" s="4311">
        <f>SUMIF('Lead Sheet 2015'!$J$624:$J$978,$D138,'Lead Sheet 2015'!$E$624:$E$978)</f>
        <v>7732.17</v>
      </c>
      <c r="N138" s="4312">
        <f>SUMIF('Lead Sheet 2015'!$J$624:$J$978,$D138,'Lead Sheet 2015'!$D$624:$D$978)</f>
        <v>8215.69</v>
      </c>
      <c r="O138" s="4319">
        <f>SUMIF('Lead Sheet 2015'!$J$624:$J$978,$D138,'Lead Sheet 2015'!$C$624:$C$978)</f>
        <v>9288.32</v>
      </c>
      <c r="P138" s="4320">
        <f>O138/O$159*'Forecast (BV) 2017'!K$66</f>
        <v>10863.150058779835</v>
      </c>
      <c r="Q138" s="2905">
        <f>P138/P$159*'Forecast (BV) 2017'!L$66</f>
        <v>11911.11016308485</v>
      </c>
      <c r="R138" s="2905">
        <f>Q138/Q$159*'Forecast (BV) 2017'!M$66</f>
        <v>12503.570447254524</v>
      </c>
      <c r="S138" s="2905">
        <f>R138/R$159*'Forecast (BV) 2017'!N$66</f>
        <v>12769.790603379455</v>
      </c>
      <c r="T138" s="2905">
        <f>S138/S$159*'Forecast (BV) 2017'!O$66</f>
        <v>13248.58556477301</v>
      </c>
      <c r="U138" s="2905">
        <f>T138/T$159*'Forecast (BV) 2017'!P$66</f>
        <v>13440.345114935939</v>
      </c>
      <c r="V138" s="2905">
        <f>U138/U$159*'Forecast (BV) 2017'!Q$66</f>
        <v>13778.715633043703</v>
      </c>
      <c r="W138" s="2905">
        <f>V138/V$159*'Forecast (BV) 2017'!R$66</f>
        <v>14466.089697572348</v>
      </c>
      <c r="X138" s="2905">
        <f>W138/W$159*'Forecast (BV) 2017'!S$66</f>
        <v>14771.316190231813</v>
      </c>
      <c r="Y138" s="2905">
        <f>X138/X$159*'Forecast (BV) 2017'!T$66</f>
        <v>15134.097423668471</v>
      </c>
      <c r="Z138" s="2905">
        <f>Y138/Y$159*'Forecast (BV) 2017'!U$66</f>
        <v>15983.572008294157</v>
      </c>
    </row>
    <row r="139" spans="1:26" s="2" customFormat="1" ht="17.25" customHeight="1">
      <c r="A139" s="411"/>
      <c r="C139" s="236">
        <f>+MAX($C$9:C138)+1</f>
        <v>131</v>
      </c>
      <c r="D139" s="237">
        <v>925030</v>
      </c>
      <c r="E139" s="112" t="s">
        <v>826</v>
      </c>
      <c r="F139" s="237">
        <v>10</v>
      </c>
      <c r="G139" s="974">
        <v>532087.97</v>
      </c>
      <c r="H139" s="975">
        <v>457251.07</v>
      </c>
      <c r="I139" s="957">
        <v>630543.5</v>
      </c>
      <c r="J139" s="957">
        <v>646988.56999999995</v>
      </c>
      <c r="K139" s="957">
        <v>648173.18000000005</v>
      </c>
      <c r="L139" s="957">
        <v>676145.99</v>
      </c>
      <c r="M139" s="4311">
        <f>SUMIF('Lead Sheet 2015'!$J$624:$J$978,$D139,'Lead Sheet 2015'!$E$624:$E$978)</f>
        <v>709145.06</v>
      </c>
      <c r="N139" s="4312">
        <f>SUMIF('Lead Sheet 2015'!$J$624:$J$978,$D139,'Lead Sheet 2015'!$D$624:$D$978)</f>
        <v>666279.80000000005</v>
      </c>
      <c r="O139" s="4319">
        <f>SUMIF('Lead Sheet 2015'!$J$624:$J$978,$D139,'Lead Sheet 2015'!$C$624:$C$978)</f>
        <v>596097.67000000004</v>
      </c>
      <c r="P139" s="4320">
        <f>O139/O$159*'Forecast (BV) 2017'!K$66</f>
        <v>697165.73491212865</v>
      </c>
      <c r="Q139" s="2905">
        <f>P139/P$159*'Forecast (BV) 2017'!L$66</f>
        <v>764420.80110592651</v>
      </c>
      <c r="R139" s="2905">
        <f>Q139/Q$159*'Forecast (BV) 2017'!M$66</f>
        <v>802443.1985858886</v>
      </c>
      <c r="S139" s="2905">
        <f>R139/R$159*'Forecast (BV) 2017'!N$66</f>
        <v>819528.44271756231</v>
      </c>
      <c r="T139" s="2905">
        <f>S139/S$159*'Forecast (BV) 2017'!O$66</f>
        <v>850256.12661458983</v>
      </c>
      <c r="U139" s="2905">
        <f>T139/T$159*'Forecast (BV) 2017'!P$66</f>
        <v>862562.70315936534</v>
      </c>
      <c r="V139" s="2905">
        <f>U139/U$159*'Forecast (BV) 2017'!Q$66</f>
        <v>884278.35006222082</v>
      </c>
      <c r="W139" s="2905">
        <f>V139/V$159*'Forecast (BV) 2017'!R$66</f>
        <v>928392.04105089873</v>
      </c>
      <c r="X139" s="2905">
        <f>W139/W$159*'Forecast (BV) 2017'!S$66</f>
        <v>947980.59970268712</v>
      </c>
      <c r="Y139" s="2905">
        <f>X139/X$159*'Forecast (BV) 2017'!T$66</f>
        <v>971262.85612487292</v>
      </c>
      <c r="Z139" s="2905">
        <f>Y139/Y$159*'Forecast (BV) 2017'!U$66</f>
        <v>1025779.6923901598</v>
      </c>
    </row>
    <row r="140" spans="1:26" s="2" customFormat="1" ht="17.25" customHeight="1">
      <c r="A140" s="411"/>
      <c r="C140" s="236">
        <f>+MAX($C$9:C139)+1</f>
        <v>132</v>
      </c>
      <c r="D140" s="237">
        <v>925040</v>
      </c>
      <c r="E140" s="112" t="s">
        <v>827</v>
      </c>
      <c r="F140" s="237">
        <v>10</v>
      </c>
      <c r="G140" s="974">
        <v>297526.74</v>
      </c>
      <c r="H140" s="975">
        <v>291671.56</v>
      </c>
      <c r="I140" s="957">
        <v>302529.99</v>
      </c>
      <c r="J140" s="957">
        <v>325400.05</v>
      </c>
      <c r="K140" s="957">
        <v>315619.84000000003</v>
      </c>
      <c r="L140" s="957">
        <v>316699.09000000003</v>
      </c>
      <c r="M140" s="4311">
        <f>SUMIF('Lead Sheet 2015'!$J$624:$J$978,$D140,'Lead Sheet 2015'!$E$624:$E$978)</f>
        <v>335708.45</v>
      </c>
      <c r="N140" s="4312">
        <f>SUMIF('Lead Sheet 2015'!$J$624:$J$978,$D140,'Lead Sheet 2015'!$D$624:$D$978)</f>
        <v>374787.12</v>
      </c>
      <c r="O140" s="4319">
        <f>SUMIF('Lead Sheet 2015'!$J$624:$J$978,$D140,'Lead Sheet 2015'!$C$624:$C$978)</f>
        <v>368327.96</v>
      </c>
      <c r="P140" s="4320">
        <f>O140/O$159*'Forecast (BV) 2017'!K$66</f>
        <v>430777.7833154173</v>
      </c>
      <c r="Q140" s="2905">
        <f>P140/P$159*'Forecast (BV) 2017'!L$66</f>
        <v>472334.59955129784</v>
      </c>
      <c r="R140" s="2905">
        <f>Q140/Q$159*'Forecast (BV) 2017'!M$66</f>
        <v>495828.58854491956</v>
      </c>
      <c r="S140" s="2905">
        <f>R140/R$159*'Forecast (BV) 2017'!N$66</f>
        <v>506385.53824264504</v>
      </c>
      <c r="T140" s="2905">
        <f>S140/S$159*'Forecast (BV) 2017'!O$66</f>
        <v>525372.13338454009</v>
      </c>
      <c r="U140" s="2905">
        <f>T140/T$159*'Forecast (BV) 2017'!P$66</f>
        <v>532976.35071577213</v>
      </c>
      <c r="V140" s="2905">
        <f>U140/U$159*'Forecast (BV) 2017'!Q$66</f>
        <v>546394.42014692607</v>
      </c>
      <c r="W140" s="2905">
        <f>V140/V$159*'Forecast (BV) 2017'!R$66</f>
        <v>573652.2113238821</v>
      </c>
      <c r="X140" s="2905">
        <f>W140/W$159*'Forecast (BV) 2017'!S$66</f>
        <v>585755.95574474777</v>
      </c>
      <c r="Y140" s="2905">
        <f>X140/X$159*'Forecast (BV) 2017'!T$66</f>
        <v>600142.03112091997</v>
      </c>
      <c r="Z140" s="2905">
        <f>Y140/Y$159*'Forecast (BV) 2017'!U$66</f>
        <v>633827.91197203472</v>
      </c>
    </row>
    <row r="141" spans="1:26" s="2" customFormat="1" ht="17.25" customHeight="1">
      <c r="A141" s="411"/>
      <c r="C141" s="236">
        <f>+MAX($C$9:C140)+1</f>
        <v>133</v>
      </c>
      <c r="D141" s="237">
        <v>925050</v>
      </c>
      <c r="E141" s="112" t="s">
        <v>828</v>
      </c>
      <c r="F141" s="237">
        <v>10</v>
      </c>
      <c r="G141" s="974">
        <v>9526.14</v>
      </c>
      <c r="H141" s="975">
        <v>3427.69</v>
      </c>
      <c r="I141" s="957">
        <v>6444.69</v>
      </c>
      <c r="J141" s="957">
        <v>4570.7299999999996</v>
      </c>
      <c r="K141" s="957">
        <v>2250.87</v>
      </c>
      <c r="L141" s="957">
        <v>6230.67</v>
      </c>
      <c r="M141" s="4311">
        <f>SUMIF('Lead Sheet 2015'!$J$624:$J$978,$D141,'Lead Sheet 2015'!$E$624:$E$978)</f>
        <v>1832.39</v>
      </c>
      <c r="N141" s="4312">
        <f>SUMIF('Lead Sheet 2015'!$J$624:$J$978,$D141,'Lead Sheet 2015'!$D$624:$D$978)</f>
        <v>5350.21</v>
      </c>
      <c r="O141" s="4319">
        <f>SUMIF('Lead Sheet 2015'!$J$624:$J$978,$D141,'Lead Sheet 2015'!$C$624:$C$978)</f>
        <v>1184.6500000000001</v>
      </c>
      <c r="P141" s="4320">
        <f>O141/O$159*'Forecast (BV) 2017'!K$66</f>
        <v>1385.5068211617959</v>
      </c>
      <c r="Q141" s="2905">
        <f>P141/P$159*'Forecast (BV) 2017'!L$66</f>
        <v>1519.1656461769694</v>
      </c>
      <c r="R141" s="2905">
        <f>Q141/Q$159*'Forecast (BV) 2017'!M$66</f>
        <v>1594.7291577314381</v>
      </c>
      <c r="S141" s="2905">
        <f>R141/R$159*'Forecast (BV) 2017'!N$66</f>
        <v>1628.6833828177187</v>
      </c>
      <c r="T141" s="2905">
        <f>S141/S$159*'Forecast (BV) 2017'!O$66</f>
        <v>1689.7498029038998</v>
      </c>
      <c r="U141" s="2905">
        <f>T141/T$159*'Forecast (BV) 2017'!P$66</f>
        <v>1714.2071806751774</v>
      </c>
      <c r="V141" s="2905">
        <f>U141/U$159*'Forecast (BV) 2017'!Q$66</f>
        <v>1757.3636001650702</v>
      </c>
      <c r="W141" s="2905">
        <f>V141/V$159*'Forecast (BV) 2017'!R$66</f>
        <v>1845.0325958008646</v>
      </c>
      <c r="X141" s="2905">
        <f>W141/W$159*'Forecast (BV) 2017'!S$66</f>
        <v>1883.9617632422355</v>
      </c>
      <c r="Y141" s="2905">
        <f>X141/X$159*'Forecast (BV) 2017'!T$66</f>
        <v>1930.2315717964991</v>
      </c>
      <c r="Z141" s="2905">
        <f>Y141/Y$159*'Forecast (BV) 2017'!U$66</f>
        <v>2038.5751760948888</v>
      </c>
    </row>
    <row r="142" spans="1:26" s="2" customFormat="1" ht="17.25" customHeight="1">
      <c r="A142" s="411"/>
      <c r="C142" s="236">
        <f>+MAX($C$9:C141)+1</f>
        <v>134</v>
      </c>
      <c r="D142" s="237" t="s">
        <v>3822</v>
      </c>
      <c r="E142" s="112" t="s">
        <v>3825</v>
      </c>
      <c r="F142" s="237"/>
      <c r="G142" s="974"/>
      <c r="H142" s="975"/>
      <c r="I142" s="957"/>
      <c r="J142" s="957"/>
      <c r="K142" s="957"/>
      <c r="L142" s="957"/>
      <c r="M142" s="4311">
        <f>SUMIF('Lead Sheet 2015'!$J$624:$J$978,$D142,'Lead Sheet 2015'!$E$624:$E$978)</f>
        <v>0</v>
      </c>
      <c r="N142" s="4312">
        <f>SUMIF('Lead Sheet 2015'!$J$624:$J$978,$D142,'Lead Sheet 2015'!$D$624:$D$978)</f>
        <v>-479355.41</v>
      </c>
      <c r="O142" s="4319">
        <f>SUMIF('Lead Sheet 2015'!$J$624:$J$978,$D142,'Lead Sheet 2015'!$C$624:$C$978)</f>
        <v>-1045544.63</v>
      </c>
      <c r="P142" s="4320">
        <f>O142/O$159*'Forecast (BV) 2017'!K$66</f>
        <v>-1222816.2045279923</v>
      </c>
      <c r="Q142" s="2905">
        <f>P142/P$159*'Forecast (BV) 2017'!L$66</f>
        <v>-1340780.3852959189</v>
      </c>
      <c r="R142" s="2905">
        <f>Q142/Q$159*'Forecast (BV) 2017'!M$66</f>
        <v>-1407470.9890436232</v>
      </c>
      <c r="S142" s="2905">
        <f>R142/R$159*'Forecast (BV) 2017'!N$66</f>
        <v>-1437438.2010511968</v>
      </c>
      <c r="T142" s="2905">
        <f>S142/S$159*'Forecast (BV) 2017'!O$66</f>
        <v>-1491334.0079092821</v>
      </c>
      <c r="U142" s="2905">
        <f>T142/T$159*'Forecast (BV) 2017'!P$66</f>
        <v>-1512919.5226120555</v>
      </c>
      <c r="V142" s="2905">
        <f>U142/U$159*'Forecast (BV) 2017'!Q$66</f>
        <v>-1551008.3780948438</v>
      </c>
      <c r="W142" s="2905">
        <f>V142/V$159*'Forecast (BV) 2017'!R$66</f>
        <v>-1628383.0014895156</v>
      </c>
      <c r="X142" s="2905">
        <f>W142/W$159*'Forecast (BV) 2017'!S$66</f>
        <v>-1662740.9823013137</v>
      </c>
      <c r="Y142" s="2905">
        <f>X142/X$159*'Forecast (BV) 2017'!T$66</f>
        <v>-1703577.642804448</v>
      </c>
      <c r="Z142" s="2905">
        <f>Y142/Y$159*'Forecast (BV) 2017'!U$66</f>
        <v>-1799199.1965705615</v>
      </c>
    </row>
    <row r="143" spans="1:26" s="2" customFormat="1" ht="17.25" customHeight="1">
      <c r="A143" s="411"/>
      <c r="C143" s="236">
        <f>+MAX($C$9:C142)+1</f>
        <v>135</v>
      </c>
      <c r="D143" s="237" t="s">
        <v>3823</v>
      </c>
      <c r="E143" s="112" t="s">
        <v>3826</v>
      </c>
      <c r="F143" s="237"/>
      <c r="G143" s="974"/>
      <c r="H143" s="975"/>
      <c r="I143" s="957"/>
      <c r="J143" s="957"/>
      <c r="K143" s="957"/>
      <c r="L143" s="957"/>
      <c r="M143" s="4311">
        <f>SUMIF('Lead Sheet 2015'!$J$624:$J$978,$D143,'Lead Sheet 2015'!$E$624:$E$978)</f>
        <v>0</v>
      </c>
      <c r="N143" s="4312">
        <f>SUMIF('Lead Sheet 2015'!$J$624:$J$978,$D143,'Lead Sheet 2015'!$D$624:$D$978)</f>
        <v>-334969.02</v>
      </c>
      <c r="O143" s="4319">
        <f>SUMIF('Lead Sheet 2015'!$J$624:$J$978,$D143,'Lead Sheet 2015'!$C$624:$C$978)</f>
        <v>-476036.01</v>
      </c>
      <c r="P143" s="4320">
        <f>O143/O$159*'Forecast (BV) 2017'!K$66</f>
        <v>-556747.6798832101</v>
      </c>
      <c r="Q143" s="2905">
        <f>P143/P$159*'Forecast (BV) 2017'!L$66</f>
        <v>-610456.7194826795</v>
      </c>
      <c r="R143" s="2905">
        <f>Q143/Q$159*'Forecast (BV) 2017'!M$66</f>
        <v>-640820.92202518426</v>
      </c>
      <c r="S143" s="2905">
        <f>R143/R$159*'Forecast (BV) 2017'!N$66</f>
        <v>-654464.98046667734</v>
      </c>
      <c r="T143" s="2905">
        <f>S143/S$159*'Forecast (BV) 2017'!O$66</f>
        <v>-679003.7176150413</v>
      </c>
      <c r="U143" s="2905">
        <f>T143/T$159*'Forecast (BV) 2017'!P$66</f>
        <v>-688831.59296160075</v>
      </c>
      <c r="V143" s="2905">
        <f>U143/U$159*'Forecast (BV) 2017'!Q$66</f>
        <v>-706173.4321038411</v>
      </c>
      <c r="W143" s="2905">
        <f>V143/V$159*'Forecast (BV) 2017'!R$66</f>
        <v>-741402.06409064808</v>
      </c>
      <c r="X143" s="2905">
        <f>W143/W$159*'Forecast (BV) 2017'!S$66</f>
        <v>-757045.23763676896</v>
      </c>
      <c r="Y143" s="2905">
        <f>X143/X$159*'Forecast (BV) 2017'!T$66</f>
        <v>-775638.15119574033</v>
      </c>
      <c r="Z143" s="2905">
        <f>Y143/Y$159*'Forecast (BV) 2017'!U$66</f>
        <v>-819174.60255202639</v>
      </c>
    </row>
    <row r="144" spans="1:26" s="2" customFormat="1" ht="17.25" customHeight="1">
      <c r="A144" s="411"/>
      <c r="C144" s="236">
        <f>+MAX($C$9:C143)+1</f>
        <v>136</v>
      </c>
      <c r="D144" s="237" t="s">
        <v>3824</v>
      </c>
      <c r="E144" s="112" t="s">
        <v>3827</v>
      </c>
      <c r="F144" s="237"/>
      <c r="G144" s="974"/>
      <c r="H144" s="975"/>
      <c r="I144" s="957"/>
      <c r="J144" s="957"/>
      <c r="K144" s="957"/>
      <c r="L144" s="957"/>
      <c r="M144" s="4311">
        <f>SUMIF('Lead Sheet 2015'!$J$624:$J$978,$D144,'Lead Sheet 2015'!$E$624:$E$978)</f>
        <v>0</v>
      </c>
      <c r="N144" s="4312">
        <f>SUMIF('Lead Sheet 2015'!$J$624:$J$978,$D144,'Lead Sheet 2015'!$D$624:$D$978)</f>
        <v>146985</v>
      </c>
      <c r="O144" s="4319">
        <f>SUMIF('Lead Sheet 2015'!$J$624:$J$978,$D144,'Lead Sheet 2015'!$C$624:$C$978)</f>
        <v>359309.7</v>
      </c>
      <c r="P144" s="4320">
        <f>O144/O$159*'Forecast (BV) 2017'!K$66</f>
        <v>420230.48179597227</v>
      </c>
      <c r="Q144" s="2905">
        <f>P144/P$159*'Forecast (BV) 2017'!L$66</f>
        <v>460769.80760406289</v>
      </c>
      <c r="R144" s="2905">
        <f>Q144/Q$159*'Forecast (BV) 2017'!M$66</f>
        <v>483688.56222997163</v>
      </c>
      <c r="S144" s="2905">
        <f>R144/R$159*'Forecast (BV) 2017'!N$66</f>
        <v>493987.03218268667</v>
      </c>
      <c r="T144" s="2905">
        <f>S144/S$159*'Forecast (BV) 2017'!O$66</f>
        <v>512508.75343473547</v>
      </c>
      <c r="U144" s="2905">
        <f>T144/T$159*'Forecast (BV) 2017'!P$66</f>
        <v>519926.78666799801</v>
      </c>
      <c r="V144" s="2905">
        <f>U144/U$159*'Forecast (BV) 2017'!Q$66</f>
        <v>533016.32378021476</v>
      </c>
      <c r="W144" s="2905">
        <f>V144/V$159*'Forecast (BV) 2017'!R$66</f>
        <v>559606.72644868097</v>
      </c>
      <c r="X144" s="2905">
        <f>W144/W$159*'Forecast (BV) 2017'!S$66</f>
        <v>571414.11890603858</v>
      </c>
      <c r="Y144" s="2905">
        <f>X144/X$159*'Forecast (BV) 2017'!T$66</f>
        <v>585447.96099500137</v>
      </c>
      <c r="Z144" s="2905">
        <f>Y144/Y$159*'Forecast (BV) 2017'!U$66</f>
        <v>618309.06592673063</v>
      </c>
    </row>
    <row r="145" spans="1:26" s="2" customFormat="1" ht="17.25" customHeight="1">
      <c r="A145" s="411"/>
      <c r="C145" s="236">
        <f>+MAX($C$9:C144)+1</f>
        <v>137</v>
      </c>
      <c r="D145" s="237">
        <v>926999</v>
      </c>
      <c r="E145" s="112" t="s">
        <v>829</v>
      </c>
      <c r="F145" s="237">
        <v>10</v>
      </c>
      <c r="G145" s="974">
        <v>81921.34</v>
      </c>
      <c r="H145" s="975">
        <v>58094.85</v>
      </c>
      <c r="I145" s="957">
        <v>42312.81</v>
      </c>
      <c r="J145" s="957">
        <v>201716</v>
      </c>
      <c r="K145" s="957">
        <v>62878</v>
      </c>
      <c r="L145" s="957">
        <v>72624</v>
      </c>
      <c r="M145" s="4311">
        <f>SUMIF('Lead Sheet 2015'!$J$624:$J$978,$D145,'Lead Sheet 2015'!$E$624:$E$978)</f>
        <v>78108.55</v>
      </c>
      <c r="N145" s="4312">
        <f>SUMIF('Lead Sheet 2015'!$J$624:$J$978,$D145,'Lead Sheet 2015'!$D$624:$D$978)</f>
        <v>95719.96</v>
      </c>
      <c r="O145" s="4319">
        <f>SUMIF('Lead Sheet 2015'!$J$624:$J$978,$D145,'Lead Sheet 2015'!$C$624:$C$978)</f>
        <v>150875.32999999999</v>
      </c>
      <c r="P145" s="4320">
        <f>O145/O$159*'Forecast (BV) 2017'!K$66</f>
        <v>176456.16752630472</v>
      </c>
      <c r="Q145" s="2905">
        <f>P145/P$159*'Forecast (BV) 2017'!L$66</f>
        <v>193478.76435370231</v>
      </c>
      <c r="R145" s="2905">
        <f>Q145/Q$159*'Forecast (BV) 2017'!M$66</f>
        <v>203102.42513261535</v>
      </c>
      <c r="S145" s="2905">
        <f>R145/R$159*'Forecast (BV) 2017'!N$66</f>
        <v>207426.78668648089</v>
      </c>
      <c r="T145" s="2905">
        <f>S145/S$159*'Forecast (BV) 2017'!O$66</f>
        <v>215204.11862622781</v>
      </c>
      <c r="U145" s="2905">
        <f>T145/T$159*'Forecast (BV) 2017'!P$66</f>
        <v>218318.97528614945</v>
      </c>
      <c r="V145" s="2905">
        <f>U145/U$159*'Forecast (BV) 2017'!Q$66</f>
        <v>223815.31516050565</v>
      </c>
      <c r="W145" s="2905">
        <f>V145/V$159*'Forecast (BV) 2017'!R$66</f>
        <v>234980.71308167986</v>
      </c>
      <c r="X145" s="2905">
        <f>W145/W$159*'Forecast (BV) 2017'!S$66</f>
        <v>239938.67617993004</v>
      </c>
      <c r="Y145" s="2905">
        <f>X145/X$159*'Forecast (BV) 2017'!T$66</f>
        <v>245831.53283350819</v>
      </c>
      <c r="Z145" s="2905">
        <f>Y145/Y$159*'Forecast (BV) 2017'!U$66</f>
        <v>259630.01935012403</v>
      </c>
    </row>
    <row r="146" spans="1:26" s="2" customFormat="1" ht="17.25" customHeight="1">
      <c r="A146" s="411"/>
      <c r="C146" s="236">
        <f>+MAX($C$9:C145)+1</f>
        <v>138</v>
      </c>
      <c r="D146" s="237">
        <v>928030</v>
      </c>
      <c r="E146" s="112" t="s">
        <v>830</v>
      </c>
      <c r="F146" s="237">
        <v>10</v>
      </c>
      <c r="G146" s="974">
        <v>816390.67</v>
      </c>
      <c r="H146" s="975">
        <v>131608.07999999999</v>
      </c>
      <c r="I146" s="957">
        <v>4001.18</v>
      </c>
      <c r="J146" s="957">
        <v>2563.87</v>
      </c>
      <c r="K146" s="957">
        <v>2645.75</v>
      </c>
      <c r="L146" s="957">
        <v>2577.5300000000002</v>
      </c>
      <c r="M146" s="4311">
        <f>SUMIF('Lead Sheet 2015'!$J$624:$J$978,$D146,'Lead Sheet 2015'!$E$624:$E$978)</f>
        <v>508.84</v>
      </c>
      <c r="N146" s="4312">
        <f>SUMIF('Lead Sheet 2015'!$J$624:$J$978,$D146,'Lead Sheet 2015'!$D$624:$D$978)</f>
        <v>717.22</v>
      </c>
      <c r="O146" s="4319">
        <f>SUMIF('Lead Sheet 2015'!$J$624:$J$978,$D146,'Lead Sheet 2015'!$C$624:$C$978)</f>
        <v>0</v>
      </c>
      <c r="P146" s="4320">
        <f>O146/O$159*'Forecast (BV) 2017'!K$66</f>
        <v>0</v>
      </c>
      <c r="Q146" s="2905">
        <f>P146/P$159*'Forecast (BV) 2017'!L$66</f>
        <v>0</v>
      </c>
      <c r="R146" s="2905">
        <f>Q146/Q$159*'Forecast (BV) 2017'!M$66</f>
        <v>0</v>
      </c>
      <c r="S146" s="2905">
        <f>R146/R$159*'Forecast (BV) 2017'!N$66</f>
        <v>0</v>
      </c>
      <c r="T146" s="2905">
        <f>S146/S$159*'Forecast (BV) 2017'!O$66</f>
        <v>0</v>
      </c>
      <c r="U146" s="2905">
        <f>T146/T$159*'Forecast (BV) 2017'!P$66</f>
        <v>0</v>
      </c>
      <c r="V146" s="2905">
        <f>U146/U$159*'Forecast (BV) 2017'!Q$66</f>
        <v>0</v>
      </c>
      <c r="W146" s="2905">
        <f>V146/V$159*'Forecast (BV) 2017'!R$66</f>
        <v>0</v>
      </c>
      <c r="X146" s="2905">
        <f>W146/W$159*'Forecast (BV) 2017'!S$66</f>
        <v>0</v>
      </c>
      <c r="Y146" s="2905">
        <f>X146/X$159*'Forecast (BV) 2017'!T$66</f>
        <v>0</v>
      </c>
      <c r="Z146" s="2905">
        <f>Y146/Y$159*'Forecast (BV) 2017'!U$66</f>
        <v>0</v>
      </c>
    </row>
    <row r="147" spans="1:26" s="2" customFormat="1" ht="17.25" customHeight="1">
      <c r="A147" s="411"/>
      <c r="C147" s="236">
        <f>+MAX($C$9:C146)+1</f>
        <v>139</v>
      </c>
      <c r="D147" s="237">
        <v>928500</v>
      </c>
      <c r="E147" s="112" t="s">
        <v>831</v>
      </c>
      <c r="F147" s="237">
        <v>10</v>
      </c>
      <c r="G147" s="974">
        <v>18025.97</v>
      </c>
      <c r="H147" s="975">
        <v>16831.13</v>
      </c>
      <c r="I147" s="957">
        <v>17184.650000000001</v>
      </c>
      <c r="J147" s="957">
        <v>14925.21</v>
      </c>
      <c r="K147" s="957">
        <v>20461.82</v>
      </c>
      <c r="L147" s="957">
        <v>20444.03</v>
      </c>
      <c r="M147" s="4311">
        <f>SUMIF('Lead Sheet 2015'!$J$624:$J$978,$D147,'Lead Sheet 2015'!$E$624:$E$978)</f>
        <v>17662.14</v>
      </c>
      <c r="N147" s="4312">
        <f>SUMIF('Lead Sheet 2015'!$J$624:$J$978,$D147,'Lead Sheet 2015'!$D$624:$D$978)</f>
        <v>13356.01</v>
      </c>
      <c r="O147" s="4319">
        <f>SUMIF('Lead Sheet 2015'!$J$624:$J$978,$D147,'Lead Sheet 2015'!$C$624:$C$978)</f>
        <v>12954.27</v>
      </c>
      <c r="P147" s="4320">
        <f>O147/O$159*'Forecast (BV) 2017'!K$66</f>
        <v>15150.660066831229</v>
      </c>
      <c r="Q147" s="2905">
        <f>P147/P$159*'Forecast (BV) 2017'!L$66</f>
        <v>16612.23311129948</v>
      </c>
      <c r="R147" s="2905">
        <f>Q147/Q$159*'Forecast (BV) 2017'!M$66</f>
        <v>17438.527907926931</v>
      </c>
      <c r="S147" s="2905">
        <f>R147/R$159*'Forecast (BV) 2017'!N$66</f>
        <v>17809.820863152905</v>
      </c>
      <c r="T147" s="2905">
        <f>S147/S$159*'Forecast (BV) 2017'!O$66</f>
        <v>18477.588468546743</v>
      </c>
      <c r="U147" s="2905">
        <f>T147/T$159*'Forecast (BV) 2017'!P$66</f>
        <v>18745.032418355655</v>
      </c>
      <c r="V147" s="2905">
        <f>U147/U$159*'Forecast (BV) 2017'!Q$66</f>
        <v>19216.952319005919</v>
      </c>
      <c r="W147" s="2905">
        <f>V147/V$159*'Forecast (BV) 2017'!R$66</f>
        <v>20175.621833288536</v>
      </c>
      <c r="X147" s="2905">
        <f>W147/W$159*'Forecast (BV) 2017'!S$66</f>
        <v>20601.316296556783</v>
      </c>
      <c r="Y147" s="2905">
        <f>X147/X$159*'Forecast (BV) 2017'!T$66</f>
        <v>21107.281427912236</v>
      </c>
      <c r="Z147" s="2905">
        <f>Y147/Y$159*'Forecast (BV) 2017'!U$66</f>
        <v>22292.02992143733</v>
      </c>
    </row>
    <row r="148" spans="1:26" s="2" customFormat="1" ht="17.25" customHeight="1">
      <c r="A148" s="411"/>
      <c r="C148" s="236">
        <f>+MAX($C$9:C147)+1</f>
        <v>140</v>
      </c>
      <c r="D148" s="237">
        <v>928600</v>
      </c>
      <c r="E148" s="112" t="s">
        <v>832</v>
      </c>
      <c r="F148" s="237">
        <v>10</v>
      </c>
      <c r="G148" s="974">
        <v>12604.06</v>
      </c>
      <c r="H148" s="975">
        <v>13505.2</v>
      </c>
      <c r="I148" s="957">
        <v>13270.88</v>
      </c>
      <c r="J148" s="957">
        <v>-1650.13</v>
      </c>
      <c r="K148" s="957">
        <v>3657.95</v>
      </c>
      <c r="L148" s="957">
        <v>3657.95</v>
      </c>
      <c r="M148" s="4311">
        <f>SUMIF('Lead Sheet 2015'!$J$624:$J$978,$D148,'Lead Sheet 2015'!$E$624:$E$978)</f>
        <v>3657.95</v>
      </c>
      <c r="N148" s="4312">
        <f>SUMIF('Lead Sheet 2015'!$J$624:$J$978,$D148,'Lead Sheet 2015'!$D$624:$D$978)</f>
        <v>3657.95</v>
      </c>
      <c r="O148" s="4319">
        <f>SUMIF('Lead Sheet 2015'!$J$624:$J$978,$D148,'Lead Sheet 2015'!$C$624:$C$978)</f>
        <v>4696.84</v>
      </c>
      <c r="P148" s="4320">
        <f>O148/O$159*'Forecast (BV) 2017'!K$66</f>
        <v>5493.1868973161427</v>
      </c>
      <c r="Q148" s="2905">
        <f>P148/P$159*'Forecast (BV) 2017'!L$66</f>
        <v>6023.1106010972326</v>
      </c>
      <c r="R148" s="2905">
        <f>Q148/Q$159*'Forecast (BV) 2017'!M$66</f>
        <v>6322.7009641660643</v>
      </c>
      <c r="S148" s="2905">
        <f>R148/R$159*'Forecast (BV) 2017'!N$66</f>
        <v>6457.3209469071653</v>
      </c>
      <c r="T148" s="2905">
        <f>S148/S$159*'Forecast (BV) 2017'!O$66</f>
        <v>6699.4339798853262</v>
      </c>
      <c r="U148" s="2905">
        <f>T148/T$159*'Forecast (BV) 2017'!P$66</f>
        <v>6796.4013459523057</v>
      </c>
      <c r="V148" s="2905">
        <f>U148/U$159*'Forecast (BV) 2017'!Q$66</f>
        <v>6967.5057205075827</v>
      </c>
      <c r="W148" s="2905">
        <f>V148/V$159*'Forecast (BV) 2017'!R$66</f>
        <v>7315.091290475104</v>
      </c>
      <c r="X148" s="2905">
        <f>W148/W$159*'Forecast (BV) 2017'!S$66</f>
        <v>7469.4356713515899</v>
      </c>
      <c r="Y148" s="2905">
        <f>X148/X$159*'Forecast (BV) 2017'!T$66</f>
        <v>7652.8838523417617</v>
      </c>
      <c r="Z148" s="2905">
        <f>Y148/Y$159*'Forecast (BV) 2017'!U$66</f>
        <v>8082.4390580251693</v>
      </c>
    </row>
    <row r="149" spans="1:26" s="2" customFormat="1" ht="17.25" customHeight="1">
      <c r="A149" s="411"/>
      <c r="C149" s="236">
        <f>+MAX($C$9:C148)+1</f>
        <v>141</v>
      </c>
      <c r="D149" s="237">
        <v>929010</v>
      </c>
      <c r="E149" s="112" t="s">
        <v>833</v>
      </c>
      <c r="F149" s="237">
        <v>10</v>
      </c>
      <c r="G149" s="974">
        <v>-375290.16</v>
      </c>
      <c r="H149" s="975">
        <v>-355142.73</v>
      </c>
      <c r="I149" s="957">
        <v>-376602.84</v>
      </c>
      <c r="J149" s="957">
        <v>-378302.91</v>
      </c>
      <c r="K149" s="957">
        <v>-421298.73</v>
      </c>
      <c r="L149" s="957">
        <v>-504015.34</v>
      </c>
      <c r="M149" s="4311">
        <f>SUMIF('Lead Sheet 2015'!$J$624:$J$978,$D149,'Lead Sheet 2015'!$E$624:$E$978)</f>
        <v>-579453.56999999995</v>
      </c>
      <c r="N149" s="4312">
        <f>SUMIF('Lead Sheet 2015'!$J$624:$J$978,$D149,'Lead Sheet 2015'!$D$624:$D$978)</f>
        <v>-654281.81000000006</v>
      </c>
      <c r="O149" s="4319">
        <f>SUMIF('Lead Sheet 2015'!$J$624:$J$978,$D149,'Lead Sheet 2015'!$C$624:$C$978)</f>
        <v>-684575.93</v>
      </c>
      <c r="P149" s="4320">
        <f>O149/O$159*'Forecast (BV) 2017'!K$66</f>
        <v>-800645.440103136</v>
      </c>
      <c r="Q149" s="2905">
        <f>P149/P$159*'Forecast (BV) 2017'!L$66</f>
        <v>-877883.11742341612</v>
      </c>
      <c r="R149" s="2905">
        <f>Q149/Q$159*'Forecast (BV) 2017'!M$66</f>
        <v>-921549.1463741326</v>
      </c>
      <c r="S149" s="2905">
        <f>R149/R$159*'Forecast (BV) 2017'!N$66</f>
        <v>-941170.3384695783</v>
      </c>
      <c r="T149" s="2905">
        <f>S149/S$159*'Forecast (BV) 2017'!O$66</f>
        <v>-976458.9058289401</v>
      </c>
      <c r="U149" s="2905">
        <f>T149/T$159*'Forecast (BV) 2017'!P$66</f>
        <v>-990592.13685340609</v>
      </c>
      <c r="V149" s="2905">
        <f>U149/U$159*'Forecast (BV) 2017'!Q$66</f>
        <v>-1015531.0183861487</v>
      </c>
      <c r="W149" s="2905">
        <f>V149/V$159*'Forecast (BV) 2017'!R$66</f>
        <v>-1066192.4662564395</v>
      </c>
      <c r="X149" s="2905">
        <f>W149/W$159*'Forecast (BV) 2017'!S$66</f>
        <v>-1088688.5376744128</v>
      </c>
      <c r="Y149" s="2905">
        <f>X149/X$159*'Forecast (BV) 2017'!T$66</f>
        <v>-1115426.5592182924</v>
      </c>
      <c r="Z149" s="2905">
        <f>Y149/Y$159*'Forecast (BV) 2017'!U$66</f>
        <v>-1178035.2821931138</v>
      </c>
    </row>
    <row r="150" spans="1:26" s="2" customFormat="1" ht="17.25" customHeight="1">
      <c r="A150" s="411"/>
      <c r="C150" s="236">
        <f>+MAX($C$9:C149)+1</f>
        <v>142</v>
      </c>
      <c r="D150" s="237">
        <v>929020</v>
      </c>
      <c r="E150" s="112" t="s">
        <v>834</v>
      </c>
      <c r="F150" s="237">
        <v>10</v>
      </c>
      <c r="G150" s="974">
        <v>-206472.78</v>
      </c>
      <c r="H150" s="975">
        <v>-179930.88</v>
      </c>
      <c r="I150" s="957">
        <v>-188311.65</v>
      </c>
      <c r="J150" s="957">
        <v>-186536.64</v>
      </c>
      <c r="K150" s="957">
        <v>-186536.64</v>
      </c>
      <c r="L150" s="957">
        <v>-186536.64</v>
      </c>
      <c r="M150" s="4311">
        <f>SUMIF('Lead Sheet 2015'!$J$624:$J$978,$D150,'Lead Sheet 2015'!$E$624:$E$978)</f>
        <v>-186536.64</v>
      </c>
      <c r="N150" s="4312">
        <f>SUMIF('Lead Sheet 2015'!$J$624:$J$978,$D150,'Lead Sheet 2015'!$D$624:$D$978)</f>
        <v>-186536.64</v>
      </c>
      <c r="O150" s="4319">
        <f>SUMIF('Lead Sheet 2015'!$J$624:$J$978,$D150,'Lead Sheet 2015'!$C$624:$C$978)</f>
        <v>-186536.64</v>
      </c>
      <c r="P150" s="4320">
        <f>O150/O$159*'Forecast (BV) 2017'!K$66</f>
        <v>-218163.83498636924</v>
      </c>
      <c r="Q150" s="2905">
        <f>P150/P$159*'Forecast (BV) 2017'!L$66</f>
        <v>-239209.93984829338</v>
      </c>
      <c r="R150" s="2905">
        <f>Q150/Q$159*'Forecast (BV) 2017'!M$66</f>
        <v>-251108.27568754699</v>
      </c>
      <c r="S150" s="2905">
        <f>R150/R$159*'Forecast (BV) 2017'!N$66</f>
        <v>-256454.75529029756</v>
      </c>
      <c r="T150" s="2905">
        <f>S150/S$159*'Forecast (BV) 2017'!O$66</f>
        <v>-266070.35890292976</v>
      </c>
      <c r="U150" s="2905">
        <f>T150/T$159*'Forecast (BV) 2017'!P$66</f>
        <v>-269921.45169207826</v>
      </c>
      <c r="V150" s="2905">
        <f>U150/U$159*'Forecast (BV) 2017'!Q$66</f>
        <v>-276716.9216503572</v>
      </c>
      <c r="W150" s="2905">
        <f>V150/V$159*'Forecast (BV) 2017'!R$66</f>
        <v>-290521.40388399223</v>
      </c>
      <c r="X150" s="2905">
        <f>W150/W$159*'Forecast (BV) 2017'!S$66</f>
        <v>-296651.24484335637</v>
      </c>
      <c r="Y150" s="2905">
        <f>X150/X$159*'Forecast (BV) 2017'!T$66</f>
        <v>-303936.95338271867</v>
      </c>
      <c r="Z150" s="2905">
        <f>Y150/Y$159*'Forecast (BV) 2017'!U$66</f>
        <v>-320996.88830975298</v>
      </c>
    </row>
    <row r="151" spans="1:26" s="2" customFormat="1" ht="17.25" customHeight="1">
      <c r="A151" s="411"/>
      <c r="C151" s="236">
        <f>+MAX($C$9:C150)+1</f>
        <v>143</v>
      </c>
      <c r="D151" s="237">
        <v>929880</v>
      </c>
      <c r="E151" s="112" t="s">
        <v>835</v>
      </c>
      <c r="F151" s="237">
        <v>10</v>
      </c>
      <c r="G151" s="974">
        <v>-2792282.47</v>
      </c>
      <c r="H151" s="975">
        <v>-3485523.37</v>
      </c>
      <c r="I151" s="957">
        <v>-746377.44</v>
      </c>
      <c r="J151" s="957">
        <v>-2939773.7</v>
      </c>
      <c r="K151" s="957">
        <v>-1454910.04</v>
      </c>
      <c r="L151" s="957">
        <v>-2709836.69</v>
      </c>
      <c r="M151" s="4311">
        <f>SUMIF('Lead Sheet 2015'!$J$624:$J$978,$D151,'Lead Sheet 2015'!$E$624:$E$978)</f>
        <v>-2226731.89</v>
      </c>
      <c r="N151" s="4312">
        <f>SUMIF('Lead Sheet 2015'!$J$624:$J$978,$D151,'Lead Sheet 2015'!$D$624:$D$978)</f>
        <v>-3651502.45</v>
      </c>
      <c r="O151" s="4319">
        <f>SUMIF('Lead Sheet 2015'!$J$624:$J$978,$D151,'Lead Sheet 2015'!$C$624:$C$978)</f>
        <v>-51746.32</v>
      </c>
      <c r="P151" s="4320">
        <f>O151/O$159*'Forecast (BV) 2017'!K$66</f>
        <v>-60519.882944347322</v>
      </c>
      <c r="Q151" s="2905">
        <f>P151/P$159*'Forecast (BV) 2017'!L$66</f>
        <v>-66358.19158407989</v>
      </c>
      <c r="R151" s="2905">
        <f>Q151/Q$159*'Forecast (BV) 2017'!M$66</f>
        <v>-69658.857307476035</v>
      </c>
      <c r="S151" s="2905">
        <f>R151/R$159*'Forecast (BV) 2017'!N$66</f>
        <v>-71142.001017995339</v>
      </c>
      <c r="T151" s="2905">
        <f>S151/S$159*'Forecast (BV) 2017'!O$66</f>
        <v>-73809.423898199573</v>
      </c>
      <c r="U151" s="2905">
        <f>T151/T$159*'Forecast (BV) 2017'!P$66</f>
        <v>-74877.738840598948</v>
      </c>
      <c r="V151" s="2905">
        <f>U151/U$159*'Forecast (BV) 2017'!Q$66</f>
        <v>-76762.840679098284</v>
      </c>
      <c r="W151" s="2905">
        <f>V151/V$159*'Forecast (BV) 2017'!R$66</f>
        <v>-80592.282203808893</v>
      </c>
      <c r="X151" s="2905">
        <f>W151/W$159*'Forecast (BV) 2017'!S$66</f>
        <v>-82292.734789597744</v>
      </c>
      <c r="Y151" s="2905">
        <f>X151/X$159*'Forecast (BV) 2017'!T$66</f>
        <v>-84313.831585940672</v>
      </c>
      <c r="Z151" s="2905">
        <f>Y151/Y$159*'Forecast (BV) 2017'!U$66</f>
        <v>-89046.354118315518</v>
      </c>
    </row>
    <row r="152" spans="1:26" s="2" customFormat="1" ht="17.25" customHeight="1">
      <c r="A152" s="411"/>
      <c r="C152" s="236">
        <f>+MAX($C$9:C151)+1</f>
        <v>144</v>
      </c>
      <c r="D152" s="237">
        <v>929980</v>
      </c>
      <c r="E152" s="112" t="s">
        <v>836</v>
      </c>
      <c r="F152" s="237">
        <v>10</v>
      </c>
      <c r="G152" s="974">
        <v>193676.65</v>
      </c>
      <c r="H152" s="975">
        <v>607148.74</v>
      </c>
      <c r="I152" s="957">
        <v>-2570636.7999999998</v>
      </c>
      <c r="J152" s="957">
        <v>240584.23</v>
      </c>
      <c r="K152" s="957">
        <v>-1279066.73</v>
      </c>
      <c r="L152" s="957">
        <v>88573.440000000002</v>
      </c>
      <c r="M152" s="4311">
        <f>SUMIF('Lead Sheet 2015'!$J$624:$J$978,$D152,'Lead Sheet 2015'!$E$624:$E$978)</f>
        <v>-96900.31</v>
      </c>
      <c r="N152" s="4312">
        <f>SUMIF('Lead Sheet 2015'!$J$624:$J$978,$D152,'Lead Sheet 2015'!$D$624:$D$978)</f>
        <v>1478521.73</v>
      </c>
      <c r="O152" s="4319">
        <f>SUMIF('Lead Sheet 2015'!$J$624:$J$978,$D152,'Lead Sheet 2015'!$C$624:$C$978)</f>
        <v>-1206031.1000000001</v>
      </c>
      <c r="P152" s="4320">
        <f>O152/O$159*'Forecast (BV) 2017'!K$66</f>
        <v>-1410513.0760842983</v>
      </c>
      <c r="Q152" s="2905">
        <f>P152/P$159*'Forecast (BV) 2017'!L$66</f>
        <v>-1546584.2361381177</v>
      </c>
      <c r="R152" s="2905">
        <f>Q152/Q$159*'Forecast (BV) 2017'!M$66</f>
        <v>-1623511.5521891867</v>
      </c>
      <c r="S152" s="2905">
        <f>R152/R$159*'Forecast (BV) 2017'!N$66</f>
        <v>-1658078.5985154891</v>
      </c>
      <c r="T152" s="2905">
        <f>S152/S$159*'Forecast (BV) 2017'!O$66</f>
        <v>-1720247.1730223889</v>
      </c>
      <c r="U152" s="2905">
        <f>T152/T$159*'Forecast (BV) 2017'!P$66</f>
        <v>-1745145.9686300447</v>
      </c>
      <c r="V152" s="2905">
        <f>U152/U$159*'Forecast (BV) 2017'!Q$66</f>
        <v>-1789081.294734343</v>
      </c>
      <c r="W152" s="2905">
        <f>V152/V$159*'Forecast (BV) 2017'!R$66</f>
        <v>-1878332.5801287906</v>
      </c>
      <c r="X152" s="2905">
        <f>W152/W$159*'Forecast (BV) 2017'!S$66</f>
        <v>-1917964.3588241022</v>
      </c>
      <c r="Y152" s="2905">
        <f>X152/X$159*'Forecast (BV) 2017'!T$66</f>
        <v>-1965069.2658493735</v>
      </c>
      <c r="Z152" s="2905">
        <f>Y152/Y$159*'Forecast (BV) 2017'!U$66</f>
        <v>-2075368.3046118366</v>
      </c>
    </row>
    <row r="153" spans="1:26" s="2" customFormat="1" ht="17.25" customHeight="1">
      <c r="A153" s="411"/>
      <c r="C153" s="236">
        <f>+MAX($C$9:C152)+1</f>
        <v>145</v>
      </c>
      <c r="D153" s="237">
        <v>930010</v>
      </c>
      <c r="E153" s="112" t="s">
        <v>837</v>
      </c>
      <c r="F153" s="237">
        <v>10</v>
      </c>
      <c r="G153" s="974">
        <v>1152514.68</v>
      </c>
      <c r="H153" s="975">
        <v>1924807.97</v>
      </c>
      <c r="I153" s="957">
        <v>2252851.9</v>
      </c>
      <c r="J153" s="957">
        <v>1549676.28</v>
      </c>
      <c r="K153" s="957">
        <v>1054018.5600000001</v>
      </c>
      <c r="L153" s="957">
        <v>1415670.83</v>
      </c>
      <c r="M153" s="4311">
        <f>SUMIF('Lead Sheet 2015'!$J$624:$J$978,$D153,'Lead Sheet 2015'!$E$624:$E$978)</f>
        <v>1649937.14</v>
      </c>
      <c r="N153" s="4312">
        <f>SUMIF('Lead Sheet 2015'!$J$624:$J$978,$D153,'Lead Sheet 2015'!$D$624:$D$978)</f>
        <v>1665263.55</v>
      </c>
      <c r="O153" s="4319">
        <f>SUMIF('Lead Sheet 2015'!$J$624:$J$978,$D153,'Lead Sheet 2015'!$C$624:$C$978)</f>
        <v>1828506.74</v>
      </c>
      <c r="P153" s="4320">
        <f>O153/O$159*'Forecast (BV) 2017'!K$66</f>
        <v>2138529.1527542467</v>
      </c>
      <c r="Q153" s="2905">
        <f>P153/P$159*'Forecast (BV) 2017'!L$66</f>
        <v>2344831.4888034812</v>
      </c>
      <c r="R153" s="2905">
        <f>Q153/Q$159*'Forecast (BV) 2017'!M$66</f>
        <v>2461463.7347625527</v>
      </c>
      <c r="S153" s="2905">
        <f>R153/R$159*'Forecast (BV) 2017'!N$66</f>
        <v>2513872.0658491529</v>
      </c>
      <c r="T153" s="2905">
        <f>S153/S$159*'Forecast (BV) 2017'!O$66</f>
        <v>2608128.0576739563</v>
      </c>
      <c r="U153" s="2905">
        <f>T153/T$159*'Forecast (BV) 2017'!P$66</f>
        <v>2645878.0092187221</v>
      </c>
      <c r="V153" s="2905">
        <f>U153/U$159*'Forecast (BV) 2017'!Q$66</f>
        <v>2712489.9232114935</v>
      </c>
      <c r="W153" s="2905">
        <f>V153/V$159*'Forecast (BV) 2017'!R$66</f>
        <v>2847806.9783831313</v>
      </c>
      <c r="X153" s="2905">
        <f>W153/W$159*'Forecast (BV) 2017'!S$66</f>
        <v>2907894.1307480792</v>
      </c>
      <c r="Y153" s="2905">
        <f>X153/X$159*'Forecast (BV) 2017'!T$66</f>
        <v>2979311.5593556683</v>
      </c>
      <c r="Z153" s="2905">
        <f>Y153/Y$159*'Forecast (BV) 2017'!U$66</f>
        <v>3146539.8636611584</v>
      </c>
    </row>
    <row r="154" spans="1:26" s="2" customFormat="1" ht="17.25" customHeight="1">
      <c r="A154" s="411"/>
      <c r="C154" s="236">
        <f>+MAX($C$9:C153)+1</f>
        <v>146</v>
      </c>
      <c r="D154" s="237">
        <v>930110</v>
      </c>
      <c r="E154" s="112" t="s">
        <v>838</v>
      </c>
      <c r="F154" s="237">
        <v>10</v>
      </c>
      <c r="G154" s="974">
        <v>409376.99</v>
      </c>
      <c r="H154" s="975">
        <v>480265.77</v>
      </c>
      <c r="I154" s="957">
        <v>484799.52</v>
      </c>
      <c r="J154" s="957">
        <v>516436.59</v>
      </c>
      <c r="K154" s="957">
        <v>424500.72</v>
      </c>
      <c r="L154" s="957">
        <v>437253.86</v>
      </c>
      <c r="M154" s="4311">
        <f>SUMIF('Lead Sheet 2015'!$J$624:$J$978,$D154,'Lead Sheet 2015'!$E$624:$E$978)</f>
        <v>419403</v>
      </c>
      <c r="N154" s="4312">
        <f>SUMIF('Lead Sheet 2015'!$J$624:$J$978,$D154,'Lead Sheet 2015'!$D$624:$D$978)</f>
        <v>342832.14</v>
      </c>
      <c r="O154" s="4319">
        <f>SUMIF('Lead Sheet 2015'!$J$624:$J$978,$D154,'Lead Sheet 2015'!$C$624:$C$978)</f>
        <v>384548.12</v>
      </c>
      <c r="P154" s="4320">
        <f>O154/O$159*'Forecast (BV) 2017'!K$66</f>
        <v>449748.06341530813</v>
      </c>
      <c r="Q154" s="2905">
        <f>P154/P$159*'Forecast (BV) 2017'!L$66</f>
        <v>493134.92863372201</v>
      </c>
      <c r="R154" s="2905">
        <f>Q154/Q$159*'Forecast (BV) 2017'!M$66</f>
        <v>517663.52890288952</v>
      </c>
      <c r="S154" s="2905">
        <f>R154/R$159*'Forecast (BV) 2017'!N$66</f>
        <v>528685.37790722493</v>
      </c>
      <c r="T154" s="2905">
        <f>S154/S$159*'Forecast (BV) 2017'!O$66</f>
        <v>548508.09097798099</v>
      </c>
      <c r="U154" s="2905">
        <f>T154/T$159*'Forecast (BV) 2017'!P$66</f>
        <v>556447.17732591042</v>
      </c>
      <c r="V154" s="2905">
        <f>U154/U$159*'Forecast (BV) 2017'!Q$66</f>
        <v>570456.14198278775</v>
      </c>
      <c r="W154" s="2905">
        <f>V154/V$159*'Forecast (BV) 2017'!R$66</f>
        <v>598914.29203050898</v>
      </c>
      <c r="X154" s="2905">
        <f>W154/W$159*'Forecast (BV) 2017'!S$66</f>
        <v>611551.05238398421</v>
      </c>
      <c r="Y154" s="2905">
        <f>X154/X$159*'Forecast (BV) 2017'!T$66</f>
        <v>626570.65133076336</v>
      </c>
      <c r="Z154" s="2905">
        <f>Y154/Y$159*'Forecast (BV) 2017'!U$66</f>
        <v>661739.96661120048</v>
      </c>
    </row>
    <row r="155" spans="1:26" s="2" customFormat="1" ht="17.25" customHeight="1">
      <c r="A155" s="411"/>
      <c r="C155" s="236">
        <f>+MAX($C$9:C154)+1</f>
        <v>147</v>
      </c>
      <c r="D155" s="237">
        <v>931000</v>
      </c>
      <c r="E155" s="112" t="s">
        <v>839</v>
      </c>
      <c r="F155" s="237">
        <v>10</v>
      </c>
      <c r="G155" s="974">
        <v>8702.73</v>
      </c>
      <c r="H155" s="975">
        <v>6447.15</v>
      </c>
      <c r="I155" s="957">
        <v>7044.19</v>
      </c>
      <c r="J155" s="957">
        <v>0</v>
      </c>
      <c r="K155" s="957">
        <v>0</v>
      </c>
      <c r="L155" s="957">
        <v>0</v>
      </c>
      <c r="M155" s="4311">
        <f>SUMIF('Lead Sheet 2015'!$J$624:$J$978,$D155,'Lead Sheet 2015'!$E$624:$E$978)</f>
        <v>0</v>
      </c>
      <c r="N155" s="4312">
        <f>SUMIF('Lead Sheet 2015'!$J$624:$J$978,$D155,'Lead Sheet 2015'!$D$624:$D$978)</f>
        <v>0</v>
      </c>
      <c r="O155" s="4319">
        <f>SUMIF('Lead Sheet 2015'!$J$624:$J$978,$D155,'Lead Sheet 2015'!$C$624:$C$978)</f>
        <v>0</v>
      </c>
      <c r="P155" s="4320">
        <f>O155/O$159*'Forecast (BV) 2017'!K$66</f>
        <v>0</v>
      </c>
      <c r="Q155" s="2905">
        <f>P155/P$159*'Forecast (BV) 2017'!L$66</f>
        <v>0</v>
      </c>
      <c r="R155" s="2905">
        <f>Q155/Q$159*'Forecast (BV) 2017'!M$66</f>
        <v>0</v>
      </c>
      <c r="S155" s="2905">
        <f>R155/R$159*'Forecast (BV) 2017'!N$66</f>
        <v>0</v>
      </c>
      <c r="T155" s="2905">
        <f>S155/S$159*'Forecast (BV) 2017'!O$66</f>
        <v>0</v>
      </c>
      <c r="U155" s="2905">
        <f>T155/T$159*'Forecast (BV) 2017'!P$66</f>
        <v>0</v>
      </c>
      <c r="V155" s="2905">
        <f>U155/U$159*'Forecast (BV) 2017'!Q$66</f>
        <v>0</v>
      </c>
      <c r="W155" s="2905">
        <f>V155/V$159*'Forecast (BV) 2017'!R$66</f>
        <v>0</v>
      </c>
      <c r="X155" s="2905">
        <f>W155/W$159*'Forecast (BV) 2017'!S$66</f>
        <v>0</v>
      </c>
      <c r="Y155" s="2905">
        <f>X155/X$159*'Forecast (BV) 2017'!T$66</f>
        <v>0</v>
      </c>
      <c r="Z155" s="2905">
        <f>Y155/Y$159*'Forecast (BV) 2017'!U$66</f>
        <v>0</v>
      </c>
    </row>
    <row r="156" spans="1:26" s="2" customFormat="1" ht="17.25" customHeight="1">
      <c r="A156" s="411"/>
      <c r="C156" s="236">
        <f>+MAX($C$9:C155)+1</f>
        <v>148</v>
      </c>
      <c r="D156" s="237">
        <v>931010</v>
      </c>
      <c r="E156" s="112" t="s">
        <v>840</v>
      </c>
      <c r="F156" s="237">
        <v>10</v>
      </c>
      <c r="G156" s="974">
        <v>16462.09</v>
      </c>
      <c r="H156" s="975">
        <v>35637.449999999997</v>
      </c>
      <c r="I156" s="957">
        <v>38861.94</v>
      </c>
      <c r="J156" s="957">
        <v>3042.62</v>
      </c>
      <c r="K156" s="957">
        <v>0</v>
      </c>
      <c r="L156" s="957">
        <v>0</v>
      </c>
      <c r="M156" s="4311">
        <f>SUMIF('Lead Sheet 2015'!$J$624:$J$978,$D156,'Lead Sheet 2015'!$E$624:$E$978)</f>
        <v>0</v>
      </c>
      <c r="N156" s="4312">
        <f>SUMIF('Lead Sheet 2015'!$J$624:$J$978,$D156,'Lead Sheet 2015'!$D$624:$D$978)</f>
        <v>0</v>
      </c>
      <c r="O156" s="4319">
        <f>SUMIF('Lead Sheet 2015'!$J$624:$J$978,$D156,'Lead Sheet 2015'!$C$624:$C$978)</f>
        <v>0</v>
      </c>
      <c r="P156" s="4320">
        <f>O156/O$159*'Forecast (BV) 2017'!K$66</f>
        <v>0</v>
      </c>
      <c r="Q156" s="2905">
        <f>P156/P$159*'Forecast (BV) 2017'!L$66</f>
        <v>0</v>
      </c>
      <c r="R156" s="2905">
        <f>Q156/Q$159*'Forecast (BV) 2017'!M$66</f>
        <v>0</v>
      </c>
      <c r="S156" s="2905">
        <f>R156/R$159*'Forecast (BV) 2017'!N$66</f>
        <v>0</v>
      </c>
      <c r="T156" s="2905">
        <f>S156/S$159*'Forecast (BV) 2017'!O$66</f>
        <v>0</v>
      </c>
      <c r="U156" s="2905">
        <f>T156/T$159*'Forecast (BV) 2017'!P$66</f>
        <v>0</v>
      </c>
      <c r="V156" s="2905">
        <f>U156/U$159*'Forecast (BV) 2017'!Q$66</f>
        <v>0</v>
      </c>
      <c r="W156" s="2905">
        <f>V156/V$159*'Forecast (BV) 2017'!R$66</f>
        <v>0</v>
      </c>
      <c r="X156" s="2905">
        <f>W156/W$159*'Forecast (BV) 2017'!S$66</f>
        <v>0</v>
      </c>
      <c r="Y156" s="2905">
        <f>X156/X$159*'Forecast (BV) 2017'!T$66</f>
        <v>0</v>
      </c>
      <c r="Z156" s="2905">
        <f>Y156/Y$159*'Forecast (BV) 2017'!U$66</f>
        <v>0</v>
      </c>
    </row>
    <row r="157" spans="1:26" s="2" customFormat="1" ht="17.25" customHeight="1">
      <c r="A157" s="411"/>
      <c r="C157" s="236">
        <f>+MAX($C$9:C156)+1</f>
        <v>149</v>
      </c>
      <c r="D157" s="237">
        <v>935010</v>
      </c>
      <c r="E157" s="112" t="s">
        <v>841</v>
      </c>
      <c r="F157" s="237">
        <v>10</v>
      </c>
      <c r="G157" s="974">
        <v>1940483.18</v>
      </c>
      <c r="H157" s="975">
        <v>1931441.44</v>
      </c>
      <c r="I157" s="957">
        <v>2057989.92</v>
      </c>
      <c r="J157" s="957">
        <v>1972780.01</v>
      </c>
      <c r="K157" s="957">
        <v>1962688.6</v>
      </c>
      <c r="L157" s="957">
        <v>2152550.19</v>
      </c>
      <c r="M157" s="4311">
        <f>SUMIF('Lead Sheet 2015'!$J$624:$J$978,$D157,'Lead Sheet 2015'!$E$624:$E$978)</f>
        <v>2140431.21</v>
      </c>
      <c r="N157" s="4312">
        <f>SUMIF('Lead Sheet 2015'!$J$624:$J$978,$D157,'Lead Sheet 2015'!$D$624:$D$978)</f>
        <v>2397140.2999999998</v>
      </c>
      <c r="O157" s="4319">
        <f>SUMIF('Lead Sheet 2015'!$J$624:$J$978,$D157,'Lead Sheet 2015'!$C$624:$C$978)</f>
        <v>2653140.66</v>
      </c>
      <c r="P157" s="4320">
        <f>O157/O$159*'Forecast (BV) 2017'!K$66</f>
        <v>3102979.3457406904</v>
      </c>
      <c r="Q157" s="2905">
        <f>P157/P$159*'Forecast (BV) 2017'!L$66</f>
        <v>3402321.4832628127</v>
      </c>
      <c r="R157" s="2905">
        <f>Q157/Q$159*'Forecast (BV) 2017'!M$66</f>
        <v>3571553.4293376375</v>
      </c>
      <c r="S157" s="2905">
        <f>R157/R$159*'Forecast (BV) 2017'!N$66</f>
        <v>3647597.2694213777</v>
      </c>
      <c r="T157" s="2905">
        <f>S157/S$159*'Forecast (BV) 2017'!O$66</f>
        <v>3784361.5475552464</v>
      </c>
      <c r="U157" s="2905">
        <f>T157/T$159*'Forecast (BV) 2017'!P$66</f>
        <v>3839136.2602568516</v>
      </c>
      <c r="V157" s="2905">
        <f>U157/U$159*'Forecast (BV) 2017'!Q$66</f>
        <v>3935789.3234304907</v>
      </c>
      <c r="W157" s="2905">
        <f>V157/V$159*'Forecast (BV) 2017'!R$66</f>
        <v>4132132.6965302997</v>
      </c>
      <c r="X157" s="2905">
        <f>W157/W$159*'Forecast (BV) 2017'!S$66</f>
        <v>4219318.4112972347</v>
      </c>
      <c r="Y157" s="2905">
        <f>X157/X$159*'Forecast (BV) 2017'!T$66</f>
        <v>4322944.2167298365</v>
      </c>
      <c r="Z157" s="2905">
        <f>Y157/Y$159*'Forecast (BV) 2017'!U$66</f>
        <v>4565590.4175613131</v>
      </c>
    </row>
    <row r="158" spans="1:26" s="2" customFormat="1" ht="17.25" customHeight="1" thickBot="1">
      <c r="A158" s="411"/>
      <c r="C158" s="236">
        <f>+MAX($C$9:C157)+1</f>
        <v>150</v>
      </c>
      <c r="D158" s="237">
        <v>935020</v>
      </c>
      <c r="E158" s="112" t="s">
        <v>842</v>
      </c>
      <c r="F158" s="237">
        <v>10</v>
      </c>
      <c r="G158" s="976">
        <v>1181276.7</v>
      </c>
      <c r="H158" s="977">
        <v>1398546.14</v>
      </c>
      <c r="I158" s="979">
        <v>1326926.29</v>
      </c>
      <c r="J158" s="979">
        <v>2607853.81</v>
      </c>
      <c r="K158" s="979">
        <v>2196622.27</v>
      </c>
      <c r="L158" s="979">
        <v>2073242.7</v>
      </c>
      <c r="M158" s="4314">
        <f>SUMIF('Lead Sheet 2015'!$J$624:$J$978,$D158,'Lead Sheet 2015'!$E$624:$E$978)</f>
        <v>2596556.87</v>
      </c>
      <c r="N158" s="4315">
        <f>SUMIF('Lead Sheet 2015'!$J$624:$J$978,$D158,'Lead Sheet 2015'!$D$624:$D$978)</f>
        <v>2915868.37</v>
      </c>
      <c r="O158" s="4321">
        <f>SUMIF('Lead Sheet 2015'!$J$624:$J$978,$D158,'Lead Sheet 2015'!$C$624:$C$978)</f>
        <v>3125151.77</v>
      </c>
      <c r="P158" s="4322">
        <f>O158/O$159*'Forecast (BV) 2017'!K$66</f>
        <v>3655019.7058210103</v>
      </c>
      <c r="Q158" s="2905">
        <f>P158/P$159*'Forecast (BV) 2017'!L$66</f>
        <v>4007616.7712599924</v>
      </c>
      <c r="R158" s="2905">
        <f>Q158/Q$159*'Forecast (BV) 2017'!M$66</f>
        <v>4206956.1895538885</v>
      </c>
      <c r="S158" s="2905">
        <f>R158/R$159*'Forecast (BV) 2017'!N$66</f>
        <v>4296528.7271197243</v>
      </c>
      <c r="T158" s="2905">
        <f>S158/S$159*'Forecast (BV) 2017'!O$66</f>
        <v>4457624.2665785449</v>
      </c>
      <c r="U158" s="2905">
        <f>T158/T$159*'Forecast (BV) 2017'!P$66</f>
        <v>4522143.7596199214</v>
      </c>
      <c r="V158" s="2905">
        <f>U158/U$159*'Forecast (BV) 2017'!Q$66</f>
        <v>4635992.0361199016</v>
      </c>
      <c r="W158" s="2905">
        <f>V158/V$159*'Forecast (BV) 2017'!R$66</f>
        <v>4867266.1819733819</v>
      </c>
      <c r="X158" s="2905">
        <f>W158/W$159*'Forecast (BV) 2017'!S$66</f>
        <v>4969962.8067435892</v>
      </c>
      <c r="Y158" s="2905">
        <f>X158/X$159*'Forecast (BV) 2017'!T$66</f>
        <v>5092024.3220442412</v>
      </c>
      <c r="Z158" s="2905">
        <f>Y158/Y$159*'Forecast (BV) 2017'!U$66</f>
        <v>5377838.8721149731</v>
      </c>
    </row>
    <row r="159" spans="1:26" s="2" customFormat="1" ht="17.25" customHeight="1">
      <c r="A159" s="411"/>
      <c r="C159" s="236">
        <f>+MAX($C$9:C158)+1</f>
        <v>151</v>
      </c>
      <c r="D159" s="112"/>
      <c r="E159" s="112"/>
      <c r="F159" s="112"/>
      <c r="G159" s="117">
        <f t="shared" ref="G159:Z159" si="19">SUM(G121:G158)</f>
        <v>11074834.220000001</v>
      </c>
      <c r="H159" s="117">
        <f t="shared" si="19"/>
        <v>11635261.649999999</v>
      </c>
      <c r="I159" s="117">
        <f t="shared" si="19"/>
        <v>11449405.25</v>
      </c>
      <c r="J159" s="117">
        <f t="shared" si="19"/>
        <v>12305721.530000001</v>
      </c>
      <c r="K159" s="117">
        <f t="shared" si="19"/>
        <v>10796228.77</v>
      </c>
      <c r="L159" s="117">
        <f t="shared" si="19"/>
        <v>11142625.050000001</v>
      </c>
      <c r="M159" s="2907">
        <f t="shared" si="19"/>
        <v>11819895.349999998</v>
      </c>
      <c r="N159" s="2907">
        <f t="shared" si="19"/>
        <v>12235955.66</v>
      </c>
      <c r="O159" s="2907">
        <f t="shared" si="19"/>
        <v>13760308.120000001</v>
      </c>
      <c r="P159" s="2908">
        <f t="shared" si="19"/>
        <v>16093361.551131595</v>
      </c>
      <c r="Q159" s="2908">
        <f t="shared" si="19"/>
        <v>17645876.315125987</v>
      </c>
      <c r="R159" s="2908">
        <f t="shared" si="19"/>
        <v>18523584.669170365</v>
      </c>
      <c r="S159" s="2908">
        <f t="shared" si="19"/>
        <v>18917980.143920753</v>
      </c>
      <c r="T159" s="2908">
        <f t="shared" si="19"/>
        <v>19627297.458039869</v>
      </c>
      <c r="U159" s="2908">
        <f t="shared" si="19"/>
        <v>19911382.254342586</v>
      </c>
      <c r="V159" s="2908">
        <f t="shared" si="19"/>
        <v>20412665.865144849</v>
      </c>
      <c r="W159" s="2908">
        <f t="shared" si="19"/>
        <v>21430985.531307399</v>
      </c>
      <c r="X159" s="2908">
        <f t="shared" si="19"/>
        <v>21883167.474369351</v>
      </c>
      <c r="Y159" s="2908">
        <f t="shared" si="19"/>
        <v>22420614.67173573</v>
      </c>
      <c r="Z159" s="2908">
        <f t="shared" si="19"/>
        <v>23679080.360316493</v>
      </c>
    </row>
    <row r="160" spans="1:26" s="2" customFormat="1" ht="17.25" customHeight="1">
      <c r="A160" s="411"/>
      <c r="C160" s="236"/>
      <c r="D160" s="112"/>
      <c r="E160" s="112"/>
      <c r="F160" s="112"/>
      <c r="G160" s="112"/>
      <c r="H160" s="4"/>
      <c r="I160" s="983"/>
      <c r="J160" s="983"/>
      <c r="K160" s="983"/>
      <c r="L160" s="983"/>
      <c r="M160" s="2920"/>
      <c r="N160" s="11"/>
      <c r="O160" s="11"/>
      <c r="P160" s="11"/>
      <c r="Q160" s="11"/>
      <c r="R160" s="11"/>
      <c r="S160" s="2913"/>
      <c r="T160" s="11"/>
      <c r="U160" s="11"/>
      <c r="V160" s="11"/>
      <c r="W160" s="11"/>
      <c r="X160" s="11"/>
      <c r="Y160" s="11"/>
      <c r="Z160" s="11"/>
    </row>
    <row r="161" spans="1:28" s="2" customFormat="1" ht="17.25" customHeight="1">
      <c r="A161" s="411"/>
      <c r="C161" s="236"/>
      <c r="D161" s="112"/>
      <c r="E161" s="112"/>
      <c r="F161" s="112"/>
      <c r="G161" s="112"/>
      <c r="H161" s="4"/>
      <c r="I161" s="11"/>
      <c r="J161" s="11"/>
      <c r="K161" s="11"/>
      <c r="L161" s="11"/>
      <c r="M161" s="11"/>
      <c r="N161" s="11"/>
      <c r="O161" s="11"/>
      <c r="P161" s="11"/>
      <c r="Q161" s="11"/>
      <c r="R161" s="11"/>
      <c r="S161" s="11"/>
      <c r="T161" s="11"/>
      <c r="U161" s="11"/>
      <c r="V161" s="11"/>
      <c r="W161" s="11"/>
      <c r="X161" s="11"/>
      <c r="Y161" s="11"/>
      <c r="Z161" s="11"/>
    </row>
    <row r="162" spans="1:28" s="2" customFormat="1" ht="17.25" customHeight="1">
      <c r="A162" s="411"/>
      <c r="C162" s="236"/>
      <c r="G162" s="114">
        <f t="shared" ref="G162:Z162" si="20">G6</f>
        <v>2007</v>
      </c>
      <c r="H162" s="114">
        <f t="shared" si="20"/>
        <v>2008</v>
      </c>
      <c r="I162" s="114">
        <f t="shared" si="20"/>
        <v>2009</v>
      </c>
      <c r="J162" s="114">
        <f t="shared" si="20"/>
        <v>2010</v>
      </c>
      <c r="K162" s="114">
        <f t="shared" si="20"/>
        <v>2011</v>
      </c>
      <c r="L162" s="114">
        <f t="shared" si="20"/>
        <v>2012</v>
      </c>
      <c r="M162" s="114">
        <f t="shared" si="20"/>
        <v>2013</v>
      </c>
      <c r="N162" s="114">
        <f t="shared" si="20"/>
        <v>2014</v>
      </c>
      <c r="O162" s="114">
        <f t="shared" si="20"/>
        <v>2015</v>
      </c>
      <c r="P162" s="114">
        <f t="shared" si="20"/>
        <v>2016</v>
      </c>
      <c r="Q162" s="114">
        <f t="shared" si="20"/>
        <v>2017</v>
      </c>
      <c r="R162" s="114">
        <f t="shared" si="20"/>
        <v>2018</v>
      </c>
      <c r="S162" s="114">
        <f t="shared" si="20"/>
        <v>2019</v>
      </c>
      <c r="T162" s="114">
        <f t="shared" si="20"/>
        <v>2020</v>
      </c>
      <c r="U162" s="114">
        <f t="shared" si="20"/>
        <v>2021</v>
      </c>
      <c r="V162" s="114">
        <f t="shared" si="20"/>
        <v>2022</v>
      </c>
      <c r="W162" s="114">
        <f t="shared" si="20"/>
        <v>2023</v>
      </c>
      <c r="X162" s="114">
        <f t="shared" si="20"/>
        <v>2024</v>
      </c>
      <c r="Y162" s="114">
        <f t="shared" si="20"/>
        <v>2025</v>
      </c>
      <c r="Z162" s="114">
        <f t="shared" si="20"/>
        <v>2026</v>
      </c>
    </row>
    <row r="163" spans="1:28" s="2" customFormat="1" ht="17.25" customHeight="1">
      <c r="A163" s="411"/>
      <c r="C163" s="236"/>
      <c r="D163" s="2" t="s">
        <v>877</v>
      </c>
      <c r="G163" s="584">
        <f t="shared" ref="G163:Z163" si="21">G23</f>
        <v>84505021.050000012</v>
      </c>
      <c r="H163" s="584">
        <f t="shared" si="21"/>
        <v>102262403.33</v>
      </c>
      <c r="I163" s="584">
        <f t="shared" si="21"/>
        <v>118539328.95</v>
      </c>
      <c r="J163" s="584">
        <f t="shared" si="21"/>
        <v>138697792.29999998</v>
      </c>
      <c r="K163" s="584">
        <f t="shared" si="21"/>
        <v>134104542.05000001</v>
      </c>
      <c r="L163" s="584">
        <f t="shared" si="21"/>
        <v>100379270.52</v>
      </c>
      <c r="M163" s="584">
        <f t="shared" si="21"/>
        <v>117161119.39</v>
      </c>
      <c r="N163" s="584">
        <f t="shared" si="21"/>
        <v>159151227.73999998</v>
      </c>
      <c r="O163" s="584">
        <f t="shared" si="21"/>
        <v>133138270.65000002</v>
      </c>
      <c r="P163" s="584">
        <f t="shared" si="21"/>
        <v>106384290.24360722</v>
      </c>
      <c r="Q163" s="584">
        <f t="shared" si="21"/>
        <v>103038617.21722999</v>
      </c>
      <c r="R163" s="584">
        <f t="shared" si="21"/>
        <v>109737912.32604267</v>
      </c>
      <c r="S163" s="584">
        <f t="shared" si="21"/>
        <v>118156681.20030692</v>
      </c>
      <c r="T163" s="584">
        <f t="shared" si="21"/>
        <v>143151334.14485851</v>
      </c>
      <c r="U163" s="584">
        <f t="shared" si="21"/>
        <v>213119250.26379368</v>
      </c>
      <c r="V163" s="584">
        <f t="shared" si="21"/>
        <v>214803071.76733527</v>
      </c>
      <c r="W163" s="584">
        <f t="shared" si="21"/>
        <v>224830035.01955739</v>
      </c>
      <c r="X163" s="584">
        <f t="shared" si="21"/>
        <v>233090202.32355806</v>
      </c>
      <c r="Y163" s="584">
        <f t="shared" si="21"/>
        <v>246773925.28542536</v>
      </c>
      <c r="Z163" s="584">
        <f t="shared" si="21"/>
        <v>261644974.84113747</v>
      </c>
    </row>
    <row r="164" spans="1:28" s="2" customFormat="1" ht="17.25" customHeight="1">
      <c r="A164" s="411"/>
      <c r="C164" s="236"/>
      <c r="D164" s="2" t="s">
        <v>313</v>
      </c>
      <c r="E164" s="4"/>
      <c r="F164" s="4"/>
      <c r="G164" s="281">
        <f t="shared" ref="G164:Z164" si="22">G47</f>
        <v>833413.77</v>
      </c>
      <c r="H164" s="281">
        <f t="shared" si="22"/>
        <v>378919.57000000007</v>
      </c>
      <c r="I164" s="281">
        <f t="shared" si="22"/>
        <v>286137.18</v>
      </c>
      <c r="J164" s="281">
        <f t="shared" si="22"/>
        <v>451580.23</v>
      </c>
      <c r="K164" s="281">
        <f t="shared" si="22"/>
        <v>533195.57999999996</v>
      </c>
      <c r="L164" s="281">
        <f t="shared" si="22"/>
        <v>461071.88</v>
      </c>
      <c r="M164" s="281">
        <f t="shared" si="22"/>
        <v>464652.82000000007</v>
      </c>
      <c r="N164" s="281">
        <f t="shared" si="22"/>
        <v>405417.2</v>
      </c>
      <c r="O164" s="281">
        <f t="shared" si="22"/>
        <v>418725.12</v>
      </c>
      <c r="P164" s="281">
        <f t="shared" si="22"/>
        <v>455028.15503329912</v>
      </c>
      <c r="Q164" s="281">
        <f t="shared" si="22"/>
        <v>502522.19229343906</v>
      </c>
      <c r="R164" s="281">
        <f t="shared" si="22"/>
        <v>530303.82626700692</v>
      </c>
      <c r="S164" s="281">
        <f t="shared" si="22"/>
        <v>543420.22634831513</v>
      </c>
      <c r="T164" s="281">
        <f t="shared" si="22"/>
        <v>563438.85317375325</v>
      </c>
      <c r="U164" s="281">
        <f t="shared" si="22"/>
        <v>577492.46389164461</v>
      </c>
      <c r="V164" s="281">
        <f t="shared" si="22"/>
        <v>592985.74542125559</v>
      </c>
      <c r="W164" s="281">
        <f t="shared" si="22"/>
        <v>618120.2517056705</v>
      </c>
      <c r="X164" s="281">
        <f t="shared" si="22"/>
        <v>635063.69790164474</v>
      </c>
      <c r="Y164" s="281">
        <f t="shared" si="22"/>
        <v>653342.73910223681</v>
      </c>
      <c r="Z164" s="281">
        <f t="shared" si="22"/>
        <v>683409.9654822906</v>
      </c>
    </row>
    <row r="165" spans="1:28" s="2" customFormat="1" ht="17.25" customHeight="1">
      <c r="A165" s="411"/>
      <c r="C165" s="236"/>
      <c r="D165" s="2" t="s">
        <v>889</v>
      </c>
      <c r="E165" s="4"/>
      <c r="F165" s="4"/>
      <c r="G165" s="281">
        <f t="shared" ref="G165:Z165" si="23">G62</f>
        <v>7988600.8900000006</v>
      </c>
      <c r="H165" s="281">
        <f t="shared" si="23"/>
        <v>7166829.5699999994</v>
      </c>
      <c r="I165" s="281">
        <f t="shared" si="23"/>
        <v>8189372.5199999996</v>
      </c>
      <c r="J165" s="281">
        <f t="shared" si="23"/>
        <v>9199484</v>
      </c>
      <c r="K165" s="281">
        <f t="shared" si="23"/>
        <v>9131433.0300000012</v>
      </c>
      <c r="L165" s="281">
        <f t="shared" si="23"/>
        <v>6933438.7200000007</v>
      </c>
      <c r="M165" s="281">
        <f t="shared" si="23"/>
        <v>6271196.5999999996</v>
      </c>
      <c r="N165" s="281">
        <f t="shared" si="23"/>
        <v>4721334.16</v>
      </c>
      <c r="O165" s="281">
        <f t="shared" si="23"/>
        <v>8075510.46</v>
      </c>
      <c r="P165" s="281">
        <f t="shared" si="23"/>
        <v>2566753.9179197438</v>
      </c>
      <c r="Q165" s="281">
        <f t="shared" si="23"/>
        <v>2751826.7140462874</v>
      </c>
      <c r="R165" s="281">
        <f t="shared" si="23"/>
        <v>2895166.6470514582</v>
      </c>
      <c r="S165" s="281">
        <f t="shared" si="23"/>
        <v>2977280.9494048376</v>
      </c>
      <c r="T165" s="281">
        <f t="shared" si="23"/>
        <v>3091418.9213395794</v>
      </c>
      <c r="U165" s="281">
        <f t="shared" si="23"/>
        <v>3177710.5344355055</v>
      </c>
      <c r="V165" s="281">
        <f t="shared" si="23"/>
        <v>3274249.7984641865</v>
      </c>
      <c r="W165" s="281">
        <f t="shared" si="23"/>
        <v>3416477.7732745847</v>
      </c>
      <c r="X165" s="281">
        <f t="shared" si="23"/>
        <v>3520467.8803847791</v>
      </c>
      <c r="Y165" s="281">
        <f t="shared" si="23"/>
        <v>3632351.8566670059</v>
      </c>
      <c r="Z165" s="281">
        <f t="shared" si="23"/>
        <v>3801447.4401745857</v>
      </c>
    </row>
    <row r="166" spans="1:28" s="2" customFormat="1" ht="17.25" customHeight="1">
      <c r="A166" s="411"/>
      <c r="C166" s="236"/>
      <c r="D166" s="2" t="s">
        <v>314</v>
      </c>
      <c r="E166" s="4"/>
      <c r="F166" s="4"/>
      <c r="G166" s="281">
        <f t="shared" ref="G166:Z166" si="24">G83</f>
        <v>9031072.8000000007</v>
      </c>
      <c r="H166" s="281">
        <f t="shared" si="24"/>
        <v>9048655.8699999992</v>
      </c>
      <c r="I166" s="281">
        <f t="shared" si="24"/>
        <v>11323300.189999999</v>
      </c>
      <c r="J166" s="281">
        <f t="shared" si="24"/>
        <v>10997942.75</v>
      </c>
      <c r="K166" s="281">
        <f t="shared" si="24"/>
        <v>12381220.219999999</v>
      </c>
      <c r="L166" s="281">
        <f t="shared" si="24"/>
        <v>13420393.34</v>
      </c>
      <c r="M166" s="281">
        <f t="shared" si="24"/>
        <v>15271748.720000001</v>
      </c>
      <c r="N166" s="281">
        <f t="shared" si="24"/>
        <v>14625271.010000002</v>
      </c>
      <c r="O166" s="281">
        <f t="shared" si="24"/>
        <v>13903667.529999999</v>
      </c>
      <c r="P166" s="281">
        <f t="shared" si="24"/>
        <v>13374530.556853719</v>
      </c>
      <c r="Q166" s="281">
        <f t="shared" si="24"/>
        <v>14732458.858004173</v>
      </c>
      <c r="R166" s="281">
        <f t="shared" si="24"/>
        <v>15517677.528446738</v>
      </c>
      <c r="S166" s="281">
        <f t="shared" si="24"/>
        <v>15882420.172470961</v>
      </c>
      <c r="T166" s="281">
        <f t="shared" si="24"/>
        <v>16471212.033784516</v>
      </c>
      <c r="U166" s="281">
        <f t="shared" si="24"/>
        <v>16820601.784516007</v>
      </c>
      <c r="V166" s="281">
        <f t="shared" si="24"/>
        <v>17262032.579929501</v>
      </c>
      <c r="W166" s="281">
        <f t="shared" si="24"/>
        <v>18039491.139086608</v>
      </c>
      <c r="X166" s="281">
        <f t="shared" si="24"/>
        <v>18493525.052538324</v>
      </c>
      <c r="Y166" s="281">
        <f t="shared" si="24"/>
        <v>18998187.84503172</v>
      </c>
      <c r="Z166" s="281">
        <f t="shared" si="24"/>
        <v>19940275.70607635</v>
      </c>
    </row>
    <row r="167" spans="1:28" s="2" customFormat="1" ht="17.25" customHeight="1">
      <c r="A167" s="411"/>
      <c r="C167" s="236"/>
      <c r="D167" s="2" t="s">
        <v>315</v>
      </c>
      <c r="E167" s="4"/>
      <c r="F167" s="4"/>
      <c r="G167" s="281">
        <f t="shared" ref="G167:Z167" si="25">G89</f>
        <v>499920.14</v>
      </c>
      <c r="H167" s="281">
        <f t="shared" si="25"/>
        <v>412378.99</v>
      </c>
      <c r="I167" s="281">
        <f t="shared" si="25"/>
        <v>418154.33999999997</v>
      </c>
      <c r="J167" s="281">
        <f t="shared" si="25"/>
        <v>0</v>
      </c>
      <c r="K167" s="281">
        <f t="shared" si="25"/>
        <v>3454.56</v>
      </c>
      <c r="L167" s="281">
        <f t="shared" si="25"/>
        <v>9770.23</v>
      </c>
      <c r="M167" s="281">
        <f t="shared" si="25"/>
        <v>30.4</v>
      </c>
      <c r="N167" s="281">
        <f t="shared" si="25"/>
        <v>0</v>
      </c>
      <c r="O167" s="281">
        <f t="shared" si="25"/>
        <v>0</v>
      </c>
      <c r="P167" s="281">
        <f t="shared" si="25"/>
        <v>0</v>
      </c>
      <c r="Q167" s="281">
        <f t="shared" si="25"/>
        <v>0</v>
      </c>
      <c r="R167" s="281">
        <f t="shared" si="25"/>
        <v>0</v>
      </c>
      <c r="S167" s="281">
        <f t="shared" si="25"/>
        <v>0</v>
      </c>
      <c r="T167" s="281">
        <f t="shared" si="25"/>
        <v>0</v>
      </c>
      <c r="U167" s="281">
        <f t="shared" si="25"/>
        <v>0</v>
      </c>
      <c r="V167" s="281">
        <f t="shared" si="25"/>
        <v>0</v>
      </c>
      <c r="W167" s="281">
        <f t="shared" si="25"/>
        <v>0</v>
      </c>
      <c r="X167" s="281">
        <f t="shared" si="25"/>
        <v>0</v>
      </c>
      <c r="Y167" s="281">
        <f t="shared" si="25"/>
        <v>0</v>
      </c>
      <c r="Z167" s="281">
        <f t="shared" si="25"/>
        <v>0</v>
      </c>
    </row>
    <row r="168" spans="1:28" s="2" customFormat="1" ht="17.25" customHeight="1">
      <c r="A168" s="411"/>
      <c r="C168" s="236"/>
      <c r="D168" s="2" t="s">
        <v>316</v>
      </c>
      <c r="E168" s="4"/>
      <c r="F168" s="4"/>
      <c r="G168" s="281">
        <f t="shared" ref="G168:Z168" si="26">G102</f>
        <v>4194906.32</v>
      </c>
      <c r="H168" s="281">
        <f t="shared" si="26"/>
        <v>4553381.5500000007</v>
      </c>
      <c r="I168" s="281">
        <f t="shared" si="26"/>
        <v>5127564.49</v>
      </c>
      <c r="J168" s="281">
        <f t="shared" si="26"/>
        <v>6366899.9699999997</v>
      </c>
      <c r="K168" s="281">
        <f t="shared" si="26"/>
        <v>4659385.76</v>
      </c>
      <c r="L168" s="281">
        <f t="shared" si="26"/>
        <v>6803630.3599999994</v>
      </c>
      <c r="M168" s="281">
        <f t="shared" si="26"/>
        <v>7318047.2800000003</v>
      </c>
      <c r="N168" s="281">
        <f t="shared" si="26"/>
        <v>7109752.8799999999</v>
      </c>
      <c r="O168" s="281">
        <f t="shared" si="26"/>
        <v>6850413.0599999996</v>
      </c>
      <c r="P168" s="281">
        <f t="shared" si="26"/>
        <v>8031695.6079924935</v>
      </c>
      <c r="Q168" s="281">
        <f t="shared" si="26"/>
        <v>8770846.2548130881</v>
      </c>
      <c r="R168" s="281">
        <f t="shared" si="26"/>
        <v>9179493.7004864793</v>
      </c>
      <c r="S168" s="281">
        <f t="shared" si="26"/>
        <v>9356845.7757435367</v>
      </c>
      <c r="T168" s="281">
        <f t="shared" si="26"/>
        <v>9711208.7877193484</v>
      </c>
      <c r="U168" s="281">
        <f t="shared" si="26"/>
        <v>9793303.890052693</v>
      </c>
      <c r="V168" s="281">
        <f t="shared" si="26"/>
        <v>10030396.694008408</v>
      </c>
      <c r="W168" s="281">
        <f t="shared" si="26"/>
        <v>10574863.577084396</v>
      </c>
      <c r="X168" s="281">
        <f t="shared" si="26"/>
        <v>10759316.518980984</v>
      </c>
      <c r="Y168" s="281">
        <f t="shared" si="26"/>
        <v>10996980.162808452</v>
      </c>
      <c r="Z168" s="281">
        <f t="shared" si="26"/>
        <v>11679705.194819774</v>
      </c>
    </row>
    <row r="169" spans="1:28" s="2" customFormat="1" ht="17.25" customHeight="1">
      <c r="A169" s="411"/>
      <c r="C169" s="236"/>
      <c r="D169" s="2" t="s">
        <v>317</v>
      </c>
      <c r="E169" s="4"/>
      <c r="F169" s="4"/>
      <c r="G169" s="281">
        <f t="shared" ref="G169:Z169" si="27">G119</f>
        <v>1239247.3</v>
      </c>
      <c r="H169" s="281">
        <f t="shared" si="27"/>
        <v>1132614.31</v>
      </c>
      <c r="I169" s="281">
        <f t="shared" si="27"/>
        <v>1138700.67</v>
      </c>
      <c r="J169" s="281">
        <f t="shared" si="27"/>
        <v>1450730.67</v>
      </c>
      <c r="K169" s="281">
        <f t="shared" si="27"/>
        <v>1210647.3499999999</v>
      </c>
      <c r="L169" s="281">
        <f t="shared" si="27"/>
        <v>1279812.9400000002</v>
      </c>
      <c r="M169" s="281">
        <f t="shared" si="27"/>
        <v>1469685.6</v>
      </c>
      <c r="N169" s="281">
        <f t="shared" si="27"/>
        <v>1297662.7</v>
      </c>
      <c r="O169" s="281">
        <f t="shared" si="27"/>
        <v>1280121.67</v>
      </c>
      <c r="P169" s="281">
        <f t="shared" si="27"/>
        <v>1587465.3423760985</v>
      </c>
      <c r="Q169" s="281">
        <f t="shared" si="27"/>
        <v>1739382.8247952205</v>
      </c>
      <c r="R169" s="281">
        <f t="shared" si="27"/>
        <v>1824952.0116274948</v>
      </c>
      <c r="S169" s="281">
        <f t="shared" si="27"/>
        <v>1863186.9450650269</v>
      </c>
      <c r="T169" s="281">
        <f t="shared" si="27"/>
        <v>1933167.2405346793</v>
      </c>
      <c r="U169" s="281">
        <f t="shared" si="27"/>
        <v>1959140.9308490793</v>
      </c>
      <c r="V169" s="281">
        <f t="shared" si="27"/>
        <v>2008138.9780987659</v>
      </c>
      <c r="W169" s="281">
        <f t="shared" si="27"/>
        <v>2109831.5794569179</v>
      </c>
      <c r="X169" s="281">
        <f t="shared" si="27"/>
        <v>2153020.4127162546</v>
      </c>
      <c r="Y169" s="281">
        <f t="shared" si="27"/>
        <v>2204985.7331777783</v>
      </c>
      <c r="Z169" s="281">
        <f t="shared" si="27"/>
        <v>2330998.4928866625</v>
      </c>
    </row>
    <row r="170" spans="1:28" s="2" customFormat="1" ht="17.25" customHeight="1">
      <c r="A170" s="411"/>
      <c r="C170" s="236"/>
      <c r="D170" s="2" t="s">
        <v>520</v>
      </c>
      <c r="E170" s="4"/>
      <c r="F170" s="4"/>
      <c r="G170" s="280">
        <f t="shared" ref="G170:N170" si="28">G159</f>
        <v>11074834.220000001</v>
      </c>
      <c r="H170" s="280">
        <f t="shared" si="28"/>
        <v>11635261.649999999</v>
      </c>
      <c r="I170" s="280">
        <f t="shared" si="28"/>
        <v>11449405.25</v>
      </c>
      <c r="J170" s="280">
        <f t="shared" si="28"/>
        <v>12305721.530000001</v>
      </c>
      <c r="K170" s="280">
        <f t="shared" si="28"/>
        <v>10796228.77</v>
      </c>
      <c r="L170" s="280">
        <f t="shared" si="28"/>
        <v>11142625.050000001</v>
      </c>
      <c r="M170" s="280">
        <f t="shared" si="28"/>
        <v>11819895.349999998</v>
      </c>
      <c r="N170" s="280">
        <f t="shared" si="28"/>
        <v>12235955.66</v>
      </c>
      <c r="O170" s="280">
        <f t="shared" ref="O170:T170" si="29">O159</f>
        <v>13760308.120000001</v>
      </c>
      <c r="P170" s="280">
        <f t="shared" si="29"/>
        <v>16093361.551131595</v>
      </c>
      <c r="Q170" s="280">
        <f t="shared" si="29"/>
        <v>17645876.315125987</v>
      </c>
      <c r="R170" s="280">
        <f t="shared" si="29"/>
        <v>18523584.669170365</v>
      </c>
      <c r="S170" s="280">
        <f t="shared" si="29"/>
        <v>18917980.143920753</v>
      </c>
      <c r="T170" s="280">
        <f t="shared" si="29"/>
        <v>19627297.458039869</v>
      </c>
      <c r="U170" s="280">
        <f t="shared" ref="U170:Z170" si="30">U159</f>
        <v>19911382.254342586</v>
      </c>
      <c r="V170" s="280">
        <f t="shared" si="30"/>
        <v>20412665.865144849</v>
      </c>
      <c r="W170" s="280">
        <f t="shared" si="30"/>
        <v>21430985.531307399</v>
      </c>
      <c r="X170" s="280">
        <f t="shared" si="30"/>
        <v>21883167.474369351</v>
      </c>
      <c r="Y170" s="280">
        <f t="shared" si="30"/>
        <v>22420614.67173573</v>
      </c>
      <c r="Z170" s="280">
        <f t="shared" si="30"/>
        <v>23679080.360316493</v>
      </c>
    </row>
    <row r="171" spans="1:28" s="2" customFormat="1" ht="17.25" customHeight="1">
      <c r="A171" s="411"/>
      <c r="C171" s="236"/>
      <c r="D171" s="4"/>
      <c r="E171" s="4"/>
      <c r="F171" s="4"/>
      <c r="G171" s="281">
        <f t="shared" ref="G171:N171" si="31">SUM(G163:G170)</f>
        <v>119367016.48999999</v>
      </c>
      <c r="H171" s="281">
        <f t="shared" si="31"/>
        <v>136590444.83999997</v>
      </c>
      <c r="I171" s="281">
        <f t="shared" si="31"/>
        <v>156471963.59</v>
      </c>
      <c r="J171" s="281">
        <f t="shared" si="31"/>
        <v>179470151.44999996</v>
      </c>
      <c r="K171" s="281">
        <f t="shared" si="31"/>
        <v>172820107.32000002</v>
      </c>
      <c r="L171" s="281">
        <f t="shared" si="31"/>
        <v>140430013.03999999</v>
      </c>
      <c r="M171" s="281">
        <f t="shared" si="31"/>
        <v>159776376.16</v>
      </c>
      <c r="N171" s="281">
        <f t="shared" si="31"/>
        <v>199546621.34999993</v>
      </c>
      <c r="O171" s="281">
        <f t="shared" ref="O171:T171" si="32">SUM(O163:O170)</f>
        <v>177427016.61000001</v>
      </c>
      <c r="P171" s="281">
        <f t="shared" si="32"/>
        <v>148493125.37491417</v>
      </c>
      <c r="Q171" s="281">
        <f t="shared" si="32"/>
        <v>149181530.37630817</v>
      </c>
      <c r="R171" s="281">
        <f t="shared" si="32"/>
        <v>158209090.7090922</v>
      </c>
      <c r="S171" s="281">
        <f t="shared" si="32"/>
        <v>167697815.41326034</v>
      </c>
      <c r="T171" s="281">
        <f t="shared" si="32"/>
        <v>194549077.43945026</v>
      </c>
      <c r="U171" s="281">
        <f t="shared" ref="U171:Z171" si="33">SUM(U163:U170)</f>
        <v>265358882.12188122</v>
      </c>
      <c r="V171" s="281">
        <f t="shared" si="33"/>
        <v>268383541.42840225</v>
      </c>
      <c r="W171" s="281">
        <f t="shared" si="33"/>
        <v>281019804.87147295</v>
      </c>
      <c r="X171" s="281">
        <f t="shared" si="33"/>
        <v>290534763.36044937</v>
      </c>
      <c r="Y171" s="281">
        <f t="shared" si="33"/>
        <v>305680388.29394829</v>
      </c>
      <c r="Z171" s="281">
        <f t="shared" si="33"/>
        <v>323759892.00089359</v>
      </c>
    </row>
    <row r="172" spans="1:28" s="2" customFormat="1" ht="17.25" customHeight="1">
      <c r="A172" s="411"/>
      <c r="C172" s="236"/>
      <c r="H172" s="281"/>
      <c r="I172" s="281"/>
      <c r="J172" s="281"/>
      <c r="K172" s="281"/>
      <c r="L172" s="281"/>
      <c r="M172" s="281"/>
      <c r="N172" s="2914"/>
      <c r="O172" s="2905"/>
      <c r="P172" s="2914"/>
      <c r="Q172" s="2914"/>
      <c r="R172" s="2914"/>
      <c r="S172" s="2914"/>
      <c r="T172" s="2914"/>
      <c r="U172" s="2914"/>
      <c r="V172" s="2914"/>
      <c r="W172" s="2914"/>
      <c r="X172" s="2914"/>
      <c r="Y172" s="2914"/>
      <c r="Z172" s="2914"/>
    </row>
    <row r="173" spans="1:28" s="2" customFormat="1" ht="17.25" customHeight="1">
      <c r="A173" s="411"/>
      <c r="I173" s="11"/>
      <c r="J173" s="11"/>
      <c r="K173" s="11"/>
      <c r="L173" s="11"/>
      <c r="M173" s="11"/>
      <c r="N173" s="2906"/>
      <c r="O173" s="2906"/>
      <c r="P173" s="2906"/>
      <c r="Q173" s="2906"/>
      <c r="R173" s="2906"/>
      <c r="S173" s="2906"/>
      <c r="T173" s="2906"/>
      <c r="U173" s="2906"/>
      <c r="V173" s="2906"/>
      <c r="W173" s="2906"/>
      <c r="X173" s="2906"/>
      <c r="Y173" s="2906"/>
      <c r="Z173" s="2906"/>
    </row>
    <row r="174" spans="1:28" s="2" customFormat="1" ht="17.25" customHeight="1">
      <c r="A174" s="411"/>
      <c r="C174" s="438"/>
      <c r="D174" s="438" t="s">
        <v>685</v>
      </c>
      <c r="E174" s="438"/>
      <c r="F174" s="438"/>
      <c r="G174" s="438"/>
      <c r="H174" s="438"/>
      <c r="I174" s="439"/>
      <c r="J174" s="439"/>
      <c r="K174" s="439"/>
      <c r="L174" s="440"/>
      <c r="M174" s="439"/>
      <c r="N174" s="2915"/>
      <c r="O174" s="2915"/>
      <c r="P174" s="2915"/>
      <c r="Q174" s="2915"/>
      <c r="R174" s="2915"/>
      <c r="S174" s="2915"/>
      <c r="T174" s="2915"/>
      <c r="U174" s="2915"/>
      <c r="V174" s="2915"/>
      <c r="W174" s="2915"/>
      <c r="X174" s="2915"/>
      <c r="Y174" s="2915"/>
      <c r="Z174" s="2915"/>
      <c r="AA174" s="438"/>
      <c r="AB174" s="438"/>
    </row>
    <row r="175" spans="1:28" s="2" customFormat="1" ht="17.25" customHeight="1">
      <c r="A175" s="411"/>
      <c r="H175"/>
      <c r="I175"/>
      <c r="J175"/>
      <c r="K175"/>
      <c r="L175"/>
      <c r="M175"/>
      <c r="N175"/>
      <c r="O175"/>
      <c r="P175"/>
      <c r="Q175"/>
      <c r="R175"/>
      <c r="S175"/>
      <c r="T175"/>
      <c r="U175"/>
      <c r="V175"/>
      <c r="W175"/>
      <c r="X175"/>
      <c r="Y175"/>
      <c r="Z175"/>
    </row>
    <row r="176" spans="1:28" s="2" customFormat="1">
      <c r="A176" s="411"/>
      <c r="H176" s="56" t="s">
        <v>572</v>
      </c>
      <c r="J176" s="5">
        <v>3</v>
      </c>
      <c r="K176" s="5">
        <v>4</v>
      </c>
      <c r="L176" s="5">
        <v>5</v>
      </c>
      <c r="M176" s="5">
        <v>6</v>
      </c>
      <c r="N176" s="5">
        <v>7</v>
      </c>
      <c r="O176" s="5">
        <v>8</v>
      </c>
      <c r="P176" s="5">
        <v>9</v>
      </c>
      <c r="Q176" s="5">
        <v>10</v>
      </c>
      <c r="R176" s="5">
        <v>11</v>
      </c>
      <c r="S176" s="5">
        <v>12</v>
      </c>
      <c r="T176" s="5">
        <v>13</v>
      </c>
      <c r="U176" s="5">
        <v>14</v>
      </c>
      <c r="V176" s="5">
        <v>15</v>
      </c>
      <c r="W176" s="5">
        <v>16</v>
      </c>
      <c r="X176" s="5">
        <v>17</v>
      </c>
      <c r="Y176" s="5">
        <v>18</v>
      </c>
      <c r="Z176" s="5">
        <v>19</v>
      </c>
    </row>
    <row r="177" spans="1:252" s="2" customFormat="1" ht="17.25" customHeight="1">
      <c r="A177" s="411"/>
      <c r="H177" s="442" t="s">
        <v>386</v>
      </c>
      <c r="I177" s="991" t="s">
        <v>560</v>
      </c>
      <c r="J177" s="990">
        <f t="shared" ref="J177:Z177" si="34">J6</f>
        <v>2010</v>
      </c>
      <c r="K177" s="114">
        <f t="shared" si="34"/>
        <v>2011</v>
      </c>
      <c r="L177" s="114">
        <f t="shared" si="34"/>
        <v>2012</v>
      </c>
      <c r="M177" s="114">
        <f t="shared" si="34"/>
        <v>2013</v>
      </c>
      <c r="N177" s="114">
        <f t="shared" si="34"/>
        <v>2014</v>
      </c>
      <c r="O177" s="114">
        <f t="shared" si="34"/>
        <v>2015</v>
      </c>
      <c r="P177" s="114">
        <f t="shared" si="34"/>
        <v>2016</v>
      </c>
      <c r="Q177" s="114">
        <f t="shared" si="34"/>
        <v>2017</v>
      </c>
      <c r="R177" s="114">
        <f t="shared" si="34"/>
        <v>2018</v>
      </c>
      <c r="S177" s="114">
        <f t="shared" si="34"/>
        <v>2019</v>
      </c>
      <c r="T177" s="114">
        <f t="shared" si="34"/>
        <v>2020</v>
      </c>
      <c r="U177" s="114">
        <f t="shared" si="34"/>
        <v>2021</v>
      </c>
      <c r="V177" s="114">
        <f t="shared" si="34"/>
        <v>2022</v>
      </c>
      <c r="W177" s="114">
        <f t="shared" si="34"/>
        <v>2023</v>
      </c>
      <c r="X177" s="114">
        <f t="shared" si="34"/>
        <v>2024</v>
      </c>
      <c r="Y177" s="114">
        <f t="shared" si="34"/>
        <v>2025</v>
      </c>
      <c r="Z177" s="114">
        <f t="shared" si="34"/>
        <v>2026</v>
      </c>
    </row>
    <row r="178" spans="1:252" s="2" customFormat="1" ht="17.25" customHeight="1">
      <c r="A178" s="411"/>
      <c r="H178" s="434">
        <v>1</v>
      </c>
      <c r="I178" s="1514" t="s">
        <v>558</v>
      </c>
      <c r="J178" s="436"/>
      <c r="K178" s="436"/>
      <c r="L178" s="436"/>
      <c r="M178" s="2916"/>
      <c r="N178" s="2916"/>
      <c r="O178" s="2916"/>
      <c r="P178" s="2916"/>
      <c r="Q178" s="2916"/>
      <c r="R178" s="2916"/>
      <c r="S178" s="2916"/>
      <c r="T178" s="2916"/>
      <c r="U178" s="2916"/>
      <c r="V178" s="2916"/>
      <c r="W178" s="2916"/>
      <c r="X178" s="2916"/>
      <c r="Y178" s="2916"/>
      <c r="Z178" s="2916"/>
    </row>
    <row r="179" spans="1:252" s="2" customFormat="1" ht="17.25" customHeight="1">
      <c r="A179" s="411"/>
      <c r="H179" s="428">
        <v>2</v>
      </c>
      <c r="I179" s="1513" t="s">
        <v>303</v>
      </c>
      <c r="J179" s="437"/>
      <c r="K179" s="437"/>
      <c r="L179" s="437"/>
      <c r="M179" s="2917"/>
      <c r="N179" s="2917"/>
      <c r="O179" s="2917"/>
      <c r="P179" s="2917"/>
      <c r="Q179" s="2917"/>
      <c r="R179" s="2917"/>
      <c r="S179" s="2917"/>
      <c r="T179" s="2917"/>
      <c r="U179" s="2917"/>
      <c r="V179" s="2917"/>
      <c r="W179" s="2917"/>
      <c r="X179" s="2917"/>
      <c r="Y179" s="2917"/>
      <c r="Z179" s="2917"/>
    </row>
    <row r="180" spans="1:252" s="2" customFormat="1" ht="17.25" customHeight="1">
      <c r="A180" s="411"/>
      <c r="H180" s="428">
        <v>3</v>
      </c>
      <c r="I180" s="1513" t="s">
        <v>559</v>
      </c>
      <c r="J180" s="437"/>
      <c r="K180" s="437"/>
      <c r="L180" s="437"/>
      <c r="M180" s="2917"/>
      <c r="N180" s="2917"/>
      <c r="O180" s="2917"/>
      <c r="P180" s="2917"/>
      <c r="Q180" s="2917"/>
      <c r="R180" s="2917"/>
      <c r="S180" s="2917"/>
      <c r="T180" s="2917"/>
      <c r="U180" s="2917"/>
      <c r="V180" s="2917"/>
      <c r="W180" s="2917"/>
      <c r="X180" s="2917"/>
      <c r="Y180" s="2917"/>
      <c r="Z180" s="2917"/>
    </row>
    <row r="181" spans="1:252" s="2" customFormat="1" ht="17.25" customHeight="1">
      <c r="A181" s="411"/>
      <c r="H181" s="428">
        <v>4</v>
      </c>
      <c r="I181" s="1513" t="s">
        <v>2167</v>
      </c>
      <c r="J181" s="437"/>
      <c r="K181" s="437"/>
      <c r="L181" s="437"/>
      <c r="M181" s="2917"/>
      <c r="N181" s="2917"/>
      <c r="O181" s="2917">
        <v>0</v>
      </c>
      <c r="P181" s="2917">
        <v>0</v>
      </c>
      <c r="Q181" s="2917">
        <v>0</v>
      </c>
      <c r="R181" s="2917">
        <v>0</v>
      </c>
      <c r="S181" s="2917">
        <v>0</v>
      </c>
      <c r="T181" s="2917">
        <v>0</v>
      </c>
      <c r="U181" s="2917">
        <v>0</v>
      </c>
      <c r="V181" s="2917">
        <v>0</v>
      </c>
      <c r="W181" s="2917">
        <v>0</v>
      </c>
      <c r="X181" s="2917">
        <v>0</v>
      </c>
      <c r="Y181" s="2917">
        <v>0</v>
      </c>
      <c r="Z181" s="2917">
        <v>0</v>
      </c>
    </row>
    <row r="182" spans="1:252" s="2" customFormat="1" ht="17.25" customHeight="1">
      <c r="A182" s="411"/>
      <c r="H182" s="428">
        <v>5</v>
      </c>
      <c r="I182" s="1513" t="s">
        <v>2168</v>
      </c>
      <c r="J182" s="437"/>
      <c r="K182" s="437"/>
      <c r="L182" s="437"/>
      <c r="M182" s="2917"/>
      <c r="N182" s="2917"/>
      <c r="O182" s="2918">
        <v>7.2580317023809238E-2</v>
      </c>
      <c r="P182" s="3088">
        <f>'Forecast (BV) 2017'!Z61</f>
        <v>8.6698966217501061E-2</v>
      </c>
      <c r="Q182" s="3088">
        <f>'Forecast (BV) 2017'!AA61</f>
        <v>0.10437604076755269</v>
      </c>
      <c r="R182" s="3088">
        <f>'Forecast (BV) 2017'!AB61</f>
        <v>5.5284392211170763E-2</v>
      </c>
      <c r="S182" s="3088">
        <f>'Forecast (BV) 2017'!AC61</f>
        <v>2.4733745886087677E-2</v>
      </c>
      <c r="T182" s="3088">
        <f>'Forecast (BV) 2017'!AD61</f>
        <v>3.6838207072195095E-2</v>
      </c>
      <c r="U182" s="3088">
        <f>'Forecast (BV) 2017'!AE61</f>
        <v>2.4942565885774037E-2</v>
      </c>
      <c r="V182" s="3088">
        <f>'Forecast (BV) 2017'!AF61</f>
        <v>2.6828543224969303E-2</v>
      </c>
      <c r="W182" s="3088">
        <f>'Forecast (BV) 2017'!AG61</f>
        <v>4.2386358320568807E-2</v>
      </c>
      <c r="X182" s="3088">
        <f>'Forecast (BV) 2017'!AH61</f>
        <v>2.7411245868776746E-2</v>
      </c>
      <c r="Y182" s="3088">
        <f>'Forecast (BV) 2017'!AI61</f>
        <v>2.8783004383637456E-2</v>
      </c>
      <c r="Z182" s="3088">
        <f>'Forecast (BV) 2017'!AJ61</f>
        <v>4.6020602327913274E-2</v>
      </c>
    </row>
    <row r="183" spans="1:252" s="2" customFormat="1" ht="17.25" customHeight="1">
      <c r="A183" s="411"/>
      <c r="H183" s="428">
        <v>6</v>
      </c>
      <c r="I183" s="1513" t="s">
        <v>2169</v>
      </c>
      <c r="J183" s="437"/>
      <c r="K183" s="437"/>
      <c r="L183" s="437"/>
      <c r="M183" s="2917"/>
      <c r="N183" s="2917"/>
      <c r="O183" s="2918">
        <v>0.44789794066375033</v>
      </c>
      <c r="P183" s="2918">
        <v>-0.19190795638444663</v>
      </c>
      <c r="Q183" s="2918">
        <v>3.7209462095429968E-2</v>
      </c>
      <c r="R183" s="2918">
        <v>3.3905947131041649E-2</v>
      </c>
      <c r="S183" s="2918">
        <v>3.3967864841795647E-2</v>
      </c>
      <c r="T183" s="2918">
        <v>3.4030174641350941E-2</v>
      </c>
      <c r="U183" s="2918">
        <v>3.4092681622358963E-2</v>
      </c>
      <c r="V183" s="2918">
        <v>3.4155423931531148E-2</v>
      </c>
      <c r="W183" s="2918">
        <v>3.4218406990403183E-2</v>
      </c>
      <c r="X183" s="2918">
        <v>3.4281635969677149E-2</v>
      </c>
      <c r="Y183" s="2918">
        <v>3.4345115789231856E-2</v>
      </c>
      <c r="Z183" s="2918">
        <v>3.4408851118132272E-2</v>
      </c>
    </row>
    <row r="184" spans="1:252" s="2" customFormat="1" ht="17.25" customHeight="1">
      <c r="A184" s="411"/>
      <c r="H184" s="428">
        <v>7</v>
      </c>
      <c r="I184" s="1513" t="s">
        <v>2170</v>
      </c>
      <c r="J184" s="437"/>
      <c r="K184" s="437"/>
      <c r="L184" s="437"/>
      <c r="M184" s="2917"/>
      <c r="N184" s="2917"/>
      <c r="O184" s="2918">
        <v>-6.0276580958879535E-2</v>
      </c>
      <c r="P184" s="3088">
        <f>'Forecast (BV) 2017'!Z63</f>
        <v>-3.8057366662757053E-2</v>
      </c>
      <c r="Q184" s="3088">
        <f>'Forecast (BV) 2017'!AA63</f>
        <v>0.10153091320686292</v>
      </c>
      <c r="R184" s="3088">
        <f>'Forecast (BV) 2017'!AB63</f>
        <v>5.3298548328608142E-2</v>
      </c>
      <c r="S184" s="3088">
        <f>'Forecast (BV) 2017'!AC63</f>
        <v>2.3504976395828825E-2</v>
      </c>
      <c r="T184" s="3088">
        <f>'Forecast (BV) 2017'!AD63</f>
        <v>3.7071923228306991E-2</v>
      </c>
      <c r="U184" s="3088">
        <f>'Forecast (BV) 2017'!AE63</f>
        <v>2.1212145773781055E-2</v>
      </c>
      <c r="V184" s="3088">
        <f>'Forecast (BV) 2017'!AF63</f>
        <v>2.624346031542335E-2</v>
      </c>
      <c r="W184" s="3088">
        <f>'Forecast (BV) 2017'!AG63</f>
        <v>4.5038645104925834E-2</v>
      </c>
      <c r="X184" s="3088">
        <f>'Forecast (BV) 2017'!AH63</f>
        <v>2.516888696865438E-2</v>
      </c>
      <c r="Y184" s="3088">
        <f>'Forecast (BV) 2017'!AI63</f>
        <v>2.7288620804292618E-2</v>
      </c>
      <c r="Z184" s="3088">
        <f>'Forecast (BV) 2017'!AJ63</f>
        <v>4.9588301196368478E-2</v>
      </c>
    </row>
    <row r="185" spans="1:252" s="2" customFormat="1" ht="17.25" customHeight="1">
      <c r="A185" s="411"/>
      <c r="H185" s="428">
        <v>8</v>
      </c>
      <c r="I185" s="1513" t="s">
        <v>2171</v>
      </c>
      <c r="J185" s="437"/>
      <c r="K185" s="437"/>
      <c r="L185" s="437"/>
      <c r="M185" s="2917"/>
      <c r="N185" s="2917"/>
      <c r="O185" s="2918">
        <v>9.2346538033847556E-2</v>
      </c>
      <c r="P185" s="3088">
        <f>'Forecast (BV) 2017'!Z64</f>
        <v>0.17243960877192621</v>
      </c>
      <c r="Q185" s="3088">
        <f>'Forecast (BV) 2017'!AA64</f>
        <v>9.2029215609846116E-2</v>
      </c>
      <c r="R185" s="3088">
        <f>'Forecast (BV) 2017'!AB64</f>
        <v>4.6591564120638918E-2</v>
      </c>
      <c r="S185" s="3088">
        <f>'Forecast (BV) 2017'!AC64</f>
        <v>1.9320463747108718E-2</v>
      </c>
      <c r="T185" s="3088">
        <f>'Forecast (BV) 2017'!AD64</f>
        <v>3.7872058647632212E-2</v>
      </c>
      <c r="U185" s="3088">
        <f>'Forecast (BV) 2017'!AE64</f>
        <v>8.4536440445153183E-3</v>
      </c>
      <c r="V185" s="3088">
        <f>'Forecast (BV) 2017'!AF64</f>
        <v>2.4209685170347051E-2</v>
      </c>
      <c r="W185" s="3088">
        <f>'Forecast (BV) 2017'!AG64</f>
        <v>5.428168991573612E-2</v>
      </c>
      <c r="X185" s="3088">
        <f>'Forecast (BV) 2017'!AH64</f>
        <v>1.7442583590042249E-2</v>
      </c>
      <c r="Y185" s="3088">
        <f>'Forecast (BV) 2017'!AI64</f>
        <v>2.2089102352198298E-2</v>
      </c>
      <c r="Z185" s="3088">
        <f>'Forecast (BV) 2017'!AJ64</f>
        <v>6.2082955675439422E-2</v>
      </c>
    </row>
    <row r="186" spans="1:252" s="2" customFormat="1" ht="17.25" customHeight="1">
      <c r="A186" s="411"/>
      <c r="H186" s="428">
        <v>9</v>
      </c>
      <c r="I186" s="1513" t="s">
        <v>2172</v>
      </c>
      <c r="J186" s="437"/>
      <c r="K186" s="437"/>
      <c r="L186" s="437"/>
      <c r="M186" s="2917"/>
      <c r="N186" s="2917"/>
      <c r="O186" s="2918">
        <v>0.40349456551798735</v>
      </c>
      <c r="P186" s="3088">
        <f>'Forecast (BV) 2017'!Z65</f>
        <v>0.24008942241880704</v>
      </c>
      <c r="Q186" s="3088">
        <f>'Forecast (BV) 2017'!AA65</f>
        <v>9.5698141158618188E-2</v>
      </c>
      <c r="R186" s="3088">
        <f>'Forecast (BV) 2017'!AB65</f>
        <v>4.9195143019966636E-2</v>
      </c>
      <c r="S186" s="3088">
        <f>'Forecast (BV) 2017'!AC65</f>
        <v>2.0951199370680573E-2</v>
      </c>
      <c r="T186" s="3088">
        <f>'Forecast (BV) 2017'!AD65</f>
        <v>3.7559459964555453E-2</v>
      </c>
      <c r="U186" s="3088">
        <f>'Forecast (BV) 2017'!AE65</f>
        <v>1.3435821676357707E-2</v>
      </c>
      <c r="V186" s="3088">
        <f>'Forecast (BV) 2017'!AF65</f>
        <v>2.5009965581419991E-2</v>
      </c>
      <c r="W186" s="3088">
        <f>'Forecast (BV) 2017'!AG65</f>
        <v>5.0640220854848872E-2</v>
      </c>
      <c r="X186" s="3088">
        <f>'Forecast (BV) 2017'!AH65</f>
        <v>2.0470275295838336E-2</v>
      </c>
      <c r="Y186" s="3088">
        <f>'Forecast (BV) 2017'!AI65</f>
        <v>2.4136009187188501E-2</v>
      </c>
      <c r="Z186" s="3088">
        <f>'Forecast (BV) 2017'!AJ65</f>
        <v>5.714901362526148E-2</v>
      </c>
    </row>
    <row r="187" spans="1:252" s="2" customFormat="1" ht="17.25" customHeight="1">
      <c r="A187" s="411"/>
      <c r="H187" s="428">
        <v>10</v>
      </c>
      <c r="I187" s="1513" t="s">
        <v>2173</v>
      </c>
      <c r="J187" s="437"/>
      <c r="K187" s="437"/>
      <c r="L187" s="437"/>
      <c r="M187" s="2917"/>
      <c r="N187" s="2917"/>
      <c r="O187" s="2918">
        <v>1.8021248602249809E-2</v>
      </c>
      <c r="P187" s="3088">
        <f>'Forecast (BV) 2017'!Z66</f>
        <v>0.16954950505364108</v>
      </c>
      <c r="Q187" s="3088">
        <f>'Forecast (BV) 2017'!AA66</f>
        <v>9.6469265234721657E-2</v>
      </c>
      <c r="R187" s="3088">
        <f>'Forecast (BV) 2017'!AB66</f>
        <v>4.9740139756732527E-2</v>
      </c>
      <c r="S187" s="3088">
        <f>'Forecast (BV) 2017'!AC66</f>
        <v>2.129153086696034E-2</v>
      </c>
      <c r="T187" s="3088">
        <f>'Forecast (BV) 2017'!AD66</f>
        <v>3.7494347109093829E-2</v>
      </c>
      <c r="U187" s="3088">
        <f>'Forecast (BV) 2017'!AE66</f>
        <v>1.4473963973392401E-2</v>
      </c>
      <c r="V187" s="3088">
        <f>'Forecast (BV) 2017'!AF66</f>
        <v>2.5175731368068721E-2</v>
      </c>
      <c r="W187" s="3088">
        <f>'Forecast (BV) 2017'!AG66</f>
        <v>4.9886657278868984E-2</v>
      </c>
      <c r="X187" s="3088">
        <f>'Forecast (BV) 2017'!AH66</f>
        <v>2.1099446985365145E-2</v>
      </c>
      <c r="Y187" s="3088">
        <f>'Forecast (BV) 2017'!AI66</f>
        <v>2.4559844821178789E-2</v>
      </c>
      <c r="Z187" s="3088">
        <f>'Forecast (BV) 2017'!AJ66</f>
        <v>5.6129847776530184E-2</v>
      </c>
    </row>
    <row r="188" spans="1:252">
      <c r="H188" s="428">
        <v>11</v>
      </c>
      <c r="I188" s="1513" t="s">
        <v>2175</v>
      </c>
      <c r="J188" s="1517"/>
      <c r="K188" s="1517"/>
      <c r="L188" s="1517"/>
      <c r="M188" s="2919"/>
      <c r="N188" s="2919"/>
      <c r="O188" s="2919">
        <f>'O&amp;M_Detail - PRP'!O175</f>
        <v>0.39731487846180802</v>
      </c>
      <c r="P188" s="2919">
        <f>'O&amp;M_Detail - PRP'!P175</f>
        <v>5.057580080964108E-2</v>
      </c>
      <c r="Q188" s="2919">
        <f>'O&amp;M_Detail - PRP'!Q175</f>
        <v>-2.7142299204544362E-2</v>
      </c>
      <c r="R188" s="2919">
        <f>'O&amp;M_Detail - PRP'!R175</f>
        <v>4.3750910624976713E-2</v>
      </c>
      <c r="S188" s="2919">
        <f>'O&amp;M_Detail - PRP'!S175</f>
        <v>1.0217389075559469E-2</v>
      </c>
      <c r="T188" s="2919">
        <f>'O&amp;M_Detail - PRP'!T175</f>
        <v>3.5941395767797868E-2</v>
      </c>
      <c r="U188" s="2919">
        <f>'O&amp;M_Detail - PRP'!U175</f>
        <v>3.9018923117987825E-2</v>
      </c>
      <c r="V188" s="2919">
        <f>'O&amp;M_Detail - PRP'!V175</f>
        <v>-1.8723653840644339E-2</v>
      </c>
      <c r="W188" s="2919">
        <f>'O&amp;M_Detail - PRP'!W175</f>
        <v>5.859249828032187E-2</v>
      </c>
      <c r="X188" s="2919">
        <f>'O&amp;M_Detail - PRP'!X175</f>
        <v>4.4574330832978237E-2</v>
      </c>
      <c r="Y188" s="2919">
        <f>'O&amp;M_Detail - PRP'!Y175</f>
        <v>6.0591507398205291E-2</v>
      </c>
      <c r="Z188" s="2919">
        <f>'O&amp;M_Detail - PRP'!Z175</f>
        <v>5.9547881676615955E-2</v>
      </c>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row>
    <row r="189" spans="1:252">
      <c r="H189" s="428">
        <v>12</v>
      </c>
      <c r="I189" s="1513" t="s">
        <v>2176</v>
      </c>
      <c r="J189" s="1517"/>
      <c r="K189" s="1517"/>
      <c r="L189" s="1517"/>
      <c r="M189" s="2919"/>
      <c r="N189" s="2919"/>
      <c r="O189" s="2919">
        <f>'O&amp;M_Detail - PRP'!O176</f>
        <v>-6.6239331033354554E-2</v>
      </c>
      <c r="P189" s="2919">
        <f>'O&amp;M_Detail - PRP'!P176</f>
        <v>8.4464184019385602E-2</v>
      </c>
      <c r="Q189" s="2919">
        <f>'O&amp;M_Detail - PRP'!Q176</f>
        <v>5.4447707455612449E-2</v>
      </c>
      <c r="R189" s="2919">
        <f>'O&amp;M_Detail - PRP'!R176</f>
        <v>7.3287181206405094E-2</v>
      </c>
      <c r="S189" s="2919">
        <f>'O&amp;M_Detail - PRP'!S176</f>
        <v>4.6792498550590755E-2</v>
      </c>
      <c r="T189" s="2919">
        <f>'O&amp;M_Detail - PRP'!T176</f>
        <v>4.1831448096516732E-2</v>
      </c>
      <c r="U189" s="2919">
        <f>'O&amp;M_Detail - PRP'!U176</f>
        <v>3.4232132225990197E-2</v>
      </c>
      <c r="V189" s="2919">
        <f>'O&amp;M_Detail - PRP'!V176</f>
        <v>1.3600166585627793E-3</v>
      </c>
      <c r="W189" s="2919">
        <f>'O&amp;M_Detail - PRP'!W176</f>
        <v>5.0500991986298205E-2</v>
      </c>
      <c r="X189" s="2919">
        <f>'O&amp;M_Detail - PRP'!X176</f>
        <v>3.8149393756801375E-2</v>
      </c>
      <c r="Y189" s="2919">
        <f>'O&amp;M_Detail - PRP'!Y176</f>
        <v>4.8294504263905358E-2</v>
      </c>
      <c r="Z189" s="2919">
        <f>'O&amp;M_Detail - PRP'!Z176</f>
        <v>4.5229612616528803E-2</v>
      </c>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row>
    <row r="190" spans="1:252">
      <c r="H190" s="428">
        <v>13</v>
      </c>
      <c r="I190" s="1513" t="s">
        <v>2177</v>
      </c>
      <c r="J190" s="1517"/>
      <c r="K190" s="1517"/>
      <c r="L190" s="1517"/>
      <c r="M190" s="2919"/>
      <c r="N190" s="2919"/>
      <c r="O190" s="2919">
        <f>'O&amp;M_Detail - PRP'!O177</f>
        <v>-4.7131036051222354E-2</v>
      </c>
      <c r="P190" s="2919">
        <f>'O&amp;M_Detail - PRP'!P177</f>
        <v>2.9407631490024233E-2</v>
      </c>
      <c r="Q190" s="2919">
        <f>'O&amp;M_Detail - PRP'!Q177</f>
        <v>1.5598170612762807E-4</v>
      </c>
      <c r="R190" s="2919">
        <f>'O&amp;M_Detail - PRP'!R177</f>
        <v>6.6263406328860297E-2</v>
      </c>
      <c r="S190" s="2919">
        <f>'O&amp;M_Detail - PRP'!S177</f>
        <v>4.0882667103324E-2</v>
      </c>
      <c r="T190" s="2919">
        <f>'O&amp;M_Detail - PRP'!T177</f>
        <v>3.5361510522902151E-2</v>
      </c>
      <c r="U190" s="2919">
        <f>'O&amp;M_Detail - PRP'!U177</f>
        <v>4.3296133739862297E-2</v>
      </c>
      <c r="V190" s="2919">
        <f>'O&amp;M_Detail - PRP'!V177</f>
        <v>-2.1027913794746889E-2</v>
      </c>
      <c r="W190" s="2919">
        <f>'O&amp;M_Detail - PRP'!W177</f>
        <v>5.2425180467564392E-2</v>
      </c>
      <c r="X190" s="2919">
        <f>'O&amp;M_Detail - PRP'!X177</f>
        <v>3.8874460726836757E-2</v>
      </c>
      <c r="Y190" s="2919">
        <f>'O&amp;M_Detail - PRP'!Y177</f>
        <v>6.277769941864153E-2</v>
      </c>
      <c r="Z190" s="2919">
        <f>'O&amp;M_Detail - PRP'!Z177</f>
        <v>6.18938092733754E-2</v>
      </c>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row>
    <row r="191" spans="1:252" s="2" customFormat="1" ht="17.25" customHeight="1">
      <c r="A191" s="411"/>
      <c r="H191" s="428">
        <v>14</v>
      </c>
      <c r="I191" s="1513" t="s">
        <v>2174</v>
      </c>
      <c r="J191" s="1517"/>
      <c r="K191" s="1517"/>
      <c r="L191" s="1517"/>
      <c r="M191" s="2919"/>
      <c r="N191" s="2919"/>
      <c r="O191" s="2919">
        <f>'O&amp;M_Detail - PRP'!O178</f>
        <v>-0.4674726668833068</v>
      </c>
      <c r="P191" s="2919">
        <f>'O&amp;M_Detail - PRP'!P178</f>
        <v>-5.2102456493574575E-2</v>
      </c>
      <c r="Q191" s="2919">
        <f>'O&amp;M_Detail - PRP'!Q178</f>
        <v>-1.1676824594811785E-2</v>
      </c>
      <c r="R191" s="2919">
        <f>'O&amp;M_Detail - PRP'!R178</f>
        <v>4.0371168893310383E-2</v>
      </c>
      <c r="S191" s="2919">
        <f>'O&amp;M_Detail - PRP'!S178</f>
        <v>3.6335568924013462E-2</v>
      </c>
      <c r="T191" s="2919">
        <f>'O&amp;M_Detail - PRP'!T178</f>
        <v>3.7430028307503527E-2</v>
      </c>
      <c r="U191" s="2919">
        <f>'O&amp;M_Detail - PRP'!U178</f>
        <v>5.3507576173118743E-2</v>
      </c>
      <c r="V191" s="2919">
        <f>'O&amp;M_Detail - PRP'!V178</f>
        <v>-3.0113357268877761E-2</v>
      </c>
      <c r="W191" s="2919">
        <f>'O&amp;M_Detail - PRP'!W178</f>
        <v>5.7028576919889495E-2</v>
      </c>
      <c r="X191" s="2919">
        <f>'O&amp;M_Detail - PRP'!X178</f>
        <v>4.5360684458967127E-2</v>
      </c>
      <c r="Y191" s="2919">
        <f>'O&amp;M_Detail - PRP'!Y178</f>
        <v>7.2397284981258858E-2</v>
      </c>
      <c r="Z191" s="2919">
        <f>'O&amp;M_Detail - PRP'!Z178</f>
        <v>7.5065832031219637E-2</v>
      </c>
    </row>
    <row r="192" spans="1:252">
      <c r="H192" s="428">
        <v>15</v>
      </c>
      <c r="I192" s="1513" t="s">
        <v>2180</v>
      </c>
      <c r="J192" s="1517"/>
      <c r="K192" s="1517"/>
      <c r="L192" s="1517"/>
      <c r="M192" s="2919"/>
      <c r="N192" s="2919"/>
      <c r="O192" s="2919">
        <f>'O&amp;M_Detail - PRP'!O179</f>
        <v>-1</v>
      </c>
      <c r="P192" s="2919">
        <f>'O&amp;M_Detail - PRP'!P179</f>
        <v>-1</v>
      </c>
      <c r="Q192" s="2919">
        <f>'O&amp;M_Detail - PRP'!Q179</f>
        <v>-1</v>
      </c>
      <c r="R192" s="2919">
        <f>'O&amp;M_Detail - PRP'!R179</f>
        <v>-1</v>
      </c>
      <c r="S192" s="2919">
        <f>'O&amp;M_Detail - PRP'!S179</f>
        <v>-1</v>
      </c>
      <c r="T192" s="2919">
        <f>'O&amp;M_Detail - PRP'!T179</f>
        <v>-1</v>
      </c>
      <c r="U192" s="2919">
        <f>'O&amp;M_Detail - PRP'!U179</f>
        <v>-1</v>
      </c>
      <c r="V192" s="2919">
        <f>'O&amp;M_Detail - PRP'!V179</f>
        <v>-1</v>
      </c>
      <c r="W192" s="2919">
        <f>'O&amp;M_Detail - PRP'!W179</f>
        <v>-1</v>
      </c>
      <c r="X192" s="2919">
        <f>'O&amp;M_Detail - PRP'!X179</f>
        <v>-1</v>
      </c>
      <c r="Y192" s="2919">
        <f>'O&amp;M_Detail - PRP'!Y179</f>
        <v>-1</v>
      </c>
      <c r="Z192" s="2919">
        <f>'O&amp;M_Detail - PRP'!Z179</f>
        <v>-1</v>
      </c>
    </row>
    <row r="193" spans="8:26">
      <c r="H193" s="428">
        <v>16</v>
      </c>
      <c r="I193" s="1513" t="s">
        <v>2178</v>
      </c>
      <c r="J193" s="1517"/>
      <c r="K193" s="1517"/>
      <c r="L193" s="1517"/>
      <c r="M193" s="2919"/>
      <c r="N193" s="2919"/>
      <c r="O193" s="2919">
        <f>'O&amp;M_Detail - PRP'!O180</f>
        <v>-1</v>
      </c>
      <c r="P193" s="2919">
        <f>'O&amp;M_Detail - PRP'!P180</f>
        <v>-1</v>
      </c>
      <c r="Q193" s="2919">
        <f>'O&amp;M_Detail - PRP'!Q180</f>
        <v>-1</v>
      </c>
      <c r="R193" s="2919">
        <f>'O&amp;M_Detail - PRP'!R180</f>
        <v>-1</v>
      </c>
      <c r="S193" s="2919">
        <f>'O&amp;M_Detail - PRP'!S180</f>
        <v>-1</v>
      </c>
      <c r="T193" s="2919">
        <f>'O&amp;M_Detail - PRP'!T180</f>
        <v>-1</v>
      </c>
      <c r="U193" s="2919">
        <f>'O&amp;M_Detail - PRP'!U180</f>
        <v>-1</v>
      </c>
      <c r="V193" s="2919">
        <f>'O&amp;M_Detail - PRP'!V180</f>
        <v>-1</v>
      </c>
      <c r="W193" s="2919">
        <f>'O&amp;M_Detail - PRP'!W180</f>
        <v>-1</v>
      </c>
      <c r="X193" s="2919">
        <f>'O&amp;M_Detail - PRP'!X180</f>
        <v>-1</v>
      </c>
      <c r="Y193" s="2919">
        <f>'O&amp;M_Detail - PRP'!Y180</f>
        <v>-1</v>
      </c>
      <c r="Z193" s="2919">
        <f>'O&amp;M_Detail - PRP'!Z180</f>
        <v>-1</v>
      </c>
    </row>
    <row r="194" spans="8:26">
      <c r="H194" s="428">
        <v>17</v>
      </c>
      <c r="I194" s="1513" t="s">
        <v>2179</v>
      </c>
      <c r="J194" s="1517"/>
      <c r="K194" s="1517"/>
      <c r="L194" s="1517"/>
      <c r="M194" s="2919"/>
      <c r="N194" s="2919"/>
      <c r="O194" s="2919">
        <f>'O&amp;M_Detail - PRP'!O181</f>
        <v>-1</v>
      </c>
      <c r="P194" s="2919">
        <f>'O&amp;M_Detail - PRP'!P181</f>
        <v>-1</v>
      </c>
      <c r="Q194" s="2919">
        <f>'O&amp;M_Detail - PRP'!Q181</f>
        <v>-1</v>
      </c>
      <c r="R194" s="2919">
        <f>'O&amp;M_Detail - PRP'!R181</f>
        <v>-1</v>
      </c>
      <c r="S194" s="2919">
        <f>'O&amp;M_Detail - PRP'!S181</f>
        <v>-1</v>
      </c>
      <c r="T194" s="2919">
        <f>'O&amp;M_Detail - PRP'!T181</f>
        <v>-1</v>
      </c>
      <c r="U194" s="2919">
        <f>'O&amp;M_Detail - PRP'!U181</f>
        <v>-1</v>
      </c>
      <c r="V194" s="2919">
        <f>'O&amp;M_Detail - PRP'!V181</f>
        <v>-1</v>
      </c>
      <c r="W194" s="2919">
        <f>'O&amp;M_Detail - PRP'!W181</f>
        <v>-1</v>
      </c>
      <c r="X194" s="2919">
        <f>'O&amp;M_Detail - PRP'!X181</f>
        <v>-1</v>
      </c>
      <c r="Y194" s="2919">
        <f>'O&amp;M_Detail - PRP'!Y181</f>
        <v>-1</v>
      </c>
      <c r="Z194" s="2919">
        <f>'O&amp;M_Detail - PRP'!Z181</f>
        <v>-1</v>
      </c>
    </row>
    <row r="196" spans="8:26">
      <c r="O196" t="s">
        <v>3469</v>
      </c>
    </row>
    <row r="197" spans="8:26">
      <c r="O197" t="s">
        <v>3470</v>
      </c>
    </row>
  </sheetData>
  <mergeCells count="3">
    <mergeCell ref="C3:N3"/>
    <mergeCell ref="C2:N2"/>
    <mergeCell ref="C1:N1"/>
  </mergeCells>
  <phoneticPr fontId="8" type="noConversion"/>
  <pageMargins left="0.5" right="0.5" top="0.5" bottom="0.5" header="0.25" footer="0.25"/>
  <pageSetup scale="27" fitToHeight="3" orientation="landscape" r:id="rId1"/>
  <headerFooter alignWithMargins="0">
    <oddFooter>&amp;L&amp;F: &amp;A&amp;RPage &amp;P of &amp;N</oddFooter>
  </headerFooter>
  <rowBreaks count="2" manualBreakCount="2">
    <brk id="62" min="1" max="19" man="1"/>
    <brk id="160" min="1" max="19"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00"/>
    <pageSetUpPr fitToPage="1"/>
  </sheetPr>
  <dimension ref="A1:R62"/>
  <sheetViews>
    <sheetView zoomScale="70" zoomScaleNormal="70" workbookViewId="0">
      <pane xSplit="3" ySplit="6" topLeftCell="D7" activePane="bottomRight" state="frozen"/>
      <selection pane="topRight" activeCell="D1" sqref="D1"/>
      <selection pane="bottomLeft" activeCell="A2" sqref="A2"/>
      <selection pane="bottomRight" activeCell="Q1" sqref="Q1:Q1048576"/>
    </sheetView>
  </sheetViews>
  <sheetFormatPr defaultRowHeight="15.75"/>
  <cols>
    <col min="1" max="1" width="22.5" style="196" customWidth="1"/>
    <col min="2" max="2" width="2.5" style="20" customWidth="1"/>
    <col min="3" max="3" width="45.625" customWidth="1"/>
    <col min="4" max="4" width="13.875" customWidth="1"/>
    <col min="5" max="5" width="14" bestFit="1" customWidth="1"/>
    <col min="6" max="6" width="21.875" bestFit="1" customWidth="1"/>
    <col min="7" max="7" width="14.625" bestFit="1" customWidth="1"/>
    <col min="8" max="8" width="14" bestFit="1" customWidth="1"/>
    <col min="9" max="9" width="14.625" bestFit="1" customWidth="1"/>
    <col min="10" max="10" width="14.75" bestFit="1" customWidth="1"/>
    <col min="11" max="11" width="15.125" bestFit="1" customWidth="1"/>
    <col min="12" max="12" width="15.5" bestFit="1" customWidth="1"/>
    <col min="13" max="13" width="14.625" bestFit="1" customWidth="1"/>
    <col min="14" max="14" width="15.125" bestFit="1" customWidth="1"/>
    <col min="15" max="15" width="14.75" bestFit="1" customWidth="1"/>
    <col min="16" max="16" width="15.125" bestFit="1" customWidth="1"/>
    <col min="17" max="17" width="12.625" bestFit="1" customWidth="1"/>
    <col min="18" max="22" width="13.5" bestFit="1" customWidth="1"/>
  </cols>
  <sheetData>
    <row r="1" spans="1:16" s="3094" customFormat="1">
      <c r="A1" s="411"/>
      <c r="B1" s="20"/>
      <c r="C1" s="1624" t="s">
        <v>2536</v>
      </c>
      <c r="D1" s="3142" t="s">
        <v>3971</v>
      </c>
    </row>
    <row r="2" spans="1:16" s="3094" customFormat="1">
      <c r="A2" s="411"/>
      <c r="B2" s="20"/>
      <c r="C2" s="3143" t="s">
        <v>3493</v>
      </c>
      <c r="D2" s="562" t="s">
        <v>4020</v>
      </c>
    </row>
    <row r="3" spans="1:16" s="3094" customFormat="1">
      <c r="A3" s="411"/>
      <c r="B3" s="20"/>
      <c r="C3" s="1624"/>
      <c r="D3" s="1624"/>
    </row>
    <row r="4" spans="1:16" s="3094" customFormat="1">
      <c r="A4" s="411"/>
      <c r="B4" s="20"/>
      <c r="D4" s="1624"/>
    </row>
    <row r="5" spans="1:16" s="3094" customFormat="1">
      <c r="A5" s="411"/>
      <c r="B5" s="20"/>
    </row>
    <row r="6" spans="1:16">
      <c r="A6" s="411"/>
      <c r="D6" s="1554">
        <f>Dashboard!G$7</f>
        <v>2014</v>
      </c>
      <c r="E6" s="1554">
        <f>Dashboard!H$7</f>
        <v>2015</v>
      </c>
      <c r="F6" s="1554">
        <f>Dashboard!I$7</f>
        <v>2016</v>
      </c>
      <c r="G6" s="1554">
        <f>Dashboard!J$7</f>
        <v>2017</v>
      </c>
      <c r="H6" s="1554">
        <f>Dashboard!K$7</f>
        <v>2018</v>
      </c>
      <c r="I6" s="1554">
        <f>Dashboard!L$7</f>
        <v>2019</v>
      </c>
      <c r="J6" s="1554">
        <f>Dashboard!M$7</f>
        <v>2020</v>
      </c>
      <c r="K6" s="1554">
        <f>Dashboard!N$7</f>
        <v>2021</v>
      </c>
      <c r="L6" s="1554">
        <f>Dashboard!O$7</f>
        <v>2022</v>
      </c>
      <c r="M6" s="1554">
        <f>Dashboard!P$7</f>
        <v>2023</v>
      </c>
      <c r="N6" s="1554">
        <f>Dashboard!Q$7</f>
        <v>2024</v>
      </c>
      <c r="O6" s="1554">
        <f>Dashboard!R$7</f>
        <v>2025</v>
      </c>
      <c r="P6" s="1554">
        <f>Dashboard!S$7</f>
        <v>2026</v>
      </c>
    </row>
    <row r="7" spans="1:16" ht="16.5" thickBot="1">
      <c r="A7" s="411"/>
      <c r="C7" s="1647" t="s">
        <v>2577</v>
      </c>
      <c r="F7" s="1459" t="s">
        <v>2578</v>
      </c>
    </row>
    <row r="8" spans="1:16" ht="16.5" thickBot="1">
      <c r="A8" s="411"/>
      <c r="C8" t="s">
        <v>2579</v>
      </c>
      <c r="F8" s="1798">
        <v>0</v>
      </c>
    </row>
    <row r="9" spans="1:16" ht="16.5" thickBot="1">
      <c r="A9" s="411"/>
      <c r="C9" t="s">
        <v>2580</v>
      </c>
      <c r="F9" s="1676">
        <f>F8*F10</f>
        <v>0</v>
      </c>
    </row>
    <row r="10" spans="1:16" ht="16.5" thickBot="1">
      <c r="A10" s="411"/>
      <c r="C10" t="s">
        <v>2581</v>
      </c>
      <c r="F10" s="2902">
        <v>4.5499999999999999E-2</v>
      </c>
    </row>
    <row r="11" spans="1:16" ht="16.5" thickBot="1">
      <c r="A11" s="411"/>
      <c r="C11" t="s">
        <v>2582</v>
      </c>
      <c r="F11" s="2903">
        <v>0.01</v>
      </c>
    </row>
    <row r="12" spans="1:16">
      <c r="A12" s="411"/>
      <c r="C12" t="s">
        <v>2583</v>
      </c>
      <c r="F12" s="1677">
        <f>F8*F11</f>
        <v>0</v>
      </c>
    </row>
    <row r="13" spans="1:16" ht="16.5" thickBot="1">
      <c r="A13" s="411"/>
      <c r="C13" t="s">
        <v>2584</v>
      </c>
      <c r="F13" s="1677">
        <f>F8+F9+F12</f>
        <v>0</v>
      </c>
    </row>
    <row r="14" spans="1:16" ht="16.5" thickBot="1">
      <c r="A14" s="411"/>
      <c r="C14" t="s">
        <v>2585</v>
      </c>
      <c r="F14" s="1801">
        <v>30</v>
      </c>
    </row>
    <row r="15" spans="1:16">
      <c r="A15" s="411"/>
      <c r="C15" t="s">
        <v>2586</v>
      </c>
      <c r="F15" s="1676">
        <f>PMT(F10,F14,F13)</f>
        <v>0</v>
      </c>
    </row>
    <row r="16" spans="1:16">
      <c r="A16" s="411"/>
      <c r="C16" t="s">
        <v>2587</v>
      </c>
      <c r="G16">
        <v>1</v>
      </c>
      <c r="H16">
        <f t="shared" ref="H16:P16" si="0">G16+1</f>
        <v>2</v>
      </c>
      <c r="I16">
        <f t="shared" si="0"/>
        <v>3</v>
      </c>
      <c r="J16">
        <f t="shared" si="0"/>
        <v>4</v>
      </c>
      <c r="K16">
        <f t="shared" si="0"/>
        <v>5</v>
      </c>
      <c r="L16">
        <f t="shared" si="0"/>
        <v>6</v>
      </c>
      <c r="M16">
        <f t="shared" si="0"/>
        <v>7</v>
      </c>
      <c r="N16">
        <f t="shared" si="0"/>
        <v>8</v>
      </c>
      <c r="O16">
        <f t="shared" si="0"/>
        <v>9</v>
      </c>
      <c r="P16">
        <f t="shared" si="0"/>
        <v>10</v>
      </c>
    </row>
    <row r="17" spans="1:18">
      <c r="A17" s="411"/>
      <c r="C17" t="s">
        <v>2588</v>
      </c>
      <c r="E17" s="987"/>
      <c r="F17" s="987"/>
      <c r="G17" s="987">
        <f t="shared" ref="G17:P17" si="1">IPMT($F$10,G16,$F$14,$F$13)</f>
        <v>0</v>
      </c>
      <c r="H17" s="987">
        <f t="shared" si="1"/>
        <v>0</v>
      </c>
      <c r="I17" s="987">
        <f t="shared" si="1"/>
        <v>0</v>
      </c>
      <c r="J17" s="987">
        <f t="shared" si="1"/>
        <v>0</v>
      </c>
      <c r="K17" s="987">
        <f t="shared" si="1"/>
        <v>0</v>
      </c>
      <c r="L17" s="987">
        <f t="shared" si="1"/>
        <v>0</v>
      </c>
      <c r="M17" s="987">
        <f t="shared" si="1"/>
        <v>0</v>
      </c>
      <c r="N17" s="987">
        <f t="shared" si="1"/>
        <v>0</v>
      </c>
      <c r="O17" s="987">
        <f t="shared" si="1"/>
        <v>0</v>
      </c>
      <c r="P17" s="987">
        <f t="shared" si="1"/>
        <v>0</v>
      </c>
    </row>
    <row r="18" spans="1:18">
      <c r="A18" s="411"/>
      <c r="C18" t="s">
        <v>2589</v>
      </c>
      <c r="E18" s="987"/>
      <c r="F18" s="987"/>
      <c r="G18" s="987">
        <f t="shared" ref="G18:P18" si="2">PPMT($F$10,G16,$F$14,$F$13)</f>
        <v>0</v>
      </c>
      <c r="H18" s="987">
        <f t="shared" si="2"/>
        <v>0</v>
      </c>
      <c r="I18" s="987">
        <f t="shared" si="2"/>
        <v>0</v>
      </c>
      <c r="J18" s="987">
        <f t="shared" si="2"/>
        <v>0</v>
      </c>
      <c r="K18" s="987">
        <f t="shared" si="2"/>
        <v>0</v>
      </c>
      <c r="L18" s="987">
        <f t="shared" si="2"/>
        <v>0</v>
      </c>
      <c r="M18" s="987">
        <f t="shared" si="2"/>
        <v>0</v>
      </c>
      <c r="N18" s="987">
        <f t="shared" si="2"/>
        <v>0</v>
      </c>
      <c r="O18" s="987">
        <f t="shared" si="2"/>
        <v>0</v>
      </c>
      <c r="P18" s="987">
        <f t="shared" si="2"/>
        <v>0</v>
      </c>
    </row>
    <row r="19" spans="1:18">
      <c r="A19" s="411"/>
      <c r="C19" t="s">
        <v>2590</v>
      </c>
      <c r="E19" s="424"/>
      <c r="F19" s="424"/>
      <c r="G19" s="424">
        <f t="shared" ref="G19:P19" si="3">SUM(G17:G18)-G15</f>
        <v>0</v>
      </c>
      <c r="H19" s="424">
        <f t="shared" si="3"/>
        <v>0</v>
      </c>
      <c r="I19" s="424">
        <f t="shared" si="3"/>
        <v>0</v>
      </c>
      <c r="J19" s="424">
        <f t="shared" si="3"/>
        <v>0</v>
      </c>
      <c r="K19" s="424">
        <f t="shared" si="3"/>
        <v>0</v>
      </c>
      <c r="L19" s="424">
        <f t="shared" si="3"/>
        <v>0</v>
      </c>
      <c r="M19" s="424">
        <f t="shared" si="3"/>
        <v>0</v>
      </c>
      <c r="N19" s="424">
        <f t="shared" si="3"/>
        <v>0</v>
      </c>
      <c r="O19" s="424">
        <f t="shared" si="3"/>
        <v>0</v>
      </c>
      <c r="P19" s="424">
        <f t="shared" si="3"/>
        <v>0</v>
      </c>
    </row>
    <row r="20" spans="1:18">
      <c r="A20" s="411"/>
    </row>
    <row r="21" spans="1:18">
      <c r="A21" s="411"/>
      <c r="C21" s="6" t="s">
        <v>2149</v>
      </c>
    </row>
    <row r="22" spans="1:18">
      <c r="A22" s="411"/>
      <c r="C22" s="1" t="s">
        <v>2150</v>
      </c>
      <c r="D22" s="3073">
        <f>SUM('Debt from Forecast17'!E58:E66)</f>
        <v>85560894.819999814</v>
      </c>
      <c r="E22" s="3073">
        <f>SUM('Debt from Forecast17'!F58:F66)</f>
        <v>83914936.429999903</v>
      </c>
      <c r="F22" s="3073">
        <f>SUM('Debt from Forecast17'!G58:G66)</f>
        <v>95481137.079999983</v>
      </c>
      <c r="G22" s="3073">
        <f>SUM('Debt from Forecast17'!H58:H66)</f>
        <v>99738018.730000004</v>
      </c>
      <c r="H22" s="3073">
        <f>SUM('Debt from Forecast17'!I58:I66)</f>
        <v>98904750.239999995</v>
      </c>
      <c r="I22" s="3073">
        <f>SUM('Debt from Forecast17'!J58:J66)</f>
        <v>95176376.689999998</v>
      </c>
      <c r="J22" s="3073">
        <f>SUM('Debt from Forecast17'!K58:K66)</f>
        <v>95092526.459999993</v>
      </c>
      <c r="K22" s="3073">
        <f>SUM('Debt from Forecast17'!L58:L66)</f>
        <v>94986571.379999995</v>
      </c>
      <c r="L22" s="3073">
        <f>SUM('Debt from Forecast17'!M58:M66)</f>
        <v>89097428.129999995</v>
      </c>
      <c r="M22" s="3073">
        <f>SUM('Debt from Forecast17'!N58:N66)</f>
        <v>89014362.129999995</v>
      </c>
      <c r="N22" s="3073">
        <f>SUM('Debt from Forecast17'!O58:O66)</f>
        <v>82678429.039999992</v>
      </c>
      <c r="O22" s="3073">
        <f>SUM('Debt from Forecast17'!P58:P66)</f>
        <v>82553800.989999995</v>
      </c>
      <c r="P22" s="3073">
        <f>SUM('Debt from Forecast17'!Q58:Q66)</f>
        <v>82466669.579999983</v>
      </c>
    </row>
    <row r="23" spans="1:18">
      <c r="A23" s="411"/>
      <c r="C23" s="4" t="s">
        <v>2184</v>
      </c>
      <c r="D23" s="3073">
        <f>'Debt from Forecast17'!E90</f>
        <v>-7770530.3099999996</v>
      </c>
      <c r="E23" s="3073">
        <f>'Debt from Forecast17'!F90</f>
        <v>-8213825.2800000003</v>
      </c>
      <c r="F23" s="3073">
        <f>'Debt from Forecast17'!G90</f>
        <v>-10544608.17</v>
      </c>
      <c r="G23" s="3073">
        <f>'Debt from Forecast17'!H90</f>
        <v>-10538948.15344</v>
      </c>
      <c r="H23" s="3073">
        <f>'Debt from Forecast17'!I90</f>
        <v>-10495606.682140868</v>
      </c>
      <c r="I23" s="3073">
        <f>'Debt from Forecast17'!J90</f>
        <v>-10449963.11318342</v>
      </c>
      <c r="J23" s="3073">
        <f>'Debt from Forecast17'!K90</f>
        <v>-10401432.545819364</v>
      </c>
      <c r="K23" s="3073">
        <f>'Debt from Forecast17'!L90</f>
        <v>-10349771.863364385</v>
      </c>
      <c r="L23" s="3073">
        <f>'Debt from Forecast17'!M90</f>
        <v>-10294324.478070417</v>
      </c>
      <c r="M23" s="3073">
        <f>'Debt from Forecast17'!N90</f>
        <v>-10235368.63325163</v>
      </c>
      <c r="N23" s="3073">
        <f>'Debt from Forecast17'!O90</f>
        <v>-10172711.086824587</v>
      </c>
      <c r="O23" s="3073">
        <f>'Debt from Forecast17'!P90</f>
        <v>-10105974.934612401</v>
      </c>
      <c r="P23" s="3073">
        <f>'Debt from Forecast17'!Q90</f>
        <v>-10035338.475217536</v>
      </c>
    </row>
    <row r="24" spans="1:18">
      <c r="A24" s="411"/>
      <c r="C24" s="1" t="s">
        <v>2151</v>
      </c>
      <c r="D24" s="3073">
        <f>SUM('Debt from Forecast17'!E68:E71)</f>
        <v>0</v>
      </c>
      <c r="E24" s="3073">
        <f>SUM('Debt from Forecast17'!F68:F71)</f>
        <v>0</v>
      </c>
      <c r="F24" s="3073">
        <f>SUM('Debt from Forecast17'!G68:G71)</f>
        <v>0</v>
      </c>
      <c r="G24" s="3073">
        <f>SUM('Debt from Forecast17'!H68:H71)</f>
        <v>0</v>
      </c>
      <c r="H24" s="3073">
        <f>SUM('Debt from Forecast17'!I68:I71)</f>
        <v>6421590.7687581591</v>
      </c>
      <c r="I24" s="3073">
        <f>SUM('Debt from Forecast17'!J68:J71)</f>
        <v>9989624.1784068793</v>
      </c>
      <c r="J24" s="3073">
        <f>SUM('Debt from Forecast17'!K68:K71)</f>
        <v>12972424.56907979</v>
      </c>
      <c r="K24" s="3073">
        <f>SUM('Debt from Forecast17'!L68:L71)</f>
        <v>16066410.078358795</v>
      </c>
      <c r="L24" s="3073">
        <f>SUM('Debt from Forecast17'!M68:M71)</f>
        <v>19471467.607694022</v>
      </c>
      <c r="M24" s="3073">
        <f>SUM('Debt from Forecast17'!N68:N71)</f>
        <v>23029864.651263848</v>
      </c>
      <c r="N24" s="3073">
        <f>SUM('Debt from Forecast17'!O68:O71)</f>
        <v>30539377.776422426</v>
      </c>
      <c r="O24" s="3073">
        <f>SUM('Debt from Forecast17'!P68:P71)</f>
        <v>34967870.744519711</v>
      </c>
      <c r="P24" s="3073">
        <f>SUM('Debt from Forecast17'!Q68:Q71)</f>
        <v>39295860.48791647</v>
      </c>
    </row>
    <row r="25" spans="1:18">
      <c r="A25" s="411"/>
      <c r="C25" s="1" t="s">
        <v>2152</v>
      </c>
      <c r="D25" s="281"/>
      <c r="E25" s="281">
        <f>-E19</f>
        <v>0</v>
      </c>
      <c r="F25" s="281">
        <f t="shared" ref="F25:P25" si="4">-F19</f>
        <v>0</v>
      </c>
      <c r="G25" s="281">
        <f t="shared" si="4"/>
        <v>0</v>
      </c>
      <c r="H25" s="281">
        <f t="shared" si="4"/>
        <v>0</v>
      </c>
      <c r="I25" s="281">
        <f t="shared" si="4"/>
        <v>0</v>
      </c>
      <c r="J25" s="281">
        <f t="shared" si="4"/>
        <v>0</v>
      </c>
      <c r="K25" s="281">
        <f t="shared" si="4"/>
        <v>0</v>
      </c>
      <c r="L25" s="281">
        <f t="shared" si="4"/>
        <v>0</v>
      </c>
      <c r="M25" s="281">
        <f t="shared" si="4"/>
        <v>0</v>
      </c>
      <c r="N25" s="281">
        <f t="shared" si="4"/>
        <v>0</v>
      </c>
      <c r="O25" s="281">
        <f t="shared" si="4"/>
        <v>0</v>
      </c>
      <c r="P25" s="281">
        <f t="shared" si="4"/>
        <v>0</v>
      </c>
      <c r="R25" s="424"/>
    </row>
    <row r="26" spans="1:18" s="1461" customFormat="1">
      <c r="A26" s="411"/>
      <c r="B26" s="20"/>
      <c r="C26" s="1529" t="s">
        <v>2153</v>
      </c>
      <c r="D26" s="1460">
        <f t="shared" ref="D26:P26" si="5">SUM(D22:D25)</f>
        <v>77790364.509999812</v>
      </c>
      <c r="E26" s="1460">
        <f t="shared" si="5"/>
        <v>75701111.149999902</v>
      </c>
      <c r="F26" s="1460">
        <f t="shared" si="5"/>
        <v>84936528.909999982</v>
      </c>
      <c r="G26" s="1460">
        <f t="shared" si="5"/>
        <v>89199070.576560006</v>
      </c>
      <c r="H26" s="1460">
        <f t="shared" si="5"/>
        <v>94830734.326617286</v>
      </c>
      <c r="I26" s="1460">
        <f t="shared" si="5"/>
        <v>94716037.755223453</v>
      </c>
      <c r="J26" s="1460">
        <f t="shared" si="5"/>
        <v>97663518.483260423</v>
      </c>
      <c r="K26" s="1460">
        <f t="shared" si="5"/>
        <v>100703209.59499441</v>
      </c>
      <c r="L26" s="1460">
        <f t="shared" si="5"/>
        <v>98274571.259623587</v>
      </c>
      <c r="M26" s="1460">
        <f t="shared" si="5"/>
        <v>101808858.14801221</v>
      </c>
      <c r="N26" s="1460">
        <f t="shared" si="5"/>
        <v>103045095.72959784</v>
      </c>
      <c r="O26" s="1460">
        <f t="shared" si="5"/>
        <v>107415696.7999073</v>
      </c>
      <c r="P26" s="1460">
        <f t="shared" si="5"/>
        <v>111727191.59269892</v>
      </c>
    </row>
    <row r="27" spans="1:18">
      <c r="A27" s="411"/>
      <c r="D27" s="3094"/>
      <c r="E27" s="3094"/>
      <c r="F27" s="3094"/>
      <c r="G27" s="3094"/>
      <c r="H27" s="3094"/>
      <c r="I27" s="3094"/>
      <c r="J27" s="3094"/>
      <c r="K27" s="3094"/>
      <c r="L27" s="3094"/>
      <c r="M27" s="3094"/>
      <c r="N27" s="3094"/>
      <c r="O27" s="3094"/>
      <c r="P27" s="3094"/>
    </row>
    <row r="28" spans="1:18" s="1461" customFormat="1">
      <c r="A28" s="411"/>
      <c r="B28" s="20"/>
      <c r="C28" s="1461" t="s">
        <v>2188</v>
      </c>
      <c r="D28" s="3074">
        <f>'Debt from Forecast17'!E51</f>
        <v>8143043.5399999898</v>
      </c>
      <c r="E28" s="3074">
        <f>'Debt from Forecast17'!F51</f>
        <v>7320529.7999999998</v>
      </c>
      <c r="F28" s="3074">
        <f>'Debt from Forecast17'!G51</f>
        <v>9668831.2599999793</v>
      </c>
      <c r="G28" s="3074">
        <f>'Debt from Forecast17'!H51</f>
        <v>10931331.259999979</v>
      </c>
      <c r="H28" s="3074">
        <f>'Debt from Forecast17'!I51</f>
        <v>25346331.259999979</v>
      </c>
      <c r="I28" s="3074">
        <f>'Debt from Forecast17'!J51</f>
        <v>25345581.259999979</v>
      </c>
      <c r="J28" s="3074">
        <f>'Debt from Forecast17'!K51</f>
        <v>25342081.259999979</v>
      </c>
      <c r="K28" s="3074">
        <f>'Debt from Forecast17'!L51</f>
        <v>25343831.259999979</v>
      </c>
      <c r="L28" s="3074">
        <f>'Debt from Forecast17'!M51</f>
        <v>22942326.417525847</v>
      </c>
      <c r="M28" s="3074">
        <f>'Debt from Forecast17'!N51</f>
        <v>9013362.191108441</v>
      </c>
      <c r="N28" s="3074">
        <f>'Debt from Forecast17'!O51</f>
        <v>8172909.5807810491</v>
      </c>
      <c r="O28" s="3074">
        <f>'Debt from Forecast17'!P51</f>
        <v>7345915.4033319578</v>
      </c>
      <c r="P28" s="3074">
        <f>'Debt from Forecast17'!Q51</f>
        <v>6016893.2470437586</v>
      </c>
    </row>
    <row r="29" spans="1:18">
      <c r="A29" s="411"/>
      <c r="C29" t="s">
        <v>2154</v>
      </c>
    </row>
    <row r="30" spans="1:18">
      <c r="A30" s="411"/>
    </row>
    <row r="31" spans="1:18" s="1678" customFormat="1">
      <c r="A31" s="411"/>
      <c r="B31" s="20"/>
    </row>
    <row r="32" spans="1:18">
      <c r="A32" s="411"/>
      <c r="D32" s="1531"/>
    </row>
    <row r="33" spans="1:16">
      <c r="A33" s="411"/>
      <c r="C33" s="2" t="s">
        <v>2194</v>
      </c>
      <c r="D33" s="429">
        <f>Dashboard!G25</f>
        <v>0.64610518077282153</v>
      </c>
      <c r="E33" s="429">
        <f>Dashboard!H25</f>
        <v>0.68269305963471194</v>
      </c>
      <c r="F33" s="429">
        <f>Dashboard!I25</f>
        <v>0.74382279297606857</v>
      </c>
      <c r="G33" s="429">
        <f>Dashboard!J25</f>
        <v>0.75704044216787081</v>
      </c>
      <c r="H33" s="429">
        <f>Dashboard!K25</f>
        <v>0.77475842531519368</v>
      </c>
      <c r="I33" s="429">
        <f>Dashboard!L25</f>
        <v>0.80868879366566926</v>
      </c>
      <c r="J33" s="429">
        <f>Dashboard!M25</f>
        <v>0.84090722003734786</v>
      </c>
      <c r="K33" s="429">
        <f>Dashboard!N25</f>
        <v>0.87106520140927557</v>
      </c>
      <c r="L33" s="429">
        <f>Dashboard!O25</f>
        <v>0.88818936653107472</v>
      </c>
      <c r="M33" s="429">
        <f>Dashboard!P25</f>
        <v>0.90603953842288554</v>
      </c>
      <c r="N33" s="429">
        <f>Dashboard!Q25</f>
        <v>0.92465512109575732</v>
      </c>
      <c r="O33" s="429">
        <f>Dashboard!R25</f>
        <v>0.92470000000000008</v>
      </c>
      <c r="P33" s="429">
        <f>Dashboard!S25</f>
        <v>0.92470000000000008</v>
      </c>
    </row>
    <row r="34" spans="1:16">
      <c r="A34" s="411"/>
      <c r="C34" s="2" t="s">
        <v>2195</v>
      </c>
      <c r="D34" s="1553">
        <f>1-D33</f>
        <v>0.35389481922717847</v>
      </c>
      <c r="E34" s="1553">
        <f t="shared" ref="E34:P34" si="6">1-E33</f>
        <v>0.31730694036528806</v>
      </c>
      <c r="F34" s="1553">
        <f t="shared" si="6"/>
        <v>0.25617720702393143</v>
      </c>
      <c r="G34" s="1553">
        <f t="shared" si="6"/>
        <v>0.24295955783212919</v>
      </c>
      <c r="H34" s="1553">
        <f t="shared" si="6"/>
        <v>0.22524157468480632</v>
      </c>
      <c r="I34" s="1553">
        <f t="shared" si="6"/>
        <v>0.19131120633433074</v>
      </c>
      <c r="J34" s="1553">
        <f t="shared" si="6"/>
        <v>0.15909277996265214</v>
      </c>
      <c r="K34" s="1553">
        <f t="shared" si="6"/>
        <v>0.12893479859072443</v>
      </c>
      <c r="L34" s="1553">
        <f t="shared" si="6"/>
        <v>0.11181063346892528</v>
      </c>
      <c r="M34" s="1553">
        <f t="shared" si="6"/>
        <v>9.3960461577114462E-2</v>
      </c>
      <c r="N34" s="1553">
        <f t="shared" si="6"/>
        <v>7.5344878904242685E-2</v>
      </c>
      <c r="O34" s="1553">
        <f t="shared" si="6"/>
        <v>7.5299999999999923E-2</v>
      </c>
      <c r="P34" s="1553">
        <f t="shared" si="6"/>
        <v>7.5299999999999923E-2</v>
      </c>
    </row>
    <row r="35" spans="1:16">
      <c r="A35" s="411"/>
      <c r="C35" s="4" t="s">
        <v>2187</v>
      </c>
      <c r="D35" s="429">
        <f>Dashboard!G26</f>
        <v>0.77</v>
      </c>
      <c r="E35" s="429">
        <f>Dashboard!H26</f>
        <v>0.77</v>
      </c>
      <c r="F35" s="429">
        <f>-(F33/(F37*F34))+(F33/F34)+1</f>
        <v>0.80906148860226379</v>
      </c>
      <c r="G35" s="429">
        <f t="shared" ref="G35:P35" si="7">-(G33/(G37*G34))+(G33/G34)+1</f>
        <v>0.80430450487648697</v>
      </c>
      <c r="H35" s="429">
        <f t="shared" si="7"/>
        <v>0.79750804358089988</v>
      </c>
      <c r="I35" s="429">
        <f t="shared" si="7"/>
        <v>0.78267217317982674</v>
      </c>
      <c r="J35" s="429">
        <f t="shared" si="7"/>
        <v>0.7651609797308927</v>
      </c>
      <c r="K35" s="429">
        <f t="shared" si="7"/>
        <v>0.74343789682357375</v>
      </c>
      <c r="L35" s="429">
        <f t="shared" si="7"/>
        <v>0.72715570100639315</v>
      </c>
      <c r="M35" s="429">
        <f t="shared" si="7"/>
        <v>0.70501415441725435</v>
      </c>
      <c r="N35" s="429">
        <f t="shared" si="7"/>
        <v>0.6722880144943062</v>
      </c>
      <c r="O35" s="429">
        <f t="shared" si="7"/>
        <v>0.67219145321520202</v>
      </c>
      <c r="P35" s="429">
        <f t="shared" si="7"/>
        <v>0.67219145321520202</v>
      </c>
    </row>
    <row r="36" spans="1:16">
      <c r="A36" s="411"/>
      <c r="C36" s="1"/>
      <c r="D36" s="1"/>
      <c r="E36" s="1"/>
      <c r="F36" s="1"/>
      <c r="G36" s="1"/>
      <c r="H36" s="1"/>
      <c r="I36" s="1"/>
      <c r="J36" s="1"/>
      <c r="K36" s="1"/>
      <c r="L36" s="1"/>
      <c r="M36" s="1"/>
      <c r="N36" s="1"/>
      <c r="O36" s="1"/>
      <c r="P36" s="1"/>
    </row>
    <row r="37" spans="1:16">
      <c r="A37" s="411"/>
      <c r="C37" s="4" t="s">
        <v>2212</v>
      </c>
      <c r="D37" s="4324">
        <f t="shared" ref="D37" si="8">D33/(D33+(1-D35)*D34)</f>
        <v>0.8881158793855255</v>
      </c>
      <c r="E37" s="4324">
        <f>E33/(E33+(1-E35)*E34)</f>
        <v>0.90342313019329978</v>
      </c>
      <c r="F37" s="4324">
        <f>1-F38</f>
        <v>0.9382971887242253</v>
      </c>
      <c r="G37" s="4324">
        <f t="shared" ref="G37:P37" si="9">1-G38</f>
        <v>0.94090618099234391</v>
      </c>
      <c r="H37" s="4324">
        <f t="shared" si="9"/>
        <v>0.94440348072902391</v>
      </c>
      <c r="I37" s="4324">
        <f t="shared" si="9"/>
        <v>0.95110089472422277</v>
      </c>
      <c r="J37" s="4324">
        <f t="shared" si="9"/>
        <v>0.95746039360900093</v>
      </c>
      <c r="K37" s="4324">
        <f t="shared" si="9"/>
        <v>0.96341318741368298</v>
      </c>
      <c r="L37" s="4324">
        <f t="shared" si="9"/>
        <v>0.96679327518515057</v>
      </c>
      <c r="M37" s="4324">
        <f t="shared" si="9"/>
        <v>0.97031666726301002</v>
      </c>
      <c r="N37" s="4324">
        <f t="shared" si="9"/>
        <v>0.97399114148722876</v>
      </c>
      <c r="O37" s="4324">
        <f t="shared" si="9"/>
        <v>0.97399999999999998</v>
      </c>
      <c r="P37" s="4324">
        <f t="shared" si="9"/>
        <v>0.97399999999999998</v>
      </c>
    </row>
    <row r="38" spans="1:16">
      <c r="A38" s="411"/>
      <c r="C38" s="4" t="s">
        <v>2213</v>
      </c>
      <c r="D38" s="4324">
        <f>1-D37</f>
        <v>0.1118841206144745</v>
      </c>
      <c r="E38" s="4324">
        <f t="shared" ref="E38" si="10">1-E37</f>
        <v>9.6576869806700216E-2</v>
      </c>
      <c r="F38" s="4324">
        <v>6.1702811275774649E-2</v>
      </c>
      <c r="G38" s="4324">
        <v>5.9093819007656118E-2</v>
      </c>
      <c r="H38" s="4324">
        <v>5.5596519270976051E-2</v>
      </c>
      <c r="I38" s="4324">
        <v>4.8899105275777253E-2</v>
      </c>
      <c r="J38" s="4324">
        <v>4.2539606390999088E-2</v>
      </c>
      <c r="K38" s="4324">
        <v>3.658681258631697E-2</v>
      </c>
      <c r="L38" s="4324">
        <v>3.3206724814849417E-2</v>
      </c>
      <c r="M38" s="4324">
        <v>2.9683332736989993E-2</v>
      </c>
      <c r="N38" s="4324">
        <v>2.6008858512771196E-2</v>
      </c>
      <c r="O38" s="4324">
        <v>2.5999999999999999E-2</v>
      </c>
      <c r="P38" s="4324">
        <v>2.5999999999999999E-2</v>
      </c>
    </row>
    <row r="39" spans="1:16">
      <c r="A39" s="411"/>
    </row>
    <row r="40" spans="1:16">
      <c r="A40" s="411"/>
      <c r="C40" t="s">
        <v>2206</v>
      </c>
      <c r="D40" s="987">
        <f>D22*D33</f>
        <v>55281337.414760351</v>
      </c>
      <c r="E40" s="987">
        <f>E22*E33</f>
        <v>57288144.700448982</v>
      </c>
      <c r="F40" s="987">
        <f t="shared" ref="F40:P40" si="11">F22*F33</f>
        <v>71021046.059376448</v>
      </c>
      <c r="G40" s="987">
        <f t="shared" si="11"/>
        <v>75505713.800306588</v>
      </c>
      <c r="H40" s="987">
        <f t="shared" si="11"/>
        <v>76627288.552134916</v>
      </c>
      <c r="I40" s="987">
        <f t="shared" si="11"/>
        <v>76968069.250905424</v>
      </c>
      <c r="J40" s="987">
        <f t="shared" si="11"/>
        <v>79963992.071806535</v>
      </c>
      <c r="K40" s="987">
        <f t="shared" si="11"/>
        <v>82739496.930296227</v>
      </c>
      <c r="L40" s="987">
        <f t="shared" si="11"/>
        <v>79135388.250332654</v>
      </c>
      <c r="M40" s="987">
        <f t="shared" si="11"/>
        <v>80650531.577272773</v>
      </c>
      <c r="N40" s="987">
        <f t="shared" si="11"/>
        <v>76449032.815988168</v>
      </c>
      <c r="O40" s="987">
        <f t="shared" si="11"/>
        <v>76337499.775453001</v>
      </c>
      <c r="P40" s="987">
        <f t="shared" si="11"/>
        <v>76256929.360625997</v>
      </c>
    </row>
    <row r="41" spans="1:16">
      <c r="A41" s="411"/>
      <c r="C41" t="s">
        <v>2207</v>
      </c>
      <c r="D41" s="987">
        <f>D37*D23</f>
        <v>-6901131.3595575299</v>
      </c>
      <c r="E41" s="987">
        <f t="shared" ref="E41:P41" si="12">E37*E23</f>
        <v>-7420559.7453184575</v>
      </c>
      <c r="F41" s="987">
        <f>F37*F23</f>
        <v>-9893976.202109497</v>
      </c>
      <c r="G41" s="987">
        <f t="shared" si="12"/>
        <v>-9916161.4587295465</v>
      </c>
      <c r="H41" s="987">
        <f t="shared" si="12"/>
        <v>-9912087.4829766378</v>
      </c>
      <c r="I41" s="987">
        <f t="shared" si="12"/>
        <v>-9938969.2667838745</v>
      </c>
      <c r="J41" s="987">
        <f t="shared" si="12"/>
        <v>-9958959.6994176805</v>
      </c>
      <c r="K41" s="987">
        <f t="shared" si="12"/>
        <v>-9971106.6998883355</v>
      </c>
      <c r="L41" s="987">
        <f t="shared" si="12"/>
        <v>-9952483.6779723652</v>
      </c>
      <c r="M41" s="987">
        <f t="shared" si="12"/>
        <v>-9931548.7804250717</v>
      </c>
      <c r="N41" s="987">
        <f t="shared" si="12"/>
        <v>-9908130.483476067</v>
      </c>
      <c r="O41" s="987">
        <f t="shared" si="12"/>
        <v>-9843219.5863124784</v>
      </c>
      <c r="P41" s="987">
        <f t="shared" si="12"/>
        <v>-9774419.67486188</v>
      </c>
    </row>
    <row r="42" spans="1:16">
      <c r="A42" s="411"/>
      <c r="C42" s="6" t="s">
        <v>2214</v>
      </c>
      <c r="D42" s="1530">
        <f>D40+D41</f>
        <v>48380206.055202819</v>
      </c>
      <c r="E42" s="1530">
        <f t="shared" ref="E42:P42" si="13">E40+E41</f>
        <v>49867584.955130525</v>
      </c>
      <c r="F42" s="1530">
        <f t="shared" si="13"/>
        <v>61127069.857266948</v>
      </c>
      <c r="G42" s="1530">
        <f t="shared" si="13"/>
        <v>65589552.341577038</v>
      </c>
      <c r="H42" s="1530">
        <f t="shared" si="13"/>
        <v>66715201.069158278</v>
      </c>
      <c r="I42" s="1530">
        <f t="shared" si="13"/>
        <v>67029099.984121546</v>
      </c>
      <c r="J42" s="1530">
        <f t="shared" si="13"/>
        <v>70005032.372388855</v>
      </c>
      <c r="K42" s="1530">
        <f t="shared" si="13"/>
        <v>72768390.230407894</v>
      </c>
      <c r="L42" s="1530">
        <f t="shared" si="13"/>
        <v>69182904.572360292</v>
      </c>
      <c r="M42" s="1530">
        <f t="shared" si="13"/>
        <v>70718982.796847701</v>
      </c>
      <c r="N42" s="1530">
        <f t="shared" si="13"/>
        <v>66540902.332512103</v>
      </c>
      <c r="O42" s="1530">
        <f t="shared" si="13"/>
        <v>66494280.189140521</v>
      </c>
      <c r="P42" s="1530">
        <f t="shared" si="13"/>
        <v>66482509.685764119</v>
      </c>
    </row>
    <row r="43" spans="1:16">
      <c r="A43" s="411"/>
    </row>
    <row r="44" spans="1:16">
      <c r="A44" s="411"/>
      <c r="C44" t="s">
        <v>2208</v>
      </c>
      <c r="D44" s="987">
        <f>D22*D34</f>
        <v>30279557.405239467</v>
      </c>
      <c r="E44" s="987">
        <f t="shared" ref="E44:P44" si="14">E22*E34</f>
        <v>26626791.729550917</v>
      </c>
      <c r="F44" s="987">
        <f t="shared" si="14"/>
        <v>24460091.020623531</v>
      </c>
      <c r="G44" s="987">
        <f t="shared" si="14"/>
        <v>24232304.929693419</v>
      </c>
      <c r="H44" s="987">
        <f t="shared" si="14"/>
        <v>22277461.687865075</v>
      </c>
      <c r="I44" s="987">
        <f t="shared" si="14"/>
        <v>18208307.439094577</v>
      </c>
      <c r="J44" s="987">
        <f t="shared" si="14"/>
        <v>15128534.388193456</v>
      </c>
      <c r="K44" s="987">
        <f t="shared" si="14"/>
        <v>12247074.44970377</v>
      </c>
      <c r="L44" s="987">
        <f t="shared" si="14"/>
        <v>9962039.8796673417</v>
      </c>
      <c r="M44" s="987">
        <f t="shared" si="14"/>
        <v>8363830.5527272169</v>
      </c>
      <c r="N44" s="987">
        <f t="shared" si="14"/>
        <v>6229396.2240118207</v>
      </c>
      <c r="O44" s="987">
        <f t="shared" si="14"/>
        <v>6216301.2145469934</v>
      </c>
      <c r="P44" s="987">
        <f t="shared" si="14"/>
        <v>6209740.2193739926</v>
      </c>
    </row>
    <row r="45" spans="1:16">
      <c r="A45" s="411"/>
      <c r="C45" t="s">
        <v>2209</v>
      </c>
      <c r="D45" s="987">
        <f>D38*D23</f>
        <v>-869398.95044246991</v>
      </c>
      <c r="E45" s="987">
        <f t="shared" ref="E45:P45" si="15">E38*E23</f>
        <v>-793265.53468154301</v>
      </c>
      <c r="F45" s="987">
        <f t="shared" si="15"/>
        <v>-650631.96789050149</v>
      </c>
      <c r="G45" s="987">
        <f t="shared" si="15"/>
        <v>-622786.69471045502</v>
      </c>
      <c r="H45" s="987">
        <f t="shared" si="15"/>
        <v>-583519.19916422979</v>
      </c>
      <c r="I45" s="987">
        <f t="shared" si="15"/>
        <v>-510993.84639954509</v>
      </c>
      <c r="J45" s="987">
        <f t="shared" si="15"/>
        <v>-442472.84640168335</v>
      </c>
      <c r="K45" s="987">
        <f t="shared" si="15"/>
        <v>-378665.16347604932</v>
      </c>
      <c r="L45" s="987">
        <f t="shared" si="15"/>
        <v>-341840.80009805271</v>
      </c>
      <c r="M45" s="987">
        <f t="shared" si="15"/>
        <v>-303819.85282655864</v>
      </c>
      <c r="N45" s="987">
        <f t="shared" si="15"/>
        <v>-264580.60334851959</v>
      </c>
      <c r="O45" s="987">
        <f t="shared" si="15"/>
        <v>-262755.34829992242</v>
      </c>
      <c r="P45" s="987">
        <f t="shared" si="15"/>
        <v>-260918.80035565593</v>
      </c>
    </row>
    <row r="46" spans="1:16">
      <c r="A46" s="411"/>
      <c r="C46" s="6" t="s">
        <v>2210</v>
      </c>
      <c r="D46" s="1530">
        <f>D44+D45</f>
        <v>29410158.454796996</v>
      </c>
      <c r="E46" s="1530">
        <f t="shared" ref="E46:P46" si="16">E44+E45</f>
        <v>25833526.194869373</v>
      </c>
      <c r="F46" s="1530">
        <f t="shared" si="16"/>
        <v>23809459.05273303</v>
      </c>
      <c r="G46" s="1530">
        <f t="shared" si="16"/>
        <v>23609518.234982964</v>
      </c>
      <c r="H46" s="1530">
        <f t="shared" si="16"/>
        <v>21693942.488700844</v>
      </c>
      <c r="I46" s="1530">
        <f t="shared" si="16"/>
        <v>17697313.592695031</v>
      </c>
      <c r="J46" s="1530">
        <f t="shared" si="16"/>
        <v>14686061.541791772</v>
      </c>
      <c r="K46" s="1530">
        <f t="shared" si="16"/>
        <v>11868409.28622772</v>
      </c>
      <c r="L46" s="1530">
        <f t="shared" si="16"/>
        <v>9620199.0795692895</v>
      </c>
      <c r="M46" s="1530">
        <f t="shared" si="16"/>
        <v>8060010.6999006579</v>
      </c>
      <c r="N46" s="1530">
        <f t="shared" si="16"/>
        <v>5964815.6206633011</v>
      </c>
      <c r="O46" s="1530">
        <f t="shared" si="16"/>
        <v>5953545.866247071</v>
      </c>
      <c r="P46" s="1530">
        <f t="shared" si="16"/>
        <v>5948821.4190183366</v>
      </c>
    </row>
    <row r="47" spans="1:16">
      <c r="A47" s="411"/>
      <c r="C47" s="6"/>
      <c r="D47" s="1530"/>
      <c r="E47" s="1530"/>
      <c r="F47" s="1530"/>
      <c r="G47" s="1530"/>
      <c r="H47" s="1530"/>
      <c r="I47" s="1530"/>
      <c r="J47" s="1530"/>
      <c r="K47" s="1530"/>
      <c r="L47" s="1530"/>
      <c r="M47" s="1530"/>
      <c r="N47" s="1530"/>
      <c r="O47" s="1530"/>
      <c r="P47" s="1530"/>
    </row>
    <row r="48" spans="1:16" s="6" customFormat="1">
      <c r="A48" s="411"/>
      <c r="B48" s="20"/>
      <c r="C48" s="40" t="s">
        <v>2185</v>
      </c>
      <c r="D48" s="1530">
        <f t="shared" ref="D48:P48" si="17">D24</f>
        <v>0</v>
      </c>
      <c r="E48" s="1530">
        <f t="shared" si="17"/>
        <v>0</v>
      </c>
      <c r="F48" s="1530">
        <f t="shared" si="17"/>
        <v>0</v>
      </c>
      <c r="G48" s="1530">
        <f t="shared" si="17"/>
        <v>0</v>
      </c>
      <c r="H48" s="1530">
        <f t="shared" si="17"/>
        <v>6421590.7687581591</v>
      </c>
      <c r="I48" s="1530">
        <f t="shared" si="17"/>
        <v>9989624.1784068793</v>
      </c>
      <c r="J48" s="1530">
        <f t="shared" si="17"/>
        <v>12972424.56907979</v>
      </c>
      <c r="K48" s="1530">
        <f t="shared" si="17"/>
        <v>16066410.078358795</v>
      </c>
      <c r="L48" s="1530">
        <f t="shared" si="17"/>
        <v>19471467.607694022</v>
      </c>
      <c r="M48" s="1530">
        <f t="shared" si="17"/>
        <v>23029864.651263848</v>
      </c>
      <c r="N48" s="1530">
        <f t="shared" si="17"/>
        <v>30539377.776422426</v>
      </c>
      <c r="O48" s="1530">
        <f t="shared" si="17"/>
        <v>34967870.744519711</v>
      </c>
      <c r="P48" s="1530">
        <f t="shared" si="17"/>
        <v>39295860.48791647</v>
      </c>
    </row>
    <row r="49" spans="1:16" s="6" customFormat="1">
      <c r="A49" s="411"/>
      <c r="B49" s="20"/>
      <c r="C49" s="40" t="s">
        <v>2186</v>
      </c>
      <c r="D49" s="834">
        <f t="shared" ref="D49:P49" si="18">D25</f>
        <v>0</v>
      </c>
      <c r="E49" s="834">
        <f t="shared" si="18"/>
        <v>0</v>
      </c>
      <c r="F49" s="834">
        <f t="shared" si="18"/>
        <v>0</v>
      </c>
      <c r="G49" s="834">
        <f t="shared" si="18"/>
        <v>0</v>
      </c>
      <c r="H49" s="834">
        <f t="shared" si="18"/>
        <v>0</v>
      </c>
      <c r="I49" s="834">
        <f t="shared" si="18"/>
        <v>0</v>
      </c>
      <c r="J49" s="834">
        <f t="shared" si="18"/>
        <v>0</v>
      </c>
      <c r="K49" s="834">
        <f t="shared" si="18"/>
        <v>0</v>
      </c>
      <c r="L49" s="834">
        <f t="shared" si="18"/>
        <v>0</v>
      </c>
      <c r="M49" s="834">
        <f t="shared" si="18"/>
        <v>0</v>
      </c>
      <c r="N49" s="834">
        <f t="shared" si="18"/>
        <v>0</v>
      </c>
      <c r="O49" s="834">
        <f t="shared" si="18"/>
        <v>0</v>
      </c>
      <c r="P49" s="834">
        <f t="shared" si="18"/>
        <v>0</v>
      </c>
    </row>
    <row r="50" spans="1:16">
      <c r="A50" s="411"/>
      <c r="D50" s="1541"/>
    </row>
    <row r="51" spans="1:16">
      <c r="A51" s="411"/>
    </row>
    <row r="52" spans="1:16">
      <c r="A52" s="411"/>
    </row>
    <row r="53" spans="1:16">
      <c r="A53" s="411"/>
    </row>
    <row r="54" spans="1:16">
      <c r="A54" s="411"/>
    </row>
    <row r="55" spans="1:16">
      <c r="A55" s="411"/>
    </row>
    <row r="56" spans="1:16">
      <c r="A56" s="411"/>
    </row>
    <row r="57" spans="1:16">
      <c r="A57" s="411"/>
    </row>
    <row r="58" spans="1:16">
      <c r="A58" s="411"/>
    </row>
    <row r="59" spans="1:16">
      <c r="A59" s="411"/>
    </row>
    <row r="60" spans="1:16">
      <c r="A60" s="411"/>
    </row>
    <row r="61" spans="1:16">
      <c r="A61" s="411"/>
    </row>
    <row r="62" spans="1:16">
      <c r="A62" s="411"/>
    </row>
  </sheetData>
  <pageMargins left="0.25" right="0.25" top="0.5" bottom="0.5" header="0.25" footer="0.25"/>
  <pageSetup scale="26" fitToHeight="0" orientation="landscape" r:id="rId1"/>
  <headerFooter alignWithMargins="0">
    <oddFooter>&amp;L&amp;"Times New Roman,Bold Italic"Black &amp; Veatch Corporation&amp;C&amp;"Times New Roman,Bold Italic"Date: &amp;D&amp;R&amp;"Times New Roman,Bold Italic"Page: &amp;P of &amp;N</oddFooter>
  </headerFooter>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808000"/>
    <pageSetUpPr fitToPage="1"/>
  </sheetPr>
  <dimension ref="A1:FW13620"/>
  <sheetViews>
    <sheetView showGridLines="0" zoomScale="70" zoomScaleNormal="70" zoomScaleSheetLayoutView="75" workbookViewId="0">
      <pane xSplit="9" ySplit="7" topLeftCell="M8" activePane="bottomRight" state="frozen"/>
      <selection pane="topRight" activeCell="J1" sqref="J1"/>
      <selection pane="bottomLeft" activeCell="A8" sqref="A8"/>
      <selection pane="bottomRight" activeCell="Y1" sqref="Y1:Y1048576"/>
    </sheetView>
  </sheetViews>
  <sheetFormatPr defaultColWidth="0" defaultRowHeight="15.75" zeroHeight="1" outlineLevelCol="1"/>
  <cols>
    <col min="1" max="1" width="22.5" style="2" customWidth="1"/>
    <col min="2" max="2" width="2.875" style="2" customWidth="1"/>
    <col min="3" max="3" width="6.875" style="2" customWidth="1"/>
    <col min="4" max="4" width="34.125" style="2" customWidth="1"/>
    <col min="5" max="9" width="14.625" style="2" hidden="1" customWidth="1"/>
    <col min="10" max="12" width="14.625" style="2" customWidth="1"/>
    <col min="13" max="13" width="14.625" style="2" customWidth="1" outlineLevel="1" collapsed="1"/>
    <col min="14" max="24" width="14.625" style="2" customWidth="1" outlineLevel="1"/>
    <col min="25" max="25" width="2.625" style="2" customWidth="1"/>
    <col min="26" max="32" width="14.625" style="2" hidden="1" customWidth="1"/>
    <col min="33" max="16384" width="8.625" style="2" hidden="1"/>
  </cols>
  <sheetData>
    <row r="1" spans="1:179" ht="22.5">
      <c r="A1" s="411"/>
      <c r="B1" s="23"/>
      <c r="C1" s="4409" t="s">
        <v>167</v>
      </c>
      <c r="D1" s="4409"/>
      <c r="E1" s="4409"/>
      <c r="F1" s="4409"/>
      <c r="G1" s="4409"/>
      <c r="H1" s="4409"/>
      <c r="I1" s="4409"/>
      <c r="J1" s="4409"/>
      <c r="K1" s="4409"/>
      <c r="L1" s="4409"/>
      <c r="M1" s="89"/>
      <c r="N1" s="89"/>
      <c r="O1" s="89"/>
      <c r="P1" s="89"/>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row>
    <row r="2" spans="1:179" ht="22.5">
      <c r="A2" s="411"/>
      <c r="B2" s="23"/>
      <c r="C2" s="4409" t="s">
        <v>717</v>
      </c>
      <c r="D2" s="4409"/>
      <c r="E2" s="4409"/>
      <c r="F2" s="4409"/>
      <c r="G2" s="4409"/>
      <c r="H2" s="4409"/>
      <c r="I2" s="4409"/>
      <c r="J2" s="4409"/>
      <c r="K2" s="4409"/>
      <c r="L2" s="4409"/>
      <c r="M2" s="1624" t="s">
        <v>2536</v>
      </c>
      <c r="O2" s="1624" t="s">
        <v>3502</v>
      </c>
      <c r="P2" s="89"/>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row>
    <row r="3" spans="1:179" ht="22.5">
      <c r="A3" s="411"/>
      <c r="B3" s="23"/>
      <c r="C3" s="4409" t="s">
        <v>197</v>
      </c>
      <c r="D3" s="4409"/>
      <c r="E3" s="4409"/>
      <c r="F3" s="4409"/>
      <c r="G3" s="4409"/>
      <c r="H3" s="4409"/>
      <c r="I3" s="4409"/>
      <c r="J3" s="4409"/>
      <c r="K3" s="4409"/>
      <c r="L3" s="4409"/>
      <c r="M3" s="562" t="s">
        <v>3971</v>
      </c>
      <c r="O3" s="562" t="s">
        <v>614</v>
      </c>
      <c r="P3" s="89"/>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row>
    <row r="4" spans="1:179" ht="23.25">
      <c r="A4" s="411"/>
      <c r="B4" s="23"/>
      <c r="C4" s="127"/>
      <c r="D4" s="128"/>
      <c r="E4" s="128"/>
      <c r="F4" s="128"/>
      <c r="G4" s="128"/>
      <c r="H4" s="128"/>
      <c r="I4" s="128"/>
      <c r="J4" s="128"/>
      <c r="K4" s="126"/>
      <c r="L4" s="23"/>
      <c r="M4" s="1624"/>
      <c r="O4" s="1624"/>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row>
    <row r="5" spans="1:179">
      <c r="A5" s="411"/>
      <c r="B5" s="23"/>
      <c r="C5" s="26"/>
      <c r="D5" s="27"/>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row>
    <row r="6" spans="1:179">
      <c r="A6" s="411"/>
      <c r="B6" s="23"/>
      <c r="C6" s="125"/>
      <c r="D6" s="125"/>
      <c r="E6" s="124" t="s">
        <v>882</v>
      </c>
      <c r="F6" s="124"/>
      <c r="G6" s="124"/>
      <c r="H6" s="124"/>
      <c r="I6" s="124"/>
      <c r="J6" s="124"/>
      <c r="K6" s="124"/>
      <c r="L6" s="124"/>
      <c r="M6" s="124"/>
      <c r="N6" s="124"/>
      <c r="O6" s="124"/>
      <c r="P6" s="124"/>
      <c r="Q6" s="124"/>
      <c r="R6" s="124"/>
      <c r="S6" s="124"/>
      <c r="T6" s="124"/>
      <c r="U6" s="124"/>
      <c r="V6" s="124"/>
      <c r="W6" s="124"/>
      <c r="X6" s="124"/>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row>
    <row r="7" spans="1:179">
      <c r="A7" s="411"/>
      <c r="B7" s="23"/>
      <c r="C7" s="110" t="s">
        <v>867</v>
      </c>
      <c r="D7" s="110" t="s">
        <v>399</v>
      </c>
      <c r="E7" s="123">
        <v>2007</v>
      </c>
      <c r="F7" s="123">
        <v>2008</v>
      </c>
      <c r="G7" s="123">
        <v>2009</v>
      </c>
      <c r="H7" s="123">
        <f>G7+1</f>
        <v>2010</v>
      </c>
      <c r="I7" s="123">
        <f>H7+1</f>
        <v>2011</v>
      </c>
      <c r="J7" s="123">
        <f>I7+1</f>
        <v>2012</v>
      </c>
      <c r="K7" s="123">
        <f>Dashboard!F$7</f>
        <v>2013</v>
      </c>
      <c r="L7" s="123">
        <f>Dashboard!G$7</f>
        <v>2014</v>
      </c>
      <c r="M7" s="123">
        <f>Dashboard!H$7</f>
        <v>2015</v>
      </c>
      <c r="N7" s="123">
        <f>Dashboard!I$7</f>
        <v>2016</v>
      </c>
      <c r="O7" s="123">
        <f>Dashboard!J$7</f>
        <v>2017</v>
      </c>
      <c r="P7" s="123">
        <f>Dashboard!K$7</f>
        <v>2018</v>
      </c>
      <c r="Q7" s="123">
        <f>Dashboard!L$7</f>
        <v>2019</v>
      </c>
      <c r="R7" s="123">
        <f>Dashboard!M$7</f>
        <v>2020</v>
      </c>
      <c r="S7" s="123">
        <f>Dashboard!N$7</f>
        <v>2021</v>
      </c>
      <c r="T7" s="123">
        <f>Dashboard!O$7</f>
        <v>2022</v>
      </c>
      <c r="U7" s="123">
        <f>Dashboard!P$7</f>
        <v>2023</v>
      </c>
      <c r="V7" s="123">
        <f>Dashboard!Q$7</f>
        <v>2024</v>
      </c>
      <c r="W7" s="123">
        <f>Dashboard!R$7</f>
        <v>2025</v>
      </c>
      <c r="X7" s="123">
        <f>Dashboard!S$7</f>
        <v>2026</v>
      </c>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row>
    <row r="8" spans="1:179">
      <c r="A8" s="411"/>
      <c r="B8" s="26"/>
      <c r="C8" s="26"/>
      <c r="D8" s="26"/>
      <c r="E8" s="26"/>
      <c r="F8" s="26"/>
      <c r="G8" s="26"/>
      <c r="H8" s="26"/>
      <c r="I8" s="26"/>
      <c r="J8" s="26"/>
      <c r="K8" s="26"/>
      <c r="L8" s="26"/>
      <c r="M8" s="26"/>
      <c r="N8" s="26"/>
      <c r="O8" s="26"/>
      <c r="P8" s="26"/>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row>
    <row r="9" spans="1:179">
      <c r="A9" s="411"/>
      <c r="B9" s="26"/>
      <c r="C9" s="26"/>
      <c r="D9" s="293"/>
      <c r="E9" s="26"/>
      <c r="F9" s="26"/>
      <c r="G9" s="26"/>
      <c r="H9" s="26"/>
      <c r="I9" s="26"/>
      <c r="J9" s="26"/>
      <c r="K9" s="26"/>
      <c r="L9" s="26"/>
      <c r="M9" s="26"/>
      <c r="N9" s="26"/>
      <c r="O9" s="26"/>
      <c r="P9" s="26"/>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row>
    <row r="10" spans="1:179">
      <c r="A10" s="411"/>
      <c r="B10" s="26"/>
      <c r="C10" s="26"/>
      <c r="D10" s="67" t="s">
        <v>378</v>
      </c>
      <c r="E10" s="26"/>
      <c r="F10" s="26"/>
      <c r="G10" s="26"/>
      <c r="H10" s="26"/>
      <c r="I10" s="26"/>
      <c r="J10" s="26"/>
      <c r="K10" s="26"/>
      <c r="L10" s="26"/>
      <c r="M10" s="26"/>
      <c r="N10" s="26"/>
      <c r="O10" s="26"/>
      <c r="P10" s="26"/>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row>
    <row r="11" spans="1:179">
      <c r="A11" s="411"/>
      <c r="B11" s="26"/>
      <c r="C11" s="26"/>
      <c r="D11" s="26"/>
      <c r="E11" s="26"/>
      <c r="F11" s="26"/>
      <c r="G11" s="26"/>
      <c r="H11" s="26"/>
      <c r="I11" s="26"/>
      <c r="J11" s="26"/>
      <c r="K11" s="26"/>
      <c r="L11" s="26"/>
      <c r="M11" s="26"/>
      <c r="N11" s="26"/>
      <c r="O11" s="26"/>
      <c r="P11" s="26"/>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row>
    <row r="12" spans="1:179" ht="16.5" thickBot="1">
      <c r="A12" s="411"/>
      <c r="B12" s="26"/>
      <c r="C12" s="26"/>
      <c r="D12" s="28" t="s">
        <v>717</v>
      </c>
      <c r="E12" s="301"/>
      <c r="F12" s="26"/>
      <c r="G12" s="26"/>
      <c r="H12" s="26"/>
      <c r="I12" s="26"/>
      <c r="J12" s="26"/>
      <c r="K12" s="26"/>
      <c r="L12" s="26"/>
      <c r="M12" s="26"/>
      <c r="N12" s="26"/>
      <c r="O12" s="26"/>
      <c r="P12" s="26"/>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row>
    <row r="13" spans="1:179">
      <c r="A13" s="411"/>
      <c r="B13" s="26"/>
      <c r="C13" s="289">
        <v>1</v>
      </c>
      <c r="D13" s="294" t="s">
        <v>724</v>
      </c>
      <c r="E13" s="992"/>
      <c r="F13" s="993">
        <v>9895000</v>
      </c>
      <c r="G13" s="994">
        <v>10375000</v>
      </c>
      <c r="H13" s="69">
        <v>11430000</v>
      </c>
      <c r="I13" s="69">
        <v>11995000</v>
      </c>
      <c r="J13" s="69">
        <v>12620000</v>
      </c>
      <c r="K13" s="69">
        <f>'Debt from Forecast17'!D34</f>
        <v>11255000</v>
      </c>
      <c r="L13" s="69">
        <f>'Debt from Forecast17'!E34</f>
        <v>5595000</v>
      </c>
      <c r="M13" s="69">
        <f>'Debt from Forecast17'!F34</f>
        <v>950000</v>
      </c>
      <c r="N13" s="3075">
        <f>'Debt from Forecast17'!G34</f>
        <v>0</v>
      </c>
      <c r="O13" s="3075">
        <f>'Debt from Forecast17'!H34</f>
        <v>0</v>
      </c>
      <c r="P13" s="3075">
        <f>'Debt from Forecast17'!I34</f>
        <v>0</v>
      </c>
      <c r="Q13" s="3075">
        <f>'Debt from Forecast17'!J34</f>
        <v>14415000</v>
      </c>
      <c r="R13" s="3075">
        <f>'Debt from Forecast17'!K34</f>
        <v>15130000</v>
      </c>
      <c r="S13" s="3075">
        <f>'Debt from Forecast17'!L34</f>
        <v>15870000</v>
      </c>
      <c r="T13" s="3075">
        <f>'Debt from Forecast17'!M34</f>
        <v>16645000</v>
      </c>
      <c r="U13" s="3075">
        <f>'Debt from Forecast17'!N34</f>
        <v>15110000</v>
      </c>
      <c r="V13" s="3075">
        <f>'Debt from Forecast17'!O34</f>
        <v>2405000</v>
      </c>
      <c r="W13" s="3075">
        <f>'Debt from Forecast17'!P34</f>
        <v>2525000</v>
      </c>
      <c r="X13" s="3075">
        <f>'Debt from Forecast17'!Q34</f>
        <v>2650000</v>
      </c>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row>
    <row r="14" spans="1:179">
      <c r="A14" s="411"/>
      <c r="B14" s="26"/>
      <c r="C14" s="289">
        <f>+MAX(C11:C13)+1</f>
        <v>2</v>
      </c>
      <c r="D14" s="294" t="s">
        <v>2277</v>
      </c>
      <c r="E14" s="1569"/>
      <c r="F14" s="1570"/>
      <c r="G14" s="1571"/>
      <c r="H14" s="1572"/>
      <c r="I14" s="1572"/>
      <c r="J14" s="1572"/>
      <c r="K14" s="1572">
        <f>'Debt from Forecast17'!D35</f>
        <v>3460603.13</v>
      </c>
      <c r="L14" s="1572">
        <f>'Debt from Forecast17'!E35</f>
        <v>2970878.8199999901</v>
      </c>
      <c r="M14" s="1572">
        <f>'Debt from Forecast17'!F35</f>
        <v>3606877.91</v>
      </c>
      <c r="N14" s="3076">
        <f>'Debt from Forecast17'!G35</f>
        <v>3571915.6299999901</v>
      </c>
      <c r="O14" s="3076">
        <f>'Debt from Forecast17'!H35</f>
        <v>3571915.6299999901</v>
      </c>
      <c r="P14" s="3076">
        <f>'Debt from Forecast17'!I35</f>
        <v>3571915.6299999901</v>
      </c>
      <c r="Q14" s="3076">
        <f>'Debt from Forecast17'!J35</f>
        <v>3571915.6299999901</v>
      </c>
      <c r="R14" s="3076">
        <f>'Debt from Forecast17'!K35</f>
        <v>3214040.6299999901</v>
      </c>
      <c r="S14" s="3076">
        <f>'Debt from Forecast17'!L35</f>
        <v>2842290.6299999901</v>
      </c>
      <c r="T14" s="3076">
        <f>'Debt from Forecast17'!M35</f>
        <v>2455665.6299999901</v>
      </c>
      <c r="U14" s="3076">
        <f>'Debt from Forecast17'!N35</f>
        <v>2051265.63</v>
      </c>
      <c r="V14" s="3076">
        <f>'Debt from Forecast17'!O35</f>
        <v>1690625</v>
      </c>
      <c r="W14" s="3076">
        <f>'Debt from Forecast17'!P35</f>
        <v>1630500</v>
      </c>
      <c r="X14" s="3076">
        <f>'Debt from Forecast17'!Q35</f>
        <v>1567375</v>
      </c>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row>
    <row r="15" spans="1:179" ht="16.5" thickBot="1">
      <c r="A15" s="411"/>
      <c r="B15" s="26"/>
      <c r="C15" s="289">
        <f>+MAX(C12:C14)+1</f>
        <v>3</v>
      </c>
      <c r="D15" s="294" t="s">
        <v>2278</v>
      </c>
      <c r="E15" s="995"/>
      <c r="F15" s="996">
        <v>8042153</v>
      </c>
      <c r="G15" s="997">
        <v>7546895</v>
      </c>
      <c r="H15" s="71">
        <v>6749437.5</v>
      </c>
      <c r="I15" s="71">
        <v>6182718.7599999998</v>
      </c>
      <c r="J15" s="71">
        <v>5559231.2599999998</v>
      </c>
      <c r="K15" s="71">
        <f>'Debt from Forecast17'!D36</f>
        <v>3291778.13</v>
      </c>
      <c r="L15" s="71">
        <f>'Debt from Forecast17'!E36</f>
        <v>3586165.6299999901</v>
      </c>
      <c r="M15" s="71">
        <f>'Debt from Forecast17'!F36</f>
        <v>3734600.52</v>
      </c>
      <c r="N15" s="3077">
        <f>'Debt from Forecast17'!G36</f>
        <v>3571915.6299999901</v>
      </c>
      <c r="O15" s="3077">
        <f>'Debt from Forecast17'!H36</f>
        <v>3571915.6299999901</v>
      </c>
      <c r="P15" s="3077">
        <f>'Debt from Forecast17'!I36</f>
        <v>3571915.6299999901</v>
      </c>
      <c r="Q15" s="3077">
        <f>'Debt from Forecast17'!J36</f>
        <v>3214040.6299999901</v>
      </c>
      <c r="R15" s="3077">
        <f>'Debt from Forecast17'!K36</f>
        <v>2842290.6299999901</v>
      </c>
      <c r="S15" s="3077">
        <f>'Debt from Forecast17'!L36</f>
        <v>2455665.6299999901</v>
      </c>
      <c r="T15" s="3077">
        <f>'Debt from Forecast17'!M36</f>
        <v>2051265.63</v>
      </c>
      <c r="U15" s="3077">
        <f>'Debt from Forecast17'!N36</f>
        <v>1690625</v>
      </c>
      <c r="V15" s="3077">
        <f>'Debt from Forecast17'!O36</f>
        <v>1630500</v>
      </c>
      <c r="W15" s="3077">
        <f>'Debt from Forecast17'!P36</f>
        <v>1567375</v>
      </c>
      <c r="X15" s="3077">
        <f>'Debt from Forecast17'!Q36</f>
        <v>1501125</v>
      </c>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row>
    <row r="16" spans="1:179" ht="3" customHeight="1">
      <c r="A16" s="411"/>
      <c r="B16" s="26"/>
      <c r="C16" s="289"/>
      <c r="D16" s="26"/>
      <c r="E16" s="279"/>
      <c r="F16" s="279"/>
      <c r="G16" s="279"/>
      <c r="H16" s="279"/>
      <c r="I16" s="279"/>
      <c r="J16" s="279"/>
      <c r="K16" s="69"/>
      <c r="L16" s="69"/>
      <c r="M16" s="69"/>
      <c r="N16" s="279"/>
      <c r="O16" s="279"/>
      <c r="P16" s="279"/>
      <c r="Q16" s="279"/>
      <c r="R16" s="279"/>
      <c r="S16" s="279"/>
      <c r="T16" s="279"/>
      <c r="U16" s="279"/>
      <c r="V16" s="279"/>
      <c r="W16" s="279"/>
      <c r="X16" s="279"/>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row>
    <row r="17" spans="1:179">
      <c r="A17" s="411"/>
      <c r="B17" s="26"/>
      <c r="C17" s="289">
        <f>+MAX(C14:C16)+1</f>
        <v>4</v>
      </c>
      <c r="D17" s="28" t="s">
        <v>179</v>
      </c>
      <c r="E17" s="300">
        <f t="shared" ref="E17:L17" si="0">SUM(E13:E16)</f>
        <v>0</v>
      </c>
      <c r="F17" s="300">
        <f t="shared" si="0"/>
        <v>17937153</v>
      </c>
      <c r="G17" s="300">
        <f t="shared" si="0"/>
        <v>17921895</v>
      </c>
      <c r="H17" s="300">
        <f t="shared" si="0"/>
        <v>18179437.5</v>
      </c>
      <c r="I17" s="300">
        <f t="shared" si="0"/>
        <v>18177718.759999998</v>
      </c>
      <c r="J17" s="300">
        <f t="shared" si="0"/>
        <v>18179231.259999998</v>
      </c>
      <c r="K17" s="300">
        <f t="shared" si="0"/>
        <v>18007381.259999998</v>
      </c>
      <c r="L17" s="300">
        <f t="shared" si="0"/>
        <v>12152044.449999979</v>
      </c>
      <c r="M17" s="300">
        <f>SUM(M13:M16)</f>
        <v>8291478.4299999997</v>
      </c>
      <c r="N17" s="300">
        <f>SUM(N13:N16)</f>
        <v>7143831.2599999802</v>
      </c>
      <c r="O17" s="300">
        <f t="shared" ref="O17:X17" si="1">SUM(O13:O16)</f>
        <v>7143831.2599999802</v>
      </c>
      <c r="P17" s="300">
        <f t="shared" si="1"/>
        <v>7143831.2599999802</v>
      </c>
      <c r="Q17" s="300">
        <f t="shared" si="1"/>
        <v>21200956.259999983</v>
      </c>
      <c r="R17" s="300">
        <f t="shared" si="1"/>
        <v>21186331.259999983</v>
      </c>
      <c r="S17" s="300">
        <f t="shared" si="1"/>
        <v>21167956.259999983</v>
      </c>
      <c r="T17" s="300">
        <f t="shared" si="1"/>
        <v>21151931.25999999</v>
      </c>
      <c r="U17" s="300">
        <f t="shared" si="1"/>
        <v>18851890.629999999</v>
      </c>
      <c r="V17" s="300">
        <f t="shared" si="1"/>
        <v>5726125</v>
      </c>
      <c r="W17" s="300">
        <f t="shared" si="1"/>
        <v>5722875</v>
      </c>
      <c r="X17" s="300">
        <f t="shared" si="1"/>
        <v>5718500</v>
      </c>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row>
    <row r="18" spans="1:179">
      <c r="A18" s="411"/>
      <c r="B18" s="26"/>
      <c r="C18" s="26"/>
      <c r="D18" s="26"/>
      <c r="E18" s="301"/>
      <c r="F18" s="26"/>
      <c r="G18" s="26"/>
      <c r="H18" s="26"/>
      <c r="I18" s="26"/>
      <c r="J18" s="26"/>
      <c r="K18" s="26"/>
      <c r="L18" s="26"/>
      <c r="M18" s="26"/>
      <c r="N18" s="26"/>
      <c r="O18" s="26"/>
      <c r="P18" s="26"/>
      <c r="Q18" s="26"/>
      <c r="R18" s="26"/>
      <c r="S18" s="26"/>
      <c r="T18" s="26"/>
      <c r="U18" s="26"/>
      <c r="V18" s="26"/>
      <c r="W18" s="26"/>
      <c r="X18" s="26"/>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row>
    <row r="19" spans="1:179" ht="16.5" thickBot="1">
      <c r="A19" s="411"/>
      <c r="B19" s="26"/>
      <c r="C19" s="26"/>
      <c r="D19" s="28" t="s">
        <v>2106</v>
      </c>
      <c r="E19" s="301"/>
      <c r="F19" s="26"/>
      <c r="G19" s="26"/>
      <c r="H19" s="26"/>
      <c r="I19" s="26"/>
      <c r="J19" s="26"/>
      <c r="K19" s="26"/>
      <c r="L19" s="26"/>
      <c r="M19" s="26"/>
      <c r="N19" s="26"/>
      <c r="O19" s="26"/>
      <c r="P19" s="26"/>
      <c r="Q19" s="26"/>
      <c r="R19" s="26"/>
      <c r="S19" s="26"/>
      <c r="T19" s="26"/>
      <c r="U19" s="26"/>
      <c r="V19" s="26"/>
      <c r="W19" s="26"/>
      <c r="X19" s="26"/>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row>
    <row r="20" spans="1:179">
      <c r="A20" s="411"/>
      <c r="B20" s="26"/>
      <c r="C20" s="289">
        <f>+MAX(C14:C19)+1</f>
        <v>5</v>
      </c>
      <c r="D20" s="294" t="s">
        <v>724</v>
      </c>
      <c r="E20" s="68"/>
      <c r="F20" s="69"/>
      <c r="G20" s="69"/>
      <c r="H20" s="69"/>
      <c r="I20" s="69"/>
      <c r="J20" s="69"/>
      <c r="K20" s="69"/>
      <c r="L20" s="69"/>
      <c r="M20" s="69"/>
      <c r="N20" s="69"/>
      <c r="O20" s="69"/>
      <c r="P20" s="69"/>
      <c r="Q20" s="69"/>
      <c r="R20" s="69"/>
      <c r="S20" s="69"/>
      <c r="T20" s="69"/>
      <c r="U20" s="69"/>
      <c r="V20" s="69"/>
      <c r="W20" s="69"/>
      <c r="X20" s="69"/>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row>
    <row r="21" spans="1:179" ht="16.5" thickBot="1">
      <c r="A21" s="411"/>
      <c r="B21" s="26"/>
      <c r="C21" s="289">
        <f>+MAX(C16:C20)+1</f>
        <v>6</v>
      </c>
      <c r="D21" s="294" t="s">
        <v>725</v>
      </c>
      <c r="E21" s="70"/>
      <c r="F21" s="71"/>
      <c r="G21" s="71"/>
      <c r="H21" s="71"/>
      <c r="I21" s="71"/>
      <c r="J21" s="71"/>
      <c r="K21" s="71"/>
      <c r="L21" s="71"/>
      <c r="M21" s="71"/>
      <c r="N21" s="71"/>
      <c r="O21" s="71"/>
      <c r="P21" s="71"/>
      <c r="Q21" s="71"/>
      <c r="R21" s="71"/>
      <c r="S21" s="71"/>
      <c r="T21" s="71"/>
      <c r="U21" s="4325">
        <f>SUM('Debt from Forecast17'!N43:N44)</f>
        <v>-115409.6849483085</v>
      </c>
      <c r="V21" s="4325">
        <f>SUM('Debt from Forecast17'!O43:O44)</f>
        <v>-1005365.9328348094</v>
      </c>
      <c r="W21" s="4325">
        <f>SUM('Debt from Forecast17'!P43:P44)</f>
        <v>-1795814.9056030926</v>
      </c>
      <c r="X21" s="4325">
        <f>SUM('Debt from Forecast17'!Q43:Q44)</f>
        <v>-2656854.2877329914</v>
      </c>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row>
    <row r="22" spans="1:179" ht="3" customHeight="1">
      <c r="A22" s="411"/>
      <c r="B22" s="26"/>
      <c r="C22" s="26"/>
      <c r="D22" s="26"/>
      <c r="E22" s="279"/>
      <c r="F22" s="279"/>
      <c r="G22" s="279"/>
      <c r="H22" s="279"/>
      <c r="I22" s="279"/>
      <c r="J22" s="279"/>
      <c r="K22" s="279"/>
      <c r="L22" s="279"/>
      <c r="M22" s="279"/>
      <c r="N22" s="279"/>
      <c r="O22" s="279"/>
      <c r="P22" s="279"/>
      <c r="Q22" s="279"/>
      <c r="R22" s="279"/>
      <c r="S22" s="279"/>
      <c r="T22" s="279"/>
      <c r="U22" s="279"/>
      <c r="V22" s="279"/>
      <c r="W22" s="279"/>
      <c r="X22" s="279"/>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row>
    <row r="23" spans="1:179">
      <c r="A23" s="411"/>
      <c r="B23" s="26"/>
      <c r="C23" s="289">
        <f>+MAX(C18:C22)+1</f>
        <v>7</v>
      </c>
      <c r="D23" s="28" t="s">
        <v>179</v>
      </c>
      <c r="E23" s="300">
        <f t="shared" ref="E23:L23" si="2">SUM(E20:E22)</f>
        <v>0</v>
      </c>
      <c r="F23" s="300">
        <f t="shared" si="2"/>
        <v>0</v>
      </c>
      <c r="G23" s="300">
        <f t="shared" si="2"/>
        <v>0</v>
      </c>
      <c r="H23" s="300">
        <f t="shared" si="2"/>
        <v>0</v>
      </c>
      <c r="I23" s="300">
        <f t="shared" si="2"/>
        <v>0</v>
      </c>
      <c r="J23" s="300">
        <f t="shared" si="2"/>
        <v>0</v>
      </c>
      <c r="K23" s="300">
        <f t="shared" si="2"/>
        <v>0</v>
      </c>
      <c r="L23" s="300">
        <f t="shared" si="2"/>
        <v>0</v>
      </c>
      <c r="M23" s="300">
        <f>SUM(M20:M22)</f>
        <v>0</v>
      </c>
      <c r="N23" s="300">
        <f>SUM(N20:N22)</f>
        <v>0</v>
      </c>
      <c r="O23" s="300">
        <f t="shared" ref="O23:X23" si="3">SUM(O20:O22)</f>
        <v>0</v>
      </c>
      <c r="P23" s="300">
        <f t="shared" si="3"/>
        <v>0</v>
      </c>
      <c r="Q23" s="300">
        <f t="shared" si="3"/>
        <v>0</v>
      </c>
      <c r="R23" s="300">
        <f t="shared" si="3"/>
        <v>0</v>
      </c>
      <c r="S23" s="300">
        <f t="shared" si="3"/>
        <v>0</v>
      </c>
      <c r="T23" s="300">
        <f t="shared" si="3"/>
        <v>0</v>
      </c>
      <c r="U23" s="300">
        <f t="shared" si="3"/>
        <v>-115409.6849483085</v>
      </c>
      <c r="V23" s="300">
        <f t="shared" si="3"/>
        <v>-1005365.9328348094</v>
      </c>
      <c r="W23" s="300">
        <f t="shared" si="3"/>
        <v>-1795814.9056030926</v>
      </c>
      <c r="X23" s="300">
        <f t="shared" si="3"/>
        <v>-2656854.2877329914</v>
      </c>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row>
    <row r="24" spans="1:179">
      <c r="A24" s="411"/>
      <c r="B24" s="26"/>
      <c r="C24" s="26"/>
      <c r="D24" s="26"/>
      <c r="E24" s="301"/>
      <c r="F24" s="26"/>
      <c r="G24" s="26"/>
      <c r="H24" s="26"/>
      <c r="I24" s="26"/>
      <c r="J24" s="26"/>
      <c r="K24" s="26"/>
      <c r="L24" s="26"/>
      <c r="M24" s="26"/>
      <c r="N24" s="26"/>
      <c r="O24" s="26"/>
      <c r="P24" s="26"/>
      <c r="Q24" s="26"/>
      <c r="R24" s="26"/>
      <c r="S24" s="26"/>
      <c r="T24" s="26"/>
      <c r="U24" s="26"/>
      <c r="V24" s="26"/>
      <c r="W24" s="26"/>
      <c r="X24" s="26"/>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row>
    <row r="25" spans="1:179">
      <c r="A25" s="411"/>
      <c r="B25" s="28"/>
      <c r="C25" s="28"/>
      <c r="D25" s="28" t="s">
        <v>379</v>
      </c>
      <c r="E25" s="292"/>
      <c r="F25" s="292"/>
      <c r="G25" s="292"/>
      <c r="H25" s="292"/>
      <c r="I25" s="292"/>
      <c r="J25" s="292"/>
      <c r="K25" s="292"/>
      <c r="L25" s="292"/>
      <c r="M25" s="292"/>
      <c r="N25" s="292"/>
      <c r="O25" s="292"/>
      <c r="P25" s="292"/>
      <c r="Q25" s="292"/>
      <c r="R25" s="292"/>
      <c r="S25" s="292"/>
      <c r="T25" s="292"/>
      <c r="U25" s="292"/>
      <c r="V25" s="292"/>
      <c r="W25" s="292"/>
      <c r="X25" s="292"/>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row>
    <row r="26" spans="1:179">
      <c r="A26" s="411"/>
      <c r="B26" s="28"/>
      <c r="C26" s="289">
        <f>+MAX(C25:C25)+1</f>
        <v>1</v>
      </c>
      <c r="D26" s="294" t="s">
        <v>724</v>
      </c>
      <c r="E26" s="302">
        <f>E13+E20</f>
        <v>0</v>
      </c>
      <c r="F26" s="302">
        <f t="shared" ref="F26:X26" si="4">F13+F20</f>
        <v>9895000</v>
      </c>
      <c r="G26" s="302">
        <f t="shared" si="4"/>
        <v>10375000</v>
      </c>
      <c r="H26" s="302">
        <f t="shared" si="4"/>
        <v>11430000</v>
      </c>
      <c r="I26" s="302">
        <f t="shared" si="4"/>
        <v>11995000</v>
      </c>
      <c r="J26" s="302">
        <f t="shared" si="4"/>
        <v>12620000</v>
      </c>
      <c r="K26" s="302">
        <f t="shared" si="4"/>
        <v>11255000</v>
      </c>
      <c r="L26" s="302">
        <f t="shared" si="4"/>
        <v>5595000</v>
      </c>
      <c r="M26" s="302">
        <f>M13+M20</f>
        <v>950000</v>
      </c>
      <c r="N26" s="302">
        <f t="shared" si="4"/>
        <v>0</v>
      </c>
      <c r="O26" s="302">
        <f t="shared" si="4"/>
        <v>0</v>
      </c>
      <c r="P26" s="302">
        <f>P13+P20</f>
        <v>0</v>
      </c>
      <c r="Q26" s="302">
        <f t="shared" si="4"/>
        <v>14415000</v>
      </c>
      <c r="R26" s="302">
        <f t="shared" si="4"/>
        <v>15130000</v>
      </c>
      <c r="S26" s="302">
        <f t="shared" si="4"/>
        <v>15870000</v>
      </c>
      <c r="T26" s="302">
        <f t="shared" si="4"/>
        <v>16645000</v>
      </c>
      <c r="U26" s="302">
        <f t="shared" si="4"/>
        <v>15110000</v>
      </c>
      <c r="V26" s="302">
        <f t="shared" si="4"/>
        <v>2405000</v>
      </c>
      <c r="W26" s="302">
        <f t="shared" si="4"/>
        <v>2525000</v>
      </c>
      <c r="X26" s="302">
        <f t="shared" si="4"/>
        <v>2650000</v>
      </c>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row>
    <row r="27" spans="1:179">
      <c r="A27" s="411"/>
      <c r="B27" s="28"/>
      <c r="C27" s="289">
        <f>+MAX(C25:C26)+1</f>
        <v>2</v>
      </c>
      <c r="D27" s="294" t="s">
        <v>725</v>
      </c>
      <c r="E27" s="290">
        <f>E15+E21+E14</f>
        <v>0</v>
      </c>
      <c r="F27" s="290">
        <f t="shared" ref="F27:X27" si="5">F15+F21+F14</f>
        <v>8042153</v>
      </c>
      <c r="G27" s="290">
        <f t="shared" si="5"/>
        <v>7546895</v>
      </c>
      <c r="H27" s="290">
        <f t="shared" si="5"/>
        <v>6749437.5</v>
      </c>
      <c r="I27" s="290">
        <f t="shared" si="5"/>
        <v>6182718.7599999998</v>
      </c>
      <c r="J27" s="290">
        <f t="shared" si="5"/>
        <v>5559231.2599999998</v>
      </c>
      <c r="K27" s="290">
        <f t="shared" si="5"/>
        <v>6752381.2599999998</v>
      </c>
      <c r="L27" s="290">
        <f t="shared" si="5"/>
        <v>6557044.4499999806</v>
      </c>
      <c r="M27" s="290">
        <f t="shared" si="5"/>
        <v>7341478.4299999997</v>
      </c>
      <c r="N27" s="290">
        <f t="shared" si="5"/>
        <v>7143831.2599999802</v>
      </c>
      <c r="O27" s="290">
        <f t="shared" si="5"/>
        <v>7143831.2599999802</v>
      </c>
      <c r="P27" s="290">
        <f>P15+P21+P14</f>
        <v>7143831.2599999802</v>
      </c>
      <c r="Q27" s="290">
        <f t="shared" si="5"/>
        <v>6785956.2599999802</v>
      </c>
      <c r="R27" s="290">
        <f t="shared" si="5"/>
        <v>6056331.2599999802</v>
      </c>
      <c r="S27" s="290">
        <f t="shared" si="5"/>
        <v>5297956.2599999802</v>
      </c>
      <c r="T27" s="290">
        <f t="shared" si="5"/>
        <v>4506931.2599999905</v>
      </c>
      <c r="U27" s="290">
        <f t="shared" si="5"/>
        <v>3626480.9450516915</v>
      </c>
      <c r="V27" s="290">
        <f t="shared" si="5"/>
        <v>2315759.0671651904</v>
      </c>
      <c r="W27" s="290">
        <f t="shared" si="5"/>
        <v>1402060.0943969074</v>
      </c>
      <c r="X27" s="290">
        <f t="shared" si="5"/>
        <v>411645.71226700861</v>
      </c>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row>
    <row r="28" spans="1:179" ht="3" customHeight="1">
      <c r="A28" s="411"/>
      <c r="B28" s="28"/>
      <c r="C28" s="28"/>
      <c r="D28" s="26"/>
      <c r="E28" s="291"/>
      <c r="F28" s="291"/>
      <c r="G28" s="291"/>
      <c r="H28" s="291"/>
      <c r="I28" s="291"/>
      <c r="J28" s="291"/>
      <c r="K28" s="291"/>
      <c r="L28" s="291"/>
      <c r="M28" s="291"/>
      <c r="N28" s="291"/>
      <c r="O28" s="291"/>
      <c r="P28" s="291"/>
      <c r="Q28" s="291"/>
      <c r="R28" s="291"/>
      <c r="S28" s="291"/>
      <c r="T28" s="291"/>
      <c r="U28" s="291"/>
      <c r="V28" s="291"/>
      <c r="W28" s="291"/>
      <c r="X28" s="291"/>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row>
    <row r="29" spans="1:179">
      <c r="A29" s="411"/>
      <c r="B29" s="28"/>
      <c r="C29" s="289">
        <f>+MAX(C25:C28)+1</f>
        <v>3</v>
      </c>
      <c r="D29" s="28" t="s">
        <v>379</v>
      </c>
      <c r="E29" s="292">
        <f>SUM(E26:E28)</f>
        <v>0</v>
      </c>
      <c r="F29" s="292">
        <f t="shared" ref="F29:X29" si="6">SUM(F26:F28)</f>
        <v>17937153</v>
      </c>
      <c r="G29" s="292">
        <f t="shared" si="6"/>
        <v>17921895</v>
      </c>
      <c r="H29" s="292">
        <f t="shared" si="6"/>
        <v>18179437.5</v>
      </c>
      <c r="I29" s="292">
        <f t="shared" si="6"/>
        <v>18177718.759999998</v>
      </c>
      <c r="J29" s="292">
        <f t="shared" si="6"/>
        <v>18179231.259999998</v>
      </c>
      <c r="K29" s="292">
        <f t="shared" si="6"/>
        <v>18007381.259999998</v>
      </c>
      <c r="L29" s="292">
        <f t="shared" si="6"/>
        <v>12152044.449999981</v>
      </c>
      <c r="M29" s="292">
        <f t="shared" si="6"/>
        <v>8291478.4299999997</v>
      </c>
      <c r="N29" s="292">
        <f t="shared" si="6"/>
        <v>7143831.2599999802</v>
      </c>
      <c r="O29" s="292">
        <f t="shared" si="6"/>
        <v>7143831.2599999802</v>
      </c>
      <c r="P29" s="292">
        <f t="shared" si="6"/>
        <v>7143831.2599999802</v>
      </c>
      <c r="Q29" s="292">
        <f t="shared" si="6"/>
        <v>21200956.259999979</v>
      </c>
      <c r="R29" s="292">
        <f t="shared" si="6"/>
        <v>21186331.259999979</v>
      </c>
      <c r="S29" s="292">
        <f t="shared" si="6"/>
        <v>21167956.259999979</v>
      </c>
      <c r="T29" s="292">
        <f t="shared" si="6"/>
        <v>21151931.25999999</v>
      </c>
      <c r="U29" s="292">
        <f t="shared" si="6"/>
        <v>18736480.945051692</v>
      </c>
      <c r="V29" s="292">
        <f t="shared" si="6"/>
        <v>4720759.0671651904</v>
      </c>
      <c r="W29" s="292">
        <f t="shared" si="6"/>
        <v>3927060.0943969074</v>
      </c>
      <c r="X29" s="292">
        <f t="shared" si="6"/>
        <v>3061645.7122670086</v>
      </c>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row>
    <row r="30" spans="1:179">
      <c r="A30" s="411"/>
      <c r="B30" s="28"/>
      <c r="C30" s="28"/>
      <c r="D30" s="28"/>
      <c r="E30" s="292"/>
      <c r="F30" s="292"/>
      <c r="G30" s="292"/>
      <c r="H30" s="292"/>
      <c r="I30" s="292"/>
      <c r="J30" s="292"/>
      <c r="K30" s="292"/>
      <c r="L30" s="292"/>
      <c r="M30" s="292"/>
      <c r="N30" s="292"/>
      <c r="O30" s="292"/>
      <c r="P30" s="292"/>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row>
    <row r="31" spans="1:179">
      <c r="A31" s="411"/>
      <c r="B31" s="28"/>
      <c r="C31" s="28"/>
      <c r="D31" s="28" t="s">
        <v>618</v>
      </c>
      <c r="E31" s="292">
        <f>MAX(E17:$X17)</f>
        <v>21200956.259999983</v>
      </c>
      <c r="F31" s="292">
        <f>MAX(F17:$X17)</f>
        <v>21200956.259999983</v>
      </c>
      <c r="G31" s="292">
        <f>MAX(G17:$X17)</f>
        <v>21200956.259999983</v>
      </c>
      <c r="H31" s="292">
        <f>MAX(H17:$X17)</f>
        <v>21200956.259999983</v>
      </c>
      <c r="I31" s="292">
        <f>MAX(I17:$X17)</f>
        <v>21200956.259999983</v>
      </c>
      <c r="J31" s="292">
        <f>MAX(J17:$X17)</f>
        <v>21200956.259999983</v>
      </c>
      <c r="K31" s="292">
        <f>MAX(K17:$X17)</f>
        <v>21200956.259999983</v>
      </c>
      <c r="L31" s="292">
        <f>MAX(L17:$X17)</f>
        <v>21200956.259999983</v>
      </c>
      <c r="M31" s="292">
        <f>MAX(M17:$X17)</f>
        <v>21200956.259999983</v>
      </c>
      <c r="N31" s="292">
        <f>MAX(N17:$X17)</f>
        <v>21200956.259999983</v>
      </c>
      <c r="O31" s="292">
        <f>MAX(O17:$X17)</f>
        <v>21200956.259999983</v>
      </c>
      <c r="P31" s="292">
        <f>MAX(P17:$X17)</f>
        <v>21200956.259999983</v>
      </c>
      <c r="Q31" s="292">
        <f>MAX(Q17:$X17)</f>
        <v>21200956.259999983</v>
      </c>
      <c r="R31" s="292">
        <f>MAX(R17:$X17)</f>
        <v>21186331.259999983</v>
      </c>
      <c r="S31" s="292">
        <f>MAX(S17:$X17)</f>
        <v>21167956.259999983</v>
      </c>
      <c r="T31" s="292">
        <f>MAX(T17:$X17)</f>
        <v>21151931.25999999</v>
      </c>
      <c r="U31" s="292">
        <f>MAX(U17:$X17)</f>
        <v>18851890.629999999</v>
      </c>
      <c r="V31" s="292">
        <f>MAX(V17:$X17)</f>
        <v>5726125</v>
      </c>
      <c r="W31" s="292">
        <f>MAX(W17:$X17)</f>
        <v>5722875</v>
      </c>
      <c r="X31" s="292">
        <f>MAX(X17:$X17)</f>
        <v>5718500</v>
      </c>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row>
    <row r="32" spans="1:179">
      <c r="A32" s="411"/>
      <c r="B32" s="28"/>
      <c r="C32" s="28"/>
      <c r="D32" s="28" t="s">
        <v>619</v>
      </c>
      <c r="E32" s="292">
        <f>MAX(E29:$X$29)</f>
        <v>21200956.259999979</v>
      </c>
      <c r="F32" s="292">
        <f>MAX(F29:$X$29)</f>
        <v>21200956.259999979</v>
      </c>
      <c r="G32" s="292">
        <f>MAX(G29:$X$29)</f>
        <v>21200956.259999979</v>
      </c>
      <c r="H32" s="292">
        <f>MAX(H29:$X$29)</f>
        <v>21200956.259999979</v>
      </c>
      <c r="I32" s="292">
        <f>MAX(I29:$X$29)</f>
        <v>21200956.259999979</v>
      </c>
      <c r="J32" s="292">
        <f>MAX(J29:$X$29)</f>
        <v>21200956.259999979</v>
      </c>
      <c r="K32" s="292">
        <f>MAX(K29:$X$29)</f>
        <v>21200956.259999979</v>
      </c>
      <c r="L32" s="292">
        <f>MAX(L29:$X$29)</f>
        <v>21200956.259999979</v>
      </c>
      <c r="M32" s="292">
        <f>MAX(M29:$X$29)</f>
        <v>21200956.259999979</v>
      </c>
      <c r="N32" s="292">
        <f>MAX(N29:$X$29)</f>
        <v>21200956.259999979</v>
      </c>
      <c r="O32" s="292">
        <f>MAX(O29:$X$29)</f>
        <v>21200956.259999979</v>
      </c>
      <c r="P32" s="292">
        <f>MAX(P29:$X$29)</f>
        <v>21200956.259999979</v>
      </c>
      <c r="Q32" s="292">
        <f>MAX(Q29:$X$29)</f>
        <v>21200956.259999979</v>
      </c>
      <c r="R32" s="292">
        <f>MAX(R29:$X$29)</f>
        <v>21186331.259999979</v>
      </c>
      <c r="S32" s="292">
        <f>MAX(S29:$X$29)</f>
        <v>21167956.259999979</v>
      </c>
      <c r="T32" s="292">
        <f>MAX(T29:$X$29)</f>
        <v>21151931.25999999</v>
      </c>
      <c r="U32" s="292">
        <f>MAX(U29:$X$29)</f>
        <v>18736480.945051692</v>
      </c>
      <c r="V32" s="292">
        <f>MAX(V29:$X$29)</f>
        <v>4720759.0671651904</v>
      </c>
      <c r="W32" s="292">
        <f>MAX(W29:$X$29)</f>
        <v>3927060.0943969074</v>
      </c>
      <c r="X32" s="292">
        <f>MAX(X29:$X$29)</f>
        <v>3061645.7122670086</v>
      </c>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row>
    <row r="33" spans="1:179">
      <c r="A33" s="411"/>
      <c r="B33" s="26"/>
      <c r="C33" s="26"/>
      <c r="D33" s="26"/>
      <c r="E33" s="301"/>
      <c r="F33" s="26"/>
      <c r="G33" s="26"/>
      <c r="H33" s="26"/>
      <c r="I33" s="26"/>
      <c r="J33" s="26"/>
      <c r="K33" s="26"/>
      <c r="L33" s="26"/>
      <c r="M33" s="26"/>
      <c r="N33" s="26"/>
      <c r="O33" s="26"/>
      <c r="P33" s="26"/>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row>
    <row r="34" spans="1:179">
      <c r="A34" s="411"/>
      <c r="B34" s="26"/>
      <c r="C34" s="26"/>
      <c r="D34" s="67" t="s">
        <v>484</v>
      </c>
      <c r="E34" s="301"/>
      <c r="F34" s="26"/>
      <c r="G34" s="26"/>
      <c r="H34" s="26"/>
      <c r="I34" s="26"/>
      <c r="J34" s="26"/>
      <c r="K34" s="26"/>
      <c r="L34" s="26"/>
      <c r="M34" s="26"/>
      <c r="N34" s="26"/>
      <c r="O34" s="26"/>
      <c r="P34" s="26"/>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row>
    <row r="35" spans="1:179" ht="9.75" customHeight="1">
      <c r="A35" s="411"/>
      <c r="B35" s="26"/>
      <c r="C35" s="26"/>
      <c r="D35" s="26"/>
      <c r="E35" s="301"/>
      <c r="F35" s="26"/>
      <c r="G35" s="26"/>
      <c r="H35" s="26"/>
      <c r="I35" s="26"/>
      <c r="J35" s="26"/>
      <c r="K35" s="26"/>
      <c r="L35" s="26"/>
      <c r="M35" s="26"/>
      <c r="N35" s="26"/>
      <c r="O35" s="26"/>
      <c r="P35" s="26"/>
      <c r="Q35" s="26"/>
      <c r="R35" s="26"/>
      <c r="S35" s="26"/>
      <c r="T35" s="26"/>
      <c r="U35" s="26"/>
      <c r="V35" s="26"/>
      <c r="W35" s="26"/>
      <c r="X35" s="26"/>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row>
    <row r="36" spans="1:179" ht="16.5" thickBot="1">
      <c r="A36" s="411"/>
      <c r="B36" s="26"/>
      <c r="C36" s="26"/>
      <c r="D36" s="1268" t="s">
        <v>2107</v>
      </c>
      <c r="E36" s="301"/>
      <c r="F36" s="26"/>
      <c r="G36" s="26"/>
      <c r="H36" s="26"/>
      <c r="I36" s="26"/>
      <c r="J36" s="26"/>
      <c r="K36" s="26"/>
      <c r="L36" s="26"/>
      <c r="M36" s="26"/>
      <c r="N36" s="26"/>
      <c r="O36" s="26"/>
      <c r="P36" s="26"/>
      <c r="Q36" s="26"/>
      <c r="R36" s="26"/>
      <c r="S36" s="26"/>
      <c r="T36" s="26"/>
      <c r="U36" s="26"/>
      <c r="V36" s="26"/>
      <c r="W36" s="26"/>
      <c r="X36" s="26"/>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row>
    <row r="37" spans="1:179">
      <c r="A37" s="411"/>
      <c r="B37" s="26"/>
      <c r="C37" s="289">
        <f>+MAX(C34:C36)+1</f>
        <v>1</v>
      </c>
      <c r="D37" s="294" t="s">
        <v>724</v>
      </c>
      <c r="E37" s="68"/>
      <c r="F37" s="69"/>
      <c r="G37" s="69"/>
      <c r="H37" s="69"/>
      <c r="I37" s="69"/>
      <c r="J37" s="69"/>
      <c r="K37" s="69"/>
      <c r="L37" s="69"/>
      <c r="M37" s="69"/>
      <c r="N37" s="69"/>
      <c r="O37" s="69"/>
      <c r="P37" s="69"/>
      <c r="Q37" s="69"/>
      <c r="R37" s="69"/>
      <c r="S37" s="69"/>
      <c r="T37" s="69"/>
      <c r="U37" s="69"/>
      <c r="V37" s="69"/>
      <c r="W37" s="69"/>
      <c r="X37" s="69"/>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row>
    <row r="38" spans="1:179" ht="16.5" thickBot="1">
      <c r="A38" s="411"/>
      <c r="B38" s="26"/>
      <c r="C38" s="289">
        <f>+MAX(C34:C37)+1</f>
        <v>2</v>
      </c>
      <c r="D38" s="294" t="s">
        <v>725</v>
      </c>
      <c r="E38" s="70"/>
      <c r="F38" s="71"/>
      <c r="G38" s="71"/>
      <c r="H38" s="71"/>
      <c r="I38" s="71"/>
      <c r="J38" s="71"/>
      <c r="K38" s="71"/>
      <c r="L38" s="71"/>
      <c r="M38" s="4325">
        <f>'Debt from Forecast17'!F39</f>
        <v>1262500</v>
      </c>
      <c r="N38" s="4325">
        <f>'Debt from Forecast17'!G39</f>
        <v>1262500</v>
      </c>
      <c r="O38" s="4325">
        <f>'Debt from Forecast17'!H39</f>
        <v>2525000</v>
      </c>
      <c r="P38" s="4325">
        <f>'Debt from Forecast17'!I39</f>
        <v>3787500</v>
      </c>
      <c r="Q38" s="4325">
        <f>'Debt from Forecast17'!J39</f>
        <v>3787500</v>
      </c>
      <c r="R38" s="4325">
        <f>'Debt from Forecast17'!K39</f>
        <v>3787500</v>
      </c>
      <c r="S38" s="4325">
        <f>'Debt from Forecast17'!L39</f>
        <v>3787500</v>
      </c>
      <c r="T38" s="4325">
        <f>'Debt from Forecast17'!M39</f>
        <v>3787500</v>
      </c>
      <c r="U38" s="4325">
        <f>'Debt from Forecast17'!N39</f>
        <v>3787500</v>
      </c>
      <c r="V38" s="4325">
        <f>'Debt from Forecast17'!O39</f>
        <v>3787500</v>
      </c>
      <c r="W38" s="4325">
        <f>'Debt from Forecast17'!P39</f>
        <v>3787500</v>
      </c>
      <c r="X38" s="4325">
        <f>'Debt from Forecast17'!Q39</f>
        <v>3787500</v>
      </c>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row>
    <row r="39" spans="1:179" ht="3" customHeight="1">
      <c r="A39" s="411"/>
      <c r="B39" s="26"/>
      <c r="C39" s="26"/>
      <c r="D39" s="26"/>
      <c r="E39" s="279"/>
      <c r="F39" s="279"/>
      <c r="G39" s="279"/>
      <c r="H39" s="279"/>
      <c r="I39" s="279"/>
      <c r="J39" s="279"/>
      <c r="K39" s="279"/>
      <c r="L39" s="279"/>
      <c r="M39" s="279"/>
      <c r="N39" s="279"/>
      <c r="O39" s="279"/>
      <c r="P39" s="279"/>
      <c r="Q39" s="279"/>
      <c r="R39" s="279"/>
      <c r="S39" s="279"/>
      <c r="T39" s="279"/>
      <c r="U39" s="279"/>
      <c r="V39" s="279"/>
      <c r="W39" s="279"/>
      <c r="X39" s="279"/>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row>
    <row r="40" spans="1:179">
      <c r="A40" s="411"/>
      <c r="B40" s="26"/>
      <c r="C40" s="289">
        <f>+MAX(C34:C39)+1</f>
        <v>3</v>
      </c>
      <c r="D40" s="28" t="s">
        <v>179</v>
      </c>
      <c r="E40" s="300">
        <f t="shared" ref="E40:L40" si="7">SUM(E37:E39)</f>
        <v>0</v>
      </c>
      <c r="F40" s="300">
        <f t="shared" si="7"/>
        <v>0</v>
      </c>
      <c r="G40" s="300">
        <f t="shared" si="7"/>
        <v>0</v>
      </c>
      <c r="H40" s="300">
        <f t="shared" si="7"/>
        <v>0</v>
      </c>
      <c r="I40" s="300">
        <f>SUM(I37:I39)</f>
        <v>0</v>
      </c>
      <c r="J40" s="300">
        <f t="shared" si="7"/>
        <v>0</v>
      </c>
      <c r="K40" s="300">
        <f t="shared" si="7"/>
        <v>0</v>
      </c>
      <c r="L40" s="300">
        <f t="shared" si="7"/>
        <v>0</v>
      </c>
      <c r="M40" s="300">
        <f>SUM(M37:M39)</f>
        <v>1262500</v>
      </c>
      <c r="N40" s="300">
        <f t="shared" ref="N40:X40" si="8">SUM(N37:N39)</f>
        <v>1262500</v>
      </c>
      <c r="O40" s="300">
        <f t="shared" si="8"/>
        <v>2525000</v>
      </c>
      <c r="P40" s="300">
        <f t="shared" si="8"/>
        <v>3787500</v>
      </c>
      <c r="Q40" s="300">
        <f t="shared" si="8"/>
        <v>3787500</v>
      </c>
      <c r="R40" s="300">
        <f t="shared" si="8"/>
        <v>3787500</v>
      </c>
      <c r="S40" s="300">
        <f t="shared" si="8"/>
        <v>3787500</v>
      </c>
      <c r="T40" s="300">
        <f t="shared" si="8"/>
        <v>3787500</v>
      </c>
      <c r="U40" s="300">
        <f t="shared" si="8"/>
        <v>3787500</v>
      </c>
      <c r="V40" s="300">
        <f t="shared" si="8"/>
        <v>3787500</v>
      </c>
      <c r="W40" s="300">
        <f t="shared" si="8"/>
        <v>3787500</v>
      </c>
      <c r="X40" s="300">
        <f t="shared" si="8"/>
        <v>3787500</v>
      </c>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row>
    <row r="41" spans="1:179" ht="9.75" customHeight="1">
      <c r="A41" s="411"/>
      <c r="B41" s="26"/>
      <c r="C41" s="26"/>
      <c r="D41" s="26"/>
      <c r="E41" s="301"/>
      <c r="F41" s="26"/>
      <c r="G41" s="26"/>
      <c r="H41" s="26"/>
      <c r="I41" s="26"/>
      <c r="J41" s="26"/>
      <c r="K41" s="26"/>
      <c r="L41" s="26"/>
      <c r="M41" s="26"/>
      <c r="N41" s="26"/>
      <c r="O41" s="26"/>
      <c r="P41" s="26"/>
      <c r="Q41" s="26"/>
      <c r="R41" s="26"/>
      <c r="S41" s="26"/>
      <c r="T41" s="26"/>
      <c r="U41" s="26"/>
      <c r="V41" s="26"/>
      <c r="W41" s="26"/>
      <c r="X41" s="26"/>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row>
    <row r="42" spans="1:179" ht="16.5" thickBot="1">
      <c r="A42" s="411"/>
      <c r="B42" s="26"/>
      <c r="C42" s="289"/>
      <c r="D42" s="1268" t="s">
        <v>2107</v>
      </c>
      <c r="E42" s="301"/>
      <c r="F42" s="26"/>
      <c r="G42" s="26"/>
      <c r="H42" s="26"/>
      <c r="I42" s="26"/>
      <c r="J42" s="26"/>
      <c r="K42" s="26"/>
      <c r="L42" s="26"/>
      <c r="M42" s="26"/>
      <c r="N42" s="26"/>
      <c r="O42" s="26"/>
      <c r="P42" s="26"/>
      <c r="Q42" s="26"/>
      <c r="R42" s="26"/>
      <c r="S42" s="26"/>
      <c r="T42" s="26"/>
      <c r="U42" s="26"/>
      <c r="V42" s="26"/>
      <c r="W42" s="26"/>
      <c r="X42" s="26"/>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row>
    <row r="43" spans="1:179">
      <c r="A43" s="411"/>
      <c r="B43" s="26"/>
      <c r="C43" s="289">
        <f>+MAX(C41:C42)+1</f>
        <v>1</v>
      </c>
      <c r="D43" s="294" t="s">
        <v>724</v>
      </c>
      <c r="E43" s="68"/>
      <c r="F43" s="69"/>
      <c r="G43" s="69"/>
      <c r="H43" s="69"/>
      <c r="I43" s="69"/>
      <c r="J43" s="69"/>
      <c r="K43" s="69"/>
      <c r="L43" s="69"/>
      <c r="M43" s="69"/>
      <c r="N43" s="69"/>
      <c r="O43" s="69"/>
      <c r="P43" s="69"/>
      <c r="Q43" s="69"/>
      <c r="R43" s="69"/>
      <c r="S43" s="69"/>
      <c r="T43" s="69"/>
      <c r="U43" s="69"/>
      <c r="V43" s="69"/>
      <c r="W43" s="69"/>
      <c r="X43" s="69"/>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row>
    <row r="44" spans="1:179" ht="16.5" thickBot="1">
      <c r="A44" s="411"/>
      <c r="B44" s="26"/>
      <c r="C44" s="289">
        <f>+MAX(C42:C43)+1</f>
        <v>2</v>
      </c>
      <c r="D44" s="294" t="s">
        <v>725</v>
      </c>
      <c r="E44" s="70"/>
      <c r="F44" s="71"/>
      <c r="G44" s="71"/>
      <c r="H44" s="71"/>
      <c r="I44" s="71"/>
      <c r="J44" s="71"/>
      <c r="K44" s="71"/>
      <c r="L44" s="71"/>
      <c r="M44" s="71"/>
      <c r="N44" s="71"/>
      <c r="O44" s="71"/>
      <c r="P44" s="71"/>
      <c r="Q44" s="71"/>
      <c r="R44" s="71"/>
      <c r="S44" s="71"/>
      <c r="T44" s="71"/>
      <c r="U44" s="71"/>
      <c r="V44" s="71"/>
      <c r="W44" s="71"/>
      <c r="X44" s="71"/>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row>
    <row r="45" spans="1:179" ht="3" customHeight="1">
      <c r="A45" s="411"/>
      <c r="B45" s="26"/>
      <c r="C45" s="289"/>
      <c r="D45" s="26"/>
      <c r="E45" s="279"/>
      <c r="F45" s="279"/>
      <c r="G45" s="279"/>
      <c r="H45" s="279"/>
      <c r="I45" s="279"/>
      <c r="J45" s="279"/>
      <c r="K45" s="279"/>
      <c r="L45" s="279"/>
      <c r="M45" s="279"/>
      <c r="N45" s="279"/>
      <c r="O45" s="279"/>
      <c r="P45" s="279"/>
      <c r="Q45" s="279"/>
      <c r="R45" s="279"/>
      <c r="S45" s="279"/>
      <c r="T45" s="279"/>
      <c r="U45" s="279"/>
      <c r="V45" s="279"/>
      <c r="W45" s="279"/>
      <c r="X45" s="279"/>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row>
    <row r="46" spans="1:179">
      <c r="A46" s="411"/>
      <c r="B46" s="26"/>
      <c r="C46" s="289">
        <f>+MAX(C42:C45)+1</f>
        <v>3</v>
      </c>
      <c r="D46" s="28" t="s">
        <v>179</v>
      </c>
      <c r="E46" s="300">
        <f>SUM(E43:E44)</f>
        <v>0</v>
      </c>
      <c r="F46" s="300">
        <f t="shared" ref="F46:M46" si="9">SUM(F43:F44)</f>
        <v>0</v>
      </c>
      <c r="G46" s="300">
        <f t="shared" si="9"/>
        <v>0</v>
      </c>
      <c r="H46" s="300">
        <f t="shared" si="9"/>
        <v>0</v>
      </c>
      <c r="I46" s="300">
        <f t="shared" si="9"/>
        <v>0</v>
      </c>
      <c r="J46" s="300">
        <f t="shared" si="9"/>
        <v>0</v>
      </c>
      <c r="K46" s="300">
        <f t="shared" si="9"/>
        <v>0</v>
      </c>
      <c r="L46" s="300">
        <f t="shared" si="9"/>
        <v>0</v>
      </c>
      <c r="M46" s="300">
        <f t="shared" si="9"/>
        <v>0</v>
      </c>
      <c r="N46" s="300">
        <f t="shared" ref="N46:X46" si="10">SUM(N43:N44)</f>
        <v>0</v>
      </c>
      <c r="O46" s="300">
        <f t="shared" si="10"/>
        <v>0</v>
      </c>
      <c r="P46" s="300">
        <f t="shared" si="10"/>
        <v>0</v>
      </c>
      <c r="Q46" s="300">
        <f t="shared" si="10"/>
        <v>0</v>
      </c>
      <c r="R46" s="300">
        <f t="shared" si="10"/>
        <v>0</v>
      </c>
      <c r="S46" s="300">
        <f t="shared" si="10"/>
        <v>0</v>
      </c>
      <c r="T46" s="300">
        <f t="shared" si="10"/>
        <v>0</v>
      </c>
      <c r="U46" s="300">
        <f t="shared" si="10"/>
        <v>0</v>
      </c>
      <c r="V46" s="300">
        <f t="shared" si="10"/>
        <v>0</v>
      </c>
      <c r="W46" s="300">
        <f t="shared" si="10"/>
        <v>0</v>
      </c>
      <c r="X46" s="300">
        <f t="shared" si="10"/>
        <v>0</v>
      </c>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row>
    <row r="47" spans="1:179" ht="9.75" customHeight="1">
      <c r="A47" s="411"/>
      <c r="B47" s="26"/>
      <c r="C47" s="289"/>
      <c r="D47" s="26"/>
      <c r="E47" s="301"/>
      <c r="F47" s="26"/>
      <c r="G47" s="26"/>
      <c r="H47" s="26"/>
      <c r="I47" s="26"/>
      <c r="J47" s="26"/>
      <c r="K47" s="26"/>
      <c r="L47" s="26"/>
      <c r="M47" s="26"/>
      <c r="N47" s="26"/>
      <c r="O47" s="26"/>
      <c r="P47" s="26"/>
      <c r="Q47" s="26"/>
      <c r="R47" s="26"/>
      <c r="S47" s="26"/>
      <c r="T47" s="26"/>
      <c r="U47" s="26"/>
      <c r="V47" s="26"/>
      <c r="W47" s="26"/>
      <c r="X47" s="26"/>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row>
    <row r="48" spans="1:179" ht="16.5" thickBot="1">
      <c r="A48" s="411"/>
      <c r="B48" s="26"/>
      <c r="C48" s="289"/>
      <c r="D48" s="1268" t="s">
        <v>2107</v>
      </c>
      <c r="E48" s="301"/>
      <c r="F48" s="26"/>
      <c r="G48" s="26"/>
      <c r="H48" s="26"/>
      <c r="I48" s="26"/>
      <c r="J48" s="26"/>
      <c r="K48" s="26"/>
      <c r="L48" s="26"/>
      <c r="M48" s="26"/>
      <c r="N48" s="26"/>
      <c r="O48" s="26"/>
      <c r="P48" s="26"/>
      <c r="Q48" s="26"/>
      <c r="R48" s="26"/>
      <c r="S48" s="26"/>
      <c r="T48" s="26"/>
      <c r="U48" s="26"/>
      <c r="V48" s="26"/>
      <c r="W48" s="26"/>
      <c r="X48" s="26"/>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row>
    <row r="49" spans="1:179">
      <c r="A49" s="411"/>
      <c r="B49" s="26"/>
      <c r="C49" s="289">
        <f>+MAX(C42:C48)+1</f>
        <v>4</v>
      </c>
      <c r="D49" s="294" t="s">
        <v>724</v>
      </c>
      <c r="E49" s="68"/>
      <c r="F49" s="69"/>
      <c r="G49" s="69"/>
      <c r="H49" s="69"/>
      <c r="I49" s="69"/>
      <c r="J49" s="69"/>
      <c r="K49" s="69"/>
      <c r="L49" s="69"/>
      <c r="M49" s="69"/>
      <c r="N49" s="69"/>
      <c r="O49" s="69"/>
      <c r="P49" s="69"/>
      <c r="Q49" s="69"/>
      <c r="R49" s="69"/>
      <c r="S49" s="69"/>
      <c r="T49" s="69"/>
      <c r="U49" s="69"/>
      <c r="V49" s="69"/>
      <c r="W49" s="69"/>
      <c r="X49" s="69"/>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row>
    <row r="50" spans="1:179" ht="16.5" thickBot="1">
      <c r="A50" s="411"/>
      <c r="B50" s="26"/>
      <c r="C50" s="289">
        <f>+MAX(C42:C49)+1</f>
        <v>5</v>
      </c>
      <c r="D50" s="294" t="s">
        <v>725</v>
      </c>
      <c r="E50" s="70"/>
      <c r="F50" s="71"/>
      <c r="G50" s="71"/>
      <c r="H50" s="71"/>
      <c r="I50" s="71"/>
      <c r="J50" s="71"/>
      <c r="K50" s="71"/>
      <c r="L50" s="71"/>
      <c r="M50" s="71"/>
      <c r="N50" s="71"/>
      <c r="O50" s="71"/>
      <c r="P50" s="71"/>
      <c r="Q50" s="71"/>
      <c r="R50" s="71"/>
      <c r="S50" s="71"/>
      <c r="T50" s="71"/>
      <c r="U50" s="71"/>
      <c r="V50" s="71"/>
      <c r="W50" s="71"/>
      <c r="X50" s="71"/>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row>
    <row r="51" spans="1:179" ht="3" customHeight="1">
      <c r="A51" s="411"/>
      <c r="B51" s="26"/>
      <c r="C51" s="289"/>
      <c r="D51" s="26"/>
      <c r="E51" s="279"/>
      <c r="F51" s="279"/>
      <c r="G51" s="279"/>
      <c r="H51" s="279"/>
      <c r="I51" s="279"/>
      <c r="J51" s="279"/>
      <c r="K51" s="279"/>
      <c r="L51" s="279"/>
      <c r="M51" s="279"/>
      <c r="N51" s="279"/>
      <c r="O51" s="279"/>
      <c r="P51" s="279"/>
      <c r="Q51" s="279"/>
      <c r="R51" s="279"/>
      <c r="S51" s="279"/>
      <c r="T51" s="279"/>
      <c r="U51" s="279"/>
      <c r="V51" s="279"/>
      <c r="W51" s="279"/>
      <c r="X51" s="279"/>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row>
    <row r="52" spans="1:179">
      <c r="A52" s="411"/>
      <c r="B52" s="26"/>
      <c r="C52" s="289">
        <f>+MAX(C42:C51)+1</f>
        <v>6</v>
      </c>
      <c r="D52" s="28" t="s">
        <v>179</v>
      </c>
      <c r="E52" s="300">
        <f>SUM(E49:E50)</f>
        <v>0</v>
      </c>
      <c r="F52" s="300">
        <f t="shared" ref="F52:M52" si="11">SUM(F49:F50)</f>
        <v>0</v>
      </c>
      <c r="G52" s="300">
        <f t="shared" si="11"/>
        <v>0</v>
      </c>
      <c r="H52" s="300">
        <f t="shared" si="11"/>
        <v>0</v>
      </c>
      <c r="I52" s="300">
        <f t="shared" si="11"/>
        <v>0</v>
      </c>
      <c r="J52" s="300">
        <f t="shared" si="11"/>
        <v>0</v>
      </c>
      <c r="K52" s="300">
        <f t="shared" si="11"/>
        <v>0</v>
      </c>
      <c r="L52" s="300">
        <f t="shared" si="11"/>
        <v>0</v>
      </c>
      <c r="M52" s="300">
        <f t="shared" si="11"/>
        <v>0</v>
      </c>
      <c r="N52" s="300">
        <f t="shared" ref="N52:X52" si="12">SUM(N49:N50)</f>
        <v>0</v>
      </c>
      <c r="O52" s="300">
        <f t="shared" si="12"/>
        <v>0</v>
      </c>
      <c r="P52" s="300">
        <f t="shared" si="12"/>
        <v>0</v>
      </c>
      <c r="Q52" s="300">
        <f t="shared" si="12"/>
        <v>0</v>
      </c>
      <c r="R52" s="300">
        <f t="shared" si="12"/>
        <v>0</v>
      </c>
      <c r="S52" s="300">
        <f t="shared" si="12"/>
        <v>0</v>
      </c>
      <c r="T52" s="300">
        <f t="shared" si="12"/>
        <v>0</v>
      </c>
      <c r="U52" s="300">
        <f t="shared" si="12"/>
        <v>0</v>
      </c>
      <c r="V52" s="300">
        <f t="shared" si="12"/>
        <v>0</v>
      </c>
      <c r="W52" s="300">
        <f t="shared" si="12"/>
        <v>0</v>
      </c>
      <c r="X52" s="300">
        <f t="shared" si="12"/>
        <v>0</v>
      </c>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row>
    <row r="53" spans="1:179" ht="9.75" customHeight="1">
      <c r="A53" s="411"/>
      <c r="B53" s="26"/>
      <c r="C53" s="289"/>
      <c r="D53" s="26"/>
      <c r="E53" s="301"/>
      <c r="F53" s="26"/>
      <c r="G53" s="26"/>
      <c r="H53" s="26"/>
      <c r="I53" s="26"/>
      <c r="J53" s="26"/>
      <c r="K53" s="26"/>
      <c r="L53" s="26"/>
      <c r="M53" s="26"/>
      <c r="N53" s="26"/>
      <c r="O53" s="26"/>
      <c r="P53" s="26"/>
      <c r="Q53" s="26"/>
      <c r="R53" s="26"/>
      <c r="S53" s="26"/>
      <c r="T53" s="26"/>
      <c r="U53" s="26"/>
      <c r="V53" s="26"/>
      <c r="W53" s="26"/>
      <c r="X53" s="26"/>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row>
    <row r="54" spans="1:179">
      <c r="A54" s="411"/>
      <c r="B54" s="26"/>
      <c r="C54" s="26"/>
      <c r="D54" s="28" t="s">
        <v>380</v>
      </c>
      <c r="E54" s="301"/>
      <c r="F54" s="26"/>
      <c r="G54" s="26"/>
      <c r="H54" s="26"/>
      <c r="I54" s="26"/>
      <c r="J54" s="26"/>
      <c r="K54" s="26"/>
      <c r="L54" s="26"/>
      <c r="M54" s="26"/>
      <c r="N54" s="26"/>
      <c r="O54" s="26"/>
      <c r="P54" s="26"/>
      <c r="Q54" s="26"/>
      <c r="R54" s="26"/>
      <c r="S54" s="26"/>
      <c r="T54" s="26"/>
      <c r="U54" s="26"/>
      <c r="V54" s="26"/>
      <c r="W54" s="26"/>
      <c r="X54" s="26"/>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row>
    <row r="55" spans="1:179">
      <c r="A55" s="411"/>
      <c r="B55" s="26"/>
      <c r="C55" s="289">
        <f>+MAX(C41:C54)+1</f>
        <v>7</v>
      </c>
      <c r="D55" s="294" t="s">
        <v>302</v>
      </c>
      <c r="E55" s="302">
        <f t="shared" ref="E55:M55" si="13">E37+E43+E49</f>
        <v>0</v>
      </c>
      <c r="F55" s="302">
        <f t="shared" si="13"/>
        <v>0</v>
      </c>
      <c r="G55" s="302">
        <f t="shared" si="13"/>
        <v>0</v>
      </c>
      <c r="H55" s="302">
        <f t="shared" si="13"/>
        <v>0</v>
      </c>
      <c r="I55" s="302">
        <f t="shared" si="13"/>
        <v>0</v>
      </c>
      <c r="J55" s="302">
        <f t="shared" si="13"/>
        <v>0</v>
      </c>
      <c r="K55" s="302">
        <f t="shared" si="13"/>
        <v>0</v>
      </c>
      <c r="L55" s="302">
        <f t="shared" si="13"/>
        <v>0</v>
      </c>
      <c r="M55" s="302">
        <f t="shared" si="13"/>
        <v>0</v>
      </c>
      <c r="N55" s="302">
        <f t="shared" ref="N55:X55" si="14">N37+N43+N49</f>
        <v>0</v>
      </c>
      <c r="O55" s="302">
        <f t="shared" si="14"/>
        <v>0</v>
      </c>
      <c r="P55" s="302">
        <f t="shared" si="14"/>
        <v>0</v>
      </c>
      <c r="Q55" s="302">
        <f t="shared" si="14"/>
        <v>0</v>
      </c>
      <c r="R55" s="302">
        <f t="shared" si="14"/>
        <v>0</v>
      </c>
      <c r="S55" s="302">
        <f t="shared" si="14"/>
        <v>0</v>
      </c>
      <c r="T55" s="302">
        <f t="shared" si="14"/>
        <v>0</v>
      </c>
      <c r="U55" s="302">
        <f t="shared" si="14"/>
        <v>0</v>
      </c>
      <c r="V55" s="302">
        <f t="shared" si="14"/>
        <v>0</v>
      </c>
      <c r="W55" s="302">
        <f t="shared" si="14"/>
        <v>0</v>
      </c>
      <c r="X55" s="302">
        <f t="shared" si="14"/>
        <v>0</v>
      </c>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row>
    <row r="56" spans="1:179">
      <c r="A56" s="411"/>
      <c r="B56" s="26"/>
      <c r="C56" s="289">
        <f>+MAX(C41:C55)+1</f>
        <v>8</v>
      </c>
      <c r="D56" s="294" t="s">
        <v>301</v>
      </c>
      <c r="E56" s="302">
        <f t="shared" ref="E56:M56" si="15">E38+E44+E50</f>
        <v>0</v>
      </c>
      <c r="F56" s="302">
        <f t="shared" si="15"/>
        <v>0</v>
      </c>
      <c r="G56" s="302">
        <f t="shared" si="15"/>
        <v>0</v>
      </c>
      <c r="H56" s="302">
        <f t="shared" si="15"/>
        <v>0</v>
      </c>
      <c r="I56" s="302">
        <f t="shared" si="15"/>
        <v>0</v>
      </c>
      <c r="J56" s="302">
        <f t="shared" si="15"/>
        <v>0</v>
      </c>
      <c r="K56" s="302">
        <f t="shared" si="15"/>
        <v>0</v>
      </c>
      <c r="L56" s="302">
        <f t="shared" si="15"/>
        <v>0</v>
      </c>
      <c r="M56" s="302">
        <f t="shared" si="15"/>
        <v>1262500</v>
      </c>
      <c r="N56" s="302">
        <f t="shared" ref="N56:X56" si="16">N38+N44+N50</f>
        <v>1262500</v>
      </c>
      <c r="O56" s="302">
        <f t="shared" si="16"/>
        <v>2525000</v>
      </c>
      <c r="P56" s="302">
        <f t="shared" si="16"/>
        <v>3787500</v>
      </c>
      <c r="Q56" s="302">
        <f t="shared" si="16"/>
        <v>3787500</v>
      </c>
      <c r="R56" s="302">
        <f t="shared" si="16"/>
        <v>3787500</v>
      </c>
      <c r="S56" s="302">
        <f t="shared" si="16"/>
        <v>3787500</v>
      </c>
      <c r="T56" s="302">
        <f t="shared" si="16"/>
        <v>3787500</v>
      </c>
      <c r="U56" s="302">
        <f t="shared" si="16"/>
        <v>3787500</v>
      </c>
      <c r="V56" s="302">
        <f t="shared" si="16"/>
        <v>3787500</v>
      </c>
      <c r="W56" s="302">
        <f t="shared" si="16"/>
        <v>3787500</v>
      </c>
      <c r="X56" s="302">
        <f t="shared" si="16"/>
        <v>3787500</v>
      </c>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row>
    <row r="57" spans="1:179" ht="3" customHeight="1">
      <c r="A57" s="411"/>
      <c r="B57" s="26"/>
      <c r="C57" s="26"/>
      <c r="D57" s="27"/>
      <c r="E57" s="291"/>
      <c r="F57" s="291"/>
      <c r="G57" s="291"/>
      <c r="H57" s="291"/>
      <c r="I57" s="291"/>
      <c r="J57" s="291"/>
      <c r="K57" s="291"/>
      <c r="L57" s="291"/>
      <c r="M57" s="291"/>
      <c r="N57" s="291"/>
      <c r="O57" s="291"/>
      <c r="P57" s="291"/>
      <c r="Q57" s="291"/>
      <c r="R57" s="291"/>
      <c r="S57" s="291"/>
      <c r="T57" s="291"/>
      <c r="U57" s="291"/>
      <c r="V57" s="291"/>
      <c r="W57" s="291"/>
      <c r="X57" s="291"/>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row>
    <row r="58" spans="1:179">
      <c r="A58" s="411"/>
      <c r="B58" s="28"/>
      <c r="C58" s="289">
        <f>+MAX(C42:C57)+1</f>
        <v>9</v>
      </c>
      <c r="D58" s="28" t="s">
        <v>679</v>
      </c>
      <c r="E58" s="292">
        <f t="shared" ref="E58:M58" si="17">SUM(E55:E57)</f>
        <v>0</v>
      </c>
      <c r="F58" s="292">
        <f t="shared" si="17"/>
        <v>0</v>
      </c>
      <c r="G58" s="292">
        <f t="shared" si="17"/>
        <v>0</v>
      </c>
      <c r="H58" s="292">
        <f t="shared" si="17"/>
        <v>0</v>
      </c>
      <c r="I58" s="292">
        <f t="shared" si="17"/>
        <v>0</v>
      </c>
      <c r="J58" s="292">
        <f t="shared" si="17"/>
        <v>0</v>
      </c>
      <c r="K58" s="292">
        <f t="shared" si="17"/>
        <v>0</v>
      </c>
      <c r="L58" s="292">
        <f t="shared" si="17"/>
        <v>0</v>
      </c>
      <c r="M58" s="292">
        <f t="shared" si="17"/>
        <v>1262500</v>
      </c>
      <c r="N58" s="292">
        <f t="shared" ref="N58:X58" si="18">SUM(N55:N57)</f>
        <v>1262500</v>
      </c>
      <c r="O58" s="292">
        <f t="shared" si="18"/>
        <v>2525000</v>
      </c>
      <c r="P58" s="292">
        <f t="shared" si="18"/>
        <v>3787500</v>
      </c>
      <c r="Q58" s="292">
        <f t="shared" si="18"/>
        <v>3787500</v>
      </c>
      <c r="R58" s="292">
        <f t="shared" si="18"/>
        <v>3787500</v>
      </c>
      <c r="S58" s="292">
        <f t="shared" si="18"/>
        <v>3787500</v>
      </c>
      <c r="T58" s="292">
        <f t="shared" si="18"/>
        <v>3787500</v>
      </c>
      <c r="U58" s="292">
        <f t="shared" si="18"/>
        <v>3787500</v>
      </c>
      <c r="V58" s="292">
        <f t="shared" si="18"/>
        <v>3787500</v>
      </c>
      <c r="W58" s="292">
        <f t="shared" si="18"/>
        <v>3787500</v>
      </c>
      <c r="X58" s="292">
        <f t="shared" si="18"/>
        <v>3787500</v>
      </c>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row>
    <row r="59" spans="1:179">
      <c r="A59" s="411"/>
      <c r="B59" s="28"/>
      <c r="C59" s="28"/>
      <c r="D59" s="28"/>
      <c r="E59" s="296"/>
      <c r="F59" s="296"/>
      <c r="G59" s="296"/>
      <c r="H59" s="296"/>
      <c r="I59" s="296"/>
      <c r="J59" s="296"/>
      <c r="K59" s="296"/>
      <c r="L59" s="296"/>
      <c r="M59" s="296"/>
      <c r="N59" s="296"/>
      <c r="O59" s="296"/>
      <c r="P59" s="296"/>
      <c r="Q59" s="296"/>
      <c r="R59" s="296"/>
      <c r="S59" s="296"/>
      <c r="T59" s="296"/>
      <c r="U59" s="296"/>
      <c r="V59" s="296"/>
      <c r="W59" s="296"/>
      <c r="X59" s="296"/>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row>
    <row r="60" spans="1:179">
      <c r="A60" s="411"/>
      <c r="B60" s="28"/>
      <c r="C60" s="28"/>
      <c r="D60" s="28" t="s">
        <v>617</v>
      </c>
      <c r="E60" s="296">
        <v>0</v>
      </c>
      <c r="F60" s="296">
        <v>0</v>
      </c>
      <c r="G60" s="296">
        <v>0</v>
      </c>
      <c r="H60" s="296">
        <f>MAX($H$40:$N$40)</f>
        <v>1262500</v>
      </c>
      <c r="I60" s="296">
        <f>H60</f>
        <v>1262500</v>
      </c>
      <c r="J60" s="296">
        <f>I60+MAX($H$46:$N$46)</f>
        <v>1262500</v>
      </c>
      <c r="K60" s="296">
        <f>J60</f>
        <v>1262500</v>
      </c>
      <c r="L60" s="296">
        <f>K60+MAX($L$52:$N$52)</f>
        <v>1262500</v>
      </c>
      <c r="M60" s="296"/>
      <c r="N60" s="296"/>
      <c r="O60" s="296"/>
      <c r="P60" s="296"/>
      <c r="Q60" s="296"/>
      <c r="R60" s="296"/>
      <c r="S60" s="296"/>
      <c r="T60" s="296"/>
      <c r="U60" s="296"/>
      <c r="V60" s="296"/>
      <c r="W60" s="296"/>
      <c r="X60" s="296"/>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row>
    <row r="61" spans="1:179" ht="15.75" customHeight="1">
      <c r="A61" s="411"/>
      <c r="B61" s="28"/>
      <c r="C61" s="28"/>
      <c r="D61" s="4"/>
      <c r="E61" s="296"/>
      <c r="F61" s="28"/>
      <c r="G61" s="28"/>
      <c r="H61" s="423"/>
      <c r="I61" s="423"/>
      <c r="J61" s="423"/>
      <c r="K61" s="423"/>
      <c r="L61" s="423"/>
      <c r="M61" s="423"/>
      <c r="N61" s="423"/>
      <c r="O61" s="423"/>
      <c r="P61" s="423"/>
      <c r="Q61" s="423"/>
      <c r="R61" s="423"/>
      <c r="S61" s="423"/>
      <c r="T61" s="423"/>
      <c r="U61" s="423"/>
      <c r="V61" s="423"/>
      <c r="W61" s="423"/>
      <c r="X61" s="423"/>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row>
    <row r="62" spans="1:179">
      <c r="A62" s="411"/>
      <c r="B62" s="28"/>
      <c r="C62" s="28"/>
      <c r="D62" s="293" t="s">
        <v>726</v>
      </c>
      <c r="E62" s="296"/>
      <c r="F62" s="28"/>
      <c r="G62" s="28"/>
      <c r="H62" s="28"/>
      <c r="I62" s="28"/>
      <c r="J62" s="28"/>
      <c r="K62" s="28"/>
      <c r="L62" s="28"/>
      <c r="M62" s="28"/>
      <c r="N62" s="28"/>
      <c r="O62" s="28"/>
      <c r="P62" s="28"/>
      <c r="Q62" s="28"/>
      <c r="R62" s="28"/>
      <c r="S62" s="28"/>
      <c r="T62" s="28"/>
      <c r="U62" s="28"/>
      <c r="V62" s="28"/>
      <c r="W62" s="28"/>
      <c r="X62" s="28"/>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row>
    <row r="63" spans="1:179" ht="16.5" thickBot="1">
      <c r="A63" s="411"/>
      <c r="B63" s="28"/>
      <c r="C63" s="28"/>
      <c r="D63" s="28"/>
      <c r="E63" s="296"/>
      <c r="F63" s="28"/>
      <c r="G63" s="28"/>
      <c r="H63" s="28"/>
      <c r="I63" s="28"/>
      <c r="J63" s="28"/>
      <c r="K63" s="28"/>
      <c r="L63" s="28"/>
      <c r="M63" s="28"/>
      <c r="N63" s="28"/>
      <c r="O63" s="28"/>
      <c r="P63" s="28"/>
      <c r="Q63" s="28"/>
      <c r="R63" s="28"/>
      <c r="S63" s="28"/>
      <c r="T63" s="28"/>
      <c r="U63" s="28"/>
      <c r="V63" s="28"/>
      <c r="W63" s="28"/>
      <c r="X63" s="28"/>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row>
    <row r="64" spans="1:179" ht="16.5" thickBot="1">
      <c r="A64" s="411"/>
      <c r="B64" s="28"/>
      <c r="C64" s="289">
        <f>+MAX(C61:C63)+1</f>
        <v>1</v>
      </c>
      <c r="D64" s="28" t="s">
        <v>569</v>
      </c>
      <c r="E64" s="72"/>
      <c r="F64" s="73"/>
      <c r="G64" s="73"/>
      <c r="H64" s="73"/>
      <c r="I64" s="73"/>
      <c r="J64" s="73"/>
      <c r="K64" s="73"/>
      <c r="L64" s="73"/>
      <c r="M64" s="73"/>
      <c r="N64" s="73"/>
      <c r="O64" s="73"/>
      <c r="P64" s="73"/>
      <c r="Q64" s="73"/>
      <c r="R64" s="73"/>
      <c r="S64" s="73"/>
      <c r="T64" s="73"/>
      <c r="U64" s="73"/>
      <c r="V64" s="73"/>
      <c r="W64" s="73"/>
      <c r="X64" s="73"/>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row>
    <row r="65" spans="1:179">
      <c r="A65" s="411"/>
      <c r="B65" s="28"/>
      <c r="C65" s="289">
        <f>+MAX(C61:C64)+1</f>
        <v>2</v>
      </c>
      <c r="D65" s="28" t="s">
        <v>704</v>
      </c>
      <c r="E65" s="290"/>
      <c r="F65" s="290"/>
      <c r="G65" s="290"/>
      <c r="H65" s="290">
        <f t="shared" ref="H65:M65" si="19">H67-H64</f>
        <v>0</v>
      </c>
      <c r="I65" s="290"/>
      <c r="J65" s="290">
        <f t="shared" si="19"/>
        <v>0</v>
      </c>
      <c r="K65" s="290">
        <f t="shared" si="19"/>
        <v>0</v>
      </c>
      <c r="L65" s="290">
        <f t="shared" si="19"/>
        <v>0</v>
      </c>
      <c r="M65" s="290">
        <f t="shared" si="19"/>
        <v>0</v>
      </c>
      <c r="N65" s="290">
        <f t="shared" ref="N65:W65" si="20">N67-N64</f>
        <v>0</v>
      </c>
      <c r="O65" s="290">
        <f t="shared" si="20"/>
        <v>0</v>
      </c>
      <c r="P65" s="290">
        <f t="shared" si="20"/>
        <v>0</v>
      </c>
      <c r="Q65" s="290">
        <f t="shared" si="20"/>
        <v>0</v>
      </c>
      <c r="R65" s="290">
        <f t="shared" si="20"/>
        <v>0</v>
      </c>
      <c r="S65" s="290">
        <f t="shared" si="20"/>
        <v>0</v>
      </c>
      <c r="T65" s="290">
        <f t="shared" si="20"/>
        <v>0</v>
      </c>
      <c r="U65" s="290">
        <f t="shared" si="20"/>
        <v>0</v>
      </c>
      <c r="V65" s="290">
        <f t="shared" si="20"/>
        <v>0</v>
      </c>
      <c r="W65" s="290">
        <f t="shared" si="20"/>
        <v>0</v>
      </c>
      <c r="X65" s="290">
        <f>X67-X64</f>
        <v>0</v>
      </c>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row>
    <row r="66" spans="1:179" ht="3" customHeight="1">
      <c r="A66" s="411"/>
      <c r="B66" s="28"/>
      <c r="C66" s="28"/>
      <c r="D66" s="28"/>
      <c r="E66" s="291"/>
      <c r="F66" s="291"/>
      <c r="G66" s="291"/>
      <c r="H66" s="291"/>
      <c r="I66" s="291"/>
      <c r="J66" s="291"/>
      <c r="K66" s="291"/>
      <c r="L66" s="291"/>
      <c r="M66" s="291"/>
      <c r="N66" s="291"/>
      <c r="O66" s="291"/>
      <c r="P66" s="291"/>
      <c r="Q66" s="291"/>
      <c r="R66" s="291"/>
      <c r="S66" s="291"/>
      <c r="T66" s="291"/>
      <c r="U66" s="291"/>
      <c r="V66" s="291"/>
      <c r="W66" s="291"/>
      <c r="X66" s="291"/>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row>
    <row r="67" spans="1:179">
      <c r="A67" s="411"/>
      <c r="B67" s="28"/>
      <c r="C67" s="289">
        <f>+MAX(C61:C66)+1</f>
        <v>3</v>
      </c>
      <c r="D67" s="28" t="s">
        <v>571</v>
      </c>
      <c r="E67" s="256">
        <f>ROUND(E64/(1-E$74),-3)</f>
        <v>0</v>
      </c>
      <c r="F67" s="256">
        <f>ROUND(F64/(1-F$74),-3)</f>
        <v>0</v>
      </c>
      <c r="G67" s="256">
        <f>ROUND(G64/(1-G$74),-3)</f>
        <v>0</v>
      </c>
      <c r="H67" s="256">
        <f t="shared" ref="H67:M67" si="21">ROUND(H64/(1-H$74),-4)</f>
        <v>0</v>
      </c>
      <c r="I67" s="256">
        <f t="shared" si="21"/>
        <v>0</v>
      </c>
      <c r="J67" s="256">
        <f t="shared" si="21"/>
        <v>0</v>
      </c>
      <c r="K67" s="256">
        <f t="shared" si="21"/>
        <v>0</v>
      </c>
      <c r="L67" s="256">
        <f t="shared" si="21"/>
        <v>0</v>
      </c>
      <c r="M67" s="256">
        <f t="shared" si="21"/>
        <v>0</v>
      </c>
      <c r="N67" s="256">
        <f t="shared" ref="N67:X67" si="22">ROUND(N64/(1-N$74),-4)</f>
        <v>0</v>
      </c>
      <c r="O67" s="256">
        <f t="shared" si="22"/>
        <v>0</v>
      </c>
      <c r="P67" s="256">
        <f t="shared" si="22"/>
        <v>0</v>
      </c>
      <c r="Q67" s="256">
        <f t="shared" si="22"/>
        <v>0</v>
      </c>
      <c r="R67" s="256">
        <f t="shared" si="22"/>
        <v>0</v>
      </c>
      <c r="S67" s="256">
        <f t="shared" si="22"/>
        <v>0</v>
      </c>
      <c r="T67" s="256">
        <f t="shared" si="22"/>
        <v>0</v>
      </c>
      <c r="U67" s="256">
        <f t="shared" si="22"/>
        <v>0</v>
      </c>
      <c r="V67" s="256">
        <f t="shared" si="22"/>
        <v>0</v>
      </c>
      <c r="W67" s="256">
        <f t="shared" si="22"/>
        <v>0</v>
      </c>
      <c r="X67" s="256">
        <f t="shared" si="22"/>
        <v>0</v>
      </c>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row>
    <row r="68" spans="1:179" ht="16.5" thickBot="1">
      <c r="A68" s="411"/>
      <c r="B68" s="28"/>
      <c r="C68" s="289"/>
      <c r="D68" s="303"/>
      <c r="E68" s="299"/>
      <c r="F68" s="297"/>
      <c r="G68" s="297"/>
      <c r="H68" s="297"/>
      <c r="I68" s="297"/>
      <c r="J68" s="297"/>
      <c r="K68" s="297"/>
      <c r="L68" s="297"/>
      <c r="M68" s="297"/>
      <c r="N68" s="297"/>
      <c r="O68" s="297"/>
      <c r="P68" s="297"/>
      <c r="Q68" s="297"/>
      <c r="R68" s="297"/>
      <c r="S68" s="297"/>
      <c r="T68" s="297"/>
      <c r="U68" s="297"/>
      <c r="V68" s="297"/>
      <c r="W68" s="297"/>
      <c r="X68" s="297"/>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row>
    <row r="69" spans="1:179">
      <c r="A69" s="411"/>
      <c r="B69" s="28"/>
      <c r="C69" s="289">
        <f>+MAX(C62:C68)+1</f>
        <v>4</v>
      </c>
      <c r="D69" s="28" t="s">
        <v>666</v>
      </c>
      <c r="E69" s="1000">
        <v>0.05</v>
      </c>
      <c r="F69" s="298">
        <v>5.5E-2</v>
      </c>
      <c r="G69" s="298">
        <f t="shared" ref="G69:X69" si="23">$E$69</f>
        <v>0.05</v>
      </c>
      <c r="H69" s="298">
        <f t="shared" si="23"/>
        <v>0.05</v>
      </c>
      <c r="I69" s="298">
        <f t="shared" si="23"/>
        <v>0.05</v>
      </c>
      <c r="J69" s="298">
        <f t="shared" si="23"/>
        <v>0.05</v>
      </c>
      <c r="K69" s="298">
        <f t="shared" si="23"/>
        <v>0.05</v>
      </c>
      <c r="L69" s="298">
        <f t="shared" si="23"/>
        <v>0.05</v>
      </c>
      <c r="M69" s="298">
        <f t="shared" si="23"/>
        <v>0.05</v>
      </c>
      <c r="N69" s="298">
        <f t="shared" si="23"/>
        <v>0.05</v>
      </c>
      <c r="O69" s="298">
        <f t="shared" si="23"/>
        <v>0.05</v>
      </c>
      <c r="P69" s="298">
        <f t="shared" si="23"/>
        <v>0.05</v>
      </c>
      <c r="Q69" s="298">
        <f t="shared" si="23"/>
        <v>0.05</v>
      </c>
      <c r="R69" s="298">
        <f t="shared" si="23"/>
        <v>0.05</v>
      </c>
      <c r="S69" s="298">
        <f t="shared" si="23"/>
        <v>0.05</v>
      </c>
      <c r="T69" s="298">
        <f t="shared" si="23"/>
        <v>0.05</v>
      </c>
      <c r="U69" s="298">
        <f t="shared" si="23"/>
        <v>0.05</v>
      </c>
      <c r="V69" s="298">
        <f t="shared" si="23"/>
        <v>0.05</v>
      </c>
      <c r="W69" s="298">
        <f t="shared" si="23"/>
        <v>0.05</v>
      </c>
      <c r="X69" s="298">
        <f t="shared" si="23"/>
        <v>0.05</v>
      </c>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row>
    <row r="70" spans="1:179">
      <c r="A70" s="411"/>
      <c r="B70" s="28"/>
      <c r="C70" s="289">
        <f>+MAX(C63:C69)+1</f>
        <v>5</v>
      </c>
      <c r="D70" s="303" t="s">
        <v>897</v>
      </c>
      <c r="E70" s="1001">
        <v>30</v>
      </c>
      <c r="F70" s="297">
        <f t="shared" ref="F70:X70" si="24">$E$70</f>
        <v>30</v>
      </c>
      <c r="G70" s="297">
        <f t="shared" si="24"/>
        <v>30</v>
      </c>
      <c r="H70" s="297">
        <f t="shared" si="24"/>
        <v>30</v>
      </c>
      <c r="I70" s="297">
        <f t="shared" si="24"/>
        <v>30</v>
      </c>
      <c r="J70" s="297">
        <f t="shared" si="24"/>
        <v>30</v>
      </c>
      <c r="K70" s="297">
        <f t="shared" si="24"/>
        <v>30</v>
      </c>
      <c r="L70" s="297">
        <f t="shared" si="24"/>
        <v>30</v>
      </c>
      <c r="M70" s="297">
        <f t="shared" si="24"/>
        <v>30</v>
      </c>
      <c r="N70" s="297">
        <f t="shared" si="24"/>
        <v>30</v>
      </c>
      <c r="O70" s="297">
        <f t="shared" si="24"/>
        <v>30</v>
      </c>
      <c r="P70" s="297">
        <f t="shared" si="24"/>
        <v>30</v>
      </c>
      <c r="Q70" s="297">
        <f t="shared" si="24"/>
        <v>30</v>
      </c>
      <c r="R70" s="297">
        <f t="shared" si="24"/>
        <v>30</v>
      </c>
      <c r="S70" s="297">
        <f t="shared" si="24"/>
        <v>30</v>
      </c>
      <c r="T70" s="297">
        <f t="shared" si="24"/>
        <v>30</v>
      </c>
      <c r="U70" s="297">
        <f t="shared" si="24"/>
        <v>30</v>
      </c>
      <c r="V70" s="297">
        <f t="shared" si="24"/>
        <v>30</v>
      </c>
      <c r="W70" s="297">
        <f t="shared" si="24"/>
        <v>30</v>
      </c>
      <c r="X70" s="297">
        <f t="shared" si="24"/>
        <v>30</v>
      </c>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row>
    <row r="71" spans="1:179" ht="16.5" thickBot="1">
      <c r="A71" s="411"/>
      <c r="B71" s="28"/>
      <c r="C71" s="289"/>
      <c r="D71" s="303" t="s">
        <v>705</v>
      </c>
      <c r="E71" s="1002">
        <v>30</v>
      </c>
      <c r="F71" s="297">
        <f>E71</f>
        <v>30</v>
      </c>
      <c r="G71" s="297">
        <f t="shared" ref="G71:M71" si="25">F71</f>
        <v>30</v>
      </c>
      <c r="H71" s="297">
        <f t="shared" si="25"/>
        <v>30</v>
      </c>
      <c r="I71" s="297">
        <f t="shared" si="25"/>
        <v>30</v>
      </c>
      <c r="J71" s="297">
        <f t="shared" si="25"/>
        <v>30</v>
      </c>
      <c r="K71" s="297">
        <f t="shared" si="25"/>
        <v>30</v>
      </c>
      <c r="L71" s="297">
        <f t="shared" si="25"/>
        <v>30</v>
      </c>
      <c r="M71" s="297">
        <f t="shared" si="25"/>
        <v>30</v>
      </c>
      <c r="N71" s="297">
        <f t="shared" ref="N71:X71" si="26">M71</f>
        <v>30</v>
      </c>
      <c r="O71" s="297">
        <f t="shared" si="26"/>
        <v>30</v>
      </c>
      <c r="P71" s="297">
        <f t="shared" si="26"/>
        <v>30</v>
      </c>
      <c r="Q71" s="297">
        <f t="shared" si="26"/>
        <v>30</v>
      </c>
      <c r="R71" s="297">
        <f t="shared" si="26"/>
        <v>30</v>
      </c>
      <c r="S71" s="297">
        <f t="shared" si="26"/>
        <v>30</v>
      </c>
      <c r="T71" s="297">
        <f t="shared" si="26"/>
        <v>30</v>
      </c>
      <c r="U71" s="297">
        <f t="shared" si="26"/>
        <v>30</v>
      </c>
      <c r="V71" s="297">
        <f t="shared" si="26"/>
        <v>30</v>
      </c>
      <c r="W71" s="297">
        <f t="shared" si="26"/>
        <v>30</v>
      </c>
      <c r="X71" s="297">
        <f t="shared" si="26"/>
        <v>30</v>
      </c>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row>
    <row r="72" spans="1:179" ht="12" customHeight="1">
      <c r="A72" s="411"/>
      <c r="B72" s="28"/>
      <c r="C72" s="28"/>
      <c r="D72" s="28"/>
      <c r="E72" s="296"/>
      <c r="F72" s="28"/>
      <c r="G72" s="28"/>
      <c r="H72" s="28"/>
      <c r="I72" s="28"/>
      <c r="J72" s="28"/>
      <c r="K72" s="28"/>
      <c r="L72" s="28"/>
      <c r="M72" s="28"/>
      <c r="N72" s="28"/>
      <c r="O72" s="28"/>
      <c r="P72" s="28"/>
      <c r="Q72" s="28"/>
      <c r="R72" s="28"/>
      <c r="S72" s="28"/>
      <c r="T72" s="28"/>
      <c r="U72" s="28"/>
      <c r="V72" s="28"/>
      <c r="W72" s="28"/>
      <c r="X72" s="28"/>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row>
    <row r="73" spans="1:179" ht="16.5" thickBot="1">
      <c r="A73" s="411"/>
      <c r="B73" s="28"/>
      <c r="C73" s="28"/>
      <c r="D73" s="28" t="s">
        <v>362</v>
      </c>
      <c r="E73" s="296"/>
      <c r="F73" s="28"/>
      <c r="G73" s="28"/>
      <c r="H73" s="28"/>
      <c r="I73" s="28"/>
      <c r="J73" s="28"/>
      <c r="K73" s="28"/>
      <c r="L73" s="28"/>
      <c r="M73" s="28"/>
      <c r="N73" s="28"/>
      <c r="O73" s="28"/>
      <c r="P73" s="28"/>
      <c r="Q73" s="28"/>
      <c r="R73" s="28"/>
      <c r="S73" s="28"/>
      <c r="T73" s="28"/>
      <c r="U73" s="28"/>
      <c r="V73" s="28"/>
      <c r="W73" s="28"/>
      <c r="X73" s="28"/>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row>
    <row r="74" spans="1:179">
      <c r="A74" s="411"/>
      <c r="B74" s="28"/>
      <c r="C74" s="289">
        <f>+MAX(C66:C73)+1</f>
        <v>6</v>
      </c>
      <c r="D74" s="304" t="s">
        <v>895</v>
      </c>
      <c r="E74" s="998">
        <v>1.4999999999999999E-2</v>
      </c>
      <c r="F74" s="298">
        <f t="shared" ref="F74:L74" si="27">$E$74</f>
        <v>1.4999999999999999E-2</v>
      </c>
      <c r="G74" s="298">
        <f t="shared" si="27"/>
        <v>1.4999999999999999E-2</v>
      </c>
      <c r="H74" s="298">
        <f t="shared" si="27"/>
        <v>1.4999999999999999E-2</v>
      </c>
      <c r="I74" s="298">
        <f t="shared" si="27"/>
        <v>1.4999999999999999E-2</v>
      </c>
      <c r="J74" s="298">
        <f t="shared" si="27"/>
        <v>1.4999999999999999E-2</v>
      </c>
      <c r="K74" s="298">
        <f t="shared" si="27"/>
        <v>1.4999999999999999E-2</v>
      </c>
      <c r="L74" s="298">
        <f t="shared" si="27"/>
        <v>1.4999999999999999E-2</v>
      </c>
      <c r="M74" s="298">
        <f>$E$74</f>
        <v>1.4999999999999999E-2</v>
      </c>
      <c r="N74" s="298">
        <f t="shared" ref="N74:X74" si="28">$E$74</f>
        <v>1.4999999999999999E-2</v>
      </c>
      <c r="O74" s="298">
        <f t="shared" si="28"/>
        <v>1.4999999999999999E-2</v>
      </c>
      <c r="P74" s="298">
        <f t="shared" si="28"/>
        <v>1.4999999999999999E-2</v>
      </c>
      <c r="Q74" s="298">
        <f t="shared" si="28"/>
        <v>1.4999999999999999E-2</v>
      </c>
      <c r="R74" s="298">
        <f t="shared" si="28"/>
        <v>1.4999999999999999E-2</v>
      </c>
      <c r="S74" s="298">
        <f t="shared" si="28"/>
        <v>1.4999999999999999E-2</v>
      </c>
      <c r="T74" s="298">
        <f t="shared" si="28"/>
        <v>1.4999999999999999E-2</v>
      </c>
      <c r="U74" s="298">
        <f t="shared" si="28"/>
        <v>1.4999999999999999E-2</v>
      </c>
      <c r="V74" s="298">
        <f t="shared" si="28"/>
        <v>1.4999999999999999E-2</v>
      </c>
      <c r="W74" s="298">
        <f t="shared" si="28"/>
        <v>1.4999999999999999E-2</v>
      </c>
      <c r="X74" s="298">
        <f t="shared" si="28"/>
        <v>1.4999999999999999E-2</v>
      </c>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row>
    <row r="75" spans="1:179" ht="16.5" thickBot="1">
      <c r="A75" s="411"/>
      <c r="B75" s="28"/>
      <c r="C75" s="289"/>
      <c r="D75" s="304" t="s">
        <v>896</v>
      </c>
      <c r="E75" s="999">
        <v>6</v>
      </c>
      <c r="F75" s="297">
        <f>E75</f>
        <v>6</v>
      </c>
      <c r="G75" s="297">
        <f t="shared" ref="G75:M75" si="29">F75</f>
        <v>6</v>
      </c>
      <c r="H75" s="297">
        <f t="shared" si="29"/>
        <v>6</v>
      </c>
      <c r="I75" s="297">
        <f t="shared" si="29"/>
        <v>6</v>
      </c>
      <c r="J75" s="297">
        <f t="shared" si="29"/>
        <v>6</v>
      </c>
      <c r="K75" s="297">
        <f t="shared" si="29"/>
        <v>6</v>
      </c>
      <c r="L75" s="297">
        <f t="shared" si="29"/>
        <v>6</v>
      </c>
      <c r="M75" s="297">
        <f t="shared" si="29"/>
        <v>6</v>
      </c>
      <c r="N75" s="297">
        <f t="shared" ref="N75:X75" si="30">M75</f>
        <v>6</v>
      </c>
      <c r="O75" s="297">
        <f t="shared" si="30"/>
        <v>6</v>
      </c>
      <c r="P75" s="297">
        <f t="shared" si="30"/>
        <v>6</v>
      </c>
      <c r="Q75" s="297">
        <f t="shared" si="30"/>
        <v>6</v>
      </c>
      <c r="R75" s="297">
        <f t="shared" si="30"/>
        <v>6</v>
      </c>
      <c r="S75" s="297">
        <f t="shared" si="30"/>
        <v>6</v>
      </c>
      <c r="T75" s="297">
        <f t="shared" si="30"/>
        <v>6</v>
      </c>
      <c r="U75" s="297">
        <f t="shared" si="30"/>
        <v>6</v>
      </c>
      <c r="V75" s="297">
        <f t="shared" si="30"/>
        <v>6</v>
      </c>
      <c r="W75" s="297">
        <f t="shared" si="30"/>
        <v>6</v>
      </c>
      <c r="X75" s="297">
        <f t="shared" si="30"/>
        <v>6</v>
      </c>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row>
    <row r="76" spans="1:179">
      <c r="A76" s="411"/>
      <c r="B76" s="26"/>
      <c r="C76" s="26"/>
      <c r="D76" s="26"/>
      <c r="E76" s="26"/>
      <c r="F76" s="26"/>
      <c r="G76" s="26"/>
      <c r="H76" s="26"/>
      <c r="I76" s="26"/>
      <c r="J76" s="26"/>
      <c r="K76" s="26"/>
      <c r="L76" s="26"/>
      <c r="M76" s="26"/>
      <c r="N76" s="26"/>
      <c r="O76" s="26"/>
      <c r="P76" s="26"/>
      <c r="Q76" s="26"/>
      <c r="R76" s="26"/>
      <c r="S76" s="26"/>
      <c r="T76" s="26"/>
      <c r="U76" s="26"/>
      <c r="V76" s="26"/>
      <c r="W76" s="26"/>
      <c r="X76" s="26"/>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row>
    <row r="77" spans="1:179">
      <c r="A77" s="411"/>
      <c r="B77" s="26"/>
      <c r="C77" s="26"/>
      <c r="D77" s="28" t="s">
        <v>667</v>
      </c>
      <c r="E77" s="26"/>
      <c r="F77" s="26"/>
      <c r="G77" s="26"/>
      <c r="H77" s="26"/>
      <c r="I77" s="26"/>
      <c r="J77" s="26"/>
      <c r="K77" s="26"/>
      <c r="L77" s="26"/>
      <c r="M77" s="26"/>
      <c r="N77" s="26"/>
      <c r="O77" s="26"/>
      <c r="P77" s="26"/>
      <c r="Q77" s="26"/>
      <c r="R77" s="26"/>
      <c r="S77" s="26"/>
      <c r="T77" s="26"/>
      <c r="U77" s="26"/>
      <c r="V77" s="26"/>
      <c r="W77" s="26"/>
      <c r="X77" s="26"/>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row>
    <row r="78" spans="1:179">
      <c r="A78" s="411"/>
      <c r="B78" s="26"/>
      <c r="C78" s="289">
        <f>+MAX(C70:C77)+1</f>
        <v>7</v>
      </c>
      <c r="D78" s="1269" t="s">
        <v>130</v>
      </c>
      <c r="E78" s="290"/>
      <c r="F78" s="290"/>
      <c r="G78" s="290"/>
      <c r="H78" s="290">
        <f>H$67*H$69*H75/12</f>
        <v>0</v>
      </c>
      <c r="I78" s="290">
        <f>PMT(H$69,H$70,-H$67)</f>
        <v>0</v>
      </c>
      <c r="J78" s="290">
        <f>I78</f>
        <v>0</v>
      </c>
      <c r="K78" s="290">
        <f>J78</f>
        <v>0</v>
      </c>
      <c r="L78" s="290">
        <f>K78</f>
        <v>0</v>
      </c>
      <c r="M78" s="290">
        <f>L78</f>
        <v>0</v>
      </c>
      <c r="N78" s="290">
        <f t="shared" ref="N78:X79" si="31">M78</f>
        <v>0</v>
      </c>
      <c r="O78" s="290">
        <f t="shared" si="31"/>
        <v>0</v>
      </c>
      <c r="P78" s="290">
        <f t="shared" si="31"/>
        <v>0</v>
      </c>
      <c r="Q78" s="290">
        <f t="shared" si="31"/>
        <v>0</v>
      </c>
      <c r="R78" s="290">
        <f t="shared" si="31"/>
        <v>0</v>
      </c>
      <c r="S78" s="290">
        <f t="shared" si="31"/>
        <v>0</v>
      </c>
      <c r="T78" s="290">
        <f t="shared" si="31"/>
        <v>0</v>
      </c>
      <c r="U78" s="290">
        <f t="shared" si="31"/>
        <v>0</v>
      </c>
      <c r="V78" s="290">
        <f t="shared" si="31"/>
        <v>0</v>
      </c>
      <c r="W78" s="290">
        <f t="shared" si="31"/>
        <v>0</v>
      </c>
      <c r="X78" s="290">
        <f t="shared" si="31"/>
        <v>0</v>
      </c>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row>
    <row r="79" spans="1:179">
      <c r="A79" s="411"/>
      <c r="B79" s="26"/>
      <c r="C79" s="289">
        <f>+MAX(C75:C78)+1</f>
        <v>8</v>
      </c>
      <c r="D79" s="1269" t="s">
        <v>131</v>
      </c>
      <c r="E79" s="290"/>
      <c r="F79" s="290"/>
      <c r="G79" s="290"/>
      <c r="H79" s="290"/>
      <c r="I79" s="290"/>
      <c r="J79" s="290">
        <f>J$67*J$69*J75/12</f>
        <v>0</v>
      </c>
      <c r="K79" s="290">
        <f>PMT(J$69,J$70,-J$67)</f>
        <v>0</v>
      </c>
      <c r="L79" s="290">
        <f>K79</f>
        <v>0</v>
      </c>
      <c r="M79" s="290">
        <f>L79</f>
        <v>0</v>
      </c>
      <c r="N79" s="290">
        <f t="shared" si="31"/>
        <v>0</v>
      </c>
      <c r="O79" s="290">
        <f t="shared" si="31"/>
        <v>0</v>
      </c>
      <c r="P79" s="290">
        <f t="shared" si="31"/>
        <v>0</v>
      </c>
      <c r="Q79" s="290">
        <f t="shared" si="31"/>
        <v>0</v>
      </c>
      <c r="R79" s="290">
        <f t="shared" si="31"/>
        <v>0</v>
      </c>
      <c r="S79" s="290">
        <f t="shared" si="31"/>
        <v>0</v>
      </c>
      <c r="T79" s="290">
        <f t="shared" si="31"/>
        <v>0</v>
      </c>
      <c r="U79" s="290">
        <f t="shared" si="31"/>
        <v>0</v>
      </c>
      <c r="V79" s="290">
        <f t="shared" si="31"/>
        <v>0</v>
      </c>
      <c r="W79" s="290">
        <f t="shared" si="31"/>
        <v>0</v>
      </c>
      <c r="X79" s="290">
        <f t="shared" si="31"/>
        <v>0</v>
      </c>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row>
    <row r="80" spans="1:179">
      <c r="A80" s="411"/>
      <c r="B80" s="26"/>
      <c r="C80" s="289">
        <f>+MAX(C76:C79)+1</f>
        <v>9</v>
      </c>
      <c r="D80" s="1269" t="s">
        <v>894</v>
      </c>
      <c r="E80" s="290"/>
      <c r="F80" s="290"/>
      <c r="G80" s="290"/>
      <c r="H80" s="290"/>
      <c r="I80" s="290"/>
      <c r="J80" s="290"/>
      <c r="K80" s="290"/>
      <c r="L80" s="290">
        <f>L$67*L$69*L75/12</f>
        <v>0</v>
      </c>
      <c r="M80" s="290">
        <f>PMT(L$69,L$70,-L$67)</f>
        <v>0</v>
      </c>
      <c r="N80" s="290">
        <f t="shared" ref="N80:X80" si="32">PMT(M$69,M$70,-M$67)</f>
        <v>0</v>
      </c>
      <c r="O80" s="290">
        <f t="shared" si="32"/>
        <v>0</v>
      </c>
      <c r="P80" s="290">
        <f t="shared" si="32"/>
        <v>0</v>
      </c>
      <c r="Q80" s="290">
        <f t="shared" si="32"/>
        <v>0</v>
      </c>
      <c r="R80" s="290">
        <f t="shared" si="32"/>
        <v>0</v>
      </c>
      <c r="S80" s="290">
        <f t="shared" si="32"/>
        <v>0</v>
      </c>
      <c r="T80" s="290">
        <f t="shared" si="32"/>
        <v>0</v>
      </c>
      <c r="U80" s="290">
        <f t="shared" si="32"/>
        <v>0</v>
      </c>
      <c r="V80" s="290">
        <f t="shared" si="32"/>
        <v>0</v>
      </c>
      <c r="W80" s="290">
        <f t="shared" si="32"/>
        <v>0</v>
      </c>
      <c r="X80" s="290">
        <f t="shared" si="32"/>
        <v>0</v>
      </c>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row>
    <row r="81" spans="1:179" ht="3.75" customHeight="1">
      <c r="A81" s="411"/>
      <c r="B81" s="26"/>
      <c r="C81" s="26"/>
      <c r="D81" s="26"/>
      <c r="E81" s="291"/>
      <c r="F81" s="291"/>
      <c r="G81" s="291"/>
      <c r="H81" s="291"/>
      <c r="I81" s="291"/>
      <c r="J81" s="291"/>
      <c r="K81" s="291"/>
      <c r="L81" s="291"/>
      <c r="M81" s="291"/>
      <c r="N81" s="291"/>
      <c r="O81" s="291"/>
      <c r="P81" s="291"/>
      <c r="Q81" s="291"/>
      <c r="R81" s="291"/>
      <c r="S81" s="291"/>
      <c r="T81" s="291"/>
      <c r="U81" s="291"/>
      <c r="V81" s="291"/>
      <c r="W81" s="291"/>
      <c r="X81" s="291"/>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row>
    <row r="82" spans="1:179">
      <c r="A82" s="411"/>
      <c r="B82" s="26"/>
      <c r="C82" s="289">
        <f>+MAX(C79:C81)+1</f>
        <v>10</v>
      </c>
      <c r="D82" s="28" t="s">
        <v>845</v>
      </c>
      <c r="E82" s="292">
        <f t="shared" ref="E82:M82" si="33">SUM(E78:E81)</f>
        <v>0</v>
      </c>
      <c r="F82" s="292">
        <f t="shared" si="33"/>
        <v>0</v>
      </c>
      <c r="G82" s="292">
        <f t="shared" si="33"/>
        <v>0</v>
      </c>
      <c r="H82" s="292">
        <f t="shared" si="33"/>
        <v>0</v>
      </c>
      <c r="I82" s="292">
        <f t="shared" si="33"/>
        <v>0</v>
      </c>
      <c r="J82" s="292">
        <f>SUM(J78:J81)</f>
        <v>0</v>
      </c>
      <c r="K82" s="292">
        <f t="shared" si="33"/>
        <v>0</v>
      </c>
      <c r="L82" s="292">
        <f t="shared" si="33"/>
        <v>0</v>
      </c>
      <c r="M82" s="292">
        <f t="shared" si="33"/>
        <v>0</v>
      </c>
      <c r="N82" s="292">
        <f t="shared" ref="N82:X82" si="34">SUM(N78:N81)</f>
        <v>0</v>
      </c>
      <c r="O82" s="292">
        <f t="shared" si="34"/>
        <v>0</v>
      </c>
      <c r="P82" s="292">
        <f t="shared" si="34"/>
        <v>0</v>
      </c>
      <c r="Q82" s="292">
        <f t="shared" si="34"/>
        <v>0</v>
      </c>
      <c r="R82" s="292">
        <f t="shared" si="34"/>
        <v>0</v>
      </c>
      <c r="S82" s="292">
        <f t="shared" si="34"/>
        <v>0</v>
      </c>
      <c r="T82" s="292">
        <f t="shared" si="34"/>
        <v>0</v>
      </c>
      <c r="U82" s="292">
        <f t="shared" si="34"/>
        <v>0</v>
      </c>
      <c r="V82" s="292">
        <f t="shared" si="34"/>
        <v>0</v>
      </c>
      <c r="W82" s="292">
        <f t="shared" si="34"/>
        <v>0</v>
      </c>
      <c r="X82" s="292">
        <f t="shared" si="34"/>
        <v>0</v>
      </c>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row>
    <row r="83" spans="1:179">
      <c r="A83" s="411"/>
      <c r="B83" s="26"/>
      <c r="C83" s="26"/>
      <c r="D83" s="26"/>
      <c r="E83" s="26"/>
      <c r="F83" s="26"/>
      <c r="G83" s="26"/>
      <c r="H83" s="26"/>
      <c r="I83" s="26"/>
      <c r="J83" s="26"/>
      <c r="K83" s="26"/>
      <c r="L83" s="26"/>
      <c r="M83" s="26"/>
      <c r="N83" s="26"/>
      <c r="O83" s="26"/>
      <c r="P83" s="26"/>
      <c r="Q83" s="26"/>
      <c r="R83" s="26"/>
      <c r="S83" s="26"/>
      <c r="T83" s="26"/>
      <c r="U83" s="26"/>
      <c r="V83" s="26"/>
      <c r="W83" s="26"/>
      <c r="X83" s="26"/>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row>
    <row r="84" spans="1:179">
      <c r="A84" s="411"/>
      <c r="B84" s="26"/>
      <c r="C84" s="26"/>
      <c r="D84" s="26"/>
      <c r="E84" s="26"/>
      <c r="F84" s="26"/>
      <c r="G84" s="26"/>
      <c r="H84" s="26"/>
      <c r="I84" s="26"/>
      <c r="J84" s="26"/>
      <c r="K84" s="26"/>
      <c r="L84" s="26"/>
      <c r="M84" s="26"/>
      <c r="N84" s="26"/>
      <c r="O84" s="26"/>
      <c r="P84" s="26"/>
      <c r="Q84" s="26"/>
      <c r="R84" s="26"/>
      <c r="S84" s="26"/>
      <c r="T84" s="26"/>
      <c r="U84" s="26"/>
      <c r="V84" s="26"/>
      <c r="W84" s="26"/>
      <c r="X84" s="26"/>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row>
    <row r="85" spans="1:179">
      <c r="A85" s="411"/>
      <c r="B85" s="26"/>
      <c r="C85" s="26"/>
      <c r="D85" s="26"/>
      <c r="E85" s="26"/>
      <c r="F85" s="26"/>
      <c r="G85" s="26"/>
      <c r="H85" s="26"/>
      <c r="I85" s="26"/>
      <c r="J85" s="26"/>
      <c r="K85" s="26"/>
      <c r="L85" s="26"/>
      <c r="M85" s="26"/>
      <c r="N85" s="26"/>
      <c r="O85" s="26"/>
      <c r="P85" s="26"/>
      <c r="Q85" s="26"/>
      <c r="R85" s="26"/>
      <c r="S85" s="26"/>
      <c r="T85" s="26"/>
      <c r="U85" s="26"/>
      <c r="V85" s="26"/>
      <c r="W85" s="26"/>
      <c r="X85" s="26"/>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row>
    <row r="86" spans="1:179">
      <c r="A86" s="411"/>
      <c r="B86" s="26"/>
      <c r="C86" s="26"/>
      <c r="D86" s="293" t="s">
        <v>668</v>
      </c>
      <c r="E86" s="26"/>
      <c r="F86" s="26"/>
      <c r="G86" s="26"/>
      <c r="H86" s="26"/>
      <c r="I86" s="26"/>
      <c r="J86" s="26"/>
      <c r="K86" s="26"/>
      <c r="L86" s="26"/>
      <c r="M86" s="26"/>
      <c r="N86" s="26"/>
      <c r="O86" s="26"/>
      <c r="P86" s="26"/>
      <c r="Q86" s="26"/>
      <c r="R86" s="26"/>
      <c r="S86" s="26"/>
      <c r="T86" s="26"/>
      <c r="U86" s="26"/>
      <c r="V86" s="26"/>
      <c r="W86" s="26"/>
      <c r="X86" s="26"/>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row>
    <row r="87" spans="1:179">
      <c r="A87" s="411"/>
      <c r="B87" s="26"/>
      <c r="C87" s="26"/>
      <c r="D87" s="26"/>
      <c r="E87" s="26"/>
      <c r="F87" s="26"/>
      <c r="G87" s="26"/>
      <c r="H87" s="26"/>
      <c r="I87" s="26"/>
      <c r="J87" s="26"/>
      <c r="K87" s="26"/>
      <c r="L87" s="26"/>
      <c r="M87" s="26"/>
      <c r="N87" s="26"/>
      <c r="O87" s="26"/>
      <c r="P87" s="26"/>
      <c r="Q87" s="26"/>
      <c r="R87" s="26"/>
      <c r="S87" s="26"/>
      <c r="T87" s="26"/>
      <c r="U87" s="26"/>
      <c r="V87" s="26"/>
      <c r="W87" s="26"/>
      <c r="X87" s="26"/>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row>
    <row r="88" spans="1:179">
      <c r="A88" s="411"/>
      <c r="B88" s="26"/>
      <c r="C88" s="26"/>
      <c r="D88" s="28" t="s">
        <v>669</v>
      </c>
      <c r="E88" s="26"/>
      <c r="F88" s="26"/>
      <c r="G88" s="26"/>
      <c r="H88" s="26"/>
      <c r="I88" s="26"/>
      <c r="J88" s="26"/>
      <c r="K88" s="26"/>
      <c r="L88" s="26"/>
      <c r="M88" s="26"/>
      <c r="N88" s="26"/>
      <c r="O88" s="26"/>
      <c r="P88" s="26"/>
      <c r="Q88" s="26"/>
      <c r="R88" s="26"/>
      <c r="S88" s="26"/>
      <c r="T88" s="26"/>
      <c r="U88" s="26"/>
      <c r="V88" s="26"/>
      <c r="W88" s="26"/>
      <c r="X88" s="26"/>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row>
    <row r="89" spans="1:179">
      <c r="A89" s="411"/>
      <c r="B89" s="26"/>
      <c r="C89" s="289">
        <f>+MAX(C85:C88)+1</f>
        <v>1</v>
      </c>
      <c r="D89" s="294" t="s">
        <v>724</v>
      </c>
      <c r="E89" s="295">
        <f t="shared" ref="E89:L90" si="35">E26</f>
        <v>0</v>
      </c>
      <c r="F89" s="295">
        <f t="shared" si="35"/>
        <v>9895000</v>
      </c>
      <c r="G89" s="295">
        <f t="shared" si="35"/>
        <v>10375000</v>
      </c>
      <c r="H89" s="295">
        <f>H26</f>
        <v>11430000</v>
      </c>
      <c r="I89" s="295">
        <f t="shared" si="35"/>
        <v>11995000</v>
      </c>
      <c r="J89" s="295">
        <f t="shared" si="35"/>
        <v>12620000</v>
      </c>
      <c r="K89" s="295">
        <f>K26</f>
        <v>11255000</v>
      </c>
      <c r="L89" s="295">
        <f t="shared" si="35"/>
        <v>5595000</v>
      </c>
      <c r="M89" s="295">
        <f>M26</f>
        <v>950000</v>
      </c>
      <c r="N89" s="295">
        <f t="shared" ref="N89:W89" si="36">N26</f>
        <v>0</v>
      </c>
      <c r="O89" s="295">
        <f t="shared" si="36"/>
        <v>0</v>
      </c>
      <c r="P89" s="295">
        <f t="shared" si="36"/>
        <v>0</v>
      </c>
      <c r="Q89" s="295">
        <f t="shared" si="36"/>
        <v>14415000</v>
      </c>
      <c r="R89" s="295">
        <f t="shared" si="36"/>
        <v>15130000</v>
      </c>
      <c r="S89" s="295">
        <f t="shared" si="36"/>
        <v>15870000</v>
      </c>
      <c r="T89" s="295">
        <f t="shared" si="36"/>
        <v>16645000</v>
      </c>
      <c r="U89" s="295">
        <f t="shared" si="36"/>
        <v>15110000</v>
      </c>
      <c r="V89" s="295">
        <f t="shared" si="36"/>
        <v>2405000</v>
      </c>
      <c r="W89" s="295">
        <f t="shared" si="36"/>
        <v>2525000</v>
      </c>
      <c r="X89" s="295">
        <f>X26</f>
        <v>2650000</v>
      </c>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row>
    <row r="90" spans="1:179">
      <c r="A90" s="411"/>
      <c r="B90" s="26"/>
      <c r="C90" s="289">
        <f>+MAX(C85:C89)+1</f>
        <v>2</v>
      </c>
      <c r="D90" s="294" t="s">
        <v>725</v>
      </c>
      <c r="E90" s="295">
        <f t="shared" si="35"/>
        <v>0</v>
      </c>
      <c r="F90" s="295">
        <f t="shared" si="35"/>
        <v>8042153</v>
      </c>
      <c r="G90" s="295">
        <f t="shared" si="35"/>
        <v>7546895</v>
      </c>
      <c r="H90" s="295">
        <f t="shared" si="35"/>
        <v>6749437.5</v>
      </c>
      <c r="I90" s="295">
        <f t="shared" si="35"/>
        <v>6182718.7599999998</v>
      </c>
      <c r="J90" s="295">
        <f t="shared" si="35"/>
        <v>5559231.2599999998</v>
      </c>
      <c r="K90" s="295">
        <f t="shared" si="35"/>
        <v>6752381.2599999998</v>
      </c>
      <c r="L90" s="295">
        <f t="shared" si="35"/>
        <v>6557044.4499999806</v>
      </c>
      <c r="M90" s="295">
        <f>M27</f>
        <v>7341478.4299999997</v>
      </c>
      <c r="N90" s="295">
        <f t="shared" ref="N90:W90" si="37">N27</f>
        <v>7143831.2599999802</v>
      </c>
      <c r="O90" s="295">
        <f t="shared" si="37"/>
        <v>7143831.2599999802</v>
      </c>
      <c r="P90" s="295">
        <f t="shared" si="37"/>
        <v>7143831.2599999802</v>
      </c>
      <c r="Q90" s="295">
        <f t="shared" si="37"/>
        <v>6785956.2599999802</v>
      </c>
      <c r="R90" s="295">
        <f t="shared" si="37"/>
        <v>6056331.2599999802</v>
      </c>
      <c r="S90" s="295">
        <f t="shared" si="37"/>
        <v>5297956.2599999802</v>
      </c>
      <c r="T90" s="295">
        <f t="shared" si="37"/>
        <v>4506931.2599999905</v>
      </c>
      <c r="U90" s="295">
        <f t="shared" si="37"/>
        <v>3626480.9450516915</v>
      </c>
      <c r="V90" s="295">
        <f t="shared" si="37"/>
        <v>2315759.0671651904</v>
      </c>
      <c r="W90" s="295">
        <f t="shared" si="37"/>
        <v>1402060.0943969074</v>
      </c>
      <c r="X90" s="295">
        <f>X27</f>
        <v>411645.71226700861</v>
      </c>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row>
    <row r="91" spans="1:179" ht="3" customHeight="1">
      <c r="A91" s="411"/>
      <c r="B91" s="26"/>
      <c r="C91" s="26"/>
      <c r="D91" s="26"/>
      <c r="E91" s="291"/>
      <c r="F91" s="291"/>
      <c r="G91" s="291"/>
      <c r="H91" s="291"/>
      <c r="I91" s="291"/>
      <c r="J91" s="291"/>
      <c r="K91" s="291"/>
      <c r="L91" s="291"/>
      <c r="M91" s="291"/>
      <c r="N91" s="291"/>
      <c r="O91" s="291"/>
      <c r="P91" s="291"/>
      <c r="Q91" s="291"/>
      <c r="R91" s="291"/>
      <c r="S91" s="291"/>
      <c r="T91" s="291"/>
      <c r="U91" s="291"/>
      <c r="V91" s="291"/>
      <c r="W91" s="291"/>
      <c r="X91" s="291"/>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row>
    <row r="92" spans="1:179">
      <c r="A92" s="411"/>
      <c r="B92" s="26"/>
      <c r="C92" s="289">
        <f>+MAX(C86:C91)+1</f>
        <v>3</v>
      </c>
      <c r="D92" s="28" t="s">
        <v>670</v>
      </c>
      <c r="E92" s="292">
        <f t="shared" ref="E92:L92" si="38">+SUM(E89:E91)</f>
        <v>0</v>
      </c>
      <c r="F92" s="292">
        <f t="shared" si="38"/>
        <v>17937153</v>
      </c>
      <c r="G92" s="292">
        <f t="shared" si="38"/>
        <v>17921895</v>
      </c>
      <c r="H92" s="292">
        <f t="shared" si="38"/>
        <v>18179437.5</v>
      </c>
      <c r="I92" s="292">
        <f t="shared" si="38"/>
        <v>18177718.759999998</v>
      </c>
      <c r="J92" s="292">
        <f t="shared" si="38"/>
        <v>18179231.259999998</v>
      </c>
      <c r="K92" s="292">
        <f t="shared" si="38"/>
        <v>18007381.259999998</v>
      </c>
      <c r="L92" s="292">
        <f t="shared" si="38"/>
        <v>12152044.449999981</v>
      </c>
      <c r="M92" s="292">
        <f>+SUM(M89:M91)</f>
        <v>8291478.4299999997</v>
      </c>
      <c r="N92" s="292">
        <f t="shared" ref="N92:X92" si="39">+SUM(N89:N91)</f>
        <v>7143831.2599999802</v>
      </c>
      <c r="O92" s="292">
        <f t="shared" si="39"/>
        <v>7143831.2599999802</v>
      </c>
      <c r="P92" s="292">
        <f t="shared" si="39"/>
        <v>7143831.2599999802</v>
      </c>
      <c r="Q92" s="292">
        <f t="shared" si="39"/>
        <v>21200956.259999979</v>
      </c>
      <c r="R92" s="292">
        <f t="shared" si="39"/>
        <v>21186331.259999979</v>
      </c>
      <c r="S92" s="292">
        <f t="shared" si="39"/>
        <v>21167956.259999979</v>
      </c>
      <c r="T92" s="292">
        <f t="shared" si="39"/>
        <v>21151931.25999999</v>
      </c>
      <c r="U92" s="292">
        <f t="shared" si="39"/>
        <v>18736480.945051692</v>
      </c>
      <c r="V92" s="292">
        <f t="shared" si="39"/>
        <v>4720759.0671651904</v>
      </c>
      <c r="W92" s="292">
        <f t="shared" si="39"/>
        <v>3927060.0943969074</v>
      </c>
      <c r="X92" s="292">
        <f t="shared" si="39"/>
        <v>3061645.7122670086</v>
      </c>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row>
    <row r="93" spans="1:179">
      <c r="A93" s="411"/>
      <c r="B93" s="26"/>
      <c r="C93" s="26"/>
      <c r="D93" s="26"/>
      <c r="E93" s="26"/>
      <c r="F93" s="26"/>
      <c r="G93" s="26"/>
      <c r="H93" s="26"/>
      <c r="I93" s="26"/>
      <c r="J93" s="26"/>
      <c r="K93" s="26"/>
      <c r="L93" s="26"/>
      <c r="M93" s="26"/>
      <c r="N93" s="26"/>
      <c r="O93" s="26"/>
      <c r="P93" s="26"/>
      <c r="Q93" s="26"/>
      <c r="R93" s="26"/>
      <c r="S93" s="26"/>
      <c r="T93" s="26"/>
      <c r="U93" s="26"/>
      <c r="V93" s="26"/>
      <c r="W93" s="26"/>
      <c r="X93" s="26"/>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row>
    <row r="94" spans="1:179">
      <c r="A94" s="411"/>
      <c r="B94" s="26"/>
      <c r="C94" s="26"/>
      <c r="D94" s="28" t="s">
        <v>671</v>
      </c>
      <c r="E94" s="26"/>
      <c r="F94" s="26"/>
      <c r="G94" s="26"/>
      <c r="H94" s="26"/>
      <c r="I94" s="26"/>
      <c r="J94" s="26"/>
      <c r="K94" s="26"/>
      <c r="L94" s="26"/>
      <c r="M94" s="26"/>
      <c r="N94" s="26"/>
      <c r="O94" s="26"/>
      <c r="P94" s="26"/>
      <c r="Q94" s="26"/>
      <c r="R94" s="26"/>
      <c r="S94" s="26"/>
      <c r="T94" s="26"/>
      <c r="U94" s="26"/>
      <c r="V94" s="26"/>
      <c r="W94" s="26"/>
      <c r="X94" s="26"/>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row>
    <row r="95" spans="1:179">
      <c r="A95" s="411"/>
      <c r="B95" s="26"/>
      <c r="C95" s="289">
        <f>+MAX(C89:C94)+1</f>
        <v>4</v>
      </c>
      <c r="D95" s="294" t="s">
        <v>302</v>
      </c>
      <c r="E95" s="295">
        <f t="shared" ref="E95:M95" si="40">E55</f>
        <v>0</v>
      </c>
      <c r="F95" s="295">
        <f t="shared" si="40"/>
        <v>0</v>
      </c>
      <c r="G95" s="295">
        <f t="shared" si="40"/>
        <v>0</v>
      </c>
      <c r="H95" s="295">
        <f t="shared" si="40"/>
        <v>0</v>
      </c>
      <c r="I95" s="295">
        <f t="shared" si="40"/>
        <v>0</v>
      </c>
      <c r="J95" s="295">
        <f t="shared" si="40"/>
        <v>0</v>
      </c>
      <c r="K95" s="295">
        <f t="shared" si="40"/>
        <v>0</v>
      </c>
      <c r="L95" s="295">
        <f t="shared" si="40"/>
        <v>0</v>
      </c>
      <c r="M95" s="295">
        <f t="shared" si="40"/>
        <v>0</v>
      </c>
      <c r="N95" s="295">
        <f t="shared" ref="N95:X95" si="41">N55</f>
        <v>0</v>
      </c>
      <c r="O95" s="295">
        <f t="shared" si="41"/>
        <v>0</v>
      </c>
      <c r="P95" s="295">
        <f t="shared" si="41"/>
        <v>0</v>
      </c>
      <c r="Q95" s="295">
        <f t="shared" si="41"/>
        <v>0</v>
      </c>
      <c r="R95" s="295">
        <f t="shared" si="41"/>
        <v>0</v>
      </c>
      <c r="S95" s="295">
        <f t="shared" si="41"/>
        <v>0</v>
      </c>
      <c r="T95" s="295">
        <f t="shared" si="41"/>
        <v>0</v>
      </c>
      <c r="U95" s="295">
        <f t="shared" si="41"/>
        <v>0</v>
      </c>
      <c r="V95" s="295">
        <f t="shared" si="41"/>
        <v>0</v>
      </c>
      <c r="W95" s="295">
        <f t="shared" si="41"/>
        <v>0</v>
      </c>
      <c r="X95" s="295">
        <f t="shared" si="41"/>
        <v>0</v>
      </c>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row>
    <row r="96" spans="1:179">
      <c r="A96" s="411"/>
      <c r="B96" s="26"/>
      <c r="C96" s="289">
        <f>+MAX(C91:C95)+1</f>
        <v>5</v>
      </c>
      <c r="D96" s="294" t="s">
        <v>301</v>
      </c>
      <c r="E96" s="295">
        <f t="shared" ref="E96:M96" si="42">E56</f>
        <v>0</v>
      </c>
      <c r="F96" s="295">
        <f t="shared" si="42"/>
        <v>0</v>
      </c>
      <c r="G96" s="295">
        <f t="shared" si="42"/>
        <v>0</v>
      </c>
      <c r="H96" s="295">
        <f t="shared" si="42"/>
        <v>0</v>
      </c>
      <c r="I96" s="295">
        <f>I56</f>
        <v>0</v>
      </c>
      <c r="J96" s="295">
        <f t="shared" si="42"/>
        <v>0</v>
      </c>
      <c r="K96" s="295">
        <f t="shared" si="42"/>
        <v>0</v>
      </c>
      <c r="L96" s="295">
        <f t="shared" si="42"/>
        <v>0</v>
      </c>
      <c r="M96" s="295">
        <f t="shared" si="42"/>
        <v>1262500</v>
      </c>
      <c r="N96" s="295">
        <f t="shared" ref="N96:X96" si="43">N56</f>
        <v>1262500</v>
      </c>
      <c r="O96" s="295">
        <f t="shared" si="43"/>
        <v>2525000</v>
      </c>
      <c r="P96" s="295">
        <f t="shared" si="43"/>
        <v>3787500</v>
      </c>
      <c r="Q96" s="295">
        <f t="shared" si="43"/>
        <v>3787500</v>
      </c>
      <c r="R96" s="295">
        <f t="shared" si="43"/>
        <v>3787500</v>
      </c>
      <c r="S96" s="295">
        <f t="shared" si="43"/>
        <v>3787500</v>
      </c>
      <c r="T96" s="295">
        <f t="shared" si="43"/>
        <v>3787500</v>
      </c>
      <c r="U96" s="295">
        <f t="shared" si="43"/>
        <v>3787500</v>
      </c>
      <c r="V96" s="295">
        <f t="shared" si="43"/>
        <v>3787500</v>
      </c>
      <c r="W96" s="295">
        <f t="shared" si="43"/>
        <v>3787500</v>
      </c>
      <c r="X96" s="295">
        <f t="shared" si="43"/>
        <v>3787500</v>
      </c>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row>
    <row r="97" spans="1:179" ht="3.75" customHeight="1">
      <c r="A97" s="411"/>
      <c r="B97" s="26"/>
      <c r="C97" s="289">
        <f>+MAX(C92:C96)+1</f>
        <v>6</v>
      </c>
      <c r="D97" s="26"/>
      <c r="E97" s="291"/>
      <c r="F97" s="291"/>
      <c r="G97" s="291"/>
      <c r="H97" s="291"/>
      <c r="I97" s="291"/>
      <c r="J97" s="291"/>
      <c r="K97" s="291"/>
      <c r="L97" s="291"/>
      <c r="M97" s="291"/>
      <c r="N97" s="291"/>
      <c r="O97" s="291"/>
      <c r="P97" s="291"/>
      <c r="Q97" s="291"/>
      <c r="R97" s="291"/>
      <c r="S97" s="291"/>
      <c r="T97" s="291"/>
      <c r="U97" s="291"/>
      <c r="V97" s="291"/>
      <c r="W97" s="291"/>
      <c r="X97" s="291"/>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row>
    <row r="98" spans="1:179">
      <c r="A98" s="411"/>
      <c r="B98" s="26"/>
      <c r="C98" s="289">
        <f>+MAX(C93:C97)+1</f>
        <v>7</v>
      </c>
      <c r="D98" s="28" t="s">
        <v>672</v>
      </c>
      <c r="E98" s="292">
        <f t="shared" ref="E98:M98" si="44">+SUM(E95:E97)</f>
        <v>0</v>
      </c>
      <c r="F98" s="292">
        <f t="shared" si="44"/>
        <v>0</v>
      </c>
      <c r="G98" s="292">
        <f t="shared" si="44"/>
        <v>0</v>
      </c>
      <c r="H98" s="292">
        <f t="shared" si="44"/>
        <v>0</v>
      </c>
      <c r="I98" s="292">
        <f t="shared" si="44"/>
        <v>0</v>
      </c>
      <c r="J98" s="292">
        <f t="shared" si="44"/>
        <v>0</v>
      </c>
      <c r="K98" s="292">
        <f t="shared" si="44"/>
        <v>0</v>
      </c>
      <c r="L98" s="292">
        <f t="shared" si="44"/>
        <v>0</v>
      </c>
      <c r="M98" s="292">
        <f t="shared" si="44"/>
        <v>1262500</v>
      </c>
      <c r="N98" s="292">
        <f t="shared" ref="N98:X98" si="45">+SUM(N95:N97)</f>
        <v>1262500</v>
      </c>
      <c r="O98" s="292">
        <f t="shared" si="45"/>
        <v>2525000</v>
      </c>
      <c r="P98" s="292">
        <f t="shared" si="45"/>
        <v>3787500</v>
      </c>
      <c r="Q98" s="292">
        <f t="shared" si="45"/>
        <v>3787500</v>
      </c>
      <c r="R98" s="292">
        <f t="shared" si="45"/>
        <v>3787500</v>
      </c>
      <c r="S98" s="292">
        <f t="shared" si="45"/>
        <v>3787500</v>
      </c>
      <c r="T98" s="292">
        <f t="shared" si="45"/>
        <v>3787500</v>
      </c>
      <c r="U98" s="292">
        <f t="shared" si="45"/>
        <v>3787500</v>
      </c>
      <c r="V98" s="292">
        <f t="shared" si="45"/>
        <v>3787500</v>
      </c>
      <c r="W98" s="292">
        <f t="shared" si="45"/>
        <v>3787500</v>
      </c>
      <c r="X98" s="292">
        <f t="shared" si="45"/>
        <v>3787500</v>
      </c>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row>
    <row r="99" spans="1:179">
      <c r="A99" s="411"/>
      <c r="B99" s="26"/>
      <c r="C99" s="289"/>
      <c r="D99" s="28"/>
      <c r="E99" s="292"/>
      <c r="F99" s="292"/>
      <c r="G99" s="292"/>
      <c r="H99" s="292"/>
      <c r="I99" s="292"/>
      <c r="J99" s="292"/>
      <c r="K99" s="292"/>
      <c r="L99" s="292"/>
      <c r="M99" s="292"/>
      <c r="N99" s="292"/>
      <c r="O99" s="292"/>
      <c r="P99" s="292"/>
      <c r="Q99" s="292"/>
      <c r="R99" s="292"/>
      <c r="S99" s="292"/>
      <c r="T99" s="292"/>
      <c r="U99" s="292"/>
      <c r="V99" s="292"/>
      <c r="W99" s="292"/>
      <c r="X99" s="292"/>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row>
    <row r="100" spans="1:179">
      <c r="A100" s="411"/>
      <c r="B100" s="26"/>
      <c r="C100" s="289"/>
      <c r="D100" s="28" t="s">
        <v>394</v>
      </c>
      <c r="E100" s="292"/>
      <c r="F100" s="292"/>
      <c r="G100" s="292"/>
      <c r="H100" s="292"/>
      <c r="I100" s="292"/>
      <c r="J100" s="292"/>
      <c r="K100" s="292"/>
      <c r="L100" s="292"/>
      <c r="M100" s="292"/>
      <c r="N100" s="292"/>
      <c r="O100" s="292"/>
      <c r="P100" s="292"/>
      <c r="Q100" s="292"/>
      <c r="R100" s="292"/>
      <c r="S100" s="292"/>
      <c r="T100" s="292"/>
      <c r="U100" s="292"/>
      <c r="V100" s="292"/>
      <c r="W100" s="292"/>
      <c r="X100" s="292"/>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row>
    <row r="101" spans="1:179">
      <c r="A101" s="411"/>
      <c r="B101" s="26"/>
      <c r="C101" s="289">
        <f>+MAX(C93:C100)+1</f>
        <v>8</v>
      </c>
      <c r="D101" s="294" t="s">
        <v>724</v>
      </c>
      <c r="E101" s="295">
        <f>E89+E95</f>
        <v>0</v>
      </c>
      <c r="F101" s="295">
        <f t="shared" ref="F101:M101" si="46">F89+F95</f>
        <v>9895000</v>
      </c>
      <c r="G101" s="295">
        <f t="shared" si="46"/>
        <v>10375000</v>
      </c>
      <c r="H101" s="295">
        <f t="shared" si="46"/>
        <v>11430000</v>
      </c>
      <c r="I101" s="295">
        <f t="shared" si="46"/>
        <v>11995000</v>
      </c>
      <c r="J101" s="295">
        <f t="shared" si="46"/>
        <v>12620000</v>
      </c>
      <c r="K101" s="295">
        <f t="shared" si="46"/>
        <v>11255000</v>
      </c>
      <c r="L101" s="295">
        <f t="shared" si="46"/>
        <v>5595000</v>
      </c>
      <c r="M101" s="295">
        <f t="shared" si="46"/>
        <v>950000</v>
      </c>
      <c r="N101" s="295">
        <f t="shared" ref="N101:W101" si="47">N89+N95</f>
        <v>0</v>
      </c>
      <c r="O101" s="295">
        <f t="shared" si="47"/>
        <v>0</v>
      </c>
      <c r="P101" s="295">
        <f t="shared" si="47"/>
        <v>0</v>
      </c>
      <c r="Q101" s="295">
        <f t="shared" si="47"/>
        <v>14415000</v>
      </c>
      <c r="R101" s="295">
        <f t="shared" si="47"/>
        <v>15130000</v>
      </c>
      <c r="S101" s="295">
        <f t="shared" si="47"/>
        <v>15870000</v>
      </c>
      <c r="T101" s="295">
        <f t="shared" si="47"/>
        <v>16645000</v>
      </c>
      <c r="U101" s="295">
        <f t="shared" si="47"/>
        <v>15110000</v>
      </c>
      <c r="V101" s="295">
        <f t="shared" si="47"/>
        <v>2405000</v>
      </c>
      <c r="W101" s="295">
        <f t="shared" si="47"/>
        <v>2525000</v>
      </c>
      <c r="X101" s="295">
        <f>X89+X95</f>
        <v>2650000</v>
      </c>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row>
    <row r="102" spans="1:179">
      <c r="A102" s="411"/>
      <c r="B102" s="26"/>
      <c r="C102" s="289">
        <f>+MAX(C95:C101)+1</f>
        <v>9</v>
      </c>
      <c r="D102" s="294" t="s">
        <v>725</v>
      </c>
      <c r="E102" s="290">
        <f>E90+E96</f>
        <v>0</v>
      </c>
      <c r="F102" s="290">
        <f t="shared" ref="F102:M102" si="48">F90+F96</f>
        <v>8042153</v>
      </c>
      <c r="G102" s="290">
        <f t="shared" si="48"/>
        <v>7546895</v>
      </c>
      <c r="H102" s="290">
        <f t="shared" si="48"/>
        <v>6749437.5</v>
      </c>
      <c r="I102" s="290">
        <f t="shared" si="48"/>
        <v>6182718.7599999998</v>
      </c>
      <c r="J102" s="290">
        <f t="shared" si="48"/>
        <v>5559231.2599999998</v>
      </c>
      <c r="K102" s="290">
        <f t="shared" si="48"/>
        <v>6752381.2599999998</v>
      </c>
      <c r="L102" s="290">
        <f t="shared" si="48"/>
        <v>6557044.4499999806</v>
      </c>
      <c r="M102" s="290">
        <f t="shared" si="48"/>
        <v>8603978.4299999997</v>
      </c>
      <c r="N102" s="290">
        <f t="shared" ref="N102:X102" si="49">N90+N96</f>
        <v>8406331.2599999793</v>
      </c>
      <c r="O102" s="290">
        <f t="shared" si="49"/>
        <v>9668831.2599999793</v>
      </c>
      <c r="P102" s="290">
        <f t="shared" si="49"/>
        <v>10931331.259999979</v>
      </c>
      <c r="Q102" s="290">
        <f t="shared" si="49"/>
        <v>10573456.259999979</v>
      </c>
      <c r="R102" s="290">
        <f t="shared" si="49"/>
        <v>9843831.2599999793</v>
      </c>
      <c r="S102" s="290">
        <f t="shared" si="49"/>
        <v>9085456.2599999793</v>
      </c>
      <c r="T102" s="290">
        <f t="shared" si="49"/>
        <v>8294431.2599999905</v>
      </c>
      <c r="U102" s="290">
        <f t="shared" si="49"/>
        <v>7413980.9450516915</v>
      </c>
      <c r="V102" s="290">
        <f t="shared" si="49"/>
        <v>6103259.0671651904</v>
      </c>
      <c r="W102" s="290">
        <f t="shared" si="49"/>
        <v>5189560.0943969078</v>
      </c>
      <c r="X102" s="290">
        <f t="shared" si="49"/>
        <v>4199145.7122670086</v>
      </c>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row>
    <row r="103" spans="1:179" ht="3" customHeight="1">
      <c r="A103" s="411"/>
      <c r="B103" s="26"/>
      <c r="C103" s="26"/>
      <c r="D103" s="26"/>
      <c r="E103" s="291"/>
      <c r="F103" s="291"/>
      <c r="G103" s="291"/>
      <c r="H103" s="291"/>
      <c r="I103" s="291"/>
      <c r="J103" s="291"/>
      <c r="K103" s="291"/>
      <c r="L103" s="291"/>
      <c r="M103" s="291"/>
      <c r="N103" s="291"/>
      <c r="O103" s="291"/>
      <c r="P103" s="291"/>
      <c r="Q103" s="291"/>
      <c r="R103" s="291"/>
      <c r="S103" s="291"/>
      <c r="T103" s="291"/>
      <c r="U103" s="291"/>
      <c r="V103" s="291"/>
      <c r="W103" s="291"/>
      <c r="X103" s="291"/>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row>
    <row r="104" spans="1:179">
      <c r="A104" s="411"/>
      <c r="B104" s="26"/>
      <c r="C104" s="289">
        <f>+MAX(C92:C103)+1</f>
        <v>10</v>
      </c>
      <c r="D104" s="28" t="s">
        <v>615</v>
      </c>
      <c r="E104" s="292">
        <f t="shared" ref="E104:L104" si="50">SUM(E101:E103)</f>
        <v>0</v>
      </c>
      <c r="F104" s="292">
        <f t="shared" si="50"/>
        <v>17937153</v>
      </c>
      <c r="G104" s="292">
        <f t="shared" si="50"/>
        <v>17921895</v>
      </c>
      <c r="H104" s="292">
        <f t="shared" si="50"/>
        <v>18179437.5</v>
      </c>
      <c r="I104" s="292">
        <f>SUM(I101:I103)</f>
        <v>18177718.759999998</v>
      </c>
      <c r="J104" s="292">
        <f t="shared" si="50"/>
        <v>18179231.259999998</v>
      </c>
      <c r="K104" s="292">
        <f t="shared" si="50"/>
        <v>18007381.259999998</v>
      </c>
      <c r="L104" s="292">
        <f t="shared" si="50"/>
        <v>12152044.449999981</v>
      </c>
      <c r="M104" s="292">
        <f>SUM(M101:M103)</f>
        <v>9553978.4299999997</v>
      </c>
      <c r="N104" s="292">
        <f t="shared" ref="N104:X104" si="51">SUM(N101:N103)</f>
        <v>8406331.2599999793</v>
      </c>
      <c r="O104" s="292">
        <f t="shared" si="51"/>
        <v>9668831.2599999793</v>
      </c>
      <c r="P104" s="292">
        <f t="shared" si="51"/>
        <v>10931331.259999979</v>
      </c>
      <c r="Q104" s="292">
        <f t="shared" si="51"/>
        <v>24988456.259999979</v>
      </c>
      <c r="R104" s="292">
        <f t="shared" si="51"/>
        <v>24973831.259999979</v>
      </c>
      <c r="S104" s="292">
        <f t="shared" si="51"/>
        <v>24955456.259999979</v>
      </c>
      <c r="T104" s="292">
        <f t="shared" si="51"/>
        <v>24939431.25999999</v>
      </c>
      <c r="U104" s="292">
        <f t="shared" si="51"/>
        <v>22523980.945051692</v>
      </c>
      <c r="V104" s="292">
        <f t="shared" si="51"/>
        <v>8508259.0671651904</v>
      </c>
      <c r="W104" s="292">
        <f t="shared" si="51"/>
        <v>7714560.0943969078</v>
      </c>
      <c r="X104" s="292">
        <f t="shared" si="51"/>
        <v>6849145.7122670086</v>
      </c>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row>
    <row r="105" spans="1:179">
      <c r="A105" s="411"/>
      <c r="B105" s="23"/>
      <c r="C105" s="26"/>
      <c r="D105" s="26"/>
      <c r="E105" s="26"/>
      <c r="F105" s="26"/>
      <c r="G105" s="26"/>
      <c r="H105" s="26"/>
      <c r="I105" s="26"/>
      <c r="J105" s="26"/>
      <c r="K105" s="26"/>
      <c r="L105" s="26"/>
      <c r="M105" s="26"/>
      <c r="N105" s="26"/>
      <c r="O105" s="26"/>
      <c r="P105" s="26"/>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row>
    <row r="106" spans="1:179" hidden="1">
      <c r="B106" s="23"/>
      <c r="C106" s="23"/>
      <c r="D106" s="26"/>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row>
    <row r="107" spans="1:179" ht="15.75" hidden="1" customHeight="1">
      <c r="B107" s="23"/>
      <c r="C107" s="23"/>
      <c r="D107" s="26"/>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row>
    <row r="108" spans="1:179" ht="15.75" hidden="1" customHeight="1">
      <c r="B108" s="23"/>
      <c r="C108" s="23"/>
      <c r="D108" s="26"/>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row>
    <row r="109" spans="1:179" ht="15.75" hidden="1" customHeight="1">
      <c r="B109" s="23"/>
      <c r="C109" s="23"/>
      <c r="D109" s="26"/>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row>
    <row r="110" spans="1:179" ht="15.75" hidden="1" customHeight="1">
      <c r="B110" s="23"/>
      <c r="C110" s="23"/>
      <c r="D110" s="26"/>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row>
    <row r="111" spans="1:179" ht="15.75" hidden="1" customHeight="1">
      <c r="B111" s="23"/>
      <c r="C111" s="23"/>
      <c r="D111" s="26"/>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row>
    <row r="112" spans="1:179" ht="15.75" hidden="1" customHeight="1">
      <c r="B112" s="23"/>
      <c r="C112" s="23"/>
      <c r="D112" s="26"/>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row>
    <row r="113" spans="2:179" ht="15.75" hidden="1" customHeight="1">
      <c r="B113" s="23"/>
      <c r="C113" s="23"/>
      <c r="D113" s="26"/>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row>
    <row r="114" spans="2:179" ht="15.75" hidden="1" customHeight="1">
      <c r="B114" s="23"/>
      <c r="C114" s="23"/>
      <c r="D114" s="26"/>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row>
    <row r="115" spans="2:179" ht="15.75" hidden="1" customHeight="1">
      <c r="B115" s="23"/>
      <c r="C115" s="23"/>
      <c r="D115" s="26"/>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row>
    <row r="116" spans="2:179" ht="15.75" hidden="1" customHeight="1">
      <c r="B116" s="23"/>
      <c r="C116" s="23"/>
      <c r="D116" s="26"/>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row>
    <row r="117" spans="2:179" ht="15.75" hidden="1" customHeight="1">
      <c r="B117" s="23"/>
      <c r="C117" s="23"/>
      <c r="D117" s="26"/>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row>
    <row r="118" spans="2:179" ht="15.75" hidden="1" customHeight="1">
      <c r="B118" s="23"/>
      <c r="C118" s="23"/>
      <c r="D118" s="26"/>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row>
    <row r="119" spans="2:179" ht="15.75" hidden="1" customHeight="1">
      <c r="B119" s="23"/>
      <c r="C119" s="23"/>
      <c r="D119" s="26"/>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row>
    <row r="120" spans="2:179" ht="15.75" hidden="1" customHeight="1">
      <c r="B120" s="23"/>
      <c r="C120" s="23"/>
      <c r="D120" s="26"/>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row>
    <row r="121" spans="2:179" ht="15.75" hidden="1" customHeight="1">
      <c r="B121" s="23"/>
      <c r="C121" s="23"/>
      <c r="D121" s="26"/>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row>
    <row r="122" spans="2:179" ht="15.75" hidden="1" customHeight="1">
      <c r="B122" s="23"/>
      <c r="C122" s="23"/>
      <c r="D122" s="26"/>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row>
    <row r="123" spans="2:179" ht="15.75" hidden="1" customHeight="1">
      <c r="B123" s="23"/>
      <c r="C123" s="23"/>
      <c r="D123" s="26"/>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row>
    <row r="124" spans="2:179" ht="15.75" hidden="1" customHeight="1">
      <c r="B124" s="23"/>
      <c r="C124" s="23"/>
      <c r="D124" s="26"/>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row>
    <row r="125" spans="2:179" ht="15.75" hidden="1" customHeight="1">
      <c r="B125" s="23"/>
      <c r="C125" s="23"/>
      <c r="D125" s="26"/>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row>
    <row r="126" spans="2:179" ht="15.75" hidden="1" customHeight="1">
      <c r="B126" s="23"/>
      <c r="C126" s="23"/>
      <c r="D126" s="26"/>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row>
    <row r="127" spans="2:179" ht="15.75" hidden="1" customHeight="1">
      <c r="B127" s="23"/>
      <c r="C127" s="23"/>
      <c r="D127" s="26"/>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row>
    <row r="128" spans="2:179" ht="15.75" hidden="1" customHeight="1">
      <c r="B128" s="23"/>
      <c r="C128" s="23"/>
      <c r="D128" s="26"/>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row>
    <row r="129" spans="2:179" ht="15.75" hidden="1" customHeight="1">
      <c r="B129" s="23"/>
      <c r="C129" s="23"/>
      <c r="D129" s="26"/>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row>
    <row r="130" spans="2:179" ht="15.75" hidden="1" customHeight="1">
      <c r="B130" s="23"/>
      <c r="C130" s="23"/>
      <c r="D130" s="26"/>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row>
    <row r="131" spans="2:179" ht="15.75" hidden="1" customHeight="1">
      <c r="B131" s="23"/>
      <c r="C131" s="23"/>
      <c r="D131" s="26"/>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row>
    <row r="132" spans="2:179" ht="15.75" hidden="1" customHeight="1">
      <c r="B132" s="23"/>
      <c r="C132" s="23"/>
      <c r="D132" s="26"/>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row>
    <row r="133" spans="2:179" ht="15.75" hidden="1" customHeight="1">
      <c r="B133" s="23"/>
      <c r="C133" s="23"/>
      <c r="D133" s="26"/>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row>
    <row r="134" spans="2:179" ht="15.75" hidden="1" customHeight="1">
      <c r="B134" s="23"/>
      <c r="C134" s="23"/>
      <c r="D134" s="26"/>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row>
    <row r="135" spans="2:179" ht="15.75" hidden="1" customHeight="1">
      <c r="B135" s="23"/>
      <c r="C135" s="23"/>
      <c r="D135" s="26"/>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row>
    <row r="136" spans="2:179" ht="15.75" hidden="1" customHeight="1">
      <c r="B136" s="23"/>
      <c r="C136" s="23"/>
      <c r="D136" s="26"/>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row>
    <row r="137" spans="2:179" ht="15.75" hidden="1" customHeight="1">
      <c r="B137" s="23"/>
      <c r="C137" s="23"/>
      <c r="D137" s="26"/>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row>
    <row r="138" spans="2:179" ht="15.75" hidden="1" customHeight="1">
      <c r="B138" s="23"/>
      <c r="C138" s="23"/>
      <c r="D138" s="26"/>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row>
    <row r="139" spans="2:179" ht="15.75" hidden="1" customHeight="1">
      <c r="B139" s="23"/>
      <c r="C139" s="23"/>
      <c r="D139" s="26"/>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row>
    <row r="140" spans="2:179" ht="15.75" hidden="1" customHeight="1">
      <c r="B140" s="23"/>
      <c r="C140" s="23"/>
      <c r="D140" s="26"/>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row>
    <row r="141" spans="2:179" ht="15.75" hidden="1" customHeight="1">
      <c r="B141" s="23"/>
      <c r="C141" s="23"/>
      <c r="D141" s="26"/>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row>
    <row r="142" spans="2:179" ht="15.75" hidden="1" customHeight="1">
      <c r="B142" s="23"/>
      <c r="C142" s="23"/>
      <c r="D142" s="26"/>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row>
    <row r="143" spans="2:179" ht="15.75" hidden="1" customHeight="1">
      <c r="B143" s="23"/>
      <c r="C143" s="23"/>
      <c r="D143" s="26"/>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row>
    <row r="144" spans="2:179" ht="15.75" hidden="1" customHeight="1">
      <c r="B144" s="23"/>
      <c r="C144" s="23"/>
      <c r="D144" s="26"/>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row>
    <row r="145" spans="2:179" ht="15.75" hidden="1" customHeight="1">
      <c r="B145" s="23"/>
      <c r="C145" s="23"/>
      <c r="D145" s="26"/>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row>
    <row r="146" spans="2:179" ht="15.75" hidden="1" customHeight="1">
      <c r="B146" s="23"/>
      <c r="C146" s="23"/>
      <c r="D146" s="26"/>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row>
    <row r="147" spans="2:179" ht="15.75" hidden="1" customHeight="1">
      <c r="B147" s="23"/>
      <c r="C147" s="23"/>
      <c r="D147" s="26"/>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row>
    <row r="148" spans="2:179" ht="15.75" hidden="1" customHeight="1">
      <c r="B148" s="23"/>
      <c r="C148" s="23"/>
      <c r="D148" s="26"/>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row>
    <row r="149" spans="2:179" ht="15.75" hidden="1" customHeight="1">
      <c r="B149" s="23"/>
      <c r="C149" s="23"/>
      <c r="D149" s="26"/>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row>
    <row r="150" spans="2:179" ht="15.75" hidden="1" customHeight="1">
      <c r="B150" s="23"/>
      <c r="C150" s="23"/>
      <c r="D150" s="26"/>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row>
    <row r="151" spans="2:179" ht="15.75" hidden="1" customHeight="1">
      <c r="B151" s="23"/>
      <c r="C151" s="23"/>
      <c r="D151" s="26"/>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row>
    <row r="152" spans="2:179" ht="15.75" hidden="1" customHeight="1">
      <c r="B152" s="23"/>
      <c r="C152" s="23"/>
      <c r="D152" s="26"/>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row>
    <row r="153" spans="2:179" ht="15.75" hidden="1" customHeight="1">
      <c r="B153" s="23"/>
      <c r="C153" s="23"/>
      <c r="D153" s="26"/>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row>
    <row r="154" spans="2:179" ht="15.75" hidden="1" customHeight="1">
      <c r="B154" s="23"/>
      <c r="C154" s="23"/>
      <c r="D154" s="26"/>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row>
    <row r="155" spans="2:179" ht="15.75" hidden="1" customHeight="1">
      <c r="B155" s="23"/>
      <c r="C155" s="23"/>
      <c r="D155" s="26"/>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row>
    <row r="156" spans="2:179" ht="15.75" hidden="1" customHeight="1">
      <c r="B156" s="23"/>
      <c r="C156" s="23"/>
      <c r="D156" s="26"/>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row>
    <row r="157" spans="2:179" ht="15.75" hidden="1" customHeight="1">
      <c r="B157" s="23"/>
      <c r="C157" s="23"/>
      <c r="D157" s="26"/>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row>
    <row r="158" spans="2:179" ht="15.75" hidden="1" customHeight="1">
      <c r="B158" s="23"/>
      <c r="C158" s="23"/>
      <c r="D158" s="26"/>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row>
    <row r="159" spans="2:179" ht="15.75" hidden="1" customHeight="1">
      <c r="B159" s="23"/>
      <c r="C159" s="23"/>
      <c r="D159" s="26"/>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row>
    <row r="160" spans="2:179" ht="15.75" hidden="1" customHeight="1">
      <c r="B160" s="23"/>
      <c r="C160" s="23"/>
      <c r="D160" s="26"/>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row>
    <row r="161" spans="2:179" ht="15.75" hidden="1" customHeight="1">
      <c r="B161" s="23"/>
      <c r="C161" s="23"/>
      <c r="D161" s="26"/>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row>
    <row r="162" spans="2:179" ht="15.75" hidden="1" customHeight="1">
      <c r="B162" s="23"/>
      <c r="C162" s="23"/>
      <c r="D162" s="26"/>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row>
    <row r="163" spans="2:179" ht="15.75" hidden="1" customHeight="1">
      <c r="B163" s="23"/>
      <c r="C163" s="23"/>
      <c r="D163" s="26"/>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row>
    <row r="164" spans="2:179" ht="15.75" hidden="1" customHeight="1">
      <c r="B164" s="23"/>
      <c r="C164" s="23"/>
      <c r="D164" s="26"/>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row>
    <row r="165" spans="2:179" ht="15.75" hidden="1" customHeight="1">
      <c r="B165" s="23"/>
      <c r="C165" s="23"/>
      <c r="D165" s="26"/>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row>
    <row r="166" spans="2:179" ht="15.75" hidden="1" customHeight="1">
      <c r="B166" s="23"/>
      <c r="C166" s="23"/>
      <c r="D166" s="26"/>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row>
    <row r="167" spans="2:179" ht="15.75" hidden="1" customHeight="1">
      <c r="B167" s="23"/>
      <c r="C167" s="23"/>
      <c r="D167" s="26"/>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row>
    <row r="168" spans="2:179" ht="15.75" hidden="1" customHeight="1">
      <c r="B168" s="23"/>
      <c r="C168" s="23"/>
      <c r="D168" s="26"/>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row>
    <row r="169" spans="2:179" ht="15.75" hidden="1" customHeight="1">
      <c r="B169" s="23"/>
      <c r="C169" s="23"/>
      <c r="D169" s="26"/>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row>
    <row r="170" spans="2:179" ht="15.75" hidden="1" customHeight="1">
      <c r="B170" s="23"/>
      <c r="C170" s="23"/>
      <c r="D170" s="26"/>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row>
    <row r="171" spans="2:179" ht="15.75" hidden="1" customHeight="1">
      <c r="B171" s="23"/>
      <c r="C171" s="23"/>
      <c r="D171" s="26"/>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row>
    <row r="172" spans="2:179" ht="15.75" hidden="1" customHeight="1">
      <c r="B172" s="23"/>
      <c r="C172" s="23"/>
      <c r="D172" s="26"/>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row>
    <row r="173" spans="2:179" ht="15.75" hidden="1" customHeight="1">
      <c r="B173" s="23"/>
      <c r="C173" s="23"/>
      <c r="D173" s="26"/>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row>
    <row r="174" spans="2:179" ht="15.75" hidden="1" customHeight="1">
      <c r="B174" s="23"/>
      <c r="C174" s="23"/>
      <c r="D174" s="26"/>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row>
    <row r="175" spans="2:179" ht="15.75" hidden="1" customHeight="1">
      <c r="B175" s="23"/>
      <c r="C175" s="23"/>
      <c r="D175" s="26"/>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row>
    <row r="176" spans="2:179" ht="15.75" hidden="1" customHeight="1">
      <c r="B176" s="23"/>
      <c r="C176" s="23"/>
      <c r="D176" s="26"/>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row>
    <row r="177" spans="2:179" ht="15.75" hidden="1" customHeight="1">
      <c r="B177" s="23"/>
      <c r="C177" s="23"/>
      <c r="D177" s="26"/>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row>
    <row r="178" spans="2:179" ht="15.75" hidden="1" customHeight="1">
      <c r="B178" s="23"/>
      <c r="C178" s="23"/>
      <c r="D178" s="26"/>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row>
    <row r="179" spans="2:179" ht="15.75" hidden="1" customHeight="1">
      <c r="B179" s="23"/>
      <c r="C179" s="23"/>
      <c r="D179" s="26"/>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row>
    <row r="180" spans="2:179" ht="15.75" hidden="1" customHeight="1">
      <c r="B180" s="23"/>
      <c r="C180" s="23"/>
      <c r="D180" s="26"/>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row>
    <row r="181" spans="2:179" ht="15.75" hidden="1" customHeight="1">
      <c r="B181" s="23"/>
      <c r="C181" s="23"/>
      <c r="D181" s="26"/>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row>
    <row r="182" spans="2:179" ht="15.75" hidden="1" customHeight="1">
      <c r="B182" s="23"/>
      <c r="C182" s="23"/>
      <c r="D182" s="26"/>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row>
    <row r="183" spans="2:179" ht="15.75" hidden="1" customHeight="1">
      <c r="B183" s="23"/>
      <c r="C183" s="23"/>
      <c r="D183" s="26"/>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row>
    <row r="184" spans="2:179" ht="15.75" hidden="1" customHeight="1">
      <c r="B184" s="23"/>
      <c r="C184" s="23"/>
      <c r="D184" s="26"/>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row>
    <row r="185" spans="2:179" ht="15.75" hidden="1" customHeight="1">
      <c r="B185" s="23"/>
      <c r="C185" s="23"/>
      <c r="D185" s="26"/>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row>
    <row r="186" spans="2:179" ht="15.75" hidden="1" customHeight="1">
      <c r="B186" s="23"/>
      <c r="C186" s="23"/>
      <c r="D186" s="26"/>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row>
    <row r="187" spans="2:179" ht="15.75" hidden="1" customHeight="1">
      <c r="B187" s="23"/>
      <c r="C187" s="23"/>
      <c r="D187" s="26"/>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row>
    <row r="188" spans="2:179" ht="15.75" hidden="1" customHeight="1">
      <c r="B188" s="23"/>
      <c r="C188" s="23"/>
      <c r="D188" s="26"/>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row>
    <row r="189" spans="2:179" ht="15.75" hidden="1" customHeight="1">
      <c r="B189" s="23"/>
      <c r="C189" s="23"/>
      <c r="D189" s="26"/>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row>
    <row r="190" spans="2:179" ht="15.75" hidden="1" customHeight="1">
      <c r="B190" s="23"/>
      <c r="C190" s="23"/>
      <c r="D190" s="26"/>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row>
    <row r="191" spans="2:179" ht="15.75" hidden="1" customHeight="1">
      <c r="B191" s="23"/>
      <c r="C191" s="23"/>
      <c r="D191" s="26"/>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row>
    <row r="192" spans="2:179" ht="15.75" hidden="1" customHeight="1">
      <c r="B192" s="23"/>
      <c r="C192" s="23"/>
      <c r="D192" s="26"/>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row>
    <row r="193" spans="2:179" ht="15.75" hidden="1" customHeight="1">
      <c r="B193" s="23"/>
      <c r="C193" s="23"/>
      <c r="D193" s="26"/>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row>
    <row r="194" spans="2:179" ht="15.75" hidden="1" customHeight="1">
      <c r="B194" s="23"/>
      <c r="C194" s="23"/>
      <c r="D194" s="26"/>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row>
    <row r="195" spans="2:179" ht="15.75" hidden="1" customHeight="1">
      <c r="B195" s="23"/>
      <c r="C195" s="23"/>
      <c r="D195" s="26"/>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row>
    <row r="196" spans="2:179" ht="15.75" hidden="1" customHeight="1">
      <c r="B196" s="23"/>
      <c r="C196" s="23"/>
      <c r="D196" s="26"/>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row>
    <row r="197" spans="2:179" ht="15.75" hidden="1" customHeight="1">
      <c r="B197" s="23"/>
      <c r="C197" s="23"/>
      <c r="D197" s="26"/>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row>
    <row r="198" spans="2:179" ht="15.75" hidden="1" customHeight="1">
      <c r="B198" s="23"/>
      <c r="C198" s="23"/>
      <c r="D198" s="26"/>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row>
    <row r="199" spans="2:179" ht="15.75" hidden="1" customHeight="1">
      <c r="B199" s="23"/>
      <c r="C199" s="23"/>
      <c r="D199" s="26"/>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row>
    <row r="200" spans="2:179" ht="15.75" hidden="1" customHeight="1">
      <c r="B200" s="23"/>
      <c r="C200" s="23"/>
      <c r="D200" s="26"/>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row>
    <row r="201" spans="2:179" ht="15.75" hidden="1" customHeight="1">
      <c r="B201" s="23"/>
      <c r="C201" s="23"/>
      <c r="D201" s="26"/>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row>
    <row r="202" spans="2:179" ht="15.75" hidden="1" customHeight="1">
      <c r="B202" s="23"/>
      <c r="C202" s="23"/>
      <c r="D202" s="26"/>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row>
    <row r="203" spans="2:179" ht="15.75" hidden="1" customHeight="1">
      <c r="B203" s="23"/>
      <c r="C203" s="23"/>
      <c r="D203" s="26"/>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row>
    <row r="204" spans="2:179" ht="15.75" hidden="1" customHeight="1">
      <c r="B204" s="23"/>
      <c r="C204" s="23"/>
      <c r="D204" s="26"/>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row>
    <row r="205" spans="2:179" ht="15.75" hidden="1" customHeight="1">
      <c r="B205" s="23"/>
      <c r="C205" s="23"/>
      <c r="D205" s="26"/>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row>
    <row r="206" spans="2:179" ht="15.75" hidden="1" customHeight="1">
      <c r="B206" s="23"/>
      <c r="C206" s="23"/>
      <c r="D206" s="26"/>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row>
    <row r="207" spans="2:179" ht="15.75" hidden="1" customHeight="1">
      <c r="B207" s="23"/>
      <c r="C207" s="23"/>
      <c r="D207" s="26"/>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row>
    <row r="208" spans="2:179" ht="15.75" hidden="1" customHeight="1">
      <c r="B208" s="23"/>
      <c r="C208" s="23"/>
      <c r="D208" s="26"/>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row>
    <row r="209" spans="2:179" ht="15.75" hidden="1" customHeight="1">
      <c r="B209" s="23"/>
      <c r="C209" s="23"/>
      <c r="D209" s="26"/>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row>
    <row r="210" spans="2:179" ht="15.75" hidden="1" customHeight="1">
      <c r="B210" s="23"/>
      <c r="C210" s="23"/>
      <c r="D210" s="26"/>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row>
    <row r="211" spans="2:179" ht="15.75" hidden="1" customHeight="1">
      <c r="B211" s="23"/>
      <c r="C211" s="23"/>
      <c r="D211" s="26"/>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row>
    <row r="212" spans="2:179" ht="15.75" hidden="1" customHeight="1">
      <c r="B212" s="23"/>
      <c r="C212" s="23"/>
      <c r="D212" s="26"/>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row>
    <row r="213" spans="2:179" ht="15.75" hidden="1" customHeight="1">
      <c r="B213" s="23"/>
      <c r="C213" s="23"/>
      <c r="D213" s="26"/>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row>
    <row r="214" spans="2:179" ht="15.75" hidden="1" customHeight="1">
      <c r="B214" s="23"/>
      <c r="C214" s="23"/>
      <c r="D214" s="26"/>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row>
    <row r="215" spans="2:179" ht="15.75" hidden="1" customHeight="1">
      <c r="B215" s="23"/>
      <c r="C215" s="23"/>
      <c r="D215" s="26"/>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row>
    <row r="216" spans="2:179" ht="15.75" hidden="1" customHeight="1">
      <c r="B216" s="23"/>
      <c r="C216" s="23"/>
      <c r="D216" s="26"/>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row>
    <row r="217" spans="2:179" ht="15.75" hidden="1" customHeight="1">
      <c r="B217" s="23"/>
      <c r="C217" s="23"/>
      <c r="D217" s="26"/>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row>
    <row r="218" spans="2:179" ht="15.75" hidden="1" customHeight="1">
      <c r="B218" s="23"/>
      <c r="C218" s="23"/>
      <c r="D218" s="26"/>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row>
    <row r="219" spans="2:179" ht="15.75" hidden="1" customHeight="1">
      <c r="B219" s="23"/>
      <c r="C219" s="23"/>
      <c r="D219" s="26"/>
      <c r="E219" s="23"/>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row>
    <row r="220" spans="2:179" ht="15.75" hidden="1" customHeight="1">
      <c r="B220" s="23"/>
      <c r="C220" s="23"/>
      <c r="D220" s="26"/>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row>
    <row r="221" spans="2:179" ht="15.75" hidden="1" customHeight="1">
      <c r="B221" s="23"/>
      <c r="C221" s="23"/>
      <c r="D221" s="26"/>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row>
    <row r="222" spans="2:179" ht="15.75" hidden="1" customHeight="1">
      <c r="B222" s="23"/>
      <c r="C222" s="23"/>
      <c r="D222" s="26"/>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row>
    <row r="223" spans="2:179" ht="15.75" hidden="1" customHeight="1">
      <c r="B223" s="23"/>
      <c r="C223" s="23"/>
      <c r="D223" s="26"/>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row>
    <row r="224" spans="2:179" ht="15.75" hidden="1" customHeight="1">
      <c r="B224" s="23"/>
      <c r="C224" s="23"/>
      <c r="D224" s="26"/>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row>
    <row r="225" spans="2:179" ht="15.75" hidden="1" customHeight="1">
      <c r="B225" s="23"/>
      <c r="C225" s="23"/>
      <c r="D225" s="26"/>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row>
    <row r="226" spans="2:179" ht="15.75" hidden="1" customHeight="1">
      <c r="B226" s="23"/>
      <c r="C226" s="23"/>
      <c r="D226" s="26"/>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row>
    <row r="227" spans="2:179" ht="15.75" hidden="1" customHeight="1">
      <c r="B227" s="23"/>
      <c r="C227" s="23"/>
      <c r="D227" s="26"/>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row>
    <row r="228" spans="2:179" ht="15.75" hidden="1" customHeight="1">
      <c r="B228" s="23"/>
      <c r="C228" s="23"/>
      <c r="D228" s="26"/>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row>
    <row r="229" spans="2:179" ht="15.75" hidden="1" customHeight="1">
      <c r="B229" s="23"/>
      <c r="C229" s="23"/>
      <c r="D229" s="26"/>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row>
    <row r="230" spans="2:179" ht="15.75" hidden="1" customHeight="1">
      <c r="B230" s="23"/>
      <c r="C230" s="23"/>
      <c r="D230" s="26"/>
      <c r="E230" s="23"/>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row>
    <row r="231" spans="2:179" ht="15.75" hidden="1" customHeight="1">
      <c r="B231" s="23"/>
      <c r="C231" s="23"/>
      <c r="D231" s="26"/>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row>
    <row r="232" spans="2:179" ht="15.75" hidden="1" customHeight="1">
      <c r="B232" s="23"/>
      <c r="C232" s="23"/>
      <c r="D232" s="26"/>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row>
    <row r="233" spans="2:179" ht="15.75" hidden="1" customHeight="1">
      <c r="B233" s="23"/>
      <c r="C233" s="23"/>
      <c r="D233" s="26"/>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row>
    <row r="234" spans="2:179" ht="15.75" hidden="1" customHeight="1">
      <c r="B234" s="23"/>
      <c r="C234" s="23"/>
      <c r="D234" s="26"/>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row>
    <row r="235" spans="2:179" ht="15.75" hidden="1" customHeight="1">
      <c r="B235" s="23"/>
      <c r="C235" s="23"/>
      <c r="D235" s="26"/>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row>
    <row r="236" spans="2:179" ht="15.75" hidden="1" customHeight="1">
      <c r="B236" s="23"/>
      <c r="C236" s="23"/>
      <c r="D236" s="26"/>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row>
    <row r="237" spans="2:179" ht="15.75" hidden="1" customHeight="1">
      <c r="B237" s="23"/>
      <c r="C237" s="23"/>
      <c r="D237" s="26"/>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row>
    <row r="238" spans="2:179" ht="15.75" hidden="1" customHeight="1">
      <c r="B238" s="23"/>
      <c r="C238" s="23"/>
      <c r="D238" s="26"/>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row>
    <row r="239" spans="2:179" ht="15.75" hidden="1" customHeight="1">
      <c r="B239" s="23"/>
      <c r="C239" s="23"/>
      <c r="D239" s="26"/>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row>
    <row r="240" spans="2:179" ht="15.75" hidden="1" customHeight="1">
      <c r="B240" s="23"/>
      <c r="C240" s="23"/>
      <c r="D240" s="26"/>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row>
    <row r="241" spans="2:179" ht="15.75" hidden="1" customHeight="1">
      <c r="B241" s="23"/>
      <c r="C241" s="23"/>
      <c r="D241" s="26"/>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row>
    <row r="242" spans="2:179" ht="15.75" hidden="1" customHeight="1">
      <c r="B242" s="23"/>
      <c r="C242" s="23"/>
      <c r="D242" s="26"/>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row>
    <row r="243" spans="2:179" ht="15.75" hidden="1" customHeight="1">
      <c r="B243" s="23"/>
      <c r="C243" s="23"/>
      <c r="D243" s="26"/>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row>
    <row r="244" spans="2:179" ht="15.75" hidden="1" customHeight="1">
      <c r="B244" s="23"/>
      <c r="C244" s="23"/>
      <c r="D244" s="26"/>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row>
    <row r="245" spans="2:179" ht="15.75" hidden="1" customHeight="1">
      <c r="B245" s="23"/>
      <c r="C245" s="23"/>
      <c r="D245" s="26"/>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row>
    <row r="246" spans="2:179" ht="15.75" hidden="1" customHeight="1">
      <c r="B246" s="23"/>
      <c r="C246" s="23"/>
      <c r="D246" s="26"/>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row>
    <row r="247" spans="2:179" ht="15.75" hidden="1" customHeight="1">
      <c r="B247" s="23"/>
      <c r="C247" s="23"/>
      <c r="D247" s="26"/>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row>
    <row r="248" spans="2:179" ht="15.75" hidden="1" customHeight="1">
      <c r="B248" s="23"/>
      <c r="C248" s="23"/>
      <c r="D248" s="26"/>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row>
    <row r="249" spans="2:179" ht="15.75" hidden="1" customHeight="1">
      <c r="B249" s="23"/>
      <c r="C249" s="23"/>
      <c r="D249" s="26"/>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row>
    <row r="250" spans="2:179" ht="15.75" hidden="1" customHeight="1">
      <c r="B250" s="23"/>
      <c r="C250" s="23"/>
      <c r="D250" s="26"/>
      <c r="E250" s="23"/>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row>
    <row r="251" spans="2:179" ht="15.75" hidden="1" customHeight="1">
      <c r="B251" s="23"/>
      <c r="C251" s="23"/>
      <c r="D251" s="26"/>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row>
    <row r="252" spans="2:179" ht="15.75" hidden="1" customHeight="1">
      <c r="B252" s="23"/>
      <c r="C252" s="23"/>
      <c r="D252" s="26"/>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row>
    <row r="253" spans="2:179" ht="15.75" hidden="1" customHeight="1">
      <c r="B253" s="23"/>
      <c r="C253" s="23"/>
      <c r="D253" s="26"/>
      <c r="E253" s="23"/>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row>
    <row r="254" spans="2:179" ht="15.75" hidden="1" customHeight="1">
      <c r="B254" s="23"/>
      <c r="C254" s="23"/>
      <c r="D254" s="26"/>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row>
    <row r="255" spans="2:179" ht="15.75" hidden="1" customHeight="1">
      <c r="B255" s="23"/>
      <c r="C255" s="23"/>
      <c r="D255" s="26"/>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row>
    <row r="256" spans="2:179" ht="15.75" hidden="1" customHeight="1">
      <c r="B256" s="23"/>
      <c r="C256" s="23"/>
      <c r="D256" s="26"/>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row>
    <row r="257" spans="2:179" ht="15.75" hidden="1" customHeight="1">
      <c r="B257" s="23"/>
      <c r="C257" s="23"/>
      <c r="D257" s="26"/>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row>
    <row r="258" spans="2:179" ht="15.75" hidden="1" customHeight="1">
      <c r="B258" s="23"/>
      <c r="C258" s="23"/>
      <c r="D258" s="26"/>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row>
    <row r="259" spans="2:179" ht="15.75" hidden="1" customHeight="1">
      <c r="B259" s="23"/>
      <c r="C259" s="23"/>
      <c r="D259" s="26"/>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row>
    <row r="260" spans="2:179" ht="15.75" hidden="1" customHeight="1">
      <c r="B260" s="23"/>
      <c r="C260" s="23"/>
      <c r="D260" s="26"/>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row>
    <row r="261" spans="2:179" ht="15.75" hidden="1" customHeight="1">
      <c r="B261" s="23"/>
      <c r="C261" s="23"/>
      <c r="D261" s="26"/>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row>
    <row r="262" spans="2:179" ht="15.75" hidden="1" customHeight="1">
      <c r="B262" s="23"/>
      <c r="C262" s="23"/>
      <c r="D262" s="26"/>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row>
    <row r="263" spans="2:179" ht="15.75" hidden="1" customHeight="1">
      <c r="B263" s="23"/>
      <c r="C263" s="23"/>
      <c r="D263" s="26"/>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row>
    <row r="264" spans="2:179" ht="15.75" hidden="1" customHeight="1">
      <c r="B264" s="23"/>
      <c r="C264" s="23"/>
      <c r="D264" s="26"/>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row>
    <row r="265" spans="2:179" ht="15.75" hidden="1" customHeight="1">
      <c r="B265" s="23"/>
      <c r="C265" s="23"/>
      <c r="D265" s="26"/>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row>
    <row r="266" spans="2:179" ht="15.75" hidden="1" customHeight="1">
      <c r="B266" s="23"/>
      <c r="C266" s="23"/>
      <c r="D266" s="26"/>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row>
    <row r="267" spans="2:179" ht="15.75" hidden="1" customHeight="1">
      <c r="B267" s="23"/>
      <c r="C267" s="23"/>
      <c r="D267" s="26"/>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row>
    <row r="268" spans="2:179" ht="15.75" hidden="1" customHeight="1">
      <c r="B268" s="23"/>
      <c r="C268" s="23"/>
      <c r="D268" s="26"/>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row>
    <row r="269" spans="2:179" ht="15.75" hidden="1" customHeight="1">
      <c r="B269" s="23"/>
      <c r="C269" s="23"/>
      <c r="D269" s="26"/>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row>
    <row r="270" spans="2:179" ht="15.75" hidden="1" customHeight="1">
      <c r="B270" s="23"/>
      <c r="C270" s="23"/>
      <c r="D270" s="26"/>
      <c r="E270" s="23"/>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row>
    <row r="271" spans="2:179" ht="15.75" hidden="1" customHeight="1">
      <c r="B271" s="23"/>
      <c r="C271" s="23"/>
      <c r="D271" s="26"/>
      <c r="E271" s="23"/>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row>
    <row r="272" spans="2:179" ht="15.75" hidden="1" customHeight="1">
      <c r="B272" s="23"/>
      <c r="C272" s="23"/>
      <c r="D272" s="26"/>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row>
    <row r="273" spans="2:179" ht="15.75" hidden="1" customHeight="1">
      <c r="B273" s="23"/>
      <c r="C273" s="23"/>
      <c r="D273" s="26"/>
      <c r="E273" s="23"/>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row>
    <row r="274" spans="2:179" ht="15.75" hidden="1" customHeight="1">
      <c r="B274" s="23"/>
      <c r="C274" s="23"/>
      <c r="D274" s="26"/>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row>
    <row r="275" spans="2:179" ht="15.75" hidden="1" customHeight="1">
      <c r="B275" s="23"/>
      <c r="C275" s="23"/>
      <c r="D275" s="26"/>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row>
    <row r="276" spans="2:179" ht="15.75" hidden="1" customHeight="1">
      <c r="B276" s="23"/>
      <c r="C276" s="23"/>
      <c r="D276" s="26"/>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row>
    <row r="277" spans="2:179" ht="15.75" hidden="1" customHeight="1">
      <c r="B277" s="23"/>
      <c r="C277" s="23"/>
      <c r="D277" s="26"/>
      <c r="E277" s="23"/>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row>
    <row r="278" spans="2:179" ht="15.75" hidden="1" customHeight="1">
      <c r="B278" s="23"/>
      <c r="C278" s="23"/>
      <c r="D278" s="26"/>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row>
    <row r="279" spans="2:179" ht="15.75" hidden="1" customHeight="1">
      <c r="B279" s="23"/>
      <c r="C279" s="23"/>
      <c r="D279" s="26"/>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row>
    <row r="280" spans="2:179" ht="15.75" hidden="1" customHeight="1">
      <c r="B280" s="23"/>
      <c r="C280" s="23"/>
      <c r="D280" s="26"/>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row>
    <row r="281" spans="2:179" ht="15.75" hidden="1" customHeight="1">
      <c r="B281" s="23"/>
      <c r="C281" s="23"/>
      <c r="D281" s="26"/>
      <c r="E281" s="23"/>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row>
    <row r="282" spans="2:179" ht="15.75" hidden="1" customHeight="1">
      <c r="B282" s="23"/>
      <c r="C282" s="23"/>
      <c r="D282" s="26"/>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row>
    <row r="283" spans="2:179" ht="15.75" hidden="1" customHeight="1">
      <c r="B283" s="23"/>
      <c r="C283" s="23"/>
      <c r="D283" s="26"/>
      <c r="E283" s="23"/>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row>
    <row r="284" spans="2:179" ht="15.75" hidden="1" customHeight="1">
      <c r="B284" s="23"/>
      <c r="C284" s="23"/>
      <c r="D284" s="26"/>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row>
    <row r="285" spans="2:179" ht="15.75" hidden="1" customHeight="1">
      <c r="B285" s="23"/>
      <c r="C285" s="23"/>
      <c r="D285" s="26"/>
      <c r="E285" s="23"/>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row>
    <row r="286" spans="2:179" ht="15.75" hidden="1" customHeight="1">
      <c r="B286" s="23"/>
      <c r="C286" s="23"/>
      <c r="D286" s="26"/>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row>
    <row r="287" spans="2:179" ht="15.75" hidden="1" customHeight="1">
      <c r="B287" s="23"/>
      <c r="C287" s="23"/>
      <c r="D287" s="26"/>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row>
    <row r="288" spans="2:179" ht="15.75" hidden="1" customHeight="1">
      <c r="B288" s="23"/>
      <c r="C288" s="23"/>
      <c r="D288" s="26"/>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row>
    <row r="289" spans="2:179" ht="15.75" hidden="1" customHeight="1">
      <c r="B289" s="23"/>
      <c r="C289" s="23"/>
      <c r="D289" s="26"/>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row>
    <row r="290" spans="2:179" ht="15.75" hidden="1" customHeight="1">
      <c r="B290" s="23"/>
      <c r="C290" s="23"/>
      <c r="D290" s="26"/>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row>
    <row r="291" spans="2:179" ht="15.75" hidden="1" customHeight="1">
      <c r="B291" s="23"/>
      <c r="C291" s="23"/>
      <c r="D291" s="26"/>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row>
    <row r="292" spans="2:179" ht="15.75" hidden="1" customHeight="1">
      <c r="B292" s="23"/>
      <c r="C292" s="23"/>
      <c r="D292" s="26"/>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row>
    <row r="293" spans="2:179" ht="15.75" hidden="1" customHeight="1">
      <c r="B293" s="23"/>
      <c r="C293" s="23"/>
      <c r="D293" s="26"/>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row>
    <row r="294" spans="2:179" ht="15.75" hidden="1" customHeight="1">
      <c r="B294" s="23"/>
      <c r="C294" s="23"/>
      <c r="D294" s="26"/>
      <c r="E294" s="23"/>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row>
    <row r="295" spans="2:179" ht="15.75" hidden="1" customHeight="1">
      <c r="B295" s="23"/>
      <c r="C295" s="23"/>
      <c r="D295" s="26"/>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row>
    <row r="296" spans="2:179" ht="15.75" hidden="1" customHeight="1">
      <c r="B296" s="23"/>
      <c r="C296" s="23"/>
      <c r="D296" s="26"/>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row>
    <row r="297" spans="2:179" ht="15.75" hidden="1" customHeight="1">
      <c r="B297" s="23"/>
      <c r="C297" s="23"/>
      <c r="D297" s="26"/>
      <c r="E297" s="23"/>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row>
    <row r="298" spans="2:179" ht="15.75" hidden="1" customHeight="1">
      <c r="B298" s="23"/>
      <c r="C298" s="23"/>
      <c r="D298" s="26"/>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row>
    <row r="299" spans="2:179" ht="15.75" hidden="1" customHeight="1">
      <c r="B299" s="23"/>
      <c r="C299" s="23"/>
      <c r="D299" s="26"/>
      <c r="E299" s="23"/>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row>
    <row r="300" spans="2:179" ht="15.75" hidden="1" customHeight="1">
      <c r="B300" s="23"/>
      <c r="C300" s="23"/>
      <c r="D300" s="26"/>
      <c r="E300" s="23"/>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row>
    <row r="301" spans="2:179" ht="15.75" hidden="1" customHeight="1">
      <c r="B301" s="23"/>
      <c r="C301" s="23"/>
      <c r="D301" s="26"/>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row>
    <row r="302" spans="2:179" ht="15.75" hidden="1" customHeight="1">
      <c r="B302" s="23"/>
      <c r="C302" s="23"/>
      <c r="D302" s="26"/>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row>
    <row r="303" spans="2:179" ht="15.75" hidden="1" customHeight="1">
      <c r="B303" s="23"/>
      <c r="C303" s="23"/>
      <c r="D303" s="26"/>
      <c r="E303" s="23"/>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row>
    <row r="304" spans="2:179" ht="15.75" hidden="1" customHeight="1">
      <c r="B304" s="23"/>
      <c r="C304" s="23"/>
      <c r="D304" s="26"/>
      <c r="E304" s="23"/>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row>
    <row r="305" spans="2:179" ht="15.75" hidden="1" customHeight="1">
      <c r="B305" s="23"/>
      <c r="C305" s="23"/>
      <c r="D305" s="26"/>
      <c r="E305" s="23"/>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row>
    <row r="306" spans="2:179" ht="15.75" hidden="1" customHeight="1">
      <c r="B306" s="23"/>
      <c r="C306" s="23"/>
      <c r="D306" s="26"/>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row>
    <row r="307" spans="2:179" ht="15.75" hidden="1" customHeight="1">
      <c r="B307" s="23"/>
      <c r="C307" s="23"/>
      <c r="D307" s="26"/>
      <c r="E307" s="23"/>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row>
    <row r="308" spans="2:179" ht="15.75" hidden="1" customHeight="1">
      <c r="B308" s="23"/>
      <c r="C308" s="23"/>
      <c r="D308" s="26"/>
      <c r="E308" s="23"/>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row>
    <row r="309" spans="2:179" ht="15.75" hidden="1" customHeight="1">
      <c r="B309" s="23"/>
      <c r="C309" s="23"/>
      <c r="D309" s="26"/>
      <c r="E309" s="23"/>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row>
    <row r="310" spans="2:179" ht="15.75" hidden="1" customHeight="1">
      <c r="B310" s="23"/>
      <c r="C310" s="23"/>
      <c r="D310" s="26"/>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row>
    <row r="311" spans="2:179" ht="15.75" hidden="1" customHeight="1">
      <c r="B311" s="23"/>
      <c r="C311" s="23"/>
      <c r="D311" s="26"/>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row>
    <row r="312" spans="2:179" ht="15.75" hidden="1" customHeight="1">
      <c r="B312" s="23"/>
      <c r="C312" s="23"/>
      <c r="D312" s="26"/>
      <c r="E312" s="23"/>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row>
    <row r="313" spans="2:179" ht="15.75" hidden="1" customHeight="1">
      <c r="B313" s="23"/>
      <c r="C313" s="23"/>
      <c r="D313" s="26"/>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row>
    <row r="314" spans="2:179" ht="15.75" hidden="1" customHeight="1">
      <c r="B314" s="23"/>
      <c r="C314" s="23"/>
      <c r="D314" s="26"/>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row>
    <row r="315" spans="2:179" ht="15.75" hidden="1" customHeight="1">
      <c r="B315" s="23"/>
      <c r="C315" s="23"/>
      <c r="D315" s="26"/>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row>
    <row r="316" spans="2:179" ht="15.75" hidden="1" customHeight="1">
      <c r="B316" s="23"/>
      <c r="C316" s="23"/>
      <c r="D316" s="26"/>
      <c r="E316" s="23"/>
      <c r="F316" s="23"/>
      <c r="G316" s="23"/>
      <c r="H316" s="23"/>
      <c r="I316" s="23"/>
      <c r="J316" s="23"/>
      <c r="K316" s="23"/>
      <c r="L316" s="23"/>
      <c r="M316" s="23"/>
      <c r="N316" s="23"/>
      <c r="O316" s="23"/>
      <c r="P316" s="23"/>
      <c r="Q316" s="23"/>
      <c r="R316" s="23"/>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row>
    <row r="317" spans="2:179" ht="15.75" hidden="1" customHeight="1">
      <c r="B317" s="23"/>
      <c r="C317" s="23"/>
      <c r="D317" s="26"/>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row>
    <row r="318" spans="2:179" ht="15.75" hidden="1" customHeight="1">
      <c r="B318" s="23"/>
      <c r="C318" s="23"/>
      <c r="D318" s="26"/>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row>
    <row r="319" spans="2:179" ht="15.75" hidden="1" customHeight="1">
      <c r="B319" s="23"/>
      <c r="C319" s="23"/>
      <c r="D319" s="26"/>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row>
    <row r="320" spans="2:179" ht="15.75" hidden="1" customHeight="1">
      <c r="B320" s="23"/>
      <c r="C320" s="23"/>
      <c r="D320" s="26"/>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row>
    <row r="321" spans="2:179" ht="15.75" hidden="1" customHeight="1">
      <c r="B321" s="23"/>
      <c r="C321" s="23"/>
      <c r="D321" s="26"/>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row>
    <row r="322" spans="2:179" ht="15.75" hidden="1" customHeight="1">
      <c r="B322" s="23"/>
      <c r="C322" s="23"/>
      <c r="D322" s="26"/>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23"/>
      <c r="EG322" s="23"/>
      <c r="EH322" s="23"/>
      <c r="EI322" s="23"/>
      <c r="EJ322" s="23"/>
      <c r="EK322" s="23"/>
      <c r="EL322" s="23"/>
      <c r="EM322" s="23"/>
      <c r="EN322" s="23"/>
      <c r="EO322" s="23"/>
      <c r="EP322" s="23"/>
      <c r="EQ322" s="23"/>
      <c r="ER322" s="23"/>
      <c r="ES322" s="23"/>
      <c r="ET322" s="23"/>
      <c r="EU322" s="23"/>
      <c r="EV322" s="23"/>
      <c r="EW322" s="23"/>
      <c r="EX322" s="23"/>
      <c r="EY322" s="23"/>
      <c r="EZ322" s="23"/>
      <c r="FA322" s="23"/>
      <c r="FB322" s="23"/>
      <c r="FC322" s="23"/>
      <c r="FD322" s="23"/>
      <c r="FE322" s="23"/>
      <c r="FF322" s="23"/>
      <c r="FG322" s="23"/>
      <c r="FH322" s="23"/>
      <c r="FI322" s="23"/>
      <c r="FJ322" s="23"/>
      <c r="FK322" s="23"/>
      <c r="FL322" s="23"/>
      <c r="FM322" s="23"/>
      <c r="FN322" s="23"/>
      <c r="FO322" s="23"/>
      <c r="FP322" s="23"/>
      <c r="FQ322" s="23"/>
      <c r="FR322" s="23"/>
      <c r="FS322" s="23"/>
      <c r="FT322" s="23"/>
      <c r="FU322" s="23"/>
      <c r="FV322" s="23"/>
      <c r="FW322" s="23"/>
    </row>
    <row r="323" spans="2:179" ht="15.75" hidden="1" customHeight="1">
      <c r="B323" s="23"/>
      <c r="C323" s="23"/>
      <c r="D323" s="26"/>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23"/>
      <c r="FC323" s="23"/>
      <c r="FD323" s="23"/>
      <c r="FE323" s="23"/>
      <c r="FF323" s="23"/>
      <c r="FG323" s="23"/>
      <c r="FH323" s="23"/>
      <c r="FI323" s="23"/>
      <c r="FJ323" s="23"/>
      <c r="FK323" s="23"/>
      <c r="FL323" s="23"/>
      <c r="FM323" s="23"/>
      <c r="FN323" s="23"/>
      <c r="FO323" s="23"/>
      <c r="FP323" s="23"/>
      <c r="FQ323" s="23"/>
      <c r="FR323" s="23"/>
      <c r="FS323" s="23"/>
      <c r="FT323" s="23"/>
      <c r="FU323" s="23"/>
      <c r="FV323" s="23"/>
      <c r="FW323" s="23"/>
    </row>
    <row r="324" spans="2:179" ht="15.75" hidden="1" customHeight="1">
      <c r="B324" s="23"/>
      <c r="C324" s="23"/>
      <c r="D324" s="26"/>
      <c r="E324" s="23"/>
      <c r="F324" s="23"/>
      <c r="G324" s="23"/>
      <c r="H324" s="23"/>
      <c r="I324" s="23"/>
      <c r="J324" s="23"/>
      <c r="K324" s="23"/>
      <c r="L324" s="23"/>
      <c r="M324" s="23"/>
      <c r="N324" s="23"/>
      <c r="O324" s="23"/>
      <c r="P324" s="23"/>
      <c r="Q324" s="23"/>
      <c r="R324" s="23"/>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c r="EH324" s="23"/>
      <c r="EI324" s="23"/>
      <c r="EJ324" s="23"/>
      <c r="EK324" s="23"/>
      <c r="EL324" s="23"/>
      <c r="EM324" s="23"/>
      <c r="EN324" s="23"/>
      <c r="EO324" s="23"/>
      <c r="EP324" s="23"/>
      <c r="EQ324" s="23"/>
      <c r="ER324" s="23"/>
      <c r="ES324" s="23"/>
      <c r="ET324" s="23"/>
      <c r="EU324" s="23"/>
      <c r="EV324" s="23"/>
      <c r="EW324" s="23"/>
      <c r="EX324" s="23"/>
      <c r="EY324" s="23"/>
      <c r="EZ324" s="23"/>
      <c r="FA324" s="23"/>
      <c r="FB324" s="23"/>
      <c r="FC324" s="23"/>
      <c r="FD324" s="23"/>
      <c r="FE324" s="23"/>
      <c r="FF324" s="23"/>
      <c r="FG324" s="23"/>
      <c r="FH324" s="23"/>
      <c r="FI324" s="23"/>
      <c r="FJ324" s="23"/>
      <c r="FK324" s="23"/>
      <c r="FL324" s="23"/>
      <c r="FM324" s="23"/>
      <c r="FN324" s="23"/>
      <c r="FO324" s="23"/>
      <c r="FP324" s="23"/>
      <c r="FQ324" s="23"/>
      <c r="FR324" s="23"/>
      <c r="FS324" s="23"/>
      <c r="FT324" s="23"/>
      <c r="FU324" s="23"/>
      <c r="FV324" s="23"/>
      <c r="FW324" s="23"/>
    </row>
    <row r="325" spans="2:179" ht="15.75" hidden="1" customHeight="1">
      <c r="B325" s="23"/>
      <c r="C325" s="23"/>
      <c r="D325" s="26"/>
      <c r="E325" s="23"/>
      <c r="F325" s="23"/>
      <c r="G325" s="23"/>
      <c r="H325" s="23"/>
      <c r="I325" s="23"/>
      <c r="J325" s="23"/>
      <c r="K325" s="23"/>
      <c r="L325" s="23"/>
      <c r="M325" s="23"/>
      <c r="N325" s="23"/>
      <c r="O325" s="23"/>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row>
    <row r="326" spans="2:179" ht="15.75" hidden="1" customHeight="1">
      <c r="B326" s="23"/>
      <c r="C326" s="23"/>
      <c r="D326" s="26"/>
      <c r="E326" s="23"/>
      <c r="F326" s="23"/>
      <c r="G326" s="23"/>
      <c r="H326" s="23"/>
      <c r="I326" s="23"/>
      <c r="J326" s="23"/>
      <c r="K326" s="23"/>
      <c r="L326" s="23"/>
      <c r="M326" s="23"/>
      <c r="N326" s="23"/>
      <c r="O326" s="23"/>
      <c r="P326" s="23"/>
      <c r="Q326" s="23"/>
      <c r="R326" s="23"/>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c r="EC326" s="23"/>
      <c r="ED326" s="23"/>
      <c r="EE326" s="23"/>
      <c r="EF326" s="23"/>
      <c r="EG326" s="23"/>
      <c r="EH326" s="23"/>
      <c r="EI326" s="23"/>
      <c r="EJ326" s="23"/>
      <c r="EK326" s="23"/>
      <c r="EL326" s="23"/>
      <c r="EM326" s="23"/>
      <c r="EN326" s="23"/>
      <c r="EO326" s="23"/>
      <c r="EP326" s="23"/>
      <c r="EQ326" s="23"/>
      <c r="ER326" s="23"/>
      <c r="ES326" s="23"/>
      <c r="ET326" s="23"/>
      <c r="EU326" s="23"/>
      <c r="EV326" s="23"/>
      <c r="EW326" s="23"/>
      <c r="EX326" s="23"/>
      <c r="EY326" s="23"/>
      <c r="EZ326" s="23"/>
      <c r="FA326" s="23"/>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row>
    <row r="327" spans="2:179" ht="15.75" hidden="1" customHeight="1">
      <c r="B327" s="23"/>
      <c r="C327" s="23"/>
      <c r="D327" s="26"/>
      <c r="E327" s="23"/>
      <c r="F327" s="23"/>
      <c r="G327" s="23"/>
      <c r="H327" s="23"/>
      <c r="I327" s="23"/>
      <c r="J327" s="23"/>
      <c r="K327" s="23"/>
      <c r="L327" s="23"/>
      <c r="M327" s="23"/>
      <c r="N327" s="23"/>
      <c r="O327" s="23"/>
      <c r="P327" s="23"/>
      <c r="Q327" s="23"/>
      <c r="R327" s="23"/>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c r="EH327" s="23"/>
      <c r="EI327" s="23"/>
      <c r="EJ327" s="23"/>
      <c r="EK327" s="23"/>
      <c r="EL327" s="23"/>
      <c r="EM327" s="23"/>
      <c r="EN327" s="23"/>
      <c r="EO327" s="23"/>
      <c r="EP327" s="23"/>
      <c r="EQ327" s="23"/>
      <c r="ER327" s="23"/>
      <c r="ES327" s="23"/>
      <c r="ET327" s="23"/>
      <c r="EU327" s="23"/>
      <c r="EV327" s="23"/>
      <c r="EW327" s="23"/>
      <c r="EX327" s="23"/>
      <c r="EY327" s="23"/>
      <c r="EZ327" s="23"/>
      <c r="FA327" s="23"/>
      <c r="FB327" s="23"/>
      <c r="FC327" s="23"/>
      <c r="FD327" s="23"/>
      <c r="FE327" s="23"/>
      <c r="FF327" s="23"/>
      <c r="FG327" s="23"/>
      <c r="FH327" s="23"/>
      <c r="FI327" s="23"/>
      <c r="FJ327" s="23"/>
      <c r="FK327" s="23"/>
      <c r="FL327" s="23"/>
      <c r="FM327" s="23"/>
      <c r="FN327" s="23"/>
      <c r="FO327" s="23"/>
      <c r="FP327" s="23"/>
      <c r="FQ327" s="23"/>
      <c r="FR327" s="23"/>
      <c r="FS327" s="23"/>
      <c r="FT327" s="23"/>
      <c r="FU327" s="23"/>
      <c r="FV327" s="23"/>
      <c r="FW327" s="23"/>
    </row>
    <row r="328" spans="2:179" ht="15.75" hidden="1" customHeight="1">
      <c r="B328" s="23"/>
      <c r="C328" s="23"/>
      <c r="D328" s="26"/>
      <c r="E328" s="23"/>
      <c r="F328" s="23"/>
      <c r="G328" s="23"/>
      <c r="H328" s="23"/>
      <c r="I328" s="23"/>
      <c r="J328" s="23"/>
      <c r="K328" s="23"/>
      <c r="L328" s="23"/>
      <c r="M328" s="23"/>
      <c r="N328" s="23"/>
      <c r="O328" s="23"/>
      <c r="P328" s="23"/>
      <c r="Q328" s="23"/>
      <c r="R328" s="23"/>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row>
    <row r="329" spans="2:179" ht="15.75" hidden="1" customHeight="1">
      <c r="B329" s="23"/>
      <c r="C329" s="23"/>
      <c r="D329" s="26"/>
      <c r="E329" s="23"/>
      <c r="F329" s="23"/>
      <c r="G329" s="23"/>
      <c r="H329" s="23"/>
      <c r="I329" s="23"/>
      <c r="J329" s="23"/>
      <c r="K329" s="23"/>
      <c r="L329" s="23"/>
      <c r="M329" s="23"/>
      <c r="N329" s="23"/>
      <c r="O329" s="23"/>
      <c r="P329" s="23"/>
      <c r="Q329" s="23"/>
      <c r="R329" s="23"/>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row>
    <row r="330" spans="2:179" ht="15.75" hidden="1" customHeight="1">
      <c r="B330" s="23"/>
      <c r="C330" s="23"/>
      <c r="D330" s="26"/>
      <c r="E330" s="23"/>
      <c r="F330" s="23"/>
      <c r="G330" s="23"/>
      <c r="H330" s="23"/>
      <c r="I330" s="23"/>
      <c r="J330" s="23"/>
      <c r="K330" s="23"/>
      <c r="L330" s="23"/>
      <c r="M330" s="23"/>
      <c r="N330" s="23"/>
      <c r="O330" s="23"/>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row>
    <row r="331" spans="2:179" ht="15.75" hidden="1" customHeight="1">
      <c r="B331" s="23"/>
      <c r="C331" s="23"/>
      <c r="D331" s="26"/>
      <c r="E331" s="23"/>
      <c r="F331" s="23"/>
      <c r="G331" s="23"/>
      <c r="H331" s="23"/>
      <c r="I331" s="23"/>
      <c r="J331" s="23"/>
      <c r="K331" s="23"/>
      <c r="L331" s="23"/>
      <c r="M331" s="23"/>
      <c r="N331" s="23"/>
      <c r="O331" s="23"/>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row>
    <row r="332" spans="2:179" ht="15.75" hidden="1" customHeight="1">
      <c r="B332" s="23"/>
      <c r="C332" s="23"/>
      <c r="D332" s="26"/>
      <c r="E332" s="23"/>
      <c r="F332" s="23"/>
      <c r="G332" s="23"/>
      <c r="H332" s="23"/>
      <c r="I332" s="23"/>
      <c r="J332" s="23"/>
      <c r="K332" s="23"/>
      <c r="L332" s="23"/>
      <c r="M332" s="23"/>
      <c r="N332" s="23"/>
      <c r="O332" s="23"/>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row>
    <row r="333" spans="2:179" ht="15.75" hidden="1" customHeight="1">
      <c r="B333" s="23"/>
      <c r="C333" s="23"/>
      <c r="D333" s="26"/>
      <c r="E333" s="23"/>
      <c r="F333" s="23"/>
      <c r="G333" s="23"/>
      <c r="H333" s="23"/>
      <c r="I333" s="23"/>
      <c r="J333" s="23"/>
      <c r="K333" s="23"/>
      <c r="L333" s="23"/>
      <c r="M333" s="23"/>
      <c r="N333" s="23"/>
      <c r="O333" s="23"/>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c r="EC333" s="23"/>
      <c r="ED333" s="23"/>
      <c r="EE333" s="23"/>
      <c r="EF333" s="23"/>
      <c r="EG333" s="23"/>
      <c r="EH333" s="23"/>
      <c r="EI333" s="23"/>
      <c r="EJ333" s="23"/>
      <c r="EK333" s="23"/>
      <c r="EL333" s="23"/>
      <c r="EM333" s="23"/>
      <c r="EN333" s="23"/>
      <c r="EO333" s="23"/>
      <c r="EP333" s="23"/>
      <c r="EQ333" s="23"/>
      <c r="ER333" s="23"/>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row>
    <row r="334" spans="2:179" ht="15.75" hidden="1" customHeight="1">
      <c r="B334" s="23"/>
      <c r="C334" s="23"/>
      <c r="D334" s="26"/>
      <c r="E334" s="23"/>
      <c r="F334" s="23"/>
      <c r="G334" s="23"/>
      <c r="H334" s="23"/>
      <c r="I334" s="23"/>
      <c r="J334" s="23"/>
      <c r="K334" s="23"/>
      <c r="L334" s="23"/>
      <c r="M334" s="23"/>
      <c r="N334" s="23"/>
      <c r="O334" s="23"/>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row>
    <row r="335" spans="2:179" ht="15.75" hidden="1" customHeight="1">
      <c r="B335" s="23"/>
      <c r="C335" s="23"/>
      <c r="D335" s="26"/>
      <c r="E335" s="23"/>
      <c r="F335" s="23"/>
      <c r="G335" s="23"/>
      <c r="H335" s="23"/>
      <c r="I335" s="23"/>
      <c r="J335" s="23"/>
      <c r="K335" s="23"/>
      <c r="L335" s="23"/>
      <c r="M335" s="23"/>
      <c r="N335" s="23"/>
      <c r="O335" s="23"/>
      <c r="P335" s="23"/>
      <c r="Q335" s="23"/>
      <c r="R335" s="23"/>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row>
    <row r="336" spans="2:179" ht="15.75" hidden="1" customHeight="1">
      <c r="B336" s="23"/>
      <c r="C336" s="23"/>
      <c r="D336" s="26"/>
      <c r="E336" s="23"/>
      <c r="F336" s="23"/>
      <c r="G336" s="23"/>
      <c r="H336" s="23"/>
      <c r="I336" s="23"/>
      <c r="J336" s="23"/>
      <c r="K336" s="23"/>
      <c r="L336" s="23"/>
      <c r="M336" s="23"/>
      <c r="N336" s="23"/>
      <c r="O336" s="23"/>
      <c r="P336" s="23"/>
      <c r="Q336" s="23"/>
      <c r="R336" s="23"/>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23"/>
      <c r="FC336" s="23"/>
      <c r="FD336" s="23"/>
      <c r="FE336" s="23"/>
      <c r="FF336" s="23"/>
      <c r="FG336" s="23"/>
      <c r="FH336" s="23"/>
      <c r="FI336" s="23"/>
      <c r="FJ336" s="23"/>
      <c r="FK336" s="23"/>
      <c r="FL336" s="23"/>
      <c r="FM336" s="23"/>
      <c r="FN336" s="23"/>
      <c r="FO336" s="23"/>
      <c r="FP336" s="23"/>
      <c r="FQ336" s="23"/>
      <c r="FR336" s="23"/>
      <c r="FS336" s="23"/>
      <c r="FT336" s="23"/>
      <c r="FU336" s="23"/>
      <c r="FV336" s="23"/>
      <c r="FW336" s="23"/>
    </row>
    <row r="337" spans="2:179" ht="15.75" hidden="1" customHeight="1">
      <c r="B337" s="23"/>
      <c r="C337" s="23"/>
      <c r="D337" s="26"/>
      <c r="E337" s="23"/>
      <c r="F337" s="23"/>
      <c r="G337" s="23"/>
      <c r="H337" s="23"/>
      <c r="I337" s="23"/>
      <c r="J337" s="23"/>
      <c r="K337" s="23"/>
      <c r="L337" s="23"/>
      <c r="M337" s="23"/>
      <c r="N337" s="23"/>
      <c r="O337" s="23"/>
      <c r="P337" s="23"/>
      <c r="Q337" s="23"/>
      <c r="R337" s="23"/>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row>
    <row r="338" spans="2:179" ht="15.75" hidden="1" customHeight="1">
      <c r="B338" s="23"/>
      <c r="C338" s="23"/>
      <c r="D338" s="26"/>
      <c r="E338" s="23"/>
      <c r="F338" s="23"/>
      <c r="G338" s="23"/>
      <c r="H338" s="23"/>
      <c r="I338" s="23"/>
      <c r="J338" s="23"/>
      <c r="K338" s="23"/>
      <c r="L338" s="23"/>
      <c r="M338" s="23"/>
      <c r="N338" s="23"/>
      <c r="O338" s="23"/>
      <c r="P338" s="23"/>
      <c r="Q338" s="23"/>
      <c r="R338" s="23"/>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c r="EC338" s="23"/>
      <c r="ED338" s="23"/>
      <c r="EE338" s="23"/>
      <c r="EF338" s="23"/>
      <c r="EG338" s="23"/>
      <c r="EH338" s="23"/>
      <c r="EI338" s="23"/>
      <c r="EJ338" s="23"/>
      <c r="EK338" s="23"/>
      <c r="EL338" s="23"/>
      <c r="EM338" s="23"/>
      <c r="EN338" s="23"/>
      <c r="EO338" s="23"/>
      <c r="EP338" s="23"/>
      <c r="EQ338" s="23"/>
      <c r="ER338" s="23"/>
      <c r="ES338" s="23"/>
      <c r="ET338" s="23"/>
      <c r="EU338" s="23"/>
      <c r="EV338" s="23"/>
      <c r="EW338" s="23"/>
      <c r="EX338" s="23"/>
      <c r="EY338" s="23"/>
      <c r="EZ338" s="23"/>
      <c r="FA338" s="23"/>
      <c r="FB338" s="23"/>
      <c r="FC338" s="23"/>
      <c r="FD338" s="23"/>
      <c r="FE338" s="23"/>
      <c r="FF338" s="23"/>
      <c r="FG338" s="23"/>
      <c r="FH338" s="23"/>
      <c r="FI338" s="23"/>
      <c r="FJ338" s="23"/>
      <c r="FK338" s="23"/>
      <c r="FL338" s="23"/>
      <c r="FM338" s="23"/>
      <c r="FN338" s="23"/>
      <c r="FO338" s="23"/>
      <c r="FP338" s="23"/>
      <c r="FQ338" s="23"/>
      <c r="FR338" s="23"/>
      <c r="FS338" s="23"/>
      <c r="FT338" s="23"/>
      <c r="FU338" s="23"/>
      <c r="FV338" s="23"/>
      <c r="FW338" s="23"/>
    </row>
    <row r="339" spans="2:179" ht="15.75" hidden="1" customHeight="1">
      <c r="B339" s="23"/>
      <c r="C339" s="23"/>
      <c r="D339" s="26"/>
      <c r="E339" s="2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row>
    <row r="340" spans="2:179" ht="15.75" hidden="1" customHeight="1">
      <c r="B340" s="23"/>
      <c r="C340" s="23"/>
      <c r="D340" s="26"/>
      <c r="E340" s="23"/>
      <c r="F340" s="23"/>
      <c r="G340" s="23"/>
      <c r="H340" s="23"/>
      <c r="I340" s="23"/>
      <c r="J340" s="23"/>
      <c r="K340" s="23"/>
      <c r="L340" s="23"/>
      <c r="M340" s="23"/>
      <c r="N340" s="23"/>
      <c r="O340" s="23"/>
      <c r="P340" s="23"/>
      <c r="Q340" s="23"/>
      <c r="R340" s="23"/>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23"/>
      <c r="EG340" s="23"/>
      <c r="EH340" s="23"/>
      <c r="EI340" s="23"/>
      <c r="EJ340" s="23"/>
      <c r="EK340" s="23"/>
      <c r="EL340" s="23"/>
      <c r="EM340" s="23"/>
      <c r="EN340" s="23"/>
      <c r="EO340" s="23"/>
      <c r="EP340" s="23"/>
      <c r="EQ340" s="23"/>
      <c r="ER340" s="23"/>
      <c r="ES340" s="23"/>
      <c r="ET340" s="23"/>
      <c r="EU340" s="23"/>
      <c r="EV340" s="23"/>
      <c r="EW340" s="23"/>
      <c r="EX340" s="23"/>
      <c r="EY340" s="23"/>
      <c r="EZ340" s="23"/>
      <c r="FA340" s="23"/>
      <c r="FB340" s="23"/>
      <c r="FC340" s="23"/>
      <c r="FD340" s="23"/>
      <c r="FE340" s="23"/>
      <c r="FF340" s="23"/>
      <c r="FG340" s="23"/>
      <c r="FH340" s="23"/>
      <c r="FI340" s="23"/>
      <c r="FJ340" s="23"/>
      <c r="FK340" s="23"/>
      <c r="FL340" s="23"/>
      <c r="FM340" s="23"/>
      <c r="FN340" s="23"/>
      <c r="FO340" s="23"/>
      <c r="FP340" s="23"/>
      <c r="FQ340" s="23"/>
      <c r="FR340" s="23"/>
      <c r="FS340" s="23"/>
      <c r="FT340" s="23"/>
      <c r="FU340" s="23"/>
      <c r="FV340" s="23"/>
      <c r="FW340" s="23"/>
    </row>
    <row r="341" spans="2:179" ht="15.75" hidden="1" customHeight="1">
      <c r="B341" s="23"/>
      <c r="C341" s="23"/>
      <c r="D341" s="26"/>
      <c r="E341" s="23"/>
      <c r="F341" s="23"/>
      <c r="G341" s="23"/>
      <c r="H341" s="23"/>
      <c r="I341" s="23"/>
      <c r="J341" s="23"/>
      <c r="K341" s="23"/>
      <c r="L341" s="23"/>
      <c r="M341" s="23"/>
      <c r="N341" s="23"/>
      <c r="O341" s="23"/>
      <c r="P341" s="23"/>
      <c r="Q341" s="23"/>
      <c r="R341" s="23"/>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row>
    <row r="342" spans="2:179" ht="15.75" hidden="1" customHeight="1">
      <c r="B342" s="23"/>
      <c r="C342" s="23"/>
      <c r="D342" s="26"/>
      <c r="E342" s="23"/>
      <c r="F342" s="23"/>
      <c r="G342" s="23"/>
      <c r="H342" s="23"/>
      <c r="I342" s="23"/>
      <c r="J342" s="23"/>
      <c r="K342" s="23"/>
      <c r="L342" s="23"/>
      <c r="M342" s="23"/>
      <c r="N342" s="23"/>
      <c r="O342" s="23"/>
      <c r="P342" s="23"/>
      <c r="Q342" s="23"/>
      <c r="R342" s="23"/>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23"/>
      <c r="FC342" s="23"/>
      <c r="FD342" s="23"/>
      <c r="FE342" s="23"/>
      <c r="FF342" s="23"/>
      <c r="FG342" s="23"/>
      <c r="FH342" s="23"/>
      <c r="FI342" s="23"/>
      <c r="FJ342" s="23"/>
      <c r="FK342" s="23"/>
      <c r="FL342" s="23"/>
      <c r="FM342" s="23"/>
      <c r="FN342" s="23"/>
      <c r="FO342" s="23"/>
      <c r="FP342" s="23"/>
      <c r="FQ342" s="23"/>
      <c r="FR342" s="23"/>
      <c r="FS342" s="23"/>
      <c r="FT342" s="23"/>
      <c r="FU342" s="23"/>
      <c r="FV342" s="23"/>
      <c r="FW342" s="23"/>
    </row>
    <row r="343" spans="2:179" ht="15.75" hidden="1" customHeight="1">
      <c r="B343" s="23"/>
      <c r="C343" s="23"/>
      <c r="D343" s="26"/>
      <c r="E343" s="23"/>
      <c r="F343" s="23"/>
      <c r="G343" s="23"/>
      <c r="H343" s="23"/>
      <c r="I343" s="23"/>
      <c r="J343" s="23"/>
      <c r="K343" s="23"/>
      <c r="L343" s="23"/>
      <c r="M343" s="23"/>
      <c r="N343" s="23"/>
      <c r="O343" s="23"/>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row>
    <row r="344" spans="2:179" ht="15.75" hidden="1" customHeight="1">
      <c r="B344" s="23"/>
      <c r="C344" s="23"/>
      <c r="D344" s="26"/>
      <c r="E344" s="23"/>
      <c r="F344" s="23"/>
      <c r="G344" s="23"/>
      <c r="H344" s="23"/>
      <c r="I344" s="23"/>
      <c r="J344" s="23"/>
      <c r="K344" s="23"/>
      <c r="L344" s="23"/>
      <c r="M344" s="23"/>
      <c r="N344" s="23"/>
      <c r="O344" s="23"/>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c r="EB344" s="23"/>
      <c r="EC344" s="23"/>
      <c r="ED344" s="23"/>
      <c r="EE344" s="23"/>
      <c r="EF344" s="23"/>
      <c r="EG344" s="23"/>
      <c r="EH344" s="23"/>
      <c r="EI344" s="23"/>
      <c r="EJ344" s="23"/>
      <c r="EK344" s="23"/>
      <c r="EL344" s="23"/>
      <c r="EM344" s="23"/>
      <c r="EN344" s="23"/>
      <c r="EO344" s="23"/>
      <c r="EP344" s="23"/>
      <c r="EQ344" s="23"/>
      <c r="ER344" s="23"/>
      <c r="ES344" s="23"/>
      <c r="ET344" s="23"/>
      <c r="EU344" s="23"/>
      <c r="EV344" s="23"/>
      <c r="EW344" s="23"/>
      <c r="EX344" s="23"/>
      <c r="EY344" s="23"/>
      <c r="EZ344" s="23"/>
      <c r="FA344" s="23"/>
      <c r="FB344" s="23"/>
      <c r="FC344" s="23"/>
      <c r="FD344" s="23"/>
      <c r="FE344" s="23"/>
      <c r="FF344" s="23"/>
      <c r="FG344" s="23"/>
      <c r="FH344" s="23"/>
      <c r="FI344" s="23"/>
      <c r="FJ344" s="23"/>
      <c r="FK344" s="23"/>
      <c r="FL344" s="23"/>
      <c r="FM344" s="23"/>
      <c r="FN344" s="23"/>
      <c r="FO344" s="23"/>
      <c r="FP344" s="23"/>
      <c r="FQ344" s="23"/>
      <c r="FR344" s="23"/>
      <c r="FS344" s="23"/>
      <c r="FT344" s="23"/>
      <c r="FU344" s="23"/>
      <c r="FV344" s="23"/>
      <c r="FW344" s="23"/>
    </row>
    <row r="345" spans="2:179" ht="15.75" hidden="1" customHeight="1">
      <c r="B345" s="23"/>
      <c r="C345" s="23"/>
      <c r="D345" s="26"/>
      <c r="E345" s="23"/>
      <c r="F345" s="23"/>
      <c r="G345" s="23"/>
      <c r="H345" s="23"/>
      <c r="I345" s="23"/>
      <c r="J345" s="23"/>
      <c r="K345" s="23"/>
      <c r="L345" s="23"/>
      <c r="M345" s="23"/>
      <c r="N345" s="23"/>
      <c r="O345" s="23"/>
      <c r="P345" s="23"/>
      <c r="Q345" s="23"/>
      <c r="R345" s="23"/>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row>
    <row r="346" spans="2:179" ht="15.75" hidden="1" customHeight="1">
      <c r="B346" s="23"/>
      <c r="C346" s="23"/>
      <c r="D346" s="26"/>
      <c r="E346" s="23"/>
      <c r="F346" s="23"/>
      <c r="G346" s="23"/>
      <c r="H346" s="23"/>
      <c r="I346" s="23"/>
      <c r="J346" s="23"/>
      <c r="K346" s="23"/>
      <c r="L346" s="23"/>
      <c r="M346" s="23"/>
      <c r="N346" s="23"/>
      <c r="O346" s="23"/>
      <c r="P346" s="23"/>
      <c r="Q346" s="23"/>
      <c r="R346" s="23"/>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c r="EB346" s="23"/>
      <c r="EC346" s="23"/>
      <c r="ED346" s="23"/>
      <c r="EE346" s="23"/>
      <c r="EF346" s="23"/>
      <c r="EG346" s="23"/>
      <c r="EH346" s="23"/>
      <c r="EI346" s="23"/>
      <c r="EJ346" s="23"/>
      <c r="EK346" s="23"/>
      <c r="EL346" s="23"/>
      <c r="EM346" s="23"/>
      <c r="EN346" s="23"/>
      <c r="EO346" s="23"/>
      <c r="EP346" s="23"/>
      <c r="EQ346" s="23"/>
      <c r="ER346" s="23"/>
      <c r="ES346" s="23"/>
      <c r="ET346" s="23"/>
      <c r="EU346" s="23"/>
      <c r="EV346" s="23"/>
      <c r="EW346" s="23"/>
      <c r="EX346" s="23"/>
      <c r="EY346" s="23"/>
      <c r="EZ346" s="23"/>
      <c r="FA346" s="23"/>
      <c r="FB346" s="23"/>
      <c r="FC346" s="23"/>
      <c r="FD346" s="23"/>
      <c r="FE346" s="23"/>
      <c r="FF346" s="23"/>
      <c r="FG346" s="23"/>
      <c r="FH346" s="23"/>
      <c r="FI346" s="23"/>
      <c r="FJ346" s="23"/>
      <c r="FK346" s="23"/>
      <c r="FL346" s="23"/>
      <c r="FM346" s="23"/>
      <c r="FN346" s="23"/>
      <c r="FO346" s="23"/>
      <c r="FP346" s="23"/>
      <c r="FQ346" s="23"/>
      <c r="FR346" s="23"/>
      <c r="FS346" s="23"/>
      <c r="FT346" s="23"/>
      <c r="FU346" s="23"/>
      <c r="FV346" s="23"/>
      <c r="FW346" s="23"/>
    </row>
    <row r="347" spans="2:179" ht="15.75" hidden="1" customHeight="1">
      <c r="B347" s="23"/>
      <c r="C347" s="23"/>
      <c r="D347" s="26"/>
      <c r="E347" s="23"/>
      <c r="F347" s="23"/>
      <c r="G347" s="23"/>
      <c r="H347" s="23"/>
      <c r="I347" s="23"/>
      <c r="J347" s="23"/>
      <c r="K347" s="23"/>
      <c r="L347" s="23"/>
      <c r="M347" s="23"/>
      <c r="N347" s="23"/>
      <c r="O347" s="23"/>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row>
    <row r="348" spans="2:179" ht="15.75" hidden="1" customHeight="1">
      <c r="B348" s="23"/>
      <c r="C348" s="23"/>
      <c r="D348" s="26"/>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c r="EH348" s="23"/>
      <c r="EI348" s="23"/>
      <c r="EJ348" s="23"/>
      <c r="EK348" s="23"/>
      <c r="EL348" s="23"/>
      <c r="EM348" s="23"/>
      <c r="EN348" s="23"/>
      <c r="EO348" s="23"/>
      <c r="EP348" s="23"/>
      <c r="EQ348" s="23"/>
      <c r="ER348" s="23"/>
      <c r="ES348" s="23"/>
      <c r="ET348" s="23"/>
      <c r="EU348" s="23"/>
      <c r="EV348" s="23"/>
      <c r="EW348" s="23"/>
      <c r="EX348" s="23"/>
      <c r="EY348" s="23"/>
      <c r="EZ348" s="23"/>
      <c r="FA348" s="23"/>
      <c r="FB348" s="23"/>
      <c r="FC348" s="23"/>
      <c r="FD348" s="23"/>
      <c r="FE348" s="23"/>
      <c r="FF348" s="23"/>
      <c r="FG348" s="23"/>
      <c r="FH348" s="23"/>
      <c r="FI348" s="23"/>
      <c r="FJ348" s="23"/>
      <c r="FK348" s="23"/>
      <c r="FL348" s="23"/>
      <c r="FM348" s="23"/>
      <c r="FN348" s="23"/>
      <c r="FO348" s="23"/>
      <c r="FP348" s="23"/>
      <c r="FQ348" s="23"/>
      <c r="FR348" s="23"/>
      <c r="FS348" s="23"/>
      <c r="FT348" s="23"/>
      <c r="FU348" s="23"/>
      <c r="FV348" s="23"/>
      <c r="FW348" s="23"/>
    </row>
    <row r="349" spans="2:179" ht="15.75" hidden="1" customHeight="1">
      <c r="B349" s="23"/>
      <c r="C349" s="23"/>
      <c r="D349" s="26"/>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row>
    <row r="350" spans="2:179" ht="15.75" hidden="1" customHeight="1">
      <c r="B350" s="23"/>
      <c r="C350" s="23"/>
      <c r="D350" s="26"/>
      <c r="E350" s="23"/>
      <c r="F350" s="23"/>
      <c r="G350" s="23"/>
      <c r="H350" s="23"/>
      <c r="I350" s="23"/>
      <c r="J350" s="23"/>
      <c r="K350" s="23"/>
      <c r="L350" s="23"/>
      <c r="M350" s="23"/>
      <c r="N350" s="23"/>
      <c r="O350" s="23"/>
      <c r="P350" s="23"/>
      <c r="Q350" s="23"/>
      <c r="R350" s="23"/>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c r="EH350" s="23"/>
      <c r="EI350" s="23"/>
      <c r="EJ350" s="23"/>
      <c r="EK350" s="23"/>
      <c r="EL350" s="23"/>
      <c r="EM350" s="23"/>
      <c r="EN350" s="23"/>
      <c r="EO350" s="23"/>
      <c r="EP350" s="23"/>
      <c r="EQ350" s="23"/>
      <c r="ER350" s="23"/>
      <c r="ES350" s="23"/>
      <c r="ET350" s="23"/>
      <c r="EU350" s="23"/>
      <c r="EV350" s="23"/>
      <c r="EW350" s="23"/>
      <c r="EX350" s="23"/>
      <c r="EY350" s="23"/>
      <c r="EZ350" s="23"/>
      <c r="FA350" s="23"/>
      <c r="FB350" s="23"/>
      <c r="FC350" s="23"/>
      <c r="FD350" s="23"/>
      <c r="FE350" s="23"/>
      <c r="FF350" s="23"/>
      <c r="FG350" s="23"/>
      <c r="FH350" s="23"/>
      <c r="FI350" s="23"/>
      <c r="FJ350" s="23"/>
      <c r="FK350" s="23"/>
      <c r="FL350" s="23"/>
      <c r="FM350" s="23"/>
      <c r="FN350" s="23"/>
      <c r="FO350" s="23"/>
      <c r="FP350" s="23"/>
      <c r="FQ350" s="23"/>
      <c r="FR350" s="23"/>
      <c r="FS350" s="23"/>
      <c r="FT350" s="23"/>
      <c r="FU350" s="23"/>
      <c r="FV350" s="23"/>
      <c r="FW350" s="23"/>
    </row>
    <row r="351" spans="2:179" ht="15.75" hidden="1" customHeight="1">
      <c r="B351" s="23"/>
      <c r="C351" s="23"/>
      <c r="D351" s="26"/>
      <c r="E351" s="23"/>
      <c r="F351" s="23"/>
      <c r="G351" s="23"/>
      <c r="H351" s="23"/>
      <c r="I351" s="23"/>
      <c r="J351" s="23"/>
      <c r="K351" s="23"/>
      <c r="L351" s="23"/>
      <c r="M351" s="23"/>
      <c r="N351" s="23"/>
      <c r="O351" s="23"/>
      <c r="P351" s="23"/>
      <c r="Q351" s="23"/>
      <c r="R351" s="23"/>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c r="EB351" s="23"/>
      <c r="EC351" s="23"/>
      <c r="ED351" s="23"/>
      <c r="EE351" s="23"/>
      <c r="EF351" s="23"/>
      <c r="EG351" s="23"/>
      <c r="EH351" s="23"/>
      <c r="EI351" s="23"/>
      <c r="EJ351" s="23"/>
      <c r="EK351" s="23"/>
      <c r="EL351" s="23"/>
      <c r="EM351" s="23"/>
      <c r="EN351" s="23"/>
      <c r="EO351" s="23"/>
      <c r="EP351" s="23"/>
      <c r="EQ351" s="23"/>
      <c r="ER351" s="23"/>
      <c r="ES351" s="23"/>
      <c r="ET351" s="23"/>
      <c r="EU351" s="23"/>
      <c r="EV351" s="23"/>
      <c r="EW351" s="23"/>
      <c r="EX351" s="23"/>
      <c r="EY351" s="23"/>
      <c r="EZ351" s="23"/>
      <c r="FA351" s="23"/>
      <c r="FB351" s="23"/>
      <c r="FC351" s="23"/>
      <c r="FD351" s="23"/>
      <c r="FE351" s="23"/>
      <c r="FF351" s="23"/>
      <c r="FG351" s="23"/>
      <c r="FH351" s="23"/>
      <c r="FI351" s="23"/>
      <c r="FJ351" s="23"/>
      <c r="FK351" s="23"/>
      <c r="FL351" s="23"/>
      <c r="FM351" s="23"/>
      <c r="FN351" s="23"/>
      <c r="FO351" s="23"/>
      <c r="FP351" s="23"/>
      <c r="FQ351" s="23"/>
      <c r="FR351" s="23"/>
      <c r="FS351" s="23"/>
      <c r="FT351" s="23"/>
      <c r="FU351" s="23"/>
      <c r="FV351" s="23"/>
      <c r="FW351" s="23"/>
    </row>
    <row r="352" spans="2:179" ht="15.75" hidden="1" customHeight="1">
      <c r="B352" s="23"/>
      <c r="C352" s="23"/>
      <c r="D352" s="26"/>
      <c r="E352" s="23"/>
      <c r="F352" s="23"/>
      <c r="G352" s="23"/>
      <c r="H352" s="23"/>
      <c r="I352" s="23"/>
      <c r="J352" s="23"/>
      <c r="K352" s="23"/>
      <c r="L352" s="23"/>
      <c r="M352" s="23"/>
      <c r="N352" s="23"/>
      <c r="O352" s="23"/>
      <c r="P352" s="23"/>
      <c r="Q352" s="23"/>
      <c r="R352" s="23"/>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c r="EH352" s="23"/>
      <c r="EI352" s="23"/>
      <c r="EJ352" s="23"/>
      <c r="EK352" s="23"/>
      <c r="EL352" s="23"/>
      <c r="EM352" s="23"/>
      <c r="EN352" s="23"/>
      <c r="EO352" s="23"/>
      <c r="EP352" s="23"/>
      <c r="EQ352" s="23"/>
      <c r="ER352" s="23"/>
      <c r="ES352" s="23"/>
      <c r="ET352" s="23"/>
      <c r="EU352" s="23"/>
      <c r="EV352" s="23"/>
      <c r="EW352" s="23"/>
      <c r="EX352" s="23"/>
      <c r="EY352" s="23"/>
      <c r="EZ352" s="23"/>
      <c r="FA352" s="23"/>
      <c r="FB352" s="23"/>
      <c r="FC352" s="23"/>
      <c r="FD352" s="23"/>
      <c r="FE352" s="23"/>
      <c r="FF352" s="23"/>
      <c r="FG352" s="23"/>
      <c r="FH352" s="23"/>
      <c r="FI352" s="23"/>
      <c r="FJ352" s="23"/>
      <c r="FK352" s="23"/>
      <c r="FL352" s="23"/>
      <c r="FM352" s="23"/>
      <c r="FN352" s="23"/>
      <c r="FO352" s="23"/>
      <c r="FP352" s="23"/>
      <c r="FQ352" s="23"/>
      <c r="FR352" s="23"/>
      <c r="FS352" s="23"/>
      <c r="FT352" s="23"/>
      <c r="FU352" s="23"/>
      <c r="FV352" s="23"/>
      <c r="FW352" s="23"/>
    </row>
    <row r="353" spans="2:179" ht="15.75" hidden="1" customHeight="1">
      <c r="B353" s="23"/>
      <c r="C353" s="23"/>
      <c r="D353" s="26"/>
      <c r="E353" s="23"/>
      <c r="F353" s="23"/>
      <c r="G353" s="23"/>
      <c r="H353" s="23"/>
      <c r="I353" s="23"/>
      <c r="J353" s="23"/>
      <c r="K353" s="23"/>
      <c r="L353" s="23"/>
      <c r="M353" s="23"/>
      <c r="N353" s="23"/>
      <c r="O353" s="23"/>
      <c r="P353" s="23"/>
      <c r="Q353" s="23"/>
      <c r="R353" s="23"/>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c r="EH353" s="23"/>
      <c r="EI353" s="23"/>
      <c r="EJ353" s="23"/>
      <c r="EK353" s="23"/>
      <c r="EL353" s="23"/>
      <c r="EM353" s="23"/>
      <c r="EN353" s="23"/>
      <c r="EO353" s="23"/>
      <c r="EP353" s="23"/>
      <c r="EQ353" s="23"/>
      <c r="ER353" s="23"/>
      <c r="ES353" s="23"/>
      <c r="ET353" s="23"/>
      <c r="EU353" s="23"/>
      <c r="EV353" s="23"/>
      <c r="EW353" s="23"/>
      <c r="EX353" s="23"/>
      <c r="EY353" s="23"/>
      <c r="EZ353" s="23"/>
      <c r="FA353" s="23"/>
      <c r="FB353" s="23"/>
      <c r="FC353" s="23"/>
      <c r="FD353" s="23"/>
      <c r="FE353" s="23"/>
      <c r="FF353" s="23"/>
      <c r="FG353" s="23"/>
      <c r="FH353" s="23"/>
      <c r="FI353" s="23"/>
      <c r="FJ353" s="23"/>
      <c r="FK353" s="23"/>
      <c r="FL353" s="23"/>
      <c r="FM353" s="23"/>
      <c r="FN353" s="23"/>
      <c r="FO353" s="23"/>
      <c r="FP353" s="23"/>
      <c r="FQ353" s="23"/>
      <c r="FR353" s="23"/>
      <c r="FS353" s="23"/>
      <c r="FT353" s="23"/>
      <c r="FU353" s="23"/>
      <c r="FV353" s="23"/>
      <c r="FW353" s="23"/>
    </row>
    <row r="354" spans="2:179" ht="15.75" hidden="1" customHeight="1">
      <c r="B354" s="23"/>
      <c r="C354" s="23"/>
      <c r="D354" s="26"/>
      <c r="E354" s="23"/>
      <c r="F354" s="23"/>
      <c r="G354" s="23"/>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23"/>
      <c r="EX354" s="23"/>
      <c r="EY354" s="23"/>
      <c r="EZ354" s="23"/>
      <c r="FA354" s="23"/>
      <c r="FB354" s="23"/>
      <c r="FC354" s="23"/>
      <c r="FD354" s="23"/>
      <c r="FE354" s="23"/>
      <c r="FF354" s="23"/>
      <c r="FG354" s="23"/>
      <c r="FH354" s="23"/>
      <c r="FI354" s="23"/>
      <c r="FJ354" s="23"/>
      <c r="FK354" s="23"/>
      <c r="FL354" s="23"/>
      <c r="FM354" s="23"/>
      <c r="FN354" s="23"/>
      <c r="FO354" s="23"/>
      <c r="FP354" s="23"/>
      <c r="FQ354" s="23"/>
      <c r="FR354" s="23"/>
      <c r="FS354" s="23"/>
      <c r="FT354" s="23"/>
      <c r="FU354" s="23"/>
      <c r="FV354" s="23"/>
      <c r="FW354" s="23"/>
    </row>
    <row r="355" spans="2:179" ht="15.75" hidden="1" customHeight="1">
      <c r="B355" s="23"/>
      <c r="C355" s="23"/>
      <c r="D355" s="26"/>
      <c r="E355" s="23"/>
      <c r="F355" s="23"/>
      <c r="G355" s="23"/>
      <c r="H355" s="23"/>
      <c r="I355" s="23"/>
      <c r="J355" s="23"/>
      <c r="K355" s="23"/>
      <c r="L355" s="23"/>
      <c r="M355" s="23"/>
      <c r="N355" s="23"/>
      <c r="O355" s="23"/>
      <c r="P355" s="23"/>
      <c r="Q355" s="23"/>
      <c r="R355" s="23"/>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c r="EB355" s="23"/>
      <c r="EC355" s="23"/>
      <c r="ED355" s="23"/>
      <c r="EE355" s="23"/>
      <c r="EF355" s="23"/>
      <c r="EG355" s="23"/>
      <c r="EH355" s="23"/>
      <c r="EI355" s="23"/>
      <c r="EJ355" s="23"/>
      <c r="EK355" s="23"/>
      <c r="EL355" s="23"/>
      <c r="EM355" s="23"/>
      <c r="EN355" s="23"/>
      <c r="EO355" s="23"/>
      <c r="EP355" s="23"/>
      <c r="EQ355" s="23"/>
      <c r="ER355" s="23"/>
      <c r="ES355" s="23"/>
      <c r="ET355" s="23"/>
      <c r="EU355" s="23"/>
      <c r="EV355" s="23"/>
      <c r="EW355" s="23"/>
      <c r="EX355" s="23"/>
      <c r="EY355" s="23"/>
      <c r="EZ355" s="23"/>
      <c r="FA355" s="23"/>
      <c r="FB355" s="23"/>
      <c r="FC355" s="23"/>
      <c r="FD355" s="23"/>
      <c r="FE355" s="23"/>
      <c r="FF355" s="23"/>
      <c r="FG355" s="23"/>
      <c r="FH355" s="23"/>
      <c r="FI355" s="23"/>
      <c r="FJ355" s="23"/>
      <c r="FK355" s="23"/>
      <c r="FL355" s="23"/>
      <c r="FM355" s="23"/>
      <c r="FN355" s="23"/>
      <c r="FO355" s="23"/>
      <c r="FP355" s="23"/>
      <c r="FQ355" s="23"/>
      <c r="FR355" s="23"/>
      <c r="FS355" s="23"/>
      <c r="FT355" s="23"/>
      <c r="FU355" s="23"/>
      <c r="FV355" s="23"/>
      <c r="FW355" s="23"/>
    </row>
    <row r="356" spans="2:179" ht="15.75" hidden="1" customHeight="1">
      <c r="B356" s="23"/>
      <c r="C356" s="23"/>
      <c r="D356" s="26"/>
      <c r="E356" s="23"/>
      <c r="F356" s="23"/>
      <c r="G356" s="23"/>
      <c r="H356" s="23"/>
      <c r="I356" s="23"/>
      <c r="J356" s="23"/>
      <c r="K356" s="23"/>
      <c r="L356" s="23"/>
      <c r="M356" s="23"/>
      <c r="N356" s="23"/>
      <c r="O356" s="23"/>
      <c r="P356" s="23"/>
      <c r="Q356" s="23"/>
      <c r="R356" s="23"/>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row>
    <row r="357" spans="2:179" ht="15.75" hidden="1" customHeight="1">
      <c r="B357" s="23"/>
      <c r="C357" s="23"/>
      <c r="D357" s="26"/>
      <c r="E357" s="23"/>
      <c r="F357" s="23"/>
      <c r="G357" s="23"/>
      <c r="H357" s="23"/>
      <c r="I357" s="23"/>
      <c r="J357" s="23"/>
      <c r="K357" s="23"/>
      <c r="L357" s="23"/>
      <c r="M357" s="23"/>
      <c r="N357" s="23"/>
      <c r="O357" s="23"/>
      <c r="P357" s="23"/>
      <c r="Q357" s="23"/>
      <c r="R357" s="23"/>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23"/>
      <c r="FC357" s="23"/>
      <c r="FD357" s="23"/>
      <c r="FE357" s="23"/>
      <c r="FF357" s="23"/>
      <c r="FG357" s="23"/>
      <c r="FH357" s="23"/>
      <c r="FI357" s="23"/>
      <c r="FJ357" s="23"/>
      <c r="FK357" s="23"/>
      <c r="FL357" s="23"/>
      <c r="FM357" s="23"/>
      <c r="FN357" s="23"/>
      <c r="FO357" s="23"/>
      <c r="FP357" s="23"/>
      <c r="FQ357" s="23"/>
      <c r="FR357" s="23"/>
      <c r="FS357" s="23"/>
      <c r="FT357" s="23"/>
      <c r="FU357" s="23"/>
      <c r="FV357" s="23"/>
      <c r="FW357" s="23"/>
    </row>
    <row r="358" spans="2:179" ht="15.75" hidden="1" customHeight="1">
      <c r="B358" s="23"/>
      <c r="C358" s="23"/>
      <c r="D358" s="26"/>
      <c r="E358" s="23"/>
      <c r="F358" s="23"/>
      <c r="G358" s="23"/>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row>
    <row r="359" spans="2:179" ht="15.75" hidden="1" customHeight="1">
      <c r="B359" s="23"/>
      <c r="C359" s="23"/>
      <c r="D359" s="26"/>
      <c r="E359" s="23"/>
      <c r="F359" s="23"/>
      <c r="G359" s="23"/>
      <c r="H359" s="23"/>
      <c r="I359" s="23"/>
      <c r="J359" s="23"/>
      <c r="K359" s="23"/>
      <c r="L359" s="23"/>
      <c r="M359" s="23"/>
      <c r="N359" s="23"/>
      <c r="O359" s="23"/>
      <c r="P359" s="23"/>
      <c r="Q359" s="23"/>
      <c r="R359" s="23"/>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23"/>
      <c r="FC359" s="23"/>
      <c r="FD359" s="23"/>
      <c r="FE359" s="23"/>
      <c r="FF359" s="23"/>
      <c r="FG359" s="23"/>
      <c r="FH359" s="23"/>
      <c r="FI359" s="23"/>
      <c r="FJ359" s="23"/>
      <c r="FK359" s="23"/>
      <c r="FL359" s="23"/>
      <c r="FM359" s="23"/>
      <c r="FN359" s="23"/>
      <c r="FO359" s="23"/>
      <c r="FP359" s="23"/>
      <c r="FQ359" s="23"/>
      <c r="FR359" s="23"/>
      <c r="FS359" s="23"/>
      <c r="FT359" s="23"/>
      <c r="FU359" s="23"/>
      <c r="FV359" s="23"/>
      <c r="FW359" s="23"/>
    </row>
    <row r="360" spans="2:179" ht="15.75" hidden="1" customHeight="1">
      <c r="B360" s="23"/>
      <c r="C360" s="23"/>
      <c r="D360" s="26"/>
      <c r="E360" s="23"/>
      <c r="F360" s="23"/>
      <c r="G360" s="23"/>
      <c r="H360" s="23"/>
      <c r="I360" s="23"/>
      <c r="J360" s="23"/>
      <c r="K360" s="23"/>
      <c r="L360" s="23"/>
      <c r="M360" s="23"/>
      <c r="N360" s="23"/>
      <c r="O360" s="23"/>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23"/>
      <c r="EX360" s="23"/>
      <c r="EY360" s="23"/>
      <c r="EZ360" s="23"/>
      <c r="FA360" s="23"/>
      <c r="FB360" s="23"/>
      <c r="FC360" s="23"/>
      <c r="FD360" s="23"/>
      <c r="FE360" s="23"/>
      <c r="FF360" s="23"/>
      <c r="FG360" s="23"/>
      <c r="FH360" s="23"/>
      <c r="FI360" s="23"/>
      <c r="FJ360" s="23"/>
      <c r="FK360" s="23"/>
      <c r="FL360" s="23"/>
      <c r="FM360" s="23"/>
      <c r="FN360" s="23"/>
      <c r="FO360" s="23"/>
      <c r="FP360" s="23"/>
      <c r="FQ360" s="23"/>
      <c r="FR360" s="23"/>
      <c r="FS360" s="23"/>
      <c r="FT360" s="23"/>
      <c r="FU360" s="23"/>
      <c r="FV360" s="23"/>
      <c r="FW360" s="23"/>
    </row>
    <row r="361" spans="2:179" ht="15.75" hidden="1" customHeight="1">
      <c r="B361" s="23"/>
      <c r="C361" s="23"/>
      <c r="D361" s="26"/>
      <c r="E361" s="23"/>
      <c r="F361" s="23"/>
      <c r="G361" s="23"/>
      <c r="H361" s="23"/>
      <c r="I361" s="23"/>
      <c r="J361" s="23"/>
      <c r="K361" s="23"/>
      <c r="L361" s="23"/>
      <c r="M361" s="23"/>
      <c r="N361" s="23"/>
      <c r="O361" s="23"/>
      <c r="P361" s="23"/>
      <c r="Q361" s="23"/>
      <c r="R361" s="23"/>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23"/>
      <c r="DX361" s="23"/>
      <c r="DY361" s="23"/>
      <c r="DZ361" s="23"/>
      <c r="EA361" s="23"/>
      <c r="EB361" s="23"/>
      <c r="EC361" s="23"/>
      <c r="ED361" s="23"/>
      <c r="EE361" s="23"/>
      <c r="EF361" s="23"/>
      <c r="EG361" s="23"/>
      <c r="EH361" s="23"/>
      <c r="EI361" s="23"/>
      <c r="EJ361" s="23"/>
      <c r="EK361" s="23"/>
      <c r="EL361" s="23"/>
      <c r="EM361" s="23"/>
      <c r="EN361" s="23"/>
      <c r="EO361" s="23"/>
      <c r="EP361" s="23"/>
      <c r="EQ361" s="23"/>
      <c r="ER361" s="23"/>
      <c r="ES361" s="23"/>
      <c r="ET361" s="23"/>
      <c r="EU361" s="23"/>
      <c r="EV361" s="23"/>
      <c r="EW361" s="23"/>
      <c r="EX361" s="23"/>
      <c r="EY361" s="23"/>
      <c r="EZ361" s="23"/>
      <c r="FA361" s="23"/>
      <c r="FB361" s="23"/>
      <c r="FC361" s="23"/>
      <c r="FD361" s="23"/>
      <c r="FE361" s="23"/>
      <c r="FF361" s="23"/>
      <c r="FG361" s="23"/>
      <c r="FH361" s="23"/>
      <c r="FI361" s="23"/>
      <c r="FJ361" s="23"/>
      <c r="FK361" s="23"/>
      <c r="FL361" s="23"/>
      <c r="FM361" s="23"/>
      <c r="FN361" s="23"/>
      <c r="FO361" s="23"/>
      <c r="FP361" s="23"/>
      <c r="FQ361" s="23"/>
      <c r="FR361" s="23"/>
      <c r="FS361" s="23"/>
      <c r="FT361" s="23"/>
      <c r="FU361" s="23"/>
      <c r="FV361" s="23"/>
      <c r="FW361" s="23"/>
    </row>
    <row r="362" spans="2:179" ht="15.75" hidden="1" customHeight="1">
      <c r="B362" s="23"/>
      <c r="C362" s="23"/>
      <c r="D362" s="26"/>
      <c r="E362" s="23"/>
      <c r="F362" s="23"/>
      <c r="G362" s="23"/>
      <c r="H362" s="23"/>
      <c r="I362" s="23"/>
      <c r="J362" s="23"/>
      <c r="K362" s="23"/>
      <c r="L362" s="23"/>
      <c r="M362" s="23"/>
      <c r="N362" s="23"/>
      <c r="O362" s="23"/>
      <c r="P362" s="23"/>
      <c r="Q362" s="23"/>
      <c r="R362" s="23"/>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23"/>
      <c r="EX362" s="23"/>
      <c r="EY362" s="23"/>
      <c r="EZ362" s="23"/>
      <c r="FA362" s="23"/>
      <c r="FB362" s="23"/>
      <c r="FC362" s="23"/>
      <c r="FD362" s="23"/>
      <c r="FE362" s="23"/>
      <c r="FF362" s="23"/>
      <c r="FG362" s="23"/>
      <c r="FH362" s="23"/>
      <c r="FI362" s="23"/>
      <c r="FJ362" s="23"/>
      <c r="FK362" s="23"/>
      <c r="FL362" s="23"/>
      <c r="FM362" s="23"/>
      <c r="FN362" s="23"/>
      <c r="FO362" s="23"/>
      <c r="FP362" s="23"/>
      <c r="FQ362" s="23"/>
      <c r="FR362" s="23"/>
      <c r="FS362" s="23"/>
      <c r="FT362" s="23"/>
      <c r="FU362" s="23"/>
      <c r="FV362" s="23"/>
      <c r="FW362" s="23"/>
    </row>
    <row r="363" spans="2:179" ht="15.75" hidden="1" customHeight="1">
      <c r="B363" s="23"/>
      <c r="C363" s="23"/>
      <c r="D363" s="26"/>
      <c r="E363" s="23"/>
      <c r="F363" s="23"/>
      <c r="G363" s="23"/>
      <c r="H363" s="23"/>
      <c r="I363" s="23"/>
      <c r="J363" s="23"/>
      <c r="K363" s="23"/>
      <c r="L363" s="23"/>
      <c r="M363" s="23"/>
      <c r="N363" s="23"/>
      <c r="O363" s="23"/>
      <c r="P363" s="23"/>
      <c r="Q363" s="23"/>
      <c r="R363" s="23"/>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23"/>
      <c r="DX363" s="23"/>
      <c r="DY363" s="23"/>
      <c r="DZ363" s="23"/>
      <c r="EA363" s="23"/>
      <c r="EB363" s="23"/>
      <c r="EC363" s="23"/>
      <c r="ED363" s="23"/>
      <c r="EE363" s="23"/>
      <c r="EF363" s="23"/>
      <c r="EG363" s="23"/>
      <c r="EH363" s="23"/>
      <c r="EI363" s="23"/>
      <c r="EJ363" s="23"/>
      <c r="EK363" s="23"/>
      <c r="EL363" s="23"/>
      <c r="EM363" s="23"/>
      <c r="EN363" s="23"/>
      <c r="EO363" s="23"/>
      <c r="EP363" s="23"/>
      <c r="EQ363" s="23"/>
      <c r="ER363" s="23"/>
      <c r="ES363" s="23"/>
      <c r="ET363" s="23"/>
      <c r="EU363" s="23"/>
      <c r="EV363" s="23"/>
      <c r="EW363" s="23"/>
      <c r="EX363" s="23"/>
      <c r="EY363" s="23"/>
      <c r="EZ363" s="23"/>
      <c r="FA363" s="23"/>
      <c r="FB363" s="23"/>
      <c r="FC363" s="23"/>
      <c r="FD363" s="23"/>
      <c r="FE363" s="23"/>
      <c r="FF363" s="23"/>
      <c r="FG363" s="23"/>
      <c r="FH363" s="23"/>
      <c r="FI363" s="23"/>
      <c r="FJ363" s="23"/>
      <c r="FK363" s="23"/>
      <c r="FL363" s="23"/>
      <c r="FM363" s="23"/>
      <c r="FN363" s="23"/>
      <c r="FO363" s="23"/>
      <c r="FP363" s="23"/>
      <c r="FQ363" s="23"/>
      <c r="FR363" s="23"/>
      <c r="FS363" s="23"/>
      <c r="FT363" s="23"/>
      <c r="FU363" s="23"/>
      <c r="FV363" s="23"/>
      <c r="FW363" s="23"/>
    </row>
    <row r="364" spans="2:179" ht="15.75" hidden="1" customHeight="1">
      <c r="B364" s="23"/>
      <c r="C364" s="23"/>
      <c r="D364" s="26"/>
      <c r="E364" s="23"/>
      <c r="F364" s="23"/>
      <c r="G364" s="23"/>
      <c r="H364" s="23"/>
      <c r="I364" s="23"/>
      <c r="J364" s="23"/>
      <c r="K364" s="23"/>
      <c r="L364" s="23"/>
      <c r="M364" s="23"/>
      <c r="N364" s="23"/>
      <c r="O364" s="23"/>
      <c r="P364" s="23"/>
      <c r="Q364" s="23"/>
      <c r="R364" s="23"/>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23"/>
      <c r="FC364" s="23"/>
      <c r="FD364" s="23"/>
      <c r="FE364" s="23"/>
      <c r="FF364" s="23"/>
      <c r="FG364" s="23"/>
      <c r="FH364" s="23"/>
      <c r="FI364" s="23"/>
      <c r="FJ364" s="23"/>
      <c r="FK364" s="23"/>
      <c r="FL364" s="23"/>
      <c r="FM364" s="23"/>
      <c r="FN364" s="23"/>
      <c r="FO364" s="23"/>
      <c r="FP364" s="23"/>
      <c r="FQ364" s="23"/>
      <c r="FR364" s="23"/>
      <c r="FS364" s="23"/>
      <c r="FT364" s="23"/>
      <c r="FU364" s="23"/>
      <c r="FV364" s="23"/>
      <c r="FW364" s="23"/>
    </row>
    <row r="365" spans="2:179" ht="15.75" hidden="1" customHeight="1">
      <c r="B365" s="23"/>
      <c r="C365" s="23"/>
      <c r="D365" s="26"/>
      <c r="E365" s="23"/>
      <c r="F365" s="23"/>
      <c r="G365" s="23"/>
      <c r="H365" s="23"/>
      <c r="I365" s="23"/>
      <c r="J365" s="23"/>
      <c r="K365" s="23"/>
      <c r="L365" s="23"/>
      <c r="M365" s="23"/>
      <c r="N365" s="23"/>
      <c r="O365" s="23"/>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c r="DL365" s="23"/>
      <c r="DM365" s="23"/>
      <c r="DN365" s="23"/>
      <c r="DO365" s="23"/>
      <c r="DP365" s="23"/>
      <c r="DQ365" s="23"/>
      <c r="DR365" s="23"/>
      <c r="DS365" s="23"/>
      <c r="DT365" s="23"/>
      <c r="DU365" s="23"/>
      <c r="DV365" s="23"/>
      <c r="DW365" s="23"/>
      <c r="DX365" s="23"/>
      <c r="DY365" s="23"/>
      <c r="DZ365" s="23"/>
      <c r="EA365" s="23"/>
      <c r="EB365" s="23"/>
      <c r="EC365" s="23"/>
      <c r="ED365" s="23"/>
      <c r="EE365" s="23"/>
      <c r="EF365" s="23"/>
      <c r="EG365" s="23"/>
      <c r="EH365" s="23"/>
      <c r="EI365" s="23"/>
      <c r="EJ365" s="23"/>
      <c r="EK365" s="23"/>
      <c r="EL365" s="23"/>
      <c r="EM365" s="23"/>
      <c r="EN365" s="23"/>
      <c r="EO365" s="23"/>
      <c r="EP365" s="23"/>
      <c r="EQ365" s="23"/>
      <c r="ER365" s="23"/>
      <c r="ES365" s="23"/>
      <c r="ET365" s="23"/>
      <c r="EU365" s="23"/>
      <c r="EV365" s="23"/>
      <c r="EW365" s="23"/>
      <c r="EX365" s="23"/>
      <c r="EY365" s="23"/>
      <c r="EZ365" s="23"/>
      <c r="FA365" s="23"/>
      <c r="FB365" s="23"/>
      <c r="FC365" s="23"/>
      <c r="FD365" s="23"/>
      <c r="FE365" s="23"/>
      <c r="FF365" s="23"/>
      <c r="FG365" s="23"/>
      <c r="FH365" s="23"/>
      <c r="FI365" s="23"/>
      <c r="FJ365" s="23"/>
      <c r="FK365" s="23"/>
      <c r="FL365" s="23"/>
      <c r="FM365" s="23"/>
      <c r="FN365" s="23"/>
      <c r="FO365" s="23"/>
      <c r="FP365" s="23"/>
      <c r="FQ365" s="23"/>
      <c r="FR365" s="23"/>
      <c r="FS365" s="23"/>
      <c r="FT365" s="23"/>
      <c r="FU365" s="23"/>
      <c r="FV365" s="23"/>
      <c r="FW365" s="23"/>
    </row>
    <row r="366" spans="2:179" ht="15.75" hidden="1" customHeight="1">
      <c r="B366" s="23"/>
      <c r="C366" s="23"/>
      <c r="D366" s="26"/>
      <c r="E366" s="23"/>
      <c r="F366" s="23"/>
      <c r="G366" s="23"/>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23"/>
      <c r="FC366" s="23"/>
      <c r="FD366" s="23"/>
      <c r="FE366" s="23"/>
      <c r="FF366" s="23"/>
      <c r="FG366" s="23"/>
      <c r="FH366" s="23"/>
      <c r="FI366" s="23"/>
      <c r="FJ366" s="23"/>
      <c r="FK366" s="23"/>
      <c r="FL366" s="23"/>
      <c r="FM366" s="23"/>
      <c r="FN366" s="23"/>
      <c r="FO366" s="23"/>
      <c r="FP366" s="23"/>
      <c r="FQ366" s="23"/>
      <c r="FR366" s="23"/>
      <c r="FS366" s="23"/>
      <c r="FT366" s="23"/>
      <c r="FU366" s="23"/>
      <c r="FV366" s="23"/>
      <c r="FW366" s="23"/>
    </row>
    <row r="367" spans="2:179" ht="15.75" hidden="1" customHeight="1">
      <c r="B367" s="23"/>
      <c r="C367" s="23"/>
      <c r="D367" s="26"/>
      <c r="E367" s="23"/>
      <c r="F367" s="23"/>
      <c r="G367" s="23"/>
      <c r="H367" s="23"/>
      <c r="I367" s="23"/>
      <c r="J367" s="23"/>
      <c r="K367" s="23"/>
      <c r="L367" s="23"/>
      <c r="M367" s="23"/>
      <c r="N367" s="23"/>
      <c r="O367" s="23"/>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23"/>
      <c r="DX367" s="23"/>
      <c r="DY367" s="23"/>
      <c r="DZ367" s="23"/>
      <c r="EA367" s="23"/>
      <c r="EB367" s="23"/>
      <c r="EC367" s="23"/>
      <c r="ED367" s="23"/>
      <c r="EE367" s="23"/>
      <c r="EF367" s="23"/>
      <c r="EG367" s="23"/>
      <c r="EH367" s="23"/>
      <c r="EI367" s="23"/>
      <c r="EJ367" s="23"/>
      <c r="EK367" s="23"/>
      <c r="EL367" s="23"/>
      <c r="EM367" s="23"/>
      <c r="EN367" s="23"/>
      <c r="EO367" s="23"/>
      <c r="EP367" s="23"/>
      <c r="EQ367" s="23"/>
      <c r="ER367" s="23"/>
      <c r="ES367" s="23"/>
      <c r="ET367" s="23"/>
      <c r="EU367" s="23"/>
      <c r="EV367" s="23"/>
      <c r="EW367" s="23"/>
      <c r="EX367" s="23"/>
      <c r="EY367" s="23"/>
      <c r="EZ367" s="23"/>
      <c r="FA367" s="23"/>
      <c r="FB367" s="23"/>
      <c r="FC367" s="23"/>
      <c r="FD367" s="23"/>
      <c r="FE367" s="23"/>
      <c r="FF367" s="23"/>
      <c r="FG367" s="23"/>
      <c r="FH367" s="23"/>
      <c r="FI367" s="23"/>
      <c r="FJ367" s="23"/>
      <c r="FK367" s="23"/>
      <c r="FL367" s="23"/>
      <c r="FM367" s="23"/>
      <c r="FN367" s="23"/>
      <c r="FO367" s="23"/>
      <c r="FP367" s="23"/>
      <c r="FQ367" s="23"/>
      <c r="FR367" s="23"/>
      <c r="FS367" s="23"/>
      <c r="FT367" s="23"/>
      <c r="FU367" s="23"/>
      <c r="FV367" s="23"/>
      <c r="FW367" s="23"/>
    </row>
    <row r="368" spans="2:179" ht="15.75" hidden="1" customHeight="1">
      <c r="B368" s="23"/>
      <c r="C368" s="23"/>
      <c r="D368" s="26"/>
      <c r="E368" s="23"/>
      <c r="F368" s="23"/>
      <c r="G368" s="23"/>
      <c r="H368" s="23"/>
      <c r="I368" s="23"/>
      <c r="J368" s="23"/>
      <c r="K368" s="23"/>
      <c r="L368" s="23"/>
      <c r="M368" s="23"/>
      <c r="N368" s="23"/>
      <c r="O368" s="23"/>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c r="EH368" s="23"/>
      <c r="EI368" s="23"/>
      <c r="EJ368" s="23"/>
      <c r="EK368" s="23"/>
      <c r="EL368" s="23"/>
      <c r="EM368" s="23"/>
      <c r="EN368" s="23"/>
      <c r="EO368" s="23"/>
      <c r="EP368" s="23"/>
      <c r="EQ368" s="23"/>
      <c r="ER368" s="23"/>
      <c r="ES368" s="23"/>
      <c r="ET368" s="23"/>
      <c r="EU368" s="23"/>
      <c r="EV368" s="23"/>
      <c r="EW368" s="23"/>
      <c r="EX368" s="23"/>
      <c r="EY368" s="23"/>
      <c r="EZ368" s="23"/>
      <c r="FA368" s="23"/>
      <c r="FB368" s="23"/>
      <c r="FC368" s="23"/>
      <c r="FD368" s="23"/>
      <c r="FE368" s="23"/>
      <c r="FF368" s="23"/>
      <c r="FG368" s="23"/>
      <c r="FH368" s="23"/>
      <c r="FI368" s="23"/>
      <c r="FJ368" s="23"/>
      <c r="FK368" s="23"/>
      <c r="FL368" s="23"/>
      <c r="FM368" s="23"/>
      <c r="FN368" s="23"/>
      <c r="FO368" s="23"/>
      <c r="FP368" s="23"/>
      <c r="FQ368" s="23"/>
      <c r="FR368" s="23"/>
      <c r="FS368" s="23"/>
      <c r="FT368" s="23"/>
      <c r="FU368" s="23"/>
      <c r="FV368" s="23"/>
      <c r="FW368" s="23"/>
    </row>
    <row r="369" spans="2:179" ht="15.75" hidden="1" customHeight="1">
      <c r="B369" s="23"/>
      <c r="C369" s="23"/>
      <c r="D369" s="26"/>
      <c r="E369" s="23"/>
      <c r="F369" s="23"/>
      <c r="G369" s="23"/>
      <c r="H369" s="23"/>
      <c r="I369" s="23"/>
      <c r="J369" s="23"/>
      <c r="K369" s="23"/>
      <c r="L369" s="23"/>
      <c r="M369" s="23"/>
      <c r="N369" s="23"/>
      <c r="O369" s="23"/>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23"/>
      <c r="DX369" s="23"/>
      <c r="DY369" s="23"/>
      <c r="DZ369" s="23"/>
      <c r="EA369" s="23"/>
      <c r="EB369" s="23"/>
      <c r="EC369" s="23"/>
      <c r="ED369" s="23"/>
      <c r="EE369" s="23"/>
      <c r="EF369" s="23"/>
      <c r="EG369" s="23"/>
      <c r="EH369" s="23"/>
      <c r="EI369" s="23"/>
      <c r="EJ369" s="23"/>
      <c r="EK369" s="23"/>
      <c r="EL369" s="23"/>
      <c r="EM369" s="23"/>
      <c r="EN369" s="23"/>
      <c r="EO369" s="23"/>
      <c r="EP369" s="23"/>
      <c r="EQ369" s="23"/>
      <c r="ER369" s="23"/>
      <c r="ES369" s="23"/>
      <c r="ET369" s="23"/>
      <c r="EU369" s="23"/>
      <c r="EV369" s="23"/>
      <c r="EW369" s="23"/>
      <c r="EX369" s="23"/>
      <c r="EY369" s="23"/>
      <c r="EZ369" s="23"/>
      <c r="FA369" s="23"/>
      <c r="FB369" s="23"/>
      <c r="FC369" s="23"/>
      <c r="FD369" s="23"/>
      <c r="FE369" s="23"/>
      <c r="FF369" s="23"/>
      <c r="FG369" s="23"/>
      <c r="FH369" s="23"/>
      <c r="FI369" s="23"/>
      <c r="FJ369" s="23"/>
      <c r="FK369" s="23"/>
      <c r="FL369" s="23"/>
      <c r="FM369" s="23"/>
      <c r="FN369" s="23"/>
      <c r="FO369" s="23"/>
      <c r="FP369" s="23"/>
      <c r="FQ369" s="23"/>
      <c r="FR369" s="23"/>
      <c r="FS369" s="23"/>
      <c r="FT369" s="23"/>
      <c r="FU369" s="23"/>
      <c r="FV369" s="23"/>
      <c r="FW369" s="23"/>
    </row>
    <row r="370" spans="2:179" ht="15.75" hidden="1" customHeight="1">
      <c r="B370" s="23"/>
      <c r="C370" s="23"/>
      <c r="D370" s="26"/>
      <c r="E370" s="23"/>
      <c r="F370" s="23"/>
      <c r="G370" s="23"/>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23"/>
      <c r="EX370" s="23"/>
      <c r="EY370" s="23"/>
      <c r="EZ370" s="23"/>
      <c r="FA370" s="23"/>
      <c r="FB370" s="23"/>
      <c r="FC370" s="23"/>
      <c r="FD370" s="23"/>
      <c r="FE370" s="23"/>
      <c r="FF370" s="23"/>
      <c r="FG370" s="23"/>
      <c r="FH370" s="23"/>
      <c r="FI370" s="23"/>
      <c r="FJ370" s="23"/>
      <c r="FK370" s="23"/>
      <c r="FL370" s="23"/>
      <c r="FM370" s="23"/>
      <c r="FN370" s="23"/>
      <c r="FO370" s="23"/>
      <c r="FP370" s="23"/>
      <c r="FQ370" s="23"/>
      <c r="FR370" s="23"/>
      <c r="FS370" s="23"/>
      <c r="FT370" s="23"/>
      <c r="FU370" s="23"/>
      <c r="FV370" s="23"/>
      <c r="FW370" s="23"/>
    </row>
    <row r="371" spans="2:179" ht="15.75" hidden="1" customHeight="1">
      <c r="B371" s="23"/>
      <c r="C371" s="23"/>
      <c r="D371" s="26"/>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23"/>
      <c r="EX371" s="23"/>
      <c r="EY371" s="23"/>
      <c r="EZ371" s="23"/>
      <c r="FA371" s="23"/>
      <c r="FB371" s="23"/>
      <c r="FC371" s="23"/>
      <c r="FD371" s="23"/>
      <c r="FE371" s="23"/>
      <c r="FF371" s="23"/>
      <c r="FG371" s="23"/>
      <c r="FH371" s="23"/>
      <c r="FI371" s="23"/>
      <c r="FJ371" s="23"/>
      <c r="FK371" s="23"/>
      <c r="FL371" s="23"/>
      <c r="FM371" s="23"/>
      <c r="FN371" s="23"/>
      <c r="FO371" s="23"/>
      <c r="FP371" s="23"/>
      <c r="FQ371" s="23"/>
      <c r="FR371" s="23"/>
      <c r="FS371" s="23"/>
      <c r="FT371" s="23"/>
      <c r="FU371" s="23"/>
      <c r="FV371" s="23"/>
      <c r="FW371" s="23"/>
    </row>
    <row r="372" spans="2:179" ht="15.75" hidden="1" customHeight="1">
      <c r="B372" s="23"/>
      <c r="C372" s="23"/>
      <c r="D372" s="26"/>
      <c r="E372" s="23"/>
      <c r="F372" s="23"/>
      <c r="G372" s="23"/>
      <c r="H372" s="23"/>
      <c r="I372" s="23"/>
      <c r="J372" s="23"/>
      <c r="K372" s="23"/>
      <c r="L372" s="23"/>
      <c r="M372" s="23"/>
      <c r="N372" s="23"/>
      <c r="O372" s="23"/>
      <c r="P372" s="23"/>
      <c r="Q372" s="23"/>
      <c r="R372" s="23"/>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c r="EH372" s="23"/>
      <c r="EI372" s="23"/>
      <c r="EJ372" s="23"/>
      <c r="EK372" s="23"/>
      <c r="EL372" s="23"/>
      <c r="EM372" s="23"/>
      <c r="EN372" s="23"/>
      <c r="EO372" s="23"/>
      <c r="EP372" s="23"/>
      <c r="EQ372" s="23"/>
      <c r="ER372" s="23"/>
      <c r="ES372" s="23"/>
      <c r="ET372" s="23"/>
      <c r="EU372" s="23"/>
      <c r="EV372" s="23"/>
      <c r="EW372" s="23"/>
      <c r="EX372" s="23"/>
      <c r="EY372" s="23"/>
      <c r="EZ372" s="23"/>
      <c r="FA372" s="23"/>
      <c r="FB372" s="23"/>
      <c r="FC372" s="23"/>
      <c r="FD372" s="23"/>
      <c r="FE372" s="23"/>
      <c r="FF372" s="23"/>
      <c r="FG372" s="23"/>
      <c r="FH372" s="23"/>
      <c r="FI372" s="23"/>
      <c r="FJ372" s="23"/>
      <c r="FK372" s="23"/>
      <c r="FL372" s="23"/>
      <c r="FM372" s="23"/>
      <c r="FN372" s="23"/>
      <c r="FO372" s="23"/>
      <c r="FP372" s="23"/>
      <c r="FQ372" s="23"/>
      <c r="FR372" s="23"/>
      <c r="FS372" s="23"/>
      <c r="FT372" s="23"/>
      <c r="FU372" s="23"/>
      <c r="FV372" s="23"/>
      <c r="FW372" s="23"/>
    </row>
    <row r="373" spans="2:179" ht="15.75" hidden="1" customHeight="1">
      <c r="B373" s="23"/>
      <c r="C373" s="23"/>
      <c r="D373" s="26"/>
      <c r="E373" s="23"/>
      <c r="F373" s="23"/>
      <c r="G373" s="23"/>
      <c r="H373" s="23"/>
      <c r="I373" s="23"/>
      <c r="J373" s="23"/>
      <c r="K373" s="23"/>
      <c r="L373" s="23"/>
      <c r="M373" s="23"/>
      <c r="N373" s="23"/>
      <c r="O373" s="23"/>
      <c r="P373" s="23"/>
      <c r="Q373" s="23"/>
      <c r="R373" s="23"/>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5"/>
      <c r="AZ373" s="25"/>
      <c r="BA373" s="25"/>
      <c r="BB373" s="25"/>
      <c r="BC373" s="25"/>
      <c r="BD373" s="25"/>
      <c r="BE373" s="25"/>
      <c r="BF373" s="25"/>
      <c r="BG373" s="25"/>
      <c r="BH373" s="25"/>
      <c r="BI373" s="25"/>
      <c r="BJ373" s="25"/>
      <c r="BK373" s="25"/>
      <c r="BL373" s="25"/>
      <c r="BM373" s="25"/>
      <c r="BN373" s="25"/>
      <c r="BO373" s="25"/>
      <c r="BP373" s="25"/>
      <c r="BQ373" s="25"/>
      <c r="BR373" s="25"/>
      <c r="BS373" s="25"/>
      <c r="BT373" s="25"/>
      <c r="BU373" s="25"/>
      <c r="BV373" s="25"/>
      <c r="BW373" s="25"/>
      <c r="BX373" s="25"/>
      <c r="BY373" s="25"/>
      <c r="BZ373" s="25"/>
      <c r="CA373" s="25"/>
      <c r="CB373" s="25"/>
      <c r="CC373" s="25"/>
      <c r="CD373" s="25"/>
      <c r="CE373" s="25"/>
      <c r="CF373" s="25"/>
      <c r="CG373" s="25"/>
      <c r="CH373" s="25"/>
      <c r="CI373" s="25"/>
      <c r="CJ373" s="25"/>
      <c r="CK373" s="25"/>
      <c r="CL373" s="25"/>
      <c r="CM373" s="25"/>
      <c r="CN373" s="25"/>
      <c r="CO373" s="25"/>
      <c r="CP373" s="25"/>
      <c r="CQ373" s="25"/>
      <c r="CR373" s="25"/>
      <c r="CS373" s="25"/>
      <c r="CT373" s="25"/>
      <c r="CU373" s="25"/>
      <c r="CV373" s="25"/>
      <c r="CW373" s="25"/>
      <c r="CX373" s="25"/>
      <c r="CY373" s="25"/>
      <c r="CZ373" s="25"/>
      <c r="DA373" s="25"/>
      <c r="DB373" s="25"/>
      <c r="DC373" s="25"/>
      <c r="DD373" s="25"/>
      <c r="DE373" s="25"/>
      <c r="DF373" s="25"/>
      <c r="DG373" s="25"/>
      <c r="DH373" s="25"/>
      <c r="DI373" s="25"/>
      <c r="DJ373" s="25"/>
      <c r="DK373" s="25"/>
      <c r="DL373" s="25"/>
      <c r="DM373" s="25"/>
      <c r="DN373" s="25"/>
      <c r="DO373" s="25"/>
      <c r="DP373" s="25"/>
      <c r="DQ373" s="25"/>
      <c r="DR373" s="25"/>
      <c r="DS373" s="25"/>
      <c r="DT373" s="25"/>
      <c r="DU373" s="25"/>
      <c r="DV373" s="25"/>
      <c r="DW373" s="25"/>
      <c r="DX373" s="25"/>
      <c r="DY373" s="25"/>
      <c r="DZ373" s="25"/>
      <c r="EA373" s="25"/>
      <c r="EB373" s="25"/>
      <c r="EC373" s="25"/>
      <c r="ED373" s="25"/>
      <c r="EE373" s="25"/>
      <c r="EF373" s="25"/>
      <c r="EG373" s="25"/>
      <c r="EH373" s="25"/>
      <c r="EI373" s="25"/>
      <c r="EJ373" s="25"/>
      <c r="EK373" s="25"/>
      <c r="EL373" s="25"/>
      <c r="EM373" s="25"/>
      <c r="EN373" s="25"/>
      <c r="EO373" s="25"/>
      <c r="EP373" s="25"/>
      <c r="EQ373" s="25"/>
      <c r="ER373" s="25"/>
      <c r="ES373" s="25"/>
      <c r="ET373" s="25"/>
      <c r="EU373" s="25"/>
      <c r="EV373" s="25"/>
      <c r="EW373" s="25"/>
      <c r="EX373" s="25"/>
      <c r="EY373" s="25"/>
      <c r="EZ373" s="25"/>
      <c r="FA373" s="25"/>
      <c r="FB373" s="25"/>
      <c r="FC373" s="25"/>
      <c r="FD373" s="25"/>
      <c r="FE373" s="25"/>
      <c r="FF373" s="25"/>
      <c r="FG373" s="25"/>
      <c r="FH373" s="25"/>
      <c r="FI373" s="25"/>
      <c r="FJ373" s="25"/>
      <c r="FK373" s="25"/>
      <c r="FL373" s="25"/>
      <c r="FM373" s="25"/>
      <c r="FN373" s="25"/>
      <c r="FO373" s="25"/>
      <c r="FP373" s="25"/>
      <c r="FQ373" s="25"/>
      <c r="FR373" s="25"/>
      <c r="FS373" s="25"/>
      <c r="FT373" s="25"/>
      <c r="FU373" s="25"/>
      <c r="FV373" s="25"/>
      <c r="FW373" s="25"/>
    </row>
    <row r="374" spans="2:179" hidden="1">
      <c r="D374" s="4"/>
    </row>
    <row r="375" spans="2:179" hidden="1">
      <c r="D375" s="4"/>
    </row>
    <row r="376" spans="2:179" hidden="1">
      <c r="D376" s="4"/>
    </row>
    <row r="377" spans="2:179" hidden="1">
      <c r="D377" s="4"/>
    </row>
    <row r="378" spans="2:179" hidden="1">
      <c r="D378" s="4"/>
    </row>
    <row r="379" spans="2:179" hidden="1">
      <c r="D379" s="4"/>
    </row>
    <row r="380" spans="2:179" hidden="1">
      <c r="D380" s="4"/>
    </row>
    <row r="381" spans="2:179" hidden="1">
      <c r="D381" s="4"/>
    </row>
    <row r="382" spans="2:179" hidden="1">
      <c r="D382" s="4"/>
    </row>
    <row r="383" spans="2:179" hidden="1">
      <c r="D383" s="4"/>
    </row>
    <row r="384" spans="2:179" hidden="1">
      <c r="D384" s="4"/>
    </row>
    <row r="385" spans="4:4" hidden="1">
      <c r="D385" s="4"/>
    </row>
    <row r="386" spans="4:4" hidden="1">
      <c r="D386" s="4"/>
    </row>
    <row r="387" spans="4:4" hidden="1">
      <c r="D387" s="4"/>
    </row>
    <row r="388" spans="4:4" hidden="1">
      <c r="D388" s="4"/>
    </row>
    <row r="389" spans="4:4" hidden="1">
      <c r="D389" s="4"/>
    </row>
    <row r="390" spans="4:4" hidden="1">
      <c r="D390" s="4"/>
    </row>
    <row r="391" spans="4:4" hidden="1">
      <c r="D391" s="4"/>
    </row>
    <row r="392" spans="4:4" hidden="1">
      <c r="D392" s="4"/>
    </row>
    <row r="393" spans="4:4" hidden="1">
      <c r="D393" s="4"/>
    </row>
    <row r="394" spans="4:4" hidden="1">
      <c r="D394" s="4"/>
    </row>
    <row r="395" spans="4:4" hidden="1">
      <c r="D395" s="4"/>
    </row>
    <row r="396" spans="4:4" hidden="1">
      <c r="D396" s="4"/>
    </row>
    <row r="397" spans="4:4" hidden="1">
      <c r="D397" s="4"/>
    </row>
    <row r="398" spans="4:4" hidden="1">
      <c r="D398" s="4"/>
    </row>
    <row r="399" spans="4:4" hidden="1">
      <c r="D399" s="4"/>
    </row>
    <row r="400" spans="4:4" hidden="1">
      <c r="D400" s="4"/>
    </row>
    <row r="401" spans="4:4" hidden="1">
      <c r="D401" s="4"/>
    </row>
    <row r="402" spans="4:4" hidden="1">
      <c r="D402" s="4"/>
    </row>
    <row r="403" spans="4:4" hidden="1">
      <c r="D403" s="4"/>
    </row>
    <row r="404" spans="4:4" hidden="1">
      <c r="D404" s="4"/>
    </row>
    <row r="405" spans="4:4" hidden="1">
      <c r="D405" s="4"/>
    </row>
    <row r="406" spans="4:4" hidden="1">
      <c r="D406" s="4"/>
    </row>
    <row r="407" spans="4:4" hidden="1">
      <c r="D407" s="4"/>
    </row>
    <row r="408" spans="4:4" hidden="1">
      <c r="D408" s="4"/>
    </row>
    <row r="409" spans="4:4" hidden="1">
      <c r="D409" s="4"/>
    </row>
    <row r="410" spans="4:4" hidden="1">
      <c r="D410" s="4"/>
    </row>
    <row r="411" spans="4:4" hidden="1">
      <c r="D411" s="4"/>
    </row>
    <row r="412" spans="4:4" hidden="1">
      <c r="D412" s="4"/>
    </row>
    <row r="413" spans="4:4" hidden="1"/>
    <row r="414" spans="4:4" hidden="1"/>
    <row r="415" spans="4:4" hidden="1"/>
    <row r="416" spans="4:4"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row r="13616"/>
    <row r="13617"/>
    <row r="13618"/>
    <row r="13619"/>
    <row r="13620"/>
  </sheetData>
  <mergeCells count="3">
    <mergeCell ref="C3:L3"/>
    <mergeCell ref="C2:L2"/>
    <mergeCell ref="C1:L1"/>
  </mergeCells>
  <phoneticPr fontId="8" type="noConversion"/>
  <pageMargins left="0.25" right="0.25" top="0.5" bottom="0.5" header="0.25" footer="0.25"/>
  <pageSetup scale="41" fitToHeight="0" orientation="landscape" r:id="rId1"/>
  <headerFooter alignWithMargins="0">
    <oddFooter>&amp;L&amp;"Times New Roman,Bold Italic"Black &amp; Veatch Corporation&amp;C&amp;"Times New Roman,Bold Italic"Date: &amp;D&amp;R&amp;"Times New Roman,Bold Italic"Page: &amp;P of &amp;N</oddFooter>
  </headerFooter>
  <rowBreaks count="1" manualBreakCount="1">
    <brk id="61" min="1" max="11" man="1"/>
  </rowBreaks>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19"/>
    <pageSetUpPr fitToPage="1"/>
  </sheetPr>
  <dimension ref="A1:X325"/>
  <sheetViews>
    <sheetView showGridLines="0" zoomScale="70" zoomScaleNormal="70" workbookViewId="0">
      <pane xSplit="11" ySplit="9" topLeftCell="W10" activePane="bottomRight" state="frozen"/>
      <selection pane="topRight" activeCell="L1" sqref="L1"/>
      <selection pane="bottomLeft" activeCell="A8" sqref="A8"/>
      <selection pane="bottomRight" activeCell="Y1" sqref="Y1:AB1048576"/>
    </sheetView>
  </sheetViews>
  <sheetFormatPr defaultRowHeight="15.75"/>
  <cols>
    <col min="1" max="1" width="22.5" customWidth="1"/>
    <col min="2" max="2" width="2.75" customWidth="1"/>
    <col min="3" max="3" width="8.625" customWidth="1"/>
    <col min="4" max="4" width="48.5" bestFit="1" customWidth="1"/>
    <col min="5" max="5" width="13.5" customWidth="1"/>
    <col min="6" max="6" width="17.375" customWidth="1"/>
    <col min="7" max="7" width="18.5" hidden="1" customWidth="1"/>
    <col min="8" max="10" width="17.875" hidden="1" customWidth="1"/>
    <col min="11" max="11" width="17" hidden="1" customWidth="1"/>
    <col min="12" max="12" width="19.25" customWidth="1"/>
    <col min="13" max="13" width="23.125" customWidth="1"/>
    <col min="14" max="23" width="23.125" bestFit="1" customWidth="1"/>
    <col min="24" max="24" width="18.25" bestFit="1" customWidth="1"/>
  </cols>
  <sheetData>
    <row r="1" spans="1:24">
      <c r="A1" s="411"/>
    </row>
    <row r="2" spans="1:24" s="3094" customFormat="1" ht="22.5">
      <c r="A2" s="411"/>
      <c r="C2" s="4343" t="s">
        <v>270</v>
      </c>
      <c r="D2" s="4343"/>
      <c r="E2" s="4343"/>
      <c r="F2" s="4343"/>
      <c r="G2" s="4343"/>
      <c r="H2" s="4343"/>
      <c r="I2" s="4343"/>
      <c r="J2" s="4343"/>
      <c r="K2" s="4343"/>
      <c r="L2" s="4343"/>
      <c r="N2" s="1624" t="s">
        <v>2536</v>
      </c>
      <c r="O2" s="1624"/>
    </row>
    <row r="3" spans="1:24" ht="22.5">
      <c r="A3" s="411"/>
      <c r="C3" s="4343" t="s">
        <v>717</v>
      </c>
      <c r="D3" s="4343"/>
      <c r="E3" s="4343"/>
      <c r="F3" s="4343"/>
      <c r="G3" s="4343"/>
      <c r="H3" s="4343"/>
      <c r="I3" s="4343"/>
      <c r="J3" s="4343"/>
      <c r="K3" s="4343"/>
      <c r="L3" s="4343"/>
      <c r="N3" s="562" t="s">
        <v>4022</v>
      </c>
      <c r="O3" s="1624"/>
    </row>
    <row r="4" spans="1:24" ht="22.5">
      <c r="A4" s="411"/>
      <c r="C4" s="4343" t="s">
        <v>269</v>
      </c>
      <c r="D4" s="4343"/>
      <c r="E4" s="4343"/>
      <c r="F4" s="4343"/>
      <c r="G4" s="4343"/>
      <c r="H4" s="4343"/>
      <c r="I4" s="4343"/>
      <c r="J4" s="4343"/>
      <c r="K4" s="4343"/>
      <c r="L4" s="4343"/>
      <c r="N4" s="562" t="s">
        <v>4021</v>
      </c>
      <c r="O4" s="1624"/>
    </row>
    <row r="5" spans="1:24">
      <c r="A5" s="411"/>
      <c r="C5" s="20"/>
      <c r="D5" s="20"/>
      <c r="E5" s="20"/>
      <c r="F5" s="20"/>
      <c r="G5" s="20"/>
      <c r="H5" s="20"/>
      <c r="I5" s="20"/>
      <c r="J5" s="20"/>
      <c r="K5" s="20"/>
      <c r="L5" s="20"/>
      <c r="N5" s="562" t="s">
        <v>3971</v>
      </c>
      <c r="O5" s="1624"/>
    </row>
    <row r="6" spans="1:24" s="3094" customFormat="1">
      <c r="A6" s="411"/>
      <c r="C6" s="20"/>
      <c r="D6" s="20"/>
      <c r="E6" s="20"/>
      <c r="F6" s="20"/>
      <c r="G6" s="20"/>
      <c r="H6" s="20"/>
      <c r="I6" s="20"/>
      <c r="J6" s="20"/>
      <c r="K6" s="20"/>
      <c r="L6" s="20"/>
      <c r="M6" s="1624"/>
      <c r="N6" s="1624"/>
      <c r="O6" s="1624"/>
    </row>
    <row r="7" spans="1:24">
      <c r="A7" s="411"/>
      <c r="C7" s="1898"/>
      <c r="D7" s="1899"/>
      <c r="E7" s="4410" t="s">
        <v>2144</v>
      </c>
      <c r="F7" s="4411"/>
      <c r="G7" s="1895" t="s">
        <v>882</v>
      </c>
      <c r="H7" s="1895"/>
      <c r="I7" s="1895"/>
      <c r="J7" s="1895"/>
      <c r="K7" s="1895"/>
      <c r="L7" s="1895"/>
      <c r="M7" s="1895"/>
      <c r="N7" s="1895"/>
      <c r="O7" s="1895"/>
      <c r="P7" s="1895"/>
      <c r="Q7" s="1895"/>
      <c r="R7" s="1895"/>
      <c r="S7" s="1895"/>
      <c r="T7" s="1895"/>
      <c r="U7" s="1895"/>
      <c r="V7" s="1895"/>
      <c r="W7" s="1895"/>
      <c r="X7" s="1895"/>
    </row>
    <row r="8" spans="1:24">
      <c r="A8" s="411"/>
      <c r="C8" s="1896" t="s">
        <v>867</v>
      </c>
      <c r="D8" s="1896" t="s">
        <v>399</v>
      </c>
      <c r="E8" s="1896" t="s">
        <v>204</v>
      </c>
      <c r="F8" s="1896" t="s">
        <v>1951</v>
      </c>
      <c r="G8" s="1897">
        <f>Cust_Detail!F7</f>
        <v>2009</v>
      </c>
      <c r="H8" s="1897">
        <f>+G8+1</f>
        <v>2010</v>
      </c>
      <c r="I8" s="1897">
        <f>+H8+1</f>
        <v>2011</v>
      </c>
      <c r="J8" s="1897">
        <f>+I8+1</f>
        <v>2012</v>
      </c>
      <c r="K8" s="1897">
        <f>Dashboard!F$7</f>
        <v>2013</v>
      </c>
      <c r="L8" s="1897">
        <f>Dashboard!G$7</f>
        <v>2014</v>
      </c>
      <c r="M8" s="1897">
        <f>Dashboard!H$7</f>
        <v>2015</v>
      </c>
      <c r="N8" s="1897">
        <f>Dashboard!I$7</f>
        <v>2016</v>
      </c>
      <c r="O8" s="1897">
        <f>Dashboard!J$7</f>
        <v>2017</v>
      </c>
      <c r="P8" s="1897">
        <f>Dashboard!K$7</f>
        <v>2018</v>
      </c>
      <c r="Q8" s="1897">
        <f>Dashboard!L$7</f>
        <v>2019</v>
      </c>
      <c r="R8" s="1897">
        <f>Dashboard!M$7</f>
        <v>2020</v>
      </c>
      <c r="S8" s="1897">
        <f>Dashboard!N$7</f>
        <v>2021</v>
      </c>
      <c r="T8" s="1897">
        <f>Dashboard!O$7</f>
        <v>2022</v>
      </c>
      <c r="U8" s="1897">
        <f>Dashboard!P$7</f>
        <v>2023</v>
      </c>
      <c r="V8" s="1897">
        <f>Dashboard!Q$7</f>
        <v>2024</v>
      </c>
      <c r="W8" s="1897">
        <f>Dashboard!R$7</f>
        <v>2025</v>
      </c>
      <c r="X8" s="3880">
        <f>Dashboard!S$7</f>
        <v>2026</v>
      </c>
    </row>
    <row r="9" spans="1:24" ht="6" customHeight="1">
      <c r="A9" s="411"/>
      <c r="C9" s="539"/>
      <c r="D9" s="540"/>
      <c r="E9" s="540"/>
      <c r="F9" s="540"/>
      <c r="G9" s="539"/>
      <c r="H9" s="1"/>
      <c r="I9" s="539"/>
      <c r="J9" s="539"/>
      <c r="K9" s="1"/>
      <c r="L9" s="540"/>
      <c r="M9" s="540"/>
      <c r="N9" s="540"/>
      <c r="O9" s="540"/>
      <c r="P9" s="540"/>
      <c r="Q9" s="540"/>
      <c r="R9" s="540"/>
      <c r="S9" s="540"/>
      <c r="T9" s="540"/>
      <c r="U9" s="540"/>
      <c r="V9" s="540"/>
      <c r="W9" s="540"/>
      <c r="X9" s="540"/>
    </row>
    <row r="10" spans="1:24">
      <c r="A10" s="411"/>
      <c r="C10" s="261">
        <f>+MAX($C$9:C9)+1</f>
        <v>1</v>
      </c>
      <c r="D10" s="253" t="s">
        <v>2630</v>
      </c>
      <c r="E10" s="253"/>
      <c r="F10" s="253"/>
      <c r="G10" s="1357"/>
      <c r="H10" s="1357"/>
      <c r="I10" s="1357"/>
      <c r="J10" s="1357"/>
      <c r="K10" s="1357"/>
      <c r="L10" s="1003"/>
      <c r="M10" s="1003"/>
      <c r="N10" s="1003">
        <f>N11+N12</f>
        <v>134357114.22991031</v>
      </c>
      <c r="O10" s="1003">
        <f t="shared" ref="O10:X10" si="0">O11+O12</f>
        <v>164569707.94545469</v>
      </c>
      <c r="P10" s="1003">
        <f t="shared" si="0"/>
        <v>106553347.59687841</v>
      </c>
      <c r="Q10" s="1003">
        <f t="shared" si="0"/>
        <v>87788525.819635093</v>
      </c>
      <c r="R10" s="1003">
        <f t="shared" si="0"/>
        <v>58910500.710432842</v>
      </c>
      <c r="S10" s="1003">
        <f t="shared" si="0"/>
        <v>58650175.293738052</v>
      </c>
      <c r="T10" s="1003">
        <f t="shared" si="0"/>
        <v>64958736.620651178</v>
      </c>
      <c r="U10" s="1003">
        <f t="shared" si="0"/>
        <v>66905025.463226244</v>
      </c>
      <c r="V10" s="1003">
        <f t="shared" si="0"/>
        <v>61685367.75716196</v>
      </c>
      <c r="W10" s="1003">
        <f t="shared" si="0"/>
        <v>94134629.412536189</v>
      </c>
      <c r="X10" s="1003">
        <f t="shared" si="0"/>
        <v>59672300.291572183</v>
      </c>
    </row>
    <row r="11" spans="1:24">
      <c r="A11" s="411"/>
      <c r="C11" s="261">
        <f>+MAX($C$9:C10)+1</f>
        <v>2</v>
      </c>
      <c r="D11" s="253" t="s">
        <v>2142</v>
      </c>
      <c r="E11" s="253"/>
      <c r="F11" s="253"/>
      <c r="G11" s="1511"/>
      <c r="H11" s="1511"/>
      <c r="I11" s="1511"/>
      <c r="J11" s="1511"/>
      <c r="K11" s="1511"/>
      <c r="L11" s="3080"/>
      <c r="M11" s="3080"/>
      <c r="N11" s="3080">
        <f>'Capital Plan'!W156</f>
        <v>48241034.683699995</v>
      </c>
      <c r="O11" s="3080">
        <f>'Capital Plan'!X156</f>
        <v>61345929.779399998</v>
      </c>
      <c r="P11" s="3080">
        <f>'Capital Plan'!Y156*(1+P54)^COUNT($P8:P8)</f>
        <v>30199348.046446998</v>
      </c>
      <c r="Q11" s="3080">
        <f>'Capital Plan'!Z156*(1+Q54)^COUNT($P8:Q8)</f>
        <v>36661450.776566409</v>
      </c>
      <c r="R11" s="3080">
        <f>'Capital Plan'!AA156*(1+R54)^COUNT($P8:R8)</f>
        <v>14563821.184056323</v>
      </c>
      <c r="S11" s="3080">
        <f>'Capital Plan'!AB156*(1+S54)^COUNT($P8:S8)</f>
        <v>12613987.12979719</v>
      </c>
      <c r="T11" s="3080">
        <f>'Capital Plan'!AC156*(1+T54)^COUNT($P8:T8)</f>
        <v>15814560.652473733</v>
      </c>
      <c r="U11" s="3080">
        <f>'Capital Plan'!AD156*(1+U54)^COUNT($P8:U8)</f>
        <v>20136105.980998717</v>
      </c>
      <c r="V11" s="3080">
        <f>'Capital Plan'!AE156*(1+V54)^COUNT($P8:V8)</f>
        <v>15204273.468647189</v>
      </c>
      <c r="W11" s="3080">
        <f>'Capital Plan'!AF156*(1+W54)^COUNT($P8:W8)</f>
        <v>13962094.789882835</v>
      </c>
      <c r="X11" s="3080">
        <f>'Capital Plan'!AG156*(1+X54)^COUNT($P8:X8)</f>
        <v>16761519.377085168</v>
      </c>
    </row>
    <row r="12" spans="1:24">
      <c r="A12" s="411"/>
      <c r="C12" s="261">
        <f>+MAX($C$9:C11)+1</f>
        <v>3</v>
      </c>
      <c r="D12" s="253" t="s">
        <v>2143</v>
      </c>
      <c r="E12" s="253"/>
      <c r="F12" s="253"/>
      <c r="G12" s="6"/>
      <c r="H12" s="6"/>
      <c r="I12" s="6"/>
      <c r="J12" s="6"/>
      <c r="K12" s="6"/>
      <c r="L12" s="3080"/>
      <c r="M12" s="3080"/>
      <c r="N12" s="3080">
        <f>'Capital Plan'!W157</f>
        <v>86116079.546210334</v>
      </c>
      <c r="O12" s="3080">
        <f>'Capital Plan'!X157</f>
        <v>103223778.1660547</v>
      </c>
      <c r="P12" s="3080">
        <f>'Capital Plan'!Y157*(1+P54)^COUNT($P8:P8)</f>
        <v>76353999.550431415</v>
      </c>
      <c r="Q12" s="3080">
        <f>'Capital Plan'!Z157*(1+Q54)^COUNT($P8:Q8)</f>
        <v>51127075.043068677</v>
      </c>
      <c r="R12" s="3080">
        <f>'Capital Plan'!AA157*(1+R54)^COUNT($P8:R8)</f>
        <v>44346679.526376523</v>
      </c>
      <c r="S12" s="3080">
        <f>'Capital Plan'!AB157*(1+S54)^COUNT($P8:S8)</f>
        <v>46036188.163940862</v>
      </c>
      <c r="T12" s="3080">
        <f>'Capital Plan'!AC157*(1+T54)^COUNT($P8:T8)</f>
        <v>49144175.968177445</v>
      </c>
      <c r="U12" s="3080">
        <f>'Capital Plan'!AD157*(1+U54)^COUNT($P8:U8)</f>
        <v>46768919.482227527</v>
      </c>
      <c r="V12" s="3080">
        <f>'Capital Plan'!AE157*(1+V54)^COUNT($P8:V8)</f>
        <v>46481094.288514771</v>
      </c>
      <c r="W12" s="3080">
        <f>'Capital Plan'!AF157*(1+W54)^COUNT($P8:W8)</f>
        <v>80172534.62265335</v>
      </c>
      <c r="X12" s="3080">
        <f>'Capital Plan'!AG157*(1+X54)^COUNT($P8:X8)</f>
        <v>42910780.914487012</v>
      </c>
    </row>
    <row r="13" spans="1:24">
      <c r="A13" s="411"/>
      <c r="C13" s="261"/>
      <c r="N13" s="3094"/>
      <c r="O13" s="3094"/>
      <c r="P13" s="3094"/>
      <c r="Q13" s="3094"/>
      <c r="R13" s="3094"/>
      <c r="S13" s="3094"/>
      <c r="T13" s="3094"/>
      <c r="U13" s="3094"/>
      <c r="V13" s="3094"/>
      <c r="W13" s="3094"/>
      <c r="X13" s="3094"/>
    </row>
    <row r="14" spans="1:24">
      <c r="A14" s="411"/>
      <c r="C14" s="261">
        <f>+MAX($C$9:C13)+1</f>
        <v>4</v>
      </c>
      <c r="D14" s="1891" t="s">
        <v>2733</v>
      </c>
      <c r="L14" s="2904"/>
      <c r="M14" s="2904"/>
      <c r="N14" s="2904">
        <v>50</v>
      </c>
      <c r="O14" s="2904">
        <v>50</v>
      </c>
      <c r="P14" s="2904">
        <v>50</v>
      </c>
      <c r="Q14" s="2904">
        <v>50</v>
      </c>
      <c r="R14" s="2904">
        <v>50</v>
      </c>
      <c r="S14" s="2904">
        <v>50</v>
      </c>
      <c r="T14" s="2904">
        <v>50</v>
      </c>
      <c r="U14" s="2904">
        <v>50</v>
      </c>
      <c r="V14" s="2904">
        <v>50</v>
      </c>
      <c r="W14" s="2904">
        <v>50</v>
      </c>
      <c r="X14" s="2904">
        <v>50</v>
      </c>
    </row>
    <row r="15" spans="1:24">
      <c r="A15" s="411"/>
      <c r="C15" s="261">
        <f>+MAX($C$9:C14)+1</f>
        <v>5</v>
      </c>
      <c r="D15" s="252" t="s">
        <v>1942</v>
      </c>
      <c r="L15" s="3078"/>
      <c r="M15" s="3078"/>
      <c r="N15" s="3078">
        <f>INDEX('Plant Capital - Forecast16'!$H$53:$R$53,1,MATCH(CIP_E!N8,'Plant Capital - Forecast16'!$H$7:$R$7,0))</f>
        <v>132198854.69009253</v>
      </c>
      <c r="O15" s="3078">
        <f>INDEX('Plant Capital - Forecast16'!$H$53:$R$53,1,MATCH(CIP_E!O8,'Plant Capital - Forecast16'!$H$7:$R$7,0))</f>
        <v>150932320.86174631</v>
      </c>
      <c r="P15" s="3078">
        <f>INDEX('Plant Capital - Forecast16'!$H$53:$R$53,1,MATCH(CIP_E!P8,'Plant Capital - Forecast16'!$H$7:$R$7,0))</f>
        <v>124204508.42334557</v>
      </c>
      <c r="Q15" s="3078">
        <f>INDEX('Plant Capital - Forecast16'!$H$53:$R$53,1,MATCH(CIP_E!Q8,'Plant Capital - Forecast16'!$H$7:$R$7,0))</f>
        <v>92562934.125480145</v>
      </c>
      <c r="R15" s="3078">
        <f>INDEX('Plant Capital - Forecast16'!$H$53:$R$53,1,MATCH(CIP_E!R8,'Plant Capital - Forecast16'!$H$7:$R$7,0))</f>
        <v>58910500.710432842</v>
      </c>
      <c r="S15" s="3078">
        <f>INDEX('Plant Capital - Forecast16'!$H$53:$R$53,1,MATCH(CIP_E!S8,'Plant Capital - Forecast16'!$H$7:$R$7,0))</f>
        <v>58650175.29373806</v>
      </c>
      <c r="T15" s="3078">
        <f>INDEX('Plant Capital - Forecast16'!$H$53:$R$53,1,MATCH(CIP_E!T8,'Plant Capital - Forecast16'!$H$7:$R$7,0))</f>
        <v>64958736.620651193</v>
      </c>
      <c r="U15" s="3078">
        <f>INDEX('Plant Capital - Forecast16'!$H$53:$R$53,1,MATCH(CIP_E!U8,'Plant Capital - Forecast16'!$H$7:$R$7,0))</f>
        <v>66905025.463226259</v>
      </c>
      <c r="V15" s="3078">
        <f>INDEX('Plant Capital - Forecast16'!$H$53:$R$53,1,MATCH(CIP_E!V8,'Plant Capital - Forecast16'!$H$7:$R$7,0))</f>
        <v>61685367.757161975</v>
      </c>
      <c r="W15" s="3078">
        <f>INDEX('Plant Capital - Forecast16'!$H$53:$R$53,1,MATCH(CIP_E!W8,'Plant Capital - Forecast16'!$H$7:$R$7,0))</f>
        <v>94134629.412536219</v>
      </c>
      <c r="X15" s="3078">
        <f>INDEX('Plant Capital - Forecast16'!$H$53:$R$53,1,MATCH(CIP_E!X8,'Plant Capital - Forecast16'!$H$7:$R$7,0))</f>
        <v>59672300.291572198</v>
      </c>
    </row>
    <row r="16" spans="1:24">
      <c r="A16" s="411"/>
      <c r="C16" s="261">
        <f>+MAX($C$9:C15)+1</f>
        <v>6</v>
      </c>
      <c r="D16" s="252" t="s">
        <v>2142</v>
      </c>
      <c r="L16" s="3078"/>
      <c r="M16" s="3078"/>
      <c r="N16" s="3078">
        <f>INDEX('Plant Capital - Forecast16'!$H$51:$R$51,1,MATCH(CIP_E!N8,'Plant Capital - Forecast16'!$H$7:$R$7,0))</f>
        <v>47757198.280749291</v>
      </c>
      <c r="O16" s="3078">
        <f>INDEX('Plant Capital - Forecast16'!$H$51:$R$51,1,MATCH(CIP_E!O8,'Plant Capital - Forecast16'!$H$7:$R$7,0))</f>
        <v>56262383.883810438</v>
      </c>
      <c r="P16" s="3078">
        <f>INDEX('Plant Capital - Forecast16'!$H$51:$R$51,1,MATCH(CIP_E!P8,'Plant Capital - Forecast16'!$H$7:$R$7,0))</f>
        <v>41947503.06899336</v>
      </c>
      <c r="Q16" s="3078">
        <f>INDEX('Plant Capital - Forecast16'!$H$51:$R$51,1,MATCH(CIP_E!Q8,'Plant Capital - Forecast16'!$H$7:$R$7,0))</f>
        <v>38441184.943974629</v>
      </c>
      <c r="R16" s="3078">
        <f>INDEX('Plant Capital - Forecast16'!$H$51:$R$51,1,MATCH(CIP_E!R8,'Plant Capital - Forecast16'!$H$7:$R$7,0))</f>
        <v>14563821.184056323</v>
      </c>
      <c r="S16" s="3078">
        <f>INDEX('Plant Capital - Forecast16'!$H$51:$R$51,1,MATCH(CIP_E!S8,'Plant Capital - Forecast16'!$H$7:$R$7,0))</f>
        <v>12613987.129797192</v>
      </c>
      <c r="T16" s="3078">
        <f>INDEX('Plant Capital - Forecast16'!$H$51:$R$51,1,MATCH(CIP_E!T8,'Plant Capital - Forecast16'!$H$7:$R$7,0))</f>
        <v>15814560.652473735</v>
      </c>
      <c r="U16" s="3078">
        <f>INDEX('Plant Capital - Forecast16'!$H$51:$R$51,1,MATCH(CIP_E!U8,'Plant Capital - Forecast16'!$H$7:$R$7,0))</f>
        <v>20136105.980998721</v>
      </c>
      <c r="V16" s="3078">
        <f>INDEX('Plant Capital - Forecast16'!$H$51:$R$51,1,MATCH(CIP_E!V8,'Plant Capital - Forecast16'!$H$7:$R$7,0))</f>
        <v>15204273.468647193</v>
      </c>
      <c r="W16" s="3078">
        <f>INDEX('Plant Capital - Forecast16'!$H$51:$R$51,1,MATCH(CIP_E!W8,'Plant Capital - Forecast16'!$H$7:$R$7,0))</f>
        <v>13962094.789882841</v>
      </c>
      <c r="X16" s="3078">
        <f>INDEX('Plant Capital - Forecast16'!$H$51:$R$51,1,MATCH(CIP_E!X8,'Plant Capital - Forecast16'!$H$7:$R$7,0))</f>
        <v>16761519.377085174</v>
      </c>
    </row>
    <row r="17" spans="1:24">
      <c r="A17" s="411"/>
      <c r="C17" s="261">
        <f>+MAX($C$9:C16)+1</f>
        <v>7</v>
      </c>
      <c r="D17" s="252" t="s">
        <v>2143</v>
      </c>
      <c r="L17" s="3078"/>
      <c r="M17" s="3078"/>
      <c r="N17" s="3078">
        <f>INDEX('Plant Capital - Forecast16'!$H$52:$R$52,1,MATCH(CIP_E!N8,'Plant Capital - Forecast16'!$H$7:$R$7,0))</f>
        <v>84441656.409343243</v>
      </c>
      <c r="O17" s="3078">
        <f>INDEX('Plant Capital - Forecast16'!$H$52:$R$52,1,MATCH(CIP_E!O8,'Plant Capital - Forecast16'!$H$7:$R$7,0))</f>
        <v>94669936.97793588</v>
      </c>
      <c r="P17" s="3078">
        <f>INDEX('Plant Capital - Forecast16'!$H$52:$R$52,1,MATCH(CIP_E!P8,'Plant Capital - Forecast16'!$H$7:$R$7,0))</f>
        <v>82257005.354352206</v>
      </c>
      <c r="Q17" s="3078">
        <f>INDEX('Plant Capital - Forecast16'!$H$52:$R$52,1,MATCH(CIP_E!Q8,'Plant Capital - Forecast16'!$H$7:$R$7,0))</f>
        <v>54121749.181505509</v>
      </c>
      <c r="R17" s="3078">
        <f>INDEX('Plant Capital - Forecast16'!$H$52:$R$52,1,MATCH(CIP_E!R8,'Plant Capital - Forecast16'!$H$7:$R$7,0))</f>
        <v>44346679.526376523</v>
      </c>
      <c r="S17" s="3078">
        <f>INDEX('Plant Capital - Forecast16'!$H$52:$R$52,1,MATCH(CIP_E!S8,'Plant Capital - Forecast16'!$H$7:$R$7,0))</f>
        <v>46036188.163940869</v>
      </c>
      <c r="T17" s="3078">
        <f>INDEX('Plant Capital - Forecast16'!$H$52:$R$52,1,MATCH(CIP_E!T8,'Plant Capital - Forecast16'!$H$7:$R$7,0))</f>
        <v>49144175.96817746</v>
      </c>
      <c r="U17" s="3078">
        <f>INDEX('Plant Capital - Forecast16'!$H$52:$R$52,1,MATCH(CIP_E!U8,'Plant Capital - Forecast16'!$H$7:$R$7,0))</f>
        <v>46768919.482227534</v>
      </c>
      <c r="V17" s="3078">
        <f>INDEX('Plant Capital - Forecast16'!$H$52:$R$52,1,MATCH(CIP_E!V8,'Plant Capital - Forecast16'!$H$7:$R$7,0))</f>
        <v>46481094.288514778</v>
      </c>
      <c r="W17" s="3078">
        <f>INDEX('Plant Capital - Forecast16'!$H$52:$R$52,1,MATCH(CIP_E!W8,'Plant Capital - Forecast16'!$H$7:$R$7,0))</f>
        <v>80172534.62265338</v>
      </c>
      <c r="X17" s="3078">
        <f>INDEX('Plant Capital - Forecast16'!$H$52:$R$52,1,MATCH(CIP_E!X8,'Plant Capital - Forecast16'!$H$7:$R$7,0))</f>
        <v>42910780.914487027</v>
      </c>
    </row>
    <row r="18" spans="1:24">
      <c r="A18" s="411"/>
      <c r="C18" s="261">
        <f>+MAX($C$9:C17)+1</f>
        <v>8</v>
      </c>
      <c r="N18" s="3094"/>
      <c r="O18" s="3094"/>
      <c r="P18" s="3094"/>
      <c r="Q18" s="3094"/>
      <c r="R18" s="3094"/>
      <c r="S18" s="3094"/>
      <c r="T18" s="3094"/>
      <c r="U18" s="3094"/>
      <c r="V18" s="3094"/>
      <c r="W18" s="3094"/>
      <c r="X18" s="3094"/>
    </row>
    <row r="19" spans="1:24">
      <c r="A19" s="411"/>
      <c r="C19" s="261">
        <f>+MAX($C$9:C18)+1</f>
        <v>9</v>
      </c>
      <c r="D19" s="1891" t="s">
        <v>2732</v>
      </c>
      <c r="L19" s="2904"/>
      <c r="M19" s="2904"/>
      <c r="N19" s="2904" t="s">
        <v>2628</v>
      </c>
      <c r="O19" s="2904" t="s">
        <v>2628</v>
      </c>
      <c r="P19" s="2904" t="s">
        <v>2628</v>
      </c>
      <c r="Q19" s="2904" t="s">
        <v>2628</v>
      </c>
      <c r="R19" s="2904" t="s">
        <v>2628</v>
      </c>
      <c r="S19" s="2904" t="s">
        <v>2628</v>
      </c>
      <c r="T19" s="2904" t="s">
        <v>2628</v>
      </c>
      <c r="U19" s="2904" t="s">
        <v>2628</v>
      </c>
      <c r="V19" s="2904" t="s">
        <v>2628</v>
      </c>
      <c r="W19" s="2904" t="s">
        <v>2628</v>
      </c>
      <c r="X19" s="2904" t="s">
        <v>2628</v>
      </c>
    </row>
    <row r="20" spans="1:24">
      <c r="A20" s="411"/>
      <c r="C20" s="261">
        <f>+MAX($C$9:C19)+1</f>
        <v>10</v>
      </c>
      <c r="D20" s="252" t="s">
        <v>1942</v>
      </c>
      <c r="L20" s="588"/>
      <c r="M20" s="588"/>
      <c r="N20" s="588">
        <f t="shared" ref="N20:X20" si="1">IF(N$19=$D$319,N10,IF(N$19=$D$318,N15,M20*(1+N$54)))</f>
        <v>132198854.69009253</v>
      </c>
      <c r="O20" s="588">
        <f t="shared" si="1"/>
        <v>150932320.86174631</v>
      </c>
      <c r="P20" s="588">
        <f t="shared" si="1"/>
        <v>124204508.42334557</v>
      </c>
      <c r="Q20" s="588">
        <f t="shared" si="1"/>
        <v>92562934.125480145</v>
      </c>
      <c r="R20" s="588">
        <f t="shared" si="1"/>
        <v>58910500.710432842</v>
      </c>
      <c r="S20" s="588">
        <f t="shared" si="1"/>
        <v>58650175.29373806</v>
      </c>
      <c r="T20" s="588">
        <f t="shared" si="1"/>
        <v>64958736.620651193</v>
      </c>
      <c r="U20" s="588">
        <f t="shared" si="1"/>
        <v>66905025.463226259</v>
      </c>
      <c r="V20" s="588">
        <f t="shared" si="1"/>
        <v>61685367.757161975</v>
      </c>
      <c r="W20" s="588">
        <f t="shared" si="1"/>
        <v>94134629.412536219</v>
      </c>
      <c r="X20" s="588">
        <f t="shared" si="1"/>
        <v>59672300.291572198</v>
      </c>
    </row>
    <row r="21" spans="1:24">
      <c r="A21" s="411"/>
      <c r="C21" s="261">
        <f>+MAX($C$9:C20)+1</f>
        <v>11</v>
      </c>
      <c r="D21" s="252" t="s">
        <v>2142</v>
      </c>
      <c r="L21" s="588"/>
      <c r="M21" s="588"/>
      <c r="N21" s="588">
        <f t="shared" ref="N21:X21" si="2">IF(N$19=$D$319,N11,IF(N$19=$D$318,N16,M21*(1+N$54)))</f>
        <v>47757198.280749291</v>
      </c>
      <c r="O21" s="588">
        <f t="shared" si="2"/>
        <v>56262383.883810438</v>
      </c>
      <c r="P21" s="588">
        <f t="shared" si="2"/>
        <v>41947503.06899336</v>
      </c>
      <c r="Q21" s="588">
        <f t="shared" si="2"/>
        <v>38441184.943974629</v>
      </c>
      <c r="R21" s="588">
        <f t="shared" si="2"/>
        <v>14563821.184056323</v>
      </c>
      <c r="S21" s="588">
        <f>IF(S$19=$D$319,S11,IF(S$19=$D$318,S16,R21*(1+S$54)))</f>
        <v>12613987.129797192</v>
      </c>
      <c r="T21" s="588">
        <f t="shared" si="2"/>
        <v>15814560.652473735</v>
      </c>
      <c r="U21" s="588">
        <f t="shared" si="2"/>
        <v>20136105.980998721</v>
      </c>
      <c r="V21" s="588">
        <f t="shared" si="2"/>
        <v>15204273.468647193</v>
      </c>
      <c r="W21" s="588">
        <f t="shared" si="2"/>
        <v>13962094.789882841</v>
      </c>
      <c r="X21" s="588">
        <f t="shared" si="2"/>
        <v>16761519.377085174</v>
      </c>
    </row>
    <row r="22" spans="1:24">
      <c r="A22" s="411"/>
      <c r="C22" s="261">
        <f>+MAX($C$9:C21)+1</f>
        <v>12</v>
      </c>
      <c r="D22" s="252" t="s">
        <v>2143</v>
      </c>
      <c r="L22" s="588"/>
      <c r="M22" s="588"/>
      <c r="N22" s="588">
        <f t="shared" ref="N22:X22" si="3">IF(N$19=$D$319,N12,IF(N$19=$D$318,N17,M22*(1+N$54)))</f>
        <v>84441656.409343243</v>
      </c>
      <c r="O22" s="588">
        <f>IF(O$19=$D$319,O12,IF(O$19=$D$318,O17,N22*(1+O$54)))</f>
        <v>94669936.97793588</v>
      </c>
      <c r="P22" s="588">
        <f t="shared" si="3"/>
        <v>82257005.354352206</v>
      </c>
      <c r="Q22" s="588">
        <f t="shared" si="3"/>
        <v>54121749.181505509</v>
      </c>
      <c r="R22" s="588">
        <f t="shared" si="3"/>
        <v>44346679.526376523</v>
      </c>
      <c r="S22" s="588">
        <f t="shared" si="3"/>
        <v>46036188.163940869</v>
      </c>
      <c r="T22" s="588">
        <f t="shared" si="3"/>
        <v>49144175.96817746</v>
      </c>
      <c r="U22" s="588">
        <f t="shared" si="3"/>
        <v>46768919.482227534</v>
      </c>
      <c r="V22" s="588">
        <f t="shared" si="3"/>
        <v>46481094.288514778</v>
      </c>
      <c r="W22" s="588">
        <f t="shared" si="3"/>
        <v>80172534.62265338</v>
      </c>
      <c r="X22" s="588">
        <f t="shared" si="3"/>
        <v>42910780.914487027</v>
      </c>
    </row>
    <row r="23" spans="1:24">
      <c r="A23" s="411"/>
      <c r="C23" s="261"/>
      <c r="N23" s="3094"/>
      <c r="O23" s="3094"/>
      <c r="P23" s="3094"/>
      <c r="Q23" s="3094"/>
      <c r="R23" s="3094"/>
      <c r="S23" s="3094"/>
      <c r="T23" s="3094"/>
      <c r="U23" s="3094"/>
      <c r="V23" s="3094"/>
      <c r="W23" s="3094"/>
      <c r="X23" s="3094"/>
    </row>
    <row r="24" spans="1:24">
      <c r="A24" s="411"/>
      <c r="C24" s="261">
        <f>+MAX($C$9:C23)+1</f>
        <v>13</v>
      </c>
      <c r="D24" s="278" t="s">
        <v>2627</v>
      </c>
      <c r="E24" s="253"/>
      <c r="F24" s="253"/>
      <c r="G24" s="1684"/>
      <c r="H24" s="1684"/>
      <c r="I24" s="1684"/>
      <c r="J24" s="1684"/>
      <c r="K24" s="1684"/>
      <c r="L24" s="1684"/>
      <c r="M24" s="1684"/>
      <c r="N24" s="1684"/>
      <c r="O24" s="1684"/>
      <c r="P24" s="1684"/>
      <c r="Q24" s="1684"/>
      <c r="R24" s="1684"/>
      <c r="S24" s="1684"/>
      <c r="T24" s="1684"/>
      <c r="U24" s="1684"/>
      <c r="V24" s="1684"/>
      <c r="W24" s="1684"/>
      <c r="X24" s="1684"/>
    </row>
    <row r="25" spans="1:24">
      <c r="A25" s="411"/>
      <c r="C25" s="261">
        <f>+MAX($C$9:C24)+1</f>
        <v>14</v>
      </c>
      <c r="D25" s="247" t="s">
        <v>204</v>
      </c>
      <c r="E25" s="252"/>
      <c r="F25" s="252"/>
      <c r="G25" s="831"/>
      <c r="H25" s="831"/>
      <c r="I25" s="831"/>
      <c r="J25" s="831"/>
      <c r="K25" s="831"/>
      <c r="L25" s="3080"/>
      <c r="M25" s="3080"/>
      <c r="N25" s="3080">
        <f>'Plant Capital - Forecast16'!H40</f>
        <v>12242024.271946525</v>
      </c>
      <c r="O25" s="3080">
        <f>'Plant Capital - Forecast16'!I40</f>
        <v>13037154.01509051</v>
      </c>
      <c r="P25" s="3080">
        <f>'Plant Capital - Forecast16'!J40</f>
        <v>13813593.711484503</v>
      </c>
      <c r="Q25" s="3080">
        <f>'Plant Capital - Forecast16'!K40</f>
        <v>14278109.116489936</v>
      </c>
      <c r="R25" s="3080">
        <f>'Plant Capital - Forecast16'!L40</f>
        <v>14781499.545976333</v>
      </c>
      <c r="S25" s="3080">
        <f>'Plant Capital - Forecast16'!M40</f>
        <v>15232220.927760104</v>
      </c>
      <c r="T25" s="3080">
        <f>'Plant Capital - Forecast16'!N40</f>
        <v>15572513.047513232</v>
      </c>
      <c r="U25" s="3080">
        <f>'Plant Capital - Forecast16'!O40</f>
        <v>16143286.568448208</v>
      </c>
      <c r="V25" s="3080">
        <f>'Plant Capital - Forecast16'!P40</f>
        <v>16697589.36394757</v>
      </c>
      <c r="W25" s="3080">
        <f>'Plant Capital - Forecast16'!Q40</f>
        <v>17196089.870264176</v>
      </c>
      <c r="X25" s="3080">
        <f>'Plant Capital - Forecast16'!R40</f>
        <v>17900371.151722182</v>
      </c>
    </row>
    <row r="26" spans="1:24">
      <c r="A26" s="411"/>
      <c r="C26" s="261">
        <f>+MAX($C$9:C25)+1</f>
        <v>15</v>
      </c>
      <c r="D26" s="247" t="s">
        <v>1951</v>
      </c>
      <c r="E26" s="252"/>
      <c r="F26" s="252"/>
      <c r="G26" s="831"/>
      <c r="H26" s="831"/>
      <c r="I26" s="831"/>
      <c r="J26" s="831"/>
      <c r="K26" s="831"/>
      <c r="L26" s="3080"/>
      <c r="M26" s="3080"/>
      <c r="N26" s="3080">
        <f>'Plant Capital - Forecast16'!H46</f>
        <v>16888953.942122832</v>
      </c>
      <c r="O26" s="3080">
        <f>'Plant Capital - Forecast16'!I46</f>
        <v>18799866.726292606</v>
      </c>
      <c r="P26" s="3080">
        <f>'Plant Capital - Forecast16'!J46</f>
        <v>17310177.358131588</v>
      </c>
      <c r="Q26" s="3080">
        <f>'Plant Capital - Forecast16'!K46</f>
        <v>16327285.209892888</v>
      </c>
      <c r="R26" s="3080">
        <f>'Plant Capital - Forecast16'!L46</f>
        <v>14834165.300424259</v>
      </c>
      <c r="S26" s="3080">
        <f>'Plant Capital - Forecast16'!M46</f>
        <v>14214376.360134616</v>
      </c>
      <c r="T26" s="3080">
        <f>'Plant Capital - Forecast16'!N46</f>
        <v>13783290.276016247</v>
      </c>
      <c r="U26" s="3080">
        <f>'Plant Capital - Forecast16'!O46</f>
        <v>13367454.622369546</v>
      </c>
      <c r="V26" s="3080">
        <f>'Plant Capital - Forecast16'!P46</f>
        <v>13315973.767438026</v>
      </c>
      <c r="W26" s="3080">
        <f>'Plant Capital - Forecast16'!Q46</f>
        <v>13185693.073587481</v>
      </c>
      <c r="X26" s="3080">
        <f>'Plant Capital - Forecast16'!R46</f>
        <v>13410476.924774153</v>
      </c>
    </row>
    <row r="27" spans="1:24">
      <c r="A27" s="411"/>
      <c r="C27" s="261">
        <f>+MAX($C$9:C26)+1</f>
        <v>16</v>
      </c>
      <c r="D27" s="253" t="s">
        <v>1943</v>
      </c>
      <c r="E27" s="253"/>
      <c r="F27" s="253"/>
      <c r="G27" s="1003">
        <f t="shared" ref="G27:X27" si="4">SUM(G25:G26)</f>
        <v>0</v>
      </c>
      <c r="H27" s="1003">
        <f t="shared" si="4"/>
        <v>0</v>
      </c>
      <c r="I27" s="1003">
        <f t="shared" si="4"/>
        <v>0</v>
      </c>
      <c r="J27" s="1003">
        <f t="shared" si="4"/>
        <v>0</v>
      </c>
      <c r="K27" s="1003">
        <f t="shared" si="4"/>
        <v>0</v>
      </c>
      <c r="L27" s="1003"/>
      <c r="M27" s="1003"/>
      <c r="N27" s="1003">
        <f t="shared" si="4"/>
        <v>29130978.214069359</v>
      </c>
      <c r="O27" s="1003">
        <f t="shared" si="4"/>
        <v>31837020.741383117</v>
      </c>
      <c r="P27" s="1003">
        <f t="shared" si="4"/>
        <v>31123771.069616091</v>
      </c>
      <c r="Q27" s="1003">
        <f t="shared" si="4"/>
        <v>30605394.326382823</v>
      </c>
      <c r="R27" s="1003">
        <f t="shared" si="4"/>
        <v>29615664.846400592</v>
      </c>
      <c r="S27" s="1003">
        <f t="shared" si="4"/>
        <v>29446597.287894718</v>
      </c>
      <c r="T27" s="1003">
        <f t="shared" si="4"/>
        <v>29355803.323529478</v>
      </c>
      <c r="U27" s="1003">
        <f t="shared" si="4"/>
        <v>29510741.190817755</v>
      </c>
      <c r="V27" s="1003">
        <f t="shared" si="4"/>
        <v>30013563.131385595</v>
      </c>
      <c r="W27" s="1003">
        <f t="shared" si="4"/>
        <v>30381782.943851657</v>
      </c>
      <c r="X27" s="1003">
        <f t="shared" si="4"/>
        <v>31310848.076496333</v>
      </c>
    </row>
    <row r="28" spans="1:24">
      <c r="A28" s="411"/>
      <c r="C28" s="261"/>
      <c r="D28" s="253"/>
      <c r="E28" s="253"/>
      <c r="F28" s="253"/>
      <c r="G28" s="1684"/>
      <c r="H28" s="1684"/>
      <c r="I28" s="1684"/>
      <c r="J28" s="1684"/>
      <c r="K28" s="1684"/>
      <c r="L28" s="1684"/>
      <c r="M28" s="1684"/>
      <c r="N28" s="1684"/>
      <c r="O28" s="1684"/>
      <c r="P28" s="1684"/>
      <c r="Q28" s="1684"/>
      <c r="R28" s="1684"/>
      <c r="S28" s="1684"/>
      <c r="T28" s="1684"/>
      <c r="U28" s="1684"/>
      <c r="V28" s="1684"/>
      <c r="W28" s="1684"/>
      <c r="X28" s="1684"/>
    </row>
    <row r="29" spans="1:24">
      <c r="A29" s="411"/>
      <c r="C29" s="261">
        <f>+MAX($C$9:C28)+1</f>
        <v>17</v>
      </c>
      <c r="D29" s="278" t="s">
        <v>503</v>
      </c>
      <c r="E29" s="253"/>
      <c r="F29" s="253"/>
      <c r="G29" s="1684"/>
      <c r="H29" s="1684"/>
      <c r="I29" s="1684"/>
      <c r="J29" s="1684"/>
      <c r="K29" s="1684"/>
      <c r="L29" s="1684"/>
      <c r="M29" s="1684"/>
      <c r="N29" s="1684"/>
      <c r="O29" s="1684"/>
      <c r="P29" s="1684"/>
      <c r="Q29" s="1684"/>
      <c r="R29" s="1684"/>
      <c r="S29" s="1684"/>
      <c r="T29" s="1684"/>
      <c r="U29" s="1684"/>
      <c r="V29" s="1684"/>
      <c r="W29" s="1684"/>
      <c r="X29" s="1684"/>
    </row>
    <row r="30" spans="1:24">
      <c r="A30" s="411"/>
      <c r="C30" s="261">
        <f>+MAX($C$9:C29)+1</f>
        <v>18</v>
      </c>
      <c r="D30" s="252" t="s">
        <v>2597</v>
      </c>
      <c r="E30" s="3081">
        <v>0</v>
      </c>
      <c r="F30" s="3081">
        <v>100</v>
      </c>
      <c r="G30" s="1684"/>
      <c r="H30" s="1684"/>
      <c r="I30" s="1684"/>
      <c r="J30" s="1684"/>
      <c r="K30" s="1684"/>
      <c r="L30" s="831"/>
      <c r="M30" s="1707"/>
      <c r="N30" s="1707">
        <v>0</v>
      </c>
      <c r="O30" s="1707">
        <v>0</v>
      </c>
      <c r="P30" s="1707">
        <v>0</v>
      </c>
      <c r="Q30" s="1707">
        <v>0</v>
      </c>
      <c r="R30" s="1707">
        <v>0</v>
      </c>
      <c r="S30" s="1707">
        <v>0</v>
      </c>
      <c r="T30" s="1707">
        <v>0</v>
      </c>
      <c r="U30" s="1707">
        <v>0</v>
      </c>
      <c r="V30" s="1707">
        <v>0</v>
      </c>
      <c r="W30" s="1707">
        <v>0</v>
      </c>
      <c r="X30" s="1707">
        <v>0</v>
      </c>
    </row>
    <row r="31" spans="1:24">
      <c r="A31" s="411"/>
      <c r="C31" s="261">
        <f>+MAX($C$9:C30)+1</f>
        <v>19</v>
      </c>
      <c r="D31" s="247" t="s">
        <v>2625</v>
      </c>
      <c r="E31" s="3081">
        <v>100</v>
      </c>
      <c r="F31" s="3081">
        <v>0</v>
      </c>
      <c r="G31" s="1684"/>
      <c r="H31" s="1684"/>
      <c r="I31" s="1684"/>
      <c r="J31" s="1684"/>
      <c r="K31" s="1684"/>
      <c r="L31" s="1707"/>
      <c r="M31" s="1707"/>
      <c r="N31" s="1707">
        <f>'Plant Capital - Forecast16'!H41</f>
        <v>0</v>
      </c>
      <c r="O31" s="1707"/>
      <c r="P31" s="1707"/>
      <c r="Q31" s="1707"/>
      <c r="R31" s="1707"/>
      <c r="S31" s="1707"/>
      <c r="T31" s="1707"/>
      <c r="U31" s="1707"/>
      <c r="V31" s="1707"/>
      <c r="W31" s="1707"/>
      <c r="X31" s="1707"/>
    </row>
    <row r="32" spans="1:24">
      <c r="A32" s="411"/>
      <c r="C32" s="261">
        <f>+MAX($C$9:C31)+1</f>
        <v>20</v>
      </c>
      <c r="D32" s="247" t="s">
        <v>2626</v>
      </c>
      <c r="E32" s="3081">
        <v>0</v>
      </c>
      <c r="F32" s="3081">
        <v>100</v>
      </c>
      <c r="G32" s="1684"/>
      <c r="H32" s="1684"/>
      <c r="I32" s="1684"/>
      <c r="J32" s="1684"/>
      <c r="K32" s="1684"/>
      <c r="L32" s="1707"/>
      <c r="M32" s="1707"/>
      <c r="N32" s="1707">
        <f>'Plant Capital - Forecast16'!H47</f>
        <v>0</v>
      </c>
      <c r="O32" s="1707"/>
      <c r="P32" s="1707"/>
      <c r="Q32" s="1707"/>
      <c r="R32" s="1707"/>
      <c r="S32" s="1707"/>
      <c r="T32" s="1707"/>
      <c r="U32" s="1707"/>
      <c r="V32" s="1707"/>
      <c r="W32" s="1707"/>
      <c r="X32" s="1707"/>
    </row>
    <row r="33" spans="1:24">
      <c r="A33" s="411"/>
      <c r="C33" s="261">
        <f>+MAX($C$9:C32)+1</f>
        <v>21</v>
      </c>
      <c r="D33" s="247" t="s">
        <v>503</v>
      </c>
      <c r="E33" s="3081">
        <v>0</v>
      </c>
      <c r="F33" s="3081">
        <v>100</v>
      </c>
      <c r="G33" s="1684"/>
      <c r="H33" s="1684"/>
      <c r="I33" s="1684"/>
      <c r="J33" s="1684"/>
      <c r="K33" s="1684"/>
      <c r="L33" s="1685"/>
      <c r="M33" s="1686"/>
      <c r="N33" s="1686">
        <v>0</v>
      </c>
      <c r="O33" s="1686">
        <v>0</v>
      </c>
      <c r="P33" s="1686">
        <v>0</v>
      </c>
      <c r="Q33" s="1686">
        <v>0</v>
      </c>
      <c r="R33" s="1686">
        <v>0</v>
      </c>
      <c r="S33" s="1686">
        <v>0</v>
      </c>
      <c r="T33" s="1686">
        <v>0</v>
      </c>
      <c r="U33" s="1686">
        <v>0</v>
      </c>
      <c r="V33" s="1686">
        <v>0</v>
      </c>
      <c r="W33" s="1686">
        <v>0</v>
      </c>
      <c r="X33" s="1686">
        <v>0</v>
      </c>
    </row>
    <row r="34" spans="1:24">
      <c r="A34" s="411"/>
      <c r="C34" s="261">
        <f>+MAX($C$9:C33)+1</f>
        <v>22</v>
      </c>
      <c r="D34" s="253" t="s">
        <v>2598</v>
      </c>
      <c r="E34" s="253"/>
      <c r="F34" s="253"/>
      <c r="G34" s="1684"/>
      <c r="H34" s="1684"/>
      <c r="I34" s="1684"/>
      <c r="J34" s="1684"/>
      <c r="K34" s="1684"/>
      <c r="L34" s="1684"/>
      <c r="M34" s="1684"/>
      <c r="N34" s="1684">
        <f t="shared" ref="N34:X34" si="5">SUM(N30:N33)</f>
        <v>0</v>
      </c>
      <c r="O34" s="1684">
        <f t="shared" si="5"/>
        <v>0</v>
      </c>
      <c r="P34" s="1684">
        <f t="shared" si="5"/>
        <v>0</v>
      </c>
      <c r="Q34" s="1684">
        <f t="shared" si="5"/>
        <v>0</v>
      </c>
      <c r="R34" s="1684">
        <f t="shared" si="5"/>
        <v>0</v>
      </c>
      <c r="S34" s="1684">
        <f t="shared" si="5"/>
        <v>0</v>
      </c>
      <c r="T34" s="1684">
        <f t="shared" si="5"/>
        <v>0</v>
      </c>
      <c r="U34" s="1684">
        <f t="shared" si="5"/>
        <v>0</v>
      </c>
      <c r="V34" s="1684">
        <f t="shared" si="5"/>
        <v>0</v>
      </c>
      <c r="W34" s="1684">
        <f t="shared" si="5"/>
        <v>0</v>
      </c>
      <c r="X34" s="1684">
        <f t="shared" si="5"/>
        <v>0</v>
      </c>
    </row>
    <row r="35" spans="1:24">
      <c r="A35" s="411"/>
      <c r="C35" s="261">
        <f>+MAX($C$9:C34)+1</f>
        <v>23</v>
      </c>
      <c r="D35" s="253" t="s">
        <v>2599</v>
      </c>
      <c r="E35" s="253"/>
      <c r="F35" s="253"/>
      <c r="G35" s="1684"/>
      <c r="H35" s="1684"/>
      <c r="I35" s="1684"/>
      <c r="J35" s="1684"/>
      <c r="K35" s="1684"/>
      <c r="L35" s="1358"/>
      <c r="M35" s="1358"/>
      <c r="N35" s="1358">
        <f t="shared" ref="N35:X35" si="6">SUMPRODUCT($E30:$E33,N30:N33)/100</f>
        <v>0</v>
      </c>
      <c r="O35" s="1358">
        <f t="shared" si="6"/>
        <v>0</v>
      </c>
      <c r="P35" s="1358">
        <f t="shared" si="6"/>
        <v>0</v>
      </c>
      <c r="Q35" s="1358">
        <f t="shared" si="6"/>
        <v>0</v>
      </c>
      <c r="R35" s="1358">
        <f t="shared" si="6"/>
        <v>0</v>
      </c>
      <c r="S35" s="1358">
        <f t="shared" si="6"/>
        <v>0</v>
      </c>
      <c r="T35" s="1358">
        <f t="shared" si="6"/>
        <v>0</v>
      </c>
      <c r="U35" s="1358">
        <f t="shared" si="6"/>
        <v>0</v>
      </c>
      <c r="V35" s="1358">
        <f t="shared" si="6"/>
        <v>0</v>
      </c>
      <c r="W35" s="1358">
        <f t="shared" si="6"/>
        <v>0</v>
      </c>
      <c r="X35" s="1358">
        <f t="shared" si="6"/>
        <v>0</v>
      </c>
    </row>
    <row r="36" spans="1:24">
      <c r="A36" s="411"/>
      <c r="C36" s="261">
        <f>+MAX($C$9:C35)+1</f>
        <v>24</v>
      </c>
      <c r="D36" s="253" t="s">
        <v>2600</v>
      </c>
      <c r="E36" s="253"/>
      <c r="F36" s="253"/>
      <c r="G36" s="1684"/>
      <c r="H36" s="1684"/>
      <c r="I36" s="1684"/>
      <c r="J36" s="1684"/>
      <c r="K36" s="1684"/>
      <c r="L36" s="1358"/>
      <c r="M36" s="1358"/>
      <c r="N36" s="1358">
        <f t="shared" ref="N36:X36" si="7">SUMPRODUCT($F30:$F33,N30:N33)/100</f>
        <v>0</v>
      </c>
      <c r="O36" s="1358">
        <f t="shared" si="7"/>
        <v>0</v>
      </c>
      <c r="P36" s="1358">
        <f t="shared" si="7"/>
        <v>0</v>
      </c>
      <c r="Q36" s="1358">
        <f t="shared" si="7"/>
        <v>0</v>
      </c>
      <c r="R36" s="1358">
        <f t="shared" si="7"/>
        <v>0</v>
      </c>
      <c r="S36" s="1358">
        <f t="shared" si="7"/>
        <v>0</v>
      </c>
      <c r="T36" s="1358">
        <f t="shared" si="7"/>
        <v>0</v>
      </c>
      <c r="U36" s="1358">
        <f t="shared" si="7"/>
        <v>0</v>
      </c>
      <c r="V36" s="1358">
        <f t="shared" si="7"/>
        <v>0</v>
      </c>
      <c r="W36" s="1358">
        <f t="shared" si="7"/>
        <v>0</v>
      </c>
      <c r="X36" s="1358">
        <f t="shared" si="7"/>
        <v>0</v>
      </c>
    </row>
    <row r="37" spans="1:24">
      <c r="A37" s="411"/>
      <c r="C37" s="261"/>
      <c r="D37" s="253"/>
      <c r="E37" s="253"/>
      <c r="F37" s="253"/>
      <c r="G37" s="1684"/>
      <c r="H37" s="1684"/>
      <c r="I37" s="1684"/>
      <c r="J37" s="1684"/>
      <c r="K37" s="1684"/>
      <c r="L37" s="1684"/>
      <c r="M37" s="1684"/>
      <c r="N37" s="1684"/>
      <c r="O37" s="1684"/>
      <c r="P37" s="1684"/>
      <c r="Q37" s="1684"/>
      <c r="R37" s="1684"/>
      <c r="S37" s="1684"/>
      <c r="T37" s="1684"/>
      <c r="U37" s="1684"/>
      <c r="V37" s="1684"/>
      <c r="W37" s="1684"/>
      <c r="X37" s="1684"/>
    </row>
    <row r="38" spans="1:24">
      <c r="A38" s="411"/>
      <c r="C38" s="261">
        <f>+MAX($C$9:C37)+1</f>
        <v>25</v>
      </c>
      <c r="D38" s="253" t="s">
        <v>1942</v>
      </c>
      <c r="E38" s="253"/>
      <c r="F38" s="253"/>
      <c r="G38" s="1003">
        <f>G27+G10</f>
        <v>0</v>
      </c>
      <c r="H38" s="1003">
        <f>H27+H10</f>
        <v>0</v>
      </c>
      <c r="I38" s="1003">
        <f>I27+I10</f>
        <v>0</v>
      </c>
      <c r="J38" s="1003">
        <f>J27+J10</f>
        <v>0</v>
      </c>
      <c r="K38" s="1003">
        <f>K27+K10</f>
        <v>0</v>
      </c>
      <c r="L38" s="1003"/>
      <c r="M38" s="1003"/>
      <c r="N38" s="1003">
        <f>N27+N20+N34</f>
        <v>161329832.9041619</v>
      </c>
      <c r="O38" s="1003">
        <f t="shared" ref="O38:X38" si="8">O27+O20+O34</f>
        <v>182769341.60312942</v>
      </c>
      <c r="P38" s="1003">
        <f t="shared" si="8"/>
        <v>155328279.49296165</v>
      </c>
      <c r="Q38" s="1003">
        <f t="shared" si="8"/>
        <v>123168328.45186296</v>
      </c>
      <c r="R38" s="1003">
        <f t="shared" si="8"/>
        <v>88526165.556833431</v>
      </c>
      <c r="S38" s="1003">
        <f t="shared" si="8"/>
        <v>88096772.581632778</v>
      </c>
      <c r="T38" s="1003">
        <f t="shared" si="8"/>
        <v>94314539.944180667</v>
      </c>
      <c r="U38" s="1003">
        <f t="shared" si="8"/>
        <v>96415766.654044017</v>
      </c>
      <c r="V38" s="1003">
        <f t="shared" si="8"/>
        <v>91698930.88854757</v>
      </c>
      <c r="W38" s="1003">
        <f t="shared" si="8"/>
        <v>124516412.35638788</v>
      </c>
      <c r="X38" s="1003">
        <f t="shared" si="8"/>
        <v>90983148.368068531</v>
      </c>
    </row>
    <row r="39" spans="1:24">
      <c r="A39" s="411"/>
      <c r="C39" s="261">
        <f>+MAX($C$9:C38)+1</f>
        <v>26</v>
      </c>
      <c r="D39" s="253" t="s">
        <v>2142</v>
      </c>
      <c r="E39" s="253"/>
      <c r="F39" s="253"/>
      <c r="G39" s="1358">
        <f t="shared" ref="G39:K40" si="9">G11+G25</f>
        <v>0</v>
      </c>
      <c r="H39" s="1358">
        <f t="shared" si="9"/>
        <v>0</v>
      </c>
      <c r="I39" s="1358">
        <f t="shared" si="9"/>
        <v>0</v>
      </c>
      <c r="J39" s="1358">
        <f t="shared" si="9"/>
        <v>0</v>
      </c>
      <c r="K39" s="1358">
        <f t="shared" si="9"/>
        <v>0</v>
      </c>
      <c r="L39" s="1530"/>
      <c r="M39" s="1530"/>
      <c r="N39" s="1530">
        <f t="shared" ref="N39:X39" si="10">N21+N25+N35</f>
        <v>59999222.552695818</v>
      </c>
      <c r="O39" s="1530">
        <f t="shared" si="10"/>
        <v>69299537.898900956</v>
      </c>
      <c r="P39" s="1530">
        <f t="shared" si="10"/>
        <v>55761096.780477867</v>
      </c>
      <c r="Q39" s="1530">
        <f t="shared" si="10"/>
        <v>52719294.060464561</v>
      </c>
      <c r="R39" s="1530">
        <f t="shared" si="10"/>
        <v>29345320.730032656</v>
      </c>
      <c r="S39" s="1530">
        <f t="shared" si="10"/>
        <v>27846208.057557296</v>
      </c>
      <c r="T39" s="1530">
        <f t="shared" si="10"/>
        <v>31387073.699986964</v>
      </c>
      <c r="U39" s="1530">
        <f t="shared" si="10"/>
        <v>36279392.549446926</v>
      </c>
      <c r="V39" s="1530">
        <f t="shared" si="10"/>
        <v>31901862.832594763</v>
      </c>
      <c r="W39" s="1530">
        <f t="shared" si="10"/>
        <v>31158184.660147019</v>
      </c>
      <c r="X39" s="1530">
        <f t="shared" si="10"/>
        <v>34661890.528807357</v>
      </c>
    </row>
    <row r="40" spans="1:24">
      <c r="A40" s="411"/>
      <c r="C40" s="261">
        <f>+MAX($C$9:C38)+1</f>
        <v>26</v>
      </c>
      <c r="D40" s="253" t="s">
        <v>2143</v>
      </c>
      <c r="E40" s="253"/>
      <c r="F40" s="253"/>
      <c r="G40" s="1358">
        <f t="shared" si="9"/>
        <v>0</v>
      </c>
      <c r="H40" s="1358">
        <f t="shared" si="9"/>
        <v>0</v>
      </c>
      <c r="I40" s="1358">
        <f t="shared" si="9"/>
        <v>0</v>
      </c>
      <c r="J40" s="1358">
        <f t="shared" si="9"/>
        <v>0</v>
      </c>
      <c r="K40" s="1358">
        <f t="shared" si="9"/>
        <v>0</v>
      </c>
      <c r="L40" s="1530"/>
      <c r="M40" s="1530"/>
      <c r="N40" s="1530">
        <f>N22+N26+N36</f>
        <v>101330610.35146607</v>
      </c>
      <c r="O40" s="1530">
        <f t="shared" ref="O40:X40" si="11">O22+O26+O36</f>
        <v>113469803.70422849</v>
      </c>
      <c r="P40" s="1530">
        <f t="shared" si="11"/>
        <v>99567182.712483793</v>
      </c>
      <c r="Q40" s="1530">
        <f t="shared" si="11"/>
        <v>70449034.3913984</v>
      </c>
      <c r="R40" s="1530">
        <f t="shared" si="11"/>
        <v>59180844.826800779</v>
      </c>
      <c r="S40" s="1530">
        <f t="shared" si="11"/>
        <v>60250564.524075486</v>
      </c>
      <c r="T40" s="1530">
        <f t="shared" si="11"/>
        <v>62927466.244193703</v>
      </c>
      <c r="U40" s="1530">
        <f t="shared" si="11"/>
        <v>60136374.104597077</v>
      </c>
      <c r="V40" s="1530">
        <f t="shared" si="11"/>
        <v>59797068.055952802</v>
      </c>
      <c r="W40" s="1530">
        <f t="shared" si="11"/>
        <v>93358227.696240857</v>
      </c>
      <c r="X40" s="1530">
        <f t="shared" si="11"/>
        <v>56321257.839261182</v>
      </c>
    </row>
    <row r="41" spans="1:24">
      <c r="A41" s="411"/>
    </row>
    <row r="42" spans="1:24">
      <c r="A42" s="411"/>
    </row>
    <row r="43" spans="1:24">
      <c r="A43" s="411"/>
    </row>
    <row r="44" spans="1:24">
      <c r="A44" s="411"/>
      <c r="D44" s="2548" t="s">
        <v>2042</v>
      </c>
    </row>
    <row r="45" spans="1:24" s="2" customFormat="1">
      <c r="A45" s="411"/>
      <c r="D45" s="2" t="s">
        <v>2996</v>
      </c>
      <c r="G45" s="429"/>
      <c r="H45" s="429"/>
      <c r="I45" s="429"/>
      <c r="L45" s="3080"/>
      <c r="M45" s="3080"/>
      <c r="N45" s="3080">
        <f>'Forecast (BV) 2017'!K55</f>
        <v>18881042.1085</v>
      </c>
      <c r="O45" s="3080">
        <f>'Forecast (BV) 2017'!L55</f>
        <v>3771216.7979882499</v>
      </c>
      <c r="P45" s="3080">
        <f>'Forecast (BV) 2017'!M55</f>
        <v>6481437.273579197</v>
      </c>
      <c r="Q45" s="3080">
        <f>'Forecast (BV) 2017'!N55</f>
        <v>13491703.741310302</v>
      </c>
      <c r="R45" s="3080">
        <f>'Forecast (BV) 2017'!O55</f>
        <v>2302016.4081461993</v>
      </c>
      <c r="S45" s="3080">
        <f>'Forecast (BV) 2017'!P55</f>
        <v>2312375.481982857</v>
      </c>
      <c r="T45" s="3080">
        <f>'Forecast (BV) 2017'!Q55</f>
        <v>2322781.1716517797</v>
      </c>
      <c r="U45" s="3080">
        <f>'Forecast (BV) 2017'!R55</f>
        <v>2333233.6869242126</v>
      </c>
      <c r="V45" s="3080">
        <f>'Forecast (BV) 2017'!S55</f>
        <v>2343733.2385153715</v>
      </c>
      <c r="W45" s="3080">
        <f>'Forecast (BV) 2017'!T55</f>
        <v>2354280.0380886905</v>
      </c>
      <c r="X45" s="3080">
        <f>'Forecast (BV) 2017'!U55</f>
        <v>2364874.2982600895</v>
      </c>
    </row>
    <row r="46" spans="1:24">
      <c r="A46" s="411"/>
      <c r="N46" s="3094"/>
      <c r="O46" s="3094"/>
      <c r="P46" s="3094"/>
      <c r="Q46" s="3094"/>
      <c r="R46" s="3094"/>
    </row>
    <row r="47" spans="1:24" s="2" customFormat="1">
      <c r="A47" s="411"/>
      <c r="D47" s="305" t="s">
        <v>2982</v>
      </c>
      <c r="G47" s="429"/>
      <c r="H47" s="429"/>
      <c r="I47" s="429"/>
      <c r="L47" s="3073"/>
      <c r="M47" s="3073"/>
      <c r="N47" s="3073">
        <f>'CIAC (MC)'!G43*1000000</f>
        <v>0</v>
      </c>
      <c r="O47" s="3073">
        <f>'CIAC (MC)'!H43*1000000</f>
        <v>0</v>
      </c>
      <c r="P47" s="3073">
        <f>'CIAC (MC)'!I43*1000000</f>
        <v>0</v>
      </c>
      <c r="Q47" s="3073">
        <f>'CIAC (MC)'!J43*1000000</f>
        <v>0</v>
      </c>
      <c r="R47" s="3073">
        <f>'CIAC (MC)'!K43*1000000</f>
        <v>0</v>
      </c>
    </row>
    <row r="48" spans="1:24" s="2" customFormat="1">
      <c r="A48" s="411"/>
      <c r="D48" s="305" t="s">
        <v>2983</v>
      </c>
      <c r="G48" s="429"/>
      <c r="H48" s="429"/>
      <c r="I48" s="429"/>
      <c r="L48" s="3073"/>
      <c r="M48" s="3073"/>
      <c r="N48" s="3073">
        <f>'CIAC (MC)'!G44*1000000</f>
        <v>15822000</v>
      </c>
      <c r="O48" s="3073">
        <f>'CIAC (MC)'!H44*1000000</f>
        <v>900000</v>
      </c>
      <c r="P48" s="3073">
        <f>'CIAC (MC)'!I44*1000000</f>
        <v>4000000</v>
      </c>
      <c r="Q48" s="3073">
        <f>'CIAC (MC)'!J44*1000000</f>
        <v>5000000</v>
      </c>
      <c r="R48" s="3073">
        <f>'CIAC (MC)'!K44*1000000</f>
        <v>0</v>
      </c>
    </row>
    <row r="49" spans="1:24" s="2" customFormat="1">
      <c r="A49" s="411"/>
      <c r="D49" s="305" t="s">
        <v>2984</v>
      </c>
      <c r="G49" s="429"/>
      <c r="H49" s="429"/>
      <c r="I49" s="429"/>
      <c r="L49" s="3073"/>
      <c r="M49" s="3073"/>
      <c r="N49" s="3073">
        <f>'CIAC (MC)'!G47*1000000</f>
        <v>0</v>
      </c>
      <c r="O49" s="3073">
        <f>'CIAC (MC)'!H47*1000000</f>
        <v>0</v>
      </c>
      <c r="P49" s="3073">
        <f>'CIAC (MC)'!I47*1000000</f>
        <v>0</v>
      </c>
      <c r="Q49" s="3073">
        <f>'CIAC (MC)'!J47*1000000</f>
        <v>0</v>
      </c>
      <c r="R49" s="3073">
        <f>'CIAC (MC)'!K47*1000000</f>
        <v>0</v>
      </c>
    </row>
    <row r="50" spans="1:24" s="2" customFormat="1">
      <c r="A50" s="411"/>
      <c r="D50" s="305" t="s">
        <v>2985</v>
      </c>
      <c r="G50" s="429"/>
      <c r="H50" s="429"/>
      <c r="I50" s="429"/>
      <c r="L50" s="3073"/>
      <c r="M50" s="3073"/>
      <c r="N50" s="3073">
        <f>'CIAC (MC)'!G48*1000000</f>
        <v>799999.99999999988</v>
      </c>
      <c r="O50" s="3073">
        <f>'CIAC (MC)'!H48*1000000</f>
        <v>600000.00000000012</v>
      </c>
      <c r="P50" s="3073">
        <f>'CIAC (MC)'!I48*1000000</f>
        <v>200000</v>
      </c>
      <c r="Q50" s="3073">
        <f>'CIAC (MC)'!J48*1000000</f>
        <v>6200000</v>
      </c>
      <c r="R50" s="3073">
        <f>'CIAC (MC)'!K48*1000000</f>
        <v>50000</v>
      </c>
    </row>
    <row r="51" spans="1:24">
      <c r="A51" s="411"/>
      <c r="D51" s="305" t="s">
        <v>2986</v>
      </c>
      <c r="G51" s="2545">
        <f t="shared" ref="G51:X51" si="12">G45-SUM(G47:G50)</f>
        <v>0</v>
      </c>
      <c r="H51" s="2545">
        <f t="shared" si="12"/>
        <v>0</v>
      </c>
      <c r="I51" s="2545">
        <f t="shared" si="12"/>
        <v>0</v>
      </c>
      <c r="J51" s="2545">
        <f t="shared" si="12"/>
        <v>0</v>
      </c>
      <c r="K51" s="2545">
        <f t="shared" si="12"/>
        <v>0</v>
      </c>
      <c r="L51" s="2545"/>
      <c r="M51" s="2545"/>
      <c r="N51" s="2545">
        <f>N45-SUM(N47:N50)</f>
        <v>2259042.1085000001</v>
      </c>
      <c r="O51" s="2545">
        <f t="shared" si="12"/>
        <v>2271216.7979882499</v>
      </c>
      <c r="P51" s="2545">
        <f t="shared" si="12"/>
        <v>2281437.273579197</v>
      </c>
      <c r="Q51" s="2545">
        <f t="shared" si="12"/>
        <v>2291703.7413103022</v>
      </c>
      <c r="R51" s="2545">
        <f t="shared" si="12"/>
        <v>2252016.4081461993</v>
      </c>
      <c r="S51" s="2545">
        <f t="shared" si="12"/>
        <v>2312375.481982857</v>
      </c>
      <c r="T51" s="2545">
        <f t="shared" si="12"/>
        <v>2322781.1716517797</v>
      </c>
      <c r="U51" s="2545">
        <f t="shared" si="12"/>
        <v>2333233.6869242126</v>
      </c>
      <c r="V51" s="2545">
        <f t="shared" si="12"/>
        <v>2343733.2385153715</v>
      </c>
      <c r="W51" s="2545">
        <f t="shared" si="12"/>
        <v>2354280.0380886905</v>
      </c>
      <c r="X51" s="2545">
        <f t="shared" si="12"/>
        <v>2364874.2982600895</v>
      </c>
    </row>
    <row r="52" spans="1:24">
      <c r="A52" s="411"/>
      <c r="G52" s="429"/>
      <c r="H52" s="429"/>
      <c r="I52" s="429"/>
    </row>
    <row r="53" spans="1:24">
      <c r="A53" s="411"/>
      <c r="L53" s="18"/>
      <c r="M53" s="18"/>
      <c r="N53" s="18">
        <v>0</v>
      </c>
      <c r="O53" s="18">
        <v>1</v>
      </c>
      <c r="P53" s="18">
        <f t="shared" ref="P53:X53" si="13">O53+1</f>
        <v>2</v>
      </c>
      <c r="Q53" s="18">
        <f t="shared" si="13"/>
        <v>3</v>
      </c>
      <c r="R53" s="18">
        <f t="shared" si="13"/>
        <v>4</v>
      </c>
      <c r="S53" s="18">
        <f t="shared" si="13"/>
        <v>5</v>
      </c>
      <c r="T53" s="18">
        <f t="shared" si="13"/>
        <v>6</v>
      </c>
      <c r="U53" s="18">
        <f t="shared" si="13"/>
        <v>7</v>
      </c>
      <c r="V53" s="18">
        <f t="shared" si="13"/>
        <v>8</v>
      </c>
      <c r="W53" s="18">
        <f t="shared" si="13"/>
        <v>9</v>
      </c>
      <c r="X53" s="18">
        <f t="shared" si="13"/>
        <v>10</v>
      </c>
    </row>
    <row r="54" spans="1:24">
      <c r="A54" s="411"/>
      <c r="D54" s="253" t="s">
        <v>400</v>
      </c>
      <c r="L54" s="274"/>
      <c r="M54" s="274"/>
      <c r="N54" s="274">
        <f>INDEX(Dashboard!$F$16:$S$16,1,MATCH($L$8,Dashboard!$F$7:$S$7,0))</f>
        <v>0.03</v>
      </c>
      <c r="O54" s="274">
        <f>INDEX(Dashboard!$F$16:$S$16,1,MATCH($L$8,Dashboard!$F$7:$S$7,0))</f>
        <v>0.03</v>
      </c>
      <c r="P54" s="274">
        <f>INDEX(Dashboard!$F$16:$S$16,1,MATCH($L$8,Dashboard!$F$7:$S$7,0))</f>
        <v>0.03</v>
      </c>
      <c r="Q54" s="274">
        <f>INDEX(Dashboard!$F$16:$S$16,1,MATCH($L$8,Dashboard!$F$7:$S$7,0))</f>
        <v>0.03</v>
      </c>
      <c r="R54" s="274">
        <f>INDEX(Dashboard!$F$16:$S$16,1,MATCH($L$8,Dashboard!$F$7:$S$7,0))</f>
        <v>0.03</v>
      </c>
      <c r="S54" s="274">
        <f>INDEX(Dashboard!$F$16:$S$16,1,MATCH($L$8,Dashboard!$F$7:$S$7,0))</f>
        <v>0.03</v>
      </c>
      <c r="T54" s="274">
        <f>INDEX(Dashboard!$F$16:$S$16,1,MATCH($L$8,Dashboard!$F$7:$S$7,0))</f>
        <v>0.03</v>
      </c>
      <c r="U54" s="274">
        <f>INDEX(Dashboard!$F$16:$S$16,1,MATCH($L$8,Dashboard!$F$7:$S$7,0))</f>
        <v>0.03</v>
      </c>
      <c r="V54" s="274">
        <f>INDEX(Dashboard!$F$16:$S$16,1,MATCH($L$8,Dashboard!$F$7:$S$7,0))</f>
        <v>0.03</v>
      </c>
      <c r="W54" s="274">
        <f>INDEX(Dashboard!$F$16:$S$16,1,MATCH($L$8,Dashboard!$F$7:$S$7,0))</f>
        <v>0.03</v>
      </c>
      <c r="X54" s="274">
        <f>INDEX(Dashboard!$F$16:$S$16,1,MATCH($L$8,Dashboard!$F$7:$S$7,0))</f>
        <v>0.03</v>
      </c>
    </row>
    <row r="55" spans="1:24">
      <c r="A55" s="411"/>
    </row>
    <row r="56" spans="1:24">
      <c r="A56" s="411"/>
    </row>
    <row r="57" spans="1:24">
      <c r="A57" s="411"/>
    </row>
    <row r="58" spans="1:24">
      <c r="A58" s="411"/>
    </row>
    <row r="59" spans="1:24">
      <c r="A59" s="411"/>
    </row>
    <row r="60" spans="1:24">
      <c r="A60" s="411"/>
    </row>
    <row r="61" spans="1:24" hidden="1">
      <c r="A61" s="411"/>
    </row>
    <row r="62" spans="1:24" hidden="1">
      <c r="A62" s="411"/>
    </row>
    <row r="63" spans="1:24" hidden="1">
      <c r="A63" s="411"/>
    </row>
    <row r="64" spans="1:24" hidden="1">
      <c r="A64" s="411"/>
    </row>
    <row r="65" spans="1:1" hidden="1">
      <c r="A65" s="411"/>
    </row>
    <row r="66" spans="1:1" hidden="1">
      <c r="A66" s="411"/>
    </row>
    <row r="67" spans="1:1" hidden="1">
      <c r="A67" s="411"/>
    </row>
    <row r="68" spans="1:1" hidden="1">
      <c r="A68" s="411"/>
    </row>
    <row r="69" spans="1:1" hidden="1"/>
    <row r="70" spans="1:1" hidden="1"/>
    <row r="71" spans="1:1" hidden="1"/>
    <row r="72" spans="1:1" hidden="1"/>
    <row r="73" spans="1:1" hidden="1"/>
    <row r="74" spans="1:1" hidden="1"/>
    <row r="75" spans="1:1" hidden="1"/>
    <row r="76" spans="1:1" hidden="1"/>
    <row r="77" spans="1:1" hidden="1"/>
    <row r="78" spans="1:1" hidden="1"/>
    <row r="79" spans="1:1" hidden="1"/>
    <row r="80" spans="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spans="4:4" hidden="1"/>
    <row r="306" spans="4:4" hidden="1"/>
    <row r="307" spans="4:4" hidden="1"/>
    <row r="308" spans="4:4" hidden="1"/>
    <row r="309" spans="4:4" hidden="1"/>
    <row r="310" spans="4:4" hidden="1"/>
    <row r="311" spans="4:4" hidden="1"/>
    <row r="312" spans="4:4" hidden="1"/>
    <row r="317" spans="4:4">
      <c r="D317" s="2548" t="s">
        <v>3468</v>
      </c>
    </row>
    <row r="318" spans="4:4">
      <c r="D318" s="2" t="s">
        <v>2628</v>
      </c>
    </row>
    <row r="319" spans="4:4">
      <c r="D319" s="2" t="s">
        <v>2629</v>
      </c>
    </row>
    <row r="320" spans="4:4">
      <c r="D320" s="2" t="s">
        <v>400</v>
      </c>
    </row>
    <row r="322" spans="4:4">
      <c r="D322" s="1742">
        <v>10</v>
      </c>
    </row>
    <row r="323" spans="4:4">
      <c r="D323" s="1742">
        <v>50</v>
      </c>
    </row>
    <row r="324" spans="4:4">
      <c r="D324" s="1742">
        <v>90</v>
      </c>
    </row>
    <row r="325" spans="4:4">
      <c r="D325" s="18"/>
    </row>
  </sheetData>
  <mergeCells count="4">
    <mergeCell ref="C2:L2"/>
    <mergeCell ref="C3:L3"/>
    <mergeCell ref="C4:L4"/>
    <mergeCell ref="E7:F7"/>
  </mergeCells>
  <phoneticPr fontId="0" type="noConversion"/>
  <dataValidations count="3">
    <dataValidation type="list" allowBlank="1" showInputMessage="1" showErrorMessage="1" sqref="M19:X19">
      <formula1>$D$318:$D$320</formula1>
    </dataValidation>
    <dataValidation type="list" allowBlank="1" showInputMessage="1" showErrorMessage="1" sqref="L14:X14">
      <formula1>$D$322:$D$324</formula1>
    </dataValidation>
    <dataValidation type="list" allowBlank="1" showInputMessage="1" showErrorMessage="1" sqref="L19">
      <formula1>$D$318:$D$319</formula1>
    </dataValidation>
  </dataValidations>
  <printOptions horizontalCentered="1"/>
  <pageMargins left="0.5" right="0.5" top="0.5" bottom="0.5" header="0.5" footer="0.25"/>
  <pageSetup scale="29" fitToHeight="0" orientation="landscape" r:id="rId1"/>
  <headerFooter alignWithMargins="0">
    <oddFooter>&amp;L&amp;"Times New Roman,Bold Italic"&amp;F: &amp;A&amp;C&amp;"Times New Roman,Bold Italic"Date: &amp;D&amp;R&amp;"Times New Roman,Bold Italic"Page: &amp;P of &amp;N</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808000"/>
    <pageSetUpPr fitToPage="1"/>
  </sheetPr>
  <dimension ref="A1:AM536"/>
  <sheetViews>
    <sheetView showGridLines="0" zoomScale="80" zoomScaleNormal="80" zoomScaleSheetLayoutView="75" workbookViewId="0">
      <pane xSplit="4" ySplit="6" topLeftCell="E7" activePane="bottomRight" state="frozen"/>
      <selection pane="topRight" activeCell="E1" sqref="E1"/>
      <selection pane="bottomLeft" activeCell="A7" sqref="A7"/>
      <selection pane="bottomRight" activeCell="L28" sqref="L28"/>
    </sheetView>
  </sheetViews>
  <sheetFormatPr defaultColWidth="0" defaultRowHeight="15.75" zeroHeight="1"/>
  <cols>
    <col min="1" max="1" width="22.5" customWidth="1"/>
    <col min="2" max="2" width="2.625" customWidth="1"/>
    <col min="3" max="3" width="4.75" bestFit="1" customWidth="1"/>
    <col min="4" max="4" width="47" bestFit="1" customWidth="1"/>
    <col min="5" max="5" width="11.625" customWidth="1"/>
    <col min="6" max="7" width="11.5" bestFit="1" customWidth="1"/>
    <col min="8" max="8" width="16.5" bestFit="1" customWidth="1"/>
    <col min="9" max="9" width="14.25" customWidth="1"/>
    <col min="10" max="10" width="14.75" bestFit="1" customWidth="1"/>
    <col min="11" max="11" width="11.5" customWidth="1"/>
    <col min="12" max="12" width="12.125" bestFit="1" customWidth="1"/>
    <col min="13" max="22" width="11.5" customWidth="1"/>
    <col min="23" max="23" width="2.625" customWidth="1"/>
    <col min="24" max="24" width="11.75" bestFit="1" customWidth="1"/>
    <col min="25" max="25" width="2.625" customWidth="1"/>
  </cols>
  <sheetData>
    <row r="1" spans="1:24" ht="22.5">
      <c r="A1" s="411"/>
      <c r="C1" s="4343" t="s">
        <v>395</v>
      </c>
      <c r="D1" s="4343"/>
      <c r="E1" s="4343"/>
      <c r="F1" s="4343"/>
      <c r="G1" s="4343"/>
      <c r="H1" s="724"/>
      <c r="I1" s="724"/>
      <c r="J1" s="724"/>
      <c r="K1" s="724"/>
      <c r="L1" s="724"/>
      <c r="M1" s="724"/>
      <c r="N1" s="724"/>
      <c r="O1" s="724"/>
      <c r="P1" s="724"/>
      <c r="Q1" s="724"/>
      <c r="R1" s="724"/>
      <c r="S1" s="724"/>
      <c r="T1" s="724"/>
      <c r="U1" s="724"/>
      <c r="V1" s="724"/>
    </row>
    <row r="2" spans="1:24" ht="22.5">
      <c r="A2" s="411"/>
      <c r="C2" s="4343" t="str">
        <f>Client</f>
        <v>Grant County Public Utility District</v>
      </c>
      <c r="D2" s="4343"/>
      <c r="E2" s="4343"/>
      <c r="F2" s="4343"/>
      <c r="G2" s="4343"/>
      <c r="H2" s="724"/>
      <c r="I2" s="724"/>
      <c r="J2" s="724"/>
      <c r="K2" s="724"/>
      <c r="L2" s="724"/>
      <c r="M2" s="724"/>
      <c r="N2" s="724"/>
      <c r="O2" s="724"/>
      <c r="P2" s="724"/>
      <c r="Q2" s="724"/>
      <c r="R2" s="724"/>
      <c r="S2" s="724"/>
      <c r="T2" s="724"/>
      <c r="U2" s="724"/>
      <c r="V2" s="724"/>
    </row>
    <row r="3" spans="1:24" ht="22.5">
      <c r="A3" s="411"/>
      <c r="C3" s="4343" t="s">
        <v>307</v>
      </c>
      <c r="D3" s="4343"/>
      <c r="E3" s="4343"/>
      <c r="F3" s="4343"/>
      <c r="G3" s="4343"/>
      <c r="H3" s="724"/>
      <c r="I3" s="724"/>
      <c r="J3" s="724"/>
      <c r="K3" s="724"/>
      <c r="L3" s="724"/>
      <c r="M3" s="724"/>
      <c r="N3" s="724"/>
      <c r="O3" s="724"/>
      <c r="P3" s="724"/>
      <c r="Q3" s="724"/>
      <c r="R3" s="724"/>
      <c r="S3" s="724"/>
      <c r="T3" s="724"/>
      <c r="U3" s="724"/>
      <c r="V3" s="724"/>
    </row>
    <row r="4" spans="1:24">
      <c r="A4" s="411"/>
      <c r="C4" s="7"/>
    </row>
    <row r="5" spans="1:24" ht="16.5" thickBot="1">
      <c r="A5" s="411"/>
      <c r="C5" s="4412" t="s">
        <v>867</v>
      </c>
      <c r="D5" s="4412" t="s">
        <v>399</v>
      </c>
      <c r="E5" s="154" t="s">
        <v>882</v>
      </c>
      <c r="F5" s="155"/>
      <c r="G5" s="155"/>
      <c r="H5" s="155"/>
      <c r="I5" s="155"/>
      <c r="J5" s="155"/>
      <c r="K5" s="155"/>
      <c r="L5" s="155"/>
      <c r="M5" s="155"/>
      <c r="N5" s="155"/>
      <c r="O5" s="155"/>
      <c r="P5" s="155"/>
      <c r="Q5" s="155"/>
      <c r="R5" s="155"/>
      <c r="S5" s="155"/>
      <c r="T5" s="155"/>
      <c r="U5" s="155"/>
      <c r="V5" s="155"/>
      <c r="W5" s="725"/>
    </row>
    <row r="6" spans="1:24" ht="18" customHeight="1" thickTop="1">
      <c r="A6" s="411"/>
      <c r="C6" s="4404"/>
      <c r="D6" s="4404"/>
      <c r="E6" s="111">
        <v>2009</v>
      </c>
      <c r="F6" s="111">
        <v>2010</v>
      </c>
      <c r="G6" s="111">
        <v>2011</v>
      </c>
      <c r="H6" s="111">
        <v>2012</v>
      </c>
      <c r="I6" s="111">
        <f>Dashboard!F$7</f>
        <v>2013</v>
      </c>
      <c r="J6" s="111">
        <f>Dashboard!G$7</f>
        <v>2014</v>
      </c>
      <c r="K6" s="111">
        <f>Dashboard!H$7</f>
        <v>2015</v>
      </c>
      <c r="L6" s="111">
        <f>Dashboard!I$7</f>
        <v>2016</v>
      </c>
      <c r="M6" s="111">
        <f>Dashboard!J$7</f>
        <v>2017</v>
      </c>
      <c r="N6" s="111">
        <f>Dashboard!K$7</f>
        <v>2018</v>
      </c>
      <c r="O6" s="111">
        <f>Dashboard!L$7</f>
        <v>2019</v>
      </c>
      <c r="P6" s="111">
        <f>Dashboard!M$7</f>
        <v>2020</v>
      </c>
      <c r="Q6" s="111">
        <f>Dashboard!N$7</f>
        <v>2021</v>
      </c>
      <c r="R6" s="111">
        <f>Dashboard!O$7</f>
        <v>2022</v>
      </c>
      <c r="S6" s="111">
        <f>Dashboard!P$7</f>
        <v>2023</v>
      </c>
      <c r="T6" s="111">
        <f>Dashboard!Q$7</f>
        <v>2024</v>
      </c>
      <c r="U6" s="111">
        <f>Dashboard!R$7</f>
        <v>2025</v>
      </c>
      <c r="V6" s="111">
        <f>Dashboard!S$7</f>
        <v>2026</v>
      </c>
      <c r="X6" s="286" t="s">
        <v>611</v>
      </c>
    </row>
    <row r="7" spans="1:24" ht="16.5" thickBot="1">
      <c r="A7" s="411"/>
      <c r="C7" s="1"/>
      <c r="D7" s="1"/>
      <c r="E7" s="1"/>
      <c r="F7" s="1"/>
      <c r="G7" s="1"/>
      <c r="H7" s="1"/>
      <c r="I7" s="1"/>
      <c r="J7" s="1"/>
      <c r="K7" s="1"/>
      <c r="L7" s="1"/>
      <c r="M7" s="1"/>
      <c r="N7" s="1"/>
      <c r="O7" s="1"/>
      <c r="P7" s="1"/>
      <c r="Q7" s="1"/>
      <c r="R7" s="1"/>
      <c r="S7" s="1"/>
      <c r="T7" s="1"/>
      <c r="U7" s="1"/>
      <c r="V7" s="1"/>
      <c r="X7" s="66">
        <v>0</v>
      </c>
    </row>
    <row r="8" spans="1:24" s="2" customFormat="1" ht="17.25" thickTop="1" thickBot="1">
      <c r="A8" s="411"/>
      <c r="C8" s="4"/>
      <c r="D8" s="14" t="s">
        <v>574</v>
      </c>
      <c r="E8" s="4"/>
      <c r="F8" s="4"/>
      <c r="G8" s="4"/>
      <c r="H8" s="4"/>
      <c r="I8" s="4"/>
      <c r="J8" s="4"/>
      <c r="K8" s="4"/>
      <c r="L8" s="4"/>
      <c r="M8" s="4"/>
      <c r="N8" s="4"/>
      <c r="O8" s="4"/>
      <c r="P8" s="4"/>
      <c r="Q8" s="4"/>
      <c r="R8" s="4"/>
      <c r="S8" s="4"/>
      <c r="T8" s="4"/>
      <c r="U8" s="4"/>
      <c r="V8" s="4"/>
    </row>
    <row r="9" spans="1:24" s="2" customFormat="1">
      <c r="A9" s="411"/>
      <c r="C9" s="236">
        <v>1</v>
      </c>
      <c r="D9" s="305" t="s">
        <v>283</v>
      </c>
      <c r="E9" s="1012">
        <v>187621.8</v>
      </c>
      <c r="F9" s="1013">
        <v>83526.009999999995</v>
      </c>
      <c r="G9" s="1013">
        <v>93599.35</v>
      </c>
      <c r="H9" s="1013">
        <v>923.62</v>
      </c>
      <c r="I9" s="3082">
        <f>SUMIF('Lead Sheet 2015'!$C$618:$I$618,I$6,'Lead Sheet 2015'!$C658:$I658)</f>
        <v>65276.5</v>
      </c>
      <c r="J9" s="3082">
        <f>SUMIF('Lead Sheet 2015'!$C$618:$I$618,J$6,'Lead Sheet 2015'!$C658:$I658)</f>
        <v>8312.32</v>
      </c>
      <c r="K9" s="3082">
        <f>SUMIF('Lead Sheet 2015'!$C$618:$I$618,K$6,'Lead Sheet 2015'!$C658:$I658)</f>
        <v>21962.86</v>
      </c>
      <c r="L9" s="1005">
        <f>'Net Power'!E69</f>
        <v>0</v>
      </c>
      <c r="M9" s="1005">
        <f>'Net Power'!F69</f>
        <v>0</v>
      </c>
      <c r="N9" s="1005">
        <f>'Net Power'!G69</f>
        <v>0</v>
      </c>
      <c r="O9" s="1005">
        <f>'Net Power'!H69</f>
        <v>0</v>
      </c>
      <c r="P9" s="1005">
        <f>'Net Power'!I69</f>
        <v>0</v>
      </c>
      <c r="Q9" s="1005">
        <f>'Net Power'!J69</f>
        <v>0</v>
      </c>
      <c r="R9" s="1005">
        <f>'Net Power'!K69</f>
        <v>0</v>
      </c>
      <c r="S9" s="1005">
        <f>'Net Power'!L69</f>
        <v>0</v>
      </c>
      <c r="T9" s="1005">
        <f>'Net Power'!M69</f>
        <v>0</v>
      </c>
      <c r="U9" s="1005">
        <f>'Net Power'!N69</f>
        <v>0</v>
      </c>
      <c r="V9" s="1005">
        <f>'Net Power'!O69</f>
        <v>0</v>
      </c>
      <c r="W9" s="13"/>
    </row>
    <row r="10" spans="1:24" s="2" customFormat="1">
      <c r="A10" s="411"/>
      <c r="C10" s="236">
        <f>+MAX($C$9:C9)+1</f>
        <v>2</v>
      </c>
      <c r="D10" s="305" t="s">
        <v>284</v>
      </c>
      <c r="E10" s="134">
        <v>650388.11</v>
      </c>
      <c r="F10" s="133">
        <v>680928.69</v>
      </c>
      <c r="G10" s="133">
        <v>669724.17000000004</v>
      </c>
      <c r="H10" s="133">
        <v>723427.15</v>
      </c>
      <c r="I10" s="3083">
        <f>SUMIF('Lead Sheet 2015'!$C$618:$I$618,I$6,'Lead Sheet 2015'!$C676:$I676)</f>
        <v>839048.02</v>
      </c>
      <c r="J10" s="3083">
        <f>SUMIF('Lead Sheet 2015'!$C$618:$I$618,J$6,'Lead Sheet 2015'!$C676:$I676)</f>
        <v>1070843.33</v>
      </c>
      <c r="K10" s="3083">
        <f>SUMIF('Lead Sheet 2015'!$C$618:$I$618,K$6,'Lead Sheet 2015'!$C676:$I676)</f>
        <v>1130591.47</v>
      </c>
      <c r="L10" s="3145">
        <f>(SUM(I10:K10)/SUM(I$20:K$20))*L$20</f>
        <v>1075898.8828876247</v>
      </c>
      <c r="M10" s="16">
        <f t="shared" ref="M10:V13" si="0">(SUM(J10:L10)/SUM(J$20:L$20))*M$20</f>
        <v>1120931.9424245609</v>
      </c>
      <c r="N10" s="16">
        <f t="shared" si="0"/>
        <v>1138130.016615696</v>
      </c>
      <c r="O10" s="16">
        <f t="shared" si="0"/>
        <v>1145168.7260796092</v>
      </c>
      <c r="P10" s="16">
        <f t="shared" si="0"/>
        <v>1168954.8098880309</v>
      </c>
      <c r="Q10" s="16">
        <f t="shared" si="0"/>
        <v>1185445.0442753227</v>
      </c>
      <c r="R10" s="16">
        <f t="shared" si="0"/>
        <v>1201692.2185354177</v>
      </c>
      <c r="S10" s="16">
        <f t="shared" si="0"/>
        <v>1221101.4226961986</v>
      </c>
      <c r="T10" s="16">
        <f t="shared" si="0"/>
        <v>1239007.6809670983</v>
      </c>
      <c r="U10" s="16">
        <f t="shared" si="0"/>
        <v>1257400.1777108759</v>
      </c>
      <c r="V10" s="16">
        <f t="shared" si="0"/>
        <v>1276529.3416397022</v>
      </c>
      <c r="W10" s="13"/>
    </row>
    <row r="11" spans="1:24" s="2" customFormat="1">
      <c r="A11" s="411"/>
      <c r="C11" s="236">
        <f>+MAX($C$9:C10)+1</f>
        <v>3</v>
      </c>
      <c r="D11" s="305" t="s">
        <v>285</v>
      </c>
      <c r="E11" s="134">
        <v>386561.94</v>
      </c>
      <c r="F11" s="133">
        <v>308203.90999999997</v>
      </c>
      <c r="G11" s="133">
        <v>260308.88</v>
      </c>
      <c r="H11" s="133">
        <v>292947.25</v>
      </c>
      <c r="I11" s="3083">
        <f>SUMIF('Lead Sheet 2015'!$C$618:$I$618,I$6,'Lead Sheet 2015'!$C677:$I677)</f>
        <v>321509.90000000002</v>
      </c>
      <c r="J11" s="3083">
        <f>SUMIF('Lead Sheet 2015'!$C$618:$I$618,J$6,'Lead Sheet 2015'!$C677:$I677)</f>
        <v>299368.84999999998</v>
      </c>
      <c r="K11" s="3083">
        <f>SUMIF('Lead Sheet 2015'!$C$618:$I$618,K$6,'Lead Sheet 2015'!$C677:$I677)</f>
        <v>278170.17</v>
      </c>
      <c r="L11" s="3145">
        <f t="shared" ref="L11:L13" si="1">(SUM(I11:K11)/SUM(I$20:K$20))*L$20</f>
        <v>318135.56791921792</v>
      </c>
      <c r="M11" s="16">
        <f t="shared" si="0"/>
        <v>306343.61733102566</v>
      </c>
      <c r="N11" s="16">
        <f t="shared" si="0"/>
        <v>308747.20264285553</v>
      </c>
      <c r="O11" s="16">
        <f t="shared" si="0"/>
        <v>320454.03961913334</v>
      </c>
      <c r="P11" s="16">
        <f t="shared" si="0"/>
        <v>321250.16329460923</v>
      </c>
      <c r="Q11" s="16">
        <f t="shared" si="0"/>
        <v>326368.817174064</v>
      </c>
      <c r="R11" s="16">
        <f t="shared" si="0"/>
        <v>332419.7793354381</v>
      </c>
      <c r="S11" s="16">
        <f t="shared" si="0"/>
        <v>336528.61046030361</v>
      </c>
      <c r="T11" s="16">
        <f t="shared" si="0"/>
        <v>341774.96887544438</v>
      </c>
      <c r="U11" s="16">
        <f t="shared" si="0"/>
        <v>347065.17885208089</v>
      </c>
      <c r="V11" s="16">
        <f t="shared" si="0"/>
        <v>352094.15949153726</v>
      </c>
      <c r="W11" s="13"/>
    </row>
    <row r="12" spans="1:24" s="2" customFormat="1">
      <c r="A12" s="411"/>
      <c r="C12" s="236">
        <f>+MAX($C$9:C11)+1</f>
        <v>4</v>
      </c>
      <c r="D12" s="305" t="s">
        <v>286</v>
      </c>
      <c r="E12" s="134">
        <v>301026.44</v>
      </c>
      <c r="F12" s="133">
        <v>336064</v>
      </c>
      <c r="G12" s="133">
        <v>345173.43</v>
      </c>
      <c r="H12" s="133">
        <v>343283.04</v>
      </c>
      <c r="I12" s="3083">
        <f>SUMIF('Lead Sheet 2015'!$C$618:$I$618,I$6,'Lead Sheet 2015'!$C678:$I678)</f>
        <v>336004.73</v>
      </c>
      <c r="J12" s="3083">
        <f>SUMIF('Lead Sheet 2015'!$C$618:$I$618,J$6,'Lead Sheet 2015'!$C678:$I678)</f>
        <v>329971.7</v>
      </c>
      <c r="K12" s="3083">
        <f>SUMIF('Lead Sheet 2015'!$C$618:$I$618,K$6,'Lead Sheet 2015'!$C678:$I678)</f>
        <v>337837.58</v>
      </c>
      <c r="L12" s="3145">
        <f t="shared" si="1"/>
        <v>355207.52325314796</v>
      </c>
      <c r="M12" s="16">
        <f t="shared" si="0"/>
        <v>349897.91194930824</v>
      </c>
      <c r="N12" s="16">
        <f t="shared" si="0"/>
        <v>356734.02588360914</v>
      </c>
      <c r="O12" s="16">
        <f t="shared" si="0"/>
        <v>364617.57741360727</v>
      </c>
      <c r="P12" s="16">
        <f t="shared" si="0"/>
        <v>367848.82966694527</v>
      </c>
      <c r="Q12" s="16">
        <f t="shared" si="0"/>
        <v>374012.86893128115</v>
      </c>
      <c r="R12" s="16">
        <f t="shared" si="0"/>
        <v>379946.12920596352</v>
      </c>
      <c r="S12" s="16">
        <f t="shared" si="0"/>
        <v>385209.69269612752</v>
      </c>
      <c r="T12" s="16">
        <f t="shared" si="0"/>
        <v>391171.11723485723</v>
      </c>
      <c r="U12" s="16">
        <f t="shared" si="0"/>
        <v>397062.96732932632</v>
      </c>
      <c r="V12" s="16">
        <f t="shared" si="0"/>
        <v>402940.59787353105</v>
      </c>
      <c r="W12" s="13"/>
    </row>
    <row r="13" spans="1:24" s="2" customFormat="1">
      <c r="A13" s="411"/>
      <c r="C13" s="236">
        <f>+MAX($C$9:C12)+1</f>
        <v>5</v>
      </c>
      <c r="D13" s="305" t="s">
        <v>287</v>
      </c>
      <c r="E13" s="134">
        <v>-9587.9</v>
      </c>
      <c r="F13" s="133">
        <v>19466.439999999999</v>
      </c>
      <c r="G13" s="133">
        <v>19942.89</v>
      </c>
      <c r="H13" s="133">
        <v>13751.03</v>
      </c>
      <c r="I13" s="3083">
        <f>SUMIF('Lead Sheet 2015'!$C$618:$I$618,I$6,'Lead Sheet 2015'!$C679:$I679)</f>
        <v>18379.3</v>
      </c>
      <c r="J13" s="3083">
        <f>SUMIF('Lead Sheet 2015'!$C$618:$I$618,J$6,'Lead Sheet 2015'!$C679:$I679)</f>
        <v>12924.88</v>
      </c>
      <c r="K13" s="3083">
        <f>SUMIF('Lead Sheet 2015'!$C$618:$I$618,K$6,'Lead Sheet 2015'!$C679:$I679)</f>
        <v>12909.89</v>
      </c>
      <c r="L13" s="3145">
        <f t="shared" si="1"/>
        <v>15645.498211009537</v>
      </c>
      <c r="M13" s="16">
        <f t="shared" si="0"/>
        <v>14187.31265016965</v>
      </c>
      <c r="N13" s="16">
        <f t="shared" si="0"/>
        <v>14619.950978229965</v>
      </c>
      <c r="O13" s="16">
        <f t="shared" si="0"/>
        <v>15264.320949846189</v>
      </c>
      <c r="P13" s="16">
        <f t="shared" si="0"/>
        <v>15133.431173543871</v>
      </c>
      <c r="Q13" s="16">
        <f t="shared" si="0"/>
        <v>15458.312152807912</v>
      </c>
      <c r="R13" s="16">
        <f t="shared" si="0"/>
        <v>15746.191094658108</v>
      </c>
      <c r="S13" s="16">
        <f t="shared" si="0"/>
        <v>15911.657091419576</v>
      </c>
      <c r="T13" s="16">
        <f t="shared" si="0"/>
        <v>16178.886610810479</v>
      </c>
      <c r="U13" s="16">
        <f t="shared" si="0"/>
        <v>16426.319601249812</v>
      </c>
      <c r="V13" s="16">
        <f t="shared" si="0"/>
        <v>16659.86414116525</v>
      </c>
      <c r="W13" s="13"/>
    </row>
    <row r="14" spans="1:24" s="2" customFormat="1">
      <c r="A14" s="411"/>
      <c r="C14" s="236">
        <f>+MAX($C$9:C13)+1</f>
        <v>6</v>
      </c>
      <c r="D14" s="4230" t="s">
        <v>3986</v>
      </c>
      <c r="E14" s="134">
        <v>1647529.4</v>
      </c>
      <c r="F14" s="133">
        <v>569645.37</v>
      </c>
      <c r="G14" s="133">
        <v>948935.33</v>
      </c>
      <c r="H14" s="133">
        <v>1273430.23</v>
      </c>
      <c r="I14" s="3083">
        <f>SUMIF('Lead Sheet 2015'!$C$618:$I$618,I$6,'Lead Sheet 2015'!$C920:$I920)</f>
        <v>-96076.140000000101</v>
      </c>
      <c r="J14" s="3083">
        <f>SUMIF('Lead Sheet 2015'!$C$618:$I$618,J$6,'Lead Sheet 2015'!$C920:$I920)</f>
        <v>3090567.3200000003</v>
      </c>
      <c r="K14" s="3083">
        <f>SUMIF('Lead Sheet 2015'!$C$618:$I$618,K$6,'Lead Sheet 2015'!$C920:$I920)</f>
        <v>4349055.8100000005</v>
      </c>
      <c r="L14" s="16">
        <f>'Debt from Forecast17'!G119+SUM('Debt from Forecast17'!G61:G63)+SUM('Debt from Forecast17'!G70:G71)</f>
        <v>6291061.243626738</v>
      </c>
      <c r="M14" s="16">
        <f>'Debt from Forecast17'!H119+SUM('Debt from Forecast17'!H61:H63)+SUM('Debt from Forecast17'!H70:H71)</f>
        <v>7766347.2979476731</v>
      </c>
      <c r="N14" s="16">
        <f>'Debt from Forecast17'!I119+SUM('Debt from Forecast17'!I61:I63)+SUM('Debt from Forecast17'!I70:I71)</f>
        <v>14906377.944111161</v>
      </c>
      <c r="O14" s="16">
        <f>'Debt from Forecast17'!J119+SUM('Debt from Forecast17'!J61:J63)+SUM('Debt from Forecast17'!J70:J71)</f>
        <v>15316958.379292076</v>
      </c>
      <c r="P14" s="16">
        <f>'Debt from Forecast17'!K119+SUM('Debt from Forecast17'!K61:K63)+SUM('Debt from Forecast17'!K70:K71)</f>
        <v>16323777.404787961</v>
      </c>
      <c r="Q14" s="16">
        <f>'Debt from Forecast17'!L119+SUM('Debt from Forecast17'!L61:L63)+SUM('Debt from Forecast17'!L70:L71)</f>
        <v>18521357.465201512</v>
      </c>
      <c r="R14" s="16">
        <f>'Debt from Forecast17'!M119+SUM('Debt from Forecast17'!M61:M63)+SUM('Debt from Forecast17'!M70:M71)</f>
        <v>21561325.174006425</v>
      </c>
      <c r="S14" s="16">
        <f>'Debt from Forecast17'!N119+SUM('Debt from Forecast17'!N61:N63)+SUM('Debt from Forecast17'!N70:N71)</f>
        <v>25159350.369345762</v>
      </c>
      <c r="T14" s="16">
        <f>'Debt from Forecast17'!O119+SUM('Debt from Forecast17'!O61:O63)+SUM('Debt from Forecast17'!O70:O71)</f>
        <v>28686301.45745568</v>
      </c>
      <c r="U14" s="16">
        <f>'Debt from Forecast17'!P119+SUM('Debt from Forecast17'!P61:P63)+SUM('Debt from Forecast17'!P70:P71)</f>
        <v>33152431.373971581</v>
      </c>
      <c r="V14" s="16">
        <f>'Debt from Forecast17'!Q119+SUM('Debt from Forecast17'!Q61:Q63)+SUM('Debt from Forecast17'!Q70:Q71)</f>
        <v>37525640.217348956</v>
      </c>
      <c r="W14" s="13"/>
    </row>
    <row r="15" spans="1:24" s="2" customFormat="1" ht="16.5" thickBot="1">
      <c r="A15" s="411"/>
      <c r="C15" s="236">
        <f>+MAX($C$9:C14)+1</f>
        <v>7</v>
      </c>
      <c r="D15" s="306" t="s">
        <v>2000</v>
      </c>
      <c r="E15" s="976">
        <v>993576.07</v>
      </c>
      <c r="F15" s="979">
        <v>8871576.5099999998</v>
      </c>
      <c r="G15" s="979">
        <v>8660240.5</v>
      </c>
      <c r="H15" s="979">
        <v>3847423.78</v>
      </c>
      <c r="I15" s="3084">
        <f>SUMIF('Lead Sheet 2015'!$C$618:$I$618,I$6,'Lead Sheet 2015'!$C973:$I973)</f>
        <v>11966255.630000001</v>
      </c>
      <c r="J15" s="3084">
        <f>SUMIF('Lead Sheet 2015'!$C$618:$I$618,J$6,'Lead Sheet 2015'!$C973:$I973)</f>
        <v>22766657.059999999</v>
      </c>
      <c r="K15" s="3084">
        <f>SUMIF('Lead Sheet 2015'!$C$618:$I$618,K$6,'Lead Sheet 2015'!$C973:$I973)</f>
        <v>13222301.92</v>
      </c>
      <c r="L15" s="1004">
        <f>CIP_E!N45</f>
        <v>18881042.1085</v>
      </c>
      <c r="M15" s="1004">
        <f>CIP_E!O45</f>
        <v>3771216.7979882499</v>
      </c>
      <c r="N15" s="1004">
        <f>CIP_E!P45</f>
        <v>6481437.273579197</v>
      </c>
      <c r="O15" s="1004">
        <f>CIP_E!Q45</f>
        <v>13491703.741310302</v>
      </c>
      <c r="P15" s="1004">
        <f>CIP_E!R45</f>
        <v>2302016.4081461993</v>
      </c>
      <c r="Q15" s="1004">
        <f>CIP_E!S45</f>
        <v>2312375.481982857</v>
      </c>
      <c r="R15" s="1004">
        <f>CIP_E!T45</f>
        <v>2322781.1716517797</v>
      </c>
      <c r="S15" s="1004">
        <f>CIP_E!U45</f>
        <v>2333233.6869242126</v>
      </c>
      <c r="T15" s="1004">
        <f>CIP_E!V45</f>
        <v>2343733.2385153715</v>
      </c>
      <c r="U15" s="1004">
        <f>CIP_E!W45</f>
        <v>2354280.0380886905</v>
      </c>
      <c r="V15" s="1004">
        <f>CIP_E!X45</f>
        <v>2364874.2982600895</v>
      </c>
      <c r="W15" s="13"/>
      <c r="X15" s="13"/>
    </row>
    <row r="16" spans="1:24" s="2" customFormat="1" ht="3.75" customHeight="1">
      <c r="A16" s="411"/>
      <c r="C16" s="236"/>
      <c r="D16" s="11"/>
      <c r="E16" s="11"/>
      <c r="F16" s="11"/>
      <c r="G16" s="11"/>
      <c r="H16" s="11"/>
      <c r="I16" s="11"/>
      <c r="J16" s="11"/>
      <c r="K16" s="11"/>
      <c r="L16" s="11"/>
      <c r="M16" s="11"/>
      <c r="N16" s="11"/>
      <c r="O16" s="11"/>
      <c r="P16" s="11"/>
      <c r="Q16" s="11"/>
      <c r="R16" s="11"/>
      <c r="S16" s="11"/>
      <c r="T16" s="11"/>
      <c r="U16" s="11"/>
      <c r="V16" s="11"/>
      <c r="W16" s="11"/>
    </row>
    <row r="17" spans="1:23" s="2" customFormat="1">
      <c r="A17" s="411"/>
      <c r="C17" s="236">
        <f>+MAX($C$9:C16)+1</f>
        <v>8</v>
      </c>
      <c r="D17" s="14" t="s">
        <v>309</v>
      </c>
      <c r="E17" s="307">
        <f t="shared" ref="E17:N17" si="2">+SUM(E9:E15)</f>
        <v>4157115.86</v>
      </c>
      <c r="F17" s="307">
        <f t="shared" si="2"/>
        <v>10869410.93</v>
      </c>
      <c r="G17" s="307">
        <f t="shared" si="2"/>
        <v>10997924.550000001</v>
      </c>
      <c r="H17" s="307">
        <f t="shared" si="2"/>
        <v>6495186.0999999996</v>
      </c>
      <c r="I17" s="307">
        <f t="shared" si="2"/>
        <v>13450397.940000001</v>
      </c>
      <c r="J17" s="307">
        <f t="shared" si="2"/>
        <v>27578645.460000001</v>
      </c>
      <c r="K17" s="307">
        <f t="shared" si="2"/>
        <v>19352829.699999999</v>
      </c>
      <c r="L17" s="307">
        <f t="shared" si="2"/>
        <v>26936990.824397739</v>
      </c>
      <c r="M17" s="307">
        <f t="shared" si="2"/>
        <v>13328924.880290989</v>
      </c>
      <c r="N17" s="307">
        <f t="shared" si="2"/>
        <v>23206046.413810749</v>
      </c>
      <c r="O17" s="307">
        <f t="shared" ref="O17:V17" si="3">+SUM(O9:O15)</f>
        <v>30654166.784664575</v>
      </c>
      <c r="P17" s="307">
        <f t="shared" si="3"/>
        <v>20498981.046957288</v>
      </c>
      <c r="Q17" s="307">
        <f t="shared" si="3"/>
        <v>22735017.989717845</v>
      </c>
      <c r="R17" s="307">
        <f t="shared" si="3"/>
        <v>25813910.663829684</v>
      </c>
      <c r="S17" s="307">
        <f t="shared" si="3"/>
        <v>29451335.439214021</v>
      </c>
      <c r="T17" s="307">
        <f t="shared" si="3"/>
        <v>33018167.349659264</v>
      </c>
      <c r="U17" s="307">
        <f t="shared" si="3"/>
        <v>37524666.055553809</v>
      </c>
      <c r="V17" s="307">
        <f t="shared" si="3"/>
        <v>41938738.478754982</v>
      </c>
      <c r="W17" s="4"/>
    </row>
    <row r="18" spans="1:23" s="2" customFormat="1">
      <c r="A18" s="411"/>
      <c r="C18" s="4"/>
      <c r="D18" s="4"/>
      <c r="E18" s="4"/>
      <c r="F18" s="4"/>
      <c r="G18" s="4"/>
      <c r="H18" s="4"/>
      <c r="I18" s="4"/>
      <c r="J18" s="4"/>
      <c r="K18" s="4"/>
      <c r="L18" s="4"/>
      <c r="M18" s="4"/>
      <c r="N18" s="4"/>
      <c r="O18" s="4"/>
      <c r="P18" s="4"/>
      <c r="Q18" s="4"/>
      <c r="R18" s="4"/>
      <c r="S18" s="4"/>
      <c r="T18" s="4"/>
      <c r="U18" s="4"/>
      <c r="V18" s="4"/>
    </row>
    <row r="19" spans="1:23" s="2" customFormat="1" ht="16.5" thickBot="1">
      <c r="A19" s="411"/>
      <c r="C19" s="4"/>
      <c r="D19" s="4" t="s">
        <v>2995</v>
      </c>
      <c r="E19" s="1519">
        <f t="shared" ref="E19:V19" si="4">SUM(E9:E14)</f>
        <v>3163539.79</v>
      </c>
      <c r="F19" s="1519">
        <f t="shared" si="4"/>
        <v>1997834.42</v>
      </c>
      <c r="G19" s="1519">
        <f t="shared" si="4"/>
        <v>2337684.0499999998</v>
      </c>
      <c r="H19" s="1519">
        <f t="shared" si="4"/>
        <v>2647762.3200000003</v>
      </c>
      <c r="I19" s="1519">
        <f t="shared" si="4"/>
        <v>1484142.3099999998</v>
      </c>
      <c r="J19" s="1519">
        <f t="shared" si="4"/>
        <v>4811988.4000000004</v>
      </c>
      <c r="K19" s="1519">
        <f t="shared" si="4"/>
        <v>6130527.7800000003</v>
      </c>
      <c r="L19" s="1519">
        <f t="shared" si="4"/>
        <v>8055948.715897738</v>
      </c>
      <c r="M19" s="1519">
        <f t="shared" si="4"/>
        <v>9557708.082302738</v>
      </c>
      <c r="N19" s="1519">
        <f t="shared" si="4"/>
        <v>16724609.140231552</v>
      </c>
      <c r="O19" s="1519">
        <f t="shared" si="4"/>
        <v>17162463.043354273</v>
      </c>
      <c r="P19" s="1519">
        <f t="shared" si="4"/>
        <v>18196964.638811089</v>
      </c>
      <c r="Q19" s="1519">
        <f t="shared" si="4"/>
        <v>20422642.507734988</v>
      </c>
      <c r="R19" s="1519">
        <f t="shared" si="4"/>
        <v>23491129.492177904</v>
      </c>
      <c r="S19" s="1519">
        <f t="shared" si="4"/>
        <v>27118101.752289809</v>
      </c>
      <c r="T19" s="1519">
        <f t="shared" si="4"/>
        <v>30674434.111143891</v>
      </c>
      <c r="U19" s="1519">
        <f t="shared" si="4"/>
        <v>35170386.017465115</v>
      </c>
      <c r="V19" s="1519">
        <f t="shared" si="4"/>
        <v>39573864.18049489</v>
      </c>
    </row>
    <row r="20" spans="1:23" s="2" customFormat="1" ht="16.5" thickBot="1">
      <c r="A20" s="411"/>
      <c r="C20" s="4"/>
      <c r="F20" s="4"/>
      <c r="G20" s="429"/>
      <c r="H20" s="429" t="s">
        <v>2182</v>
      </c>
      <c r="I20" s="4326">
        <f>'Forecast (BV) 2017'!F54</f>
        <v>1514941.95</v>
      </c>
      <c r="J20" s="3085">
        <f>'Forecast (BV) 2017'!G54</f>
        <v>1713108.76</v>
      </c>
      <c r="K20" s="3085">
        <f>'Forecast (BV) 2017'!I54</f>
        <v>1759509.1099999999</v>
      </c>
      <c r="L20" s="3085">
        <f>'Forecast (BV) 2017'!K54</f>
        <v>1764887.472271</v>
      </c>
      <c r="M20" s="3085">
        <f>'Forecast (BV) 2017'!L54</f>
        <v>1791360.7843550646</v>
      </c>
      <c r="N20" s="3085">
        <f>'Forecast (BV) 2017'!M54</f>
        <v>1818231.1961203904</v>
      </c>
      <c r="O20" s="3085">
        <f>'Forecast (BV) 2017'!N54</f>
        <v>1845504.6640621962</v>
      </c>
      <c r="P20" s="3085">
        <f>'Forecast (BV) 2017'!O54</f>
        <v>1873187.2340231291</v>
      </c>
      <c r="Q20" s="3085">
        <f>'Forecast (BV) 2017'!P54</f>
        <v>1901285.0425334757</v>
      </c>
      <c r="R20" s="3085">
        <f>'Forecast (BV) 2017'!Q54</f>
        <v>1929804.3181714774</v>
      </c>
      <c r="S20" s="3085">
        <f>'Forecast (BV) 2017'!R54</f>
        <v>1958751.3829440495</v>
      </c>
      <c r="T20" s="3085">
        <f>'Forecast (BV) 2017'!S54</f>
        <v>1988132.6536882103</v>
      </c>
      <c r="U20" s="3085">
        <f>'Forecast (BV) 2017'!T54</f>
        <v>2017954.6434935331</v>
      </c>
      <c r="V20" s="3085">
        <f>'Forecast (BV) 2017'!U54</f>
        <v>2048223.9631459359</v>
      </c>
    </row>
    <row r="21" spans="1:23" s="2" customFormat="1">
      <c r="A21" s="411"/>
      <c r="C21" s="4"/>
      <c r="D21" s="4"/>
      <c r="E21" s="4"/>
      <c r="F21" s="4"/>
      <c r="G21" s="429"/>
      <c r="H21" s="4231" t="s">
        <v>3987</v>
      </c>
      <c r="I21" s="429"/>
      <c r="J21" s="4"/>
      <c r="K21" s="4"/>
      <c r="L21" s="4"/>
      <c r="M21" s="4"/>
      <c r="N21" s="4"/>
      <c r="O21" s="4"/>
      <c r="P21" s="4"/>
      <c r="Q21" s="4"/>
      <c r="R21" s="4"/>
      <c r="S21" s="4"/>
      <c r="T21" s="4"/>
      <c r="U21" s="4"/>
      <c r="V21" s="4"/>
    </row>
    <row r="22" spans="1:23">
      <c r="A22" s="411"/>
      <c r="D22" s="1624"/>
      <c r="E22" s="562" t="s">
        <v>4023</v>
      </c>
    </row>
    <row r="23" spans="1:23">
      <c r="A23" s="411"/>
      <c r="D23" s="1624"/>
      <c r="E23" s="562" t="s">
        <v>3975</v>
      </c>
      <c r="G23" s="429"/>
      <c r="H23" s="429"/>
      <c r="I23" s="429"/>
    </row>
    <row r="24" spans="1:23">
      <c r="A24" s="411"/>
      <c r="D24" s="1624"/>
      <c r="E24" s="3143" t="s">
        <v>3937</v>
      </c>
      <c r="G24" s="429"/>
      <c r="H24" s="429"/>
      <c r="I24" s="429"/>
    </row>
    <row r="25" spans="1:23">
      <c r="A25" s="411"/>
      <c r="D25" s="1624"/>
      <c r="E25" s="3143" t="s">
        <v>4022</v>
      </c>
      <c r="G25" s="429"/>
    </row>
    <row r="26" spans="1:23">
      <c r="A26" s="411"/>
      <c r="E26" s="3143" t="s">
        <v>4021</v>
      </c>
    </row>
    <row r="27" spans="1:23">
      <c r="A27" s="411"/>
      <c r="E27" s="3143" t="s">
        <v>3971</v>
      </c>
    </row>
    <row r="28" spans="1:23">
      <c r="A28" s="411"/>
    </row>
    <row r="29" spans="1:23">
      <c r="A29" s="411"/>
    </row>
    <row r="30" spans="1:23">
      <c r="A30" s="411"/>
    </row>
    <row r="31" spans="1:23">
      <c r="A31" s="411"/>
    </row>
    <row r="32" spans="1:23">
      <c r="A32" s="411"/>
    </row>
    <row r="33" spans="1:1" hidden="1">
      <c r="A33" s="411"/>
    </row>
    <row r="34" spans="1:1" hidden="1">
      <c r="A34" s="411"/>
    </row>
    <row r="35" spans="1:1" hidden="1">
      <c r="A35" s="411"/>
    </row>
    <row r="36" spans="1:1" hidden="1">
      <c r="A36" s="411"/>
    </row>
    <row r="37" spans="1:1" hidden="1">
      <c r="A37" s="411"/>
    </row>
    <row r="38" spans="1:1" hidden="1">
      <c r="A38" s="411"/>
    </row>
    <row r="39" spans="1:1" hidden="1">
      <c r="A39" s="411"/>
    </row>
    <row r="40" spans="1:1" hidden="1">
      <c r="A40" s="411"/>
    </row>
    <row r="41" spans="1:1" hidden="1">
      <c r="A41" s="411"/>
    </row>
    <row r="42" spans="1:1" hidden="1">
      <c r="A42" s="411"/>
    </row>
    <row r="43" spans="1:1" hidden="1">
      <c r="A43" s="411"/>
    </row>
    <row r="44" spans="1:1" hidden="1">
      <c r="A44" s="411"/>
    </row>
    <row r="45" spans="1:1" hidden="1">
      <c r="A45" s="411"/>
    </row>
    <row r="46" spans="1:1" hidden="1">
      <c r="A46" s="411"/>
    </row>
    <row r="47" spans="1:1" hidden="1">
      <c r="A47" s="411"/>
    </row>
    <row r="48" spans="1:1" hidden="1">
      <c r="A48" s="411"/>
    </row>
    <row r="49" spans="1:1" hidden="1">
      <c r="A49" s="411"/>
    </row>
    <row r="50" spans="1:1" hidden="1">
      <c r="A50" s="411"/>
    </row>
    <row r="51" spans="1:1" hidden="1">
      <c r="A51" s="411"/>
    </row>
    <row r="52" spans="1:1" hidden="1">
      <c r="A52" s="411"/>
    </row>
    <row r="53" spans="1:1" hidden="1">
      <c r="A53" s="411"/>
    </row>
    <row r="54" spans="1:1" hidden="1">
      <c r="A54" s="411"/>
    </row>
    <row r="55" spans="1:1" hidden="1">
      <c r="A55" s="411"/>
    </row>
    <row r="56" spans="1:1" hidden="1">
      <c r="A56" s="411"/>
    </row>
    <row r="57" spans="1:1" hidden="1">
      <c r="A57" s="411"/>
    </row>
    <row r="58" spans="1:1" hidden="1">
      <c r="A58" s="411"/>
    </row>
    <row r="59" spans="1:1" hidden="1">
      <c r="A59" s="411"/>
    </row>
    <row r="60" spans="1:1" hidden="1">
      <c r="A60" s="411"/>
    </row>
    <row r="61" spans="1:1" hidden="1">
      <c r="A61" s="411"/>
    </row>
    <row r="62" spans="1:1" hidden="1">
      <c r="A62" s="411"/>
    </row>
    <row r="63" spans="1:1" hidden="1">
      <c r="A63" s="411"/>
    </row>
    <row r="64" spans="1:1" hidden="1">
      <c r="A64" s="411"/>
    </row>
    <row r="65" spans="1:1" hidden="1">
      <c r="A65" s="411"/>
    </row>
    <row r="66" spans="1:1" hidden="1">
      <c r="A66" s="411"/>
    </row>
    <row r="67" spans="1:1" hidden="1">
      <c r="A67" s="411"/>
    </row>
    <row r="68" spans="1:1" hidden="1">
      <c r="A68" s="411"/>
    </row>
    <row r="69" spans="1:1" hidden="1">
      <c r="A69" s="411"/>
    </row>
    <row r="70" spans="1:1" hidden="1">
      <c r="A70" s="411"/>
    </row>
    <row r="71" spans="1:1" hidden="1">
      <c r="A71" s="411"/>
    </row>
    <row r="72" spans="1:1" hidden="1">
      <c r="A72" s="411"/>
    </row>
    <row r="73" spans="1:1" hidden="1">
      <c r="A73" s="411"/>
    </row>
    <row r="74" spans="1:1" hidden="1">
      <c r="A74" s="411"/>
    </row>
    <row r="75" spans="1:1" hidden="1">
      <c r="A75" s="411"/>
    </row>
    <row r="76" spans="1:1" hidden="1">
      <c r="A76" s="411"/>
    </row>
    <row r="77" spans="1:1" hidden="1">
      <c r="A77" s="411"/>
    </row>
    <row r="78" spans="1:1" hidden="1">
      <c r="A78" s="411"/>
    </row>
    <row r="79" spans="1:1" hidden="1">
      <c r="A79" s="411"/>
    </row>
    <row r="80" spans="1:1" hidden="1">
      <c r="A80" s="411"/>
    </row>
    <row r="81" spans="1:1" hidden="1">
      <c r="A81" s="411"/>
    </row>
    <row r="82" spans="1:1" hidden="1">
      <c r="A82" s="411"/>
    </row>
    <row r="83" spans="1:1" hidden="1">
      <c r="A83" s="411"/>
    </row>
    <row r="84" spans="1:1" hidden="1">
      <c r="A84" s="411"/>
    </row>
    <row r="85" spans="1:1" hidden="1">
      <c r="A85" s="411"/>
    </row>
    <row r="86" spans="1:1" hidden="1">
      <c r="A86" s="411"/>
    </row>
    <row r="87" spans="1:1" hidden="1">
      <c r="A87" s="411"/>
    </row>
    <row r="88" spans="1:1" hidden="1">
      <c r="A88" s="411"/>
    </row>
    <row r="89" spans="1:1" hidden="1">
      <c r="A89" s="411"/>
    </row>
    <row r="90" spans="1:1" hidden="1">
      <c r="A90" s="411"/>
    </row>
    <row r="91" spans="1:1" hidden="1">
      <c r="A91" s="411"/>
    </row>
    <row r="92" spans="1:1" hidden="1">
      <c r="A92" s="411"/>
    </row>
    <row r="93" spans="1:1" hidden="1">
      <c r="A93" s="411"/>
    </row>
    <row r="94" spans="1:1" hidden="1">
      <c r="A94" s="411"/>
    </row>
    <row r="95" spans="1:1" hidden="1">
      <c r="A95" s="411"/>
    </row>
    <row r="96" spans="1:1" hidden="1">
      <c r="A96" s="411"/>
    </row>
    <row r="97" spans="1:1" hidden="1">
      <c r="A97" s="411"/>
    </row>
    <row r="98" spans="1:1" hidden="1">
      <c r="A98" s="411"/>
    </row>
    <row r="99" spans="1:1" hidden="1">
      <c r="A99" s="411"/>
    </row>
    <row r="100" spans="1:1" hidden="1">
      <c r="A100" s="411"/>
    </row>
    <row r="101" spans="1:1" hidden="1">
      <c r="A101" s="411"/>
    </row>
    <row r="102" spans="1:1" hidden="1">
      <c r="A102" s="411"/>
    </row>
    <row r="103" spans="1:1" hidden="1">
      <c r="A103" s="411"/>
    </row>
    <row r="104" spans="1:1" hidden="1">
      <c r="A104" s="411"/>
    </row>
    <row r="105" spans="1:1" hidden="1">
      <c r="A105" s="411"/>
    </row>
    <row r="106" spans="1:1" hidden="1">
      <c r="A106" s="411"/>
    </row>
    <row r="107" spans="1:1" hidden="1">
      <c r="A107" s="411"/>
    </row>
    <row r="108" spans="1:1" hidden="1">
      <c r="A108" s="411"/>
    </row>
    <row r="109" spans="1:1" hidden="1">
      <c r="A109" s="411"/>
    </row>
    <row r="110" spans="1:1" hidden="1">
      <c r="A110" s="411"/>
    </row>
    <row r="111" spans="1:1" hidden="1">
      <c r="A111" s="411"/>
    </row>
    <row r="112" spans="1:1" hidden="1">
      <c r="A112" s="411"/>
    </row>
    <row r="113" spans="1:1" hidden="1">
      <c r="A113" s="411"/>
    </row>
    <row r="114" spans="1:1" hidden="1">
      <c r="A114" s="411"/>
    </row>
    <row r="115" spans="1:1" hidden="1">
      <c r="A115" s="411"/>
    </row>
    <row r="116" spans="1:1" hidden="1">
      <c r="A116" s="411"/>
    </row>
    <row r="117" spans="1:1" hidden="1">
      <c r="A117" s="411"/>
    </row>
    <row r="118" spans="1:1" hidden="1">
      <c r="A118" s="411"/>
    </row>
    <row r="119" spans="1:1" hidden="1">
      <c r="A119" s="411"/>
    </row>
    <row r="120" spans="1:1" hidden="1">
      <c r="A120" s="411"/>
    </row>
    <row r="121" spans="1:1" hidden="1">
      <c r="A121" s="411"/>
    </row>
    <row r="122" spans="1:1" hidden="1">
      <c r="A122" s="411"/>
    </row>
    <row r="123" spans="1:1" hidden="1">
      <c r="A123" s="411"/>
    </row>
    <row r="124" spans="1:1" hidden="1">
      <c r="A124" s="411"/>
    </row>
    <row r="125" spans="1:1" hidden="1">
      <c r="A125" s="411"/>
    </row>
    <row r="126" spans="1:1" hidden="1">
      <c r="A126" s="411"/>
    </row>
    <row r="127" spans="1:1" hidden="1">
      <c r="A127" s="411"/>
    </row>
    <row r="128" spans="1:1" hidden="1">
      <c r="A128" s="411"/>
    </row>
    <row r="129" spans="1:1" hidden="1">
      <c r="A129" s="411"/>
    </row>
    <row r="130" spans="1:1" hidden="1">
      <c r="A130" s="411"/>
    </row>
    <row r="131" spans="1:1" hidden="1">
      <c r="A131" s="411"/>
    </row>
    <row r="132" spans="1:1" hidden="1">
      <c r="A132" s="411"/>
    </row>
    <row r="133" spans="1:1" hidden="1">
      <c r="A133" s="411"/>
    </row>
    <row r="134" spans="1:1" hidden="1">
      <c r="A134" s="411"/>
    </row>
    <row r="135" spans="1:1" hidden="1">
      <c r="A135" s="411"/>
    </row>
    <row r="136" spans="1:1" hidden="1">
      <c r="A136" s="411"/>
    </row>
    <row r="137" spans="1:1" hidden="1">
      <c r="A137" s="411"/>
    </row>
    <row r="138" spans="1:1" hidden="1">
      <c r="A138" s="411"/>
    </row>
    <row r="139" spans="1:1" hidden="1">
      <c r="A139" s="411"/>
    </row>
    <row r="140" spans="1:1" hidden="1">
      <c r="A140" s="411"/>
    </row>
    <row r="141" spans="1:1" hidden="1">
      <c r="A141" s="411"/>
    </row>
    <row r="142" spans="1:1" hidden="1">
      <c r="A142" s="411"/>
    </row>
    <row r="143" spans="1:1" hidden="1">
      <c r="A143" s="411"/>
    </row>
    <row r="144" spans="1:1" hidden="1">
      <c r="A144" s="411"/>
    </row>
    <row r="145" spans="1:1" hidden="1">
      <c r="A145" s="411"/>
    </row>
    <row r="146" spans="1:1" hidden="1">
      <c r="A146" s="411"/>
    </row>
    <row r="147" spans="1:1" hidden="1">
      <c r="A147" s="411"/>
    </row>
    <row r="148" spans="1:1" hidden="1">
      <c r="A148" s="411"/>
    </row>
    <row r="149" spans="1:1" hidden="1">
      <c r="A149" s="411"/>
    </row>
    <row r="150" spans="1:1" hidden="1">
      <c r="A150" s="411"/>
    </row>
    <row r="151" spans="1:1" hidden="1">
      <c r="A151" s="411"/>
    </row>
    <row r="152" spans="1:1" hidden="1">
      <c r="A152" s="411"/>
    </row>
    <row r="153" spans="1:1" hidden="1">
      <c r="A153" s="411"/>
    </row>
    <row r="154" spans="1:1" hidden="1">
      <c r="A154" s="411"/>
    </row>
    <row r="155" spans="1:1" hidden="1">
      <c r="A155" s="411"/>
    </row>
    <row r="156" spans="1:1" hidden="1">
      <c r="A156" s="411"/>
    </row>
    <row r="157" spans="1:1" hidden="1">
      <c r="A157" s="411"/>
    </row>
    <row r="158" spans="1:1" hidden="1">
      <c r="A158" s="411"/>
    </row>
    <row r="159" spans="1:1" hidden="1">
      <c r="A159" s="411"/>
    </row>
    <row r="160" spans="1:1" hidden="1">
      <c r="A160" s="411"/>
    </row>
    <row r="161" spans="1:1" hidden="1">
      <c r="A161" s="411"/>
    </row>
    <row r="162" spans="1:1" hidden="1">
      <c r="A162" s="411"/>
    </row>
    <row r="163" spans="1:1" hidden="1">
      <c r="A163" s="411"/>
    </row>
    <row r="164" spans="1:1" hidden="1">
      <c r="A164" s="411"/>
    </row>
    <row r="165" spans="1:1" hidden="1">
      <c r="A165" s="411"/>
    </row>
    <row r="166" spans="1:1" hidden="1">
      <c r="A166" s="411"/>
    </row>
    <row r="167" spans="1:1" hidden="1">
      <c r="A167" s="411"/>
    </row>
    <row r="168" spans="1:1" hidden="1">
      <c r="A168" s="411"/>
    </row>
    <row r="169" spans="1:1" hidden="1">
      <c r="A169" s="411"/>
    </row>
    <row r="170" spans="1:1" hidden="1">
      <c r="A170" s="411"/>
    </row>
    <row r="171" spans="1:1" hidden="1">
      <c r="A171" s="411"/>
    </row>
    <row r="172" spans="1:1" hidden="1">
      <c r="A172" s="411"/>
    </row>
    <row r="173" spans="1:1" hidden="1">
      <c r="A173" s="411"/>
    </row>
    <row r="174" spans="1:1" hidden="1">
      <c r="A174" s="411"/>
    </row>
    <row r="175" spans="1:1" hidden="1">
      <c r="A175" s="411"/>
    </row>
    <row r="176" spans="1:1" hidden="1">
      <c r="A176" s="411"/>
    </row>
    <row r="177" spans="1:1" hidden="1">
      <c r="A177" s="411"/>
    </row>
    <row r="178" spans="1:1" hidden="1">
      <c r="A178" s="411"/>
    </row>
    <row r="179" spans="1:1" hidden="1">
      <c r="A179" s="411"/>
    </row>
    <row r="180" spans="1:1" hidden="1">
      <c r="A180" s="411"/>
    </row>
    <row r="181" spans="1:1" hidden="1">
      <c r="A181" s="411"/>
    </row>
    <row r="182" spans="1:1" hidden="1">
      <c r="A182" s="411"/>
    </row>
    <row r="183" spans="1:1" hidden="1">
      <c r="A183" s="411"/>
    </row>
    <row r="184" spans="1:1" hidden="1">
      <c r="A184" s="411"/>
    </row>
    <row r="185" spans="1:1" hidden="1">
      <c r="A185" s="411"/>
    </row>
    <row r="186" spans="1:1" hidden="1">
      <c r="A186" s="411"/>
    </row>
    <row r="187" spans="1:1" hidden="1">
      <c r="A187" s="411"/>
    </row>
    <row r="188" spans="1:1" hidden="1">
      <c r="A188" s="411"/>
    </row>
    <row r="189" spans="1:1" hidden="1">
      <c r="A189" s="411"/>
    </row>
    <row r="190" spans="1:1" hidden="1">
      <c r="A190" s="411"/>
    </row>
    <row r="191" spans="1:1" hidden="1">
      <c r="A191" s="411"/>
    </row>
    <row r="192" spans="1:1" hidden="1">
      <c r="A192" s="411"/>
    </row>
    <row r="193" spans="1:1" hidden="1">
      <c r="A193" s="411"/>
    </row>
    <row r="194" spans="1:1" hidden="1">
      <c r="A194" s="411"/>
    </row>
    <row r="195" spans="1:1" hidden="1">
      <c r="A195" s="411"/>
    </row>
    <row r="196" spans="1:1" hidden="1">
      <c r="A196" s="411"/>
    </row>
    <row r="197" spans="1:1" hidden="1">
      <c r="A197" s="411"/>
    </row>
    <row r="198" spans="1:1" hidden="1">
      <c r="A198" s="411"/>
    </row>
    <row r="199" spans="1:1" hidden="1">
      <c r="A199" s="411"/>
    </row>
    <row r="200" spans="1:1" hidden="1">
      <c r="A200" s="411"/>
    </row>
    <row r="201" spans="1:1" hidden="1">
      <c r="A201" s="411"/>
    </row>
    <row r="202" spans="1:1" hidden="1">
      <c r="A202" s="411"/>
    </row>
    <row r="203" spans="1:1" hidden="1">
      <c r="A203" s="411"/>
    </row>
    <row r="204" spans="1:1" hidden="1">
      <c r="A204" s="411"/>
    </row>
    <row r="205" spans="1:1" hidden="1">
      <c r="A205" s="411"/>
    </row>
    <row r="206" spans="1:1" hidden="1">
      <c r="A206" s="411"/>
    </row>
    <row r="207" spans="1:1" hidden="1">
      <c r="A207" s="411"/>
    </row>
    <row r="208" spans="1:1" hidden="1">
      <c r="A208" s="411"/>
    </row>
    <row r="209" spans="1:1" hidden="1">
      <c r="A209" s="411"/>
    </row>
    <row r="210" spans="1:1" hidden="1">
      <c r="A210" s="411"/>
    </row>
    <row r="211" spans="1:1" hidden="1">
      <c r="A211" s="411"/>
    </row>
    <row r="212" spans="1:1" hidden="1">
      <c r="A212" s="411"/>
    </row>
    <row r="213" spans="1:1" hidden="1">
      <c r="A213" s="411"/>
    </row>
    <row r="214" spans="1:1" hidden="1">
      <c r="A214" s="411"/>
    </row>
    <row r="215" spans="1:1" hidden="1">
      <c r="A215" s="411"/>
    </row>
    <row r="216" spans="1:1" hidden="1">
      <c r="A216" s="411"/>
    </row>
    <row r="217" spans="1:1" hidden="1">
      <c r="A217" s="411"/>
    </row>
    <row r="218" spans="1:1" hidden="1">
      <c r="A218" s="411"/>
    </row>
    <row r="219" spans="1:1" hidden="1">
      <c r="A219" s="411"/>
    </row>
    <row r="220" spans="1:1" hidden="1">
      <c r="A220" s="411"/>
    </row>
    <row r="221" spans="1:1" hidden="1">
      <c r="A221" s="411"/>
    </row>
    <row r="222" spans="1:1" hidden="1">
      <c r="A222" s="411"/>
    </row>
    <row r="223" spans="1:1" hidden="1">
      <c r="A223" s="411"/>
    </row>
    <row r="224" spans="1:1" hidden="1">
      <c r="A224" s="411"/>
    </row>
    <row r="225" spans="1:1" hidden="1">
      <c r="A225" s="411"/>
    </row>
    <row r="226" spans="1:1" hidden="1">
      <c r="A226" s="411"/>
    </row>
    <row r="227" spans="1:1" hidden="1">
      <c r="A227" s="411"/>
    </row>
    <row r="228" spans="1:1" hidden="1">
      <c r="A228" s="411"/>
    </row>
    <row r="229" spans="1:1" hidden="1">
      <c r="A229" s="411"/>
    </row>
    <row r="230" spans="1:1" hidden="1">
      <c r="A230" s="411"/>
    </row>
    <row r="231" spans="1:1" hidden="1">
      <c r="A231" s="411"/>
    </row>
    <row r="232" spans="1:1" hidden="1">
      <c r="A232" s="411"/>
    </row>
    <row r="233" spans="1:1" hidden="1">
      <c r="A233" s="411"/>
    </row>
    <row r="234" spans="1:1" hidden="1">
      <c r="A234" s="411"/>
    </row>
    <row r="235" spans="1:1" hidden="1">
      <c r="A235" s="411"/>
    </row>
    <row r="236" spans="1:1" hidden="1">
      <c r="A236" s="411"/>
    </row>
    <row r="237" spans="1:1" hidden="1">
      <c r="A237" s="411"/>
    </row>
    <row r="238" spans="1:1" hidden="1">
      <c r="A238" s="411"/>
    </row>
    <row r="239" spans="1:1" hidden="1">
      <c r="A239" s="411"/>
    </row>
    <row r="240" spans="1:1" hidden="1">
      <c r="A240" s="411"/>
    </row>
    <row r="241" spans="1:1" hidden="1">
      <c r="A241" s="411"/>
    </row>
    <row r="242" spans="1:1" hidden="1">
      <c r="A242" s="411"/>
    </row>
    <row r="243" spans="1:1" hidden="1">
      <c r="A243" s="411"/>
    </row>
    <row r="244" spans="1:1" hidden="1">
      <c r="A244" s="411"/>
    </row>
    <row r="245" spans="1:1" hidden="1">
      <c r="A245" s="411"/>
    </row>
    <row r="246" spans="1:1" hidden="1">
      <c r="A246" s="411"/>
    </row>
    <row r="247" spans="1:1" hidden="1">
      <c r="A247" s="411"/>
    </row>
    <row r="248" spans="1:1" hidden="1">
      <c r="A248" s="411"/>
    </row>
    <row r="249" spans="1:1" hidden="1">
      <c r="A249" s="411"/>
    </row>
    <row r="250" spans="1:1" hidden="1">
      <c r="A250" s="411"/>
    </row>
    <row r="251" spans="1:1" hidden="1">
      <c r="A251" s="411"/>
    </row>
    <row r="252" spans="1:1" hidden="1">
      <c r="A252" s="411"/>
    </row>
    <row r="253" spans="1:1" hidden="1">
      <c r="A253" s="411"/>
    </row>
    <row r="254" spans="1:1" hidden="1">
      <c r="A254" s="411"/>
    </row>
    <row r="255" spans="1:1" hidden="1">
      <c r="A255" s="411"/>
    </row>
    <row r="256" spans="1:1" hidden="1">
      <c r="A256" s="411"/>
    </row>
    <row r="257" spans="1:1" hidden="1">
      <c r="A257" s="411"/>
    </row>
    <row r="258" spans="1:1" hidden="1">
      <c r="A258" s="411"/>
    </row>
    <row r="259" spans="1:1" hidden="1">
      <c r="A259" s="411"/>
    </row>
    <row r="260" spans="1:1" hidden="1">
      <c r="A260" s="411"/>
    </row>
    <row r="261" spans="1:1" hidden="1">
      <c r="A261" s="411"/>
    </row>
    <row r="262" spans="1:1" hidden="1">
      <c r="A262" s="411"/>
    </row>
    <row r="263" spans="1:1" hidden="1">
      <c r="A263" s="411"/>
    </row>
    <row r="264" spans="1:1" hidden="1">
      <c r="A264" s="411"/>
    </row>
    <row r="265" spans="1:1" hidden="1">
      <c r="A265" s="411"/>
    </row>
    <row r="266" spans="1:1" hidden="1">
      <c r="A266" s="411"/>
    </row>
    <row r="267" spans="1:1" hidden="1">
      <c r="A267" s="411"/>
    </row>
    <row r="268" spans="1:1" hidden="1">
      <c r="A268" s="411"/>
    </row>
    <row r="269" spans="1:1" hidden="1">
      <c r="A269" s="411"/>
    </row>
    <row r="270" spans="1:1" hidden="1">
      <c r="A270" s="411"/>
    </row>
    <row r="271" spans="1:1" hidden="1">
      <c r="A271" s="411"/>
    </row>
    <row r="272" spans="1:1" hidden="1">
      <c r="A272" s="411"/>
    </row>
    <row r="273" spans="1:1" hidden="1">
      <c r="A273" s="411"/>
    </row>
    <row r="274" spans="1:1" hidden="1">
      <c r="A274" s="411"/>
    </row>
    <row r="275" spans="1:1" hidden="1">
      <c r="A275" s="411"/>
    </row>
    <row r="276" spans="1:1" hidden="1">
      <c r="A276" s="411"/>
    </row>
    <row r="277" spans="1:1" hidden="1"/>
    <row r="278" spans="1:1" hidden="1"/>
    <row r="279" spans="1:1" hidden="1"/>
    <row r="280" spans="1:1" hidden="1"/>
    <row r="281" spans="1:1" hidden="1"/>
    <row r="282" spans="1:1" hidden="1"/>
    <row r="283" spans="1:1" hidden="1"/>
    <row r="284" spans="1:1" hidden="1"/>
    <row r="285" spans="1:1" hidden="1"/>
    <row r="286" spans="1:1" hidden="1"/>
    <row r="287" spans="1:1" hidden="1"/>
    <row r="288" spans="1:1"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spans="39:39" hidden="1"/>
    <row r="514" spans="39:39" hidden="1"/>
    <row r="515" spans="39:39" hidden="1"/>
    <row r="516" spans="39:39" hidden="1"/>
    <row r="517" spans="39:39" hidden="1"/>
    <row r="518" spans="39:39" hidden="1">
      <c r="AM518" t="s">
        <v>194</v>
      </c>
    </row>
    <row r="519" spans="39:39" hidden="1"/>
    <row r="520" spans="39:39" hidden="1"/>
    <row r="521" spans="39:39" hidden="1"/>
    <row r="522" spans="39:39" hidden="1"/>
    <row r="523" spans="39:39" hidden="1"/>
    <row r="524" spans="39:39" hidden="1"/>
    <row r="525" spans="39:39" hidden="1"/>
    <row r="526" spans="39:39" hidden="1"/>
    <row r="527" spans="39:39"/>
    <row r="528" spans="39:39"/>
    <row r="529"/>
    <row r="530"/>
    <row r="531"/>
    <row r="532"/>
    <row r="533"/>
    <row r="534"/>
    <row r="535"/>
    <row r="536"/>
  </sheetData>
  <mergeCells count="5">
    <mergeCell ref="C1:G1"/>
    <mergeCell ref="C5:C6"/>
    <mergeCell ref="D5:D6"/>
    <mergeCell ref="C3:G3"/>
    <mergeCell ref="C2:G2"/>
  </mergeCells>
  <phoneticPr fontId="8" type="noConversion"/>
  <printOptions horizontalCentered="1"/>
  <pageMargins left="0.5" right="0.5" top="0.5" bottom="0.5" header="0.5" footer="0.25"/>
  <pageSetup scale="38" orientation="landscape" r:id="rId1"/>
  <headerFooter alignWithMargins="0">
    <oddFooter>&amp;L&amp;"Times New Roman,Bold Italic"&amp;F: &amp;A&amp;C&amp;"Times New Roman,Bold Italic"Date: &amp;D&amp;R&amp;"Times New Roman,Bold Italic"Page: &amp;P of &amp;N</odd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8000"/>
    <pageSetUpPr fitToPage="1"/>
  </sheetPr>
  <dimension ref="A1:AK94"/>
  <sheetViews>
    <sheetView zoomScale="70" zoomScaleNormal="70" workbookViewId="0">
      <pane xSplit="6" ySplit="7" topLeftCell="I11" activePane="bottomRight" state="frozen"/>
      <selection activeCell="D11" sqref="D11"/>
      <selection pane="topRight" activeCell="D11" sqref="D11"/>
      <selection pane="bottomLeft" activeCell="D11" sqref="D11"/>
      <selection pane="bottomRight" activeCell="V15" sqref="V15"/>
    </sheetView>
  </sheetViews>
  <sheetFormatPr defaultRowHeight="15.75"/>
  <cols>
    <col min="1" max="1" width="22.5" style="196" customWidth="1"/>
    <col min="2" max="2" width="2.5" style="20" customWidth="1"/>
    <col min="3" max="3" width="13" customWidth="1"/>
    <col min="4" max="4" width="24.75" customWidth="1"/>
    <col min="5" max="5" width="9.25" customWidth="1"/>
    <col min="6" max="6" width="40.25" customWidth="1"/>
    <col min="7" max="7" width="15.5" bestFit="1" customWidth="1"/>
    <col min="8" max="8" width="14.25" bestFit="1" customWidth="1"/>
    <col min="9" max="11" width="14.125" bestFit="1" customWidth="1"/>
    <col min="12" max="12" width="14.25" bestFit="1" customWidth="1"/>
    <col min="13" max="15" width="14.125" bestFit="1" customWidth="1"/>
    <col min="16" max="16" width="15.625" bestFit="1" customWidth="1"/>
    <col min="17" max="17" width="14.125" bestFit="1" customWidth="1"/>
    <col min="18" max="18" width="13.875" bestFit="1" customWidth="1"/>
    <col min="19" max="19" width="16.125" bestFit="1" customWidth="1"/>
    <col min="20" max="20" width="16.625" bestFit="1" customWidth="1"/>
    <col min="21" max="21" width="14.125" bestFit="1" customWidth="1"/>
    <col min="22" max="22" width="16.125" bestFit="1" customWidth="1"/>
    <col min="23" max="23" width="16.625" bestFit="1" customWidth="1"/>
    <col min="24" max="24" width="11.25" bestFit="1" customWidth="1"/>
    <col min="25" max="25" width="12.625" bestFit="1" customWidth="1"/>
    <col min="26" max="37" width="12.25" bestFit="1" customWidth="1"/>
  </cols>
  <sheetData>
    <row r="1" spans="1:37">
      <c r="A1" s="411"/>
      <c r="C1" s="1622" t="s">
        <v>2538</v>
      </c>
      <c r="D1" s="1622" t="s">
        <v>3493</v>
      </c>
    </row>
    <row r="2" spans="1:37">
      <c r="A2" s="411"/>
      <c r="C2" s="3142" t="s">
        <v>3971</v>
      </c>
      <c r="D2" s="3143" t="s">
        <v>843</v>
      </c>
    </row>
    <row r="3" spans="1:37">
      <c r="A3" s="411"/>
    </row>
    <row r="4" spans="1:37">
      <c r="A4" s="411"/>
    </row>
    <row r="5" spans="1:37">
      <c r="A5" s="411"/>
      <c r="T5" s="3094"/>
      <c r="U5" s="3094"/>
      <c r="V5" s="3094"/>
      <c r="W5" s="3094"/>
    </row>
    <row r="6" spans="1:37">
      <c r="A6" s="411"/>
      <c r="T6" s="3094"/>
      <c r="U6" s="3094"/>
      <c r="V6" s="3094"/>
      <c r="W6" s="3094"/>
    </row>
    <row r="7" spans="1:37">
      <c r="A7" s="411"/>
      <c r="C7" t="s">
        <v>2670</v>
      </c>
      <c r="D7" t="s">
        <v>2671</v>
      </c>
      <c r="E7" t="s">
        <v>132</v>
      </c>
      <c r="F7" t="s">
        <v>2672</v>
      </c>
      <c r="G7" s="1554">
        <f>Dashboard!G$7</f>
        <v>2014</v>
      </c>
      <c r="H7" s="1554">
        <f>Dashboard!H$7</f>
        <v>2015</v>
      </c>
      <c r="I7" s="1554">
        <f>Dashboard!I$7</f>
        <v>2016</v>
      </c>
      <c r="J7" s="1554">
        <f>Dashboard!J$7</f>
        <v>2017</v>
      </c>
      <c r="K7" s="1554">
        <f>Dashboard!K$7</f>
        <v>2018</v>
      </c>
      <c r="L7" s="1554">
        <f>Dashboard!L$7</f>
        <v>2019</v>
      </c>
      <c r="M7" s="1554">
        <f>Dashboard!M$7</f>
        <v>2020</v>
      </c>
      <c r="N7" s="1554">
        <f>Dashboard!N$7</f>
        <v>2021</v>
      </c>
      <c r="O7" s="1554">
        <f>Dashboard!O$7</f>
        <v>2022</v>
      </c>
      <c r="P7" s="1554">
        <f>Dashboard!P$7</f>
        <v>2023</v>
      </c>
      <c r="Q7" s="1554">
        <f>Dashboard!Q$7</f>
        <v>2024</v>
      </c>
      <c r="R7" s="1554">
        <f>Dashboard!R$7</f>
        <v>2025</v>
      </c>
      <c r="S7" s="1554">
        <f>Dashboard!S$7</f>
        <v>2026</v>
      </c>
      <c r="T7" s="3094"/>
      <c r="U7" s="3094"/>
      <c r="V7" s="3094"/>
      <c r="W7" s="3094"/>
    </row>
    <row r="8" spans="1:37" ht="31.5">
      <c r="A8" s="411"/>
      <c r="C8" s="1870" t="s">
        <v>2673</v>
      </c>
      <c r="D8" s="1863" t="s">
        <v>2674</v>
      </c>
      <c r="E8" s="1870" t="s">
        <v>1951</v>
      </c>
      <c r="F8" s="1870" t="s">
        <v>2675</v>
      </c>
      <c r="G8" s="2505">
        <f>+G25*0.004*0.05353*1000</f>
        <v>1894962</v>
      </c>
      <c r="H8" s="2505">
        <f t="shared" ref="H8:AK8" si="0">+H25*0.004*0.05353*1000</f>
        <v>1894962</v>
      </c>
      <c r="I8" s="2505">
        <f>+I25*0.004*0.05353*1000</f>
        <v>1894962</v>
      </c>
      <c r="J8" s="2505">
        <f t="shared" si="0"/>
        <v>1894962</v>
      </c>
      <c r="K8" s="2505">
        <f t="shared" si="0"/>
        <v>1894962</v>
      </c>
      <c r="L8" s="2505">
        <f t="shared" si="0"/>
        <v>1894962</v>
      </c>
      <c r="M8" s="2505">
        <f t="shared" si="0"/>
        <v>1894962</v>
      </c>
      <c r="N8" s="2505">
        <f t="shared" si="0"/>
        <v>1894962</v>
      </c>
      <c r="O8" s="2505">
        <f t="shared" si="0"/>
        <v>1894962</v>
      </c>
      <c r="P8" s="2505">
        <f t="shared" si="0"/>
        <v>1894962</v>
      </c>
      <c r="Q8" s="2505">
        <f t="shared" si="0"/>
        <v>1894962</v>
      </c>
      <c r="R8" s="2505">
        <f t="shared" si="0"/>
        <v>1894962</v>
      </c>
      <c r="S8" s="2505">
        <f t="shared" si="0"/>
        <v>1894962</v>
      </c>
      <c r="T8" s="3094"/>
      <c r="U8" s="3094"/>
      <c r="V8" s="3094"/>
      <c r="W8" s="3094"/>
      <c r="X8" s="2505">
        <f t="shared" si="0"/>
        <v>0</v>
      </c>
      <c r="Y8" s="2505">
        <f t="shared" si="0"/>
        <v>0</v>
      </c>
      <c r="Z8" s="2505">
        <f t="shared" si="0"/>
        <v>0</v>
      </c>
      <c r="AA8" s="2505">
        <f t="shared" si="0"/>
        <v>0</v>
      </c>
      <c r="AB8" s="2505">
        <f t="shared" si="0"/>
        <v>0</v>
      </c>
      <c r="AC8" s="2505">
        <f t="shared" si="0"/>
        <v>0</v>
      </c>
      <c r="AD8" s="2505">
        <f t="shared" si="0"/>
        <v>0</v>
      </c>
      <c r="AE8" s="2505">
        <f t="shared" si="0"/>
        <v>0</v>
      </c>
      <c r="AF8" s="2505">
        <f t="shared" si="0"/>
        <v>0</v>
      </c>
      <c r="AG8" s="2505">
        <f t="shared" si="0"/>
        <v>0</v>
      </c>
      <c r="AH8" s="2505">
        <f t="shared" si="0"/>
        <v>0</v>
      </c>
      <c r="AI8" s="2505">
        <f t="shared" si="0"/>
        <v>0</v>
      </c>
      <c r="AJ8" s="2505">
        <f t="shared" si="0"/>
        <v>0</v>
      </c>
      <c r="AK8" s="2505">
        <f t="shared" si="0"/>
        <v>0</v>
      </c>
    </row>
    <row r="9" spans="1:37">
      <c r="A9" s="411"/>
      <c r="C9" s="1870"/>
      <c r="D9" s="1870"/>
      <c r="E9" s="1870"/>
      <c r="F9" s="1871" t="s">
        <v>2676</v>
      </c>
      <c r="G9" s="1878">
        <f t="shared" ref="G9:S9" si="1">G8</f>
        <v>1894962</v>
      </c>
      <c r="H9" s="1878">
        <f t="shared" si="1"/>
        <v>1894962</v>
      </c>
      <c r="I9" s="1878">
        <f t="shared" si="1"/>
        <v>1894962</v>
      </c>
      <c r="J9" s="1878">
        <f t="shared" si="1"/>
        <v>1894962</v>
      </c>
      <c r="K9" s="1878">
        <f t="shared" si="1"/>
        <v>1894962</v>
      </c>
      <c r="L9" s="1878">
        <f t="shared" si="1"/>
        <v>1894962</v>
      </c>
      <c r="M9" s="1878">
        <f t="shared" si="1"/>
        <v>1894962</v>
      </c>
      <c r="N9" s="1878">
        <f t="shared" si="1"/>
        <v>1894962</v>
      </c>
      <c r="O9" s="1878">
        <f t="shared" si="1"/>
        <v>1894962</v>
      </c>
      <c r="P9" s="1878">
        <f t="shared" si="1"/>
        <v>1894962</v>
      </c>
      <c r="Q9" s="1878">
        <f t="shared" si="1"/>
        <v>1894962</v>
      </c>
      <c r="R9" s="1878">
        <f t="shared" si="1"/>
        <v>1894962</v>
      </c>
      <c r="S9" s="1878">
        <f t="shared" si="1"/>
        <v>1894962</v>
      </c>
      <c r="T9" s="3094"/>
      <c r="U9" s="3094"/>
      <c r="V9" s="3094"/>
      <c r="W9" s="3094"/>
      <c r="X9" s="1824"/>
      <c r="Y9" s="1824"/>
      <c r="Z9" s="1824"/>
      <c r="AA9" s="1824"/>
      <c r="AB9" s="1824"/>
    </row>
    <row r="10" spans="1:37">
      <c r="A10" s="411"/>
      <c r="C10" s="1864"/>
      <c r="D10" s="1864"/>
      <c r="E10" s="1864"/>
      <c r="F10" s="1864"/>
      <c r="T10" s="3094"/>
      <c r="U10" s="3094"/>
      <c r="V10" s="3094"/>
      <c r="W10" s="3094"/>
    </row>
    <row r="11" spans="1:37" ht="31.5">
      <c r="A11" s="411"/>
      <c r="C11" s="1870" t="s">
        <v>2677</v>
      </c>
      <c r="D11" s="1865" t="s">
        <v>2678</v>
      </c>
      <c r="E11" s="1870" t="s">
        <v>204</v>
      </c>
      <c r="F11" s="1870" t="s">
        <v>2679</v>
      </c>
      <c r="G11" s="1882">
        <f>G29*0.0214</f>
        <v>3370948.5278234542</v>
      </c>
      <c r="H11" s="1882">
        <f t="shared" ref="H11" si="2">H29*0.0214</f>
        <v>3619793.1325788144</v>
      </c>
      <c r="I11" s="1882">
        <f>I29*0.0214</f>
        <v>3759339.6250470108</v>
      </c>
      <c r="J11" s="1882">
        <f>J33*0.0214</f>
        <v>4078572.7482020925</v>
      </c>
      <c r="K11" s="1882">
        <f t="shared" ref="K11:S11" si="3">K33*0.0214</f>
        <v>4367857.4168030284</v>
      </c>
      <c r="L11" s="1882">
        <f t="shared" si="3"/>
        <v>4739359.54463345</v>
      </c>
      <c r="M11" s="1882">
        <f t="shared" si="3"/>
        <v>5040743.0519139916</v>
      </c>
      <c r="N11" s="1882">
        <f t="shared" si="3"/>
        <v>5306641.4432757702</v>
      </c>
      <c r="O11" s="1882">
        <f t="shared" si="3"/>
        <v>5550171.2391128046</v>
      </c>
      <c r="P11" s="1882">
        <f t="shared" si="3"/>
        <v>5823607.2839780403</v>
      </c>
      <c r="Q11" s="1882">
        <f t="shared" si="3"/>
        <v>6122145.7811816204</v>
      </c>
      <c r="R11" s="1882">
        <f t="shared" si="3"/>
        <v>6333377.5665001329</v>
      </c>
      <c r="S11" s="1882">
        <f t="shared" si="3"/>
        <v>6554181.2067248328</v>
      </c>
      <c r="T11" s="3094"/>
      <c r="U11" s="3094"/>
      <c r="V11" s="3094"/>
      <c r="W11" s="3094"/>
      <c r="X11" s="1824"/>
      <c r="Y11" s="1879"/>
      <c r="Z11" s="1879"/>
      <c r="AA11" s="1879"/>
      <c r="AB11" s="1879"/>
      <c r="AC11" s="1879"/>
      <c r="AD11" s="1879"/>
    </row>
    <row r="12" spans="1:37" ht="31.5">
      <c r="A12" s="411"/>
      <c r="C12" s="1870" t="s">
        <v>2680</v>
      </c>
      <c r="D12" s="1866" t="s">
        <v>2681</v>
      </c>
      <c r="E12" s="1870" t="s">
        <v>204</v>
      </c>
      <c r="F12" s="1870" t="s">
        <v>2675</v>
      </c>
      <c r="G12" s="1882">
        <f t="shared" ref="G12:S12" si="4">+$Y$72*0.004*0.05353*1000</f>
        <v>4649.7442720000008</v>
      </c>
      <c r="H12" s="1882">
        <f t="shared" si="4"/>
        <v>4649.7442720000008</v>
      </c>
      <c r="I12" s="1882">
        <f t="shared" si="4"/>
        <v>4649.7442720000008</v>
      </c>
      <c r="J12" s="1882">
        <f t="shared" si="4"/>
        <v>4649.7442720000008</v>
      </c>
      <c r="K12" s="1882">
        <f t="shared" si="4"/>
        <v>4649.7442720000008</v>
      </c>
      <c r="L12" s="1882">
        <f t="shared" si="4"/>
        <v>4649.7442720000008</v>
      </c>
      <c r="M12" s="1882">
        <f t="shared" si="4"/>
        <v>4649.7442720000008</v>
      </c>
      <c r="N12" s="1882">
        <f t="shared" si="4"/>
        <v>4649.7442720000008</v>
      </c>
      <c r="O12" s="1882">
        <f t="shared" si="4"/>
        <v>4649.7442720000008</v>
      </c>
      <c r="P12" s="1882">
        <f t="shared" si="4"/>
        <v>4649.7442720000008</v>
      </c>
      <c r="Q12" s="1882">
        <f t="shared" si="4"/>
        <v>4649.7442720000008</v>
      </c>
      <c r="R12" s="1882">
        <f t="shared" si="4"/>
        <v>4649.7442720000008</v>
      </c>
      <c r="S12" s="1882">
        <f t="shared" si="4"/>
        <v>4649.7442720000008</v>
      </c>
      <c r="T12" s="3094"/>
      <c r="U12" s="3094"/>
      <c r="V12" s="3094"/>
      <c r="W12" s="3094"/>
      <c r="X12" s="1882">
        <f t="shared" ref="X12:AK12" si="5">+$Y$72*0.004*0.05353*1000</f>
        <v>4649.7442720000008</v>
      </c>
      <c r="Y12" s="1882">
        <f t="shared" si="5"/>
        <v>4649.7442720000008</v>
      </c>
      <c r="Z12" s="1882">
        <f t="shared" si="5"/>
        <v>4649.7442720000008</v>
      </c>
      <c r="AA12" s="1882">
        <f t="shared" si="5"/>
        <v>4649.7442720000008</v>
      </c>
      <c r="AB12" s="1882">
        <f t="shared" si="5"/>
        <v>4649.7442720000008</v>
      </c>
      <c r="AC12" s="1882">
        <f t="shared" si="5"/>
        <v>4649.7442720000008</v>
      </c>
      <c r="AD12" s="1882">
        <f t="shared" si="5"/>
        <v>4649.7442720000008</v>
      </c>
      <c r="AE12" s="1882">
        <f t="shared" si="5"/>
        <v>4649.7442720000008</v>
      </c>
      <c r="AF12" s="1882">
        <f t="shared" si="5"/>
        <v>4649.7442720000008</v>
      </c>
      <c r="AG12" s="1882">
        <f t="shared" si="5"/>
        <v>4649.7442720000008</v>
      </c>
      <c r="AH12" s="1882">
        <f t="shared" si="5"/>
        <v>4649.7442720000008</v>
      </c>
      <c r="AI12" s="1882">
        <f t="shared" si="5"/>
        <v>4649.7442720000008</v>
      </c>
      <c r="AJ12" s="1882">
        <f t="shared" si="5"/>
        <v>4649.7442720000008</v>
      </c>
      <c r="AK12" s="1882">
        <f t="shared" si="5"/>
        <v>4649.7442720000008</v>
      </c>
    </row>
    <row r="13" spans="1:37" ht="31.5">
      <c r="A13" s="411"/>
      <c r="C13" s="1870" t="s">
        <v>2682</v>
      </c>
      <c r="D13" s="1866" t="s">
        <v>2683</v>
      </c>
      <c r="E13" s="1870" t="s">
        <v>204</v>
      </c>
      <c r="F13" s="1870" t="s">
        <v>2675</v>
      </c>
      <c r="G13" s="1882">
        <f t="shared" ref="G13:S13" si="6">+$Y$54*0.004*0.05353*1000</f>
        <v>6855.6513359999999</v>
      </c>
      <c r="H13" s="1882">
        <f t="shared" si="6"/>
        <v>6855.6513359999999</v>
      </c>
      <c r="I13" s="1882">
        <f t="shared" si="6"/>
        <v>6855.6513359999999</v>
      </c>
      <c r="J13" s="1882">
        <f t="shared" si="6"/>
        <v>6855.6513359999999</v>
      </c>
      <c r="K13" s="1882">
        <f t="shared" si="6"/>
        <v>6855.6513359999999</v>
      </c>
      <c r="L13" s="1882">
        <f t="shared" si="6"/>
        <v>6855.6513359999999</v>
      </c>
      <c r="M13" s="1882">
        <f t="shared" si="6"/>
        <v>6855.6513359999999</v>
      </c>
      <c r="N13" s="1882">
        <f t="shared" si="6"/>
        <v>6855.6513359999999</v>
      </c>
      <c r="O13" s="1882">
        <f t="shared" si="6"/>
        <v>6855.6513359999999</v>
      </c>
      <c r="P13" s="1882">
        <f t="shared" si="6"/>
        <v>6855.6513359999999</v>
      </c>
      <c r="Q13" s="1882">
        <f t="shared" si="6"/>
        <v>6855.6513359999999</v>
      </c>
      <c r="R13" s="1882">
        <f t="shared" si="6"/>
        <v>6855.6513359999999</v>
      </c>
      <c r="S13" s="1882">
        <f t="shared" si="6"/>
        <v>6855.6513359999999</v>
      </c>
      <c r="T13" s="3094"/>
      <c r="U13" s="3094"/>
      <c r="V13" s="3094"/>
      <c r="W13" s="3094"/>
      <c r="X13" s="1882">
        <f t="shared" ref="X13:AK13" si="7">+$Y$54*0.004*0.05353*1000</f>
        <v>6855.6513359999999</v>
      </c>
      <c r="Y13" s="1882">
        <f t="shared" si="7"/>
        <v>6855.6513359999999</v>
      </c>
      <c r="Z13" s="1882">
        <f t="shared" si="7"/>
        <v>6855.6513359999999</v>
      </c>
      <c r="AA13" s="1882">
        <f t="shared" si="7"/>
        <v>6855.6513359999999</v>
      </c>
      <c r="AB13" s="1882">
        <f t="shared" si="7"/>
        <v>6855.6513359999999</v>
      </c>
      <c r="AC13" s="1882">
        <f t="shared" si="7"/>
        <v>6855.6513359999999</v>
      </c>
      <c r="AD13" s="1882">
        <f t="shared" si="7"/>
        <v>6855.6513359999999</v>
      </c>
      <c r="AE13" s="1882">
        <f t="shared" si="7"/>
        <v>6855.6513359999999</v>
      </c>
      <c r="AF13" s="1882">
        <f t="shared" si="7"/>
        <v>6855.6513359999999</v>
      </c>
      <c r="AG13" s="1882">
        <f t="shared" si="7"/>
        <v>6855.6513359999999</v>
      </c>
      <c r="AH13" s="1882">
        <f t="shared" si="7"/>
        <v>6855.6513359999999</v>
      </c>
      <c r="AI13" s="1882">
        <f t="shared" si="7"/>
        <v>6855.6513359999999</v>
      </c>
      <c r="AJ13" s="1882">
        <f t="shared" si="7"/>
        <v>6855.6513359999999</v>
      </c>
      <c r="AK13" s="1882">
        <f t="shared" si="7"/>
        <v>6855.6513359999999</v>
      </c>
    </row>
    <row r="14" spans="1:37" ht="31.5">
      <c r="A14" s="411"/>
      <c r="C14" s="1870" t="s">
        <v>2684</v>
      </c>
      <c r="D14" s="1867" t="s">
        <v>2685</v>
      </c>
      <c r="E14" s="1870" t="s">
        <v>204</v>
      </c>
      <c r="F14" s="1870" t="s">
        <v>2686</v>
      </c>
      <c r="G14" s="1882">
        <f>($H$86+0.72*'Fin Forecast - Elec'!I32)*0.015</f>
        <v>257994.30916799995</v>
      </c>
      <c r="H14" s="1882">
        <f>($H$86+0.72*'Fin Forecast - Elec'!J32)*0.015</f>
        <v>154915.273656</v>
      </c>
      <c r="I14" s="1882">
        <f>($H$86+0.72*'Fin Forecast - Elec'!K32)*0.015</f>
        <v>216029.66769179999</v>
      </c>
      <c r="J14" s="1882">
        <f>($H$86+0.72*'Fin Forecast - Elec'!L32)*0.015</f>
        <v>52843.554338273098</v>
      </c>
      <c r="K14" s="1882">
        <f>($H$86+0.72*'Fin Forecast - Elec'!M32)*0.015</f>
        <v>82113.935474655329</v>
      </c>
      <c r="L14" s="1882">
        <f>($H$86+0.72*'Fin Forecast - Elec'!N32)*0.015</f>
        <v>157824.81332615126</v>
      </c>
      <c r="M14" s="1882">
        <f>($H$86+0.72*'Fin Forecast - Elec'!O32)*0.015</f>
        <v>36976.190127978953</v>
      </c>
      <c r="N14" s="1882">
        <f>($H$86+0.72*'Fin Forecast - Elec'!P32)*0.015</f>
        <v>37088.068125414851</v>
      </c>
      <c r="O14" s="1882">
        <f>($H$86+0.72*'Fin Forecast - Elec'!Q32)*0.015</f>
        <v>37200.449573839214</v>
      </c>
      <c r="P14" s="1882">
        <f>($H$86+0.72*'Fin Forecast - Elec'!R32)*0.015</f>
        <v>37313.336738781494</v>
      </c>
      <c r="Q14" s="1882">
        <f>($H$86+0.72*'Fin Forecast - Elec'!S32)*0.015</f>
        <v>37426.731895966012</v>
      </c>
      <c r="R14" s="1882">
        <f>($H$86+0.72*'Fin Forecast - Elec'!T32)*0.015</f>
        <v>37540.637331357859</v>
      </c>
      <c r="S14" s="1882">
        <f>($H$86+0.72*'Fin Forecast - Elec'!U32)*0.015</f>
        <v>37655.055341208965</v>
      </c>
      <c r="T14" s="3094"/>
      <c r="U14" s="3094"/>
      <c r="V14" s="3094"/>
      <c r="W14" s="3094"/>
      <c r="X14" s="1824"/>
      <c r="Y14" s="1879"/>
      <c r="Z14" s="1879"/>
      <c r="AA14" s="1879"/>
      <c r="AB14" s="1879"/>
      <c r="AC14" s="1879"/>
      <c r="AD14" s="1879"/>
    </row>
    <row r="15" spans="1:37" ht="63">
      <c r="A15" s="411"/>
      <c r="C15" s="1870" t="s">
        <v>2687</v>
      </c>
      <c r="D15" s="1868" t="s">
        <v>2688</v>
      </c>
      <c r="E15" s="1870" t="s">
        <v>204</v>
      </c>
      <c r="F15" s="1890" t="s">
        <v>2730</v>
      </c>
      <c r="G15" s="1882">
        <f>('Fin Forecast - Elec'!I18+'Fin Forecast - Elec'!I58+0.28*'Fin Forecast - Elec'!I32-G93-0.00154*('Fin Forecast - Elec'!I18+'Fin Forecast - Elec'!I58))*0.03873</f>
        <v>6368461.8387664882</v>
      </c>
      <c r="H15" s="1882">
        <f>('Fin Forecast - Elec'!J18+'Fin Forecast - Elec'!J58+0.28*'Fin Forecast - Elec'!J32-H93-0.00154*('Fin Forecast - Elec'!J18+'Fin Forecast - Elec'!J58))*0.03873</f>
        <v>6718580.8458946198</v>
      </c>
      <c r="I15" s="1882">
        <f>('Fin Forecast - Elec'!K18+'Fin Forecast - Elec'!K58+0.28*'Fin Forecast - Elec'!K32+'Forecast (BV) 2017'!K54-I93-0.00154*('Fin Forecast - Elec'!K18+'Fin Forecast - Elec'!K58)+'Net Power'!E73)*0.03873</f>
        <v>7105885.6282482864</v>
      </c>
      <c r="J15" s="1882">
        <f>('Fin Forecast - Elec'!L18+'Fin Forecast - Elec'!L58+0.28*'Fin Forecast - Elec'!L32+'Forecast (BV) 2017'!L54-J93-0.00154*('Fin Forecast - Elec'!L18+'Fin Forecast - Elec'!L58)+'Net Power'!F73)*0.03873</f>
        <v>7534334.2168245092</v>
      </c>
      <c r="K15" s="1882">
        <f>('Fin Forecast - Elec'!M18+'Fin Forecast - Elec'!M58+0.28*'Fin Forecast - Elec'!M32+'Forecast (BV) 2017'!M54-K93-0.00154*('Fin Forecast - Elec'!M18+'Fin Forecast - Elec'!M58)+'Net Power'!G73)*0.03873</f>
        <v>8121509.3463548096</v>
      </c>
      <c r="L15" s="1882">
        <f>('Fin Forecast - Elec'!N18+'Fin Forecast - Elec'!N58+0.28*'Fin Forecast - Elec'!N32+'Forecast (BV) 2017'!N54-L93-0.00154*('Fin Forecast - Elec'!N18+'Fin Forecast - Elec'!N58)+'Net Power'!H73)*0.03873</f>
        <v>8878591.0698326342</v>
      </c>
      <c r="M15" s="1882">
        <f>('Fin Forecast - Elec'!O18+'Fin Forecast - Elec'!O58+0.28*'Fin Forecast - Elec'!O32+'Forecast (BV) 2017'!O54-M93-0.00154*('Fin Forecast - Elec'!O18+'Fin Forecast - Elec'!O58)+'Net Power'!I73)*0.03873</f>
        <v>9320217.0366374981</v>
      </c>
      <c r="N15" s="1882">
        <f>('Fin Forecast - Elec'!P18+'Fin Forecast - Elec'!P58+0.28*'Fin Forecast - Elec'!P32+'Forecast (BV) 2017'!P54-N93-0.00154*('Fin Forecast - Elec'!P18+'Fin Forecast - Elec'!P58)+'Net Power'!J73)*0.03873</f>
        <v>9829452.6687862687</v>
      </c>
      <c r="O15" s="1882">
        <f>('Fin Forecast - Elec'!Q18+'Fin Forecast - Elec'!Q58+0.28*'Fin Forecast - Elec'!Q32+'Forecast (BV) 2017'!Q54-O93-0.00154*('Fin Forecast - Elec'!Q18+'Fin Forecast - Elec'!Q58)+'Net Power'!K73)*0.03873</f>
        <v>10276797.474409904</v>
      </c>
      <c r="P15" s="1882">
        <f>('Fin Forecast - Elec'!R18+'Fin Forecast - Elec'!R58+0.28*'Fin Forecast - Elec'!R32+'Forecast (BV) 2017'!R54-P93-0.00154*('Fin Forecast - Elec'!R18+'Fin Forecast - Elec'!R58)+'Net Power'!L73)*0.03873</f>
        <v>10776948.612892864</v>
      </c>
      <c r="Q15" s="1882">
        <f>('Fin Forecast - Elec'!S18+'Fin Forecast - Elec'!S58+0.28*'Fin Forecast - Elec'!S32+'Forecast (BV) 2017'!S54-Q93-0.00154*('Fin Forecast - Elec'!S18+'Fin Forecast - Elec'!S58)+'Net Power'!M73)*0.03873</f>
        <v>11322616.131213542</v>
      </c>
      <c r="R15" s="1882">
        <f>('Fin Forecast - Elec'!T18+'Fin Forecast - Elec'!T58+0.28*'Fin Forecast - Elec'!T32+'Forecast (BV) 2017'!T54-R93-0.00154*('Fin Forecast - Elec'!T18+'Fin Forecast - Elec'!T58)+'Net Power'!N73)*0.03873</f>
        <v>11788663.6540308</v>
      </c>
      <c r="S15" s="1882">
        <f>('Fin Forecast - Elec'!U18+'Fin Forecast - Elec'!U58+0.28*'Fin Forecast - Elec'!U32+'Forecast (BV) 2017'!U54-S93-0.00154*('Fin Forecast - Elec'!U18+'Fin Forecast - Elec'!U58)+'Net Power'!O73)*0.03873</f>
        <v>12275865.143409219</v>
      </c>
      <c r="T15" s="3094"/>
      <c r="U15" s="3094"/>
      <c r="V15" s="3094"/>
      <c r="W15" s="3094"/>
      <c r="X15" s="1824"/>
      <c r="Y15" s="1879"/>
      <c r="Z15" s="1879"/>
      <c r="AA15" s="1879"/>
      <c r="AB15" s="1879"/>
      <c r="AC15" s="1879"/>
      <c r="AD15" s="1879"/>
    </row>
    <row r="16" spans="1:37" ht="47.25">
      <c r="A16" s="411"/>
      <c r="C16" s="1870" t="s">
        <v>2689</v>
      </c>
      <c r="D16" s="1868" t="s">
        <v>2690</v>
      </c>
      <c r="E16" s="1870" t="s">
        <v>204</v>
      </c>
      <c r="F16" s="1890" t="s">
        <v>2731</v>
      </c>
      <c r="G16" s="1882">
        <f t="shared" ref="G16:S16" si="8">G15*0.028545832</f>
        <v>181793.04174783925</v>
      </c>
      <c r="H16" s="1882">
        <f t="shared" si="8"/>
        <v>191787.4801053257</v>
      </c>
      <c r="I16" s="1882">
        <f>I15*0.028545832</f>
        <v>202843.41735519003</v>
      </c>
      <c r="J16" s="1882">
        <f t="shared" si="8"/>
        <v>215073.83878532401</v>
      </c>
      <c r="K16" s="1882">
        <f t="shared" si="8"/>
        <v>231835.24138747421</v>
      </c>
      <c r="L16" s="1882">
        <f t="shared" si="8"/>
        <v>253446.76907614263</v>
      </c>
      <c r="M16" s="1882">
        <f t="shared" si="8"/>
        <v>266053.34973139188</v>
      </c>
      <c r="N16" s="1882">
        <f t="shared" si="8"/>
        <v>280589.90453512449</v>
      </c>
      <c r="O16" s="1882">
        <f t="shared" si="8"/>
        <v>293359.73420252942</v>
      </c>
      <c r="P16" s="1882">
        <f t="shared" si="8"/>
        <v>307636.96457627276</v>
      </c>
      <c r="Q16" s="1882">
        <f t="shared" si="8"/>
        <v>323213.49788211175</v>
      </c>
      <c r="R16" s="1882">
        <f t="shared" si="8"/>
        <v>336517.21217246936</v>
      </c>
      <c r="S16" s="1882">
        <f t="shared" si="8"/>
        <v>350424.78403841547</v>
      </c>
      <c r="T16" s="3094"/>
      <c r="U16" s="3094"/>
      <c r="V16" s="3094"/>
      <c r="W16" s="3094"/>
      <c r="X16" s="1824"/>
      <c r="Y16" s="1879"/>
      <c r="Z16" s="1879"/>
      <c r="AA16" s="1879"/>
      <c r="AB16" s="1879"/>
      <c r="AC16" s="1879"/>
      <c r="AD16" s="1879"/>
    </row>
    <row r="17" spans="1:37" ht="31.5">
      <c r="A17" s="411"/>
      <c r="C17" s="1870" t="s">
        <v>2691</v>
      </c>
      <c r="D17" s="1865" t="s">
        <v>2692</v>
      </c>
      <c r="E17" s="1870" t="s">
        <v>204</v>
      </c>
      <c r="F17" s="1870" t="s">
        <v>2693</v>
      </c>
      <c r="G17" s="1882">
        <f>-G28</f>
        <v>2050973.5544231546</v>
      </c>
      <c r="H17" s="1882">
        <f t="shared" ref="H17:S17" si="9">-H28</f>
        <v>2110042.4758212431</v>
      </c>
      <c r="I17" s="1882">
        <f>-I28</f>
        <v>2218643.6425831439</v>
      </c>
      <c r="J17" s="1882">
        <f t="shared" si="9"/>
        <v>2301076.7404757873</v>
      </c>
      <c r="K17" s="1882">
        <f t="shared" si="9"/>
        <v>2372290.8639632287</v>
      </c>
      <c r="L17" s="1882">
        <f t="shared" si="9"/>
        <v>2457840.3477065992</v>
      </c>
      <c r="M17" s="1882">
        <f t="shared" si="9"/>
        <v>2525269.9991273591</v>
      </c>
      <c r="N17" s="1882">
        <f t="shared" si="9"/>
        <v>2583538.6296914546</v>
      </c>
      <c r="O17" s="1882">
        <f t="shared" si="9"/>
        <v>2635040.1117436071</v>
      </c>
      <c r="P17" s="1882">
        <f t="shared" si="9"/>
        <v>2691141.0147722997</v>
      </c>
      <c r="Q17" s="1882">
        <f t="shared" si="9"/>
        <v>2752329.4497056683</v>
      </c>
      <c r="R17" s="1882">
        <f t="shared" si="9"/>
        <v>2801251.4903696906</v>
      </c>
      <c r="S17" s="1882">
        <f t="shared" si="9"/>
        <v>2852716.8218520083</v>
      </c>
      <c r="T17" s="3094"/>
      <c r="U17" s="3094"/>
      <c r="V17" s="3094"/>
      <c r="W17" s="3094"/>
      <c r="X17" s="1824"/>
      <c r="Y17" s="1879"/>
      <c r="Z17" s="1879"/>
      <c r="AA17" s="1879"/>
      <c r="AB17" s="1879"/>
      <c r="AC17" s="1879"/>
      <c r="AD17" s="1879"/>
    </row>
    <row r="18" spans="1:37">
      <c r="A18" s="411"/>
      <c r="C18" s="1872">
        <v>30230</v>
      </c>
      <c r="D18" s="1869" t="s">
        <v>2694</v>
      </c>
      <c r="E18" s="1870" t="s">
        <v>204</v>
      </c>
      <c r="F18" s="1870" t="s">
        <v>2695</v>
      </c>
      <c r="G18" s="1873">
        <f>'Fin Forecast - Elec'!I21*0.00484</f>
        <v>24687.447628799997</v>
      </c>
      <c r="H18" s="1873">
        <f>'Fin Forecast - Elec'!J21*0.00484</f>
        <v>25836.8272096</v>
      </c>
      <c r="I18" s="1873">
        <f>'Fin Forecast - Elec'!K21*0.00484</f>
        <v>25183.665326138878</v>
      </c>
      <c r="J18" s="1873">
        <f>'Fin Forecast - Elec'!L21*0.00484</f>
        <v>25435.501979400269</v>
      </c>
      <c r="K18" s="1873">
        <f>'Fin Forecast - Elec'!M21*0.00484</f>
        <v>25689.856999194271</v>
      </c>
      <c r="L18" s="1873">
        <f>'Fin Forecast - Elec'!N21*0.00484</f>
        <v>25946.755569186214</v>
      </c>
      <c r="M18" s="1873">
        <f>'Fin Forecast - Elec'!O21*0.00484</f>
        <v>26206.223124878081</v>
      </c>
      <c r="N18" s="1873">
        <f>'Fin Forecast - Elec'!P21*0.00484</f>
        <v>26468.28535612686</v>
      </c>
      <c r="O18" s="1873">
        <f>'Fin Forecast - Elec'!Q21*0.00484</f>
        <v>26732.96820968813</v>
      </c>
      <c r="P18" s="1873">
        <f>'Fin Forecast - Elec'!R21*0.00484</f>
        <v>27000.297891785012</v>
      </c>
      <c r="Q18" s="1873">
        <f>'Fin Forecast - Elec'!S21*0.00484</f>
        <v>27270.300870702864</v>
      </c>
      <c r="R18" s="1873">
        <f>'Fin Forecast - Elec'!T21*0.00484</f>
        <v>27543.003879409891</v>
      </c>
      <c r="S18" s="1873">
        <f>'Fin Forecast - Elec'!U21*0.00484</f>
        <v>27818.433918203988</v>
      </c>
      <c r="T18" s="3094"/>
      <c r="U18" s="3094"/>
      <c r="V18" s="3094"/>
      <c r="W18" s="3094"/>
    </row>
    <row r="19" spans="1:37">
      <c r="A19" s="411"/>
      <c r="F19" s="1862" t="s">
        <v>2696</v>
      </c>
      <c r="G19" s="1874">
        <f t="shared" ref="G19:S19" si="10">SUM(G11:G18)</f>
        <v>12266364.115165737</v>
      </c>
      <c r="H19" s="1874">
        <f t="shared" si="10"/>
        <v>12832461.430873603</v>
      </c>
      <c r="I19" s="1874">
        <f>SUM(I11:I18)</f>
        <v>13539431.041859569</v>
      </c>
      <c r="J19" s="1874">
        <f t="shared" si="10"/>
        <v>14218841.996213386</v>
      </c>
      <c r="K19" s="1874">
        <f t="shared" si="10"/>
        <v>15212802.056590391</v>
      </c>
      <c r="L19" s="1874">
        <f t="shared" si="10"/>
        <v>16524514.695752164</v>
      </c>
      <c r="M19" s="1874">
        <f t="shared" si="10"/>
        <v>17226971.246271096</v>
      </c>
      <c r="N19" s="1874">
        <f t="shared" si="10"/>
        <v>18075284.395378157</v>
      </c>
      <c r="O19" s="1874">
        <f t="shared" si="10"/>
        <v>18830807.372860372</v>
      </c>
      <c r="P19" s="1874">
        <f t="shared" si="10"/>
        <v>19675152.906458043</v>
      </c>
      <c r="Q19" s="1874">
        <f t="shared" si="10"/>
        <v>20596507.288357612</v>
      </c>
      <c r="R19" s="1874">
        <f t="shared" si="10"/>
        <v>21336398.959891859</v>
      </c>
      <c r="S19" s="1874">
        <f t="shared" si="10"/>
        <v>22110166.84089189</v>
      </c>
      <c r="T19" s="3094"/>
      <c r="U19" s="3094"/>
      <c r="V19" s="3094"/>
      <c r="W19" s="3094"/>
    </row>
    <row r="20" spans="1:37">
      <c r="A20" s="411"/>
      <c r="F20" s="1862" t="s">
        <v>2697</v>
      </c>
      <c r="G20" s="1875">
        <f t="shared" ref="G20:S20" si="11">G9+G19</f>
        <v>14161326.115165737</v>
      </c>
      <c r="H20" s="1875">
        <f t="shared" si="11"/>
        <v>14727423.430873603</v>
      </c>
      <c r="I20" s="1875">
        <f>I9+I19</f>
        <v>15434393.041859569</v>
      </c>
      <c r="J20" s="1875">
        <f t="shared" si="11"/>
        <v>16113803.996213386</v>
      </c>
      <c r="K20" s="1875">
        <f t="shared" si="11"/>
        <v>17107764.056590393</v>
      </c>
      <c r="L20" s="1875">
        <f t="shared" si="11"/>
        <v>18419476.695752166</v>
      </c>
      <c r="M20" s="1875">
        <f t="shared" si="11"/>
        <v>19121933.246271096</v>
      </c>
      <c r="N20" s="1875">
        <f t="shared" si="11"/>
        <v>19970246.395378157</v>
      </c>
      <c r="O20" s="1875">
        <f t="shared" si="11"/>
        <v>20725769.372860372</v>
      </c>
      <c r="P20" s="1875">
        <f t="shared" si="11"/>
        <v>21570114.906458043</v>
      </c>
      <c r="Q20" s="1875">
        <f t="shared" si="11"/>
        <v>22491469.288357612</v>
      </c>
      <c r="R20" s="1875">
        <f t="shared" si="11"/>
        <v>23231360.959891859</v>
      </c>
      <c r="S20" s="1875">
        <f t="shared" si="11"/>
        <v>24005128.84089189</v>
      </c>
      <c r="T20" s="3094"/>
      <c r="U20" s="3094"/>
      <c r="V20" s="3094"/>
      <c r="W20" s="3094"/>
    </row>
    <row r="21" spans="1:37">
      <c r="A21" s="411"/>
      <c r="F21" s="1823" t="s">
        <v>2698</v>
      </c>
      <c r="G21" s="1876">
        <v>14378911.01617533</v>
      </c>
      <c r="H21" s="1876">
        <v>14772420.751147339</v>
      </c>
      <c r="I21" s="1876">
        <v>15414699.664411109</v>
      </c>
      <c r="J21" s="1876">
        <v>16064454.642555257</v>
      </c>
      <c r="K21" s="1876">
        <v>16577894.035784008</v>
      </c>
      <c r="L21" s="1876">
        <v>17157981.435938202</v>
      </c>
      <c r="M21" s="1876">
        <v>17556309.569991738</v>
      </c>
      <c r="N21" s="1876">
        <v>17772200.630018212</v>
      </c>
      <c r="O21" s="1876">
        <v>17987431.175575204</v>
      </c>
      <c r="P21" s="1876">
        <v>18209934.600168623</v>
      </c>
      <c r="Q21" s="1876">
        <v>18444328.539215155</v>
      </c>
      <c r="R21" s="1876">
        <v>18665959.683060635</v>
      </c>
      <c r="S21" s="1876">
        <v>18887524.131911658</v>
      </c>
      <c r="T21" s="3094"/>
      <c r="U21" s="3094"/>
      <c r="V21" s="3094"/>
      <c r="W21" s="3094"/>
      <c r="X21">
        <v>21050567.62042506</v>
      </c>
      <c r="Y21">
        <v>21527363.1503844</v>
      </c>
      <c r="Z21">
        <v>22016579.26417518</v>
      </c>
      <c r="AA21">
        <v>22518548.190526202</v>
      </c>
      <c r="AB21">
        <v>23033611.220032733</v>
      </c>
      <c r="AC21">
        <v>23562118.956087757</v>
      </c>
      <c r="AD21">
        <v>24104431.57284686</v>
      </c>
      <c r="AE21">
        <v>24884229.044248749</v>
      </c>
      <c r="AF21">
        <v>25692148.413356673</v>
      </c>
      <c r="AG21">
        <v>26289789.69670577</v>
      </c>
      <c r="AH21">
        <v>26903083.015466131</v>
      </c>
      <c r="AI21">
        <v>27532448.728873692</v>
      </c>
      <c r="AJ21">
        <v>28178318.698409386</v>
      </c>
      <c r="AK21">
        <v>28841136.607138265</v>
      </c>
    </row>
    <row r="22" spans="1:37">
      <c r="A22" s="411"/>
      <c r="F22" s="1823" t="s">
        <v>2699</v>
      </c>
      <c r="G22" s="1877">
        <f>G20-G21</f>
        <v>-217584.90100959316</v>
      </c>
      <c r="H22" s="1877">
        <f>H20-H21</f>
        <v>-44997.320273736492</v>
      </c>
      <c r="I22" s="1877">
        <f>I20-I21</f>
        <v>19693.377448460087</v>
      </c>
      <c r="J22" s="1877">
        <f>J20-J21</f>
        <v>49349.35365812853</v>
      </c>
      <c r="K22" s="1877">
        <f>K20-K21</f>
        <v>529870.0208063852</v>
      </c>
      <c r="L22" s="1877">
        <f t="shared" ref="L22:S22" si="12">L20-L21</f>
        <v>1261495.2598139644</v>
      </c>
      <c r="M22" s="1877">
        <f t="shared" si="12"/>
        <v>1565623.6762793586</v>
      </c>
      <c r="N22" s="1877">
        <f t="shared" si="12"/>
        <v>2198045.7653599456</v>
      </c>
      <c r="O22" s="1877">
        <f t="shared" si="12"/>
        <v>2738338.1972851679</v>
      </c>
      <c r="P22" s="1877">
        <f t="shared" si="12"/>
        <v>3360180.3062894195</v>
      </c>
      <c r="Q22" s="1877">
        <f t="shared" si="12"/>
        <v>4047140.7491424568</v>
      </c>
      <c r="R22" s="1877">
        <f t="shared" si="12"/>
        <v>4565401.2768312246</v>
      </c>
      <c r="S22" s="1877">
        <f t="shared" si="12"/>
        <v>5117604.7089802325</v>
      </c>
      <c r="T22" s="3094"/>
      <c r="U22" s="3094"/>
      <c r="V22" s="3094"/>
      <c r="W22" s="3094"/>
    </row>
    <row r="23" spans="1:37">
      <c r="A23" s="411"/>
      <c r="T23" s="3094"/>
      <c r="U23" s="3094"/>
      <c r="V23" s="3094"/>
      <c r="W23" s="3094"/>
    </row>
    <row r="24" spans="1:37">
      <c r="A24" s="411"/>
      <c r="G24" s="424"/>
      <c r="T24" s="3094"/>
      <c r="U24" s="3094"/>
      <c r="V24" s="3094"/>
      <c r="W24" s="3094"/>
    </row>
    <row r="25" spans="1:37">
      <c r="A25" s="411"/>
      <c r="F25" s="1825" t="s">
        <v>2700</v>
      </c>
      <c r="G25" s="3079">
        <v>8850000</v>
      </c>
      <c r="H25" s="3079">
        <v>8850000</v>
      </c>
      <c r="I25" s="3079">
        <v>8850000</v>
      </c>
      <c r="J25" s="3079">
        <v>8850000</v>
      </c>
      <c r="K25" s="3079">
        <v>8850000</v>
      </c>
      <c r="L25" s="3079">
        <v>8850000</v>
      </c>
      <c r="M25" s="3079">
        <v>8850000</v>
      </c>
      <c r="N25" s="3079">
        <v>8850000</v>
      </c>
      <c r="O25" s="3079">
        <v>8850000</v>
      </c>
      <c r="P25" s="3079">
        <v>8850000</v>
      </c>
      <c r="Q25" s="3079">
        <v>8850000</v>
      </c>
      <c r="R25" s="3079">
        <v>8850000</v>
      </c>
      <c r="S25" s="3079">
        <v>8850000</v>
      </c>
      <c r="T25" s="3094"/>
      <c r="U25" s="3094"/>
      <c r="V25" s="3094"/>
      <c r="W25" s="3094"/>
    </row>
    <row r="26" spans="1:37">
      <c r="A26" s="411"/>
      <c r="T26" s="3094"/>
      <c r="U26" s="3094"/>
      <c r="V26" s="3094"/>
      <c r="W26" s="3094"/>
    </row>
    <row r="27" spans="1:37">
      <c r="A27" s="411"/>
      <c r="C27" s="1"/>
      <c r="D27" s="1"/>
      <c r="E27" s="1"/>
      <c r="F27" s="1826" t="s">
        <v>2203</v>
      </c>
      <c r="G27" s="2507">
        <f>Rev!J246</f>
        <v>159571932.79850981</v>
      </c>
      <c r="H27" s="2507">
        <f>Rev!K246</f>
        <v>171259254.27856961</v>
      </c>
      <c r="I27" s="2507">
        <f>Rev!L246</f>
        <v>177888719.57935935</v>
      </c>
      <c r="J27" s="2507">
        <f>Rev!M246</f>
        <v>189151609.48191893</v>
      </c>
      <c r="K27" s="2507">
        <f>Rev!N246</f>
        <v>199018742.21355021</v>
      </c>
      <c r="L27" s="2507">
        <f>Rev!O246</f>
        <v>211701890.08328345</v>
      </c>
      <c r="M27" s="2507">
        <f>Rev!P246</f>
        <v>220681545.86055288</v>
      </c>
      <c r="N27" s="2507">
        <f>Rev!Q246</f>
        <v>227664139.09909725</v>
      </c>
      <c r="O27" s="2507">
        <f>Rev!R246</f>
        <v>233459727.3938486</v>
      </c>
      <c r="P27" s="2507">
        <f>Rev!S246</f>
        <v>240129647.1791468</v>
      </c>
      <c r="Q27" s="2507">
        <f>Rev!T246</f>
        <v>247452592.35736862</v>
      </c>
      <c r="R27" s="2507">
        <f>Rev!U246</f>
        <v>252673695.65705958</v>
      </c>
      <c r="S27" s="2507">
        <f>Rev!V246</f>
        <v>258043141.54634467</v>
      </c>
      <c r="T27" s="3094"/>
      <c r="U27" s="3094"/>
      <c r="V27" s="3094"/>
      <c r="W27" s="3094"/>
    </row>
    <row r="28" spans="1:37">
      <c r="A28" s="411"/>
      <c r="C28" s="1"/>
      <c r="D28" s="1"/>
      <c r="E28" s="2508" t="s">
        <v>2951</v>
      </c>
      <c r="F28" s="1826" t="s">
        <v>2701</v>
      </c>
      <c r="G28" s="2506">
        <f>-Rev!J245</f>
        <v>-2050973.5544231546</v>
      </c>
      <c r="H28" s="2506">
        <f>-Rev!K245</f>
        <v>-2110042.4758212431</v>
      </c>
      <c r="I28" s="2506">
        <f>-Rev!L245</f>
        <v>-2218643.6425831439</v>
      </c>
      <c r="J28" s="2506">
        <f>-Rev!M245</f>
        <v>-2301076.7404757873</v>
      </c>
      <c r="K28" s="2506">
        <f>-Rev!N245</f>
        <v>-2372290.8639632287</v>
      </c>
      <c r="L28" s="2506">
        <f>-Rev!O245</f>
        <v>-2457840.3477065992</v>
      </c>
      <c r="M28" s="2506">
        <f>-Rev!P245</f>
        <v>-2525269.9991273591</v>
      </c>
      <c r="N28" s="2506">
        <f>-Rev!Q245</f>
        <v>-2583538.6296914546</v>
      </c>
      <c r="O28" s="2506">
        <f>-Rev!R245</f>
        <v>-2635040.1117436071</v>
      </c>
      <c r="P28" s="2506">
        <f>-Rev!S245</f>
        <v>-2691141.0147722997</v>
      </c>
      <c r="Q28" s="2506">
        <f>-Rev!T245</f>
        <v>-2752329.4497056683</v>
      </c>
      <c r="R28" s="2506">
        <f>-Rev!U245</f>
        <v>-2801251.4903696906</v>
      </c>
      <c r="S28" s="2506">
        <f>-Rev!V245</f>
        <v>-2852716.8218520083</v>
      </c>
      <c r="T28" s="3094"/>
      <c r="U28" s="3094"/>
      <c r="V28" s="3094"/>
      <c r="W28" s="3094"/>
    </row>
    <row r="29" spans="1:37">
      <c r="A29" s="411"/>
      <c r="C29" s="1"/>
      <c r="D29" s="1"/>
      <c r="E29" s="1"/>
      <c r="F29" s="1826" t="s">
        <v>2702</v>
      </c>
      <c r="G29" s="2300">
        <f>+G27+G28</f>
        <v>157520959.24408665</v>
      </c>
      <c r="H29" s="2300">
        <f t="shared" ref="H29:S29" si="13">+H27+H28</f>
        <v>169149211.80274835</v>
      </c>
      <c r="I29" s="2300">
        <f t="shared" si="13"/>
        <v>175670075.93677622</v>
      </c>
      <c r="J29" s="2300">
        <f t="shared" si="13"/>
        <v>186850532.74144316</v>
      </c>
      <c r="K29" s="2300">
        <f t="shared" si="13"/>
        <v>196646451.34958699</v>
      </c>
      <c r="L29" s="2300">
        <f t="shared" si="13"/>
        <v>209244049.73557687</v>
      </c>
      <c r="M29" s="2300">
        <f t="shared" si="13"/>
        <v>218156275.86142552</v>
      </c>
      <c r="N29" s="2300">
        <f t="shared" si="13"/>
        <v>225080600.4694058</v>
      </c>
      <c r="O29" s="2300">
        <f t="shared" si="13"/>
        <v>230824687.282105</v>
      </c>
      <c r="P29" s="2300">
        <f t="shared" si="13"/>
        <v>237438506.1643745</v>
      </c>
      <c r="Q29" s="2300">
        <f t="shared" si="13"/>
        <v>244700262.90766296</v>
      </c>
      <c r="R29" s="2300">
        <f t="shared" si="13"/>
        <v>249872444.1666899</v>
      </c>
      <c r="S29" s="2300">
        <f t="shared" si="13"/>
        <v>255190424.72449267</v>
      </c>
      <c r="T29" s="3094"/>
      <c r="U29" s="3094"/>
      <c r="V29" s="3094"/>
      <c r="W29" s="3094"/>
    </row>
    <row r="30" spans="1:37">
      <c r="A30" s="411"/>
      <c r="T30" s="3094"/>
      <c r="U30" s="3094"/>
      <c r="V30" s="3094"/>
      <c r="W30" s="3094"/>
    </row>
    <row r="31" spans="1:37">
      <c r="A31" s="411"/>
      <c r="F31" s="1678" t="s">
        <v>2203</v>
      </c>
      <c r="G31" s="2510">
        <v>158796791.36444157</v>
      </c>
      <c r="H31" s="2510">
        <v>171423500.22486302</v>
      </c>
      <c r="I31" s="2510">
        <v>178529298.60273731</v>
      </c>
      <c r="J31" s="2510">
        <f>'Fin Forecast - Elec'!L18+'Fin Forecast - Elec'!L58</f>
        <v>192934609.48191893</v>
      </c>
      <c r="K31" s="2510">
        <f>'Fin Forecast - Elec'!M18+'Fin Forecast - Elec'!M58</f>
        <v>207059142.21355021</v>
      </c>
      <c r="L31" s="2510">
        <f>'Fin Forecast - Elec'!N18+'Fin Forecast - Elec'!N58</f>
        <v>224659690.08328342</v>
      </c>
      <c r="M31" s="2510">
        <f>'Fin Forecast - Elec'!O18+'Fin Forecast - Elec'!O58</f>
        <v>238872745.86055282</v>
      </c>
      <c r="N31" s="2510">
        <f>'Fin Forecast - Elec'!P18+'Fin Forecast - Elec'!P58</f>
        <v>251359539.09909728</v>
      </c>
      <c r="O31" s="2510">
        <f>'Fin Forecast - Elec'!Q18+'Fin Forecast - Elec'!Q58</f>
        <v>262913627.3938486</v>
      </c>
      <c r="P31" s="2510">
        <f>'Fin Forecast - Elec'!R18+'Fin Forecast - Elec'!R58</f>
        <v>275833347.17914683</v>
      </c>
      <c r="Q31" s="2510">
        <f>'Fin Forecast - Elec'!S18+'Fin Forecast - Elec'!S58</f>
        <v>289930192.35736859</v>
      </c>
      <c r="R31" s="2510">
        <f>'Fin Forecast - Elec'!T18+'Fin Forecast - Elec'!T58</f>
        <v>301968195.65705961</v>
      </c>
      <c r="S31" s="2510">
        <f>'Fin Forecast - Elec'!U18+'Fin Forecast - Elec'!U58</f>
        <v>314553341.54634464</v>
      </c>
      <c r="T31" s="3094"/>
      <c r="U31" s="3094"/>
      <c r="V31" s="3094"/>
      <c r="W31" s="3094"/>
      <c r="X31">
        <v>256576859.88776231</v>
      </c>
      <c r="Y31">
        <v>263028384.07636872</v>
      </c>
      <c r="Z31">
        <v>269649282.55268699</v>
      </c>
      <c r="AA31">
        <v>276444140.39010352</v>
      </c>
      <c r="AB31">
        <v>283417669.52965671</v>
      </c>
      <c r="AC31">
        <v>290574712.34721345</v>
      </c>
      <c r="AD31">
        <v>297920245.32217598</v>
      </c>
      <c r="AE31">
        <v>308483733.13549465</v>
      </c>
      <c r="AF31">
        <v>319430011.87667322</v>
      </c>
      <c r="AG31">
        <v>327530323.5446167</v>
      </c>
      <c r="AH31">
        <v>335844624.72112668</v>
      </c>
      <c r="AI31">
        <v>344378734.7417807</v>
      </c>
      <c r="AJ31">
        <v>353138634.5120312</v>
      </c>
      <c r="AK31">
        <v>362130471.06210566</v>
      </c>
    </row>
    <row r="32" spans="1:37">
      <c r="A32" s="411"/>
      <c r="D32" s="2"/>
      <c r="E32" s="1766" t="s">
        <v>2950</v>
      </c>
      <c r="F32" s="1678" t="s">
        <v>2701</v>
      </c>
      <c r="G32" s="2510">
        <v>-2270277.0295197889</v>
      </c>
      <c r="H32" s="2510">
        <v>-2350260.2372475797</v>
      </c>
      <c r="I32" s="2510">
        <v>-2499944.4774678256</v>
      </c>
      <c r="J32" s="2510">
        <f>J28/J27*J31</f>
        <v>-2347097.8836902836</v>
      </c>
      <c r="K32" s="2510">
        <v>-2682057.9990458367</v>
      </c>
      <c r="L32" s="2510">
        <v>-2777990.6373804025</v>
      </c>
      <c r="M32" s="2510">
        <v>-2877955.0812370181</v>
      </c>
      <c r="N32" s="2510">
        <v>-2979204.8068430373</v>
      </c>
      <c r="O32" s="2510">
        <v>-3084707.8812810509</v>
      </c>
      <c r="P32" s="2510">
        <v>-3193592.0199656785</v>
      </c>
      <c r="Q32" s="2510">
        <v>-3307061.8805891322</v>
      </c>
      <c r="R32" s="2510">
        <v>-3421937.9997872328</v>
      </c>
      <c r="S32" s="2510">
        <v>-3541628.6094922968</v>
      </c>
      <c r="T32" s="3094"/>
      <c r="U32" s="3094"/>
      <c r="V32" s="3094"/>
      <c r="W32" s="3094"/>
      <c r="X32" s="3063">
        <v>-3321822.2774202693</v>
      </c>
      <c r="Y32" s="3063">
        <v>-3405366.1076973891</v>
      </c>
      <c r="Z32" s="3063">
        <v>-3491011.0653059781</v>
      </c>
      <c r="AA32" s="3063">
        <v>-3578809.9935984234</v>
      </c>
      <c r="AB32" s="3063">
        <v>-3668817.0649374234</v>
      </c>
      <c r="AC32" s="3063">
        <v>-3761087.8141205991</v>
      </c>
      <c r="AD32" s="3063">
        <v>-3855679.1726457318</v>
      </c>
      <c r="AE32" s="3063">
        <v>-3991784.6474401262</v>
      </c>
      <c r="AF32" s="3063">
        <v>-4132694.6454947619</v>
      </c>
      <c r="AG32" s="3063">
        <v>-4236631.9158289544</v>
      </c>
      <c r="AH32" s="3063">
        <v>-4343183.2085120529</v>
      </c>
      <c r="AI32" s="3063">
        <v>-4452414.2662061304</v>
      </c>
      <c r="AJ32" s="3063">
        <v>-4564392.4850012138</v>
      </c>
      <c r="AK32" s="3063">
        <v>-4679186.9559989944</v>
      </c>
    </row>
    <row r="33" spans="1:37">
      <c r="A33" s="411"/>
      <c r="F33" s="1678" t="s">
        <v>2702</v>
      </c>
      <c r="G33" s="2509">
        <v>156526514.33492178</v>
      </c>
      <c r="H33" s="2509">
        <v>169073239.98761544</v>
      </c>
      <c r="I33" s="2509">
        <v>176029354.12526947</v>
      </c>
      <c r="J33" s="2509">
        <f>J31+J32</f>
        <v>190587511.59822863</v>
      </c>
      <c r="K33" s="2509">
        <v>204105486.76649666</v>
      </c>
      <c r="L33" s="2509">
        <v>221465399.28193694</v>
      </c>
      <c r="M33" s="2509">
        <v>235548740.74364448</v>
      </c>
      <c r="N33" s="2509">
        <v>247973899.21849394</v>
      </c>
      <c r="O33" s="2509">
        <v>259353796.22022453</v>
      </c>
      <c r="P33" s="2509">
        <v>272131181.49430096</v>
      </c>
      <c r="Q33" s="2509">
        <v>286081578.55988884</v>
      </c>
      <c r="R33" s="2509">
        <v>295952222.7336511</v>
      </c>
      <c r="S33" s="2509">
        <v>306270149.84695482</v>
      </c>
      <c r="T33" s="3094"/>
      <c r="U33" s="3094"/>
      <c r="V33" s="3094"/>
      <c r="W33" s="3094"/>
      <c r="X33">
        <f t="shared" ref="X33:AK33" si="14">SUM(X31:X32)</f>
        <v>253255037.61034203</v>
      </c>
      <c r="Y33">
        <f t="shared" si="14"/>
        <v>259623017.96867132</v>
      </c>
      <c r="Z33">
        <f t="shared" si="14"/>
        <v>266158271.48738101</v>
      </c>
      <c r="AA33">
        <f t="shared" si="14"/>
        <v>272865330.39650512</v>
      </c>
      <c r="AB33">
        <f t="shared" si="14"/>
        <v>279748852.4647193</v>
      </c>
      <c r="AC33">
        <f t="shared" si="14"/>
        <v>286813624.53309286</v>
      </c>
      <c r="AD33">
        <f t="shared" si="14"/>
        <v>294064566.14953023</v>
      </c>
      <c r="AE33">
        <f t="shared" si="14"/>
        <v>304491948.48805451</v>
      </c>
      <c r="AF33">
        <f t="shared" si="14"/>
        <v>315297317.23117846</v>
      </c>
      <c r="AG33">
        <f t="shared" si="14"/>
        <v>323293691.62878776</v>
      </c>
      <c r="AH33">
        <f t="shared" si="14"/>
        <v>331501441.51261461</v>
      </c>
      <c r="AI33">
        <f t="shared" si="14"/>
        <v>339926320.47557455</v>
      </c>
      <c r="AJ33">
        <f t="shared" si="14"/>
        <v>348574242.02702999</v>
      </c>
      <c r="AK33">
        <f t="shared" si="14"/>
        <v>357451284.10610664</v>
      </c>
    </row>
    <row r="34" spans="1:37">
      <c r="A34" s="411"/>
      <c r="F34" s="1678"/>
      <c r="G34" s="1678"/>
      <c r="H34" s="1678"/>
      <c r="I34" s="1678"/>
      <c r="J34" s="1678"/>
      <c r="K34" s="1678"/>
      <c r="L34" s="1678"/>
      <c r="M34" s="1678"/>
      <c r="N34" s="1678"/>
      <c r="O34" s="1678"/>
      <c r="P34" s="1678"/>
      <c r="Q34" s="1678"/>
      <c r="R34" s="1678"/>
      <c r="S34" s="1678"/>
      <c r="T34" s="3094"/>
      <c r="U34" s="3094"/>
      <c r="V34" s="3094"/>
      <c r="W34" s="3094"/>
    </row>
    <row r="35" spans="1:37">
      <c r="A35" s="411"/>
      <c r="F35" s="1678"/>
      <c r="G35" s="2510">
        <v>3280225.2358913291</v>
      </c>
      <c r="H35" s="2510" t="s">
        <v>2703</v>
      </c>
      <c r="I35" s="2510">
        <v>3690402.8420031192</v>
      </c>
      <c r="J35" s="2510">
        <v>3828285.8370419294</v>
      </c>
      <c r="K35" s="2510">
        <v>3969793.73036189</v>
      </c>
      <c r="L35" s="2510">
        <v>3969793.73036189</v>
      </c>
      <c r="M35" s="2510">
        <v>3969793.73036189</v>
      </c>
      <c r="N35" s="2510">
        <v>3969793.73036189</v>
      </c>
      <c r="O35" s="2510">
        <v>3969793.73036189</v>
      </c>
      <c r="P35" s="2510">
        <v>3969793.73036189</v>
      </c>
      <c r="Q35" s="2510">
        <v>3969793.73036189</v>
      </c>
      <c r="R35" s="2510">
        <v>3969793.73036189</v>
      </c>
      <c r="S35" s="2510">
        <v>3969793.73036189</v>
      </c>
      <c r="T35" s="3094"/>
      <c r="U35" s="3094"/>
      <c r="V35" s="3094"/>
      <c r="W35" s="3094"/>
      <c r="X35">
        <v>3969793.73036189</v>
      </c>
      <c r="Y35">
        <v>3969793.73036189</v>
      </c>
      <c r="Z35">
        <v>3969793.73036189</v>
      </c>
      <c r="AA35">
        <v>3969793.73036189</v>
      </c>
      <c r="AB35">
        <v>3969793.73036189</v>
      </c>
      <c r="AC35">
        <v>3969793.73036189</v>
      </c>
      <c r="AD35">
        <v>3969793.73036189</v>
      </c>
      <c r="AE35">
        <v>3969793.73036189</v>
      </c>
      <c r="AF35">
        <v>3969793.73036189</v>
      </c>
      <c r="AG35">
        <v>3969793.73036189</v>
      </c>
      <c r="AH35">
        <v>3969793.73036189</v>
      </c>
      <c r="AI35">
        <v>3969793.73036189</v>
      </c>
      <c r="AJ35">
        <v>3969793.73036189</v>
      </c>
      <c r="AK35">
        <v>3969793.73036189</v>
      </c>
    </row>
    <row r="36" spans="1:37">
      <c r="A36" s="411"/>
      <c r="G36" s="1672"/>
    </row>
    <row r="37" spans="1:37">
      <c r="A37" s="411"/>
      <c r="F37" s="1827" t="s">
        <v>2704</v>
      </c>
      <c r="G37" s="1828"/>
      <c r="H37" s="1829"/>
      <c r="I37" s="1829"/>
      <c r="J37" s="1830"/>
      <c r="K37" s="1830"/>
      <c r="L37" s="1830"/>
      <c r="M37" s="1830"/>
      <c r="N37" s="1830"/>
      <c r="O37" s="1830"/>
      <c r="P37" s="1830"/>
      <c r="Q37" s="1830"/>
      <c r="R37" s="1830"/>
      <c r="S37" s="1830"/>
      <c r="T37" s="1830"/>
      <c r="U37" s="1830"/>
      <c r="V37" s="1830"/>
      <c r="W37" s="1828"/>
      <c r="X37" s="1828"/>
      <c r="Y37" s="1828"/>
      <c r="Z37" s="1828"/>
    </row>
    <row r="38" spans="1:37">
      <c r="A38" s="411"/>
      <c r="F38" s="51"/>
      <c r="G38" s="1831"/>
      <c r="H38" s="1831" t="s">
        <v>2705</v>
      </c>
      <c r="I38" s="1831"/>
      <c r="J38" s="1831"/>
      <c r="K38" s="1831"/>
      <c r="L38" s="1831" t="s">
        <v>2705</v>
      </c>
      <c r="M38" s="1831"/>
      <c r="N38" s="1831"/>
      <c r="O38" s="1831"/>
      <c r="P38" s="1831" t="s">
        <v>2705</v>
      </c>
      <c r="Q38" s="1831"/>
      <c r="R38" s="1831"/>
      <c r="S38" s="1832" t="s">
        <v>2705</v>
      </c>
      <c r="T38" s="1832"/>
      <c r="U38" s="1831"/>
      <c r="V38" s="1832" t="s">
        <v>2705</v>
      </c>
      <c r="W38" s="1832"/>
      <c r="X38" s="1831"/>
      <c r="Y38" s="1831"/>
      <c r="Z38" s="1831"/>
    </row>
    <row r="39" spans="1:37" ht="16.5" thickBot="1">
      <c r="A39" s="411"/>
      <c r="F39" s="51"/>
      <c r="G39" s="2301"/>
      <c r="H39" s="1832">
        <v>2006</v>
      </c>
      <c r="I39" s="1831"/>
      <c r="J39" s="1831"/>
      <c r="K39" s="2301"/>
      <c r="L39" s="1832">
        <v>2007</v>
      </c>
      <c r="M39" s="1831"/>
      <c r="N39" s="1831"/>
      <c r="O39" s="2301"/>
      <c r="P39" s="1832">
        <v>2008</v>
      </c>
      <c r="Q39" s="1831"/>
      <c r="R39" s="1831"/>
      <c r="S39" s="2302">
        <v>2009</v>
      </c>
      <c r="T39" s="2302"/>
      <c r="U39" s="1831"/>
      <c r="V39" s="2302">
        <v>2010</v>
      </c>
      <c r="W39" s="2302"/>
      <c r="X39" s="1831"/>
      <c r="Y39" s="1833" t="s">
        <v>2706</v>
      </c>
      <c r="Z39" s="1833"/>
    </row>
    <row r="40" spans="1:37" ht="31.5">
      <c r="A40" s="411"/>
      <c r="F40" s="51"/>
      <c r="G40" s="2303" t="s">
        <v>2707</v>
      </c>
      <c r="H40" s="1834" t="s">
        <v>2708</v>
      </c>
      <c r="I40" s="1835" t="s">
        <v>2709</v>
      </c>
      <c r="J40" s="1836"/>
      <c r="K40" s="2303" t="s">
        <v>2707</v>
      </c>
      <c r="L40" s="1834" t="s">
        <v>2708</v>
      </c>
      <c r="M40" s="1835" t="s">
        <v>2709</v>
      </c>
      <c r="N40" s="1836"/>
      <c r="O40" s="2303" t="s">
        <v>2707</v>
      </c>
      <c r="P40" s="1834" t="s">
        <v>2708</v>
      </c>
      <c r="Q40" s="1835" t="s">
        <v>2709</v>
      </c>
      <c r="R40" s="1836"/>
      <c r="S40" s="2303" t="s">
        <v>2710</v>
      </c>
      <c r="T40" s="1835" t="s">
        <v>2711</v>
      </c>
      <c r="U40" s="1836"/>
      <c r="V40" s="2303" t="s">
        <v>2710</v>
      </c>
      <c r="W40" s="1835" t="s">
        <v>2711</v>
      </c>
      <c r="X40" s="1836"/>
      <c r="Y40" s="2303" t="s">
        <v>2707</v>
      </c>
      <c r="Z40" s="1835" t="s">
        <v>2708</v>
      </c>
    </row>
    <row r="41" spans="1:37">
      <c r="A41" s="411"/>
      <c r="F41" s="51"/>
      <c r="G41" s="2304">
        <v>0</v>
      </c>
      <c r="H41" s="1837">
        <v>0</v>
      </c>
      <c r="I41" s="1838"/>
      <c r="J41" s="1839"/>
      <c r="K41" s="2304">
        <v>0</v>
      </c>
      <c r="L41" s="1837">
        <v>0</v>
      </c>
      <c r="M41" s="1838"/>
      <c r="N41" s="1839"/>
      <c r="O41" s="2304">
        <v>0</v>
      </c>
      <c r="P41" s="1837">
        <v>0</v>
      </c>
      <c r="Q41" s="1838"/>
      <c r="R41" s="1840"/>
      <c r="S41" s="2304">
        <v>0</v>
      </c>
      <c r="T41" s="1841">
        <v>0</v>
      </c>
      <c r="U41" s="1842"/>
      <c r="V41" s="2304">
        <v>0</v>
      </c>
      <c r="W41" s="1841">
        <v>0</v>
      </c>
      <c r="X41" s="1842"/>
      <c r="Y41" s="1843"/>
      <c r="Z41" s="1844"/>
    </row>
    <row r="42" spans="1:37">
      <c r="A42" s="411"/>
      <c r="F42" s="51"/>
      <c r="G42" s="2304">
        <v>0</v>
      </c>
      <c r="H42" s="1837">
        <v>0</v>
      </c>
      <c r="I42" s="1838"/>
      <c r="J42" s="1839"/>
      <c r="K42" s="2304">
        <v>0</v>
      </c>
      <c r="L42" s="1837">
        <v>0</v>
      </c>
      <c r="M42" s="1838"/>
      <c r="N42" s="1839"/>
      <c r="O42" s="2304">
        <v>0</v>
      </c>
      <c r="P42" s="1837">
        <v>0</v>
      </c>
      <c r="Q42" s="1838"/>
      <c r="R42" s="1840"/>
      <c r="S42" s="2304">
        <v>0</v>
      </c>
      <c r="T42" s="1841">
        <v>0</v>
      </c>
      <c r="U42" s="1842"/>
      <c r="V42" s="2304">
        <v>0</v>
      </c>
      <c r="W42" s="1841">
        <v>0</v>
      </c>
      <c r="X42" s="1842"/>
      <c r="Y42" s="1843"/>
      <c r="Z42" s="1844"/>
    </row>
    <row r="43" spans="1:37">
      <c r="A43" s="411"/>
      <c r="F43" s="51"/>
      <c r="G43" s="2304">
        <v>0</v>
      </c>
      <c r="H43" s="1837">
        <v>0</v>
      </c>
      <c r="I43" s="2305">
        <v>0</v>
      </c>
      <c r="J43" s="2306"/>
      <c r="K43" s="2304">
        <v>140</v>
      </c>
      <c r="L43" s="1837">
        <v>115590</v>
      </c>
      <c r="M43" s="2305">
        <f t="shared" ref="M43:M50" si="15">1-(L43/(K43*1000))</f>
        <v>0.17435714285714288</v>
      </c>
      <c r="N43" s="2306"/>
      <c r="O43" s="2304">
        <v>0</v>
      </c>
      <c r="P43" s="1837">
        <v>0</v>
      </c>
      <c r="Q43" s="2305">
        <v>0</v>
      </c>
      <c r="R43" s="1840"/>
      <c r="S43" s="2304">
        <v>0</v>
      </c>
      <c r="T43" s="1841">
        <v>0</v>
      </c>
      <c r="U43" s="1842"/>
      <c r="V43" s="2304">
        <v>0</v>
      </c>
      <c r="W43" s="1841">
        <v>0</v>
      </c>
      <c r="X43" s="1842"/>
      <c r="Y43" s="1845">
        <f t="shared" ref="Y43:Y51" si="16">AVERAGE(G43,K43,O43,S43,V43)</f>
        <v>28</v>
      </c>
      <c r="Z43" s="1846">
        <f t="shared" ref="Z43:Z51" si="17">AVERAGE(H43,L43,P43,T43,W43)</f>
        <v>23118</v>
      </c>
    </row>
    <row r="44" spans="1:37">
      <c r="A44" s="411"/>
      <c r="F44" s="51"/>
      <c r="G44" s="2304">
        <v>1500</v>
      </c>
      <c r="H44" s="2307">
        <v>1468450</v>
      </c>
      <c r="I44" s="2305">
        <f t="shared" ref="I44:I50" si="18">1-(H44/(G44*1000))</f>
        <v>2.1033333333333348E-2</v>
      </c>
      <c r="J44" s="2306"/>
      <c r="K44" s="2304">
        <v>1678</v>
      </c>
      <c r="L44" s="2307">
        <v>1636510</v>
      </c>
      <c r="M44" s="2305">
        <f t="shared" si="15"/>
        <v>2.4725864123957053E-2</v>
      </c>
      <c r="N44" s="2306"/>
      <c r="O44" s="2304">
        <v>4229</v>
      </c>
      <c r="P44" s="2307">
        <v>4156360</v>
      </c>
      <c r="Q44" s="2305">
        <f t="shared" ref="Q44:Q50" si="19">1-(P44/(O44*1000))</f>
        <v>1.7176637502955727E-2</v>
      </c>
      <c r="R44" s="1840"/>
      <c r="S44" s="2304">
        <v>4105</v>
      </c>
      <c r="T44" s="2308">
        <v>4062172</v>
      </c>
      <c r="U44" s="1842"/>
      <c r="V44" s="2304">
        <v>868</v>
      </c>
      <c r="W44" s="2308">
        <v>842381</v>
      </c>
      <c r="X44" s="1842"/>
      <c r="Y44" s="1845">
        <f t="shared" si="16"/>
        <v>2476</v>
      </c>
      <c r="Z44" s="1846">
        <f t="shared" si="17"/>
        <v>2433174.6</v>
      </c>
    </row>
    <row r="45" spans="1:37">
      <c r="A45" s="411"/>
      <c r="F45" s="51"/>
      <c r="G45" s="2304">
        <v>5131</v>
      </c>
      <c r="H45" s="2307">
        <v>5072169</v>
      </c>
      <c r="I45" s="2305">
        <f t="shared" si="18"/>
        <v>1.1465796141103102E-2</v>
      </c>
      <c r="J45" s="2306"/>
      <c r="K45" s="2304">
        <v>2633</v>
      </c>
      <c r="L45" s="2307">
        <v>2591562</v>
      </c>
      <c r="M45" s="2305">
        <f t="shared" si="15"/>
        <v>1.5737941511583697E-2</v>
      </c>
      <c r="N45" s="2306"/>
      <c r="O45" s="2304">
        <v>5926</v>
      </c>
      <c r="P45" s="2307">
        <v>5851043</v>
      </c>
      <c r="Q45" s="2305">
        <f t="shared" si="19"/>
        <v>1.2648835639554545E-2</v>
      </c>
      <c r="R45" s="1840"/>
      <c r="S45" s="2304">
        <v>5042</v>
      </c>
      <c r="T45" s="2308">
        <v>4996812</v>
      </c>
      <c r="U45" s="1842"/>
      <c r="V45" s="2304">
        <v>4464</v>
      </c>
      <c r="W45" s="2308">
        <v>4415931</v>
      </c>
      <c r="X45" s="1842"/>
      <c r="Y45" s="1845">
        <f t="shared" si="16"/>
        <v>4639.2</v>
      </c>
      <c r="Z45" s="1846">
        <f t="shared" si="17"/>
        <v>4585503.4000000004</v>
      </c>
    </row>
    <row r="46" spans="1:37">
      <c r="A46" s="411"/>
      <c r="F46" s="51"/>
      <c r="G46" s="2304">
        <v>5081</v>
      </c>
      <c r="H46" s="2307">
        <v>5020676</v>
      </c>
      <c r="I46" s="2305">
        <f t="shared" si="18"/>
        <v>1.1872466049990149E-2</v>
      </c>
      <c r="J46" s="2306"/>
      <c r="K46" s="2304">
        <v>6134</v>
      </c>
      <c r="L46" s="2307">
        <v>6062683</v>
      </c>
      <c r="M46" s="2305">
        <f t="shared" si="15"/>
        <v>1.1626507988262147E-2</v>
      </c>
      <c r="N46" s="2306"/>
      <c r="O46" s="2304">
        <v>5851</v>
      </c>
      <c r="P46" s="2307">
        <v>5780949</v>
      </c>
      <c r="Q46" s="2305">
        <f t="shared" si="19"/>
        <v>1.1972483336181838E-2</v>
      </c>
      <c r="R46" s="1840"/>
      <c r="S46" s="2304">
        <v>5973</v>
      </c>
      <c r="T46" s="2308">
        <v>5940800</v>
      </c>
      <c r="U46" s="1842"/>
      <c r="V46" s="2304">
        <v>4942</v>
      </c>
      <c r="W46" s="2308">
        <v>4903221</v>
      </c>
      <c r="X46" s="1842"/>
      <c r="Y46" s="1845">
        <f t="shared" si="16"/>
        <v>5596.2</v>
      </c>
      <c r="Z46" s="1846">
        <f t="shared" si="17"/>
        <v>5541665.7999999998</v>
      </c>
    </row>
    <row r="47" spans="1:37">
      <c r="A47" s="411"/>
      <c r="F47" s="51"/>
      <c r="G47" s="2304">
        <v>6726</v>
      </c>
      <c r="H47" s="2307">
        <v>6656800</v>
      </c>
      <c r="I47" s="2305">
        <f t="shared" si="18"/>
        <v>1.0288432946773729E-2</v>
      </c>
      <c r="J47" s="2306"/>
      <c r="K47" s="2304">
        <v>6753</v>
      </c>
      <c r="L47" s="2307">
        <v>6682209</v>
      </c>
      <c r="M47" s="2305">
        <f t="shared" si="15"/>
        <v>1.0482896490448645E-2</v>
      </c>
      <c r="N47" s="2306"/>
      <c r="O47" s="2304">
        <v>6676</v>
      </c>
      <c r="P47" s="2307">
        <v>6597402</v>
      </c>
      <c r="Q47" s="2305">
        <f t="shared" si="19"/>
        <v>1.1773217495506305E-2</v>
      </c>
      <c r="R47" s="1840"/>
      <c r="S47" s="2304">
        <v>6427</v>
      </c>
      <c r="T47" s="2308">
        <v>6390230</v>
      </c>
      <c r="U47" s="1842"/>
      <c r="V47" s="2304">
        <v>4648</v>
      </c>
      <c r="W47" s="2308">
        <v>4614035</v>
      </c>
      <c r="X47" s="1842"/>
      <c r="Y47" s="1845">
        <f t="shared" si="16"/>
        <v>6246</v>
      </c>
      <c r="Z47" s="1846">
        <f t="shared" si="17"/>
        <v>6188135.2000000002</v>
      </c>
    </row>
    <row r="48" spans="1:37">
      <c r="A48" s="411"/>
      <c r="F48" s="51"/>
      <c r="G48" s="2304">
        <v>6294</v>
      </c>
      <c r="H48" s="2307">
        <v>6223828</v>
      </c>
      <c r="I48" s="2305">
        <f t="shared" si="18"/>
        <v>1.1149030823006001E-2</v>
      </c>
      <c r="J48" s="2306"/>
      <c r="K48" s="2304">
        <v>6338</v>
      </c>
      <c r="L48" s="2307">
        <v>6271879</v>
      </c>
      <c r="M48" s="2305">
        <f t="shared" si="15"/>
        <v>1.043247081098142E-2</v>
      </c>
      <c r="N48" s="2306"/>
      <c r="O48" s="2304">
        <v>6171</v>
      </c>
      <c r="P48" s="2307">
        <v>6097596</v>
      </c>
      <c r="Q48" s="2305">
        <f t="shared" si="19"/>
        <v>1.1894992707826901E-2</v>
      </c>
      <c r="R48" s="1840"/>
      <c r="S48" s="2304">
        <v>5826</v>
      </c>
      <c r="T48" s="2308">
        <v>5800829</v>
      </c>
      <c r="U48" s="1842"/>
      <c r="V48" s="2304">
        <v>6125</v>
      </c>
      <c r="W48" s="2308">
        <v>6088566</v>
      </c>
      <c r="X48" s="1842"/>
      <c r="Y48" s="1845">
        <f t="shared" si="16"/>
        <v>6150.8</v>
      </c>
      <c r="Z48" s="1846">
        <f t="shared" si="17"/>
        <v>6096539.5999999996</v>
      </c>
    </row>
    <row r="49" spans="1:26">
      <c r="A49" s="411"/>
      <c r="F49" s="51"/>
      <c r="G49" s="2304">
        <v>3643</v>
      </c>
      <c r="H49" s="2307">
        <v>3591628</v>
      </c>
      <c r="I49" s="2305">
        <f t="shared" si="18"/>
        <v>1.4101564644523723E-2</v>
      </c>
      <c r="J49" s="2306"/>
      <c r="K49" s="2304">
        <v>4339</v>
      </c>
      <c r="L49" s="2307">
        <v>4280644</v>
      </c>
      <c r="M49" s="2305">
        <f t="shared" si="15"/>
        <v>1.3449181839133462E-2</v>
      </c>
      <c r="N49" s="2306"/>
      <c r="O49" s="2304">
        <v>4494</v>
      </c>
      <c r="P49" s="2307">
        <v>4429626</v>
      </c>
      <c r="Q49" s="2305">
        <f t="shared" si="19"/>
        <v>1.4324432576769075E-2</v>
      </c>
      <c r="R49" s="1840"/>
      <c r="S49" s="2304">
        <v>3836</v>
      </c>
      <c r="T49" s="2308">
        <v>3808815</v>
      </c>
      <c r="U49" s="1842"/>
      <c r="V49" s="2304">
        <v>5786</v>
      </c>
      <c r="W49" s="2308">
        <v>5756513</v>
      </c>
      <c r="X49" s="1842"/>
      <c r="Y49" s="1845">
        <f t="shared" si="16"/>
        <v>4419.6000000000004</v>
      </c>
      <c r="Z49" s="1846">
        <f t="shared" si="17"/>
        <v>4373445.2</v>
      </c>
    </row>
    <row r="50" spans="1:26">
      <c r="A50" s="411"/>
      <c r="F50" s="51"/>
      <c r="G50" s="2304">
        <v>2315</v>
      </c>
      <c r="H50" s="2307">
        <v>2263509</v>
      </c>
      <c r="I50" s="2305">
        <f t="shared" si="18"/>
        <v>2.2242332613390925E-2</v>
      </c>
      <c r="J50" s="2306"/>
      <c r="K50" s="2304">
        <v>2144</v>
      </c>
      <c r="L50" s="2307">
        <v>2101016</v>
      </c>
      <c r="M50" s="2305">
        <f t="shared" si="15"/>
        <v>2.0048507462686604E-2</v>
      </c>
      <c r="N50" s="2306"/>
      <c r="O50" s="2304">
        <v>2719</v>
      </c>
      <c r="P50" s="2307">
        <v>2656941</v>
      </c>
      <c r="Q50" s="2305">
        <f t="shared" si="19"/>
        <v>2.2824200073556455E-2</v>
      </c>
      <c r="R50" s="1840"/>
      <c r="S50" s="2304">
        <v>1596</v>
      </c>
      <c r="T50" s="2308">
        <v>1570022</v>
      </c>
      <c r="U50" s="1842"/>
      <c r="V50" s="2304">
        <v>3536</v>
      </c>
      <c r="W50" s="2308">
        <v>3498335</v>
      </c>
      <c r="X50" s="1842"/>
      <c r="Y50" s="1845">
        <f t="shared" si="16"/>
        <v>2462</v>
      </c>
      <c r="Z50" s="1846">
        <f t="shared" si="17"/>
        <v>2417964.6</v>
      </c>
    </row>
    <row r="51" spans="1:26">
      <c r="A51" s="411"/>
      <c r="F51" s="51"/>
      <c r="G51" s="2304">
        <v>0</v>
      </c>
      <c r="H51" s="2307"/>
      <c r="I51" s="1838"/>
      <c r="J51" s="1839"/>
      <c r="K51" s="2304">
        <v>0</v>
      </c>
      <c r="L51" s="2307"/>
      <c r="M51" s="1838"/>
      <c r="N51" s="1839"/>
      <c r="O51" s="2304">
        <v>0</v>
      </c>
      <c r="P51" s="2307"/>
      <c r="Q51" s="1838"/>
      <c r="R51" s="1840"/>
      <c r="S51" s="2304">
        <v>0</v>
      </c>
      <c r="T51" s="2308"/>
      <c r="U51" s="1842"/>
      <c r="V51" s="2304">
        <v>1967</v>
      </c>
      <c r="W51" s="2308">
        <v>1936931</v>
      </c>
      <c r="X51" s="1842"/>
      <c r="Y51" s="1845">
        <f t="shared" si="16"/>
        <v>393.4</v>
      </c>
      <c r="Z51" s="1846">
        <f t="shared" si="17"/>
        <v>1936931</v>
      </c>
    </row>
    <row r="52" spans="1:26">
      <c r="A52" s="411"/>
      <c r="F52" s="51"/>
      <c r="G52" s="2304">
        <v>0</v>
      </c>
      <c r="H52" s="2307"/>
      <c r="I52" s="1838"/>
      <c r="J52" s="1839"/>
      <c r="K52" s="2304">
        <v>0</v>
      </c>
      <c r="L52" s="2307"/>
      <c r="M52" s="1838"/>
      <c r="N52" s="1839"/>
      <c r="O52" s="2304">
        <v>0</v>
      </c>
      <c r="P52" s="2307"/>
      <c r="Q52" s="1838"/>
      <c r="R52" s="1840"/>
      <c r="S52" s="2304">
        <v>0</v>
      </c>
      <c r="T52" s="2308"/>
      <c r="U52" s="1842"/>
      <c r="V52" s="2304">
        <v>0</v>
      </c>
      <c r="W52" s="2308"/>
      <c r="X52" s="1842"/>
      <c r="Y52" s="1843"/>
      <c r="Z52" s="1846"/>
    </row>
    <row r="53" spans="1:26">
      <c r="A53" s="411"/>
      <c r="F53" s="51"/>
      <c r="G53" s="2304"/>
      <c r="H53" s="1837"/>
      <c r="I53" s="1838"/>
      <c r="J53" s="1839"/>
      <c r="K53" s="2304"/>
      <c r="L53" s="1837"/>
      <c r="M53" s="1838"/>
      <c r="N53" s="1839"/>
      <c r="O53" s="2304"/>
      <c r="P53" s="1837"/>
      <c r="Q53" s="1838"/>
      <c r="R53" s="1839"/>
      <c r="S53" s="2304"/>
      <c r="T53" s="1841"/>
      <c r="U53" s="1839"/>
      <c r="V53" s="2304"/>
      <c r="W53" s="1841"/>
      <c r="X53" s="1839"/>
      <c r="Y53" s="1843"/>
      <c r="Z53" s="1846"/>
    </row>
    <row r="54" spans="1:26" ht="16.5" thickBot="1">
      <c r="A54" s="411"/>
      <c r="F54" s="51"/>
      <c r="G54" s="2309">
        <f>SUM(G41:G52)</f>
        <v>30690</v>
      </c>
      <c r="H54" s="2310">
        <f>SUM(H41:H52)</f>
        <v>30297060</v>
      </c>
      <c r="I54" s="2311">
        <f>1-(H54/(G54*1000))</f>
        <v>1.2803519061583613E-2</v>
      </c>
      <c r="J54" s="2306"/>
      <c r="K54" s="2309">
        <f>SUM(K41:K52)</f>
        <v>30159</v>
      </c>
      <c r="L54" s="2310">
        <f>SUM(L41:L52)</f>
        <v>29742093</v>
      </c>
      <c r="M54" s="2311">
        <f>1-(L54/(K54*1000))</f>
        <v>1.3823634735899759E-2</v>
      </c>
      <c r="N54" s="2306"/>
      <c r="O54" s="2309">
        <f>SUM(O41:O52)</f>
        <v>36066</v>
      </c>
      <c r="P54" s="2310">
        <f>SUM(P41:P52)</f>
        <v>35569917</v>
      </c>
      <c r="Q54" s="2311">
        <f>1-(P54/(O54*1000))</f>
        <v>1.3754866078855454E-2</v>
      </c>
      <c r="R54" s="2306"/>
      <c r="S54" s="2309">
        <f>SUM(S41:S52)</f>
        <v>32805</v>
      </c>
      <c r="T54" s="2312">
        <f>SUM(T41:T52)</f>
        <v>32569680</v>
      </c>
      <c r="U54" s="2306"/>
      <c r="V54" s="2309">
        <f>SUM(V41:V52)</f>
        <v>32336</v>
      </c>
      <c r="W54" s="2312">
        <f>SUM(W41:W52)</f>
        <v>32055913</v>
      </c>
      <c r="X54" s="2306"/>
      <c r="Y54" s="2313">
        <f>SUM(Y43:Y50)</f>
        <v>32017.800000000003</v>
      </c>
      <c r="Z54" s="2314">
        <f>SUM(Z43:Z50)</f>
        <v>31659546.400000002</v>
      </c>
    </row>
    <row r="55" spans="1:26">
      <c r="A55" s="411"/>
      <c r="F55" s="51"/>
      <c r="G55" s="2315"/>
      <c r="H55" s="1847"/>
      <c r="I55" s="1831"/>
      <c r="J55" s="1831"/>
      <c r="K55" s="2315"/>
      <c r="L55" s="1847"/>
      <c r="M55" s="1831"/>
      <c r="N55" s="1831"/>
      <c r="O55" s="2315"/>
      <c r="P55" s="1847"/>
      <c r="Q55" s="1831"/>
      <c r="R55" s="1831"/>
      <c r="S55" s="2315"/>
      <c r="T55" s="1847"/>
      <c r="U55" s="1831"/>
      <c r="V55" s="2315"/>
      <c r="W55" s="1847"/>
      <c r="X55" s="1831"/>
      <c r="Y55" s="1847"/>
      <c r="Z55" s="1847"/>
    </row>
    <row r="56" spans="1:26">
      <c r="F56" s="51"/>
      <c r="G56" s="2315"/>
      <c r="H56" s="1848" t="s">
        <v>2712</v>
      </c>
      <c r="I56" s="1831"/>
      <c r="J56" s="1831"/>
      <c r="K56" s="2315"/>
      <c r="L56" s="1848" t="s">
        <v>2712</v>
      </c>
      <c r="M56" s="1831"/>
      <c r="N56" s="1831"/>
      <c r="O56" s="2315"/>
      <c r="P56" s="1848" t="s">
        <v>2712</v>
      </c>
      <c r="Q56" s="1831"/>
      <c r="R56" s="1831"/>
      <c r="S56" s="1848" t="s">
        <v>2712</v>
      </c>
      <c r="T56" s="1848"/>
      <c r="U56" s="1831"/>
      <c r="V56" s="1848" t="s">
        <v>2712</v>
      </c>
      <c r="W56" s="1848"/>
      <c r="X56" s="1831"/>
      <c r="Y56" s="1831"/>
      <c r="Z56" s="1831"/>
    </row>
    <row r="57" spans="1:26" ht="16.5" thickBot="1">
      <c r="F57" s="51"/>
      <c r="G57" s="2316"/>
      <c r="H57" s="1849">
        <f>H39</f>
        <v>2006</v>
      </c>
      <c r="I57" s="1831"/>
      <c r="J57" s="1831"/>
      <c r="K57" s="2316"/>
      <c r="L57" s="1849">
        <f>L39</f>
        <v>2007</v>
      </c>
      <c r="M57" s="1831"/>
      <c r="N57" s="1831"/>
      <c r="O57" s="2316"/>
      <c r="P57" s="1849">
        <f>P39</f>
        <v>2008</v>
      </c>
      <c r="Q57" s="1831"/>
      <c r="R57" s="1831"/>
      <c r="S57" s="2317">
        <f>S39</f>
        <v>2009</v>
      </c>
      <c r="T57" s="2317"/>
      <c r="U57" s="1831"/>
      <c r="V57" s="2317">
        <f>V39</f>
        <v>2010</v>
      </c>
      <c r="W57" s="2317"/>
      <c r="X57" s="1831"/>
      <c r="Y57" s="1833" t="s">
        <v>2706</v>
      </c>
      <c r="Z57" s="1833"/>
    </row>
    <row r="58" spans="1:26" ht="31.5">
      <c r="F58" s="51"/>
      <c r="G58" s="2303" t="s">
        <v>2707</v>
      </c>
      <c r="H58" s="1850" t="s">
        <v>2708</v>
      </c>
      <c r="I58" s="1835" t="s">
        <v>2709</v>
      </c>
      <c r="J58" s="1836"/>
      <c r="K58" s="2303" t="s">
        <v>2707</v>
      </c>
      <c r="L58" s="1850" t="s">
        <v>2708</v>
      </c>
      <c r="M58" s="1835" t="s">
        <v>2709</v>
      </c>
      <c r="N58" s="1836"/>
      <c r="O58" s="2303" t="s">
        <v>2707</v>
      </c>
      <c r="P58" s="1850" t="s">
        <v>2708</v>
      </c>
      <c r="Q58" s="1835" t="s">
        <v>2709</v>
      </c>
      <c r="R58" s="1836"/>
      <c r="S58" s="2303" t="s">
        <v>2710</v>
      </c>
      <c r="T58" s="1835" t="s">
        <v>2711</v>
      </c>
      <c r="U58" s="1836"/>
      <c r="V58" s="2303" t="s">
        <v>2710</v>
      </c>
      <c r="W58" s="1835" t="s">
        <v>2711</v>
      </c>
      <c r="X58" s="1836"/>
      <c r="Y58" s="2303" t="s">
        <v>2707</v>
      </c>
      <c r="Z58" s="1835" t="s">
        <v>2708</v>
      </c>
    </row>
    <row r="59" spans="1:26">
      <c r="F59" s="51"/>
      <c r="G59" s="2304">
        <v>0</v>
      </c>
      <c r="H59" s="1851">
        <v>0</v>
      </c>
      <c r="I59" s="1844"/>
      <c r="J59" s="1852"/>
      <c r="K59" s="2304">
        <v>0</v>
      </c>
      <c r="L59" s="1851">
        <v>0</v>
      </c>
      <c r="M59" s="1844"/>
      <c r="N59" s="1852"/>
      <c r="O59" s="2304">
        <v>0</v>
      </c>
      <c r="P59" s="1851">
        <v>0</v>
      </c>
      <c r="Q59" s="1844"/>
      <c r="R59" s="1852"/>
      <c r="S59" s="2304">
        <v>0</v>
      </c>
      <c r="T59" s="1846">
        <v>0</v>
      </c>
      <c r="U59" s="1852"/>
      <c r="V59" s="2304">
        <v>0</v>
      </c>
      <c r="W59" s="1846">
        <v>0</v>
      </c>
      <c r="X59" s="1852"/>
      <c r="Y59" s="1843"/>
      <c r="Z59" s="1844"/>
    </row>
    <row r="60" spans="1:26">
      <c r="F60" s="51"/>
      <c r="G60" s="2304">
        <v>0</v>
      </c>
      <c r="H60" s="1851">
        <v>0</v>
      </c>
      <c r="I60" s="1844"/>
      <c r="J60" s="1852"/>
      <c r="K60" s="2304">
        <v>0</v>
      </c>
      <c r="L60" s="1851">
        <v>0</v>
      </c>
      <c r="M60" s="1844"/>
      <c r="N60" s="1852"/>
      <c r="O60" s="2304">
        <v>0</v>
      </c>
      <c r="P60" s="1851">
        <v>0</v>
      </c>
      <c r="Q60" s="1844"/>
      <c r="R60" s="1852"/>
      <c r="S60" s="2304">
        <v>0</v>
      </c>
      <c r="T60" s="1846">
        <v>0</v>
      </c>
      <c r="U60" s="1852"/>
      <c r="V60" s="2304">
        <v>0</v>
      </c>
      <c r="W60" s="1846">
        <v>0</v>
      </c>
      <c r="X60" s="1852"/>
      <c r="Y60" s="1843"/>
      <c r="Z60" s="1844"/>
    </row>
    <row r="61" spans="1:26">
      <c r="F61" s="51"/>
      <c r="G61" s="2304">
        <v>359</v>
      </c>
      <c r="H61" s="1851">
        <v>355312</v>
      </c>
      <c r="I61" s="2318">
        <f t="shared" ref="I61:I68" si="20">1-(H61/(G61*1000))</f>
        <v>1.0272980501392803E-2</v>
      </c>
      <c r="J61" s="2319"/>
      <c r="K61" s="2304">
        <v>0</v>
      </c>
      <c r="L61" s="1851">
        <v>0</v>
      </c>
      <c r="M61" s="2318">
        <v>0</v>
      </c>
      <c r="N61" s="2319"/>
      <c r="O61" s="2304">
        <v>478</v>
      </c>
      <c r="P61" s="1851">
        <v>473568</v>
      </c>
      <c r="Q61" s="2318">
        <f t="shared" ref="Q61:Q68" si="21">1-(P61/(O61*1000))</f>
        <v>9.2719665271966401E-3</v>
      </c>
      <c r="R61" s="2319"/>
      <c r="S61" s="2304">
        <v>0</v>
      </c>
      <c r="T61" s="1844">
        <v>0</v>
      </c>
      <c r="U61" s="2319"/>
      <c r="V61" s="2304">
        <v>869</v>
      </c>
      <c r="W61" s="1846">
        <v>867880</v>
      </c>
      <c r="X61" s="2319"/>
      <c r="Y61" s="1845">
        <f t="shared" ref="Y61:Z68" si="22">AVERAGE(G61,K61,O61,S61,V61)</f>
        <v>341.2</v>
      </c>
      <c r="Z61" s="1846">
        <f t="shared" si="22"/>
        <v>339352</v>
      </c>
    </row>
    <row r="62" spans="1:26">
      <c r="F62" s="51"/>
      <c r="G62" s="2304">
        <v>3203</v>
      </c>
      <c r="H62" s="2320">
        <v>3179751</v>
      </c>
      <c r="I62" s="2318">
        <f t="shared" si="20"/>
        <v>7.2585076490789824E-3</v>
      </c>
      <c r="J62" s="2319"/>
      <c r="K62" s="2304">
        <v>1668</v>
      </c>
      <c r="L62" s="2320">
        <v>1656576</v>
      </c>
      <c r="M62" s="2318">
        <f t="shared" ref="M62:M68" si="23">1-(L62/(K62*1000))</f>
        <v>6.848920863309349E-3</v>
      </c>
      <c r="N62" s="2319"/>
      <c r="O62" s="2304">
        <v>3960</v>
      </c>
      <c r="P62" s="2320">
        <v>3935808</v>
      </c>
      <c r="Q62" s="2318">
        <f t="shared" si="21"/>
        <v>6.1090909090909529E-3</v>
      </c>
      <c r="R62" s="2319"/>
      <c r="S62" s="2304">
        <v>3327</v>
      </c>
      <c r="T62" s="1846">
        <v>3325880</v>
      </c>
      <c r="U62" s="2319"/>
      <c r="V62" s="2304">
        <v>3747</v>
      </c>
      <c r="W62" s="2321">
        <v>3746040</v>
      </c>
      <c r="X62" s="2319"/>
      <c r="Y62" s="1845">
        <f t="shared" si="22"/>
        <v>3181</v>
      </c>
      <c r="Z62" s="1846">
        <f t="shared" si="22"/>
        <v>3168811</v>
      </c>
    </row>
    <row r="63" spans="1:26">
      <c r="F63" s="51"/>
      <c r="G63" s="2304">
        <v>4345</v>
      </c>
      <c r="H63" s="2320">
        <v>4319328</v>
      </c>
      <c r="I63" s="2318">
        <f t="shared" si="20"/>
        <v>5.908400460299168E-3</v>
      </c>
      <c r="J63" s="2319"/>
      <c r="K63" s="2304">
        <v>2634</v>
      </c>
      <c r="L63" s="2320">
        <v>2620170</v>
      </c>
      <c r="M63" s="2318">
        <f t="shared" si="23"/>
        <v>5.2505694760820454E-3</v>
      </c>
      <c r="N63" s="2319"/>
      <c r="O63" s="2304">
        <v>4661</v>
      </c>
      <c r="P63" s="2320">
        <v>4635361</v>
      </c>
      <c r="Q63" s="2318">
        <f t="shared" si="21"/>
        <v>5.5007509118214504E-3</v>
      </c>
      <c r="R63" s="2319"/>
      <c r="S63" s="2304">
        <v>4164</v>
      </c>
      <c r="T63" s="2321">
        <v>4163040</v>
      </c>
      <c r="U63" s="2319"/>
      <c r="V63" s="2304">
        <v>3761</v>
      </c>
      <c r="W63" s="2321">
        <v>3759880</v>
      </c>
      <c r="X63" s="2319"/>
      <c r="Y63" s="1845">
        <f t="shared" si="22"/>
        <v>3913</v>
      </c>
      <c r="Z63" s="1846">
        <f t="shared" si="22"/>
        <v>3899555.8</v>
      </c>
    </row>
    <row r="64" spans="1:26">
      <c r="F64" s="51"/>
      <c r="G64" s="2304">
        <v>4067</v>
      </c>
      <c r="H64" s="2320">
        <v>4042840</v>
      </c>
      <c r="I64" s="2318">
        <f t="shared" si="20"/>
        <v>5.9404966805999271E-3</v>
      </c>
      <c r="J64" s="2319"/>
      <c r="K64" s="2304">
        <v>4694</v>
      </c>
      <c r="L64" s="2320">
        <v>4669120</v>
      </c>
      <c r="M64" s="2318">
        <f t="shared" si="23"/>
        <v>5.3003834682573414E-3</v>
      </c>
      <c r="N64" s="2319"/>
      <c r="O64" s="2304">
        <v>4200</v>
      </c>
      <c r="P64" s="2320">
        <v>4175280</v>
      </c>
      <c r="Q64" s="2318">
        <f t="shared" si="21"/>
        <v>5.8857142857142719E-3</v>
      </c>
      <c r="R64" s="2319"/>
      <c r="S64" s="2304">
        <v>4362</v>
      </c>
      <c r="T64" s="2321">
        <v>4360880</v>
      </c>
      <c r="U64" s="2319"/>
      <c r="V64" s="2304">
        <v>4146</v>
      </c>
      <c r="W64" s="2321">
        <v>4144880</v>
      </c>
      <c r="X64" s="2319"/>
      <c r="Y64" s="1845">
        <f t="shared" si="22"/>
        <v>4293.8</v>
      </c>
      <c r="Z64" s="1846">
        <f t="shared" si="22"/>
        <v>4278600</v>
      </c>
    </row>
    <row r="65" spans="6:26">
      <c r="F65" s="51"/>
      <c r="G65" s="2304">
        <v>3435</v>
      </c>
      <c r="H65" s="2320">
        <v>3411000</v>
      </c>
      <c r="I65" s="2318">
        <f t="shared" si="20"/>
        <v>6.9868995633187714E-3</v>
      </c>
      <c r="J65" s="2319"/>
      <c r="K65" s="2304">
        <v>3881</v>
      </c>
      <c r="L65" s="2320">
        <v>3857160</v>
      </c>
      <c r="M65" s="2318">
        <f t="shared" si="23"/>
        <v>6.1427467147642245E-3</v>
      </c>
      <c r="N65" s="2319"/>
      <c r="O65" s="2304">
        <v>3766</v>
      </c>
      <c r="P65" s="2320">
        <v>3741744</v>
      </c>
      <c r="Q65" s="2318">
        <f t="shared" si="21"/>
        <v>6.4407859798194522E-3</v>
      </c>
      <c r="R65" s="2319"/>
      <c r="S65" s="2304">
        <v>3513</v>
      </c>
      <c r="T65" s="2321">
        <v>3511880</v>
      </c>
      <c r="U65" s="2319"/>
      <c r="V65" s="2304">
        <v>4010</v>
      </c>
      <c r="W65" s="2321">
        <v>4009040</v>
      </c>
      <c r="X65" s="2319"/>
      <c r="Y65" s="1845">
        <f t="shared" si="22"/>
        <v>3721</v>
      </c>
      <c r="Z65" s="1846">
        <f t="shared" si="22"/>
        <v>3706164.8</v>
      </c>
    </row>
    <row r="66" spans="6:26">
      <c r="F66" s="51"/>
      <c r="G66" s="2304">
        <v>3116</v>
      </c>
      <c r="H66" s="2320">
        <v>3092033</v>
      </c>
      <c r="I66" s="2318">
        <f t="shared" si="20"/>
        <v>7.6915917843388693E-3</v>
      </c>
      <c r="J66" s="2319"/>
      <c r="K66" s="2304">
        <v>3070</v>
      </c>
      <c r="L66" s="2320">
        <v>3046100</v>
      </c>
      <c r="M66" s="2318">
        <f t="shared" si="23"/>
        <v>7.7850162866449635E-3</v>
      </c>
      <c r="N66" s="2319"/>
      <c r="O66" s="2304">
        <v>2826</v>
      </c>
      <c r="P66" s="2320">
        <v>2801816</v>
      </c>
      <c r="Q66" s="2318">
        <f t="shared" si="21"/>
        <v>8.5576786978061037E-3</v>
      </c>
      <c r="R66" s="2319"/>
      <c r="S66" s="2304">
        <v>2442</v>
      </c>
      <c r="T66" s="2321">
        <v>2440880</v>
      </c>
      <c r="U66" s="2319"/>
      <c r="V66" s="2304">
        <v>3195</v>
      </c>
      <c r="W66" s="2321">
        <v>3193880</v>
      </c>
      <c r="X66" s="2319"/>
      <c r="Y66" s="1845">
        <f t="shared" si="22"/>
        <v>2929.8</v>
      </c>
      <c r="Z66" s="1846">
        <f t="shared" si="22"/>
        <v>2914941.8</v>
      </c>
    </row>
    <row r="67" spans="6:26">
      <c r="F67" s="51"/>
      <c r="G67" s="2304">
        <v>1892</v>
      </c>
      <c r="H67" s="2320">
        <v>1870000</v>
      </c>
      <c r="I67" s="2318">
        <f t="shared" si="20"/>
        <v>1.1627906976744207E-2</v>
      </c>
      <c r="J67" s="2319"/>
      <c r="K67" s="2304">
        <v>2169</v>
      </c>
      <c r="L67" s="2320">
        <v>2146280</v>
      </c>
      <c r="M67" s="2318">
        <f t="shared" si="23"/>
        <v>1.047487321346241E-2</v>
      </c>
      <c r="N67" s="2319"/>
      <c r="O67" s="2304">
        <v>2134</v>
      </c>
      <c r="P67" s="2320">
        <v>2111440</v>
      </c>
      <c r="Q67" s="2318">
        <f t="shared" si="21"/>
        <v>1.057169634489219E-2</v>
      </c>
      <c r="R67" s="2319"/>
      <c r="S67" s="2304">
        <v>2063</v>
      </c>
      <c r="T67" s="2321">
        <v>2062040</v>
      </c>
      <c r="U67" s="2319"/>
      <c r="V67" s="2304">
        <v>1814</v>
      </c>
      <c r="W67" s="2321">
        <v>1812880</v>
      </c>
      <c r="X67" s="2319"/>
      <c r="Y67" s="1845">
        <f t="shared" si="22"/>
        <v>2014.4</v>
      </c>
      <c r="Z67" s="1846">
        <f t="shared" si="22"/>
        <v>2000528</v>
      </c>
    </row>
    <row r="68" spans="6:26">
      <c r="F68" s="51"/>
      <c r="G68" s="2304">
        <v>1503</v>
      </c>
      <c r="H68" s="2320">
        <v>1480275</v>
      </c>
      <c r="I68" s="2318">
        <f t="shared" si="20"/>
        <v>1.5119760479041955E-2</v>
      </c>
      <c r="J68" s="2319"/>
      <c r="K68" s="2304">
        <v>1394</v>
      </c>
      <c r="L68" s="2320">
        <v>1377467</v>
      </c>
      <c r="M68" s="2318">
        <f t="shared" si="23"/>
        <v>1.1860114777618391E-2</v>
      </c>
      <c r="N68" s="2319"/>
      <c r="O68" s="2304">
        <v>1677</v>
      </c>
      <c r="P68" s="2320">
        <v>1657465</v>
      </c>
      <c r="Q68" s="2318">
        <f t="shared" si="21"/>
        <v>1.1648777579010172E-2</v>
      </c>
      <c r="R68" s="2319"/>
      <c r="S68" s="2304">
        <v>829</v>
      </c>
      <c r="T68" s="2321">
        <v>827880</v>
      </c>
      <c r="U68" s="2319"/>
      <c r="V68" s="2304">
        <v>1204</v>
      </c>
      <c r="W68" s="2321">
        <v>1203040</v>
      </c>
      <c r="X68" s="2319"/>
      <c r="Y68" s="1845">
        <f t="shared" si="22"/>
        <v>1321.4</v>
      </c>
      <c r="Z68" s="1846">
        <f t="shared" si="22"/>
        <v>1309225.3999999999</v>
      </c>
    </row>
    <row r="69" spans="6:26">
      <c r="F69" s="51"/>
      <c r="G69" s="2322"/>
      <c r="H69" s="1851"/>
      <c r="I69" s="1844"/>
      <c r="J69" s="1852"/>
      <c r="K69" s="2322"/>
      <c r="L69" s="1851"/>
      <c r="M69" s="1844"/>
      <c r="N69" s="1852"/>
      <c r="O69" s="2322"/>
      <c r="P69" s="1851"/>
      <c r="Q69" s="1844"/>
      <c r="R69" s="1852"/>
      <c r="S69" s="2322"/>
      <c r="T69" s="1846"/>
      <c r="U69" s="1852"/>
      <c r="V69" s="2322"/>
      <c r="W69" s="1846"/>
      <c r="X69" s="1852"/>
      <c r="Y69" s="1843"/>
      <c r="Z69" s="1844"/>
    </row>
    <row r="70" spans="6:26">
      <c r="F70" s="51"/>
      <c r="G70" s="2322"/>
      <c r="H70" s="1851"/>
      <c r="I70" s="1844"/>
      <c r="J70" s="1852"/>
      <c r="K70" s="2322"/>
      <c r="L70" s="1851"/>
      <c r="M70" s="1844"/>
      <c r="N70" s="1852"/>
      <c r="O70" s="2322"/>
      <c r="P70" s="1851"/>
      <c r="Q70" s="1844"/>
      <c r="R70" s="1852"/>
      <c r="S70" s="2322"/>
      <c r="T70" s="1846"/>
      <c r="U70" s="1852"/>
      <c r="V70" s="2322"/>
      <c r="W70" s="1846"/>
      <c r="X70" s="1852"/>
      <c r="Y70" s="1843"/>
      <c r="Z70" s="1844"/>
    </row>
    <row r="71" spans="6:26">
      <c r="F71" s="51"/>
      <c r="G71" s="2322"/>
      <c r="H71" s="1851"/>
      <c r="I71" s="1844"/>
      <c r="J71" s="1852"/>
      <c r="K71" s="2322"/>
      <c r="L71" s="1851"/>
      <c r="M71" s="1844"/>
      <c r="N71" s="1852"/>
      <c r="O71" s="2322"/>
      <c r="P71" s="1851"/>
      <c r="Q71" s="1844"/>
      <c r="R71" s="1852"/>
      <c r="S71" s="2322"/>
      <c r="T71" s="1846"/>
      <c r="U71" s="1852"/>
      <c r="V71" s="2322"/>
      <c r="W71" s="1846"/>
      <c r="X71" s="1852"/>
      <c r="Y71" s="1843"/>
      <c r="Z71" s="1844"/>
    </row>
    <row r="72" spans="6:26" ht="16.5" thickBot="1">
      <c r="F72" s="51"/>
      <c r="G72" s="2313">
        <f>SUM(G59:G70)</f>
        <v>21920</v>
      </c>
      <c r="H72" s="2323">
        <f>SUM(H59:H70)</f>
        <v>21750539</v>
      </c>
      <c r="I72" s="2324">
        <f>1-(H72/(G72*1000))</f>
        <v>7.7308850364963266E-3</v>
      </c>
      <c r="J72" s="2319"/>
      <c r="K72" s="2313">
        <f>SUM(K59:K70)</f>
        <v>19510</v>
      </c>
      <c r="L72" s="2323">
        <f>SUM(L59:L70)</f>
        <v>19372873</v>
      </c>
      <c r="M72" s="2324">
        <f>1-(L72/(K72*1000))</f>
        <v>7.0285494618144151E-3</v>
      </c>
      <c r="N72" s="2319"/>
      <c r="O72" s="2313">
        <f>SUM(O59:O70)</f>
        <v>23702</v>
      </c>
      <c r="P72" s="2323">
        <f>SUM(P59:P70)</f>
        <v>23532482</v>
      </c>
      <c r="Q72" s="2324">
        <f>1-(P72/(O72*1000))</f>
        <v>7.1520546789300976E-3</v>
      </c>
      <c r="R72" s="2319"/>
      <c r="S72" s="2313">
        <f>SUM(S59:S70)</f>
        <v>20700</v>
      </c>
      <c r="T72" s="2314">
        <f>SUM(T59:T70)</f>
        <v>20692480</v>
      </c>
      <c r="U72" s="2319"/>
      <c r="V72" s="2313">
        <f>SUM(V59:V70)</f>
        <v>22746</v>
      </c>
      <c r="W72" s="2314">
        <f>SUM(W59:W70)</f>
        <v>22737520</v>
      </c>
      <c r="X72" s="2319"/>
      <c r="Y72" s="2313">
        <f>SUM(Y61:Y71)</f>
        <v>21715.600000000002</v>
      </c>
      <c r="Z72" s="2314">
        <f>SUM(Z61:Z71)</f>
        <v>21617178.800000001</v>
      </c>
    </row>
    <row r="74" spans="6:26">
      <c r="F74" s="1853" t="s">
        <v>2713</v>
      </c>
      <c r="G74" s="1853"/>
      <c r="H74" s="1853"/>
    </row>
    <row r="75" spans="6:26">
      <c r="F75" s="1853"/>
      <c r="G75" s="1854" t="s">
        <v>2714</v>
      </c>
      <c r="H75" s="1855"/>
    </row>
    <row r="76" spans="6:26">
      <c r="F76" s="1853"/>
      <c r="G76" s="1856">
        <v>2005</v>
      </c>
      <c r="H76" s="2325">
        <v>2.63</v>
      </c>
    </row>
    <row r="77" spans="6:26">
      <c r="F77" s="1853"/>
      <c r="G77" s="1856">
        <v>2006</v>
      </c>
      <c r="H77" s="2325">
        <v>2.63</v>
      </c>
    </row>
    <row r="78" spans="6:26">
      <c r="F78" s="1853"/>
      <c r="G78" s="1856">
        <v>2007</v>
      </c>
      <c r="H78" s="2325">
        <v>668486.63</v>
      </c>
    </row>
    <row r="79" spans="6:26">
      <c r="F79" s="1853"/>
      <c r="G79" s="1856">
        <v>2008</v>
      </c>
      <c r="H79" s="2325">
        <v>666895.09</v>
      </c>
    </row>
    <row r="80" spans="6:26">
      <c r="F80" s="1853"/>
      <c r="G80" s="1856">
        <v>2009</v>
      </c>
      <c r="H80" s="2325">
        <v>695378.31</v>
      </c>
    </row>
    <row r="81" spans="1:23">
      <c r="F81" s="1853"/>
      <c r="G81" s="1856">
        <v>2010</v>
      </c>
      <c r="H81" s="2325">
        <v>734915.58</v>
      </c>
    </row>
    <row r="82" spans="1:23">
      <c r="F82" s="1853"/>
      <c r="G82" s="1856">
        <v>2011</v>
      </c>
      <c r="H82" s="2325">
        <v>669904.06000000006</v>
      </c>
    </row>
    <row r="83" spans="1:23">
      <c r="F83" s="1853"/>
      <c r="G83" s="1856">
        <v>2012</v>
      </c>
      <c r="H83" s="2325">
        <v>723427</v>
      </c>
    </row>
    <row r="84" spans="1:23">
      <c r="F84" s="1853"/>
      <c r="G84" s="1856">
        <v>2013</v>
      </c>
      <c r="H84" s="2325">
        <v>839048</v>
      </c>
    </row>
    <row r="85" spans="1:23" s="3094" customFormat="1">
      <c r="A85" s="196"/>
      <c r="B85" s="20"/>
      <c r="F85" s="1853"/>
      <c r="G85" s="1856">
        <v>2014</v>
      </c>
      <c r="H85" s="2325">
        <v>1070843</v>
      </c>
    </row>
    <row r="86" spans="1:23">
      <c r="F86" s="1853"/>
      <c r="G86" s="1855" t="s">
        <v>2715</v>
      </c>
      <c r="H86" s="2326">
        <f>AVERAGE(H81:H85)</f>
        <v>807627.52800000005</v>
      </c>
    </row>
    <row r="88" spans="1:23">
      <c r="D88" s="86"/>
      <c r="E88" s="86"/>
      <c r="F88" s="86"/>
      <c r="G88" s="1857">
        <v>2014</v>
      </c>
      <c r="H88" s="1858">
        <v>2015</v>
      </c>
      <c r="I88" s="1857">
        <v>2016</v>
      </c>
      <c r="J88" s="1858">
        <v>2017</v>
      </c>
      <c r="K88" s="1857">
        <v>2018</v>
      </c>
      <c r="L88" s="1857">
        <f>K88+1</f>
        <v>2019</v>
      </c>
      <c r="M88" s="1857">
        <f t="shared" ref="M88:W88" si="24">L88+1</f>
        <v>2020</v>
      </c>
      <c r="N88" s="1857">
        <f t="shared" si="24"/>
        <v>2021</v>
      </c>
      <c r="O88" s="1857">
        <f t="shared" si="24"/>
        <v>2022</v>
      </c>
      <c r="P88" s="1857">
        <f t="shared" si="24"/>
        <v>2023</v>
      </c>
      <c r="Q88" s="1857">
        <f t="shared" si="24"/>
        <v>2024</v>
      </c>
      <c r="R88" s="1857">
        <f t="shared" si="24"/>
        <v>2025</v>
      </c>
      <c r="S88" s="1857">
        <f t="shared" si="24"/>
        <v>2026</v>
      </c>
      <c r="T88" s="1857">
        <f t="shared" si="24"/>
        <v>2027</v>
      </c>
      <c r="U88" s="1857">
        <f t="shared" si="24"/>
        <v>2028</v>
      </c>
      <c r="V88" s="1857">
        <f t="shared" si="24"/>
        <v>2029</v>
      </c>
      <c r="W88" s="1857">
        <f t="shared" si="24"/>
        <v>2030</v>
      </c>
    </row>
    <row r="89" spans="1:23">
      <c r="D89" s="86"/>
      <c r="E89" s="1859" t="s">
        <v>2716</v>
      </c>
      <c r="F89" s="1859" t="s">
        <v>2717</v>
      </c>
      <c r="G89" s="2325">
        <v>421980</v>
      </c>
      <c r="H89" s="2325">
        <v>421980</v>
      </c>
      <c r="I89" s="2325">
        <v>421980</v>
      </c>
      <c r="J89" s="2325">
        <v>421980</v>
      </c>
      <c r="K89" s="2325">
        <v>421980</v>
      </c>
      <c r="L89" s="424">
        <f>K89</f>
        <v>421980</v>
      </c>
      <c r="M89" s="424">
        <f t="shared" ref="M89:W89" si="25">L89</f>
        <v>421980</v>
      </c>
      <c r="N89" s="424">
        <f t="shared" si="25"/>
        <v>421980</v>
      </c>
      <c r="O89" s="424">
        <f t="shared" si="25"/>
        <v>421980</v>
      </c>
      <c r="P89" s="424">
        <f t="shared" si="25"/>
        <v>421980</v>
      </c>
      <c r="Q89" s="424">
        <f t="shared" si="25"/>
        <v>421980</v>
      </c>
      <c r="R89" s="424">
        <f t="shared" si="25"/>
        <v>421980</v>
      </c>
      <c r="S89" s="424">
        <f t="shared" si="25"/>
        <v>421980</v>
      </c>
      <c r="T89" s="424">
        <f t="shared" si="25"/>
        <v>421980</v>
      </c>
      <c r="U89" s="424">
        <f t="shared" si="25"/>
        <v>421980</v>
      </c>
      <c r="V89" s="424">
        <f t="shared" si="25"/>
        <v>421980</v>
      </c>
      <c r="W89" s="424">
        <f t="shared" si="25"/>
        <v>421980</v>
      </c>
    </row>
    <row r="90" spans="1:23">
      <c r="D90" s="86"/>
      <c r="E90" s="1859" t="s">
        <v>2718</v>
      </c>
      <c r="F90" s="1859" t="s">
        <v>2719</v>
      </c>
      <c r="G90" s="2325">
        <v>423453</v>
      </c>
      <c r="H90" s="2325">
        <v>423453</v>
      </c>
      <c r="I90" s="2325">
        <v>423453</v>
      </c>
      <c r="J90" s="2325">
        <v>423453</v>
      </c>
      <c r="K90" s="2325">
        <v>423453</v>
      </c>
      <c r="L90" s="424">
        <f>K90</f>
        <v>423453</v>
      </c>
      <c r="M90" s="424">
        <f t="shared" ref="M90:W90" si="26">L90</f>
        <v>423453</v>
      </c>
      <c r="N90" s="424">
        <f t="shared" si="26"/>
        <v>423453</v>
      </c>
      <c r="O90" s="424">
        <f t="shared" si="26"/>
        <v>423453</v>
      </c>
      <c r="P90" s="424">
        <f t="shared" si="26"/>
        <v>423453</v>
      </c>
      <c r="Q90" s="424">
        <f t="shared" si="26"/>
        <v>423453</v>
      </c>
      <c r="R90" s="424">
        <f t="shared" si="26"/>
        <v>423453</v>
      </c>
      <c r="S90" s="424">
        <f t="shared" si="26"/>
        <v>423453</v>
      </c>
      <c r="T90" s="424">
        <f t="shared" si="26"/>
        <v>423453</v>
      </c>
      <c r="U90" s="424">
        <f t="shared" si="26"/>
        <v>423453</v>
      </c>
      <c r="V90" s="424">
        <f t="shared" si="26"/>
        <v>423453</v>
      </c>
      <c r="W90" s="424">
        <f t="shared" si="26"/>
        <v>423453</v>
      </c>
    </row>
    <row r="91" spans="1:23">
      <c r="D91" s="86"/>
      <c r="E91" s="1859"/>
      <c r="F91" s="1859" t="s">
        <v>2720</v>
      </c>
      <c r="G91" s="2325">
        <v>58093.345187111408</v>
      </c>
      <c r="H91" s="2325">
        <v>0</v>
      </c>
      <c r="I91" s="2325">
        <v>60938.80016165704</v>
      </c>
      <c r="J91" s="2325">
        <v>65671.114700231628</v>
      </c>
      <c r="K91" s="2325">
        <v>68049.837518092958</v>
      </c>
      <c r="L91" s="424">
        <f>K91*1.03</f>
        <v>70091.332643635746</v>
      </c>
      <c r="M91" s="424">
        <f t="shared" ref="M91:W91" si="27">L91*1.03</f>
        <v>72194.072622944819</v>
      </c>
      <c r="N91" s="424">
        <f t="shared" si="27"/>
        <v>74359.894801633171</v>
      </c>
      <c r="O91" s="424">
        <f t="shared" si="27"/>
        <v>76590.691645682164</v>
      </c>
      <c r="P91" s="424">
        <f t="shared" si="27"/>
        <v>78888.412395052626</v>
      </c>
      <c r="Q91" s="424">
        <f t="shared" si="27"/>
        <v>81255.064766904208</v>
      </c>
      <c r="R91" s="424">
        <f t="shared" si="27"/>
        <v>83692.716709911343</v>
      </c>
      <c r="S91" s="424">
        <f t="shared" si="27"/>
        <v>86203.498211208687</v>
      </c>
      <c r="T91" s="424">
        <f t="shared" si="27"/>
        <v>88789.603157544945</v>
      </c>
      <c r="U91" s="424">
        <f t="shared" si="27"/>
        <v>91453.291252271301</v>
      </c>
      <c r="V91" s="424">
        <f t="shared" si="27"/>
        <v>94196.889989839445</v>
      </c>
      <c r="W91" s="424">
        <f t="shared" si="27"/>
        <v>97022.796689534633</v>
      </c>
    </row>
    <row r="92" spans="1:23">
      <c r="D92" s="86"/>
      <c r="E92" s="1860"/>
      <c r="F92" s="1859" t="s">
        <v>2721</v>
      </c>
      <c r="G92" s="2325">
        <v>365059.09418904915</v>
      </c>
      <c r="H92" s="2325">
        <v>380060.98506550759</v>
      </c>
      <c r="I92" s="2325">
        <v>394089.35487164208</v>
      </c>
      <c r="J92" s="2325">
        <v>436851.07759320742</v>
      </c>
      <c r="K92" s="2325">
        <v>462253.98874891398</v>
      </c>
      <c r="L92" s="424">
        <f>K92*1.03</f>
        <v>476121.60841138143</v>
      </c>
      <c r="M92" s="424">
        <f t="shared" ref="M92:W92" si="28">L92*1.03</f>
        <v>490405.25666372286</v>
      </c>
      <c r="N92" s="424">
        <f t="shared" si="28"/>
        <v>505117.41436363454</v>
      </c>
      <c r="O92" s="424">
        <f t="shared" si="28"/>
        <v>520270.93679454358</v>
      </c>
      <c r="P92" s="424">
        <f t="shared" si="28"/>
        <v>535879.06489837985</v>
      </c>
      <c r="Q92" s="424">
        <f t="shared" si="28"/>
        <v>551955.43684533122</v>
      </c>
      <c r="R92" s="424">
        <f t="shared" si="28"/>
        <v>568514.09995069122</v>
      </c>
      <c r="S92" s="424">
        <f t="shared" si="28"/>
        <v>585569.522949212</v>
      </c>
      <c r="T92" s="424">
        <f t="shared" si="28"/>
        <v>603136.60863768833</v>
      </c>
      <c r="U92" s="424">
        <f t="shared" si="28"/>
        <v>621230.70689681894</v>
      </c>
      <c r="V92" s="424">
        <f t="shared" si="28"/>
        <v>639867.62810372352</v>
      </c>
      <c r="W92" s="424">
        <f t="shared" si="28"/>
        <v>659063.65694683522</v>
      </c>
    </row>
    <row r="93" spans="1:23">
      <c r="D93" s="86"/>
      <c r="E93" s="1860"/>
      <c r="F93" s="1861" t="s">
        <v>679</v>
      </c>
      <c r="G93" s="2325">
        <f t="shared" ref="G93:L93" si="29">SUM(G89:G92)</f>
        <v>1268585.4393761605</v>
      </c>
      <c r="H93" s="2325">
        <v>1225493.9850655077</v>
      </c>
      <c r="I93" s="2325">
        <v>1300461.1550332992</v>
      </c>
      <c r="J93" s="2325">
        <v>1347955.1922934391</v>
      </c>
      <c r="K93" s="2325">
        <v>1375736.8262670068</v>
      </c>
      <c r="L93" s="379">
        <f t="shared" si="29"/>
        <v>1391645.9410550173</v>
      </c>
      <c r="M93" s="379">
        <f t="shared" ref="M93:W93" si="30">SUM(M89:M92)</f>
        <v>1408032.3292866678</v>
      </c>
      <c r="N93" s="379">
        <f t="shared" si="30"/>
        <v>1424910.3091652677</v>
      </c>
      <c r="O93" s="379">
        <f t="shared" si="30"/>
        <v>1442294.6284402257</v>
      </c>
      <c r="P93" s="379">
        <f t="shared" si="30"/>
        <v>1460200.4772934325</v>
      </c>
      <c r="Q93" s="379">
        <f t="shared" si="30"/>
        <v>1478643.5016122353</v>
      </c>
      <c r="R93" s="379">
        <f t="shared" si="30"/>
        <v>1497639.8166606026</v>
      </c>
      <c r="S93" s="379">
        <f t="shared" si="30"/>
        <v>1517206.0211604207</v>
      </c>
      <c r="T93" s="379">
        <f t="shared" si="30"/>
        <v>1537359.2117952332</v>
      </c>
      <c r="U93" s="379">
        <f t="shared" si="30"/>
        <v>1558116.9981490902</v>
      </c>
      <c r="V93" s="379">
        <f t="shared" si="30"/>
        <v>1579497.5180935629</v>
      </c>
      <c r="W93" s="379">
        <f t="shared" si="30"/>
        <v>1601519.4536363699</v>
      </c>
    </row>
    <row r="94" spans="1:23">
      <c r="G94" s="1881"/>
    </row>
  </sheetData>
  <printOptions horizontalCentered="1"/>
  <pageMargins left="0.5" right="0.5" top="0.5" bottom="0.5" header="0.5" footer="0.25"/>
  <pageSetup scale="22" fitToHeight="0" orientation="landscape" r:id="rId1"/>
  <headerFooter alignWithMargins="0">
    <oddFooter>&amp;L&amp;"Times New Roman,Bold Italic"&amp;F: &amp;A&amp;C&amp;"Times New Roman,Bold Italic"Date: &amp;D&amp;R&amp;"Times New Roman,Bold Italic"Page: &amp;P of &amp;N</oddFooter>
  </headerFooter>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249977111117893"/>
    <pageSetUpPr fitToPage="1"/>
  </sheetPr>
  <dimension ref="A1:AK1144"/>
  <sheetViews>
    <sheetView showGridLines="0" zoomScale="55" zoomScaleNormal="55" workbookViewId="0">
      <pane xSplit="5" ySplit="6" topLeftCell="I7" activePane="bottomRight" state="frozen"/>
      <selection pane="topRight" activeCell="F1" sqref="F1"/>
      <selection pane="bottomLeft" activeCell="A7" sqref="A7"/>
      <selection pane="bottomRight" activeCell="AG1114" sqref="AG1114"/>
    </sheetView>
  </sheetViews>
  <sheetFormatPr defaultRowHeight="15.75" zeroHeight="1"/>
  <cols>
    <col min="1" max="1" width="22.5" style="2" customWidth="1"/>
    <col min="2" max="2" width="2.625" style="2" customWidth="1"/>
    <col min="3" max="3" width="6.75" style="11" bestFit="1" customWidth="1"/>
    <col min="4" max="4" width="15.75" style="11" customWidth="1"/>
    <col min="5" max="5" width="45.125" style="11" bestFit="1" customWidth="1"/>
    <col min="6" max="7" width="16.75" style="11" customWidth="1"/>
    <col min="8" max="8" width="17.125" style="11" customWidth="1"/>
    <col min="9" max="23" width="17.125" style="11" bestFit="1" customWidth="1"/>
    <col min="24" max="24" width="2.625" style="2" customWidth="1"/>
    <col min="25" max="25" width="12.875" style="2" bestFit="1" customWidth="1"/>
    <col min="26" max="26" width="2.625" style="2" customWidth="1"/>
    <col min="27" max="36" width="8.625" style="2" customWidth="1"/>
    <col min="37" max="37" width="11.75" style="2" bestFit="1" customWidth="1"/>
    <col min="38" max="39" width="8.625" style="2" customWidth="1"/>
    <col min="40" max="16384" width="9" style="2"/>
  </cols>
  <sheetData>
    <row r="1" spans="1:26" ht="22.5">
      <c r="A1" s="411"/>
      <c r="C1" s="4343" t="s">
        <v>396</v>
      </c>
      <c r="D1" s="4343"/>
      <c r="E1" s="4343"/>
      <c r="F1" s="4343"/>
      <c r="G1" s="4343"/>
      <c r="H1" s="4343"/>
      <c r="I1" s="4343"/>
      <c r="J1" s="4343"/>
      <c r="K1" s="4343"/>
      <c r="L1" s="724"/>
      <c r="M1" s="724"/>
      <c r="N1" s="724"/>
      <c r="O1" s="724"/>
      <c r="P1" s="724"/>
      <c r="Q1" s="724"/>
      <c r="R1" s="724"/>
      <c r="S1" s="724"/>
      <c r="T1" s="724"/>
      <c r="U1" s="724"/>
      <c r="V1" s="724"/>
      <c r="W1" s="724"/>
    </row>
    <row r="2" spans="1:26" ht="22.5">
      <c r="A2" s="411"/>
      <c r="B2"/>
      <c r="C2" s="4343" t="str">
        <f>Client</f>
        <v>Grant County Public Utility District</v>
      </c>
      <c r="D2" s="4343"/>
      <c r="E2" s="4343"/>
      <c r="F2" s="4343"/>
      <c r="G2" s="4343"/>
      <c r="H2" s="4343"/>
      <c r="I2" s="4343"/>
      <c r="J2" s="4343"/>
      <c r="K2" s="4343"/>
      <c r="L2" s="724"/>
      <c r="M2" s="724"/>
      <c r="N2" s="724"/>
      <c r="O2" s="724"/>
      <c r="P2" s="724"/>
      <c r="Q2" s="724"/>
      <c r="R2" s="724"/>
      <c r="S2" s="724"/>
      <c r="T2" s="724"/>
      <c r="U2" s="724"/>
      <c r="V2" s="724"/>
      <c r="W2" s="724"/>
    </row>
    <row r="3" spans="1:26" ht="22.5">
      <c r="A3" s="411"/>
      <c r="B3"/>
      <c r="C3" s="4343" t="s">
        <v>678</v>
      </c>
      <c r="D3" s="4343"/>
      <c r="E3" s="4343"/>
      <c r="F3" s="4343"/>
      <c r="G3" s="4343"/>
      <c r="H3" s="4343"/>
      <c r="I3" s="4343"/>
      <c r="J3" s="4343"/>
      <c r="K3" s="4343"/>
      <c r="L3" s="724"/>
      <c r="M3" s="724"/>
      <c r="N3" s="724"/>
      <c r="O3" s="724"/>
      <c r="P3" s="724"/>
      <c r="Q3" s="724"/>
      <c r="R3" s="724"/>
      <c r="S3" s="724"/>
      <c r="T3" s="724"/>
      <c r="U3" s="724"/>
      <c r="V3" s="724"/>
      <c r="W3" s="724"/>
      <c r="X3" s="56"/>
      <c r="Y3" s="56"/>
    </row>
    <row r="4" spans="1:26">
      <c r="A4" s="411"/>
      <c r="C4" s="420"/>
      <c r="D4" s="206"/>
      <c r="F4" s="13"/>
      <c r="G4" s="13"/>
      <c r="H4" s="13"/>
      <c r="I4" s="13"/>
      <c r="J4" s="13"/>
      <c r="K4" s="13"/>
      <c r="L4" s="13"/>
      <c r="M4" s="13"/>
      <c r="N4" s="13"/>
      <c r="O4" s="13"/>
      <c r="P4" s="13"/>
      <c r="Q4" s="13"/>
      <c r="R4" s="13"/>
      <c r="S4" s="13"/>
      <c r="T4" s="13"/>
      <c r="U4" s="13"/>
      <c r="V4" s="13"/>
      <c r="W4" s="13"/>
    </row>
    <row r="5" spans="1:26" ht="16.5" thickBot="1">
      <c r="A5" s="411"/>
      <c r="C5" s="4413" t="s">
        <v>867</v>
      </c>
      <c r="D5" s="4414" t="s">
        <v>875</v>
      </c>
      <c r="E5" s="419"/>
      <c r="F5" s="161" t="s">
        <v>882</v>
      </c>
      <c r="G5" s="422"/>
      <c r="H5" s="422"/>
      <c r="I5" s="422"/>
      <c r="J5" s="422"/>
      <c r="K5" s="422"/>
      <c r="L5" s="130"/>
      <c r="M5" s="130"/>
      <c r="N5" s="130"/>
      <c r="O5" s="130"/>
      <c r="P5" s="130"/>
      <c r="Q5" s="130"/>
      <c r="R5" s="130"/>
      <c r="S5" s="130"/>
      <c r="T5" s="130"/>
      <c r="U5" s="130"/>
      <c r="V5" s="130"/>
      <c r="W5" s="130"/>
    </row>
    <row r="6" spans="1:26" ht="18.75" customHeight="1" thickTop="1">
      <c r="A6" s="411"/>
      <c r="C6" s="4413" t="str">
        <f>+'O&amp;M_Summ'!C5</f>
        <v>Line</v>
      </c>
      <c r="D6" s="4414"/>
      <c r="E6" s="418" t="s">
        <v>876</v>
      </c>
      <c r="F6" s="153">
        <f>G6-1</f>
        <v>2009</v>
      </c>
      <c r="G6" s="153">
        <f>H6-1</f>
        <v>2010</v>
      </c>
      <c r="H6" s="153">
        <f>I6-1</f>
        <v>2011</v>
      </c>
      <c r="I6" s="153">
        <f>J6-1</f>
        <v>2012</v>
      </c>
      <c r="J6" s="153">
        <f>Dashboard!F$7</f>
        <v>2013</v>
      </c>
      <c r="K6" s="153">
        <f>Dashboard!G$7</f>
        <v>2014</v>
      </c>
      <c r="L6" s="153">
        <f>Dashboard!H$7</f>
        <v>2015</v>
      </c>
      <c r="M6" s="153">
        <f>Dashboard!I$7</f>
        <v>2016</v>
      </c>
      <c r="N6" s="153">
        <f>Dashboard!J$7</f>
        <v>2017</v>
      </c>
      <c r="O6" s="153">
        <f>Dashboard!K$7</f>
        <v>2018</v>
      </c>
      <c r="P6" s="153">
        <f>Dashboard!L$7</f>
        <v>2019</v>
      </c>
      <c r="Q6" s="153">
        <f>Dashboard!M$7</f>
        <v>2020</v>
      </c>
      <c r="R6" s="153">
        <f>Dashboard!N$7</f>
        <v>2021</v>
      </c>
      <c r="S6" s="153">
        <f>Dashboard!O$7</f>
        <v>2022</v>
      </c>
      <c r="T6" s="153">
        <f>Dashboard!P$7</f>
        <v>2023</v>
      </c>
      <c r="U6" s="153">
        <f>Dashboard!Q$7</f>
        <v>2024</v>
      </c>
      <c r="V6" s="153">
        <f>Dashboard!R$7</f>
        <v>2025</v>
      </c>
      <c r="W6" s="153">
        <f>Dashboard!S$7</f>
        <v>2026</v>
      </c>
      <c r="X6" s="4"/>
      <c r="Y6" s="286" t="s">
        <v>611</v>
      </c>
    </row>
    <row r="7" spans="1:26" ht="16.5" thickBot="1">
      <c r="A7" s="411"/>
      <c r="D7" s="120"/>
      <c r="E7" s="120"/>
      <c r="F7" s="10" t="s">
        <v>555</v>
      </c>
      <c r="G7" s="10" t="s">
        <v>555</v>
      </c>
      <c r="H7" s="10" t="s">
        <v>555</v>
      </c>
      <c r="I7" s="10" t="s">
        <v>555</v>
      </c>
      <c r="J7" s="10" t="s">
        <v>555</v>
      </c>
      <c r="K7" s="10" t="s">
        <v>555</v>
      </c>
      <c r="L7" s="10" t="s">
        <v>555</v>
      </c>
      <c r="M7" s="10" t="s">
        <v>562</v>
      </c>
      <c r="N7" s="10" t="s">
        <v>562</v>
      </c>
      <c r="O7" s="10" t="s">
        <v>562</v>
      </c>
      <c r="P7" s="10" t="s">
        <v>562</v>
      </c>
      <c r="Q7" s="10" t="s">
        <v>562</v>
      </c>
      <c r="R7" s="10" t="s">
        <v>562</v>
      </c>
      <c r="S7" s="10" t="s">
        <v>562</v>
      </c>
      <c r="T7" s="10" t="s">
        <v>562</v>
      </c>
      <c r="U7" s="10" t="s">
        <v>562</v>
      </c>
      <c r="V7" s="10" t="s">
        <v>562</v>
      </c>
      <c r="W7" s="10" t="s">
        <v>562</v>
      </c>
      <c r="X7" s="11"/>
      <c r="Y7" s="115">
        <v>0</v>
      </c>
      <c r="Z7" s="13"/>
    </row>
    <row r="8" spans="1:26" ht="17.25" customHeight="1" thickTop="1">
      <c r="A8" s="411"/>
      <c r="D8" s="282" t="s">
        <v>877</v>
      </c>
      <c r="E8" s="120"/>
      <c r="F8" s="235"/>
      <c r="X8" s="11"/>
      <c r="Y8" s="13"/>
      <c r="Z8" s="13"/>
    </row>
    <row r="9" spans="1:26" ht="17.25" customHeight="1">
      <c r="A9" s="411"/>
      <c r="C9" s="236">
        <v>1</v>
      </c>
      <c r="D9" s="237">
        <f>'O&amp;M_Detail - Elec'!D9</f>
        <v>555010</v>
      </c>
      <c r="E9" s="112" t="str">
        <f>'O&amp;M_Detail - Elec'!E9</f>
        <v>PURC POWER, BPA</v>
      </c>
      <c r="F9" s="16">
        <f>'O&amp;M_Detail - Elec'!I9</f>
        <v>37204238</v>
      </c>
      <c r="G9" s="16">
        <f>'O&amp;M_Detail - Elec'!J9</f>
        <v>40438561.270000003</v>
      </c>
      <c r="H9" s="16">
        <f>'O&amp;M_Detail - Elec'!K9</f>
        <v>30360109</v>
      </c>
      <c r="I9" s="16">
        <f>'O&amp;M_Detail - Elec'!L9</f>
        <v>115446</v>
      </c>
      <c r="J9" s="16">
        <f>'O&amp;M_Detail - Elec'!M9</f>
        <v>193335</v>
      </c>
      <c r="K9" s="16">
        <f>'O&amp;M_Detail - Elec'!N9</f>
        <v>265099</v>
      </c>
      <c r="L9" s="16">
        <f>'O&amp;M_Detail - Elec'!O9</f>
        <v>234998</v>
      </c>
      <c r="M9" s="16">
        <f>'O&amp;M_Detail - Elec'!P9</f>
        <v>380548</v>
      </c>
      <c r="N9" s="16">
        <f>'O&amp;M_Detail - Elec'!Q9</f>
        <v>381095.78080000007</v>
      </c>
      <c r="O9" s="16">
        <f>'O&amp;M_Detail - Elec'!R9</f>
        <v>451643.34248768003</v>
      </c>
      <c r="P9" s="16">
        <f>'O&amp;M_Detail - Elec'!S9</f>
        <v>794143.01386301382</v>
      </c>
      <c r="Q9" s="16">
        <f>'O&amp;M_Detail - Elec'!T9</f>
        <v>1892800</v>
      </c>
      <c r="R9" s="16">
        <f>'O&amp;M_Detail - Elec'!U9</f>
        <v>1892800</v>
      </c>
      <c r="S9" s="16">
        <f>'O&amp;M_Detail - Elec'!V9</f>
        <v>1968512</v>
      </c>
      <c r="T9" s="16">
        <f>'O&amp;M_Detail - Elec'!W9</f>
        <v>1968512</v>
      </c>
      <c r="U9" s="16">
        <f>'O&amp;M_Detail - Elec'!X9</f>
        <v>2047252.48</v>
      </c>
      <c r="V9" s="16">
        <f>'O&amp;M_Detail - Elec'!Y9</f>
        <v>2047252.48</v>
      </c>
      <c r="W9" s="16">
        <f>'O&amp;M_Detail - Elec'!Z9</f>
        <v>2129142.5792</v>
      </c>
      <c r="X9" s="11"/>
      <c r="Y9" s="13"/>
      <c r="Z9" s="13"/>
    </row>
    <row r="10" spans="1:26" ht="17.25" customHeight="1">
      <c r="A10" s="411"/>
      <c r="C10" s="236">
        <f>+MAX($C$9:C9)+1</f>
        <v>2</v>
      </c>
      <c r="D10" s="237">
        <f>'O&amp;M_Detail - Elec'!D10</f>
        <v>555000</v>
      </c>
      <c r="E10" s="112" t="str">
        <f>'O&amp;M_Detail - Elec'!E10</f>
        <v>PURC POWER</v>
      </c>
      <c r="F10" s="16">
        <f>'O&amp;M_Detail - Elec'!I10</f>
        <v>0</v>
      </c>
      <c r="G10" s="16">
        <f>'O&amp;M_Detail - Elec'!J10</f>
        <v>0</v>
      </c>
      <c r="H10" s="16">
        <f>'O&amp;M_Detail - Elec'!K10</f>
        <v>0</v>
      </c>
      <c r="I10" s="16">
        <f>'O&amp;M_Detail - Elec'!L10</f>
        <v>0</v>
      </c>
      <c r="J10" s="16">
        <f>'O&amp;M_Detail - Elec'!M10</f>
        <v>0</v>
      </c>
      <c r="K10" s="16">
        <f>'O&amp;M_Detail - Elec'!N10</f>
        <v>0</v>
      </c>
      <c r="L10" s="16">
        <f>'O&amp;M_Detail - Elec'!O10</f>
        <v>0</v>
      </c>
      <c r="M10" s="16">
        <f>'O&amp;M_Detail - Elec'!P10</f>
        <v>0</v>
      </c>
      <c r="N10" s="16">
        <f>'O&amp;M_Detail - Elec'!Q10</f>
        <v>0</v>
      </c>
      <c r="O10" s="16">
        <f>'O&amp;M_Detail - Elec'!R10</f>
        <v>0</v>
      </c>
      <c r="P10" s="16">
        <f>'O&amp;M_Detail - Elec'!S10</f>
        <v>0</v>
      </c>
      <c r="Q10" s="16">
        <f>'O&amp;M_Detail - Elec'!T10</f>
        <v>0</v>
      </c>
      <c r="R10" s="16">
        <f>'O&amp;M_Detail - Elec'!U10</f>
        <v>0</v>
      </c>
      <c r="S10" s="16">
        <f>'O&amp;M_Detail - Elec'!V10</f>
        <v>0</v>
      </c>
      <c r="T10" s="16">
        <f>'O&amp;M_Detail - Elec'!W10</f>
        <v>0</v>
      </c>
      <c r="U10" s="16">
        <f>'O&amp;M_Detail - Elec'!X10</f>
        <v>0</v>
      </c>
      <c r="V10" s="16">
        <f>'O&amp;M_Detail - Elec'!Y10</f>
        <v>0</v>
      </c>
      <c r="W10" s="16">
        <f>'O&amp;M_Detail - Elec'!Z10</f>
        <v>0</v>
      </c>
      <c r="X10" s="11"/>
      <c r="Y10" s="13"/>
      <c r="Z10" s="13"/>
    </row>
    <row r="11" spans="1:26" ht="17.25" customHeight="1">
      <c r="A11" s="411"/>
      <c r="C11" s="236">
        <f>+MAX($C$9:C10)+1</f>
        <v>3</v>
      </c>
      <c r="D11" s="237">
        <f>'O&amp;M_Detail - Elec'!D11</f>
        <v>555020</v>
      </c>
      <c r="E11" s="112" t="str">
        <f>'O&amp;M_Detail - Elec'!E11</f>
        <v>PURC POWER, PR</v>
      </c>
      <c r="F11" s="16">
        <f>'O&amp;M_Detail - Elec'!I11</f>
        <v>38968285.659999996</v>
      </c>
      <c r="G11" s="16">
        <f>'O&amp;M_Detail - Elec'!J11</f>
        <v>67342847.040000007</v>
      </c>
      <c r="H11" s="16">
        <f>'O&amp;M_Detail - Elec'!K11</f>
        <v>87177732.120000005</v>
      </c>
      <c r="I11" s="16">
        <f>'O&amp;M_Detail - Elec'!L11</f>
        <v>82984562.430000007</v>
      </c>
      <c r="J11" s="16">
        <f>'O&amp;M_Detail - Elec'!M11</f>
        <v>90265419.799999997</v>
      </c>
      <c r="K11" s="16">
        <f>'O&amp;M_Detail - Elec'!N11</f>
        <v>107261620.67</v>
      </c>
      <c r="L11" s="16">
        <f>'O&amp;M_Detail - Elec'!O11</f>
        <v>115383956.84999999</v>
      </c>
      <c r="M11" s="16">
        <f>'O&amp;M_Detail - Elec'!P11</f>
        <v>114823135.93920723</v>
      </c>
      <c r="N11" s="16">
        <f>'O&amp;M_Detail - Elec'!Q11</f>
        <v>116671199.562686</v>
      </c>
      <c r="O11" s="16">
        <f>'O&amp;M_Detail - Elec'!R11</f>
        <v>127279625.13555317</v>
      </c>
      <c r="P11" s="16">
        <f>'O&amp;M_Detail - Elec'!S11</f>
        <v>134049266.69362669</v>
      </c>
      <c r="Q11" s="16">
        <f>'O&amp;M_Detail - Elec'!T11</f>
        <v>144612218.08112264</v>
      </c>
      <c r="R11" s="16">
        <f>'O&amp;M_Detail - Elec'!U11</f>
        <v>156519110.80220935</v>
      </c>
      <c r="S11" s="16">
        <f>'O&amp;M_Detail - Elec'!V11</f>
        <v>155347812.82198545</v>
      </c>
      <c r="T11" s="16">
        <f>'O&amp;M_Detail - Elec'!W11</f>
        <v>166619928.29523996</v>
      </c>
      <c r="U11" s="16">
        <f>'O&amp;M_Detail - Elec'!X11</f>
        <v>174102849.54167992</v>
      </c>
      <c r="V11" s="16">
        <f>'O&amp;M_Detail - Elec'!Y11</f>
        <v>183049483.59444222</v>
      </c>
      <c r="W11" s="16">
        <f>'O&amp;M_Detail - Elec'!Z11</f>
        <v>192239464.24400994</v>
      </c>
      <c r="X11" s="11"/>
      <c r="Y11" s="13"/>
      <c r="Z11" s="13"/>
    </row>
    <row r="12" spans="1:26" ht="17.25" customHeight="1">
      <c r="A12" s="411"/>
      <c r="C12" s="236">
        <f>+MAX($C$9:C11)+1</f>
        <v>4</v>
      </c>
      <c r="D12" s="237">
        <f>'O&amp;M_Detail - Elec'!D12</f>
        <v>555020</v>
      </c>
      <c r="E12" s="112" t="str">
        <f>'O&amp;M_Detail - Elec'!E12</f>
        <v>PURC POWER, PR - EUDL</v>
      </c>
      <c r="F12" s="16">
        <f>'O&amp;M_Detail - Elec'!I12</f>
        <v>0</v>
      </c>
      <c r="G12" s="16">
        <f>'O&amp;M_Detail - Elec'!J12</f>
        <v>0</v>
      </c>
      <c r="H12" s="16">
        <f>'O&amp;M_Detail - Elec'!K12</f>
        <v>0</v>
      </c>
      <c r="I12" s="16">
        <f>'O&amp;M_Detail - Elec'!L12</f>
        <v>0</v>
      </c>
      <c r="J12" s="16">
        <f>'O&amp;M_Detail - Elec'!M12</f>
        <v>0</v>
      </c>
      <c r="K12" s="16">
        <f>'O&amp;M_Detail - Elec'!N12</f>
        <v>0</v>
      </c>
      <c r="L12" s="16">
        <f>'O&amp;M_Detail - Elec'!O12</f>
        <v>0</v>
      </c>
      <c r="M12" s="16">
        <f>'O&amp;M_Detail - Elec'!P12</f>
        <v>-22331156</v>
      </c>
      <c r="N12" s="16">
        <f>'O&amp;M_Detail - Elec'!Q12</f>
        <v>-27158062</v>
      </c>
      <c r="O12" s="16">
        <f>'O&amp;M_Detail - Elec'!R12</f>
        <v>-29268149.043546669</v>
      </c>
      <c r="P12" s="16">
        <f>'O&amp;M_Detail - Elec'!S12</f>
        <v>-38768509.543191545</v>
      </c>
      <c r="Q12" s="16">
        <f>'O&amp;M_Detail - Elec'!T12</f>
        <v>-50617381.579403922</v>
      </c>
      <c r="R12" s="16">
        <f>'O&amp;M_Detail - Elec'!U12</f>
        <v>-59823693.53993424</v>
      </c>
      <c r="S12" s="16">
        <f>'O&amp;M_Detail - Elec'!V12</f>
        <v>-69354432.552820072</v>
      </c>
      <c r="T12" s="16">
        <f>'O&amp;M_Detail - Elec'!W12</f>
        <v>-77056309.364797801</v>
      </c>
      <c r="U12" s="16">
        <f>'O&amp;M_Detail - Elec'!X12</f>
        <v>-86654691.012235552</v>
      </c>
      <c r="V12" s="16">
        <f>'O&amp;M_Detail - Elec'!Y12</f>
        <v>-88404604.947769329</v>
      </c>
      <c r="W12" s="16">
        <f>'O&amp;M_Detail - Elec'!Z12</f>
        <v>-92946228.790804625</v>
      </c>
      <c r="X12" s="11"/>
      <c r="Y12" s="13"/>
      <c r="Z12" s="13"/>
    </row>
    <row r="13" spans="1:26" ht="17.25" customHeight="1">
      <c r="A13" s="411"/>
      <c r="C13" s="236">
        <f>+MAX($C$9:C12)+1</f>
        <v>5</v>
      </c>
      <c r="D13" s="237">
        <f>'O&amp;M_Detail - Elec'!D13</f>
        <v>555020</v>
      </c>
      <c r="E13" s="112" t="str">
        <f>'O&amp;M_Detail - Elec'!E13</f>
        <v>PURC POWER, PR - REASONABLE PORTION</v>
      </c>
      <c r="F13" s="16">
        <f>'O&amp;M_Detail - Elec'!I13</f>
        <v>0</v>
      </c>
      <c r="G13" s="16">
        <f>'O&amp;M_Detail - Elec'!J13</f>
        <v>0</v>
      </c>
      <c r="H13" s="16">
        <f>'O&amp;M_Detail - Elec'!K13</f>
        <v>0</v>
      </c>
      <c r="I13" s="16">
        <f>'O&amp;M_Detail - Elec'!L13</f>
        <v>0</v>
      </c>
      <c r="J13" s="16">
        <f>'O&amp;M_Detail - Elec'!M13</f>
        <v>0</v>
      </c>
      <c r="K13" s="16">
        <f>'O&amp;M_Detail - Elec'!N13</f>
        <v>0</v>
      </c>
      <c r="L13" s="16">
        <f>'O&amp;M_Detail - Elec'!O13</f>
        <v>0</v>
      </c>
      <c r="M13" s="16">
        <f>'O&amp;M_Detail - Elec'!P13</f>
        <v>-2198034.8555999999</v>
      </c>
      <c r="N13" s="16">
        <f>'O&amp;M_Detail - Elec'!Q13</f>
        <v>-2193976.8762559998</v>
      </c>
      <c r="O13" s="16">
        <f>'O&amp;M_Detail - Elec'!R13</f>
        <v>-1833101.7469336165</v>
      </c>
      <c r="P13" s="16">
        <f>'O&amp;M_Detail - Elec'!S13</f>
        <v>-1497050.6505834539</v>
      </c>
      <c r="Q13" s="16">
        <f>'O&amp;M_Detail - Elec'!T13</f>
        <v>-1183496.5581636291</v>
      </c>
      <c r="R13" s="16">
        <f>'O&amp;M_Detail - Elec'!U13</f>
        <v>-777629.05171368131</v>
      </c>
      <c r="S13" s="16">
        <f>'O&amp;M_Detail - Elec'!V13</f>
        <v>-571060.48089506885</v>
      </c>
      <c r="T13" s="16">
        <f>'O&amp;M_Detail - Elec'!W13</f>
        <v>-302385.60408511473</v>
      </c>
      <c r="U13" s="16">
        <f>'O&amp;M_Detail - Elec'!X13</f>
        <v>-764.03775527885557</v>
      </c>
      <c r="V13" s="16">
        <f>'O&amp;M_Detail - Elec'!Y13</f>
        <v>0</v>
      </c>
      <c r="W13" s="16">
        <f>'O&amp;M_Detail - Elec'!Z13</f>
        <v>0</v>
      </c>
      <c r="X13" s="11"/>
      <c r="Y13" s="13"/>
      <c r="Z13" s="13"/>
    </row>
    <row r="14" spans="1:26" ht="17.25" customHeight="1">
      <c r="A14" s="411"/>
      <c r="C14" s="236">
        <f>+MAX($C$9:C13)+1</f>
        <v>6</v>
      </c>
      <c r="D14" s="237">
        <f>'O&amp;M_Detail - Elec'!D14</f>
        <v>555025</v>
      </c>
      <c r="E14" s="112" t="str">
        <f>'O&amp;M_Detail - Elec'!E14</f>
        <v>MEANINGFUL PRIORITY STEP UP</v>
      </c>
      <c r="F14" s="16">
        <f>'O&amp;M_Detail - Elec'!I14</f>
        <v>-35555239.740000002</v>
      </c>
      <c r="G14" s="16">
        <f>'O&amp;M_Detail - Elec'!J14</f>
        <v>-9555732</v>
      </c>
      <c r="H14" s="16">
        <f>'O&amp;M_Detail - Elec'!K14</f>
        <v>-6673655.25</v>
      </c>
      <c r="I14" s="16">
        <f>'O&amp;M_Detail - Elec'!L14</f>
        <v>-4110400.8</v>
      </c>
      <c r="J14" s="16">
        <f>'O&amp;M_Detail - Elec'!M14</f>
        <v>-4718395.32</v>
      </c>
      <c r="K14" s="16">
        <f>'O&amp;M_Detail - Elec'!N14</f>
        <v>-5832284.7599999998</v>
      </c>
      <c r="L14" s="16">
        <f>'O&amp;M_Detail - Elec'!O14</f>
        <v>-19734509.690000001</v>
      </c>
      <c r="M14" s="16">
        <f>'O&amp;M_Detail - Elec'!P14</f>
        <v>0</v>
      </c>
      <c r="N14" s="16">
        <f>'O&amp;M_Detail - Elec'!Q14</f>
        <v>0</v>
      </c>
      <c r="O14" s="16">
        <f>'O&amp;M_Detail - Elec'!R14</f>
        <v>0</v>
      </c>
      <c r="P14" s="16">
        <f>'O&amp;M_Detail - Elec'!S14</f>
        <v>0</v>
      </c>
      <c r="Q14" s="16">
        <f>'O&amp;M_Detail - Elec'!T14</f>
        <v>0</v>
      </c>
      <c r="R14" s="16">
        <f>'O&amp;M_Detail - Elec'!U14</f>
        <v>0</v>
      </c>
      <c r="S14" s="16">
        <f>'O&amp;M_Detail - Elec'!V14</f>
        <v>0</v>
      </c>
      <c r="T14" s="16">
        <f>'O&amp;M_Detail - Elec'!W14</f>
        <v>0</v>
      </c>
      <c r="U14" s="16">
        <f>'O&amp;M_Detail - Elec'!X14</f>
        <v>0</v>
      </c>
      <c r="V14" s="16">
        <f>'O&amp;M_Detail - Elec'!Y14</f>
        <v>0</v>
      </c>
      <c r="W14" s="16">
        <f>'O&amp;M_Detail - Elec'!Z14</f>
        <v>0</v>
      </c>
      <c r="X14" s="11"/>
      <c r="Y14" s="13"/>
      <c r="Z14" s="13"/>
    </row>
    <row r="15" spans="1:26" ht="17.25" customHeight="1">
      <c r="A15" s="411"/>
      <c r="C15" s="236">
        <f>+MAX($C$9:C14)+1</f>
        <v>7</v>
      </c>
      <c r="D15" s="237">
        <f>'O&amp;M_Detail - Elec'!D15</f>
        <v>555030</v>
      </c>
      <c r="E15" s="112" t="str">
        <f>'O&amp;M_Detail - Elec'!E15</f>
        <v>PURC POWER, WAN</v>
      </c>
      <c r="F15" s="16">
        <f>'O&amp;M_Detail - Elec'!I15</f>
        <v>22230401.550000001</v>
      </c>
      <c r="G15" s="16">
        <f>'O&amp;M_Detail - Elec'!J15</f>
        <v>12355086.039999999</v>
      </c>
      <c r="H15" s="16">
        <f>'O&amp;M_Detail - Elec'!K15</f>
        <v>0</v>
      </c>
      <c r="I15" s="16">
        <f>'O&amp;M_Detail - Elec'!L15</f>
        <v>0</v>
      </c>
      <c r="J15" s="16">
        <f>'O&amp;M_Detail - Elec'!M15</f>
        <v>0</v>
      </c>
      <c r="K15" s="16">
        <f>'O&amp;M_Detail - Elec'!N15</f>
        <v>0</v>
      </c>
      <c r="L15" s="16">
        <f>'O&amp;M_Detail - Elec'!O15</f>
        <v>0</v>
      </c>
      <c r="M15" s="16">
        <f>'O&amp;M_Detail - Elec'!P15</f>
        <v>0</v>
      </c>
      <c r="N15" s="16">
        <f>'O&amp;M_Detail - Elec'!Q15</f>
        <v>0</v>
      </c>
      <c r="O15" s="16">
        <f>'O&amp;M_Detail - Elec'!R15</f>
        <v>0</v>
      </c>
      <c r="P15" s="16">
        <f>'O&amp;M_Detail - Elec'!S15</f>
        <v>0</v>
      </c>
      <c r="Q15" s="16">
        <f>'O&amp;M_Detail - Elec'!T15</f>
        <v>0</v>
      </c>
      <c r="R15" s="16">
        <f>'O&amp;M_Detail - Elec'!U15</f>
        <v>0</v>
      </c>
      <c r="S15" s="16">
        <f>'O&amp;M_Detail - Elec'!V15</f>
        <v>0</v>
      </c>
      <c r="T15" s="16">
        <f>'O&amp;M_Detail - Elec'!W15</f>
        <v>0</v>
      </c>
      <c r="U15" s="16">
        <f>'O&amp;M_Detail - Elec'!X15</f>
        <v>0</v>
      </c>
      <c r="V15" s="16">
        <f>'O&amp;M_Detail - Elec'!Y15</f>
        <v>0</v>
      </c>
      <c r="W15" s="16">
        <f>'O&amp;M_Detail - Elec'!Z15</f>
        <v>0</v>
      </c>
      <c r="X15" s="11"/>
      <c r="Y15" s="13"/>
      <c r="Z15" s="13"/>
    </row>
    <row r="16" spans="1:26" ht="17.25" customHeight="1">
      <c r="A16" s="411"/>
      <c r="C16" s="236">
        <f>+MAX($C$9:C15)+1</f>
        <v>8</v>
      </c>
      <c r="D16" s="237">
        <f>'O&amp;M_Detail - Elec'!D16</f>
        <v>555035</v>
      </c>
      <c r="E16" s="112" t="str">
        <f>'O&amp;M_Detail - Elec'!E16</f>
        <v>DSC PRP ADJ TO POWER COST</v>
      </c>
      <c r="F16" s="16">
        <f>'O&amp;M_Detail - Elec'!I16</f>
        <v>0</v>
      </c>
      <c r="G16" s="16">
        <f>'O&amp;M_Detail - Elec'!J16</f>
        <v>0</v>
      </c>
      <c r="H16" s="16">
        <f>'O&amp;M_Detail - Elec'!K16</f>
        <v>0</v>
      </c>
      <c r="I16" s="16">
        <f>'O&amp;M_Detail - Elec'!L16</f>
        <v>0</v>
      </c>
      <c r="J16" s="16">
        <f>'O&amp;M_Detail - Elec'!M16</f>
        <v>-3738711.54</v>
      </c>
      <c r="K16" s="16">
        <f>'O&amp;M_Detail - Elec'!N16</f>
        <v>-771965.4</v>
      </c>
      <c r="L16" s="16">
        <f>'O&amp;M_Detail - Elec'!O16</f>
        <v>-9879760.8200000003</v>
      </c>
      <c r="M16" s="16">
        <f>'O&amp;M_Detail - Elec'!P16</f>
        <v>0</v>
      </c>
      <c r="N16" s="16">
        <f>'O&amp;M_Detail - Elec'!Q16</f>
        <v>0</v>
      </c>
      <c r="O16" s="16">
        <f>'O&amp;M_Detail - Elec'!R16</f>
        <v>0</v>
      </c>
      <c r="P16" s="16">
        <f>'O&amp;M_Detail - Elec'!S16</f>
        <v>0</v>
      </c>
      <c r="Q16" s="16">
        <f>'O&amp;M_Detail - Elec'!T16</f>
        <v>0</v>
      </c>
      <c r="R16" s="16">
        <f>'O&amp;M_Detail - Elec'!U16</f>
        <v>0</v>
      </c>
      <c r="S16" s="16">
        <f>'O&amp;M_Detail - Elec'!V16</f>
        <v>0</v>
      </c>
      <c r="T16" s="16">
        <f>'O&amp;M_Detail - Elec'!W16</f>
        <v>0</v>
      </c>
      <c r="U16" s="16">
        <f>'O&amp;M_Detail - Elec'!X16</f>
        <v>0</v>
      </c>
      <c r="V16" s="16">
        <f>'O&amp;M_Detail - Elec'!Y16</f>
        <v>0</v>
      </c>
      <c r="W16" s="16">
        <f>'O&amp;M_Detail - Elec'!Z16</f>
        <v>0</v>
      </c>
      <c r="X16" s="11"/>
      <c r="Y16" s="13"/>
      <c r="Z16" s="13"/>
    </row>
    <row r="17" spans="1:26" ht="17.25" customHeight="1">
      <c r="A17" s="411"/>
      <c r="C17" s="236">
        <f>+MAX($C$9:C16)+1</f>
        <v>9</v>
      </c>
      <c r="D17" s="237">
        <f>'O&amp;M_Detail - Elec'!D17</f>
        <v>555070</v>
      </c>
      <c r="E17" s="112" t="str">
        <f>'O&amp;M_Detail - Elec'!E17</f>
        <v>PURCHASED POWER-MARKET</v>
      </c>
      <c r="F17" s="16">
        <f>'O&amp;M_Detail - Elec'!I17</f>
        <v>48422029.659999996</v>
      </c>
      <c r="G17" s="16">
        <f>'O&amp;M_Detail - Elec'!J17</f>
        <v>25364141.510000002</v>
      </c>
      <c r="H17" s="16">
        <f>'O&amp;M_Detail - Elec'!K17</f>
        <v>20155666.239999998</v>
      </c>
      <c r="I17" s="16">
        <f>'O&amp;M_Detail - Elec'!L17</f>
        <v>17833129.68</v>
      </c>
      <c r="J17" s="16">
        <f>'O&amp;M_Detail - Elec'!M17</f>
        <v>32100472.760000002</v>
      </c>
      <c r="K17" s="16">
        <f>'O&amp;M_Detail - Elec'!N17</f>
        <v>54469470.229999997</v>
      </c>
      <c r="L17" s="16">
        <f>'O&amp;M_Detail - Elec'!O17</f>
        <v>43555640.840000004</v>
      </c>
      <c r="M17" s="16">
        <f>'O&amp;M_Detail - Elec'!P17</f>
        <v>13332459.16</v>
      </c>
      <c r="N17" s="16">
        <f>'O&amp;M_Detail - Elec'!Q17</f>
        <v>12878309.359999999</v>
      </c>
      <c r="O17" s="16">
        <f>'O&amp;M_Detail - Elec'!R17</f>
        <v>10615986.178582095</v>
      </c>
      <c r="P17" s="16">
        <f>'O&amp;M_Detail - Elec'!S17</f>
        <v>21054529.889413234</v>
      </c>
      <c r="Q17" s="16">
        <f>'O&amp;M_Detail - Elec'!T17</f>
        <v>45889950.905892216</v>
      </c>
      <c r="R17" s="16">
        <f>'O&amp;M_Detail - Elec'!U17</f>
        <v>112717916.89019872</v>
      </c>
      <c r="S17" s="16">
        <f>'O&amp;M_Detail - Elec'!V17</f>
        <v>124787420.04669285</v>
      </c>
      <c r="T17" s="16">
        <f>'O&amp;M_Detail - Elec'!W17</f>
        <v>132243110.39536577</v>
      </c>
      <c r="U17" s="16">
        <f>'O&amp;M_Detail - Elec'!X17</f>
        <v>142216139.55369937</v>
      </c>
      <c r="V17" s="16">
        <f>'O&amp;M_Detail - Elec'!Y17</f>
        <v>148679659.5540238</v>
      </c>
      <c r="W17" s="16">
        <f>'O&amp;M_Detail - Elec'!Z17</f>
        <v>158797248.46992144</v>
      </c>
      <c r="X17" s="11"/>
      <c r="Y17" s="13"/>
      <c r="Z17" s="13"/>
    </row>
    <row r="18" spans="1:26" ht="17.25" customHeight="1">
      <c r="A18" s="411"/>
      <c r="C18" s="236">
        <f>+MAX($C$9:C17)+1</f>
        <v>10</v>
      </c>
      <c r="D18" s="237">
        <f>'O&amp;M_Detail - Elec'!D18</f>
        <v>555500</v>
      </c>
      <c r="E18" s="112" t="str">
        <f>'O&amp;M_Detail - Elec'!E18</f>
        <v>PURC POWER, QC</v>
      </c>
      <c r="F18" s="16">
        <f>'O&amp;M_Detail - Elec'!I18</f>
        <v>152384.59</v>
      </c>
      <c r="G18" s="16">
        <f>'O&amp;M_Detail - Elec'!J18</f>
        <v>225750.58</v>
      </c>
      <c r="H18" s="16">
        <f>'O&amp;M_Detail - Elec'!K18</f>
        <v>261351.11</v>
      </c>
      <c r="I18" s="16">
        <f>'O&amp;M_Detail - Elec'!L18</f>
        <v>320602.83</v>
      </c>
      <c r="J18" s="16">
        <f>'O&amp;M_Detail - Elec'!M18</f>
        <v>353867</v>
      </c>
      <c r="K18" s="16">
        <f>'O&amp;M_Detail - Elec'!N18</f>
        <v>346805</v>
      </c>
      <c r="L18" s="16">
        <f>'O&amp;M_Detail - Elec'!O18</f>
        <v>367483</v>
      </c>
      <c r="M18" s="16">
        <f>'O&amp;M_Detail - Elec'!P18</f>
        <v>352260</v>
      </c>
      <c r="N18" s="16">
        <f>'O&amp;M_Detail - Elec'!Q18</f>
        <v>362827.8</v>
      </c>
      <c r="O18" s="16">
        <f>'O&amp;M_Detail - Elec'!R18</f>
        <v>373712.63400000002</v>
      </c>
      <c r="P18" s="16">
        <f>'O&amp;M_Detail - Elec'!S18</f>
        <v>384924.01302000001</v>
      </c>
      <c r="Q18" s="16">
        <f>'O&amp;M_Detail - Elec'!T18</f>
        <v>396471.73341060005</v>
      </c>
      <c r="R18" s="16">
        <f>'O&amp;M_Detail - Elec'!U18</f>
        <v>408365.88541291805</v>
      </c>
      <c r="S18" s="16">
        <f>'O&amp;M_Detail - Elec'!V18</f>
        <v>420616.8619753056</v>
      </c>
      <c r="T18" s="16">
        <f>'O&amp;M_Detail - Elec'!W18</f>
        <v>433235.36783456476</v>
      </c>
      <c r="U18" s="16">
        <f>'O&amp;M_Detail - Elec'!X18</f>
        <v>446232.42886960175</v>
      </c>
      <c r="V18" s="16">
        <f>'O&amp;M_Detail - Elec'!Y18</f>
        <v>459619.40173568978</v>
      </c>
      <c r="W18" s="16">
        <f>'O&amp;M_Detail - Elec'!Z18</f>
        <v>473407.98378776049</v>
      </c>
      <c r="X18" s="11"/>
      <c r="Y18" s="13"/>
      <c r="Z18" s="13"/>
    </row>
    <row r="19" spans="1:26" ht="17.25" customHeight="1">
      <c r="A19" s="411"/>
      <c r="C19" s="236">
        <f>+MAX($C$9:C18)+1</f>
        <v>11</v>
      </c>
      <c r="D19" s="237">
        <f>'O&amp;M_Detail - Elec'!D19</f>
        <v>555666</v>
      </c>
      <c r="E19" s="112" t="str">
        <f>'O&amp;M_Detail - Elec'!E19</f>
        <v>NET BOOKOUTS - PURCHASE</v>
      </c>
      <c r="F19" s="16">
        <f>'O&amp;M_Detail - Elec'!I19</f>
        <v>7007756.7300000004</v>
      </c>
      <c r="G19" s="16">
        <f>'O&amp;M_Detail - Elec'!J19</f>
        <v>285672.27</v>
      </c>
      <c r="H19" s="16">
        <f>'O&amp;M_Detail - Elec'!K19</f>
        <v>584491.59</v>
      </c>
      <c r="I19" s="16">
        <f>'O&amp;M_Detail - Elec'!L19</f>
        <v>1068455.8</v>
      </c>
      <c r="J19" s="16">
        <f>'O&amp;M_Detail - Elec'!M19</f>
        <v>466004.59</v>
      </c>
      <c r="K19" s="16">
        <f>'O&amp;M_Detail - Elec'!N19</f>
        <v>1171626.93</v>
      </c>
      <c r="L19" s="16">
        <f>'O&amp;M_Detail - Elec'!O19</f>
        <v>1030239.12</v>
      </c>
      <c r="M19" s="16">
        <f>'O&amp;M_Detail - Elec'!P19</f>
        <v>0</v>
      </c>
      <c r="N19" s="16">
        <f>'O&amp;M_Detail - Elec'!Q19</f>
        <v>0</v>
      </c>
      <c r="O19" s="16">
        <f>'O&amp;M_Detail - Elec'!R19</f>
        <v>0</v>
      </c>
      <c r="P19" s="16">
        <f>'O&amp;M_Detail - Elec'!S19</f>
        <v>0</v>
      </c>
      <c r="Q19" s="16">
        <f>'O&amp;M_Detail - Elec'!T19</f>
        <v>0</v>
      </c>
      <c r="R19" s="16">
        <f>'O&amp;M_Detail - Elec'!U19</f>
        <v>0</v>
      </c>
      <c r="S19" s="16">
        <f>'O&amp;M_Detail - Elec'!V19</f>
        <v>0</v>
      </c>
      <c r="T19" s="16">
        <f>'O&amp;M_Detail - Elec'!W19</f>
        <v>0</v>
      </c>
      <c r="U19" s="16">
        <f>'O&amp;M_Detail - Elec'!X19</f>
        <v>0</v>
      </c>
      <c r="V19" s="16">
        <f>'O&amp;M_Detail - Elec'!Y19</f>
        <v>0</v>
      </c>
      <c r="W19" s="16">
        <f>'O&amp;M_Detail - Elec'!Z19</f>
        <v>0</v>
      </c>
      <c r="X19" s="11"/>
      <c r="Y19" s="13"/>
      <c r="Z19" s="13"/>
    </row>
    <row r="20" spans="1:26" ht="17.25" customHeight="1">
      <c r="A20" s="411"/>
      <c r="C20" s="236">
        <f>+MAX($C$9:C19)+1</f>
        <v>12</v>
      </c>
      <c r="D20" s="237">
        <f>'O&amp;M_Detail - Elec'!D20</f>
        <v>555900</v>
      </c>
      <c r="E20" s="112" t="str">
        <f>'O&amp;M_Detail - Elec'!E20</f>
        <v>POWER PURCHASES, 9 CANYON</v>
      </c>
      <c r="F20" s="16">
        <f>'O&amp;M_Detail - Elec'!I20</f>
        <v>0</v>
      </c>
      <c r="G20" s="16">
        <f>'O&amp;M_Detail - Elec'!J20</f>
        <v>2063616</v>
      </c>
      <c r="H20" s="16">
        <f>'O&amp;M_Detail - Elec'!K20</f>
        <v>2119476</v>
      </c>
      <c r="I20" s="16">
        <f>'O&amp;M_Detail - Elec'!L20</f>
        <v>2087688</v>
      </c>
      <c r="J20" s="16">
        <f>'O&amp;M_Detail - Elec'!M20</f>
        <v>2055900</v>
      </c>
      <c r="K20" s="16">
        <f>'O&amp;M_Detail - Elec'!N20</f>
        <v>2055900</v>
      </c>
      <c r="L20" s="16">
        <f>'O&amp;M_Detail - Elec'!O20</f>
        <v>2055900</v>
      </c>
      <c r="M20" s="16">
        <f>'O&amp;M_Detail - Elec'!P20</f>
        <v>2025078</v>
      </c>
      <c r="N20" s="16">
        <f>'O&amp;M_Detail - Elec'!Q20</f>
        <v>2097223.59</v>
      </c>
      <c r="O20" s="16">
        <f>'O&amp;M_Detail - Elec'!R20</f>
        <v>2118195.8259000001</v>
      </c>
      <c r="P20" s="16">
        <f>'O&amp;M_Detail - Elec'!S20</f>
        <v>2139377.784159</v>
      </c>
      <c r="Q20" s="16">
        <f>'O&amp;M_Detail - Elec'!T20</f>
        <v>2160771.5620005899</v>
      </c>
      <c r="R20" s="16">
        <f>'O&amp;M_Detail - Elec'!U20</f>
        <v>2182379.2776205959</v>
      </c>
      <c r="S20" s="16">
        <f>'O&amp;M_Detail - Elec'!V20</f>
        <v>2204203.0703968019</v>
      </c>
      <c r="T20" s="16">
        <f>'O&amp;M_Detail - Elec'!W20</f>
        <v>923943.93</v>
      </c>
      <c r="U20" s="16">
        <f>'O&amp;M_Detail - Elec'!X20</f>
        <v>933183.36930000002</v>
      </c>
      <c r="V20" s="16">
        <f>'O&amp;M_Detail - Elec'!Y20</f>
        <v>942515.20299300004</v>
      </c>
      <c r="W20" s="16">
        <f>'O&amp;M_Detail - Elec'!Z20</f>
        <v>951940.35502293007</v>
      </c>
      <c r="X20" s="11"/>
      <c r="Y20" s="13"/>
      <c r="Z20" s="13"/>
    </row>
    <row r="21" spans="1:26" ht="17.25" customHeight="1">
      <c r="A21" s="411"/>
      <c r="C21" s="236">
        <f>+MAX($C$9:C20)+1</f>
        <v>13</v>
      </c>
      <c r="D21" s="237">
        <f>'O&amp;M_Detail - Elec'!D21</f>
        <v>555999</v>
      </c>
      <c r="E21" s="112" t="str">
        <f>'O&amp;M_Detail - Elec'!E21</f>
        <v>POWER PURCHASES, OTHER</v>
      </c>
      <c r="F21" s="16">
        <f>'O&amp;M_Detail - Elec'!I21</f>
        <v>0</v>
      </c>
      <c r="G21" s="16">
        <f>'O&amp;M_Detail - Elec'!J21</f>
        <v>64560.92</v>
      </c>
      <c r="H21" s="16">
        <f>'O&amp;M_Detail - Elec'!K21</f>
        <v>50312.09</v>
      </c>
      <c r="I21" s="16">
        <f>'O&amp;M_Detail - Elec'!L21</f>
        <v>18242.28</v>
      </c>
      <c r="J21" s="16">
        <f>'O&amp;M_Detail - Elec'!M21</f>
        <v>81740.479999999996</v>
      </c>
      <c r="K21" s="16">
        <f>'O&amp;M_Detail - Elec'!N21</f>
        <v>80620.03</v>
      </c>
      <c r="L21" s="16">
        <f>'O&amp;M_Detail - Elec'!O21</f>
        <v>2447.09</v>
      </c>
      <c r="M21" s="16">
        <f>'O&amp;M_Detail - Elec'!P21</f>
        <v>0</v>
      </c>
      <c r="N21" s="16">
        <f>'O&amp;M_Detail - Elec'!Q21</f>
        <v>0</v>
      </c>
      <c r="O21" s="16">
        <f>'O&amp;M_Detail - Elec'!R21</f>
        <v>0</v>
      </c>
      <c r="P21" s="16">
        <f>'O&amp;M_Detail - Elec'!S21</f>
        <v>0</v>
      </c>
      <c r="Q21" s="16">
        <f>'O&amp;M_Detail - Elec'!T21</f>
        <v>0</v>
      </c>
      <c r="R21" s="16">
        <f>'O&amp;M_Detail - Elec'!U21</f>
        <v>0</v>
      </c>
      <c r="S21" s="16">
        <f>'O&amp;M_Detail - Elec'!V21</f>
        <v>0</v>
      </c>
      <c r="T21" s="16">
        <f>'O&amp;M_Detail - Elec'!W21</f>
        <v>0</v>
      </c>
      <c r="U21" s="16">
        <f>'O&amp;M_Detail - Elec'!X21</f>
        <v>0</v>
      </c>
      <c r="V21" s="16">
        <f>'O&amp;M_Detail - Elec'!Y21</f>
        <v>0</v>
      </c>
      <c r="W21" s="16">
        <f>'O&amp;M_Detail - Elec'!Z21</f>
        <v>0</v>
      </c>
      <c r="X21" s="11"/>
      <c r="Y21" s="13"/>
      <c r="Z21" s="13"/>
    </row>
    <row r="22" spans="1:26" ht="17.25" customHeight="1">
      <c r="A22" s="411"/>
      <c r="C22" s="236">
        <f>+MAX($C$9:C21)+1</f>
        <v>14</v>
      </c>
      <c r="D22" s="237">
        <f>'O&amp;M_Detail - Elec'!D22</f>
        <v>557050</v>
      </c>
      <c r="E22" s="112" t="str">
        <f>'O&amp;M_Detail - Elec'!E22</f>
        <v>OTH PWR EXP-MISC</v>
      </c>
      <c r="F22" s="16">
        <f>'O&amp;M_Detail - Elec'!I22</f>
        <v>109472.5</v>
      </c>
      <c r="G22" s="16">
        <f>'O&amp;M_Detail - Elec'!J22</f>
        <v>113288.67</v>
      </c>
      <c r="H22" s="16">
        <f>'O&amp;M_Detail - Elec'!K22</f>
        <v>69059.149999999994</v>
      </c>
      <c r="I22" s="16">
        <f>'O&amp;M_Detail - Elec'!L22</f>
        <v>61544.3</v>
      </c>
      <c r="J22" s="16">
        <f>'O&amp;M_Detail - Elec'!M22</f>
        <v>101486.62</v>
      </c>
      <c r="K22" s="16">
        <f>'O&amp;M_Detail - Elec'!N22</f>
        <v>104336.04</v>
      </c>
      <c r="L22" s="16">
        <f>'O&amp;M_Detail - Elec'!O22</f>
        <v>121876.26</v>
      </c>
      <c r="M22" s="16">
        <f>'O&amp;M_Detail - Elec'!P22</f>
        <v>0</v>
      </c>
      <c r="N22" s="16">
        <f>'O&amp;M_Detail - Elec'!Q22</f>
        <v>0</v>
      </c>
      <c r="O22" s="16">
        <f>'O&amp;M_Detail - Elec'!R22</f>
        <v>0</v>
      </c>
      <c r="P22" s="16">
        <f>'O&amp;M_Detail - Elec'!S22</f>
        <v>0</v>
      </c>
      <c r="Q22" s="16">
        <f>'O&amp;M_Detail - Elec'!T22</f>
        <v>0</v>
      </c>
      <c r="R22" s="16">
        <f>'O&amp;M_Detail - Elec'!U22</f>
        <v>0</v>
      </c>
      <c r="S22" s="16">
        <f>'O&amp;M_Detail - Elec'!V22</f>
        <v>0</v>
      </c>
      <c r="T22" s="16">
        <f>'O&amp;M_Detail - Elec'!W22</f>
        <v>0</v>
      </c>
      <c r="U22" s="16">
        <f>'O&amp;M_Detail - Elec'!X22</f>
        <v>0</v>
      </c>
      <c r="V22" s="16">
        <f>'O&amp;M_Detail - Elec'!Y22</f>
        <v>0</v>
      </c>
      <c r="W22" s="16">
        <f>'O&amp;M_Detail - Elec'!Z22</f>
        <v>0</v>
      </c>
      <c r="X22" s="11"/>
      <c r="Y22" s="13"/>
      <c r="Z22" s="13"/>
    </row>
    <row r="23" spans="1:26" ht="17.25" customHeight="1">
      <c r="A23" s="411"/>
      <c r="C23" s="236">
        <f>+MAX($C$9:C22)+1</f>
        <v>15</v>
      </c>
      <c r="D23" s="237"/>
      <c r="E23" s="238" t="s">
        <v>276</v>
      </c>
      <c r="F23" s="239">
        <f t="shared" ref="F23:W23" si="0">SUM(F9:F22)</f>
        <v>118539328.95</v>
      </c>
      <c r="G23" s="239">
        <f t="shared" si="0"/>
        <v>138697792.29999998</v>
      </c>
      <c r="H23" s="239">
        <f t="shared" si="0"/>
        <v>134104542.05000001</v>
      </c>
      <c r="I23" s="239">
        <f t="shared" si="0"/>
        <v>100379270.52</v>
      </c>
      <c r="J23" s="239">
        <f t="shared" si="0"/>
        <v>117161119.39</v>
      </c>
      <c r="K23" s="239">
        <f t="shared" si="0"/>
        <v>159151227.73999998</v>
      </c>
      <c r="L23" s="239">
        <f t="shared" si="0"/>
        <v>133138270.65000002</v>
      </c>
      <c r="M23" s="239">
        <f t="shared" si="0"/>
        <v>106384290.24360722</v>
      </c>
      <c r="N23" s="239">
        <f t="shared" si="0"/>
        <v>103038617.21722999</v>
      </c>
      <c r="O23" s="239">
        <f t="shared" si="0"/>
        <v>109737912.32604267</v>
      </c>
      <c r="P23" s="239">
        <f t="shared" si="0"/>
        <v>118156681.20030692</v>
      </c>
      <c r="Q23" s="239">
        <f t="shared" si="0"/>
        <v>143151334.14485851</v>
      </c>
      <c r="R23" s="239">
        <f t="shared" si="0"/>
        <v>213119250.26379368</v>
      </c>
      <c r="S23" s="239">
        <f t="shared" si="0"/>
        <v>214803071.76733527</v>
      </c>
      <c r="T23" s="239">
        <f t="shared" si="0"/>
        <v>224830035.01955739</v>
      </c>
      <c r="U23" s="239">
        <f t="shared" si="0"/>
        <v>233090202.32355806</v>
      </c>
      <c r="V23" s="239">
        <f t="shared" si="0"/>
        <v>246773925.28542536</v>
      </c>
      <c r="W23" s="239">
        <f t="shared" si="0"/>
        <v>261644974.84113747</v>
      </c>
      <c r="X23" s="13"/>
      <c r="Y23" s="13"/>
      <c r="Z23" s="13"/>
    </row>
    <row r="24" spans="1:26" ht="6" customHeight="1">
      <c r="A24" s="411"/>
      <c r="C24" s="236"/>
      <c r="D24" s="112"/>
      <c r="E24" s="240"/>
      <c r="F24" s="2"/>
      <c r="G24" s="2"/>
      <c r="H24" s="2"/>
      <c r="I24" s="2"/>
      <c r="J24" s="2"/>
      <c r="K24" s="2"/>
      <c r="L24" s="2"/>
      <c r="M24" s="2"/>
      <c r="N24" s="2"/>
      <c r="O24" s="2"/>
      <c r="P24" s="2"/>
      <c r="Q24" s="2"/>
      <c r="R24" s="2"/>
      <c r="S24" s="2"/>
      <c r="T24" s="2"/>
      <c r="U24" s="2"/>
      <c r="V24" s="2"/>
      <c r="W24" s="2"/>
      <c r="X24" s="13"/>
      <c r="Y24" s="13"/>
      <c r="Z24" s="13"/>
    </row>
    <row r="25" spans="1:26" ht="17.25" customHeight="1">
      <c r="A25" s="411"/>
      <c r="C25" s="236"/>
      <c r="D25" s="282" t="s">
        <v>313</v>
      </c>
      <c r="E25" s="112"/>
      <c r="F25" s="16"/>
      <c r="G25" s="235"/>
      <c r="H25" s="235"/>
      <c r="I25" s="235"/>
      <c r="J25" s="235"/>
      <c r="K25" s="235"/>
      <c r="L25" s="235"/>
      <c r="M25" s="235"/>
      <c r="N25" s="235"/>
      <c r="O25" s="235"/>
      <c r="P25" s="235"/>
      <c r="Q25" s="235"/>
      <c r="R25" s="235"/>
      <c r="S25" s="235"/>
      <c r="T25" s="235"/>
      <c r="U25" s="235"/>
      <c r="V25" s="235"/>
      <c r="W25" s="235"/>
      <c r="X25" s="13"/>
      <c r="Y25" s="13"/>
      <c r="Z25" s="13"/>
    </row>
    <row r="26" spans="1:26" ht="17.25" customHeight="1">
      <c r="A26" s="411"/>
      <c r="C26" s="236">
        <f>+MAX($C$9:C25)+1</f>
        <v>16</v>
      </c>
      <c r="D26" s="237">
        <v>535500</v>
      </c>
      <c r="E26" s="112" t="s">
        <v>736</v>
      </c>
      <c r="F26" s="16">
        <f>'O&amp;M_Detail - Elec'!I25</f>
        <v>3679.77</v>
      </c>
      <c r="G26" s="16">
        <f>'O&amp;M_Detail - Elec'!J25</f>
        <v>14191.26</v>
      </c>
      <c r="H26" s="16">
        <f>'O&amp;M_Detail - Elec'!K25</f>
        <v>2813.25</v>
      </c>
      <c r="I26" s="16">
        <f>'O&amp;M_Detail - Elec'!L25</f>
        <v>3383.85</v>
      </c>
      <c r="J26" s="16">
        <f>'O&amp;M_Detail - Elec'!M25</f>
        <v>1806.1</v>
      </c>
      <c r="K26" s="16">
        <f>'O&amp;M_Detail - Elec'!N25</f>
        <v>1629.91</v>
      </c>
      <c r="L26" s="16">
        <f>'O&amp;M_Detail - Elec'!O25</f>
        <v>6904.05</v>
      </c>
      <c r="M26" s="16">
        <f>'O&amp;M_Detail - Elec'!P25</f>
        <v>7502.6239977139394</v>
      </c>
      <c r="N26" s="16">
        <f>'O&amp;M_Detail - Elec'!Q25</f>
        <v>8285.7181859629491</v>
      </c>
      <c r="O26" s="16">
        <f>'O&amp;M_Detail - Elec'!R25</f>
        <v>8743.7890799069555</v>
      </c>
      <c r="P26" s="16">
        <f>'O&amp;M_Detail - Elec'!S25</f>
        <v>8960.055737090921</v>
      </c>
      <c r="Q26" s="16">
        <f>'O&amp;M_Detail - Elec'!T25</f>
        <v>9290.1281257122846</v>
      </c>
      <c r="R26" s="16">
        <f>'O&amp;M_Detail - Elec'!U25</f>
        <v>9521.8477585751461</v>
      </c>
      <c r="S26" s="16">
        <f>'O&amp;M_Detail - Elec'!V25</f>
        <v>9777.3050627476568</v>
      </c>
      <c r="T26" s="16">
        <f>'O&amp;M_Detail - Elec'!W25</f>
        <v>10191.729418546789</v>
      </c>
      <c r="U26" s="16">
        <f>'O&amp;M_Detail - Elec'!X25</f>
        <v>10471.09741946662</v>
      </c>
      <c r="V26" s="16">
        <f>'O&amp;M_Detail - Elec'!Y25</f>
        <v>10772.487062392622</v>
      </c>
      <c r="W26" s="16">
        <f>'O&amp;M_Detail - Elec'!Z25</f>
        <v>11268.243405573585</v>
      </c>
      <c r="X26" s="13"/>
      <c r="Y26" s="13"/>
      <c r="Z26" s="13"/>
    </row>
    <row r="27" spans="1:26" ht="17.25" customHeight="1">
      <c r="A27" s="411"/>
      <c r="C27" s="236">
        <f>+MAX($C$9:C26)+1</f>
        <v>17</v>
      </c>
      <c r="D27" s="237">
        <v>535000</v>
      </c>
      <c r="E27" s="112" t="s">
        <v>2161</v>
      </c>
      <c r="F27" s="16">
        <f>'O&amp;M_Detail - Elec'!I26</f>
        <v>0</v>
      </c>
      <c r="G27" s="16">
        <f>'O&amp;M_Detail - Elec'!J26</f>
        <v>0</v>
      </c>
      <c r="H27" s="16">
        <f>'O&amp;M_Detail - Elec'!K26</f>
        <v>0</v>
      </c>
      <c r="I27" s="16">
        <f>'O&amp;M_Detail - Elec'!L26</f>
        <v>0</v>
      </c>
      <c r="J27" s="16">
        <f>'O&amp;M_Detail - Elec'!M26</f>
        <v>0</v>
      </c>
      <c r="K27" s="16">
        <f>'O&amp;M_Detail - Elec'!N26</f>
        <v>0</v>
      </c>
      <c r="L27" s="16">
        <f>'O&amp;M_Detail - Elec'!O26</f>
        <v>0</v>
      </c>
      <c r="M27" s="16">
        <f>'O&amp;M_Detail - Elec'!P26</f>
        <v>0</v>
      </c>
      <c r="N27" s="16">
        <f>'O&amp;M_Detail - Elec'!Q26</f>
        <v>0</v>
      </c>
      <c r="O27" s="16">
        <f>'O&amp;M_Detail - Elec'!R26</f>
        <v>0</v>
      </c>
      <c r="P27" s="16">
        <f>'O&amp;M_Detail - Elec'!S26</f>
        <v>0</v>
      </c>
      <c r="Q27" s="16">
        <f>'O&amp;M_Detail - Elec'!T26</f>
        <v>0</v>
      </c>
      <c r="R27" s="16">
        <f>'O&amp;M_Detail - Elec'!U26</f>
        <v>0</v>
      </c>
      <c r="S27" s="16">
        <f>'O&amp;M_Detail - Elec'!V26</f>
        <v>0</v>
      </c>
      <c r="T27" s="16">
        <f>'O&amp;M_Detail - Elec'!W26</f>
        <v>0</v>
      </c>
      <c r="U27" s="16">
        <f>'O&amp;M_Detail - Elec'!X26</f>
        <v>0</v>
      </c>
      <c r="V27" s="16">
        <f>'O&amp;M_Detail - Elec'!Y26</f>
        <v>0</v>
      </c>
      <c r="W27" s="16">
        <f>'O&amp;M_Detail - Elec'!Z26</f>
        <v>0</v>
      </c>
      <c r="X27" s="13"/>
      <c r="Y27" s="13"/>
      <c r="Z27" s="13"/>
    </row>
    <row r="28" spans="1:26" ht="17.25" customHeight="1">
      <c r="A28" s="411"/>
      <c r="C28" s="236">
        <f>+MAX($C$9:C27)+1</f>
        <v>18</v>
      </c>
      <c r="D28" s="237">
        <v>535600</v>
      </c>
      <c r="E28" s="112" t="s">
        <v>737</v>
      </c>
      <c r="F28" s="16">
        <f>'O&amp;M_Detail - Elec'!I27</f>
        <v>3550.76</v>
      </c>
      <c r="G28" s="16">
        <f>'O&amp;M_Detail - Elec'!J27</f>
        <v>53952.68</v>
      </c>
      <c r="H28" s="16">
        <f>'O&amp;M_Detail - Elec'!K27</f>
        <v>21138.17</v>
      </c>
      <c r="I28" s="16">
        <f>'O&amp;M_Detail - Elec'!L27</f>
        <v>22477.91</v>
      </c>
      <c r="J28" s="16">
        <f>'O&amp;M_Detail - Elec'!M27</f>
        <v>31476.03</v>
      </c>
      <c r="K28" s="16">
        <f>'O&amp;M_Detail - Elec'!N27</f>
        <v>9785.2099999999991</v>
      </c>
      <c r="L28" s="16">
        <f>'O&amp;M_Detail - Elec'!O27</f>
        <v>35183.08</v>
      </c>
      <c r="M28" s="16">
        <f>'O&amp;M_Detail - Elec'!P27</f>
        <v>38233.416664347642</v>
      </c>
      <c r="N28" s="16">
        <f>'O&amp;M_Detail - Elec'!Q27</f>
        <v>42224.069320788418</v>
      </c>
      <c r="O28" s="16">
        <f>'O&amp;M_Detail - Elec'!R27</f>
        <v>44558.401329870554</v>
      </c>
      <c r="P28" s="16">
        <f>'O&amp;M_Detail - Elec'!S27</f>
        <v>45660.497505453874</v>
      </c>
      <c r="Q28" s="16">
        <f>'O&amp;M_Detail - Elec'!T27</f>
        <v>47342.54836757922</v>
      </c>
      <c r="R28" s="16">
        <f>'O&amp;M_Detail - Elec'!U27</f>
        <v>48523.392999438016</v>
      </c>
      <c r="S28" s="16">
        <f>'O&amp;M_Detail - Elec'!V27</f>
        <v>49825.20494594561</v>
      </c>
      <c r="T28" s="16">
        <f>'O&amp;M_Detail - Elec'!W27</f>
        <v>51937.113936180234</v>
      </c>
      <c r="U28" s="16">
        <f>'O&amp;M_Detail - Elec'!X27</f>
        <v>53360.774935999536</v>
      </c>
      <c r="V28" s="16">
        <f>'O&amp;M_Detail - Elec'!Y27</f>
        <v>54896.658354896703</v>
      </c>
      <c r="W28" s="16">
        <f>'O&amp;M_Detail - Elec'!Z27</f>
        <v>57423.035638178728</v>
      </c>
      <c r="X28" s="13"/>
      <c r="Y28" s="13"/>
      <c r="Z28" s="13"/>
    </row>
    <row r="29" spans="1:26" ht="17.25" customHeight="1">
      <c r="A29" s="411"/>
      <c r="C29" s="236">
        <f>+MAX($C$9:C28)+1</f>
        <v>19</v>
      </c>
      <c r="D29" s="237">
        <v>536000</v>
      </c>
      <c r="E29" s="112" t="s">
        <v>2162</v>
      </c>
      <c r="F29" s="16">
        <f>'O&amp;M_Detail - Elec'!I28</f>
        <v>0</v>
      </c>
      <c r="G29" s="16">
        <f>'O&amp;M_Detail - Elec'!J28</f>
        <v>0</v>
      </c>
      <c r="H29" s="16">
        <f>'O&amp;M_Detail - Elec'!K28</f>
        <v>0</v>
      </c>
      <c r="I29" s="16">
        <f>'O&amp;M_Detail - Elec'!L28</f>
        <v>0</v>
      </c>
      <c r="J29" s="16">
        <f>'O&amp;M_Detail - Elec'!M28</f>
        <v>0</v>
      </c>
      <c r="K29" s="16">
        <f>'O&amp;M_Detail - Elec'!N28</f>
        <v>0</v>
      </c>
      <c r="L29" s="16">
        <f>'O&amp;M_Detail - Elec'!O28</f>
        <v>0</v>
      </c>
      <c r="M29" s="16">
        <f>'O&amp;M_Detail - Elec'!P28</f>
        <v>0</v>
      </c>
      <c r="N29" s="16">
        <f>'O&amp;M_Detail - Elec'!Q28</f>
        <v>0</v>
      </c>
      <c r="O29" s="16">
        <f>'O&amp;M_Detail - Elec'!R28</f>
        <v>0</v>
      </c>
      <c r="P29" s="16">
        <f>'O&amp;M_Detail - Elec'!S28</f>
        <v>0</v>
      </c>
      <c r="Q29" s="16">
        <f>'O&amp;M_Detail - Elec'!T28</f>
        <v>0</v>
      </c>
      <c r="R29" s="16">
        <f>'O&amp;M_Detail - Elec'!U28</f>
        <v>0</v>
      </c>
      <c r="S29" s="16">
        <f>'O&amp;M_Detail - Elec'!V28</f>
        <v>0</v>
      </c>
      <c r="T29" s="16">
        <f>'O&amp;M_Detail - Elec'!W28</f>
        <v>0</v>
      </c>
      <c r="U29" s="16">
        <f>'O&amp;M_Detail - Elec'!X28</f>
        <v>0</v>
      </c>
      <c r="V29" s="16">
        <f>'O&amp;M_Detail - Elec'!Y28</f>
        <v>0</v>
      </c>
      <c r="W29" s="16">
        <f>'O&amp;M_Detail - Elec'!Z28</f>
        <v>0</v>
      </c>
      <c r="X29" s="13"/>
      <c r="Y29" s="13"/>
      <c r="Z29" s="13"/>
    </row>
    <row r="30" spans="1:26" ht="17.25" customHeight="1">
      <c r="A30" s="411"/>
      <c r="C30" s="236">
        <f>+MAX($C$9:C29)+1</f>
        <v>20</v>
      </c>
      <c r="D30" s="237">
        <v>537010</v>
      </c>
      <c r="E30" s="112" t="s">
        <v>2163</v>
      </c>
      <c r="F30" s="16">
        <f>'O&amp;M_Detail - Elec'!I29</f>
        <v>0</v>
      </c>
      <c r="G30" s="16">
        <f>'O&amp;M_Detail - Elec'!J29</f>
        <v>0</v>
      </c>
      <c r="H30" s="16">
        <f>'O&amp;M_Detail - Elec'!K29</f>
        <v>0</v>
      </c>
      <c r="I30" s="16">
        <f>'O&amp;M_Detail - Elec'!L29</f>
        <v>0</v>
      </c>
      <c r="J30" s="16">
        <f>'O&amp;M_Detail - Elec'!M29</f>
        <v>0</v>
      </c>
      <c r="K30" s="16">
        <f>'O&amp;M_Detail - Elec'!N29</f>
        <v>0</v>
      </c>
      <c r="L30" s="16">
        <f>'O&amp;M_Detail - Elec'!O29</f>
        <v>0</v>
      </c>
      <c r="M30" s="16">
        <f>'O&amp;M_Detail - Elec'!P29</f>
        <v>0</v>
      </c>
      <c r="N30" s="16">
        <f>'O&amp;M_Detail - Elec'!Q29</f>
        <v>0</v>
      </c>
      <c r="O30" s="16">
        <f>'O&amp;M_Detail - Elec'!R29</f>
        <v>0</v>
      </c>
      <c r="P30" s="16">
        <f>'O&amp;M_Detail - Elec'!S29</f>
        <v>0</v>
      </c>
      <c r="Q30" s="16">
        <f>'O&amp;M_Detail - Elec'!T29</f>
        <v>0</v>
      </c>
      <c r="R30" s="16">
        <f>'O&amp;M_Detail - Elec'!U29</f>
        <v>0</v>
      </c>
      <c r="S30" s="16">
        <f>'O&amp;M_Detail - Elec'!V29</f>
        <v>0</v>
      </c>
      <c r="T30" s="16">
        <f>'O&amp;M_Detail - Elec'!W29</f>
        <v>0</v>
      </c>
      <c r="U30" s="16">
        <f>'O&amp;M_Detail - Elec'!X29</f>
        <v>0</v>
      </c>
      <c r="V30" s="16">
        <f>'O&amp;M_Detail - Elec'!Y29</f>
        <v>0</v>
      </c>
      <c r="W30" s="16">
        <f>'O&amp;M_Detail - Elec'!Z29</f>
        <v>0</v>
      </c>
      <c r="X30" s="13"/>
      <c r="Y30" s="13"/>
      <c r="Z30" s="13"/>
    </row>
    <row r="31" spans="1:26" ht="17.25" customHeight="1">
      <c r="A31" s="411"/>
      <c r="C31" s="236">
        <f>+MAX($C$9:C30)+1</f>
        <v>21</v>
      </c>
      <c r="D31" s="237">
        <v>537500</v>
      </c>
      <c r="E31" s="112" t="s">
        <v>738</v>
      </c>
      <c r="F31" s="16">
        <f>'O&amp;M_Detail - Elec'!I30</f>
        <v>9025.4599999999991</v>
      </c>
      <c r="G31" s="16">
        <f>'O&amp;M_Detail - Elec'!J30</f>
        <v>13799.25</v>
      </c>
      <c r="H31" s="16">
        <f>'O&amp;M_Detail - Elec'!K30</f>
        <v>10976.42</v>
      </c>
      <c r="I31" s="16">
        <f>'O&amp;M_Detail - Elec'!L30</f>
        <v>9321.48</v>
      </c>
      <c r="J31" s="16">
        <f>'O&amp;M_Detail - Elec'!M30</f>
        <v>9193.8799999999992</v>
      </c>
      <c r="K31" s="16">
        <f>'O&amp;M_Detail - Elec'!N30</f>
        <v>8753.02</v>
      </c>
      <c r="L31" s="16">
        <f>'O&amp;M_Detail - Elec'!O30</f>
        <v>11054.5</v>
      </c>
      <c r="M31" s="16">
        <f>'O&amp;M_Detail - Elec'!P30</f>
        <v>12012.913722051368</v>
      </c>
      <c r="N31" s="16">
        <f>'O&amp;M_Detail - Elec'!Q30</f>
        <v>13266.774094441294</v>
      </c>
      <c r="O31" s="16">
        <f>'O&amp;M_Detail - Elec'!R30</f>
        <v>14000.219636855387</v>
      </c>
      <c r="P31" s="16">
        <f>'O&amp;M_Detail - Elec'!S30</f>
        <v>14346.497511702781</v>
      </c>
      <c r="Q31" s="16">
        <f>'O&amp;M_Detail - Elec'!T30</f>
        <v>14874.996757799616</v>
      </c>
      <c r="R31" s="16">
        <f>'O&amp;M_Detail - Elec'!U30</f>
        <v>15246.017344481708</v>
      </c>
      <c r="S31" s="16">
        <f>'O&amp;M_Detail - Elec'!V30</f>
        <v>15655.045779816766</v>
      </c>
      <c r="T31" s="16">
        <f>'O&amp;M_Detail - Elec'!W30</f>
        <v>16318.606159764988</v>
      </c>
      <c r="U31" s="16">
        <f>'O&amp;M_Detail - Elec'!X30</f>
        <v>16765.91948544604</v>
      </c>
      <c r="V31" s="16">
        <f>'O&amp;M_Detail - Elec'!Y30</f>
        <v>17248.493019491347</v>
      </c>
      <c r="W31" s="16">
        <f>'O&amp;M_Detail - Elec'!Z30</f>
        <v>18042.279057497148</v>
      </c>
      <c r="X31" s="13"/>
      <c r="Y31" s="13"/>
      <c r="Z31" s="13"/>
    </row>
    <row r="32" spans="1:26" ht="17.25" customHeight="1">
      <c r="A32" s="411"/>
      <c r="C32" s="236">
        <f>+MAX($C$9:C31)+1</f>
        <v>22</v>
      </c>
      <c r="D32" s="237">
        <v>537600</v>
      </c>
      <c r="E32" s="112" t="s">
        <v>739</v>
      </c>
      <c r="F32" s="16">
        <f>'O&amp;M_Detail - Elec'!I31</f>
        <v>12998.93</v>
      </c>
      <c r="G32" s="16">
        <f>'O&amp;M_Detail - Elec'!J31</f>
        <v>20479.599999999999</v>
      </c>
      <c r="H32" s="16">
        <f>'O&amp;M_Detail - Elec'!K31</f>
        <v>17874.439999999999</v>
      </c>
      <c r="I32" s="16">
        <f>'O&amp;M_Detail - Elec'!L31</f>
        <v>12687.68</v>
      </c>
      <c r="J32" s="16">
        <f>'O&amp;M_Detail - Elec'!M31</f>
        <v>10834.9</v>
      </c>
      <c r="K32" s="16">
        <f>'O&amp;M_Detail - Elec'!N31</f>
        <v>8305.15</v>
      </c>
      <c r="L32" s="16">
        <f>'O&amp;M_Detail - Elec'!O31</f>
        <v>8092.56</v>
      </c>
      <c r="M32" s="16">
        <f>'O&amp;M_Detail - Elec'!P31</f>
        <v>8794.1765860531013</v>
      </c>
      <c r="N32" s="16">
        <f>'O&amp;M_Detail - Elec'!Q31</f>
        <v>9712.0779199160388</v>
      </c>
      <c r="O32" s="16">
        <f>'O&amp;M_Detail - Elec'!R31</f>
        <v>10249.004244826128</v>
      </c>
      <c r="P32" s="16">
        <f>'O&amp;M_Detail - Elec'!S31</f>
        <v>10502.50051140309</v>
      </c>
      <c r="Q32" s="16">
        <f>'O&amp;M_Detail - Elec'!T31</f>
        <v>10889.39380001799</v>
      </c>
      <c r="R32" s="16">
        <f>'O&amp;M_Detail - Elec'!U31</f>
        <v>11161.003222331079</v>
      </c>
      <c r="S32" s="16">
        <f>'O&amp;M_Detail - Elec'!V31</f>
        <v>11460.436679715409</v>
      </c>
      <c r="T32" s="16">
        <f>'O&amp;M_Detail - Elec'!W31</f>
        <v>11946.202855332016</v>
      </c>
      <c r="U32" s="16">
        <f>'O&amp;M_Detail - Elec'!X31</f>
        <v>12273.663158997804</v>
      </c>
      <c r="V32" s="16">
        <f>'O&amp;M_Detail - Elec'!Y31</f>
        <v>12626.936059506528</v>
      </c>
      <c r="W32" s="16">
        <f>'O&amp;M_Detail - Elec'!Z31</f>
        <v>13208.035262521067</v>
      </c>
      <c r="X32" s="13"/>
      <c r="Y32" s="13"/>
      <c r="Z32" s="13"/>
    </row>
    <row r="33" spans="1:26" ht="17.25" customHeight="1">
      <c r="A33" s="411"/>
      <c r="C33" s="236">
        <f>+MAX($C$9:C32)+1</f>
        <v>23</v>
      </c>
      <c r="D33" s="237">
        <v>538500</v>
      </c>
      <c r="E33" s="112" t="s">
        <v>740</v>
      </c>
      <c r="F33" s="16">
        <f>'O&amp;M_Detail - Elec'!I32</f>
        <v>9025.61</v>
      </c>
      <c r="G33" s="16">
        <f>'O&amp;M_Detail - Elec'!J32</f>
        <v>13798.7</v>
      </c>
      <c r="H33" s="16">
        <f>'O&amp;M_Detail - Elec'!K32</f>
        <v>10975.98</v>
      </c>
      <c r="I33" s="16">
        <f>'O&amp;M_Detail - Elec'!L32</f>
        <v>9321.17</v>
      </c>
      <c r="J33" s="16">
        <f>'O&amp;M_Detail - Elec'!M32</f>
        <v>9193.35</v>
      </c>
      <c r="K33" s="16">
        <f>'O&amp;M_Detail - Elec'!N32</f>
        <v>8752.7800000000007</v>
      </c>
      <c r="L33" s="16">
        <f>'O&amp;M_Detail - Elec'!O32</f>
        <v>11054.21</v>
      </c>
      <c r="M33" s="16">
        <f>'O&amp;M_Detail - Elec'!P32</f>
        <v>12012.598579351163</v>
      </c>
      <c r="N33" s="16">
        <f>'O&amp;M_Detail - Elec'!Q32</f>
        <v>13266.426058393765</v>
      </c>
      <c r="O33" s="16">
        <f>'O&amp;M_Detail - Elec'!R32</f>
        <v>13999.852359846504</v>
      </c>
      <c r="P33" s="16">
        <f>'O&amp;M_Detail - Elec'!S32</f>
        <v>14346.12115055769</v>
      </c>
      <c r="Q33" s="16">
        <f>'O&amp;M_Detail - Elec'!T32</f>
        <v>14874.606532184727</v>
      </c>
      <c r="R33" s="16">
        <f>'O&amp;M_Detail - Elec'!U32</f>
        <v>15245.61738563871</v>
      </c>
      <c r="S33" s="16">
        <f>'O&amp;M_Detail - Elec'!V32</f>
        <v>15654.635090660662</v>
      </c>
      <c r="T33" s="16">
        <f>'O&amp;M_Detail - Elec'!W32</f>
        <v>16318.178062991154</v>
      </c>
      <c r="U33" s="16">
        <f>'O&amp;M_Detail - Elec'!X32</f>
        <v>16765.479654006282</v>
      </c>
      <c r="V33" s="16">
        <f>'O&amp;M_Detail - Elec'!Y32</f>
        <v>17248.040528381331</v>
      </c>
      <c r="W33" s="16">
        <f>'O&amp;M_Detail - Elec'!Z32</f>
        <v>18041.805742473698</v>
      </c>
      <c r="X33" s="13"/>
      <c r="Y33" s="13"/>
      <c r="Z33" s="13"/>
    </row>
    <row r="34" spans="1:26" ht="17.25" customHeight="1">
      <c r="A34" s="411"/>
      <c r="C34" s="236">
        <f>+MAX($C$9:C33)+1</f>
        <v>24</v>
      </c>
      <c r="D34" s="237">
        <v>538600</v>
      </c>
      <c r="E34" s="112" t="s">
        <v>741</v>
      </c>
      <c r="F34" s="16">
        <f>'O&amp;M_Detail - Elec'!I33</f>
        <v>12999.17</v>
      </c>
      <c r="G34" s="16">
        <f>'O&amp;M_Detail - Elec'!J33</f>
        <v>20479.03</v>
      </c>
      <c r="H34" s="16">
        <f>'O&amp;M_Detail - Elec'!K33</f>
        <v>17873.96</v>
      </c>
      <c r="I34" s="16">
        <f>'O&amp;M_Detail - Elec'!L33</f>
        <v>12687.34</v>
      </c>
      <c r="J34" s="16">
        <f>'O&amp;M_Detail - Elec'!M33</f>
        <v>10834.39</v>
      </c>
      <c r="K34" s="16">
        <f>'O&amp;M_Detail - Elec'!N33</f>
        <v>8304.9</v>
      </c>
      <c r="L34" s="16">
        <f>'O&amp;M_Detail - Elec'!O33</f>
        <v>8092.37</v>
      </c>
      <c r="M34" s="16">
        <f>'O&amp;M_Detail - Elec'!P33</f>
        <v>8793.9701132495211</v>
      </c>
      <c r="N34" s="16">
        <f>'O&amp;M_Detail - Elec'!Q33</f>
        <v>9711.8498962986941</v>
      </c>
      <c r="O34" s="16">
        <f>'O&amp;M_Detail - Elec'!R33</f>
        <v>10248.763615061689</v>
      </c>
      <c r="P34" s="16">
        <f>'O&amp;M_Detail - Elec'!S33</f>
        <v>10502.253929963206</v>
      </c>
      <c r="Q34" s="16">
        <f>'O&amp;M_Detail - Elec'!T33</f>
        <v>10889.138134959963</v>
      </c>
      <c r="R34" s="16">
        <f>'O&amp;M_Detail - Elec'!U33</f>
        <v>11160.741180330497</v>
      </c>
      <c r="S34" s="16">
        <f>'O&amp;M_Detail - Elec'!V33</f>
        <v>11460.167607509688</v>
      </c>
      <c r="T34" s="16">
        <f>'O&amp;M_Detail - Elec'!W33</f>
        <v>11945.922378135368</v>
      </c>
      <c r="U34" s="16">
        <f>'O&amp;M_Detail - Elec'!X33</f>
        <v>12273.374993571759</v>
      </c>
      <c r="V34" s="16">
        <f>'O&amp;M_Detail - Elec'!Y33</f>
        <v>12626.639599813761</v>
      </c>
      <c r="W34" s="16">
        <f>'O&amp;M_Detail - Elec'!Z33</f>
        <v>13207.725159574673</v>
      </c>
      <c r="X34" s="13"/>
      <c r="Y34" s="13"/>
      <c r="Z34" s="13"/>
    </row>
    <row r="35" spans="1:26" ht="17.25" customHeight="1">
      <c r="A35" s="411"/>
      <c r="C35" s="236">
        <f>+MAX($C$9:C34)+1</f>
        <v>25</v>
      </c>
      <c r="D35" s="237">
        <v>539010</v>
      </c>
      <c r="E35" s="112" t="s">
        <v>742</v>
      </c>
      <c r="F35" s="16">
        <f>'O&amp;M_Detail - Elec'!I34</f>
        <v>-128.47999999999999</v>
      </c>
      <c r="G35" s="16">
        <f>'O&amp;M_Detail - Elec'!J34</f>
        <v>0</v>
      </c>
      <c r="H35" s="16">
        <f>'O&amp;M_Detail - Elec'!K34</f>
        <v>1075.28</v>
      </c>
      <c r="I35" s="16">
        <f>'O&amp;M_Detail - Elec'!L34</f>
        <v>0</v>
      </c>
      <c r="J35" s="16">
        <f>'O&amp;M_Detail - Elec'!M34</f>
        <v>0</v>
      </c>
      <c r="K35" s="16">
        <f>'O&amp;M_Detail - Elec'!N34</f>
        <v>0</v>
      </c>
      <c r="L35" s="16">
        <f>'O&amp;M_Detail - Elec'!O34</f>
        <v>0</v>
      </c>
      <c r="M35" s="16">
        <f>'O&amp;M_Detail - Elec'!P34</f>
        <v>0</v>
      </c>
      <c r="N35" s="16">
        <f>'O&amp;M_Detail - Elec'!Q34</f>
        <v>0</v>
      </c>
      <c r="O35" s="16">
        <f>'O&amp;M_Detail - Elec'!R34</f>
        <v>0</v>
      </c>
      <c r="P35" s="16">
        <f>'O&amp;M_Detail - Elec'!S34</f>
        <v>0</v>
      </c>
      <c r="Q35" s="16">
        <f>'O&amp;M_Detail - Elec'!T34</f>
        <v>0</v>
      </c>
      <c r="R35" s="16">
        <f>'O&amp;M_Detail - Elec'!U34</f>
        <v>0</v>
      </c>
      <c r="S35" s="16">
        <f>'O&amp;M_Detail - Elec'!V34</f>
        <v>0</v>
      </c>
      <c r="T35" s="16">
        <f>'O&amp;M_Detail - Elec'!W34</f>
        <v>0</v>
      </c>
      <c r="U35" s="16">
        <f>'O&amp;M_Detail - Elec'!X34</f>
        <v>0</v>
      </c>
      <c r="V35" s="16">
        <f>'O&amp;M_Detail - Elec'!Y34</f>
        <v>0</v>
      </c>
      <c r="W35" s="16">
        <f>'O&amp;M_Detail - Elec'!Z34</f>
        <v>0</v>
      </c>
      <c r="X35" s="13"/>
      <c r="Y35" s="13"/>
      <c r="Z35" s="13"/>
    </row>
    <row r="36" spans="1:26" ht="17.25" customHeight="1">
      <c r="A36" s="411"/>
      <c r="C36" s="236">
        <f>+MAX($C$9:C35)+1</f>
        <v>26</v>
      </c>
      <c r="D36" s="237">
        <v>539600</v>
      </c>
      <c r="E36" s="112" t="s">
        <v>310</v>
      </c>
      <c r="F36" s="16">
        <f>'O&amp;M_Detail - Elec'!I35</f>
        <v>0</v>
      </c>
      <c r="G36" s="16">
        <f>'O&amp;M_Detail - Elec'!J35</f>
        <v>0</v>
      </c>
      <c r="H36" s="16">
        <f>'O&amp;M_Detail - Elec'!K35</f>
        <v>0</v>
      </c>
      <c r="I36" s="16">
        <f>'O&amp;M_Detail - Elec'!L35</f>
        <v>0</v>
      </c>
      <c r="J36" s="16">
        <f>'O&amp;M_Detail - Elec'!M35</f>
        <v>0</v>
      </c>
      <c r="K36" s="16">
        <f>'O&amp;M_Detail - Elec'!N35</f>
        <v>0</v>
      </c>
      <c r="L36" s="16">
        <f>'O&amp;M_Detail - Elec'!O35</f>
        <v>0</v>
      </c>
      <c r="M36" s="16">
        <f>'O&amp;M_Detail - Elec'!P35</f>
        <v>0</v>
      </c>
      <c r="N36" s="16">
        <f>'O&amp;M_Detail - Elec'!Q35</f>
        <v>0</v>
      </c>
      <c r="O36" s="16">
        <f>'O&amp;M_Detail - Elec'!R35</f>
        <v>0</v>
      </c>
      <c r="P36" s="16">
        <f>'O&amp;M_Detail - Elec'!S35</f>
        <v>0</v>
      </c>
      <c r="Q36" s="16">
        <f>'O&amp;M_Detail - Elec'!T35</f>
        <v>0</v>
      </c>
      <c r="R36" s="16">
        <f>'O&amp;M_Detail - Elec'!U35</f>
        <v>0</v>
      </c>
      <c r="S36" s="16">
        <f>'O&amp;M_Detail - Elec'!V35</f>
        <v>0</v>
      </c>
      <c r="T36" s="16">
        <f>'O&amp;M_Detail - Elec'!W35</f>
        <v>0</v>
      </c>
      <c r="U36" s="16">
        <f>'O&amp;M_Detail - Elec'!X35</f>
        <v>0</v>
      </c>
      <c r="V36" s="16">
        <f>'O&amp;M_Detail - Elec'!Y35</f>
        <v>0</v>
      </c>
      <c r="W36" s="16">
        <f>'O&amp;M_Detail - Elec'!Z35</f>
        <v>0</v>
      </c>
      <c r="X36" s="13"/>
      <c r="Y36" s="13"/>
      <c r="Z36" s="13"/>
    </row>
    <row r="37" spans="1:26" ht="17.25" customHeight="1">
      <c r="A37" s="411"/>
      <c r="C37" s="236">
        <f>+MAX($C$9:C36)+1</f>
        <v>27</v>
      </c>
      <c r="D37" s="237">
        <v>541500</v>
      </c>
      <c r="E37" s="112" t="s">
        <v>743</v>
      </c>
      <c r="F37" s="16">
        <f>'O&amp;M_Detail - Elec'!I36</f>
        <v>3228.77</v>
      </c>
      <c r="G37" s="16">
        <f>'O&amp;M_Detail - Elec'!J36</f>
        <v>0</v>
      </c>
      <c r="H37" s="16">
        <f>'O&amp;M_Detail - Elec'!K36</f>
        <v>0</v>
      </c>
      <c r="I37" s="16">
        <f>'O&amp;M_Detail - Elec'!L36</f>
        <v>0</v>
      </c>
      <c r="J37" s="16">
        <f>'O&amp;M_Detail - Elec'!M36</f>
        <v>0</v>
      </c>
      <c r="K37" s="16">
        <f>'O&amp;M_Detail - Elec'!N36</f>
        <v>0</v>
      </c>
      <c r="L37" s="16">
        <f>'O&amp;M_Detail - Elec'!O36</f>
        <v>0</v>
      </c>
      <c r="M37" s="16">
        <f>'O&amp;M_Detail - Elec'!P36</f>
        <v>0</v>
      </c>
      <c r="N37" s="16">
        <f>'O&amp;M_Detail - Elec'!Q36</f>
        <v>0</v>
      </c>
      <c r="O37" s="16">
        <f>'O&amp;M_Detail - Elec'!R36</f>
        <v>0</v>
      </c>
      <c r="P37" s="16">
        <f>'O&amp;M_Detail - Elec'!S36</f>
        <v>0</v>
      </c>
      <c r="Q37" s="16">
        <f>'O&amp;M_Detail - Elec'!T36</f>
        <v>0</v>
      </c>
      <c r="R37" s="16">
        <f>'O&amp;M_Detail - Elec'!U36</f>
        <v>0</v>
      </c>
      <c r="S37" s="16">
        <f>'O&amp;M_Detail - Elec'!V36</f>
        <v>0</v>
      </c>
      <c r="T37" s="16">
        <f>'O&amp;M_Detail - Elec'!W36</f>
        <v>0</v>
      </c>
      <c r="U37" s="16">
        <f>'O&amp;M_Detail - Elec'!X36</f>
        <v>0</v>
      </c>
      <c r="V37" s="16">
        <f>'O&amp;M_Detail - Elec'!Y36</f>
        <v>0</v>
      </c>
      <c r="W37" s="16">
        <f>'O&amp;M_Detail - Elec'!Z36</f>
        <v>0</v>
      </c>
      <c r="X37" s="13"/>
      <c r="Y37" s="13"/>
      <c r="Z37" s="13"/>
    </row>
    <row r="38" spans="1:26" ht="17.25" customHeight="1">
      <c r="A38" s="411"/>
      <c r="C38" s="236">
        <f>+MAX($C$9:C37)+1</f>
        <v>28</v>
      </c>
      <c r="D38" s="237">
        <v>541600</v>
      </c>
      <c r="E38" s="112" t="s">
        <v>744</v>
      </c>
      <c r="F38" s="16">
        <f>'O&amp;M_Detail - Elec'!I37</f>
        <v>3228.62</v>
      </c>
      <c r="G38" s="16">
        <f>'O&amp;M_Detail - Elec'!J37</f>
        <v>0</v>
      </c>
      <c r="H38" s="16">
        <f>'O&amp;M_Detail - Elec'!K37</f>
        <v>0</v>
      </c>
      <c r="I38" s="16">
        <f>'O&amp;M_Detail - Elec'!L37</f>
        <v>0</v>
      </c>
      <c r="J38" s="16">
        <f>'O&amp;M_Detail - Elec'!M37</f>
        <v>0</v>
      </c>
      <c r="K38" s="16">
        <f>'O&amp;M_Detail - Elec'!N37</f>
        <v>0</v>
      </c>
      <c r="L38" s="16">
        <f>'O&amp;M_Detail - Elec'!O37</f>
        <v>0</v>
      </c>
      <c r="M38" s="16">
        <f>'O&amp;M_Detail - Elec'!P37</f>
        <v>0</v>
      </c>
      <c r="N38" s="16">
        <f>'O&amp;M_Detail - Elec'!Q37</f>
        <v>0</v>
      </c>
      <c r="O38" s="16">
        <f>'O&amp;M_Detail - Elec'!R37</f>
        <v>0</v>
      </c>
      <c r="P38" s="16">
        <f>'O&amp;M_Detail - Elec'!S37</f>
        <v>0</v>
      </c>
      <c r="Q38" s="16">
        <f>'O&amp;M_Detail - Elec'!T37</f>
        <v>0</v>
      </c>
      <c r="R38" s="16">
        <f>'O&amp;M_Detail - Elec'!U37</f>
        <v>0</v>
      </c>
      <c r="S38" s="16">
        <f>'O&amp;M_Detail - Elec'!V37</f>
        <v>0</v>
      </c>
      <c r="T38" s="16">
        <f>'O&amp;M_Detail - Elec'!W37</f>
        <v>0</v>
      </c>
      <c r="U38" s="16">
        <f>'O&amp;M_Detail - Elec'!X37</f>
        <v>0</v>
      </c>
      <c r="V38" s="16">
        <f>'O&amp;M_Detail - Elec'!Y37</f>
        <v>0</v>
      </c>
      <c r="W38" s="16">
        <f>'O&amp;M_Detail - Elec'!Z37</f>
        <v>0</v>
      </c>
      <c r="X38" s="13"/>
      <c r="Y38" s="13"/>
      <c r="Z38" s="13"/>
    </row>
    <row r="39" spans="1:26" ht="17.25" customHeight="1">
      <c r="A39" s="411"/>
      <c r="C39" s="236">
        <f>+MAX($C$9:C38)+1</f>
        <v>29</v>
      </c>
      <c r="D39" s="237">
        <v>543010</v>
      </c>
      <c r="E39" s="112" t="s">
        <v>745</v>
      </c>
      <c r="F39" s="16">
        <f>'O&amp;M_Detail - Elec'!I38</f>
        <v>230.07</v>
      </c>
      <c r="G39" s="16">
        <f>'O&amp;M_Detail - Elec'!J38</f>
        <v>0</v>
      </c>
      <c r="H39" s="16">
        <f>'O&amp;M_Detail - Elec'!K38</f>
        <v>0</v>
      </c>
      <c r="I39" s="16">
        <f>'O&amp;M_Detail - Elec'!L38</f>
        <v>0</v>
      </c>
      <c r="J39" s="16">
        <f>'O&amp;M_Detail - Elec'!M38</f>
        <v>0</v>
      </c>
      <c r="K39" s="16">
        <f>'O&amp;M_Detail - Elec'!N38</f>
        <v>0</v>
      </c>
      <c r="L39" s="16">
        <f>'O&amp;M_Detail - Elec'!O38</f>
        <v>0</v>
      </c>
      <c r="M39" s="16">
        <f>'O&amp;M_Detail - Elec'!P38</f>
        <v>0</v>
      </c>
      <c r="N39" s="16">
        <f>'O&amp;M_Detail - Elec'!Q38</f>
        <v>0</v>
      </c>
      <c r="O39" s="16">
        <f>'O&amp;M_Detail - Elec'!R38</f>
        <v>0</v>
      </c>
      <c r="P39" s="16">
        <f>'O&amp;M_Detail - Elec'!S38</f>
        <v>0</v>
      </c>
      <c r="Q39" s="16">
        <f>'O&amp;M_Detail - Elec'!T38</f>
        <v>0</v>
      </c>
      <c r="R39" s="16">
        <f>'O&amp;M_Detail - Elec'!U38</f>
        <v>0</v>
      </c>
      <c r="S39" s="16">
        <f>'O&amp;M_Detail - Elec'!V38</f>
        <v>0</v>
      </c>
      <c r="T39" s="16">
        <f>'O&amp;M_Detail - Elec'!W38</f>
        <v>0</v>
      </c>
      <c r="U39" s="16">
        <f>'O&amp;M_Detail - Elec'!X38</f>
        <v>0</v>
      </c>
      <c r="V39" s="16">
        <f>'O&amp;M_Detail - Elec'!Y38</f>
        <v>0</v>
      </c>
      <c r="W39" s="16">
        <f>'O&amp;M_Detail - Elec'!Z38</f>
        <v>0</v>
      </c>
      <c r="X39" s="13"/>
      <c r="Y39" s="13"/>
      <c r="Z39" s="13"/>
    </row>
    <row r="40" spans="1:26" ht="17.25" customHeight="1">
      <c r="A40" s="411"/>
      <c r="C40" s="236">
        <f>+MAX($C$9:C39)+1</f>
        <v>30</v>
      </c>
      <c r="D40" s="237">
        <v>544500</v>
      </c>
      <c r="E40" s="112" t="s">
        <v>746</v>
      </c>
      <c r="F40" s="16">
        <f>'O&amp;M_Detail - Elec'!I39</f>
        <v>115251.9</v>
      </c>
      <c r="G40" s="16">
        <f>'O&amp;M_Detail - Elec'!J39</f>
        <v>140317.23000000001</v>
      </c>
      <c r="H40" s="16">
        <f>'O&amp;M_Detail - Elec'!K39</f>
        <v>118054.09</v>
      </c>
      <c r="I40" s="16">
        <f>'O&amp;M_Detail - Elec'!L39</f>
        <v>132077.76000000001</v>
      </c>
      <c r="J40" s="16">
        <f>'O&amp;M_Detail - Elec'!M39</f>
        <v>272196.27</v>
      </c>
      <c r="K40" s="16">
        <f>'O&amp;M_Detail - Elec'!N39</f>
        <v>259161.53</v>
      </c>
      <c r="L40" s="16">
        <f>'O&amp;M_Detail - Elec'!O39</f>
        <v>216716.9</v>
      </c>
      <c r="M40" s="16">
        <f>'O&amp;M_Detail - Elec'!P39</f>
        <v>235506.03119186158</v>
      </c>
      <c r="N40" s="16">
        <f>'O&amp;M_Detail - Elec'!Q39</f>
        <v>260087.21830454789</v>
      </c>
      <c r="O40" s="16">
        <f>'O&amp;M_Detail - Elec'!R39</f>
        <v>274465.98209040891</v>
      </c>
      <c r="P40" s="16">
        <f>'O&amp;M_Detail - Elec'!S39</f>
        <v>281254.55394580855</v>
      </c>
      <c r="Q40" s="16">
        <f>'O&amp;M_Detail - Elec'!T39</f>
        <v>291615.46744406206</v>
      </c>
      <c r="R40" s="16">
        <f>'O&amp;M_Detail - Elec'!U39</f>
        <v>298889.1054540964</v>
      </c>
      <c r="S40" s="16">
        <f>'O&amp;M_Detail - Elec'!V39</f>
        <v>306907.86473924399</v>
      </c>
      <c r="T40" s="16">
        <f>'O&amp;M_Detail - Elec'!W39</f>
        <v>319916.57146548224</v>
      </c>
      <c r="U40" s="16">
        <f>'O&amp;M_Detail - Elec'!X39</f>
        <v>328685.88326341863</v>
      </c>
      <c r="V40" s="16">
        <f>'O&amp;M_Detail - Elec'!Y39</f>
        <v>338146.45048222935</v>
      </c>
      <c r="W40" s="16">
        <f>'O&amp;M_Detail - Elec'!Z39</f>
        <v>353708.1538084675</v>
      </c>
      <c r="X40" s="13"/>
      <c r="Y40" s="13"/>
      <c r="Z40" s="13"/>
    </row>
    <row r="41" spans="1:26" ht="17.25" customHeight="1">
      <c r="A41" s="411"/>
      <c r="C41" s="236">
        <f>+MAX($C$9:C40)+1</f>
        <v>31</v>
      </c>
      <c r="D41" s="237">
        <v>544600</v>
      </c>
      <c r="E41" s="112" t="s">
        <v>747</v>
      </c>
      <c r="F41" s="16">
        <f>'O&amp;M_Detail - Elec'!I40</f>
        <v>107672.05</v>
      </c>
      <c r="G41" s="16">
        <f>'O&amp;M_Detail - Elec'!J40</f>
        <v>174562.48</v>
      </c>
      <c r="H41" s="16">
        <f>'O&amp;M_Detail - Elec'!K40</f>
        <v>332413.99</v>
      </c>
      <c r="I41" s="16">
        <f>'O&amp;M_Detail - Elec'!L40</f>
        <v>111576.87</v>
      </c>
      <c r="J41" s="16">
        <f>'O&amp;M_Detail - Elec'!M40</f>
        <v>119117.9</v>
      </c>
      <c r="K41" s="16">
        <f>'O&amp;M_Detail - Elec'!N40</f>
        <v>100724.7</v>
      </c>
      <c r="L41" s="16">
        <f>'O&amp;M_Detail - Elec'!O40</f>
        <v>121627.45</v>
      </c>
      <c r="M41" s="16">
        <f>'O&amp;M_Detail - Elec'!P40</f>
        <v>132172.4241786708</v>
      </c>
      <c r="N41" s="16">
        <f>'O&amp;M_Detail - Elec'!Q40</f>
        <v>145968.05851309004</v>
      </c>
      <c r="O41" s="16">
        <f>'O&amp;M_Detail - Elec'!R40</f>
        <v>154037.81391023082</v>
      </c>
      <c r="P41" s="16">
        <f>'O&amp;M_Detail - Elec'!S40</f>
        <v>157847.74605633493</v>
      </c>
      <c r="Q41" s="16">
        <f>'O&amp;M_Detail - Elec'!T40</f>
        <v>163662.57401143742</v>
      </c>
      <c r="R41" s="16">
        <f>'O&amp;M_Detail - Elec'!U40</f>
        <v>167744.7385467531</v>
      </c>
      <c r="S41" s="16">
        <f>'O&amp;M_Detail - Elec'!V40</f>
        <v>172245.08551561582</v>
      </c>
      <c r="T41" s="16">
        <f>'O&amp;M_Detail - Elec'!W40</f>
        <v>179545.92742923772</v>
      </c>
      <c r="U41" s="16">
        <f>'O&amp;M_Detail - Elec'!X40</f>
        <v>184467.50499073809</v>
      </c>
      <c r="V41" s="16">
        <f>'O&amp;M_Detail - Elec'!Y40</f>
        <v>189777.03399552515</v>
      </c>
      <c r="W41" s="16">
        <f>'O&amp;M_Detail - Elec'!Z40</f>
        <v>198510.68740800413</v>
      </c>
      <c r="X41" s="13"/>
      <c r="Y41" s="13"/>
      <c r="Z41" s="13"/>
    </row>
    <row r="42" spans="1:26" ht="17.25" customHeight="1">
      <c r="A42" s="411"/>
      <c r="C42" s="236">
        <f>+MAX($C$9:C41)+1</f>
        <v>32</v>
      </c>
      <c r="D42" s="237">
        <v>545010</v>
      </c>
      <c r="E42" s="112" t="s">
        <v>748</v>
      </c>
      <c r="F42" s="16">
        <f>'O&amp;M_Detail - Elec'!I41</f>
        <v>1.6</v>
      </c>
      <c r="G42" s="16">
        <f>'O&amp;M_Detail - Elec'!J41</f>
        <v>0</v>
      </c>
      <c r="H42" s="16">
        <f>'O&amp;M_Detail - Elec'!K41</f>
        <v>0</v>
      </c>
      <c r="I42" s="16">
        <f>'O&amp;M_Detail - Elec'!L41</f>
        <v>0</v>
      </c>
      <c r="J42" s="16">
        <f>'O&amp;M_Detail - Elec'!M41</f>
        <v>0</v>
      </c>
      <c r="K42" s="16">
        <f>'O&amp;M_Detail - Elec'!N41</f>
        <v>0</v>
      </c>
      <c r="L42" s="16">
        <f>'O&amp;M_Detail - Elec'!O41</f>
        <v>0</v>
      </c>
      <c r="M42" s="16">
        <f>'O&amp;M_Detail - Elec'!P41</f>
        <v>0</v>
      </c>
      <c r="N42" s="16">
        <f>'O&amp;M_Detail - Elec'!Q41</f>
        <v>0</v>
      </c>
      <c r="O42" s="16">
        <f>'O&amp;M_Detail - Elec'!R41</f>
        <v>0</v>
      </c>
      <c r="P42" s="16">
        <f>'O&amp;M_Detail - Elec'!S41</f>
        <v>0</v>
      </c>
      <c r="Q42" s="16">
        <f>'O&amp;M_Detail - Elec'!T41</f>
        <v>0</v>
      </c>
      <c r="R42" s="16">
        <f>'O&amp;M_Detail - Elec'!U41</f>
        <v>0</v>
      </c>
      <c r="S42" s="16">
        <f>'O&amp;M_Detail - Elec'!V41</f>
        <v>0</v>
      </c>
      <c r="T42" s="16">
        <f>'O&amp;M_Detail - Elec'!W41</f>
        <v>0</v>
      </c>
      <c r="U42" s="16">
        <f>'O&amp;M_Detail - Elec'!X41</f>
        <v>0</v>
      </c>
      <c r="V42" s="16">
        <f>'O&amp;M_Detail - Elec'!Y41</f>
        <v>0</v>
      </c>
      <c r="W42" s="16">
        <f>'O&amp;M_Detail - Elec'!Z41</f>
        <v>0</v>
      </c>
      <c r="X42" s="13"/>
      <c r="Y42" s="13"/>
      <c r="Z42" s="13"/>
    </row>
    <row r="43" spans="1:26" ht="17.25" customHeight="1">
      <c r="A43" s="411"/>
      <c r="C43" s="236">
        <f>+MAX($C$9:C42)+1</f>
        <v>33</v>
      </c>
      <c r="D43" s="237">
        <v>545500</v>
      </c>
      <c r="E43" s="112" t="s">
        <v>749</v>
      </c>
      <c r="F43" s="16">
        <f>'O&amp;M_Detail - Elec'!I42</f>
        <v>5372.95</v>
      </c>
      <c r="G43" s="16">
        <f>'O&amp;M_Detail - Elec'!J42</f>
        <v>0</v>
      </c>
      <c r="H43" s="16">
        <f>'O&amp;M_Detail - Elec'!K42</f>
        <v>0</v>
      </c>
      <c r="I43" s="16">
        <f>'O&amp;M_Detail - Elec'!L42</f>
        <v>0</v>
      </c>
      <c r="J43" s="16">
        <f>'O&amp;M_Detail - Elec'!M42</f>
        <v>0</v>
      </c>
      <c r="K43" s="16">
        <f>'O&amp;M_Detail - Elec'!N42</f>
        <v>0</v>
      </c>
      <c r="L43" s="16">
        <f>'O&amp;M_Detail - Elec'!O42</f>
        <v>0</v>
      </c>
      <c r="M43" s="16">
        <f>'O&amp;M_Detail - Elec'!P42</f>
        <v>0</v>
      </c>
      <c r="N43" s="16">
        <f>'O&amp;M_Detail - Elec'!Q42</f>
        <v>0</v>
      </c>
      <c r="O43" s="16">
        <f>'O&amp;M_Detail - Elec'!R42</f>
        <v>0</v>
      </c>
      <c r="P43" s="16">
        <f>'O&amp;M_Detail - Elec'!S42</f>
        <v>0</v>
      </c>
      <c r="Q43" s="16">
        <f>'O&amp;M_Detail - Elec'!T42</f>
        <v>0</v>
      </c>
      <c r="R43" s="16">
        <f>'O&amp;M_Detail - Elec'!U42</f>
        <v>0</v>
      </c>
      <c r="S43" s="16">
        <f>'O&amp;M_Detail - Elec'!V42</f>
        <v>0</v>
      </c>
      <c r="T43" s="16">
        <f>'O&amp;M_Detail - Elec'!W42</f>
        <v>0</v>
      </c>
      <c r="U43" s="16">
        <f>'O&amp;M_Detail - Elec'!X42</f>
        <v>0</v>
      </c>
      <c r="V43" s="16">
        <f>'O&amp;M_Detail - Elec'!Y42</f>
        <v>0</v>
      </c>
      <c r="W43" s="16">
        <f>'O&amp;M_Detail - Elec'!Z42</f>
        <v>0</v>
      </c>
      <c r="X43" s="13"/>
      <c r="Y43" s="13"/>
      <c r="Z43" s="13"/>
    </row>
    <row r="44" spans="1:26" ht="17.25" customHeight="1">
      <c r="A44" s="411"/>
      <c r="C44" s="236">
        <f>+MAX($C$9:C43)+1</f>
        <v>34</v>
      </c>
      <c r="D44" s="237">
        <v>547010</v>
      </c>
      <c r="E44" s="112" t="s">
        <v>750</v>
      </c>
      <c r="F44" s="16">
        <f>'O&amp;M_Detail - Elec'!I43</f>
        <v>0</v>
      </c>
      <c r="G44" s="16">
        <f>'O&amp;M_Detail - Elec'!J43</f>
        <v>0</v>
      </c>
      <c r="H44" s="16">
        <f>'O&amp;M_Detail - Elec'!K43</f>
        <v>0</v>
      </c>
      <c r="I44" s="16">
        <f>'O&amp;M_Detail - Elec'!L43</f>
        <v>0</v>
      </c>
      <c r="J44" s="16">
        <f>'O&amp;M_Detail - Elec'!M43</f>
        <v>0</v>
      </c>
      <c r="K44" s="16">
        <f>'O&amp;M_Detail - Elec'!N43</f>
        <v>0</v>
      </c>
      <c r="L44" s="16">
        <f>'O&amp;M_Detail - Elec'!O43</f>
        <v>0</v>
      </c>
      <c r="M44" s="16">
        <f>'O&amp;M_Detail - Elec'!P43</f>
        <v>0</v>
      </c>
      <c r="N44" s="16">
        <f>'O&amp;M_Detail - Elec'!Q43</f>
        <v>0</v>
      </c>
      <c r="O44" s="16">
        <f>'O&amp;M_Detail - Elec'!R43</f>
        <v>0</v>
      </c>
      <c r="P44" s="16">
        <f>'O&amp;M_Detail - Elec'!S43</f>
        <v>0</v>
      </c>
      <c r="Q44" s="16">
        <f>'O&amp;M_Detail - Elec'!T43</f>
        <v>0</v>
      </c>
      <c r="R44" s="16">
        <f>'O&amp;M_Detail - Elec'!U43</f>
        <v>0</v>
      </c>
      <c r="S44" s="16">
        <f>'O&amp;M_Detail - Elec'!V43</f>
        <v>0</v>
      </c>
      <c r="T44" s="16">
        <f>'O&amp;M_Detail - Elec'!W43</f>
        <v>0</v>
      </c>
      <c r="U44" s="16">
        <f>'O&amp;M_Detail - Elec'!X43</f>
        <v>0</v>
      </c>
      <c r="V44" s="16">
        <f>'O&amp;M_Detail - Elec'!Y43</f>
        <v>0</v>
      </c>
      <c r="W44" s="16">
        <f>'O&amp;M_Detail - Elec'!Z43</f>
        <v>0</v>
      </c>
      <c r="X44" s="13"/>
      <c r="Y44" s="13"/>
      <c r="Z44" s="13"/>
    </row>
    <row r="45" spans="1:26" ht="17.25" customHeight="1">
      <c r="A45" s="411"/>
      <c r="C45" s="236">
        <f>+MAX($C$9:C44)+1</f>
        <v>35</v>
      </c>
      <c r="D45" s="237">
        <v>548010</v>
      </c>
      <c r="E45" s="112" t="s">
        <v>751</v>
      </c>
      <c r="F45" s="16">
        <f>'O&amp;M_Detail - Elec'!I44</f>
        <v>0</v>
      </c>
      <c r="G45" s="16">
        <f>'O&amp;M_Detail - Elec'!J44</f>
        <v>0</v>
      </c>
      <c r="H45" s="16">
        <f>'O&amp;M_Detail - Elec'!K44</f>
        <v>0</v>
      </c>
      <c r="I45" s="16">
        <f>'O&amp;M_Detail - Elec'!L44</f>
        <v>0</v>
      </c>
      <c r="J45" s="16">
        <f>'O&amp;M_Detail - Elec'!M44</f>
        <v>0</v>
      </c>
      <c r="K45" s="16">
        <f>'O&amp;M_Detail - Elec'!N44</f>
        <v>0</v>
      </c>
      <c r="L45" s="16">
        <f>'O&amp;M_Detail - Elec'!O44</f>
        <v>0</v>
      </c>
      <c r="M45" s="16">
        <f>'O&amp;M_Detail - Elec'!P44</f>
        <v>0</v>
      </c>
      <c r="N45" s="16">
        <f>'O&amp;M_Detail - Elec'!Q44</f>
        <v>0</v>
      </c>
      <c r="O45" s="16">
        <f>'O&amp;M_Detail - Elec'!R44</f>
        <v>0</v>
      </c>
      <c r="P45" s="16">
        <f>'O&amp;M_Detail - Elec'!S44</f>
        <v>0</v>
      </c>
      <c r="Q45" s="16">
        <f>'O&amp;M_Detail - Elec'!T44</f>
        <v>0</v>
      </c>
      <c r="R45" s="16">
        <f>'O&amp;M_Detail - Elec'!U44</f>
        <v>0</v>
      </c>
      <c r="S45" s="16">
        <f>'O&amp;M_Detail - Elec'!V44</f>
        <v>0</v>
      </c>
      <c r="T45" s="16">
        <f>'O&amp;M_Detail - Elec'!W44</f>
        <v>0</v>
      </c>
      <c r="U45" s="16">
        <f>'O&amp;M_Detail - Elec'!X44</f>
        <v>0</v>
      </c>
      <c r="V45" s="16">
        <f>'O&amp;M_Detail - Elec'!Y44</f>
        <v>0</v>
      </c>
      <c r="W45" s="16">
        <f>'O&amp;M_Detail - Elec'!Z44</f>
        <v>0</v>
      </c>
      <c r="X45" s="13"/>
      <c r="Y45" s="13"/>
      <c r="Z45" s="13"/>
    </row>
    <row r="46" spans="1:26" ht="17.25" customHeight="1">
      <c r="A46" s="411"/>
      <c r="C46" s="236">
        <f>+MAX($C$9:C45)+1</f>
        <v>36</v>
      </c>
      <c r="D46" s="237">
        <v>549000</v>
      </c>
      <c r="E46" s="112" t="s">
        <v>752</v>
      </c>
      <c r="F46" s="16">
        <f>'O&amp;M_Detail - Elec'!I45</f>
        <v>0</v>
      </c>
      <c r="G46" s="16">
        <f>'O&amp;M_Detail - Elec'!J45</f>
        <v>0</v>
      </c>
      <c r="H46" s="16">
        <f>'O&amp;M_Detail - Elec'!K45</f>
        <v>0</v>
      </c>
      <c r="I46" s="16">
        <f>'O&amp;M_Detail - Elec'!L45</f>
        <v>147537.82</v>
      </c>
      <c r="J46" s="16">
        <f>'O&amp;M_Detail - Elec'!M45</f>
        <v>0</v>
      </c>
      <c r="K46" s="16">
        <f>'O&amp;M_Detail - Elec'!N45</f>
        <v>0</v>
      </c>
      <c r="L46" s="16">
        <f>'O&amp;M_Detail - Elec'!O45</f>
        <v>0</v>
      </c>
      <c r="M46" s="16">
        <f>'O&amp;M_Detail - Elec'!P45</f>
        <v>0</v>
      </c>
      <c r="N46" s="16">
        <f>'O&amp;M_Detail - Elec'!Q45</f>
        <v>0</v>
      </c>
      <c r="O46" s="16">
        <f>'O&amp;M_Detail - Elec'!R45</f>
        <v>0</v>
      </c>
      <c r="P46" s="16">
        <f>'O&amp;M_Detail - Elec'!S45</f>
        <v>0</v>
      </c>
      <c r="Q46" s="16">
        <f>'O&amp;M_Detail - Elec'!T45</f>
        <v>0</v>
      </c>
      <c r="R46" s="16">
        <f>'O&amp;M_Detail - Elec'!U45</f>
        <v>0</v>
      </c>
      <c r="S46" s="16">
        <f>'O&amp;M_Detail - Elec'!V45</f>
        <v>0</v>
      </c>
      <c r="T46" s="16">
        <f>'O&amp;M_Detail - Elec'!W45</f>
        <v>0</v>
      </c>
      <c r="U46" s="16">
        <f>'O&amp;M_Detail - Elec'!X45</f>
        <v>0</v>
      </c>
      <c r="V46" s="16">
        <f>'O&amp;M_Detail - Elec'!Y45</f>
        <v>0</v>
      </c>
      <c r="W46" s="16">
        <f>'O&amp;M_Detail - Elec'!Z45</f>
        <v>0</v>
      </c>
      <c r="X46" s="13"/>
      <c r="Y46" s="13"/>
      <c r="Z46" s="13"/>
    </row>
    <row r="47" spans="1:26" ht="17.25" customHeight="1">
      <c r="A47" s="411"/>
      <c r="C47" s="236">
        <f>+MAX($C$9:C46)+1</f>
        <v>37</v>
      </c>
      <c r="D47" s="237">
        <v>550000</v>
      </c>
      <c r="E47" s="112" t="s">
        <v>311</v>
      </c>
      <c r="F47" s="16">
        <f>'O&amp;M_Detail - Elec'!I46</f>
        <v>0</v>
      </c>
      <c r="G47" s="16">
        <f>'O&amp;M_Detail - Elec'!J46</f>
        <v>0</v>
      </c>
      <c r="H47" s="16">
        <f>'O&amp;M_Detail - Elec'!K46</f>
        <v>0</v>
      </c>
      <c r="I47" s="16">
        <f>'O&amp;M_Detail - Elec'!L46</f>
        <v>0</v>
      </c>
      <c r="J47" s="16">
        <f>'O&amp;M_Detail - Elec'!M46</f>
        <v>0</v>
      </c>
      <c r="K47" s="16">
        <f>'O&amp;M_Detail - Elec'!N46</f>
        <v>0</v>
      </c>
      <c r="L47" s="16">
        <f>'O&amp;M_Detail - Elec'!O46</f>
        <v>0</v>
      </c>
      <c r="M47" s="16">
        <f>'O&amp;M_Detail - Elec'!P46</f>
        <v>0</v>
      </c>
      <c r="N47" s="16">
        <f>'O&amp;M_Detail - Elec'!Q46</f>
        <v>0</v>
      </c>
      <c r="O47" s="16">
        <f>'O&amp;M_Detail - Elec'!R46</f>
        <v>0</v>
      </c>
      <c r="P47" s="16">
        <f>'O&amp;M_Detail - Elec'!S46</f>
        <v>0</v>
      </c>
      <c r="Q47" s="16">
        <f>'O&amp;M_Detail - Elec'!T46</f>
        <v>0</v>
      </c>
      <c r="R47" s="16">
        <f>'O&amp;M_Detail - Elec'!U46</f>
        <v>0</v>
      </c>
      <c r="S47" s="16">
        <f>'O&amp;M_Detail - Elec'!V46</f>
        <v>0</v>
      </c>
      <c r="T47" s="16">
        <f>'O&amp;M_Detail - Elec'!W46</f>
        <v>0</v>
      </c>
      <c r="U47" s="16">
        <f>'O&amp;M_Detail - Elec'!X46</f>
        <v>0</v>
      </c>
      <c r="V47" s="16">
        <f>'O&amp;M_Detail - Elec'!Y46</f>
        <v>0</v>
      </c>
      <c r="W47" s="16">
        <f>'O&amp;M_Detail - Elec'!Z46</f>
        <v>0</v>
      </c>
      <c r="X47" s="13"/>
      <c r="Y47" s="13"/>
      <c r="Z47" s="13"/>
    </row>
    <row r="48" spans="1:26" ht="17.25" customHeight="1">
      <c r="A48" s="411"/>
      <c r="C48" s="236">
        <f>+MAX($C$9:C47)+1</f>
        <v>38</v>
      </c>
      <c r="D48" s="112"/>
      <c r="E48" s="238" t="s">
        <v>684</v>
      </c>
      <c r="F48" s="239">
        <f>SUM(F26:F47)</f>
        <v>286137.18</v>
      </c>
      <c r="G48" s="239">
        <f t="shared" ref="G48:W48" si="1">SUM(G26:G47)</f>
        <v>451580.23</v>
      </c>
      <c r="H48" s="239">
        <f t="shared" si="1"/>
        <v>533195.57999999996</v>
      </c>
      <c r="I48" s="239">
        <f t="shared" si="1"/>
        <v>461071.88</v>
      </c>
      <c r="J48" s="239">
        <f t="shared" si="1"/>
        <v>464652.82000000007</v>
      </c>
      <c r="K48" s="239">
        <f t="shared" si="1"/>
        <v>405417.2</v>
      </c>
      <c r="L48" s="239">
        <f t="shared" si="1"/>
        <v>418725.12</v>
      </c>
      <c r="M48" s="239">
        <f t="shared" si="1"/>
        <v>455028.15503329912</v>
      </c>
      <c r="N48" s="239">
        <f t="shared" si="1"/>
        <v>502522.19229343906</v>
      </c>
      <c r="O48" s="239">
        <f t="shared" si="1"/>
        <v>530303.82626700692</v>
      </c>
      <c r="P48" s="239">
        <f t="shared" si="1"/>
        <v>543420.22634831513</v>
      </c>
      <c r="Q48" s="239">
        <f t="shared" si="1"/>
        <v>563438.85317375325</v>
      </c>
      <c r="R48" s="239">
        <f t="shared" si="1"/>
        <v>577492.46389164461</v>
      </c>
      <c r="S48" s="239">
        <f t="shared" si="1"/>
        <v>592985.74542125559</v>
      </c>
      <c r="T48" s="239">
        <f t="shared" si="1"/>
        <v>618120.2517056705</v>
      </c>
      <c r="U48" s="239">
        <f t="shared" si="1"/>
        <v>635063.69790164474</v>
      </c>
      <c r="V48" s="239">
        <f t="shared" si="1"/>
        <v>653342.73910223681</v>
      </c>
      <c r="W48" s="239">
        <f t="shared" si="1"/>
        <v>683409.9654822906</v>
      </c>
      <c r="X48" s="13"/>
      <c r="Y48" s="13"/>
      <c r="Z48" s="13"/>
    </row>
    <row r="49" spans="1:26" ht="6" customHeight="1">
      <c r="A49" s="411"/>
      <c r="C49" s="236"/>
      <c r="D49" s="112"/>
      <c r="E49" s="240"/>
      <c r="F49" s="2"/>
      <c r="G49" s="2"/>
      <c r="H49" s="2"/>
      <c r="I49" s="2"/>
      <c r="J49" s="2"/>
      <c r="K49" s="2"/>
      <c r="L49" s="2"/>
      <c r="M49" s="2"/>
      <c r="N49" s="2"/>
      <c r="O49" s="2"/>
      <c r="P49" s="2"/>
      <c r="Q49" s="2"/>
      <c r="R49" s="2"/>
      <c r="S49" s="2"/>
      <c r="T49" s="2"/>
      <c r="U49" s="2"/>
      <c r="V49" s="2"/>
      <c r="W49" s="2"/>
      <c r="X49" s="13"/>
      <c r="Y49" s="13"/>
      <c r="Z49" s="13"/>
    </row>
    <row r="50" spans="1:26" ht="17.25" customHeight="1">
      <c r="A50" s="411"/>
      <c r="C50" s="236"/>
      <c r="D50" s="120" t="s">
        <v>889</v>
      </c>
      <c r="E50" s="112"/>
      <c r="F50" s="16"/>
      <c r="G50" s="235"/>
      <c r="H50" s="235"/>
      <c r="I50" s="235"/>
      <c r="J50" s="235"/>
      <c r="K50" s="235"/>
      <c r="L50" s="235"/>
      <c r="M50" s="235"/>
      <c r="N50" s="235"/>
      <c r="O50" s="235"/>
      <c r="P50" s="235"/>
      <c r="Q50" s="235"/>
      <c r="R50" s="235"/>
      <c r="S50" s="235"/>
      <c r="T50" s="235"/>
      <c r="U50" s="235"/>
      <c r="V50" s="235"/>
      <c r="W50" s="235"/>
      <c r="X50" s="13"/>
      <c r="Y50" s="13"/>
      <c r="Z50" s="13"/>
    </row>
    <row r="51" spans="1:26" ht="17.25" customHeight="1">
      <c r="A51" s="411"/>
      <c r="C51" s="236">
        <f>+MAX($C$9:C50)+1</f>
        <v>39</v>
      </c>
      <c r="D51" s="237">
        <f>'O&amp;M_Detail - Elec'!D49</f>
        <v>560000</v>
      </c>
      <c r="E51" s="112" t="str">
        <f>'O&amp;M_Detail - Elec'!E49</f>
        <v>T/OPERS-SUPV &amp; ENG</v>
      </c>
      <c r="F51" s="16">
        <f>'O&amp;M_Detail - Elec'!I49</f>
        <v>37803.360000000001</v>
      </c>
      <c r="G51" s="16">
        <f>'O&amp;M_Detail - Elec'!J49</f>
        <v>135343.44</v>
      </c>
      <c r="H51" s="16">
        <f>'O&amp;M_Detail - Elec'!K49</f>
        <v>138316.99</v>
      </c>
      <c r="I51" s="16">
        <f>'O&amp;M_Detail - Elec'!L49</f>
        <v>222610.73</v>
      </c>
      <c r="J51" s="16">
        <f>'O&amp;M_Detail - Elec'!M49</f>
        <v>106557.15</v>
      </c>
      <c r="K51" s="16">
        <f>'O&amp;M_Detail - Elec'!N49</f>
        <v>110398.35</v>
      </c>
      <c r="L51" s="16">
        <f>'O&amp;M_Detail - Elec'!O49</f>
        <v>109222.59</v>
      </c>
      <c r="M51" s="16">
        <f>'O&amp;M_Detail - Elec'!P49</f>
        <v>86927.320070722853</v>
      </c>
      <c r="N51" s="16">
        <f>'O&amp;M_Detail - Elec'!Q49</f>
        <v>94080.553097659809</v>
      </c>
      <c r="O51" s="16">
        <f>'O&amp;M_Detail - Elec'!R49</f>
        <v>99459.582039505753</v>
      </c>
      <c r="P51" s="16">
        <f>'O&amp;M_Detail - Elec'!S49</f>
        <v>102243.97658460141</v>
      </c>
      <c r="Q51" s="16">
        <f>'O&amp;M_Detail - Elec'!T49</f>
        <v>106355.2016800221</v>
      </c>
      <c r="R51" s="16">
        <f>'O&amp;M_Detail - Elec'!U49</f>
        <v>109274.531673862</v>
      </c>
      <c r="S51" s="16">
        <f>'O&amp;M_Detail - Elec'!V49</f>
        <v>112603.5737123757</v>
      </c>
      <c r="T51" s="16">
        <f>'O&amp;M_Detail - Elec'!W49</f>
        <v>117832.33370321582</v>
      </c>
      <c r="U51" s="16">
        <f>'O&amp;M_Detail - Elec'!X49</f>
        <v>121430.21571194817</v>
      </c>
      <c r="V51" s="16">
        <f>'O&amp;M_Detail - Elec'!Y49</f>
        <v>125336.8347933263</v>
      </c>
      <c r="W51" s="16">
        <f>'O&amp;M_Detail - Elec'!Z49</f>
        <v>131625.78833291138</v>
      </c>
      <c r="X51" s="13"/>
      <c r="Y51" s="13"/>
      <c r="Z51" s="13"/>
    </row>
    <row r="52" spans="1:26" ht="17.25" customHeight="1">
      <c r="A52" s="411"/>
      <c r="C52" s="236">
        <f>+MAX($C$9:C51)+1</f>
        <v>40</v>
      </c>
      <c r="D52" s="237">
        <f>'O&amp;M_Detail - Elec'!D50</f>
        <v>561000</v>
      </c>
      <c r="E52" s="112" t="str">
        <f>'O&amp;M_Detail - Elec'!E50</f>
        <v>T/OPERS-LOAD DISPATCHING</v>
      </c>
      <c r="F52" s="16">
        <f>'O&amp;M_Detail - Elec'!I50</f>
        <v>43569.64</v>
      </c>
      <c r="G52" s="16">
        <f>'O&amp;M_Detail - Elec'!J50</f>
        <v>166265.85</v>
      </c>
      <c r="H52" s="16">
        <f>'O&amp;M_Detail - Elec'!K50</f>
        <v>250897.7</v>
      </c>
      <c r="I52" s="16">
        <f>'O&amp;M_Detail - Elec'!L50</f>
        <v>109460.95</v>
      </c>
      <c r="J52" s="16">
        <f>'O&amp;M_Detail - Elec'!M50</f>
        <v>137793.48000000001</v>
      </c>
      <c r="K52" s="16">
        <f>'O&amp;M_Detail - Elec'!N50</f>
        <v>206066.18</v>
      </c>
      <c r="L52" s="16">
        <f>'O&amp;M_Detail - Elec'!O50</f>
        <v>347295.07</v>
      </c>
      <c r="M52" s="16">
        <f>'O&amp;M_Detail - Elec'!P50</f>
        <v>276402.80008809629</v>
      </c>
      <c r="N52" s="16">
        <f>'O&amp;M_Detail - Elec'!Q50</f>
        <v>299147.93518163671</v>
      </c>
      <c r="O52" s="16">
        <f>'O&amp;M_Detail - Elec'!R50</f>
        <v>316251.63353644055</v>
      </c>
      <c r="P52" s="16">
        <f>'O&amp;M_Detail - Elec'!S50</f>
        <v>325105.17288619059</v>
      </c>
      <c r="Q52" s="16">
        <f>'O&amp;M_Detail - Elec'!T50</f>
        <v>338177.63534381852</v>
      </c>
      <c r="R52" s="16">
        <f>'O&amp;M_Detail - Elec'!U50</f>
        <v>347460.22894065344</v>
      </c>
      <c r="S52" s="16">
        <f>'O&amp;M_Detail - Elec'!V50</f>
        <v>358045.58392810205</v>
      </c>
      <c r="T52" s="16">
        <f>'O&amp;M_Detail - Elec'!W50</f>
        <v>374671.47209859884</v>
      </c>
      <c r="U52" s="16">
        <f>'O&amp;M_Detail - Elec'!X50</f>
        <v>386111.65754077194</v>
      </c>
      <c r="V52" s="16">
        <f>'O&amp;M_Detail - Elec'!Y50</f>
        <v>398533.53425446787</v>
      </c>
      <c r="W52" s="16">
        <f>'O&amp;M_Detail - Elec'!Z50</f>
        <v>418530.5198575097</v>
      </c>
      <c r="X52" s="13"/>
      <c r="Y52" s="13"/>
      <c r="Z52" s="13"/>
    </row>
    <row r="53" spans="1:26" ht="17.25" customHeight="1">
      <c r="A53" s="411"/>
      <c r="C53" s="236">
        <f>+MAX($C$9:C52)+1</f>
        <v>41</v>
      </c>
      <c r="D53" s="237">
        <f>'O&amp;M_Detail - Elec'!D51</f>
        <v>561010</v>
      </c>
      <c r="E53" s="112" t="str">
        <f>'O&amp;M_Detail - Elec'!E51</f>
        <v>T/OPERS-LOAD DISPATCH-GEN</v>
      </c>
      <c r="F53" s="16">
        <f>'O&amp;M_Detail - Elec'!I51</f>
        <v>561558.15</v>
      </c>
      <c r="G53" s="16">
        <f>'O&amp;M_Detail - Elec'!J51</f>
        <v>594760.62</v>
      </c>
      <c r="H53" s="16">
        <f>'O&amp;M_Detail - Elec'!K51</f>
        <v>645772.05000000005</v>
      </c>
      <c r="I53" s="16">
        <f>'O&amp;M_Detail - Elec'!L51</f>
        <v>681673.91</v>
      </c>
      <c r="J53" s="16">
        <f>'O&amp;M_Detail - Elec'!M51</f>
        <v>727917.95</v>
      </c>
      <c r="K53" s="16">
        <f>'O&amp;M_Detail - Elec'!N51</f>
        <v>787799.51</v>
      </c>
      <c r="L53" s="16">
        <f>'O&amp;M_Detail - Elec'!O51</f>
        <v>835320.65</v>
      </c>
      <c r="M53" s="16">
        <f>'O&amp;M_Detail - Elec'!P51</f>
        <v>664809.22585917683</v>
      </c>
      <c r="N53" s="16">
        <f>'O&amp;M_Detail - Elec'!Q51</f>
        <v>719516.25360556552</v>
      </c>
      <c r="O53" s="16">
        <f>'O&amp;M_Detail - Elec'!R51</f>
        <v>760654.39134860528</v>
      </c>
      <c r="P53" s="16">
        <f>'O&amp;M_Detail - Elec'!S51</f>
        <v>781949.09111049306</v>
      </c>
      <c r="Q53" s="16">
        <f>'O&amp;M_Detail - Elec'!T51</f>
        <v>813391.2242718027</v>
      </c>
      <c r="R53" s="16">
        <f>'O&amp;M_Detail - Elec'!U51</f>
        <v>835717.89339784009</v>
      </c>
      <c r="S53" s="16">
        <f>'O&amp;M_Detail - Elec'!V51</f>
        <v>861177.98878184974</v>
      </c>
      <c r="T53" s="16">
        <f>'O&amp;M_Detail - Elec'!W51</f>
        <v>901166.88846132602</v>
      </c>
      <c r="U53" s="16">
        <f>'O&amp;M_Detail - Elec'!X51</f>
        <v>928683.03817135957</v>
      </c>
      <c r="V53" s="16">
        <f>'O&amp;M_Detail - Elec'!Y51</f>
        <v>958560.37023571727</v>
      </c>
      <c r="W53" s="16">
        <f>'O&amp;M_Detail - Elec'!Z51</f>
        <v>1006657.4970160471</v>
      </c>
      <c r="X53" s="13"/>
      <c r="Y53" s="13"/>
      <c r="Z53" s="13"/>
    </row>
    <row r="54" spans="1:26" ht="17.25" customHeight="1">
      <c r="A54" s="411"/>
      <c r="C54" s="236">
        <f>+MAX($C$9:C53)+1</f>
        <v>42</v>
      </c>
      <c r="D54" s="237">
        <f>'O&amp;M_Detail - Elec'!D52</f>
        <v>561500</v>
      </c>
      <c r="E54" s="112" t="str">
        <f>'O&amp;M_Detail - Elec'!E52</f>
        <v>T/OPERS-LOAD DISPATCH, QC</v>
      </c>
      <c r="F54" s="16">
        <f>'O&amp;M_Detail - Elec'!I52</f>
        <v>1111.51</v>
      </c>
      <c r="G54" s="16">
        <f>'O&amp;M_Detail - Elec'!J52</f>
        <v>881.72</v>
      </c>
      <c r="H54" s="16">
        <f>'O&amp;M_Detail - Elec'!K52</f>
        <v>1024.94</v>
      </c>
      <c r="I54" s="16">
        <f>'O&amp;M_Detail - Elec'!L52</f>
        <v>1053.99</v>
      </c>
      <c r="J54" s="16">
        <f>'O&amp;M_Detail - Elec'!M52</f>
        <v>1190.0999999999999</v>
      </c>
      <c r="K54" s="16">
        <f>'O&amp;M_Detail - Elec'!N52</f>
        <v>1040.56</v>
      </c>
      <c r="L54" s="16">
        <f>'O&amp;M_Detail - Elec'!O52</f>
        <v>1157.52</v>
      </c>
      <c r="M54" s="16">
        <f>'O&amp;M_Detail - Elec'!P52</f>
        <v>921.23901775505522</v>
      </c>
      <c r="N54" s="16">
        <f>'O&amp;M_Detail - Elec'!Q52</f>
        <v>997.04760545966883</v>
      </c>
      <c r="O54" s="16">
        <f>'O&amp;M_Detail - Elec'!R52</f>
        <v>1054.0535195362854</v>
      </c>
      <c r="P54" s="16">
        <f>'O&amp;M_Detail - Elec'!S52</f>
        <v>1083.5619973506198</v>
      </c>
      <c r="Q54" s="16">
        <f>'O&amp;M_Detail - Elec'!T52</f>
        <v>1127.1319701232062</v>
      </c>
      <c r="R54" s="16">
        <f>'O&amp;M_Detail - Elec'!U52</f>
        <v>1158.0704678686777</v>
      </c>
      <c r="S54" s="16">
        <f>'O&amp;M_Detail - Elec'!V52</f>
        <v>1193.3510150560348</v>
      </c>
      <c r="T54" s="16">
        <f>'O&amp;M_Detail - Elec'!W52</f>
        <v>1248.7644076939246</v>
      </c>
      <c r="U54" s="16">
        <f>'O&amp;M_Detail - Elec'!X52</f>
        <v>1286.8940691746482</v>
      </c>
      <c r="V54" s="16">
        <f>'O&amp;M_Detail - Elec'!Y52</f>
        <v>1328.2956667661063</v>
      </c>
      <c r="W54" s="16">
        <f>'O&amp;M_Detail - Elec'!Z52</f>
        <v>1394.9447867067752</v>
      </c>
    </row>
    <row r="55" spans="1:26" ht="17.25" customHeight="1">
      <c r="A55" s="411"/>
      <c r="C55" s="236">
        <f>+MAX($C$9:C54)+1</f>
        <v>43</v>
      </c>
      <c r="D55" s="237">
        <f>'O&amp;M_Detail - Elec'!D53</f>
        <v>561600</v>
      </c>
      <c r="E55" s="112" t="str">
        <f>'O&amp;M_Detail - Elec'!E53</f>
        <v>T/OPERS-LOAD DISPATCH, PEC</v>
      </c>
      <c r="F55" s="16">
        <f>'O&amp;M_Detail - Elec'!I53</f>
        <v>889.46</v>
      </c>
      <c r="G55" s="16">
        <f>'O&amp;M_Detail - Elec'!J53</f>
        <v>797.68</v>
      </c>
      <c r="H55" s="16">
        <f>'O&amp;M_Detail - Elec'!K53</f>
        <v>558.79999999999995</v>
      </c>
      <c r="I55" s="16">
        <f>'O&amp;M_Detail - Elec'!L53</f>
        <v>967.95</v>
      </c>
      <c r="J55" s="16">
        <f>'O&amp;M_Detail - Elec'!M53</f>
        <v>870.68</v>
      </c>
      <c r="K55" s="16">
        <f>'O&amp;M_Detail - Elec'!N53</f>
        <v>985.69</v>
      </c>
      <c r="L55" s="16">
        <f>'O&amp;M_Detail - Elec'!O53</f>
        <v>945.96</v>
      </c>
      <c r="M55" s="16">
        <f>'O&amp;M_Detail - Elec'!P53</f>
        <v>752.86410708719689</v>
      </c>
      <c r="N55" s="16">
        <f>'O&amp;M_Detail - Elec'!Q53</f>
        <v>814.81715465877778</v>
      </c>
      <c r="O55" s="16">
        <f>'O&amp;M_Detail - Elec'!R53</f>
        <v>861.4040943919282</v>
      </c>
      <c r="P55" s="16">
        <f>'O&amp;M_Detail - Elec'!S53</f>
        <v>885.51930594183455</v>
      </c>
      <c r="Q55" s="16">
        <f>'O&amp;M_Detail - Elec'!T53</f>
        <v>921.12599217097591</v>
      </c>
      <c r="R55" s="16">
        <f>'O&amp;M_Detail - Elec'!U53</f>
        <v>946.40985882322047</v>
      </c>
      <c r="S55" s="16">
        <f>'O&amp;M_Detail - Elec'!V53</f>
        <v>975.24217827977623</v>
      </c>
      <c r="T55" s="16">
        <f>'O&amp;M_Detail - Elec'!W53</f>
        <v>1020.527661813312</v>
      </c>
      <c r="U55" s="16">
        <f>'O&amp;M_Detail - Elec'!X53</f>
        <v>1051.6883627725224</v>
      </c>
      <c r="V55" s="16">
        <f>'O&amp;M_Detail - Elec'!Y53</f>
        <v>1085.5229878827718</v>
      </c>
      <c r="W55" s="16">
        <f>'O&amp;M_Detail - Elec'!Z53</f>
        <v>1139.9906441643695</v>
      </c>
    </row>
    <row r="56" spans="1:26" ht="17.25" customHeight="1">
      <c r="A56" s="411"/>
      <c r="C56" s="236">
        <f>+MAX($C$9:C55)+1</f>
        <v>44</v>
      </c>
      <c r="D56" s="237">
        <f>'O&amp;M_Detail - Elec'!D54</f>
        <v>562000</v>
      </c>
      <c r="E56" s="112" t="str">
        <f>'O&amp;M_Detail - Elec'!E54</f>
        <v>T/OPERS-STATION EXP</v>
      </c>
      <c r="F56" s="16">
        <f>'O&amp;M_Detail - Elec'!I54</f>
        <v>2125.31</v>
      </c>
      <c r="G56" s="16">
        <f>'O&amp;M_Detail - Elec'!J54</f>
        <v>8110.56</v>
      </c>
      <c r="H56" s="16">
        <f>'O&amp;M_Detail - Elec'!K54</f>
        <v>12238.91</v>
      </c>
      <c r="I56" s="16">
        <f>'O&amp;M_Detail - Elec'!L54</f>
        <v>5339.58</v>
      </c>
      <c r="J56" s="16">
        <f>'O&amp;M_Detail - Elec'!M54</f>
        <v>6721.67</v>
      </c>
      <c r="K56" s="16">
        <f>'O&amp;M_Detail - Elec'!N54</f>
        <v>10052.040000000001</v>
      </c>
      <c r="L56" s="16">
        <f>'O&amp;M_Detail - Elec'!O54</f>
        <v>16941.32</v>
      </c>
      <c r="M56" s="16">
        <f>'O&amp;M_Detail - Elec'!P54</f>
        <v>13483.140676855755</v>
      </c>
      <c r="N56" s="16">
        <f>'O&amp;M_Detail - Elec'!Q54</f>
        <v>14592.665819446747</v>
      </c>
      <c r="O56" s="16">
        <f>'O&amp;M_Detail - Elec'!R54</f>
        <v>15426.997349152036</v>
      </c>
      <c r="P56" s="16">
        <f>'O&amp;M_Detail - Elec'!S54</f>
        <v>15858.879792103809</v>
      </c>
      <c r="Q56" s="16">
        <f>'O&amp;M_Detail - Elec'!T54</f>
        <v>16496.564541509153</v>
      </c>
      <c r="R56" s="16">
        <f>'O&amp;M_Detail - Elec'!U54</f>
        <v>16949.376579854332</v>
      </c>
      <c r="S56" s="16">
        <f>'O&amp;M_Detail - Elec'!V54</f>
        <v>17465.738318464566</v>
      </c>
      <c r="T56" s="16">
        <f>'O&amp;M_Detail - Elec'!W54</f>
        <v>18276.761900747493</v>
      </c>
      <c r="U56" s="16">
        <f>'O&amp;M_Detail - Elec'!X54</f>
        <v>18834.822924865101</v>
      </c>
      <c r="V56" s="16">
        <f>'O&amp;M_Detail - Elec'!Y54</f>
        <v>19440.771602475961</v>
      </c>
      <c r="W56" s="16">
        <f>'O&amp;M_Detail - Elec'!Z54</f>
        <v>20416.239904218699</v>
      </c>
    </row>
    <row r="57" spans="1:26" ht="17.25" customHeight="1">
      <c r="A57" s="411"/>
      <c r="C57" s="236">
        <f>+MAX($C$9:C56)+1</f>
        <v>45</v>
      </c>
      <c r="D57" s="237">
        <f>'O&amp;M_Detail - Elec'!D55</f>
        <v>563000</v>
      </c>
      <c r="E57" s="112" t="str">
        <f>'O&amp;M_Detail - Elec'!E55</f>
        <v>T/OPERS-OVERHEAD LINE EXP</v>
      </c>
      <c r="F57" s="16">
        <f>'O&amp;M_Detail - Elec'!I55</f>
        <v>5313.37</v>
      </c>
      <c r="G57" s="16">
        <f>'O&amp;M_Detail - Elec'!J55</f>
        <v>20276.560000000001</v>
      </c>
      <c r="H57" s="16">
        <f>'O&amp;M_Detail - Elec'!K55</f>
        <v>30597.26</v>
      </c>
      <c r="I57" s="16">
        <f>'O&amp;M_Detail - Elec'!L55</f>
        <v>13348.91</v>
      </c>
      <c r="J57" s="16">
        <f>'O&amp;M_Detail - Elec'!M55</f>
        <v>16804.14</v>
      </c>
      <c r="K57" s="16">
        <f>'O&amp;M_Detail - Elec'!N55</f>
        <v>25130.09</v>
      </c>
      <c r="L57" s="16">
        <f>'O&amp;M_Detail - Elec'!O55</f>
        <v>42353.16</v>
      </c>
      <c r="M57" s="16">
        <f>'O&amp;M_Detail - Elec'!P55</f>
        <v>33707.740269906957</v>
      </c>
      <c r="N57" s="16">
        <f>'O&amp;M_Detail - Elec'!Q55</f>
        <v>36481.543957469621</v>
      </c>
      <c r="O57" s="16">
        <f>'O&amp;M_Detail - Elec'!R55</f>
        <v>38567.365886968197</v>
      </c>
      <c r="P57" s="16">
        <f>'O&amp;M_Detail - Elec'!S55</f>
        <v>39647.068425349345</v>
      </c>
      <c r="Q57" s="16">
        <f>'O&amp;M_Detail - Elec'!T55</f>
        <v>41241.275029151439</v>
      </c>
      <c r="R57" s="16">
        <f>'O&amp;M_Detail - Elec'!U55</f>
        <v>42373.301383057711</v>
      </c>
      <c r="S57" s="16">
        <f>'O&amp;M_Detail - Elec'!V55</f>
        <v>43664.201462463418</v>
      </c>
      <c r="T57" s="16">
        <f>'O&amp;M_Detail - Elec'!W55</f>
        <v>45691.753716018749</v>
      </c>
      <c r="U57" s="16">
        <f>'O&amp;M_Detail - Elec'!X55</f>
        <v>47086.901664597543</v>
      </c>
      <c r="V57" s="16">
        <f>'O&amp;M_Detail - Elec'!Y55</f>
        <v>48601.768351174571</v>
      </c>
      <c r="W57" s="16">
        <f>'O&amp;M_Detail - Elec'!Z55</f>
        <v>51040.431044438054</v>
      </c>
    </row>
    <row r="58" spans="1:26" ht="17.25" customHeight="1">
      <c r="A58" s="411"/>
      <c r="C58" s="236">
        <f>+MAX($C$9:C57)+1</f>
        <v>46</v>
      </c>
      <c r="D58" s="237">
        <f>'O&amp;M_Detail - Elec'!D56</f>
        <v>565010</v>
      </c>
      <c r="E58" s="112" t="str">
        <f>'O&amp;M_Detail - Elec'!E56</f>
        <v>T/TRANSMISSION BY OTHERS</v>
      </c>
      <c r="F58" s="16">
        <f>'O&amp;M_Detail - Elec'!I56</f>
        <v>7058844.1600000001</v>
      </c>
      <c r="G58" s="16">
        <f>'O&amp;M_Detail - Elec'!J56</f>
        <v>7472973.6500000004</v>
      </c>
      <c r="H58" s="16">
        <f>'O&amp;M_Detail - Elec'!K56</f>
        <v>7119005.1799999997</v>
      </c>
      <c r="I58" s="16">
        <f>'O&amp;M_Detail - Elec'!L56</f>
        <v>5191750.8600000003</v>
      </c>
      <c r="J58" s="16">
        <f>'O&amp;M_Detail - Elec'!M56</f>
        <v>4600961.9400000004</v>
      </c>
      <c r="K58" s="16">
        <f>'O&amp;M_Detail - Elec'!N56</f>
        <v>2622470.92</v>
      </c>
      <c r="L58" s="16">
        <f>'O&amp;M_Detail - Elec'!O56</f>
        <v>5478671.9100000001</v>
      </c>
      <c r="M58" s="16">
        <f>'O&amp;M_Detail - Elec'!P56</f>
        <v>500000</v>
      </c>
      <c r="N58" s="16">
        <f>'O&amp;M_Detail - Elec'!Q56</f>
        <v>515000</v>
      </c>
      <c r="O58" s="16">
        <f>'O&amp;M_Detail - Elec'!R56</f>
        <v>530450</v>
      </c>
      <c r="P58" s="16">
        <f>'O&amp;M_Detail - Elec'!S56</f>
        <v>546363.5</v>
      </c>
      <c r="Q58" s="16">
        <f>'O&amp;M_Detail - Elec'!T56</f>
        <v>562754.40500000003</v>
      </c>
      <c r="R58" s="16">
        <f>'O&amp;M_Detail - Elec'!U56</f>
        <v>579637.03714999999</v>
      </c>
      <c r="S58" s="16">
        <f>'O&amp;M_Detail - Elec'!V56</f>
        <v>597026.14826449996</v>
      </c>
      <c r="T58" s="16">
        <f>'O&amp;M_Detail - Elec'!W56</f>
        <v>614936.93271243502</v>
      </c>
      <c r="U58" s="16">
        <f>'O&amp;M_Detail - Elec'!X56</f>
        <v>633385.04069380811</v>
      </c>
      <c r="V58" s="16">
        <f>'O&amp;M_Detail - Elec'!Y56</f>
        <v>652386.59191462235</v>
      </c>
      <c r="W58" s="16">
        <f>'O&amp;M_Detail - Elec'!Z56</f>
        <v>671958.18967206101</v>
      </c>
    </row>
    <row r="59" spans="1:26" ht="17.25" customHeight="1">
      <c r="A59" s="411"/>
      <c r="C59" s="236">
        <f>+MAX($C$9:C58)+1</f>
        <v>47</v>
      </c>
      <c r="D59" s="237">
        <f>'O&amp;M_Detail - Elec'!D57</f>
        <v>566000</v>
      </c>
      <c r="E59" s="112" t="str">
        <f>'O&amp;M_Detail - Elec'!E57</f>
        <v>T/OPERS-MISC EXP</v>
      </c>
      <c r="F59" s="16">
        <f>'O&amp;M_Detail - Elec'!I57</f>
        <v>52560.31</v>
      </c>
      <c r="G59" s="16">
        <f>'O&amp;M_Detail - Elec'!J57</f>
        <v>455233.66</v>
      </c>
      <c r="H59" s="16">
        <f>'O&amp;M_Detail - Elec'!K57</f>
        <v>555855.26</v>
      </c>
      <c r="I59" s="16">
        <f>'O&amp;M_Detail - Elec'!L57</f>
        <v>457582.3</v>
      </c>
      <c r="J59" s="16">
        <f>'O&amp;M_Detail - Elec'!M57</f>
        <v>355671.23</v>
      </c>
      <c r="K59" s="16">
        <f>'O&amp;M_Detail - Elec'!N57</f>
        <v>389898.36</v>
      </c>
      <c r="L59" s="16">
        <f>'O&amp;M_Detail - Elec'!O57</f>
        <v>534094.73</v>
      </c>
      <c r="M59" s="16">
        <f>'O&amp;M_Detail - Elec'!P57</f>
        <v>425071.62248026073</v>
      </c>
      <c r="N59" s="16">
        <f>'O&amp;M_Detail - Elec'!Q57</f>
        <v>460050.68736188434</v>
      </c>
      <c r="O59" s="16">
        <f>'O&amp;M_Detail - Elec'!R57</f>
        <v>486353.9549401151</v>
      </c>
      <c r="P59" s="16">
        <f>'O&amp;M_Detail - Elec'!S57</f>
        <v>499969.54904730798</v>
      </c>
      <c r="Q59" s="16">
        <f>'O&amp;M_Detail - Elec'!T57</f>
        <v>520073.29917178262</v>
      </c>
      <c r="R59" s="16">
        <f>'O&amp;M_Detail - Elec'!U57</f>
        <v>534348.72300892859</v>
      </c>
      <c r="S59" s="16">
        <f>'O&amp;M_Detail - Elec'!V57</f>
        <v>550627.62473355001</v>
      </c>
      <c r="T59" s="16">
        <f>'O&amp;M_Detail - Elec'!W57</f>
        <v>576196.08228013036</v>
      </c>
      <c r="U59" s="16">
        <f>'O&amp;M_Detail - Elec'!X57</f>
        <v>593789.60226556344</v>
      </c>
      <c r="V59" s="16">
        <f>'O&amp;M_Detail - Elec'!Y57</f>
        <v>612892.83597831009</v>
      </c>
      <c r="W59" s="16">
        <f>'O&amp;M_Detail - Elec'!Z57</f>
        <v>643645.60372266802</v>
      </c>
    </row>
    <row r="60" spans="1:26" ht="17.25" customHeight="1">
      <c r="A60" s="411"/>
      <c r="C60" s="236">
        <f>+MAX($C$9:C59)+1</f>
        <v>48</v>
      </c>
      <c r="D60" s="237">
        <f>'O&amp;M_Detail - Elec'!D58</f>
        <v>567000</v>
      </c>
      <c r="E60" s="112" t="str">
        <f>'O&amp;M_Detail - Elec'!E58</f>
        <v>T/RENTS</v>
      </c>
      <c r="F60" s="16">
        <f>'O&amp;M_Detail - Elec'!I58</f>
        <v>0</v>
      </c>
      <c r="G60" s="16">
        <f>'O&amp;M_Detail - Elec'!J58</f>
        <v>0</v>
      </c>
      <c r="H60" s="16">
        <f>'O&amp;M_Detail - Elec'!K58</f>
        <v>0</v>
      </c>
      <c r="I60" s="16">
        <f>'O&amp;M_Detail - Elec'!L58</f>
        <v>0</v>
      </c>
      <c r="J60" s="16">
        <f>'O&amp;M_Detail - Elec'!M58</f>
        <v>0</v>
      </c>
      <c r="K60" s="16">
        <f>'O&amp;M_Detail - Elec'!N58</f>
        <v>0</v>
      </c>
      <c r="L60" s="16">
        <f>'O&amp;M_Detail - Elec'!O58</f>
        <v>0</v>
      </c>
      <c r="M60" s="16">
        <f>'O&amp;M_Detail - Elec'!P58</f>
        <v>0</v>
      </c>
      <c r="N60" s="16">
        <f>'O&amp;M_Detail - Elec'!Q58</f>
        <v>0</v>
      </c>
      <c r="O60" s="16">
        <f>'O&amp;M_Detail - Elec'!R58</f>
        <v>0</v>
      </c>
      <c r="P60" s="16">
        <f>'O&amp;M_Detail - Elec'!S58</f>
        <v>0</v>
      </c>
      <c r="Q60" s="16">
        <f>'O&amp;M_Detail - Elec'!T58</f>
        <v>0</v>
      </c>
      <c r="R60" s="16">
        <f>'O&amp;M_Detail - Elec'!U58</f>
        <v>0</v>
      </c>
      <c r="S60" s="16">
        <f>'O&amp;M_Detail - Elec'!V58</f>
        <v>0</v>
      </c>
      <c r="T60" s="16">
        <f>'O&amp;M_Detail - Elec'!W58</f>
        <v>0</v>
      </c>
      <c r="U60" s="16">
        <f>'O&amp;M_Detail - Elec'!X58</f>
        <v>0</v>
      </c>
      <c r="V60" s="16">
        <f>'O&amp;M_Detail - Elec'!Y58</f>
        <v>0</v>
      </c>
      <c r="W60" s="16">
        <f>'O&amp;M_Detail - Elec'!Z58</f>
        <v>0</v>
      </c>
    </row>
    <row r="61" spans="1:26" ht="17.25" customHeight="1">
      <c r="A61" s="411"/>
      <c r="C61" s="236">
        <f>+MAX($C$9:C60)+1</f>
        <v>49</v>
      </c>
      <c r="D61" s="237">
        <f>'O&amp;M_Detail - Elec'!D59</f>
        <v>568000</v>
      </c>
      <c r="E61" s="112" t="str">
        <f>'O&amp;M_Detail - Elec'!E59</f>
        <v>T/MAINT-SUPR &amp; ENG</v>
      </c>
      <c r="F61" s="16">
        <f>'O&amp;M_Detail - Elec'!I59</f>
        <v>31874.03</v>
      </c>
      <c r="G61" s="16">
        <f>'O&amp;M_Detail - Elec'!J59</f>
        <v>61557.68</v>
      </c>
      <c r="H61" s="16">
        <f>'O&amp;M_Detail - Elec'!K59</f>
        <v>79189.23</v>
      </c>
      <c r="I61" s="16">
        <f>'O&amp;M_Detail - Elec'!L59</f>
        <v>46960.160000000003</v>
      </c>
      <c r="J61" s="16">
        <f>'O&amp;M_Detail - Elec'!M59</f>
        <v>56351.33</v>
      </c>
      <c r="K61" s="16">
        <f>'O&amp;M_Detail - Elec'!N59</f>
        <v>73293.210000000006</v>
      </c>
      <c r="L61" s="16">
        <f>'O&amp;M_Detail - Elec'!O59</f>
        <v>109960.02</v>
      </c>
      <c r="M61" s="16">
        <f>'O&amp;M_Detail - Elec'!P59</f>
        <v>87514.220762601297</v>
      </c>
      <c r="N61" s="16">
        <f>'O&amp;M_Detail - Elec'!Q59</f>
        <v>94715.74973849034</v>
      </c>
      <c r="O61" s="16">
        <f>'O&amp;M_Detail - Elec'!R59</f>
        <v>100131.09586813219</v>
      </c>
      <c r="P61" s="16">
        <f>'O&amp;M_Detail - Elec'!S59</f>
        <v>102934.28960183334</v>
      </c>
      <c r="Q61" s="16">
        <f>'O&amp;M_Detail - Elec'!T59</f>
        <v>107073.27214854791</v>
      </c>
      <c r="R61" s="16">
        <f>'O&amp;M_Detail - Elec'!U59</f>
        <v>110012.31236458046</v>
      </c>
      <c r="S61" s="16">
        <f>'O&amp;M_Detail - Elec'!V59</f>
        <v>113363.83084748594</v>
      </c>
      <c r="T61" s="16">
        <f>'O&amp;M_Detail - Elec'!W59</f>
        <v>118627.89346647327</v>
      </c>
      <c r="U61" s="16">
        <f>'O&amp;M_Detail - Elec'!X59</f>
        <v>122250.06702633711</v>
      </c>
      <c r="V61" s="16">
        <f>'O&amp;M_Detail - Elec'!Y59</f>
        <v>126183.06213587189</v>
      </c>
      <c r="W61" s="16">
        <f>'O&amp;M_Detail - Elec'!Z59</f>
        <v>132514.47633317159</v>
      </c>
    </row>
    <row r="62" spans="1:26" ht="17.25" customHeight="1">
      <c r="A62" s="411"/>
      <c r="C62" s="236">
        <f>+MAX($C$9:C61)+1</f>
        <v>50</v>
      </c>
      <c r="D62" s="237">
        <f>'O&amp;M_Detail - Elec'!D60</f>
        <v>570000</v>
      </c>
      <c r="E62" s="112" t="str">
        <f>'O&amp;M_Detail - Elec'!E60</f>
        <v>T/MAINT-STA EQUIP</v>
      </c>
      <c r="F62" s="16">
        <f>'O&amp;M_Detail - Elec'!I60</f>
        <v>242214.04</v>
      </c>
      <c r="G62" s="16">
        <f>'O&amp;M_Detail - Elec'!J60</f>
        <v>283282.58</v>
      </c>
      <c r="H62" s="16">
        <f>'O&amp;M_Detail - Elec'!K60</f>
        <v>297976.71000000002</v>
      </c>
      <c r="I62" s="16">
        <f>'O&amp;M_Detail - Elec'!L60</f>
        <v>202689.38</v>
      </c>
      <c r="J62" s="16">
        <f>'O&amp;M_Detail - Elec'!M60</f>
        <v>260356.93</v>
      </c>
      <c r="K62" s="16">
        <f>'O&amp;M_Detail - Elec'!N60</f>
        <v>401294.11</v>
      </c>
      <c r="L62" s="16">
        <f>'O&amp;M_Detail - Elec'!O60</f>
        <v>414187.96</v>
      </c>
      <c r="M62" s="16">
        <f>'O&amp;M_Detail - Elec'!P60</f>
        <v>329641.05107157555</v>
      </c>
      <c r="N62" s="16">
        <f>'O&amp;M_Detail - Elec'!Q60</f>
        <v>356767.15195264458</v>
      </c>
      <c r="O62" s="16">
        <f>'O&amp;M_Detail - Elec'!R60</f>
        <v>377165.21268535679</v>
      </c>
      <c r="P62" s="16">
        <f>'O&amp;M_Detail - Elec'!S60</f>
        <v>387724.04210396245</v>
      </c>
      <c r="Q62" s="16">
        <f>'O&amp;M_Detail - Elec'!T60</f>
        <v>403314.40610625449</v>
      </c>
      <c r="R62" s="16">
        <f>'O&amp;M_Detail - Elec'!U60</f>
        <v>414384.93038804783</v>
      </c>
      <c r="S62" s="16">
        <f>'O&amp;M_Detail - Elec'!V60</f>
        <v>427009.14238197898</v>
      </c>
      <c r="T62" s="16">
        <f>'O&amp;M_Detail - Elec'!W60</f>
        <v>446837.36137894372</v>
      </c>
      <c r="U62" s="16">
        <f>'O&amp;M_Detail - Elec'!X60</f>
        <v>460481.05367297883</v>
      </c>
      <c r="V62" s="16">
        <f>'O&amp;M_Detail - Elec'!Y60</f>
        <v>475295.52188704594</v>
      </c>
      <c r="W62" s="16">
        <f>'O&amp;M_Detail - Elec'!Z60</f>
        <v>499144.14914534037</v>
      </c>
    </row>
    <row r="63" spans="1:26" ht="17.25" customHeight="1">
      <c r="A63" s="411"/>
      <c r="C63" s="236">
        <f>+MAX($C$9:C62)+1</f>
        <v>51</v>
      </c>
      <c r="D63" s="237">
        <f>'O&amp;M_Detail - Elec'!D61</f>
        <v>571050</v>
      </c>
      <c r="E63" s="112" t="str">
        <f>'O&amp;M_Detail - Elec'!E61</f>
        <v>T/MAINT-OVERHEAD LINES</v>
      </c>
      <c r="F63" s="16">
        <f>'O&amp;M_Detail - Elec'!I61</f>
        <v>151509.18</v>
      </c>
      <c r="G63" s="16">
        <f>'O&amp;M_Detail - Elec'!J61</f>
        <v>0</v>
      </c>
      <c r="H63" s="16">
        <f>'O&amp;M_Detail - Elec'!K61</f>
        <v>0</v>
      </c>
      <c r="I63" s="16">
        <f>'O&amp;M_Detail - Elec'!L61</f>
        <v>0</v>
      </c>
      <c r="J63" s="16">
        <f>'O&amp;M_Detail - Elec'!M61</f>
        <v>0</v>
      </c>
      <c r="K63" s="16">
        <f>'O&amp;M_Detail - Elec'!N61</f>
        <v>92905.14</v>
      </c>
      <c r="L63" s="16">
        <f>'O&amp;M_Detail - Elec'!O61</f>
        <v>185359.57</v>
      </c>
      <c r="M63" s="16">
        <f>'O&amp;M_Detail - Elec'!P61</f>
        <v>147522.6935157055</v>
      </c>
      <c r="N63" s="16">
        <f>'O&amp;M_Detail - Elec'!Q61</f>
        <v>159662.30857137145</v>
      </c>
      <c r="O63" s="16">
        <f>'O&amp;M_Detail - Elec'!R61</f>
        <v>168790.95578325426</v>
      </c>
      <c r="P63" s="16">
        <f>'O&amp;M_Detail - Elec'!S61</f>
        <v>173516.29854970283</v>
      </c>
      <c r="Q63" s="16">
        <f>'O&amp;M_Detail - Elec'!T61</f>
        <v>180493.38008439625</v>
      </c>
      <c r="R63" s="16">
        <f>'O&amp;M_Detail - Elec'!U61</f>
        <v>185447.71922198916</v>
      </c>
      <c r="S63" s="16">
        <f>'O&amp;M_Detail - Elec'!V61</f>
        <v>191097.37284008064</v>
      </c>
      <c r="T63" s="16">
        <f>'O&amp;M_Detail - Elec'!W61</f>
        <v>199971.00148718862</v>
      </c>
      <c r="U63" s="16">
        <f>'O&amp;M_Detail - Elec'!X61</f>
        <v>206076.89828060256</v>
      </c>
      <c r="V63" s="16">
        <f>'O&amp;M_Detail - Elec'!Y61</f>
        <v>212706.7468593448</v>
      </c>
      <c r="W63" s="16">
        <f>'O&amp;M_Detail - Elec'!Z61</f>
        <v>223379.60971534799</v>
      </c>
    </row>
    <row r="64" spans="1:26" ht="17.25" customHeight="1">
      <c r="A64" s="411"/>
      <c r="C64" s="236">
        <f>+MAX($C$9:C63)+1</f>
        <v>52</v>
      </c>
      <c r="D64" s="237"/>
      <c r="E64" s="238" t="s">
        <v>568</v>
      </c>
      <c r="F64" s="239">
        <f t="shared" ref="F64:W64" si="2">SUM(F51:F63)</f>
        <v>8189372.5199999996</v>
      </c>
      <c r="G64" s="239">
        <f t="shared" si="2"/>
        <v>9199484</v>
      </c>
      <c r="H64" s="239">
        <f t="shared" si="2"/>
        <v>9131433.0300000012</v>
      </c>
      <c r="I64" s="239">
        <f t="shared" si="2"/>
        <v>6933438.7200000007</v>
      </c>
      <c r="J64" s="239">
        <f t="shared" si="2"/>
        <v>6271196.5999999996</v>
      </c>
      <c r="K64" s="239">
        <f t="shared" si="2"/>
        <v>4721334.16</v>
      </c>
      <c r="L64" s="239">
        <f t="shared" si="2"/>
        <v>8075510.46</v>
      </c>
      <c r="M64" s="239">
        <f t="shared" si="2"/>
        <v>2566753.9179197438</v>
      </c>
      <c r="N64" s="239">
        <f t="shared" si="2"/>
        <v>2751826.7140462874</v>
      </c>
      <c r="O64" s="239">
        <f t="shared" si="2"/>
        <v>2895166.6470514582</v>
      </c>
      <c r="P64" s="239">
        <f t="shared" si="2"/>
        <v>2977280.9494048376</v>
      </c>
      <c r="Q64" s="239">
        <f t="shared" si="2"/>
        <v>3091418.9213395794</v>
      </c>
      <c r="R64" s="239">
        <f t="shared" si="2"/>
        <v>3177710.5344355055</v>
      </c>
      <c r="S64" s="239">
        <f t="shared" si="2"/>
        <v>3274249.7984641865</v>
      </c>
      <c r="T64" s="239">
        <f t="shared" si="2"/>
        <v>3416477.7732745847</v>
      </c>
      <c r="U64" s="239">
        <f t="shared" si="2"/>
        <v>3520467.8803847791</v>
      </c>
      <c r="V64" s="239">
        <f t="shared" si="2"/>
        <v>3632351.8566670059</v>
      </c>
      <c r="W64" s="239">
        <f t="shared" si="2"/>
        <v>3801447.4401745857</v>
      </c>
    </row>
    <row r="65" spans="1:23" ht="6" customHeight="1">
      <c r="A65" s="411"/>
      <c r="C65" s="236"/>
      <c r="D65" s="112"/>
      <c r="E65" s="240"/>
      <c r="F65" s="2"/>
      <c r="G65" s="2"/>
      <c r="H65" s="2"/>
      <c r="I65" s="2"/>
      <c r="J65" s="2"/>
      <c r="K65" s="2"/>
      <c r="L65" s="2"/>
      <c r="M65" s="2"/>
      <c r="N65" s="2"/>
      <c r="O65" s="2"/>
      <c r="P65" s="2"/>
      <c r="Q65" s="2"/>
      <c r="R65" s="2"/>
      <c r="S65" s="2"/>
      <c r="T65" s="2"/>
      <c r="U65" s="2"/>
      <c r="V65" s="2"/>
      <c r="W65" s="2"/>
    </row>
    <row r="66" spans="1:23">
      <c r="A66" s="411"/>
      <c r="C66" s="236"/>
      <c r="D66" s="282" t="s">
        <v>314</v>
      </c>
      <c r="E66" s="112"/>
      <c r="F66" s="2"/>
      <c r="G66" s="2"/>
      <c r="H66" s="2"/>
      <c r="I66" s="2"/>
      <c r="J66" s="2"/>
      <c r="K66" s="2"/>
      <c r="L66" s="2"/>
      <c r="M66" s="2"/>
      <c r="N66" s="2"/>
      <c r="O66" s="2"/>
      <c r="P66" s="2"/>
      <c r="Q66" s="2"/>
      <c r="R66" s="2"/>
      <c r="S66" s="2"/>
      <c r="T66" s="2"/>
      <c r="U66" s="2"/>
      <c r="V66" s="2"/>
      <c r="W66" s="2"/>
    </row>
    <row r="67" spans="1:23">
      <c r="A67" s="411"/>
      <c r="C67" s="236">
        <f>+MAX($C$9:C66)+1</f>
        <v>53</v>
      </c>
      <c r="D67" s="237">
        <f>'O&amp;M_Detail - Elec'!D64</f>
        <v>580000</v>
      </c>
      <c r="E67" s="112" t="str">
        <f>'O&amp;M_Detail - Elec'!E64</f>
        <v>D/OPERS-SUPV &amp; ENG</v>
      </c>
      <c r="F67" s="16">
        <f>'O&amp;M_Detail - Elec'!I64</f>
        <v>235116.28</v>
      </c>
      <c r="G67" s="16">
        <f>'O&amp;M_Detail - Elec'!J64</f>
        <v>120014.56</v>
      </c>
      <c r="H67" s="16">
        <f>'O&amp;M_Detail - Elec'!K64</f>
        <v>110885.77</v>
      </c>
      <c r="I67" s="16">
        <f>'O&amp;M_Detail - Elec'!L64</f>
        <v>149106.48000000001</v>
      </c>
      <c r="J67" s="16">
        <f>'O&amp;M_Detail - Elec'!M64</f>
        <v>128777.13</v>
      </c>
      <c r="K67" s="16">
        <f>'O&amp;M_Detail - Elec'!N64</f>
        <v>131596.04</v>
      </c>
      <c r="L67" s="16">
        <f>'O&amp;M_Detail - Elec'!O64</f>
        <v>138206.04</v>
      </c>
      <c r="M67" s="16">
        <f>'O&amp;M_Detail - Elec'!P64</f>
        <v>132946.28206071234</v>
      </c>
      <c r="N67" s="16">
        <f>'O&amp;M_Detail - Elec'!Q64</f>
        <v>146444.43948579367</v>
      </c>
      <c r="O67" s="16">
        <f>'O&amp;M_Detail - Elec'!R64</f>
        <v>154249.71552118316</v>
      </c>
      <c r="P67" s="16">
        <f>'O&amp;M_Detail - Elec'!S64</f>
        <v>157875.35144357188</v>
      </c>
      <c r="Q67" s="16">
        <f>'O&amp;M_Detail - Elec'!T64</f>
        <v>163728.09435192996</v>
      </c>
      <c r="R67" s="16">
        <f>'O&amp;M_Detail - Elec'!U64</f>
        <v>167201.11855658647</v>
      </c>
      <c r="S67" s="16">
        <f>'O&amp;M_Detail - Elec'!V64</f>
        <v>171589.05447612071</v>
      </c>
      <c r="T67" s="16">
        <f>'O&amp;M_Detail - Elec'!W64</f>
        <v>179317.19300456045</v>
      </c>
      <c r="U67" s="16">
        <f>'O&amp;M_Detail - Elec'!X64</f>
        <v>183830.40716682861</v>
      </c>
      <c r="V67" s="16">
        <f>'O&amp;M_Detail - Elec'!Y64</f>
        <v>188846.88544030287</v>
      </c>
      <c r="W67" s="16">
        <f>'O&amp;M_Detail - Elec'!Z64</f>
        <v>198211.48167551271</v>
      </c>
    </row>
    <row r="68" spans="1:23">
      <c r="A68" s="411"/>
      <c r="C68" s="236">
        <f>+MAX($C$9:C67)+1</f>
        <v>54</v>
      </c>
      <c r="D68" s="237">
        <f>'O&amp;M_Detail - Elec'!D65</f>
        <v>581010</v>
      </c>
      <c r="E68" s="112" t="str">
        <f>'O&amp;M_Detail - Elec'!E65</f>
        <v>D/OPERS-LOAD DISPATCHING</v>
      </c>
      <c r="F68" s="16">
        <f>'O&amp;M_Detail - Elec'!I65</f>
        <v>686721.89</v>
      </c>
      <c r="G68" s="16">
        <f>'O&amp;M_Detail - Elec'!J65</f>
        <v>1030629.1</v>
      </c>
      <c r="H68" s="16">
        <f>'O&amp;M_Detail - Elec'!K65</f>
        <v>1135331.1000000001</v>
      </c>
      <c r="I68" s="16">
        <f>'O&amp;M_Detail - Elec'!L65</f>
        <v>1151005.53</v>
      </c>
      <c r="J68" s="16">
        <f>'O&amp;M_Detail - Elec'!M65</f>
        <v>1430501.21</v>
      </c>
      <c r="K68" s="16">
        <f>'O&amp;M_Detail - Elec'!N65</f>
        <v>1507282.65</v>
      </c>
      <c r="L68" s="16">
        <f>'O&amp;M_Detail - Elec'!O65</f>
        <v>1344942.57</v>
      </c>
      <c r="M68" s="16">
        <f>'O&amp;M_Detail - Elec'!P65</f>
        <v>1293757.5974731592</v>
      </c>
      <c r="N68" s="16">
        <f>'O&amp;M_Detail - Elec'!Q65</f>
        <v>1425113.9878129263</v>
      </c>
      <c r="O68" s="16">
        <f>'O&amp;M_Detail - Elec'!R65</f>
        <v>1501070.4945661486</v>
      </c>
      <c r="P68" s="16">
        <f>'O&amp;M_Detail - Elec'!S65</f>
        <v>1536353.1211094011</v>
      </c>
      <c r="Q68" s="16">
        <f>'O&amp;M_Detail - Elec'!T65</f>
        <v>1593308.6860667386</v>
      </c>
      <c r="R68" s="16">
        <f>'O&amp;M_Detail - Elec'!U65</f>
        <v>1627106.1821782179</v>
      </c>
      <c r="S68" s="16">
        <f>'O&amp;M_Detail - Elec'!V65</f>
        <v>1669807.0786991925</v>
      </c>
      <c r="T68" s="16">
        <f>'O&amp;M_Detail - Elec'!W65</f>
        <v>1745012.9271104177</v>
      </c>
      <c r="U68" s="16">
        <f>'O&amp;M_Detail - Elec'!X65</f>
        <v>1788932.9602317007</v>
      </c>
      <c r="V68" s="16">
        <f>'O&amp;M_Detail - Elec'!Y65</f>
        <v>1837750.4734277639</v>
      </c>
      <c r="W68" s="16">
        <f>'O&amp;M_Detail - Elec'!Z65</f>
        <v>1928881.397427869</v>
      </c>
    </row>
    <row r="69" spans="1:23">
      <c r="A69" s="411"/>
      <c r="C69" s="236">
        <f>+MAX($C$9:C68)+1</f>
        <v>55</v>
      </c>
      <c r="D69" s="237">
        <f>'O&amp;M_Detail - Elec'!D66</f>
        <v>582000</v>
      </c>
      <c r="E69" s="112" t="str">
        <f>'O&amp;M_Detail - Elec'!E66</f>
        <v>D/OPERS-STATION EXPENSE</v>
      </c>
      <c r="F69" s="16">
        <f>'O&amp;M_Detail - Elec'!I66</f>
        <v>190077.35</v>
      </c>
      <c r="G69" s="16">
        <f>'O&amp;M_Detail - Elec'!J66</f>
        <v>622958.35</v>
      </c>
      <c r="H69" s="16">
        <f>'O&amp;M_Detail - Elec'!K66</f>
        <v>721608.99</v>
      </c>
      <c r="I69" s="16">
        <f>'O&amp;M_Detail - Elec'!L66</f>
        <v>726342.84</v>
      </c>
      <c r="J69" s="16">
        <f>'O&amp;M_Detail - Elec'!M66</f>
        <v>920397.94</v>
      </c>
      <c r="K69" s="16">
        <f>'O&amp;M_Detail - Elec'!N66</f>
        <v>779655.37</v>
      </c>
      <c r="L69" s="16">
        <f>'O&amp;M_Detail - Elec'!O66</f>
        <v>794879.41</v>
      </c>
      <c r="M69" s="16">
        <f>'O&amp;M_Detail - Elec'!P66</f>
        <v>764628.39284095401</v>
      </c>
      <c r="N69" s="16">
        <f>'O&amp;M_Detail - Elec'!Q66</f>
        <v>842261.8118299921</v>
      </c>
      <c r="O69" s="16">
        <f>'O&amp;M_Detail - Elec'!R66</f>
        <v>887153.1437131539</v>
      </c>
      <c r="P69" s="16">
        <f>'O&amp;M_Detail - Elec'!S66</f>
        <v>908005.65741561679</v>
      </c>
      <c r="Q69" s="16">
        <f>'O&amp;M_Detail - Elec'!T66</f>
        <v>941667.173438197</v>
      </c>
      <c r="R69" s="16">
        <f>'O&amp;M_Detail - Elec'!U66</f>
        <v>961641.95479155239</v>
      </c>
      <c r="S69" s="16">
        <f>'O&amp;M_Detail - Elec'!V66</f>
        <v>986878.76726977096</v>
      </c>
      <c r="T69" s="16">
        <f>'O&amp;M_Detail - Elec'!W66</f>
        <v>1031326.4498304205</v>
      </c>
      <c r="U69" s="16">
        <f>'O&amp;M_Detail - Elec'!X66</f>
        <v>1057283.788673986</v>
      </c>
      <c r="V69" s="16">
        <f>'O&amp;M_Detail - Elec'!Y66</f>
        <v>1086135.6050656359</v>
      </c>
      <c r="W69" s="16">
        <f>'O&amp;M_Detail - Elec'!Z66</f>
        <v>1139995.2245897306</v>
      </c>
    </row>
    <row r="70" spans="1:23">
      <c r="A70" s="411"/>
      <c r="C70" s="236">
        <f>+MAX($C$9:C69)+1</f>
        <v>56</v>
      </c>
      <c r="D70" s="237">
        <f>'O&amp;M_Detail - Elec'!D67</f>
        <v>583000</v>
      </c>
      <c r="E70" s="112" t="str">
        <f>'O&amp;M_Detail - Elec'!E67</f>
        <v>D/OPERS-OVERHEAD LINES</v>
      </c>
      <c r="F70" s="16">
        <f>'O&amp;M_Detail - Elec'!I67</f>
        <v>252979.23</v>
      </c>
      <c r="G70" s="16">
        <f>'O&amp;M_Detail - Elec'!J67</f>
        <v>1059027.07</v>
      </c>
      <c r="H70" s="16">
        <f>'O&amp;M_Detail - Elec'!K67</f>
        <v>1199717.71</v>
      </c>
      <c r="I70" s="16">
        <f>'O&amp;M_Detail - Elec'!L67</f>
        <v>1069127.22</v>
      </c>
      <c r="J70" s="16">
        <f>'O&amp;M_Detail - Elec'!M67</f>
        <v>1530062.33</v>
      </c>
      <c r="K70" s="16">
        <f>'O&amp;M_Detail - Elec'!N67</f>
        <v>1224353.26</v>
      </c>
      <c r="L70" s="16">
        <f>'O&amp;M_Detail - Elec'!O67</f>
        <v>1216954.8999999999</v>
      </c>
      <c r="M70" s="16">
        <f>'O&amp;M_Detail - Elec'!P67</f>
        <v>1170640.801158661</v>
      </c>
      <c r="N70" s="16">
        <f>'O&amp;M_Detail - Elec'!Q67</f>
        <v>1289497.0307375137</v>
      </c>
      <c r="O70" s="16">
        <f>'O&amp;M_Detail - Elec'!R67</f>
        <v>1358225.3505498734</v>
      </c>
      <c r="P70" s="16">
        <f>'O&amp;M_Detail - Elec'!S67</f>
        <v>1390150.4053547645</v>
      </c>
      <c r="Q70" s="16">
        <f>'O&amp;M_Detail - Elec'!T67</f>
        <v>1441685.954457876</v>
      </c>
      <c r="R70" s="16">
        <f>'O&amp;M_Detail - Elec'!U67</f>
        <v>1472267.2070838492</v>
      </c>
      <c r="S70" s="16">
        <f>'O&amp;M_Detail - Elec'!V67</f>
        <v>1510904.593106654</v>
      </c>
      <c r="T70" s="16">
        <f>'O&amp;M_Detail - Elec'!W67</f>
        <v>1578953.6888629866</v>
      </c>
      <c r="U70" s="16">
        <f>'O&amp;M_Detail - Elec'!X67</f>
        <v>1618694.195786719</v>
      </c>
      <c r="V70" s="16">
        <f>'O&amp;M_Detail - Elec'!Y67</f>
        <v>1662866.1278936516</v>
      </c>
      <c r="W70" s="16">
        <f>'O&amp;M_Detail - Elec'!Z67</f>
        <v>1745324.8342928814</v>
      </c>
    </row>
    <row r="71" spans="1:23">
      <c r="A71" s="411"/>
      <c r="C71" s="236">
        <f>+MAX($C$9:C70)+1</f>
        <v>57</v>
      </c>
      <c r="D71" s="237">
        <f>'O&amp;M_Detail - Elec'!D68</f>
        <v>584000</v>
      </c>
      <c r="E71" s="112" t="str">
        <f>'O&amp;M_Detail - Elec'!E68</f>
        <v>D/UNDERGROUND LINE EXPENSE</v>
      </c>
      <c r="F71" s="16">
        <f>'O&amp;M_Detail - Elec'!I68</f>
        <v>0</v>
      </c>
      <c r="G71" s="16">
        <f>'O&amp;M_Detail - Elec'!J68</f>
        <v>0</v>
      </c>
      <c r="H71" s="16">
        <f>'O&amp;M_Detail - Elec'!K68</f>
        <v>0</v>
      </c>
      <c r="I71" s="16">
        <f>'O&amp;M_Detail - Elec'!L68</f>
        <v>0</v>
      </c>
      <c r="J71" s="16">
        <f>'O&amp;M_Detail - Elec'!M68</f>
        <v>0</v>
      </c>
      <c r="K71" s="16">
        <f>'O&amp;M_Detail - Elec'!N68</f>
        <v>0</v>
      </c>
      <c r="L71" s="16">
        <f>'O&amp;M_Detail - Elec'!O68</f>
        <v>0</v>
      </c>
      <c r="M71" s="16">
        <f>'O&amp;M_Detail - Elec'!P68</f>
        <v>0</v>
      </c>
      <c r="N71" s="16">
        <f>'O&amp;M_Detail - Elec'!Q68</f>
        <v>0</v>
      </c>
      <c r="O71" s="16">
        <f>'O&amp;M_Detail - Elec'!R68</f>
        <v>0</v>
      </c>
      <c r="P71" s="16">
        <f>'O&amp;M_Detail - Elec'!S68</f>
        <v>0</v>
      </c>
      <c r="Q71" s="16">
        <f>'O&amp;M_Detail - Elec'!T68</f>
        <v>0</v>
      </c>
      <c r="R71" s="16">
        <f>'O&amp;M_Detail - Elec'!U68</f>
        <v>0</v>
      </c>
      <c r="S71" s="16">
        <f>'O&amp;M_Detail - Elec'!V68</f>
        <v>0</v>
      </c>
      <c r="T71" s="16">
        <f>'O&amp;M_Detail - Elec'!W68</f>
        <v>0</v>
      </c>
      <c r="U71" s="16">
        <f>'O&amp;M_Detail - Elec'!X68</f>
        <v>0</v>
      </c>
      <c r="V71" s="16">
        <f>'O&amp;M_Detail - Elec'!Y68</f>
        <v>0</v>
      </c>
      <c r="W71" s="16">
        <f>'O&amp;M_Detail - Elec'!Z68</f>
        <v>0</v>
      </c>
    </row>
    <row r="72" spans="1:23">
      <c r="A72" s="411"/>
      <c r="C72" s="236">
        <f>+MAX($C$9:C71)+1</f>
        <v>58</v>
      </c>
      <c r="D72" s="237">
        <f>'O&amp;M_Detail - Elec'!D69</f>
        <v>586000</v>
      </c>
      <c r="E72" s="112" t="str">
        <f>'O&amp;M_Detail - Elec'!E69</f>
        <v>D/METER EXPENSE</v>
      </c>
      <c r="F72" s="16">
        <f>'O&amp;M_Detail - Elec'!I69</f>
        <v>0</v>
      </c>
      <c r="G72" s="16">
        <f>'O&amp;M_Detail - Elec'!J69</f>
        <v>0</v>
      </c>
      <c r="H72" s="16">
        <f>'O&amp;M_Detail - Elec'!K69</f>
        <v>0</v>
      </c>
      <c r="I72" s="16">
        <f>'O&amp;M_Detail - Elec'!L69</f>
        <v>0</v>
      </c>
      <c r="J72" s="16">
        <f>'O&amp;M_Detail - Elec'!M69</f>
        <v>0</v>
      </c>
      <c r="K72" s="16">
        <f>'O&amp;M_Detail - Elec'!N69</f>
        <v>0</v>
      </c>
      <c r="L72" s="16">
        <f>'O&amp;M_Detail - Elec'!O69</f>
        <v>0</v>
      </c>
      <c r="M72" s="16">
        <f>'O&amp;M_Detail - Elec'!P69</f>
        <v>0</v>
      </c>
      <c r="N72" s="16">
        <f>'O&amp;M_Detail - Elec'!Q69</f>
        <v>0</v>
      </c>
      <c r="O72" s="16">
        <f>'O&amp;M_Detail - Elec'!R69</f>
        <v>0</v>
      </c>
      <c r="P72" s="16">
        <f>'O&amp;M_Detail - Elec'!S69</f>
        <v>0</v>
      </c>
      <c r="Q72" s="16">
        <f>'O&amp;M_Detail - Elec'!T69</f>
        <v>0</v>
      </c>
      <c r="R72" s="16">
        <f>'O&amp;M_Detail - Elec'!U69</f>
        <v>0</v>
      </c>
      <c r="S72" s="16">
        <f>'O&amp;M_Detail - Elec'!V69</f>
        <v>0</v>
      </c>
      <c r="T72" s="16">
        <f>'O&amp;M_Detail - Elec'!W69</f>
        <v>0</v>
      </c>
      <c r="U72" s="16">
        <f>'O&amp;M_Detail - Elec'!X69</f>
        <v>0</v>
      </c>
      <c r="V72" s="16">
        <f>'O&amp;M_Detail - Elec'!Y69</f>
        <v>0</v>
      </c>
      <c r="W72" s="16">
        <f>'O&amp;M_Detail - Elec'!Z69</f>
        <v>0</v>
      </c>
    </row>
    <row r="73" spans="1:23">
      <c r="A73" s="411"/>
      <c r="C73" s="236">
        <f>+MAX($C$9:C72)+1</f>
        <v>59</v>
      </c>
      <c r="D73" s="237">
        <f>'O&amp;M_Detail - Elec'!D70</f>
        <v>584010</v>
      </c>
      <c r="E73" s="112" t="str">
        <f>'O&amp;M_Detail - Elec'!E70</f>
        <v>D/OPERS-UNDERGRD, PRIM &amp; S</v>
      </c>
      <c r="F73" s="16">
        <f>'O&amp;M_Detail - Elec'!I70</f>
        <v>-57410.54</v>
      </c>
      <c r="G73" s="16">
        <f>'O&amp;M_Detail - Elec'!J70</f>
        <v>124592.73</v>
      </c>
      <c r="H73" s="16">
        <f>'O&amp;M_Detail - Elec'!K70</f>
        <v>144321.93</v>
      </c>
      <c r="I73" s="16">
        <f>'O&amp;M_Detail - Elec'!L70</f>
        <v>145268.28</v>
      </c>
      <c r="J73" s="16">
        <f>'O&amp;M_Detail - Elec'!M70</f>
        <v>184079.61</v>
      </c>
      <c r="K73" s="16">
        <f>'O&amp;M_Detail - Elec'!N70</f>
        <v>155931.07999999999</v>
      </c>
      <c r="L73" s="16">
        <f>'O&amp;M_Detail - Elec'!O70</f>
        <v>158976.38</v>
      </c>
      <c r="M73" s="16">
        <f>'O&amp;M_Detail - Elec'!P70</f>
        <v>152926.15761562221</v>
      </c>
      <c r="N73" s="16">
        <f>'O&amp;M_Detail - Elec'!Q70</f>
        <v>168452.89005155303</v>
      </c>
      <c r="O73" s="16">
        <f>'O&amp;M_Detail - Elec'!R70</f>
        <v>177431.1845530594</v>
      </c>
      <c r="P73" s="16">
        <f>'O&amp;M_Detail - Elec'!S70</f>
        <v>181601.70035786301</v>
      </c>
      <c r="Q73" s="16">
        <f>'O&amp;M_Detail - Elec'!T70</f>
        <v>188334.02465165971</v>
      </c>
      <c r="R73" s="16">
        <f>'O&amp;M_Detail - Elec'!U70</f>
        <v>192328.99343673361</v>
      </c>
      <c r="S73" s="16">
        <f>'O&amp;M_Detail - Elec'!V70</f>
        <v>197376.3717434959</v>
      </c>
      <c r="T73" s="16">
        <f>'O&amp;M_Detail - Elec'!W70</f>
        <v>206265.93610254905</v>
      </c>
      <c r="U73" s="16">
        <f>'O&amp;M_Detail - Elec'!X70</f>
        <v>211457.4201337978</v>
      </c>
      <c r="V73" s="16">
        <f>'O&amp;M_Detail - Elec'!Y70</f>
        <v>217227.80148808294</v>
      </c>
      <c r="W73" s="16">
        <f>'O&amp;M_Detail - Elec'!Z70</f>
        <v>227999.75913649896</v>
      </c>
    </row>
    <row r="74" spans="1:23">
      <c r="A74" s="411"/>
      <c r="C74" s="236">
        <f>+MAX($C$9:C73)+1</f>
        <v>60</v>
      </c>
      <c r="D74" s="237">
        <f>'O&amp;M_Detail - Elec'!D71</f>
        <v>586010</v>
      </c>
      <c r="E74" s="112" t="str">
        <f>'O&amp;M_Detail - Elec'!E71</f>
        <v>D/OPERS-METER INSTALL EXP</v>
      </c>
      <c r="F74" s="16">
        <f>'O&amp;M_Detail - Elec'!I71</f>
        <v>424585.99</v>
      </c>
      <c r="G74" s="16">
        <f>'O&amp;M_Detail - Elec'!J71</f>
        <v>1586516.39</v>
      </c>
      <c r="H74" s="16">
        <f>'O&amp;M_Detail - Elec'!K71</f>
        <v>1824075.3</v>
      </c>
      <c r="I74" s="16">
        <f>'O&amp;M_Detail - Elec'!L71</f>
        <v>1846297.11</v>
      </c>
      <c r="J74" s="16">
        <f>'O&amp;M_Detail - Elec'!M71</f>
        <v>2411701.46</v>
      </c>
      <c r="K74" s="16">
        <f>'O&amp;M_Detail - Elec'!N71</f>
        <v>1972672.34</v>
      </c>
      <c r="L74" s="16">
        <f>'O&amp;M_Detail - Elec'!O71</f>
        <v>2033701.22</v>
      </c>
      <c r="M74" s="16">
        <f>'O&amp;M_Detail - Elec'!P71</f>
        <v>1956303.9069879635</v>
      </c>
      <c r="N74" s="16">
        <f>'O&amp;M_Detail - Elec'!Q71</f>
        <v>2154929.2291746056</v>
      </c>
      <c r="O74" s="16">
        <f>'O&amp;M_Detail - Elec'!R71</f>
        <v>2269783.8288404983</v>
      </c>
      <c r="P74" s="16">
        <f>'O&amp;M_Detail - Elec'!S71</f>
        <v>2323135.0441610282</v>
      </c>
      <c r="Q74" s="16">
        <f>'O&amp;M_Detail - Elec'!T71</f>
        <v>2409258.1281671552</v>
      </c>
      <c r="R74" s="16">
        <f>'O&amp;M_Detail - Elec'!U71</f>
        <v>2460363.6627885038</v>
      </c>
      <c r="S74" s="16">
        <f>'O&amp;M_Detail - Elec'!V71</f>
        <v>2524932.1189344046</v>
      </c>
      <c r="T74" s="16">
        <f>'O&amp;M_Detail - Elec'!W71</f>
        <v>2638651.6405531191</v>
      </c>
      <c r="U74" s="16">
        <f>'O&amp;M_Detail - Elec'!X71</f>
        <v>2705063.5654438548</v>
      </c>
      <c r="V74" s="16">
        <f>'O&amp;M_Detail - Elec'!Y71</f>
        <v>2778881.0193327591</v>
      </c>
      <c r="W74" s="16">
        <f>'O&amp;M_Detail - Elec'!Z71</f>
        <v>2916681.008308304</v>
      </c>
    </row>
    <row r="75" spans="1:23">
      <c r="A75" s="411"/>
      <c r="C75" s="236">
        <f>+MAX($C$9:C74)+1</f>
        <v>61</v>
      </c>
      <c r="D75" s="237">
        <f>'O&amp;M_Detail - Elec'!D72</f>
        <v>587000</v>
      </c>
      <c r="E75" s="112" t="str">
        <f>'O&amp;M_Detail - Elec'!E72</f>
        <v>D/OPERS-CUST INSTALL EXP</v>
      </c>
      <c r="F75" s="16">
        <f>'O&amp;M_Detail - Elec'!I72</f>
        <v>36094.61</v>
      </c>
      <c r="G75" s="16">
        <f>'O&amp;M_Detail - Elec'!J72</f>
        <v>0</v>
      </c>
      <c r="H75" s="16">
        <f>'O&amp;M_Detail - Elec'!K72</f>
        <v>1513068.3</v>
      </c>
      <c r="I75" s="16">
        <f>'O&amp;M_Detail - Elec'!L72</f>
        <v>1410914.51</v>
      </c>
      <c r="J75" s="16">
        <f>'O&amp;M_Detail - Elec'!M72</f>
        <v>255360.23</v>
      </c>
      <c r="K75" s="16">
        <f>'O&amp;M_Detail - Elec'!N72</f>
        <v>171265.09</v>
      </c>
      <c r="L75" s="16">
        <f>'O&amp;M_Detail - Elec'!O72</f>
        <v>48441.99</v>
      </c>
      <c r="M75" s="16">
        <f>'O&amp;M_Detail - Elec'!P72</f>
        <v>46598.415424696388</v>
      </c>
      <c r="N75" s="16">
        <f>'O&amp;M_Detail - Elec'!Q72</f>
        <v>51329.595096758581</v>
      </c>
      <c r="O75" s="16">
        <f>'O&amp;M_Detail - Elec'!R72</f>
        <v>54065.38800171105</v>
      </c>
      <c r="P75" s="16">
        <f>'O&amp;M_Detail - Elec'!S72</f>
        <v>55336.193670522596</v>
      </c>
      <c r="Q75" s="16">
        <f>'O&amp;M_Detail - Elec'!T72</f>
        <v>57387.612794022934</v>
      </c>
      <c r="R75" s="16">
        <f>'O&amp;M_Detail - Elec'!U72</f>
        <v>58604.927202219049</v>
      </c>
      <c r="S75" s="16">
        <f>'O&amp;M_Detail - Elec'!V72</f>
        <v>60142.923283538774</v>
      </c>
      <c r="T75" s="16">
        <f>'O&amp;M_Detail - Elec'!W72</f>
        <v>62851.679060878836</v>
      </c>
      <c r="U75" s="16">
        <f>'O&amp;M_Detail - Elec'!X72</f>
        <v>64433.585866952235</v>
      </c>
      <c r="V75" s="16">
        <f>'O&amp;M_Detail - Elec'!Y72</f>
        <v>66191.889558736308</v>
      </c>
      <c r="W75" s="16">
        <f>'O&amp;M_Detail - Elec'!Z72</f>
        <v>69474.232914931694</v>
      </c>
    </row>
    <row r="76" spans="1:23">
      <c r="A76" s="411"/>
      <c r="C76" s="236">
        <f>+MAX($C$9:C75)+1</f>
        <v>62</v>
      </c>
      <c r="D76" s="237">
        <f>'O&amp;M_Detail - Elec'!D73</f>
        <v>588000</v>
      </c>
      <c r="E76" s="112" t="str">
        <f>'O&amp;M_Detail - Elec'!E73</f>
        <v>D/OPERS-MISC GEN EXP</v>
      </c>
      <c r="F76" s="16">
        <f>'O&amp;M_Detail - Elec'!I73</f>
        <v>2301508.36</v>
      </c>
      <c r="G76" s="16">
        <f>'O&amp;M_Detail - Elec'!J73</f>
        <v>4131242.7</v>
      </c>
      <c r="H76" s="16">
        <f>'O&amp;M_Detail - Elec'!K73</f>
        <v>4178926.77</v>
      </c>
      <c r="I76" s="16">
        <f>'O&amp;M_Detail - Elec'!L73</f>
        <v>4364569.45</v>
      </c>
      <c r="J76" s="16">
        <f>'O&amp;M_Detail - Elec'!M73</f>
        <v>5887131.3899999997</v>
      </c>
      <c r="K76" s="16">
        <f>'O&amp;M_Detail - Elec'!N73</f>
        <v>6135749.3600000003</v>
      </c>
      <c r="L76" s="16">
        <f>'O&amp;M_Detail - Elec'!O73</f>
        <v>5844537.0700000003</v>
      </c>
      <c r="M76" s="16">
        <f>'O&amp;M_Detail - Elec'!P73</f>
        <v>5622109.3797529349</v>
      </c>
      <c r="N76" s="16">
        <f>'O&amp;M_Detail - Elec'!Q73</f>
        <v>6192927.279228121</v>
      </c>
      <c r="O76" s="16">
        <f>'O&amp;M_Detail - Elec'!R73</f>
        <v>6523001.3131156154</v>
      </c>
      <c r="P76" s="16">
        <f>'O&amp;M_Detail - Elec'!S73</f>
        <v>6676324.3050103579</v>
      </c>
      <c r="Q76" s="16">
        <f>'O&amp;M_Detail - Elec'!T73</f>
        <v>6923828.4870929811</v>
      </c>
      <c r="R76" s="16">
        <f>'O&amp;M_Detail - Elec'!U73</f>
        <v>7070697.7462738557</v>
      </c>
      <c r="S76" s="16">
        <f>'O&amp;M_Detail - Elec'!V73</f>
        <v>7256257.321980549</v>
      </c>
      <c r="T76" s="16">
        <f>'O&amp;M_Detail - Elec'!W73</f>
        <v>7583069.3202952491</v>
      </c>
      <c r="U76" s="16">
        <f>'O&amp;M_Detail - Elec'!X73</f>
        <v>7773926.7348932307</v>
      </c>
      <c r="V76" s="16">
        <f>'O&amp;M_Detail - Elec'!Y73</f>
        <v>7986066.4737220835</v>
      </c>
      <c r="W76" s="16">
        <f>'O&amp;M_Detail - Elec'!Z73</f>
        <v>8382081.9433952356</v>
      </c>
    </row>
    <row r="77" spans="1:23">
      <c r="A77" s="411"/>
      <c r="C77" s="236">
        <f>+MAX($C$9:C76)+1</f>
        <v>63</v>
      </c>
      <c r="D77" s="237">
        <f>'O&amp;M_Detail - Elec'!D74</f>
        <v>588030</v>
      </c>
      <c r="E77" s="112" t="str">
        <f>'O&amp;M_Detail - Elec'!E74</f>
        <v>D/OPERS-MISC-EDP</v>
      </c>
      <c r="F77" s="16">
        <f>'O&amp;M_Detail - Elec'!I74</f>
        <v>62740.99</v>
      </c>
      <c r="G77" s="16">
        <f>'O&amp;M_Detail - Elec'!J74</f>
        <v>72632.2</v>
      </c>
      <c r="H77" s="16">
        <f>'O&amp;M_Detail - Elec'!K74</f>
        <v>76284.87</v>
      </c>
      <c r="I77" s="16">
        <f>'O&amp;M_Detail - Elec'!L74</f>
        <v>82103.850000000006</v>
      </c>
      <c r="J77" s="16">
        <f>'O&amp;M_Detail - Elec'!M74</f>
        <v>121371.7</v>
      </c>
      <c r="K77" s="16">
        <f>'O&amp;M_Detail - Elec'!N74</f>
        <v>150784.01999999999</v>
      </c>
      <c r="L77" s="16">
        <f>'O&amp;M_Detail - Elec'!O74</f>
        <v>54227.57</v>
      </c>
      <c r="M77" s="16">
        <f>'O&amp;M_Detail - Elec'!P74</f>
        <v>52163.811485279672</v>
      </c>
      <c r="N77" s="16">
        <f>'O&amp;M_Detail - Elec'!Q74</f>
        <v>57460.05090173077</v>
      </c>
      <c r="O77" s="16">
        <f>'O&amp;M_Detail - Elec'!R74</f>
        <v>60522.588201680941</v>
      </c>
      <c r="P77" s="16">
        <f>'O&amp;M_Detail - Elec'!S74</f>
        <v>61945.170208775919</v>
      </c>
      <c r="Q77" s="16">
        <f>'O&amp;M_Detail - Elec'!T74</f>
        <v>64241.596803120061</v>
      </c>
      <c r="R77" s="16">
        <f>'O&amp;M_Detail - Elec'!U74</f>
        <v>65604.298919248322</v>
      </c>
      <c r="S77" s="16">
        <f>'O&amp;M_Detail - Elec'!V74</f>
        <v>67325.982734456804</v>
      </c>
      <c r="T77" s="16">
        <f>'O&amp;M_Detail - Elec'!W74</f>
        <v>70358.253777174352</v>
      </c>
      <c r="U77" s="16">
        <f>'O&amp;M_Detail - Elec'!X74</f>
        <v>72129.092713803955</v>
      </c>
      <c r="V77" s="16">
        <f>'O&amp;M_Detail - Elec'!Y74</f>
        <v>74097.396173828602</v>
      </c>
      <c r="W77" s="16">
        <f>'O&amp;M_Detail - Elec'!Z74</f>
        <v>77771.760173163071</v>
      </c>
    </row>
    <row r="78" spans="1:23">
      <c r="A78" s="411"/>
      <c r="C78" s="236">
        <f>+MAX($C$9:C77)+1</f>
        <v>64</v>
      </c>
      <c r="D78" s="237">
        <f>'O&amp;M_Detail - Elec'!D75</f>
        <v>590000</v>
      </c>
      <c r="E78" s="112" t="str">
        <f>'O&amp;M_Detail - Elec'!E75</f>
        <v>D/MAINT-SUPV &amp; ENG</v>
      </c>
      <c r="F78" s="16">
        <f>'O&amp;M_Detail - Elec'!I75</f>
        <v>182192.93</v>
      </c>
      <c r="G78" s="16">
        <f>'O&amp;M_Detail - Elec'!J75</f>
        <v>294070.5</v>
      </c>
      <c r="H78" s="16">
        <f>'O&amp;M_Detail - Elec'!K75</f>
        <v>251923.36</v>
      </c>
      <c r="I78" s="16">
        <f>'O&amp;M_Detail - Elec'!L75</f>
        <v>283672.09000000003</v>
      </c>
      <c r="J78" s="16">
        <f>'O&amp;M_Detail - Elec'!M75</f>
        <v>318399.46999999997</v>
      </c>
      <c r="K78" s="16">
        <f>'O&amp;M_Detail - Elec'!N75</f>
        <v>322464.63</v>
      </c>
      <c r="L78" s="16">
        <f>'O&amp;M_Detail - Elec'!O75</f>
        <v>353557.15</v>
      </c>
      <c r="M78" s="16">
        <f>'O&amp;M_Detail - Elec'!P75</f>
        <v>340101.69590621063</v>
      </c>
      <c r="N78" s="16">
        <f>'O&amp;M_Detail - Elec'!Q75</f>
        <v>374632.53167477099</v>
      </c>
      <c r="O78" s="16">
        <f>'O&amp;M_Detail - Elec'!R75</f>
        <v>394599.90176970756</v>
      </c>
      <c r="P78" s="16">
        <f>'O&amp;M_Detail - Elec'!S75</f>
        <v>403874.96314660087</v>
      </c>
      <c r="Q78" s="16">
        <f>'O&amp;M_Detail - Elec'!T75</f>
        <v>418847.38477420696</v>
      </c>
      <c r="R78" s="16">
        <f>'O&amp;M_Detail - Elec'!U75</f>
        <v>427732.03655700444</v>
      </c>
      <c r="S78" s="16">
        <f>'O&amp;M_Detail - Elec'!V75</f>
        <v>438957.20528402354</v>
      </c>
      <c r="T78" s="16">
        <f>'O&amp;M_Detail - Elec'!W75</f>
        <v>458727.24306906061</v>
      </c>
      <c r="U78" s="16">
        <f>'O&amp;M_Detail - Elec'!X75</f>
        <v>470272.89719930821</v>
      </c>
      <c r="V78" s="16">
        <f>'O&amp;M_Detail - Elec'!Y75</f>
        <v>483105.99596551608</v>
      </c>
      <c r="W78" s="16">
        <f>'O&amp;M_Detail - Elec'!Z75</f>
        <v>507062.40160322574</v>
      </c>
    </row>
    <row r="79" spans="1:23">
      <c r="A79" s="411"/>
      <c r="C79" s="236">
        <f>+MAX($C$9:C78)+1</f>
        <v>65</v>
      </c>
      <c r="D79" s="237">
        <f>'O&amp;M_Detail - Elec'!D76</f>
        <v>592000</v>
      </c>
      <c r="E79" s="112" t="str">
        <f>'O&amp;M_Detail - Elec'!E76</f>
        <v>D/MAINT-STATION EQUIPMT</v>
      </c>
      <c r="F79" s="16">
        <f>'O&amp;M_Detail - Elec'!I76</f>
        <v>915999.79</v>
      </c>
      <c r="G79" s="16">
        <f>'O&amp;M_Detail - Elec'!J76</f>
        <v>2572048.4900000002</v>
      </c>
      <c r="H79" s="16">
        <f>'O&amp;M_Detail - Elec'!K76</f>
        <v>1484220.34</v>
      </c>
      <c r="I79" s="16">
        <f>'O&amp;M_Detail - Elec'!L76</f>
        <v>1765551.6</v>
      </c>
      <c r="J79" s="16">
        <f>'O&amp;M_Detail - Elec'!M76</f>
        <v>1524442.28</v>
      </c>
      <c r="K79" s="16">
        <f>'O&amp;M_Detail - Elec'!N76</f>
        <v>1645209.55</v>
      </c>
      <c r="L79" s="16">
        <f>'O&amp;M_Detail - Elec'!O76</f>
        <v>1773988.59</v>
      </c>
      <c r="M79" s="16">
        <f>'O&amp;M_Detail - Elec'!P76</f>
        <v>1706475.2557748228</v>
      </c>
      <c r="N79" s="16">
        <f>'O&amp;M_Detail - Elec'!Q76</f>
        <v>1879735.2468585556</v>
      </c>
      <c r="O79" s="16">
        <f>'O&amp;M_Detail - Elec'!R76</f>
        <v>1979922.4067582341</v>
      </c>
      <c r="P79" s="16">
        <f>'O&amp;M_Detail - Elec'!S76</f>
        <v>2026460.4361946587</v>
      </c>
      <c r="Q79" s="16">
        <f>'O&amp;M_Detail - Elec'!T76</f>
        <v>2101585.2219104688</v>
      </c>
      <c r="R79" s="16">
        <f>'O&amp;M_Detail - Elec'!U76</f>
        <v>2146164.353993658</v>
      </c>
      <c r="S79" s="16">
        <f>'O&amp;M_Detail - Elec'!V76</f>
        <v>2202487.1330480673</v>
      </c>
      <c r="T79" s="16">
        <f>'O&amp;M_Detail - Elec'!W76</f>
        <v>2301684.169381584</v>
      </c>
      <c r="U79" s="16">
        <f>'O&amp;M_Detail - Elec'!X76</f>
        <v>2359614.9980782904</v>
      </c>
      <c r="V79" s="16">
        <f>'O&amp;M_Detail - Elec'!Y76</f>
        <v>2424005.6370049696</v>
      </c>
      <c r="W79" s="16">
        <f>'O&amp;M_Detail - Elec'!Z76</f>
        <v>2544207.9586344678</v>
      </c>
    </row>
    <row r="80" spans="1:23">
      <c r="A80" s="411"/>
      <c r="C80" s="236">
        <f>+MAX($C$9:C79)+1</f>
        <v>66</v>
      </c>
      <c r="D80" s="237">
        <f>'O&amp;M_Detail - Elec'!D77</f>
        <v>593000</v>
      </c>
      <c r="E80" s="112" t="str">
        <f>'O&amp;M_Detail - Elec'!E77</f>
        <v>D/MAINT-OH LINE, FIBER O&amp;M</v>
      </c>
      <c r="F80" s="16">
        <f>'O&amp;M_Detail - Elec'!I77</f>
        <v>-1826.45</v>
      </c>
      <c r="G80" s="16">
        <f>'O&amp;M_Detail - Elec'!J77</f>
        <v>0</v>
      </c>
      <c r="H80" s="16">
        <f>'O&amp;M_Detail - Elec'!K77</f>
        <v>0</v>
      </c>
      <c r="I80" s="16">
        <f>'O&amp;M_Detail - Elec'!L77</f>
        <v>0</v>
      </c>
      <c r="J80" s="16">
        <f>'O&amp;M_Detail - Elec'!M77</f>
        <v>0</v>
      </c>
      <c r="K80" s="16">
        <f>'O&amp;M_Detail - Elec'!N77</f>
        <v>0</v>
      </c>
      <c r="L80" s="16">
        <f>'O&amp;M_Detail - Elec'!O77</f>
        <v>0</v>
      </c>
      <c r="M80" s="16">
        <f>'O&amp;M_Detail - Elec'!P77</f>
        <v>0</v>
      </c>
      <c r="N80" s="16">
        <f>'O&amp;M_Detail - Elec'!Q77</f>
        <v>0</v>
      </c>
      <c r="O80" s="16">
        <f>'O&amp;M_Detail - Elec'!R77</f>
        <v>0</v>
      </c>
      <c r="P80" s="16">
        <f>'O&amp;M_Detail - Elec'!S77</f>
        <v>0</v>
      </c>
      <c r="Q80" s="16">
        <f>'O&amp;M_Detail - Elec'!T77</f>
        <v>0</v>
      </c>
      <c r="R80" s="16">
        <f>'O&amp;M_Detail - Elec'!U77</f>
        <v>0</v>
      </c>
      <c r="S80" s="16">
        <f>'O&amp;M_Detail - Elec'!V77</f>
        <v>0</v>
      </c>
      <c r="T80" s="16">
        <f>'O&amp;M_Detail - Elec'!W77</f>
        <v>0</v>
      </c>
      <c r="U80" s="16">
        <f>'O&amp;M_Detail - Elec'!X77</f>
        <v>0</v>
      </c>
      <c r="V80" s="16">
        <f>'O&amp;M_Detail - Elec'!Y77</f>
        <v>0</v>
      </c>
      <c r="W80" s="16">
        <f>'O&amp;M_Detail - Elec'!Z77</f>
        <v>0</v>
      </c>
    </row>
    <row r="81" spans="1:23">
      <c r="A81" s="411"/>
      <c r="C81" s="236">
        <f>+MAX($C$9:C80)+1</f>
        <v>67</v>
      </c>
      <c r="D81" s="237">
        <f>'O&amp;M_Detail - Elec'!D78</f>
        <v>593010</v>
      </c>
      <c r="E81" s="112" t="str">
        <f>'O&amp;M_Detail - Elec'!E78</f>
        <v>D/MAINT-OH LINE, GEN</v>
      </c>
      <c r="F81" s="16">
        <f>'O&amp;M_Detail - Elec'!I78</f>
        <v>4116147.9</v>
      </c>
      <c r="G81" s="16">
        <f>'O&amp;M_Detail - Elec'!J78</f>
        <v>-617946.03</v>
      </c>
      <c r="H81" s="16">
        <f>'O&amp;M_Detail - Elec'!K78</f>
        <v>-259144.22</v>
      </c>
      <c r="I81" s="16">
        <f>'O&amp;M_Detail - Elec'!L78</f>
        <v>426434.38</v>
      </c>
      <c r="J81" s="16">
        <f>'O&amp;M_Detail - Elec'!M78</f>
        <v>559523.97</v>
      </c>
      <c r="K81" s="16">
        <f>'O&amp;M_Detail - Elec'!N78</f>
        <v>419914.2</v>
      </c>
      <c r="L81" s="16">
        <f>'O&amp;M_Detail - Elec'!O78</f>
        <v>132393.87</v>
      </c>
      <c r="M81" s="16">
        <f>'O&amp;M_Detail - Elec'!P78</f>
        <v>127355.3079455086</v>
      </c>
      <c r="N81" s="16">
        <f>'O&amp;M_Detail - Elec'!Q78</f>
        <v>140285.80866295734</v>
      </c>
      <c r="O81" s="16">
        <f>'O&amp;M_Detail - Elec'!R78</f>
        <v>147762.83861579781</v>
      </c>
      <c r="P81" s="16">
        <f>'O&amp;M_Detail - Elec'!S78</f>
        <v>151236.00064964281</v>
      </c>
      <c r="Q81" s="16">
        <f>'O&amp;M_Detail - Elec'!T78</f>
        <v>156842.61005508254</v>
      </c>
      <c r="R81" s="16">
        <f>'O&amp;M_Detail - Elec'!U78</f>
        <v>160169.57836311124</v>
      </c>
      <c r="S81" s="16">
        <f>'O&amp;M_Detail - Elec'!V78</f>
        <v>164372.98233662167</v>
      </c>
      <c r="T81" s="16">
        <f>'O&amp;M_Detail - Elec'!W78</f>
        <v>171776.11875291896</v>
      </c>
      <c r="U81" s="16">
        <f>'O&amp;M_Detail - Elec'!X78</f>
        <v>176099.53246972532</v>
      </c>
      <c r="V81" s="16">
        <f>'O&amp;M_Detail - Elec'!Y78</f>
        <v>180905.04583510483</v>
      </c>
      <c r="W81" s="16">
        <f>'O&amp;M_Detail - Elec'!Z78</f>
        <v>189875.81973591889</v>
      </c>
    </row>
    <row r="82" spans="1:23">
      <c r="A82" s="411"/>
      <c r="C82" s="236">
        <f>+MAX($C$9:C81)+1</f>
        <v>68</v>
      </c>
      <c r="D82" s="237">
        <f>'O&amp;M_Detail - Elec'!D79</f>
        <v>594010</v>
      </c>
      <c r="E82" s="112" t="str">
        <f>'O&amp;M_Detail - Elec'!E79</f>
        <v>D/MAINT-UNDERGRD, PRIM &amp; SEC</v>
      </c>
      <c r="F82" s="16">
        <f>'O&amp;M_Detail - Elec'!I79</f>
        <v>1242802.02</v>
      </c>
      <c r="G82" s="16">
        <f>'O&amp;M_Detail - Elec'!J79</f>
        <v>0</v>
      </c>
      <c r="H82" s="16">
        <f>'O&amp;M_Detail - Elec'!K79</f>
        <v>0</v>
      </c>
      <c r="I82" s="16">
        <f>'O&amp;M_Detail - Elec'!L79</f>
        <v>0</v>
      </c>
      <c r="J82" s="16">
        <f>'O&amp;M_Detail - Elec'!M79</f>
        <v>0</v>
      </c>
      <c r="K82" s="16">
        <f>'O&amp;M_Detail - Elec'!N79</f>
        <v>0</v>
      </c>
      <c r="L82" s="16">
        <f>'O&amp;M_Detail - Elec'!O79</f>
        <v>0</v>
      </c>
      <c r="M82" s="16">
        <f>'O&amp;M_Detail - Elec'!P79</f>
        <v>0</v>
      </c>
      <c r="N82" s="16">
        <f>'O&amp;M_Detail - Elec'!Q79</f>
        <v>0</v>
      </c>
      <c r="O82" s="16">
        <f>'O&amp;M_Detail - Elec'!R79</f>
        <v>0</v>
      </c>
      <c r="P82" s="16">
        <f>'O&amp;M_Detail - Elec'!S79</f>
        <v>0</v>
      </c>
      <c r="Q82" s="16">
        <f>'O&amp;M_Detail - Elec'!T79</f>
        <v>0</v>
      </c>
      <c r="R82" s="16">
        <f>'O&amp;M_Detail - Elec'!U79</f>
        <v>0</v>
      </c>
      <c r="S82" s="16">
        <f>'O&amp;M_Detail - Elec'!V79</f>
        <v>0</v>
      </c>
      <c r="T82" s="16">
        <f>'O&amp;M_Detail - Elec'!W79</f>
        <v>0</v>
      </c>
      <c r="U82" s="16">
        <f>'O&amp;M_Detail - Elec'!X79</f>
        <v>0</v>
      </c>
      <c r="V82" s="16">
        <f>'O&amp;M_Detail - Elec'!Y79</f>
        <v>0</v>
      </c>
      <c r="W82" s="16">
        <f>'O&amp;M_Detail - Elec'!Z79</f>
        <v>0</v>
      </c>
    </row>
    <row r="83" spans="1:23">
      <c r="A83" s="411"/>
      <c r="C83" s="236">
        <f>+MAX($C$9:C82)+1</f>
        <v>69</v>
      </c>
      <c r="D83" s="237">
        <f>'O&amp;M_Detail - Elec'!D80</f>
        <v>595000</v>
      </c>
      <c r="E83" s="112" t="str">
        <f>'O&amp;M_Detail - Elec'!E80</f>
        <v>D/MAINT-LINE TRANSFORMERS</v>
      </c>
      <c r="F83" s="16">
        <f>'O&amp;M_Detail - Elec'!I80</f>
        <v>593576.61</v>
      </c>
      <c r="G83" s="16">
        <f>'O&amp;M_Detail - Elec'!J80</f>
        <v>1297.1099999999999</v>
      </c>
      <c r="H83" s="16">
        <f>'O&amp;M_Detail - Elec'!K80</f>
        <v>0</v>
      </c>
      <c r="I83" s="16">
        <f>'O&amp;M_Detail - Elec'!L80</f>
        <v>0</v>
      </c>
      <c r="J83" s="16">
        <f>'O&amp;M_Detail - Elec'!M80</f>
        <v>0</v>
      </c>
      <c r="K83" s="16">
        <f>'O&amp;M_Detail - Elec'!N80</f>
        <v>0</v>
      </c>
      <c r="L83" s="16">
        <f>'O&amp;M_Detail - Elec'!O80</f>
        <v>0</v>
      </c>
      <c r="M83" s="16">
        <f>'O&amp;M_Detail - Elec'!P80</f>
        <v>0</v>
      </c>
      <c r="N83" s="16">
        <f>'O&amp;M_Detail - Elec'!Q80</f>
        <v>0</v>
      </c>
      <c r="O83" s="16">
        <f>'O&amp;M_Detail - Elec'!R80</f>
        <v>0</v>
      </c>
      <c r="P83" s="16">
        <f>'O&amp;M_Detail - Elec'!S80</f>
        <v>0</v>
      </c>
      <c r="Q83" s="16">
        <f>'O&amp;M_Detail - Elec'!T80</f>
        <v>0</v>
      </c>
      <c r="R83" s="16">
        <f>'O&amp;M_Detail - Elec'!U80</f>
        <v>0</v>
      </c>
      <c r="S83" s="16">
        <f>'O&amp;M_Detail - Elec'!V80</f>
        <v>0</v>
      </c>
      <c r="T83" s="16">
        <f>'O&amp;M_Detail - Elec'!W80</f>
        <v>0</v>
      </c>
      <c r="U83" s="16">
        <f>'O&amp;M_Detail - Elec'!X80</f>
        <v>0</v>
      </c>
      <c r="V83" s="16">
        <f>'O&amp;M_Detail - Elec'!Y80</f>
        <v>0</v>
      </c>
      <c r="W83" s="16">
        <f>'O&amp;M_Detail - Elec'!Z80</f>
        <v>0</v>
      </c>
    </row>
    <row r="84" spans="1:23">
      <c r="A84" s="411"/>
      <c r="C84" s="236">
        <f>+MAX($C$9:C83)+1</f>
        <v>70</v>
      </c>
      <c r="D84" s="237">
        <f>'O&amp;M_Detail - Elec'!D81</f>
        <v>596010</v>
      </c>
      <c r="E84" s="112" t="str">
        <f>'O&amp;M_Detail - Elec'!E81</f>
        <v>D/MAINT-OVERHD STREET LIGHTING</v>
      </c>
      <c r="F84" s="16">
        <f>'O&amp;M_Detail - Elec'!I81</f>
        <v>35774.089999999997</v>
      </c>
      <c r="G84" s="16">
        <f>'O&amp;M_Detail - Elec'!J81</f>
        <v>859.58</v>
      </c>
      <c r="H84" s="16">
        <f>'O&amp;M_Detail - Elec'!K81</f>
        <v>0</v>
      </c>
      <c r="I84" s="16">
        <f>'O&amp;M_Detail - Elec'!L81</f>
        <v>0</v>
      </c>
      <c r="J84" s="16">
        <f>'O&amp;M_Detail - Elec'!M81</f>
        <v>0</v>
      </c>
      <c r="K84" s="16">
        <f>'O&amp;M_Detail - Elec'!N81</f>
        <v>8393.42</v>
      </c>
      <c r="L84" s="16">
        <f>'O&amp;M_Detail - Elec'!O81</f>
        <v>8860.77</v>
      </c>
      <c r="M84" s="16">
        <f>'O&amp;M_Detail - Elec'!P81</f>
        <v>8523.5524271956419</v>
      </c>
      <c r="N84" s="16">
        <f>'O&amp;M_Detail - Elec'!Q81</f>
        <v>9388.9564888953901</v>
      </c>
      <c r="O84" s="16">
        <f>'O&amp;M_Detail - Elec'!R81</f>
        <v>9889.3742400739793</v>
      </c>
      <c r="P84" s="16">
        <f>'O&amp;M_Detail - Elec'!S81</f>
        <v>10121.823748156436</v>
      </c>
      <c r="Q84" s="16">
        <f>'O&amp;M_Detail - Elec'!T81</f>
        <v>10497.059221078545</v>
      </c>
      <c r="R84" s="16">
        <f>'O&amp;M_Detail - Elec'!U81</f>
        <v>10719.724371472077</v>
      </c>
      <c r="S84" s="16">
        <f>'O&amp;M_Detail - Elec'!V81</f>
        <v>11001.047032607084</v>
      </c>
      <c r="T84" s="16">
        <f>'O&amp;M_Detail - Elec'!W81</f>
        <v>11496.519285691269</v>
      </c>
      <c r="U84" s="16">
        <f>'O&amp;M_Detail - Elec'!X81</f>
        <v>11785.873880125786</v>
      </c>
      <c r="V84" s="16">
        <f>'O&amp;M_Detail - Elec'!Y81</f>
        <v>12107.494123287752</v>
      </c>
      <c r="W84" s="16">
        <f>'O&amp;M_Detail - Elec'!Z81</f>
        <v>12707.884188606607</v>
      </c>
    </row>
    <row r="85" spans="1:23">
      <c r="A85" s="411"/>
      <c r="C85" s="236">
        <f>+MAX($C$9:C84)+1</f>
        <v>71</v>
      </c>
      <c r="D85" s="237">
        <f>'O&amp;M_Detail - Elec'!D82</f>
        <v>597000</v>
      </c>
      <c r="E85" s="112" t="str">
        <f>'O&amp;M_Detail - Elec'!E82</f>
        <v>D/MAINT-METERS</v>
      </c>
      <c r="F85" s="16">
        <f>'O&amp;M_Detail - Elec'!I82</f>
        <v>106219.14</v>
      </c>
      <c r="G85" s="16">
        <f>'O&amp;M_Detail - Elec'!J82</f>
        <v>0</v>
      </c>
      <c r="H85" s="16">
        <f>'O&amp;M_Detail - Elec'!K82</f>
        <v>0</v>
      </c>
      <c r="I85" s="16">
        <f>'O&amp;M_Detail - Elec'!L82</f>
        <v>0</v>
      </c>
      <c r="J85" s="16">
        <f>'O&amp;M_Detail - Elec'!M82</f>
        <v>0</v>
      </c>
      <c r="K85" s="16">
        <f>'O&amp;M_Detail - Elec'!N82</f>
        <v>0</v>
      </c>
      <c r="L85" s="16">
        <f>'O&amp;M_Detail - Elec'!O82</f>
        <v>0</v>
      </c>
      <c r="M85" s="16">
        <f>'O&amp;M_Detail - Elec'!P82</f>
        <v>0</v>
      </c>
      <c r="N85" s="16">
        <f>'O&amp;M_Detail - Elec'!Q82</f>
        <v>0</v>
      </c>
      <c r="O85" s="16">
        <f>'O&amp;M_Detail - Elec'!R82</f>
        <v>0</v>
      </c>
      <c r="P85" s="16">
        <f>'O&amp;M_Detail - Elec'!S82</f>
        <v>0</v>
      </c>
      <c r="Q85" s="16">
        <f>'O&amp;M_Detail - Elec'!T82</f>
        <v>0</v>
      </c>
      <c r="R85" s="16">
        <f>'O&amp;M_Detail - Elec'!U82</f>
        <v>0</v>
      </c>
      <c r="S85" s="16">
        <f>'O&amp;M_Detail - Elec'!V82</f>
        <v>0</v>
      </c>
      <c r="T85" s="16">
        <f>'O&amp;M_Detail - Elec'!W82</f>
        <v>0</v>
      </c>
      <c r="U85" s="16">
        <f>'O&amp;M_Detail - Elec'!X82</f>
        <v>0</v>
      </c>
      <c r="V85" s="16">
        <f>'O&amp;M_Detail - Elec'!Y82</f>
        <v>0</v>
      </c>
      <c r="W85" s="16">
        <f>'O&amp;M_Detail - Elec'!Z82</f>
        <v>0</v>
      </c>
    </row>
    <row r="86" spans="1:23">
      <c r="A86" s="411"/>
      <c r="C86" s="236">
        <f>+MAX($C$9:C85)+1</f>
        <v>72</v>
      </c>
      <c r="D86" s="237"/>
      <c r="E86" s="238" t="s">
        <v>279</v>
      </c>
      <c r="F86" s="239">
        <f t="shared" ref="F86:W86" si="3">SUM(F67:F85)</f>
        <v>11323300.189999999</v>
      </c>
      <c r="G86" s="239">
        <f t="shared" si="3"/>
        <v>10997942.75</v>
      </c>
      <c r="H86" s="239">
        <f t="shared" si="3"/>
        <v>12381220.219999999</v>
      </c>
      <c r="I86" s="239">
        <f t="shared" si="3"/>
        <v>13420393.34</v>
      </c>
      <c r="J86" s="239">
        <f t="shared" si="3"/>
        <v>15271748.720000001</v>
      </c>
      <c r="K86" s="239">
        <f t="shared" si="3"/>
        <v>14625271.010000002</v>
      </c>
      <c r="L86" s="239">
        <f t="shared" si="3"/>
        <v>13903667.529999999</v>
      </c>
      <c r="M86" s="239">
        <f t="shared" si="3"/>
        <v>13374530.556853719</v>
      </c>
      <c r="N86" s="239">
        <f t="shared" si="3"/>
        <v>14732458.858004173</v>
      </c>
      <c r="O86" s="239">
        <f t="shared" si="3"/>
        <v>15517677.528446738</v>
      </c>
      <c r="P86" s="239">
        <f t="shared" si="3"/>
        <v>15882420.172470961</v>
      </c>
      <c r="Q86" s="239">
        <f t="shared" si="3"/>
        <v>16471212.033784516</v>
      </c>
      <c r="R86" s="239">
        <f t="shared" si="3"/>
        <v>16820601.784516007</v>
      </c>
      <c r="S86" s="239">
        <f t="shared" si="3"/>
        <v>17262032.579929501</v>
      </c>
      <c r="T86" s="239">
        <f t="shared" si="3"/>
        <v>18039491.139086608</v>
      </c>
      <c r="U86" s="239">
        <f t="shared" si="3"/>
        <v>18493525.052538324</v>
      </c>
      <c r="V86" s="239">
        <f t="shared" si="3"/>
        <v>18998187.84503172</v>
      </c>
      <c r="W86" s="239">
        <f t="shared" si="3"/>
        <v>19940275.70607635</v>
      </c>
    </row>
    <row r="87" spans="1:23">
      <c r="A87" s="411"/>
      <c r="C87" s="236"/>
      <c r="D87" s="112"/>
      <c r="E87" s="240"/>
      <c r="F87" s="2"/>
      <c r="G87" s="2"/>
      <c r="H87" s="2"/>
      <c r="I87" s="2"/>
      <c r="J87" s="2"/>
      <c r="K87" s="2"/>
      <c r="L87" s="2"/>
      <c r="M87" s="2"/>
      <c r="N87" s="2"/>
      <c r="O87" s="2"/>
      <c r="P87" s="2"/>
      <c r="Q87" s="2"/>
      <c r="R87" s="2"/>
      <c r="S87" s="2"/>
      <c r="T87" s="2"/>
      <c r="U87" s="2"/>
      <c r="V87" s="2"/>
      <c r="W87" s="2"/>
    </row>
    <row r="88" spans="1:23" ht="17.25" customHeight="1">
      <c r="A88" s="411"/>
      <c r="C88" s="236"/>
      <c r="D88" s="282" t="s">
        <v>315</v>
      </c>
      <c r="E88" s="112"/>
      <c r="F88" s="16"/>
      <c r="G88" s="235"/>
      <c r="H88" s="235"/>
      <c r="I88" s="235"/>
      <c r="J88" s="235"/>
      <c r="K88" s="235"/>
      <c r="L88" s="235"/>
      <c r="M88" s="235"/>
      <c r="N88" s="235"/>
      <c r="O88" s="235"/>
      <c r="P88" s="235"/>
      <c r="Q88" s="235"/>
      <c r="R88" s="235"/>
      <c r="S88" s="235"/>
      <c r="T88" s="235"/>
      <c r="U88" s="235"/>
      <c r="V88" s="235"/>
      <c r="W88" s="235"/>
    </row>
    <row r="89" spans="1:23" ht="17.25" customHeight="1">
      <c r="A89" s="411"/>
      <c r="C89" s="236">
        <f>+MAX($C$9:C88)+1</f>
        <v>73</v>
      </c>
      <c r="D89" s="237">
        <f>'O&amp;M_Detail - Elec'!D87</f>
        <v>935803</v>
      </c>
      <c r="E89" s="112" t="str">
        <f>'O&amp;M_Detail - Elec'!E87</f>
        <v>WFON-AERIAL</v>
      </c>
      <c r="F89" s="16">
        <f>'O&amp;M_Detail - Elec'!I87</f>
        <v>230547.5</v>
      </c>
      <c r="G89" s="16">
        <f>'O&amp;M_Detail - Elec'!J87</f>
        <v>0</v>
      </c>
      <c r="H89" s="16">
        <f>'O&amp;M_Detail - Elec'!K87</f>
        <v>0</v>
      </c>
      <c r="I89" s="16">
        <f>'O&amp;M_Detail - Elec'!L87</f>
        <v>0</v>
      </c>
      <c r="J89" s="16">
        <f>'O&amp;M_Detail - Elec'!M87</f>
        <v>0</v>
      </c>
      <c r="K89" s="16">
        <f>'O&amp;M_Detail - Elec'!N87</f>
        <v>0</v>
      </c>
      <c r="L89" s="16">
        <f>'O&amp;M_Detail - Elec'!O87</f>
        <v>0</v>
      </c>
      <c r="M89" s="16">
        <f>'O&amp;M_Detail - Elec'!P87</f>
        <v>0</v>
      </c>
      <c r="N89" s="16">
        <f>'O&amp;M_Detail - Elec'!Q87</f>
        <v>0</v>
      </c>
      <c r="O89" s="16">
        <f>'O&amp;M_Detail - Elec'!R87</f>
        <v>0</v>
      </c>
      <c r="P89" s="16">
        <f>'O&amp;M_Detail - Elec'!S87</f>
        <v>0</v>
      </c>
      <c r="Q89" s="16">
        <f>'O&amp;M_Detail - Elec'!T87</f>
        <v>0</v>
      </c>
      <c r="R89" s="16">
        <f>'O&amp;M_Detail - Elec'!U87</f>
        <v>0</v>
      </c>
      <c r="S89" s="16">
        <f>'O&amp;M_Detail - Elec'!V87</f>
        <v>0</v>
      </c>
      <c r="T89" s="16">
        <f>'O&amp;M_Detail - Elec'!W87</f>
        <v>0</v>
      </c>
      <c r="U89" s="16">
        <f>'O&amp;M_Detail - Elec'!X87</f>
        <v>0</v>
      </c>
      <c r="V89" s="16">
        <f>'O&amp;M_Detail - Elec'!Y87</f>
        <v>0</v>
      </c>
      <c r="W89" s="16">
        <f>'O&amp;M_Detail - Elec'!Z87</f>
        <v>0</v>
      </c>
    </row>
    <row r="90" spans="1:23" ht="17.25" customHeight="1">
      <c r="A90" s="411"/>
      <c r="C90" s="236">
        <f>+MAX($C$9:C89)+1</f>
        <v>74</v>
      </c>
      <c r="D90" s="237">
        <f>'O&amp;M_Detail - Elec'!D88</f>
        <v>935804</v>
      </c>
      <c r="E90" s="112" t="str">
        <f>'O&amp;M_Detail - Elec'!E88</f>
        <v>WFON-UNDERGROUND CABLE EXPENSE</v>
      </c>
      <c r="F90" s="16">
        <f>'O&amp;M_Detail - Elec'!I88</f>
        <v>187606.84</v>
      </c>
      <c r="G90" s="16">
        <f>'O&amp;M_Detail - Elec'!J88</f>
        <v>0</v>
      </c>
      <c r="H90" s="16">
        <f>'O&amp;M_Detail - Elec'!K88</f>
        <v>3454.56</v>
      </c>
      <c r="I90" s="16">
        <f>'O&amp;M_Detail - Elec'!L88</f>
        <v>9770.23</v>
      </c>
      <c r="J90" s="16">
        <f>'O&amp;M_Detail - Elec'!M88</f>
        <v>30.4</v>
      </c>
      <c r="K90" s="16">
        <f>'O&amp;M_Detail - Elec'!N88</f>
        <v>0</v>
      </c>
      <c r="L90" s="16">
        <f>'O&amp;M_Detail - Elec'!O88</f>
        <v>0</v>
      </c>
      <c r="M90" s="16">
        <f>'O&amp;M_Detail - Elec'!P88</f>
        <v>0</v>
      </c>
      <c r="N90" s="16">
        <f>'O&amp;M_Detail - Elec'!Q88</f>
        <v>0</v>
      </c>
      <c r="O90" s="16">
        <f>'O&amp;M_Detail - Elec'!R88</f>
        <v>0</v>
      </c>
      <c r="P90" s="16">
        <f>'O&amp;M_Detail - Elec'!S88</f>
        <v>0</v>
      </c>
      <c r="Q90" s="16">
        <f>'O&amp;M_Detail - Elec'!T88</f>
        <v>0</v>
      </c>
      <c r="R90" s="16">
        <f>'O&amp;M_Detail - Elec'!U88</f>
        <v>0</v>
      </c>
      <c r="S90" s="16">
        <f>'O&amp;M_Detail - Elec'!V88</f>
        <v>0</v>
      </c>
      <c r="T90" s="16">
        <f>'O&amp;M_Detail - Elec'!W88</f>
        <v>0</v>
      </c>
      <c r="U90" s="16">
        <f>'O&amp;M_Detail - Elec'!X88</f>
        <v>0</v>
      </c>
      <c r="V90" s="16">
        <f>'O&amp;M_Detail - Elec'!Y88</f>
        <v>0</v>
      </c>
      <c r="W90" s="16">
        <f>'O&amp;M_Detail - Elec'!Z88</f>
        <v>0</v>
      </c>
    </row>
    <row r="91" spans="1:23" ht="17.25" customHeight="1">
      <c r="A91" s="411"/>
      <c r="C91" s="236">
        <f>+MAX($C$9:C90)+1</f>
        <v>75</v>
      </c>
      <c r="D91" s="112"/>
      <c r="E91" s="238" t="s">
        <v>278</v>
      </c>
      <c r="F91" s="239">
        <f t="shared" ref="F91:W91" si="4">SUM(F89:F90)</f>
        <v>418154.33999999997</v>
      </c>
      <c r="G91" s="239">
        <f t="shared" si="4"/>
        <v>0</v>
      </c>
      <c r="H91" s="239">
        <f t="shared" si="4"/>
        <v>3454.56</v>
      </c>
      <c r="I91" s="239">
        <f t="shared" si="4"/>
        <v>9770.23</v>
      </c>
      <c r="J91" s="239">
        <f t="shared" si="4"/>
        <v>30.4</v>
      </c>
      <c r="K91" s="239">
        <f t="shared" si="4"/>
        <v>0</v>
      </c>
      <c r="L91" s="239">
        <f t="shared" si="4"/>
        <v>0</v>
      </c>
      <c r="M91" s="239">
        <f t="shared" si="4"/>
        <v>0</v>
      </c>
      <c r="N91" s="239">
        <f t="shared" si="4"/>
        <v>0</v>
      </c>
      <c r="O91" s="239">
        <f t="shared" si="4"/>
        <v>0</v>
      </c>
      <c r="P91" s="239">
        <f t="shared" si="4"/>
        <v>0</v>
      </c>
      <c r="Q91" s="239">
        <f t="shared" si="4"/>
        <v>0</v>
      </c>
      <c r="R91" s="239">
        <f t="shared" si="4"/>
        <v>0</v>
      </c>
      <c r="S91" s="239">
        <f t="shared" si="4"/>
        <v>0</v>
      </c>
      <c r="T91" s="239">
        <f t="shared" si="4"/>
        <v>0</v>
      </c>
      <c r="U91" s="239">
        <f t="shared" si="4"/>
        <v>0</v>
      </c>
      <c r="V91" s="239">
        <f t="shared" si="4"/>
        <v>0</v>
      </c>
      <c r="W91" s="239">
        <f t="shared" si="4"/>
        <v>0</v>
      </c>
    </row>
    <row r="92" spans="1:23" ht="6" customHeight="1">
      <c r="A92" s="411"/>
      <c r="C92" s="236"/>
      <c r="D92" s="112"/>
      <c r="E92" s="240"/>
      <c r="F92" s="2"/>
      <c r="G92" s="2"/>
      <c r="H92" s="2"/>
      <c r="I92" s="2"/>
      <c r="J92" s="2"/>
      <c r="K92" s="2"/>
      <c r="L92" s="2"/>
      <c r="M92" s="2"/>
      <c r="N92" s="2"/>
      <c r="O92" s="2"/>
      <c r="P92" s="2"/>
      <c r="Q92" s="2"/>
      <c r="R92" s="2"/>
      <c r="S92" s="2"/>
      <c r="T92" s="2"/>
      <c r="U92" s="2"/>
      <c r="V92" s="2"/>
      <c r="W92" s="2"/>
    </row>
    <row r="93" spans="1:23" ht="17.25" customHeight="1">
      <c r="A93" s="411"/>
      <c r="C93" s="236"/>
      <c r="D93" s="282" t="s">
        <v>316</v>
      </c>
      <c r="E93" s="112"/>
      <c r="F93" s="16"/>
      <c r="G93" s="235"/>
      <c r="H93" s="235"/>
      <c r="I93" s="235"/>
      <c r="J93" s="235"/>
      <c r="K93" s="235"/>
      <c r="L93" s="235"/>
      <c r="M93" s="235"/>
      <c r="N93" s="235"/>
      <c r="O93" s="235"/>
      <c r="P93" s="235"/>
      <c r="Q93" s="235"/>
      <c r="R93" s="235"/>
      <c r="S93" s="235"/>
      <c r="T93" s="235"/>
      <c r="U93" s="235"/>
      <c r="V93" s="235"/>
      <c r="W93" s="235"/>
    </row>
    <row r="94" spans="1:23" ht="17.25" customHeight="1">
      <c r="A94" s="411"/>
      <c r="C94" s="236">
        <f>+MAX($C$9:C93)+1</f>
        <v>76</v>
      </c>
      <c r="D94" s="237">
        <f>'O&amp;M_Detail - Elec'!D91</f>
        <v>901000</v>
      </c>
      <c r="E94" s="112" t="str">
        <f>'O&amp;M_Detail - Elec'!E91</f>
        <v>CUST ACCTS-SUPV</v>
      </c>
      <c r="F94" s="16">
        <f>'O&amp;M_Detail - Elec'!I91</f>
        <v>476166.52</v>
      </c>
      <c r="G94" s="16">
        <f>'O&amp;M_Detail - Elec'!J91</f>
        <v>457039.21</v>
      </c>
      <c r="H94" s="16">
        <f>'O&amp;M_Detail - Elec'!K91</f>
        <v>403218.91</v>
      </c>
      <c r="I94" s="16">
        <f>'O&amp;M_Detail - Elec'!L91</f>
        <v>315630.3</v>
      </c>
      <c r="J94" s="16">
        <f>'O&amp;M_Detail - Elec'!M91</f>
        <v>330158.83</v>
      </c>
      <c r="K94" s="16">
        <f>'O&amp;M_Detail - Elec'!N91</f>
        <v>465654.77</v>
      </c>
      <c r="L94" s="16">
        <f>'O&amp;M_Detail - Elec'!O91</f>
        <v>535648.55000000005</v>
      </c>
      <c r="M94" s="16">
        <f>'O&amp;M_Detail - Elec'!P91</f>
        <v>628015.57640124962</v>
      </c>
      <c r="N94" s="16">
        <f>'O&amp;M_Detail - Elec'!Q91</f>
        <v>685811.35728822195</v>
      </c>
      <c r="O94" s="16">
        <f>'O&amp;M_Detail - Elec'!R91</f>
        <v>717764.38111597847</v>
      </c>
      <c r="P94" s="16">
        <f>'O&amp;M_Detail - Elec'!S91</f>
        <v>731631.92182029551</v>
      </c>
      <c r="Q94" s="16">
        <f>'O&amp;M_Detail - Elec'!T91</f>
        <v>759340.32887195365</v>
      </c>
      <c r="R94" s="16">
        <f>'O&amp;M_Detail - Elec'!U91</f>
        <v>765759.52172088216</v>
      </c>
      <c r="S94" s="16">
        <f>'O&amp;M_Detail - Elec'!V91</f>
        <v>784298.31865794049</v>
      </c>
      <c r="T94" s="16">
        <f>'O&amp;M_Detail - Elec'!W91</f>
        <v>826871.35679276392</v>
      </c>
      <c r="U94" s="16">
        <f>'O&amp;M_Detail - Elec'!X91</f>
        <v>841294.12955183338</v>
      </c>
      <c r="V94" s="16">
        <f>'O&amp;M_Detail - Elec'!Y91</f>
        <v>859877.56168780732</v>
      </c>
      <c r="W94" s="16">
        <f>'O&amp;M_Detail - Elec'!Z91</f>
        <v>913261.30223637633</v>
      </c>
    </row>
    <row r="95" spans="1:23" ht="17.25" customHeight="1">
      <c r="A95" s="411"/>
      <c r="C95" s="236">
        <f>+MAX($C$9:C94)+1</f>
        <v>77</v>
      </c>
      <c r="D95" s="237">
        <f>'O&amp;M_Detail - Elec'!D92</f>
        <v>902000</v>
      </c>
      <c r="E95" s="112" t="str">
        <f>'O&amp;M_Detail - Elec'!E92</f>
        <v>CUST ACCTS-METER READING EXP</v>
      </c>
      <c r="F95" s="16">
        <f>'O&amp;M_Detail - Elec'!I92</f>
        <v>759532.09</v>
      </c>
      <c r="G95" s="16">
        <f>'O&amp;M_Detail - Elec'!J92</f>
        <v>715628.15</v>
      </c>
      <c r="H95" s="16">
        <f>'O&amp;M_Detail - Elec'!K92</f>
        <v>764185.38</v>
      </c>
      <c r="I95" s="16">
        <f>'O&amp;M_Detail - Elec'!L92</f>
        <v>756243.03</v>
      </c>
      <c r="J95" s="16">
        <f>'O&amp;M_Detail - Elec'!M92</f>
        <v>885075.6</v>
      </c>
      <c r="K95" s="16">
        <f>'O&amp;M_Detail - Elec'!N92</f>
        <v>870503.54</v>
      </c>
      <c r="L95" s="16">
        <f>'O&amp;M_Detail - Elec'!O92</f>
        <v>885538.91</v>
      </c>
      <c r="M95" s="16">
        <f>'O&amp;M_Detail - Elec'!P92</f>
        <v>1038240.8931927182</v>
      </c>
      <c r="N95" s="16">
        <f>'O&amp;M_Detail - Elec'!Q92</f>
        <v>1133789.3882073099</v>
      </c>
      <c r="O95" s="16">
        <f>'O&amp;M_Detail - Elec'!R92</f>
        <v>1186614.4091872708</v>
      </c>
      <c r="P95" s="16">
        <f>'O&amp;M_Detail - Elec'!S92</f>
        <v>1209540.3498617702</v>
      </c>
      <c r="Q95" s="16">
        <f>'O&amp;M_Detail - Elec'!T92</f>
        <v>1255348.1329284129</v>
      </c>
      <c r="R95" s="16">
        <f>'O&amp;M_Detail - Elec'!U92</f>
        <v>1265960.3991961365</v>
      </c>
      <c r="S95" s="16">
        <f>'O&amp;M_Detail - Elec'!V92</f>
        <v>1296608.901898802</v>
      </c>
      <c r="T95" s="16">
        <f>'O&amp;M_Detail - Elec'!W92</f>
        <v>1366991.0242536559</v>
      </c>
      <c r="U95" s="16">
        <f>'O&amp;M_Detail - Elec'!X92</f>
        <v>1390834.8794610377</v>
      </c>
      <c r="V95" s="16">
        <f>'O&amp;M_Detail - Elec'!Y92</f>
        <v>1421557.1734684599</v>
      </c>
      <c r="W95" s="16">
        <f>'O&amp;M_Detail - Elec'!Z92</f>
        <v>1509811.644459005</v>
      </c>
    </row>
    <row r="96" spans="1:23" ht="17.25" customHeight="1">
      <c r="A96" s="411"/>
      <c r="C96" s="236">
        <f>+MAX($C$9:C95)+1</f>
        <v>78</v>
      </c>
      <c r="D96" s="237">
        <f>'O&amp;M_Detail - Elec'!D93</f>
        <v>903000</v>
      </c>
      <c r="E96" s="112" t="str">
        <f>'O&amp;M_Detail - Elec'!E93</f>
        <v>CUST ACCTS-REC &amp; COLL EXP</v>
      </c>
      <c r="F96" s="16">
        <f>'O&amp;M_Detail - Elec'!I93</f>
        <v>2312930.87</v>
      </c>
      <c r="G96" s="16">
        <f>'O&amp;M_Detail - Elec'!J93</f>
        <v>2137558.19</v>
      </c>
      <c r="H96" s="16">
        <f>'O&amp;M_Detail - Elec'!K93</f>
        <v>2103917.2599999998</v>
      </c>
      <c r="I96" s="16">
        <f>'O&amp;M_Detail - Elec'!L93</f>
        <v>2148190.2999999998</v>
      </c>
      <c r="J96" s="16">
        <f>'O&amp;M_Detail - Elec'!M93</f>
        <v>2142731.14</v>
      </c>
      <c r="K96" s="16">
        <f>'O&amp;M_Detail - Elec'!N93</f>
        <v>2299433.9700000002</v>
      </c>
      <c r="L96" s="16">
        <f>'O&amp;M_Detail - Elec'!O93</f>
        <v>2274637.56</v>
      </c>
      <c r="M96" s="16">
        <f>'O&amp;M_Detail - Elec'!P93</f>
        <v>2666875.1709443289</v>
      </c>
      <c r="N96" s="16">
        <f>'O&amp;M_Detail - Elec'!Q93</f>
        <v>2912305.6010557092</v>
      </c>
      <c r="O96" s="16">
        <f>'O&amp;M_Detail - Elec'!R93</f>
        <v>3047994.4742061924</v>
      </c>
      <c r="P96" s="16">
        <f>'O&amp;M_Detail - Elec'!S93</f>
        <v>3106883.14094648</v>
      </c>
      <c r="Q96" s="16">
        <f>'O&amp;M_Detail - Elec'!T93</f>
        <v>3224547.201471745</v>
      </c>
      <c r="R96" s="16">
        <f>'O&amp;M_Detail - Elec'!U93</f>
        <v>3251806.3757177247</v>
      </c>
      <c r="S96" s="16">
        <f>'O&amp;M_Detail - Elec'!V93</f>
        <v>3330531.5843087789</v>
      </c>
      <c r="T96" s="16">
        <f>'O&amp;M_Detail - Elec'!W93</f>
        <v>3511318.4670227929</v>
      </c>
      <c r="U96" s="16">
        <f>'O&amp;M_Detail - Elec'!X93</f>
        <v>3572564.932895097</v>
      </c>
      <c r="V96" s="16">
        <f>'O&amp;M_Detail - Elec'!Y93</f>
        <v>3651479.6853576908</v>
      </c>
      <c r="W96" s="16">
        <f>'O&amp;M_Detail - Elec'!Z93</f>
        <v>3878174.3368135192</v>
      </c>
    </row>
    <row r="97" spans="1:23" ht="17.25" customHeight="1">
      <c r="A97" s="411"/>
      <c r="C97" s="236">
        <f>+MAX($C$9:C96)+1</f>
        <v>79</v>
      </c>
      <c r="D97" s="237">
        <f>'O&amp;M_Detail - Elec'!D94</f>
        <v>903010</v>
      </c>
      <c r="E97" s="112" t="str">
        <f>'O&amp;M_Detail - Elec'!E94</f>
        <v>CUST ACCTS-CASH OVER/SHORT</v>
      </c>
      <c r="F97" s="16">
        <f>'O&amp;M_Detail - Elec'!I94</f>
        <v>16897.189999999999</v>
      </c>
      <c r="G97" s="16">
        <f>'O&amp;M_Detail - Elec'!J94</f>
        <v>-2189.0500000000002</v>
      </c>
      <c r="H97" s="16">
        <f>'O&amp;M_Detail - Elec'!K94</f>
        <v>-698.39</v>
      </c>
      <c r="I97" s="16">
        <f>'O&amp;M_Detail - Elec'!L94</f>
        <v>115.38</v>
      </c>
      <c r="J97" s="16">
        <f>'O&amp;M_Detail - Elec'!M94</f>
        <v>-493.54</v>
      </c>
      <c r="K97" s="16">
        <f>'O&amp;M_Detail - Elec'!N94</f>
        <v>2673.35</v>
      </c>
      <c r="L97" s="16">
        <f>'O&amp;M_Detail - Elec'!O94</f>
        <v>1950.19</v>
      </c>
      <c r="M97" s="16">
        <f>'O&amp;M_Detail - Elec'!P94</f>
        <v>2286.4800006309229</v>
      </c>
      <c r="N97" s="16">
        <f>'O&amp;M_Detail - Elec'!Q94</f>
        <v>2496.9029615965869</v>
      </c>
      <c r="O97" s="16">
        <f>'O&amp;M_Detail - Elec'!R94</f>
        <v>2613.2375760348273</v>
      </c>
      <c r="P97" s="16">
        <f>'O&amp;M_Detail - Elec'!S94</f>
        <v>2663.7265378851898</v>
      </c>
      <c r="Q97" s="16">
        <f>'O&amp;M_Detail - Elec'!T94</f>
        <v>2764.6073455492324</v>
      </c>
      <c r="R97" s="16">
        <f>'O&amp;M_Detail - Elec'!U94</f>
        <v>2787.9783519713574</v>
      </c>
      <c r="S97" s="16">
        <f>'O&amp;M_Detail - Elec'!V94</f>
        <v>2855.4744301343276</v>
      </c>
      <c r="T97" s="16">
        <f>'O&amp;M_Detail - Elec'!W94</f>
        <v>3010.4744077131922</v>
      </c>
      <c r="U97" s="16">
        <f>'O&amp;M_Detail - Elec'!X94</f>
        <v>3062.9848592154121</v>
      </c>
      <c r="V97" s="16">
        <f>'O&amp;M_Detail - Elec'!Y94</f>
        <v>3130.6434452738549</v>
      </c>
      <c r="W97" s="16">
        <f>'O&amp;M_Detail - Elec'!Z94</f>
        <v>3325.0030435223966</v>
      </c>
    </row>
    <row r="98" spans="1:23" ht="17.25" customHeight="1">
      <c r="A98" s="411"/>
      <c r="C98" s="236">
        <f>+MAX($C$9:C97)+1</f>
        <v>80</v>
      </c>
      <c r="D98" s="237">
        <f>'O&amp;M_Detail - Elec'!D95</f>
        <v>903030</v>
      </c>
      <c r="E98" s="112" t="str">
        <f>'O&amp;M_Detail - Elec'!E95</f>
        <v>CUST ACCTS-EDP</v>
      </c>
      <c r="F98" s="16">
        <f>'O&amp;M_Detail - Elec'!I95</f>
        <v>179008.37</v>
      </c>
      <c r="G98" s="16">
        <f>'O&amp;M_Detail - Elec'!J95</f>
        <v>0</v>
      </c>
      <c r="H98" s="16">
        <f>'O&amp;M_Detail - Elec'!K95</f>
        <v>0</v>
      </c>
      <c r="I98" s="16">
        <f>'O&amp;M_Detail - Elec'!L95</f>
        <v>0</v>
      </c>
      <c r="J98" s="16">
        <f>'O&amp;M_Detail - Elec'!M95</f>
        <v>0</v>
      </c>
      <c r="K98" s="16">
        <f>'O&amp;M_Detail - Elec'!N95</f>
        <v>0</v>
      </c>
      <c r="L98" s="16">
        <f>'O&amp;M_Detail - Elec'!O95</f>
        <v>0</v>
      </c>
      <c r="M98" s="16">
        <f>'O&amp;M_Detail - Elec'!P95</f>
        <v>0</v>
      </c>
      <c r="N98" s="16">
        <f>'O&amp;M_Detail - Elec'!Q95</f>
        <v>0</v>
      </c>
      <c r="O98" s="16">
        <f>'O&amp;M_Detail - Elec'!R95</f>
        <v>0</v>
      </c>
      <c r="P98" s="16">
        <f>'O&amp;M_Detail - Elec'!S95</f>
        <v>0</v>
      </c>
      <c r="Q98" s="16">
        <f>'O&amp;M_Detail - Elec'!T95</f>
        <v>0</v>
      </c>
      <c r="R98" s="16">
        <f>'O&amp;M_Detail - Elec'!U95</f>
        <v>0</v>
      </c>
      <c r="S98" s="16">
        <f>'O&amp;M_Detail - Elec'!V95</f>
        <v>0</v>
      </c>
      <c r="T98" s="16">
        <f>'O&amp;M_Detail - Elec'!W95</f>
        <v>0</v>
      </c>
      <c r="U98" s="16">
        <f>'O&amp;M_Detail - Elec'!X95</f>
        <v>0</v>
      </c>
      <c r="V98" s="16">
        <f>'O&amp;M_Detail - Elec'!Y95</f>
        <v>0</v>
      </c>
      <c r="W98" s="16">
        <f>'O&amp;M_Detail - Elec'!Z95</f>
        <v>0</v>
      </c>
    </row>
    <row r="99" spans="1:23" ht="17.25" customHeight="1">
      <c r="A99" s="411"/>
      <c r="C99" s="236">
        <f>+MAX($C$9:C98)+1</f>
        <v>81</v>
      </c>
      <c r="D99" s="237">
        <f>'O&amp;M_Detail - Elec'!D96</f>
        <v>904000</v>
      </c>
      <c r="E99" s="112" t="str">
        <f>'O&amp;M_Detail - Elec'!E96</f>
        <v>CUST ACCTS-UNCOLLECTIBLE ACCTS</v>
      </c>
      <c r="F99" s="16">
        <f>'O&amp;M_Detail - Elec'!I96</f>
        <v>118370.34</v>
      </c>
      <c r="G99" s="16">
        <f>'O&amp;M_Detail - Elec'!J96</f>
        <v>84844.25</v>
      </c>
      <c r="H99" s="16">
        <f>'O&amp;M_Detail - Elec'!K96</f>
        <v>196772.86</v>
      </c>
      <c r="I99" s="16">
        <f>'O&amp;M_Detail - Elec'!L96</f>
        <v>169066.25</v>
      </c>
      <c r="J99" s="16">
        <f>'O&amp;M_Detail - Elec'!M96</f>
        <v>24961.63</v>
      </c>
      <c r="K99" s="16">
        <f>'O&amp;M_Detail - Elec'!N96</f>
        <v>58302.67</v>
      </c>
      <c r="L99" s="16">
        <f>'O&amp;M_Detail - Elec'!O96</f>
        <v>322688.88</v>
      </c>
      <c r="M99" s="16">
        <f>'O&amp;M_Detail - Elec'!P96</f>
        <v>378333.2242222511</v>
      </c>
      <c r="N99" s="16">
        <f>'O&amp;M_Detail - Elec'!Q96</f>
        <v>413150.93408656883</v>
      </c>
      <c r="O99" s="16">
        <f>'O&amp;M_Detail - Elec'!R96</f>
        <v>432400.28232356504</v>
      </c>
      <c r="P99" s="16">
        <f>'O&amp;M_Detail - Elec'!S96</f>
        <v>440754.45630243688</v>
      </c>
      <c r="Q99" s="16">
        <f>'O&amp;M_Detail - Elec'!T96</f>
        <v>457446.73492072808</v>
      </c>
      <c r="R99" s="16">
        <f>'O&amp;M_Detail - Elec'!U96</f>
        <v>461313.82678707357</v>
      </c>
      <c r="S99" s="16">
        <f>'O&amp;M_Detail - Elec'!V96</f>
        <v>472482.08929831674</v>
      </c>
      <c r="T99" s="16">
        <f>'O&amp;M_Detail - Elec'!W96</f>
        <v>498129.21556034707</v>
      </c>
      <c r="U99" s="16">
        <f>'O&amp;M_Detail - Elec'!X96</f>
        <v>506817.8760414006</v>
      </c>
      <c r="V99" s="16">
        <f>'O&amp;M_Detail - Elec'!Y96</f>
        <v>518013.0279792028</v>
      </c>
      <c r="W99" s="16">
        <f>'O&amp;M_Detail - Elec'!Z96</f>
        <v>550172.80783453572</v>
      </c>
    </row>
    <row r="100" spans="1:23" ht="17.25" customHeight="1">
      <c r="A100" s="411"/>
      <c r="C100" s="236">
        <f>+MAX($C$9:C99)+1</f>
        <v>82</v>
      </c>
      <c r="D100" s="237">
        <f>'O&amp;M_Detail - Elec'!D97</f>
        <v>906000</v>
      </c>
      <c r="E100" s="112" t="str">
        <f>'O&amp;M_Detail - Elec'!E97</f>
        <v>ENERGY CONSERVATION O&amp;M</v>
      </c>
      <c r="F100" s="16">
        <f>'O&amp;M_Detail - Elec'!I97</f>
        <v>0</v>
      </c>
      <c r="G100" s="16">
        <f>'O&amp;M_Detail - Elec'!J97</f>
        <v>0</v>
      </c>
      <c r="H100" s="16">
        <f>'O&amp;M_Detail - Elec'!K97</f>
        <v>0</v>
      </c>
      <c r="I100" s="16">
        <f>'O&amp;M_Detail - Elec'!L97</f>
        <v>0</v>
      </c>
      <c r="J100" s="16">
        <f>'O&amp;M_Detail - Elec'!M97</f>
        <v>0</v>
      </c>
      <c r="K100" s="16">
        <f>'O&amp;M_Detail - Elec'!N97</f>
        <v>0</v>
      </c>
      <c r="L100" s="16">
        <f>'O&amp;M_Detail - Elec'!O97</f>
        <v>0</v>
      </c>
      <c r="M100" s="16">
        <f>'O&amp;M_Detail - Elec'!P97</f>
        <v>0</v>
      </c>
      <c r="N100" s="16">
        <f>'O&amp;M_Detail - Elec'!Q97</f>
        <v>0</v>
      </c>
      <c r="O100" s="16">
        <f>'O&amp;M_Detail - Elec'!R97</f>
        <v>0</v>
      </c>
      <c r="P100" s="16">
        <f>'O&amp;M_Detail - Elec'!S97</f>
        <v>0</v>
      </c>
      <c r="Q100" s="16">
        <f>'O&amp;M_Detail - Elec'!T97</f>
        <v>0</v>
      </c>
      <c r="R100" s="16">
        <f>'O&amp;M_Detail - Elec'!U97</f>
        <v>0</v>
      </c>
      <c r="S100" s="16">
        <f>'O&amp;M_Detail - Elec'!V97</f>
        <v>0</v>
      </c>
      <c r="T100" s="16">
        <f>'O&amp;M_Detail - Elec'!W97</f>
        <v>0</v>
      </c>
      <c r="U100" s="16">
        <f>'O&amp;M_Detail - Elec'!X97</f>
        <v>0</v>
      </c>
      <c r="V100" s="16">
        <f>'O&amp;M_Detail - Elec'!Y97</f>
        <v>0</v>
      </c>
      <c r="W100" s="16">
        <f>'O&amp;M_Detail - Elec'!Z97</f>
        <v>0</v>
      </c>
    </row>
    <row r="101" spans="1:23" ht="17.25" customHeight="1">
      <c r="A101" s="411"/>
      <c r="C101" s="236">
        <f>+MAX($C$9:C100)+1</f>
        <v>83</v>
      </c>
      <c r="D101" s="237">
        <f>'O&amp;M_Detail - Elec'!D98</f>
        <v>906100</v>
      </c>
      <c r="E101" s="112" t="str">
        <f>'O&amp;M_Detail - Elec'!E98</f>
        <v>CUSTOMER INCENTIVES</v>
      </c>
      <c r="F101" s="16">
        <f>'O&amp;M_Detail - Elec'!I98</f>
        <v>932153.79</v>
      </c>
      <c r="G101" s="16">
        <f>'O&amp;M_Detail - Elec'!J98</f>
        <v>2340070.6</v>
      </c>
      <c r="H101" s="16">
        <f>'O&amp;M_Detail - Elec'!K98</f>
        <v>378599.17</v>
      </c>
      <c r="I101" s="16">
        <f>'O&amp;M_Detail - Elec'!L98</f>
        <v>3030342.87</v>
      </c>
      <c r="J101" s="16">
        <f>'O&amp;M_Detail - Elec'!M98</f>
        <v>3369375.3</v>
      </c>
      <c r="K101" s="16">
        <f>'O&amp;M_Detail - Elec'!N98</f>
        <v>2762273.3</v>
      </c>
      <c r="L101" s="16">
        <f>'O&amp;M_Detail - Elec'!O98</f>
        <v>1967122.87</v>
      </c>
      <c r="M101" s="16">
        <f>'O&amp;M_Detail - Elec'!P98</f>
        <v>2306332.7681091088</v>
      </c>
      <c r="N101" s="16">
        <f>'O&amp;M_Detail - Elec'!Q98</f>
        <v>2518582.7636934752</v>
      </c>
      <c r="O101" s="16">
        <f>'O&amp;M_Detail - Elec'!R98</f>
        <v>2635927.4740212355</v>
      </c>
      <c r="P101" s="16">
        <f>'O&amp;M_Detail - Elec'!S98</f>
        <v>2686854.8152230699</v>
      </c>
      <c r="Q101" s="16">
        <f>'O&amp;M_Detail - Elec'!T98</f>
        <v>2788611.5383628714</v>
      </c>
      <c r="R101" s="16">
        <f>'O&amp;M_Detail - Elec'!U98</f>
        <v>2812185.4676866187</v>
      </c>
      <c r="S101" s="16">
        <f>'O&amp;M_Detail - Elec'!V98</f>
        <v>2880267.5924999379</v>
      </c>
      <c r="T101" s="16">
        <f>'O&amp;M_Detail - Elec'!W98</f>
        <v>3036613.3848303626</v>
      </c>
      <c r="U101" s="16">
        <f>'O&amp;M_Detail - Elec'!X98</f>
        <v>3089579.7676259074</v>
      </c>
      <c r="V101" s="16">
        <f>'O&amp;M_Detail - Elec'!Y98</f>
        <v>3157825.8113382771</v>
      </c>
      <c r="W101" s="16">
        <f>'O&amp;M_Detail - Elec'!Z98</f>
        <v>3353872.9712143494</v>
      </c>
    </row>
    <row r="102" spans="1:23" ht="17.25" customHeight="1">
      <c r="A102" s="411"/>
      <c r="C102" s="236">
        <f>+MAX($C$9:C101)+1</f>
        <v>84</v>
      </c>
      <c r="D102" s="237">
        <f>'O&amp;M_Detail - Elec'!D99</f>
        <v>908000</v>
      </c>
      <c r="E102" s="112" t="str">
        <f>'O&amp;M_Detail - Elec'!E99</f>
        <v>CUST OPERS-CUST ASSISTANCE</v>
      </c>
      <c r="F102" s="16">
        <f>'O&amp;M_Detail - Elec'!I99</f>
        <v>271629.53000000003</v>
      </c>
      <c r="G102" s="16">
        <f>'O&amp;M_Detail - Elec'!J99</f>
        <v>519017.9</v>
      </c>
      <c r="H102" s="16">
        <f>'O&amp;M_Detail - Elec'!K99</f>
        <v>732146.33</v>
      </c>
      <c r="I102" s="16">
        <f>'O&amp;M_Detail - Elec'!L99</f>
        <v>384042.23</v>
      </c>
      <c r="J102" s="16">
        <f>'O&amp;M_Detail - Elec'!M99</f>
        <v>566238.31999999995</v>
      </c>
      <c r="K102" s="16">
        <f>'O&amp;M_Detail - Elec'!N99</f>
        <v>436793.75</v>
      </c>
      <c r="L102" s="16">
        <f>'O&amp;M_Detail - Elec'!O99</f>
        <v>855451.35</v>
      </c>
      <c r="M102" s="16">
        <f>'O&amp;M_Detail - Elec'!P99</f>
        <v>1002965.0461174161</v>
      </c>
      <c r="N102" s="16">
        <f>'O&amp;M_Detail - Elec'!Q99</f>
        <v>1095267.1325956949</v>
      </c>
      <c r="O102" s="16">
        <f>'O&amp;M_Detail - Elec'!R99</f>
        <v>1146297.3414332555</v>
      </c>
      <c r="P102" s="16">
        <f>'O&amp;M_Detail - Elec'!S99</f>
        <v>1168444.3376618235</v>
      </c>
      <c r="Q102" s="16">
        <f>'O&amp;M_Detail - Elec'!T99</f>
        <v>1212695.730144246</v>
      </c>
      <c r="R102" s="16">
        <f>'O&amp;M_Detail - Elec'!U99</f>
        <v>1222947.4281811889</v>
      </c>
      <c r="S102" s="16">
        <f>'O&amp;M_Detail - Elec'!V99</f>
        <v>1252554.6003973414</v>
      </c>
      <c r="T102" s="16">
        <f>'O&amp;M_Detail - Elec'!W99</f>
        <v>1320545.3808186385</v>
      </c>
      <c r="U102" s="16">
        <f>'O&amp;M_Detail - Elec'!X99</f>
        <v>1343579.1040080118</v>
      </c>
      <c r="V102" s="16">
        <f>'O&amp;M_Detail - Elec'!Y99</f>
        <v>1373257.5603547196</v>
      </c>
      <c r="W102" s="16">
        <f>'O&amp;M_Detail - Elec'!Z99</f>
        <v>1458513.4486051835</v>
      </c>
    </row>
    <row r="103" spans="1:23" ht="17.25" customHeight="1">
      <c r="A103" s="411"/>
      <c r="C103" s="236">
        <f>+MAX($C$9:C102)+1</f>
        <v>85</v>
      </c>
      <c r="D103" s="237">
        <f>'O&amp;M_Detail - Elec'!D100</f>
        <v>909010</v>
      </c>
      <c r="E103" s="112" t="str">
        <f>'O&amp;M_Detail - Elec'!E100</f>
        <v>CUST OPERS-PUB REL &amp; AD EXP</v>
      </c>
      <c r="F103" s="16">
        <f>'O&amp;M_Detail - Elec'!I100</f>
        <v>72.930000000000007</v>
      </c>
      <c r="G103" s="16">
        <f>'O&amp;M_Detail - Elec'!J100</f>
        <v>1266.05</v>
      </c>
      <c r="H103" s="16">
        <f>'O&amp;M_Detail - Elec'!K100</f>
        <v>0</v>
      </c>
      <c r="I103" s="16">
        <f>'O&amp;M_Detail - Elec'!L100</f>
        <v>0</v>
      </c>
      <c r="J103" s="16">
        <f>'O&amp;M_Detail - Elec'!M100</f>
        <v>0</v>
      </c>
      <c r="K103" s="16">
        <f>'O&amp;M_Detail - Elec'!N100</f>
        <v>0</v>
      </c>
      <c r="L103" s="16">
        <f>'O&amp;M_Detail - Elec'!O100</f>
        <v>0</v>
      </c>
      <c r="M103" s="16">
        <f>'O&amp;M_Detail - Elec'!P100</f>
        <v>0</v>
      </c>
      <c r="N103" s="16">
        <f>'O&amp;M_Detail - Elec'!Q100</f>
        <v>0</v>
      </c>
      <c r="O103" s="16">
        <f>'O&amp;M_Detail - Elec'!R100</f>
        <v>0</v>
      </c>
      <c r="P103" s="16">
        <f>'O&amp;M_Detail - Elec'!S100</f>
        <v>0</v>
      </c>
      <c r="Q103" s="16">
        <f>'O&amp;M_Detail - Elec'!T100</f>
        <v>0</v>
      </c>
      <c r="R103" s="16">
        <f>'O&amp;M_Detail - Elec'!U100</f>
        <v>0</v>
      </c>
      <c r="S103" s="16">
        <f>'O&amp;M_Detail - Elec'!V100</f>
        <v>0</v>
      </c>
      <c r="T103" s="16">
        <f>'O&amp;M_Detail - Elec'!W100</f>
        <v>0</v>
      </c>
      <c r="U103" s="16">
        <f>'O&amp;M_Detail - Elec'!X100</f>
        <v>0</v>
      </c>
      <c r="V103" s="16">
        <f>'O&amp;M_Detail - Elec'!Y100</f>
        <v>0</v>
      </c>
      <c r="W103" s="16">
        <f>'O&amp;M_Detail - Elec'!Z100</f>
        <v>0</v>
      </c>
    </row>
    <row r="104" spans="1:23" ht="17.25" customHeight="1">
      <c r="A104" s="411"/>
      <c r="C104" s="236">
        <f>+MAX($C$9:C103)+1</f>
        <v>86</v>
      </c>
      <c r="D104" s="237">
        <f>'O&amp;M_Detail - Elec'!D101</f>
        <v>910020</v>
      </c>
      <c r="E104" s="112" t="str">
        <f>'O&amp;M_Detail - Elec'!E101</f>
        <v>CUST OPERS-MISC, RATE STUDY</v>
      </c>
      <c r="F104" s="16">
        <f>'O&amp;M_Detail - Elec'!I101</f>
        <v>60802.86</v>
      </c>
      <c r="G104" s="16">
        <f>'O&amp;M_Detail - Elec'!J101</f>
        <v>113664.67</v>
      </c>
      <c r="H104" s="16">
        <f>'O&amp;M_Detail - Elec'!K101</f>
        <v>81244.240000000005</v>
      </c>
      <c r="I104" s="16">
        <f>'O&amp;M_Detail - Elec'!L101</f>
        <v>0</v>
      </c>
      <c r="J104" s="16">
        <f>'O&amp;M_Detail - Elec'!M101</f>
        <v>0</v>
      </c>
      <c r="K104" s="16">
        <f>'O&amp;M_Detail - Elec'!N101</f>
        <v>214117.53</v>
      </c>
      <c r="L104" s="16">
        <f>'O&amp;M_Detail - Elec'!O101</f>
        <v>7374.75</v>
      </c>
      <c r="M104" s="16">
        <f>'O&amp;M_Detail - Elec'!P101</f>
        <v>8646.4490047907639</v>
      </c>
      <c r="N104" s="16">
        <f>'O&amp;M_Detail - Elec'!Q101</f>
        <v>9442.1749245121919</v>
      </c>
      <c r="O104" s="16">
        <f>'O&amp;M_Detail - Elec'!R101</f>
        <v>9882.100622945889</v>
      </c>
      <c r="P104" s="16">
        <f>'O&amp;M_Detail - Elec'!S101</f>
        <v>10073.027389776793</v>
      </c>
      <c r="Q104" s="16">
        <f>'O&amp;M_Detail - Elec'!T101</f>
        <v>10454.513673841626</v>
      </c>
      <c r="R104" s="16">
        <f>'O&amp;M_Detail - Elec'!U101</f>
        <v>10542.892411098799</v>
      </c>
      <c r="S104" s="16">
        <f>'O&amp;M_Detail - Elec'!V101</f>
        <v>10798.132517156346</v>
      </c>
      <c r="T104" s="16">
        <f>'O&amp;M_Detail - Elec'!W101</f>
        <v>11384.273398121652</v>
      </c>
      <c r="U104" s="16">
        <f>'O&amp;M_Detail - Elec'!X101</f>
        <v>11582.844538480284</v>
      </c>
      <c r="V104" s="16">
        <f>'O&amp;M_Detail - Elec'!Y101</f>
        <v>11838.699177020373</v>
      </c>
      <c r="W104" s="16">
        <f>'O&amp;M_Detail - Elec'!Z101</f>
        <v>12573.680613282189</v>
      </c>
    </row>
    <row r="105" spans="1:23" ht="17.25" customHeight="1">
      <c r="A105" s="411"/>
      <c r="C105" s="236">
        <f>+MAX($C$9:C104)+1</f>
        <v>87</v>
      </c>
      <c r="D105" s="112"/>
      <c r="E105" s="238" t="s">
        <v>277</v>
      </c>
      <c r="F105" s="239">
        <f t="shared" ref="F105:W105" si="5">SUM(F94:F104)</f>
        <v>5127564.49</v>
      </c>
      <c r="G105" s="239">
        <f t="shared" si="5"/>
        <v>6366899.9699999997</v>
      </c>
      <c r="H105" s="239">
        <f t="shared" si="5"/>
        <v>4659385.76</v>
      </c>
      <c r="I105" s="239">
        <f t="shared" si="5"/>
        <v>6803630.3599999994</v>
      </c>
      <c r="J105" s="239">
        <f t="shared" si="5"/>
        <v>7318047.2800000003</v>
      </c>
      <c r="K105" s="239">
        <f t="shared" si="5"/>
        <v>7109752.8799999999</v>
      </c>
      <c r="L105" s="239">
        <f t="shared" si="5"/>
        <v>6850413.0599999996</v>
      </c>
      <c r="M105" s="239">
        <f t="shared" si="5"/>
        <v>8031695.6079924935</v>
      </c>
      <c r="N105" s="239">
        <f t="shared" si="5"/>
        <v>8770846.2548130881</v>
      </c>
      <c r="O105" s="239">
        <f t="shared" si="5"/>
        <v>9179493.7004864793</v>
      </c>
      <c r="P105" s="239">
        <f t="shared" si="5"/>
        <v>9356845.7757435367</v>
      </c>
      <c r="Q105" s="239">
        <f t="shared" si="5"/>
        <v>9711208.7877193484</v>
      </c>
      <c r="R105" s="239">
        <f t="shared" si="5"/>
        <v>9793303.890052693</v>
      </c>
      <c r="S105" s="239">
        <f t="shared" si="5"/>
        <v>10030396.694008408</v>
      </c>
      <c r="T105" s="239">
        <f t="shared" si="5"/>
        <v>10574863.577084396</v>
      </c>
      <c r="U105" s="239">
        <f t="shared" si="5"/>
        <v>10759316.518980984</v>
      </c>
      <c r="V105" s="239">
        <f t="shared" si="5"/>
        <v>10996980.162808452</v>
      </c>
      <c r="W105" s="239">
        <f t="shared" si="5"/>
        <v>11679705.194819774</v>
      </c>
    </row>
    <row r="106" spans="1:23" ht="6" customHeight="1">
      <c r="A106" s="411"/>
      <c r="C106" s="236"/>
      <c r="D106" s="112"/>
      <c r="E106" s="240"/>
      <c r="F106" s="2"/>
      <c r="G106" s="2"/>
      <c r="H106" s="2"/>
      <c r="I106" s="2"/>
      <c r="J106" s="2"/>
      <c r="K106" s="2"/>
      <c r="L106" s="2"/>
      <c r="M106" s="2"/>
      <c r="N106" s="2"/>
      <c r="O106" s="2"/>
      <c r="P106" s="2"/>
      <c r="Q106" s="2"/>
      <c r="R106" s="2"/>
      <c r="S106" s="2"/>
      <c r="T106" s="2"/>
      <c r="U106" s="2"/>
      <c r="V106" s="2"/>
      <c r="W106" s="2"/>
    </row>
    <row r="107" spans="1:23" ht="17.25" customHeight="1">
      <c r="A107" s="411"/>
      <c r="C107" s="236"/>
      <c r="D107" s="282" t="s">
        <v>317</v>
      </c>
      <c r="E107" s="112"/>
      <c r="F107" s="16"/>
      <c r="G107" s="235"/>
      <c r="H107" s="235"/>
      <c r="I107" s="235"/>
      <c r="J107" s="235"/>
      <c r="K107" s="235"/>
      <c r="L107" s="235"/>
      <c r="M107" s="235"/>
      <c r="N107" s="235"/>
      <c r="O107" s="235"/>
      <c r="P107" s="235"/>
      <c r="Q107" s="235"/>
      <c r="R107" s="235"/>
      <c r="S107" s="235"/>
      <c r="T107" s="235"/>
      <c r="U107" s="235"/>
      <c r="V107" s="235"/>
      <c r="W107" s="235"/>
    </row>
    <row r="108" spans="1:23" ht="17.25" customHeight="1">
      <c r="A108" s="411"/>
      <c r="C108" s="236">
        <f>+MAX($C$9:C107)+1</f>
        <v>88</v>
      </c>
      <c r="D108" s="237">
        <f>'O&amp;M_Detail - Elec'!D112</f>
        <v>923801</v>
      </c>
      <c r="E108" s="112" t="str">
        <f>'O&amp;M_Detail - Elec'!E112</f>
        <v>WFON-LEGAL</v>
      </c>
      <c r="F108" s="16">
        <f>'O&amp;M_Detail - Elec'!I112</f>
        <v>1219.8800000000001</v>
      </c>
      <c r="G108" s="16">
        <f>'O&amp;M_Detail - Elec'!J112</f>
        <v>0</v>
      </c>
      <c r="H108" s="16">
        <f>'O&amp;M_Detail - Elec'!K112</f>
        <v>0</v>
      </c>
      <c r="I108" s="16">
        <f>'O&amp;M_Detail - Elec'!L112</f>
        <v>0</v>
      </c>
      <c r="J108" s="16">
        <f>'O&amp;M_Detail - Elec'!M112</f>
        <v>0</v>
      </c>
      <c r="K108" s="16">
        <f>'O&amp;M_Detail - Elec'!N112</f>
        <v>0</v>
      </c>
      <c r="L108" s="16">
        <f>'O&amp;M_Detail - Elec'!O112</f>
        <v>0</v>
      </c>
      <c r="M108" s="16">
        <f>'O&amp;M_Detail - Elec'!P112</f>
        <v>0</v>
      </c>
      <c r="N108" s="16">
        <f>'O&amp;M_Detail - Elec'!Q112</f>
        <v>0</v>
      </c>
      <c r="O108" s="16">
        <f>'O&amp;M_Detail - Elec'!R112</f>
        <v>0</v>
      </c>
      <c r="P108" s="16">
        <f>'O&amp;M_Detail - Elec'!S112</f>
        <v>0</v>
      </c>
      <c r="Q108" s="16">
        <f>'O&amp;M_Detail - Elec'!T112</f>
        <v>0</v>
      </c>
      <c r="R108" s="16">
        <f>'O&amp;M_Detail - Elec'!U112</f>
        <v>0</v>
      </c>
      <c r="S108" s="16">
        <f>'O&amp;M_Detail - Elec'!V112</f>
        <v>0</v>
      </c>
      <c r="T108" s="16">
        <f>'O&amp;M_Detail - Elec'!W112</f>
        <v>0</v>
      </c>
      <c r="U108" s="16">
        <f>'O&amp;M_Detail - Elec'!X112</f>
        <v>0</v>
      </c>
      <c r="V108" s="16">
        <f>'O&amp;M_Detail - Elec'!Y112</f>
        <v>0</v>
      </c>
      <c r="W108" s="16">
        <f>'O&amp;M_Detail - Elec'!Z112</f>
        <v>0</v>
      </c>
    </row>
    <row r="109" spans="1:23" ht="17.25" customHeight="1">
      <c r="A109" s="411"/>
      <c r="C109" s="236">
        <f>+MAX($C$9:C108)+1</f>
        <v>89</v>
      </c>
      <c r="D109" s="237">
        <f>'O&amp;M_Detail - Elec'!D113</f>
        <v>930801</v>
      </c>
      <c r="E109" s="112" t="str">
        <f>'O&amp;M_Detail - Elec'!E113</f>
        <v>WFON-GENERAL AND ADMIN EXPENSE</v>
      </c>
      <c r="F109" s="16">
        <f>'O&amp;M_Detail - Elec'!I113</f>
        <v>497638.76</v>
      </c>
      <c r="G109" s="16">
        <f>'O&amp;M_Detail - Elec'!J113</f>
        <v>515768.99</v>
      </c>
      <c r="H109" s="16">
        <f>'O&amp;M_Detail - Elec'!K113</f>
        <v>515416.87</v>
      </c>
      <c r="I109" s="16">
        <f>'O&amp;M_Detail - Elec'!L113</f>
        <v>334357.36</v>
      </c>
      <c r="J109" s="16">
        <f>'O&amp;M_Detail - Elec'!M113</f>
        <v>353968.52</v>
      </c>
      <c r="K109" s="16">
        <f>'O&amp;M_Detail - Elec'!N113</f>
        <v>362486.65</v>
      </c>
      <c r="L109" s="16">
        <f>'O&amp;M_Detail - Elec'!O113</f>
        <v>302471.88</v>
      </c>
      <c r="M109" s="16">
        <f>'O&amp;M_Detail - Elec'!P113</f>
        <v>375092.17896713072</v>
      </c>
      <c r="N109" s="16">
        <f>'O&amp;M_Detail - Elec'!Q113</f>
        <v>410987.80325742089</v>
      </c>
      <c r="O109" s="16">
        <f>'O&amp;M_Detail - Elec'!R113</f>
        <v>431206.40701813158</v>
      </c>
      <c r="P109" s="16">
        <f>'O&amp;M_Detail - Elec'!S113</f>
        <v>440240.69842148328</v>
      </c>
      <c r="Q109" s="16">
        <f>'O&amp;M_Detail - Elec'!T113</f>
        <v>456775.90130861284</v>
      </c>
      <c r="R109" s="16">
        <f>'O&amp;M_Detail - Elec'!U113</f>
        <v>462913.06086465291</v>
      </c>
      <c r="S109" s="16">
        <f>'O&amp;M_Detail - Elec'!V113</f>
        <v>474490.50058406766</v>
      </c>
      <c r="T109" s="16">
        <f>'O&amp;M_Detail - Elec'!W113</f>
        <v>498518.80432717263</v>
      </c>
      <c r="U109" s="16">
        <f>'O&amp;M_Detail - Elec'!X113</f>
        <v>508723.62149190204</v>
      </c>
      <c r="V109" s="16">
        <f>'O&amp;M_Detail - Elec'!Y113</f>
        <v>521002.17949397035</v>
      </c>
      <c r="W109" s="16">
        <f>'O&amp;M_Detail - Elec'!Z113</f>
        <v>550776.94014866219</v>
      </c>
    </row>
    <row r="110" spans="1:23" ht="17.25" customHeight="1">
      <c r="A110" s="411"/>
      <c r="C110" s="236">
        <f>+MAX($C$9:C109)+1</f>
        <v>90</v>
      </c>
      <c r="D110" s="237">
        <f>'O&amp;M_Detail - Elec'!D114</f>
        <v>935801</v>
      </c>
      <c r="E110" s="112" t="str">
        <f>'O&amp;M_Detail - Elec'!E114</f>
        <v>WFON-GATEWAY MAIN</v>
      </c>
      <c r="F110" s="16">
        <f>'O&amp;M_Detail - Elec'!I114</f>
        <v>224334.34</v>
      </c>
      <c r="G110" s="16">
        <f>'O&amp;M_Detail - Elec'!J114</f>
        <v>726964.97</v>
      </c>
      <c r="H110" s="16">
        <f>'O&amp;M_Detail - Elec'!K114</f>
        <v>510278.49</v>
      </c>
      <c r="I110" s="16">
        <f>'O&amp;M_Detail - Elec'!L114</f>
        <v>672438.39</v>
      </c>
      <c r="J110" s="16">
        <f>'O&amp;M_Detail - Elec'!M114</f>
        <v>889963.7</v>
      </c>
      <c r="K110" s="16">
        <f>'O&amp;M_Detail - Elec'!N114</f>
        <v>696213.85</v>
      </c>
      <c r="L110" s="16">
        <f>'O&amp;M_Detail - Elec'!O114</f>
        <v>659763.71</v>
      </c>
      <c r="M110" s="16">
        <f>'O&amp;M_Detail - Elec'!P114</f>
        <v>818165.99806678924</v>
      </c>
      <c r="N110" s="16">
        <f>'O&amp;M_Detail - Elec'!Q114</f>
        <v>896462.96324096655</v>
      </c>
      <c r="O110" s="16">
        <f>'O&amp;M_Detail - Elec'!R114</f>
        <v>940564.58692970895</v>
      </c>
      <c r="P110" s="16">
        <f>'O&amp;M_Detail - Elec'!S114</f>
        <v>960270.54311147495</v>
      </c>
      <c r="Q110" s="16">
        <f>'O&amp;M_Detail - Elec'!T114</f>
        <v>996337.78613061225</v>
      </c>
      <c r="R110" s="16">
        <f>'O&amp;M_Detail - Elec'!U114</f>
        <v>1009724.40295448</v>
      </c>
      <c r="S110" s="16">
        <f>'O&amp;M_Detail - Elec'!V114</f>
        <v>1034977.5755190916</v>
      </c>
      <c r="T110" s="16">
        <f>'O&amp;M_Detail - Elec'!W114</f>
        <v>1087389.0685231944</v>
      </c>
      <c r="U110" s="16">
        <f>'O&amp;M_Detail - Elec'!X114</f>
        <v>1109648.2221095494</v>
      </c>
      <c r="V110" s="16">
        <f>'O&amp;M_Detail - Elec'!Y114</f>
        <v>1136430.7017929328</v>
      </c>
      <c r="W110" s="16">
        <f>'O&amp;M_Detail - Elec'!Z114</f>
        <v>1201376.5954538626</v>
      </c>
    </row>
    <row r="111" spans="1:23" ht="17.25" customHeight="1">
      <c r="A111" s="411"/>
      <c r="C111" s="236">
        <f>+MAX($C$9:C110)+1</f>
        <v>91</v>
      </c>
      <c r="D111" s="237">
        <f>'O&amp;M_Detail - Elec'!D115</f>
        <v>935802</v>
      </c>
      <c r="E111" s="112" t="str">
        <f>'O&amp;M_Detail - Elec'!E115</f>
        <v>WFON-HUB CABINET EXPENSE</v>
      </c>
      <c r="F111" s="16">
        <f>'O&amp;M_Detail - Elec'!I115</f>
        <v>39863.89</v>
      </c>
      <c r="G111" s="16">
        <f>'O&amp;M_Detail - Elec'!J115</f>
        <v>0</v>
      </c>
      <c r="H111" s="16">
        <f>'O&amp;M_Detail - Elec'!K115</f>
        <v>0</v>
      </c>
      <c r="I111" s="16">
        <f>'O&amp;M_Detail - Elec'!L115</f>
        <v>0</v>
      </c>
      <c r="J111" s="16">
        <f>'O&amp;M_Detail - Elec'!M115</f>
        <v>0</v>
      </c>
      <c r="K111" s="16">
        <f>'O&amp;M_Detail - Elec'!N115</f>
        <v>0</v>
      </c>
      <c r="L111" s="16">
        <f>'O&amp;M_Detail - Elec'!O115</f>
        <v>0</v>
      </c>
      <c r="M111" s="16">
        <f>'O&amp;M_Detail - Elec'!P115</f>
        <v>0</v>
      </c>
      <c r="N111" s="16">
        <f>'O&amp;M_Detail - Elec'!Q115</f>
        <v>0</v>
      </c>
      <c r="O111" s="16">
        <f>'O&amp;M_Detail - Elec'!R115</f>
        <v>0</v>
      </c>
      <c r="P111" s="16">
        <f>'O&amp;M_Detail - Elec'!S115</f>
        <v>0</v>
      </c>
      <c r="Q111" s="16">
        <f>'O&amp;M_Detail - Elec'!T115</f>
        <v>0</v>
      </c>
      <c r="R111" s="16">
        <f>'O&amp;M_Detail - Elec'!U115</f>
        <v>0</v>
      </c>
      <c r="S111" s="16">
        <f>'O&amp;M_Detail - Elec'!V115</f>
        <v>0</v>
      </c>
      <c r="T111" s="16">
        <f>'O&amp;M_Detail - Elec'!W115</f>
        <v>0</v>
      </c>
      <c r="U111" s="16">
        <f>'O&amp;M_Detail - Elec'!X115</f>
        <v>0</v>
      </c>
      <c r="V111" s="16">
        <f>'O&amp;M_Detail - Elec'!Y115</f>
        <v>0</v>
      </c>
      <c r="W111" s="16">
        <f>'O&amp;M_Detail - Elec'!Z115</f>
        <v>0</v>
      </c>
    </row>
    <row r="112" spans="1:23" ht="17.25" customHeight="1">
      <c r="A112" s="411"/>
      <c r="C112" s="236">
        <f>+MAX($C$9:C111)+1</f>
        <v>92</v>
      </c>
      <c r="D112" s="237">
        <f>'O&amp;M_Detail - Elec'!D116</f>
        <v>935805</v>
      </c>
      <c r="E112" s="112" t="str">
        <f>'O&amp;M_Detail - Elec'!E116</f>
        <v>WFON-MAINT GEN PLT MISC</v>
      </c>
      <c r="F112" s="16">
        <f>'O&amp;M_Detail - Elec'!I116</f>
        <v>126255.87</v>
      </c>
      <c r="G112" s="16">
        <f>'O&amp;M_Detail - Elec'!J116</f>
        <v>17543.25</v>
      </c>
      <c r="H112" s="16">
        <f>'O&amp;M_Detail - Elec'!K116</f>
        <v>147.82</v>
      </c>
      <c r="I112" s="16">
        <f>'O&amp;M_Detail - Elec'!L116</f>
        <v>5125.16</v>
      </c>
      <c r="J112" s="16">
        <f>'O&amp;M_Detail - Elec'!M116</f>
        <v>7626.35</v>
      </c>
      <c r="K112" s="16">
        <f>'O&amp;M_Detail - Elec'!N116</f>
        <v>1272</v>
      </c>
      <c r="L112" s="16">
        <f>'O&amp;M_Detail - Elec'!O116</f>
        <v>59579.23</v>
      </c>
      <c r="M112" s="16">
        <f>'O&amp;M_Detail - Elec'!P116</f>
        <v>73883.572918857259</v>
      </c>
      <c r="N112" s="16">
        <f>'O&amp;M_Detail - Elec'!Q116</f>
        <v>80954.093509349113</v>
      </c>
      <c r="O112" s="16">
        <f>'O&amp;M_Detail - Elec'!R116</f>
        <v>84936.641717593287</v>
      </c>
      <c r="P112" s="16">
        <f>'O&amp;M_Detail - Elec'!S116</f>
        <v>86716.166232094634</v>
      </c>
      <c r="Q112" s="16">
        <f>'O&amp;M_Detail - Elec'!T116</f>
        <v>89973.178605968729</v>
      </c>
      <c r="R112" s="16">
        <f>'O&amp;M_Detail - Elec'!U116</f>
        <v>91182.042189373591</v>
      </c>
      <c r="S112" s="16">
        <f>'O&amp;M_Detail - Elec'!V116</f>
        <v>93462.501926173412</v>
      </c>
      <c r="T112" s="16">
        <f>'O&amp;M_Detail - Elec'!W116</f>
        <v>98195.463665361574</v>
      </c>
      <c r="U112" s="16">
        <f>'O&amp;M_Detail - Elec'!X116</f>
        <v>100205.55183939403</v>
      </c>
      <c r="V112" s="16">
        <f>'O&amp;M_Detail - Elec'!Y116</f>
        <v>102624.11395919693</v>
      </c>
      <c r="W112" s="16">
        <f>'O&amp;M_Detail - Elec'!Z116</f>
        <v>108488.98084613147</v>
      </c>
    </row>
    <row r="113" spans="1:23" ht="17.25" customHeight="1">
      <c r="A113" s="411"/>
      <c r="C113" s="236">
        <f>+MAX($C$9:C112)+1</f>
        <v>93</v>
      </c>
      <c r="D113" s="237">
        <f>'O&amp;M_Detail - Elec'!D117</f>
        <v>935806</v>
      </c>
      <c r="E113" s="112" t="str">
        <f>'O&amp;M_Detail - Elec'!E117</f>
        <v>WFON-NOC MONITORING EXPENSE</v>
      </c>
      <c r="F113" s="16">
        <f>'O&amp;M_Detail - Elec'!I117</f>
        <v>131328</v>
      </c>
      <c r="G113" s="16">
        <f>'O&amp;M_Detail - Elec'!J117</f>
        <v>163159</v>
      </c>
      <c r="H113" s="16">
        <f>'O&amp;M_Detail - Elec'!K117</f>
        <v>143364</v>
      </c>
      <c r="I113" s="16">
        <f>'O&amp;M_Detail - Elec'!L117</f>
        <v>144192</v>
      </c>
      <c r="J113" s="16">
        <f>'O&amp;M_Detail - Elec'!M117</f>
        <v>140840.17000000001</v>
      </c>
      <c r="K113" s="16">
        <f>'O&amp;M_Detail - Elec'!N117</f>
        <v>124425.54</v>
      </c>
      <c r="L113" s="16">
        <f>'O&amp;M_Detail - Elec'!O117</f>
        <v>117492</v>
      </c>
      <c r="M113" s="16">
        <f>'O&amp;M_Detail - Elec'!P117</f>
        <v>145700.58641883047</v>
      </c>
      <c r="N113" s="16">
        <f>'O&amp;M_Detail - Elec'!Q117</f>
        <v>159643.86170483317</v>
      </c>
      <c r="O113" s="16">
        <f>'O&amp;M_Detail - Elec'!R117</f>
        <v>167497.56431366218</v>
      </c>
      <c r="P113" s="16">
        <f>'O&amp;M_Detail - Elec'!S117</f>
        <v>171006.8391777011</v>
      </c>
      <c r="Q113" s="16">
        <f>'O&amp;M_Detail - Elec'!T117</f>
        <v>177429.76370746113</v>
      </c>
      <c r="R113" s="16">
        <f>'O&amp;M_Detail - Elec'!U117</f>
        <v>179813.67837271283</v>
      </c>
      <c r="S113" s="16">
        <f>'O&amp;M_Detail - Elec'!V117</f>
        <v>184310.81227988293</v>
      </c>
      <c r="T113" s="16">
        <f>'O&amp;M_Detail - Elec'!W117</f>
        <v>193644.35251967277</v>
      </c>
      <c r="U113" s="16">
        <f>'O&amp;M_Detail - Elec'!X117</f>
        <v>197608.30572523485</v>
      </c>
      <c r="V113" s="16">
        <f>'O&amp;M_Detail - Elec'!Y117</f>
        <v>202377.78160768386</v>
      </c>
      <c r="W113" s="16">
        <f>'O&amp;M_Detail - Elec'!Z117</f>
        <v>213943.47220623159</v>
      </c>
    </row>
    <row r="114" spans="1:23" ht="17.25" customHeight="1">
      <c r="A114" s="411"/>
      <c r="C114" s="236">
        <f>+MAX($C$9:C113)+1</f>
        <v>94</v>
      </c>
      <c r="D114" s="237">
        <f>'O&amp;M_Detail - Elec'!D118</f>
        <v>935807</v>
      </c>
      <c r="E114" s="112" t="str">
        <f>'O&amp;M_Detail - Elec'!E118</f>
        <v>WFON-INFORMATION MNGMT EXP</v>
      </c>
      <c r="F114" s="16">
        <f>'O&amp;M_Detail - Elec'!I118</f>
        <v>118059.93</v>
      </c>
      <c r="G114" s="16">
        <f>'O&amp;M_Detail - Elec'!J118</f>
        <v>27294.46</v>
      </c>
      <c r="H114" s="16">
        <f>'O&amp;M_Detail - Elec'!K118</f>
        <v>41440.17</v>
      </c>
      <c r="I114" s="16">
        <f>'O&amp;M_Detail - Elec'!L118</f>
        <v>123700.03</v>
      </c>
      <c r="J114" s="16">
        <f>'O&amp;M_Detail - Elec'!M118</f>
        <v>77286.86</v>
      </c>
      <c r="K114" s="16">
        <f>'O&amp;M_Detail - Elec'!N118</f>
        <v>113264.66</v>
      </c>
      <c r="L114" s="16">
        <f>'O&amp;M_Detail - Elec'!O118</f>
        <v>140814.85</v>
      </c>
      <c r="M114" s="16">
        <f>'O&amp;M_Detail - Elec'!P118</f>
        <v>174623.00600449095</v>
      </c>
      <c r="N114" s="16">
        <f>'O&amp;M_Detail - Elec'!Q118</f>
        <v>191334.10308265095</v>
      </c>
      <c r="O114" s="16">
        <f>'O&amp;M_Detail - Elec'!R118</f>
        <v>200746.81164839899</v>
      </c>
      <c r="P114" s="16">
        <f>'O&amp;M_Detail - Elec'!S118</f>
        <v>204952.69812227302</v>
      </c>
      <c r="Q114" s="16">
        <f>'O&amp;M_Detail - Elec'!T118</f>
        <v>212650.61078202416</v>
      </c>
      <c r="R114" s="16">
        <f>'O&amp;M_Detail - Elec'!U118</f>
        <v>215507.74646785995</v>
      </c>
      <c r="S114" s="16">
        <f>'O&amp;M_Detail - Elec'!V118</f>
        <v>220897.58778955054</v>
      </c>
      <c r="T114" s="16">
        <f>'O&amp;M_Detail - Elec'!W118</f>
        <v>232083.89042151673</v>
      </c>
      <c r="U114" s="16">
        <f>'O&amp;M_Detail - Elec'!X118</f>
        <v>236834.71155017437</v>
      </c>
      <c r="V114" s="16">
        <f>'O&amp;M_Detail - Elec'!Y118</f>
        <v>242550.9563239945</v>
      </c>
      <c r="W114" s="16">
        <f>'O&amp;M_Detail - Elec'!Z118</f>
        <v>256412.50423177468</v>
      </c>
    </row>
    <row r="115" spans="1:23" ht="17.25" customHeight="1">
      <c r="A115" s="411"/>
      <c r="C115" s="236">
        <f>+MAX($C$9:C114)+1</f>
        <v>95</v>
      </c>
      <c r="D115" s="237"/>
      <c r="E115" s="238" t="s">
        <v>280</v>
      </c>
      <c r="F115" s="239">
        <f t="shared" ref="F115:W115" si="6">SUM(F108:F114)</f>
        <v>1138700.67</v>
      </c>
      <c r="G115" s="239">
        <f t="shared" si="6"/>
        <v>1450730.67</v>
      </c>
      <c r="H115" s="239">
        <f t="shared" si="6"/>
        <v>1210647.3499999999</v>
      </c>
      <c r="I115" s="239">
        <f t="shared" si="6"/>
        <v>1279812.9400000002</v>
      </c>
      <c r="J115" s="239">
        <f t="shared" si="6"/>
        <v>1469685.6</v>
      </c>
      <c r="K115" s="239">
        <f t="shared" si="6"/>
        <v>1297662.7</v>
      </c>
      <c r="L115" s="239">
        <f t="shared" si="6"/>
        <v>1280121.67</v>
      </c>
      <c r="M115" s="239">
        <f t="shared" si="6"/>
        <v>1587465.3423760985</v>
      </c>
      <c r="N115" s="239">
        <f t="shared" si="6"/>
        <v>1739382.8247952205</v>
      </c>
      <c r="O115" s="239">
        <f t="shared" si="6"/>
        <v>1824952.0116274948</v>
      </c>
      <c r="P115" s="239">
        <f t="shared" si="6"/>
        <v>1863186.9450650269</v>
      </c>
      <c r="Q115" s="239">
        <f t="shared" si="6"/>
        <v>1933167.2405346793</v>
      </c>
      <c r="R115" s="239">
        <f t="shared" si="6"/>
        <v>1959140.9308490793</v>
      </c>
      <c r="S115" s="239">
        <f t="shared" si="6"/>
        <v>2008138.9780987659</v>
      </c>
      <c r="T115" s="239">
        <f t="shared" si="6"/>
        <v>2109831.5794569179</v>
      </c>
      <c r="U115" s="239">
        <f t="shared" si="6"/>
        <v>2153020.4127162546</v>
      </c>
      <c r="V115" s="239">
        <f t="shared" si="6"/>
        <v>2204985.7331777783</v>
      </c>
      <c r="W115" s="239">
        <f t="shared" si="6"/>
        <v>2330998.4928866625</v>
      </c>
    </row>
    <row r="116" spans="1:23" ht="17.25" customHeight="1">
      <c r="A116" s="411"/>
      <c r="C116" s="236"/>
      <c r="D116" s="237"/>
      <c r="E116" s="238"/>
      <c r="F116" s="117"/>
      <c r="G116" s="117"/>
      <c r="H116" s="117"/>
      <c r="I116" s="117"/>
      <c r="J116" s="117"/>
      <c r="K116" s="117"/>
      <c r="L116" s="117"/>
      <c r="M116" s="117"/>
      <c r="N116" s="117"/>
      <c r="O116" s="117"/>
      <c r="P116" s="117"/>
      <c r="Q116" s="117"/>
      <c r="R116" s="117"/>
      <c r="S116" s="117"/>
      <c r="T116" s="117"/>
      <c r="U116" s="117"/>
      <c r="V116" s="117"/>
      <c r="W116" s="117"/>
    </row>
    <row r="117" spans="1:23" ht="17.25" customHeight="1">
      <c r="A117" s="411"/>
      <c r="C117" s="236"/>
      <c r="D117" s="282" t="s">
        <v>520</v>
      </c>
      <c r="E117" s="112"/>
      <c r="F117" s="117"/>
      <c r="G117" s="117"/>
      <c r="H117" s="117"/>
      <c r="I117" s="117"/>
      <c r="J117" s="117"/>
      <c r="K117" s="117"/>
      <c r="L117" s="117"/>
      <c r="M117" s="117"/>
      <c r="N117" s="117"/>
      <c r="O117" s="117"/>
      <c r="P117" s="117"/>
      <c r="Q117" s="117"/>
      <c r="R117" s="117"/>
      <c r="S117" s="117"/>
      <c r="T117" s="117"/>
      <c r="U117" s="117"/>
      <c r="V117" s="117"/>
      <c r="W117" s="117"/>
    </row>
    <row r="118" spans="1:23" ht="17.25" customHeight="1">
      <c r="A118" s="411"/>
      <c r="C118" s="236">
        <f>+MAX($C$9:C117)+1</f>
        <v>96</v>
      </c>
      <c r="D118" s="237">
        <v>426300</v>
      </c>
      <c r="E118" s="112" t="s">
        <v>3828</v>
      </c>
      <c r="F118" s="117"/>
      <c r="G118" s="117"/>
      <c r="H118" s="117"/>
      <c r="I118" s="117"/>
      <c r="J118" s="117"/>
      <c r="K118" s="16">
        <f>'O&amp;M_Detail - Elec'!N121</f>
        <v>45000</v>
      </c>
      <c r="L118" s="16">
        <f>'O&amp;M_Detail - Elec'!O121</f>
        <v>-45000</v>
      </c>
      <c r="M118" s="16">
        <f>'O&amp;M_Detail - Elec'!P121</f>
        <v>-52629.727727413847</v>
      </c>
      <c r="N118" s="16">
        <f>'O&amp;M_Detail - Elec'!Q121</f>
        <v>-57706.878890780928</v>
      </c>
      <c r="O118" s="16">
        <f>'O&amp;M_Detail - Elec'!R121</f>
        <v>-60577.227111733191</v>
      </c>
      <c r="P118" s="16">
        <f>'O&amp;M_Detail - Elec'!S121</f>
        <v>-61867.00901261752</v>
      </c>
      <c r="Q118" s="16">
        <f>'O&amp;M_Detail - Elec'!T121</f>
        <v>-64186.672123138051</v>
      </c>
      <c r="R118" s="16">
        <f>'O&amp;M_Detail - Elec'!U121</f>
        <v>-65115.707703020285</v>
      </c>
      <c r="S118" s="16">
        <f>'O&amp;M_Detail - Elec'!V121</f>
        <v>-66755.043267993213</v>
      </c>
      <c r="T118" s="16">
        <f>'O&amp;M_Detail - Elec'!W121</f>
        <v>-70085.22923313966</v>
      </c>
      <c r="U118" s="16">
        <f>'O&amp;M_Detail - Elec'!X121</f>
        <v>-71563.98881180145</v>
      </c>
      <c r="V118" s="16">
        <f>'O&amp;M_Detail - Elec'!Y121</f>
        <v>-73321.589271803852</v>
      </c>
      <c r="W118" s="16">
        <f>'O&amp;M_Detail - Elec'!Z121</f>
        <v>-77437.118916363455</v>
      </c>
    </row>
    <row r="119" spans="1:23" ht="17.25" customHeight="1">
      <c r="A119" s="411"/>
      <c r="C119" s="236">
        <f>+MAX($C$9:C118)+1</f>
        <v>97</v>
      </c>
      <c r="D119" s="237">
        <v>426500</v>
      </c>
      <c r="E119" s="112" t="s">
        <v>812</v>
      </c>
      <c r="F119" s="16">
        <f>'O&amp;M_Detail - Elec'!I122</f>
        <v>0</v>
      </c>
      <c r="G119" s="16">
        <f>'O&amp;M_Detail - Elec'!J122</f>
        <v>0</v>
      </c>
      <c r="H119" s="16">
        <f>'O&amp;M_Detail - Elec'!K122</f>
        <v>0</v>
      </c>
      <c r="I119" s="16">
        <f>'O&amp;M_Detail - Elec'!L122</f>
        <v>0</v>
      </c>
      <c r="J119" s="16">
        <f>'O&amp;M_Detail - Elec'!M122</f>
        <v>0</v>
      </c>
      <c r="K119" s="16">
        <f>'O&amp;M_Detail - Elec'!N122</f>
        <v>0.03</v>
      </c>
      <c r="L119" s="16">
        <f>'O&amp;M_Detail - Elec'!O122</f>
        <v>0</v>
      </c>
      <c r="M119" s="16">
        <f>'O&amp;M_Detail - Elec'!P122</f>
        <v>0</v>
      </c>
      <c r="N119" s="16">
        <f>'O&amp;M_Detail - Elec'!Q122</f>
        <v>0</v>
      </c>
      <c r="O119" s="16">
        <f>'O&amp;M_Detail - Elec'!R122</f>
        <v>0</v>
      </c>
      <c r="P119" s="16">
        <f>'O&amp;M_Detail - Elec'!S122</f>
        <v>0</v>
      </c>
      <c r="Q119" s="16">
        <f>'O&amp;M_Detail - Elec'!T122</f>
        <v>0</v>
      </c>
      <c r="R119" s="16">
        <f>'O&amp;M_Detail - Elec'!U122</f>
        <v>0</v>
      </c>
      <c r="S119" s="16">
        <f>'O&amp;M_Detail - Elec'!V122</f>
        <v>0</v>
      </c>
      <c r="T119" s="16">
        <f>'O&amp;M_Detail - Elec'!W122</f>
        <v>0</v>
      </c>
      <c r="U119" s="16">
        <f>'O&amp;M_Detail - Elec'!X122</f>
        <v>0</v>
      </c>
      <c r="V119" s="16">
        <f>'O&amp;M_Detail - Elec'!Y122</f>
        <v>0</v>
      </c>
      <c r="W119" s="16">
        <f>'O&amp;M_Detail - Elec'!Z122</f>
        <v>0</v>
      </c>
    </row>
    <row r="120" spans="1:23" ht="17.25" customHeight="1">
      <c r="A120" s="411"/>
      <c r="C120" s="236">
        <f>+MAX($C$9:C119)+1</f>
        <v>98</v>
      </c>
      <c r="D120" s="237">
        <v>920010</v>
      </c>
      <c r="E120" s="112" t="s">
        <v>813</v>
      </c>
      <c r="F120" s="16">
        <f>'O&amp;M_Detail - Elec'!I123</f>
        <v>5527775.9800000004</v>
      </c>
      <c r="G120" s="16">
        <f>'O&amp;M_Detail - Elec'!J123</f>
        <v>0</v>
      </c>
      <c r="H120" s="16">
        <f>'O&amp;M_Detail - Elec'!K123</f>
        <v>0</v>
      </c>
      <c r="I120" s="16">
        <f>'O&amp;M_Detail - Elec'!L123</f>
        <v>0</v>
      </c>
      <c r="J120" s="16">
        <f>'O&amp;M_Detail - Elec'!M123</f>
        <v>0</v>
      </c>
      <c r="K120" s="16">
        <f>'O&amp;M_Detail - Elec'!N123</f>
        <v>0</v>
      </c>
      <c r="L120" s="16">
        <f>'O&amp;M_Detail - Elec'!O123</f>
        <v>31552.77</v>
      </c>
      <c r="M120" s="16">
        <f>'O&amp;M_Detail - Elec'!P123</f>
        <v>36902.526536571371</v>
      </c>
      <c r="N120" s="16">
        <f>'O&amp;M_Detail - Elec'!Q123</f>
        <v>40462.486156859239</v>
      </c>
      <c r="O120" s="16">
        <f>'O&amp;M_Detail - Elec'!R123</f>
        <v>42475.095873206257</v>
      </c>
      <c r="P120" s="16">
        <f>'O&amp;M_Detail - Elec'!S123</f>
        <v>43379.455688067726</v>
      </c>
      <c r="Q120" s="16">
        <f>'O&amp;M_Detail - Elec'!T123</f>
        <v>45005.940057039697</v>
      </c>
      <c r="R120" s="16">
        <f>'O&amp;M_Detail - Elec'!U123</f>
        <v>45657.354412013934</v>
      </c>
      <c r="S120" s="16">
        <f>'O&amp;M_Detail - Elec'!V123</f>
        <v>46806.811701667517</v>
      </c>
      <c r="T120" s="16">
        <f>'O&amp;M_Detail - Elec'!W123</f>
        <v>49141.847075345162</v>
      </c>
      <c r="U120" s="16">
        <f>'O&amp;M_Detail - Elec'!X123</f>
        <v>50178.712872474323</v>
      </c>
      <c r="V120" s="16">
        <f>'O&amp;M_Detail - Elec'!Y123</f>
        <v>51411.094273948773</v>
      </c>
      <c r="W120" s="16">
        <f>'O&amp;M_Detail - Elec'!Z123</f>
        <v>54296.791169570351</v>
      </c>
    </row>
    <row r="121" spans="1:23" ht="17.25" customHeight="1">
      <c r="A121" s="411"/>
      <c r="C121" s="236">
        <f>+MAX($C$9:C120)+1</f>
        <v>99</v>
      </c>
      <c r="D121" s="237">
        <v>920030</v>
      </c>
      <c r="E121" s="112" t="s">
        <v>814</v>
      </c>
      <c r="F121" s="16">
        <f>'O&amp;M_Detail - Elec'!I124</f>
        <v>162866.39000000001</v>
      </c>
      <c r="G121" s="16">
        <f>'O&amp;M_Detail - Elec'!J124</f>
        <v>0</v>
      </c>
      <c r="H121" s="16">
        <f>'O&amp;M_Detail - Elec'!K124</f>
        <v>0</v>
      </c>
      <c r="I121" s="16">
        <f>'O&amp;M_Detail - Elec'!L124</f>
        <v>0</v>
      </c>
      <c r="J121" s="16">
        <f>'O&amp;M_Detail - Elec'!M124</f>
        <v>0</v>
      </c>
      <c r="K121" s="16">
        <f>'O&amp;M_Detail - Elec'!N124</f>
        <v>0</v>
      </c>
      <c r="L121" s="16">
        <f>'O&amp;M_Detail - Elec'!O124</f>
        <v>0</v>
      </c>
      <c r="M121" s="16">
        <f>'O&amp;M_Detail - Elec'!P124</f>
        <v>0</v>
      </c>
      <c r="N121" s="16">
        <f>'O&amp;M_Detail - Elec'!Q124</f>
        <v>0</v>
      </c>
      <c r="O121" s="16">
        <f>'O&amp;M_Detail - Elec'!R124</f>
        <v>0</v>
      </c>
      <c r="P121" s="16">
        <f>'O&amp;M_Detail - Elec'!S124</f>
        <v>0</v>
      </c>
      <c r="Q121" s="16">
        <f>'O&amp;M_Detail - Elec'!T124</f>
        <v>0</v>
      </c>
      <c r="R121" s="16">
        <f>'O&amp;M_Detail - Elec'!U124</f>
        <v>0</v>
      </c>
      <c r="S121" s="16">
        <f>'O&amp;M_Detail - Elec'!V124</f>
        <v>0</v>
      </c>
      <c r="T121" s="16">
        <f>'O&amp;M_Detail - Elec'!W124</f>
        <v>0</v>
      </c>
      <c r="U121" s="16">
        <f>'O&amp;M_Detail - Elec'!X124</f>
        <v>0</v>
      </c>
      <c r="V121" s="16">
        <f>'O&amp;M_Detail - Elec'!Y124</f>
        <v>0</v>
      </c>
      <c r="W121" s="16">
        <f>'O&amp;M_Detail - Elec'!Z124</f>
        <v>0</v>
      </c>
    </row>
    <row r="122" spans="1:23" ht="17.25" customHeight="1">
      <c r="A122" s="411"/>
      <c r="C122" s="236">
        <f>+MAX($C$9:C121)+1</f>
        <v>100</v>
      </c>
      <c r="D122" s="237">
        <v>920050</v>
      </c>
      <c r="E122" s="112" t="s">
        <v>1843</v>
      </c>
      <c r="F122" s="16">
        <f>'O&amp;M_Detail - Elec'!I125</f>
        <v>0</v>
      </c>
      <c r="G122" s="16">
        <f>'O&amp;M_Detail - Elec'!J125</f>
        <v>992.61</v>
      </c>
      <c r="H122" s="16">
        <f>'O&amp;M_Detail - Elec'!K125</f>
        <v>50762.46</v>
      </c>
      <c r="I122" s="16">
        <f>'O&amp;M_Detail - Elec'!L125</f>
        <v>53983.06</v>
      </c>
      <c r="J122" s="16">
        <f>'O&amp;M_Detail - Elec'!M125</f>
        <v>58765.72</v>
      </c>
      <c r="K122" s="16">
        <f>'O&amp;M_Detail - Elec'!N125</f>
        <v>63889.86</v>
      </c>
      <c r="L122" s="16">
        <f>'O&amp;M_Detail - Elec'!O125</f>
        <v>67639.55</v>
      </c>
      <c r="M122" s="16">
        <f>'O&amp;M_Detail - Elec'!P125</f>
        <v>79107.802224551007</v>
      </c>
      <c r="N122" s="16">
        <f>'O&amp;M_Detail - Elec'!Q125</f>
        <v>86739.273779487135</v>
      </c>
      <c r="O122" s="16">
        <f>'O&amp;M_Detail - Elec'!R125</f>
        <v>91053.69737967629</v>
      </c>
      <c r="P122" s="16">
        <f>'O&amp;M_Detail - Elec'!S125</f>
        <v>92992.369987986516</v>
      </c>
      <c r="Q122" s="16">
        <f>'O&amp;M_Detail - Elec'!T125</f>
        <v>96479.058186813374</v>
      </c>
      <c r="R122" s="16">
        <f>'O&amp;M_Detail - Elec'!U125</f>
        <v>97875.492599196121</v>
      </c>
      <c r="S122" s="16">
        <f>'O&amp;M_Detail - Elec'!V125</f>
        <v>100339.5797083909</v>
      </c>
      <c r="T122" s="16">
        <f>'O&amp;M_Detail - Elec'!W125</f>
        <v>105345.18593280917</v>
      </c>
      <c r="U122" s="16">
        <f>'O&amp;M_Detail - Elec'!X125</f>
        <v>107567.9110985619</v>
      </c>
      <c r="V122" s="16">
        <f>'O&amp;M_Detail - Elec'!Y125</f>
        <v>110209.76230288092</v>
      </c>
      <c r="W122" s="16">
        <f>'O&amp;M_Detail - Elec'!Z125</f>
        <v>116395.81948442919</v>
      </c>
    </row>
    <row r="123" spans="1:23" ht="17.25" customHeight="1">
      <c r="A123" s="411"/>
      <c r="C123" s="236">
        <f>+MAX($C$9:C122)+1</f>
        <v>101</v>
      </c>
      <c r="D123" s="237">
        <v>920060</v>
      </c>
      <c r="E123" s="112" t="s">
        <v>3829</v>
      </c>
      <c r="F123" s="16">
        <f>'O&amp;M_Detail - Elec'!I126</f>
        <v>0</v>
      </c>
      <c r="G123" s="16">
        <f>'O&amp;M_Detail - Elec'!J126</f>
        <v>0</v>
      </c>
      <c r="H123" s="16">
        <f>'O&amp;M_Detail - Elec'!K126</f>
        <v>50762.46</v>
      </c>
      <c r="I123" s="16">
        <f>'O&amp;M_Detail - Elec'!L126</f>
        <v>53983.06</v>
      </c>
      <c r="J123" s="16">
        <f>'O&amp;M_Detail - Elec'!M126</f>
        <v>0</v>
      </c>
      <c r="K123" s="16">
        <f>'O&amp;M_Detail - Elec'!N126</f>
        <v>0</v>
      </c>
      <c r="L123" s="16">
        <f>'O&amp;M_Detail - Elec'!O126</f>
        <v>61712.28</v>
      </c>
      <c r="M123" s="16">
        <f>'O&amp;M_Detail - Elec'!P126</f>
        <v>72175.566529731703</v>
      </c>
      <c r="N123" s="16">
        <f>'O&amp;M_Detail - Elec'!Q126</f>
        <v>79138.290400754704</v>
      </c>
      <c r="O123" s="16">
        <f>'O&amp;M_Detail - Elec'!R126</f>
        <v>83074.640025397108</v>
      </c>
      <c r="P123" s="16">
        <f>'O&amp;M_Detail - Elec'!S126</f>
        <v>84843.426287759459</v>
      </c>
      <c r="Q123" s="16">
        <f>'O&amp;M_Detail - Elec'!T126</f>
        <v>88024.575162917536</v>
      </c>
      <c r="R123" s="16">
        <f>'O&amp;M_Detail - Elec'!U126</f>
        <v>89298.63969259875</v>
      </c>
      <c r="S123" s="16">
        <f>'O&amp;M_Detail - Elec'!V126</f>
        <v>91546.798257033603</v>
      </c>
      <c r="T123" s="16">
        <f>'O&amp;M_Detail - Elec'!W126</f>
        <v>96113.762006660007</v>
      </c>
      <c r="U123" s="16">
        <f>'O&amp;M_Detail - Elec'!X126</f>
        <v>98141.709232683526</v>
      </c>
      <c r="V123" s="16">
        <f>'O&amp;M_Detail - Elec'!Y126</f>
        <v>100552.05438192347</v>
      </c>
      <c r="W123" s="16">
        <f>'O&amp;M_Detail - Elec'!Z126</f>
        <v>106196.0258879982</v>
      </c>
    </row>
    <row r="124" spans="1:23" ht="17.25" customHeight="1">
      <c r="A124" s="411"/>
      <c r="C124" s="236">
        <f>+MAX($C$9:C123)+1</f>
        <v>102</v>
      </c>
      <c r="D124" s="237">
        <v>921010</v>
      </c>
      <c r="E124" s="112" t="s">
        <v>815</v>
      </c>
      <c r="F124" s="16">
        <f>'O&amp;M_Detail - Elec'!I127</f>
        <v>1433230.87</v>
      </c>
      <c r="G124" s="16">
        <f>'O&amp;M_Detail - Elec'!J127</f>
        <v>7096350.6399999997</v>
      </c>
      <c r="H124" s="16">
        <f>'O&amp;M_Detail - Elec'!K127</f>
        <v>6874597.0599999996</v>
      </c>
      <c r="I124" s="16">
        <f>'O&amp;M_Detail - Elec'!L127</f>
        <v>6626580.7699999996</v>
      </c>
      <c r="J124" s="16">
        <f>'O&amp;M_Detail - Elec'!M127</f>
        <v>6305510.0999999996</v>
      </c>
      <c r="K124" s="16">
        <f>'O&amp;M_Detail - Elec'!N127</f>
        <v>6704236.5800000001</v>
      </c>
      <c r="L124" s="16">
        <f>'O&amp;M_Detail - Elec'!O127</f>
        <v>7086539.9900000002</v>
      </c>
      <c r="M124" s="16">
        <f>'O&amp;M_Detail - Elec'!P127</f>
        <v>8288059.3378473343</v>
      </c>
      <c r="N124" s="16">
        <f>'O&amp;M_Detail - Elec'!Q127</f>
        <v>9087602.3323912416</v>
      </c>
      <c r="O124" s="16">
        <f>'O&amp;M_Detail - Elec'!R127</f>
        <v>9539620.942457987</v>
      </c>
      <c r="P124" s="16">
        <f>'O&amp;M_Detail - Elec'!S127</f>
        <v>9742734.0762134325</v>
      </c>
      <c r="Q124" s="16">
        <f>'O&amp;M_Detail - Elec'!T127</f>
        <v>10108031.529458577</v>
      </c>
      <c r="R124" s="16">
        <f>'O&amp;M_Detail - Elec'!U127</f>
        <v>10254334.813657872</v>
      </c>
      <c r="S124" s="16">
        <f>'O&amp;M_Detail - Elec'!V127</f>
        <v>10512495.192284759</v>
      </c>
      <c r="T124" s="16">
        <f>'O&amp;M_Detail - Elec'!W127</f>
        <v>11036928.437088028</v>
      </c>
      <c r="U124" s="16">
        <f>'O&amp;M_Detail - Elec'!X127</f>
        <v>11269801.523527637</v>
      </c>
      <c r="V124" s="16">
        <f>'O&amp;M_Detail - Elec'!Y127</f>
        <v>11546586.100110959</v>
      </c>
      <c r="W124" s="16">
        <f>'O&amp;M_Detail - Elec'!Z127</f>
        <v>12194694.220248785</v>
      </c>
    </row>
    <row r="125" spans="1:23" ht="17.25" customHeight="1">
      <c r="A125" s="411"/>
      <c r="C125" s="236">
        <f>+MAX($C$9:C124)+1</f>
        <v>103</v>
      </c>
      <c r="D125" s="237">
        <v>921030</v>
      </c>
      <c r="E125" s="112" t="s">
        <v>816</v>
      </c>
      <c r="F125" s="16">
        <f>'O&amp;M_Detail - Elec'!I128</f>
        <v>191394.11</v>
      </c>
      <c r="G125" s="16">
        <f>'O&amp;M_Detail - Elec'!J128</f>
        <v>60405.45</v>
      </c>
      <c r="H125" s="16">
        <f>'O&amp;M_Detail - Elec'!K128</f>
        <v>31001.34</v>
      </c>
      <c r="I125" s="16">
        <f>'O&amp;M_Detail - Elec'!L128</f>
        <v>25853.08</v>
      </c>
      <c r="J125" s="16">
        <f>'O&amp;M_Detail - Elec'!M128</f>
        <v>46708.76</v>
      </c>
      <c r="K125" s="16">
        <f>'O&amp;M_Detail - Elec'!N128</f>
        <v>28537.360000000001</v>
      </c>
      <c r="L125" s="16">
        <f>'O&amp;M_Detail - Elec'!O128</f>
        <v>90857.24</v>
      </c>
      <c r="M125" s="16">
        <f>'O&amp;M_Detail - Elec'!P128</f>
        <v>106262.04007253988</v>
      </c>
      <c r="N125" s="16">
        <f>'O&amp;M_Detail - Elec'!Q128</f>
        <v>116513.06100068038</v>
      </c>
      <c r="O125" s="16">
        <f>'O&amp;M_Detail - Elec'!R128</f>
        <v>122308.43693833888</v>
      </c>
      <c r="P125" s="16">
        <f>'O&amp;M_Detail - Elec'!S128</f>
        <v>124912.57079870118</v>
      </c>
      <c r="Q125" s="16">
        <f>'O&amp;M_Detail - Elec'!T128</f>
        <v>129596.08608651697</v>
      </c>
      <c r="R125" s="16">
        <f>'O&amp;M_Detail - Elec'!U128</f>
        <v>131471.85516762585</v>
      </c>
      <c r="S125" s="16">
        <f>'O&amp;M_Detail - Elec'!V128</f>
        <v>134781.75527578764</v>
      </c>
      <c r="T125" s="16">
        <f>'O&amp;M_Detail - Elec'!W128</f>
        <v>141505.56650867526</v>
      </c>
      <c r="U125" s="16">
        <f>'O&amp;M_Detail - Elec'!X128</f>
        <v>144491.25570735912</v>
      </c>
      <c r="V125" s="16">
        <f>'O&amp;M_Detail - Elec'!Y128</f>
        <v>148039.93852554911</v>
      </c>
      <c r="W125" s="16">
        <f>'O&amp;M_Detail - Elec'!Z128</f>
        <v>156349.39773983505</v>
      </c>
    </row>
    <row r="126" spans="1:23" ht="17.25" customHeight="1">
      <c r="A126" s="411"/>
      <c r="C126" s="236">
        <f>+MAX($C$9:C125)+1</f>
        <v>104</v>
      </c>
      <c r="D126" s="237">
        <v>921500</v>
      </c>
      <c r="E126" s="112" t="s">
        <v>817</v>
      </c>
      <c r="F126" s="16">
        <f>'O&amp;M_Detail - Elec'!I129</f>
        <v>22072.1</v>
      </c>
      <c r="G126" s="16">
        <f>'O&amp;M_Detail - Elec'!J129</f>
        <v>27448.22</v>
      </c>
      <c r="H126" s="16">
        <f>'O&amp;M_Detail - Elec'!K129</f>
        <v>21576.7</v>
      </c>
      <c r="I126" s="16">
        <f>'O&amp;M_Detail - Elec'!L129</f>
        <v>23273.74</v>
      </c>
      <c r="J126" s="16">
        <f>'O&amp;M_Detail - Elec'!M129</f>
        <v>43161.33</v>
      </c>
      <c r="K126" s="16">
        <f>'O&amp;M_Detail - Elec'!N129</f>
        <v>41900.67</v>
      </c>
      <c r="L126" s="16">
        <f>'O&amp;M_Detail - Elec'!O129</f>
        <v>37033.08</v>
      </c>
      <c r="M126" s="16">
        <f>'O&amp;M_Detail - Elec'!P129</f>
        <v>43312.020384611897</v>
      </c>
      <c r="N126" s="16">
        <f>'O&amp;M_Detail - Elec'!Q129</f>
        <v>47490.299166946701</v>
      </c>
      <c r="O126" s="16">
        <f>'O&amp;M_Detail - Elec'!R129</f>
        <v>49852.473284599655</v>
      </c>
      <c r="P126" s="16">
        <f>'O&amp;M_Detail - Elec'!S129</f>
        <v>50913.908758333018</v>
      </c>
      <c r="Q126" s="16">
        <f>'O&amp;M_Detail - Elec'!T129</f>
        <v>52822.892525998701</v>
      </c>
      <c r="R126" s="16">
        <f>'O&amp;M_Detail - Elec'!U129</f>
        <v>53587.449169390369</v>
      </c>
      <c r="S126" s="16">
        <f>'O&amp;M_Detail - Elec'!V129</f>
        <v>54936.552394378989</v>
      </c>
      <c r="T126" s="16">
        <f>'O&amp;M_Detail - Elec'!W129</f>
        <v>57677.153355760005</v>
      </c>
      <c r="U126" s="16">
        <f>'O&amp;M_Detail - Elec'!X129</f>
        <v>58894.109395256644</v>
      </c>
      <c r="V126" s="16">
        <f>'O&amp;M_Detail - Elec'!Y129</f>
        <v>60340.539582885664</v>
      </c>
      <c r="W126" s="16">
        <f>'O&amp;M_Detail - Elec'!Z129</f>
        <v>63727.444884426724</v>
      </c>
    </row>
    <row r="127" spans="1:23" ht="17.25" customHeight="1">
      <c r="A127" s="411"/>
      <c r="C127" s="236">
        <f>+MAX($C$9:C126)+1</f>
        <v>105</v>
      </c>
      <c r="D127" s="237">
        <v>921600</v>
      </c>
      <c r="E127" s="112" t="s">
        <v>818</v>
      </c>
      <c r="F127" s="16">
        <f>'O&amp;M_Detail - Elec'!I130</f>
        <v>21200.84</v>
      </c>
      <c r="G127" s="16">
        <f>'O&amp;M_Detail - Elec'!J130</f>
        <v>40540.720000000001</v>
      </c>
      <c r="H127" s="16">
        <f>'O&amp;M_Detail - Elec'!K130</f>
        <v>58478.9</v>
      </c>
      <c r="I127" s="16">
        <f>'O&amp;M_Detail - Elec'!L130</f>
        <v>24096.080000000002</v>
      </c>
      <c r="J127" s="16">
        <f>'O&amp;M_Detail - Elec'!M130</f>
        <v>25970.09</v>
      </c>
      <c r="K127" s="16">
        <f>'O&amp;M_Detail - Elec'!N130</f>
        <v>19215.849999999999</v>
      </c>
      <c r="L127" s="16">
        <f>'O&amp;M_Detail - Elec'!O130</f>
        <v>26066.720000000001</v>
      </c>
      <c r="M127" s="16">
        <f>'O&amp;M_Detail - Elec'!P130</f>
        <v>30486.319474371849</v>
      </c>
      <c r="N127" s="16">
        <f>'O&amp;M_Detail - Elec'!Q130</f>
        <v>33427.312313775488</v>
      </c>
      <c r="O127" s="16">
        <f>'O&amp;M_Detail - Elec'!R130</f>
        <v>35089.991499954616</v>
      </c>
      <c r="P127" s="16">
        <f>'O&amp;M_Detail - Elec'!S130</f>
        <v>35837.111137097272</v>
      </c>
      <c r="Q127" s="16">
        <f>'O&amp;M_Detail - Elec'!T130</f>
        <v>37180.800221458776</v>
      </c>
      <c r="R127" s="16">
        <f>'O&amp;M_Detail - Elec'!U130</f>
        <v>37718.953784366066</v>
      </c>
      <c r="S127" s="16">
        <f>'O&amp;M_Detail - Elec'!V130</f>
        <v>38668.556032325869</v>
      </c>
      <c r="T127" s="16">
        <f>'O&amp;M_Detail - Elec'!W130</f>
        <v>40597.601034579253</v>
      </c>
      <c r="U127" s="16">
        <f>'O&amp;M_Detail - Elec'!X130</f>
        <v>41454.187965341363</v>
      </c>
      <c r="V127" s="16">
        <f>'O&amp;M_Detail - Elec'!Y130</f>
        <v>42472.296388958122</v>
      </c>
      <c r="W127" s="16">
        <f>'O&amp;M_Detail - Elec'!Z130</f>
        <v>44856.259919990007</v>
      </c>
    </row>
    <row r="128" spans="1:23" ht="17.25" customHeight="1">
      <c r="A128" s="411"/>
      <c r="C128" s="236">
        <f>+MAX($C$9:C127)+1</f>
        <v>106</v>
      </c>
      <c r="D128" s="237">
        <v>923010</v>
      </c>
      <c r="E128" s="112" t="s">
        <v>819</v>
      </c>
      <c r="F128" s="16">
        <f>'O&amp;M_Detail - Elec'!I131</f>
        <v>247729.24</v>
      </c>
      <c r="G128" s="16">
        <f>'O&amp;M_Detail - Elec'!J131</f>
        <v>210135.2</v>
      </c>
      <c r="H128" s="16">
        <f>'O&amp;M_Detail - Elec'!K131</f>
        <v>154826.75</v>
      </c>
      <c r="I128" s="16">
        <f>'O&amp;M_Detail - Elec'!L131</f>
        <v>245153.04</v>
      </c>
      <c r="J128" s="16">
        <f>'O&amp;M_Detail - Elec'!M131</f>
        <v>227148.42</v>
      </c>
      <c r="K128" s="16">
        <f>'O&amp;M_Detail - Elec'!N131</f>
        <v>246035.14</v>
      </c>
      <c r="L128" s="16">
        <f>'O&amp;M_Detail - Elec'!O131</f>
        <v>271364.78999999998</v>
      </c>
      <c r="M128" s="16">
        <f>'O&amp;M_Detail - Elec'!P131</f>
        <v>317374.55583348521</v>
      </c>
      <c r="N128" s="16">
        <f>'O&amp;M_Detail - Elec'!Q131</f>
        <v>347991.44603893772</v>
      </c>
      <c r="O128" s="16">
        <f>'O&amp;M_Detail - Elec'!R131</f>
        <v>365300.5891990618</v>
      </c>
      <c r="P128" s="16">
        <f>'O&amp;M_Detail - Elec'!S131</f>
        <v>373078.39796971239</v>
      </c>
      <c r="Q128" s="16">
        <f>'O&amp;M_Detail - Elec'!T131</f>
        <v>387066.72892209346</v>
      </c>
      <c r="R128" s="16">
        <f>'O&amp;M_Detail - Elec'!U131</f>
        <v>392669.11881181062</v>
      </c>
      <c r="S128" s="16">
        <f>'O&amp;M_Detail - Elec'!V131</f>
        <v>402554.85106355307</v>
      </c>
      <c r="T128" s="16">
        <f>'O&amp;M_Detail - Elec'!W131</f>
        <v>422636.9669545067</v>
      </c>
      <c r="U128" s="16">
        <f>'O&amp;M_Detail - Elec'!X131</f>
        <v>431554.37323281885</v>
      </c>
      <c r="V128" s="16">
        <f>'O&amp;M_Detail - Elec'!Y131</f>
        <v>442153.28167131788</v>
      </c>
      <c r="W128" s="16">
        <f>'O&amp;M_Detail - Elec'!Z131</f>
        <v>466971.2780654222</v>
      </c>
    </row>
    <row r="129" spans="1:23" ht="17.25" customHeight="1">
      <c r="A129" s="411"/>
      <c r="C129" s="236">
        <f>+MAX($C$9:C128)+1</f>
        <v>107</v>
      </c>
      <c r="D129" s="237">
        <v>923020</v>
      </c>
      <c r="E129" s="112" t="s">
        <v>820</v>
      </c>
      <c r="F129" s="16">
        <f>'O&amp;M_Detail - Elec'!I132</f>
        <v>49250</v>
      </c>
      <c r="G129" s="16">
        <f>'O&amp;M_Detail - Elec'!J132</f>
        <v>127087.9</v>
      </c>
      <c r="H129" s="16">
        <f>'O&amp;M_Detail - Elec'!K132</f>
        <v>81741.399999999994</v>
      </c>
      <c r="I129" s="16">
        <f>'O&amp;M_Detail - Elec'!L132</f>
        <v>96620.05</v>
      </c>
      <c r="J129" s="16">
        <f>'O&amp;M_Detail - Elec'!M132</f>
        <v>99043.7</v>
      </c>
      <c r="K129" s="16">
        <f>'O&amp;M_Detail - Elec'!N132</f>
        <v>75414.5</v>
      </c>
      <c r="L129" s="16">
        <f>'O&amp;M_Detail - Elec'!O132</f>
        <v>91383.64</v>
      </c>
      <c r="M129" s="16">
        <f>'O&amp;M_Detail - Elec'!P132</f>
        <v>106877.69093200011</v>
      </c>
      <c r="N129" s="16">
        <f>'O&amp;M_Detail - Elec'!Q132</f>
        <v>117188.10324619386</v>
      </c>
      <c r="O129" s="16">
        <f>'O&amp;M_Detail - Elec'!R132</f>
        <v>123017.0558794859</v>
      </c>
      <c r="P129" s="16">
        <f>'O&amp;M_Detail - Elec'!S132</f>
        <v>125636.27732190654</v>
      </c>
      <c r="Q129" s="16">
        <f>'O&amp;M_Detail - Elec'!T132</f>
        <v>130346.92751330849</v>
      </c>
      <c r="R129" s="16">
        <f>'O&amp;M_Detail - Elec'!U132</f>
        <v>132233.56424617846</v>
      </c>
      <c r="S129" s="16">
        <f>'O&amp;M_Detail - Elec'!V132</f>
        <v>135562.64093748253</v>
      </c>
      <c r="T129" s="16">
        <f>'O&amp;M_Detail - Elec'!W132</f>
        <v>142325.40794574912</v>
      </c>
      <c r="U129" s="16">
        <f>'O&amp;M_Detail - Elec'!X132</f>
        <v>145328.3953453709</v>
      </c>
      <c r="V129" s="16">
        <f>'O&amp;M_Detail - Elec'!Y132</f>
        <v>148897.63818316412</v>
      </c>
      <c r="W129" s="16">
        <f>'O&amp;M_Detail - Elec'!Z132</f>
        <v>157255.23994866997</v>
      </c>
    </row>
    <row r="130" spans="1:23" ht="17.25" customHeight="1">
      <c r="A130" s="411"/>
      <c r="C130" s="236">
        <f>+MAX($C$9:C129)+1</f>
        <v>108</v>
      </c>
      <c r="D130" s="237">
        <v>923030</v>
      </c>
      <c r="E130" s="112" t="s">
        <v>821</v>
      </c>
      <c r="F130" s="16">
        <f>'O&amp;M_Detail - Elec'!I133</f>
        <v>236068.85</v>
      </c>
      <c r="G130" s="16">
        <f>'O&amp;M_Detail - Elec'!J133</f>
        <v>6683.31</v>
      </c>
      <c r="H130" s="16">
        <f>'O&amp;M_Detail - Elec'!K133</f>
        <v>345.03</v>
      </c>
      <c r="I130" s="16">
        <f>'O&amp;M_Detail - Elec'!L133</f>
        <v>0</v>
      </c>
      <c r="J130" s="16">
        <f>'O&amp;M_Detail - Elec'!M133</f>
        <v>5154.5</v>
      </c>
      <c r="K130" s="16">
        <f>'O&amp;M_Detail - Elec'!N133</f>
        <v>57630.03</v>
      </c>
      <c r="L130" s="16">
        <f>'O&amp;M_Detail - Elec'!O133</f>
        <v>47699.57</v>
      </c>
      <c r="M130" s="16">
        <f>'O&amp;M_Detail - Elec'!P133</f>
        <v>55787.008484771504</v>
      </c>
      <c r="N130" s="16">
        <f>'O&amp;M_Detail - Elec'!Q133</f>
        <v>61168.740202940608</v>
      </c>
      <c r="O130" s="16">
        <f>'O&amp;M_Detail - Elec'!R133</f>
        <v>64211.281889378115</v>
      </c>
      <c r="P130" s="16">
        <f>'O&amp;M_Detail - Elec'!S133</f>
        <v>65578.438379732892</v>
      </c>
      <c r="Q130" s="16">
        <f>'O&amp;M_Detail - Elec'!T133</f>
        <v>68037.259111214924</v>
      </c>
      <c r="R130" s="16">
        <f>'O&amp;M_Detail - Elec'!U133</f>
        <v>69022.027948439005</v>
      </c>
      <c r="S130" s="16">
        <f>'O&amp;M_Detail - Elec'!V133</f>
        <v>70759.707982548251</v>
      </c>
      <c r="T130" s="16">
        <f>'O&amp;M_Detail - Elec'!W133</f>
        <v>74289.673283826487</v>
      </c>
      <c r="U130" s="16">
        <f>'O&amp;M_Detail - Elec'!X133</f>
        <v>75857.144306838687</v>
      </c>
      <c r="V130" s="16">
        <f>'O&amp;M_Detail - Elec'!Y133</f>
        <v>77720.183999592395</v>
      </c>
      <c r="W130" s="16">
        <f>'O&amp;M_Detail - Elec'!Z133</f>
        <v>82082.606096653428</v>
      </c>
    </row>
    <row r="131" spans="1:23" ht="17.25" customHeight="1">
      <c r="A131" s="411"/>
      <c r="C131" s="236">
        <f>+MAX($C$9:C130)+1</f>
        <v>109</v>
      </c>
      <c r="D131" s="237">
        <v>923040</v>
      </c>
      <c r="E131" s="112" t="s">
        <v>822</v>
      </c>
      <c r="F131" s="16">
        <f>'O&amp;M_Detail - Elec'!I134</f>
        <v>3881.54</v>
      </c>
      <c r="G131" s="16">
        <f>'O&amp;M_Detail - Elec'!J134</f>
        <v>232.52</v>
      </c>
      <c r="H131" s="16">
        <f>'O&amp;M_Detail - Elec'!K134</f>
        <v>0</v>
      </c>
      <c r="I131" s="16">
        <f>'O&amp;M_Detail - Elec'!L134</f>
        <v>0</v>
      </c>
      <c r="J131" s="16">
        <f>'O&amp;M_Detail - Elec'!M134</f>
        <v>0</v>
      </c>
      <c r="K131" s="16">
        <f>'O&amp;M_Detail - Elec'!N134</f>
        <v>0</v>
      </c>
      <c r="L131" s="16">
        <f>'O&amp;M_Detail - Elec'!O134</f>
        <v>0</v>
      </c>
      <c r="M131" s="16">
        <f>'O&amp;M_Detail - Elec'!P134</f>
        <v>0</v>
      </c>
      <c r="N131" s="16">
        <f>'O&amp;M_Detail - Elec'!Q134</f>
        <v>0</v>
      </c>
      <c r="O131" s="16">
        <f>'O&amp;M_Detail - Elec'!R134</f>
        <v>0</v>
      </c>
      <c r="P131" s="16">
        <f>'O&amp;M_Detail - Elec'!S134</f>
        <v>0</v>
      </c>
      <c r="Q131" s="16">
        <f>'O&amp;M_Detail - Elec'!T134</f>
        <v>0</v>
      </c>
      <c r="R131" s="16">
        <f>'O&amp;M_Detail - Elec'!U134</f>
        <v>0</v>
      </c>
      <c r="S131" s="16">
        <f>'O&amp;M_Detail - Elec'!V134</f>
        <v>0</v>
      </c>
      <c r="T131" s="16">
        <f>'O&amp;M_Detail - Elec'!W134</f>
        <v>0</v>
      </c>
      <c r="U131" s="16">
        <f>'O&amp;M_Detail - Elec'!X134</f>
        <v>0</v>
      </c>
      <c r="V131" s="16">
        <f>'O&amp;M_Detail - Elec'!Y134</f>
        <v>0</v>
      </c>
      <c r="W131" s="16">
        <f>'O&amp;M_Detail - Elec'!Z134</f>
        <v>0</v>
      </c>
    </row>
    <row r="132" spans="1:23" ht="17.25" customHeight="1">
      <c r="A132" s="411"/>
      <c r="C132" s="236">
        <f>+MAX($C$9:C131)+1</f>
        <v>110</v>
      </c>
      <c r="D132" s="237">
        <v>924020</v>
      </c>
      <c r="E132" s="112" t="s">
        <v>823</v>
      </c>
      <c r="F132" s="16">
        <f>'O&amp;M_Detail - Elec'!I135</f>
        <v>175398.76</v>
      </c>
      <c r="G132" s="16">
        <f>'O&amp;M_Detail - Elec'!J135</f>
        <v>134448.63</v>
      </c>
      <c r="H132" s="16">
        <f>'O&amp;M_Detail - Elec'!K135</f>
        <v>104262.66</v>
      </c>
      <c r="I132" s="16">
        <f>'O&amp;M_Detail - Elec'!L135</f>
        <v>110887.34</v>
      </c>
      <c r="J132" s="16">
        <f>'O&amp;M_Detail - Elec'!M135</f>
        <v>128149.26</v>
      </c>
      <c r="K132" s="16">
        <f>'O&amp;M_Detail - Elec'!N135</f>
        <v>136245.53</v>
      </c>
      <c r="L132" s="16">
        <f>'O&amp;M_Detail - Elec'!O135</f>
        <v>138761.67000000001</v>
      </c>
      <c r="M132" s="16">
        <f>'O&amp;M_Detail - Elec'!P135</f>
        <v>162288.64246891669</v>
      </c>
      <c r="N132" s="16">
        <f>'O&amp;M_Detail - Elec'!Q135</f>
        <v>177944.50856383354</v>
      </c>
      <c r="O132" s="16">
        <f>'O&amp;M_Detail - Elec'!R135</f>
        <v>186795.49328874168</v>
      </c>
      <c r="P132" s="16">
        <f>'O&amp;M_Detail - Elec'!S135</f>
        <v>190772.65529990799</v>
      </c>
      <c r="Q132" s="16">
        <f>'O&amp;M_Detail - Elec'!T135</f>
        <v>197925.5514566463</v>
      </c>
      <c r="R132" s="16">
        <f>'O&amp;M_Detail - Elec'!U135</f>
        <v>200790.31875784358</v>
      </c>
      <c r="S132" s="16">
        <f>'O&amp;M_Detail - Elec'!V135</f>
        <v>205845.36188419996</v>
      </c>
      <c r="T132" s="16">
        <f>'O&amp;M_Detail - Elec'!W135</f>
        <v>216114.29890496182</v>
      </c>
      <c r="U132" s="16">
        <f>'O&amp;M_Detail - Elec'!X135</f>
        <v>220674.19109748641</v>
      </c>
      <c r="V132" s="16">
        <f>'O&amp;M_Detail - Elec'!Y135</f>
        <v>226093.9149868798</v>
      </c>
      <c r="W132" s="16">
        <f>'O&amp;M_Detail - Elec'!Z135</f>
        <v>238784.5320182931</v>
      </c>
    </row>
    <row r="133" spans="1:23" ht="17.25" customHeight="1">
      <c r="A133" s="411"/>
      <c r="C133" s="236">
        <f>+MAX($C$9:C132)+1</f>
        <v>111</v>
      </c>
      <c r="D133" s="237">
        <v>924040</v>
      </c>
      <c r="E133" s="112" t="s">
        <v>2166</v>
      </c>
      <c r="F133" s="16">
        <f>'O&amp;M_Detail - Elec'!I136</f>
        <v>0</v>
      </c>
      <c r="G133" s="16">
        <f>'O&amp;M_Detail - Elec'!J136</f>
        <v>0</v>
      </c>
      <c r="H133" s="16">
        <f>'O&amp;M_Detail - Elec'!K136</f>
        <v>0</v>
      </c>
      <c r="I133" s="16">
        <f>'O&amp;M_Detail - Elec'!L136</f>
        <v>0</v>
      </c>
      <c r="J133" s="16">
        <f>'O&amp;M_Detail - Elec'!M136</f>
        <v>0</v>
      </c>
      <c r="K133" s="16">
        <f>'O&amp;M_Detail - Elec'!N136</f>
        <v>0</v>
      </c>
      <c r="L133" s="16">
        <f>'O&amp;M_Detail - Elec'!O136</f>
        <v>0</v>
      </c>
      <c r="M133" s="16">
        <f>'O&amp;M_Detail - Elec'!P136</f>
        <v>0</v>
      </c>
      <c r="N133" s="16">
        <f>'O&amp;M_Detail - Elec'!Q136</f>
        <v>0</v>
      </c>
      <c r="O133" s="16">
        <f>'O&amp;M_Detail - Elec'!R136</f>
        <v>0</v>
      </c>
      <c r="P133" s="16">
        <f>'O&amp;M_Detail - Elec'!S136</f>
        <v>0</v>
      </c>
      <c r="Q133" s="16">
        <f>'O&amp;M_Detail - Elec'!T136</f>
        <v>0</v>
      </c>
      <c r="R133" s="16">
        <f>'O&amp;M_Detail - Elec'!U136</f>
        <v>0</v>
      </c>
      <c r="S133" s="16">
        <f>'O&amp;M_Detail - Elec'!V136</f>
        <v>0</v>
      </c>
      <c r="T133" s="16">
        <f>'O&amp;M_Detail - Elec'!W136</f>
        <v>0</v>
      </c>
      <c r="U133" s="16">
        <f>'O&amp;M_Detail - Elec'!X136</f>
        <v>0</v>
      </c>
      <c r="V133" s="16">
        <f>'O&amp;M_Detail - Elec'!Y136</f>
        <v>0</v>
      </c>
      <c r="W133" s="16">
        <f>'O&amp;M_Detail - Elec'!Z136</f>
        <v>0</v>
      </c>
    </row>
    <row r="134" spans="1:23" ht="17.25" customHeight="1">
      <c r="A134" s="411"/>
      <c r="C134" s="236">
        <f>+MAX($C$9:C133)+1</f>
        <v>112</v>
      </c>
      <c r="D134" s="237">
        <v>924500</v>
      </c>
      <c r="E134" s="112" t="s">
        <v>824</v>
      </c>
      <c r="F134" s="16">
        <f>'O&amp;M_Detail - Elec'!I137</f>
        <v>10758.39</v>
      </c>
      <c r="G134" s="16">
        <f>'O&amp;M_Detail - Elec'!J137</f>
        <v>10261.19</v>
      </c>
      <c r="H134" s="16">
        <f>'O&amp;M_Detail - Elec'!K137</f>
        <v>8799.18</v>
      </c>
      <c r="I134" s="16">
        <f>'O&amp;M_Detail - Elec'!L137</f>
        <v>9202.18</v>
      </c>
      <c r="J134" s="16">
        <f>'O&amp;M_Detail - Elec'!M137</f>
        <v>9222.11</v>
      </c>
      <c r="K134" s="16">
        <f>'O&amp;M_Detail - Elec'!N137</f>
        <v>9800.39</v>
      </c>
      <c r="L134" s="16">
        <f>'O&amp;M_Detail - Elec'!O137</f>
        <v>11085.42</v>
      </c>
      <c r="M134" s="16">
        <f>'O&amp;M_Detail - Elec'!P137</f>
        <v>12964.947474311732</v>
      </c>
      <c r="N134" s="16">
        <f>'O&amp;M_Detail - Elec'!Q137</f>
        <v>14215.666430965346</v>
      </c>
      <c r="O134" s="16">
        <f>'O&amp;M_Detail - Elec'!R137</f>
        <v>14922.755665976649</v>
      </c>
      <c r="P134" s="16">
        <f>'O&amp;M_Detail - Elec'!S137</f>
        <v>15240.483978858896</v>
      </c>
      <c r="Q134" s="16">
        <f>'O&amp;M_Detail - Elec'!T137</f>
        <v>15811.915975272816</v>
      </c>
      <c r="R134" s="16">
        <f>'O&amp;M_Detail - Elec'!U137</f>
        <v>16040.777077449218</v>
      </c>
      <c r="S134" s="16">
        <f>'O&amp;M_Detail - Elec'!V137</f>
        <v>16444.615372086158</v>
      </c>
      <c r="T134" s="16">
        <f>'O&amp;M_Detail - Elec'!W137</f>
        <v>17264.982263236241</v>
      </c>
      <c r="U134" s="16">
        <f>'O&amp;M_Detail - Elec'!X137</f>
        <v>17629.263841202664</v>
      </c>
      <c r="V134" s="16">
        <f>'O&amp;M_Detail - Elec'!Y137</f>
        <v>18062.23582545422</v>
      </c>
      <c r="W134" s="16">
        <f>'O&amp;M_Detail - Elec'!Z137</f>
        <v>19076.066372840753</v>
      </c>
    </row>
    <row r="135" spans="1:23" ht="17.25" customHeight="1">
      <c r="A135" s="411"/>
      <c r="C135" s="236">
        <f>+MAX($C$9:C134)+1</f>
        <v>113</v>
      </c>
      <c r="D135" s="237">
        <v>924600</v>
      </c>
      <c r="E135" s="112" t="s">
        <v>825</v>
      </c>
      <c r="F135" s="16">
        <f>'O&amp;M_Detail - Elec'!I138</f>
        <v>8999.2800000000007</v>
      </c>
      <c r="G135" s="16">
        <f>'O&amp;M_Detail - Elec'!J138</f>
        <v>8587.01</v>
      </c>
      <c r="H135" s="16">
        <f>'O&amp;M_Detail - Elec'!K138</f>
        <v>7369.41</v>
      </c>
      <c r="I135" s="16">
        <f>'O&amp;M_Detail - Elec'!L138</f>
        <v>7711.04</v>
      </c>
      <c r="J135" s="16">
        <f>'O&amp;M_Detail - Elec'!M138</f>
        <v>7732.17</v>
      </c>
      <c r="K135" s="16">
        <f>'O&amp;M_Detail - Elec'!N138</f>
        <v>8215.69</v>
      </c>
      <c r="L135" s="16">
        <f>'O&amp;M_Detail - Elec'!O138</f>
        <v>9288.32</v>
      </c>
      <c r="M135" s="16">
        <f>'O&amp;M_Detail - Elec'!P138</f>
        <v>10863.150058779835</v>
      </c>
      <c r="N135" s="16">
        <f>'O&amp;M_Detail - Elec'!Q138</f>
        <v>11911.11016308485</v>
      </c>
      <c r="O135" s="16">
        <f>'O&amp;M_Detail - Elec'!R138</f>
        <v>12503.570447254524</v>
      </c>
      <c r="P135" s="16">
        <f>'O&amp;M_Detail - Elec'!S138</f>
        <v>12769.790603379455</v>
      </c>
      <c r="Q135" s="16">
        <f>'O&amp;M_Detail - Elec'!T138</f>
        <v>13248.58556477301</v>
      </c>
      <c r="R135" s="16">
        <f>'O&amp;M_Detail - Elec'!U138</f>
        <v>13440.345114935939</v>
      </c>
      <c r="S135" s="16">
        <f>'O&amp;M_Detail - Elec'!V138</f>
        <v>13778.715633043703</v>
      </c>
      <c r="T135" s="16">
        <f>'O&amp;M_Detail - Elec'!W138</f>
        <v>14466.089697572348</v>
      </c>
      <c r="U135" s="16">
        <f>'O&amp;M_Detail - Elec'!X138</f>
        <v>14771.316190231813</v>
      </c>
      <c r="V135" s="16">
        <f>'O&amp;M_Detail - Elec'!Y138</f>
        <v>15134.097423668471</v>
      </c>
      <c r="W135" s="16">
        <f>'O&amp;M_Detail - Elec'!Z138</f>
        <v>15983.572008294157</v>
      </c>
    </row>
    <row r="136" spans="1:23" ht="17.25" customHeight="1">
      <c r="A136" s="411"/>
      <c r="C136" s="236">
        <f>+MAX($C$9:C135)+1</f>
        <v>114</v>
      </c>
      <c r="D136" s="237">
        <v>925030</v>
      </c>
      <c r="E136" s="112" t="s">
        <v>826</v>
      </c>
      <c r="F136" s="16">
        <f>'O&amp;M_Detail - Elec'!I139</f>
        <v>630543.5</v>
      </c>
      <c r="G136" s="16">
        <f>'O&amp;M_Detail - Elec'!J139</f>
        <v>646988.56999999995</v>
      </c>
      <c r="H136" s="16">
        <f>'O&amp;M_Detail - Elec'!K139</f>
        <v>648173.18000000005</v>
      </c>
      <c r="I136" s="16">
        <f>'O&amp;M_Detail - Elec'!L139</f>
        <v>676145.99</v>
      </c>
      <c r="J136" s="16">
        <f>'O&amp;M_Detail - Elec'!M139</f>
        <v>709145.06</v>
      </c>
      <c r="K136" s="16">
        <f>'O&amp;M_Detail - Elec'!N139</f>
        <v>666279.80000000005</v>
      </c>
      <c r="L136" s="16">
        <f>'O&amp;M_Detail - Elec'!O139</f>
        <v>596097.67000000004</v>
      </c>
      <c r="M136" s="16">
        <f>'O&amp;M_Detail - Elec'!P139</f>
        <v>697165.73491212865</v>
      </c>
      <c r="N136" s="16">
        <f>'O&amp;M_Detail - Elec'!Q139</f>
        <v>764420.80110592651</v>
      </c>
      <c r="O136" s="16">
        <f>'O&amp;M_Detail - Elec'!R139</f>
        <v>802443.1985858886</v>
      </c>
      <c r="P136" s="16">
        <f>'O&amp;M_Detail - Elec'!S139</f>
        <v>819528.44271756231</v>
      </c>
      <c r="Q136" s="16">
        <f>'O&amp;M_Detail - Elec'!T139</f>
        <v>850256.12661458983</v>
      </c>
      <c r="R136" s="16">
        <f>'O&amp;M_Detail - Elec'!U139</f>
        <v>862562.70315936534</v>
      </c>
      <c r="S136" s="16">
        <f>'O&amp;M_Detail - Elec'!V139</f>
        <v>884278.35006222082</v>
      </c>
      <c r="T136" s="16">
        <f>'O&amp;M_Detail - Elec'!W139</f>
        <v>928392.04105089873</v>
      </c>
      <c r="U136" s="16">
        <f>'O&amp;M_Detail - Elec'!X139</f>
        <v>947980.59970268712</v>
      </c>
      <c r="V136" s="16">
        <f>'O&amp;M_Detail - Elec'!Y139</f>
        <v>971262.85612487292</v>
      </c>
      <c r="W136" s="16">
        <f>'O&amp;M_Detail - Elec'!Z139</f>
        <v>1025779.6923901598</v>
      </c>
    </row>
    <row r="137" spans="1:23" ht="17.25" customHeight="1">
      <c r="A137" s="411"/>
      <c r="C137" s="236">
        <f>+MAX($C$9:C136)+1</f>
        <v>115</v>
      </c>
      <c r="D137" s="237">
        <v>925040</v>
      </c>
      <c r="E137" s="112" t="s">
        <v>827</v>
      </c>
      <c r="F137" s="16">
        <f>'O&amp;M_Detail - Elec'!I140</f>
        <v>302529.99</v>
      </c>
      <c r="G137" s="16">
        <f>'O&amp;M_Detail - Elec'!J140</f>
        <v>325400.05</v>
      </c>
      <c r="H137" s="16">
        <f>'O&amp;M_Detail - Elec'!K140</f>
        <v>315619.84000000003</v>
      </c>
      <c r="I137" s="16">
        <f>'O&amp;M_Detail - Elec'!L140</f>
        <v>316699.09000000003</v>
      </c>
      <c r="J137" s="16">
        <f>'O&amp;M_Detail - Elec'!M140</f>
        <v>335708.45</v>
      </c>
      <c r="K137" s="16">
        <f>'O&amp;M_Detail - Elec'!N140</f>
        <v>374787.12</v>
      </c>
      <c r="L137" s="16">
        <f>'O&amp;M_Detail - Elec'!O140</f>
        <v>368327.96</v>
      </c>
      <c r="M137" s="16">
        <f>'O&amp;M_Detail - Elec'!P140</f>
        <v>430777.7833154173</v>
      </c>
      <c r="N137" s="16">
        <f>'O&amp;M_Detail - Elec'!Q140</f>
        <v>472334.59955129784</v>
      </c>
      <c r="O137" s="16">
        <f>'O&amp;M_Detail - Elec'!R140</f>
        <v>495828.58854491956</v>
      </c>
      <c r="P137" s="16">
        <f>'O&amp;M_Detail - Elec'!S140</f>
        <v>506385.53824264504</v>
      </c>
      <c r="Q137" s="16">
        <f>'O&amp;M_Detail - Elec'!T140</f>
        <v>525372.13338454009</v>
      </c>
      <c r="R137" s="16">
        <f>'O&amp;M_Detail - Elec'!U140</f>
        <v>532976.35071577213</v>
      </c>
      <c r="S137" s="16">
        <f>'O&amp;M_Detail - Elec'!V140</f>
        <v>546394.42014692607</v>
      </c>
      <c r="T137" s="16">
        <f>'O&amp;M_Detail - Elec'!W140</f>
        <v>573652.2113238821</v>
      </c>
      <c r="U137" s="16">
        <f>'O&amp;M_Detail - Elec'!X140</f>
        <v>585755.95574474777</v>
      </c>
      <c r="V137" s="16">
        <f>'O&amp;M_Detail - Elec'!Y140</f>
        <v>600142.03112091997</v>
      </c>
      <c r="W137" s="16">
        <f>'O&amp;M_Detail - Elec'!Z140</f>
        <v>633827.91197203472</v>
      </c>
    </row>
    <row r="138" spans="1:23" ht="17.25" customHeight="1">
      <c r="A138" s="411"/>
      <c r="C138" s="236">
        <f>+MAX($C$9:C137)+1</f>
        <v>116</v>
      </c>
      <c r="D138" s="237">
        <v>925050</v>
      </c>
      <c r="E138" s="112" t="s">
        <v>828</v>
      </c>
      <c r="F138" s="16">
        <f>'O&amp;M_Detail - Elec'!I141</f>
        <v>6444.69</v>
      </c>
      <c r="G138" s="16">
        <f>'O&amp;M_Detail - Elec'!J141</f>
        <v>4570.7299999999996</v>
      </c>
      <c r="H138" s="16">
        <f>'O&amp;M_Detail - Elec'!K141</f>
        <v>2250.87</v>
      </c>
      <c r="I138" s="16">
        <f>'O&amp;M_Detail - Elec'!L141</f>
        <v>6230.67</v>
      </c>
      <c r="J138" s="16">
        <f>'O&amp;M_Detail - Elec'!M141</f>
        <v>1832.39</v>
      </c>
      <c r="K138" s="16">
        <f>'O&amp;M_Detail - Elec'!N141</f>
        <v>5350.21</v>
      </c>
      <c r="L138" s="16">
        <f>'O&amp;M_Detail - Elec'!O141</f>
        <v>1184.6500000000001</v>
      </c>
      <c r="M138" s="16">
        <f>'O&amp;M_Detail - Elec'!P141</f>
        <v>1385.5068211617959</v>
      </c>
      <c r="N138" s="16">
        <f>'O&amp;M_Detail - Elec'!Q141</f>
        <v>1519.1656461769694</v>
      </c>
      <c r="O138" s="16">
        <f>'O&amp;M_Detail - Elec'!R141</f>
        <v>1594.7291577314381</v>
      </c>
      <c r="P138" s="16">
        <f>'O&amp;M_Detail - Elec'!S141</f>
        <v>1628.6833828177187</v>
      </c>
      <c r="Q138" s="16">
        <f>'O&amp;M_Detail - Elec'!T141</f>
        <v>1689.7498029038998</v>
      </c>
      <c r="R138" s="16">
        <f>'O&amp;M_Detail - Elec'!U141</f>
        <v>1714.2071806751774</v>
      </c>
      <c r="S138" s="16">
        <f>'O&amp;M_Detail - Elec'!V141</f>
        <v>1757.3636001650702</v>
      </c>
      <c r="T138" s="16">
        <f>'O&amp;M_Detail - Elec'!W141</f>
        <v>1845.0325958008646</v>
      </c>
      <c r="U138" s="16">
        <f>'O&amp;M_Detail - Elec'!X141</f>
        <v>1883.9617632422355</v>
      </c>
      <c r="V138" s="16">
        <f>'O&amp;M_Detail - Elec'!Y141</f>
        <v>1930.2315717964991</v>
      </c>
      <c r="W138" s="16">
        <f>'O&amp;M_Detail - Elec'!Z141</f>
        <v>2038.5751760948888</v>
      </c>
    </row>
    <row r="139" spans="1:23" ht="17.25" customHeight="1">
      <c r="A139" s="411"/>
      <c r="C139" s="236">
        <f>+MAX($C$9:C138)+1</f>
        <v>117</v>
      </c>
      <c r="D139" s="237">
        <v>926010</v>
      </c>
      <c r="E139" s="112" t="s">
        <v>3825</v>
      </c>
      <c r="F139" s="16">
        <f>'O&amp;M_Detail - Elec'!I142</f>
        <v>0</v>
      </c>
      <c r="G139" s="16">
        <f>'O&amp;M_Detail - Elec'!J142</f>
        <v>0</v>
      </c>
      <c r="H139" s="16">
        <f>'O&amp;M_Detail - Elec'!K142</f>
        <v>0</v>
      </c>
      <c r="I139" s="16">
        <f>'O&amp;M_Detail - Elec'!L142</f>
        <v>0</v>
      </c>
      <c r="J139" s="16">
        <f>'O&amp;M_Detail - Elec'!M142</f>
        <v>0</v>
      </c>
      <c r="K139" s="16">
        <f>'O&amp;M_Detail - Elec'!N142</f>
        <v>-479355.41</v>
      </c>
      <c r="L139" s="16">
        <f>'O&amp;M_Detail - Elec'!O142</f>
        <v>-1045544.63</v>
      </c>
      <c r="M139" s="16">
        <f>'O&amp;M_Detail - Elec'!P142</f>
        <v>-1222816.2045279923</v>
      </c>
      <c r="N139" s="16">
        <f>'O&amp;M_Detail - Elec'!Q142</f>
        <v>-1340780.3852959189</v>
      </c>
      <c r="O139" s="16">
        <f>'O&amp;M_Detail - Elec'!R142</f>
        <v>-1407470.9890436232</v>
      </c>
      <c r="P139" s="16">
        <f>'O&amp;M_Detail - Elec'!S142</f>
        <v>-1437438.2010511968</v>
      </c>
      <c r="Q139" s="16">
        <f>'O&amp;M_Detail - Elec'!T142</f>
        <v>-1491334.0079092821</v>
      </c>
      <c r="R139" s="16">
        <f>'O&amp;M_Detail - Elec'!U142</f>
        <v>-1512919.5226120555</v>
      </c>
      <c r="S139" s="16">
        <f>'O&amp;M_Detail - Elec'!V142</f>
        <v>-1551008.3780948438</v>
      </c>
      <c r="T139" s="16">
        <f>'O&amp;M_Detail - Elec'!W142</f>
        <v>-1628383.0014895156</v>
      </c>
      <c r="U139" s="16">
        <f>'O&amp;M_Detail - Elec'!X142</f>
        <v>-1662740.9823013137</v>
      </c>
      <c r="V139" s="16">
        <f>'O&amp;M_Detail - Elec'!Y142</f>
        <v>-1703577.642804448</v>
      </c>
      <c r="W139" s="16">
        <f>'O&amp;M_Detail - Elec'!Z142</f>
        <v>-1799199.1965705615</v>
      </c>
    </row>
    <row r="140" spans="1:23" ht="17.25" customHeight="1">
      <c r="A140" s="411"/>
      <c r="C140" s="236">
        <f>+MAX($C$9:C139)+1</f>
        <v>118</v>
      </c>
      <c r="D140" s="237">
        <v>926020</v>
      </c>
      <c r="E140" s="112" t="s">
        <v>3826</v>
      </c>
      <c r="F140" s="16">
        <f>'O&amp;M_Detail - Elec'!I143</f>
        <v>0</v>
      </c>
      <c r="G140" s="16">
        <f>'O&amp;M_Detail - Elec'!J143</f>
        <v>0</v>
      </c>
      <c r="H140" s="16">
        <f>'O&amp;M_Detail - Elec'!K143</f>
        <v>0</v>
      </c>
      <c r="I140" s="16">
        <f>'O&amp;M_Detail - Elec'!L143</f>
        <v>0</v>
      </c>
      <c r="J140" s="16">
        <f>'O&amp;M_Detail - Elec'!M143</f>
        <v>0</v>
      </c>
      <c r="K140" s="16">
        <f>'O&amp;M_Detail - Elec'!N143</f>
        <v>-334969.02</v>
      </c>
      <c r="L140" s="16">
        <f>'O&amp;M_Detail - Elec'!O143</f>
        <v>-476036.01</v>
      </c>
      <c r="M140" s="16">
        <f>'O&amp;M_Detail - Elec'!P143</f>
        <v>-556747.6798832101</v>
      </c>
      <c r="N140" s="16">
        <f>'O&amp;M_Detail - Elec'!Q143</f>
        <v>-610456.7194826795</v>
      </c>
      <c r="O140" s="16">
        <f>'O&amp;M_Detail - Elec'!R143</f>
        <v>-640820.92202518426</v>
      </c>
      <c r="P140" s="16">
        <f>'O&amp;M_Detail - Elec'!S143</f>
        <v>-654464.98046667734</v>
      </c>
      <c r="Q140" s="16">
        <f>'O&amp;M_Detail - Elec'!T143</f>
        <v>-679003.7176150413</v>
      </c>
      <c r="R140" s="16">
        <f>'O&amp;M_Detail - Elec'!U143</f>
        <v>-688831.59296160075</v>
      </c>
      <c r="S140" s="16">
        <f>'O&amp;M_Detail - Elec'!V143</f>
        <v>-706173.4321038411</v>
      </c>
      <c r="T140" s="16">
        <f>'O&amp;M_Detail - Elec'!W143</f>
        <v>-741402.06409064808</v>
      </c>
      <c r="U140" s="16">
        <f>'O&amp;M_Detail - Elec'!X143</f>
        <v>-757045.23763676896</v>
      </c>
      <c r="V140" s="16">
        <f>'O&amp;M_Detail - Elec'!Y143</f>
        <v>-775638.15119574033</v>
      </c>
      <c r="W140" s="16">
        <f>'O&amp;M_Detail - Elec'!Z143</f>
        <v>-819174.60255202639</v>
      </c>
    </row>
    <row r="141" spans="1:23" ht="17.25" customHeight="1">
      <c r="A141" s="411"/>
      <c r="C141" s="236">
        <f>+MAX($C$9:C140)+1</f>
        <v>119</v>
      </c>
      <c r="D141" s="237">
        <v>926900</v>
      </c>
      <c r="E141" s="112" t="s">
        <v>3827</v>
      </c>
      <c r="F141" s="16">
        <f>'O&amp;M_Detail - Elec'!I144</f>
        <v>0</v>
      </c>
      <c r="G141" s="16">
        <f>'O&amp;M_Detail - Elec'!J144</f>
        <v>0</v>
      </c>
      <c r="H141" s="16">
        <f>'O&amp;M_Detail - Elec'!K144</f>
        <v>0</v>
      </c>
      <c r="I141" s="16">
        <f>'O&amp;M_Detail - Elec'!L144</f>
        <v>0</v>
      </c>
      <c r="J141" s="16">
        <f>'O&amp;M_Detail - Elec'!M144</f>
        <v>0</v>
      </c>
      <c r="K141" s="16">
        <f>'O&amp;M_Detail - Elec'!N144</f>
        <v>146985</v>
      </c>
      <c r="L141" s="16">
        <f>'O&amp;M_Detail - Elec'!O144</f>
        <v>359309.7</v>
      </c>
      <c r="M141" s="16">
        <f>'O&amp;M_Detail - Elec'!P144</f>
        <v>420230.48179597227</v>
      </c>
      <c r="N141" s="16">
        <f>'O&amp;M_Detail - Elec'!Q144</f>
        <v>460769.80760406289</v>
      </c>
      <c r="O141" s="16">
        <f>'O&amp;M_Detail - Elec'!R144</f>
        <v>483688.56222997163</v>
      </c>
      <c r="P141" s="16">
        <f>'O&amp;M_Detail - Elec'!S144</f>
        <v>493987.03218268667</v>
      </c>
      <c r="Q141" s="16">
        <f>'O&amp;M_Detail - Elec'!T144</f>
        <v>512508.75343473547</v>
      </c>
      <c r="R141" s="16">
        <f>'O&amp;M_Detail - Elec'!U144</f>
        <v>519926.78666799801</v>
      </c>
      <c r="S141" s="16">
        <f>'O&amp;M_Detail - Elec'!V144</f>
        <v>533016.32378021476</v>
      </c>
      <c r="T141" s="16">
        <f>'O&amp;M_Detail - Elec'!W144</f>
        <v>559606.72644868097</v>
      </c>
      <c r="U141" s="16">
        <f>'O&amp;M_Detail - Elec'!X144</f>
        <v>571414.11890603858</v>
      </c>
      <c r="V141" s="16">
        <f>'O&amp;M_Detail - Elec'!Y144</f>
        <v>585447.96099500137</v>
      </c>
      <c r="W141" s="16">
        <f>'O&amp;M_Detail - Elec'!Z144</f>
        <v>618309.06592673063</v>
      </c>
    </row>
    <row r="142" spans="1:23" ht="17.25" customHeight="1">
      <c r="A142" s="411"/>
      <c r="C142" s="236">
        <f>+MAX($C$9:C141)+1</f>
        <v>120</v>
      </c>
      <c r="D142" s="237">
        <v>926999</v>
      </c>
      <c r="E142" s="112" t="s">
        <v>829</v>
      </c>
      <c r="F142" s="16">
        <f>'O&amp;M_Detail - Elec'!I145</f>
        <v>42312.81</v>
      </c>
      <c r="G142" s="16">
        <f>'O&amp;M_Detail - Elec'!J145</f>
        <v>201716</v>
      </c>
      <c r="H142" s="16">
        <f>'O&amp;M_Detail - Elec'!K145</f>
        <v>62878</v>
      </c>
      <c r="I142" s="16">
        <f>'O&amp;M_Detail - Elec'!L145</f>
        <v>72624</v>
      </c>
      <c r="J142" s="16">
        <f>'O&amp;M_Detail - Elec'!M145</f>
        <v>78108.55</v>
      </c>
      <c r="K142" s="16">
        <f>'O&amp;M_Detail - Elec'!N145</f>
        <v>95719.96</v>
      </c>
      <c r="L142" s="16">
        <f>'O&amp;M_Detail - Elec'!O145</f>
        <v>150875.32999999999</v>
      </c>
      <c r="M142" s="16">
        <f>'O&amp;M_Detail - Elec'!P145</f>
        <v>176456.16752630472</v>
      </c>
      <c r="N142" s="16">
        <f>'O&amp;M_Detail - Elec'!Q145</f>
        <v>193478.76435370231</v>
      </c>
      <c r="O142" s="16">
        <f>'O&amp;M_Detail - Elec'!R145</f>
        <v>203102.42513261535</v>
      </c>
      <c r="P142" s="16">
        <f>'O&amp;M_Detail - Elec'!S145</f>
        <v>207426.78668648089</v>
      </c>
      <c r="Q142" s="16">
        <f>'O&amp;M_Detail - Elec'!T145</f>
        <v>215204.11862622781</v>
      </c>
      <c r="R142" s="16">
        <f>'O&amp;M_Detail - Elec'!U145</f>
        <v>218318.97528614945</v>
      </c>
      <c r="S142" s="16">
        <f>'O&amp;M_Detail - Elec'!V145</f>
        <v>223815.31516050565</v>
      </c>
      <c r="T142" s="16">
        <f>'O&amp;M_Detail - Elec'!W145</f>
        <v>234980.71308167986</v>
      </c>
      <c r="U142" s="16">
        <f>'O&amp;M_Detail - Elec'!X145</f>
        <v>239938.67617993004</v>
      </c>
      <c r="V142" s="16">
        <f>'O&amp;M_Detail - Elec'!Y145</f>
        <v>245831.53283350819</v>
      </c>
      <c r="W142" s="16">
        <f>'O&amp;M_Detail - Elec'!Z145</f>
        <v>259630.01935012403</v>
      </c>
    </row>
    <row r="143" spans="1:23" ht="17.25" customHeight="1">
      <c r="A143" s="411"/>
      <c r="C143" s="236">
        <f>+MAX($C$9:C142)+1</f>
        <v>121</v>
      </c>
      <c r="D143" s="237">
        <v>928030</v>
      </c>
      <c r="E143" s="112" t="s">
        <v>830</v>
      </c>
      <c r="F143" s="16">
        <f>'O&amp;M_Detail - Elec'!I146</f>
        <v>4001.18</v>
      </c>
      <c r="G143" s="16">
        <f>'O&amp;M_Detail - Elec'!J146</f>
        <v>2563.87</v>
      </c>
      <c r="H143" s="16">
        <f>'O&amp;M_Detail - Elec'!K146</f>
        <v>2645.75</v>
      </c>
      <c r="I143" s="16">
        <f>'O&amp;M_Detail - Elec'!L146</f>
        <v>2577.5300000000002</v>
      </c>
      <c r="J143" s="16">
        <f>'O&amp;M_Detail - Elec'!M146</f>
        <v>508.84</v>
      </c>
      <c r="K143" s="16">
        <f>'O&amp;M_Detail - Elec'!N146</f>
        <v>717.22</v>
      </c>
      <c r="L143" s="16">
        <f>'O&amp;M_Detail - Elec'!O146</f>
        <v>0</v>
      </c>
      <c r="M143" s="16">
        <f>'O&amp;M_Detail - Elec'!P146</f>
        <v>0</v>
      </c>
      <c r="N143" s="16">
        <f>'O&amp;M_Detail - Elec'!Q146</f>
        <v>0</v>
      </c>
      <c r="O143" s="16">
        <f>'O&amp;M_Detail - Elec'!R146</f>
        <v>0</v>
      </c>
      <c r="P143" s="16">
        <f>'O&amp;M_Detail - Elec'!S146</f>
        <v>0</v>
      </c>
      <c r="Q143" s="16">
        <f>'O&amp;M_Detail - Elec'!T146</f>
        <v>0</v>
      </c>
      <c r="R143" s="16">
        <f>'O&amp;M_Detail - Elec'!U146</f>
        <v>0</v>
      </c>
      <c r="S143" s="16">
        <f>'O&amp;M_Detail - Elec'!V146</f>
        <v>0</v>
      </c>
      <c r="T143" s="16">
        <f>'O&amp;M_Detail - Elec'!W146</f>
        <v>0</v>
      </c>
      <c r="U143" s="16">
        <f>'O&amp;M_Detail - Elec'!X146</f>
        <v>0</v>
      </c>
      <c r="V143" s="16">
        <f>'O&amp;M_Detail - Elec'!Y146</f>
        <v>0</v>
      </c>
      <c r="W143" s="16">
        <f>'O&amp;M_Detail - Elec'!Z146</f>
        <v>0</v>
      </c>
    </row>
    <row r="144" spans="1:23" ht="17.25" customHeight="1">
      <c r="A144" s="411"/>
      <c r="C144" s="236">
        <f>+MAX($C$9:C143)+1</f>
        <v>122</v>
      </c>
      <c r="D144" s="237">
        <v>928500</v>
      </c>
      <c r="E144" s="112" t="s">
        <v>831</v>
      </c>
      <c r="F144" s="16">
        <f>'O&amp;M_Detail - Elec'!I147</f>
        <v>17184.650000000001</v>
      </c>
      <c r="G144" s="16">
        <f>'O&amp;M_Detail - Elec'!J147</f>
        <v>14925.21</v>
      </c>
      <c r="H144" s="16">
        <f>'O&amp;M_Detail - Elec'!K147</f>
        <v>20461.82</v>
      </c>
      <c r="I144" s="16">
        <f>'O&amp;M_Detail - Elec'!L147</f>
        <v>20444.03</v>
      </c>
      <c r="J144" s="16">
        <f>'O&amp;M_Detail - Elec'!M147</f>
        <v>17662.14</v>
      </c>
      <c r="K144" s="16">
        <f>'O&amp;M_Detail - Elec'!N147</f>
        <v>13356.01</v>
      </c>
      <c r="L144" s="16">
        <f>'O&amp;M_Detail - Elec'!O147</f>
        <v>12954.27</v>
      </c>
      <c r="M144" s="16">
        <f>'O&amp;M_Detail - Elec'!P147</f>
        <v>15150.660066831229</v>
      </c>
      <c r="N144" s="16">
        <f>'O&amp;M_Detail - Elec'!Q147</f>
        <v>16612.23311129948</v>
      </c>
      <c r="O144" s="16">
        <f>'O&amp;M_Detail - Elec'!R147</f>
        <v>17438.527907926931</v>
      </c>
      <c r="P144" s="16">
        <f>'O&amp;M_Detail - Elec'!S147</f>
        <v>17809.820863152905</v>
      </c>
      <c r="Q144" s="16">
        <f>'O&amp;M_Detail - Elec'!T147</f>
        <v>18477.588468546743</v>
      </c>
      <c r="R144" s="16">
        <f>'O&amp;M_Detail - Elec'!U147</f>
        <v>18745.032418355655</v>
      </c>
      <c r="S144" s="16">
        <f>'O&amp;M_Detail - Elec'!V147</f>
        <v>19216.952319005919</v>
      </c>
      <c r="T144" s="16">
        <f>'O&amp;M_Detail - Elec'!W147</f>
        <v>20175.621833288536</v>
      </c>
      <c r="U144" s="16">
        <f>'O&amp;M_Detail - Elec'!X147</f>
        <v>20601.316296556783</v>
      </c>
      <c r="V144" s="16">
        <f>'O&amp;M_Detail - Elec'!Y147</f>
        <v>21107.281427912236</v>
      </c>
      <c r="W144" s="16">
        <f>'O&amp;M_Detail - Elec'!Z147</f>
        <v>22292.02992143733</v>
      </c>
    </row>
    <row r="145" spans="1:23" ht="17.25" customHeight="1">
      <c r="A145" s="411"/>
      <c r="C145" s="236">
        <f>+MAX($C$9:C144)+1</f>
        <v>123</v>
      </c>
      <c r="D145" s="237">
        <v>928600</v>
      </c>
      <c r="E145" s="112" t="s">
        <v>832</v>
      </c>
      <c r="F145" s="16">
        <f>'O&amp;M_Detail - Elec'!I148</f>
        <v>13270.88</v>
      </c>
      <c r="G145" s="16">
        <f>'O&amp;M_Detail - Elec'!J148</f>
        <v>-1650.13</v>
      </c>
      <c r="H145" s="16">
        <f>'O&amp;M_Detail - Elec'!K148</f>
        <v>3657.95</v>
      </c>
      <c r="I145" s="16">
        <f>'O&amp;M_Detail - Elec'!L148</f>
        <v>3657.95</v>
      </c>
      <c r="J145" s="16">
        <f>'O&amp;M_Detail - Elec'!M148</f>
        <v>3657.95</v>
      </c>
      <c r="K145" s="16">
        <f>'O&amp;M_Detail - Elec'!N148</f>
        <v>3657.95</v>
      </c>
      <c r="L145" s="16">
        <f>'O&amp;M_Detail - Elec'!O148</f>
        <v>4696.84</v>
      </c>
      <c r="M145" s="16">
        <f>'O&amp;M_Detail - Elec'!P148</f>
        <v>5493.1868973161427</v>
      </c>
      <c r="N145" s="16">
        <f>'O&amp;M_Detail - Elec'!Q148</f>
        <v>6023.1106010972326</v>
      </c>
      <c r="O145" s="16">
        <f>'O&amp;M_Detail - Elec'!R148</f>
        <v>6322.7009641660643</v>
      </c>
      <c r="P145" s="16">
        <f>'O&amp;M_Detail - Elec'!S148</f>
        <v>6457.3209469071653</v>
      </c>
      <c r="Q145" s="16">
        <f>'O&amp;M_Detail - Elec'!T148</f>
        <v>6699.4339798853262</v>
      </c>
      <c r="R145" s="16">
        <f>'O&amp;M_Detail - Elec'!U148</f>
        <v>6796.4013459523057</v>
      </c>
      <c r="S145" s="16">
        <f>'O&amp;M_Detail - Elec'!V148</f>
        <v>6967.5057205075827</v>
      </c>
      <c r="T145" s="16">
        <f>'O&amp;M_Detail - Elec'!W148</f>
        <v>7315.091290475104</v>
      </c>
      <c r="U145" s="16">
        <f>'O&amp;M_Detail - Elec'!X148</f>
        <v>7469.4356713515899</v>
      </c>
      <c r="V145" s="16">
        <f>'O&amp;M_Detail - Elec'!Y148</f>
        <v>7652.8838523417617</v>
      </c>
      <c r="W145" s="16">
        <f>'O&amp;M_Detail - Elec'!Z148</f>
        <v>8082.4390580251693</v>
      </c>
    </row>
    <row r="146" spans="1:23" ht="17.25" customHeight="1">
      <c r="A146" s="411"/>
      <c r="C146" s="236">
        <f>+MAX($C$9:C145)+1</f>
        <v>124</v>
      </c>
      <c r="D146" s="237">
        <v>929010</v>
      </c>
      <c r="E146" s="112" t="s">
        <v>833</v>
      </c>
      <c r="F146" s="16">
        <f>'O&amp;M_Detail - Elec'!I149</f>
        <v>-376602.84</v>
      </c>
      <c r="G146" s="16">
        <f>'O&amp;M_Detail - Elec'!J149</f>
        <v>-378302.91</v>
      </c>
      <c r="H146" s="16">
        <f>'O&amp;M_Detail - Elec'!K149</f>
        <v>-421298.73</v>
      </c>
      <c r="I146" s="16">
        <f>'O&amp;M_Detail - Elec'!L149</f>
        <v>-504015.34</v>
      </c>
      <c r="J146" s="16">
        <f>'O&amp;M_Detail - Elec'!M149</f>
        <v>-579453.56999999995</v>
      </c>
      <c r="K146" s="16">
        <f>'O&amp;M_Detail - Elec'!N149</f>
        <v>-654281.81000000006</v>
      </c>
      <c r="L146" s="16">
        <f>'O&amp;M_Detail - Elec'!O149</f>
        <v>-684575.93</v>
      </c>
      <c r="M146" s="16">
        <f>'O&amp;M_Detail - Elec'!P149</f>
        <v>-800645.440103136</v>
      </c>
      <c r="N146" s="16">
        <f>'O&amp;M_Detail - Elec'!Q149</f>
        <v>-877883.11742341612</v>
      </c>
      <c r="O146" s="16">
        <f>'O&amp;M_Detail - Elec'!R149</f>
        <v>-921549.1463741326</v>
      </c>
      <c r="P146" s="16">
        <f>'O&amp;M_Detail - Elec'!S149</f>
        <v>-941170.3384695783</v>
      </c>
      <c r="Q146" s="16">
        <f>'O&amp;M_Detail - Elec'!T149</f>
        <v>-976458.9058289401</v>
      </c>
      <c r="R146" s="16">
        <f>'O&amp;M_Detail - Elec'!U149</f>
        <v>-990592.13685340609</v>
      </c>
      <c r="S146" s="16">
        <f>'O&amp;M_Detail - Elec'!V149</f>
        <v>-1015531.0183861487</v>
      </c>
      <c r="T146" s="16">
        <f>'O&amp;M_Detail - Elec'!W149</f>
        <v>-1066192.4662564395</v>
      </c>
      <c r="U146" s="16">
        <f>'O&amp;M_Detail - Elec'!X149</f>
        <v>-1088688.5376744128</v>
      </c>
      <c r="V146" s="16">
        <f>'O&amp;M_Detail - Elec'!Y149</f>
        <v>-1115426.5592182924</v>
      </c>
      <c r="W146" s="16">
        <f>'O&amp;M_Detail - Elec'!Z149</f>
        <v>-1178035.2821931138</v>
      </c>
    </row>
    <row r="147" spans="1:23" ht="17.25" customHeight="1">
      <c r="A147" s="411"/>
      <c r="C147" s="236">
        <f>+MAX($C$9:C146)+1</f>
        <v>125</v>
      </c>
      <c r="D147" s="237">
        <v>929020</v>
      </c>
      <c r="E147" s="112" t="s">
        <v>834</v>
      </c>
      <c r="F147" s="16">
        <f>'O&amp;M_Detail - Elec'!I150</f>
        <v>-188311.65</v>
      </c>
      <c r="G147" s="16">
        <f>'O&amp;M_Detail - Elec'!J150</f>
        <v>-186536.64</v>
      </c>
      <c r="H147" s="16">
        <f>'O&amp;M_Detail - Elec'!K150</f>
        <v>-186536.64</v>
      </c>
      <c r="I147" s="16">
        <f>'O&amp;M_Detail - Elec'!L150</f>
        <v>-186536.64</v>
      </c>
      <c r="J147" s="16">
        <f>'O&amp;M_Detail - Elec'!M150</f>
        <v>-186536.64</v>
      </c>
      <c r="K147" s="16">
        <f>'O&amp;M_Detail - Elec'!N150</f>
        <v>-186536.64</v>
      </c>
      <c r="L147" s="16">
        <f>'O&amp;M_Detail - Elec'!O150</f>
        <v>-186536.64</v>
      </c>
      <c r="M147" s="16">
        <f>'O&amp;M_Detail - Elec'!P150</f>
        <v>-218163.83498636924</v>
      </c>
      <c r="N147" s="16">
        <f>'O&amp;M_Detail - Elec'!Q150</f>
        <v>-239209.93984829338</v>
      </c>
      <c r="O147" s="16">
        <f>'O&amp;M_Detail - Elec'!R150</f>
        <v>-251108.27568754699</v>
      </c>
      <c r="P147" s="16">
        <f>'O&amp;M_Detail - Elec'!S150</f>
        <v>-256454.75529029756</v>
      </c>
      <c r="Q147" s="16">
        <f>'O&amp;M_Detail - Elec'!T150</f>
        <v>-266070.35890292976</v>
      </c>
      <c r="R147" s="16">
        <f>'O&amp;M_Detail - Elec'!U150</f>
        <v>-269921.45169207826</v>
      </c>
      <c r="S147" s="16">
        <f>'O&amp;M_Detail - Elec'!V150</f>
        <v>-276716.9216503572</v>
      </c>
      <c r="T147" s="16">
        <f>'O&amp;M_Detail - Elec'!W150</f>
        <v>-290521.40388399223</v>
      </c>
      <c r="U147" s="16">
        <f>'O&amp;M_Detail - Elec'!X150</f>
        <v>-296651.24484335637</v>
      </c>
      <c r="V147" s="16">
        <f>'O&amp;M_Detail - Elec'!Y150</f>
        <v>-303936.95338271867</v>
      </c>
      <c r="W147" s="16">
        <f>'O&amp;M_Detail - Elec'!Z150</f>
        <v>-320996.88830975298</v>
      </c>
    </row>
    <row r="148" spans="1:23" ht="17.25" customHeight="1">
      <c r="A148" s="411"/>
      <c r="C148" s="236">
        <f>+MAX($C$9:C147)+1</f>
        <v>126</v>
      </c>
      <c r="D148" s="237">
        <v>929880</v>
      </c>
      <c r="E148" s="112" t="s">
        <v>835</v>
      </c>
      <c r="F148" s="16">
        <f>'O&amp;M_Detail - Elec'!I151</f>
        <v>-746377.44</v>
      </c>
      <c r="G148" s="16">
        <f>'O&amp;M_Detail - Elec'!J151</f>
        <v>-2939773.7</v>
      </c>
      <c r="H148" s="16">
        <f>'O&amp;M_Detail - Elec'!K151</f>
        <v>-1454910.04</v>
      </c>
      <c r="I148" s="16">
        <f>'O&amp;M_Detail - Elec'!L151</f>
        <v>-2709836.69</v>
      </c>
      <c r="J148" s="16">
        <f>'O&amp;M_Detail - Elec'!M151</f>
        <v>-2226731.89</v>
      </c>
      <c r="K148" s="16">
        <f>'O&amp;M_Detail - Elec'!N151</f>
        <v>-3651502.45</v>
      </c>
      <c r="L148" s="16">
        <f>'O&amp;M_Detail - Elec'!O151</f>
        <v>-51746.32</v>
      </c>
      <c r="M148" s="16">
        <f>'O&amp;M_Detail - Elec'!P151</f>
        <v>-60519.882944347322</v>
      </c>
      <c r="N148" s="16">
        <f>'O&amp;M_Detail - Elec'!Q151</f>
        <v>-66358.19158407989</v>
      </c>
      <c r="O148" s="16">
        <f>'O&amp;M_Detail - Elec'!R151</f>
        <v>-69658.857307476035</v>
      </c>
      <c r="P148" s="16">
        <f>'O&amp;M_Detail - Elec'!S151</f>
        <v>-71142.001017995339</v>
      </c>
      <c r="Q148" s="16">
        <f>'O&amp;M_Detail - Elec'!T151</f>
        <v>-73809.423898199573</v>
      </c>
      <c r="R148" s="16">
        <f>'O&amp;M_Detail - Elec'!U151</f>
        <v>-74877.738840598948</v>
      </c>
      <c r="S148" s="16">
        <f>'O&amp;M_Detail - Elec'!V151</f>
        <v>-76762.840679098284</v>
      </c>
      <c r="T148" s="16">
        <f>'O&amp;M_Detail - Elec'!W151</f>
        <v>-80592.282203808893</v>
      </c>
      <c r="U148" s="16">
        <f>'O&amp;M_Detail - Elec'!X151</f>
        <v>-82292.734789597744</v>
      </c>
      <c r="V148" s="16">
        <f>'O&amp;M_Detail - Elec'!Y151</f>
        <v>-84313.831585940672</v>
      </c>
      <c r="W148" s="16">
        <f>'O&amp;M_Detail - Elec'!Z151</f>
        <v>-89046.354118315518</v>
      </c>
    </row>
    <row r="149" spans="1:23" ht="17.25" customHeight="1">
      <c r="A149" s="411"/>
      <c r="C149" s="236">
        <f>+MAX($C$9:C148)+1</f>
        <v>127</v>
      </c>
      <c r="D149" s="237">
        <v>929980</v>
      </c>
      <c r="E149" s="112" t="s">
        <v>836</v>
      </c>
      <c r="F149" s="16">
        <f>'O&amp;M_Detail - Elec'!I152</f>
        <v>-2570636.7999999998</v>
      </c>
      <c r="G149" s="16">
        <f>'O&amp;M_Detail - Elec'!J152</f>
        <v>240584.23</v>
      </c>
      <c r="H149" s="16">
        <f>'O&amp;M_Detail - Elec'!K152</f>
        <v>-1279066.73</v>
      </c>
      <c r="I149" s="16">
        <f>'O&amp;M_Detail - Elec'!L152</f>
        <v>88573.440000000002</v>
      </c>
      <c r="J149" s="16">
        <f>'O&amp;M_Detail - Elec'!M152</f>
        <v>-96900.31</v>
      </c>
      <c r="K149" s="16">
        <f>'O&amp;M_Detail - Elec'!N152</f>
        <v>1478521.73</v>
      </c>
      <c r="L149" s="16">
        <f>'O&amp;M_Detail - Elec'!O152</f>
        <v>-1206031.1000000001</v>
      </c>
      <c r="M149" s="16">
        <f>'O&amp;M_Detail - Elec'!P152</f>
        <v>-1410513.0760842983</v>
      </c>
      <c r="N149" s="16">
        <f>'O&amp;M_Detail - Elec'!Q152</f>
        <v>-1546584.2361381177</v>
      </c>
      <c r="O149" s="16">
        <f>'O&amp;M_Detail - Elec'!R152</f>
        <v>-1623511.5521891867</v>
      </c>
      <c r="P149" s="16">
        <f>'O&amp;M_Detail - Elec'!S152</f>
        <v>-1658078.5985154891</v>
      </c>
      <c r="Q149" s="16">
        <f>'O&amp;M_Detail - Elec'!T152</f>
        <v>-1720247.1730223889</v>
      </c>
      <c r="R149" s="16">
        <f>'O&amp;M_Detail - Elec'!U152</f>
        <v>-1745145.9686300447</v>
      </c>
      <c r="S149" s="16">
        <f>'O&amp;M_Detail - Elec'!V152</f>
        <v>-1789081.294734343</v>
      </c>
      <c r="T149" s="16">
        <f>'O&amp;M_Detail - Elec'!W152</f>
        <v>-1878332.5801287906</v>
      </c>
      <c r="U149" s="16">
        <f>'O&amp;M_Detail - Elec'!X152</f>
        <v>-1917964.3588241022</v>
      </c>
      <c r="V149" s="16">
        <f>'O&amp;M_Detail - Elec'!Y152</f>
        <v>-1965069.2658493735</v>
      </c>
      <c r="W149" s="16">
        <f>'O&amp;M_Detail - Elec'!Z152</f>
        <v>-2075368.3046118366</v>
      </c>
    </row>
    <row r="150" spans="1:23" ht="17.25" customHeight="1">
      <c r="A150" s="411"/>
      <c r="C150" s="236">
        <f>+MAX($C$9:C149)+1</f>
        <v>128</v>
      </c>
      <c r="D150" s="237">
        <v>930010</v>
      </c>
      <c r="E150" s="112" t="s">
        <v>837</v>
      </c>
      <c r="F150" s="16">
        <f>'O&amp;M_Detail - Elec'!I153</f>
        <v>2252851.9</v>
      </c>
      <c r="G150" s="16">
        <f>'O&amp;M_Detail - Elec'!J153</f>
        <v>1549676.28</v>
      </c>
      <c r="H150" s="16">
        <f>'O&amp;M_Detail - Elec'!K153</f>
        <v>1054018.5600000001</v>
      </c>
      <c r="I150" s="16">
        <f>'O&amp;M_Detail - Elec'!L153</f>
        <v>1415670.83</v>
      </c>
      <c r="J150" s="16">
        <f>'O&amp;M_Detail - Elec'!M153</f>
        <v>1649937.14</v>
      </c>
      <c r="K150" s="16">
        <f>'O&amp;M_Detail - Elec'!N153</f>
        <v>1665263.55</v>
      </c>
      <c r="L150" s="16">
        <f>'O&amp;M_Detail - Elec'!O153</f>
        <v>1828506.74</v>
      </c>
      <c r="M150" s="16">
        <f>'O&amp;M_Detail - Elec'!P153</f>
        <v>2138529.1527542467</v>
      </c>
      <c r="N150" s="16">
        <f>'O&amp;M_Detail - Elec'!Q153</f>
        <v>2344831.4888034812</v>
      </c>
      <c r="O150" s="16">
        <f>'O&amp;M_Detail - Elec'!R153</f>
        <v>2461463.7347625527</v>
      </c>
      <c r="P150" s="16">
        <f>'O&amp;M_Detail - Elec'!S153</f>
        <v>2513872.0658491529</v>
      </c>
      <c r="Q150" s="16">
        <f>'O&amp;M_Detail - Elec'!T153</f>
        <v>2608128.0576739563</v>
      </c>
      <c r="R150" s="16">
        <f>'O&amp;M_Detail - Elec'!U153</f>
        <v>2645878.0092187221</v>
      </c>
      <c r="S150" s="16">
        <f>'O&amp;M_Detail - Elec'!V153</f>
        <v>2712489.9232114935</v>
      </c>
      <c r="T150" s="16">
        <f>'O&amp;M_Detail - Elec'!W153</f>
        <v>2847806.9783831313</v>
      </c>
      <c r="U150" s="16">
        <f>'O&amp;M_Detail - Elec'!X153</f>
        <v>2907894.1307480792</v>
      </c>
      <c r="V150" s="16">
        <f>'O&amp;M_Detail - Elec'!Y153</f>
        <v>2979311.5593556683</v>
      </c>
      <c r="W150" s="16">
        <f>'O&amp;M_Detail - Elec'!Z153</f>
        <v>3146539.8636611584</v>
      </c>
    </row>
    <row r="151" spans="1:23" ht="17.25" customHeight="1">
      <c r="A151" s="411"/>
      <c r="C151" s="236">
        <f>+MAX($C$9:C150)+1</f>
        <v>129</v>
      </c>
      <c r="D151" s="237">
        <v>930110</v>
      </c>
      <c r="E151" s="112" t="s">
        <v>838</v>
      </c>
      <c r="F151" s="16">
        <f>'O&amp;M_Detail - Elec'!I154</f>
        <v>484799.52</v>
      </c>
      <c r="G151" s="16">
        <f>'O&amp;M_Detail - Elec'!J154</f>
        <v>516436.59</v>
      </c>
      <c r="H151" s="16">
        <f>'O&amp;M_Detail - Elec'!K154</f>
        <v>424500.72</v>
      </c>
      <c r="I151" s="16">
        <f>'O&amp;M_Detail - Elec'!L154</f>
        <v>437253.86</v>
      </c>
      <c r="J151" s="16">
        <f>'O&amp;M_Detail - Elec'!M154</f>
        <v>419403</v>
      </c>
      <c r="K151" s="16">
        <f>'O&amp;M_Detail - Elec'!N154</f>
        <v>342832.14</v>
      </c>
      <c r="L151" s="16">
        <f>'O&amp;M_Detail - Elec'!O154</f>
        <v>384548.12</v>
      </c>
      <c r="M151" s="16">
        <f>'O&amp;M_Detail - Elec'!P154</f>
        <v>449748.06341530813</v>
      </c>
      <c r="N151" s="16">
        <f>'O&amp;M_Detail - Elec'!Q154</f>
        <v>493134.92863372201</v>
      </c>
      <c r="O151" s="16">
        <f>'O&amp;M_Detail - Elec'!R154</f>
        <v>517663.52890288952</v>
      </c>
      <c r="P151" s="16">
        <f>'O&amp;M_Detail - Elec'!S154</f>
        <v>528685.37790722493</v>
      </c>
      <c r="Q151" s="16">
        <f>'O&amp;M_Detail - Elec'!T154</f>
        <v>548508.09097798099</v>
      </c>
      <c r="R151" s="16">
        <f>'O&amp;M_Detail - Elec'!U154</f>
        <v>556447.17732591042</v>
      </c>
      <c r="S151" s="16">
        <f>'O&amp;M_Detail - Elec'!V154</f>
        <v>570456.14198278775</v>
      </c>
      <c r="T151" s="16">
        <f>'O&amp;M_Detail - Elec'!W154</f>
        <v>598914.29203050898</v>
      </c>
      <c r="U151" s="16">
        <f>'O&amp;M_Detail - Elec'!X154</f>
        <v>611551.05238398421</v>
      </c>
      <c r="V151" s="16">
        <f>'O&amp;M_Detail - Elec'!Y154</f>
        <v>626570.65133076336</v>
      </c>
      <c r="W151" s="16">
        <f>'O&amp;M_Detail - Elec'!Z154</f>
        <v>661739.96661120048</v>
      </c>
    </row>
    <row r="152" spans="1:23" ht="17.25" customHeight="1">
      <c r="A152" s="411"/>
      <c r="C152" s="236">
        <f>+MAX($C$9:C151)+1</f>
        <v>130</v>
      </c>
      <c r="D152" s="237">
        <v>931000</v>
      </c>
      <c r="E152" s="112" t="s">
        <v>839</v>
      </c>
      <c r="F152" s="16">
        <f>'O&amp;M_Detail - Elec'!I155</f>
        <v>7044.19</v>
      </c>
      <c r="G152" s="16">
        <f>'O&amp;M_Detail - Elec'!J155</f>
        <v>0</v>
      </c>
      <c r="H152" s="16">
        <f>'O&amp;M_Detail - Elec'!K155</f>
        <v>0</v>
      </c>
      <c r="I152" s="16">
        <f>'O&amp;M_Detail - Elec'!L155</f>
        <v>0</v>
      </c>
      <c r="J152" s="16">
        <f>'O&amp;M_Detail - Elec'!M155</f>
        <v>0</v>
      </c>
      <c r="K152" s="16">
        <f>'O&amp;M_Detail - Elec'!N155</f>
        <v>0</v>
      </c>
      <c r="L152" s="16">
        <f>'O&amp;M_Detail - Elec'!O155</f>
        <v>0</v>
      </c>
      <c r="M152" s="16">
        <f>'O&amp;M_Detail - Elec'!P155</f>
        <v>0</v>
      </c>
      <c r="N152" s="16">
        <f>'O&amp;M_Detail - Elec'!Q155</f>
        <v>0</v>
      </c>
      <c r="O152" s="16">
        <f>'O&amp;M_Detail - Elec'!R155</f>
        <v>0</v>
      </c>
      <c r="P152" s="16">
        <f>'O&amp;M_Detail - Elec'!S155</f>
        <v>0</v>
      </c>
      <c r="Q152" s="16">
        <f>'O&amp;M_Detail - Elec'!T155</f>
        <v>0</v>
      </c>
      <c r="R152" s="16">
        <f>'O&amp;M_Detail - Elec'!U155</f>
        <v>0</v>
      </c>
      <c r="S152" s="16">
        <f>'O&amp;M_Detail - Elec'!V155</f>
        <v>0</v>
      </c>
      <c r="T152" s="16">
        <f>'O&amp;M_Detail - Elec'!W155</f>
        <v>0</v>
      </c>
      <c r="U152" s="16">
        <f>'O&amp;M_Detail - Elec'!X155</f>
        <v>0</v>
      </c>
      <c r="V152" s="16">
        <f>'O&amp;M_Detail - Elec'!Y155</f>
        <v>0</v>
      </c>
      <c r="W152" s="16">
        <f>'O&amp;M_Detail - Elec'!Z155</f>
        <v>0</v>
      </c>
    </row>
    <row r="153" spans="1:23" ht="17.25" customHeight="1">
      <c r="A153" s="411"/>
      <c r="C153" s="236">
        <f>+MAX($C$9:C152)+1</f>
        <v>131</v>
      </c>
      <c r="D153" s="237">
        <v>931010</v>
      </c>
      <c r="E153" s="112" t="s">
        <v>840</v>
      </c>
      <c r="F153" s="16">
        <f>'O&amp;M_Detail - Elec'!I156</f>
        <v>38861.94</v>
      </c>
      <c r="G153" s="16">
        <f>'O&amp;M_Detail - Elec'!J156</f>
        <v>3042.62</v>
      </c>
      <c r="H153" s="16">
        <f>'O&amp;M_Detail - Elec'!K156</f>
        <v>0</v>
      </c>
      <c r="I153" s="16">
        <f>'O&amp;M_Detail - Elec'!L156</f>
        <v>0</v>
      </c>
      <c r="J153" s="16">
        <f>'O&amp;M_Detail - Elec'!M156</f>
        <v>0</v>
      </c>
      <c r="K153" s="16">
        <f>'O&amp;M_Detail - Elec'!N156</f>
        <v>0</v>
      </c>
      <c r="L153" s="16">
        <f>'O&amp;M_Detail - Elec'!O156</f>
        <v>0</v>
      </c>
      <c r="M153" s="16">
        <f>'O&amp;M_Detail - Elec'!P156</f>
        <v>0</v>
      </c>
      <c r="N153" s="16">
        <f>'O&amp;M_Detail - Elec'!Q156</f>
        <v>0</v>
      </c>
      <c r="O153" s="16">
        <f>'O&amp;M_Detail - Elec'!R156</f>
        <v>0</v>
      </c>
      <c r="P153" s="16">
        <f>'O&amp;M_Detail - Elec'!S156</f>
        <v>0</v>
      </c>
      <c r="Q153" s="16">
        <f>'O&amp;M_Detail - Elec'!T156</f>
        <v>0</v>
      </c>
      <c r="R153" s="16">
        <f>'O&amp;M_Detail - Elec'!U156</f>
        <v>0</v>
      </c>
      <c r="S153" s="16">
        <f>'O&amp;M_Detail - Elec'!V156</f>
        <v>0</v>
      </c>
      <c r="T153" s="16">
        <f>'O&amp;M_Detail - Elec'!W156</f>
        <v>0</v>
      </c>
      <c r="U153" s="16">
        <f>'O&amp;M_Detail - Elec'!X156</f>
        <v>0</v>
      </c>
      <c r="V153" s="16">
        <f>'O&amp;M_Detail - Elec'!Y156</f>
        <v>0</v>
      </c>
      <c r="W153" s="16">
        <f>'O&amp;M_Detail - Elec'!Z156</f>
        <v>0</v>
      </c>
    </row>
    <row r="154" spans="1:23" ht="17.25" customHeight="1">
      <c r="A154" s="411"/>
      <c r="C154" s="236">
        <f>+MAX($C$9:C153)+1</f>
        <v>132</v>
      </c>
      <c r="D154" s="237">
        <v>935010</v>
      </c>
      <c r="E154" s="112" t="s">
        <v>841</v>
      </c>
      <c r="F154" s="16">
        <f>'O&amp;M_Detail - Elec'!I157</f>
        <v>2057989.92</v>
      </c>
      <c r="G154" s="16">
        <f>'O&amp;M_Detail - Elec'!J157</f>
        <v>1972780.01</v>
      </c>
      <c r="H154" s="16">
        <f>'O&amp;M_Detail - Elec'!K157</f>
        <v>1962688.6</v>
      </c>
      <c r="I154" s="16">
        <f>'O&amp;M_Detail - Elec'!L157</f>
        <v>2152550.19</v>
      </c>
      <c r="J154" s="16">
        <f>'O&amp;M_Detail - Elec'!M157</f>
        <v>2140431.21</v>
      </c>
      <c r="K154" s="16">
        <f>'O&amp;M_Detail - Elec'!N157</f>
        <v>2397140.2999999998</v>
      </c>
      <c r="L154" s="16">
        <f>'O&amp;M_Detail - Elec'!O157</f>
        <v>2653140.66</v>
      </c>
      <c r="M154" s="16">
        <f>'O&amp;M_Detail - Elec'!P157</f>
        <v>3102979.3457406904</v>
      </c>
      <c r="N154" s="16">
        <f>'O&amp;M_Detail - Elec'!Q157</f>
        <v>3402321.4832628127</v>
      </c>
      <c r="O154" s="16">
        <f>'O&amp;M_Detail - Elec'!R157</f>
        <v>3571553.4293376375</v>
      </c>
      <c r="P154" s="16">
        <f>'O&amp;M_Detail - Elec'!S157</f>
        <v>3647597.2694213777</v>
      </c>
      <c r="Q154" s="16">
        <f>'O&amp;M_Detail - Elec'!T157</f>
        <v>3784361.5475552464</v>
      </c>
      <c r="R154" s="16">
        <f>'O&amp;M_Detail - Elec'!U157</f>
        <v>3839136.2602568516</v>
      </c>
      <c r="S154" s="16">
        <f>'O&amp;M_Detail - Elec'!V157</f>
        <v>3935789.3234304907</v>
      </c>
      <c r="T154" s="16">
        <f>'O&amp;M_Detail - Elec'!W157</f>
        <v>4132132.6965302997</v>
      </c>
      <c r="U154" s="16">
        <f>'O&amp;M_Detail - Elec'!X157</f>
        <v>4219318.4112972347</v>
      </c>
      <c r="V154" s="16">
        <f>'O&amp;M_Detail - Elec'!Y157</f>
        <v>4322944.2167298365</v>
      </c>
      <c r="W154" s="16">
        <f>'O&amp;M_Detail - Elec'!Z157</f>
        <v>4565590.4175613131</v>
      </c>
    </row>
    <row r="155" spans="1:23" ht="17.25" customHeight="1">
      <c r="A155" s="411"/>
      <c r="C155" s="236">
        <f>+MAX($C$9:C154)+1</f>
        <v>133</v>
      </c>
      <c r="D155" s="237">
        <v>935020</v>
      </c>
      <c r="E155" s="112" t="s">
        <v>842</v>
      </c>
      <c r="F155" s="16">
        <f>'O&amp;M_Detail - Elec'!I158</f>
        <v>1326926.29</v>
      </c>
      <c r="G155" s="16">
        <f>'O&amp;M_Detail - Elec'!J158</f>
        <v>2607853.81</v>
      </c>
      <c r="H155" s="16">
        <f>'O&amp;M_Detail - Elec'!K158</f>
        <v>2196622.27</v>
      </c>
      <c r="I155" s="16">
        <f>'O&amp;M_Detail - Elec'!L158</f>
        <v>2073242.7</v>
      </c>
      <c r="J155" s="16">
        <f>'O&amp;M_Detail - Elec'!M158</f>
        <v>2596556.87</v>
      </c>
      <c r="K155" s="16">
        <f>'O&amp;M_Detail - Elec'!N158</f>
        <v>2915868.37</v>
      </c>
      <c r="L155" s="16">
        <f>'O&amp;M_Detail - Elec'!O158</f>
        <v>3125151.77</v>
      </c>
      <c r="M155" s="16">
        <f>'O&amp;M_Detail - Elec'!P158</f>
        <v>3655019.7058210103</v>
      </c>
      <c r="N155" s="16">
        <f>'O&amp;M_Detail - Elec'!Q158</f>
        <v>4007616.7712599924</v>
      </c>
      <c r="O155" s="16">
        <f>'O&amp;M_Detail - Elec'!R158</f>
        <v>4206956.1895538885</v>
      </c>
      <c r="P155" s="16">
        <f>'O&amp;M_Detail - Elec'!S158</f>
        <v>4296528.7271197243</v>
      </c>
      <c r="Q155" s="16">
        <f>'O&amp;M_Detail - Elec'!T158</f>
        <v>4457624.2665785449</v>
      </c>
      <c r="R155" s="16">
        <f>'O&amp;M_Detail - Elec'!U158</f>
        <v>4522143.7596199214</v>
      </c>
      <c r="S155" s="16">
        <f>'O&amp;M_Detail - Elec'!V158</f>
        <v>4635992.0361199016</v>
      </c>
      <c r="T155" s="16">
        <f>'O&amp;M_Detail - Elec'!W158</f>
        <v>4867266.1819733819</v>
      </c>
      <c r="U155" s="16">
        <f>'O&amp;M_Detail - Elec'!X158</f>
        <v>4969962.8067435892</v>
      </c>
      <c r="V155" s="16">
        <f>'O&amp;M_Detail - Elec'!Y158</f>
        <v>5092024.3220442412</v>
      </c>
      <c r="W155" s="16">
        <f>'O&amp;M_Detail - Elec'!Z158</f>
        <v>5377838.8721149731</v>
      </c>
    </row>
    <row r="156" spans="1:23" ht="17.25" customHeight="1">
      <c r="A156" s="411"/>
      <c r="C156" s="236"/>
      <c r="D156" s="587"/>
      <c r="E156" s="238" t="s">
        <v>281</v>
      </c>
      <c r="F156" s="239">
        <f>SUM(F118:F155)</f>
        <v>11393459.080000002</v>
      </c>
      <c r="G156" s="239">
        <f t="shared" ref="G156:W156" si="7">SUM(G118:G155)</f>
        <v>12303447.99</v>
      </c>
      <c r="H156" s="239">
        <f t="shared" si="7"/>
        <v>10796228.77</v>
      </c>
      <c r="I156" s="239">
        <f t="shared" si="7"/>
        <v>11142625.050000001</v>
      </c>
      <c r="J156" s="239">
        <f t="shared" si="7"/>
        <v>11819895.349999998</v>
      </c>
      <c r="K156" s="239">
        <f t="shared" si="7"/>
        <v>12235955.66</v>
      </c>
      <c r="L156" s="239">
        <f t="shared" si="7"/>
        <v>13760308.120000001</v>
      </c>
      <c r="M156" s="239">
        <f t="shared" si="7"/>
        <v>16093361.551131595</v>
      </c>
      <c r="N156" s="239">
        <f t="shared" si="7"/>
        <v>17645876.315125987</v>
      </c>
      <c r="O156" s="239">
        <f t="shared" si="7"/>
        <v>18523584.669170365</v>
      </c>
      <c r="P156" s="239">
        <f t="shared" si="7"/>
        <v>18917980.143920753</v>
      </c>
      <c r="Q156" s="239">
        <f t="shared" si="7"/>
        <v>19627297.458039869</v>
      </c>
      <c r="R156" s="239">
        <f t="shared" si="7"/>
        <v>19911382.254342586</v>
      </c>
      <c r="S156" s="239">
        <f t="shared" si="7"/>
        <v>20412665.865144849</v>
      </c>
      <c r="T156" s="239">
        <f t="shared" si="7"/>
        <v>21430985.531307399</v>
      </c>
      <c r="U156" s="239">
        <f t="shared" si="7"/>
        <v>21883167.474369351</v>
      </c>
      <c r="V156" s="239">
        <f t="shared" si="7"/>
        <v>22420614.67173573</v>
      </c>
      <c r="W156" s="239">
        <f t="shared" si="7"/>
        <v>23679080.360316493</v>
      </c>
    </row>
    <row r="157" spans="1:23" ht="17.25" customHeight="1">
      <c r="A157" s="411"/>
      <c r="C157" s="236"/>
      <c r="D157" s="112"/>
      <c r="E157" s="240"/>
      <c r="F157" s="16"/>
      <c r="G157" s="16"/>
      <c r="H157" s="16"/>
      <c r="I157" s="16"/>
      <c r="J157" s="16"/>
      <c r="K157" s="16"/>
      <c r="L157" s="16"/>
      <c r="M157" s="16"/>
      <c r="N157" s="16"/>
      <c r="O157" s="16"/>
      <c r="P157" s="16"/>
      <c r="Q157" s="16"/>
      <c r="R157" s="16"/>
      <c r="S157" s="16"/>
      <c r="T157" s="16"/>
      <c r="U157" s="16"/>
      <c r="V157" s="16"/>
      <c r="W157" s="16"/>
    </row>
    <row r="158" spans="1:23" ht="24.95" customHeight="1">
      <c r="A158" s="411"/>
      <c r="C158" s="236"/>
      <c r="D158" s="112"/>
      <c r="E158" s="458" t="s">
        <v>687</v>
      </c>
      <c r="F158" s="459"/>
      <c r="G158" s="459"/>
      <c r="H158" s="459"/>
      <c r="I158" s="459"/>
      <c r="J158" s="459"/>
      <c r="K158" s="459"/>
      <c r="L158" s="459"/>
      <c r="M158" s="459"/>
      <c r="N158" s="459"/>
      <c r="O158" s="459"/>
      <c r="P158" s="459"/>
      <c r="Q158" s="459"/>
      <c r="R158" s="459"/>
      <c r="S158" s="459"/>
      <c r="T158" s="459"/>
      <c r="U158" s="459"/>
      <c r="V158" s="459"/>
      <c r="W158" s="459"/>
    </row>
    <row r="159" spans="1:23" ht="24.95" customHeight="1">
      <c r="A159" s="411"/>
      <c r="C159" s="236"/>
      <c r="D159" s="112"/>
      <c r="E159" s="458"/>
      <c r="F159" s="459"/>
      <c r="G159" s="459"/>
      <c r="H159" s="459"/>
      <c r="I159" s="459"/>
      <c r="J159" s="459"/>
      <c r="K159" s="459"/>
      <c r="L159" s="459"/>
      <c r="M159" s="459"/>
      <c r="N159" s="459"/>
      <c r="O159" s="459"/>
      <c r="P159" s="459"/>
      <c r="Q159" s="459"/>
      <c r="R159" s="459"/>
      <c r="S159" s="459"/>
      <c r="T159" s="459"/>
      <c r="U159" s="459"/>
      <c r="V159" s="459"/>
      <c r="W159" s="459"/>
    </row>
    <row r="160" spans="1:23" ht="24.95" customHeight="1">
      <c r="A160" s="518"/>
      <c r="C160" s="236"/>
      <c r="D160" s="241"/>
      <c r="E160" s="824"/>
      <c r="F160" s="825">
        <f t="shared" ref="F160:W160" si="8">F6</f>
        <v>2009</v>
      </c>
      <c r="G160" s="825">
        <f t="shared" si="8"/>
        <v>2010</v>
      </c>
      <c r="H160" s="825">
        <f t="shared" si="8"/>
        <v>2011</v>
      </c>
      <c r="I160" s="825">
        <f t="shared" si="8"/>
        <v>2012</v>
      </c>
      <c r="J160" s="825">
        <f t="shared" si="8"/>
        <v>2013</v>
      </c>
      <c r="K160" s="825">
        <f t="shared" si="8"/>
        <v>2014</v>
      </c>
      <c r="L160" s="825">
        <f t="shared" si="8"/>
        <v>2015</v>
      </c>
      <c r="M160" s="825">
        <f t="shared" si="8"/>
        <v>2016</v>
      </c>
      <c r="N160" s="825">
        <f t="shared" si="8"/>
        <v>2017</v>
      </c>
      <c r="O160" s="825">
        <f t="shared" si="8"/>
        <v>2018</v>
      </c>
      <c r="P160" s="825">
        <f t="shared" si="8"/>
        <v>2019</v>
      </c>
      <c r="Q160" s="825">
        <f t="shared" si="8"/>
        <v>2020</v>
      </c>
      <c r="R160" s="825">
        <f t="shared" si="8"/>
        <v>2021</v>
      </c>
      <c r="S160" s="825">
        <f t="shared" si="8"/>
        <v>2022</v>
      </c>
      <c r="T160" s="825">
        <f t="shared" si="8"/>
        <v>2023</v>
      </c>
      <c r="U160" s="825">
        <f t="shared" si="8"/>
        <v>2024</v>
      </c>
      <c r="V160" s="825">
        <f t="shared" si="8"/>
        <v>2025</v>
      </c>
      <c r="W160" s="825">
        <f t="shared" si="8"/>
        <v>2026</v>
      </c>
    </row>
    <row r="161" spans="1:23" ht="24.95" customHeight="1">
      <c r="A161" s="518"/>
      <c r="C161" s="236"/>
      <c r="D161" s="241"/>
      <c r="E161" s="824"/>
      <c r="F161" s="825"/>
      <c r="G161" s="825"/>
      <c r="H161" s="825"/>
      <c r="I161" s="825"/>
      <c r="J161" s="825"/>
      <c r="K161" s="825"/>
      <c r="L161" s="825"/>
      <c r="M161" s="825"/>
      <c r="N161" s="825"/>
      <c r="O161" s="825"/>
      <c r="P161" s="825"/>
      <c r="Q161" s="825"/>
      <c r="R161" s="825"/>
      <c r="S161" s="825"/>
      <c r="T161" s="825"/>
      <c r="U161" s="825"/>
      <c r="V161" s="825"/>
      <c r="W161" s="825"/>
    </row>
    <row r="162" spans="1:23" ht="24.95" customHeight="1">
      <c r="A162" s="518"/>
      <c r="C162" s="236">
        <f>+MAX($C$9:C161)+1</f>
        <v>134</v>
      </c>
      <c r="D162" s="241"/>
      <c r="E162" s="824" t="s">
        <v>877</v>
      </c>
      <c r="F162" s="826">
        <f t="shared" ref="F162:W162" si="9">F23</f>
        <v>118539328.95</v>
      </c>
      <c r="G162" s="826">
        <f t="shared" si="9"/>
        <v>138697792.29999998</v>
      </c>
      <c r="H162" s="826">
        <f t="shared" si="9"/>
        <v>134104542.05000001</v>
      </c>
      <c r="I162" s="826">
        <f t="shared" si="9"/>
        <v>100379270.52</v>
      </c>
      <c r="J162" s="826">
        <f t="shared" si="9"/>
        <v>117161119.39</v>
      </c>
      <c r="K162" s="826">
        <f t="shared" si="9"/>
        <v>159151227.73999998</v>
      </c>
      <c r="L162" s="826">
        <f t="shared" si="9"/>
        <v>133138270.65000002</v>
      </c>
      <c r="M162" s="826">
        <f t="shared" si="9"/>
        <v>106384290.24360722</v>
      </c>
      <c r="N162" s="826">
        <f t="shared" si="9"/>
        <v>103038617.21722999</v>
      </c>
      <c r="O162" s="826">
        <f t="shared" si="9"/>
        <v>109737912.32604267</v>
      </c>
      <c r="P162" s="826">
        <f t="shared" si="9"/>
        <v>118156681.20030692</v>
      </c>
      <c r="Q162" s="826">
        <f t="shared" si="9"/>
        <v>143151334.14485851</v>
      </c>
      <c r="R162" s="826">
        <f t="shared" si="9"/>
        <v>213119250.26379368</v>
      </c>
      <c r="S162" s="826">
        <f t="shared" si="9"/>
        <v>214803071.76733527</v>
      </c>
      <c r="T162" s="826">
        <f t="shared" si="9"/>
        <v>224830035.01955739</v>
      </c>
      <c r="U162" s="826">
        <f t="shared" si="9"/>
        <v>233090202.32355806</v>
      </c>
      <c r="V162" s="826">
        <f t="shared" si="9"/>
        <v>246773925.28542536</v>
      </c>
      <c r="W162" s="826">
        <f t="shared" si="9"/>
        <v>261644974.84113747</v>
      </c>
    </row>
    <row r="163" spans="1:23" ht="24.95" customHeight="1">
      <c r="A163" s="518"/>
      <c r="C163" s="236">
        <f>+MAX($C$9:C162)+1</f>
        <v>135</v>
      </c>
      <c r="D163" s="241"/>
      <c r="E163" s="824" t="s">
        <v>313</v>
      </c>
      <c r="F163" s="827">
        <f t="shared" ref="F163:W163" si="10">F48</f>
        <v>286137.18</v>
      </c>
      <c r="G163" s="827">
        <f t="shared" si="10"/>
        <v>451580.23</v>
      </c>
      <c r="H163" s="827">
        <f t="shared" si="10"/>
        <v>533195.57999999996</v>
      </c>
      <c r="I163" s="827">
        <f t="shared" si="10"/>
        <v>461071.88</v>
      </c>
      <c r="J163" s="827">
        <f t="shared" si="10"/>
        <v>464652.82000000007</v>
      </c>
      <c r="K163" s="827">
        <f t="shared" si="10"/>
        <v>405417.2</v>
      </c>
      <c r="L163" s="827">
        <f t="shared" si="10"/>
        <v>418725.12</v>
      </c>
      <c r="M163" s="827">
        <f t="shared" si="10"/>
        <v>455028.15503329912</v>
      </c>
      <c r="N163" s="827">
        <f t="shared" si="10"/>
        <v>502522.19229343906</v>
      </c>
      <c r="O163" s="827">
        <f t="shared" si="10"/>
        <v>530303.82626700692</v>
      </c>
      <c r="P163" s="827">
        <f t="shared" si="10"/>
        <v>543420.22634831513</v>
      </c>
      <c r="Q163" s="827">
        <f t="shared" si="10"/>
        <v>563438.85317375325</v>
      </c>
      <c r="R163" s="827">
        <f t="shared" si="10"/>
        <v>577492.46389164461</v>
      </c>
      <c r="S163" s="827">
        <f t="shared" si="10"/>
        <v>592985.74542125559</v>
      </c>
      <c r="T163" s="827">
        <f t="shared" si="10"/>
        <v>618120.2517056705</v>
      </c>
      <c r="U163" s="827">
        <f t="shared" si="10"/>
        <v>635063.69790164474</v>
      </c>
      <c r="V163" s="827">
        <f t="shared" si="10"/>
        <v>653342.73910223681</v>
      </c>
      <c r="W163" s="827">
        <f t="shared" si="10"/>
        <v>683409.9654822906</v>
      </c>
    </row>
    <row r="164" spans="1:23" ht="24.95" customHeight="1">
      <c r="A164" s="518"/>
      <c r="C164" s="236">
        <f>+MAX($C$9:C163)+1</f>
        <v>136</v>
      </c>
      <c r="D164" s="112"/>
      <c r="E164" s="828" t="s">
        <v>889</v>
      </c>
      <c r="F164" s="827">
        <f t="shared" ref="F164:W164" si="11">F64</f>
        <v>8189372.5199999996</v>
      </c>
      <c r="G164" s="827">
        <f t="shared" si="11"/>
        <v>9199484</v>
      </c>
      <c r="H164" s="827">
        <f t="shared" si="11"/>
        <v>9131433.0300000012</v>
      </c>
      <c r="I164" s="827">
        <f t="shared" si="11"/>
        <v>6933438.7200000007</v>
      </c>
      <c r="J164" s="827">
        <f t="shared" si="11"/>
        <v>6271196.5999999996</v>
      </c>
      <c r="K164" s="827">
        <f t="shared" si="11"/>
        <v>4721334.16</v>
      </c>
      <c r="L164" s="827">
        <f t="shared" si="11"/>
        <v>8075510.46</v>
      </c>
      <c r="M164" s="827">
        <f t="shared" si="11"/>
        <v>2566753.9179197438</v>
      </c>
      <c r="N164" s="827">
        <f t="shared" si="11"/>
        <v>2751826.7140462874</v>
      </c>
      <c r="O164" s="827">
        <f t="shared" si="11"/>
        <v>2895166.6470514582</v>
      </c>
      <c r="P164" s="827">
        <f t="shared" si="11"/>
        <v>2977280.9494048376</v>
      </c>
      <c r="Q164" s="827">
        <f t="shared" si="11"/>
        <v>3091418.9213395794</v>
      </c>
      <c r="R164" s="827">
        <f t="shared" si="11"/>
        <v>3177710.5344355055</v>
      </c>
      <c r="S164" s="827">
        <f t="shared" si="11"/>
        <v>3274249.7984641865</v>
      </c>
      <c r="T164" s="827">
        <f t="shared" si="11"/>
        <v>3416477.7732745847</v>
      </c>
      <c r="U164" s="827">
        <f t="shared" si="11"/>
        <v>3520467.8803847791</v>
      </c>
      <c r="V164" s="827">
        <f t="shared" si="11"/>
        <v>3632351.8566670059</v>
      </c>
      <c r="W164" s="827">
        <f t="shared" si="11"/>
        <v>3801447.4401745857</v>
      </c>
    </row>
    <row r="165" spans="1:23" ht="24.95" customHeight="1">
      <c r="A165" s="518"/>
      <c r="C165" s="236">
        <f>+MAX($C$9:C164)+1</f>
        <v>137</v>
      </c>
      <c r="D165" s="112"/>
      <c r="E165" s="828" t="s">
        <v>314</v>
      </c>
      <c r="F165" s="827">
        <f t="shared" ref="F165:W165" si="12">F86</f>
        <v>11323300.189999999</v>
      </c>
      <c r="G165" s="827">
        <f t="shared" si="12"/>
        <v>10997942.75</v>
      </c>
      <c r="H165" s="827">
        <f t="shared" si="12"/>
        <v>12381220.219999999</v>
      </c>
      <c r="I165" s="827">
        <f t="shared" si="12"/>
        <v>13420393.34</v>
      </c>
      <c r="J165" s="827">
        <f t="shared" si="12"/>
        <v>15271748.720000001</v>
      </c>
      <c r="K165" s="827">
        <f t="shared" si="12"/>
        <v>14625271.010000002</v>
      </c>
      <c r="L165" s="827">
        <f t="shared" si="12"/>
        <v>13903667.529999999</v>
      </c>
      <c r="M165" s="827">
        <f t="shared" si="12"/>
        <v>13374530.556853719</v>
      </c>
      <c r="N165" s="827">
        <f t="shared" si="12"/>
        <v>14732458.858004173</v>
      </c>
      <c r="O165" s="827">
        <f t="shared" si="12"/>
        <v>15517677.528446738</v>
      </c>
      <c r="P165" s="827">
        <f t="shared" si="12"/>
        <v>15882420.172470961</v>
      </c>
      <c r="Q165" s="827">
        <f t="shared" si="12"/>
        <v>16471212.033784516</v>
      </c>
      <c r="R165" s="827">
        <f t="shared" si="12"/>
        <v>16820601.784516007</v>
      </c>
      <c r="S165" s="827">
        <f t="shared" si="12"/>
        <v>17262032.579929501</v>
      </c>
      <c r="T165" s="827">
        <f t="shared" si="12"/>
        <v>18039491.139086608</v>
      </c>
      <c r="U165" s="827">
        <f t="shared" si="12"/>
        <v>18493525.052538324</v>
      </c>
      <c r="V165" s="827">
        <f t="shared" si="12"/>
        <v>18998187.84503172</v>
      </c>
      <c r="W165" s="827">
        <f t="shared" si="12"/>
        <v>19940275.70607635</v>
      </c>
    </row>
    <row r="166" spans="1:23" ht="24.95" customHeight="1">
      <c r="A166" s="518"/>
      <c r="C166" s="236">
        <f>+MAX($C$9:C165)+1</f>
        <v>138</v>
      </c>
      <c r="D166" s="112"/>
      <c r="E166" s="828" t="s">
        <v>315</v>
      </c>
      <c r="F166" s="827">
        <f t="shared" ref="F166:W166" si="13">F91</f>
        <v>418154.33999999997</v>
      </c>
      <c r="G166" s="827">
        <f t="shared" si="13"/>
        <v>0</v>
      </c>
      <c r="H166" s="827">
        <f t="shared" si="13"/>
        <v>3454.56</v>
      </c>
      <c r="I166" s="827">
        <f t="shared" si="13"/>
        <v>9770.23</v>
      </c>
      <c r="J166" s="827">
        <f t="shared" si="13"/>
        <v>30.4</v>
      </c>
      <c r="K166" s="827">
        <f t="shared" si="13"/>
        <v>0</v>
      </c>
      <c r="L166" s="827">
        <f t="shared" si="13"/>
        <v>0</v>
      </c>
      <c r="M166" s="827">
        <f t="shared" si="13"/>
        <v>0</v>
      </c>
      <c r="N166" s="827">
        <f t="shared" si="13"/>
        <v>0</v>
      </c>
      <c r="O166" s="827">
        <f t="shared" si="13"/>
        <v>0</v>
      </c>
      <c r="P166" s="827">
        <f t="shared" si="13"/>
        <v>0</v>
      </c>
      <c r="Q166" s="827">
        <f t="shared" si="13"/>
        <v>0</v>
      </c>
      <c r="R166" s="827">
        <f t="shared" si="13"/>
        <v>0</v>
      </c>
      <c r="S166" s="827">
        <f t="shared" si="13"/>
        <v>0</v>
      </c>
      <c r="T166" s="827">
        <f t="shared" si="13"/>
        <v>0</v>
      </c>
      <c r="U166" s="827">
        <f t="shared" si="13"/>
        <v>0</v>
      </c>
      <c r="V166" s="827">
        <f t="shared" si="13"/>
        <v>0</v>
      </c>
      <c r="W166" s="827">
        <f t="shared" si="13"/>
        <v>0</v>
      </c>
    </row>
    <row r="167" spans="1:23" ht="24.95" customHeight="1">
      <c r="A167" s="518"/>
      <c r="C167" s="236">
        <f>+MAX($C$9:C166)+1</f>
        <v>139</v>
      </c>
      <c r="D167" s="112"/>
      <c r="E167" s="828" t="s">
        <v>316</v>
      </c>
      <c r="F167" s="827">
        <f t="shared" ref="F167:W167" si="14">F105</f>
        <v>5127564.49</v>
      </c>
      <c r="G167" s="827">
        <f t="shared" si="14"/>
        <v>6366899.9699999997</v>
      </c>
      <c r="H167" s="827">
        <f t="shared" si="14"/>
        <v>4659385.76</v>
      </c>
      <c r="I167" s="827">
        <f t="shared" si="14"/>
        <v>6803630.3599999994</v>
      </c>
      <c r="J167" s="827">
        <f t="shared" si="14"/>
        <v>7318047.2800000003</v>
      </c>
      <c r="K167" s="827">
        <f t="shared" si="14"/>
        <v>7109752.8799999999</v>
      </c>
      <c r="L167" s="827">
        <f t="shared" si="14"/>
        <v>6850413.0599999996</v>
      </c>
      <c r="M167" s="827">
        <f t="shared" si="14"/>
        <v>8031695.6079924935</v>
      </c>
      <c r="N167" s="827">
        <f t="shared" si="14"/>
        <v>8770846.2548130881</v>
      </c>
      <c r="O167" s="827">
        <f t="shared" si="14"/>
        <v>9179493.7004864793</v>
      </c>
      <c r="P167" s="827">
        <f t="shared" si="14"/>
        <v>9356845.7757435367</v>
      </c>
      <c r="Q167" s="827">
        <f t="shared" si="14"/>
        <v>9711208.7877193484</v>
      </c>
      <c r="R167" s="827">
        <f t="shared" si="14"/>
        <v>9793303.890052693</v>
      </c>
      <c r="S167" s="827">
        <f t="shared" si="14"/>
        <v>10030396.694008408</v>
      </c>
      <c r="T167" s="827">
        <f t="shared" si="14"/>
        <v>10574863.577084396</v>
      </c>
      <c r="U167" s="827">
        <f t="shared" si="14"/>
        <v>10759316.518980984</v>
      </c>
      <c r="V167" s="827">
        <f t="shared" si="14"/>
        <v>10996980.162808452</v>
      </c>
      <c r="W167" s="827">
        <f t="shared" si="14"/>
        <v>11679705.194819774</v>
      </c>
    </row>
    <row r="168" spans="1:23" ht="24.95" customHeight="1">
      <c r="A168" s="518"/>
      <c r="C168" s="236">
        <f>+MAX($C$9:C167)+1</f>
        <v>140</v>
      </c>
      <c r="D168" s="112"/>
      <c r="E168" s="828" t="s">
        <v>317</v>
      </c>
      <c r="F168" s="827">
        <f t="shared" ref="F168:W168" si="15">F115</f>
        <v>1138700.67</v>
      </c>
      <c r="G168" s="827">
        <f t="shared" si="15"/>
        <v>1450730.67</v>
      </c>
      <c r="H168" s="827">
        <f t="shared" si="15"/>
        <v>1210647.3499999999</v>
      </c>
      <c r="I168" s="827">
        <f t="shared" si="15"/>
        <v>1279812.9400000002</v>
      </c>
      <c r="J168" s="827">
        <f t="shared" si="15"/>
        <v>1469685.6</v>
      </c>
      <c r="K168" s="827">
        <f t="shared" si="15"/>
        <v>1297662.7</v>
      </c>
      <c r="L168" s="827">
        <f t="shared" si="15"/>
        <v>1280121.67</v>
      </c>
      <c r="M168" s="827">
        <f t="shared" si="15"/>
        <v>1587465.3423760985</v>
      </c>
      <c r="N168" s="827">
        <f t="shared" si="15"/>
        <v>1739382.8247952205</v>
      </c>
      <c r="O168" s="827">
        <f t="shared" si="15"/>
        <v>1824952.0116274948</v>
      </c>
      <c r="P168" s="827">
        <f t="shared" si="15"/>
        <v>1863186.9450650269</v>
      </c>
      <c r="Q168" s="827">
        <f t="shared" si="15"/>
        <v>1933167.2405346793</v>
      </c>
      <c r="R168" s="827">
        <f t="shared" si="15"/>
        <v>1959140.9308490793</v>
      </c>
      <c r="S168" s="827">
        <f t="shared" si="15"/>
        <v>2008138.9780987659</v>
      </c>
      <c r="T168" s="827">
        <f t="shared" si="15"/>
        <v>2109831.5794569179</v>
      </c>
      <c r="U168" s="827">
        <f t="shared" si="15"/>
        <v>2153020.4127162546</v>
      </c>
      <c r="V168" s="827">
        <f t="shared" si="15"/>
        <v>2204985.7331777783</v>
      </c>
      <c r="W168" s="827">
        <f t="shared" si="15"/>
        <v>2330998.4928866625</v>
      </c>
    </row>
    <row r="169" spans="1:23" ht="24.95" customHeight="1">
      <c r="A169" s="518"/>
      <c r="C169" s="236">
        <f>+MAX($C$9:C168)+1</f>
        <v>141</v>
      </c>
      <c r="D169" s="112"/>
      <c r="E169" s="828" t="s">
        <v>520</v>
      </c>
      <c r="F169" s="827">
        <f t="shared" ref="F169:K169" si="16">F156</f>
        <v>11393459.080000002</v>
      </c>
      <c r="G169" s="827">
        <f t="shared" si="16"/>
        <v>12303447.99</v>
      </c>
      <c r="H169" s="827">
        <f t="shared" si="16"/>
        <v>10796228.77</v>
      </c>
      <c r="I169" s="827">
        <f t="shared" si="16"/>
        <v>11142625.050000001</v>
      </c>
      <c r="J169" s="827">
        <f t="shared" si="16"/>
        <v>11819895.349999998</v>
      </c>
      <c r="K169" s="827">
        <f t="shared" si="16"/>
        <v>12235955.66</v>
      </c>
      <c r="L169" s="827">
        <f t="shared" ref="L169:W169" si="17">L156</f>
        <v>13760308.120000001</v>
      </c>
      <c r="M169" s="827">
        <f t="shared" si="17"/>
        <v>16093361.551131595</v>
      </c>
      <c r="N169" s="827">
        <f t="shared" si="17"/>
        <v>17645876.315125987</v>
      </c>
      <c r="O169" s="827">
        <f t="shared" si="17"/>
        <v>18523584.669170365</v>
      </c>
      <c r="P169" s="827">
        <f t="shared" si="17"/>
        <v>18917980.143920753</v>
      </c>
      <c r="Q169" s="827">
        <f t="shared" si="17"/>
        <v>19627297.458039869</v>
      </c>
      <c r="R169" s="827">
        <f t="shared" si="17"/>
        <v>19911382.254342586</v>
      </c>
      <c r="S169" s="827">
        <f t="shared" si="17"/>
        <v>20412665.865144849</v>
      </c>
      <c r="T169" s="827">
        <f t="shared" si="17"/>
        <v>21430985.531307399</v>
      </c>
      <c r="U169" s="827">
        <f t="shared" si="17"/>
        <v>21883167.474369351</v>
      </c>
      <c r="V169" s="827">
        <f t="shared" si="17"/>
        <v>22420614.67173573</v>
      </c>
      <c r="W169" s="827">
        <f t="shared" si="17"/>
        <v>23679080.360316493</v>
      </c>
    </row>
    <row r="170" spans="1:23" ht="24.95" customHeight="1">
      <c r="A170" s="518"/>
      <c r="C170" s="236">
        <f>+MAX($C$9:C169)+1</f>
        <v>142</v>
      </c>
      <c r="D170" s="112"/>
      <c r="E170" s="829" t="s">
        <v>688</v>
      </c>
      <c r="F170" s="830">
        <f t="shared" ref="F170:K170" si="18">SUM(F162:F169)</f>
        <v>156416017.42000002</v>
      </c>
      <c r="G170" s="830">
        <f t="shared" si="18"/>
        <v>179467877.90999997</v>
      </c>
      <c r="H170" s="830">
        <f t="shared" si="18"/>
        <v>172820107.32000002</v>
      </c>
      <c r="I170" s="830">
        <f t="shared" si="18"/>
        <v>140430013.03999999</v>
      </c>
      <c r="J170" s="830">
        <f t="shared" si="18"/>
        <v>159776376.16</v>
      </c>
      <c r="K170" s="830">
        <f t="shared" si="18"/>
        <v>199546621.34999993</v>
      </c>
      <c r="L170" s="830">
        <f t="shared" ref="L170:W170" si="19">SUM(L162:L169)</f>
        <v>177427016.61000001</v>
      </c>
      <c r="M170" s="830">
        <f t="shared" si="19"/>
        <v>148493125.37491417</v>
      </c>
      <c r="N170" s="830">
        <f t="shared" si="19"/>
        <v>149181530.37630817</v>
      </c>
      <c r="O170" s="830">
        <f t="shared" si="19"/>
        <v>158209090.7090922</v>
      </c>
      <c r="P170" s="830">
        <f t="shared" si="19"/>
        <v>167697815.41326034</v>
      </c>
      <c r="Q170" s="830">
        <f t="shared" si="19"/>
        <v>194549077.43945026</v>
      </c>
      <c r="R170" s="830">
        <f t="shared" si="19"/>
        <v>265358882.12188122</v>
      </c>
      <c r="S170" s="830">
        <f t="shared" si="19"/>
        <v>268383541.42840225</v>
      </c>
      <c r="T170" s="830">
        <f t="shared" si="19"/>
        <v>281019804.87147295</v>
      </c>
      <c r="U170" s="830">
        <f t="shared" si="19"/>
        <v>290534763.36044937</v>
      </c>
      <c r="V170" s="830">
        <f t="shared" si="19"/>
        <v>305680388.29394829</v>
      </c>
      <c r="W170" s="830">
        <f t="shared" si="19"/>
        <v>323759892.00089359</v>
      </c>
    </row>
    <row r="171" spans="1:23" ht="24.95" customHeight="1">
      <c r="A171" s="518"/>
      <c r="C171" s="236"/>
      <c r="D171" s="112"/>
      <c r="E171" s="238"/>
      <c r="F171" s="117"/>
      <c r="G171" s="235"/>
      <c r="H171" s="235"/>
      <c r="I171" s="235"/>
      <c r="J171" s="235"/>
      <c r="K171" s="235"/>
      <c r="L171" s="235"/>
      <c r="M171" s="235"/>
      <c r="N171" s="235"/>
      <c r="O171" s="235"/>
      <c r="P171" s="235"/>
      <c r="Q171" s="235"/>
      <c r="R171" s="235"/>
      <c r="S171" s="235"/>
      <c r="T171" s="235"/>
      <c r="U171" s="235"/>
      <c r="V171" s="235"/>
      <c r="W171" s="235"/>
    </row>
    <row r="172" spans="1:23" ht="17.25" customHeight="1">
      <c r="A172" s="518"/>
      <c r="C172" s="236"/>
      <c r="D172" s="112"/>
      <c r="E172" s="464" t="s">
        <v>703</v>
      </c>
      <c r="F172" s="465">
        <f>'O&amp;M_Detail - Elec'!I171-F170</f>
        <v>55946.169999986887</v>
      </c>
      <c r="G172" s="465">
        <f>'O&amp;M_Detail - Elec'!J171-G170</f>
        <v>2273.5399999916553</v>
      </c>
      <c r="H172" s="465">
        <f>'O&amp;M_Detail - Elec'!K171-H170</f>
        <v>0</v>
      </c>
      <c r="I172" s="465">
        <f>'O&amp;M_Detail - Elec'!L171-I170</f>
        <v>0</v>
      </c>
      <c r="J172" s="465">
        <f>'O&amp;M_Detail - Elec'!M171-J170</f>
        <v>0</v>
      </c>
      <c r="K172" s="795">
        <f>'O&amp;M_Detail - Elec'!N171-K170</f>
        <v>0</v>
      </c>
      <c r="L172" s="795">
        <f>'O&amp;M_Detail - Elec'!O171-L170</f>
        <v>0</v>
      </c>
      <c r="M172" s="795">
        <f>'O&amp;M_Detail - Elec'!P171-M170</f>
        <v>0</v>
      </c>
      <c r="N172" s="795">
        <f>'O&amp;M_Detail - Elec'!Q171-N170</f>
        <v>0</v>
      </c>
      <c r="O172" s="795">
        <f>'O&amp;M_Detail - Elec'!R171-O170</f>
        <v>0</v>
      </c>
      <c r="P172" s="795">
        <f>'O&amp;M_Detail - Elec'!S171-P170</f>
        <v>0</v>
      </c>
      <c r="Q172" s="795">
        <f>'O&amp;M_Detail - Elec'!T171-Q170</f>
        <v>0</v>
      </c>
      <c r="R172" s="795">
        <f>'O&amp;M_Detail - Elec'!U171-R170</f>
        <v>0</v>
      </c>
      <c r="S172" s="795">
        <f>'O&amp;M_Detail - Elec'!V171-S170</f>
        <v>0</v>
      </c>
      <c r="T172" s="795">
        <f>'O&amp;M_Detail - Elec'!W171-T170</f>
        <v>0</v>
      </c>
      <c r="U172" s="795">
        <f>'O&amp;M_Detail - Elec'!X171-U170</f>
        <v>0</v>
      </c>
      <c r="V172" s="795">
        <f>'O&amp;M_Detail - Elec'!Y171-V170</f>
        <v>0</v>
      </c>
      <c r="W172" s="795">
        <f>'O&amp;M_Detail - Elec'!Z171-W170</f>
        <v>0</v>
      </c>
    </row>
    <row r="173" spans="1:23" ht="17.25" customHeight="1">
      <c r="A173" s="411"/>
      <c r="C173" s="236"/>
      <c r="D173" s="112"/>
      <c r="E173" s="112"/>
      <c r="F173" s="16"/>
      <c r="G173" s="16"/>
      <c r="H173" s="16"/>
      <c r="I173" s="16"/>
      <c r="J173" s="16"/>
      <c r="K173" s="16"/>
      <c r="L173" s="16"/>
      <c r="M173" s="16"/>
      <c r="N173" s="16"/>
      <c r="O173" s="16"/>
      <c r="P173" s="16"/>
      <c r="Q173" s="16"/>
      <c r="R173" s="16"/>
      <c r="S173" s="16"/>
      <c r="T173" s="16"/>
      <c r="U173" s="16"/>
      <c r="V173" s="16"/>
      <c r="W173" s="16"/>
    </row>
    <row r="174" spans="1:23" ht="17.25" hidden="1" customHeight="1">
      <c r="C174" s="236"/>
      <c r="D174" s="112"/>
      <c r="E174" s="112"/>
      <c r="F174" s="122"/>
      <c r="G174" s="122"/>
      <c r="H174" s="122"/>
      <c r="I174" s="122"/>
      <c r="J174" s="122"/>
      <c r="K174" s="122"/>
      <c r="L174" s="122"/>
      <c r="M174" s="122"/>
      <c r="N174" s="122"/>
      <c r="O174" s="122"/>
      <c r="P174" s="122"/>
      <c r="Q174" s="122"/>
      <c r="R174" s="122"/>
      <c r="S174" s="122"/>
      <c r="T174" s="122"/>
      <c r="U174" s="122"/>
      <c r="V174" s="122"/>
      <c r="W174" s="122"/>
    </row>
    <row r="175" spans="1:23" ht="17.25" hidden="1" customHeight="1">
      <c r="C175" s="236"/>
      <c r="D175" s="112"/>
      <c r="E175" s="112"/>
      <c r="F175" s="16"/>
      <c r="G175" s="16"/>
      <c r="H175" s="16"/>
      <c r="I175" s="16"/>
      <c r="J175" s="16"/>
      <c r="K175" s="16"/>
      <c r="L175" s="16"/>
      <c r="M175" s="16"/>
      <c r="N175" s="16"/>
      <c r="O175" s="16"/>
      <c r="P175" s="16"/>
      <c r="Q175" s="16"/>
      <c r="R175" s="16"/>
      <c r="S175" s="16"/>
      <c r="T175" s="16"/>
      <c r="U175" s="16"/>
      <c r="V175" s="16"/>
      <c r="W175" s="16"/>
    </row>
    <row r="176" spans="1:23" ht="17.25" hidden="1" customHeight="1">
      <c r="C176" s="10"/>
      <c r="D176" s="119"/>
      <c r="E176" s="119"/>
      <c r="F176" s="16"/>
      <c r="G176" s="16"/>
      <c r="H176" s="16"/>
      <c r="I176" s="16"/>
      <c r="J176" s="16"/>
      <c r="K176" s="16"/>
      <c r="L176" s="16"/>
      <c r="M176" s="16"/>
      <c r="N176" s="16"/>
      <c r="O176" s="16"/>
      <c r="P176" s="16"/>
      <c r="Q176" s="16"/>
      <c r="R176" s="16"/>
      <c r="S176" s="16"/>
      <c r="T176" s="16"/>
      <c r="U176" s="16"/>
      <c r="V176" s="16"/>
      <c r="W176" s="16"/>
    </row>
    <row r="177" spans="3:23" ht="17.25" hidden="1" customHeight="1">
      <c r="C177" s="10"/>
      <c r="D177" s="119"/>
      <c r="E177" s="119"/>
      <c r="F177" s="16"/>
      <c r="G177" s="16"/>
      <c r="H177" s="16"/>
      <c r="I177" s="16"/>
      <c r="J177" s="16"/>
      <c r="K177" s="16"/>
      <c r="L177" s="16"/>
      <c r="M177" s="16"/>
      <c r="N177" s="16"/>
      <c r="O177" s="16"/>
      <c r="P177" s="16"/>
      <c r="Q177" s="16"/>
      <c r="R177" s="16"/>
      <c r="S177" s="16"/>
      <c r="T177" s="16"/>
      <c r="U177" s="16"/>
      <c r="V177" s="16"/>
      <c r="W177" s="16"/>
    </row>
    <row r="178" spans="3:23" ht="17.25" hidden="1" customHeight="1">
      <c r="C178" s="10"/>
      <c r="D178" s="119"/>
      <c r="E178" s="119"/>
      <c r="F178" s="16"/>
      <c r="G178" s="16"/>
      <c r="H178" s="16"/>
      <c r="I178" s="16"/>
      <c r="J178" s="16"/>
      <c r="K178" s="16"/>
      <c r="L178" s="16"/>
      <c r="M178" s="16"/>
      <c r="N178" s="16"/>
      <c r="O178" s="16"/>
      <c r="P178" s="16"/>
      <c r="Q178" s="16"/>
      <c r="R178" s="16"/>
      <c r="S178" s="16"/>
      <c r="T178" s="16"/>
      <c r="U178" s="16"/>
      <c r="V178" s="16"/>
      <c r="W178" s="16"/>
    </row>
    <row r="179" spans="3:23" ht="17.25" hidden="1" customHeight="1">
      <c r="C179" s="10"/>
      <c r="D179" s="119"/>
      <c r="E179" s="119"/>
      <c r="F179" s="16"/>
      <c r="G179" s="16"/>
      <c r="H179" s="16"/>
      <c r="I179" s="16"/>
      <c r="J179" s="16"/>
      <c r="K179" s="16"/>
      <c r="L179" s="16"/>
      <c r="M179" s="16"/>
      <c r="N179" s="16"/>
      <c r="O179" s="16"/>
      <c r="P179" s="16"/>
      <c r="Q179" s="16"/>
      <c r="R179" s="16"/>
      <c r="S179" s="16"/>
      <c r="T179" s="16"/>
      <c r="U179" s="16"/>
      <c r="V179" s="16"/>
      <c r="W179" s="16"/>
    </row>
    <row r="180" spans="3:23" ht="17.25" hidden="1" customHeight="1">
      <c r="C180" s="10"/>
      <c r="D180" s="119"/>
      <c r="E180" s="119"/>
      <c r="F180" s="16"/>
      <c r="G180" s="16"/>
      <c r="H180" s="16"/>
      <c r="I180" s="16"/>
      <c r="J180" s="16"/>
      <c r="K180" s="16"/>
      <c r="L180" s="16"/>
      <c r="M180" s="16"/>
      <c r="N180" s="16"/>
      <c r="O180" s="16"/>
      <c r="P180" s="16"/>
      <c r="Q180" s="16"/>
      <c r="R180" s="16"/>
      <c r="S180" s="16"/>
      <c r="T180" s="16"/>
      <c r="U180" s="16"/>
      <c r="V180" s="16"/>
      <c r="W180" s="16"/>
    </row>
    <row r="181" spans="3:23" ht="17.25" hidden="1" customHeight="1">
      <c r="C181" s="10"/>
      <c r="D181" s="119"/>
      <c r="E181" s="119"/>
      <c r="F181" s="16"/>
      <c r="G181" s="16"/>
      <c r="H181" s="16"/>
      <c r="I181" s="16"/>
      <c r="J181" s="16"/>
      <c r="K181" s="16"/>
      <c r="L181" s="16"/>
      <c r="M181" s="16"/>
      <c r="N181" s="16"/>
      <c r="O181" s="16"/>
      <c r="P181" s="16"/>
      <c r="Q181" s="16"/>
      <c r="R181" s="16"/>
      <c r="S181" s="16"/>
      <c r="T181" s="16"/>
      <c r="U181" s="16"/>
      <c r="V181" s="16"/>
      <c r="W181" s="16"/>
    </row>
    <row r="182" spans="3:23" ht="17.25" hidden="1" customHeight="1">
      <c r="C182" s="10"/>
      <c r="D182" s="119"/>
      <c r="E182" s="119"/>
      <c r="F182" s="16"/>
      <c r="G182" s="16"/>
      <c r="H182" s="16"/>
      <c r="I182" s="16"/>
      <c r="J182" s="16"/>
      <c r="K182" s="16"/>
      <c r="L182" s="16"/>
      <c r="M182" s="16"/>
      <c r="N182" s="16"/>
      <c r="O182" s="16"/>
      <c r="P182" s="16"/>
      <c r="Q182" s="16"/>
      <c r="R182" s="16"/>
      <c r="S182" s="16"/>
      <c r="T182" s="16"/>
      <c r="U182" s="16"/>
      <c r="V182" s="16"/>
      <c r="W182" s="16"/>
    </row>
    <row r="183" spans="3:23" ht="17.25" hidden="1" customHeight="1">
      <c r="C183" s="10"/>
      <c r="D183" s="119"/>
      <c r="E183" s="119"/>
      <c r="F183" s="16"/>
      <c r="G183" s="16"/>
      <c r="H183" s="16"/>
      <c r="I183" s="16"/>
      <c r="J183" s="16"/>
      <c r="K183" s="16"/>
      <c r="L183" s="16"/>
      <c r="M183" s="16"/>
      <c r="N183" s="16"/>
      <c r="O183" s="16"/>
      <c r="P183" s="16"/>
      <c r="Q183" s="16"/>
      <c r="R183" s="16"/>
      <c r="S183" s="16"/>
      <c r="T183" s="16"/>
      <c r="U183" s="16"/>
      <c r="V183" s="16"/>
      <c r="W183" s="16"/>
    </row>
    <row r="184" spans="3:23" ht="17.25" hidden="1" customHeight="1">
      <c r="C184" s="10"/>
      <c r="D184" s="119"/>
      <c r="E184" s="119"/>
      <c r="F184" s="16"/>
      <c r="G184" s="16"/>
      <c r="H184" s="16"/>
      <c r="I184" s="16"/>
      <c r="J184" s="16"/>
      <c r="K184" s="16"/>
      <c r="L184" s="16"/>
      <c r="M184" s="16"/>
      <c r="N184" s="16"/>
      <c r="O184" s="16"/>
      <c r="P184" s="16"/>
      <c r="Q184" s="16"/>
      <c r="R184" s="16"/>
      <c r="S184" s="16"/>
      <c r="T184" s="16"/>
      <c r="U184" s="16"/>
      <c r="V184" s="16"/>
      <c r="W184" s="16"/>
    </row>
    <row r="185" spans="3:23" ht="17.25" hidden="1" customHeight="1">
      <c r="C185" s="10"/>
      <c r="D185" s="119"/>
      <c r="E185" s="119"/>
      <c r="F185" s="16"/>
      <c r="G185" s="16"/>
      <c r="H185" s="16"/>
      <c r="I185" s="16"/>
      <c r="J185" s="16"/>
      <c r="K185" s="16"/>
      <c r="L185" s="16"/>
      <c r="M185" s="16"/>
      <c r="N185" s="16"/>
      <c r="O185" s="16"/>
      <c r="P185" s="16"/>
      <c r="Q185" s="16"/>
      <c r="R185" s="16"/>
      <c r="S185" s="16"/>
      <c r="T185" s="16"/>
      <c r="U185" s="16"/>
      <c r="V185" s="16"/>
      <c r="W185" s="16"/>
    </row>
    <row r="186" spans="3:23" ht="17.25" hidden="1" customHeight="1">
      <c r="C186" s="10"/>
      <c r="D186" s="119"/>
      <c r="E186" s="119"/>
      <c r="F186" s="16"/>
      <c r="G186" s="16"/>
      <c r="H186" s="16"/>
      <c r="I186" s="16"/>
      <c r="J186" s="16"/>
      <c r="K186" s="16"/>
      <c r="L186" s="16"/>
      <c r="M186" s="16"/>
      <c r="N186" s="16"/>
      <c r="O186" s="16"/>
      <c r="P186" s="16"/>
      <c r="Q186" s="16"/>
      <c r="R186" s="16"/>
      <c r="S186" s="16"/>
      <c r="T186" s="16"/>
      <c r="U186" s="16"/>
      <c r="V186" s="16"/>
      <c r="W186" s="16"/>
    </row>
    <row r="187" spans="3:23" ht="17.25" hidden="1" customHeight="1">
      <c r="C187" s="10"/>
      <c r="D187" s="119"/>
      <c r="E187" s="119"/>
      <c r="F187" s="16"/>
      <c r="G187" s="16"/>
      <c r="H187" s="16"/>
      <c r="I187" s="16"/>
      <c r="J187" s="16"/>
      <c r="K187" s="16"/>
      <c r="L187" s="16"/>
      <c r="M187" s="16"/>
      <c r="N187" s="16"/>
      <c r="O187" s="16"/>
      <c r="P187" s="16"/>
      <c r="Q187" s="16"/>
      <c r="R187" s="16"/>
      <c r="S187" s="16"/>
      <c r="T187" s="16"/>
      <c r="U187" s="16"/>
      <c r="V187" s="16"/>
      <c r="W187" s="16"/>
    </row>
    <row r="188" spans="3:23" ht="17.25" hidden="1" customHeight="1">
      <c r="C188" s="10"/>
      <c r="D188" s="119"/>
      <c r="E188" s="119"/>
      <c r="F188" s="16"/>
      <c r="G188" s="16"/>
      <c r="H188" s="16"/>
      <c r="I188" s="16"/>
      <c r="J188" s="16"/>
      <c r="K188" s="16"/>
      <c r="L188" s="16"/>
      <c r="M188" s="16"/>
      <c r="N188" s="16"/>
      <c r="O188" s="16"/>
      <c r="P188" s="16"/>
      <c r="Q188" s="16"/>
      <c r="R188" s="16"/>
      <c r="S188" s="16"/>
      <c r="T188" s="16"/>
      <c r="U188" s="16"/>
      <c r="V188" s="16"/>
      <c r="W188" s="16"/>
    </row>
    <row r="189" spans="3:23" ht="17.25" hidden="1" customHeight="1">
      <c r="C189" s="10"/>
      <c r="D189" s="119"/>
      <c r="E189" s="119"/>
      <c r="F189" s="16"/>
      <c r="G189" s="16"/>
      <c r="H189" s="16"/>
      <c r="I189" s="16"/>
      <c r="J189" s="16"/>
      <c r="K189" s="16"/>
      <c r="L189" s="16"/>
      <c r="M189" s="16"/>
      <c r="N189" s="16"/>
      <c r="O189" s="16"/>
      <c r="P189" s="16"/>
      <c r="Q189" s="16"/>
      <c r="R189" s="16"/>
      <c r="S189" s="16"/>
      <c r="T189" s="16"/>
      <c r="U189" s="16"/>
      <c r="V189" s="16"/>
      <c r="W189" s="16"/>
    </row>
    <row r="190" spans="3:23" ht="17.25" hidden="1" customHeight="1">
      <c r="C190" s="10"/>
      <c r="D190" s="119"/>
      <c r="E190" s="119"/>
      <c r="F190" s="16"/>
      <c r="G190" s="16"/>
      <c r="H190" s="16"/>
      <c r="I190" s="16"/>
      <c r="J190" s="16"/>
      <c r="K190" s="16"/>
      <c r="L190" s="16"/>
      <c r="M190" s="16"/>
      <c r="N190" s="16"/>
      <c r="O190" s="16"/>
      <c r="P190" s="16"/>
      <c r="Q190" s="16"/>
      <c r="R190" s="16"/>
      <c r="S190" s="16"/>
      <c r="T190" s="16"/>
      <c r="U190" s="16"/>
      <c r="V190" s="16"/>
      <c r="W190" s="16"/>
    </row>
    <row r="191" spans="3:23" ht="17.25" hidden="1" customHeight="1">
      <c r="C191" s="10"/>
      <c r="D191" s="119"/>
      <c r="E191" s="119"/>
      <c r="F191" s="16"/>
      <c r="G191" s="16"/>
      <c r="H191" s="16"/>
      <c r="I191" s="16"/>
      <c r="J191" s="16"/>
      <c r="K191" s="16"/>
      <c r="L191" s="16"/>
      <c r="M191" s="16"/>
      <c r="N191" s="16"/>
      <c r="O191" s="16"/>
      <c r="P191" s="16"/>
      <c r="Q191" s="16"/>
      <c r="R191" s="16"/>
      <c r="S191" s="16"/>
      <c r="T191" s="16"/>
      <c r="U191" s="16"/>
      <c r="V191" s="16"/>
      <c r="W191" s="16"/>
    </row>
    <row r="192" spans="3:23" ht="17.25" hidden="1" customHeight="1">
      <c r="C192" s="10"/>
      <c r="D192" s="119"/>
      <c r="E192" s="119"/>
      <c r="F192" s="16"/>
      <c r="G192" s="16"/>
      <c r="H192" s="16"/>
      <c r="I192" s="16"/>
      <c r="J192" s="16"/>
      <c r="K192" s="16"/>
      <c r="L192" s="16"/>
      <c r="M192" s="16"/>
      <c r="N192" s="16"/>
      <c r="O192" s="16"/>
      <c r="P192" s="16"/>
      <c r="Q192" s="16"/>
      <c r="R192" s="16"/>
      <c r="S192" s="16"/>
      <c r="T192" s="16"/>
      <c r="U192" s="16"/>
      <c r="V192" s="16"/>
      <c r="W192" s="16"/>
    </row>
    <row r="193" spans="3:23" ht="17.25" hidden="1" customHeight="1">
      <c r="C193" s="10"/>
      <c r="D193" s="119"/>
      <c r="E193" s="119"/>
      <c r="F193" s="16"/>
      <c r="G193" s="16"/>
      <c r="H193" s="16"/>
      <c r="I193" s="16"/>
      <c r="J193" s="16"/>
      <c r="K193" s="16"/>
      <c r="L193" s="16"/>
      <c r="M193" s="16"/>
      <c r="N193" s="16"/>
      <c r="O193" s="16"/>
      <c r="P193" s="16"/>
      <c r="Q193" s="16"/>
      <c r="R193" s="16"/>
      <c r="S193" s="16"/>
      <c r="T193" s="16"/>
      <c r="U193" s="16"/>
      <c r="V193" s="16"/>
      <c r="W193" s="16"/>
    </row>
    <row r="194" spans="3:23" ht="17.25" hidden="1" customHeight="1">
      <c r="C194" s="10"/>
      <c r="D194" s="119"/>
      <c r="E194" s="119"/>
      <c r="F194" s="16"/>
      <c r="G194" s="16"/>
      <c r="H194" s="16"/>
      <c r="I194" s="16"/>
      <c r="J194" s="16"/>
      <c r="K194" s="16"/>
      <c r="L194" s="16"/>
      <c r="M194" s="16"/>
      <c r="N194" s="16"/>
      <c r="O194" s="16"/>
      <c r="P194" s="16"/>
      <c r="Q194" s="16"/>
      <c r="R194" s="16"/>
      <c r="S194" s="16"/>
      <c r="T194" s="16"/>
      <c r="U194" s="16"/>
      <c r="V194" s="16"/>
      <c r="W194" s="16"/>
    </row>
    <row r="195" spans="3:23" ht="17.25" hidden="1" customHeight="1">
      <c r="C195" s="10"/>
      <c r="D195" s="119"/>
      <c r="E195" s="119"/>
      <c r="F195" s="16"/>
      <c r="G195" s="16"/>
      <c r="H195" s="16"/>
      <c r="I195" s="16"/>
      <c r="J195" s="16"/>
      <c r="K195" s="16"/>
      <c r="L195" s="16"/>
      <c r="M195" s="16"/>
      <c r="N195" s="16"/>
      <c r="O195" s="16"/>
      <c r="P195" s="16"/>
      <c r="Q195" s="16"/>
      <c r="R195" s="16"/>
      <c r="S195" s="16"/>
      <c r="T195" s="16"/>
      <c r="U195" s="16"/>
      <c r="V195" s="16"/>
      <c r="W195" s="16"/>
    </row>
    <row r="196" spans="3:23" ht="17.25" hidden="1" customHeight="1">
      <c r="C196" s="10"/>
      <c r="D196" s="119"/>
      <c r="E196" s="119"/>
      <c r="F196" s="16"/>
      <c r="G196" s="16"/>
      <c r="H196" s="16"/>
      <c r="I196" s="16"/>
      <c r="J196" s="16"/>
      <c r="K196" s="16"/>
      <c r="L196" s="16"/>
      <c r="M196" s="16"/>
      <c r="N196" s="16"/>
      <c r="O196" s="16"/>
      <c r="P196" s="16"/>
      <c r="Q196" s="16"/>
      <c r="R196" s="16"/>
      <c r="S196" s="16"/>
      <c r="T196" s="16"/>
      <c r="U196" s="16"/>
      <c r="V196" s="16"/>
      <c r="W196" s="16"/>
    </row>
    <row r="197" spans="3:23" ht="17.25" hidden="1" customHeight="1">
      <c r="C197" s="10"/>
      <c r="D197" s="119"/>
      <c r="E197" s="119"/>
      <c r="F197" s="16"/>
      <c r="G197" s="16"/>
      <c r="H197" s="16"/>
      <c r="I197" s="16"/>
      <c r="J197" s="16"/>
      <c r="K197" s="16"/>
      <c r="L197" s="16"/>
      <c r="M197" s="16"/>
      <c r="N197" s="16"/>
      <c r="O197" s="16"/>
      <c r="P197" s="16"/>
      <c r="Q197" s="16"/>
      <c r="R197" s="16"/>
      <c r="S197" s="16"/>
      <c r="T197" s="16"/>
      <c r="U197" s="16"/>
      <c r="V197" s="16"/>
      <c r="W197" s="16"/>
    </row>
    <row r="198" spans="3:23" ht="17.25" hidden="1" customHeight="1">
      <c r="C198" s="10"/>
      <c r="D198" s="119"/>
      <c r="E198" s="119"/>
      <c r="F198" s="16"/>
      <c r="G198" s="16"/>
      <c r="H198" s="16"/>
      <c r="I198" s="16"/>
      <c r="J198" s="16"/>
      <c r="K198" s="16"/>
      <c r="L198" s="16"/>
      <c r="M198" s="16"/>
      <c r="N198" s="16"/>
      <c r="O198" s="16"/>
      <c r="P198" s="16"/>
      <c r="Q198" s="16"/>
      <c r="R198" s="16"/>
      <c r="S198" s="16"/>
      <c r="T198" s="16"/>
      <c r="U198" s="16"/>
      <c r="V198" s="16"/>
      <c r="W198" s="16"/>
    </row>
    <row r="199" spans="3:23" ht="17.25" hidden="1" customHeight="1">
      <c r="C199" s="10"/>
      <c r="D199" s="119"/>
      <c r="E199" s="119"/>
      <c r="F199" s="16"/>
      <c r="G199" s="16"/>
      <c r="H199" s="16"/>
      <c r="I199" s="16"/>
      <c r="J199" s="16"/>
      <c r="K199" s="16"/>
      <c r="L199" s="16"/>
      <c r="M199" s="16"/>
      <c r="N199" s="16"/>
      <c r="O199" s="16"/>
      <c r="P199" s="16"/>
      <c r="Q199" s="16"/>
      <c r="R199" s="16"/>
      <c r="S199" s="16"/>
      <c r="T199" s="16"/>
      <c r="U199" s="16"/>
      <c r="V199" s="16"/>
      <c r="W199" s="16"/>
    </row>
    <row r="200" spans="3:23" ht="17.25" hidden="1" customHeight="1">
      <c r="C200" s="10"/>
      <c r="D200" s="119"/>
      <c r="E200" s="119"/>
      <c r="F200" s="16"/>
      <c r="G200" s="16"/>
      <c r="H200" s="16"/>
      <c r="I200" s="16"/>
      <c r="J200" s="16"/>
      <c r="K200" s="16"/>
      <c r="L200" s="16"/>
      <c r="M200" s="16"/>
      <c r="N200" s="16"/>
      <c r="O200" s="16"/>
      <c r="P200" s="16"/>
      <c r="Q200" s="16"/>
      <c r="R200" s="16"/>
      <c r="S200" s="16"/>
      <c r="T200" s="16"/>
      <c r="U200" s="16"/>
      <c r="V200" s="16"/>
      <c r="W200" s="16"/>
    </row>
    <row r="201" spans="3:23" ht="17.25" hidden="1" customHeight="1">
      <c r="C201" s="10"/>
      <c r="D201" s="119"/>
      <c r="E201" s="119"/>
      <c r="F201" s="16"/>
      <c r="G201" s="16"/>
      <c r="H201" s="16"/>
      <c r="I201" s="16"/>
      <c r="J201" s="16"/>
      <c r="K201" s="16"/>
      <c r="L201" s="16"/>
      <c r="M201" s="16"/>
      <c r="N201" s="16"/>
      <c r="O201" s="16"/>
      <c r="P201" s="16"/>
      <c r="Q201" s="16"/>
      <c r="R201" s="16"/>
      <c r="S201" s="16"/>
      <c r="T201" s="16"/>
      <c r="U201" s="16"/>
      <c r="V201" s="16"/>
      <c r="W201" s="16"/>
    </row>
    <row r="202" spans="3:23" ht="17.25" hidden="1" customHeight="1">
      <c r="C202" s="10"/>
      <c r="D202" s="119"/>
      <c r="E202" s="119"/>
      <c r="F202" s="16"/>
      <c r="G202" s="16"/>
      <c r="H202" s="16"/>
      <c r="I202" s="16"/>
      <c r="J202" s="16"/>
      <c r="K202" s="16"/>
      <c r="L202" s="16"/>
      <c r="M202" s="16"/>
      <c r="N202" s="16"/>
      <c r="O202" s="16"/>
      <c r="P202" s="16"/>
      <c r="Q202" s="16"/>
      <c r="R202" s="16"/>
      <c r="S202" s="16"/>
      <c r="T202" s="16"/>
      <c r="U202" s="16"/>
      <c r="V202" s="16"/>
      <c r="W202" s="16"/>
    </row>
    <row r="203" spans="3:23" ht="17.25" hidden="1" customHeight="1">
      <c r="C203" s="10"/>
      <c r="D203" s="119"/>
      <c r="E203" s="119"/>
      <c r="F203" s="16"/>
      <c r="G203" s="16"/>
      <c r="H203" s="16"/>
      <c r="I203" s="16"/>
      <c r="J203" s="16"/>
      <c r="K203" s="16"/>
      <c r="L203" s="16"/>
      <c r="M203" s="16"/>
      <c r="N203" s="16"/>
      <c r="O203" s="16"/>
      <c r="P203" s="16"/>
      <c r="Q203" s="16"/>
      <c r="R203" s="16"/>
      <c r="S203" s="16"/>
      <c r="T203" s="16"/>
      <c r="U203" s="16"/>
      <c r="V203" s="16"/>
      <c r="W203" s="16"/>
    </row>
    <row r="204" spans="3:23" ht="17.25" hidden="1" customHeight="1">
      <c r="C204" s="10"/>
      <c r="D204" s="119"/>
      <c r="E204" s="119"/>
      <c r="F204" s="16"/>
      <c r="G204" s="16"/>
      <c r="H204" s="16"/>
      <c r="I204" s="16"/>
      <c r="J204" s="16"/>
      <c r="K204" s="16"/>
      <c r="L204" s="16"/>
      <c r="M204" s="16"/>
      <c r="N204" s="16"/>
      <c r="O204" s="16"/>
      <c r="P204" s="16"/>
      <c r="Q204" s="16"/>
      <c r="R204" s="16"/>
      <c r="S204" s="16"/>
      <c r="T204" s="16"/>
      <c r="U204" s="16"/>
      <c r="V204" s="16"/>
      <c r="W204" s="16"/>
    </row>
    <row r="205" spans="3:23" ht="17.25" hidden="1" customHeight="1">
      <c r="C205" s="10"/>
      <c r="D205" s="119"/>
      <c r="E205" s="119"/>
      <c r="F205" s="16"/>
      <c r="G205" s="16"/>
      <c r="H205" s="16"/>
      <c r="I205" s="16"/>
      <c r="J205" s="16"/>
      <c r="K205" s="16"/>
      <c r="L205" s="16"/>
      <c r="M205" s="16"/>
      <c r="N205" s="16"/>
      <c r="O205" s="16"/>
      <c r="P205" s="16"/>
      <c r="Q205" s="16"/>
      <c r="R205" s="16"/>
      <c r="S205" s="16"/>
      <c r="T205" s="16"/>
      <c r="U205" s="16"/>
      <c r="V205" s="16"/>
      <c r="W205" s="16"/>
    </row>
    <row r="206" spans="3:23" ht="17.25" hidden="1" customHeight="1">
      <c r="C206" s="10"/>
      <c r="D206" s="119"/>
      <c r="E206" s="119"/>
      <c r="F206" s="16"/>
      <c r="G206" s="16"/>
      <c r="H206" s="16"/>
      <c r="I206" s="16"/>
      <c r="J206" s="16"/>
      <c r="K206" s="16"/>
      <c r="L206" s="16"/>
      <c r="M206" s="16"/>
      <c r="N206" s="16"/>
      <c r="O206" s="16"/>
      <c r="P206" s="16"/>
      <c r="Q206" s="16"/>
      <c r="R206" s="16"/>
      <c r="S206" s="16"/>
      <c r="T206" s="16"/>
      <c r="U206" s="16"/>
      <c r="V206" s="16"/>
      <c r="W206" s="16"/>
    </row>
    <row r="207" spans="3:23" ht="17.25" hidden="1" customHeight="1">
      <c r="C207" s="10"/>
      <c r="D207" s="119"/>
      <c r="E207" s="119"/>
      <c r="F207" s="16"/>
      <c r="G207" s="16"/>
      <c r="H207" s="16"/>
      <c r="I207" s="16"/>
      <c r="J207" s="16"/>
      <c r="K207" s="16"/>
      <c r="L207" s="16"/>
      <c r="M207" s="16"/>
      <c r="N207" s="16"/>
      <c r="O207" s="16"/>
      <c r="P207" s="16"/>
      <c r="Q207" s="16"/>
      <c r="R207" s="16"/>
      <c r="S207" s="16"/>
      <c r="T207" s="16"/>
      <c r="U207" s="16"/>
      <c r="V207" s="16"/>
      <c r="W207" s="16"/>
    </row>
    <row r="208" spans="3:23" ht="17.25" hidden="1" customHeight="1">
      <c r="C208" s="10"/>
      <c r="D208" s="119"/>
      <c r="E208" s="119"/>
      <c r="F208" s="16"/>
      <c r="G208" s="16"/>
      <c r="H208" s="16"/>
      <c r="I208" s="16"/>
      <c r="J208" s="16"/>
      <c r="K208" s="16"/>
      <c r="L208" s="16"/>
      <c r="M208" s="16"/>
      <c r="N208" s="16"/>
      <c r="O208" s="16"/>
      <c r="P208" s="16"/>
      <c r="Q208" s="16"/>
      <c r="R208" s="16"/>
      <c r="S208" s="16"/>
      <c r="T208" s="16"/>
      <c r="U208" s="16"/>
      <c r="V208" s="16"/>
      <c r="W208" s="16"/>
    </row>
    <row r="209" spans="3:23" ht="17.25" hidden="1" customHeight="1">
      <c r="C209" s="10"/>
      <c r="D209" s="119"/>
      <c r="E209" s="119"/>
      <c r="F209" s="16"/>
      <c r="G209" s="16"/>
      <c r="H209" s="16"/>
      <c r="I209" s="16"/>
      <c r="J209" s="16"/>
      <c r="K209" s="16"/>
      <c r="L209" s="16"/>
      <c r="M209" s="16"/>
      <c r="N209" s="16"/>
      <c r="O209" s="16"/>
      <c r="P209" s="16"/>
      <c r="Q209" s="16"/>
      <c r="R209" s="16"/>
      <c r="S209" s="16"/>
      <c r="T209" s="16"/>
      <c r="U209" s="16"/>
      <c r="V209" s="16"/>
      <c r="W209" s="16"/>
    </row>
    <row r="210" spans="3:23" ht="17.25" hidden="1" customHeight="1">
      <c r="C210" s="10"/>
      <c r="D210" s="119"/>
      <c r="E210" s="119"/>
      <c r="F210" s="16"/>
      <c r="G210" s="16"/>
      <c r="H210" s="16"/>
      <c r="I210" s="16"/>
      <c r="J210" s="16"/>
      <c r="K210" s="16"/>
      <c r="L210" s="16"/>
      <c r="M210" s="16"/>
      <c r="N210" s="16"/>
      <c r="O210" s="16"/>
      <c r="P210" s="16"/>
      <c r="Q210" s="16"/>
      <c r="R210" s="16"/>
      <c r="S210" s="16"/>
      <c r="T210" s="16"/>
      <c r="U210" s="16"/>
      <c r="V210" s="16"/>
      <c r="W210" s="16"/>
    </row>
    <row r="211" spans="3:23" ht="17.25" hidden="1" customHeight="1">
      <c r="C211" s="10"/>
      <c r="D211" s="119"/>
      <c r="E211" s="119"/>
      <c r="F211" s="16"/>
      <c r="G211" s="16"/>
      <c r="H211" s="16"/>
      <c r="I211" s="16"/>
      <c r="J211" s="16"/>
      <c r="K211" s="16"/>
      <c r="L211" s="16"/>
      <c r="M211" s="16"/>
      <c r="N211" s="16"/>
      <c r="O211" s="16"/>
      <c r="P211" s="16"/>
      <c r="Q211" s="16"/>
      <c r="R211" s="16"/>
      <c r="S211" s="16"/>
      <c r="T211" s="16"/>
      <c r="U211" s="16"/>
      <c r="V211" s="16"/>
      <c r="W211" s="16"/>
    </row>
    <row r="212" spans="3:23" ht="17.25" hidden="1" customHeight="1">
      <c r="C212" s="10"/>
      <c r="D212" s="119"/>
      <c r="E212" s="119"/>
      <c r="F212" s="16"/>
      <c r="G212" s="16"/>
      <c r="H212" s="16"/>
      <c r="I212" s="16"/>
      <c r="J212" s="16"/>
      <c r="K212" s="16"/>
      <c r="L212" s="16"/>
      <c r="M212" s="16"/>
      <c r="N212" s="16"/>
      <c r="O212" s="16"/>
      <c r="P212" s="16"/>
      <c r="Q212" s="16"/>
      <c r="R212" s="16"/>
      <c r="S212" s="16"/>
      <c r="T212" s="16"/>
      <c r="U212" s="16"/>
      <c r="V212" s="16"/>
      <c r="W212" s="16"/>
    </row>
    <row r="213" spans="3:23" ht="17.25" hidden="1" customHeight="1">
      <c r="C213" s="10"/>
      <c r="D213" s="119"/>
      <c r="E213" s="119"/>
      <c r="F213" s="16"/>
      <c r="G213" s="16"/>
      <c r="H213" s="16"/>
      <c r="I213" s="16"/>
      <c r="J213" s="16"/>
      <c r="K213" s="16"/>
      <c r="L213" s="16"/>
      <c r="M213" s="16"/>
      <c r="N213" s="16"/>
      <c r="O213" s="16"/>
      <c r="P213" s="16"/>
      <c r="Q213" s="16"/>
      <c r="R213" s="16"/>
      <c r="S213" s="16"/>
      <c r="T213" s="16"/>
      <c r="U213" s="16"/>
      <c r="V213" s="16"/>
      <c r="W213" s="16"/>
    </row>
    <row r="214" spans="3:23" ht="17.25" hidden="1" customHeight="1">
      <c r="C214" s="10"/>
      <c r="D214" s="119"/>
      <c r="E214" s="119"/>
      <c r="F214" s="16"/>
      <c r="G214" s="16"/>
      <c r="H214" s="16"/>
      <c r="I214" s="16"/>
      <c r="J214" s="16"/>
      <c r="K214" s="16"/>
      <c r="L214" s="16"/>
      <c r="M214" s="16"/>
      <c r="N214" s="16"/>
      <c r="O214" s="16"/>
      <c r="P214" s="16"/>
      <c r="Q214" s="16"/>
      <c r="R214" s="16"/>
      <c r="S214" s="16"/>
      <c r="T214" s="16"/>
      <c r="U214" s="16"/>
      <c r="V214" s="16"/>
      <c r="W214" s="16"/>
    </row>
    <row r="215" spans="3:23" ht="17.25" hidden="1" customHeight="1">
      <c r="C215" s="10"/>
      <c r="D215" s="119"/>
      <c r="E215" s="119"/>
      <c r="F215" s="16"/>
      <c r="G215" s="16"/>
      <c r="H215" s="16"/>
      <c r="I215" s="16"/>
      <c r="J215" s="16"/>
      <c r="K215" s="16"/>
      <c r="L215" s="16"/>
      <c r="M215" s="16"/>
      <c r="N215" s="16"/>
      <c r="O215" s="16"/>
      <c r="P215" s="16"/>
      <c r="Q215" s="16"/>
      <c r="R215" s="16"/>
      <c r="S215" s="16"/>
      <c r="T215" s="16"/>
      <c r="U215" s="16"/>
      <c r="V215" s="16"/>
      <c r="W215" s="16"/>
    </row>
    <row r="216" spans="3:23" ht="17.25" hidden="1" customHeight="1">
      <c r="C216" s="10"/>
      <c r="D216" s="119"/>
      <c r="E216" s="119"/>
      <c r="F216" s="16"/>
      <c r="G216" s="16"/>
      <c r="H216" s="16"/>
      <c r="I216" s="16"/>
      <c r="J216" s="16"/>
      <c r="K216" s="16"/>
      <c r="L216" s="16"/>
      <c r="M216" s="16"/>
      <c r="N216" s="16"/>
      <c r="O216" s="16"/>
      <c r="P216" s="16"/>
      <c r="Q216" s="16"/>
      <c r="R216" s="16"/>
      <c r="S216" s="16"/>
      <c r="T216" s="16"/>
      <c r="U216" s="16"/>
      <c r="V216" s="16"/>
      <c r="W216" s="16"/>
    </row>
    <row r="217" spans="3:23" ht="17.25" hidden="1" customHeight="1">
      <c r="C217" s="10"/>
      <c r="D217" s="119"/>
      <c r="E217" s="119"/>
      <c r="F217" s="16"/>
      <c r="G217" s="16"/>
      <c r="H217" s="16"/>
      <c r="I217" s="16"/>
      <c r="J217" s="16"/>
      <c r="K217" s="16"/>
      <c r="L217" s="16"/>
      <c r="M217" s="16"/>
      <c r="N217" s="16"/>
      <c r="O217" s="16"/>
      <c r="P217" s="16"/>
      <c r="Q217" s="16"/>
      <c r="R217" s="16"/>
      <c r="S217" s="16"/>
      <c r="T217" s="16"/>
      <c r="U217" s="16"/>
      <c r="V217" s="16"/>
      <c r="W217" s="16"/>
    </row>
    <row r="218" spans="3:23" ht="17.25" hidden="1" customHeight="1">
      <c r="C218" s="10"/>
      <c r="D218" s="119"/>
      <c r="E218" s="119"/>
      <c r="F218" s="16"/>
      <c r="G218" s="16"/>
      <c r="H218" s="16"/>
      <c r="I218" s="16"/>
      <c r="J218" s="16"/>
      <c r="K218" s="16"/>
      <c r="L218" s="16"/>
      <c r="M218" s="16"/>
      <c r="N218" s="16"/>
      <c r="O218" s="16"/>
      <c r="P218" s="16"/>
      <c r="Q218" s="16"/>
      <c r="R218" s="16"/>
      <c r="S218" s="16"/>
      <c r="T218" s="16"/>
      <c r="U218" s="16"/>
      <c r="V218" s="16"/>
      <c r="W218" s="16"/>
    </row>
    <row r="219" spans="3:23" ht="17.25" hidden="1" customHeight="1">
      <c r="C219" s="10"/>
      <c r="D219" s="119"/>
      <c r="E219" s="119"/>
      <c r="F219" s="16"/>
      <c r="G219" s="16"/>
      <c r="H219" s="16"/>
      <c r="I219" s="16"/>
      <c r="J219" s="16"/>
      <c r="K219" s="16"/>
      <c r="L219" s="16"/>
      <c r="M219" s="16"/>
      <c r="N219" s="16"/>
      <c r="O219" s="16"/>
      <c r="P219" s="16"/>
      <c r="Q219" s="16"/>
      <c r="R219" s="16"/>
      <c r="S219" s="16"/>
      <c r="T219" s="16"/>
      <c r="U219" s="16"/>
      <c r="V219" s="16"/>
      <c r="W219" s="16"/>
    </row>
    <row r="220" spans="3:23" ht="17.25" hidden="1" customHeight="1">
      <c r="C220" s="10"/>
      <c r="D220" s="119"/>
      <c r="E220" s="119"/>
      <c r="F220" s="16"/>
      <c r="G220" s="16"/>
      <c r="H220" s="16"/>
      <c r="I220" s="16"/>
      <c r="J220" s="16"/>
      <c r="K220" s="16"/>
      <c r="L220" s="16"/>
      <c r="M220" s="16"/>
      <c r="N220" s="16"/>
      <c r="O220" s="16"/>
      <c r="P220" s="16"/>
      <c r="Q220" s="16"/>
      <c r="R220" s="16"/>
      <c r="S220" s="16"/>
      <c r="T220" s="16"/>
      <c r="U220" s="16"/>
      <c r="V220" s="16"/>
      <c r="W220" s="16"/>
    </row>
    <row r="221" spans="3:23" ht="17.25" hidden="1" customHeight="1">
      <c r="C221" s="10"/>
      <c r="D221" s="119"/>
      <c r="E221" s="119"/>
      <c r="F221" s="16"/>
      <c r="G221" s="16"/>
      <c r="H221" s="16"/>
      <c r="I221" s="16"/>
      <c r="J221" s="16"/>
      <c r="K221" s="16"/>
      <c r="L221" s="16"/>
      <c r="M221" s="16"/>
      <c r="N221" s="16"/>
      <c r="O221" s="16"/>
      <c r="P221" s="16"/>
      <c r="Q221" s="16"/>
      <c r="R221" s="16"/>
      <c r="S221" s="16"/>
      <c r="T221" s="16"/>
      <c r="U221" s="16"/>
      <c r="V221" s="16"/>
      <c r="W221" s="16"/>
    </row>
    <row r="222" spans="3:23" ht="17.25" hidden="1" customHeight="1">
      <c r="C222" s="10"/>
      <c r="D222" s="119"/>
      <c r="E222" s="119"/>
      <c r="F222" s="16"/>
      <c r="G222" s="16"/>
      <c r="H222" s="16"/>
      <c r="I222" s="16"/>
      <c r="J222" s="16"/>
      <c r="K222" s="16"/>
      <c r="L222" s="16"/>
      <c r="M222" s="16"/>
      <c r="N222" s="16"/>
      <c r="O222" s="16"/>
      <c r="P222" s="16"/>
      <c r="Q222" s="16"/>
      <c r="R222" s="16"/>
      <c r="S222" s="16"/>
      <c r="T222" s="16"/>
      <c r="U222" s="16"/>
      <c r="V222" s="16"/>
      <c r="W222" s="16"/>
    </row>
    <row r="223" spans="3:23" ht="17.25" hidden="1" customHeight="1">
      <c r="C223" s="10"/>
      <c r="D223" s="119"/>
      <c r="E223" s="119"/>
      <c r="F223" s="16"/>
      <c r="G223" s="16"/>
      <c r="H223" s="16"/>
      <c r="I223" s="16"/>
      <c r="J223" s="16"/>
      <c r="K223" s="16"/>
      <c r="L223" s="16"/>
      <c r="M223" s="16"/>
      <c r="N223" s="16"/>
      <c r="O223" s="16"/>
      <c r="P223" s="16"/>
      <c r="Q223" s="16"/>
      <c r="R223" s="16"/>
      <c r="S223" s="16"/>
      <c r="T223" s="16"/>
      <c r="U223" s="16"/>
      <c r="V223" s="16"/>
      <c r="W223" s="16"/>
    </row>
    <row r="224" spans="3:23" ht="17.25" hidden="1" customHeight="1">
      <c r="C224" s="10"/>
      <c r="D224" s="119"/>
      <c r="E224" s="119"/>
      <c r="F224" s="16"/>
      <c r="G224" s="16"/>
      <c r="H224" s="16"/>
      <c r="I224" s="16"/>
      <c r="J224" s="16"/>
      <c r="K224" s="16"/>
      <c r="L224" s="16"/>
      <c r="M224" s="16"/>
      <c r="N224" s="16"/>
      <c r="O224" s="16"/>
      <c r="P224" s="16"/>
      <c r="Q224" s="16"/>
      <c r="R224" s="16"/>
      <c r="S224" s="16"/>
      <c r="T224" s="16"/>
      <c r="U224" s="16"/>
      <c r="V224" s="16"/>
      <c r="W224" s="16"/>
    </row>
    <row r="225" spans="3:23" ht="17.25" hidden="1" customHeight="1">
      <c r="C225" s="10"/>
      <c r="D225" s="119"/>
      <c r="E225" s="119"/>
      <c r="F225" s="16"/>
      <c r="G225" s="16"/>
      <c r="H225" s="16"/>
      <c r="I225" s="16"/>
      <c r="J225" s="16"/>
      <c r="K225" s="16"/>
      <c r="L225" s="16"/>
      <c r="M225" s="16"/>
      <c r="N225" s="16"/>
      <c r="O225" s="16"/>
      <c r="P225" s="16"/>
      <c r="Q225" s="16"/>
      <c r="R225" s="16"/>
      <c r="S225" s="16"/>
      <c r="T225" s="16"/>
      <c r="U225" s="16"/>
      <c r="V225" s="16"/>
      <c r="W225" s="16"/>
    </row>
    <row r="226" spans="3:23" ht="17.25" hidden="1" customHeight="1">
      <c r="C226" s="10"/>
      <c r="D226" s="119"/>
      <c r="E226" s="119"/>
      <c r="F226" s="16"/>
      <c r="G226" s="16"/>
      <c r="H226" s="16"/>
      <c r="I226" s="16"/>
      <c r="J226" s="16"/>
      <c r="K226" s="16"/>
      <c r="L226" s="16"/>
      <c r="M226" s="16"/>
      <c r="N226" s="16"/>
      <c r="O226" s="16"/>
      <c r="P226" s="16"/>
      <c r="Q226" s="16"/>
      <c r="R226" s="16"/>
      <c r="S226" s="16"/>
      <c r="T226" s="16"/>
      <c r="U226" s="16"/>
      <c r="V226" s="16"/>
      <c r="W226" s="16"/>
    </row>
    <row r="227" spans="3:23" ht="17.25" hidden="1" customHeight="1">
      <c r="C227" s="10"/>
      <c r="D227" s="119"/>
      <c r="E227" s="119"/>
      <c r="F227" s="16"/>
      <c r="G227" s="16"/>
      <c r="H227" s="16"/>
      <c r="I227" s="16"/>
      <c r="J227" s="16"/>
      <c r="K227" s="16"/>
      <c r="L227" s="16"/>
      <c r="M227" s="16"/>
      <c r="N227" s="16"/>
      <c r="O227" s="16"/>
      <c r="P227" s="16"/>
      <c r="Q227" s="16"/>
      <c r="R227" s="16"/>
      <c r="S227" s="16"/>
      <c r="T227" s="16"/>
      <c r="U227" s="16"/>
      <c r="V227" s="16"/>
      <c r="W227" s="16"/>
    </row>
    <row r="228" spans="3:23" ht="17.25" hidden="1" customHeight="1">
      <c r="C228" s="10"/>
      <c r="D228" s="119"/>
      <c r="E228" s="119"/>
      <c r="F228" s="16"/>
      <c r="G228" s="16"/>
      <c r="H228" s="16"/>
      <c r="I228" s="16"/>
      <c r="J228" s="16"/>
      <c r="K228" s="16"/>
      <c r="L228" s="16"/>
      <c r="M228" s="16"/>
      <c r="N228" s="16"/>
      <c r="O228" s="16"/>
      <c r="P228" s="16"/>
      <c r="Q228" s="16"/>
      <c r="R228" s="16"/>
      <c r="S228" s="16"/>
      <c r="T228" s="16"/>
      <c r="U228" s="16"/>
      <c r="V228" s="16"/>
      <c r="W228" s="16"/>
    </row>
    <row r="229" spans="3:23" ht="17.25" hidden="1" customHeight="1">
      <c r="C229" s="10"/>
      <c r="D229" s="119"/>
      <c r="E229" s="119"/>
      <c r="F229" s="16"/>
      <c r="G229" s="16"/>
      <c r="H229" s="16"/>
      <c r="I229" s="16"/>
      <c r="J229" s="16"/>
      <c r="K229" s="16"/>
      <c r="L229" s="16"/>
      <c r="M229" s="16"/>
      <c r="N229" s="16"/>
      <c r="O229" s="16"/>
      <c r="P229" s="16"/>
      <c r="Q229" s="16"/>
      <c r="R229" s="16"/>
      <c r="S229" s="16"/>
      <c r="T229" s="16"/>
      <c r="U229" s="16"/>
      <c r="V229" s="16"/>
      <c r="W229" s="16"/>
    </row>
    <row r="230" spans="3:23" ht="17.25" hidden="1" customHeight="1">
      <c r="C230" s="10"/>
      <c r="D230" s="119"/>
      <c r="E230" s="119"/>
      <c r="F230" s="16"/>
      <c r="G230" s="16"/>
      <c r="H230" s="16"/>
      <c r="I230" s="16"/>
      <c r="J230" s="16"/>
      <c r="K230" s="16"/>
      <c r="L230" s="16"/>
      <c r="M230" s="16"/>
      <c r="N230" s="16"/>
      <c r="O230" s="16"/>
      <c r="P230" s="16"/>
      <c r="Q230" s="16"/>
      <c r="R230" s="16"/>
      <c r="S230" s="16"/>
      <c r="T230" s="16"/>
      <c r="U230" s="16"/>
      <c r="V230" s="16"/>
      <c r="W230" s="16"/>
    </row>
    <row r="231" spans="3:23" ht="17.25" hidden="1" customHeight="1">
      <c r="C231" s="10"/>
      <c r="D231" s="119"/>
      <c r="E231" s="119"/>
      <c r="F231" s="16"/>
      <c r="G231" s="16"/>
      <c r="H231" s="16"/>
      <c r="I231" s="16"/>
      <c r="J231" s="16"/>
      <c r="K231" s="16"/>
      <c r="L231" s="16"/>
      <c r="M231" s="16"/>
      <c r="N231" s="16"/>
      <c r="O231" s="16"/>
      <c r="P231" s="16"/>
      <c r="Q231" s="16"/>
      <c r="R231" s="16"/>
      <c r="S231" s="16"/>
      <c r="T231" s="16"/>
      <c r="U231" s="16"/>
      <c r="V231" s="16"/>
      <c r="W231" s="16"/>
    </row>
    <row r="232" spans="3:23" ht="17.25" hidden="1" customHeight="1">
      <c r="C232" s="10"/>
      <c r="D232" s="119"/>
      <c r="E232" s="119"/>
      <c r="F232" s="16"/>
      <c r="G232" s="16"/>
      <c r="H232" s="16"/>
      <c r="I232" s="16"/>
      <c r="J232" s="16"/>
      <c r="K232" s="16"/>
      <c r="L232" s="16"/>
      <c r="M232" s="16"/>
      <c r="N232" s="16"/>
      <c r="O232" s="16"/>
      <c r="P232" s="16"/>
      <c r="Q232" s="16"/>
      <c r="R232" s="16"/>
      <c r="S232" s="16"/>
      <c r="T232" s="16"/>
      <c r="U232" s="16"/>
      <c r="V232" s="16"/>
      <c r="W232" s="16"/>
    </row>
    <row r="233" spans="3:23" ht="17.25" hidden="1" customHeight="1">
      <c r="C233" s="10"/>
      <c r="D233" s="119"/>
      <c r="E233" s="119"/>
      <c r="F233" s="16"/>
      <c r="G233" s="16"/>
      <c r="H233" s="16"/>
      <c r="I233" s="16"/>
      <c r="J233" s="16"/>
      <c r="K233" s="16"/>
      <c r="L233" s="16"/>
      <c r="M233" s="16"/>
      <c r="N233" s="16"/>
      <c r="O233" s="16"/>
      <c r="P233" s="16"/>
      <c r="Q233" s="16"/>
      <c r="R233" s="16"/>
      <c r="S233" s="16"/>
      <c r="T233" s="16"/>
      <c r="U233" s="16"/>
      <c r="V233" s="16"/>
      <c r="W233" s="16"/>
    </row>
    <row r="234" spans="3:23" ht="17.25" hidden="1" customHeight="1">
      <c r="C234" s="10"/>
      <c r="D234" s="119"/>
      <c r="E234" s="119"/>
      <c r="F234" s="16"/>
      <c r="G234" s="16"/>
      <c r="H234" s="16"/>
      <c r="I234" s="16"/>
      <c r="J234" s="16"/>
      <c r="K234" s="16"/>
      <c r="L234" s="16"/>
      <c r="M234" s="16"/>
      <c r="N234" s="16"/>
      <c r="O234" s="16"/>
      <c r="P234" s="16"/>
      <c r="Q234" s="16"/>
      <c r="R234" s="16"/>
      <c r="S234" s="16"/>
      <c r="T234" s="16"/>
      <c r="U234" s="16"/>
      <c r="V234" s="16"/>
      <c r="W234" s="16"/>
    </row>
    <row r="235" spans="3:23" ht="17.25" hidden="1" customHeight="1">
      <c r="C235" s="10"/>
      <c r="D235" s="119"/>
      <c r="E235" s="119"/>
      <c r="F235" s="16"/>
      <c r="G235" s="16"/>
      <c r="H235" s="16"/>
      <c r="I235" s="16"/>
      <c r="J235" s="16"/>
      <c r="K235" s="16"/>
      <c r="L235" s="16"/>
      <c r="M235" s="16"/>
      <c r="N235" s="16"/>
      <c r="O235" s="16"/>
      <c r="P235" s="16"/>
      <c r="Q235" s="16"/>
      <c r="R235" s="16"/>
      <c r="S235" s="16"/>
      <c r="T235" s="16"/>
      <c r="U235" s="16"/>
      <c r="V235" s="16"/>
      <c r="W235" s="16"/>
    </row>
    <row r="236" spans="3:23" ht="17.25" hidden="1" customHeight="1">
      <c r="C236" s="10"/>
      <c r="D236" s="119"/>
      <c r="E236" s="119"/>
      <c r="F236" s="16"/>
      <c r="G236" s="16"/>
      <c r="H236" s="16"/>
      <c r="I236" s="16"/>
      <c r="J236" s="16"/>
      <c r="K236" s="16"/>
      <c r="L236" s="16"/>
      <c r="M236" s="16"/>
      <c r="N236" s="16"/>
      <c r="O236" s="16"/>
      <c r="P236" s="16"/>
      <c r="Q236" s="16"/>
      <c r="R236" s="16"/>
      <c r="S236" s="16"/>
      <c r="T236" s="16"/>
      <c r="U236" s="16"/>
      <c r="V236" s="16"/>
      <c r="W236" s="16"/>
    </row>
    <row r="237" spans="3:23" ht="17.25" hidden="1" customHeight="1">
      <c r="C237" s="10"/>
      <c r="D237" s="119"/>
      <c r="E237" s="119"/>
      <c r="F237" s="16"/>
      <c r="G237" s="16"/>
      <c r="H237" s="16"/>
      <c r="I237" s="16"/>
      <c r="J237" s="16"/>
      <c r="K237" s="16"/>
      <c r="L237" s="16"/>
      <c r="M237" s="16"/>
      <c r="N237" s="16"/>
      <c r="O237" s="16"/>
      <c r="P237" s="16"/>
      <c r="Q237" s="16"/>
      <c r="R237" s="16"/>
      <c r="S237" s="16"/>
      <c r="T237" s="16"/>
      <c r="U237" s="16"/>
      <c r="V237" s="16"/>
      <c r="W237" s="16"/>
    </row>
    <row r="238" spans="3:23" ht="17.25" hidden="1" customHeight="1">
      <c r="C238" s="10"/>
      <c r="D238" s="119"/>
      <c r="E238" s="119"/>
      <c r="F238" s="16"/>
      <c r="G238" s="16"/>
      <c r="H238" s="16"/>
      <c r="I238" s="16"/>
      <c r="J238" s="16"/>
      <c r="K238" s="16"/>
      <c r="L238" s="16"/>
      <c r="M238" s="16"/>
      <c r="N238" s="16"/>
      <c r="O238" s="16"/>
      <c r="P238" s="16"/>
      <c r="Q238" s="16"/>
      <c r="R238" s="16"/>
      <c r="S238" s="16"/>
      <c r="T238" s="16"/>
      <c r="U238" s="16"/>
      <c r="V238" s="16"/>
      <c r="W238" s="16"/>
    </row>
    <row r="239" spans="3:23" ht="17.25" hidden="1" customHeight="1">
      <c r="C239" s="10"/>
      <c r="D239" s="119"/>
      <c r="E239" s="119"/>
      <c r="F239" s="16"/>
      <c r="G239" s="16"/>
      <c r="H239" s="16"/>
      <c r="I239" s="16"/>
      <c r="J239" s="16"/>
      <c r="K239" s="16"/>
      <c r="L239" s="16"/>
      <c r="M239" s="16"/>
      <c r="N239" s="16"/>
      <c r="O239" s="16"/>
      <c r="P239" s="16"/>
      <c r="Q239" s="16"/>
      <c r="R239" s="16"/>
      <c r="S239" s="16"/>
      <c r="T239" s="16"/>
      <c r="U239" s="16"/>
      <c r="V239" s="16"/>
      <c r="W239" s="16"/>
    </row>
    <row r="240" spans="3:23" ht="17.25" hidden="1" customHeight="1">
      <c r="C240" s="10"/>
      <c r="D240" s="119"/>
      <c r="E240" s="119"/>
      <c r="F240" s="16"/>
      <c r="G240" s="16"/>
      <c r="H240" s="16"/>
      <c r="I240" s="16"/>
      <c r="J240" s="16"/>
      <c r="K240" s="16"/>
      <c r="L240" s="16"/>
      <c r="M240" s="16"/>
      <c r="N240" s="16"/>
      <c r="O240" s="16"/>
      <c r="P240" s="16"/>
      <c r="Q240" s="16"/>
      <c r="R240" s="16"/>
      <c r="S240" s="16"/>
      <c r="T240" s="16"/>
      <c r="U240" s="16"/>
      <c r="V240" s="16"/>
      <c r="W240" s="16"/>
    </row>
    <row r="241" spans="3:23" ht="17.25" hidden="1" customHeight="1">
      <c r="C241" s="10"/>
      <c r="D241" s="119"/>
      <c r="E241" s="119"/>
      <c r="F241" s="16"/>
      <c r="G241" s="16"/>
      <c r="H241" s="16"/>
      <c r="I241" s="16"/>
      <c r="J241" s="16"/>
      <c r="K241" s="16"/>
      <c r="L241" s="16"/>
      <c r="M241" s="16"/>
      <c r="N241" s="16"/>
      <c r="O241" s="16"/>
      <c r="P241" s="16"/>
      <c r="Q241" s="16"/>
      <c r="R241" s="16"/>
      <c r="S241" s="16"/>
      <c r="T241" s="16"/>
      <c r="U241" s="16"/>
      <c r="V241" s="16"/>
      <c r="W241" s="16"/>
    </row>
    <row r="242" spans="3:23" ht="17.25" hidden="1" customHeight="1">
      <c r="C242" s="10"/>
      <c r="D242" s="119"/>
      <c r="E242" s="119"/>
      <c r="F242" s="16"/>
      <c r="G242" s="16"/>
      <c r="H242" s="16"/>
      <c r="I242" s="16"/>
      <c r="J242" s="16"/>
      <c r="K242" s="16"/>
      <c r="L242" s="16"/>
      <c r="M242" s="16"/>
      <c r="N242" s="16"/>
      <c r="O242" s="16"/>
      <c r="P242" s="16"/>
      <c r="Q242" s="16"/>
      <c r="R242" s="16"/>
      <c r="S242" s="16"/>
      <c r="T242" s="16"/>
      <c r="U242" s="16"/>
      <c r="V242" s="16"/>
      <c r="W242" s="16"/>
    </row>
    <row r="243" spans="3:23" ht="17.25" hidden="1" customHeight="1">
      <c r="C243" s="10"/>
      <c r="D243" s="119"/>
      <c r="E243" s="119"/>
      <c r="F243" s="16"/>
      <c r="G243" s="16"/>
      <c r="H243" s="16"/>
      <c r="I243" s="16"/>
      <c r="J243" s="16"/>
      <c r="K243" s="16"/>
      <c r="L243" s="16"/>
      <c r="M243" s="16"/>
      <c r="N243" s="16"/>
      <c r="O243" s="16"/>
      <c r="P243" s="16"/>
      <c r="Q243" s="16"/>
      <c r="R243" s="16"/>
      <c r="S243" s="16"/>
      <c r="T243" s="16"/>
      <c r="U243" s="16"/>
      <c r="V243" s="16"/>
      <c r="W243" s="16"/>
    </row>
    <row r="244" spans="3:23" ht="17.25" hidden="1" customHeight="1">
      <c r="C244" s="10"/>
      <c r="D244" s="119"/>
      <c r="E244" s="119"/>
      <c r="F244" s="16"/>
      <c r="G244" s="16"/>
      <c r="H244" s="16"/>
      <c r="I244" s="16"/>
      <c r="J244" s="16"/>
      <c r="K244" s="16"/>
      <c r="L244" s="16"/>
      <c r="M244" s="16"/>
      <c r="N244" s="16"/>
      <c r="O244" s="16"/>
      <c r="P244" s="16"/>
      <c r="Q244" s="16"/>
      <c r="R244" s="16"/>
      <c r="S244" s="16"/>
      <c r="T244" s="16"/>
      <c r="U244" s="16"/>
      <c r="V244" s="16"/>
      <c r="W244" s="16"/>
    </row>
    <row r="245" spans="3:23" ht="17.25" hidden="1" customHeight="1">
      <c r="C245" s="10"/>
      <c r="D245" s="119"/>
      <c r="E245" s="119"/>
      <c r="F245" s="16"/>
      <c r="G245" s="16"/>
      <c r="H245" s="16"/>
      <c r="I245" s="16"/>
      <c r="J245" s="16"/>
      <c r="K245" s="16"/>
      <c r="L245" s="16"/>
      <c r="M245" s="16"/>
      <c r="N245" s="16"/>
      <c r="O245" s="16"/>
      <c r="P245" s="16"/>
      <c r="Q245" s="16"/>
      <c r="R245" s="16"/>
      <c r="S245" s="16"/>
      <c r="T245" s="16"/>
      <c r="U245" s="16"/>
      <c r="V245" s="16"/>
      <c r="W245" s="16"/>
    </row>
    <row r="246" spans="3:23" ht="17.25" hidden="1" customHeight="1">
      <c r="C246" s="10"/>
      <c r="D246" s="119"/>
      <c r="E246" s="119"/>
      <c r="F246" s="16"/>
      <c r="G246" s="16"/>
      <c r="H246" s="16"/>
      <c r="I246" s="16"/>
      <c r="J246" s="16"/>
      <c r="K246" s="16"/>
      <c r="L246" s="16"/>
      <c r="M246" s="16"/>
      <c r="N246" s="16"/>
      <c r="O246" s="16"/>
      <c r="P246" s="16"/>
      <c r="Q246" s="16"/>
      <c r="R246" s="16"/>
      <c r="S246" s="16"/>
      <c r="T246" s="16"/>
      <c r="U246" s="16"/>
      <c r="V246" s="16"/>
      <c r="W246" s="16"/>
    </row>
    <row r="247" spans="3:23" ht="17.25" hidden="1" customHeight="1">
      <c r="C247" s="10"/>
      <c r="D247" s="119"/>
      <c r="E247" s="119"/>
      <c r="F247" s="16"/>
      <c r="G247" s="16"/>
      <c r="H247" s="16"/>
      <c r="I247" s="16"/>
      <c r="J247" s="16"/>
      <c r="K247" s="16"/>
      <c r="L247" s="16"/>
      <c r="M247" s="16"/>
      <c r="N247" s="16"/>
      <c r="O247" s="16"/>
      <c r="P247" s="16"/>
      <c r="Q247" s="16"/>
      <c r="R247" s="16"/>
      <c r="S247" s="16"/>
      <c r="T247" s="16"/>
      <c r="U247" s="16"/>
      <c r="V247" s="16"/>
      <c r="W247" s="16"/>
    </row>
    <row r="248" spans="3:23" ht="17.25" hidden="1" customHeight="1">
      <c r="C248" s="10"/>
      <c r="D248" s="119"/>
      <c r="E248" s="119"/>
      <c r="F248" s="16"/>
      <c r="G248" s="16"/>
      <c r="H248" s="16"/>
      <c r="I248" s="16"/>
      <c r="J248" s="16"/>
      <c r="K248" s="16"/>
      <c r="L248" s="16"/>
      <c r="M248" s="16"/>
      <c r="N248" s="16"/>
      <c r="O248" s="16"/>
      <c r="P248" s="16"/>
      <c r="Q248" s="16"/>
      <c r="R248" s="16"/>
      <c r="S248" s="16"/>
      <c r="T248" s="16"/>
      <c r="U248" s="16"/>
      <c r="V248" s="16"/>
      <c r="W248" s="16"/>
    </row>
    <row r="249" spans="3:23" ht="17.25" hidden="1" customHeight="1">
      <c r="C249" s="10"/>
      <c r="D249" s="119"/>
      <c r="E249" s="119"/>
      <c r="F249" s="16"/>
      <c r="G249" s="16"/>
      <c r="H249" s="16"/>
      <c r="I249" s="16"/>
      <c r="J249" s="16"/>
      <c r="K249" s="16"/>
      <c r="L249" s="16"/>
      <c r="M249" s="16"/>
      <c r="N249" s="16"/>
      <c r="O249" s="16"/>
      <c r="P249" s="16"/>
      <c r="Q249" s="16"/>
      <c r="R249" s="16"/>
      <c r="S249" s="16"/>
      <c r="T249" s="16"/>
      <c r="U249" s="16"/>
      <c r="V249" s="16"/>
      <c r="W249" s="16"/>
    </row>
    <row r="250" spans="3:23" ht="17.25" hidden="1" customHeight="1">
      <c r="C250" s="10"/>
      <c r="D250" s="119"/>
      <c r="E250" s="119"/>
      <c r="F250" s="16"/>
      <c r="G250" s="16"/>
      <c r="H250" s="16"/>
      <c r="I250" s="16"/>
      <c r="J250" s="16"/>
      <c r="K250" s="16"/>
      <c r="L250" s="16"/>
      <c r="M250" s="16"/>
      <c r="N250" s="16"/>
      <c r="O250" s="16"/>
      <c r="P250" s="16"/>
      <c r="Q250" s="16"/>
      <c r="R250" s="16"/>
      <c r="S250" s="16"/>
      <c r="T250" s="16"/>
      <c r="U250" s="16"/>
      <c r="V250" s="16"/>
      <c r="W250" s="16"/>
    </row>
    <row r="251" spans="3:23" ht="17.25" hidden="1" customHeight="1">
      <c r="C251" s="10"/>
      <c r="D251" s="119"/>
      <c r="E251" s="119"/>
      <c r="F251" s="16"/>
      <c r="G251" s="16"/>
      <c r="H251" s="16"/>
      <c r="I251" s="16"/>
      <c r="J251" s="16"/>
      <c r="K251" s="16"/>
      <c r="L251" s="16"/>
      <c r="M251" s="16"/>
      <c r="N251" s="16"/>
      <c r="O251" s="16"/>
      <c r="P251" s="16"/>
      <c r="Q251" s="16"/>
      <c r="R251" s="16"/>
      <c r="S251" s="16"/>
      <c r="T251" s="16"/>
      <c r="U251" s="16"/>
      <c r="V251" s="16"/>
      <c r="W251" s="16"/>
    </row>
    <row r="252" spans="3:23" ht="17.25" hidden="1" customHeight="1">
      <c r="C252" s="10"/>
      <c r="D252" s="119"/>
      <c r="E252" s="119"/>
      <c r="F252" s="16"/>
      <c r="G252" s="16"/>
      <c r="H252" s="16"/>
      <c r="I252" s="16"/>
      <c r="J252" s="16"/>
      <c r="K252" s="16"/>
      <c r="L252" s="16"/>
      <c r="M252" s="16"/>
      <c r="N252" s="16"/>
      <c r="O252" s="16"/>
      <c r="P252" s="16"/>
      <c r="Q252" s="16"/>
      <c r="R252" s="16"/>
      <c r="S252" s="16"/>
      <c r="T252" s="16"/>
      <c r="U252" s="16"/>
      <c r="V252" s="16"/>
      <c r="W252" s="16"/>
    </row>
    <row r="253" spans="3:23" ht="17.25" hidden="1" customHeight="1">
      <c r="C253" s="10"/>
      <c r="D253" s="119"/>
      <c r="E253" s="119"/>
      <c r="F253" s="16"/>
      <c r="G253" s="16"/>
      <c r="H253" s="16"/>
      <c r="I253" s="16"/>
      <c r="J253" s="16"/>
      <c r="K253" s="16"/>
      <c r="L253" s="16"/>
      <c r="M253" s="16"/>
      <c r="N253" s="16"/>
      <c r="O253" s="16"/>
      <c r="P253" s="16"/>
      <c r="Q253" s="16"/>
      <c r="R253" s="16"/>
      <c r="S253" s="16"/>
      <c r="T253" s="16"/>
      <c r="U253" s="16"/>
      <c r="V253" s="16"/>
      <c r="W253" s="16"/>
    </row>
    <row r="254" spans="3:23" ht="17.25" hidden="1" customHeight="1">
      <c r="C254" s="10"/>
      <c r="D254" s="119"/>
      <c r="E254" s="119"/>
      <c r="F254" s="16"/>
      <c r="G254" s="16"/>
      <c r="H254" s="16"/>
      <c r="I254" s="16"/>
      <c r="J254" s="16"/>
      <c r="K254" s="16"/>
      <c r="L254" s="16"/>
      <c r="M254" s="16"/>
      <c r="N254" s="16"/>
      <c r="O254" s="16"/>
      <c r="P254" s="16"/>
      <c r="Q254" s="16"/>
      <c r="R254" s="16"/>
      <c r="S254" s="16"/>
      <c r="T254" s="16"/>
      <c r="U254" s="16"/>
      <c r="V254" s="16"/>
      <c r="W254" s="16"/>
    </row>
    <row r="255" spans="3:23" ht="17.25" hidden="1" customHeight="1">
      <c r="C255" s="10"/>
      <c r="D255" s="119"/>
      <c r="E255" s="119"/>
      <c r="F255" s="16"/>
      <c r="G255" s="16"/>
      <c r="H255" s="16"/>
      <c r="I255" s="16"/>
      <c r="J255" s="16"/>
      <c r="K255" s="16"/>
      <c r="L255" s="16"/>
      <c r="M255" s="16"/>
      <c r="N255" s="16"/>
      <c r="O255" s="16"/>
      <c r="P255" s="16"/>
      <c r="Q255" s="16"/>
      <c r="R255" s="16"/>
      <c r="S255" s="16"/>
      <c r="T255" s="16"/>
      <c r="U255" s="16"/>
      <c r="V255" s="16"/>
      <c r="W255" s="16"/>
    </row>
    <row r="256" spans="3:23" ht="17.25" hidden="1" customHeight="1">
      <c r="C256" s="10"/>
      <c r="D256" s="119"/>
      <c r="E256" s="119"/>
      <c r="F256" s="16"/>
      <c r="G256" s="16"/>
      <c r="H256" s="16"/>
      <c r="I256" s="16"/>
      <c r="J256" s="16"/>
      <c r="K256" s="16"/>
      <c r="L256" s="16"/>
      <c r="M256" s="16"/>
      <c r="N256" s="16"/>
      <c r="O256" s="16"/>
      <c r="P256" s="16"/>
      <c r="Q256" s="16"/>
      <c r="R256" s="16"/>
      <c r="S256" s="16"/>
      <c r="T256" s="16"/>
      <c r="U256" s="16"/>
      <c r="V256" s="16"/>
      <c r="W256" s="16"/>
    </row>
    <row r="257" spans="3:23" ht="17.25" hidden="1" customHeight="1">
      <c r="C257" s="10"/>
      <c r="D257" s="119"/>
      <c r="E257" s="119"/>
      <c r="F257" s="16"/>
      <c r="G257" s="16"/>
      <c r="H257" s="16"/>
      <c r="I257" s="16"/>
      <c r="J257" s="16"/>
      <c r="K257" s="16"/>
      <c r="L257" s="16"/>
      <c r="M257" s="16"/>
      <c r="N257" s="16"/>
      <c r="O257" s="16"/>
      <c r="P257" s="16"/>
      <c r="Q257" s="16"/>
      <c r="R257" s="16"/>
      <c r="S257" s="16"/>
      <c r="T257" s="16"/>
      <c r="U257" s="16"/>
      <c r="V257" s="16"/>
      <c r="W257" s="16"/>
    </row>
    <row r="258" spans="3:23" ht="17.25" hidden="1" customHeight="1">
      <c r="C258" s="10"/>
      <c r="D258" s="119"/>
      <c r="E258" s="119"/>
      <c r="F258" s="16"/>
      <c r="G258" s="16"/>
      <c r="H258" s="16"/>
      <c r="I258" s="16"/>
      <c r="J258" s="16"/>
      <c r="K258" s="16"/>
      <c r="L258" s="16"/>
      <c r="M258" s="16"/>
      <c r="N258" s="16"/>
      <c r="O258" s="16"/>
      <c r="P258" s="16"/>
      <c r="Q258" s="16"/>
      <c r="R258" s="16"/>
      <c r="S258" s="16"/>
      <c r="T258" s="16"/>
      <c r="U258" s="16"/>
      <c r="V258" s="16"/>
      <c r="W258" s="16"/>
    </row>
    <row r="259" spans="3:23" ht="17.25" hidden="1" customHeight="1">
      <c r="C259" s="10"/>
      <c r="D259" s="119"/>
      <c r="E259" s="119"/>
      <c r="F259" s="16"/>
      <c r="G259" s="16"/>
      <c r="H259" s="16"/>
      <c r="I259" s="16"/>
      <c r="J259" s="16"/>
      <c r="K259" s="16"/>
      <c r="L259" s="16"/>
      <c r="M259" s="16"/>
      <c r="N259" s="16"/>
      <c r="O259" s="16"/>
      <c r="P259" s="16"/>
      <c r="Q259" s="16"/>
      <c r="R259" s="16"/>
      <c r="S259" s="16"/>
      <c r="T259" s="16"/>
      <c r="U259" s="16"/>
      <c r="V259" s="16"/>
      <c r="W259" s="16"/>
    </row>
    <row r="260" spans="3:23" ht="17.25" hidden="1" customHeight="1">
      <c r="C260" s="10"/>
      <c r="D260" s="119"/>
      <c r="E260" s="119"/>
      <c r="F260" s="16"/>
      <c r="G260" s="16"/>
      <c r="H260" s="16"/>
      <c r="I260" s="16"/>
      <c r="J260" s="16"/>
      <c r="K260" s="16"/>
      <c r="L260" s="16"/>
      <c r="M260" s="16"/>
      <c r="N260" s="16"/>
      <c r="O260" s="16"/>
      <c r="P260" s="16"/>
      <c r="Q260" s="16"/>
      <c r="R260" s="16"/>
      <c r="S260" s="16"/>
      <c r="T260" s="16"/>
      <c r="U260" s="16"/>
      <c r="V260" s="16"/>
      <c r="W260" s="16"/>
    </row>
    <row r="261" spans="3:23" ht="17.25" hidden="1" customHeight="1">
      <c r="C261" s="10"/>
      <c r="D261" s="119"/>
      <c r="E261" s="119"/>
      <c r="F261" s="16"/>
      <c r="G261" s="16"/>
      <c r="H261" s="16"/>
      <c r="I261" s="16"/>
      <c r="J261" s="16"/>
      <c r="K261" s="16"/>
      <c r="L261" s="16"/>
      <c r="M261" s="16"/>
      <c r="N261" s="16"/>
      <c r="O261" s="16"/>
      <c r="P261" s="16"/>
      <c r="Q261" s="16"/>
      <c r="R261" s="16"/>
      <c r="S261" s="16"/>
      <c r="T261" s="16"/>
      <c r="U261" s="16"/>
      <c r="V261" s="16"/>
      <c r="W261" s="16"/>
    </row>
    <row r="262" spans="3:23" ht="17.25" hidden="1" customHeight="1">
      <c r="C262" s="10"/>
      <c r="D262" s="119"/>
      <c r="E262" s="119"/>
      <c r="F262" s="16"/>
      <c r="G262" s="16"/>
      <c r="H262" s="16"/>
      <c r="I262" s="16"/>
      <c r="J262" s="16"/>
      <c r="K262" s="16"/>
      <c r="L262" s="16"/>
      <c r="M262" s="16"/>
      <c r="N262" s="16"/>
      <c r="O262" s="16"/>
      <c r="P262" s="16"/>
      <c r="Q262" s="16"/>
      <c r="R262" s="16"/>
      <c r="S262" s="16"/>
      <c r="T262" s="16"/>
      <c r="U262" s="16"/>
      <c r="V262" s="16"/>
      <c r="W262" s="16"/>
    </row>
    <row r="263" spans="3:23" ht="17.25" hidden="1" customHeight="1">
      <c r="C263" s="10"/>
      <c r="D263" s="119"/>
      <c r="E263" s="119"/>
      <c r="F263" s="16"/>
      <c r="G263" s="16"/>
      <c r="H263" s="16"/>
      <c r="I263" s="16"/>
      <c r="J263" s="16"/>
      <c r="K263" s="16"/>
      <c r="L263" s="16"/>
      <c r="M263" s="16"/>
      <c r="N263" s="16"/>
      <c r="O263" s="16"/>
      <c r="P263" s="16"/>
      <c r="Q263" s="16"/>
      <c r="R263" s="16"/>
      <c r="S263" s="16"/>
      <c r="T263" s="16"/>
      <c r="U263" s="16"/>
      <c r="V263" s="16"/>
      <c r="W263" s="16"/>
    </row>
    <row r="264" spans="3:23" ht="17.25" hidden="1" customHeight="1">
      <c r="C264" s="10"/>
      <c r="D264" s="119"/>
      <c r="E264" s="119"/>
      <c r="F264" s="16"/>
      <c r="G264" s="16"/>
      <c r="H264" s="16"/>
      <c r="I264" s="16"/>
      <c r="J264" s="16"/>
      <c r="K264" s="16"/>
      <c r="L264" s="16"/>
      <c r="M264" s="16"/>
      <c r="N264" s="16"/>
      <c r="O264" s="16"/>
      <c r="P264" s="16"/>
      <c r="Q264" s="16"/>
      <c r="R264" s="16"/>
      <c r="S264" s="16"/>
      <c r="T264" s="16"/>
      <c r="U264" s="16"/>
      <c r="V264" s="16"/>
      <c r="W264" s="16"/>
    </row>
    <row r="265" spans="3:23" ht="17.25" hidden="1" customHeight="1">
      <c r="C265" s="10"/>
      <c r="D265" s="119"/>
      <c r="E265" s="119"/>
      <c r="F265" s="16"/>
      <c r="G265" s="16"/>
      <c r="H265" s="16"/>
      <c r="I265" s="16"/>
      <c r="J265" s="16"/>
      <c r="K265" s="16"/>
      <c r="L265" s="16"/>
      <c r="M265" s="16"/>
      <c r="N265" s="16"/>
      <c r="O265" s="16"/>
      <c r="P265" s="16"/>
      <c r="Q265" s="16"/>
      <c r="R265" s="16"/>
      <c r="S265" s="16"/>
      <c r="T265" s="16"/>
      <c r="U265" s="16"/>
      <c r="V265" s="16"/>
      <c r="W265" s="16"/>
    </row>
    <row r="266" spans="3:23" ht="17.25" hidden="1" customHeight="1">
      <c r="C266" s="10"/>
      <c r="D266" s="119"/>
      <c r="E266" s="119"/>
      <c r="F266" s="16"/>
      <c r="G266" s="16"/>
      <c r="H266" s="16"/>
      <c r="I266" s="16"/>
      <c r="J266" s="16"/>
      <c r="K266" s="16"/>
      <c r="L266" s="16"/>
      <c r="M266" s="16"/>
      <c r="N266" s="16"/>
      <c r="O266" s="16"/>
      <c r="P266" s="16"/>
      <c r="Q266" s="16"/>
      <c r="R266" s="16"/>
      <c r="S266" s="16"/>
      <c r="T266" s="16"/>
      <c r="U266" s="16"/>
      <c r="V266" s="16"/>
      <c r="W266" s="16"/>
    </row>
    <row r="267" spans="3:23" ht="17.25" hidden="1" customHeight="1">
      <c r="C267" s="10"/>
      <c r="D267" s="119"/>
      <c r="E267" s="119"/>
      <c r="F267" s="16"/>
      <c r="G267" s="16"/>
      <c r="H267" s="16"/>
      <c r="I267" s="16"/>
      <c r="J267" s="16"/>
      <c r="K267" s="16"/>
      <c r="L267" s="16"/>
      <c r="M267" s="16"/>
      <c r="N267" s="16"/>
      <c r="O267" s="16"/>
      <c r="P267" s="16"/>
      <c r="Q267" s="16"/>
      <c r="R267" s="16"/>
      <c r="S267" s="16"/>
      <c r="T267" s="16"/>
      <c r="U267" s="16"/>
      <c r="V267" s="16"/>
      <c r="W267" s="16"/>
    </row>
    <row r="268" spans="3:23" ht="17.25" hidden="1" customHeight="1">
      <c r="C268" s="10"/>
      <c r="D268" s="119"/>
      <c r="E268" s="119"/>
      <c r="F268" s="16"/>
      <c r="G268" s="16"/>
      <c r="H268" s="16"/>
      <c r="I268" s="16"/>
      <c r="J268" s="16"/>
      <c r="K268" s="16"/>
      <c r="L268" s="16"/>
      <c r="M268" s="16"/>
      <c r="N268" s="16"/>
      <c r="O268" s="16"/>
      <c r="P268" s="16"/>
      <c r="Q268" s="16"/>
      <c r="R268" s="16"/>
      <c r="S268" s="16"/>
      <c r="T268" s="16"/>
      <c r="U268" s="16"/>
      <c r="V268" s="16"/>
      <c r="W268" s="16"/>
    </row>
    <row r="269" spans="3:23" ht="17.25" hidden="1" customHeight="1">
      <c r="C269" s="10"/>
      <c r="D269" s="119"/>
      <c r="E269" s="119"/>
      <c r="F269" s="16"/>
      <c r="G269" s="16"/>
      <c r="H269" s="16"/>
      <c r="I269" s="16"/>
      <c r="J269" s="16"/>
      <c r="K269" s="16"/>
      <c r="L269" s="16"/>
      <c r="M269" s="16"/>
      <c r="N269" s="16"/>
      <c r="O269" s="16"/>
      <c r="P269" s="16"/>
      <c r="Q269" s="16"/>
      <c r="R269" s="16"/>
      <c r="S269" s="16"/>
      <c r="T269" s="16"/>
      <c r="U269" s="16"/>
      <c r="V269" s="16"/>
      <c r="W269" s="16"/>
    </row>
    <row r="270" spans="3:23" ht="17.25" hidden="1" customHeight="1">
      <c r="C270" s="10"/>
      <c r="D270" s="119"/>
      <c r="E270" s="119"/>
      <c r="F270" s="16"/>
      <c r="G270" s="16"/>
      <c r="H270" s="16"/>
      <c r="I270" s="16"/>
      <c r="J270" s="16"/>
      <c r="K270" s="16"/>
      <c r="L270" s="16"/>
      <c r="M270" s="16"/>
      <c r="N270" s="16"/>
      <c r="O270" s="16"/>
      <c r="P270" s="16"/>
      <c r="Q270" s="16"/>
      <c r="R270" s="16"/>
      <c r="S270" s="16"/>
      <c r="T270" s="16"/>
      <c r="U270" s="16"/>
      <c r="V270" s="16"/>
      <c r="W270" s="16"/>
    </row>
    <row r="271" spans="3:23" ht="17.25" hidden="1" customHeight="1">
      <c r="C271" s="10"/>
      <c r="D271" s="119"/>
      <c r="E271" s="119"/>
      <c r="F271" s="117"/>
      <c r="G271" s="117"/>
      <c r="H271" s="117"/>
      <c r="I271" s="117"/>
      <c r="J271" s="117"/>
      <c r="K271" s="117"/>
      <c r="L271" s="117"/>
      <c r="M271" s="117"/>
      <c r="N271" s="117"/>
      <c r="O271" s="117"/>
      <c r="P271" s="117"/>
      <c r="Q271" s="117"/>
      <c r="R271" s="117"/>
      <c r="S271" s="117"/>
      <c r="T271" s="117"/>
      <c r="U271" s="117"/>
      <c r="V271" s="117"/>
      <c r="W271" s="117"/>
    </row>
    <row r="272" spans="3:23" ht="17.25" hidden="1" customHeight="1">
      <c r="C272" s="10"/>
      <c r="D272" s="120"/>
      <c r="E272" s="119"/>
    </row>
    <row r="273" spans="3:23" ht="17.25" hidden="1" customHeight="1">
      <c r="C273" s="10"/>
      <c r="D273" s="119"/>
      <c r="E273" s="119"/>
      <c r="F273" s="16"/>
      <c r="G273" s="16"/>
      <c r="H273" s="16"/>
      <c r="I273" s="16"/>
      <c r="J273" s="16"/>
      <c r="K273" s="16"/>
      <c r="L273" s="16"/>
      <c r="M273" s="16"/>
      <c r="N273" s="16"/>
      <c r="O273" s="16"/>
      <c r="P273" s="16"/>
      <c r="Q273" s="16"/>
      <c r="R273" s="16"/>
      <c r="S273" s="16"/>
      <c r="T273" s="16"/>
      <c r="U273" s="16"/>
      <c r="V273" s="16"/>
      <c r="W273" s="16"/>
    </row>
    <row r="274" spans="3:23" ht="17.25" hidden="1" customHeight="1">
      <c r="C274" s="10"/>
      <c r="D274" s="119"/>
      <c r="E274" s="119"/>
      <c r="F274" s="16"/>
      <c r="G274" s="16"/>
      <c r="H274" s="16"/>
      <c r="I274" s="16"/>
      <c r="J274" s="16"/>
      <c r="K274" s="16"/>
      <c r="L274" s="16"/>
      <c r="M274" s="16"/>
      <c r="N274" s="16"/>
      <c r="O274" s="16"/>
      <c r="P274" s="16"/>
      <c r="Q274" s="16"/>
      <c r="R274" s="16"/>
      <c r="S274" s="16"/>
      <c r="T274" s="16"/>
      <c r="U274" s="16"/>
      <c r="V274" s="16"/>
      <c r="W274" s="16"/>
    </row>
    <row r="275" spans="3:23" ht="17.25" hidden="1" customHeight="1">
      <c r="C275" s="10"/>
      <c r="D275" s="119"/>
      <c r="E275" s="119"/>
      <c r="F275" s="16"/>
      <c r="G275" s="16"/>
      <c r="H275" s="16"/>
      <c r="I275" s="16"/>
      <c r="J275" s="16"/>
      <c r="K275" s="16"/>
      <c r="L275" s="16"/>
      <c r="M275" s="16"/>
      <c r="N275" s="16"/>
      <c r="O275" s="16"/>
      <c r="P275" s="16"/>
      <c r="Q275" s="16"/>
      <c r="R275" s="16"/>
      <c r="S275" s="16"/>
      <c r="T275" s="16"/>
      <c r="U275" s="16"/>
      <c r="V275" s="16"/>
      <c r="W275" s="16"/>
    </row>
    <row r="276" spans="3:23" ht="17.25" hidden="1" customHeight="1">
      <c r="C276" s="10"/>
      <c r="D276" s="119"/>
      <c r="E276" s="119"/>
      <c r="F276" s="16"/>
      <c r="G276" s="16"/>
      <c r="H276" s="16"/>
      <c r="I276" s="16"/>
      <c r="J276" s="16"/>
      <c r="K276" s="16"/>
      <c r="L276" s="16"/>
      <c r="M276" s="16"/>
      <c r="N276" s="16"/>
      <c r="O276" s="16"/>
      <c r="P276" s="16"/>
      <c r="Q276" s="16"/>
      <c r="R276" s="16"/>
      <c r="S276" s="16"/>
      <c r="T276" s="16"/>
      <c r="U276" s="16"/>
      <c r="V276" s="16"/>
      <c r="W276" s="16"/>
    </row>
    <row r="277" spans="3:23" ht="17.25" hidden="1" customHeight="1">
      <c r="C277" s="10"/>
      <c r="D277" s="119"/>
      <c r="E277" s="119"/>
      <c r="F277" s="16"/>
      <c r="G277" s="16"/>
      <c r="H277" s="16"/>
      <c r="I277" s="16"/>
      <c r="J277" s="16"/>
      <c r="K277" s="16"/>
      <c r="L277" s="16"/>
      <c r="M277" s="16"/>
      <c r="N277" s="16"/>
      <c r="O277" s="16"/>
      <c r="P277" s="16"/>
      <c r="Q277" s="16"/>
      <c r="R277" s="16"/>
      <c r="S277" s="16"/>
      <c r="T277" s="16"/>
      <c r="U277" s="16"/>
      <c r="V277" s="16"/>
      <c r="W277" s="16"/>
    </row>
    <row r="278" spans="3:23" ht="17.25" hidden="1" customHeight="1">
      <c r="C278" s="10"/>
      <c r="D278" s="119"/>
      <c r="E278" s="119"/>
      <c r="F278" s="16"/>
      <c r="G278" s="16"/>
      <c r="H278" s="16"/>
      <c r="I278" s="16"/>
      <c r="J278" s="16"/>
      <c r="K278" s="16"/>
      <c r="L278" s="16"/>
      <c r="M278" s="16"/>
      <c r="N278" s="16"/>
      <c r="O278" s="16"/>
      <c r="P278" s="16"/>
      <c r="Q278" s="16"/>
      <c r="R278" s="16"/>
      <c r="S278" s="16"/>
      <c r="T278" s="16"/>
      <c r="U278" s="16"/>
      <c r="V278" s="16"/>
      <c r="W278" s="16"/>
    </row>
    <row r="279" spans="3:23" ht="17.25" hidden="1" customHeight="1">
      <c r="C279" s="10"/>
      <c r="D279" s="119"/>
      <c r="E279" s="119"/>
      <c r="F279" s="16"/>
      <c r="G279" s="16"/>
      <c r="H279" s="16"/>
      <c r="I279" s="16"/>
      <c r="J279" s="16"/>
      <c r="K279" s="16"/>
      <c r="L279" s="16"/>
      <c r="M279" s="16"/>
      <c r="N279" s="16"/>
      <c r="O279" s="16"/>
      <c r="P279" s="16"/>
      <c r="Q279" s="16"/>
      <c r="R279" s="16"/>
      <c r="S279" s="16"/>
      <c r="T279" s="16"/>
      <c r="U279" s="16"/>
      <c r="V279" s="16"/>
      <c r="W279" s="16"/>
    </row>
    <row r="280" spans="3:23" ht="17.25" hidden="1" customHeight="1">
      <c r="C280" s="10"/>
      <c r="D280" s="119"/>
      <c r="E280" s="119"/>
      <c r="F280" s="16"/>
      <c r="G280" s="16"/>
      <c r="H280" s="16"/>
      <c r="I280" s="16"/>
      <c r="J280" s="16"/>
      <c r="K280" s="16"/>
      <c r="L280" s="16"/>
      <c r="M280" s="16"/>
      <c r="N280" s="16"/>
      <c r="O280" s="16"/>
      <c r="P280" s="16"/>
      <c r="Q280" s="16"/>
      <c r="R280" s="16"/>
      <c r="S280" s="16"/>
      <c r="T280" s="16"/>
      <c r="U280" s="16"/>
      <c r="V280" s="16"/>
      <c r="W280" s="16"/>
    </row>
    <row r="281" spans="3:23" ht="17.25" hidden="1" customHeight="1">
      <c r="C281" s="10"/>
      <c r="D281" s="119"/>
      <c r="E281" s="119"/>
      <c r="F281" s="16"/>
      <c r="G281" s="16"/>
      <c r="H281" s="16"/>
      <c r="I281" s="16"/>
      <c r="J281" s="16"/>
      <c r="K281" s="16"/>
      <c r="L281" s="16"/>
      <c r="M281" s="16"/>
      <c r="N281" s="16"/>
      <c r="O281" s="16"/>
      <c r="P281" s="16"/>
      <c r="Q281" s="16"/>
      <c r="R281" s="16"/>
      <c r="S281" s="16"/>
      <c r="T281" s="16"/>
      <c r="U281" s="16"/>
      <c r="V281" s="16"/>
      <c r="W281" s="16"/>
    </row>
    <row r="282" spans="3:23" ht="17.25" hidden="1" customHeight="1">
      <c r="C282" s="10"/>
      <c r="D282" s="119"/>
      <c r="E282" s="119"/>
      <c r="F282" s="16"/>
      <c r="G282" s="16"/>
      <c r="H282" s="16"/>
      <c r="I282" s="16"/>
      <c r="J282" s="16"/>
      <c r="K282" s="16"/>
      <c r="L282" s="16"/>
      <c r="M282" s="16"/>
      <c r="N282" s="16"/>
      <c r="O282" s="16"/>
      <c r="P282" s="16"/>
      <c r="Q282" s="16"/>
      <c r="R282" s="16"/>
      <c r="S282" s="16"/>
      <c r="T282" s="16"/>
      <c r="U282" s="16"/>
      <c r="V282" s="16"/>
      <c r="W282" s="16"/>
    </row>
    <row r="283" spans="3:23" ht="17.25" hidden="1" customHeight="1">
      <c r="C283" s="10"/>
      <c r="D283" s="119"/>
      <c r="E283" s="119"/>
      <c r="F283" s="16"/>
      <c r="G283" s="16"/>
      <c r="H283" s="16"/>
      <c r="I283" s="16"/>
      <c r="J283" s="16"/>
      <c r="K283" s="16"/>
      <c r="L283" s="16"/>
      <c r="M283" s="16"/>
      <c r="N283" s="16"/>
      <c r="O283" s="16"/>
      <c r="P283" s="16"/>
      <c r="Q283" s="16"/>
      <c r="R283" s="16"/>
      <c r="S283" s="16"/>
      <c r="T283" s="16"/>
      <c r="U283" s="16"/>
      <c r="V283" s="16"/>
      <c r="W283" s="16"/>
    </row>
    <row r="284" spans="3:23" ht="17.25" hidden="1" customHeight="1">
      <c r="C284" s="10"/>
      <c r="D284" s="119"/>
      <c r="E284" s="119"/>
      <c r="F284" s="16"/>
      <c r="G284" s="16"/>
      <c r="H284" s="16"/>
      <c r="I284" s="16"/>
      <c r="J284" s="16"/>
      <c r="K284" s="16"/>
      <c r="L284" s="16"/>
      <c r="M284" s="16"/>
      <c r="N284" s="16"/>
      <c r="O284" s="16"/>
      <c r="P284" s="16"/>
      <c r="Q284" s="16"/>
      <c r="R284" s="16"/>
      <c r="S284" s="16"/>
      <c r="T284" s="16"/>
      <c r="U284" s="16"/>
      <c r="V284" s="16"/>
      <c r="W284" s="16"/>
    </row>
    <row r="285" spans="3:23" ht="17.25" hidden="1" customHeight="1">
      <c r="C285" s="10"/>
      <c r="D285" s="119"/>
      <c r="E285" s="119"/>
      <c r="F285" s="16"/>
      <c r="G285" s="16"/>
      <c r="H285" s="16"/>
      <c r="I285" s="16"/>
      <c r="J285" s="16"/>
      <c r="K285" s="16"/>
      <c r="L285" s="16"/>
      <c r="M285" s="16"/>
      <c r="N285" s="16"/>
      <c r="O285" s="16"/>
      <c r="P285" s="16"/>
      <c r="Q285" s="16"/>
      <c r="R285" s="16"/>
      <c r="S285" s="16"/>
      <c r="T285" s="16"/>
      <c r="U285" s="16"/>
      <c r="V285" s="16"/>
      <c r="W285" s="16"/>
    </row>
    <row r="286" spans="3:23" ht="17.25" hidden="1" customHeight="1">
      <c r="C286" s="10"/>
      <c r="D286" s="119"/>
      <c r="E286" s="119"/>
      <c r="F286" s="16"/>
      <c r="G286" s="16"/>
      <c r="H286" s="16"/>
      <c r="I286" s="16"/>
      <c r="J286" s="16"/>
      <c r="K286" s="16"/>
      <c r="L286" s="16"/>
      <c r="M286" s="16"/>
      <c r="N286" s="16"/>
      <c r="O286" s="16"/>
      <c r="P286" s="16"/>
      <c r="Q286" s="16"/>
      <c r="R286" s="16"/>
      <c r="S286" s="16"/>
      <c r="T286" s="16"/>
      <c r="U286" s="16"/>
      <c r="V286" s="16"/>
      <c r="W286" s="16"/>
    </row>
    <row r="287" spans="3:23" ht="17.25" hidden="1" customHeight="1">
      <c r="C287" s="10"/>
      <c r="D287" s="119"/>
      <c r="E287" s="119"/>
      <c r="F287" s="16"/>
      <c r="G287" s="16"/>
      <c r="H287" s="16"/>
      <c r="I287" s="16"/>
      <c r="J287" s="16"/>
      <c r="K287" s="16"/>
      <c r="L287" s="16"/>
      <c r="M287" s="16"/>
      <c r="N287" s="16"/>
      <c r="O287" s="16"/>
      <c r="P287" s="16"/>
      <c r="Q287" s="16"/>
      <c r="R287" s="16"/>
      <c r="S287" s="16"/>
      <c r="T287" s="16"/>
      <c r="U287" s="16"/>
      <c r="V287" s="16"/>
      <c r="W287" s="16"/>
    </row>
    <row r="288" spans="3:23" ht="17.25" hidden="1" customHeight="1">
      <c r="C288" s="10"/>
      <c r="D288" s="119"/>
      <c r="E288" s="119"/>
      <c r="F288" s="16"/>
      <c r="G288" s="16"/>
      <c r="H288" s="16"/>
      <c r="I288" s="16"/>
      <c r="J288" s="16"/>
      <c r="K288" s="16"/>
      <c r="L288" s="16"/>
      <c r="M288" s="16"/>
      <c r="N288" s="16"/>
      <c r="O288" s="16"/>
      <c r="P288" s="16"/>
      <c r="Q288" s="16"/>
      <c r="R288" s="16"/>
      <c r="S288" s="16"/>
      <c r="T288" s="16"/>
      <c r="U288" s="16"/>
      <c r="V288" s="16"/>
      <c r="W288" s="16"/>
    </row>
    <row r="289" spans="3:23" ht="17.25" hidden="1" customHeight="1">
      <c r="C289" s="10"/>
      <c r="D289" s="119"/>
      <c r="E289" s="119"/>
      <c r="F289" s="16"/>
      <c r="G289" s="16"/>
      <c r="H289" s="16"/>
      <c r="I289" s="16"/>
      <c r="J289" s="16"/>
      <c r="K289" s="16"/>
      <c r="L289" s="16"/>
      <c r="M289" s="16"/>
      <c r="N289" s="16"/>
      <c r="O289" s="16"/>
      <c r="P289" s="16"/>
      <c r="Q289" s="16"/>
      <c r="R289" s="16"/>
      <c r="S289" s="16"/>
      <c r="T289" s="16"/>
      <c r="U289" s="16"/>
      <c r="V289" s="16"/>
      <c r="W289" s="16"/>
    </row>
    <row r="290" spans="3:23" ht="17.25" hidden="1" customHeight="1">
      <c r="C290" s="10"/>
      <c r="D290" s="119"/>
      <c r="E290" s="119"/>
      <c r="F290" s="16"/>
      <c r="G290" s="16"/>
      <c r="H290" s="16"/>
      <c r="I290" s="16"/>
      <c r="J290" s="16"/>
      <c r="K290" s="16"/>
      <c r="L290" s="16"/>
      <c r="M290" s="16"/>
      <c r="N290" s="16"/>
      <c r="O290" s="16"/>
      <c r="P290" s="16"/>
      <c r="Q290" s="16"/>
      <c r="R290" s="16"/>
      <c r="S290" s="16"/>
      <c r="T290" s="16"/>
      <c r="U290" s="16"/>
      <c r="V290" s="16"/>
      <c r="W290" s="16"/>
    </row>
    <row r="291" spans="3:23" ht="17.25" hidden="1" customHeight="1">
      <c r="C291" s="10"/>
      <c r="D291" s="119"/>
      <c r="E291" s="119"/>
      <c r="F291" s="16"/>
      <c r="G291" s="16"/>
      <c r="H291" s="16"/>
      <c r="I291" s="16"/>
      <c r="J291" s="16"/>
      <c r="K291" s="16"/>
      <c r="L291" s="16"/>
      <c r="M291" s="16"/>
      <c r="N291" s="16"/>
      <c r="O291" s="16"/>
      <c r="P291" s="16"/>
      <c r="Q291" s="16"/>
      <c r="R291" s="16"/>
      <c r="S291" s="16"/>
      <c r="T291" s="16"/>
      <c r="U291" s="16"/>
      <c r="V291" s="16"/>
      <c r="W291" s="16"/>
    </row>
    <row r="292" spans="3:23" ht="17.25" hidden="1" customHeight="1">
      <c r="C292" s="10"/>
      <c r="D292" s="119"/>
      <c r="E292" s="119"/>
      <c r="F292" s="16"/>
      <c r="G292" s="16"/>
      <c r="H292" s="16"/>
      <c r="I292" s="16"/>
      <c r="J292" s="16"/>
      <c r="K292" s="16"/>
      <c r="L292" s="16"/>
      <c r="M292" s="16"/>
      <c r="N292" s="16"/>
      <c r="O292" s="16"/>
      <c r="P292" s="16"/>
      <c r="Q292" s="16"/>
      <c r="R292" s="16"/>
      <c r="S292" s="16"/>
      <c r="T292" s="16"/>
      <c r="U292" s="16"/>
      <c r="V292" s="16"/>
      <c r="W292" s="16"/>
    </row>
    <row r="293" spans="3:23" ht="17.25" hidden="1" customHeight="1">
      <c r="C293" s="10"/>
      <c r="D293" s="119"/>
      <c r="E293" s="119"/>
      <c r="F293" s="16"/>
      <c r="G293" s="16"/>
      <c r="H293" s="16"/>
      <c r="I293" s="16"/>
      <c r="J293" s="16"/>
      <c r="K293" s="16"/>
      <c r="L293" s="16"/>
      <c r="M293" s="16"/>
      <c r="N293" s="16"/>
      <c r="O293" s="16"/>
      <c r="P293" s="16"/>
      <c r="Q293" s="16"/>
      <c r="R293" s="16"/>
      <c r="S293" s="16"/>
      <c r="T293" s="16"/>
      <c r="U293" s="16"/>
      <c r="V293" s="16"/>
      <c r="W293" s="16"/>
    </row>
    <row r="294" spans="3:23" ht="17.25" hidden="1" customHeight="1">
      <c r="C294" s="10"/>
      <c r="D294" s="119"/>
      <c r="E294" s="119"/>
      <c r="F294" s="16"/>
      <c r="G294" s="16"/>
      <c r="H294" s="16"/>
      <c r="I294" s="16"/>
      <c r="J294" s="16"/>
      <c r="K294" s="16"/>
      <c r="L294" s="16"/>
      <c r="M294" s="16"/>
      <c r="N294" s="16"/>
      <c r="O294" s="16"/>
      <c r="P294" s="16"/>
      <c r="Q294" s="16"/>
      <c r="R294" s="16"/>
      <c r="S294" s="16"/>
      <c r="T294" s="16"/>
      <c r="U294" s="16"/>
      <c r="V294" s="16"/>
      <c r="W294" s="16"/>
    </row>
    <row r="295" spans="3:23" ht="17.25" hidden="1" customHeight="1">
      <c r="C295" s="10"/>
      <c r="D295" s="119"/>
      <c r="E295" s="119"/>
      <c r="F295" s="16"/>
      <c r="G295" s="16"/>
      <c r="H295" s="16"/>
      <c r="I295" s="16"/>
      <c r="J295" s="16"/>
      <c r="K295" s="16"/>
      <c r="L295" s="16"/>
      <c r="M295" s="16"/>
      <c r="N295" s="16"/>
      <c r="O295" s="16"/>
      <c r="P295" s="16"/>
      <c r="Q295" s="16"/>
      <c r="R295" s="16"/>
      <c r="S295" s="16"/>
      <c r="T295" s="16"/>
      <c r="U295" s="16"/>
      <c r="V295" s="16"/>
      <c r="W295" s="16"/>
    </row>
    <row r="296" spans="3:23" ht="17.25" hidden="1" customHeight="1">
      <c r="C296" s="10"/>
      <c r="D296" s="119"/>
      <c r="E296" s="119"/>
      <c r="F296" s="16"/>
      <c r="G296" s="16"/>
      <c r="H296" s="16"/>
      <c r="I296" s="16"/>
      <c r="J296" s="16"/>
      <c r="K296" s="16"/>
      <c r="L296" s="16"/>
      <c r="M296" s="16"/>
      <c r="N296" s="16"/>
      <c r="O296" s="16"/>
      <c r="P296" s="16"/>
      <c r="Q296" s="16"/>
      <c r="R296" s="16"/>
      <c r="S296" s="16"/>
      <c r="T296" s="16"/>
      <c r="U296" s="16"/>
      <c r="V296" s="16"/>
      <c r="W296" s="16"/>
    </row>
    <row r="297" spans="3:23" ht="17.25" hidden="1" customHeight="1">
      <c r="C297" s="10"/>
      <c r="D297" s="119"/>
      <c r="E297" s="119"/>
      <c r="F297" s="16"/>
      <c r="G297" s="16"/>
      <c r="H297" s="16"/>
      <c r="I297" s="16"/>
      <c r="J297" s="16"/>
      <c r="K297" s="16"/>
      <c r="L297" s="16"/>
      <c r="M297" s="16"/>
      <c r="N297" s="16"/>
      <c r="O297" s="16"/>
      <c r="P297" s="16"/>
      <c r="Q297" s="16"/>
      <c r="R297" s="16"/>
      <c r="S297" s="16"/>
      <c r="T297" s="16"/>
      <c r="U297" s="16"/>
      <c r="V297" s="16"/>
      <c r="W297" s="16"/>
    </row>
    <row r="298" spans="3:23" ht="17.25" hidden="1" customHeight="1">
      <c r="C298" s="10"/>
      <c r="D298" s="119"/>
      <c r="E298" s="119"/>
      <c r="F298" s="16"/>
      <c r="G298" s="16"/>
      <c r="H298" s="16"/>
      <c r="I298" s="16"/>
      <c r="J298" s="16"/>
      <c r="K298" s="16"/>
      <c r="L298" s="16"/>
      <c r="M298" s="16"/>
      <c r="N298" s="16"/>
      <c r="O298" s="16"/>
      <c r="P298" s="16"/>
      <c r="Q298" s="16"/>
      <c r="R298" s="16"/>
      <c r="S298" s="16"/>
      <c r="T298" s="16"/>
      <c r="U298" s="16"/>
      <c r="V298" s="16"/>
      <c r="W298" s="16"/>
    </row>
    <row r="299" spans="3:23" ht="17.25" hidden="1" customHeight="1">
      <c r="C299" s="10"/>
      <c r="D299" s="119"/>
      <c r="E299" s="119"/>
      <c r="F299" s="16"/>
      <c r="G299" s="16"/>
      <c r="H299" s="16"/>
      <c r="I299" s="16"/>
      <c r="J299" s="16"/>
      <c r="K299" s="16"/>
      <c r="L299" s="16"/>
      <c r="M299" s="16"/>
      <c r="N299" s="16"/>
      <c r="O299" s="16"/>
      <c r="P299" s="16"/>
      <c r="Q299" s="16"/>
      <c r="R299" s="16"/>
      <c r="S299" s="16"/>
      <c r="T299" s="16"/>
      <c r="U299" s="16"/>
      <c r="V299" s="16"/>
      <c r="W299" s="16"/>
    </row>
    <row r="300" spans="3:23" ht="17.25" hidden="1" customHeight="1">
      <c r="C300" s="10"/>
      <c r="D300" s="119"/>
      <c r="E300" s="119"/>
      <c r="F300" s="16"/>
      <c r="G300" s="16"/>
      <c r="H300" s="16"/>
      <c r="I300" s="16"/>
      <c r="J300" s="16"/>
      <c r="K300" s="16"/>
      <c r="L300" s="16"/>
      <c r="M300" s="16"/>
      <c r="N300" s="16"/>
      <c r="O300" s="16"/>
      <c r="P300" s="16"/>
      <c r="Q300" s="16"/>
      <c r="R300" s="16"/>
      <c r="S300" s="16"/>
      <c r="T300" s="16"/>
      <c r="U300" s="16"/>
      <c r="V300" s="16"/>
      <c r="W300" s="16"/>
    </row>
    <row r="301" spans="3:23" ht="17.25" hidden="1" customHeight="1">
      <c r="C301" s="10"/>
      <c r="D301" s="119"/>
      <c r="E301" s="119"/>
      <c r="F301" s="16"/>
      <c r="G301" s="16"/>
      <c r="H301" s="16"/>
      <c r="I301" s="16"/>
      <c r="J301" s="16"/>
      <c r="K301" s="16"/>
      <c r="L301" s="16"/>
      <c r="M301" s="16"/>
      <c r="N301" s="16"/>
      <c r="O301" s="16"/>
      <c r="P301" s="16"/>
      <c r="Q301" s="16"/>
      <c r="R301" s="16"/>
      <c r="S301" s="16"/>
      <c r="T301" s="16"/>
      <c r="U301" s="16"/>
      <c r="V301" s="16"/>
      <c r="W301" s="16"/>
    </row>
    <row r="302" spans="3:23" ht="17.25" hidden="1" customHeight="1">
      <c r="C302" s="10"/>
      <c r="D302" s="119"/>
      <c r="E302" s="119"/>
      <c r="F302" s="16"/>
      <c r="G302" s="16"/>
      <c r="H302" s="16"/>
      <c r="I302" s="16"/>
      <c r="J302" s="16"/>
      <c r="K302" s="16"/>
      <c r="L302" s="16"/>
      <c r="M302" s="16"/>
      <c r="N302" s="16"/>
      <c r="O302" s="16"/>
      <c r="P302" s="16"/>
      <c r="Q302" s="16"/>
      <c r="R302" s="16"/>
      <c r="S302" s="16"/>
      <c r="T302" s="16"/>
      <c r="U302" s="16"/>
      <c r="V302" s="16"/>
      <c r="W302" s="16"/>
    </row>
    <row r="303" spans="3:23" ht="17.25" hidden="1" customHeight="1">
      <c r="C303" s="10"/>
      <c r="D303" s="119"/>
      <c r="E303" s="119"/>
      <c r="F303" s="16"/>
      <c r="G303" s="16"/>
      <c r="H303" s="16"/>
      <c r="I303" s="16"/>
      <c r="J303" s="16"/>
      <c r="K303" s="16"/>
      <c r="L303" s="16"/>
      <c r="M303" s="16"/>
      <c r="N303" s="16"/>
      <c r="O303" s="16"/>
      <c r="P303" s="16"/>
      <c r="Q303" s="16"/>
      <c r="R303" s="16"/>
      <c r="S303" s="16"/>
      <c r="T303" s="16"/>
      <c r="U303" s="16"/>
      <c r="V303" s="16"/>
      <c r="W303" s="16"/>
    </row>
    <row r="304" spans="3:23" ht="17.25" hidden="1" customHeight="1">
      <c r="C304" s="10"/>
      <c r="D304" s="119"/>
      <c r="E304" s="119"/>
      <c r="F304" s="16"/>
      <c r="G304" s="16"/>
      <c r="H304" s="16"/>
      <c r="I304" s="16"/>
      <c r="J304" s="16"/>
      <c r="K304" s="16"/>
      <c r="L304" s="16"/>
      <c r="M304" s="16"/>
      <c r="N304" s="16"/>
      <c r="O304" s="16"/>
      <c r="P304" s="16"/>
      <c r="Q304" s="16"/>
      <c r="R304" s="16"/>
      <c r="S304" s="16"/>
      <c r="T304" s="16"/>
      <c r="U304" s="16"/>
      <c r="V304" s="16"/>
      <c r="W304" s="16"/>
    </row>
    <row r="305" spans="3:23" ht="17.25" hidden="1" customHeight="1">
      <c r="C305" s="10"/>
      <c r="D305" s="119"/>
      <c r="E305" s="119"/>
      <c r="F305" s="16"/>
      <c r="G305" s="16"/>
      <c r="H305" s="16"/>
      <c r="I305" s="16"/>
      <c r="J305" s="16"/>
      <c r="K305" s="16"/>
      <c r="L305" s="16"/>
      <c r="M305" s="16"/>
      <c r="N305" s="16"/>
      <c r="O305" s="16"/>
      <c r="P305" s="16"/>
      <c r="Q305" s="16"/>
      <c r="R305" s="16"/>
      <c r="S305" s="16"/>
      <c r="T305" s="16"/>
      <c r="U305" s="16"/>
      <c r="V305" s="16"/>
      <c r="W305" s="16"/>
    </row>
    <row r="306" spans="3:23" ht="17.25" hidden="1" customHeight="1">
      <c r="C306" s="10"/>
      <c r="D306" s="119"/>
      <c r="E306" s="119"/>
      <c r="F306" s="16"/>
      <c r="G306" s="16"/>
      <c r="H306" s="16"/>
      <c r="I306" s="16"/>
      <c r="J306" s="16"/>
      <c r="K306" s="16"/>
      <c r="L306" s="16"/>
      <c r="M306" s="16"/>
      <c r="N306" s="16"/>
      <c r="O306" s="16"/>
      <c r="P306" s="16"/>
      <c r="Q306" s="16"/>
      <c r="R306" s="16"/>
      <c r="S306" s="16"/>
      <c r="T306" s="16"/>
      <c r="U306" s="16"/>
      <c r="V306" s="16"/>
      <c r="W306" s="16"/>
    </row>
    <row r="307" spans="3:23" ht="17.25" hidden="1" customHeight="1">
      <c r="C307" s="10"/>
      <c r="D307" s="119"/>
      <c r="E307" s="119"/>
      <c r="F307" s="16"/>
      <c r="G307" s="16"/>
      <c r="H307" s="16"/>
      <c r="I307" s="16"/>
      <c r="J307" s="16"/>
      <c r="K307" s="16"/>
      <c r="L307" s="16"/>
      <c r="M307" s="16"/>
      <c r="N307" s="16"/>
      <c r="O307" s="16"/>
      <c r="P307" s="16"/>
      <c r="Q307" s="16"/>
      <c r="R307" s="16"/>
      <c r="S307" s="16"/>
      <c r="T307" s="16"/>
      <c r="U307" s="16"/>
      <c r="V307" s="16"/>
      <c r="W307" s="16"/>
    </row>
    <row r="308" spans="3:23" ht="17.25" hidden="1" customHeight="1">
      <c r="C308" s="10"/>
      <c r="D308" s="119"/>
      <c r="E308" s="119"/>
      <c r="F308" s="16"/>
      <c r="G308" s="16"/>
      <c r="H308" s="16"/>
      <c r="I308" s="16"/>
      <c r="J308" s="16"/>
      <c r="K308" s="16"/>
      <c r="L308" s="16"/>
      <c r="M308" s="16"/>
      <c r="N308" s="16"/>
      <c r="O308" s="16"/>
      <c r="P308" s="16"/>
      <c r="Q308" s="16"/>
      <c r="R308" s="16"/>
      <c r="S308" s="16"/>
      <c r="T308" s="16"/>
      <c r="U308" s="16"/>
      <c r="V308" s="16"/>
      <c r="W308" s="16"/>
    </row>
    <row r="309" spans="3:23" ht="17.25" hidden="1" customHeight="1">
      <c r="C309" s="10"/>
      <c r="D309" s="119"/>
      <c r="E309" s="119"/>
      <c r="F309" s="16"/>
      <c r="G309" s="16"/>
      <c r="H309" s="16"/>
      <c r="I309" s="16"/>
      <c r="J309" s="16"/>
      <c r="K309" s="16"/>
      <c r="L309" s="16"/>
      <c r="M309" s="16"/>
      <c r="N309" s="16"/>
      <c r="O309" s="16"/>
      <c r="P309" s="16"/>
      <c r="Q309" s="16"/>
      <c r="R309" s="16"/>
      <c r="S309" s="16"/>
      <c r="T309" s="16"/>
      <c r="U309" s="16"/>
      <c r="V309" s="16"/>
      <c r="W309" s="16"/>
    </row>
    <row r="310" spans="3:23" ht="17.25" hidden="1" customHeight="1">
      <c r="C310" s="10"/>
      <c r="D310" s="119"/>
      <c r="E310" s="119"/>
      <c r="F310" s="16"/>
      <c r="G310" s="16"/>
      <c r="H310" s="16"/>
      <c r="I310" s="16"/>
      <c r="J310" s="16"/>
      <c r="K310" s="16"/>
      <c r="L310" s="16"/>
      <c r="M310" s="16"/>
      <c r="N310" s="16"/>
      <c r="O310" s="16"/>
      <c r="P310" s="16"/>
      <c r="Q310" s="16"/>
      <c r="R310" s="16"/>
      <c r="S310" s="16"/>
      <c r="T310" s="16"/>
      <c r="U310" s="16"/>
      <c r="V310" s="16"/>
      <c r="W310" s="16"/>
    </row>
    <row r="311" spans="3:23" ht="17.25" hidden="1" customHeight="1">
      <c r="C311" s="10"/>
      <c r="D311" s="119"/>
      <c r="E311" s="119"/>
      <c r="F311" s="16"/>
      <c r="G311" s="16"/>
      <c r="H311" s="16"/>
      <c r="I311" s="16"/>
      <c r="J311" s="16"/>
      <c r="K311" s="16"/>
      <c r="L311" s="16"/>
      <c r="M311" s="16"/>
      <c r="N311" s="16"/>
      <c r="O311" s="16"/>
      <c r="P311" s="16"/>
      <c r="Q311" s="16"/>
      <c r="R311" s="16"/>
      <c r="S311" s="16"/>
      <c r="T311" s="16"/>
      <c r="U311" s="16"/>
      <c r="V311" s="16"/>
      <c r="W311" s="16"/>
    </row>
    <row r="312" spans="3:23" ht="17.25" hidden="1" customHeight="1">
      <c r="C312" s="10"/>
      <c r="D312" s="119"/>
      <c r="E312" s="119"/>
      <c r="F312" s="16"/>
      <c r="G312" s="16"/>
      <c r="H312" s="16"/>
      <c r="I312" s="16"/>
      <c r="J312" s="16"/>
      <c r="K312" s="16"/>
      <c r="L312" s="16"/>
      <c r="M312" s="16"/>
      <c r="N312" s="16"/>
      <c r="O312" s="16"/>
      <c r="P312" s="16"/>
      <c r="Q312" s="16"/>
      <c r="R312" s="16"/>
      <c r="S312" s="16"/>
      <c r="T312" s="16"/>
      <c r="U312" s="16"/>
      <c r="V312" s="16"/>
      <c r="W312" s="16"/>
    </row>
    <row r="313" spans="3:23" ht="17.25" hidden="1" customHeight="1">
      <c r="C313" s="10"/>
      <c r="D313" s="119"/>
      <c r="E313" s="119"/>
      <c r="F313" s="16"/>
      <c r="G313" s="16"/>
      <c r="H313" s="16"/>
      <c r="I313" s="16"/>
      <c r="J313" s="16"/>
      <c r="K313" s="16"/>
      <c r="L313" s="16"/>
      <c r="M313" s="16"/>
      <c r="N313" s="16"/>
      <c r="O313" s="16"/>
      <c r="P313" s="16"/>
      <c r="Q313" s="16"/>
      <c r="R313" s="16"/>
      <c r="S313" s="16"/>
      <c r="T313" s="16"/>
      <c r="U313" s="16"/>
      <c r="V313" s="16"/>
      <c r="W313" s="16"/>
    </row>
    <row r="314" spans="3:23" ht="17.25" hidden="1" customHeight="1">
      <c r="C314" s="10"/>
      <c r="D314" s="119"/>
      <c r="E314" s="119"/>
      <c r="F314" s="16"/>
      <c r="G314" s="16"/>
      <c r="H314" s="16"/>
      <c r="I314" s="16"/>
      <c r="J314" s="16"/>
      <c r="K314" s="16"/>
      <c r="L314" s="16"/>
      <c r="M314" s="16"/>
      <c r="N314" s="16"/>
      <c r="O314" s="16"/>
      <c r="P314" s="16"/>
      <c r="Q314" s="16"/>
      <c r="R314" s="16"/>
      <c r="S314" s="16"/>
      <c r="T314" s="16"/>
      <c r="U314" s="16"/>
      <c r="V314" s="16"/>
      <c r="W314" s="16"/>
    </row>
    <row r="315" spans="3:23" ht="17.25" hidden="1" customHeight="1">
      <c r="C315" s="10"/>
      <c r="D315" s="119"/>
      <c r="E315" s="119"/>
      <c r="F315" s="16"/>
      <c r="G315" s="16"/>
      <c r="H315" s="16"/>
      <c r="I315" s="16"/>
      <c r="J315" s="16"/>
      <c r="K315" s="16"/>
      <c r="L315" s="16"/>
      <c r="M315" s="16"/>
      <c r="N315" s="16"/>
      <c r="O315" s="16"/>
      <c r="P315" s="16"/>
      <c r="Q315" s="16"/>
      <c r="R315" s="16"/>
      <c r="S315" s="16"/>
      <c r="T315" s="16"/>
      <c r="U315" s="16"/>
      <c r="V315" s="16"/>
      <c r="W315" s="16"/>
    </row>
    <row r="316" spans="3:23" ht="17.25" hidden="1" customHeight="1">
      <c r="C316" s="10"/>
      <c r="D316" s="119"/>
      <c r="E316" s="119"/>
      <c r="F316" s="16"/>
      <c r="G316" s="16"/>
      <c r="H316" s="16"/>
      <c r="I316" s="16"/>
      <c r="J316" s="16"/>
      <c r="K316" s="16"/>
      <c r="L316" s="16"/>
      <c r="M316" s="16"/>
      <c r="N316" s="16"/>
      <c r="O316" s="16"/>
      <c r="P316" s="16"/>
      <c r="Q316" s="16"/>
      <c r="R316" s="16"/>
      <c r="S316" s="16"/>
      <c r="T316" s="16"/>
      <c r="U316" s="16"/>
      <c r="V316" s="16"/>
      <c r="W316" s="16"/>
    </row>
    <row r="317" spans="3:23" ht="17.25" hidden="1" customHeight="1">
      <c r="C317" s="10"/>
      <c r="D317" s="119"/>
      <c r="E317" s="119"/>
      <c r="F317" s="16"/>
      <c r="G317" s="16"/>
      <c r="H317" s="16"/>
      <c r="I317" s="16"/>
      <c r="J317" s="16"/>
      <c r="K317" s="16"/>
      <c r="L317" s="16"/>
      <c r="M317" s="16"/>
      <c r="N317" s="16"/>
      <c r="O317" s="16"/>
      <c r="P317" s="16"/>
      <c r="Q317" s="16"/>
      <c r="R317" s="16"/>
      <c r="S317" s="16"/>
      <c r="T317" s="16"/>
      <c r="U317" s="16"/>
      <c r="V317" s="16"/>
      <c r="W317" s="16"/>
    </row>
    <row r="318" spans="3:23" ht="17.25" hidden="1" customHeight="1">
      <c r="C318" s="10"/>
      <c r="D318" s="119"/>
      <c r="E318" s="119"/>
      <c r="F318" s="16"/>
      <c r="G318" s="16"/>
      <c r="H318" s="16"/>
      <c r="I318" s="16"/>
      <c r="J318" s="16"/>
      <c r="K318" s="16"/>
      <c r="L318" s="16"/>
      <c r="M318" s="16"/>
      <c r="N318" s="16"/>
      <c r="O318" s="16"/>
      <c r="P318" s="16"/>
      <c r="Q318" s="16"/>
      <c r="R318" s="16"/>
      <c r="S318" s="16"/>
      <c r="T318" s="16"/>
      <c r="U318" s="16"/>
      <c r="V318" s="16"/>
      <c r="W318" s="16"/>
    </row>
    <row r="319" spans="3:23" ht="17.25" hidden="1" customHeight="1">
      <c r="C319" s="10"/>
      <c r="D319" s="119"/>
      <c r="E319" s="119"/>
      <c r="F319" s="16"/>
      <c r="G319" s="16"/>
      <c r="H319" s="16"/>
      <c r="I319" s="16"/>
      <c r="J319" s="16"/>
      <c r="K319" s="16"/>
      <c r="L319" s="16"/>
      <c r="M319" s="16"/>
      <c r="N319" s="16"/>
      <c r="O319" s="16"/>
      <c r="P319" s="16"/>
      <c r="Q319" s="16"/>
      <c r="R319" s="16"/>
      <c r="S319" s="16"/>
      <c r="T319" s="16"/>
      <c r="U319" s="16"/>
      <c r="V319" s="16"/>
      <c r="W319" s="16"/>
    </row>
    <row r="320" spans="3:23" ht="17.25" hidden="1" customHeight="1">
      <c r="C320" s="10"/>
      <c r="D320" s="119"/>
      <c r="E320" s="119"/>
      <c r="F320" s="16"/>
      <c r="G320" s="16"/>
      <c r="H320" s="16"/>
      <c r="I320" s="16"/>
      <c r="J320" s="16"/>
      <c r="K320" s="16"/>
      <c r="L320" s="16"/>
      <c r="M320" s="16"/>
      <c r="N320" s="16"/>
      <c r="O320" s="16"/>
      <c r="P320" s="16"/>
      <c r="Q320" s="16"/>
      <c r="R320" s="16"/>
      <c r="S320" s="16"/>
      <c r="T320" s="16"/>
      <c r="U320" s="16"/>
      <c r="V320" s="16"/>
      <c r="W320" s="16"/>
    </row>
    <row r="321" spans="3:23" ht="17.25" hidden="1" customHeight="1">
      <c r="C321" s="10"/>
      <c r="D321" s="119"/>
      <c r="E321" s="119"/>
      <c r="F321" s="16"/>
      <c r="G321" s="16"/>
      <c r="H321" s="16"/>
      <c r="I321" s="16"/>
      <c r="J321" s="16"/>
      <c r="K321" s="16"/>
      <c r="L321" s="16"/>
      <c r="M321" s="16"/>
      <c r="N321" s="16"/>
      <c r="O321" s="16"/>
      <c r="P321" s="16"/>
      <c r="Q321" s="16"/>
      <c r="R321" s="16"/>
      <c r="S321" s="16"/>
      <c r="T321" s="16"/>
      <c r="U321" s="16"/>
      <c r="V321" s="16"/>
      <c r="W321" s="16"/>
    </row>
    <row r="322" spans="3:23" ht="17.25" hidden="1" customHeight="1">
      <c r="C322" s="10"/>
      <c r="D322" s="119"/>
      <c r="E322" s="119"/>
      <c r="F322" s="16"/>
      <c r="G322" s="16"/>
      <c r="H322" s="16"/>
      <c r="I322" s="16"/>
      <c r="J322" s="16"/>
      <c r="K322" s="16"/>
      <c r="L322" s="16"/>
      <c r="M322" s="16"/>
      <c r="N322" s="16"/>
      <c r="O322" s="16"/>
      <c r="P322" s="16"/>
      <c r="Q322" s="16"/>
      <c r="R322" s="16"/>
      <c r="S322" s="16"/>
      <c r="T322" s="16"/>
      <c r="U322" s="16"/>
      <c r="V322" s="16"/>
      <c r="W322" s="16"/>
    </row>
    <row r="323" spans="3:23" ht="17.25" hidden="1" customHeight="1">
      <c r="C323" s="10"/>
      <c r="D323" s="119"/>
      <c r="E323" s="119"/>
      <c r="F323" s="16"/>
      <c r="G323" s="16"/>
      <c r="H323" s="16"/>
      <c r="I323" s="16"/>
      <c r="J323" s="16"/>
      <c r="K323" s="16"/>
      <c r="L323" s="16"/>
      <c r="M323" s="16"/>
      <c r="N323" s="16"/>
      <c r="O323" s="16"/>
      <c r="P323" s="16"/>
      <c r="Q323" s="16"/>
      <c r="R323" s="16"/>
      <c r="S323" s="16"/>
      <c r="T323" s="16"/>
      <c r="U323" s="16"/>
      <c r="V323" s="16"/>
      <c r="W323" s="16"/>
    </row>
    <row r="324" spans="3:23" ht="17.25" hidden="1" customHeight="1">
      <c r="C324" s="10"/>
      <c r="D324" s="119"/>
      <c r="E324" s="119"/>
      <c r="F324" s="16"/>
      <c r="G324" s="16"/>
      <c r="H324" s="16"/>
      <c r="I324" s="16"/>
      <c r="J324" s="16"/>
      <c r="K324" s="16"/>
      <c r="L324" s="16"/>
      <c r="M324" s="16"/>
      <c r="N324" s="16"/>
      <c r="O324" s="16"/>
      <c r="P324" s="16"/>
      <c r="Q324" s="16"/>
      <c r="R324" s="16"/>
      <c r="S324" s="16"/>
      <c r="T324" s="16"/>
      <c r="U324" s="16"/>
      <c r="V324" s="16"/>
      <c r="W324" s="16"/>
    </row>
    <row r="325" spans="3:23" ht="17.25" hidden="1" customHeight="1">
      <c r="C325" s="10"/>
      <c r="D325" s="119"/>
      <c r="E325" s="119"/>
      <c r="F325" s="16"/>
      <c r="G325" s="16"/>
      <c r="H325" s="16"/>
      <c r="I325" s="16"/>
      <c r="J325" s="16"/>
      <c r="K325" s="16"/>
      <c r="L325" s="16"/>
      <c r="M325" s="16"/>
      <c r="N325" s="16"/>
      <c r="O325" s="16"/>
      <c r="P325" s="16"/>
      <c r="Q325" s="16"/>
      <c r="R325" s="16"/>
      <c r="S325" s="16"/>
      <c r="T325" s="16"/>
      <c r="U325" s="16"/>
      <c r="V325" s="16"/>
      <c r="W325" s="16"/>
    </row>
    <row r="326" spans="3:23" ht="17.25" hidden="1" customHeight="1">
      <c r="C326" s="10"/>
      <c r="D326" s="119"/>
      <c r="E326" s="119"/>
      <c r="F326" s="117"/>
      <c r="G326" s="117"/>
      <c r="H326" s="117"/>
      <c r="I326" s="117"/>
      <c r="J326" s="117"/>
      <c r="K326" s="117"/>
      <c r="L326" s="117"/>
      <c r="M326" s="117"/>
      <c r="N326" s="117"/>
      <c r="O326" s="117"/>
      <c r="P326" s="117"/>
      <c r="Q326" s="117"/>
      <c r="R326" s="117"/>
      <c r="S326" s="117"/>
      <c r="T326" s="117"/>
      <c r="U326" s="117"/>
      <c r="V326" s="117"/>
      <c r="W326" s="117"/>
    </row>
    <row r="327" spans="3:23" ht="17.25" hidden="1" customHeight="1">
      <c r="C327" s="10"/>
      <c r="D327" s="120"/>
      <c r="E327" s="119"/>
    </row>
    <row r="328" spans="3:23" ht="17.25" hidden="1" customHeight="1">
      <c r="C328" s="10"/>
      <c r="D328" s="119"/>
      <c r="E328" s="119"/>
      <c r="F328" s="16"/>
      <c r="G328" s="16"/>
      <c r="H328" s="16"/>
      <c r="I328" s="16"/>
      <c r="J328" s="16"/>
      <c r="K328" s="16"/>
      <c r="L328" s="16"/>
      <c r="M328" s="16"/>
      <c r="N328" s="16"/>
      <c r="O328" s="16"/>
      <c r="P328" s="16"/>
      <c r="Q328" s="16"/>
      <c r="R328" s="16"/>
      <c r="S328" s="16"/>
      <c r="T328" s="16"/>
      <c r="U328" s="16"/>
      <c r="V328" s="16"/>
      <c r="W328" s="16"/>
    </row>
    <row r="329" spans="3:23" ht="17.25" hidden="1" customHeight="1">
      <c r="C329" s="10"/>
      <c r="D329" s="119"/>
      <c r="E329" s="119"/>
      <c r="F329" s="16"/>
      <c r="G329" s="16"/>
      <c r="H329" s="16"/>
      <c r="I329" s="16"/>
      <c r="J329" s="16"/>
      <c r="K329" s="16"/>
      <c r="L329" s="16"/>
      <c r="M329" s="16"/>
      <c r="N329" s="16"/>
      <c r="O329" s="16"/>
      <c r="P329" s="16"/>
      <c r="Q329" s="16"/>
      <c r="R329" s="16"/>
      <c r="S329" s="16"/>
      <c r="T329" s="16"/>
      <c r="U329" s="16"/>
      <c r="V329" s="16"/>
      <c r="W329" s="16"/>
    </row>
    <row r="330" spans="3:23" ht="17.25" hidden="1" customHeight="1">
      <c r="C330" s="10"/>
      <c r="D330" s="119"/>
      <c r="E330" s="119"/>
      <c r="F330" s="16"/>
      <c r="G330" s="16"/>
      <c r="H330" s="16"/>
      <c r="I330" s="16"/>
      <c r="J330" s="16"/>
      <c r="K330" s="16"/>
      <c r="L330" s="16"/>
      <c r="M330" s="16"/>
      <c r="N330" s="16"/>
      <c r="O330" s="16"/>
      <c r="P330" s="16"/>
      <c r="Q330" s="16"/>
      <c r="R330" s="16"/>
      <c r="S330" s="16"/>
      <c r="T330" s="16"/>
      <c r="U330" s="16"/>
      <c r="V330" s="16"/>
      <c r="W330" s="16"/>
    </row>
    <row r="331" spans="3:23" ht="17.25" hidden="1" customHeight="1">
      <c r="C331" s="10"/>
      <c r="D331" s="119"/>
      <c r="E331" s="119"/>
      <c r="F331" s="16"/>
      <c r="G331" s="16"/>
      <c r="H331" s="16"/>
      <c r="I331" s="16"/>
      <c r="J331" s="16"/>
      <c r="K331" s="16"/>
      <c r="L331" s="16"/>
      <c r="M331" s="16"/>
      <c r="N331" s="16"/>
      <c r="O331" s="16"/>
      <c r="P331" s="16"/>
      <c r="Q331" s="16"/>
      <c r="R331" s="16"/>
      <c r="S331" s="16"/>
      <c r="T331" s="16"/>
      <c r="U331" s="16"/>
      <c r="V331" s="16"/>
      <c r="W331" s="16"/>
    </row>
    <row r="332" spans="3:23" ht="17.25" hidden="1" customHeight="1">
      <c r="C332" s="10"/>
      <c r="D332" s="119"/>
      <c r="E332" s="119"/>
      <c r="F332" s="16"/>
      <c r="G332" s="16"/>
      <c r="H332" s="16"/>
      <c r="I332" s="16"/>
      <c r="J332" s="16"/>
      <c r="K332" s="16"/>
      <c r="L332" s="16"/>
      <c r="M332" s="16"/>
      <c r="N332" s="16"/>
      <c r="O332" s="16"/>
      <c r="P332" s="16"/>
      <c r="Q332" s="16"/>
      <c r="R332" s="16"/>
      <c r="S332" s="16"/>
      <c r="T332" s="16"/>
      <c r="U332" s="16"/>
      <c r="V332" s="16"/>
      <c r="W332" s="16"/>
    </row>
    <row r="333" spans="3:23" ht="17.25" hidden="1" customHeight="1">
      <c r="C333" s="10"/>
      <c r="D333" s="119"/>
      <c r="E333" s="119"/>
      <c r="F333" s="16"/>
      <c r="G333" s="16"/>
      <c r="H333" s="16"/>
      <c r="I333" s="16"/>
      <c r="J333" s="16"/>
      <c r="K333" s="16"/>
      <c r="L333" s="16"/>
      <c r="M333" s="16"/>
      <c r="N333" s="16"/>
      <c r="O333" s="16"/>
      <c r="P333" s="16"/>
      <c r="Q333" s="16"/>
      <c r="R333" s="16"/>
      <c r="S333" s="16"/>
      <c r="T333" s="16"/>
      <c r="U333" s="16"/>
      <c r="V333" s="16"/>
      <c r="W333" s="16"/>
    </row>
    <row r="334" spans="3:23" ht="17.25" hidden="1" customHeight="1">
      <c r="C334" s="10"/>
      <c r="D334" s="119"/>
      <c r="E334" s="119"/>
      <c r="F334" s="16"/>
      <c r="G334" s="16"/>
      <c r="H334" s="16"/>
      <c r="I334" s="16"/>
      <c r="J334" s="16"/>
      <c r="K334" s="16"/>
      <c r="L334" s="16"/>
      <c r="M334" s="16"/>
      <c r="N334" s="16"/>
      <c r="O334" s="16"/>
      <c r="P334" s="16"/>
      <c r="Q334" s="16"/>
      <c r="R334" s="16"/>
      <c r="S334" s="16"/>
      <c r="T334" s="16"/>
      <c r="U334" s="16"/>
      <c r="V334" s="16"/>
      <c r="W334" s="16"/>
    </row>
    <row r="335" spans="3:23" ht="17.25" hidden="1" customHeight="1">
      <c r="C335" s="10"/>
      <c r="D335" s="119"/>
      <c r="E335" s="119"/>
      <c r="F335" s="16"/>
      <c r="G335" s="16"/>
      <c r="H335" s="16"/>
      <c r="I335" s="16"/>
      <c r="J335" s="16"/>
      <c r="K335" s="16"/>
      <c r="L335" s="16"/>
      <c r="M335" s="16"/>
      <c r="N335" s="16"/>
      <c r="O335" s="16"/>
      <c r="P335" s="16"/>
      <c r="Q335" s="16"/>
      <c r="R335" s="16"/>
      <c r="S335" s="16"/>
      <c r="T335" s="16"/>
      <c r="U335" s="16"/>
      <c r="V335" s="16"/>
      <c r="W335" s="16"/>
    </row>
    <row r="336" spans="3:23" ht="17.25" hidden="1" customHeight="1">
      <c r="C336" s="10"/>
      <c r="D336" s="119"/>
      <c r="E336" s="119"/>
      <c r="F336" s="16"/>
      <c r="G336" s="16"/>
      <c r="H336" s="16"/>
      <c r="I336" s="16"/>
      <c r="J336" s="16"/>
      <c r="K336" s="16"/>
      <c r="L336" s="16"/>
      <c r="M336" s="16"/>
      <c r="N336" s="16"/>
      <c r="O336" s="16"/>
      <c r="P336" s="16"/>
      <c r="Q336" s="16"/>
      <c r="R336" s="16"/>
      <c r="S336" s="16"/>
      <c r="T336" s="16"/>
      <c r="U336" s="16"/>
      <c r="V336" s="16"/>
      <c r="W336" s="16"/>
    </row>
    <row r="337" spans="3:37" ht="17.25" hidden="1" customHeight="1">
      <c r="C337" s="10"/>
      <c r="D337" s="119"/>
      <c r="E337" s="119"/>
      <c r="F337" s="16"/>
      <c r="G337" s="16"/>
      <c r="H337" s="16"/>
      <c r="I337" s="16"/>
      <c r="J337" s="16"/>
      <c r="K337" s="16"/>
      <c r="L337" s="16"/>
      <c r="M337" s="16"/>
      <c r="N337" s="16"/>
      <c r="O337" s="16"/>
      <c r="P337" s="16"/>
      <c r="Q337" s="16"/>
      <c r="R337" s="16"/>
      <c r="S337" s="16"/>
      <c r="T337" s="16"/>
      <c r="U337" s="16"/>
      <c r="V337" s="16"/>
      <c r="W337" s="16"/>
    </row>
    <row r="338" spans="3:37" ht="17.25" hidden="1" customHeight="1">
      <c r="C338" s="10"/>
      <c r="D338" s="119"/>
      <c r="E338" s="119"/>
      <c r="F338" s="16"/>
      <c r="G338" s="16"/>
      <c r="H338" s="16"/>
      <c r="I338" s="16"/>
      <c r="J338" s="16"/>
      <c r="K338" s="16"/>
      <c r="L338" s="16"/>
      <c r="M338" s="16"/>
      <c r="N338" s="16"/>
      <c r="O338" s="16"/>
      <c r="P338" s="16"/>
      <c r="Q338" s="16"/>
      <c r="R338" s="16"/>
      <c r="S338" s="16"/>
      <c r="T338" s="16"/>
      <c r="U338" s="16"/>
      <c r="V338" s="16"/>
      <c r="W338" s="16"/>
    </row>
    <row r="339" spans="3:37" ht="17.25" hidden="1" customHeight="1">
      <c r="C339" s="10"/>
      <c r="D339" s="119"/>
      <c r="E339" s="119"/>
      <c r="F339" s="16"/>
      <c r="G339" s="16"/>
      <c r="H339" s="16"/>
      <c r="I339" s="16"/>
      <c r="J339" s="16"/>
      <c r="K339" s="16"/>
      <c r="L339" s="16"/>
      <c r="M339" s="16"/>
      <c r="N339" s="16"/>
      <c r="O339" s="16"/>
      <c r="P339" s="16"/>
      <c r="Q339" s="16"/>
      <c r="R339" s="16"/>
      <c r="S339" s="16"/>
      <c r="T339" s="16"/>
      <c r="U339" s="16"/>
      <c r="V339" s="16"/>
      <c r="W339" s="16"/>
    </row>
    <row r="340" spans="3:37" ht="17.25" hidden="1" customHeight="1">
      <c r="C340" s="10"/>
      <c r="D340" s="119"/>
      <c r="E340" s="119"/>
      <c r="F340" s="16"/>
      <c r="G340" s="16"/>
      <c r="H340" s="16"/>
      <c r="I340" s="16"/>
      <c r="J340" s="16"/>
      <c r="K340" s="16"/>
      <c r="L340" s="16"/>
      <c r="M340" s="16"/>
      <c r="N340" s="16"/>
      <c r="O340" s="16"/>
      <c r="P340" s="16"/>
      <c r="Q340" s="16"/>
      <c r="R340" s="16"/>
      <c r="S340" s="16"/>
      <c r="T340" s="16"/>
      <c r="U340" s="16"/>
      <c r="V340" s="16"/>
      <c r="W340" s="16"/>
    </row>
    <row r="341" spans="3:37" ht="17.25" hidden="1" customHeight="1">
      <c r="C341" s="10"/>
      <c r="D341" s="119"/>
      <c r="E341" s="119"/>
      <c r="F341" s="16"/>
      <c r="G341" s="16"/>
      <c r="H341" s="16"/>
      <c r="I341" s="16"/>
      <c r="J341" s="16"/>
      <c r="K341" s="16"/>
      <c r="L341" s="16"/>
      <c r="M341" s="16"/>
      <c r="N341" s="16"/>
      <c r="O341" s="16"/>
      <c r="P341" s="16"/>
      <c r="Q341" s="16"/>
      <c r="R341" s="16"/>
      <c r="S341" s="16"/>
      <c r="T341" s="16"/>
      <c r="U341" s="16"/>
      <c r="V341" s="16"/>
      <c r="W341" s="16"/>
    </row>
    <row r="342" spans="3:37" ht="17.25" hidden="1" customHeight="1">
      <c r="C342" s="10"/>
      <c r="D342" s="119"/>
      <c r="E342" s="119"/>
      <c r="F342" s="16"/>
      <c r="G342" s="16"/>
      <c r="H342" s="16"/>
      <c r="I342" s="16"/>
      <c r="J342" s="16"/>
      <c r="K342" s="16"/>
      <c r="L342" s="16"/>
      <c r="M342" s="16"/>
      <c r="N342" s="16"/>
      <c r="O342" s="16"/>
      <c r="P342" s="16"/>
      <c r="Q342" s="16"/>
      <c r="R342" s="16"/>
      <c r="S342" s="16"/>
      <c r="T342" s="16"/>
      <c r="U342" s="16"/>
      <c r="V342" s="16"/>
      <c r="W342" s="16"/>
    </row>
    <row r="343" spans="3:37" ht="17.25" hidden="1" customHeight="1">
      <c r="C343" s="10"/>
      <c r="D343" s="119"/>
      <c r="E343" s="119"/>
      <c r="F343" s="16"/>
      <c r="G343" s="16"/>
      <c r="H343" s="16"/>
      <c r="I343" s="16"/>
      <c r="J343" s="16"/>
      <c r="K343" s="16"/>
      <c r="L343" s="16"/>
      <c r="M343" s="16"/>
      <c r="N343" s="16"/>
      <c r="O343" s="16"/>
      <c r="P343" s="16"/>
      <c r="Q343" s="16"/>
      <c r="R343" s="16"/>
      <c r="S343" s="16"/>
      <c r="T343" s="16"/>
      <c r="U343" s="16"/>
      <c r="V343" s="16"/>
      <c r="W343" s="16"/>
    </row>
    <row r="344" spans="3:37" ht="17.25" hidden="1" customHeight="1">
      <c r="C344" s="10"/>
      <c r="D344" s="119"/>
      <c r="E344" s="119"/>
      <c r="F344" s="16"/>
      <c r="G344" s="16"/>
      <c r="H344" s="16"/>
      <c r="I344" s="16"/>
      <c r="J344" s="16"/>
      <c r="K344" s="16"/>
      <c r="L344" s="16"/>
      <c r="M344" s="16"/>
      <c r="N344" s="16"/>
      <c r="O344" s="16"/>
      <c r="P344" s="16"/>
      <c r="Q344" s="16"/>
      <c r="R344" s="16"/>
      <c r="S344" s="16"/>
      <c r="T344" s="16"/>
      <c r="U344" s="16"/>
      <c r="V344" s="16"/>
      <c r="W344" s="16"/>
    </row>
    <row r="345" spans="3:37" ht="17.25" hidden="1" customHeight="1">
      <c r="C345" s="10"/>
      <c r="D345" s="119"/>
      <c r="E345" s="119"/>
      <c r="F345" s="16"/>
      <c r="G345" s="16"/>
      <c r="H345" s="16"/>
      <c r="I345" s="16"/>
      <c r="J345" s="16"/>
      <c r="K345" s="16"/>
      <c r="L345" s="16"/>
      <c r="M345" s="16"/>
      <c r="N345" s="16"/>
      <c r="O345" s="16"/>
      <c r="P345" s="16"/>
      <c r="Q345" s="16"/>
      <c r="R345" s="16"/>
      <c r="S345" s="16"/>
      <c r="T345" s="16"/>
      <c r="U345" s="16"/>
      <c r="V345" s="16"/>
      <c r="W345" s="16"/>
    </row>
    <row r="346" spans="3:37" ht="17.25" hidden="1" customHeight="1">
      <c r="C346" s="10"/>
      <c r="D346" s="119"/>
      <c r="E346" s="119"/>
      <c r="F346" s="16"/>
      <c r="G346" s="16"/>
      <c r="H346" s="16"/>
      <c r="I346" s="16"/>
      <c r="J346" s="16"/>
      <c r="K346" s="16"/>
      <c r="L346" s="16"/>
      <c r="M346" s="16"/>
      <c r="N346" s="16"/>
      <c r="O346" s="16"/>
      <c r="P346" s="16"/>
      <c r="Q346" s="16"/>
      <c r="R346" s="16"/>
      <c r="S346" s="16"/>
      <c r="T346" s="16"/>
      <c r="U346" s="16"/>
      <c r="V346" s="16"/>
      <c r="W346" s="16"/>
    </row>
    <row r="347" spans="3:37" ht="17.25" hidden="1" customHeight="1">
      <c r="C347" s="10"/>
      <c r="D347" s="119"/>
      <c r="E347" s="119"/>
      <c r="F347" s="16"/>
      <c r="G347" s="16"/>
      <c r="H347" s="16"/>
      <c r="I347" s="16"/>
      <c r="J347" s="16"/>
      <c r="K347" s="16"/>
      <c r="L347" s="16"/>
      <c r="M347" s="16"/>
      <c r="N347" s="16"/>
      <c r="O347" s="16"/>
      <c r="P347" s="16"/>
      <c r="Q347" s="16"/>
      <c r="R347" s="16"/>
      <c r="S347" s="16"/>
      <c r="T347" s="16"/>
      <c r="U347" s="16"/>
      <c r="V347" s="16"/>
      <c r="W347" s="16"/>
      <c r="AK347" s="2" t="s">
        <v>194</v>
      </c>
    </row>
    <row r="348" spans="3:37" ht="17.25" hidden="1" customHeight="1">
      <c r="C348" s="10"/>
      <c r="D348" s="119"/>
      <c r="E348" s="119"/>
      <c r="F348" s="16"/>
      <c r="G348" s="16"/>
      <c r="H348" s="16"/>
      <c r="I348" s="16"/>
      <c r="J348" s="16"/>
      <c r="K348" s="16"/>
      <c r="L348" s="16"/>
      <c r="M348" s="16"/>
      <c r="N348" s="16"/>
      <c r="O348" s="16"/>
      <c r="P348" s="16"/>
      <c r="Q348" s="16"/>
      <c r="R348" s="16"/>
      <c r="S348" s="16"/>
      <c r="T348" s="16"/>
      <c r="U348" s="16"/>
      <c r="V348" s="16"/>
      <c r="W348" s="16"/>
    </row>
    <row r="349" spans="3:37" ht="17.25" hidden="1" customHeight="1">
      <c r="C349" s="10"/>
      <c r="D349" s="119"/>
      <c r="E349" s="119"/>
      <c r="F349" s="16"/>
      <c r="G349" s="16"/>
      <c r="H349" s="16"/>
      <c r="I349" s="16"/>
      <c r="J349" s="16"/>
      <c r="K349" s="16"/>
      <c r="L349" s="16"/>
      <c r="M349" s="16"/>
      <c r="N349" s="16"/>
      <c r="O349" s="16"/>
      <c r="P349" s="16"/>
      <c r="Q349" s="16"/>
      <c r="R349" s="16"/>
      <c r="S349" s="16"/>
      <c r="T349" s="16"/>
      <c r="U349" s="16"/>
      <c r="V349" s="16"/>
      <c r="W349" s="16"/>
    </row>
    <row r="350" spans="3:37" ht="17.25" hidden="1" customHeight="1">
      <c r="C350" s="10"/>
      <c r="D350" s="119"/>
      <c r="E350" s="119"/>
      <c r="F350" s="16"/>
      <c r="G350" s="16"/>
      <c r="H350" s="16"/>
      <c r="I350" s="16"/>
      <c r="J350" s="16"/>
      <c r="K350" s="16"/>
      <c r="L350" s="16"/>
      <c r="M350" s="16"/>
      <c r="N350" s="16"/>
      <c r="O350" s="16"/>
      <c r="P350" s="16"/>
      <c r="Q350" s="16"/>
      <c r="R350" s="16"/>
      <c r="S350" s="16"/>
      <c r="T350" s="16"/>
      <c r="U350" s="16"/>
      <c r="V350" s="16"/>
      <c r="W350" s="16"/>
    </row>
    <row r="351" spans="3:37" ht="17.25" hidden="1" customHeight="1">
      <c r="C351" s="10"/>
      <c r="D351" s="119"/>
      <c r="E351" s="119"/>
      <c r="F351" s="16"/>
      <c r="G351" s="16"/>
      <c r="H351" s="16"/>
      <c r="I351" s="16"/>
      <c r="J351" s="16"/>
      <c r="K351" s="16"/>
      <c r="L351" s="16"/>
      <c r="M351" s="16"/>
      <c r="N351" s="16"/>
      <c r="O351" s="16"/>
      <c r="P351" s="16"/>
      <c r="Q351" s="16"/>
      <c r="R351" s="16"/>
      <c r="S351" s="16"/>
      <c r="T351" s="16"/>
      <c r="U351" s="16"/>
      <c r="V351" s="16"/>
      <c r="W351" s="16"/>
    </row>
    <row r="352" spans="3:37" ht="17.25" hidden="1" customHeight="1">
      <c r="C352" s="10"/>
      <c r="D352" s="119"/>
      <c r="E352" s="119"/>
      <c r="F352" s="16"/>
      <c r="G352" s="16"/>
      <c r="H352" s="16"/>
      <c r="I352" s="16"/>
      <c r="J352" s="16"/>
      <c r="K352" s="16"/>
      <c r="L352" s="16"/>
      <c r="M352" s="16"/>
      <c r="N352" s="16"/>
      <c r="O352" s="16"/>
      <c r="P352" s="16"/>
      <c r="Q352" s="16"/>
      <c r="R352" s="16"/>
      <c r="S352" s="16"/>
      <c r="T352" s="16"/>
      <c r="U352" s="16"/>
      <c r="V352" s="16"/>
      <c r="W352" s="16"/>
    </row>
    <row r="353" spans="3:23" ht="17.25" hidden="1" customHeight="1">
      <c r="C353" s="10"/>
      <c r="D353" s="119"/>
      <c r="E353" s="119"/>
      <c r="F353" s="16"/>
      <c r="G353" s="16"/>
      <c r="H353" s="16"/>
      <c r="I353" s="16"/>
      <c r="J353" s="16"/>
      <c r="K353" s="16"/>
      <c r="L353" s="16"/>
      <c r="M353" s="16"/>
      <c r="N353" s="16"/>
      <c r="O353" s="16"/>
      <c r="P353" s="16"/>
      <c r="Q353" s="16"/>
      <c r="R353" s="16"/>
      <c r="S353" s="16"/>
      <c r="T353" s="16"/>
      <c r="U353" s="16"/>
      <c r="V353" s="16"/>
      <c r="W353" s="16"/>
    </row>
    <row r="354" spans="3:23" ht="17.25" hidden="1" customHeight="1">
      <c r="C354" s="10"/>
      <c r="D354" s="119"/>
      <c r="E354" s="119"/>
      <c r="F354" s="16"/>
      <c r="G354" s="16"/>
      <c r="H354" s="16"/>
      <c r="I354" s="16"/>
      <c r="J354" s="16"/>
      <c r="K354" s="16"/>
      <c r="L354" s="16"/>
      <c r="M354" s="16"/>
      <c r="N354" s="16"/>
      <c r="O354" s="16"/>
      <c r="P354" s="16"/>
      <c r="Q354" s="16"/>
      <c r="R354" s="16"/>
      <c r="S354" s="16"/>
      <c r="T354" s="16"/>
      <c r="U354" s="16"/>
      <c r="V354" s="16"/>
      <c r="W354" s="16"/>
    </row>
    <row r="355" spans="3:23" ht="17.25" hidden="1" customHeight="1">
      <c r="C355" s="10"/>
      <c r="D355" s="119"/>
      <c r="E355" s="119"/>
      <c r="F355" s="16"/>
      <c r="G355" s="16"/>
      <c r="H355" s="16"/>
      <c r="I355" s="16"/>
      <c r="J355" s="16"/>
      <c r="K355" s="16"/>
      <c r="L355" s="16"/>
      <c r="M355" s="16"/>
      <c r="N355" s="16"/>
      <c r="O355" s="16"/>
      <c r="P355" s="16"/>
      <c r="Q355" s="16"/>
      <c r="R355" s="16"/>
      <c r="S355" s="16"/>
      <c r="T355" s="16"/>
      <c r="U355" s="16"/>
      <c r="V355" s="16"/>
      <c r="W355" s="16"/>
    </row>
    <row r="356" spans="3:23" ht="17.25" hidden="1" customHeight="1">
      <c r="C356" s="10"/>
      <c r="D356" s="119"/>
      <c r="E356" s="119"/>
      <c r="F356" s="16"/>
      <c r="G356" s="16"/>
      <c r="H356" s="16"/>
      <c r="I356" s="16"/>
      <c r="J356" s="16"/>
      <c r="K356" s="16"/>
      <c r="L356" s="16"/>
      <c r="M356" s="16"/>
      <c r="N356" s="16"/>
      <c r="O356" s="16"/>
      <c r="P356" s="16"/>
      <c r="Q356" s="16"/>
      <c r="R356" s="16"/>
      <c r="S356" s="16"/>
      <c r="T356" s="16"/>
      <c r="U356" s="16"/>
      <c r="V356" s="16"/>
      <c r="W356" s="16"/>
    </row>
    <row r="357" spans="3:23" ht="17.25" hidden="1" customHeight="1">
      <c r="C357" s="10"/>
      <c r="D357" s="119"/>
      <c r="E357" s="119"/>
      <c r="F357" s="16"/>
      <c r="G357" s="16"/>
      <c r="H357" s="16"/>
      <c r="I357" s="16"/>
      <c r="J357" s="16"/>
      <c r="K357" s="16"/>
      <c r="L357" s="16"/>
      <c r="M357" s="16"/>
      <c r="N357" s="16"/>
      <c r="O357" s="16"/>
      <c r="P357" s="16"/>
      <c r="Q357" s="16"/>
      <c r="R357" s="16"/>
      <c r="S357" s="16"/>
      <c r="T357" s="16"/>
      <c r="U357" s="16"/>
      <c r="V357" s="16"/>
      <c r="W357" s="16"/>
    </row>
    <row r="358" spans="3:23" ht="17.25" hidden="1" customHeight="1">
      <c r="C358" s="10"/>
      <c r="D358" s="119"/>
      <c r="E358" s="119"/>
      <c r="F358" s="16"/>
      <c r="G358" s="16"/>
      <c r="H358" s="16"/>
      <c r="I358" s="16"/>
      <c r="J358" s="16"/>
      <c r="K358" s="16"/>
      <c r="L358" s="16"/>
      <c r="M358" s="16"/>
      <c r="N358" s="16"/>
      <c r="O358" s="16"/>
      <c r="P358" s="16"/>
      <c r="Q358" s="16"/>
      <c r="R358" s="16"/>
      <c r="S358" s="16"/>
      <c r="T358" s="16"/>
      <c r="U358" s="16"/>
      <c r="V358" s="16"/>
      <c r="W358" s="16"/>
    </row>
    <row r="359" spans="3:23" ht="17.25" hidden="1" customHeight="1">
      <c r="C359" s="10"/>
      <c r="D359" s="119"/>
      <c r="E359" s="119"/>
      <c r="F359" s="16"/>
      <c r="G359" s="16"/>
      <c r="H359" s="16"/>
      <c r="I359" s="16"/>
      <c r="J359" s="16"/>
      <c r="K359" s="16"/>
      <c r="L359" s="16"/>
      <c r="M359" s="16"/>
      <c r="N359" s="16"/>
      <c r="O359" s="16"/>
      <c r="P359" s="16"/>
      <c r="Q359" s="16"/>
      <c r="R359" s="16"/>
      <c r="S359" s="16"/>
      <c r="T359" s="16"/>
      <c r="U359" s="16"/>
      <c r="V359" s="16"/>
      <c r="W359" s="16"/>
    </row>
    <row r="360" spans="3:23" ht="17.25" hidden="1" customHeight="1">
      <c r="C360" s="10"/>
      <c r="D360" s="119"/>
      <c r="E360" s="119"/>
      <c r="F360" s="16"/>
      <c r="G360" s="16"/>
      <c r="H360" s="16"/>
      <c r="I360" s="16"/>
      <c r="J360" s="16"/>
      <c r="K360" s="16"/>
      <c r="L360" s="16"/>
      <c r="M360" s="16"/>
      <c r="N360" s="16"/>
      <c r="O360" s="16"/>
      <c r="P360" s="16"/>
      <c r="Q360" s="16"/>
      <c r="R360" s="16"/>
      <c r="S360" s="16"/>
      <c r="T360" s="16"/>
      <c r="U360" s="16"/>
      <c r="V360" s="16"/>
      <c r="W360" s="16"/>
    </row>
    <row r="361" spans="3:23" ht="17.25" hidden="1" customHeight="1">
      <c r="C361" s="10"/>
      <c r="D361" s="119"/>
      <c r="E361" s="119"/>
      <c r="F361" s="16"/>
      <c r="G361" s="16"/>
      <c r="H361" s="16"/>
      <c r="I361" s="16"/>
      <c r="J361" s="16"/>
      <c r="K361" s="16"/>
      <c r="L361" s="16"/>
      <c r="M361" s="16"/>
      <c r="N361" s="16"/>
      <c r="O361" s="16"/>
      <c r="P361" s="16"/>
      <c r="Q361" s="16"/>
      <c r="R361" s="16"/>
      <c r="S361" s="16"/>
      <c r="T361" s="16"/>
      <c r="U361" s="16"/>
      <c r="V361" s="16"/>
      <c r="W361" s="16"/>
    </row>
    <row r="362" spans="3:23" ht="17.25" hidden="1" customHeight="1">
      <c r="C362" s="10"/>
      <c r="D362" s="119"/>
      <c r="E362" s="119"/>
      <c r="F362" s="16"/>
      <c r="G362" s="16"/>
      <c r="H362" s="16"/>
      <c r="I362" s="16"/>
      <c r="J362" s="16"/>
      <c r="K362" s="16"/>
      <c r="L362" s="16"/>
      <c r="M362" s="16"/>
      <c r="N362" s="16"/>
      <c r="O362" s="16"/>
      <c r="P362" s="16"/>
      <c r="Q362" s="16"/>
      <c r="R362" s="16"/>
      <c r="S362" s="16"/>
      <c r="T362" s="16"/>
      <c r="U362" s="16"/>
      <c r="V362" s="16"/>
      <c r="W362" s="16"/>
    </row>
    <row r="363" spans="3:23" ht="17.25" hidden="1" customHeight="1">
      <c r="C363" s="10"/>
      <c r="D363" s="119"/>
      <c r="E363" s="119"/>
      <c r="F363" s="16"/>
      <c r="G363" s="16"/>
      <c r="H363" s="16"/>
      <c r="I363" s="16"/>
      <c r="J363" s="16"/>
      <c r="K363" s="16"/>
      <c r="L363" s="16"/>
      <c r="M363" s="16"/>
      <c r="N363" s="16"/>
      <c r="O363" s="16"/>
      <c r="P363" s="16"/>
      <c r="Q363" s="16"/>
      <c r="R363" s="16"/>
      <c r="S363" s="16"/>
      <c r="T363" s="16"/>
      <c r="U363" s="16"/>
      <c r="V363" s="16"/>
      <c r="W363" s="16"/>
    </row>
    <row r="364" spans="3:23" ht="17.25" hidden="1" customHeight="1">
      <c r="C364" s="10"/>
      <c r="D364" s="119"/>
      <c r="E364" s="119"/>
      <c r="F364" s="16"/>
      <c r="G364" s="16"/>
      <c r="H364" s="16"/>
      <c r="I364" s="16"/>
      <c r="J364" s="16"/>
      <c r="K364" s="16"/>
      <c r="L364" s="16"/>
      <c r="M364" s="16"/>
      <c r="N364" s="16"/>
      <c r="O364" s="16"/>
      <c r="P364" s="16"/>
      <c r="Q364" s="16"/>
      <c r="R364" s="16"/>
      <c r="S364" s="16"/>
      <c r="T364" s="16"/>
      <c r="U364" s="16"/>
      <c r="V364" s="16"/>
      <c r="W364" s="16"/>
    </row>
    <row r="365" spans="3:23" ht="17.25" hidden="1" customHeight="1">
      <c r="C365" s="10"/>
      <c r="D365" s="119"/>
      <c r="E365" s="119"/>
      <c r="F365" s="16"/>
      <c r="G365" s="16"/>
      <c r="H365" s="16"/>
      <c r="I365" s="16"/>
      <c r="J365" s="16"/>
      <c r="K365" s="16"/>
      <c r="L365" s="16"/>
      <c r="M365" s="16"/>
      <c r="N365" s="16"/>
      <c r="O365" s="16"/>
      <c r="P365" s="16"/>
      <c r="Q365" s="16"/>
      <c r="R365" s="16"/>
      <c r="S365" s="16"/>
      <c r="T365" s="16"/>
      <c r="U365" s="16"/>
      <c r="V365" s="16"/>
      <c r="W365" s="16"/>
    </row>
    <row r="366" spans="3:23" ht="17.25" hidden="1" customHeight="1">
      <c r="C366" s="10"/>
      <c r="D366" s="119"/>
      <c r="E366" s="119"/>
      <c r="F366" s="16"/>
      <c r="G366" s="16"/>
      <c r="H366" s="16"/>
      <c r="I366" s="16"/>
      <c r="J366" s="16"/>
      <c r="K366" s="16"/>
      <c r="L366" s="16"/>
      <c r="M366" s="16"/>
      <c r="N366" s="16"/>
      <c r="O366" s="16"/>
      <c r="P366" s="16"/>
      <c r="Q366" s="16"/>
      <c r="R366" s="16"/>
      <c r="S366" s="16"/>
      <c r="T366" s="16"/>
      <c r="U366" s="16"/>
      <c r="V366" s="16"/>
      <c r="W366" s="16"/>
    </row>
    <row r="367" spans="3:23" ht="17.25" hidden="1" customHeight="1">
      <c r="C367" s="10"/>
      <c r="D367" s="119"/>
      <c r="E367" s="119"/>
      <c r="F367" s="16"/>
      <c r="G367" s="16"/>
      <c r="H367" s="16"/>
      <c r="I367" s="16"/>
      <c r="J367" s="16"/>
      <c r="K367" s="16"/>
      <c r="L367" s="16"/>
      <c r="M367" s="16"/>
      <c r="N367" s="16"/>
      <c r="O367" s="16"/>
      <c r="P367" s="16"/>
      <c r="Q367" s="16"/>
      <c r="R367" s="16"/>
      <c r="S367" s="16"/>
      <c r="T367" s="16"/>
      <c r="U367" s="16"/>
      <c r="V367" s="16"/>
      <c r="W367" s="16"/>
    </row>
    <row r="368" spans="3:23" ht="17.25" hidden="1" customHeight="1">
      <c r="C368" s="10"/>
      <c r="D368" s="119"/>
      <c r="E368" s="119"/>
      <c r="F368" s="16"/>
      <c r="G368" s="16"/>
      <c r="H368" s="16"/>
      <c r="I368" s="16"/>
      <c r="J368" s="16"/>
      <c r="K368" s="16"/>
      <c r="L368" s="16"/>
      <c r="M368" s="16"/>
      <c r="N368" s="16"/>
      <c r="O368" s="16"/>
      <c r="P368" s="16"/>
      <c r="Q368" s="16"/>
      <c r="R368" s="16"/>
      <c r="S368" s="16"/>
      <c r="T368" s="16"/>
      <c r="U368" s="16"/>
      <c r="V368" s="16"/>
      <c r="W368" s="16"/>
    </row>
    <row r="369" spans="3:23" ht="17.25" hidden="1" customHeight="1">
      <c r="C369" s="10"/>
      <c r="D369" s="119"/>
      <c r="E369" s="119"/>
      <c r="F369" s="16"/>
      <c r="G369" s="16"/>
      <c r="H369" s="16"/>
      <c r="I369" s="16"/>
      <c r="J369" s="16"/>
      <c r="K369" s="16"/>
      <c r="L369" s="16"/>
      <c r="M369" s="16"/>
      <c r="N369" s="16"/>
      <c r="O369" s="16"/>
      <c r="P369" s="16"/>
      <c r="Q369" s="16"/>
      <c r="R369" s="16"/>
      <c r="S369" s="16"/>
      <c r="T369" s="16"/>
      <c r="U369" s="16"/>
      <c r="V369" s="16"/>
      <c r="W369" s="16"/>
    </row>
    <row r="370" spans="3:23" ht="17.25" hidden="1" customHeight="1">
      <c r="C370" s="10"/>
      <c r="D370" s="119"/>
      <c r="E370" s="119"/>
      <c r="F370" s="16"/>
      <c r="G370" s="16"/>
      <c r="H370" s="16"/>
      <c r="I370" s="16"/>
      <c r="J370" s="16"/>
      <c r="K370" s="16"/>
      <c r="L370" s="16"/>
      <c r="M370" s="16"/>
      <c r="N370" s="16"/>
      <c r="O370" s="16"/>
      <c r="P370" s="16"/>
      <c r="Q370" s="16"/>
      <c r="R370" s="16"/>
      <c r="S370" s="16"/>
      <c r="T370" s="16"/>
      <c r="U370" s="16"/>
      <c r="V370" s="16"/>
      <c r="W370" s="16"/>
    </row>
    <row r="371" spans="3:23" ht="17.25" hidden="1" customHeight="1">
      <c r="C371" s="10"/>
      <c r="D371" s="119"/>
      <c r="E371" s="119"/>
      <c r="F371" s="16"/>
      <c r="G371" s="16"/>
      <c r="H371" s="16"/>
      <c r="I371" s="16"/>
      <c r="J371" s="16"/>
      <c r="K371" s="16"/>
      <c r="L371" s="16"/>
      <c r="M371" s="16"/>
      <c r="N371" s="16"/>
      <c r="O371" s="16"/>
      <c r="P371" s="16"/>
      <c r="Q371" s="16"/>
      <c r="R371" s="16"/>
      <c r="S371" s="16"/>
      <c r="T371" s="16"/>
      <c r="U371" s="16"/>
      <c r="V371" s="16"/>
      <c r="W371" s="16"/>
    </row>
    <row r="372" spans="3:23" ht="17.25" hidden="1" customHeight="1">
      <c r="C372" s="10"/>
      <c r="D372" s="119"/>
      <c r="E372" s="119"/>
      <c r="F372" s="16"/>
      <c r="G372" s="16"/>
      <c r="H372" s="16"/>
      <c r="I372" s="16"/>
      <c r="J372" s="16"/>
      <c r="K372" s="16"/>
      <c r="L372" s="16"/>
      <c r="M372" s="16"/>
      <c r="N372" s="16"/>
      <c r="O372" s="16"/>
      <c r="P372" s="16"/>
      <c r="Q372" s="16"/>
      <c r="R372" s="16"/>
      <c r="S372" s="16"/>
      <c r="T372" s="16"/>
      <c r="U372" s="16"/>
      <c r="V372" s="16"/>
      <c r="W372" s="16"/>
    </row>
    <row r="373" spans="3:23" ht="17.25" hidden="1" customHeight="1">
      <c r="C373" s="10"/>
      <c r="D373" s="119"/>
      <c r="E373" s="119"/>
      <c r="F373" s="16"/>
      <c r="G373" s="16"/>
      <c r="H373" s="16"/>
      <c r="I373" s="16"/>
      <c r="J373" s="16"/>
      <c r="K373" s="16"/>
      <c r="L373" s="16"/>
      <c r="M373" s="16"/>
      <c r="N373" s="16"/>
      <c r="O373" s="16"/>
      <c r="P373" s="16"/>
      <c r="Q373" s="16"/>
      <c r="R373" s="16"/>
      <c r="S373" s="16"/>
      <c r="T373" s="16"/>
      <c r="U373" s="16"/>
      <c r="V373" s="16"/>
      <c r="W373" s="16"/>
    </row>
    <row r="374" spans="3:23" ht="17.25" hidden="1" customHeight="1">
      <c r="C374" s="10"/>
      <c r="D374" s="119"/>
      <c r="E374" s="119"/>
      <c r="F374" s="16"/>
      <c r="G374" s="16"/>
      <c r="H374" s="16"/>
      <c r="I374" s="16"/>
      <c r="J374" s="16"/>
      <c r="K374" s="16"/>
      <c r="L374" s="16"/>
      <c r="M374" s="16"/>
      <c r="N374" s="16"/>
      <c r="O374" s="16"/>
      <c r="P374" s="16"/>
      <c r="Q374" s="16"/>
      <c r="R374" s="16"/>
      <c r="S374" s="16"/>
      <c r="T374" s="16"/>
      <c r="U374" s="16"/>
      <c r="V374" s="16"/>
      <c r="W374" s="16"/>
    </row>
    <row r="375" spans="3:23" ht="17.25" hidden="1" customHeight="1">
      <c r="C375" s="10"/>
      <c r="D375" s="119"/>
      <c r="E375" s="119"/>
      <c r="F375" s="16"/>
      <c r="G375" s="16"/>
      <c r="H375" s="16"/>
      <c r="I375" s="16"/>
      <c r="J375" s="16"/>
      <c r="K375" s="16"/>
      <c r="L375" s="16"/>
      <c r="M375" s="16"/>
      <c r="N375" s="16"/>
      <c r="O375" s="16"/>
      <c r="P375" s="16"/>
      <c r="Q375" s="16"/>
      <c r="R375" s="16"/>
      <c r="S375" s="16"/>
      <c r="T375" s="16"/>
      <c r="U375" s="16"/>
      <c r="V375" s="16"/>
      <c r="W375" s="16"/>
    </row>
    <row r="376" spans="3:23" ht="17.25" hidden="1" customHeight="1">
      <c r="C376" s="10"/>
      <c r="D376" s="119"/>
      <c r="E376" s="119"/>
      <c r="F376" s="16"/>
      <c r="G376" s="16"/>
      <c r="H376" s="16"/>
      <c r="I376" s="16"/>
      <c r="J376" s="16"/>
      <c r="K376" s="16"/>
      <c r="L376" s="16"/>
      <c r="M376" s="16"/>
      <c r="N376" s="16"/>
      <c r="O376" s="16"/>
      <c r="P376" s="16"/>
      <c r="Q376" s="16"/>
      <c r="R376" s="16"/>
      <c r="S376" s="16"/>
      <c r="T376" s="16"/>
      <c r="U376" s="16"/>
      <c r="V376" s="16"/>
      <c r="W376" s="16"/>
    </row>
    <row r="377" spans="3:23" ht="17.25" hidden="1" customHeight="1">
      <c r="C377" s="10"/>
      <c r="D377" s="119"/>
      <c r="E377" s="119"/>
      <c r="F377" s="16"/>
      <c r="G377" s="16"/>
      <c r="H377" s="16"/>
      <c r="I377" s="16"/>
      <c r="J377" s="16"/>
      <c r="K377" s="16"/>
      <c r="L377" s="16"/>
      <c r="M377" s="16"/>
      <c r="N377" s="16"/>
      <c r="O377" s="16"/>
      <c r="P377" s="16"/>
      <c r="Q377" s="16"/>
      <c r="R377" s="16"/>
      <c r="S377" s="16"/>
      <c r="T377" s="16"/>
      <c r="U377" s="16"/>
      <c r="V377" s="16"/>
      <c r="W377" s="16"/>
    </row>
    <row r="378" spans="3:23" ht="17.25" hidden="1" customHeight="1">
      <c r="C378" s="10"/>
      <c r="D378" s="119"/>
      <c r="E378" s="119"/>
      <c r="F378" s="16"/>
      <c r="G378" s="16"/>
      <c r="H378" s="16"/>
      <c r="I378" s="16"/>
      <c r="J378" s="16"/>
      <c r="K378" s="16"/>
      <c r="L378" s="16"/>
      <c r="M378" s="16"/>
      <c r="N378" s="16"/>
      <c r="O378" s="16"/>
      <c r="P378" s="16"/>
      <c r="Q378" s="16"/>
      <c r="R378" s="16"/>
      <c r="S378" s="16"/>
      <c r="T378" s="16"/>
      <c r="U378" s="16"/>
      <c r="V378" s="16"/>
      <c r="W378" s="16"/>
    </row>
    <row r="379" spans="3:23" ht="17.25" hidden="1" customHeight="1">
      <c r="C379" s="10"/>
      <c r="D379" s="119"/>
      <c r="E379" s="119"/>
      <c r="F379" s="16"/>
      <c r="G379" s="16"/>
      <c r="H379" s="16"/>
      <c r="I379" s="16"/>
      <c r="J379" s="16"/>
      <c r="K379" s="16"/>
      <c r="L379" s="16"/>
      <c r="M379" s="16"/>
      <c r="N379" s="16"/>
      <c r="O379" s="16"/>
      <c r="P379" s="16"/>
      <c r="Q379" s="16"/>
      <c r="R379" s="16"/>
      <c r="S379" s="16"/>
      <c r="T379" s="16"/>
      <c r="U379" s="16"/>
      <c r="V379" s="16"/>
      <c r="W379" s="16"/>
    </row>
    <row r="380" spans="3:23" ht="17.25" hidden="1" customHeight="1">
      <c r="C380" s="10"/>
      <c r="D380" s="119"/>
      <c r="E380" s="119"/>
      <c r="F380" s="16"/>
      <c r="G380" s="16"/>
      <c r="H380" s="16"/>
      <c r="I380" s="16"/>
      <c r="J380" s="16"/>
      <c r="K380" s="16"/>
      <c r="L380" s="16"/>
      <c r="M380" s="16"/>
      <c r="N380" s="16"/>
      <c r="O380" s="16"/>
      <c r="P380" s="16"/>
      <c r="Q380" s="16"/>
      <c r="R380" s="16"/>
      <c r="S380" s="16"/>
      <c r="T380" s="16"/>
      <c r="U380" s="16"/>
      <c r="V380" s="16"/>
      <c r="W380" s="16"/>
    </row>
    <row r="381" spans="3:23" ht="17.25" hidden="1" customHeight="1">
      <c r="C381" s="10"/>
      <c r="D381" s="119"/>
      <c r="E381" s="119"/>
      <c r="F381" s="16"/>
      <c r="G381" s="16"/>
      <c r="H381" s="16"/>
      <c r="I381" s="16"/>
      <c r="J381" s="16"/>
      <c r="K381" s="16"/>
      <c r="L381" s="16"/>
      <c r="M381" s="16"/>
      <c r="N381" s="16"/>
      <c r="O381" s="16"/>
      <c r="P381" s="16"/>
      <c r="Q381" s="16"/>
      <c r="R381" s="16"/>
      <c r="S381" s="16"/>
      <c r="T381" s="16"/>
      <c r="U381" s="16"/>
      <c r="V381" s="16"/>
      <c r="W381" s="16"/>
    </row>
    <row r="382" spans="3:23" ht="17.25" hidden="1" customHeight="1">
      <c r="C382" s="10"/>
      <c r="D382" s="119"/>
      <c r="E382" s="119"/>
      <c r="F382" s="16"/>
      <c r="G382" s="16"/>
      <c r="H382" s="16"/>
      <c r="I382" s="16"/>
      <c r="J382" s="16"/>
      <c r="K382" s="16"/>
      <c r="L382" s="16"/>
      <c r="M382" s="16"/>
      <c r="N382" s="16"/>
      <c r="O382" s="16"/>
      <c r="P382" s="16"/>
      <c r="Q382" s="16"/>
      <c r="R382" s="16"/>
      <c r="S382" s="16"/>
      <c r="T382" s="16"/>
      <c r="U382" s="16"/>
      <c r="V382" s="16"/>
      <c r="W382" s="16"/>
    </row>
    <row r="383" spans="3:23" ht="17.25" hidden="1" customHeight="1">
      <c r="C383" s="10"/>
      <c r="D383" s="119"/>
      <c r="E383" s="119"/>
      <c r="F383" s="16"/>
      <c r="G383" s="16"/>
      <c r="H383" s="16"/>
      <c r="I383" s="16"/>
      <c r="J383" s="16"/>
      <c r="K383" s="16"/>
      <c r="L383" s="16"/>
      <c r="M383" s="16"/>
      <c r="N383" s="16"/>
      <c r="O383" s="16"/>
      <c r="P383" s="16"/>
      <c r="Q383" s="16"/>
      <c r="R383" s="16"/>
      <c r="S383" s="16"/>
      <c r="T383" s="16"/>
      <c r="U383" s="16"/>
      <c r="V383" s="16"/>
      <c r="W383" s="16"/>
    </row>
    <row r="384" spans="3:23" ht="17.25" hidden="1" customHeight="1">
      <c r="C384" s="10"/>
      <c r="D384" s="119"/>
      <c r="E384" s="119"/>
      <c r="F384" s="16"/>
      <c r="G384" s="16"/>
      <c r="H384" s="16"/>
      <c r="I384" s="16"/>
      <c r="J384" s="16"/>
      <c r="K384" s="16"/>
      <c r="L384" s="16"/>
      <c r="M384" s="16"/>
      <c r="N384" s="16"/>
      <c r="O384" s="16"/>
      <c r="P384" s="16"/>
      <c r="Q384" s="16"/>
      <c r="R384" s="16"/>
      <c r="S384" s="16"/>
      <c r="T384" s="16"/>
      <c r="U384" s="16"/>
      <c r="V384" s="16"/>
      <c r="W384" s="16"/>
    </row>
    <row r="385" spans="3:23" ht="17.25" hidden="1" customHeight="1">
      <c r="C385" s="10"/>
      <c r="D385" s="119"/>
      <c r="E385" s="119"/>
      <c r="F385" s="16"/>
      <c r="G385" s="16"/>
      <c r="H385" s="16"/>
      <c r="I385" s="16"/>
      <c r="J385" s="16"/>
      <c r="K385" s="16"/>
      <c r="L385" s="16"/>
      <c r="M385" s="16"/>
      <c r="N385" s="16"/>
      <c r="O385" s="16"/>
      <c r="P385" s="16"/>
      <c r="Q385" s="16"/>
      <c r="R385" s="16"/>
      <c r="S385" s="16"/>
      <c r="T385" s="16"/>
      <c r="U385" s="16"/>
      <c r="V385" s="16"/>
      <c r="W385" s="16"/>
    </row>
    <row r="386" spans="3:23" ht="17.25" hidden="1" customHeight="1">
      <c r="C386" s="10"/>
      <c r="D386" s="119"/>
      <c r="E386" s="119"/>
      <c r="F386" s="16"/>
      <c r="G386" s="16"/>
      <c r="H386" s="16"/>
      <c r="I386" s="16"/>
      <c r="J386" s="16"/>
      <c r="K386" s="16"/>
      <c r="L386" s="16"/>
      <c r="M386" s="16"/>
      <c r="N386" s="16"/>
      <c r="O386" s="16"/>
      <c r="P386" s="16"/>
      <c r="Q386" s="16"/>
      <c r="R386" s="16"/>
      <c r="S386" s="16"/>
      <c r="T386" s="16"/>
      <c r="U386" s="16"/>
      <c r="V386" s="16"/>
      <c r="W386" s="16"/>
    </row>
    <row r="387" spans="3:23" ht="17.25" hidden="1" customHeight="1">
      <c r="C387" s="10"/>
      <c r="D387" s="119"/>
      <c r="E387" s="119"/>
      <c r="F387" s="16"/>
      <c r="G387" s="16"/>
      <c r="H387" s="16"/>
      <c r="I387" s="16"/>
      <c r="J387" s="16"/>
      <c r="K387" s="16"/>
      <c r="L387" s="16"/>
      <c r="M387" s="16"/>
      <c r="N387" s="16"/>
      <c r="O387" s="16"/>
      <c r="P387" s="16"/>
      <c r="Q387" s="16"/>
      <c r="R387" s="16"/>
      <c r="S387" s="16"/>
      <c r="T387" s="16"/>
      <c r="U387" s="16"/>
      <c r="V387" s="16"/>
      <c r="W387" s="16"/>
    </row>
    <row r="388" spans="3:23" ht="17.25" hidden="1" customHeight="1">
      <c r="C388" s="10"/>
      <c r="D388" s="119"/>
      <c r="E388" s="119"/>
      <c r="F388" s="16"/>
      <c r="G388" s="16"/>
      <c r="H388" s="16"/>
      <c r="I388" s="16"/>
      <c r="J388" s="16"/>
      <c r="K388" s="16"/>
      <c r="L388" s="16"/>
      <c r="M388" s="16"/>
      <c r="N388" s="16"/>
      <c r="O388" s="16"/>
      <c r="P388" s="16"/>
      <c r="Q388" s="16"/>
      <c r="R388" s="16"/>
      <c r="S388" s="16"/>
      <c r="T388" s="16"/>
      <c r="U388" s="16"/>
      <c r="V388" s="16"/>
      <c r="W388" s="16"/>
    </row>
    <row r="389" spans="3:23" ht="17.25" hidden="1" customHeight="1">
      <c r="C389" s="10"/>
      <c r="D389" s="119"/>
      <c r="E389" s="119"/>
      <c r="F389" s="16"/>
      <c r="G389" s="16"/>
      <c r="H389" s="16"/>
      <c r="I389" s="16"/>
      <c r="J389" s="16"/>
      <c r="K389" s="16"/>
      <c r="L389" s="16"/>
      <c r="M389" s="16"/>
      <c r="N389" s="16"/>
      <c r="O389" s="16"/>
      <c r="P389" s="16"/>
      <c r="Q389" s="16"/>
      <c r="R389" s="16"/>
      <c r="S389" s="16"/>
      <c r="T389" s="16"/>
      <c r="U389" s="16"/>
      <c r="V389" s="16"/>
      <c r="W389" s="16"/>
    </row>
    <row r="390" spans="3:23" ht="17.25" hidden="1" customHeight="1">
      <c r="C390" s="10"/>
      <c r="D390" s="119"/>
      <c r="E390" s="119"/>
      <c r="F390" s="16"/>
      <c r="G390" s="16"/>
      <c r="H390" s="16"/>
      <c r="I390" s="16"/>
      <c r="J390" s="16"/>
      <c r="K390" s="16"/>
      <c r="L390" s="16"/>
      <c r="M390" s="16"/>
      <c r="N390" s="16"/>
      <c r="O390" s="16"/>
      <c r="P390" s="16"/>
      <c r="Q390" s="16"/>
      <c r="R390" s="16"/>
      <c r="S390" s="16"/>
      <c r="T390" s="16"/>
      <c r="U390" s="16"/>
      <c r="V390" s="16"/>
      <c r="W390" s="16"/>
    </row>
    <row r="391" spans="3:23" ht="17.25" hidden="1" customHeight="1">
      <c r="C391" s="10"/>
      <c r="D391" s="119"/>
      <c r="E391" s="119"/>
      <c r="F391" s="16"/>
      <c r="G391" s="16"/>
      <c r="H391" s="16"/>
      <c r="I391" s="16"/>
      <c r="J391" s="16"/>
      <c r="K391" s="16"/>
      <c r="L391" s="16"/>
      <c r="M391" s="16"/>
      <c r="N391" s="16"/>
      <c r="O391" s="16"/>
      <c r="P391" s="16"/>
      <c r="Q391" s="16"/>
      <c r="R391" s="16"/>
      <c r="S391" s="16"/>
      <c r="T391" s="16"/>
      <c r="U391" s="16"/>
      <c r="V391" s="16"/>
      <c r="W391" s="16"/>
    </row>
    <row r="392" spans="3:23" ht="17.25" hidden="1" customHeight="1">
      <c r="C392" s="10"/>
      <c r="D392" s="119"/>
      <c r="E392" s="119"/>
      <c r="F392" s="16"/>
      <c r="G392" s="16"/>
      <c r="H392" s="16"/>
      <c r="I392" s="16"/>
      <c r="J392" s="16"/>
      <c r="K392" s="16"/>
      <c r="L392" s="16"/>
      <c r="M392" s="16"/>
      <c r="N392" s="16"/>
      <c r="O392" s="16"/>
      <c r="P392" s="16"/>
      <c r="Q392" s="16"/>
      <c r="R392" s="16"/>
      <c r="S392" s="16"/>
      <c r="T392" s="16"/>
      <c r="U392" s="16"/>
      <c r="V392" s="16"/>
      <c r="W392" s="16"/>
    </row>
    <row r="393" spans="3:23" ht="17.25" hidden="1" customHeight="1">
      <c r="C393" s="10"/>
      <c r="D393" s="119"/>
      <c r="E393" s="119"/>
      <c r="F393" s="16"/>
      <c r="G393" s="16"/>
      <c r="H393" s="16"/>
      <c r="I393" s="16"/>
      <c r="J393" s="16"/>
      <c r="K393" s="16"/>
      <c r="L393" s="16"/>
      <c r="M393" s="16"/>
      <c r="N393" s="16"/>
      <c r="O393" s="16"/>
      <c r="P393" s="16"/>
      <c r="Q393" s="16"/>
      <c r="R393" s="16"/>
      <c r="S393" s="16"/>
      <c r="T393" s="16"/>
      <c r="U393" s="16"/>
      <c r="V393" s="16"/>
      <c r="W393" s="16"/>
    </row>
    <row r="394" spans="3:23" ht="17.25" hidden="1" customHeight="1">
      <c r="C394" s="10"/>
      <c r="D394" s="119"/>
      <c r="E394" s="119"/>
      <c r="F394" s="16"/>
      <c r="G394" s="16"/>
      <c r="H394" s="16"/>
      <c r="I394" s="16"/>
      <c r="J394" s="16"/>
      <c r="K394" s="16"/>
      <c r="L394" s="16"/>
      <c r="M394" s="16"/>
      <c r="N394" s="16"/>
      <c r="O394" s="16"/>
      <c r="P394" s="16"/>
      <c r="Q394" s="16"/>
      <c r="R394" s="16"/>
      <c r="S394" s="16"/>
      <c r="T394" s="16"/>
      <c r="U394" s="16"/>
      <c r="V394" s="16"/>
      <c r="W394" s="16"/>
    </row>
    <row r="395" spans="3:23" ht="17.25" hidden="1" customHeight="1">
      <c r="C395" s="10"/>
      <c r="D395" s="119"/>
      <c r="E395" s="119"/>
      <c r="F395" s="16"/>
      <c r="G395" s="16"/>
      <c r="H395" s="16"/>
      <c r="I395" s="16"/>
      <c r="J395" s="16"/>
      <c r="K395" s="16"/>
      <c r="L395" s="16"/>
      <c r="M395" s="16"/>
      <c r="N395" s="16"/>
      <c r="O395" s="16"/>
      <c r="P395" s="16"/>
      <c r="Q395" s="16"/>
      <c r="R395" s="16"/>
      <c r="S395" s="16"/>
      <c r="T395" s="16"/>
      <c r="U395" s="16"/>
      <c r="V395" s="16"/>
      <c r="W395" s="16"/>
    </row>
    <row r="396" spans="3:23" ht="17.25" hidden="1" customHeight="1">
      <c r="C396" s="10"/>
      <c r="D396" s="119"/>
      <c r="E396" s="119"/>
      <c r="F396" s="16"/>
      <c r="G396" s="16"/>
      <c r="H396" s="16"/>
      <c r="I396" s="16"/>
      <c r="J396" s="16"/>
      <c r="K396" s="16"/>
      <c r="L396" s="16"/>
      <c r="M396" s="16"/>
      <c r="N396" s="16"/>
      <c r="O396" s="16"/>
      <c r="P396" s="16"/>
      <c r="Q396" s="16"/>
      <c r="R396" s="16"/>
      <c r="S396" s="16"/>
      <c r="T396" s="16"/>
      <c r="U396" s="16"/>
      <c r="V396" s="16"/>
      <c r="W396" s="16"/>
    </row>
    <row r="397" spans="3:23" ht="17.25" hidden="1" customHeight="1">
      <c r="C397" s="10"/>
      <c r="D397" s="119"/>
      <c r="E397" s="119"/>
      <c r="F397" s="16"/>
      <c r="G397" s="16"/>
      <c r="H397" s="16"/>
      <c r="I397" s="16"/>
      <c r="J397" s="16"/>
      <c r="K397" s="16"/>
      <c r="L397" s="16"/>
      <c r="M397" s="16"/>
      <c r="N397" s="16"/>
      <c r="O397" s="16"/>
      <c r="P397" s="16"/>
      <c r="Q397" s="16"/>
      <c r="R397" s="16"/>
      <c r="S397" s="16"/>
      <c r="T397" s="16"/>
      <c r="U397" s="16"/>
      <c r="V397" s="16"/>
      <c r="W397" s="16"/>
    </row>
    <row r="398" spans="3:23" ht="17.25" hidden="1" customHeight="1">
      <c r="C398" s="10"/>
      <c r="D398" s="119"/>
      <c r="E398" s="119"/>
      <c r="F398" s="16"/>
      <c r="G398" s="16"/>
      <c r="H398" s="16"/>
      <c r="I398" s="16"/>
      <c r="J398" s="16"/>
      <c r="K398" s="16"/>
      <c r="L398" s="16"/>
      <c r="M398" s="16"/>
      <c r="N398" s="16"/>
      <c r="O398" s="16"/>
      <c r="P398" s="16"/>
      <c r="Q398" s="16"/>
      <c r="R398" s="16"/>
      <c r="S398" s="16"/>
      <c r="T398" s="16"/>
      <c r="U398" s="16"/>
      <c r="V398" s="16"/>
      <c r="W398" s="16"/>
    </row>
    <row r="399" spans="3:23" ht="17.25" hidden="1" customHeight="1">
      <c r="C399" s="10"/>
      <c r="D399" s="119"/>
      <c r="E399" s="119"/>
      <c r="F399" s="16"/>
      <c r="G399" s="16"/>
      <c r="H399" s="16"/>
      <c r="I399" s="16"/>
      <c r="J399" s="16"/>
      <c r="K399" s="16"/>
      <c r="L399" s="16"/>
      <c r="M399" s="16"/>
      <c r="N399" s="16"/>
      <c r="O399" s="16"/>
      <c r="P399" s="16"/>
      <c r="Q399" s="16"/>
      <c r="R399" s="16"/>
      <c r="S399" s="16"/>
      <c r="T399" s="16"/>
      <c r="U399" s="16"/>
      <c r="V399" s="16"/>
      <c r="W399" s="16"/>
    </row>
    <row r="400" spans="3:23" ht="17.25" hidden="1" customHeight="1">
      <c r="C400" s="10"/>
      <c r="D400" s="119"/>
      <c r="E400" s="119"/>
      <c r="F400" s="16"/>
      <c r="G400" s="16"/>
      <c r="H400" s="16"/>
      <c r="I400" s="16"/>
      <c r="J400" s="16"/>
      <c r="K400" s="16"/>
      <c r="L400" s="16"/>
      <c r="M400" s="16"/>
      <c r="N400" s="16"/>
      <c r="O400" s="16"/>
      <c r="P400" s="16"/>
      <c r="Q400" s="16"/>
      <c r="R400" s="16"/>
      <c r="S400" s="16"/>
      <c r="T400" s="16"/>
      <c r="U400" s="16"/>
      <c r="V400" s="16"/>
      <c r="W400" s="16"/>
    </row>
    <row r="401" spans="3:23" ht="17.25" hidden="1" customHeight="1">
      <c r="C401" s="10"/>
      <c r="D401" s="119"/>
      <c r="E401" s="119"/>
      <c r="F401" s="16"/>
      <c r="G401" s="16"/>
      <c r="H401" s="16"/>
      <c r="I401" s="16"/>
      <c r="J401" s="16"/>
      <c r="K401" s="16"/>
      <c r="L401" s="16"/>
      <c r="M401" s="16"/>
      <c r="N401" s="16"/>
      <c r="O401" s="16"/>
      <c r="P401" s="16"/>
      <c r="Q401" s="16"/>
      <c r="R401" s="16"/>
      <c r="S401" s="16"/>
      <c r="T401" s="16"/>
      <c r="U401" s="16"/>
      <c r="V401" s="16"/>
      <c r="W401" s="16"/>
    </row>
    <row r="402" spans="3:23" ht="17.25" hidden="1" customHeight="1">
      <c r="C402" s="10"/>
      <c r="D402" s="119"/>
      <c r="E402" s="119"/>
      <c r="F402" s="16"/>
      <c r="G402" s="16"/>
      <c r="H402" s="16"/>
      <c r="I402" s="16"/>
      <c r="J402" s="16"/>
      <c r="K402" s="16"/>
      <c r="L402" s="16"/>
      <c r="M402" s="16"/>
      <c r="N402" s="16"/>
      <c r="O402" s="16"/>
      <c r="P402" s="16"/>
      <c r="Q402" s="16"/>
      <c r="R402" s="16"/>
      <c r="S402" s="16"/>
      <c r="T402" s="16"/>
      <c r="U402" s="16"/>
      <c r="V402" s="16"/>
      <c r="W402" s="16"/>
    </row>
    <row r="403" spans="3:23" ht="17.25" hidden="1" customHeight="1">
      <c r="C403" s="10"/>
      <c r="D403" s="119"/>
      <c r="E403" s="119"/>
      <c r="F403" s="16"/>
      <c r="G403" s="16"/>
      <c r="H403" s="16"/>
      <c r="I403" s="16"/>
      <c r="J403" s="16"/>
      <c r="K403" s="16"/>
      <c r="L403" s="16"/>
      <c r="M403" s="16"/>
      <c r="N403" s="16"/>
      <c r="O403" s="16"/>
      <c r="P403" s="16"/>
      <c r="Q403" s="16"/>
      <c r="R403" s="16"/>
      <c r="S403" s="16"/>
      <c r="T403" s="16"/>
      <c r="U403" s="16"/>
      <c r="V403" s="16"/>
      <c r="W403" s="16"/>
    </row>
    <row r="404" spans="3:23" ht="17.25" hidden="1" customHeight="1">
      <c r="C404" s="10"/>
      <c r="D404" s="119"/>
      <c r="E404" s="119"/>
      <c r="F404" s="16"/>
      <c r="G404" s="16"/>
      <c r="H404" s="16"/>
      <c r="I404" s="16"/>
      <c r="J404" s="16"/>
      <c r="K404" s="16"/>
      <c r="L404" s="16"/>
      <c r="M404" s="16"/>
      <c r="N404" s="16"/>
      <c r="O404" s="16"/>
      <c r="P404" s="16"/>
      <c r="Q404" s="16"/>
      <c r="R404" s="16"/>
      <c r="S404" s="16"/>
      <c r="T404" s="16"/>
      <c r="U404" s="16"/>
      <c r="V404" s="16"/>
      <c r="W404" s="16"/>
    </row>
    <row r="405" spans="3:23" ht="17.25" hidden="1" customHeight="1">
      <c r="C405" s="10"/>
      <c r="D405" s="119"/>
      <c r="E405" s="119"/>
      <c r="F405" s="16"/>
      <c r="G405" s="16"/>
      <c r="H405" s="16"/>
      <c r="I405" s="16"/>
      <c r="J405" s="16"/>
      <c r="K405" s="16"/>
      <c r="L405" s="16"/>
      <c r="M405" s="16"/>
      <c r="N405" s="16"/>
      <c r="O405" s="16"/>
      <c r="P405" s="16"/>
      <c r="Q405" s="16"/>
      <c r="R405" s="16"/>
      <c r="S405" s="16"/>
      <c r="T405" s="16"/>
      <c r="U405" s="16"/>
      <c r="V405" s="16"/>
      <c r="W405" s="16"/>
    </row>
    <row r="406" spans="3:23" ht="17.25" hidden="1" customHeight="1">
      <c r="C406" s="10"/>
      <c r="D406" s="119"/>
      <c r="E406" s="119"/>
      <c r="F406" s="16"/>
      <c r="G406" s="16"/>
      <c r="H406" s="16"/>
      <c r="I406" s="16"/>
      <c r="J406" s="16"/>
      <c r="K406" s="16"/>
      <c r="L406" s="16"/>
      <c r="M406" s="16"/>
      <c r="N406" s="16"/>
      <c r="O406" s="16"/>
      <c r="P406" s="16"/>
      <c r="Q406" s="16"/>
      <c r="R406" s="16"/>
      <c r="S406" s="16"/>
      <c r="T406" s="16"/>
      <c r="U406" s="16"/>
      <c r="V406" s="16"/>
      <c r="W406" s="16"/>
    </row>
    <row r="407" spans="3:23" ht="17.25" hidden="1" customHeight="1">
      <c r="C407" s="10"/>
      <c r="D407" s="119"/>
      <c r="E407" s="119"/>
      <c r="F407" s="16"/>
      <c r="G407" s="16"/>
      <c r="H407" s="16"/>
      <c r="I407" s="16"/>
      <c r="J407" s="16"/>
      <c r="K407" s="16"/>
      <c r="L407" s="16"/>
      <c r="M407" s="16"/>
      <c r="N407" s="16"/>
      <c r="O407" s="16"/>
      <c r="P407" s="16"/>
      <c r="Q407" s="16"/>
      <c r="R407" s="16"/>
      <c r="S407" s="16"/>
      <c r="T407" s="16"/>
      <c r="U407" s="16"/>
      <c r="V407" s="16"/>
      <c r="W407" s="16"/>
    </row>
    <row r="408" spans="3:23" ht="17.25" hidden="1" customHeight="1">
      <c r="C408" s="10"/>
      <c r="D408" s="119"/>
      <c r="E408" s="119"/>
      <c r="F408" s="16"/>
      <c r="G408" s="16"/>
      <c r="H408" s="16"/>
      <c r="I408" s="16"/>
      <c r="J408" s="16"/>
      <c r="K408" s="16"/>
      <c r="L408" s="16"/>
      <c r="M408" s="16"/>
      <c r="N408" s="16"/>
      <c r="O408" s="16"/>
      <c r="P408" s="16"/>
      <c r="Q408" s="16"/>
      <c r="R408" s="16"/>
      <c r="S408" s="16"/>
      <c r="T408" s="16"/>
      <c r="U408" s="16"/>
      <c r="V408" s="16"/>
      <c r="W408" s="16"/>
    </row>
    <row r="409" spans="3:23" ht="17.25" hidden="1" customHeight="1">
      <c r="C409" s="10"/>
      <c r="D409" s="119"/>
      <c r="E409" s="119"/>
      <c r="F409" s="16"/>
      <c r="G409" s="16"/>
      <c r="H409" s="16"/>
      <c r="I409" s="16"/>
      <c r="J409" s="16"/>
      <c r="K409" s="16"/>
      <c r="L409" s="16"/>
      <c r="M409" s="16"/>
      <c r="N409" s="16"/>
      <c r="O409" s="16"/>
      <c r="P409" s="16"/>
      <c r="Q409" s="16"/>
      <c r="R409" s="16"/>
      <c r="S409" s="16"/>
      <c r="T409" s="16"/>
      <c r="U409" s="16"/>
      <c r="V409" s="16"/>
      <c r="W409" s="16"/>
    </row>
    <row r="410" spans="3:23" ht="17.25" hidden="1" customHeight="1">
      <c r="C410" s="10"/>
      <c r="D410" s="119"/>
      <c r="E410" s="119"/>
      <c r="F410" s="16"/>
      <c r="G410" s="16"/>
      <c r="H410" s="16"/>
      <c r="I410" s="16"/>
      <c r="J410" s="16"/>
      <c r="K410" s="16"/>
      <c r="L410" s="16"/>
      <c r="M410" s="16"/>
      <c r="N410" s="16"/>
      <c r="O410" s="16"/>
      <c r="P410" s="16"/>
      <c r="Q410" s="16"/>
      <c r="R410" s="16"/>
      <c r="S410" s="16"/>
      <c r="T410" s="16"/>
      <c r="U410" s="16"/>
      <c r="V410" s="16"/>
      <c r="W410" s="16"/>
    </row>
    <row r="411" spans="3:23" ht="17.25" hidden="1" customHeight="1">
      <c r="C411" s="10"/>
      <c r="D411" s="119"/>
      <c r="E411" s="119"/>
      <c r="F411" s="16"/>
      <c r="G411" s="16"/>
      <c r="H411" s="16"/>
      <c r="I411" s="16"/>
      <c r="J411" s="16"/>
      <c r="K411" s="16"/>
      <c r="L411" s="16"/>
      <c r="M411" s="16"/>
      <c r="N411" s="16"/>
      <c r="O411" s="16"/>
      <c r="P411" s="16"/>
      <c r="Q411" s="16"/>
      <c r="R411" s="16"/>
      <c r="S411" s="16"/>
      <c r="T411" s="16"/>
      <c r="U411" s="16"/>
      <c r="V411" s="16"/>
      <c r="W411" s="16"/>
    </row>
    <row r="412" spans="3:23" ht="17.25" hidden="1" customHeight="1">
      <c r="C412" s="10"/>
      <c r="D412" s="119"/>
      <c r="E412" s="119"/>
      <c r="F412" s="16"/>
      <c r="G412" s="16"/>
      <c r="H412" s="16"/>
      <c r="I412" s="16"/>
      <c r="J412" s="16"/>
      <c r="K412" s="16"/>
      <c r="L412" s="16"/>
      <c r="M412" s="16"/>
      <c r="N412" s="16"/>
      <c r="O412" s="16"/>
      <c r="P412" s="16"/>
      <c r="Q412" s="16"/>
      <c r="R412" s="16"/>
      <c r="S412" s="16"/>
      <c r="T412" s="16"/>
      <c r="U412" s="16"/>
      <c r="V412" s="16"/>
      <c r="W412" s="16"/>
    </row>
    <row r="413" spans="3:23" ht="17.25" hidden="1" customHeight="1">
      <c r="C413" s="10"/>
      <c r="D413" s="119"/>
      <c r="E413" s="119"/>
      <c r="F413" s="16"/>
      <c r="G413" s="16"/>
      <c r="H413" s="16"/>
      <c r="I413" s="16"/>
      <c r="J413" s="16"/>
      <c r="K413" s="16"/>
      <c r="L413" s="16"/>
      <c r="M413" s="16"/>
      <c r="N413" s="16"/>
      <c r="O413" s="16"/>
      <c r="P413" s="16"/>
      <c r="Q413" s="16"/>
      <c r="R413" s="16"/>
      <c r="S413" s="16"/>
      <c r="T413" s="16"/>
      <c r="U413" s="16"/>
      <c r="V413" s="16"/>
      <c r="W413" s="16"/>
    </row>
    <row r="414" spans="3:23" ht="17.25" hidden="1" customHeight="1">
      <c r="C414" s="10"/>
      <c r="D414" s="119"/>
      <c r="E414" s="119"/>
      <c r="F414" s="16"/>
      <c r="G414" s="16"/>
      <c r="H414" s="16"/>
      <c r="I414" s="16"/>
      <c r="J414" s="16"/>
      <c r="K414" s="16"/>
      <c r="L414" s="16"/>
      <c r="M414" s="16"/>
      <c r="N414" s="16"/>
      <c r="O414" s="16"/>
      <c r="P414" s="16"/>
      <c r="Q414" s="16"/>
      <c r="R414" s="16"/>
      <c r="S414" s="16"/>
      <c r="T414" s="16"/>
      <c r="U414" s="16"/>
      <c r="V414" s="16"/>
      <c r="W414" s="16"/>
    </row>
    <row r="415" spans="3:23" ht="17.25" hidden="1" customHeight="1">
      <c r="C415" s="10"/>
      <c r="D415" s="119"/>
      <c r="E415" s="119"/>
      <c r="F415" s="16"/>
      <c r="G415" s="16"/>
      <c r="H415" s="16"/>
      <c r="I415" s="16"/>
      <c r="J415" s="16"/>
      <c r="K415" s="16"/>
      <c r="L415" s="16"/>
      <c r="M415" s="16"/>
      <c r="N415" s="16"/>
      <c r="O415" s="16"/>
      <c r="P415" s="16"/>
      <c r="Q415" s="16"/>
      <c r="R415" s="16"/>
      <c r="S415" s="16"/>
      <c r="T415" s="16"/>
      <c r="U415" s="16"/>
      <c r="V415" s="16"/>
      <c r="W415" s="16"/>
    </row>
    <row r="416" spans="3:23" ht="17.25" hidden="1" customHeight="1">
      <c r="C416" s="10"/>
      <c r="D416" s="119"/>
      <c r="E416" s="119"/>
      <c r="F416" s="16"/>
      <c r="G416" s="16"/>
      <c r="H416" s="16"/>
      <c r="I416" s="16"/>
      <c r="J416" s="16"/>
      <c r="K416" s="16"/>
      <c r="L416" s="16"/>
      <c r="M416" s="16"/>
      <c r="N416" s="16"/>
      <c r="O416" s="16"/>
      <c r="P416" s="16"/>
      <c r="Q416" s="16"/>
      <c r="R416" s="16"/>
      <c r="S416" s="16"/>
      <c r="T416" s="16"/>
      <c r="U416" s="16"/>
      <c r="V416" s="16"/>
      <c r="W416" s="16"/>
    </row>
    <row r="417" spans="3:23" ht="17.25" hidden="1" customHeight="1">
      <c r="C417" s="10"/>
      <c r="D417" s="119"/>
      <c r="E417" s="119"/>
      <c r="F417" s="16"/>
      <c r="G417" s="16"/>
      <c r="H417" s="16"/>
      <c r="I417" s="16"/>
      <c r="J417" s="16"/>
      <c r="K417" s="16"/>
      <c r="L417" s="16"/>
      <c r="M417" s="16"/>
      <c r="N417" s="16"/>
      <c r="O417" s="16"/>
      <c r="P417" s="16"/>
      <c r="Q417" s="16"/>
      <c r="R417" s="16"/>
      <c r="S417" s="16"/>
      <c r="T417" s="16"/>
      <c r="U417" s="16"/>
      <c r="V417" s="16"/>
      <c r="W417" s="16"/>
    </row>
    <row r="418" spans="3:23" ht="17.25" hidden="1" customHeight="1">
      <c r="C418" s="10"/>
      <c r="D418" s="119"/>
      <c r="E418" s="119"/>
      <c r="F418" s="16"/>
      <c r="G418" s="16"/>
      <c r="H418" s="16"/>
      <c r="I418" s="16"/>
      <c r="J418" s="16"/>
      <c r="K418" s="16"/>
      <c r="L418" s="16"/>
      <c r="M418" s="16"/>
      <c r="N418" s="16"/>
      <c r="O418" s="16"/>
      <c r="P418" s="16"/>
      <c r="Q418" s="16"/>
      <c r="R418" s="16"/>
      <c r="S418" s="16"/>
      <c r="T418" s="16"/>
      <c r="U418" s="16"/>
      <c r="V418" s="16"/>
      <c r="W418" s="16"/>
    </row>
    <row r="419" spans="3:23" ht="17.25" hidden="1" customHeight="1">
      <c r="C419" s="10"/>
      <c r="D419" s="119"/>
      <c r="E419" s="119"/>
      <c r="F419" s="16"/>
      <c r="G419" s="16"/>
      <c r="H419" s="16"/>
      <c r="I419" s="16"/>
      <c r="J419" s="16"/>
      <c r="K419" s="16"/>
      <c r="L419" s="16"/>
      <c r="M419" s="16"/>
      <c r="N419" s="16"/>
      <c r="O419" s="16"/>
      <c r="P419" s="16"/>
      <c r="Q419" s="16"/>
      <c r="R419" s="16"/>
      <c r="S419" s="16"/>
      <c r="T419" s="16"/>
      <c r="U419" s="16"/>
      <c r="V419" s="16"/>
      <c r="W419" s="16"/>
    </row>
    <row r="420" spans="3:23" ht="17.25" hidden="1" customHeight="1">
      <c r="C420" s="10"/>
      <c r="D420" s="119"/>
      <c r="E420" s="119"/>
      <c r="F420" s="16"/>
      <c r="G420" s="16"/>
      <c r="H420" s="16"/>
      <c r="I420" s="16"/>
      <c r="J420" s="16"/>
      <c r="K420" s="16"/>
      <c r="L420" s="16"/>
      <c r="M420" s="16"/>
      <c r="N420" s="16"/>
      <c r="O420" s="16"/>
      <c r="P420" s="16"/>
      <c r="Q420" s="16"/>
      <c r="R420" s="16"/>
      <c r="S420" s="16"/>
      <c r="T420" s="16"/>
      <c r="U420" s="16"/>
      <c r="V420" s="16"/>
      <c r="W420" s="16"/>
    </row>
    <row r="421" spans="3:23" ht="17.25" hidden="1" customHeight="1">
      <c r="C421" s="10"/>
      <c r="D421" s="119"/>
      <c r="E421" s="119"/>
      <c r="F421" s="16"/>
      <c r="G421" s="16"/>
      <c r="H421" s="16"/>
      <c r="I421" s="16"/>
      <c r="J421" s="16"/>
      <c r="K421" s="16"/>
      <c r="L421" s="16"/>
      <c r="M421" s="16"/>
      <c r="N421" s="16"/>
      <c r="O421" s="16"/>
      <c r="P421" s="16"/>
      <c r="Q421" s="16"/>
      <c r="R421" s="16"/>
      <c r="S421" s="16"/>
      <c r="T421" s="16"/>
      <c r="U421" s="16"/>
      <c r="V421" s="16"/>
      <c r="W421" s="16"/>
    </row>
    <row r="422" spans="3:23" ht="17.25" hidden="1" customHeight="1">
      <c r="C422" s="10"/>
      <c r="D422" s="119"/>
      <c r="E422" s="119"/>
      <c r="F422" s="16"/>
      <c r="G422" s="16"/>
      <c r="H422" s="16"/>
      <c r="I422" s="16"/>
      <c r="J422" s="16"/>
      <c r="K422" s="16"/>
      <c r="L422" s="16"/>
      <c r="M422" s="16"/>
      <c r="N422" s="16"/>
      <c r="O422" s="16"/>
      <c r="P422" s="16"/>
      <c r="Q422" s="16"/>
      <c r="R422" s="16"/>
      <c r="S422" s="16"/>
      <c r="T422" s="16"/>
      <c r="U422" s="16"/>
      <c r="V422" s="16"/>
      <c r="W422" s="16"/>
    </row>
    <row r="423" spans="3:23" ht="17.25" hidden="1" customHeight="1">
      <c r="C423" s="10"/>
      <c r="D423" s="119"/>
      <c r="E423" s="119"/>
      <c r="F423" s="16"/>
      <c r="G423" s="16"/>
      <c r="H423" s="16"/>
      <c r="I423" s="16"/>
      <c r="J423" s="16"/>
      <c r="K423" s="16"/>
      <c r="L423" s="16"/>
      <c r="M423" s="16"/>
      <c r="N423" s="16"/>
      <c r="O423" s="16"/>
      <c r="P423" s="16"/>
      <c r="Q423" s="16"/>
      <c r="R423" s="16"/>
      <c r="S423" s="16"/>
      <c r="T423" s="16"/>
      <c r="U423" s="16"/>
      <c r="V423" s="16"/>
      <c r="W423" s="16"/>
    </row>
    <row r="424" spans="3:23" ht="17.25" hidden="1" customHeight="1">
      <c r="C424" s="10"/>
      <c r="D424" s="119"/>
      <c r="E424" s="119"/>
      <c r="F424" s="16"/>
      <c r="G424" s="16"/>
      <c r="H424" s="16"/>
      <c r="I424" s="16"/>
      <c r="J424" s="16"/>
      <c r="K424" s="16"/>
      <c r="L424" s="16"/>
      <c r="M424" s="16"/>
      <c r="N424" s="16"/>
      <c r="O424" s="16"/>
      <c r="P424" s="16"/>
      <c r="Q424" s="16"/>
      <c r="R424" s="16"/>
      <c r="S424" s="16"/>
      <c r="T424" s="16"/>
      <c r="U424" s="16"/>
      <c r="V424" s="16"/>
      <c r="W424" s="16"/>
    </row>
    <row r="425" spans="3:23" ht="17.25" hidden="1" customHeight="1">
      <c r="C425" s="10"/>
      <c r="D425" s="119"/>
      <c r="E425" s="119"/>
      <c r="F425" s="16"/>
      <c r="G425" s="16"/>
      <c r="H425" s="16"/>
      <c r="I425" s="16"/>
      <c r="J425" s="16"/>
      <c r="K425" s="16"/>
      <c r="L425" s="16"/>
      <c r="M425" s="16"/>
      <c r="N425" s="16"/>
      <c r="O425" s="16"/>
      <c r="P425" s="16"/>
      <c r="Q425" s="16"/>
      <c r="R425" s="16"/>
      <c r="S425" s="16"/>
      <c r="T425" s="16"/>
      <c r="U425" s="16"/>
      <c r="V425" s="16"/>
      <c r="W425" s="16"/>
    </row>
    <row r="426" spans="3:23" ht="17.25" hidden="1" customHeight="1">
      <c r="C426" s="10"/>
      <c r="D426" s="119"/>
      <c r="E426" s="119"/>
      <c r="F426" s="16"/>
      <c r="G426" s="16"/>
      <c r="H426" s="16"/>
      <c r="I426" s="16"/>
      <c r="J426" s="16"/>
      <c r="K426" s="16"/>
      <c r="L426" s="16"/>
      <c r="M426" s="16"/>
      <c r="N426" s="16"/>
      <c r="O426" s="16"/>
      <c r="P426" s="16"/>
      <c r="Q426" s="16"/>
      <c r="R426" s="16"/>
      <c r="S426" s="16"/>
      <c r="T426" s="16"/>
      <c r="U426" s="16"/>
      <c r="V426" s="16"/>
      <c r="W426" s="16"/>
    </row>
    <row r="427" spans="3:23" ht="17.25" hidden="1" customHeight="1">
      <c r="C427" s="10"/>
      <c r="D427" s="119"/>
      <c r="E427" s="119"/>
      <c r="F427" s="16"/>
      <c r="G427" s="16"/>
      <c r="H427" s="16"/>
      <c r="I427" s="16"/>
      <c r="J427" s="16"/>
      <c r="K427" s="16"/>
      <c r="L427" s="16"/>
      <c r="M427" s="16"/>
      <c r="N427" s="16"/>
      <c r="O427" s="16"/>
      <c r="P427" s="16"/>
      <c r="Q427" s="16"/>
      <c r="R427" s="16"/>
      <c r="S427" s="16"/>
      <c r="T427" s="16"/>
      <c r="U427" s="16"/>
      <c r="V427" s="16"/>
      <c r="W427" s="16"/>
    </row>
    <row r="428" spans="3:23" ht="17.25" hidden="1" customHeight="1">
      <c r="C428" s="10"/>
      <c r="D428" s="119"/>
      <c r="E428" s="119"/>
      <c r="F428" s="16"/>
      <c r="G428" s="16"/>
      <c r="H428" s="16"/>
      <c r="I428" s="16"/>
      <c r="J428" s="16"/>
      <c r="K428" s="16"/>
      <c r="L428" s="16"/>
      <c r="M428" s="16"/>
      <c r="N428" s="16"/>
      <c r="O428" s="16"/>
      <c r="P428" s="16"/>
      <c r="Q428" s="16"/>
      <c r="R428" s="16"/>
      <c r="S428" s="16"/>
      <c r="T428" s="16"/>
      <c r="U428" s="16"/>
      <c r="V428" s="16"/>
      <c r="W428" s="16"/>
    </row>
    <row r="429" spans="3:23" ht="17.25" hidden="1" customHeight="1">
      <c r="C429" s="10"/>
      <c r="D429" s="119"/>
      <c r="E429" s="119"/>
      <c r="F429" s="16"/>
      <c r="G429" s="16"/>
      <c r="H429" s="16"/>
      <c r="I429" s="16"/>
      <c r="J429" s="16"/>
      <c r="K429" s="16"/>
      <c r="L429" s="16"/>
      <c r="M429" s="16"/>
      <c r="N429" s="16"/>
      <c r="O429" s="16"/>
      <c r="P429" s="16"/>
      <c r="Q429" s="16"/>
      <c r="R429" s="16"/>
      <c r="S429" s="16"/>
      <c r="T429" s="16"/>
      <c r="U429" s="16"/>
      <c r="V429" s="16"/>
      <c r="W429" s="16"/>
    </row>
    <row r="430" spans="3:23" ht="17.25" hidden="1" customHeight="1">
      <c r="C430" s="10"/>
      <c r="D430" s="119"/>
      <c r="E430" s="119"/>
      <c r="F430" s="16"/>
      <c r="G430" s="16"/>
      <c r="H430" s="16"/>
      <c r="I430" s="16"/>
      <c r="J430" s="16"/>
      <c r="K430" s="16"/>
      <c r="L430" s="16"/>
      <c r="M430" s="16"/>
      <c r="N430" s="16"/>
      <c r="O430" s="16"/>
      <c r="P430" s="16"/>
      <c r="Q430" s="16"/>
      <c r="R430" s="16"/>
      <c r="S430" s="16"/>
      <c r="T430" s="16"/>
      <c r="U430" s="16"/>
      <c r="V430" s="16"/>
      <c r="W430" s="16"/>
    </row>
    <row r="431" spans="3:23" ht="17.25" hidden="1" customHeight="1">
      <c r="C431" s="10"/>
      <c r="D431" s="119"/>
      <c r="E431" s="119"/>
      <c r="F431" s="16"/>
      <c r="G431" s="16"/>
      <c r="H431" s="16"/>
      <c r="I431" s="16"/>
      <c r="J431" s="16"/>
      <c r="K431" s="16"/>
      <c r="L431" s="16"/>
      <c r="M431" s="16"/>
      <c r="N431" s="16"/>
      <c r="O431" s="16"/>
      <c r="P431" s="16"/>
      <c r="Q431" s="16"/>
      <c r="R431" s="16"/>
      <c r="S431" s="16"/>
      <c r="T431" s="16"/>
      <c r="U431" s="16"/>
      <c r="V431" s="16"/>
      <c r="W431" s="16"/>
    </row>
    <row r="432" spans="3:23" ht="17.25" hidden="1" customHeight="1">
      <c r="C432" s="10"/>
      <c r="D432" s="119"/>
      <c r="E432" s="119"/>
      <c r="F432" s="16"/>
      <c r="G432" s="16"/>
      <c r="H432" s="16"/>
      <c r="I432" s="16"/>
      <c r="J432" s="16"/>
      <c r="K432" s="16"/>
      <c r="L432" s="16"/>
      <c r="M432" s="16"/>
      <c r="N432" s="16"/>
      <c r="O432" s="16"/>
      <c r="P432" s="16"/>
      <c r="Q432" s="16"/>
      <c r="R432" s="16"/>
      <c r="S432" s="16"/>
      <c r="T432" s="16"/>
      <c r="U432" s="16"/>
      <c r="V432" s="16"/>
      <c r="W432" s="16"/>
    </row>
    <row r="433" spans="3:23" ht="17.25" hidden="1" customHeight="1">
      <c r="C433" s="10"/>
      <c r="D433" s="119"/>
      <c r="E433" s="119"/>
      <c r="F433" s="16"/>
      <c r="G433" s="16"/>
      <c r="H433" s="16"/>
      <c r="I433" s="16"/>
      <c r="J433" s="16"/>
      <c r="K433" s="16"/>
      <c r="L433" s="16"/>
      <c r="M433" s="16"/>
      <c r="N433" s="16"/>
      <c r="O433" s="16"/>
      <c r="P433" s="16"/>
      <c r="Q433" s="16"/>
      <c r="R433" s="16"/>
      <c r="S433" s="16"/>
      <c r="T433" s="16"/>
      <c r="U433" s="16"/>
      <c r="V433" s="16"/>
      <c r="W433" s="16"/>
    </row>
    <row r="434" spans="3:23" ht="17.25" hidden="1" customHeight="1">
      <c r="C434" s="10"/>
      <c r="D434" s="119"/>
      <c r="E434" s="119"/>
      <c r="F434" s="16"/>
      <c r="G434" s="16"/>
      <c r="H434" s="16"/>
      <c r="I434" s="16"/>
      <c r="J434" s="16"/>
      <c r="K434" s="16"/>
      <c r="L434" s="16"/>
      <c r="M434" s="16"/>
      <c r="N434" s="16"/>
      <c r="O434" s="16"/>
      <c r="P434" s="16"/>
      <c r="Q434" s="16"/>
      <c r="R434" s="16"/>
      <c r="S434" s="16"/>
      <c r="T434" s="16"/>
      <c r="U434" s="16"/>
      <c r="V434" s="16"/>
      <c r="W434" s="16"/>
    </row>
    <row r="435" spans="3:23" ht="17.25" hidden="1" customHeight="1">
      <c r="C435" s="10"/>
      <c r="D435" s="119"/>
      <c r="E435" s="119"/>
      <c r="F435" s="16"/>
      <c r="G435" s="16"/>
      <c r="H435" s="16"/>
      <c r="I435" s="16"/>
      <c r="J435" s="16"/>
      <c r="K435" s="16"/>
      <c r="L435" s="16"/>
      <c r="M435" s="16"/>
      <c r="N435" s="16"/>
      <c r="O435" s="16"/>
      <c r="P435" s="16"/>
      <c r="Q435" s="16"/>
      <c r="R435" s="16"/>
      <c r="S435" s="16"/>
      <c r="T435" s="16"/>
      <c r="U435" s="16"/>
      <c r="V435" s="16"/>
      <c r="W435" s="16"/>
    </row>
    <row r="436" spans="3:23" ht="17.25" hidden="1" customHeight="1">
      <c r="C436" s="10"/>
      <c r="D436" s="119"/>
      <c r="E436" s="119"/>
      <c r="F436" s="16"/>
      <c r="G436" s="16"/>
      <c r="H436" s="16"/>
      <c r="I436" s="16"/>
      <c r="J436" s="16"/>
      <c r="K436" s="16"/>
      <c r="L436" s="16"/>
      <c r="M436" s="16"/>
      <c r="N436" s="16"/>
      <c r="O436" s="16"/>
      <c r="P436" s="16"/>
      <c r="Q436" s="16"/>
      <c r="R436" s="16"/>
      <c r="S436" s="16"/>
      <c r="T436" s="16"/>
      <c r="U436" s="16"/>
      <c r="V436" s="16"/>
      <c r="W436" s="16"/>
    </row>
    <row r="437" spans="3:23" ht="17.25" hidden="1" customHeight="1">
      <c r="C437" s="10"/>
      <c r="D437" s="119"/>
      <c r="E437" s="119"/>
      <c r="F437" s="16"/>
      <c r="G437" s="16"/>
      <c r="H437" s="16"/>
      <c r="I437" s="16"/>
      <c r="J437" s="16"/>
      <c r="K437" s="16"/>
      <c r="L437" s="16"/>
      <c r="M437" s="16"/>
      <c r="N437" s="16"/>
      <c r="O437" s="16"/>
      <c r="P437" s="16"/>
      <c r="Q437" s="16"/>
      <c r="R437" s="16"/>
      <c r="S437" s="16"/>
      <c r="T437" s="16"/>
      <c r="U437" s="16"/>
      <c r="V437" s="16"/>
      <c r="W437" s="16"/>
    </row>
    <row r="438" spans="3:23" ht="17.25" hidden="1" customHeight="1">
      <c r="C438" s="10"/>
      <c r="D438" s="119"/>
      <c r="E438" s="119"/>
      <c r="F438" s="16"/>
      <c r="G438" s="16"/>
      <c r="H438" s="16"/>
      <c r="I438" s="16"/>
      <c r="J438" s="16"/>
      <c r="K438" s="16"/>
      <c r="L438" s="16"/>
      <c r="M438" s="16"/>
      <c r="N438" s="16"/>
      <c r="O438" s="16"/>
      <c r="P438" s="16"/>
      <c r="Q438" s="16"/>
      <c r="R438" s="16"/>
      <c r="S438" s="16"/>
      <c r="T438" s="16"/>
      <c r="U438" s="16"/>
      <c r="V438" s="16"/>
      <c r="W438" s="16"/>
    </row>
    <row r="439" spans="3:23" ht="17.25" hidden="1" customHeight="1">
      <c r="C439" s="10"/>
      <c r="D439" s="119"/>
      <c r="E439" s="119"/>
      <c r="F439" s="16"/>
      <c r="G439" s="16"/>
      <c r="H439" s="16"/>
      <c r="I439" s="16"/>
      <c r="J439" s="16"/>
      <c r="K439" s="16"/>
      <c r="L439" s="16"/>
      <c r="M439" s="16"/>
      <c r="N439" s="16"/>
      <c r="O439" s="16"/>
      <c r="P439" s="16"/>
      <c r="Q439" s="16"/>
      <c r="R439" s="16"/>
      <c r="S439" s="16"/>
      <c r="T439" s="16"/>
      <c r="U439" s="16"/>
      <c r="V439" s="16"/>
      <c r="W439" s="16"/>
    </row>
    <row r="440" spans="3:23" ht="17.25" hidden="1" customHeight="1">
      <c r="C440" s="10"/>
      <c r="D440" s="119"/>
      <c r="E440" s="119"/>
      <c r="F440" s="16"/>
      <c r="G440" s="16"/>
      <c r="H440" s="16"/>
      <c r="I440" s="16"/>
      <c r="J440" s="16"/>
      <c r="K440" s="16"/>
      <c r="L440" s="16"/>
      <c r="M440" s="16"/>
      <c r="N440" s="16"/>
      <c r="O440" s="16"/>
      <c r="P440" s="16"/>
      <c r="Q440" s="16"/>
      <c r="R440" s="16"/>
      <c r="S440" s="16"/>
      <c r="T440" s="16"/>
      <c r="U440" s="16"/>
      <c r="V440" s="16"/>
      <c r="W440" s="16"/>
    </row>
    <row r="441" spans="3:23" ht="17.25" hidden="1" customHeight="1">
      <c r="C441" s="10"/>
      <c r="D441" s="119"/>
      <c r="E441" s="119"/>
      <c r="F441" s="16"/>
      <c r="G441" s="16"/>
      <c r="H441" s="16"/>
      <c r="I441" s="16"/>
      <c r="J441" s="16"/>
      <c r="K441" s="16"/>
      <c r="L441" s="16"/>
      <c r="M441" s="16"/>
      <c r="N441" s="16"/>
      <c r="O441" s="16"/>
      <c r="P441" s="16"/>
      <c r="Q441" s="16"/>
      <c r="R441" s="16"/>
      <c r="S441" s="16"/>
      <c r="T441" s="16"/>
      <c r="U441" s="16"/>
      <c r="V441" s="16"/>
      <c r="W441" s="16"/>
    </row>
    <row r="442" spans="3:23" ht="17.25" hidden="1" customHeight="1">
      <c r="C442" s="10"/>
      <c r="D442" s="119"/>
      <c r="E442" s="119"/>
      <c r="F442" s="16"/>
      <c r="G442" s="16"/>
      <c r="H442" s="16"/>
      <c r="I442" s="16"/>
      <c r="J442" s="16"/>
      <c r="K442" s="16"/>
      <c r="L442" s="16"/>
      <c r="M442" s="16"/>
      <c r="N442" s="16"/>
      <c r="O442" s="16"/>
      <c r="P442" s="16"/>
      <c r="Q442" s="16"/>
      <c r="R442" s="16"/>
      <c r="S442" s="16"/>
      <c r="T442" s="16"/>
      <c r="U442" s="16"/>
      <c r="V442" s="16"/>
      <c r="W442" s="16"/>
    </row>
    <row r="443" spans="3:23" ht="17.25" hidden="1" customHeight="1">
      <c r="C443" s="10"/>
      <c r="D443" s="119"/>
      <c r="E443" s="119"/>
      <c r="F443" s="16"/>
      <c r="G443" s="16"/>
      <c r="H443" s="16"/>
      <c r="I443" s="16"/>
      <c r="J443" s="16"/>
      <c r="K443" s="16"/>
      <c r="L443" s="16"/>
      <c r="M443" s="16"/>
      <c r="N443" s="16"/>
      <c r="O443" s="16"/>
      <c r="P443" s="16"/>
      <c r="Q443" s="16"/>
      <c r="R443" s="16"/>
      <c r="S443" s="16"/>
      <c r="T443" s="16"/>
      <c r="U443" s="16"/>
      <c r="V443" s="16"/>
      <c r="W443" s="16"/>
    </row>
    <row r="444" spans="3:23" ht="17.25" hidden="1" customHeight="1">
      <c r="C444" s="10"/>
      <c r="D444" s="119"/>
      <c r="E444" s="119"/>
      <c r="F444" s="16"/>
      <c r="G444" s="16"/>
      <c r="H444" s="16"/>
      <c r="I444" s="16"/>
      <c r="J444" s="16"/>
      <c r="K444" s="16"/>
      <c r="L444" s="16"/>
      <c r="M444" s="16"/>
      <c r="N444" s="16"/>
      <c r="O444" s="16"/>
      <c r="P444" s="16"/>
      <c r="Q444" s="16"/>
      <c r="R444" s="16"/>
      <c r="S444" s="16"/>
      <c r="T444" s="16"/>
      <c r="U444" s="16"/>
      <c r="V444" s="16"/>
      <c r="W444" s="16"/>
    </row>
    <row r="445" spans="3:23" ht="17.25" hidden="1" customHeight="1">
      <c r="C445" s="10"/>
      <c r="D445" s="119"/>
      <c r="E445" s="119"/>
      <c r="F445" s="16"/>
      <c r="G445" s="16"/>
      <c r="H445" s="16"/>
      <c r="I445" s="16"/>
      <c r="J445" s="16"/>
      <c r="K445" s="16"/>
      <c r="L445" s="16"/>
      <c r="M445" s="16"/>
      <c r="N445" s="16"/>
      <c r="O445" s="16"/>
      <c r="P445" s="16"/>
      <c r="Q445" s="16"/>
      <c r="R445" s="16"/>
      <c r="S445" s="16"/>
      <c r="T445" s="16"/>
      <c r="U445" s="16"/>
      <c r="V445" s="16"/>
      <c r="W445" s="16"/>
    </row>
    <row r="446" spans="3:23" ht="17.25" hidden="1" customHeight="1">
      <c r="C446" s="10"/>
      <c r="D446" s="119"/>
      <c r="E446" s="119"/>
      <c r="F446" s="16"/>
      <c r="G446" s="16"/>
      <c r="H446" s="16"/>
      <c r="I446" s="16"/>
      <c r="J446" s="16"/>
      <c r="K446" s="16"/>
      <c r="L446" s="16"/>
      <c r="M446" s="16"/>
      <c r="N446" s="16"/>
      <c r="O446" s="16"/>
      <c r="P446" s="16"/>
      <c r="Q446" s="16"/>
      <c r="R446" s="16"/>
      <c r="S446" s="16"/>
      <c r="T446" s="16"/>
      <c r="U446" s="16"/>
      <c r="V446" s="16"/>
      <c r="W446" s="16"/>
    </row>
    <row r="447" spans="3:23" ht="17.25" hidden="1" customHeight="1">
      <c r="C447" s="10"/>
      <c r="D447" s="119"/>
      <c r="E447" s="119"/>
      <c r="F447" s="16"/>
      <c r="G447" s="16"/>
      <c r="H447" s="16"/>
      <c r="I447" s="16"/>
      <c r="J447" s="16"/>
      <c r="K447" s="16"/>
      <c r="L447" s="16"/>
      <c r="M447" s="16"/>
      <c r="N447" s="16"/>
      <c r="O447" s="16"/>
      <c r="P447" s="16"/>
      <c r="Q447" s="16"/>
      <c r="R447" s="16"/>
      <c r="S447" s="16"/>
      <c r="T447" s="16"/>
      <c r="U447" s="16"/>
      <c r="V447" s="16"/>
      <c r="W447" s="16"/>
    </row>
    <row r="448" spans="3:23" ht="17.25" hidden="1" customHeight="1">
      <c r="C448" s="10"/>
      <c r="D448" s="119"/>
      <c r="E448" s="119"/>
      <c r="F448" s="16"/>
      <c r="G448" s="16"/>
      <c r="H448" s="16"/>
      <c r="I448" s="16"/>
      <c r="J448" s="16"/>
      <c r="K448" s="16"/>
      <c r="L448" s="16"/>
      <c r="M448" s="16"/>
      <c r="N448" s="16"/>
      <c r="O448" s="16"/>
      <c r="P448" s="16"/>
      <c r="Q448" s="16"/>
      <c r="R448" s="16"/>
      <c r="S448" s="16"/>
      <c r="T448" s="16"/>
      <c r="U448" s="16"/>
      <c r="V448" s="16"/>
      <c r="W448" s="16"/>
    </row>
    <row r="449" spans="3:23" ht="17.25" hidden="1" customHeight="1">
      <c r="C449" s="10"/>
      <c r="D449" s="119"/>
      <c r="E449" s="119"/>
      <c r="F449" s="16"/>
      <c r="G449" s="16"/>
      <c r="H449" s="16"/>
      <c r="I449" s="16"/>
      <c r="J449" s="16"/>
      <c r="K449" s="16"/>
      <c r="L449" s="16"/>
      <c r="M449" s="16"/>
      <c r="N449" s="16"/>
      <c r="O449" s="16"/>
      <c r="P449" s="16"/>
      <c r="Q449" s="16"/>
      <c r="R449" s="16"/>
      <c r="S449" s="16"/>
      <c r="T449" s="16"/>
      <c r="U449" s="16"/>
      <c r="V449" s="16"/>
      <c r="W449" s="16"/>
    </row>
    <row r="450" spans="3:23" ht="17.25" hidden="1" customHeight="1">
      <c r="C450" s="10"/>
      <c r="D450" s="119"/>
      <c r="E450" s="119"/>
      <c r="F450" s="16"/>
      <c r="G450" s="16"/>
      <c r="H450" s="16"/>
      <c r="I450" s="16"/>
      <c r="J450" s="16"/>
      <c r="K450" s="16"/>
      <c r="L450" s="16"/>
      <c r="M450" s="16"/>
      <c r="N450" s="16"/>
      <c r="O450" s="16"/>
      <c r="P450" s="16"/>
      <c r="Q450" s="16"/>
      <c r="R450" s="16"/>
      <c r="S450" s="16"/>
      <c r="T450" s="16"/>
      <c r="U450" s="16"/>
      <c r="V450" s="16"/>
      <c r="W450" s="16"/>
    </row>
    <row r="451" spans="3:23" ht="17.25" hidden="1" customHeight="1">
      <c r="C451" s="10"/>
      <c r="D451" s="119"/>
      <c r="E451" s="119"/>
      <c r="F451" s="16"/>
      <c r="G451" s="16"/>
      <c r="H451" s="16"/>
      <c r="I451" s="16"/>
      <c r="J451" s="16"/>
      <c r="K451" s="16"/>
      <c r="L451" s="16"/>
      <c r="M451" s="16"/>
      <c r="N451" s="16"/>
      <c r="O451" s="16"/>
      <c r="P451" s="16"/>
      <c r="Q451" s="16"/>
      <c r="R451" s="16"/>
      <c r="S451" s="16"/>
      <c r="T451" s="16"/>
      <c r="U451" s="16"/>
      <c r="V451" s="16"/>
      <c r="W451" s="16"/>
    </row>
    <row r="452" spans="3:23" ht="17.25" hidden="1" customHeight="1">
      <c r="C452" s="10"/>
      <c r="D452" s="119"/>
      <c r="E452" s="119"/>
      <c r="F452" s="16"/>
      <c r="G452" s="16"/>
      <c r="H452" s="16"/>
      <c r="I452" s="16"/>
      <c r="J452" s="16"/>
      <c r="K452" s="16"/>
      <c r="L452" s="16"/>
      <c r="M452" s="16"/>
      <c r="N452" s="16"/>
      <c r="O452" s="16"/>
      <c r="P452" s="16"/>
      <c r="Q452" s="16"/>
      <c r="R452" s="16"/>
      <c r="S452" s="16"/>
      <c r="T452" s="16"/>
      <c r="U452" s="16"/>
      <c r="V452" s="16"/>
      <c r="W452" s="16"/>
    </row>
    <row r="453" spans="3:23" ht="17.25" hidden="1" customHeight="1">
      <c r="C453" s="10"/>
      <c r="D453" s="119"/>
      <c r="E453" s="119"/>
      <c r="F453" s="16"/>
      <c r="G453" s="16"/>
      <c r="H453" s="16"/>
      <c r="I453" s="16"/>
      <c r="J453" s="16"/>
      <c r="K453" s="16"/>
      <c r="L453" s="16"/>
      <c r="M453" s="16"/>
      <c r="N453" s="16"/>
      <c r="O453" s="16"/>
      <c r="P453" s="16"/>
      <c r="Q453" s="16"/>
      <c r="R453" s="16"/>
      <c r="S453" s="16"/>
      <c r="T453" s="16"/>
      <c r="U453" s="16"/>
      <c r="V453" s="16"/>
      <c r="W453" s="16"/>
    </row>
    <row r="454" spans="3:23" ht="17.25" hidden="1" customHeight="1">
      <c r="C454" s="10"/>
      <c r="D454" s="119"/>
      <c r="E454" s="119"/>
      <c r="F454" s="16"/>
      <c r="G454" s="16"/>
      <c r="H454" s="16"/>
      <c r="I454" s="16"/>
      <c r="J454" s="16"/>
      <c r="K454" s="16"/>
      <c r="L454" s="16"/>
      <c r="M454" s="16"/>
      <c r="N454" s="16"/>
      <c r="O454" s="16"/>
      <c r="P454" s="16"/>
      <c r="Q454" s="16"/>
      <c r="R454" s="16"/>
      <c r="S454" s="16"/>
      <c r="T454" s="16"/>
      <c r="U454" s="16"/>
      <c r="V454" s="16"/>
      <c r="W454" s="16"/>
    </row>
    <row r="455" spans="3:23" ht="17.25" hidden="1" customHeight="1">
      <c r="C455" s="10"/>
      <c r="D455" s="119"/>
      <c r="E455" s="119"/>
      <c r="F455" s="16"/>
      <c r="G455" s="16"/>
      <c r="H455" s="16"/>
      <c r="I455" s="16"/>
      <c r="J455" s="16"/>
      <c r="K455" s="16"/>
      <c r="L455" s="16"/>
      <c r="M455" s="16"/>
      <c r="N455" s="16"/>
      <c r="O455" s="16"/>
      <c r="P455" s="16"/>
      <c r="Q455" s="16"/>
      <c r="R455" s="16"/>
      <c r="S455" s="16"/>
      <c r="T455" s="16"/>
      <c r="U455" s="16"/>
      <c r="V455" s="16"/>
      <c r="W455" s="16"/>
    </row>
    <row r="456" spans="3:23" ht="17.25" hidden="1" customHeight="1">
      <c r="C456" s="10"/>
      <c r="D456" s="119"/>
      <c r="E456" s="119"/>
      <c r="F456" s="16"/>
      <c r="G456" s="16"/>
      <c r="H456" s="16"/>
      <c r="I456" s="16"/>
      <c r="J456" s="16"/>
      <c r="K456" s="16"/>
      <c r="L456" s="16"/>
      <c r="M456" s="16"/>
      <c r="N456" s="16"/>
      <c r="O456" s="16"/>
      <c r="P456" s="16"/>
      <c r="Q456" s="16"/>
      <c r="R456" s="16"/>
      <c r="S456" s="16"/>
      <c r="T456" s="16"/>
      <c r="U456" s="16"/>
      <c r="V456" s="16"/>
      <c r="W456" s="16"/>
    </row>
    <row r="457" spans="3:23" ht="17.25" hidden="1" customHeight="1">
      <c r="C457" s="10"/>
      <c r="D457" s="119"/>
      <c r="E457" s="119"/>
      <c r="F457" s="16"/>
      <c r="G457" s="16"/>
      <c r="H457" s="16"/>
      <c r="I457" s="16"/>
      <c r="J457" s="16"/>
      <c r="K457" s="16"/>
      <c r="L457" s="16"/>
      <c r="M457" s="16"/>
      <c r="N457" s="16"/>
      <c r="O457" s="16"/>
      <c r="P457" s="16"/>
      <c r="Q457" s="16"/>
      <c r="R457" s="16"/>
      <c r="S457" s="16"/>
      <c r="T457" s="16"/>
      <c r="U457" s="16"/>
      <c r="V457" s="16"/>
      <c r="W457" s="16"/>
    </row>
    <row r="458" spans="3:23" ht="17.25" hidden="1" customHeight="1">
      <c r="C458" s="10"/>
      <c r="D458" s="119"/>
      <c r="E458" s="119"/>
      <c r="F458" s="16"/>
      <c r="G458" s="16"/>
      <c r="H458" s="16"/>
      <c r="I458" s="16"/>
      <c r="J458" s="16"/>
      <c r="K458" s="16"/>
      <c r="L458" s="16"/>
      <c r="M458" s="16"/>
      <c r="N458" s="16"/>
      <c r="O458" s="16"/>
      <c r="P458" s="16"/>
      <c r="Q458" s="16"/>
      <c r="R458" s="16"/>
      <c r="S458" s="16"/>
      <c r="T458" s="16"/>
      <c r="U458" s="16"/>
      <c r="V458" s="16"/>
      <c r="W458" s="16"/>
    </row>
    <row r="459" spans="3:23" ht="17.25" hidden="1" customHeight="1">
      <c r="C459" s="10"/>
      <c r="D459" s="119"/>
      <c r="E459" s="119"/>
      <c r="F459" s="16"/>
      <c r="G459" s="16"/>
      <c r="H459" s="16"/>
      <c r="I459" s="16"/>
      <c r="J459" s="16"/>
      <c r="K459" s="16"/>
      <c r="L459" s="16"/>
      <c r="M459" s="16"/>
      <c r="N459" s="16"/>
      <c r="O459" s="16"/>
      <c r="P459" s="16"/>
      <c r="Q459" s="16"/>
      <c r="R459" s="16"/>
      <c r="S459" s="16"/>
      <c r="T459" s="16"/>
      <c r="U459" s="16"/>
      <c r="V459" s="16"/>
      <c r="W459" s="16"/>
    </row>
    <row r="460" spans="3:23" ht="17.25" hidden="1" customHeight="1">
      <c r="C460" s="10"/>
      <c r="D460" s="119"/>
      <c r="E460" s="119"/>
      <c r="F460" s="16"/>
      <c r="G460" s="16"/>
      <c r="H460" s="16"/>
      <c r="I460" s="16"/>
      <c r="J460" s="16"/>
      <c r="K460" s="16"/>
      <c r="L460" s="16"/>
      <c r="M460" s="16"/>
      <c r="N460" s="16"/>
      <c r="O460" s="16"/>
      <c r="P460" s="16"/>
      <c r="Q460" s="16"/>
      <c r="R460" s="16"/>
      <c r="S460" s="16"/>
      <c r="T460" s="16"/>
      <c r="U460" s="16"/>
      <c r="V460" s="16"/>
      <c r="W460" s="16"/>
    </row>
    <row r="461" spans="3:23" ht="17.25" hidden="1" customHeight="1">
      <c r="C461" s="10"/>
      <c r="D461" s="119"/>
      <c r="E461" s="119"/>
      <c r="F461" s="16"/>
      <c r="G461" s="16"/>
      <c r="H461" s="16"/>
      <c r="I461" s="16"/>
      <c r="J461" s="16"/>
      <c r="K461" s="16"/>
      <c r="L461" s="16"/>
      <c r="M461" s="16"/>
      <c r="N461" s="16"/>
      <c r="O461" s="16"/>
      <c r="P461" s="16"/>
      <c r="Q461" s="16"/>
      <c r="R461" s="16"/>
      <c r="S461" s="16"/>
      <c r="T461" s="16"/>
      <c r="U461" s="16"/>
      <c r="V461" s="16"/>
      <c r="W461" s="16"/>
    </row>
    <row r="462" spans="3:23" ht="17.25" hidden="1" customHeight="1">
      <c r="C462" s="10"/>
      <c r="D462" s="119"/>
      <c r="E462" s="119"/>
      <c r="F462" s="16"/>
      <c r="G462" s="16"/>
      <c r="H462" s="16"/>
      <c r="I462" s="16"/>
      <c r="J462" s="16"/>
      <c r="K462" s="16"/>
      <c r="L462" s="16"/>
      <c r="M462" s="16"/>
      <c r="N462" s="16"/>
      <c r="O462" s="16"/>
      <c r="P462" s="16"/>
      <c r="Q462" s="16"/>
      <c r="R462" s="16"/>
      <c r="S462" s="16"/>
      <c r="T462" s="16"/>
      <c r="U462" s="16"/>
      <c r="V462" s="16"/>
      <c r="W462" s="16"/>
    </row>
    <row r="463" spans="3:23" ht="17.25" hidden="1" customHeight="1">
      <c r="C463" s="10"/>
      <c r="D463" s="119"/>
      <c r="E463" s="119"/>
      <c r="F463" s="16"/>
      <c r="G463" s="16"/>
      <c r="H463" s="16"/>
      <c r="I463" s="16"/>
      <c r="J463" s="16"/>
      <c r="K463" s="16"/>
      <c r="L463" s="16"/>
      <c r="M463" s="16"/>
      <c r="N463" s="16"/>
      <c r="O463" s="16"/>
      <c r="P463" s="16"/>
      <c r="Q463" s="16"/>
      <c r="R463" s="16"/>
      <c r="S463" s="16"/>
      <c r="T463" s="16"/>
      <c r="U463" s="16"/>
      <c r="V463" s="16"/>
      <c r="W463" s="16"/>
    </row>
    <row r="464" spans="3:23" ht="17.25" hidden="1" customHeight="1">
      <c r="C464" s="10"/>
      <c r="D464" s="119"/>
      <c r="E464" s="119"/>
      <c r="F464" s="16"/>
      <c r="G464" s="16"/>
      <c r="H464" s="16"/>
      <c r="I464" s="16"/>
      <c r="J464" s="16"/>
      <c r="K464" s="16"/>
      <c r="L464" s="16"/>
      <c r="M464" s="16"/>
      <c r="N464" s="16"/>
      <c r="O464" s="16"/>
      <c r="P464" s="16"/>
      <c r="Q464" s="16"/>
      <c r="R464" s="16"/>
      <c r="S464" s="16"/>
      <c r="T464" s="16"/>
      <c r="U464" s="16"/>
      <c r="V464" s="16"/>
      <c r="W464" s="16"/>
    </row>
    <row r="465" spans="3:23" ht="17.25" hidden="1" customHeight="1">
      <c r="C465" s="10"/>
      <c r="D465" s="119"/>
      <c r="E465" s="119"/>
      <c r="F465" s="16"/>
      <c r="G465" s="16"/>
      <c r="H465" s="16"/>
      <c r="I465" s="16"/>
      <c r="J465" s="16"/>
      <c r="K465" s="16"/>
      <c r="L465" s="16"/>
      <c r="M465" s="16"/>
      <c r="N465" s="16"/>
      <c r="O465" s="16"/>
      <c r="P465" s="16"/>
      <c r="Q465" s="16"/>
      <c r="R465" s="16"/>
      <c r="S465" s="16"/>
      <c r="T465" s="16"/>
      <c r="U465" s="16"/>
      <c r="V465" s="16"/>
      <c r="W465" s="16"/>
    </row>
    <row r="466" spans="3:23" ht="17.25" hidden="1" customHeight="1">
      <c r="C466" s="10"/>
      <c r="D466" s="119"/>
      <c r="E466" s="119"/>
      <c r="F466" s="16"/>
      <c r="G466" s="16"/>
      <c r="H466" s="16"/>
      <c r="I466" s="16"/>
      <c r="J466" s="16"/>
      <c r="K466" s="16"/>
      <c r="L466" s="16"/>
      <c r="M466" s="16"/>
      <c r="N466" s="16"/>
      <c r="O466" s="16"/>
      <c r="P466" s="16"/>
      <c r="Q466" s="16"/>
      <c r="R466" s="16"/>
      <c r="S466" s="16"/>
      <c r="T466" s="16"/>
      <c r="U466" s="16"/>
      <c r="V466" s="16"/>
      <c r="W466" s="16"/>
    </row>
    <row r="467" spans="3:23" ht="17.25" hidden="1" customHeight="1">
      <c r="C467" s="10"/>
      <c r="D467" s="119"/>
      <c r="E467" s="119"/>
      <c r="F467" s="16"/>
      <c r="G467" s="16"/>
      <c r="H467" s="16"/>
      <c r="I467" s="16"/>
      <c r="J467" s="16"/>
      <c r="K467" s="16"/>
      <c r="L467" s="16"/>
      <c r="M467" s="16"/>
      <c r="N467" s="16"/>
      <c r="O467" s="16"/>
      <c r="P467" s="16"/>
      <c r="Q467" s="16"/>
      <c r="R467" s="16"/>
      <c r="S467" s="16"/>
      <c r="T467" s="16"/>
      <c r="U467" s="16"/>
      <c r="V467" s="16"/>
      <c r="W467" s="16"/>
    </row>
    <row r="468" spans="3:23" ht="17.25" hidden="1" customHeight="1">
      <c r="C468" s="10"/>
      <c r="D468" s="119"/>
      <c r="E468" s="119"/>
      <c r="F468" s="16"/>
      <c r="G468" s="16"/>
      <c r="H468" s="16"/>
      <c r="I468" s="16"/>
      <c r="J468" s="16"/>
      <c r="K468" s="16"/>
      <c r="L468" s="16"/>
      <c r="M468" s="16"/>
      <c r="N468" s="16"/>
      <c r="O468" s="16"/>
      <c r="P468" s="16"/>
      <c r="Q468" s="16"/>
      <c r="R468" s="16"/>
      <c r="S468" s="16"/>
      <c r="T468" s="16"/>
      <c r="U468" s="16"/>
      <c r="V468" s="16"/>
      <c r="W468" s="16"/>
    </row>
    <row r="469" spans="3:23" ht="17.25" hidden="1" customHeight="1">
      <c r="C469" s="10"/>
      <c r="D469" s="119"/>
      <c r="E469" s="119"/>
      <c r="F469" s="16"/>
      <c r="G469" s="16"/>
      <c r="H469" s="16"/>
      <c r="I469" s="16"/>
      <c r="J469" s="16"/>
      <c r="K469" s="16"/>
      <c r="L469" s="16"/>
      <c r="M469" s="16"/>
      <c r="N469" s="16"/>
      <c r="O469" s="16"/>
      <c r="P469" s="16"/>
      <c r="Q469" s="16"/>
      <c r="R469" s="16"/>
      <c r="S469" s="16"/>
      <c r="T469" s="16"/>
      <c r="U469" s="16"/>
      <c r="V469" s="16"/>
      <c r="W469" s="16"/>
    </row>
    <row r="470" spans="3:23" ht="17.25" hidden="1" customHeight="1">
      <c r="C470" s="10"/>
      <c r="D470" s="119"/>
      <c r="E470" s="119"/>
      <c r="F470" s="16"/>
      <c r="G470" s="16"/>
      <c r="H470" s="16"/>
      <c r="I470" s="16"/>
      <c r="J470" s="16"/>
      <c r="K470" s="16"/>
      <c r="L470" s="16"/>
      <c r="M470" s="16"/>
      <c r="N470" s="16"/>
      <c r="O470" s="16"/>
      <c r="P470" s="16"/>
      <c r="Q470" s="16"/>
      <c r="R470" s="16"/>
      <c r="S470" s="16"/>
      <c r="T470" s="16"/>
      <c r="U470" s="16"/>
      <c r="V470" s="16"/>
      <c r="W470" s="16"/>
    </row>
    <row r="471" spans="3:23" ht="17.25" hidden="1" customHeight="1">
      <c r="C471" s="10"/>
      <c r="D471" s="119"/>
      <c r="E471" s="119"/>
      <c r="F471" s="16"/>
      <c r="G471" s="16"/>
      <c r="H471" s="16"/>
      <c r="I471" s="16"/>
      <c r="J471" s="16"/>
      <c r="K471" s="16"/>
      <c r="L471" s="16"/>
      <c r="M471" s="16"/>
      <c r="N471" s="16"/>
      <c r="O471" s="16"/>
      <c r="P471" s="16"/>
      <c r="Q471" s="16"/>
      <c r="R471" s="16"/>
      <c r="S471" s="16"/>
      <c r="T471" s="16"/>
      <c r="U471" s="16"/>
      <c r="V471" s="16"/>
      <c r="W471" s="16"/>
    </row>
    <row r="472" spans="3:23" ht="17.25" hidden="1" customHeight="1">
      <c r="C472" s="10"/>
      <c r="D472" s="119"/>
      <c r="E472" s="119"/>
      <c r="F472" s="16"/>
      <c r="G472" s="16"/>
      <c r="H472" s="16"/>
      <c r="I472" s="16"/>
      <c r="J472" s="16"/>
      <c r="K472" s="16"/>
      <c r="L472" s="16"/>
      <c r="M472" s="16"/>
      <c r="N472" s="16"/>
      <c r="O472" s="16"/>
      <c r="P472" s="16"/>
      <c r="Q472" s="16"/>
      <c r="R472" s="16"/>
      <c r="S472" s="16"/>
      <c r="T472" s="16"/>
      <c r="U472" s="16"/>
      <c r="V472" s="16"/>
      <c r="W472" s="16"/>
    </row>
    <row r="473" spans="3:23" ht="17.25" hidden="1" customHeight="1">
      <c r="C473" s="10"/>
      <c r="D473" s="119"/>
      <c r="E473" s="119"/>
      <c r="F473" s="16"/>
      <c r="G473" s="16"/>
      <c r="H473" s="16"/>
      <c r="I473" s="16"/>
      <c r="J473" s="16"/>
      <c r="K473" s="16"/>
      <c r="L473" s="16"/>
      <c r="M473" s="16"/>
      <c r="N473" s="16"/>
      <c r="O473" s="16"/>
      <c r="P473" s="16"/>
      <c r="Q473" s="16"/>
      <c r="R473" s="16"/>
      <c r="S473" s="16"/>
      <c r="T473" s="16"/>
      <c r="U473" s="16"/>
      <c r="V473" s="16"/>
      <c r="W473" s="16"/>
    </row>
    <row r="474" spans="3:23" ht="17.25" hidden="1" customHeight="1">
      <c r="C474" s="10"/>
      <c r="D474" s="119"/>
      <c r="E474" s="119"/>
      <c r="F474" s="16"/>
      <c r="G474" s="16"/>
      <c r="H474" s="16"/>
      <c r="I474" s="16"/>
      <c r="J474" s="16"/>
      <c r="K474" s="16"/>
      <c r="L474" s="16"/>
      <c r="M474" s="16"/>
      <c r="N474" s="16"/>
      <c r="O474" s="16"/>
      <c r="P474" s="16"/>
      <c r="Q474" s="16"/>
      <c r="R474" s="16"/>
      <c r="S474" s="16"/>
      <c r="T474" s="16"/>
      <c r="U474" s="16"/>
      <c r="V474" s="16"/>
      <c r="W474" s="16"/>
    </row>
    <row r="475" spans="3:23" ht="17.25" hidden="1" customHeight="1">
      <c r="C475" s="10"/>
      <c r="D475" s="119"/>
      <c r="E475" s="119"/>
      <c r="F475" s="16"/>
      <c r="G475" s="16"/>
      <c r="H475" s="16"/>
      <c r="I475" s="16"/>
      <c r="J475" s="16"/>
      <c r="K475" s="16"/>
      <c r="L475" s="16"/>
      <c r="M475" s="16"/>
      <c r="N475" s="16"/>
      <c r="O475" s="16"/>
      <c r="P475" s="16"/>
      <c r="Q475" s="16"/>
      <c r="R475" s="16"/>
      <c r="S475" s="16"/>
      <c r="T475" s="16"/>
      <c r="U475" s="16"/>
      <c r="V475" s="16"/>
      <c r="W475" s="16"/>
    </row>
    <row r="476" spans="3:23" ht="17.25" hidden="1" customHeight="1">
      <c r="C476" s="10"/>
      <c r="D476" s="119"/>
      <c r="E476" s="119"/>
      <c r="F476" s="16"/>
      <c r="G476" s="16"/>
      <c r="H476" s="16"/>
      <c r="I476" s="16"/>
      <c r="J476" s="16"/>
      <c r="K476" s="16"/>
      <c r="L476" s="16"/>
      <c r="M476" s="16"/>
      <c r="N476" s="16"/>
      <c r="O476" s="16"/>
      <c r="P476" s="16"/>
      <c r="Q476" s="16"/>
      <c r="R476" s="16"/>
      <c r="S476" s="16"/>
      <c r="T476" s="16"/>
      <c r="U476" s="16"/>
      <c r="V476" s="16"/>
      <c r="W476" s="16"/>
    </row>
    <row r="477" spans="3:23" ht="17.25" hidden="1" customHeight="1">
      <c r="C477" s="10"/>
      <c r="D477" s="119"/>
      <c r="E477" s="119"/>
      <c r="F477" s="16"/>
      <c r="G477" s="16"/>
      <c r="H477" s="16"/>
      <c r="I477" s="16"/>
      <c r="J477" s="16"/>
      <c r="K477" s="16"/>
      <c r="L477" s="16"/>
      <c r="M477" s="16"/>
      <c r="N477" s="16"/>
      <c r="O477" s="16"/>
      <c r="P477" s="16"/>
      <c r="Q477" s="16"/>
      <c r="R477" s="16"/>
      <c r="S477" s="16"/>
      <c r="T477" s="16"/>
      <c r="U477" s="16"/>
      <c r="V477" s="16"/>
      <c r="W477" s="16"/>
    </row>
    <row r="478" spans="3:23" ht="17.25" hidden="1" customHeight="1">
      <c r="C478" s="10"/>
      <c r="D478" s="119"/>
      <c r="E478" s="119"/>
      <c r="F478" s="16"/>
      <c r="G478" s="16"/>
      <c r="H478" s="16"/>
      <c r="I478" s="16"/>
      <c r="J478" s="16"/>
      <c r="K478" s="16"/>
      <c r="L478" s="16"/>
      <c r="M478" s="16"/>
      <c r="N478" s="16"/>
      <c r="O478" s="16"/>
      <c r="P478" s="16"/>
      <c r="Q478" s="16"/>
      <c r="R478" s="16"/>
      <c r="S478" s="16"/>
      <c r="T478" s="16"/>
      <c r="U478" s="16"/>
      <c r="V478" s="16"/>
      <c r="W478" s="16"/>
    </row>
    <row r="479" spans="3:23" ht="17.25" hidden="1" customHeight="1">
      <c r="C479" s="10"/>
      <c r="D479" s="119"/>
      <c r="E479" s="119"/>
      <c r="F479" s="16"/>
      <c r="G479" s="16"/>
      <c r="H479" s="16"/>
      <c r="I479" s="16"/>
      <c r="J479" s="16"/>
      <c r="K479" s="16"/>
      <c r="L479" s="16"/>
      <c r="M479" s="16"/>
      <c r="N479" s="16"/>
      <c r="O479" s="16"/>
      <c r="P479" s="16"/>
      <c r="Q479" s="16"/>
      <c r="R479" s="16"/>
      <c r="S479" s="16"/>
      <c r="T479" s="16"/>
      <c r="U479" s="16"/>
      <c r="V479" s="16"/>
      <c r="W479" s="16"/>
    </row>
    <row r="480" spans="3:23" ht="17.25" hidden="1" customHeight="1">
      <c r="C480" s="10"/>
      <c r="D480" s="119"/>
      <c r="E480" s="119"/>
      <c r="F480" s="16"/>
      <c r="G480" s="16"/>
      <c r="H480" s="16"/>
      <c r="I480" s="16"/>
      <c r="J480" s="16"/>
      <c r="K480" s="16"/>
      <c r="L480" s="16"/>
      <c r="M480" s="16"/>
      <c r="N480" s="16"/>
      <c r="O480" s="16"/>
      <c r="P480" s="16"/>
      <c r="Q480" s="16"/>
      <c r="R480" s="16"/>
      <c r="S480" s="16"/>
      <c r="T480" s="16"/>
      <c r="U480" s="16"/>
      <c r="V480" s="16"/>
      <c r="W480" s="16"/>
    </row>
    <row r="481" spans="3:23" ht="17.25" hidden="1" customHeight="1">
      <c r="C481" s="10"/>
      <c r="D481" s="119"/>
      <c r="E481" s="119"/>
      <c r="F481" s="16"/>
      <c r="G481" s="16"/>
      <c r="H481" s="16"/>
      <c r="I481" s="16"/>
      <c r="J481" s="16"/>
      <c r="K481" s="16"/>
      <c r="L481" s="16"/>
      <c r="M481" s="16"/>
      <c r="N481" s="16"/>
      <c r="O481" s="16"/>
      <c r="P481" s="16"/>
      <c r="Q481" s="16"/>
      <c r="R481" s="16"/>
      <c r="S481" s="16"/>
      <c r="T481" s="16"/>
      <c r="U481" s="16"/>
      <c r="V481" s="16"/>
      <c r="W481" s="16"/>
    </row>
    <row r="482" spans="3:23" ht="17.25" hidden="1" customHeight="1">
      <c r="C482" s="10"/>
      <c r="D482" s="119"/>
      <c r="E482" s="119"/>
      <c r="F482" s="16"/>
      <c r="G482" s="16"/>
      <c r="H482" s="16"/>
      <c r="I482" s="16"/>
      <c r="J482" s="16"/>
      <c r="K482" s="16"/>
      <c r="L482" s="16"/>
      <c r="M482" s="16"/>
      <c r="N482" s="16"/>
      <c r="O482" s="16"/>
      <c r="P482" s="16"/>
      <c r="Q482" s="16"/>
      <c r="R482" s="16"/>
      <c r="S482" s="16"/>
      <c r="T482" s="16"/>
      <c r="U482" s="16"/>
      <c r="V482" s="16"/>
      <c r="W482" s="16"/>
    </row>
    <row r="483" spans="3:23" ht="17.25" hidden="1" customHeight="1">
      <c r="C483" s="10"/>
      <c r="D483" s="119"/>
      <c r="E483" s="119"/>
      <c r="F483" s="16"/>
      <c r="G483" s="16"/>
      <c r="H483" s="16"/>
      <c r="I483" s="16"/>
      <c r="J483" s="16"/>
      <c r="K483" s="16"/>
      <c r="L483" s="16"/>
      <c r="M483" s="16"/>
      <c r="N483" s="16"/>
      <c r="O483" s="16"/>
      <c r="P483" s="16"/>
      <c r="Q483" s="16"/>
      <c r="R483" s="16"/>
      <c r="S483" s="16"/>
      <c r="T483" s="16"/>
      <c r="U483" s="16"/>
      <c r="V483" s="16"/>
      <c r="W483" s="16"/>
    </row>
    <row r="484" spans="3:23" ht="17.25" hidden="1" customHeight="1">
      <c r="C484" s="10"/>
      <c r="D484" s="119"/>
      <c r="E484" s="119"/>
      <c r="F484" s="16"/>
      <c r="G484" s="16"/>
      <c r="H484" s="16"/>
      <c r="I484" s="16"/>
      <c r="J484" s="16"/>
      <c r="K484" s="16"/>
      <c r="L484" s="16"/>
      <c r="M484" s="16"/>
      <c r="N484" s="16"/>
      <c r="O484" s="16"/>
      <c r="P484" s="16"/>
      <c r="Q484" s="16"/>
      <c r="R484" s="16"/>
      <c r="S484" s="16"/>
      <c r="T484" s="16"/>
      <c r="U484" s="16"/>
      <c r="V484" s="16"/>
      <c r="W484" s="16"/>
    </row>
    <row r="485" spans="3:23" ht="17.25" hidden="1" customHeight="1">
      <c r="C485" s="10"/>
      <c r="D485" s="119"/>
      <c r="E485" s="119"/>
      <c r="F485" s="16"/>
      <c r="G485" s="16"/>
      <c r="H485" s="16"/>
      <c r="I485" s="16"/>
      <c r="J485" s="16"/>
      <c r="K485" s="16"/>
      <c r="L485" s="16"/>
      <c r="M485" s="16"/>
      <c r="N485" s="16"/>
      <c r="O485" s="16"/>
      <c r="P485" s="16"/>
      <c r="Q485" s="16"/>
      <c r="R485" s="16"/>
      <c r="S485" s="16"/>
      <c r="T485" s="16"/>
      <c r="U485" s="16"/>
      <c r="V485" s="16"/>
      <c r="W485" s="16"/>
    </row>
    <row r="486" spans="3:23" ht="17.25" hidden="1" customHeight="1">
      <c r="C486" s="10"/>
      <c r="D486" s="119"/>
      <c r="E486" s="119"/>
      <c r="F486" s="16"/>
      <c r="G486" s="16"/>
      <c r="H486" s="16"/>
      <c r="I486" s="16"/>
      <c r="J486" s="16"/>
      <c r="K486" s="16"/>
      <c r="L486" s="16"/>
      <c r="M486" s="16"/>
      <c r="N486" s="16"/>
      <c r="O486" s="16"/>
      <c r="P486" s="16"/>
      <c r="Q486" s="16"/>
      <c r="R486" s="16"/>
      <c r="S486" s="16"/>
      <c r="T486" s="16"/>
      <c r="U486" s="16"/>
      <c r="V486" s="16"/>
      <c r="W486" s="16"/>
    </row>
    <row r="487" spans="3:23" ht="17.25" hidden="1" customHeight="1">
      <c r="C487" s="10"/>
      <c r="D487" s="119"/>
      <c r="E487" s="119"/>
      <c r="F487" s="16"/>
      <c r="G487" s="16"/>
      <c r="H487" s="16"/>
      <c r="I487" s="16"/>
      <c r="J487" s="16"/>
      <c r="K487" s="16"/>
      <c r="L487" s="16"/>
      <c r="M487" s="16"/>
      <c r="N487" s="16"/>
      <c r="O487" s="16"/>
      <c r="P487" s="16"/>
      <c r="Q487" s="16"/>
      <c r="R487" s="16"/>
      <c r="S487" s="16"/>
      <c r="T487" s="16"/>
      <c r="U487" s="16"/>
      <c r="V487" s="16"/>
      <c r="W487" s="16"/>
    </row>
    <row r="488" spans="3:23" ht="17.25" hidden="1" customHeight="1">
      <c r="C488" s="10"/>
      <c r="D488" s="119"/>
      <c r="E488" s="119"/>
      <c r="F488" s="16"/>
      <c r="G488" s="16"/>
      <c r="H488" s="16"/>
      <c r="I488" s="16"/>
      <c r="J488" s="16"/>
      <c r="K488" s="16"/>
      <c r="L488" s="16"/>
      <c r="M488" s="16"/>
      <c r="N488" s="16"/>
      <c r="O488" s="16"/>
      <c r="P488" s="16"/>
      <c r="Q488" s="16"/>
      <c r="R488" s="16"/>
      <c r="S488" s="16"/>
      <c r="T488" s="16"/>
      <c r="U488" s="16"/>
      <c r="V488" s="16"/>
      <c r="W488" s="16"/>
    </row>
    <row r="489" spans="3:23" ht="17.25" hidden="1" customHeight="1">
      <c r="C489" s="10"/>
      <c r="D489" s="119"/>
      <c r="E489" s="119"/>
      <c r="F489" s="16"/>
      <c r="G489" s="16"/>
      <c r="H489" s="16"/>
      <c r="I489" s="16"/>
      <c r="J489" s="16"/>
      <c r="K489" s="16"/>
      <c r="L489" s="16"/>
      <c r="M489" s="16"/>
      <c r="N489" s="16"/>
      <c r="O489" s="16"/>
      <c r="P489" s="16"/>
      <c r="Q489" s="16"/>
      <c r="R489" s="16"/>
      <c r="S489" s="16"/>
      <c r="T489" s="16"/>
      <c r="U489" s="16"/>
      <c r="V489" s="16"/>
      <c r="W489" s="16"/>
    </row>
    <row r="490" spans="3:23" ht="17.25" hidden="1" customHeight="1">
      <c r="C490" s="10"/>
      <c r="D490" s="119"/>
      <c r="E490" s="119"/>
      <c r="F490" s="16"/>
      <c r="G490" s="16"/>
      <c r="H490" s="16"/>
      <c r="I490" s="16"/>
      <c r="J490" s="16"/>
      <c r="K490" s="16"/>
      <c r="L490" s="16"/>
      <c r="M490" s="16"/>
      <c r="N490" s="16"/>
      <c r="O490" s="16"/>
      <c r="P490" s="16"/>
      <c r="Q490" s="16"/>
      <c r="R490" s="16"/>
      <c r="S490" s="16"/>
      <c r="T490" s="16"/>
      <c r="U490" s="16"/>
      <c r="V490" s="16"/>
      <c r="W490" s="16"/>
    </row>
    <row r="491" spans="3:23" ht="17.25" hidden="1" customHeight="1">
      <c r="C491" s="10"/>
      <c r="D491" s="119"/>
      <c r="E491" s="119"/>
      <c r="F491" s="16"/>
      <c r="G491" s="16"/>
      <c r="H491" s="16"/>
      <c r="I491" s="16"/>
      <c r="J491" s="16"/>
      <c r="K491" s="16"/>
      <c r="L491" s="16"/>
      <c r="M491" s="16"/>
      <c r="N491" s="16"/>
      <c r="O491" s="16"/>
      <c r="P491" s="16"/>
      <c r="Q491" s="16"/>
      <c r="R491" s="16"/>
      <c r="S491" s="16"/>
      <c r="T491" s="16"/>
      <c r="U491" s="16"/>
      <c r="V491" s="16"/>
      <c r="W491" s="16"/>
    </row>
    <row r="492" spans="3:23" ht="17.25" hidden="1" customHeight="1">
      <c r="C492" s="10"/>
      <c r="D492" s="119"/>
      <c r="E492" s="119"/>
      <c r="F492" s="16"/>
      <c r="G492" s="16"/>
      <c r="H492" s="16"/>
      <c r="I492" s="16"/>
      <c r="J492" s="16"/>
      <c r="K492" s="16"/>
      <c r="L492" s="16"/>
      <c r="M492" s="16"/>
      <c r="N492" s="16"/>
      <c r="O492" s="16"/>
      <c r="P492" s="16"/>
      <c r="Q492" s="16"/>
      <c r="R492" s="16"/>
      <c r="S492" s="16"/>
      <c r="T492" s="16"/>
      <c r="U492" s="16"/>
      <c r="V492" s="16"/>
      <c r="W492" s="16"/>
    </row>
    <row r="493" spans="3:23" ht="17.25" hidden="1" customHeight="1">
      <c r="C493" s="10"/>
      <c r="D493" s="119"/>
      <c r="E493" s="119"/>
      <c r="F493" s="16"/>
      <c r="G493" s="16"/>
      <c r="H493" s="16"/>
      <c r="I493" s="16"/>
      <c r="J493" s="16"/>
      <c r="K493" s="16"/>
      <c r="L493" s="16"/>
      <c r="M493" s="16"/>
      <c r="N493" s="16"/>
      <c r="O493" s="16"/>
      <c r="P493" s="16"/>
      <c r="Q493" s="16"/>
      <c r="R493" s="16"/>
      <c r="S493" s="16"/>
      <c r="T493" s="16"/>
      <c r="U493" s="16"/>
      <c r="V493" s="16"/>
      <c r="W493" s="16"/>
    </row>
    <row r="494" spans="3:23" ht="17.25" hidden="1" customHeight="1">
      <c r="C494" s="10"/>
      <c r="D494" s="119"/>
      <c r="E494" s="119"/>
      <c r="F494" s="16"/>
      <c r="G494" s="16"/>
      <c r="H494" s="16"/>
      <c r="I494" s="16"/>
      <c r="J494" s="16"/>
      <c r="K494" s="16"/>
      <c r="L494" s="16"/>
      <c r="M494" s="16"/>
      <c r="N494" s="16"/>
      <c r="O494" s="16"/>
      <c r="P494" s="16"/>
      <c r="Q494" s="16"/>
      <c r="R494" s="16"/>
      <c r="S494" s="16"/>
      <c r="T494" s="16"/>
      <c r="U494" s="16"/>
      <c r="V494" s="16"/>
      <c r="W494" s="16"/>
    </row>
    <row r="495" spans="3:23" ht="17.25" hidden="1" customHeight="1">
      <c r="C495" s="10"/>
      <c r="D495" s="119"/>
      <c r="E495" s="119"/>
      <c r="F495" s="16"/>
      <c r="G495" s="16"/>
      <c r="H495" s="16"/>
      <c r="I495" s="16"/>
      <c r="J495" s="16"/>
      <c r="K495" s="16"/>
      <c r="L495" s="16"/>
      <c r="M495" s="16"/>
      <c r="N495" s="16"/>
      <c r="O495" s="16"/>
      <c r="P495" s="16"/>
      <c r="Q495" s="16"/>
      <c r="R495" s="16"/>
      <c r="S495" s="16"/>
      <c r="T495" s="16"/>
      <c r="U495" s="16"/>
      <c r="V495" s="16"/>
      <c r="W495" s="16"/>
    </row>
    <row r="496" spans="3:23" ht="17.25" hidden="1" customHeight="1">
      <c r="C496" s="10"/>
      <c r="D496" s="119"/>
      <c r="E496" s="119"/>
      <c r="F496" s="16"/>
      <c r="G496" s="16"/>
      <c r="H496" s="16"/>
      <c r="I496" s="16"/>
      <c r="J496" s="16"/>
      <c r="K496" s="16"/>
      <c r="L496" s="16"/>
      <c r="M496" s="16"/>
      <c r="N496" s="16"/>
      <c r="O496" s="16"/>
      <c r="P496" s="16"/>
      <c r="Q496" s="16"/>
      <c r="R496" s="16"/>
      <c r="S496" s="16"/>
      <c r="T496" s="16"/>
      <c r="U496" s="16"/>
      <c r="V496" s="16"/>
      <c r="W496" s="16"/>
    </row>
    <row r="497" spans="3:23" ht="17.25" hidden="1" customHeight="1">
      <c r="C497" s="10"/>
      <c r="D497" s="119"/>
      <c r="E497" s="119"/>
      <c r="F497" s="16"/>
      <c r="G497" s="16"/>
      <c r="H497" s="16"/>
      <c r="I497" s="16"/>
      <c r="J497" s="16"/>
      <c r="K497" s="16"/>
      <c r="L497" s="16"/>
      <c r="M497" s="16"/>
      <c r="N497" s="16"/>
      <c r="O497" s="16"/>
      <c r="P497" s="16"/>
      <c r="Q497" s="16"/>
      <c r="R497" s="16"/>
      <c r="S497" s="16"/>
      <c r="T497" s="16"/>
      <c r="U497" s="16"/>
      <c r="V497" s="16"/>
      <c r="W497" s="16"/>
    </row>
    <row r="498" spans="3:23" ht="17.25" hidden="1" customHeight="1">
      <c r="C498" s="10"/>
      <c r="D498" s="119"/>
      <c r="E498" s="119"/>
      <c r="F498" s="16"/>
      <c r="G498" s="16"/>
      <c r="H498" s="16"/>
      <c r="I498" s="16"/>
      <c r="J498" s="16"/>
      <c r="K498" s="16"/>
      <c r="L498" s="16"/>
      <c r="M498" s="16"/>
      <c r="N498" s="16"/>
      <c r="O498" s="16"/>
      <c r="P498" s="16"/>
      <c r="Q498" s="16"/>
      <c r="R498" s="16"/>
      <c r="S498" s="16"/>
      <c r="T498" s="16"/>
      <c r="U498" s="16"/>
      <c r="V498" s="16"/>
      <c r="W498" s="16"/>
    </row>
    <row r="499" spans="3:23" ht="17.25" hidden="1" customHeight="1">
      <c r="C499" s="10"/>
      <c r="D499" s="119"/>
      <c r="E499" s="119"/>
      <c r="F499" s="16"/>
      <c r="G499" s="16"/>
      <c r="H499" s="16"/>
      <c r="I499" s="16"/>
      <c r="J499" s="16"/>
      <c r="K499" s="16"/>
      <c r="L499" s="16"/>
      <c r="M499" s="16"/>
      <c r="N499" s="16"/>
      <c r="O499" s="16"/>
      <c r="P499" s="16"/>
      <c r="Q499" s="16"/>
      <c r="R499" s="16"/>
      <c r="S499" s="16"/>
      <c r="T499" s="16"/>
      <c r="U499" s="16"/>
      <c r="V499" s="16"/>
      <c r="W499" s="16"/>
    </row>
    <row r="500" spans="3:23" ht="17.25" hidden="1" customHeight="1">
      <c r="C500" s="10"/>
      <c r="D500" s="119"/>
      <c r="E500" s="119"/>
      <c r="F500" s="16"/>
      <c r="G500" s="16"/>
      <c r="H500" s="16"/>
      <c r="I500" s="16"/>
      <c r="J500" s="16"/>
      <c r="K500" s="16"/>
      <c r="L500" s="16"/>
      <c r="M500" s="16"/>
      <c r="N500" s="16"/>
      <c r="O500" s="16"/>
      <c r="P500" s="16"/>
      <c r="Q500" s="16"/>
      <c r="R500" s="16"/>
      <c r="S500" s="16"/>
      <c r="T500" s="16"/>
      <c r="U500" s="16"/>
      <c r="V500" s="16"/>
      <c r="W500" s="16"/>
    </row>
    <row r="501" spans="3:23" ht="17.25" hidden="1" customHeight="1">
      <c r="C501" s="10"/>
      <c r="D501" s="119"/>
      <c r="E501" s="119"/>
      <c r="F501" s="16"/>
      <c r="G501" s="16"/>
      <c r="H501" s="16"/>
      <c r="I501" s="16"/>
      <c r="J501" s="16"/>
      <c r="K501" s="16"/>
      <c r="L501" s="16"/>
      <c r="M501" s="16"/>
      <c r="N501" s="16"/>
      <c r="O501" s="16"/>
      <c r="P501" s="16"/>
      <c r="Q501" s="16"/>
      <c r="R501" s="16"/>
      <c r="S501" s="16"/>
      <c r="T501" s="16"/>
      <c r="U501" s="16"/>
      <c r="V501" s="16"/>
      <c r="W501" s="16"/>
    </row>
    <row r="502" spans="3:23" ht="17.25" hidden="1" customHeight="1">
      <c r="C502" s="10"/>
      <c r="D502" s="119"/>
      <c r="E502" s="119"/>
      <c r="F502" s="16"/>
      <c r="G502" s="16"/>
      <c r="H502" s="16"/>
      <c r="I502" s="16"/>
      <c r="J502" s="16"/>
      <c r="K502" s="16"/>
      <c r="L502" s="16"/>
      <c r="M502" s="16"/>
      <c r="N502" s="16"/>
      <c r="O502" s="16"/>
      <c r="P502" s="16"/>
      <c r="Q502" s="16"/>
      <c r="R502" s="16"/>
      <c r="S502" s="16"/>
      <c r="T502" s="16"/>
      <c r="U502" s="16"/>
      <c r="V502" s="16"/>
      <c r="W502" s="16"/>
    </row>
    <row r="503" spans="3:23" ht="17.25" hidden="1" customHeight="1">
      <c r="C503" s="10"/>
      <c r="D503" s="119"/>
      <c r="E503" s="119"/>
      <c r="F503" s="16"/>
      <c r="G503" s="16"/>
      <c r="H503" s="16"/>
      <c r="I503" s="16"/>
      <c r="J503" s="16"/>
      <c r="K503" s="16"/>
      <c r="L503" s="16"/>
      <c r="M503" s="16"/>
      <c r="N503" s="16"/>
      <c r="O503" s="16"/>
      <c r="P503" s="16"/>
      <c r="Q503" s="16"/>
      <c r="R503" s="16"/>
      <c r="S503" s="16"/>
      <c r="T503" s="16"/>
      <c r="U503" s="16"/>
      <c r="V503" s="16"/>
      <c r="W503" s="16"/>
    </row>
    <row r="504" spans="3:23" ht="17.25" hidden="1" customHeight="1">
      <c r="C504" s="10"/>
      <c r="D504" s="119"/>
      <c r="E504" s="119"/>
      <c r="F504" s="16"/>
      <c r="G504" s="16"/>
      <c r="H504" s="16"/>
      <c r="I504" s="16"/>
      <c r="J504" s="16"/>
      <c r="K504" s="16"/>
      <c r="L504" s="16"/>
      <c r="M504" s="16"/>
      <c r="N504" s="16"/>
      <c r="O504" s="16"/>
      <c r="P504" s="16"/>
      <c r="Q504" s="16"/>
      <c r="R504" s="16"/>
      <c r="S504" s="16"/>
      <c r="T504" s="16"/>
      <c r="U504" s="16"/>
      <c r="V504" s="16"/>
      <c r="W504" s="16"/>
    </row>
    <row r="505" spans="3:23" ht="17.25" hidden="1" customHeight="1">
      <c r="C505" s="10"/>
      <c r="D505" s="119"/>
      <c r="E505" s="119"/>
      <c r="F505" s="16"/>
      <c r="G505" s="16"/>
      <c r="H505" s="16"/>
      <c r="I505" s="16"/>
      <c r="J505" s="16"/>
      <c r="K505" s="16"/>
      <c r="L505" s="16"/>
      <c r="M505" s="16"/>
      <c r="N505" s="16"/>
      <c r="O505" s="16"/>
      <c r="P505" s="16"/>
      <c r="Q505" s="16"/>
      <c r="R505" s="16"/>
      <c r="S505" s="16"/>
      <c r="T505" s="16"/>
      <c r="U505" s="16"/>
      <c r="V505" s="16"/>
      <c r="W505" s="16"/>
    </row>
    <row r="506" spans="3:23" ht="17.25" hidden="1" customHeight="1">
      <c r="C506" s="10"/>
      <c r="D506" s="119"/>
      <c r="E506" s="119"/>
      <c r="F506" s="16"/>
      <c r="G506" s="16"/>
      <c r="H506" s="16"/>
      <c r="I506" s="16"/>
      <c r="J506" s="16"/>
      <c r="K506" s="16"/>
      <c r="L506" s="16"/>
      <c r="M506" s="16"/>
      <c r="N506" s="16"/>
      <c r="O506" s="16"/>
      <c r="P506" s="16"/>
      <c r="Q506" s="16"/>
      <c r="R506" s="16"/>
      <c r="S506" s="16"/>
      <c r="T506" s="16"/>
      <c r="U506" s="16"/>
      <c r="V506" s="16"/>
      <c r="W506" s="16"/>
    </row>
    <row r="507" spans="3:23" ht="17.25" hidden="1" customHeight="1">
      <c r="C507" s="10"/>
      <c r="D507" s="119"/>
      <c r="E507" s="119"/>
      <c r="F507" s="16"/>
      <c r="G507" s="16"/>
      <c r="H507" s="16"/>
      <c r="I507" s="16"/>
      <c r="J507" s="16"/>
      <c r="K507" s="16"/>
      <c r="L507" s="16"/>
      <c r="M507" s="16"/>
      <c r="N507" s="16"/>
      <c r="O507" s="16"/>
      <c r="P507" s="16"/>
      <c r="Q507" s="16"/>
      <c r="R507" s="16"/>
      <c r="S507" s="16"/>
      <c r="T507" s="16"/>
      <c r="U507" s="16"/>
      <c r="V507" s="16"/>
      <c r="W507" s="16"/>
    </row>
    <row r="508" spans="3:23" ht="17.25" hidden="1" customHeight="1">
      <c r="C508" s="10"/>
      <c r="D508" s="119"/>
      <c r="E508" s="119"/>
      <c r="F508" s="16"/>
      <c r="G508" s="16"/>
      <c r="H508" s="16"/>
      <c r="I508" s="16"/>
      <c r="J508" s="16"/>
      <c r="K508" s="16"/>
      <c r="L508" s="16"/>
      <c r="M508" s="16"/>
      <c r="N508" s="16"/>
      <c r="O508" s="16"/>
      <c r="P508" s="16"/>
      <c r="Q508" s="16"/>
      <c r="R508" s="16"/>
      <c r="S508" s="16"/>
      <c r="T508" s="16"/>
      <c r="U508" s="16"/>
      <c r="V508" s="16"/>
      <c r="W508" s="16"/>
    </row>
    <row r="509" spans="3:23" ht="17.25" hidden="1" customHeight="1">
      <c r="C509" s="10"/>
      <c r="D509" s="119"/>
      <c r="E509" s="119"/>
      <c r="F509" s="16"/>
      <c r="G509" s="16"/>
      <c r="H509" s="16"/>
      <c r="I509" s="16"/>
      <c r="J509" s="16"/>
      <c r="K509" s="16"/>
      <c r="L509" s="16"/>
      <c r="M509" s="16"/>
      <c r="N509" s="16"/>
      <c r="O509" s="16"/>
      <c r="P509" s="16"/>
      <c r="Q509" s="16"/>
      <c r="R509" s="16"/>
      <c r="S509" s="16"/>
      <c r="T509" s="16"/>
      <c r="U509" s="16"/>
      <c r="V509" s="16"/>
      <c r="W509" s="16"/>
    </row>
    <row r="510" spans="3:23" ht="17.25" hidden="1" customHeight="1">
      <c r="C510" s="10"/>
      <c r="D510" s="119"/>
      <c r="E510" s="119"/>
      <c r="F510" s="16"/>
      <c r="G510" s="16"/>
      <c r="H510" s="16"/>
      <c r="I510" s="16"/>
      <c r="J510" s="16"/>
      <c r="K510" s="16"/>
      <c r="L510" s="16"/>
      <c r="M510" s="16"/>
      <c r="N510" s="16"/>
      <c r="O510" s="16"/>
      <c r="P510" s="16"/>
      <c r="Q510" s="16"/>
      <c r="R510" s="16"/>
      <c r="S510" s="16"/>
      <c r="T510" s="16"/>
      <c r="U510" s="16"/>
      <c r="V510" s="16"/>
      <c r="W510" s="16"/>
    </row>
    <row r="511" spans="3:23" ht="17.25" hidden="1" customHeight="1">
      <c r="C511" s="10"/>
      <c r="D511" s="119"/>
      <c r="E511" s="119"/>
      <c r="F511" s="16"/>
      <c r="G511" s="16"/>
      <c r="H511" s="16"/>
      <c r="I511" s="16"/>
      <c r="J511" s="16"/>
      <c r="K511" s="16"/>
      <c r="L511" s="16"/>
      <c r="M511" s="16"/>
      <c r="N511" s="16"/>
      <c r="O511" s="16"/>
      <c r="P511" s="16"/>
      <c r="Q511" s="16"/>
      <c r="R511" s="16"/>
      <c r="S511" s="16"/>
      <c r="T511" s="16"/>
      <c r="U511" s="16"/>
      <c r="V511" s="16"/>
      <c r="W511" s="16"/>
    </row>
    <row r="512" spans="3:23" ht="17.25" hidden="1" customHeight="1">
      <c r="C512" s="10"/>
      <c r="D512" s="119"/>
      <c r="E512" s="119"/>
      <c r="F512" s="16"/>
      <c r="G512" s="16"/>
      <c r="H512" s="16"/>
      <c r="I512" s="16"/>
      <c r="J512" s="16"/>
      <c r="K512" s="16"/>
      <c r="L512" s="16"/>
      <c r="M512" s="16"/>
      <c r="N512" s="16"/>
      <c r="O512" s="16"/>
      <c r="P512" s="16"/>
      <c r="Q512" s="16"/>
      <c r="R512" s="16"/>
      <c r="S512" s="16"/>
      <c r="T512" s="16"/>
      <c r="U512" s="16"/>
      <c r="V512" s="16"/>
      <c r="W512" s="16"/>
    </row>
    <row r="513" spans="3:23" ht="17.25" hidden="1" customHeight="1">
      <c r="C513" s="10"/>
      <c r="D513" s="119"/>
      <c r="E513" s="119"/>
      <c r="F513" s="16"/>
      <c r="G513" s="16"/>
      <c r="H513" s="16"/>
      <c r="I513" s="16"/>
      <c r="J513" s="16"/>
      <c r="K513" s="16"/>
      <c r="L513" s="16"/>
      <c r="M513" s="16"/>
      <c r="N513" s="16"/>
      <c r="O513" s="16"/>
      <c r="P513" s="16"/>
      <c r="Q513" s="16"/>
      <c r="R513" s="16"/>
      <c r="S513" s="16"/>
      <c r="T513" s="16"/>
      <c r="U513" s="16"/>
      <c r="V513" s="16"/>
      <c r="W513" s="16"/>
    </row>
    <row r="514" spans="3:23" ht="17.25" hidden="1" customHeight="1">
      <c r="C514" s="10"/>
      <c r="D514" s="119"/>
      <c r="E514" s="119"/>
      <c r="F514" s="16"/>
      <c r="G514" s="16"/>
      <c r="H514" s="16"/>
      <c r="I514" s="16"/>
      <c r="J514" s="16"/>
      <c r="K514" s="16"/>
      <c r="L514" s="16"/>
      <c r="M514" s="16"/>
      <c r="N514" s="16"/>
      <c r="O514" s="16"/>
      <c r="P514" s="16"/>
      <c r="Q514" s="16"/>
      <c r="R514" s="16"/>
      <c r="S514" s="16"/>
      <c r="T514" s="16"/>
      <c r="U514" s="16"/>
      <c r="V514" s="16"/>
      <c r="W514" s="16"/>
    </row>
    <row r="515" spans="3:23" ht="17.25" hidden="1" customHeight="1">
      <c r="C515" s="10"/>
      <c r="D515" s="119"/>
      <c r="E515" s="119"/>
      <c r="F515" s="16"/>
      <c r="G515" s="16"/>
      <c r="H515" s="16"/>
      <c r="I515" s="16"/>
      <c r="J515" s="16"/>
      <c r="K515" s="16"/>
      <c r="L515" s="16"/>
      <c r="M515" s="16"/>
      <c r="N515" s="16"/>
      <c r="O515" s="16"/>
      <c r="P515" s="16"/>
      <c r="Q515" s="16"/>
      <c r="R515" s="16"/>
      <c r="S515" s="16"/>
      <c r="T515" s="16"/>
      <c r="U515" s="16"/>
      <c r="V515" s="16"/>
      <c r="W515" s="16"/>
    </row>
    <row r="516" spans="3:23" ht="17.25" hidden="1" customHeight="1">
      <c r="C516" s="10"/>
      <c r="D516" s="119"/>
      <c r="E516" s="119"/>
      <c r="F516" s="16"/>
      <c r="G516" s="16"/>
      <c r="H516" s="16"/>
      <c r="I516" s="16"/>
      <c r="J516" s="16"/>
      <c r="K516" s="16"/>
      <c r="L516" s="16"/>
      <c r="M516" s="16"/>
      <c r="N516" s="16"/>
      <c r="O516" s="16"/>
      <c r="P516" s="16"/>
      <c r="Q516" s="16"/>
      <c r="R516" s="16"/>
      <c r="S516" s="16"/>
      <c r="T516" s="16"/>
      <c r="U516" s="16"/>
      <c r="V516" s="16"/>
      <c r="W516" s="16"/>
    </row>
    <row r="517" spans="3:23" ht="17.25" hidden="1" customHeight="1">
      <c r="C517" s="10"/>
      <c r="D517" s="119"/>
      <c r="E517" s="119"/>
      <c r="F517" s="16"/>
      <c r="G517" s="16"/>
      <c r="H517" s="16"/>
      <c r="I517" s="16"/>
      <c r="J517" s="16"/>
      <c r="K517" s="16"/>
      <c r="L517" s="16"/>
      <c r="M517" s="16"/>
      <c r="N517" s="16"/>
      <c r="O517" s="16"/>
      <c r="P517" s="16"/>
      <c r="Q517" s="16"/>
      <c r="R517" s="16"/>
      <c r="S517" s="16"/>
      <c r="T517" s="16"/>
      <c r="U517" s="16"/>
      <c r="V517" s="16"/>
      <c r="W517" s="16"/>
    </row>
    <row r="518" spans="3:23" ht="17.25" hidden="1" customHeight="1">
      <c r="C518" s="10"/>
      <c r="D518" s="119"/>
      <c r="E518" s="119"/>
      <c r="F518" s="16"/>
      <c r="G518" s="16"/>
      <c r="H518" s="16"/>
      <c r="I518" s="16"/>
      <c r="J518" s="16"/>
      <c r="K518" s="16"/>
      <c r="L518" s="16"/>
      <c r="M518" s="16"/>
      <c r="N518" s="16"/>
      <c r="O518" s="16"/>
      <c r="P518" s="16"/>
      <c r="Q518" s="16"/>
      <c r="R518" s="16"/>
      <c r="S518" s="16"/>
      <c r="T518" s="16"/>
      <c r="U518" s="16"/>
      <c r="V518" s="16"/>
      <c r="W518" s="16"/>
    </row>
    <row r="519" spans="3:23" ht="17.25" hidden="1" customHeight="1">
      <c r="C519" s="10"/>
      <c r="D519" s="119"/>
      <c r="E519" s="119"/>
      <c r="F519" s="16"/>
      <c r="G519" s="16"/>
      <c r="H519" s="16"/>
      <c r="I519" s="16"/>
      <c r="J519" s="16"/>
      <c r="K519" s="16"/>
      <c r="L519" s="16"/>
      <c r="M519" s="16"/>
      <c r="N519" s="16"/>
      <c r="O519" s="16"/>
      <c r="P519" s="16"/>
      <c r="Q519" s="16"/>
      <c r="R519" s="16"/>
      <c r="S519" s="16"/>
      <c r="T519" s="16"/>
      <c r="U519" s="16"/>
      <c r="V519" s="16"/>
      <c r="W519" s="16"/>
    </row>
    <row r="520" spans="3:23" ht="17.25" hidden="1" customHeight="1">
      <c r="C520" s="10"/>
      <c r="D520" s="119"/>
      <c r="E520" s="119"/>
      <c r="F520" s="16"/>
      <c r="G520" s="16"/>
      <c r="H520" s="16"/>
      <c r="I520" s="16"/>
      <c r="J520" s="16"/>
      <c r="K520" s="16"/>
      <c r="L520" s="16"/>
      <c r="M520" s="16"/>
      <c r="N520" s="16"/>
      <c r="O520" s="16"/>
      <c r="P520" s="16"/>
      <c r="Q520" s="16"/>
      <c r="R520" s="16"/>
      <c r="S520" s="16"/>
      <c r="T520" s="16"/>
      <c r="U520" s="16"/>
      <c r="V520" s="16"/>
      <c r="W520" s="16"/>
    </row>
    <row r="521" spans="3:23" ht="17.25" hidden="1" customHeight="1">
      <c r="C521" s="10"/>
      <c r="D521" s="119"/>
      <c r="E521" s="119"/>
      <c r="F521" s="16"/>
      <c r="G521" s="16"/>
      <c r="H521" s="16"/>
      <c r="I521" s="16"/>
      <c r="J521" s="16"/>
      <c r="K521" s="16"/>
      <c r="L521" s="16"/>
      <c r="M521" s="16"/>
      <c r="N521" s="16"/>
      <c r="O521" s="16"/>
      <c r="P521" s="16"/>
      <c r="Q521" s="16"/>
      <c r="R521" s="16"/>
      <c r="S521" s="16"/>
      <c r="T521" s="16"/>
      <c r="U521" s="16"/>
      <c r="V521" s="16"/>
      <c r="W521" s="16"/>
    </row>
    <row r="522" spans="3:23" ht="17.25" hidden="1" customHeight="1">
      <c r="C522" s="10"/>
      <c r="D522" s="119"/>
      <c r="E522" s="119"/>
      <c r="F522" s="16"/>
      <c r="G522" s="16"/>
      <c r="H522" s="16"/>
      <c r="I522" s="16"/>
      <c r="J522" s="16"/>
      <c r="K522" s="16"/>
      <c r="L522" s="16"/>
      <c r="M522" s="16"/>
      <c r="N522" s="16"/>
      <c r="O522" s="16"/>
      <c r="P522" s="16"/>
      <c r="Q522" s="16"/>
      <c r="R522" s="16"/>
      <c r="S522" s="16"/>
      <c r="T522" s="16"/>
      <c r="U522" s="16"/>
      <c r="V522" s="16"/>
      <c r="W522" s="16"/>
    </row>
    <row r="523" spans="3:23" ht="17.25" hidden="1" customHeight="1">
      <c r="C523" s="10"/>
      <c r="D523" s="119"/>
      <c r="E523" s="119"/>
      <c r="F523" s="16"/>
      <c r="G523" s="16"/>
      <c r="H523" s="16"/>
      <c r="I523" s="16"/>
      <c r="J523" s="16"/>
      <c r="K523" s="16"/>
      <c r="L523" s="16"/>
      <c r="M523" s="16"/>
      <c r="N523" s="16"/>
      <c r="O523" s="16"/>
      <c r="P523" s="16"/>
      <c r="Q523" s="16"/>
      <c r="R523" s="16"/>
      <c r="S523" s="16"/>
      <c r="T523" s="16"/>
      <c r="U523" s="16"/>
      <c r="V523" s="16"/>
      <c r="W523" s="16"/>
    </row>
    <row r="524" spans="3:23" ht="17.25" hidden="1" customHeight="1">
      <c r="C524" s="10"/>
      <c r="D524" s="119"/>
      <c r="E524" s="119"/>
      <c r="F524" s="16"/>
      <c r="G524" s="16"/>
      <c r="H524" s="16"/>
      <c r="I524" s="16"/>
      <c r="J524" s="16"/>
      <c r="K524" s="16"/>
      <c r="L524" s="16"/>
      <c r="M524" s="16"/>
      <c r="N524" s="16"/>
      <c r="O524" s="16"/>
      <c r="P524" s="16"/>
      <c r="Q524" s="16"/>
      <c r="R524" s="16"/>
      <c r="S524" s="16"/>
      <c r="T524" s="16"/>
      <c r="U524" s="16"/>
      <c r="V524" s="16"/>
      <c r="W524" s="16"/>
    </row>
    <row r="525" spans="3:23" ht="17.25" hidden="1" customHeight="1">
      <c r="C525" s="10"/>
      <c r="D525" s="119"/>
      <c r="E525" s="119"/>
      <c r="F525" s="16"/>
      <c r="G525" s="16"/>
      <c r="H525" s="16"/>
      <c r="I525" s="16"/>
      <c r="J525" s="16"/>
      <c r="K525" s="16"/>
      <c r="L525" s="16"/>
      <c r="M525" s="16"/>
      <c r="N525" s="16"/>
      <c r="O525" s="16"/>
      <c r="P525" s="16"/>
      <c r="Q525" s="16"/>
      <c r="R525" s="16"/>
      <c r="S525" s="16"/>
      <c r="T525" s="16"/>
      <c r="U525" s="16"/>
      <c r="V525" s="16"/>
      <c r="W525" s="16"/>
    </row>
    <row r="526" spans="3:23" ht="17.25" hidden="1" customHeight="1">
      <c r="C526" s="10"/>
      <c r="D526" s="119"/>
      <c r="E526" s="119"/>
      <c r="F526" s="16"/>
      <c r="G526" s="16"/>
      <c r="H526" s="16"/>
      <c r="I526" s="16"/>
      <c r="J526" s="16"/>
      <c r="K526" s="16"/>
      <c r="L526" s="16"/>
      <c r="M526" s="16"/>
      <c r="N526" s="16"/>
      <c r="O526" s="16"/>
      <c r="P526" s="16"/>
      <c r="Q526" s="16"/>
      <c r="R526" s="16"/>
      <c r="S526" s="16"/>
      <c r="T526" s="16"/>
      <c r="U526" s="16"/>
      <c r="V526" s="16"/>
      <c r="W526" s="16"/>
    </row>
    <row r="527" spans="3:23" ht="17.25" hidden="1" customHeight="1">
      <c r="C527" s="10"/>
      <c r="D527" s="119"/>
      <c r="E527" s="119"/>
      <c r="F527" s="16"/>
      <c r="G527" s="16"/>
      <c r="H527" s="16"/>
      <c r="I527" s="16"/>
      <c r="J527" s="16"/>
      <c r="K527" s="16"/>
      <c r="L527" s="16"/>
      <c r="M527" s="16"/>
      <c r="N527" s="16"/>
      <c r="O527" s="16"/>
      <c r="P527" s="16"/>
      <c r="Q527" s="16"/>
      <c r="R527" s="16"/>
      <c r="S527" s="16"/>
      <c r="T527" s="16"/>
      <c r="U527" s="16"/>
      <c r="V527" s="16"/>
      <c r="W527" s="16"/>
    </row>
    <row r="528" spans="3:23" ht="17.25" hidden="1" customHeight="1">
      <c r="C528" s="10"/>
      <c r="D528" s="119"/>
      <c r="E528" s="119"/>
      <c r="F528" s="16"/>
      <c r="G528" s="16"/>
      <c r="H528" s="16"/>
      <c r="I528" s="16"/>
      <c r="J528" s="16"/>
      <c r="K528" s="16"/>
      <c r="L528" s="16"/>
      <c r="M528" s="16"/>
      <c r="N528" s="16"/>
      <c r="O528" s="16"/>
      <c r="P528" s="16"/>
      <c r="Q528" s="16"/>
      <c r="R528" s="16"/>
      <c r="S528" s="16"/>
      <c r="T528" s="16"/>
      <c r="U528" s="16"/>
      <c r="V528" s="16"/>
      <c r="W528" s="16"/>
    </row>
    <row r="529" spans="3:23" ht="17.25" hidden="1" customHeight="1">
      <c r="C529" s="10"/>
      <c r="D529" s="119"/>
      <c r="E529" s="119"/>
      <c r="F529" s="16"/>
      <c r="G529" s="16"/>
      <c r="H529" s="16"/>
      <c r="I529" s="16"/>
      <c r="J529" s="16"/>
      <c r="K529" s="16"/>
      <c r="L529" s="16"/>
      <c r="M529" s="16"/>
      <c r="N529" s="16"/>
      <c r="O529" s="16"/>
      <c r="P529" s="16"/>
      <c r="Q529" s="16"/>
      <c r="R529" s="16"/>
      <c r="S529" s="16"/>
      <c r="T529" s="16"/>
      <c r="U529" s="16"/>
      <c r="V529" s="16"/>
      <c r="W529" s="16"/>
    </row>
    <row r="530" spans="3:23" ht="17.25" hidden="1" customHeight="1">
      <c r="C530" s="10"/>
      <c r="D530" s="119"/>
      <c r="E530" s="119"/>
      <c r="F530" s="16"/>
      <c r="G530" s="16"/>
      <c r="H530" s="16"/>
      <c r="I530" s="16"/>
      <c r="J530" s="16"/>
      <c r="K530" s="16"/>
      <c r="L530" s="16"/>
      <c r="M530" s="16"/>
      <c r="N530" s="16"/>
      <c r="O530" s="16"/>
      <c r="P530" s="16"/>
      <c r="Q530" s="16"/>
      <c r="R530" s="16"/>
      <c r="S530" s="16"/>
      <c r="T530" s="16"/>
      <c r="U530" s="16"/>
      <c r="V530" s="16"/>
      <c r="W530" s="16"/>
    </row>
    <row r="531" spans="3:23" ht="17.25" hidden="1" customHeight="1">
      <c r="C531" s="10"/>
      <c r="D531" s="119"/>
      <c r="E531" s="119"/>
      <c r="F531" s="16"/>
      <c r="G531" s="16"/>
      <c r="H531" s="16"/>
      <c r="I531" s="16"/>
      <c r="J531" s="16"/>
      <c r="K531" s="16"/>
      <c r="L531" s="16"/>
      <c r="M531" s="16"/>
      <c r="N531" s="16"/>
      <c r="O531" s="16"/>
      <c r="P531" s="16"/>
      <c r="Q531" s="16"/>
      <c r="R531" s="16"/>
      <c r="S531" s="16"/>
      <c r="T531" s="16"/>
      <c r="U531" s="16"/>
      <c r="V531" s="16"/>
      <c r="W531" s="16"/>
    </row>
    <row r="532" spans="3:23" ht="17.25" hidden="1" customHeight="1">
      <c r="C532" s="10"/>
      <c r="D532" s="119"/>
      <c r="E532" s="119"/>
      <c r="F532" s="16"/>
      <c r="G532" s="16"/>
      <c r="H532" s="16"/>
      <c r="I532" s="16"/>
      <c r="J532" s="16"/>
      <c r="K532" s="16"/>
      <c r="L532" s="16"/>
      <c r="M532" s="16"/>
      <c r="N532" s="16"/>
      <c r="O532" s="16"/>
      <c r="P532" s="16"/>
      <c r="Q532" s="16"/>
      <c r="R532" s="16"/>
      <c r="S532" s="16"/>
      <c r="T532" s="16"/>
      <c r="U532" s="16"/>
      <c r="V532" s="16"/>
      <c r="W532" s="16"/>
    </row>
    <row r="533" spans="3:23" ht="17.25" hidden="1" customHeight="1">
      <c r="C533" s="10"/>
      <c r="D533" s="119"/>
      <c r="E533" s="119"/>
      <c r="F533" s="16"/>
      <c r="G533" s="16"/>
      <c r="H533" s="16"/>
      <c r="I533" s="16"/>
      <c r="J533" s="16"/>
      <c r="K533" s="16"/>
      <c r="L533" s="16"/>
      <c r="M533" s="16"/>
      <c r="N533" s="16"/>
      <c r="O533" s="16"/>
      <c r="P533" s="16"/>
      <c r="Q533" s="16"/>
      <c r="R533" s="16"/>
      <c r="S533" s="16"/>
      <c r="T533" s="16"/>
      <c r="U533" s="16"/>
      <c r="V533" s="16"/>
      <c r="W533" s="16"/>
    </row>
    <row r="534" spans="3:23" ht="17.25" hidden="1" customHeight="1">
      <c r="C534" s="10"/>
      <c r="D534" s="119"/>
      <c r="E534" s="119"/>
      <c r="F534" s="16"/>
      <c r="G534" s="16"/>
      <c r="H534" s="16"/>
      <c r="I534" s="16"/>
      <c r="J534" s="16"/>
      <c r="K534" s="16"/>
      <c r="L534" s="16"/>
      <c r="M534" s="16"/>
      <c r="N534" s="16"/>
      <c r="O534" s="16"/>
      <c r="P534" s="16"/>
      <c r="Q534" s="16"/>
      <c r="R534" s="16"/>
      <c r="S534" s="16"/>
      <c r="T534" s="16"/>
      <c r="U534" s="16"/>
      <c r="V534" s="16"/>
      <c r="W534" s="16"/>
    </row>
    <row r="535" spans="3:23" ht="17.25" hidden="1" customHeight="1">
      <c r="C535" s="10"/>
      <c r="D535" s="119"/>
      <c r="E535" s="119"/>
      <c r="F535" s="16"/>
      <c r="G535" s="16"/>
      <c r="H535" s="16"/>
      <c r="I535" s="16"/>
      <c r="J535" s="16"/>
      <c r="K535" s="16"/>
      <c r="L535" s="16"/>
      <c r="M535" s="16"/>
      <c r="N535" s="16"/>
      <c r="O535" s="16"/>
      <c r="P535" s="16"/>
      <c r="Q535" s="16"/>
      <c r="R535" s="16"/>
      <c r="S535" s="16"/>
      <c r="T535" s="16"/>
      <c r="U535" s="16"/>
      <c r="V535" s="16"/>
      <c r="W535" s="16"/>
    </row>
    <row r="536" spans="3:23" ht="17.25" hidden="1" customHeight="1">
      <c r="C536" s="10"/>
      <c r="D536" s="119"/>
      <c r="E536" s="119"/>
      <c r="F536" s="16"/>
      <c r="G536" s="16"/>
      <c r="H536" s="16"/>
      <c r="I536" s="16"/>
      <c r="J536" s="16"/>
      <c r="K536" s="16"/>
      <c r="L536" s="16"/>
      <c r="M536" s="16"/>
      <c r="N536" s="16"/>
      <c r="O536" s="16"/>
      <c r="P536" s="16"/>
      <c r="Q536" s="16"/>
      <c r="R536" s="16"/>
      <c r="S536" s="16"/>
      <c r="T536" s="16"/>
      <c r="U536" s="16"/>
      <c r="V536" s="16"/>
      <c r="W536" s="16"/>
    </row>
    <row r="537" spans="3:23" ht="17.25" hidden="1" customHeight="1">
      <c r="C537" s="10"/>
      <c r="D537" s="119"/>
      <c r="E537" s="119"/>
      <c r="F537" s="16"/>
      <c r="G537" s="16"/>
      <c r="H537" s="16"/>
      <c r="I537" s="16"/>
      <c r="J537" s="16"/>
      <c r="K537" s="16"/>
      <c r="L537" s="16"/>
      <c r="M537" s="16"/>
      <c r="N537" s="16"/>
      <c r="O537" s="16"/>
      <c r="P537" s="16"/>
      <c r="Q537" s="16"/>
      <c r="R537" s="16"/>
      <c r="S537" s="16"/>
      <c r="T537" s="16"/>
      <c r="U537" s="16"/>
      <c r="V537" s="16"/>
      <c r="W537" s="16"/>
    </row>
    <row r="538" spans="3:23" ht="17.25" hidden="1" customHeight="1">
      <c r="C538" s="10"/>
      <c r="D538" s="119"/>
      <c r="E538" s="119"/>
      <c r="F538" s="16"/>
      <c r="G538" s="16"/>
      <c r="H538" s="16"/>
      <c r="I538" s="16"/>
      <c r="J538" s="16"/>
      <c r="K538" s="16"/>
      <c r="L538" s="16"/>
      <c r="M538" s="16"/>
      <c r="N538" s="16"/>
      <c r="O538" s="16"/>
      <c r="P538" s="16"/>
      <c r="Q538" s="16"/>
      <c r="R538" s="16"/>
      <c r="S538" s="16"/>
      <c r="T538" s="16"/>
      <c r="U538" s="16"/>
      <c r="V538" s="16"/>
      <c r="W538" s="16"/>
    </row>
    <row r="539" spans="3:23" ht="17.25" hidden="1" customHeight="1">
      <c r="C539" s="10"/>
      <c r="D539" s="119"/>
      <c r="E539" s="119"/>
      <c r="F539" s="16"/>
      <c r="G539" s="16"/>
      <c r="H539" s="16"/>
      <c r="I539" s="16"/>
      <c r="J539" s="16"/>
      <c r="K539" s="16"/>
      <c r="L539" s="16"/>
      <c r="M539" s="16"/>
      <c r="N539" s="16"/>
      <c r="O539" s="16"/>
      <c r="P539" s="16"/>
      <c r="Q539" s="16"/>
      <c r="R539" s="16"/>
      <c r="S539" s="16"/>
      <c r="T539" s="16"/>
      <c r="U539" s="16"/>
      <c r="V539" s="16"/>
      <c r="W539" s="16"/>
    </row>
    <row r="540" spans="3:23" ht="17.25" hidden="1" customHeight="1">
      <c r="C540" s="10"/>
      <c r="D540" s="119"/>
      <c r="E540" s="119"/>
      <c r="F540" s="16"/>
      <c r="G540" s="16"/>
      <c r="H540" s="16"/>
      <c r="I540" s="16"/>
      <c r="J540" s="16"/>
      <c r="K540" s="16"/>
      <c r="L540" s="16"/>
      <c r="M540" s="16"/>
      <c r="N540" s="16"/>
      <c r="O540" s="16"/>
      <c r="P540" s="16"/>
      <c r="Q540" s="16"/>
      <c r="R540" s="16"/>
      <c r="S540" s="16"/>
      <c r="T540" s="16"/>
      <c r="U540" s="16"/>
      <c r="V540" s="16"/>
      <c r="W540" s="16"/>
    </row>
    <row r="541" spans="3:23" ht="17.25" hidden="1" customHeight="1">
      <c r="C541" s="10"/>
      <c r="D541" s="119"/>
      <c r="E541" s="119"/>
      <c r="F541" s="16"/>
      <c r="G541" s="16"/>
      <c r="H541" s="16"/>
      <c r="I541" s="16"/>
      <c r="J541" s="16"/>
      <c r="K541" s="16"/>
      <c r="L541" s="16"/>
      <c r="M541" s="16"/>
      <c r="N541" s="16"/>
      <c r="O541" s="16"/>
      <c r="P541" s="16"/>
      <c r="Q541" s="16"/>
      <c r="R541" s="16"/>
      <c r="S541" s="16"/>
      <c r="T541" s="16"/>
      <c r="U541" s="16"/>
      <c r="V541" s="16"/>
      <c r="W541" s="16"/>
    </row>
    <row r="542" spans="3:23" ht="17.25" hidden="1" customHeight="1">
      <c r="C542" s="10"/>
      <c r="D542" s="119"/>
      <c r="E542" s="119"/>
      <c r="F542" s="16"/>
      <c r="G542" s="16"/>
      <c r="H542" s="16"/>
      <c r="I542" s="16"/>
      <c r="J542" s="16"/>
      <c r="K542" s="16"/>
      <c r="L542" s="16"/>
      <c r="M542" s="16"/>
      <c r="N542" s="16"/>
      <c r="O542" s="16"/>
      <c r="P542" s="16"/>
      <c r="Q542" s="16"/>
      <c r="R542" s="16"/>
      <c r="S542" s="16"/>
      <c r="T542" s="16"/>
      <c r="U542" s="16"/>
      <c r="V542" s="16"/>
      <c r="W542" s="16"/>
    </row>
    <row r="543" spans="3:23" ht="17.25" hidden="1" customHeight="1">
      <c r="C543" s="10"/>
      <c r="D543" s="119"/>
      <c r="E543" s="119"/>
      <c r="F543" s="16"/>
      <c r="G543" s="16"/>
      <c r="H543" s="16"/>
      <c r="I543" s="16"/>
      <c r="J543" s="16"/>
      <c r="K543" s="16"/>
      <c r="L543" s="16"/>
      <c r="M543" s="16"/>
      <c r="N543" s="16"/>
      <c r="O543" s="16"/>
      <c r="P543" s="16"/>
      <c r="Q543" s="16"/>
      <c r="R543" s="16"/>
      <c r="S543" s="16"/>
      <c r="T543" s="16"/>
      <c r="U543" s="16"/>
      <c r="V543" s="16"/>
      <c r="W543" s="16"/>
    </row>
    <row r="544" spans="3:23" ht="17.25" hidden="1" customHeight="1">
      <c r="C544" s="10"/>
      <c r="D544" s="119"/>
      <c r="E544" s="119"/>
      <c r="F544" s="16"/>
      <c r="G544" s="16"/>
      <c r="H544" s="16"/>
      <c r="I544" s="16"/>
      <c r="J544" s="16"/>
      <c r="K544" s="16"/>
      <c r="L544" s="16"/>
      <c r="M544" s="16"/>
      <c r="N544" s="16"/>
      <c r="O544" s="16"/>
      <c r="P544" s="16"/>
      <c r="Q544" s="16"/>
      <c r="R544" s="16"/>
      <c r="S544" s="16"/>
      <c r="T544" s="16"/>
      <c r="U544" s="16"/>
      <c r="V544" s="16"/>
      <c r="W544" s="16"/>
    </row>
    <row r="545" spans="3:23" ht="17.25" hidden="1" customHeight="1">
      <c r="C545" s="10"/>
      <c r="D545" s="119"/>
      <c r="E545" s="119"/>
      <c r="F545" s="16"/>
      <c r="G545" s="16"/>
      <c r="H545" s="16"/>
      <c r="I545" s="16"/>
      <c r="J545" s="16"/>
      <c r="K545" s="16"/>
      <c r="L545" s="16"/>
      <c r="M545" s="16"/>
      <c r="N545" s="16"/>
      <c r="O545" s="16"/>
      <c r="P545" s="16"/>
      <c r="Q545" s="16"/>
      <c r="R545" s="16"/>
      <c r="S545" s="16"/>
      <c r="T545" s="16"/>
      <c r="U545" s="16"/>
      <c r="V545" s="16"/>
      <c r="W545" s="16"/>
    </row>
    <row r="546" spans="3:23" ht="17.25" hidden="1" customHeight="1">
      <c r="C546" s="10"/>
      <c r="D546" s="119"/>
      <c r="E546" s="119"/>
      <c r="F546" s="16"/>
      <c r="G546" s="16"/>
      <c r="H546" s="16"/>
      <c r="I546" s="16"/>
      <c r="J546" s="16"/>
      <c r="K546" s="16"/>
      <c r="L546" s="16"/>
      <c r="M546" s="16"/>
      <c r="N546" s="16"/>
      <c r="O546" s="16"/>
      <c r="P546" s="16"/>
      <c r="Q546" s="16"/>
      <c r="R546" s="16"/>
      <c r="S546" s="16"/>
      <c r="T546" s="16"/>
      <c r="U546" s="16"/>
      <c r="V546" s="16"/>
      <c r="W546" s="16"/>
    </row>
    <row r="547" spans="3:23" ht="17.25" hidden="1" customHeight="1">
      <c r="C547" s="10"/>
      <c r="D547" s="119"/>
      <c r="E547" s="119"/>
      <c r="F547" s="16"/>
      <c r="G547" s="16"/>
      <c r="H547" s="16"/>
      <c r="I547" s="16"/>
      <c r="J547" s="16"/>
      <c r="K547" s="16"/>
      <c r="L547" s="16"/>
      <c r="M547" s="16"/>
      <c r="N547" s="16"/>
      <c r="O547" s="16"/>
      <c r="P547" s="16"/>
      <c r="Q547" s="16"/>
      <c r="R547" s="16"/>
      <c r="S547" s="16"/>
      <c r="T547" s="16"/>
      <c r="U547" s="16"/>
      <c r="V547" s="16"/>
      <c r="W547" s="16"/>
    </row>
    <row r="548" spans="3:23" ht="17.25" hidden="1" customHeight="1">
      <c r="C548" s="10"/>
      <c r="D548" s="119"/>
      <c r="E548" s="119"/>
      <c r="F548" s="16"/>
      <c r="G548" s="16"/>
      <c r="H548" s="16"/>
      <c r="I548" s="16"/>
      <c r="J548" s="16"/>
      <c r="K548" s="16"/>
      <c r="L548" s="16"/>
      <c r="M548" s="16"/>
      <c r="N548" s="16"/>
      <c r="O548" s="16"/>
      <c r="P548" s="16"/>
      <c r="Q548" s="16"/>
      <c r="R548" s="16"/>
      <c r="S548" s="16"/>
      <c r="T548" s="16"/>
      <c r="U548" s="16"/>
      <c r="V548" s="16"/>
      <c r="W548" s="16"/>
    </row>
    <row r="549" spans="3:23" ht="17.25" hidden="1" customHeight="1">
      <c r="C549" s="10"/>
      <c r="D549" s="119"/>
      <c r="E549" s="119"/>
      <c r="F549" s="16"/>
      <c r="G549" s="16"/>
      <c r="H549" s="16"/>
      <c r="I549" s="16"/>
      <c r="J549" s="16"/>
      <c r="K549" s="16"/>
      <c r="L549" s="16"/>
      <c r="M549" s="16"/>
      <c r="N549" s="16"/>
      <c r="O549" s="16"/>
      <c r="P549" s="16"/>
      <c r="Q549" s="16"/>
      <c r="R549" s="16"/>
      <c r="S549" s="16"/>
      <c r="T549" s="16"/>
      <c r="U549" s="16"/>
      <c r="V549" s="16"/>
      <c r="W549" s="16"/>
    </row>
    <row r="550" spans="3:23" ht="17.25" hidden="1" customHeight="1">
      <c r="C550" s="10"/>
      <c r="D550" s="119"/>
      <c r="E550" s="119"/>
      <c r="F550" s="16"/>
      <c r="G550" s="16"/>
      <c r="H550" s="16"/>
      <c r="I550" s="16"/>
      <c r="J550" s="16"/>
      <c r="K550" s="16"/>
      <c r="L550" s="16"/>
      <c r="M550" s="16"/>
      <c r="N550" s="16"/>
      <c r="O550" s="16"/>
      <c r="P550" s="16"/>
      <c r="Q550" s="16"/>
      <c r="R550" s="16"/>
      <c r="S550" s="16"/>
      <c r="T550" s="16"/>
      <c r="U550" s="16"/>
      <c r="V550" s="16"/>
      <c r="W550" s="16"/>
    </row>
    <row r="551" spans="3:23" ht="17.25" hidden="1" customHeight="1">
      <c r="C551" s="10"/>
      <c r="D551" s="119"/>
      <c r="E551" s="119"/>
      <c r="F551" s="16"/>
      <c r="G551" s="16"/>
      <c r="H551" s="16"/>
      <c r="I551" s="16"/>
      <c r="J551" s="16"/>
      <c r="K551" s="16"/>
      <c r="L551" s="16"/>
      <c r="M551" s="16"/>
      <c r="N551" s="16"/>
      <c r="O551" s="16"/>
      <c r="P551" s="16"/>
      <c r="Q551" s="16"/>
      <c r="R551" s="16"/>
      <c r="S551" s="16"/>
      <c r="T551" s="16"/>
      <c r="U551" s="16"/>
      <c r="V551" s="16"/>
      <c r="W551" s="16"/>
    </row>
    <row r="552" spans="3:23" ht="17.25" hidden="1" customHeight="1">
      <c r="C552" s="10"/>
      <c r="D552" s="119"/>
      <c r="E552" s="119"/>
      <c r="F552" s="16"/>
      <c r="G552" s="16"/>
      <c r="H552" s="16"/>
      <c r="I552" s="16"/>
      <c r="J552" s="16"/>
      <c r="K552" s="16"/>
      <c r="L552" s="16"/>
      <c r="M552" s="16"/>
      <c r="N552" s="16"/>
      <c r="O552" s="16"/>
      <c r="P552" s="16"/>
      <c r="Q552" s="16"/>
      <c r="R552" s="16"/>
      <c r="S552" s="16"/>
      <c r="T552" s="16"/>
      <c r="U552" s="16"/>
      <c r="V552" s="16"/>
      <c r="W552" s="16"/>
    </row>
    <row r="553" spans="3:23" ht="17.25" hidden="1" customHeight="1">
      <c r="C553" s="10"/>
      <c r="D553" s="119"/>
      <c r="E553" s="119"/>
      <c r="F553" s="16"/>
      <c r="G553" s="16"/>
      <c r="H553" s="16"/>
      <c r="I553" s="16"/>
      <c r="J553" s="16"/>
      <c r="K553" s="16"/>
      <c r="L553" s="16"/>
      <c r="M553" s="16"/>
      <c r="N553" s="16"/>
      <c r="O553" s="16"/>
      <c r="P553" s="16"/>
      <c r="Q553" s="16"/>
      <c r="R553" s="16"/>
      <c r="S553" s="16"/>
      <c r="T553" s="16"/>
      <c r="U553" s="16"/>
      <c r="V553" s="16"/>
      <c r="W553" s="16"/>
    </row>
    <row r="554" spans="3:23" ht="17.25" hidden="1" customHeight="1">
      <c r="C554" s="10"/>
      <c r="D554" s="119"/>
      <c r="E554" s="119"/>
      <c r="F554" s="16"/>
      <c r="G554" s="16"/>
      <c r="H554" s="16"/>
      <c r="I554" s="16"/>
      <c r="J554" s="16"/>
      <c r="K554" s="16"/>
      <c r="L554" s="16"/>
      <c r="M554" s="16"/>
      <c r="N554" s="16"/>
      <c r="O554" s="16"/>
      <c r="P554" s="16"/>
      <c r="Q554" s="16"/>
      <c r="R554" s="16"/>
      <c r="S554" s="16"/>
      <c r="T554" s="16"/>
      <c r="U554" s="16"/>
      <c r="V554" s="16"/>
      <c r="W554" s="16"/>
    </row>
    <row r="555" spans="3:23" ht="17.25" hidden="1" customHeight="1">
      <c r="C555" s="10"/>
      <c r="D555" s="119"/>
      <c r="E555" s="119"/>
      <c r="F555" s="16"/>
      <c r="G555" s="16"/>
      <c r="H555" s="16"/>
      <c r="I555" s="16"/>
      <c r="J555" s="16"/>
      <c r="K555" s="16"/>
      <c r="L555" s="16"/>
      <c r="M555" s="16"/>
      <c r="N555" s="16"/>
      <c r="O555" s="16"/>
      <c r="P555" s="16"/>
      <c r="Q555" s="16"/>
      <c r="R555" s="16"/>
      <c r="S555" s="16"/>
      <c r="T555" s="16"/>
      <c r="U555" s="16"/>
      <c r="V555" s="16"/>
      <c r="W555" s="16"/>
    </row>
    <row r="556" spans="3:23" ht="17.25" hidden="1" customHeight="1">
      <c r="C556" s="10"/>
      <c r="D556" s="119"/>
      <c r="E556" s="119"/>
      <c r="F556" s="16"/>
      <c r="G556" s="16"/>
      <c r="H556" s="16"/>
      <c r="I556" s="16"/>
      <c r="J556" s="16"/>
      <c r="K556" s="16"/>
      <c r="L556" s="16"/>
      <c r="M556" s="16"/>
      <c r="N556" s="16"/>
      <c r="O556" s="16"/>
      <c r="P556" s="16"/>
      <c r="Q556" s="16"/>
      <c r="R556" s="16"/>
      <c r="S556" s="16"/>
      <c r="T556" s="16"/>
      <c r="U556" s="16"/>
      <c r="V556" s="16"/>
      <c r="W556" s="16"/>
    </row>
    <row r="557" spans="3:23" ht="17.25" hidden="1" customHeight="1">
      <c r="C557" s="10"/>
      <c r="D557" s="119"/>
      <c r="E557" s="119"/>
      <c r="F557" s="16"/>
      <c r="G557" s="16"/>
      <c r="H557" s="16"/>
      <c r="I557" s="16"/>
      <c r="J557" s="16"/>
      <c r="K557" s="16"/>
      <c r="L557" s="16"/>
      <c r="M557" s="16"/>
      <c r="N557" s="16"/>
      <c r="O557" s="16"/>
      <c r="P557" s="16"/>
      <c r="Q557" s="16"/>
      <c r="R557" s="16"/>
      <c r="S557" s="16"/>
      <c r="T557" s="16"/>
      <c r="U557" s="16"/>
      <c r="V557" s="16"/>
      <c r="W557" s="16"/>
    </row>
    <row r="558" spans="3:23" ht="17.25" hidden="1" customHeight="1">
      <c r="C558" s="10"/>
      <c r="D558" s="119"/>
      <c r="E558" s="119"/>
      <c r="F558" s="16"/>
      <c r="G558" s="16"/>
      <c r="H558" s="16"/>
      <c r="I558" s="16"/>
      <c r="J558" s="16"/>
      <c r="K558" s="16"/>
      <c r="L558" s="16"/>
      <c r="M558" s="16"/>
      <c r="N558" s="16"/>
      <c r="O558" s="16"/>
      <c r="P558" s="16"/>
      <c r="Q558" s="16"/>
      <c r="R558" s="16"/>
      <c r="S558" s="16"/>
      <c r="T558" s="16"/>
      <c r="U558" s="16"/>
      <c r="V558" s="16"/>
      <c r="W558" s="16"/>
    </row>
    <row r="559" spans="3:23" ht="17.25" hidden="1" customHeight="1">
      <c r="C559" s="10"/>
      <c r="D559" s="119"/>
      <c r="E559" s="119"/>
      <c r="F559" s="16"/>
      <c r="G559" s="16"/>
      <c r="H559" s="16"/>
      <c r="I559" s="16"/>
      <c r="J559" s="16"/>
      <c r="K559" s="16"/>
      <c r="L559" s="16"/>
      <c r="M559" s="16"/>
      <c r="N559" s="16"/>
      <c r="O559" s="16"/>
      <c r="P559" s="16"/>
      <c r="Q559" s="16"/>
      <c r="R559" s="16"/>
      <c r="S559" s="16"/>
      <c r="T559" s="16"/>
      <c r="U559" s="16"/>
      <c r="V559" s="16"/>
      <c r="W559" s="16"/>
    </row>
    <row r="560" spans="3:23" ht="17.25" hidden="1" customHeight="1">
      <c r="C560" s="10"/>
      <c r="D560" s="119"/>
      <c r="E560" s="119"/>
      <c r="F560" s="16"/>
      <c r="G560" s="16"/>
      <c r="H560" s="16"/>
      <c r="I560" s="16"/>
      <c r="J560" s="16"/>
      <c r="K560" s="16"/>
      <c r="L560" s="16"/>
      <c r="M560" s="16"/>
      <c r="N560" s="16"/>
      <c r="O560" s="16"/>
      <c r="P560" s="16"/>
      <c r="Q560" s="16"/>
      <c r="R560" s="16"/>
      <c r="S560" s="16"/>
      <c r="T560" s="16"/>
      <c r="U560" s="16"/>
      <c r="V560" s="16"/>
      <c r="W560" s="16"/>
    </row>
    <row r="561" spans="3:23" ht="17.25" hidden="1" customHeight="1">
      <c r="C561" s="10"/>
      <c r="D561" s="119"/>
      <c r="E561" s="119"/>
      <c r="F561" s="16"/>
      <c r="G561" s="16"/>
      <c r="H561" s="16"/>
      <c r="I561" s="16"/>
      <c r="J561" s="16"/>
      <c r="K561" s="16"/>
      <c r="L561" s="16"/>
      <c r="M561" s="16"/>
      <c r="N561" s="16"/>
      <c r="O561" s="16"/>
      <c r="P561" s="16"/>
      <c r="Q561" s="16"/>
      <c r="R561" s="16"/>
      <c r="S561" s="16"/>
      <c r="T561" s="16"/>
      <c r="U561" s="16"/>
      <c r="V561" s="16"/>
      <c r="W561" s="16"/>
    </row>
    <row r="562" spans="3:23" ht="17.25" hidden="1" customHeight="1">
      <c r="C562" s="10"/>
      <c r="D562" s="119"/>
      <c r="E562" s="119"/>
      <c r="F562" s="16"/>
      <c r="G562" s="16"/>
      <c r="H562" s="16"/>
      <c r="I562" s="16"/>
      <c r="J562" s="16"/>
      <c r="K562" s="16"/>
      <c r="L562" s="16"/>
      <c r="M562" s="16"/>
      <c r="N562" s="16"/>
      <c r="O562" s="16"/>
      <c r="P562" s="16"/>
      <c r="Q562" s="16"/>
      <c r="R562" s="16"/>
      <c r="S562" s="16"/>
      <c r="T562" s="16"/>
      <c r="U562" s="16"/>
      <c r="V562" s="16"/>
      <c r="W562" s="16"/>
    </row>
    <row r="563" spans="3:23" ht="17.25" hidden="1" customHeight="1">
      <c r="C563" s="10"/>
      <c r="D563" s="119"/>
      <c r="E563" s="119"/>
      <c r="F563" s="16"/>
      <c r="G563" s="16"/>
      <c r="H563" s="16"/>
      <c r="I563" s="16"/>
      <c r="J563" s="16"/>
      <c r="K563" s="16"/>
      <c r="L563" s="16"/>
      <c r="M563" s="16"/>
      <c r="N563" s="16"/>
      <c r="O563" s="16"/>
      <c r="P563" s="16"/>
      <c r="Q563" s="16"/>
      <c r="R563" s="16"/>
      <c r="S563" s="16"/>
      <c r="T563" s="16"/>
      <c r="U563" s="16"/>
      <c r="V563" s="16"/>
      <c r="W563" s="16"/>
    </row>
    <row r="564" spans="3:23" ht="17.25" hidden="1" customHeight="1">
      <c r="C564" s="10"/>
      <c r="D564" s="119"/>
      <c r="E564" s="119"/>
      <c r="F564" s="16"/>
      <c r="G564" s="16"/>
      <c r="H564" s="16"/>
      <c r="I564" s="16"/>
      <c r="J564" s="16"/>
      <c r="K564" s="16"/>
      <c r="L564" s="16"/>
      <c r="M564" s="16"/>
      <c r="N564" s="16"/>
      <c r="O564" s="16"/>
      <c r="P564" s="16"/>
      <c r="Q564" s="16"/>
      <c r="R564" s="16"/>
      <c r="S564" s="16"/>
      <c r="T564" s="16"/>
      <c r="U564" s="16"/>
      <c r="V564" s="16"/>
      <c r="W564" s="16"/>
    </row>
    <row r="565" spans="3:23" ht="17.25" hidden="1" customHeight="1">
      <c r="C565" s="10"/>
      <c r="D565" s="119"/>
      <c r="E565" s="119"/>
      <c r="F565" s="16"/>
      <c r="G565" s="16"/>
      <c r="H565" s="16"/>
      <c r="I565" s="16"/>
      <c r="J565" s="16"/>
      <c r="K565" s="16"/>
      <c r="L565" s="16"/>
      <c r="M565" s="16"/>
      <c r="N565" s="16"/>
      <c r="O565" s="16"/>
      <c r="P565" s="16"/>
      <c r="Q565" s="16"/>
      <c r="R565" s="16"/>
      <c r="S565" s="16"/>
      <c r="T565" s="16"/>
      <c r="U565" s="16"/>
      <c r="V565" s="16"/>
      <c r="W565" s="16"/>
    </row>
    <row r="566" spans="3:23" ht="17.25" hidden="1" customHeight="1">
      <c r="C566" s="10"/>
      <c r="D566" s="119"/>
      <c r="E566" s="119"/>
      <c r="F566" s="16"/>
      <c r="G566" s="16"/>
      <c r="H566" s="16"/>
      <c r="I566" s="16"/>
      <c r="J566" s="16"/>
      <c r="K566" s="16"/>
      <c r="L566" s="16"/>
      <c r="M566" s="16"/>
      <c r="N566" s="16"/>
      <c r="O566" s="16"/>
      <c r="P566" s="16"/>
      <c r="Q566" s="16"/>
      <c r="R566" s="16"/>
      <c r="S566" s="16"/>
      <c r="T566" s="16"/>
      <c r="U566" s="16"/>
      <c r="V566" s="16"/>
      <c r="W566" s="16"/>
    </row>
    <row r="567" spans="3:23" ht="17.25" hidden="1" customHeight="1">
      <c r="C567" s="10"/>
      <c r="D567" s="119"/>
      <c r="E567" s="119"/>
      <c r="F567" s="16"/>
      <c r="G567" s="16"/>
      <c r="H567" s="16"/>
      <c r="I567" s="16"/>
      <c r="J567" s="16"/>
      <c r="K567" s="16"/>
      <c r="L567" s="16"/>
      <c r="M567" s="16"/>
      <c r="N567" s="16"/>
      <c r="O567" s="16"/>
      <c r="P567" s="16"/>
      <c r="Q567" s="16"/>
      <c r="R567" s="16"/>
      <c r="S567" s="16"/>
      <c r="T567" s="16"/>
      <c r="U567" s="16"/>
      <c r="V567" s="16"/>
      <c r="W567" s="16"/>
    </row>
    <row r="568" spans="3:23" ht="17.25" hidden="1" customHeight="1">
      <c r="C568" s="10"/>
      <c r="D568" s="119"/>
      <c r="E568" s="119"/>
      <c r="F568" s="16"/>
      <c r="G568" s="16"/>
      <c r="H568" s="16"/>
      <c r="I568" s="16"/>
      <c r="J568" s="16"/>
      <c r="K568" s="16"/>
      <c r="L568" s="16"/>
      <c r="M568" s="16"/>
      <c r="N568" s="16"/>
      <c r="O568" s="16"/>
      <c r="P568" s="16"/>
      <c r="Q568" s="16"/>
      <c r="R568" s="16"/>
      <c r="S568" s="16"/>
      <c r="T568" s="16"/>
      <c r="U568" s="16"/>
      <c r="V568" s="16"/>
      <c r="W568" s="16"/>
    </row>
    <row r="569" spans="3:23" ht="17.25" hidden="1" customHeight="1">
      <c r="C569" s="10"/>
      <c r="D569" s="119"/>
      <c r="E569" s="119"/>
      <c r="F569" s="16"/>
      <c r="G569" s="16"/>
      <c r="H569" s="16"/>
      <c r="I569" s="16"/>
      <c r="J569" s="16"/>
      <c r="K569" s="16"/>
      <c r="L569" s="16"/>
      <c r="M569" s="16"/>
      <c r="N569" s="16"/>
      <c r="O569" s="16"/>
      <c r="P569" s="16"/>
      <c r="Q569" s="16"/>
      <c r="R569" s="16"/>
      <c r="S569" s="16"/>
      <c r="T569" s="16"/>
      <c r="U569" s="16"/>
      <c r="V569" s="16"/>
      <c r="W569" s="16"/>
    </row>
    <row r="570" spans="3:23" ht="17.25" hidden="1" customHeight="1">
      <c r="C570" s="10"/>
      <c r="D570" s="119"/>
      <c r="E570" s="119"/>
      <c r="F570" s="16"/>
      <c r="G570" s="16"/>
      <c r="H570" s="16"/>
      <c r="I570" s="16"/>
      <c r="J570" s="16"/>
      <c r="K570" s="16"/>
      <c r="L570" s="16"/>
      <c r="M570" s="16"/>
      <c r="N570" s="16"/>
      <c r="O570" s="16"/>
      <c r="P570" s="16"/>
      <c r="Q570" s="16"/>
      <c r="R570" s="16"/>
      <c r="S570" s="16"/>
      <c r="T570" s="16"/>
      <c r="U570" s="16"/>
      <c r="V570" s="16"/>
      <c r="W570" s="16"/>
    </row>
    <row r="571" spans="3:23" ht="17.25" hidden="1" customHeight="1">
      <c r="C571" s="10"/>
      <c r="D571" s="119"/>
      <c r="E571" s="119"/>
      <c r="F571" s="16"/>
      <c r="G571" s="16"/>
      <c r="H571" s="16"/>
      <c r="I571" s="16"/>
      <c r="J571" s="16"/>
      <c r="K571" s="16"/>
      <c r="L571" s="16"/>
      <c r="M571" s="16"/>
      <c r="N571" s="16"/>
      <c r="O571" s="16"/>
      <c r="P571" s="16"/>
      <c r="Q571" s="16"/>
      <c r="R571" s="16"/>
      <c r="S571" s="16"/>
      <c r="T571" s="16"/>
      <c r="U571" s="16"/>
      <c r="V571" s="16"/>
      <c r="W571" s="16"/>
    </row>
    <row r="572" spans="3:23" ht="17.25" hidden="1" customHeight="1">
      <c r="C572" s="10"/>
      <c r="D572" s="119"/>
      <c r="E572" s="119"/>
      <c r="F572" s="16"/>
      <c r="G572" s="16"/>
      <c r="H572" s="16"/>
      <c r="I572" s="16"/>
      <c r="J572" s="16"/>
      <c r="K572" s="16"/>
      <c r="L572" s="16"/>
      <c r="M572" s="16"/>
      <c r="N572" s="16"/>
      <c r="O572" s="16"/>
      <c r="P572" s="16"/>
      <c r="Q572" s="16"/>
      <c r="R572" s="16"/>
      <c r="S572" s="16"/>
      <c r="T572" s="16"/>
      <c r="U572" s="16"/>
      <c r="V572" s="16"/>
      <c r="W572" s="16"/>
    </row>
    <row r="573" spans="3:23" ht="17.25" hidden="1" customHeight="1">
      <c r="C573" s="10"/>
      <c r="D573" s="119"/>
      <c r="E573" s="119"/>
      <c r="F573" s="16"/>
      <c r="G573" s="16"/>
      <c r="H573" s="16"/>
      <c r="I573" s="16"/>
      <c r="J573" s="16"/>
      <c r="K573" s="16"/>
      <c r="L573" s="16"/>
      <c r="M573" s="16"/>
      <c r="N573" s="16"/>
      <c r="O573" s="16"/>
      <c r="P573" s="16"/>
      <c r="Q573" s="16"/>
      <c r="R573" s="16"/>
      <c r="S573" s="16"/>
      <c r="T573" s="16"/>
      <c r="U573" s="16"/>
      <c r="V573" s="16"/>
      <c r="W573" s="16"/>
    </row>
    <row r="574" spans="3:23" ht="17.25" hidden="1" customHeight="1">
      <c r="C574" s="10"/>
      <c r="D574" s="119"/>
      <c r="E574" s="119"/>
      <c r="F574" s="16"/>
      <c r="G574" s="16"/>
      <c r="H574" s="16"/>
      <c r="I574" s="16"/>
      <c r="J574" s="16"/>
      <c r="K574" s="16"/>
      <c r="L574" s="16"/>
      <c r="M574" s="16"/>
      <c r="N574" s="16"/>
      <c r="O574" s="16"/>
      <c r="P574" s="16"/>
      <c r="Q574" s="16"/>
      <c r="R574" s="16"/>
      <c r="S574" s="16"/>
      <c r="T574" s="16"/>
      <c r="U574" s="16"/>
      <c r="V574" s="16"/>
      <c r="W574" s="16"/>
    </row>
    <row r="575" spans="3:23" ht="17.25" hidden="1" customHeight="1">
      <c r="C575" s="10"/>
      <c r="D575" s="119"/>
      <c r="E575" s="119"/>
      <c r="F575" s="16"/>
      <c r="G575" s="16"/>
      <c r="H575" s="16"/>
      <c r="I575" s="16"/>
      <c r="J575" s="16"/>
      <c r="K575" s="16"/>
      <c r="L575" s="16"/>
      <c r="M575" s="16"/>
      <c r="N575" s="16"/>
      <c r="O575" s="16"/>
      <c r="P575" s="16"/>
      <c r="Q575" s="16"/>
      <c r="R575" s="16"/>
      <c r="S575" s="16"/>
      <c r="T575" s="16"/>
      <c r="U575" s="16"/>
      <c r="V575" s="16"/>
      <c r="W575" s="16"/>
    </row>
    <row r="576" spans="3:23" ht="17.25" hidden="1" customHeight="1">
      <c r="C576" s="10"/>
      <c r="D576" s="119"/>
      <c r="E576" s="119"/>
      <c r="F576" s="16"/>
      <c r="G576" s="16"/>
      <c r="H576" s="16"/>
      <c r="I576" s="16"/>
      <c r="J576" s="16"/>
      <c r="K576" s="16"/>
      <c r="L576" s="16"/>
      <c r="M576" s="16"/>
      <c r="N576" s="16"/>
      <c r="O576" s="16"/>
      <c r="P576" s="16"/>
      <c r="Q576" s="16"/>
      <c r="R576" s="16"/>
      <c r="S576" s="16"/>
      <c r="T576" s="16"/>
      <c r="U576" s="16"/>
      <c r="V576" s="16"/>
      <c r="W576" s="16"/>
    </row>
    <row r="577" spans="3:23" ht="17.25" hidden="1" customHeight="1">
      <c r="C577" s="10"/>
      <c r="D577" s="119"/>
      <c r="E577" s="119"/>
      <c r="F577" s="16"/>
      <c r="G577" s="16"/>
      <c r="H577" s="16"/>
      <c r="I577" s="16"/>
      <c r="J577" s="16"/>
      <c r="K577" s="16"/>
      <c r="L577" s="16"/>
      <c r="M577" s="16"/>
      <c r="N577" s="16"/>
      <c r="O577" s="16"/>
      <c r="P577" s="16"/>
      <c r="Q577" s="16"/>
      <c r="R577" s="16"/>
      <c r="S577" s="16"/>
      <c r="T577" s="16"/>
      <c r="U577" s="16"/>
      <c r="V577" s="16"/>
      <c r="W577" s="16"/>
    </row>
    <row r="578" spans="3:23" ht="17.25" hidden="1" customHeight="1">
      <c r="C578" s="10"/>
      <c r="D578" s="119"/>
      <c r="E578" s="119"/>
      <c r="F578" s="16"/>
      <c r="G578" s="16"/>
      <c r="H578" s="16"/>
      <c r="I578" s="16"/>
      <c r="J578" s="16"/>
      <c r="K578" s="16"/>
      <c r="L578" s="16"/>
      <c r="M578" s="16"/>
      <c r="N578" s="16"/>
      <c r="O578" s="16"/>
      <c r="P578" s="16"/>
      <c r="Q578" s="16"/>
      <c r="R578" s="16"/>
      <c r="S578" s="16"/>
      <c r="T578" s="16"/>
      <c r="U578" s="16"/>
      <c r="V578" s="16"/>
      <c r="W578" s="16"/>
    </row>
    <row r="579" spans="3:23" ht="17.25" hidden="1" customHeight="1">
      <c r="C579" s="10"/>
      <c r="D579" s="119"/>
      <c r="E579" s="119"/>
      <c r="F579" s="16"/>
      <c r="G579" s="16"/>
      <c r="H579" s="16"/>
      <c r="I579" s="16"/>
      <c r="J579" s="16"/>
      <c r="K579" s="16"/>
      <c r="L579" s="16"/>
      <c r="M579" s="16"/>
      <c r="N579" s="16"/>
      <c r="O579" s="16"/>
      <c r="P579" s="16"/>
      <c r="Q579" s="16"/>
      <c r="R579" s="16"/>
      <c r="S579" s="16"/>
      <c r="T579" s="16"/>
      <c r="U579" s="16"/>
      <c r="V579" s="16"/>
      <c r="W579" s="16"/>
    </row>
    <row r="580" spans="3:23" ht="17.25" hidden="1" customHeight="1">
      <c r="C580" s="10"/>
      <c r="D580" s="119"/>
      <c r="E580" s="119"/>
      <c r="F580" s="16"/>
      <c r="G580" s="16"/>
      <c r="H580" s="16"/>
      <c r="I580" s="16"/>
      <c r="J580" s="16"/>
      <c r="K580" s="16"/>
      <c r="L580" s="16"/>
      <c r="M580" s="16"/>
      <c r="N580" s="16"/>
      <c r="O580" s="16"/>
      <c r="P580" s="16"/>
      <c r="Q580" s="16"/>
      <c r="R580" s="16"/>
      <c r="S580" s="16"/>
      <c r="T580" s="16"/>
      <c r="U580" s="16"/>
      <c r="V580" s="16"/>
      <c r="W580" s="16"/>
    </row>
    <row r="581" spans="3:23" ht="17.25" hidden="1" customHeight="1">
      <c r="C581" s="10"/>
      <c r="D581" s="119"/>
      <c r="E581" s="119"/>
      <c r="F581" s="16"/>
      <c r="G581" s="16"/>
      <c r="H581" s="16"/>
      <c r="I581" s="16"/>
      <c r="J581" s="16"/>
      <c r="K581" s="16"/>
      <c r="L581" s="16"/>
      <c r="M581" s="16"/>
      <c r="N581" s="16"/>
      <c r="O581" s="16"/>
      <c r="P581" s="16"/>
      <c r="Q581" s="16"/>
      <c r="R581" s="16"/>
      <c r="S581" s="16"/>
      <c r="T581" s="16"/>
      <c r="U581" s="16"/>
      <c r="V581" s="16"/>
      <c r="W581" s="16"/>
    </row>
    <row r="582" spans="3:23" ht="17.25" hidden="1" customHeight="1">
      <c r="C582" s="10"/>
      <c r="D582" s="119"/>
      <c r="E582" s="119"/>
      <c r="F582" s="16"/>
      <c r="G582" s="16"/>
      <c r="H582" s="16"/>
      <c r="I582" s="16"/>
      <c r="J582" s="16"/>
      <c r="K582" s="16"/>
      <c r="L582" s="16"/>
      <c r="M582" s="16"/>
      <c r="N582" s="16"/>
      <c r="O582" s="16"/>
      <c r="P582" s="16"/>
      <c r="Q582" s="16"/>
      <c r="R582" s="16"/>
      <c r="S582" s="16"/>
      <c r="T582" s="16"/>
      <c r="U582" s="16"/>
      <c r="V582" s="16"/>
      <c r="W582" s="16"/>
    </row>
    <row r="583" spans="3:23" ht="17.25" hidden="1" customHeight="1">
      <c r="C583" s="10"/>
      <c r="D583" s="119"/>
      <c r="E583" s="119"/>
      <c r="F583" s="16"/>
      <c r="G583" s="16"/>
      <c r="H583" s="16"/>
      <c r="I583" s="16"/>
      <c r="J583" s="16"/>
      <c r="K583" s="16"/>
      <c r="L583" s="16"/>
      <c r="M583" s="16"/>
      <c r="N583" s="16"/>
      <c r="O583" s="16"/>
      <c r="P583" s="16"/>
      <c r="Q583" s="16"/>
      <c r="R583" s="16"/>
      <c r="S583" s="16"/>
      <c r="T583" s="16"/>
      <c r="U583" s="16"/>
      <c r="V583" s="16"/>
      <c r="W583" s="16"/>
    </row>
    <row r="584" spans="3:23" ht="17.25" hidden="1" customHeight="1">
      <c r="C584" s="10"/>
      <c r="D584" s="119"/>
      <c r="E584" s="119"/>
      <c r="F584" s="16"/>
      <c r="G584" s="16"/>
      <c r="H584" s="16"/>
      <c r="I584" s="16"/>
      <c r="J584" s="16"/>
      <c r="K584" s="16"/>
      <c r="L584" s="16"/>
      <c r="M584" s="16"/>
      <c r="N584" s="16"/>
      <c r="O584" s="16"/>
      <c r="P584" s="16"/>
      <c r="Q584" s="16"/>
      <c r="R584" s="16"/>
      <c r="S584" s="16"/>
      <c r="T584" s="16"/>
      <c r="U584" s="16"/>
      <c r="V584" s="16"/>
      <c r="W584" s="16"/>
    </row>
    <row r="585" spans="3:23" ht="17.25" hidden="1" customHeight="1">
      <c r="C585" s="10"/>
      <c r="D585" s="119"/>
      <c r="E585" s="119"/>
      <c r="F585" s="16"/>
      <c r="G585" s="16"/>
      <c r="H585" s="16"/>
      <c r="I585" s="16"/>
      <c r="J585" s="16"/>
      <c r="K585" s="16"/>
      <c r="L585" s="16"/>
      <c r="M585" s="16"/>
      <c r="N585" s="16"/>
      <c r="O585" s="16"/>
      <c r="P585" s="16"/>
      <c r="Q585" s="16"/>
      <c r="R585" s="16"/>
      <c r="S585" s="16"/>
      <c r="T585" s="16"/>
      <c r="U585" s="16"/>
      <c r="V585" s="16"/>
      <c r="W585" s="16"/>
    </row>
    <row r="586" spans="3:23" ht="17.25" hidden="1" customHeight="1">
      <c r="C586" s="10"/>
      <c r="D586" s="119"/>
      <c r="E586" s="119"/>
      <c r="F586" s="16"/>
      <c r="G586" s="16"/>
      <c r="H586" s="16"/>
      <c r="I586" s="16"/>
      <c r="J586" s="16"/>
      <c r="K586" s="16"/>
      <c r="L586" s="16"/>
      <c r="M586" s="16"/>
      <c r="N586" s="16"/>
      <c r="O586" s="16"/>
      <c r="P586" s="16"/>
      <c r="Q586" s="16"/>
      <c r="R586" s="16"/>
      <c r="S586" s="16"/>
      <c r="T586" s="16"/>
      <c r="U586" s="16"/>
      <c r="V586" s="16"/>
      <c r="W586" s="16"/>
    </row>
    <row r="587" spans="3:23" ht="17.25" hidden="1" customHeight="1">
      <c r="C587" s="10"/>
      <c r="D587" s="119"/>
      <c r="E587" s="119"/>
      <c r="F587" s="16"/>
      <c r="G587" s="16"/>
      <c r="H587" s="16"/>
      <c r="I587" s="16"/>
      <c r="J587" s="16"/>
      <c r="K587" s="16"/>
      <c r="L587" s="16"/>
      <c r="M587" s="16"/>
      <c r="N587" s="16"/>
      <c r="O587" s="16"/>
      <c r="P587" s="16"/>
      <c r="Q587" s="16"/>
      <c r="R587" s="16"/>
      <c r="S587" s="16"/>
      <c r="T587" s="16"/>
      <c r="U587" s="16"/>
      <c r="V587" s="16"/>
      <c r="W587" s="16"/>
    </row>
    <row r="588" spans="3:23" ht="17.25" hidden="1" customHeight="1">
      <c r="C588" s="10"/>
      <c r="D588" s="119"/>
      <c r="E588" s="119"/>
      <c r="F588" s="16"/>
      <c r="G588" s="16"/>
      <c r="H588" s="16"/>
      <c r="I588" s="16"/>
      <c r="J588" s="16"/>
      <c r="K588" s="16"/>
      <c r="L588" s="16"/>
      <c r="M588" s="16"/>
      <c r="N588" s="16"/>
      <c r="O588" s="16"/>
      <c r="P588" s="16"/>
      <c r="Q588" s="16"/>
      <c r="R588" s="16"/>
      <c r="S588" s="16"/>
      <c r="T588" s="16"/>
      <c r="U588" s="16"/>
      <c r="V588" s="16"/>
      <c r="W588" s="16"/>
    </row>
    <row r="589" spans="3:23" ht="17.25" hidden="1" customHeight="1">
      <c r="C589" s="10"/>
      <c r="D589" s="119"/>
      <c r="E589" s="119"/>
      <c r="F589" s="16"/>
      <c r="G589" s="16"/>
      <c r="H589" s="16"/>
      <c r="I589" s="16"/>
      <c r="J589" s="16"/>
      <c r="K589" s="16"/>
      <c r="L589" s="16"/>
      <c r="M589" s="16"/>
      <c r="N589" s="16"/>
      <c r="O589" s="16"/>
      <c r="P589" s="16"/>
      <c r="Q589" s="16"/>
      <c r="R589" s="16"/>
      <c r="S589" s="16"/>
      <c r="T589" s="16"/>
      <c r="U589" s="16"/>
      <c r="V589" s="16"/>
      <c r="W589" s="16"/>
    </row>
    <row r="590" spans="3:23" ht="17.25" hidden="1" customHeight="1">
      <c r="C590" s="10"/>
      <c r="D590" s="119"/>
      <c r="E590" s="119"/>
      <c r="F590" s="16"/>
      <c r="G590" s="16"/>
      <c r="H590" s="16"/>
      <c r="I590" s="16"/>
      <c r="J590" s="16"/>
      <c r="K590" s="16"/>
      <c r="L590" s="16"/>
      <c r="M590" s="16"/>
      <c r="N590" s="16"/>
      <c r="O590" s="16"/>
      <c r="P590" s="16"/>
      <c r="Q590" s="16"/>
      <c r="R590" s="16"/>
      <c r="S590" s="16"/>
      <c r="T590" s="16"/>
      <c r="U590" s="16"/>
      <c r="V590" s="16"/>
      <c r="W590" s="16"/>
    </row>
    <row r="591" spans="3:23" ht="17.25" hidden="1" customHeight="1">
      <c r="C591" s="10"/>
      <c r="D591" s="119"/>
      <c r="E591" s="119"/>
      <c r="F591" s="16"/>
      <c r="G591" s="16"/>
      <c r="H591" s="16"/>
      <c r="I591" s="16"/>
      <c r="J591" s="16"/>
      <c r="K591" s="16"/>
      <c r="L591" s="16"/>
      <c r="M591" s="16"/>
      <c r="N591" s="16"/>
      <c r="O591" s="16"/>
      <c r="P591" s="16"/>
      <c r="Q591" s="16"/>
      <c r="R591" s="16"/>
      <c r="S591" s="16"/>
      <c r="T591" s="16"/>
      <c r="U591" s="16"/>
      <c r="V591" s="16"/>
      <c r="W591" s="16"/>
    </row>
    <row r="592" spans="3:23" ht="17.25" hidden="1" customHeight="1">
      <c r="C592" s="10"/>
      <c r="D592" s="119"/>
      <c r="E592" s="119"/>
      <c r="F592" s="16"/>
      <c r="G592" s="16"/>
      <c r="H592" s="16"/>
      <c r="I592" s="16"/>
      <c r="J592" s="16"/>
      <c r="K592" s="16"/>
      <c r="L592" s="16"/>
      <c r="M592" s="16"/>
      <c r="N592" s="16"/>
      <c r="O592" s="16"/>
      <c r="P592" s="16"/>
      <c r="Q592" s="16"/>
      <c r="R592" s="16"/>
      <c r="S592" s="16"/>
      <c r="T592" s="16"/>
      <c r="U592" s="16"/>
      <c r="V592" s="16"/>
      <c r="W592" s="16"/>
    </row>
    <row r="593" spans="3:23" ht="17.25" hidden="1" customHeight="1">
      <c r="C593" s="10"/>
      <c r="D593" s="119"/>
      <c r="E593" s="119"/>
      <c r="F593" s="16"/>
      <c r="G593" s="16"/>
      <c r="H593" s="16"/>
      <c r="I593" s="16"/>
      <c r="J593" s="16"/>
      <c r="K593" s="16"/>
      <c r="L593" s="16"/>
      <c r="M593" s="16"/>
      <c r="N593" s="16"/>
      <c r="O593" s="16"/>
      <c r="P593" s="16"/>
      <c r="Q593" s="16"/>
      <c r="R593" s="16"/>
      <c r="S593" s="16"/>
      <c r="T593" s="16"/>
      <c r="U593" s="16"/>
      <c r="V593" s="16"/>
      <c r="W593" s="16"/>
    </row>
    <row r="594" spans="3:23" ht="17.25" hidden="1" customHeight="1">
      <c r="C594" s="10"/>
      <c r="D594" s="119"/>
      <c r="E594" s="119"/>
      <c r="F594" s="16"/>
      <c r="G594" s="16"/>
      <c r="H594" s="16"/>
      <c r="I594" s="16"/>
      <c r="J594" s="16"/>
      <c r="K594" s="16"/>
      <c r="L594" s="16"/>
      <c r="M594" s="16"/>
      <c r="N594" s="16"/>
      <c r="O594" s="16"/>
      <c r="P594" s="16"/>
      <c r="Q594" s="16"/>
      <c r="R594" s="16"/>
      <c r="S594" s="16"/>
      <c r="T594" s="16"/>
      <c r="U594" s="16"/>
      <c r="V594" s="16"/>
      <c r="W594" s="16"/>
    </row>
    <row r="595" spans="3:23" ht="17.25" hidden="1" customHeight="1">
      <c r="C595" s="10"/>
      <c r="D595" s="119"/>
      <c r="E595" s="119"/>
      <c r="F595" s="117"/>
      <c r="G595" s="117"/>
      <c r="H595" s="117"/>
      <c r="I595" s="117"/>
      <c r="J595" s="117"/>
      <c r="K595" s="117"/>
      <c r="L595" s="117"/>
      <c r="M595" s="117"/>
      <c r="N595" s="117"/>
      <c r="O595" s="117"/>
      <c r="P595" s="117"/>
      <c r="Q595" s="117"/>
      <c r="R595" s="117"/>
      <c r="S595" s="117"/>
      <c r="T595" s="117"/>
      <c r="U595" s="117"/>
      <c r="V595" s="117"/>
      <c r="W595" s="117"/>
    </row>
    <row r="596" spans="3:23" ht="17.25" hidden="1" customHeight="1">
      <c r="C596" s="10"/>
      <c r="D596" s="120"/>
    </row>
    <row r="597" spans="3:23" ht="17.25" hidden="1" customHeight="1">
      <c r="C597" s="10"/>
      <c r="D597" s="119"/>
      <c r="E597" s="119"/>
      <c r="F597" s="16"/>
      <c r="G597" s="16"/>
      <c r="H597" s="16"/>
      <c r="I597" s="16"/>
      <c r="J597" s="16"/>
      <c r="K597" s="16"/>
      <c r="L597" s="16"/>
      <c r="M597" s="16"/>
      <c r="N597" s="16"/>
      <c r="O597" s="16"/>
      <c r="P597" s="16"/>
      <c r="Q597" s="16"/>
      <c r="R597" s="16"/>
      <c r="S597" s="16"/>
      <c r="T597" s="16"/>
      <c r="U597" s="16"/>
      <c r="V597" s="16"/>
      <c r="W597" s="16"/>
    </row>
    <row r="598" spans="3:23" ht="17.25" hidden="1" customHeight="1">
      <c r="C598" s="10"/>
      <c r="D598" s="119"/>
      <c r="E598" s="119"/>
      <c r="F598" s="16"/>
      <c r="G598" s="16"/>
      <c r="H598" s="16"/>
      <c r="I598" s="16"/>
      <c r="J598" s="16"/>
      <c r="K598" s="16"/>
      <c r="L598" s="16"/>
      <c r="M598" s="16"/>
      <c r="N598" s="16"/>
      <c r="O598" s="16"/>
      <c r="P598" s="16"/>
      <c r="Q598" s="16"/>
      <c r="R598" s="16"/>
      <c r="S598" s="16"/>
      <c r="T598" s="16"/>
      <c r="U598" s="16"/>
      <c r="V598" s="16"/>
      <c r="W598" s="16"/>
    </row>
    <row r="599" spans="3:23" ht="17.25" hidden="1" customHeight="1">
      <c r="C599" s="10"/>
      <c r="D599" s="119"/>
      <c r="E599" s="119"/>
      <c r="F599" s="16"/>
      <c r="G599" s="16"/>
      <c r="H599" s="16"/>
      <c r="I599" s="16"/>
      <c r="J599" s="16"/>
      <c r="K599" s="16"/>
      <c r="L599" s="16"/>
      <c r="M599" s="16"/>
      <c r="N599" s="16"/>
      <c r="O599" s="16"/>
      <c r="P599" s="16"/>
      <c r="Q599" s="16"/>
      <c r="R599" s="16"/>
      <c r="S599" s="16"/>
      <c r="T599" s="16"/>
      <c r="U599" s="16"/>
      <c r="V599" s="16"/>
      <c r="W599" s="16"/>
    </row>
    <row r="600" spans="3:23" ht="17.25" hidden="1" customHeight="1">
      <c r="C600" s="10"/>
      <c r="D600" s="119"/>
      <c r="E600" s="119"/>
      <c r="F600" s="16"/>
      <c r="G600" s="16"/>
      <c r="H600" s="16"/>
      <c r="I600" s="16"/>
      <c r="J600" s="16"/>
      <c r="K600" s="16"/>
      <c r="L600" s="16"/>
      <c r="M600" s="16"/>
      <c r="N600" s="16"/>
      <c r="O600" s="16"/>
      <c r="P600" s="16"/>
      <c r="Q600" s="16"/>
      <c r="R600" s="16"/>
      <c r="S600" s="16"/>
      <c r="T600" s="16"/>
      <c r="U600" s="16"/>
      <c r="V600" s="16"/>
      <c r="W600" s="16"/>
    </row>
    <row r="601" spans="3:23" ht="17.25" hidden="1" customHeight="1">
      <c r="C601" s="10"/>
      <c r="D601" s="119"/>
      <c r="E601" s="119"/>
      <c r="F601" s="16"/>
      <c r="G601" s="16"/>
      <c r="H601" s="16"/>
      <c r="I601" s="16"/>
      <c r="J601" s="16"/>
      <c r="K601" s="16"/>
      <c r="L601" s="16"/>
      <c r="M601" s="16"/>
      <c r="N601" s="16"/>
      <c r="O601" s="16"/>
      <c r="P601" s="16"/>
      <c r="Q601" s="16"/>
      <c r="R601" s="16"/>
      <c r="S601" s="16"/>
      <c r="T601" s="16"/>
      <c r="U601" s="16"/>
      <c r="V601" s="16"/>
      <c r="W601" s="16"/>
    </row>
    <row r="602" spans="3:23" ht="17.25" hidden="1" customHeight="1">
      <c r="C602" s="10"/>
      <c r="D602" s="119"/>
      <c r="E602" s="119"/>
      <c r="F602" s="16"/>
      <c r="G602" s="16"/>
      <c r="H602" s="16"/>
      <c r="I602" s="16"/>
      <c r="J602" s="16"/>
      <c r="K602" s="16"/>
      <c r="L602" s="16"/>
      <c r="M602" s="16"/>
      <c r="N602" s="16"/>
      <c r="O602" s="16"/>
      <c r="P602" s="16"/>
      <c r="Q602" s="16"/>
      <c r="R602" s="16"/>
      <c r="S602" s="16"/>
      <c r="T602" s="16"/>
      <c r="U602" s="16"/>
      <c r="V602" s="16"/>
      <c r="W602" s="16"/>
    </row>
    <row r="603" spans="3:23" ht="17.25" hidden="1" customHeight="1">
      <c r="C603" s="10"/>
      <c r="D603" s="119"/>
      <c r="E603" s="119"/>
      <c r="F603" s="16"/>
      <c r="G603" s="16"/>
      <c r="H603" s="16"/>
      <c r="I603" s="16"/>
      <c r="J603" s="16"/>
      <c r="K603" s="16"/>
      <c r="L603" s="16"/>
      <c r="M603" s="16"/>
      <c r="N603" s="16"/>
      <c r="O603" s="16"/>
      <c r="P603" s="16"/>
      <c r="Q603" s="16"/>
      <c r="R603" s="16"/>
      <c r="S603" s="16"/>
      <c r="T603" s="16"/>
      <c r="U603" s="16"/>
      <c r="V603" s="16"/>
      <c r="W603" s="16"/>
    </row>
    <row r="604" spans="3:23" ht="17.25" hidden="1" customHeight="1">
      <c r="C604" s="10"/>
      <c r="D604" s="119"/>
      <c r="E604" s="119"/>
      <c r="F604" s="16"/>
      <c r="G604" s="16"/>
      <c r="H604" s="16"/>
      <c r="I604" s="16"/>
      <c r="J604" s="16"/>
      <c r="K604" s="16"/>
      <c r="L604" s="16"/>
      <c r="M604" s="16"/>
      <c r="N604" s="16"/>
      <c r="O604" s="16"/>
      <c r="P604" s="16"/>
      <c r="Q604" s="16"/>
      <c r="R604" s="16"/>
      <c r="S604" s="16"/>
      <c r="T604" s="16"/>
      <c r="U604" s="16"/>
      <c r="V604" s="16"/>
      <c r="W604" s="16"/>
    </row>
    <row r="605" spans="3:23" ht="17.25" hidden="1" customHeight="1">
      <c r="C605" s="10"/>
      <c r="D605" s="119"/>
      <c r="E605" s="119"/>
      <c r="F605" s="16"/>
      <c r="G605" s="16"/>
      <c r="H605" s="16"/>
      <c r="I605" s="16"/>
      <c r="J605" s="16"/>
      <c r="K605" s="16"/>
      <c r="L605" s="16"/>
      <c r="M605" s="16"/>
      <c r="N605" s="16"/>
      <c r="O605" s="16"/>
      <c r="P605" s="16"/>
      <c r="Q605" s="16"/>
      <c r="R605" s="16"/>
      <c r="S605" s="16"/>
      <c r="T605" s="16"/>
      <c r="U605" s="16"/>
      <c r="V605" s="16"/>
      <c r="W605" s="16"/>
    </row>
    <row r="606" spans="3:23" ht="17.25" hidden="1" customHeight="1">
      <c r="C606" s="10"/>
      <c r="D606" s="119"/>
      <c r="E606" s="119"/>
      <c r="F606" s="16"/>
      <c r="G606" s="16"/>
      <c r="H606" s="16"/>
      <c r="I606" s="16"/>
      <c r="J606" s="16"/>
      <c r="K606" s="16"/>
      <c r="L606" s="16"/>
      <c r="M606" s="16"/>
      <c r="N606" s="16"/>
      <c r="O606" s="16"/>
      <c r="P606" s="16"/>
      <c r="Q606" s="16"/>
      <c r="R606" s="16"/>
      <c r="S606" s="16"/>
      <c r="T606" s="16"/>
      <c r="U606" s="16"/>
      <c r="V606" s="16"/>
      <c r="W606" s="16"/>
    </row>
    <row r="607" spans="3:23" ht="17.25" hidden="1" customHeight="1">
      <c r="C607" s="10"/>
      <c r="D607" s="119"/>
      <c r="E607" s="119"/>
      <c r="F607" s="16"/>
      <c r="G607" s="16"/>
      <c r="H607" s="16"/>
      <c r="I607" s="16"/>
      <c r="J607" s="16"/>
      <c r="K607" s="16"/>
      <c r="L607" s="16"/>
      <c r="M607" s="16"/>
      <c r="N607" s="16"/>
      <c r="O607" s="16"/>
      <c r="P607" s="16"/>
      <c r="Q607" s="16"/>
      <c r="R607" s="16"/>
      <c r="S607" s="16"/>
      <c r="T607" s="16"/>
      <c r="U607" s="16"/>
      <c r="V607" s="16"/>
      <c r="W607" s="16"/>
    </row>
    <row r="608" spans="3:23" ht="17.25" hidden="1" customHeight="1">
      <c r="C608" s="10"/>
      <c r="D608" s="119"/>
      <c r="E608" s="119"/>
      <c r="F608" s="16"/>
      <c r="G608" s="16"/>
      <c r="H608" s="16"/>
      <c r="I608" s="16"/>
      <c r="J608" s="16"/>
      <c r="K608" s="16"/>
      <c r="L608" s="16"/>
      <c r="M608" s="16"/>
      <c r="N608" s="16"/>
      <c r="O608" s="16"/>
      <c r="P608" s="16"/>
      <c r="Q608" s="16"/>
      <c r="R608" s="16"/>
      <c r="S608" s="16"/>
      <c r="T608" s="16"/>
      <c r="U608" s="16"/>
      <c r="V608" s="16"/>
      <c r="W608" s="16"/>
    </row>
    <row r="609" spans="3:23" ht="17.25" hidden="1" customHeight="1">
      <c r="C609" s="10"/>
      <c r="D609" s="119"/>
      <c r="E609" s="119"/>
      <c r="F609" s="16"/>
      <c r="G609" s="16"/>
      <c r="H609" s="16"/>
      <c r="I609" s="16"/>
      <c r="J609" s="16"/>
      <c r="K609" s="16"/>
      <c r="L609" s="16"/>
      <c r="M609" s="16"/>
      <c r="N609" s="16"/>
      <c r="O609" s="16"/>
      <c r="P609" s="16"/>
      <c r="Q609" s="16"/>
      <c r="R609" s="16"/>
      <c r="S609" s="16"/>
      <c r="T609" s="16"/>
      <c r="U609" s="16"/>
      <c r="V609" s="16"/>
      <c r="W609" s="16"/>
    </row>
    <row r="610" spans="3:23" ht="17.25" hidden="1" customHeight="1">
      <c r="C610" s="10"/>
      <c r="D610" s="119"/>
      <c r="E610" s="119"/>
      <c r="F610" s="16"/>
      <c r="G610" s="16"/>
      <c r="H610" s="16"/>
      <c r="I610" s="16"/>
      <c r="J610" s="16"/>
      <c r="K610" s="16"/>
      <c r="L610" s="16"/>
      <c r="M610" s="16"/>
      <c r="N610" s="16"/>
      <c r="O610" s="16"/>
      <c r="P610" s="16"/>
      <c r="Q610" s="16"/>
      <c r="R610" s="16"/>
      <c r="S610" s="16"/>
      <c r="T610" s="16"/>
      <c r="U610" s="16"/>
      <c r="V610" s="16"/>
      <c r="W610" s="16"/>
    </row>
    <row r="611" spans="3:23" ht="17.25" hidden="1" customHeight="1">
      <c r="C611" s="10"/>
      <c r="D611" s="119"/>
      <c r="E611" s="119"/>
      <c r="F611" s="16"/>
      <c r="G611" s="16"/>
      <c r="H611" s="16"/>
      <c r="I611" s="16"/>
      <c r="J611" s="16"/>
      <c r="K611" s="16"/>
      <c r="L611" s="16"/>
      <c r="M611" s="16"/>
      <c r="N611" s="16"/>
      <c r="O611" s="16"/>
      <c r="P611" s="16"/>
      <c r="Q611" s="16"/>
      <c r="R611" s="16"/>
      <c r="S611" s="16"/>
      <c r="T611" s="16"/>
      <c r="U611" s="16"/>
      <c r="V611" s="16"/>
      <c r="W611" s="16"/>
    </row>
    <row r="612" spans="3:23" ht="17.25" hidden="1" customHeight="1">
      <c r="C612" s="10"/>
      <c r="D612" s="119"/>
      <c r="E612" s="119"/>
      <c r="F612" s="16"/>
      <c r="G612" s="16"/>
      <c r="H612" s="16"/>
      <c r="I612" s="16"/>
      <c r="J612" s="16"/>
      <c r="K612" s="16"/>
      <c r="L612" s="16"/>
      <c r="M612" s="16"/>
      <c r="N612" s="16"/>
      <c r="O612" s="16"/>
      <c r="P612" s="16"/>
      <c r="Q612" s="16"/>
      <c r="R612" s="16"/>
      <c r="S612" s="16"/>
      <c r="T612" s="16"/>
      <c r="U612" s="16"/>
      <c r="V612" s="16"/>
      <c r="W612" s="16"/>
    </row>
    <row r="613" spans="3:23" ht="17.25" hidden="1" customHeight="1">
      <c r="C613" s="10"/>
      <c r="D613" s="119"/>
      <c r="E613" s="119"/>
      <c r="F613" s="16"/>
      <c r="G613" s="16"/>
      <c r="H613" s="16"/>
      <c r="I613" s="16"/>
      <c r="J613" s="16"/>
      <c r="K613" s="16"/>
      <c r="L613" s="16"/>
      <c r="M613" s="16"/>
      <c r="N613" s="16"/>
      <c r="O613" s="16"/>
      <c r="P613" s="16"/>
      <c r="Q613" s="16"/>
      <c r="R613" s="16"/>
      <c r="S613" s="16"/>
      <c r="T613" s="16"/>
      <c r="U613" s="16"/>
      <c r="V613" s="16"/>
      <c r="W613" s="16"/>
    </row>
    <row r="614" spans="3:23" ht="17.25" hidden="1" customHeight="1">
      <c r="C614" s="10"/>
      <c r="D614" s="119"/>
      <c r="E614" s="119"/>
      <c r="F614" s="16"/>
      <c r="G614" s="16"/>
      <c r="H614" s="16"/>
      <c r="I614" s="16"/>
      <c r="J614" s="16"/>
      <c r="K614" s="16"/>
      <c r="L614" s="16"/>
      <c r="M614" s="16"/>
      <c r="N614" s="16"/>
      <c r="O614" s="16"/>
      <c r="P614" s="16"/>
      <c r="Q614" s="16"/>
      <c r="R614" s="16"/>
      <c r="S614" s="16"/>
      <c r="T614" s="16"/>
      <c r="U614" s="16"/>
      <c r="V614" s="16"/>
      <c r="W614" s="16"/>
    </row>
    <row r="615" spans="3:23" ht="17.25" hidden="1" customHeight="1">
      <c r="C615" s="10"/>
      <c r="D615" s="119"/>
      <c r="E615" s="119"/>
      <c r="F615" s="16"/>
      <c r="G615" s="16"/>
      <c r="H615" s="16"/>
      <c r="I615" s="16"/>
      <c r="J615" s="16"/>
      <c r="K615" s="16"/>
      <c r="L615" s="16"/>
      <c r="M615" s="16"/>
      <c r="N615" s="16"/>
      <c r="O615" s="16"/>
      <c r="P615" s="16"/>
      <c r="Q615" s="16"/>
      <c r="R615" s="16"/>
      <c r="S615" s="16"/>
      <c r="T615" s="16"/>
      <c r="U615" s="16"/>
      <c r="V615" s="16"/>
      <c r="W615" s="16"/>
    </row>
    <row r="616" spans="3:23" ht="17.25" hidden="1" customHeight="1">
      <c r="C616" s="10"/>
      <c r="D616" s="119"/>
      <c r="E616" s="119"/>
      <c r="F616" s="16"/>
      <c r="G616" s="16"/>
      <c r="H616" s="16"/>
      <c r="I616" s="16"/>
      <c r="J616" s="16"/>
      <c r="K616" s="16"/>
      <c r="L616" s="16"/>
      <c r="M616" s="16"/>
      <c r="N616" s="16"/>
      <c r="O616" s="16"/>
      <c r="P616" s="16"/>
      <c r="Q616" s="16"/>
      <c r="R616" s="16"/>
      <c r="S616" s="16"/>
      <c r="T616" s="16"/>
      <c r="U616" s="16"/>
      <c r="V616" s="16"/>
      <c r="W616" s="16"/>
    </row>
    <row r="617" spans="3:23" ht="17.25" hidden="1" customHeight="1">
      <c r="C617" s="10"/>
      <c r="D617" s="119"/>
      <c r="E617" s="119"/>
      <c r="F617" s="16"/>
      <c r="G617" s="16"/>
      <c r="H617" s="16"/>
      <c r="I617" s="16"/>
      <c r="J617" s="16"/>
      <c r="K617" s="16"/>
      <c r="L617" s="16"/>
      <c r="M617" s="16"/>
      <c r="N617" s="16"/>
      <c r="O617" s="16"/>
      <c r="P617" s="16"/>
      <c r="Q617" s="16"/>
      <c r="R617" s="16"/>
      <c r="S617" s="16"/>
      <c r="T617" s="16"/>
      <c r="U617" s="16"/>
      <c r="V617" s="16"/>
      <c r="W617" s="16"/>
    </row>
    <row r="618" spans="3:23" ht="17.25" hidden="1" customHeight="1">
      <c r="C618" s="10"/>
      <c r="D618" s="119"/>
      <c r="E618" s="119"/>
      <c r="F618" s="16"/>
      <c r="G618" s="16"/>
      <c r="H618" s="16"/>
      <c r="I618" s="16"/>
      <c r="J618" s="16"/>
      <c r="K618" s="16"/>
      <c r="L618" s="16"/>
      <c r="M618" s="16"/>
      <c r="N618" s="16"/>
      <c r="O618" s="16"/>
      <c r="P618" s="16"/>
      <c r="Q618" s="16"/>
      <c r="R618" s="16"/>
      <c r="S618" s="16"/>
      <c r="T618" s="16"/>
      <c r="U618" s="16"/>
      <c r="V618" s="16"/>
      <c r="W618" s="16"/>
    </row>
    <row r="619" spans="3:23" ht="17.25" hidden="1" customHeight="1">
      <c r="C619" s="10"/>
      <c r="D619" s="119"/>
      <c r="E619" s="119"/>
      <c r="F619" s="16"/>
      <c r="G619" s="16"/>
      <c r="H619" s="16"/>
      <c r="I619" s="16"/>
      <c r="J619" s="16"/>
      <c r="K619" s="16"/>
      <c r="L619" s="16"/>
      <c r="M619" s="16"/>
      <c r="N619" s="16"/>
      <c r="O619" s="16"/>
      <c r="P619" s="16"/>
      <c r="Q619" s="16"/>
      <c r="R619" s="16"/>
      <c r="S619" s="16"/>
      <c r="T619" s="16"/>
      <c r="U619" s="16"/>
      <c r="V619" s="16"/>
      <c r="W619" s="16"/>
    </row>
    <row r="620" spans="3:23" ht="17.25" hidden="1" customHeight="1">
      <c r="C620" s="10"/>
      <c r="D620" s="119"/>
      <c r="E620" s="119"/>
      <c r="F620" s="16"/>
      <c r="G620" s="16"/>
      <c r="H620" s="16"/>
      <c r="I620" s="16"/>
      <c r="J620" s="16"/>
      <c r="K620" s="16"/>
      <c r="L620" s="16"/>
      <c r="M620" s="16"/>
      <c r="N620" s="16"/>
      <c r="O620" s="16"/>
      <c r="P620" s="16"/>
      <c r="Q620" s="16"/>
      <c r="R620" s="16"/>
      <c r="S620" s="16"/>
      <c r="T620" s="16"/>
      <c r="U620" s="16"/>
      <c r="V620" s="16"/>
      <c r="W620" s="16"/>
    </row>
    <row r="621" spans="3:23" ht="17.25" hidden="1" customHeight="1">
      <c r="C621" s="10"/>
      <c r="D621" s="119"/>
      <c r="E621" s="119"/>
      <c r="F621" s="16"/>
      <c r="G621" s="16"/>
      <c r="H621" s="16"/>
      <c r="I621" s="16"/>
      <c r="J621" s="16"/>
      <c r="K621" s="16"/>
      <c r="L621" s="16"/>
      <c r="M621" s="16"/>
      <c r="N621" s="16"/>
      <c r="O621" s="16"/>
      <c r="P621" s="16"/>
      <c r="Q621" s="16"/>
      <c r="R621" s="16"/>
      <c r="S621" s="16"/>
      <c r="T621" s="16"/>
      <c r="U621" s="16"/>
      <c r="V621" s="16"/>
      <c r="W621" s="16"/>
    </row>
    <row r="622" spans="3:23" ht="17.25" hidden="1" customHeight="1">
      <c r="C622" s="10"/>
      <c r="D622" s="119"/>
      <c r="E622" s="119"/>
      <c r="F622" s="16"/>
      <c r="G622" s="16"/>
      <c r="H622" s="16"/>
      <c r="I622" s="16"/>
      <c r="J622" s="16"/>
      <c r="K622" s="16"/>
      <c r="L622" s="16"/>
      <c r="M622" s="16"/>
      <c r="N622" s="16"/>
      <c r="O622" s="16"/>
      <c r="P622" s="16"/>
      <c r="Q622" s="16"/>
      <c r="R622" s="16"/>
      <c r="S622" s="16"/>
      <c r="T622" s="16"/>
      <c r="U622" s="16"/>
      <c r="V622" s="16"/>
      <c r="W622" s="16"/>
    </row>
    <row r="623" spans="3:23" ht="17.25" hidden="1" customHeight="1">
      <c r="C623" s="10"/>
      <c r="D623" s="119"/>
      <c r="E623" s="119"/>
      <c r="F623" s="16"/>
      <c r="G623" s="16"/>
      <c r="H623" s="16"/>
      <c r="I623" s="16"/>
      <c r="J623" s="16"/>
      <c r="K623" s="16"/>
      <c r="L623" s="16"/>
      <c r="M623" s="16"/>
      <c r="N623" s="16"/>
      <c r="O623" s="16"/>
      <c r="P623" s="16"/>
      <c r="Q623" s="16"/>
      <c r="R623" s="16"/>
      <c r="S623" s="16"/>
      <c r="T623" s="16"/>
      <c r="U623" s="16"/>
      <c r="V623" s="16"/>
      <c r="W623" s="16"/>
    </row>
    <row r="624" spans="3:23" ht="17.25" hidden="1" customHeight="1">
      <c r="C624" s="10"/>
      <c r="D624" s="119"/>
      <c r="E624" s="119"/>
      <c r="F624" s="16"/>
      <c r="G624" s="16"/>
      <c r="H624" s="16"/>
      <c r="I624" s="16"/>
      <c r="J624" s="16"/>
      <c r="K624" s="16"/>
      <c r="L624" s="16"/>
      <c r="M624" s="16"/>
      <c r="N624" s="16"/>
      <c r="O624" s="16"/>
      <c r="P624" s="16"/>
      <c r="Q624" s="16"/>
      <c r="R624" s="16"/>
      <c r="S624" s="16"/>
      <c r="T624" s="16"/>
      <c r="U624" s="16"/>
      <c r="V624" s="16"/>
      <c r="W624" s="16"/>
    </row>
    <row r="625" spans="3:23" ht="17.25" hidden="1" customHeight="1">
      <c r="C625" s="10"/>
      <c r="D625" s="119"/>
      <c r="E625" s="119"/>
      <c r="F625" s="16"/>
      <c r="G625" s="16"/>
      <c r="H625" s="16"/>
      <c r="I625" s="16"/>
      <c r="J625" s="16"/>
      <c r="K625" s="16"/>
      <c r="L625" s="16"/>
      <c r="M625" s="16"/>
      <c r="N625" s="16"/>
      <c r="O625" s="16"/>
      <c r="P625" s="16"/>
      <c r="Q625" s="16"/>
      <c r="R625" s="16"/>
      <c r="S625" s="16"/>
      <c r="T625" s="16"/>
      <c r="U625" s="16"/>
      <c r="V625" s="16"/>
      <c r="W625" s="16"/>
    </row>
    <row r="626" spans="3:23" ht="17.25" hidden="1" customHeight="1">
      <c r="C626" s="10"/>
      <c r="D626" s="119"/>
      <c r="E626" s="119"/>
      <c r="F626" s="16"/>
      <c r="G626" s="16"/>
      <c r="H626" s="16"/>
      <c r="I626" s="16"/>
      <c r="J626" s="16"/>
      <c r="K626" s="16"/>
      <c r="L626" s="16"/>
      <c r="M626" s="16"/>
      <c r="N626" s="16"/>
      <c r="O626" s="16"/>
      <c r="P626" s="16"/>
      <c r="Q626" s="16"/>
      <c r="R626" s="16"/>
      <c r="S626" s="16"/>
      <c r="T626" s="16"/>
      <c r="U626" s="16"/>
      <c r="V626" s="16"/>
      <c r="W626" s="16"/>
    </row>
    <row r="627" spans="3:23" ht="17.25" hidden="1" customHeight="1">
      <c r="C627" s="10"/>
      <c r="D627" s="119"/>
      <c r="E627" s="119"/>
      <c r="F627" s="16"/>
      <c r="G627" s="16"/>
      <c r="H627" s="16"/>
      <c r="I627" s="16"/>
      <c r="J627" s="16"/>
      <c r="K627" s="16"/>
      <c r="L627" s="16"/>
      <c r="M627" s="16"/>
      <c r="N627" s="16"/>
      <c r="O627" s="16"/>
      <c r="P627" s="16"/>
      <c r="Q627" s="16"/>
      <c r="R627" s="16"/>
      <c r="S627" s="16"/>
      <c r="T627" s="16"/>
      <c r="U627" s="16"/>
      <c r="V627" s="16"/>
      <c r="W627" s="16"/>
    </row>
    <row r="628" spans="3:23" ht="17.25" hidden="1" customHeight="1">
      <c r="C628" s="10"/>
      <c r="D628" s="119"/>
      <c r="E628" s="119"/>
      <c r="F628" s="16"/>
      <c r="G628" s="16"/>
      <c r="H628" s="16"/>
      <c r="I628" s="16"/>
      <c r="J628" s="16"/>
      <c r="K628" s="16"/>
      <c r="L628" s="16"/>
      <c r="M628" s="16"/>
      <c r="N628" s="16"/>
      <c r="O628" s="16"/>
      <c r="P628" s="16"/>
      <c r="Q628" s="16"/>
      <c r="R628" s="16"/>
      <c r="S628" s="16"/>
      <c r="T628" s="16"/>
      <c r="U628" s="16"/>
      <c r="V628" s="16"/>
      <c r="W628" s="16"/>
    </row>
    <row r="629" spans="3:23" ht="17.25" hidden="1" customHeight="1">
      <c r="C629" s="10"/>
      <c r="D629" s="119"/>
      <c r="E629" s="119"/>
      <c r="F629" s="16"/>
      <c r="G629" s="16"/>
      <c r="H629" s="16"/>
      <c r="I629" s="16"/>
      <c r="J629" s="16"/>
      <c r="K629" s="16"/>
      <c r="L629" s="16"/>
      <c r="M629" s="16"/>
      <c r="N629" s="16"/>
      <c r="O629" s="16"/>
      <c r="P629" s="16"/>
      <c r="Q629" s="16"/>
      <c r="R629" s="16"/>
      <c r="S629" s="16"/>
      <c r="T629" s="16"/>
      <c r="U629" s="16"/>
      <c r="V629" s="16"/>
      <c r="W629" s="16"/>
    </row>
    <row r="630" spans="3:23" ht="17.25" hidden="1" customHeight="1">
      <c r="C630" s="10"/>
      <c r="D630" s="119"/>
      <c r="E630" s="119"/>
      <c r="F630" s="16"/>
      <c r="G630" s="16"/>
      <c r="H630" s="16"/>
      <c r="I630" s="16"/>
      <c r="J630" s="16"/>
      <c r="K630" s="16"/>
      <c r="L630" s="16"/>
      <c r="M630" s="16"/>
      <c r="N630" s="16"/>
      <c r="O630" s="16"/>
      <c r="P630" s="16"/>
      <c r="Q630" s="16"/>
      <c r="R630" s="16"/>
      <c r="S630" s="16"/>
      <c r="T630" s="16"/>
      <c r="U630" s="16"/>
      <c r="V630" s="16"/>
      <c r="W630" s="16"/>
    </row>
    <row r="631" spans="3:23" ht="17.25" hidden="1" customHeight="1">
      <c r="C631" s="10"/>
      <c r="D631" s="119"/>
      <c r="E631" s="119"/>
      <c r="F631" s="16"/>
      <c r="G631" s="16"/>
      <c r="H631" s="16"/>
      <c r="I631" s="16"/>
      <c r="J631" s="16"/>
      <c r="K631" s="16"/>
      <c r="L631" s="16"/>
      <c r="M631" s="16"/>
      <c r="N631" s="16"/>
      <c r="O631" s="16"/>
      <c r="P631" s="16"/>
      <c r="Q631" s="16"/>
      <c r="R631" s="16"/>
      <c r="S631" s="16"/>
      <c r="T631" s="16"/>
      <c r="U631" s="16"/>
      <c r="V631" s="16"/>
      <c r="W631" s="16"/>
    </row>
    <row r="632" spans="3:23" ht="17.25" hidden="1" customHeight="1">
      <c r="C632" s="10"/>
      <c r="D632" s="119"/>
      <c r="E632" s="119"/>
      <c r="F632" s="16"/>
      <c r="G632" s="16"/>
      <c r="H632" s="16"/>
      <c r="I632" s="16"/>
      <c r="J632" s="16"/>
      <c r="K632" s="16"/>
      <c r="L632" s="16"/>
      <c r="M632" s="16"/>
      <c r="N632" s="16"/>
      <c r="O632" s="16"/>
      <c r="P632" s="16"/>
      <c r="Q632" s="16"/>
      <c r="R632" s="16"/>
      <c r="S632" s="16"/>
      <c r="T632" s="16"/>
      <c r="U632" s="16"/>
      <c r="V632" s="16"/>
      <c r="W632" s="16"/>
    </row>
    <row r="633" spans="3:23" ht="17.25" hidden="1" customHeight="1">
      <c r="C633" s="10"/>
      <c r="D633" s="119"/>
      <c r="E633" s="119"/>
      <c r="F633" s="16"/>
      <c r="G633" s="16"/>
      <c r="H633" s="16"/>
      <c r="I633" s="16"/>
      <c r="J633" s="16"/>
      <c r="K633" s="16"/>
      <c r="L633" s="16"/>
      <c r="M633" s="16"/>
      <c r="N633" s="16"/>
      <c r="O633" s="16"/>
      <c r="P633" s="16"/>
      <c r="Q633" s="16"/>
      <c r="R633" s="16"/>
      <c r="S633" s="16"/>
      <c r="T633" s="16"/>
      <c r="U633" s="16"/>
      <c r="V633" s="16"/>
      <c r="W633" s="16"/>
    </row>
    <row r="634" spans="3:23" ht="17.25" hidden="1" customHeight="1">
      <c r="C634" s="10"/>
      <c r="D634" s="119"/>
      <c r="E634" s="119"/>
      <c r="F634" s="16"/>
      <c r="G634" s="16"/>
      <c r="H634" s="16"/>
      <c r="I634" s="16"/>
      <c r="J634" s="16"/>
      <c r="K634" s="16"/>
      <c r="L634" s="16"/>
      <c r="M634" s="16"/>
      <c r="N634" s="16"/>
      <c r="O634" s="16"/>
      <c r="P634" s="16"/>
      <c r="Q634" s="16"/>
      <c r="R634" s="16"/>
      <c r="S634" s="16"/>
      <c r="T634" s="16"/>
      <c r="U634" s="16"/>
      <c r="V634" s="16"/>
      <c r="W634" s="16"/>
    </row>
    <row r="635" spans="3:23" ht="17.25" hidden="1" customHeight="1">
      <c r="C635" s="10"/>
      <c r="D635" s="119"/>
      <c r="E635" s="119"/>
      <c r="F635" s="16"/>
      <c r="G635" s="16"/>
      <c r="H635" s="16"/>
      <c r="I635" s="16"/>
      <c r="J635" s="16"/>
      <c r="K635" s="16"/>
      <c r="L635" s="16"/>
      <c r="M635" s="16"/>
      <c r="N635" s="16"/>
      <c r="O635" s="16"/>
      <c r="P635" s="16"/>
      <c r="Q635" s="16"/>
      <c r="R635" s="16"/>
      <c r="S635" s="16"/>
      <c r="T635" s="16"/>
      <c r="U635" s="16"/>
      <c r="V635" s="16"/>
      <c r="W635" s="16"/>
    </row>
    <row r="636" spans="3:23" ht="17.25" hidden="1" customHeight="1">
      <c r="C636" s="10"/>
      <c r="D636" s="119"/>
      <c r="E636" s="119"/>
      <c r="F636" s="16"/>
      <c r="G636" s="16"/>
      <c r="H636" s="16"/>
      <c r="I636" s="16"/>
      <c r="J636" s="16"/>
      <c r="K636" s="16"/>
      <c r="L636" s="16"/>
      <c r="M636" s="16"/>
      <c r="N636" s="16"/>
      <c r="O636" s="16"/>
      <c r="P636" s="16"/>
      <c r="Q636" s="16"/>
      <c r="R636" s="16"/>
      <c r="S636" s="16"/>
      <c r="T636" s="16"/>
      <c r="U636" s="16"/>
      <c r="V636" s="16"/>
      <c r="W636" s="16"/>
    </row>
    <row r="637" spans="3:23" ht="17.25" hidden="1" customHeight="1">
      <c r="C637" s="10"/>
      <c r="D637" s="119"/>
      <c r="E637" s="119"/>
      <c r="F637" s="16"/>
      <c r="G637" s="16"/>
      <c r="H637" s="16"/>
      <c r="I637" s="16"/>
      <c r="J637" s="16"/>
      <c r="K637" s="16"/>
      <c r="L637" s="16"/>
      <c r="M637" s="16"/>
      <c r="N637" s="16"/>
      <c r="O637" s="16"/>
      <c r="P637" s="16"/>
      <c r="Q637" s="16"/>
      <c r="R637" s="16"/>
      <c r="S637" s="16"/>
      <c r="T637" s="16"/>
      <c r="U637" s="16"/>
      <c r="V637" s="16"/>
      <c r="W637" s="16"/>
    </row>
    <row r="638" spans="3:23" ht="17.25" hidden="1" customHeight="1">
      <c r="C638" s="10"/>
      <c r="D638" s="119"/>
      <c r="E638" s="119"/>
      <c r="F638" s="16"/>
      <c r="G638" s="16"/>
      <c r="H638" s="16"/>
      <c r="I638" s="16"/>
      <c r="J638" s="16"/>
      <c r="K638" s="16"/>
      <c r="L638" s="16"/>
      <c r="M638" s="16"/>
      <c r="N638" s="16"/>
      <c r="O638" s="16"/>
      <c r="P638" s="16"/>
      <c r="Q638" s="16"/>
      <c r="R638" s="16"/>
      <c r="S638" s="16"/>
      <c r="T638" s="16"/>
      <c r="U638" s="16"/>
      <c r="V638" s="16"/>
      <c r="W638" s="16"/>
    </row>
    <row r="639" spans="3:23" ht="17.25" hidden="1" customHeight="1">
      <c r="C639" s="10"/>
      <c r="D639" s="119"/>
      <c r="E639" s="119"/>
      <c r="F639" s="16"/>
      <c r="G639" s="16"/>
      <c r="H639" s="16"/>
      <c r="I639" s="16"/>
      <c r="J639" s="16"/>
      <c r="K639" s="16"/>
      <c r="L639" s="16"/>
      <c r="M639" s="16"/>
      <c r="N639" s="16"/>
      <c r="O639" s="16"/>
      <c r="P639" s="16"/>
      <c r="Q639" s="16"/>
      <c r="R639" s="16"/>
      <c r="S639" s="16"/>
      <c r="T639" s="16"/>
      <c r="U639" s="16"/>
      <c r="V639" s="16"/>
      <c r="W639" s="16"/>
    </row>
    <row r="640" spans="3:23" ht="17.25" hidden="1" customHeight="1">
      <c r="C640" s="10"/>
      <c r="D640" s="119"/>
      <c r="E640" s="119"/>
      <c r="F640" s="16"/>
      <c r="G640" s="16"/>
      <c r="H640" s="16"/>
      <c r="I640" s="16"/>
      <c r="J640" s="16"/>
      <c r="K640" s="16"/>
      <c r="L640" s="16"/>
      <c r="M640" s="16"/>
      <c r="N640" s="16"/>
      <c r="O640" s="16"/>
      <c r="P640" s="16"/>
      <c r="Q640" s="16"/>
      <c r="R640" s="16"/>
      <c r="S640" s="16"/>
      <c r="T640" s="16"/>
      <c r="U640" s="16"/>
      <c r="V640" s="16"/>
      <c r="W640" s="16"/>
    </row>
    <row r="641" spans="3:23" ht="17.25" hidden="1" customHeight="1">
      <c r="C641" s="10"/>
      <c r="D641" s="119"/>
      <c r="E641" s="119"/>
      <c r="F641" s="16"/>
      <c r="G641" s="16"/>
      <c r="H641" s="16"/>
      <c r="I641" s="16"/>
      <c r="J641" s="16"/>
      <c r="K641" s="16"/>
      <c r="L641" s="16"/>
      <c r="M641" s="16"/>
      <c r="N641" s="16"/>
      <c r="O641" s="16"/>
      <c r="P641" s="16"/>
      <c r="Q641" s="16"/>
      <c r="R641" s="16"/>
      <c r="S641" s="16"/>
      <c r="T641" s="16"/>
      <c r="U641" s="16"/>
      <c r="V641" s="16"/>
      <c r="W641" s="16"/>
    </row>
    <row r="642" spans="3:23" ht="17.25" hidden="1" customHeight="1">
      <c r="C642" s="10"/>
      <c r="D642" s="119"/>
      <c r="E642" s="119"/>
      <c r="F642" s="16"/>
      <c r="G642" s="16"/>
      <c r="H642" s="16"/>
      <c r="I642" s="16"/>
      <c r="J642" s="16"/>
      <c r="K642" s="16"/>
      <c r="L642" s="16"/>
      <c r="M642" s="16"/>
      <c r="N642" s="16"/>
      <c r="O642" s="16"/>
      <c r="P642" s="16"/>
      <c r="Q642" s="16"/>
      <c r="R642" s="16"/>
      <c r="S642" s="16"/>
      <c r="T642" s="16"/>
      <c r="U642" s="16"/>
      <c r="V642" s="16"/>
      <c r="W642" s="16"/>
    </row>
    <row r="643" spans="3:23" ht="17.25" hidden="1" customHeight="1">
      <c r="C643" s="10"/>
      <c r="D643" s="119"/>
      <c r="E643" s="119"/>
      <c r="F643" s="16"/>
      <c r="G643" s="16"/>
      <c r="H643" s="16"/>
      <c r="I643" s="16"/>
      <c r="J643" s="16"/>
      <c r="K643" s="16"/>
      <c r="L643" s="16"/>
      <c r="M643" s="16"/>
      <c r="N643" s="16"/>
      <c r="O643" s="16"/>
      <c r="P643" s="16"/>
      <c r="Q643" s="16"/>
      <c r="R643" s="16"/>
      <c r="S643" s="16"/>
      <c r="T643" s="16"/>
      <c r="U643" s="16"/>
      <c r="V643" s="16"/>
      <c r="W643" s="16"/>
    </row>
    <row r="644" spans="3:23" ht="17.25" hidden="1" customHeight="1">
      <c r="C644" s="10"/>
      <c r="D644" s="119"/>
      <c r="E644" s="119"/>
      <c r="F644" s="16"/>
      <c r="G644" s="16"/>
      <c r="H644" s="16"/>
      <c r="I644" s="16"/>
      <c r="J644" s="16"/>
      <c r="K644" s="16"/>
      <c r="L644" s="16"/>
      <c r="M644" s="16"/>
      <c r="N644" s="16"/>
      <c r="O644" s="16"/>
      <c r="P644" s="16"/>
      <c r="Q644" s="16"/>
      <c r="R644" s="16"/>
      <c r="S644" s="16"/>
      <c r="T644" s="16"/>
      <c r="U644" s="16"/>
      <c r="V644" s="16"/>
      <c r="W644" s="16"/>
    </row>
    <row r="645" spans="3:23" ht="17.25" hidden="1" customHeight="1">
      <c r="C645" s="10"/>
      <c r="D645" s="119"/>
      <c r="E645" s="119"/>
      <c r="F645" s="16"/>
      <c r="G645" s="16"/>
      <c r="H645" s="16"/>
      <c r="I645" s="16"/>
      <c r="J645" s="16"/>
      <c r="K645" s="16"/>
      <c r="L645" s="16"/>
      <c r="M645" s="16"/>
      <c r="N645" s="16"/>
      <c r="O645" s="16"/>
      <c r="P645" s="16"/>
      <c r="Q645" s="16"/>
      <c r="R645" s="16"/>
      <c r="S645" s="16"/>
      <c r="T645" s="16"/>
      <c r="U645" s="16"/>
      <c r="V645" s="16"/>
      <c r="W645" s="16"/>
    </row>
    <row r="646" spans="3:23" ht="17.25" hidden="1" customHeight="1">
      <c r="C646" s="10"/>
      <c r="D646" s="119"/>
      <c r="E646" s="119"/>
      <c r="F646" s="16"/>
      <c r="G646" s="16"/>
      <c r="H646" s="16"/>
      <c r="I646" s="16"/>
      <c r="J646" s="16"/>
      <c r="K646" s="16"/>
      <c r="L646" s="16"/>
      <c r="M646" s="16"/>
      <c r="N646" s="16"/>
      <c r="O646" s="16"/>
      <c r="P646" s="16"/>
      <c r="Q646" s="16"/>
      <c r="R646" s="16"/>
      <c r="S646" s="16"/>
      <c r="T646" s="16"/>
      <c r="U646" s="16"/>
      <c r="V646" s="16"/>
      <c r="W646" s="16"/>
    </row>
    <row r="647" spans="3:23" ht="17.25" hidden="1" customHeight="1">
      <c r="C647" s="10"/>
      <c r="D647" s="119"/>
      <c r="E647" s="119"/>
      <c r="F647" s="16"/>
      <c r="G647" s="16"/>
      <c r="H647" s="16"/>
      <c r="I647" s="16"/>
      <c r="J647" s="16"/>
      <c r="K647" s="16"/>
      <c r="L647" s="16"/>
      <c r="M647" s="16"/>
      <c r="N647" s="16"/>
      <c r="O647" s="16"/>
      <c r="P647" s="16"/>
      <c r="Q647" s="16"/>
      <c r="R647" s="16"/>
      <c r="S647" s="16"/>
      <c r="T647" s="16"/>
      <c r="U647" s="16"/>
      <c r="V647" s="16"/>
      <c r="W647" s="16"/>
    </row>
    <row r="648" spans="3:23" ht="17.25" hidden="1" customHeight="1">
      <c r="C648" s="10"/>
      <c r="D648" s="119"/>
      <c r="E648" s="119"/>
      <c r="F648" s="16"/>
      <c r="G648" s="16"/>
      <c r="H648" s="16"/>
      <c r="I648" s="16"/>
      <c r="J648" s="16"/>
      <c r="K648" s="16"/>
      <c r="L648" s="16"/>
      <c r="M648" s="16"/>
      <c r="N648" s="16"/>
      <c r="O648" s="16"/>
      <c r="P648" s="16"/>
      <c r="Q648" s="16"/>
      <c r="R648" s="16"/>
      <c r="S648" s="16"/>
      <c r="T648" s="16"/>
      <c r="U648" s="16"/>
      <c r="V648" s="16"/>
      <c r="W648" s="16"/>
    </row>
    <row r="649" spans="3:23" ht="17.25" hidden="1" customHeight="1">
      <c r="C649" s="10"/>
      <c r="D649" s="119"/>
      <c r="E649" s="119"/>
      <c r="F649" s="16"/>
      <c r="G649" s="16"/>
      <c r="H649" s="16"/>
      <c r="I649" s="16"/>
      <c r="J649" s="16"/>
      <c r="K649" s="16"/>
      <c r="L649" s="16"/>
      <c r="M649" s="16"/>
      <c r="N649" s="16"/>
      <c r="O649" s="16"/>
      <c r="P649" s="16"/>
      <c r="Q649" s="16"/>
      <c r="R649" s="16"/>
      <c r="S649" s="16"/>
      <c r="T649" s="16"/>
      <c r="U649" s="16"/>
      <c r="V649" s="16"/>
      <c r="W649" s="16"/>
    </row>
    <row r="650" spans="3:23" ht="17.25" hidden="1" customHeight="1">
      <c r="C650" s="10"/>
      <c r="D650" s="119"/>
      <c r="E650" s="119"/>
      <c r="F650" s="16"/>
      <c r="G650" s="16"/>
      <c r="H650" s="16"/>
      <c r="I650" s="16"/>
      <c r="J650" s="16"/>
      <c r="K650" s="16"/>
      <c r="L650" s="16"/>
      <c r="M650" s="16"/>
      <c r="N650" s="16"/>
      <c r="O650" s="16"/>
      <c r="P650" s="16"/>
      <c r="Q650" s="16"/>
      <c r="R650" s="16"/>
      <c r="S650" s="16"/>
      <c r="T650" s="16"/>
      <c r="U650" s="16"/>
      <c r="V650" s="16"/>
      <c r="W650" s="16"/>
    </row>
    <row r="651" spans="3:23" ht="17.25" hidden="1" customHeight="1">
      <c r="C651" s="10"/>
      <c r="D651" s="119"/>
      <c r="E651" s="119"/>
      <c r="F651" s="16"/>
      <c r="G651" s="16"/>
      <c r="H651" s="16"/>
      <c r="I651" s="16"/>
      <c r="J651" s="16"/>
      <c r="K651" s="16"/>
      <c r="L651" s="16"/>
      <c r="M651" s="16"/>
      <c r="N651" s="16"/>
      <c r="O651" s="16"/>
      <c r="P651" s="16"/>
      <c r="Q651" s="16"/>
      <c r="R651" s="16"/>
      <c r="S651" s="16"/>
      <c r="T651" s="16"/>
      <c r="U651" s="16"/>
      <c r="V651" s="16"/>
      <c r="W651" s="16"/>
    </row>
    <row r="652" spans="3:23" ht="17.25" hidden="1" customHeight="1">
      <c r="C652" s="10"/>
      <c r="D652" s="119"/>
      <c r="E652" s="119"/>
      <c r="F652" s="16"/>
      <c r="G652" s="16"/>
      <c r="H652" s="16"/>
      <c r="I652" s="16"/>
      <c r="J652" s="16"/>
      <c r="K652" s="16"/>
      <c r="L652" s="16"/>
      <c r="M652" s="16"/>
      <c r="N652" s="16"/>
      <c r="O652" s="16"/>
      <c r="P652" s="16"/>
      <c r="Q652" s="16"/>
      <c r="R652" s="16"/>
      <c r="S652" s="16"/>
      <c r="T652" s="16"/>
      <c r="U652" s="16"/>
      <c r="V652" s="16"/>
      <c r="W652" s="16"/>
    </row>
    <row r="653" spans="3:23" ht="17.25" hidden="1" customHeight="1">
      <c r="C653" s="10"/>
      <c r="D653" s="119"/>
      <c r="E653" s="119"/>
      <c r="F653" s="16"/>
      <c r="G653" s="16"/>
      <c r="H653" s="16"/>
      <c r="I653" s="16"/>
      <c r="J653" s="16"/>
      <c r="K653" s="16"/>
      <c r="L653" s="16"/>
      <c r="M653" s="16"/>
      <c r="N653" s="16"/>
      <c r="O653" s="16"/>
      <c r="P653" s="16"/>
      <c r="Q653" s="16"/>
      <c r="R653" s="16"/>
      <c r="S653" s="16"/>
      <c r="T653" s="16"/>
      <c r="U653" s="16"/>
      <c r="V653" s="16"/>
      <c r="W653" s="16"/>
    </row>
    <row r="654" spans="3:23" ht="17.25" hidden="1" customHeight="1">
      <c r="C654" s="10"/>
      <c r="D654" s="119"/>
      <c r="E654" s="119"/>
      <c r="F654" s="16"/>
      <c r="G654" s="16"/>
      <c r="H654" s="16"/>
      <c r="I654" s="16"/>
      <c r="J654" s="16"/>
      <c r="K654" s="16"/>
      <c r="L654" s="16"/>
      <c r="M654" s="16"/>
      <c r="N654" s="16"/>
      <c r="O654" s="16"/>
      <c r="P654" s="16"/>
      <c r="Q654" s="16"/>
      <c r="R654" s="16"/>
      <c r="S654" s="16"/>
      <c r="T654" s="16"/>
      <c r="U654" s="16"/>
      <c r="V654" s="16"/>
      <c r="W654" s="16"/>
    </row>
    <row r="655" spans="3:23" ht="17.25" hidden="1" customHeight="1">
      <c r="C655" s="10"/>
      <c r="D655" s="119"/>
      <c r="E655" s="119"/>
      <c r="F655" s="16"/>
      <c r="G655" s="16"/>
      <c r="H655" s="16"/>
      <c r="I655" s="16"/>
      <c r="J655" s="16"/>
      <c r="K655" s="16"/>
      <c r="L655" s="16"/>
      <c r="M655" s="16"/>
      <c r="N655" s="16"/>
      <c r="O655" s="16"/>
      <c r="P655" s="16"/>
      <c r="Q655" s="16"/>
      <c r="R655" s="16"/>
      <c r="S655" s="16"/>
      <c r="T655" s="16"/>
      <c r="U655" s="16"/>
      <c r="V655" s="16"/>
      <c r="W655" s="16"/>
    </row>
    <row r="656" spans="3:23" ht="17.25" hidden="1" customHeight="1">
      <c r="C656" s="10"/>
      <c r="D656" s="119"/>
      <c r="E656" s="119"/>
      <c r="F656" s="16"/>
      <c r="G656" s="16"/>
      <c r="H656" s="16"/>
      <c r="I656" s="16"/>
      <c r="J656" s="16"/>
      <c r="K656" s="16"/>
      <c r="L656" s="16"/>
      <c r="M656" s="16"/>
      <c r="N656" s="16"/>
      <c r="O656" s="16"/>
      <c r="P656" s="16"/>
      <c r="Q656" s="16"/>
      <c r="R656" s="16"/>
      <c r="S656" s="16"/>
      <c r="T656" s="16"/>
      <c r="U656" s="16"/>
      <c r="V656" s="16"/>
      <c r="W656" s="16"/>
    </row>
    <row r="657" spans="3:23" ht="17.25" hidden="1" customHeight="1">
      <c r="C657" s="10"/>
      <c r="D657" s="119"/>
      <c r="E657" s="119"/>
      <c r="F657" s="16"/>
      <c r="G657" s="16"/>
      <c r="H657" s="16"/>
      <c r="I657" s="16"/>
      <c r="J657" s="16"/>
      <c r="K657" s="16"/>
      <c r="L657" s="16"/>
      <c r="M657" s="16"/>
      <c r="N657" s="16"/>
      <c r="O657" s="16"/>
      <c r="P657" s="16"/>
      <c r="Q657" s="16"/>
      <c r="R657" s="16"/>
      <c r="S657" s="16"/>
      <c r="T657" s="16"/>
      <c r="U657" s="16"/>
      <c r="V657" s="16"/>
      <c r="W657" s="16"/>
    </row>
    <row r="658" spans="3:23" ht="17.25" hidden="1" customHeight="1">
      <c r="C658" s="10"/>
      <c r="D658" s="119"/>
      <c r="E658" s="119"/>
      <c r="F658" s="16"/>
      <c r="G658" s="16"/>
      <c r="H658" s="16"/>
      <c r="I658" s="16"/>
      <c r="J658" s="16"/>
      <c r="K658" s="16"/>
      <c r="L658" s="16"/>
      <c r="M658" s="16"/>
      <c r="N658" s="16"/>
      <c r="O658" s="16"/>
      <c r="P658" s="16"/>
      <c r="Q658" s="16"/>
      <c r="R658" s="16"/>
      <c r="S658" s="16"/>
      <c r="T658" s="16"/>
      <c r="U658" s="16"/>
      <c r="V658" s="16"/>
      <c r="W658" s="16"/>
    </row>
    <row r="659" spans="3:23" ht="17.25" hidden="1" customHeight="1">
      <c r="C659" s="10"/>
      <c r="D659" s="119"/>
      <c r="E659" s="119"/>
      <c r="F659" s="16"/>
      <c r="G659" s="16"/>
      <c r="H659" s="16"/>
      <c r="I659" s="16"/>
      <c r="J659" s="16"/>
      <c r="K659" s="16"/>
      <c r="L659" s="16"/>
      <c r="M659" s="16"/>
      <c r="N659" s="16"/>
      <c r="O659" s="16"/>
      <c r="P659" s="16"/>
      <c r="Q659" s="16"/>
      <c r="R659" s="16"/>
      <c r="S659" s="16"/>
      <c r="T659" s="16"/>
      <c r="U659" s="16"/>
      <c r="V659" s="16"/>
      <c r="W659" s="16"/>
    </row>
    <row r="660" spans="3:23" ht="17.25" hidden="1" customHeight="1">
      <c r="C660" s="10"/>
      <c r="D660" s="119"/>
      <c r="E660" s="119"/>
      <c r="F660" s="16"/>
      <c r="G660" s="16"/>
      <c r="H660" s="16"/>
      <c r="I660" s="16"/>
      <c r="J660" s="16"/>
      <c r="K660" s="16"/>
      <c r="L660" s="16"/>
      <c r="M660" s="16"/>
      <c r="N660" s="16"/>
      <c r="O660" s="16"/>
      <c r="P660" s="16"/>
      <c r="Q660" s="16"/>
      <c r="R660" s="16"/>
      <c r="S660" s="16"/>
      <c r="T660" s="16"/>
      <c r="U660" s="16"/>
      <c r="V660" s="16"/>
      <c r="W660" s="16"/>
    </row>
    <row r="661" spans="3:23" ht="17.25" hidden="1" customHeight="1">
      <c r="C661" s="10"/>
      <c r="D661" s="119"/>
      <c r="E661" s="119"/>
      <c r="F661" s="16"/>
      <c r="G661" s="16"/>
      <c r="H661" s="16"/>
      <c r="I661" s="16"/>
      <c r="J661" s="16"/>
      <c r="K661" s="16"/>
      <c r="L661" s="16"/>
      <c r="M661" s="16"/>
      <c r="N661" s="16"/>
      <c r="O661" s="16"/>
      <c r="P661" s="16"/>
      <c r="Q661" s="16"/>
      <c r="R661" s="16"/>
      <c r="S661" s="16"/>
      <c r="T661" s="16"/>
      <c r="U661" s="16"/>
      <c r="V661" s="16"/>
      <c r="W661" s="16"/>
    </row>
    <row r="662" spans="3:23" ht="17.25" hidden="1" customHeight="1">
      <c r="C662" s="10"/>
      <c r="D662" s="119"/>
      <c r="E662" s="119"/>
      <c r="F662" s="16"/>
      <c r="G662" s="16"/>
      <c r="H662" s="16"/>
      <c r="I662" s="16"/>
      <c r="J662" s="16"/>
      <c r="K662" s="16"/>
      <c r="L662" s="16"/>
      <c r="M662" s="16"/>
      <c r="N662" s="16"/>
      <c r="O662" s="16"/>
      <c r="P662" s="16"/>
      <c r="Q662" s="16"/>
      <c r="R662" s="16"/>
      <c r="S662" s="16"/>
      <c r="T662" s="16"/>
      <c r="U662" s="16"/>
      <c r="V662" s="16"/>
      <c r="W662" s="16"/>
    </row>
    <row r="663" spans="3:23" ht="17.25" hidden="1" customHeight="1">
      <c r="C663" s="10"/>
      <c r="D663" s="119"/>
      <c r="E663" s="119"/>
      <c r="F663" s="16"/>
      <c r="G663" s="16"/>
      <c r="H663" s="16"/>
      <c r="I663" s="16"/>
      <c r="J663" s="16"/>
      <c r="K663" s="16"/>
      <c r="L663" s="16"/>
      <c r="M663" s="16"/>
      <c r="N663" s="16"/>
      <c r="O663" s="16"/>
      <c r="P663" s="16"/>
      <c r="Q663" s="16"/>
      <c r="R663" s="16"/>
      <c r="S663" s="16"/>
      <c r="T663" s="16"/>
      <c r="U663" s="16"/>
      <c r="V663" s="16"/>
      <c r="W663" s="16"/>
    </row>
    <row r="664" spans="3:23" ht="17.25" hidden="1" customHeight="1">
      <c r="C664" s="10"/>
      <c r="D664" s="119"/>
      <c r="E664" s="119"/>
      <c r="F664" s="16"/>
      <c r="G664" s="16"/>
      <c r="H664" s="16"/>
      <c r="I664" s="16"/>
      <c r="J664" s="16"/>
      <c r="K664" s="16"/>
      <c r="L664" s="16"/>
      <c r="M664" s="16"/>
      <c r="N664" s="16"/>
      <c r="O664" s="16"/>
      <c r="P664" s="16"/>
      <c r="Q664" s="16"/>
      <c r="R664" s="16"/>
      <c r="S664" s="16"/>
      <c r="T664" s="16"/>
      <c r="U664" s="16"/>
      <c r="V664" s="16"/>
      <c r="W664" s="16"/>
    </row>
    <row r="665" spans="3:23" ht="17.25" hidden="1" customHeight="1">
      <c r="C665" s="10"/>
      <c r="D665" s="119"/>
      <c r="E665" s="119"/>
      <c r="F665" s="16"/>
      <c r="G665" s="16"/>
      <c r="H665" s="16"/>
      <c r="I665" s="16"/>
      <c r="J665" s="16"/>
      <c r="K665" s="16"/>
      <c r="L665" s="16"/>
      <c r="M665" s="16"/>
      <c r="N665" s="16"/>
      <c r="O665" s="16"/>
      <c r="P665" s="16"/>
      <c r="Q665" s="16"/>
      <c r="R665" s="16"/>
      <c r="S665" s="16"/>
      <c r="T665" s="16"/>
      <c r="U665" s="16"/>
      <c r="V665" s="16"/>
      <c r="W665" s="16"/>
    </row>
    <row r="666" spans="3:23" ht="17.25" hidden="1" customHeight="1">
      <c r="C666" s="10"/>
      <c r="D666" s="119"/>
      <c r="E666" s="119"/>
      <c r="F666" s="16"/>
      <c r="G666" s="16"/>
      <c r="H666" s="16"/>
      <c r="I666" s="16"/>
      <c r="J666" s="16"/>
      <c r="K666" s="16"/>
      <c r="L666" s="16"/>
      <c r="M666" s="16"/>
      <c r="N666" s="16"/>
      <c r="O666" s="16"/>
      <c r="P666" s="16"/>
      <c r="Q666" s="16"/>
      <c r="R666" s="16"/>
      <c r="S666" s="16"/>
      <c r="T666" s="16"/>
      <c r="U666" s="16"/>
      <c r="V666" s="16"/>
      <c r="W666" s="16"/>
    </row>
    <row r="667" spans="3:23" ht="17.25" hidden="1" customHeight="1">
      <c r="C667" s="10"/>
      <c r="D667" s="119"/>
      <c r="E667" s="119"/>
      <c r="F667" s="16"/>
      <c r="G667" s="16"/>
      <c r="H667" s="16"/>
      <c r="I667" s="16"/>
      <c r="J667" s="16"/>
      <c r="K667" s="16"/>
      <c r="L667" s="16"/>
      <c r="M667" s="16"/>
      <c r="N667" s="16"/>
      <c r="O667" s="16"/>
      <c r="P667" s="16"/>
      <c r="Q667" s="16"/>
      <c r="R667" s="16"/>
      <c r="S667" s="16"/>
      <c r="T667" s="16"/>
      <c r="U667" s="16"/>
      <c r="V667" s="16"/>
      <c r="W667" s="16"/>
    </row>
    <row r="668" spans="3:23" ht="17.25" hidden="1" customHeight="1">
      <c r="C668" s="10"/>
      <c r="D668" s="119"/>
      <c r="E668" s="119"/>
      <c r="F668" s="16"/>
      <c r="G668" s="16"/>
      <c r="H668" s="16"/>
      <c r="I668" s="16"/>
      <c r="J668" s="16"/>
      <c r="K668" s="16"/>
      <c r="L668" s="16"/>
      <c r="M668" s="16"/>
      <c r="N668" s="16"/>
      <c r="O668" s="16"/>
      <c r="P668" s="16"/>
      <c r="Q668" s="16"/>
      <c r="R668" s="16"/>
      <c r="S668" s="16"/>
      <c r="T668" s="16"/>
      <c r="U668" s="16"/>
      <c r="V668" s="16"/>
      <c r="W668" s="16"/>
    </row>
    <row r="669" spans="3:23" ht="17.25" hidden="1" customHeight="1">
      <c r="C669" s="10"/>
      <c r="D669" s="119"/>
      <c r="E669" s="119"/>
      <c r="F669" s="16"/>
      <c r="G669" s="16"/>
      <c r="H669" s="16"/>
      <c r="I669" s="16"/>
      <c r="J669" s="16"/>
      <c r="K669" s="16"/>
      <c r="L669" s="16"/>
      <c r="M669" s="16"/>
      <c r="N669" s="16"/>
      <c r="O669" s="16"/>
      <c r="P669" s="16"/>
      <c r="Q669" s="16"/>
      <c r="R669" s="16"/>
      <c r="S669" s="16"/>
      <c r="T669" s="16"/>
      <c r="U669" s="16"/>
      <c r="V669" s="16"/>
      <c r="W669" s="16"/>
    </row>
    <row r="670" spans="3:23" ht="17.25" hidden="1" customHeight="1">
      <c r="C670" s="10"/>
      <c r="D670" s="119"/>
      <c r="E670" s="119"/>
      <c r="F670" s="16"/>
      <c r="G670" s="16"/>
      <c r="H670" s="16"/>
      <c r="I670" s="16"/>
      <c r="J670" s="16"/>
      <c r="K670" s="16"/>
      <c r="L670" s="16"/>
      <c r="M670" s="16"/>
      <c r="N670" s="16"/>
      <c r="O670" s="16"/>
      <c r="P670" s="16"/>
      <c r="Q670" s="16"/>
      <c r="R670" s="16"/>
      <c r="S670" s="16"/>
      <c r="T670" s="16"/>
      <c r="U670" s="16"/>
      <c r="V670" s="16"/>
      <c r="W670" s="16"/>
    </row>
    <row r="671" spans="3:23" ht="17.25" hidden="1" customHeight="1">
      <c r="C671" s="10"/>
      <c r="D671" s="119"/>
      <c r="E671" s="119"/>
      <c r="F671" s="16"/>
      <c r="G671" s="16"/>
      <c r="H671" s="16"/>
      <c r="I671" s="16"/>
      <c r="J671" s="16"/>
      <c r="K671" s="16"/>
      <c r="L671" s="16"/>
      <c r="M671" s="16"/>
      <c r="N671" s="16"/>
      <c r="O671" s="16"/>
      <c r="P671" s="16"/>
      <c r="Q671" s="16"/>
      <c r="R671" s="16"/>
      <c r="S671" s="16"/>
      <c r="T671" s="16"/>
      <c r="U671" s="16"/>
      <c r="V671" s="16"/>
      <c r="W671" s="16"/>
    </row>
    <row r="672" spans="3:23" ht="17.25" hidden="1" customHeight="1">
      <c r="C672" s="10"/>
      <c r="D672" s="119"/>
      <c r="E672" s="119"/>
      <c r="F672" s="16"/>
      <c r="G672" s="16"/>
      <c r="H672" s="16"/>
      <c r="I672" s="16"/>
      <c r="J672" s="16"/>
      <c r="K672" s="16"/>
      <c r="L672" s="16"/>
      <c r="M672" s="16"/>
      <c r="N672" s="16"/>
      <c r="O672" s="16"/>
      <c r="P672" s="16"/>
      <c r="Q672" s="16"/>
      <c r="R672" s="16"/>
      <c r="S672" s="16"/>
      <c r="T672" s="16"/>
      <c r="U672" s="16"/>
      <c r="V672" s="16"/>
      <c r="W672" s="16"/>
    </row>
    <row r="673" spans="3:23" ht="17.25" hidden="1" customHeight="1">
      <c r="C673" s="10"/>
      <c r="D673" s="119"/>
      <c r="E673" s="119"/>
      <c r="F673" s="16"/>
      <c r="G673" s="16"/>
      <c r="H673" s="16"/>
      <c r="I673" s="16"/>
      <c r="J673" s="16"/>
      <c r="K673" s="16"/>
      <c r="L673" s="16"/>
      <c r="M673" s="16"/>
      <c r="N673" s="16"/>
      <c r="O673" s="16"/>
      <c r="P673" s="16"/>
      <c r="Q673" s="16"/>
      <c r="R673" s="16"/>
      <c r="S673" s="16"/>
      <c r="T673" s="16"/>
      <c r="U673" s="16"/>
      <c r="V673" s="16"/>
      <c r="W673" s="16"/>
    </row>
    <row r="674" spans="3:23" ht="17.25" hidden="1" customHeight="1">
      <c r="C674" s="10"/>
      <c r="D674" s="119"/>
      <c r="E674" s="119"/>
      <c r="F674" s="16"/>
      <c r="G674" s="16"/>
      <c r="H674" s="16"/>
      <c r="I674" s="16"/>
      <c r="J674" s="16"/>
      <c r="K674" s="16"/>
      <c r="L674" s="16"/>
      <c r="M674" s="16"/>
      <c r="N674" s="16"/>
      <c r="O674" s="16"/>
      <c r="P674" s="16"/>
      <c r="Q674" s="16"/>
      <c r="R674" s="16"/>
      <c r="S674" s="16"/>
      <c r="T674" s="16"/>
      <c r="U674" s="16"/>
      <c r="V674" s="16"/>
      <c r="W674" s="16"/>
    </row>
    <row r="675" spans="3:23" ht="17.25" hidden="1" customHeight="1">
      <c r="C675" s="10"/>
      <c r="D675" s="119"/>
      <c r="E675" s="119"/>
      <c r="F675" s="16"/>
      <c r="G675" s="16"/>
      <c r="H675" s="16"/>
      <c r="I675" s="16"/>
      <c r="J675" s="16"/>
      <c r="K675" s="16"/>
      <c r="L675" s="16"/>
      <c r="M675" s="16"/>
      <c r="N675" s="16"/>
      <c r="O675" s="16"/>
      <c r="P675" s="16"/>
      <c r="Q675" s="16"/>
      <c r="R675" s="16"/>
      <c r="S675" s="16"/>
      <c r="T675" s="16"/>
      <c r="U675" s="16"/>
      <c r="V675" s="16"/>
      <c r="W675" s="16"/>
    </row>
    <row r="676" spans="3:23" ht="17.25" hidden="1" customHeight="1">
      <c r="C676" s="10"/>
      <c r="D676" s="119"/>
      <c r="E676" s="119"/>
      <c r="F676" s="16"/>
      <c r="G676" s="16"/>
      <c r="H676" s="16"/>
      <c r="I676" s="16"/>
      <c r="J676" s="16"/>
      <c r="K676" s="16"/>
      <c r="L676" s="16"/>
      <c r="M676" s="16"/>
      <c r="N676" s="16"/>
      <c r="O676" s="16"/>
      <c r="P676" s="16"/>
      <c r="Q676" s="16"/>
      <c r="R676" s="16"/>
      <c r="S676" s="16"/>
      <c r="T676" s="16"/>
      <c r="U676" s="16"/>
      <c r="V676" s="16"/>
      <c r="W676" s="16"/>
    </row>
    <row r="677" spans="3:23" ht="17.25" hidden="1" customHeight="1">
      <c r="C677" s="10"/>
      <c r="D677" s="119"/>
      <c r="E677" s="119"/>
      <c r="F677" s="16"/>
      <c r="G677" s="16"/>
      <c r="H677" s="16"/>
      <c r="I677" s="16"/>
      <c r="J677" s="16"/>
      <c r="K677" s="16"/>
      <c r="L677" s="16"/>
      <c r="M677" s="16"/>
      <c r="N677" s="16"/>
      <c r="O677" s="16"/>
      <c r="P677" s="16"/>
      <c r="Q677" s="16"/>
      <c r="R677" s="16"/>
      <c r="S677" s="16"/>
      <c r="T677" s="16"/>
      <c r="U677" s="16"/>
      <c r="V677" s="16"/>
      <c r="W677" s="16"/>
    </row>
    <row r="678" spans="3:23" ht="17.25" hidden="1" customHeight="1">
      <c r="C678" s="10"/>
      <c r="D678" s="119"/>
      <c r="E678" s="119"/>
      <c r="F678" s="16"/>
      <c r="G678" s="16"/>
      <c r="H678" s="16"/>
      <c r="I678" s="16"/>
      <c r="J678" s="16"/>
      <c r="K678" s="16"/>
      <c r="L678" s="16"/>
      <c r="M678" s="16"/>
      <c r="N678" s="16"/>
      <c r="O678" s="16"/>
      <c r="P678" s="16"/>
      <c r="Q678" s="16"/>
      <c r="R678" s="16"/>
      <c r="S678" s="16"/>
      <c r="T678" s="16"/>
      <c r="U678" s="16"/>
      <c r="V678" s="16"/>
      <c r="W678" s="16"/>
    </row>
    <row r="679" spans="3:23" ht="17.25" hidden="1" customHeight="1">
      <c r="C679" s="10"/>
      <c r="D679" s="119"/>
      <c r="E679" s="119"/>
      <c r="F679" s="16"/>
      <c r="G679" s="16"/>
      <c r="H679" s="16"/>
      <c r="I679" s="16"/>
      <c r="J679" s="16"/>
      <c r="K679" s="16"/>
      <c r="L679" s="16"/>
      <c r="M679" s="16"/>
      <c r="N679" s="16"/>
      <c r="O679" s="16"/>
      <c r="P679" s="16"/>
      <c r="Q679" s="16"/>
      <c r="R679" s="16"/>
      <c r="S679" s="16"/>
      <c r="T679" s="16"/>
      <c r="U679" s="16"/>
      <c r="V679" s="16"/>
      <c r="W679" s="16"/>
    </row>
    <row r="680" spans="3:23" ht="17.25" hidden="1" customHeight="1">
      <c r="C680" s="10"/>
      <c r="D680" s="121"/>
      <c r="E680" s="121"/>
      <c r="F680" s="117"/>
      <c r="G680" s="117"/>
      <c r="H680" s="117"/>
      <c r="I680" s="117"/>
      <c r="J680" s="117"/>
      <c r="K680" s="117"/>
      <c r="L680" s="117"/>
      <c r="M680" s="117"/>
      <c r="N680" s="117"/>
      <c r="O680" s="117"/>
      <c r="P680" s="117"/>
      <c r="Q680" s="117"/>
      <c r="R680" s="117"/>
      <c r="S680" s="117"/>
      <c r="T680" s="117"/>
      <c r="U680" s="117"/>
      <c r="V680" s="117"/>
      <c r="W680" s="117"/>
    </row>
    <row r="681" spans="3:23" ht="17.25" hidden="1" customHeight="1">
      <c r="C681" s="10"/>
      <c r="D681" s="120"/>
      <c r="E681" s="121"/>
    </row>
    <row r="682" spans="3:23" ht="17.25" hidden="1" customHeight="1">
      <c r="C682" s="10"/>
      <c r="D682" s="119"/>
      <c r="E682" s="119"/>
      <c r="F682" s="16"/>
      <c r="G682" s="16"/>
      <c r="H682" s="16"/>
      <c r="I682" s="16"/>
      <c r="J682" s="16"/>
      <c r="K682" s="16"/>
      <c r="L682" s="16"/>
      <c r="M682" s="16"/>
      <c r="N682" s="16"/>
      <c r="O682" s="16"/>
      <c r="P682" s="16"/>
      <c r="Q682" s="16"/>
      <c r="R682" s="16"/>
      <c r="S682" s="16"/>
      <c r="T682" s="16"/>
      <c r="U682" s="16"/>
      <c r="V682" s="16"/>
      <c r="W682" s="16"/>
    </row>
    <row r="683" spans="3:23" ht="17.25" hidden="1" customHeight="1">
      <c r="C683" s="10"/>
      <c r="D683" s="119"/>
      <c r="E683" s="119"/>
      <c r="F683" s="16"/>
      <c r="G683" s="16"/>
      <c r="H683" s="16"/>
      <c r="I683" s="16"/>
      <c r="J683" s="16"/>
      <c r="K683" s="16"/>
      <c r="L683" s="16"/>
      <c r="M683" s="16"/>
      <c r="N683" s="16"/>
      <c r="O683" s="16"/>
      <c r="P683" s="16"/>
      <c r="Q683" s="16"/>
      <c r="R683" s="16"/>
      <c r="S683" s="16"/>
      <c r="T683" s="16"/>
      <c r="U683" s="16"/>
      <c r="V683" s="16"/>
      <c r="W683" s="16"/>
    </row>
    <row r="684" spans="3:23" ht="17.25" hidden="1" customHeight="1">
      <c r="C684" s="10"/>
      <c r="D684" s="119"/>
      <c r="E684" s="119"/>
      <c r="F684" s="16"/>
      <c r="G684" s="16"/>
      <c r="H684" s="16"/>
      <c r="I684" s="16"/>
      <c r="J684" s="16"/>
      <c r="K684" s="16"/>
      <c r="L684" s="16"/>
      <c r="M684" s="16"/>
      <c r="N684" s="16"/>
      <c r="O684" s="16"/>
      <c r="P684" s="16"/>
      <c r="Q684" s="16"/>
      <c r="R684" s="16"/>
      <c r="S684" s="16"/>
      <c r="T684" s="16"/>
      <c r="U684" s="16"/>
      <c r="V684" s="16"/>
      <c r="W684" s="16"/>
    </row>
    <row r="685" spans="3:23" ht="17.25" hidden="1" customHeight="1">
      <c r="C685" s="10"/>
      <c r="D685" s="119"/>
      <c r="E685" s="119"/>
      <c r="F685" s="16"/>
      <c r="G685" s="16"/>
      <c r="H685" s="16"/>
      <c r="I685" s="16"/>
      <c r="J685" s="16"/>
      <c r="K685" s="16"/>
      <c r="L685" s="16"/>
      <c r="M685" s="16"/>
      <c r="N685" s="16"/>
      <c r="O685" s="16"/>
      <c r="P685" s="16"/>
      <c r="Q685" s="16"/>
      <c r="R685" s="16"/>
      <c r="S685" s="16"/>
      <c r="T685" s="16"/>
      <c r="U685" s="16"/>
      <c r="V685" s="16"/>
      <c r="W685" s="16"/>
    </row>
    <row r="686" spans="3:23" ht="17.25" hidden="1" customHeight="1">
      <c r="C686" s="10"/>
      <c r="D686" s="119"/>
      <c r="E686" s="119"/>
      <c r="F686" s="16"/>
      <c r="G686" s="16"/>
      <c r="H686" s="16"/>
      <c r="I686" s="16"/>
      <c r="J686" s="16"/>
      <c r="K686" s="16"/>
      <c r="L686" s="16"/>
      <c r="M686" s="16"/>
      <c r="N686" s="16"/>
      <c r="O686" s="16"/>
      <c r="P686" s="16"/>
      <c r="Q686" s="16"/>
      <c r="R686" s="16"/>
      <c r="S686" s="16"/>
      <c r="T686" s="16"/>
      <c r="U686" s="16"/>
      <c r="V686" s="16"/>
      <c r="W686" s="16"/>
    </row>
    <row r="687" spans="3:23" ht="17.25" hidden="1" customHeight="1">
      <c r="C687" s="10"/>
      <c r="D687" s="119"/>
      <c r="E687" s="119"/>
      <c r="F687" s="16"/>
      <c r="G687" s="16"/>
      <c r="H687" s="16"/>
      <c r="I687" s="16"/>
      <c r="J687" s="16"/>
      <c r="K687" s="16"/>
      <c r="L687" s="16"/>
      <c r="M687" s="16"/>
      <c r="N687" s="16"/>
      <c r="O687" s="16"/>
      <c r="P687" s="16"/>
      <c r="Q687" s="16"/>
      <c r="R687" s="16"/>
      <c r="S687" s="16"/>
      <c r="T687" s="16"/>
      <c r="U687" s="16"/>
      <c r="V687" s="16"/>
      <c r="W687" s="16"/>
    </row>
    <row r="688" spans="3:23" ht="17.25" hidden="1" customHeight="1">
      <c r="C688" s="10"/>
      <c r="D688" s="119"/>
      <c r="E688" s="119"/>
      <c r="F688" s="16"/>
      <c r="G688" s="16"/>
      <c r="H688" s="16"/>
      <c r="I688" s="16"/>
      <c r="J688" s="16"/>
      <c r="K688" s="16"/>
      <c r="L688" s="16"/>
      <c r="M688" s="16"/>
      <c r="N688" s="16"/>
      <c r="O688" s="16"/>
      <c r="P688" s="16"/>
      <c r="Q688" s="16"/>
      <c r="R688" s="16"/>
      <c r="S688" s="16"/>
      <c r="T688" s="16"/>
      <c r="U688" s="16"/>
      <c r="V688" s="16"/>
      <c r="W688" s="16"/>
    </row>
    <row r="689" spans="3:23" ht="17.25" hidden="1" customHeight="1">
      <c r="C689" s="10"/>
      <c r="D689" s="119"/>
      <c r="E689" s="119"/>
      <c r="F689" s="16"/>
      <c r="G689" s="16"/>
      <c r="H689" s="16"/>
      <c r="I689" s="16"/>
      <c r="J689" s="16"/>
      <c r="K689" s="16"/>
      <c r="L689" s="16"/>
      <c r="M689" s="16"/>
      <c r="N689" s="16"/>
      <c r="O689" s="16"/>
      <c r="P689" s="16"/>
      <c r="Q689" s="16"/>
      <c r="R689" s="16"/>
      <c r="S689" s="16"/>
      <c r="T689" s="16"/>
      <c r="U689" s="16"/>
      <c r="V689" s="16"/>
      <c r="W689" s="16"/>
    </row>
    <row r="690" spans="3:23" ht="17.25" hidden="1" customHeight="1">
      <c r="C690" s="10"/>
      <c r="D690" s="119"/>
      <c r="E690" s="119"/>
      <c r="F690" s="16"/>
      <c r="G690" s="16"/>
      <c r="H690" s="16"/>
      <c r="I690" s="16"/>
      <c r="J690" s="16"/>
      <c r="K690" s="16"/>
      <c r="L690" s="16"/>
      <c r="M690" s="16"/>
      <c r="N690" s="16"/>
      <c r="O690" s="16"/>
      <c r="P690" s="16"/>
      <c r="Q690" s="16"/>
      <c r="R690" s="16"/>
      <c r="S690" s="16"/>
      <c r="T690" s="16"/>
      <c r="U690" s="16"/>
      <c r="V690" s="16"/>
      <c r="W690" s="16"/>
    </row>
    <row r="691" spans="3:23" ht="17.25" hidden="1" customHeight="1">
      <c r="C691" s="10"/>
      <c r="D691" s="119"/>
      <c r="E691" s="119"/>
      <c r="F691" s="16"/>
      <c r="G691" s="16"/>
      <c r="H691" s="16"/>
      <c r="I691" s="16"/>
      <c r="J691" s="16"/>
      <c r="K691" s="16"/>
      <c r="L691" s="16"/>
      <c r="M691" s="16"/>
      <c r="N691" s="16"/>
      <c r="O691" s="16"/>
      <c r="P691" s="16"/>
      <c r="Q691" s="16"/>
      <c r="R691" s="16"/>
      <c r="S691" s="16"/>
      <c r="T691" s="16"/>
      <c r="U691" s="16"/>
      <c r="V691" s="16"/>
      <c r="W691" s="16"/>
    </row>
    <row r="692" spans="3:23" ht="17.25" hidden="1" customHeight="1">
      <c r="C692" s="10"/>
      <c r="D692" s="119"/>
      <c r="E692" s="119"/>
      <c r="F692" s="16"/>
      <c r="G692" s="16"/>
      <c r="H692" s="16"/>
      <c r="I692" s="16"/>
      <c r="J692" s="16"/>
      <c r="K692" s="16"/>
      <c r="L692" s="16"/>
      <c r="M692" s="16"/>
      <c r="N692" s="16"/>
      <c r="O692" s="16"/>
      <c r="P692" s="16"/>
      <c r="Q692" s="16"/>
      <c r="R692" s="16"/>
      <c r="S692" s="16"/>
      <c r="T692" s="16"/>
      <c r="U692" s="16"/>
      <c r="V692" s="16"/>
      <c r="W692" s="16"/>
    </row>
    <row r="693" spans="3:23" ht="17.25" hidden="1" customHeight="1">
      <c r="C693" s="10"/>
      <c r="D693" s="119"/>
      <c r="E693" s="119"/>
      <c r="F693" s="16"/>
      <c r="G693" s="16"/>
      <c r="H693" s="16"/>
      <c r="I693" s="16"/>
      <c r="J693" s="16"/>
      <c r="K693" s="16"/>
      <c r="L693" s="16"/>
      <c r="M693" s="16"/>
      <c r="N693" s="16"/>
      <c r="O693" s="16"/>
      <c r="P693" s="16"/>
      <c r="Q693" s="16"/>
      <c r="R693" s="16"/>
      <c r="S693" s="16"/>
      <c r="T693" s="16"/>
      <c r="U693" s="16"/>
      <c r="V693" s="16"/>
      <c r="W693" s="16"/>
    </row>
    <row r="694" spans="3:23" ht="17.25" hidden="1" customHeight="1">
      <c r="C694" s="10"/>
      <c r="D694" s="121"/>
      <c r="E694" s="121"/>
      <c r="F694" s="117"/>
      <c r="G694" s="117"/>
      <c r="H694" s="117"/>
      <c r="I694" s="117"/>
      <c r="J694" s="117"/>
      <c r="K694" s="117"/>
      <c r="L694" s="117"/>
      <c r="M694" s="117"/>
      <c r="N694" s="117"/>
      <c r="O694" s="117"/>
      <c r="P694" s="117"/>
      <c r="Q694" s="117"/>
      <c r="R694" s="117"/>
      <c r="S694" s="117"/>
      <c r="T694" s="117"/>
      <c r="U694" s="117"/>
      <c r="V694" s="117"/>
      <c r="W694" s="117"/>
    </row>
    <row r="695" spans="3:23" ht="17.25" hidden="1" customHeight="1">
      <c r="C695" s="10"/>
      <c r="D695" s="120"/>
      <c r="E695" s="121"/>
    </row>
    <row r="696" spans="3:23" ht="17.25" hidden="1" customHeight="1">
      <c r="C696" s="10"/>
      <c r="D696" s="119"/>
      <c r="E696" s="119"/>
      <c r="F696" s="16"/>
      <c r="G696" s="16"/>
      <c r="H696" s="16"/>
      <c r="I696" s="16"/>
      <c r="J696" s="16"/>
      <c r="K696" s="16"/>
      <c r="L696" s="16"/>
      <c r="M696" s="16"/>
      <c r="N696" s="16"/>
      <c r="O696" s="16"/>
      <c r="P696" s="16"/>
      <c r="Q696" s="16"/>
      <c r="R696" s="16"/>
      <c r="S696" s="16"/>
      <c r="T696" s="16"/>
      <c r="U696" s="16"/>
      <c r="V696" s="16"/>
      <c r="W696" s="16"/>
    </row>
    <row r="697" spans="3:23" ht="17.25" hidden="1" customHeight="1">
      <c r="C697" s="10"/>
      <c r="D697" s="119"/>
      <c r="E697" s="119"/>
      <c r="F697" s="16"/>
      <c r="G697" s="16"/>
      <c r="H697" s="16"/>
      <c r="I697" s="16"/>
      <c r="J697" s="16"/>
      <c r="K697" s="16"/>
      <c r="L697" s="16"/>
      <c r="M697" s="16"/>
      <c r="N697" s="16"/>
      <c r="O697" s="16"/>
      <c r="P697" s="16"/>
      <c r="Q697" s="16"/>
      <c r="R697" s="16"/>
      <c r="S697" s="16"/>
      <c r="T697" s="16"/>
      <c r="U697" s="16"/>
      <c r="V697" s="16"/>
      <c r="W697" s="16"/>
    </row>
    <row r="698" spans="3:23" ht="17.25" hidden="1" customHeight="1">
      <c r="C698" s="10"/>
      <c r="D698" s="119"/>
      <c r="E698" s="119"/>
      <c r="F698" s="16"/>
      <c r="G698" s="16"/>
      <c r="H698" s="16"/>
      <c r="I698" s="16"/>
      <c r="J698" s="16"/>
      <c r="K698" s="16"/>
      <c r="L698" s="16"/>
      <c r="M698" s="16"/>
      <c r="N698" s="16"/>
      <c r="O698" s="16"/>
      <c r="P698" s="16"/>
      <c r="Q698" s="16"/>
      <c r="R698" s="16"/>
      <c r="S698" s="16"/>
      <c r="T698" s="16"/>
      <c r="U698" s="16"/>
      <c r="V698" s="16"/>
      <c r="W698" s="16"/>
    </row>
    <row r="699" spans="3:23" ht="17.25" hidden="1" customHeight="1">
      <c r="C699" s="10"/>
      <c r="D699" s="119"/>
      <c r="E699" s="119"/>
      <c r="F699" s="16"/>
      <c r="G699" s="16"/>
      <c r="H699" s="16"/>
      <c r="I699" s="16"/>
      <c r="J699" s="16"/>
      <c r="K699" s="16"/>
      <c r="L699" s="16"/>
      <c r="M699" s="16"/>
      <c r="N699" s="16"/>
      <c r="O699" s="16"/>
      <c r="P699" s="16"/>
      <c r="Q699" s="16"/>
      <c r="R699" s="16"/>
      <c r="S699" s="16"/>
      <c r="T699" s="16"/>
      <c r="U699" s="16"/>
      <c r="V699" s="16"/>
      <c r="W699" s="16"/>
    </row>
    <row r="700" spans="3:23" ht="17.25" hidden="1" customHeight="1">
      <c r="C700" s="10"/>
      <c r="D700" s="119"/>
      <c r="E700" s="119"/>
      <c r="F700" s="16"/>
      <c r="G700" s="16"/>
      <c r="H700" s="16"/>
      <c r="I700" s="16"/>
      <c r="J700" s="16"/>
      <c r="K700" s="16"/>
      <c r="L700" s="16"/>
      <c r="M700" s="16"/>
      <c r="N700" s="16"/>
      <c r="O700" s="16"/>
      <c r="P700" s="16"/>
      <c r="Q700" s="16"/>
      <c r="R700" s="16"/>
      <c r="S700" s="16"/>
      <c r="T700" s="16"/>
      <c r="U700" s="16"/>
      <c r="V700" s="16"/>
      <c r="W700" s="16"/>
    </row>
    <row r="701" spans="3:23" ht="17.25" hidden="1" customHeight="1">
      <c r="C701" s="10"/>
      <c r="D701" s="119"/>
      <c r="E701" s="119"/>
      <c r="F701" s="16"/>
      <c r="G701" s="16"/>
      <c r="H701" s="16"/>
      <c r="I701" s="16"/>
      <c r="J701" s="16"/>
      <c r="K701" s="16"/>
      <c r="L701" s="16"/>
      <c r="M701" s="16"/>
      <c r="N701" s="16"/>
      <c r="O701" s="16"/>
      <c r="P701" s="16"/>
      <c r="Q701" s="16"/>
      <c r="R701" s="16"/>
      <c r="S701" s="16"/>
      <c r="T701" s="16"/>
      <c r="U701" s="16"/>
      <c r="V701" s="16"/>
      <c r="W701" s="16"/>
    </row>
    <row r="702" spans="3:23" ht="17.25" hidden="1" customHeight="1">
      <c r="C702" s="10"/>
      <c r="D702" s="119"/>
      <c r="E702" s="119"/>
      <c r="F702" s="16"/>
      <c r="G702" s="16"/>
      <c r="H702" s="16"/>
      <c r="I702" s="16"/>
      <c r="J702" s="16"/>
      <c r="K702" s="16"/>
      <c r="L702" s="16"/>
      <c r="M702" s="16"/>
      <c r="N702" s="16"/>
      <c r="O702" s="16"/>
      <c r="P702" s="16"/>
      <c r="Q702" s="16"/>
      <c r="R702" s="16"/>
      <c r="S702" s="16"/>
      <c r="T702" s="16"/>
      <c r="U702" s="16"/>
      <c r="V702" s="16"/>
      <c r="W702" s="16"/>
    </row>
    <row r="703" spans="3:23" ht="17.25" hidden="1" customHeight="1">
      <c r="C703" s="10"/>
      <c r="D703" s="119"/>
      <c r="E703" s="119"/>
      <c r="F703" s="16"/>
      <c r="G703" s="16"/>
      <c r="H703" s="16"/>
      <c r="I703" s="16"/>
      <c r="J703" s="16"/>
      <c r="K703" s="16"/>
      <c r="L703" s="16"/>
      <c r="M703" s="16"/>
      <c r="N703" s="16"/>
      <c r="O703" s="16"/>
      <c r="P703" s="16"/>
      <c r="Q703" s="16"/>
      <c r="R703" s="16"/>
      <c r="S703" s="16"/>
      <c r="T703" s="16"/>
      <c r="U703" s="16"/>
      <c r="V703" s="16"/>
      <c r="W703" s="16"/>
    </row>
    <row r="704" spans="3:23" ht="17.25" hidden="1" customHeight="1">
      <c r="C704" s="10"/>
      <c r="D704" s="119"/>
      <c r="E704" s="119"/>
      <c r="F704" s="16"/>
      <c r="G704" s="16"/>
      <c r="H704" s="16"/>
      <c r="I704" s="16"/>
      <c r="J704" s="16"/>
      <c r="K704" s="16"/>
      <c r="L704" s="16"/>
      <c r="M704" s="16"/>
      <c r="N704" s="16"/>
      <c r="O704" s="16"/>
      <c r="P704" s="16"/>
      <c r="Q704" s="16"/>
      <c r="R704" s="16"/>
      <c r="S704" s="16"/>
      <c r="T704" s="16"/>
      <c r="U704" s="16"/>
      <c r="V704" s="16"/>
      <c r="W704" s="16"/>
    </row>
    <row r="705" spans="3:23" ht="17.25" hidden="1" customHeight="1">
      <c r="C705" s="10"/>
      <c r="D705" s="119"/>
      <c r="E705" s="119"/>
      <c r="F705" s="16"/>
      <c r="G705" s="16"/>
      <c r="H705" s="16"/>
      <c r="I705" s="16"/>
      <c r="J705" s="16"/>
      <c r="K705" s="16"/>
      <c r="L705" s="16"/>
      <c r="M705" s="16"/>
      <c r="N705" s="16"/>
      <c r="O705" s="16"/>
      <c r="P705" s="16"/>
      <c r="Q705" s="16"/>
      <c r="R705" s="16"/>
      <c r="S705" s="16"/>
      <c r="T705" s="16"/>
      <c r="U705" s="16"/>
      <c r="V705" s="16"/>
      <c r="W705" s="16"/>
    </row>
    <row r="706" spans="3:23" ht="17.25" hidden="1" customHeight="1">
      <c r="C706" s="10"/>
      <c r="D706" s="119"/>
      <c r="E706" s="119"/>
      <c r="F706" s="16"/>
      <c r="G706" s="16"/>
      <c r="H706" s="16"/>
      <c r="I706" s="16"/>
      <c r="J706" s="16"/>
      <c r="K706" s="16"/>
      <c r="L706" s="16"/>
      <c r="M706" s="16"/>
      <c r="N706" s="16"/>
      <c r="O706" s="16"/>
      <c r="P706" s="16"/>
      <c r="Q706" s="16"/>
      <c r="R706" s="16"/>
      <c r="S706" s="16"/>
      <c r="T706" s="16"/>
      <c r="U706" s="16"/>
      <c r="V706" s="16"/>
      <c r="W706" s="16"/>
    </row>
    <row r="707" spans="3:23" ht="17.25" hidden="1" customHeight="1">
      <c r="C707" s="10"/>
      <c r="D707" s="119"/>
      <c r="E707" s="119"/>
      <c r="F707" s="16"/>
      <c r="G707" s="16"/>
      <c r="H707" s="16"/>
      <c r="I707" s="16"/>
      <c r="J707" s="16"/>
      <c r="K707" s="16"/>
      <c r="L707" s="16"/>
      <c r="M707" s="16"/>
      <c r="N707" s="16"/>
      <c r="O707" s="16"/>
      <c r="P707" s="16"/>
      <c r="Q707" s="16"/>
      <c r="R707" s="16"/>
      <c r="S707" s="16"/>
      <c r="T707" s="16"/>
      <c r="U707" s="16"/>
      <c r="V707" s="16"/>
      <c r="W707" s="16"/>
    </row>
    <row r="708" spans="3:23" ht="17.25" hidden="1" customHeight="1">
      <c r="C708" s="10"/>
      <c r="D708" s="119"/>
      <c r="E708" s="119"/>
      <c r="F708" s="16"/>
      <c r="G708" s="16"/>
      <c r="H708" s="16"/>
      <c r="I708" s="16"/>
      <c r="J708" s="16"/>
      <c r="K708" s="16"/>
      <c r="L708" s="16"/>
      <c r="M708" s="16"/>
      <c r="N708" s="16"/>
      <c r="O708" s="16"/>
      <c r="P708" s="16"/>
      <c r="Q708" s="16"/>
      <c r="R708" s="16"/>
      <c r="S708" s="16"/>
      <c r="T708" s="16"/>
      <c r="U708" s="16"/>
      <c r="V708" s="16"/>
      <c r="W708" s="16"/>
    </row>
    <row r="709" spans="3:23" ht="17.25" hidden="1" customHeight="1">
      <c r="C709" s="10"/>
      <c r="D709" s="119"/>
      <c r="E709" s="119"/>
      <c r="F709" s="16"/>
      <c r="G709" s="16"/>
      <c r="H709" s="16"/>
      <c r="I709" s="16"/>
      <c r="J709" s="16"/>
      <c r="K709" s="16"/>
      <c r="L709" s="16"/>
      <c r="M709" s="16"/>
      <c r="N709" s="16"/>
      <c r="O709" s="16"/>
      <c r="P709" s="16"/>
      <c r="Q709" s="16"/>
      <c r="R709" s="16"/>
      <c r="S709" s="16"/>
      <c r="T709" s="16"/>
      <c r="U709" s="16"/>
      <c r="V709" s="16"/>
      <c r="W709" s="16"/>
    </row>
    <row r="710" spans="3:23" ht="17.25" hidden="1" customHeight="1">
      <c r="C710" s="10"/>
      <c r="D710" s="119"/>
      <c r="E710" s="119"/>
      <c r="F710" s="16"/>
      <c r="G710" s="16"/>
      <c r="H710" s="16"/>
      <c r="I710" s="16"/>
      <c r="J710" s="16"/>
      <c r="K710" s="16"/>
      <c r="L710" s="16"/>
      <c r="M710" s="16"/>
      <c r="N710" s="16"/>
      <c r="O710" s="16"/>
      <c r="P710" s="16"/>
      <c r="Q710" s="16"/>
      <c r="R710" s="16"/>
      <c r="S710" s="16"/>
      <c r="T710" s="16"/>
      <c r="U710" s="16"/>
      <c r="V710" s="16"/>
      <c r="W710" s="16"/>
    </row>
    <row r="711" spans="3:23" ht="17.25" hidden="1" customHeight="1">
      <c r="C711" s="10"/>
      <c r="D711" s="119"/>
      <c r="E711" s="119"/>
      <c r="F711" s="16"/>
      <c r="G711" s="16"/>
      <c r="H711" s="16"/>
      <c r="I711" s="16"/>
      <c r="J711" s="16"/>
      <c r="K711" s="16"/>
      <c r="L711" s="16"/>
      <c r="M711" s="16"/>
      <c r="N711" s="16"/>
      <c r="O711" s="16"/>
      <c r="P711" s="16"/>
      <c r="Q711" s="16"/>
      <c r="R711" s="16"/>
      <c r="S711" s="16"/>
      <c r="T711" s="16"/>
      <c r="U711" s="16"/>
      <c r="V711" s="16"/>
      <c r="W711" s="16"/>
    </row>
    <row r="712" spans="3:23" ht="17.25" hidden="1" customHeight="1">
      <c r="C712" s="10"/>
      <c r="D712" s="119"/>
      <c r="E712" s="119"/>
      <c r="F712" s="16"/>
      <c r="G712" s="16"/>
      <c r="H712" s="16"/>
      <c r="I712" s="16"/>
      <c r="J712" s="16"/>
      <c r="K712" s="16"/>
      <c r="L712" s="16"/>
      <c r="M712" s="16"/>
      <c r="N712" s="16"/>
      <c r="O712" s="16"/>
      <c r="P712" s="16"/>
      <c r="Q712" s="16"/>
      <c r="R712" s="16"/>
      <c r="S712" s="16"/>
      <c r="T712" s="16"/>
      <c r="U712" s="16"/>
      <c r="V712" s="16"/>
      <c r="W712" s="16"/>
    </row>
    <row r="713" spans="3:23" ht="17.25" hidden="1" customHeight="1">
      <c r="C713" s="10"/>
      <c r="D713" s="119"/>
      <c r="E713" s="119"/>
      <c r="F713" s="16"/>
      <c r="G713" s="16"/>
      <c r="H713" s="16"/>
      <c r="I713" s="16"/>
      <c r="J713" s="16"/>
      <c r="K713" s="16"/>
      <c r="L713" s="16"/>
      <c r="M713" s="16"/>
      <c r="N713" s="16"/>
      <c r="O713" s="16"/>
      <c r="P713" s="16"/>
      <c r="Q713" s="16"/>
      <c r="R713" s="16"/>
      <c r="S713" s="16"/>
      <c r="T713" s="16"/>
      <c r="U713" s="16"/>
      <c r="V713" s="16"/>
      <c r="W713" s="16"/>
    </row>
    <row r="714" spans="3:23" ht="17.25" hidden="1" customHeight="1">
      <c r="C714" s="10"/>
      <c r="D714" s="119"/>
      <c r="E714" s="119"/>
      <c r="F714" s="16"/>
      <c r="G714" s="16"/>
      <c r="H714" s="16"/>
      <c r="I714" s="16"/>
      <c r="J714" s="16"/>
      <c r="K714" s="16"/>
      <c r="L714" s="16"/>
      <c r="M714" s="16"/>
      <c r="N714" s="16"/>
      <c r="O714" s="16"/>
      <c r="P714" s="16"/>
      <c r="Q714" s="16"/>
      <c r="R714" s="16"/>
      <c r="S714" s="16"/>
      <c r="T714" s="16"/>
      <c r="U714" s="16"/>
      <c r="V714" s="16"/>
      <c r="W714" s="16"/>
    </row>
    <row r="715" spans="3:23" ht="17.25" hidden="1" customHeight="1">
      <c r="C715" s="10"/>
      <c r="D715" s="119"/>
      <c r="E715" s="119"/>
      <c r="F715" s="16"/>
      <c r="G715" s="16"/>
      <c r="H715" s="16"/>
      <c r="I715" s="16"/>
      <c r="J715" s="16"/>
      <c r="K715" s="16"/>
      <c r="L715" s="16"/>
      <c r="M715" s="16"/>
      <c r="N715" s="16"/>
      <c r="O715" s="16"/>
      <c r="P715" s="16"/>
      <c r="Q715" s="16"/>
      <c r="R715" s="16"/>
      <c r="S715" s="16"/>
      <c r="T715" s="16"/>
      <c r="U715" s="16"/>
      <c r="V715" s="16"/>
      <c r="W715" s="16"/>
    </row>
    <row r="716" spans="3:23" ht="17.25" hidden="1" customHeight="1">
      <c r="C716" s="10"/>
      <c r="D716" s="119"/>
      <c r="E716" s="119"/>
      <c r="F716" s="16"/>
      <c r="G716" s="16"/>
      <c r="H716" s="16"/>
      <c r="I716" s="16"/>
      <c r="J716" s="16"/>
      <c r="K716" s="16"/>
      <c r="L716" s="16"/>
      <c r="M716" s="16"/>
      <c r="N716" s="16"/>
      <c r="O716" s="16"/>
      <c r="P716" s="16"/>
      <c r="Q716" s="16"/>
      <c r="R716" s="16"/>
      <c r="S716" s="16"/>
      <c r="T716" s="16"/>
      <c r="U716" s="16"/>
      <c r="V716" s="16"/>
      <c r="W716" s="16"/>
    </row>
    <row r="717" spans="3:23" ht="17.25" hidden="1" customHeight="1">
      <c r="C717" s="10"/>
      <c r="D717" s="119"/>
      <c r="E717" s="119"/>
      <c r="F717" s="16"/>
      <c r="G717" s="16"/>
      <c r="H717" s="16"/>
      <c r="I717" s="16"/>
      <c r="J717" s="16"/>
      <c r="K717" s="16"/>
      <c r="L717" s="16"/>
      <c r="M717" s="16"/>
      <c r="N717" s="16"/>
      <c r="O717" s="16"/>
      <c r="P717" s="16"/>
      <c r="Q717" s="16"/>
      <c r="R717" s="16"/>
      <c r="S717" s="16"/>
      <c r="T717" s="16"/>
      <c r="U717" s="16"/>
      <c r="V717" s="16"/>
      <c r="W717" s="16"/>
    </row>
    <row r="718" spans="3:23" ht="17.25" hidden="1" customHeight="1">
      <c r="C718" s="10"/>
      <c r="D718" s="119"/>
      <c r="E718" s="119"/>
      <c r="F718" s="16"/>
      <c r="G718" s="16"/>
      <c r="H718" s="16"/>
      <c r="I718" s="16"/>
      <c r="J718" s="16"/>
      <c r="K718" s="16"/>
      <c r="L718" s="16"/>
      <c r="M718" s="16"/>
      <c r="N718" s="16"/>
      <c r="O718" s="16"/>
      <c r="P718" s="16"/>
      <c r="Q718" s="16"/>
      <c r="R718" s="16"/>
      <c r="S718" s="16"/>
      <c r="T718" s="16"/>
      <c r="U718" s="16"/>
      <c r="V718" s="16"/>
      <c r="W718" s="16"/>
    </row>
    <row r="719" spans="3:23" ht="17.25" hidden="1" customHeight="1">
      <c r="C719" s="10"/>
      <c r="D719" s="119"/>
      <c r="E719" s="119"/>
      <c r="F719" s="16"/>
      <c r="G719" s="16"/>
      <c r="H719" s="16"/>
      <c r="I719" s="16"/>
      <c r="J719" s="16"/>
      <c r="K719" s="16"/>
      <c r="L719" s="16"/>
      <c r="M719" s="16"/>
      <c r="N719" s="16"/>
      <c r="O719" s="16"/>
      <c r="P719" s="16"/>
      <c r="Q719" s="16"/>
      <c r="R719" s="16"/>
      <c r="S719" s="16"/>
      <c r="T719" s="16"/>
      <c r="U719" s="16"/>
      <c r="V719" s="16"/>
      <c r="W719" s="16"/>
    </row>
    <row r="720" spans="3:23" ht="17.25" hidden="1" customHeight="1">
      <c r="C720" s="10"/>
      <c r="D720" s="119"/>
      <c r="E720" s="119"/>
      <c r="F720" s="16"/>
      <c r="G720" s="16"/>
      <c r="H720" s="16"/>
      <c r="I720" s="16"/>
      <c r="J720" s="16"/>
      <c r="K720" s="16"/>
      <c r="L720" s="16"/>
      <c r="M720" s="16"/>
      <c r="N720" s="16"/>
      <c r="O720" s="16"/>
      <c r="P720" s="16"/>
      <c r="Q720" s="16"/>
      <c r="R720" s="16"/>
      <c r="S720" s="16"/>
      <c r="T720" s="16"/>
      <c r="U720" s="16"/>
      <c r="V720" s="16"/>
      <c r="W720" s="16"/>
    </row>
    <row r="721" spans="3:23" ht="17.25" hidden="1" customHeight="1">
      <c r="C721" s="10"/>
      <c r="D721" s="119"/>
      <c r="E721" s="119"/>
      <c r="F721" s="16"/>
      <c r="G721" s="16"/>
      <c r="H721" s="16"/>
      <c r="I721" s="16"/>
      <c r="J721" s="16"/>
      <c r="K721" s="16"/>
      <c r="L721" s="16"/>
      <c r="M721" s="16"/>
      <c r="N721" s="16"/>
      <c r="O721" s="16"/>
      <c r="P721" s="16"/>
      <c r="Q721" s="16"/>
      <c r="R721" s="16"/>
      <c r="S721" s="16"/>
      <c r="T721" s="16"/>
      <c r="U721" s="16"/>
      <c r="V721" s="16"/>
      <c r="W721" s="16"/>
    </row>
    <row r="722" spans="3:23" ht="17.25" hidden="1" customHeight="1">
      <c r="C722" s="10"/>
      <c r="D722" s="119"/>
      <c r="E722" s="119"/>
      <c r="F722" s="16"/>
      <c r="G722" s="16"/>
      <c r="H722" s="16"/>
      <c r="I722" s="16"/>
      <c r="J722" s="16"/>
      <c r="K722" s="16"/>
      <c r="L722" s="16"/>
      <c r="M722" s="16"/>
      <c r="N722" s="16"/>
      <c r="O722" s="16"/>
      <c r="P722" s="16"/>
      <c r="Q722" s="16"/>
      <c r="R722" s="16"/>
      <c r="S722" s="16"/>
      <c r="T722" s="16"/>
      <c r="U722" s="16"/>
      <c r="V722" s="16"/>
      <c r="W722" s="16"/>
    </row>
    <row r="723" spans="3:23" ht="17.25" hidden="1" customHeight="1">
      <c r="C723" s="10"/>
      <c r="D723" s="119"/>
      <c r="E723" s="119"/>
      <c r="F723" s="16"/>
      <c r="G723" s="16"/>
      <c r="H723" s="16"/>
      <c r="I723" s="16"/>
      <c r="J723" s="16"/>
      <c r="K723" s="16"/>
      <c r="L723" s="16"/>
      <c r="M723" s="16"/>
      <c r="N723" s="16"/>
      <c r="O723" s="16"/>
      <c r="P723" s="16"/>
      <c r="Q723" s="16"/>
      <c r="R723" s="16"/>
      <c r="S723" s="16"/>
      <c r="T723" s="16"/>
      <c r="U723" s="16"/>
      <c r="V723" s="16"/>
      <c r="W723" s="16"/>
    </row>
    <row r="724" spans="3:23" ht="17.25" hidden="1" customHeight="1">
      <c r="C724" s="10"/>
      <c r="D724" s="119"/>
      <c r="E724" s="119"/>
      <c r="F724" s="16"/>
      <c r="G724" s="16"/>
      <c r="H724" s="16"/>
      <c r="I724" s="16"/>
      <c r="J724" s="16"/>
      <c r="K724" s="16"/>
      <c r="L724" s="16"/>
      <c r="M724" s="16"/>
      <c r="N724" s="16"/>
      <c r="O724" s="16"/>
      <c r="P724" s="16"/>
      <c r="Q724" s="16"/>
      <c r="R724" s="16"/>
      <c r="S724" s="16"/>
      <c r="T724" s="16"/>
      <c r="U724" s="16"/>
      <c r="V724" s="16"/>
      <c r="W724" s="16"/>
    </row>
    <row r="725" spans="3:23" ht="17.25" hidden="1" customHeight="1">
      <c r="C725" s="10"/>
      <c r="D725" s="119"/>
      <c r="E725" s="119"/>
      <c r="F725" s="16"/>
      <c r="G725" s="16"/>
      <c r="H725" s="16"/>
      <c r="I725" s="16"/>
      <c r="J725" s="16"/>
      <c r="K725" s="16"/>
      <c r="L725" s="16"/>
      <c r="M725" s="16"/>
      <c r="N725" s="16"/>
      <c r="O725" s="16"/>
      <c r="P725" s="16"/>
      <c r="Q725" s="16"/>
      <c r="R725" s="16"/>
      <c r="S725" s="16"/>
      <c r="T725" s="16"/>
      <c r="U725" s="16"/>
      <c r="V725" s="16"/>
      <c r="W725" s="16"/>
    </row>
    <row r="726" spans="3:23" ht="17.25" hidden="1" customHeight="1">
      <c r="C726" s="10"/>
      <c r="D726" s="119"/>
      <c r="E726" s="119"/>
      <c r="F726" s="16"/>
      <c r="G726" s="16"/>
      <c r="H726" s="16"/>
      <c r="I726" s="16"/>
      <c r="J726" s="16"/>
      <c r="K726" s="16"/>
      <c r="L726" s="16"/>
      <c r="M726" s="16"/>
      <c r="N726" s="16"/>
      <c r="O726" s="16"/>
      <c r="P726" s="16"/>
      <c r="Q726" s="16"/>
      <c r="R726" s="16"/>
      <c r="S726" s="16"/>
      <c r="T726" s="16"/>
      <c r="U726" s="16"/>
      <c r="V726" s="16"/>
      <c r="W726" s="16"/>
    </row>
    <row r="727" spans="3:23" ht="17.25" hidden="1" customHeight="1">
      <c r="C727" s="10"/>
      <c r="D727" s="119"/>
      <c r="E727" s="119"/>
      <c r="F727" s="16"/>
      <c r="G727" s="16"/>
      <c r="H727" s="16"/>
      <c r="I727" s="16"/>
      <c r="J727" s="16"/>
      <c r="K727" s="16"/>
      <c r="L727" s="16"/>
      <c r="M727" s="16"/>
      <c r="N727" s="16"/>
      <c r="O727" s="16"/>
      <c r="P727" s="16"/>
      <c r="Q727" s="16"/>
      <c r="R727" s="16"/>
      <c r="S727" s="16"/>
      <c r="T727" s="16"/>
      <c r="U727" s="16"/>
      <c r="V727" s="16"/>
      <c r="W727" s="16"/>
    </row>
    <row r="728" spans="3:23" ht="17.25" hidden="1" customHeight="1">
      <c r="C728" s="10"/>
      <c r="D728" s="119"/>
      <c r="E728" s="119"/>
      <c r="F728" s="16"/>
      <c r="G728" s="16"/>
      <c r="H728" s="16"/>
      <c r="I728" s="16"/>
      <c r="J728" s="16"/>
      <c r="K728" s="16"/>
      <c r="L728" s="16"/>
      <c r="M728" s="16"/>
      <c r="N728" s="16"/>
      <c r="O728" s="16"/>
      <c r="P728" s="16"/>
      <c r="Q728" s="16"/>
      <c r="R728" s="16"/>
      <c r="S728" s="16"/>
      <c r="T728" s="16"/>
      <c r="U728" s="16"/>
      <c r="V728" s="16"/>
      <c r="W728" s="16"/>
    </row>
    <row r="729" spans="3:23" ht="17.25" hidden="1" customHeight="1">
      <c r="C729" s="10"/>
      <c r="D729" s="119"/>
      <c r="E729" s="119"/>
      <c r="F729" s="16"/>
      <c r="G729" s="16"/>
      <c r="H729" s="16"/>
      <c r="I729" s="16"/>
      <c r="J729" s="16"/>
      <c r="K729" s="16"/>
      <c r="L729" s="16"/>
      <c r="M729" s="16"/>
      <c r="N729" s="16"/>
      <c r="O729" s="16"/>
      <c r="P729" s="16"/>
      <c r="Q729" s="16"/>
      <c r="R729" s="16"/>
      <c r="S729" s="16"/>
      <c r="T729" s="16"/>
      <c r="U729" s="16"/>
      <c r="V729" s="16"/>
      <c r="W729" s="16"/>
    </row>
    <row r="730" spans="3:23" ht="17.25" hidden="1" customHeight="1">
      <c r="C730" s="10"/>
      <c r="D730" s="119"/>
      <c r="E730" s="119"/>
      <c r="F730" s="16"/>
      <c r="G730" s="16"/>
      <c r="H730" s="16"/>
      <c r="I730" s="16"/>
      <c r="J730" s="16"/>
      <c r="K730" s="16"/>
      <c r="L730" s="16"/>
      <c r="M730" s="16"/>
      <c r="N730" s="16"/>
      <c r="O730" s="16"/>
      <c r="P730" s="16"/>
      <c r="Q730" s="16"/>
      <c r="R730" s="16"/>
      <c r="S730" s="16"/>
      <c r="T730" s="16"/>
      <c r="U730" s="16"/>
      <c r="V730" s="16"/>
      <c r="W730" s="16"/>
    </row>
    <row r="731" spans="3:23" ht="17.25" hidden="1" customHeight="1">
      <c r="C731" s="10"/>
      <c r="D731" s="119"/>
      <c r="E731" s="119"/>
      <c r="F731" s="16"/>
      <c r="G731" s="16"/>
      <c r="H731" s="16"/>
      <c r="I731" s="16"/>
      <c r="J731" s="16"/>
      <c r="K731" s="16"/>
      <c r="L731" s="16"/>
      <c r="M731" s="16"/>
      <c r="N731" s="16"/>
      <c r="O731" s="16"/>
      <c r="P731" s="16"/>
      <c r="Q731" s="16"/>
      <c r="R731" s="16"/>
      <c r="S731" s="16"/>
      <c r="T731" s="16"/>
      <c r="U731" s="16"/>
      <c r="V731" s="16"/>
      <c r="W731" s="16"/>
    </row>
    <row r="732" spans="3:23" ht="17.25" hidden="1" customHeight="1">
      <c r="C732" s="10"/>
      <c r="D732" s="119"/>
      <c r="E732" s="119"/>
      <c r="F732" s="16"/>
      <c r="G732" s="16"/>
      <c r="H732" s="16"/>
      <c r="I732" s="16"/>
      <c r="J732" s="16"/>
      <c r="K732" s="16"/>
      <c r="L732" s="16"/>
      <c r="M732" s="16"/>
      <c r="N732" s="16"/>
      <c r="O732" s="16"/>
      <c r="P732" s="16"/>
      <c r="Q732" s="16"/>
      <c r="R732" s="16"/>
      <c r="S732" s="16"/>
      <c r="T732" s="16"/>
      <c r="U732" s="16"/>
      <c r="V732" s="16"/>
      <c r="W732" s="16"/>
    </row>
    <row r="733" spans="3:23" ht="17.25" hidden="1" customHeight="1">
      <c r="C733" s="10"/>
      <c r="D733" s="119"/>
      <c r="E733" s="119"/>
      <c r="F733" s="16"/>
      <c r="G733" s="16"/>
      <c r="H733" s="16"/>
      <c r="I733" s="16"/>
      <c r="J733" s="16"/>
      <c r="K733" s="16"/>
      <c r="L733" s="16"/>
      <c r="M733" s="16"/>
      <c r="N733" s="16"/>
      <c r="O733" s="16"/>
      <c r="P733" s="16"/>
      <c r="Q733" s="16"/>
      <c r="R733" s="16"/>
      <c r="S733" s="16"/>
      <c r="T733" s="16"/>
      <c r="U733" s="16"/>
      <c r="V733" s="16"/>
      <c r="W733" s="16"/>
    </row>
    <row r="734" spans="3:23" ht="17.25" hidden="1" customHeight="1">
      <c r="C734" s="10"/>
      <c r="D734" s="119"/>
      <c r="E734" s="119"/>
      <c r="F734" s="16"/>
      <c r="G734" s="16"/>
      <c r="H734" s="16"/>
      <c r="I734" s="16"/>
      <c r="J734" s="16"/>
      <c r="K734" s="16"/>
      <c r="L734" s="16"/>
      <c r="M734" s="16"/>
      <c r="N734" s="16"/>
      <c r="O734" s="16"/>
      <c r="P734" s="16"/>
      <c r="Q734" s="16"/>
      <c r="R734" s="16"/>
      <c r="S734" s="16"/>
      <c r="T734" s="16"/>
      <c r="U734" s="16"/>
      <c r="V734" s="16"/>
      <c r="W734" s="16"/>
    </row>
    <row r="735" spans="3:23" ht="17.25" hidden="1" customHeight="1">
      <c r="C735" s="10"/>
      <c r="D735" s="119"/>
      <c r="E735" s="119"/>
      <c r="F735" s="16"/>
      <c r="G735" s="16"/>
      <c r="H735" s="16"/>
      <c r="I735" s="16"/>
      <c r="J735" s="16"/>
      <c r="K735" s="16"/>
      <c r="L735" s="16"/>
      <c r="M735" s="16"/>
      <c r="N735" s="16"/>
      <c r="O735" s="16"/>
      <c r="P735" s="16"/>
      <c r="Q735" s="16"/>
      <c r="R735" s="16"/>
      <c r="S735" s="16"/>
      <c r="T735" s="16"/>
      <c r="U735" s="16"/>
      <c r="V735" s="16"/>
      <c r="W735" s="16"/>
    </row>
    <row r="736" spans="3:23" ht="17.25" hidden="1" customHeight="1">
      <c r="C736" s="10"/>
      <c r="D736" s="119"/>
      <c r="E736" s="119"/>
      <c r="F736" s="16"/>
      <c r="G736" s="16"/>
      <c r="H736" s="16"/>
      <c r="I736" s="16"/>
      <c r="J736" s="16"/>
      <c r="K736" s="16"/>
      <c r="L736" s="16"/>
      <c r="M736" s="16"/>
      <c r="N736" s="16"/>
      <c r="O736" s="16"/>
      <c r="P736" s="16"/>
      <c r="Q736" s="16"/>
      <c r="R736" s="16"/>
      <c r="S736" s="16"/>
      <c r="T736" s="16"/>
      <c r="U736" s="16"/>
      <c r="V736" s="16"/>
      <c r="W736" s="16"/>
    </row>
    <row r="737" spans="3:23" ht="17.25" hidden="1" customHeight="1">
      <c r="C737" s="10"/>
      <c r="D737" s="119"/>
      <c r="E737" s="119"/>
      <c r="F737" s="16"/>
      <c r="G737" s="16"/>
      <c r="H737" s="16"/>
      <c r="I737" s="16"/>
      <c r="J737" s="16"/>
      <c r="K737" s="16"/>
      <c r="L737" s="16"/>
      <c r="M737" s="16"/>
      <c r="N737" s="16"/>
      <c r="O737" s="16"/>
      <c r="P737" s="16"/>
      <c r="Q737" s="16"/>
      <c r="R737" s="16"/>
      <c r="S737" s="16"/>
      <c r="T737" s="16"/>
      <c r="U737" s="16"/>
      <c r="V737" s="16"/>
      <c r="W737" s="16"/>
    </row>
    <row r="738" spans="3:23" ht="17.25" hidden="1" customHeight="1">
      <c r="C738" s="10"/>
      <c r="D738" s="119"/>
      <c r="E738" s="119"/>
      <c r="F738" s="16"/>
      <c r="G738" s="16"/>
      <c r="H738" s="16"/>
      <c r="I738" s="16"/>
      <c r="J738" s="16"/>
      <c r="K738" s="16"/>
      <c r="L738" s="16"/>
      <c r="M738" s="16"/>
      <c r="N738" s="16"/>
      <c r="O738" s="16"/>
      <c r="P738" s="16"/>
      <c r="Q738" s="16"/>
      <c r="R738" s="16"/>
      <c r="S738" s="16"/>
      <c r="T738" s="16"/>
      <c r="U738" s="16"/>
      <c r="V738" s="16"/>
      <c r="W738" s="16"/>
    </row>
    <row r="739" spans="3:23" ht="17.25" hidden="1" customHeight="1">
      <c r="C739" s="10"/>
      <c r="D739" s="119"/>
      <c r="E739" s="119"/>
      <c r="F739" s="16"/>
      <c r="G739" s="16"/>
      <c r="H739" s="16"/>
      <c r="I739" s="16"/>
      <c r="J739" s="16"/>
      <c r="K739" s="16"/>
      <c r="L739" s="16"/>
      <c r="M739" s="16"/>
      <c r="N739" s="16"/>
      <c r="O739" s="16"/>
      <c r="P739" s="16"/>
      <c r="Q739" s="16"/>
      <c r="R739" s="16"/>
      <c r="S739" s="16"/>
      <c r="T739" s="16"/>
      <c r="U739" s="16"/>
      <c r="V739" s="16"/>
      <c r="W739" s="16"/>
    </row>
    <row r="740" spans="3:23" ht="17.25" hidden="1" customHeight="1">
      <c r="C740" s="10"/>
      <c r="D740" s="119"/>
      <c r="E740" s="119"/>
      <c r="F740" s="16"/>
      <c r="G740" s="16"/>
      <c r="H740" s="16"/>
      <c r="I740" s="16"/>
      <c r="J740" s="16"/>
      <c r="K740" s="16"/>
      <c r="L740" s="16"/>
      <c r="M740" s="16"/>
      <c r="N740" s="16"/>
      <c r="O740" s="16"/>
      <c r="P740" s="16"/>
      <c r="Q740" s="16"/>
      <c r="R740" s="16"/>
      <c r="S740" s="16"/>
      <c r="T740" s="16"/>
      <c r="U740" s="16"/>
      <c r="V740" s="16"/>
      <c r="W740" s="16"/>
    </row>
    <row r="741" spans="3:23" ht="17.25" hidden="1" customHeight="1">
      <c r="C741" s="10"/>
      <c r="D741" s="119"/>
      <c r="E741" s="119"/>
      <c r="F741" s="16"/>
      <c r="G741" s="16"/>
      <c r="H741" s="16"/>
      <c r="I741" s="16"/>
      <c r="J741" s="16"/>
      <c r="K741" s="16"/>
      <c r="L741" s="16"/>
      <c r="M741" s="16"/>
      <c r="N741" s="16"/>
      <c r="O741" s="16"/>
      <c r="P741" s="16"/>
      <c r="Q741" s="16"/>
      <c r="R741" s="16"/>
      <c r="S741" s="16"/>
      <c r="T741" s="16"/>
      <c r="U741" s="16"/>
      <c r="V741" s="16"/>
      <c r="W741" s="16"/>
    </row>
    <row r="742" spans="3:23" ht="17.25" hidden="1" customHeight="1">
      <c r="C742" s="10"/>
      <c r="D742" s="119"/>
      <c r="E742" s="119"/>
      <c r="F742" s="16"/>
      <c r="G742" s="16"/>
      <c r="H742" s="16"/>
      <c r="I742" s="16"/>
      <c r="J742" s="16"/>
      <c r="K742" s="16"/>
      <c r="L742" s="16"/>
      <c r="M742" s="16"/>
      <c r="N742" s="16"/>
      <c r="O742" s="16"/>
      <c r="P742" s="16"/>
      <c r="Q742" s="16"/>
      <c r="R742" s="16"/>
      <c r="S742" s="16"/>
      <c r="T742" s="16"/>
      <c r="U742" s="16"/>
      <c r="V742" s="16"/>
      <c r="W742" s="16"/>
    </row>
    <row r="743" spans="3:23" ht="17.25" hidden="1" customHeight="1">
      <c r="C743" s="10"/>
      <c r="D743" s="119"/>
      <c r="E743" s="119"/>
      <c r="F743" s="16"/>
      <c r="G743" s="16"/>
      <c r="H743" s="16"/>
      <c r="I743" s="16"/>
      <c r="J743" s="16"/>
      <c r="K743" s="16"/>
      <c r="L743" s="16"/>
      <c r="M743" s="16"/>
      <c r="N743" s="16"/>
      <c r="O743" s="16"/>
      <c r="P743" s="16"/>
      <c r="Q743" s="16"/>
      <c r="R743" s="16"/>
      <c r="S743" s="16"/>
      <c r="T743" s="16"/>
      <c r="U743" s="16"/>
      <c r="V743" s="16"/>
      <c r="W743" s="16"/>
    </row>
    <row r="744" spans="3:23" ht="17.25" hidden="1" customHeight="1">
      <c r="C744" s="10"/>
      <c r="D744" s="119"/>
      <c r="E744" s="119"/>
      <c r="F744" s="16"/>
      <c r="G744" s="16"/>
      <c r="H744" s="16"/>
      <c r="I744" s="16"/>
      <c r="J744" s="16"/>
      <c r="K744" s="16"/>
      <c r="L744" s="16"/>
      <c r="M744" s="16"/>
      <c r="N744" s="16"/>
      <c r="O744" s="16"/>
      <c r="P744" s="16"/>
      <c r="Q744" s="16"/>
      <c r="R744" s="16"/>
      <c r="S744" s="16"/>
      <c r="T744" s="16"/>
      <c r="U744" s="16"/>
      <c r="V744" s="16"/>
      <c r="W744" s="16"/>
    </row>
    <row r="745" spans="3:23" ht="17.25" hidden="1" customHeight="1">
      <c r="C745" s="10"/>
      <c r="D745" s="119"/>
      <c r="E745" s="119"/>
      <c r="F745" s="16"/>
      <c r="G745" s="16"/>
      <c r="H745" s="16"/>
      <c r="I745" s="16"/>
      <c r="J745" s="16"/>
      <c r="K745" s="16"/>
      <c r="L745" s="16"/>
      <c r="M745" s="16"/>
      <c r="N745" s="16"/>
      <c r="O745" s="16"/>
      <c r="P745" s="16"/>
      <c r="Q745" s="16"/>
      <c r="R745" s="16"/>
      <c r="S745" s="16"/>
      <c r="T745" s="16"/>
      <c r="U745" s="16"/>
      <c r="V745" s="16"/>
      <c r="W745" s="16"/>
    </row>
    <row r="746" spans="3:23" ht="17.25" hidden="1" customHeight="1">
      <c r="C746" s="10"/>
      <c r="D746" s="119"/>
      <c r="E746" s="119"/>
      <c r="F746" s="16"/>
      <c r="G746" s="16"/>
      <c r="H746" s="16"/>
      <c r="I746" s="16"/>
      <c r="J746" s="16"/>
      <c r="K746" s="16"/>
      <c r="L746" s="16"/>
      <c r="M746" s="16"/>
      <c r="N746" s="16"/>
      <c r="O746" s="16"/>
      <c r="P746" s="16"/>
      <c r="Q746" s="16"/>
      <c r="R746" s="16"/>
      <c r="S746" s="16"/>
      <c r="T746" s="16"/>
      <c r="U746" s="16"/>
      <c r="V746" s="16"/>
      <c r="W746" s="16"/>
    </row>
    <row r="747" spans="3:23" ht="17.25" hidden="1" customHeight="1">
      <c r="C747" s="10"/>
      <c r="D747" s="119"/>
      <c r="E747" s="119"/>
      <c r="F747" s="16"/>
      <c r="G747" s="16"/>
      <c r="H747" s="16"/>
      <c r="I747" s="16"/>
      <c r="J747" s="16"/>
      <c r="K747" s="16"/>
      <c r="L747" s="16"/>
      <c r="M747" s="16"/>
      <c r="N747" s="16"/>
      <c r="O747" s="16"/>
      <c r="P747" s="16"/>
      <c r="Q747" s="16"/>
      <c r="R747" s="16"/>
      <c r="S747" s="16"/>
      <c r="T747" s="16"/>
      <c r="U747" s="16"/>
      <c r="V747" s="16"/>
      <c r="W747" s="16"/>
    </row>
    <row r="748" spans="3:23" ht="17.25" hidden="1" customHeight="1">
      <c r="C748" s="10"/>
      <c r="D748" s="119"/>
      <c r="E748" s="119"/>
      <c r="F748" s="16"/>
      <c r="G748" s="16"/>
      <c r="H748" s="16"/>
      <c r="I748" s="16"/>
      <c r="J748" s="16"/>
      <c r="K748" s="16"/>
      <c r="L748" s="16"/>
      <c r="M748" s="16"/>
      <c r="N748" s="16"/>
      <c r="O748" s="16"/>
      <c r="P748" s="16"/>
      <c r="Q748" s="16"/>
      <c r="R748" s="16"/>
      <c r="S748" s="16"/>
      <c r="T748" s="16"/>
      <c r="U748" s="16"/>
      <c r="V748" s="16"/>
      <c r="W748" s="16"/>
    </row>
    <row r="749" spans="3:23" ht="17.25" hidden="1" customHeight="1">
      <c r="C749" s="10"/>
      <c r="D749" s="119"/>
      <c r="E749" s="119"/>
      <c r="F749" s="16"/>
      <c r="G749" s="16"/>
      <c r="H749" s="16"/>
      <c r="I749" s="16"/>
      <c r="J749" s="16"/>
      <c r="K749" s="16"/>
      <c r="L749" s="16"/>
      <c r="M749" s="16"/>
      <c r="N749" s="16"/>
      <c r="O749" s="16"/>
      <c r="P749" s="16"/>
      <c r="Q749" s="16"/>
      <c r="R749" s="16"/>
      <c r="S749" s="16"/>
      <c r="T749" s="16"/>
      <c r="U749" s="16"/>
      <c r="V749" s="16"/>
      <c r="W749" s="16"/>
    </row>
    <row r="750" spans="3:23" ht="17.25" hidden="1" customHeight="1">
      <c r="C750" s="10"/>
      <c r="D750" s="119"/>
      <c r="E750" s="119"/>
      <c r="F750" s="16"/>
      <c r="G750" s="16"/>
      <c r="H750" s="16"/>
      <c r="I750" s="16"/>
      <c r="J750" s="16"/>
      <c r="K750" s="16"/>
      <c r="L750" s="16"/>
      <c r="M750" s="16"/>
      <c r="N750" s="16"/>
      <c r="O750" s="16"/>
      <c r="P750" s="16"/>
      <c r="Q750" s="16"/>
      <c r="R750" s="16"/>
      <c r="S750" s="16"/>
      <c r="T750" s="16"/>
      <c r="U750" s="16"/>
      <c r="V750" s="16"/>
      <c r="W750" s="16"/>
    </row>
    <row r="751" spans="3:23" ht="17.25" hidden="1" customHeight="1">
      <c r="C751" s="10"/>
      <c r="D751" s="119"/>
      <c r="E751" s="119"/>
      <c r="F751" s="16"/>
      <c r="G751" s="16"/>
      <c r="H751" s="16"/>
      <c r="I751" s="16"/>
      <c r="J751" s="16"/>
      <c r="K751" s="16"/>
      <c r="L751" s="16"/>
      <c r="M751" s="16"/>
      <c r="N751" s="16"/>
      <c r="O751" s="16"/>
      <c r="P751" s="16"/>
      <c r="Q751" s="16"/>
      <c r="R751" s="16"/>
      <c r="S751" s="16"/>
      <c r="T751" s="16"/>
      <c r="U751" s="16"/>
      <c r="V751" s="16"/>
      <c r="W751" s="16"/>
    </row>
    <row r="752" spans="3:23" ht="17.25" hidden="1" customHeight="1">
      <c r="C752" s="10"/>
      <c r="D752" s="119"/>
      <c r="E752" s="119"/>
      <c r="F752" s="16"/>
      <c r="G752" s="16"/>
      <c r="H752" s="16"/>
      <c r="I752" s="16"/>
      <c r="J752" s="16"/>
      <c r="K752" s="16"/>
      <c r="L752" s="16"/>
      <c r="M752" s="16"/>
      <c r="N752" s="16"/>
      <c r="O752" s="16"/>
      <c r="P752" s="16"/>
      <c r="Q752" s="16"/>
      <c r="R752" s="16"/>
      <c r="S752" s="16"/>
      <c r="T752" s="16"/>
      <c r="U752" s="16"/>
      <c r="V752" s="16"/>
      <c r="W752" s="16"/>
    </row>
    <row r="753" spans="3:23" ht="17.25" hidden="1" customHeight="1">
      <c r="C753" s="10"/>
      <c r="D753" s="119"/>
      <c r="E753" s="119"/>
      <c r="F753" s="16"/>
      <c r="G753" s="16"/>
      <c r="H753" s="16"/>
      <c r="I753" s="16"/>
      <c r="J753" s="16"/>
      <c r="K753" s="16"/>
      <c r="L753" s="16"/>
      <c r="M753" s="16"/>
      <c r="N753" s="16"/>
      <c r="O753" s="16"/>
      <c r="P753" s="16"/>
      <c r="Q753" s="16"/>
      <c r="R753" s="16"/>
      <c r="S753" s="16"/>
      <c r="T753" s="16"/>
      <c r="U753" s="16"/>
      <c r="V753" s="16"/>
      <c r="W753" s="16"/>
    </row>
    <row r="754" spans="3:23" ht="17.25" hidden="1" customHeight="1">
      <c r="C754" s="10"/>
      <c r="D754" s="119"/>
      <c r="E754" s="119"/>
      <c r="F754" s="16"/>
      <c r="G754" s="16"/>
      <c r="H754" s="16"/>
      <c r="I754" s="16"/>
      <c r="J754" s="16"/>
      <c r="K754" s="16"/>
      <c r="L754" s="16"/>
      <c r="M754" s="16"/>
      <c r="N754" s="16"/>
      <c r="O754" s="16"/>
      <c r="P754" s="16"/>
      <c r="Q754" s="16"/>
      <c r="R754" s="16"/>
      <c r="S754" s="16"/>
      <c r="T754" s="16"/>
      <c r="U754" s="16"/>
      <c r="V754" s="16"/>
      <c r="W754" s="16"/>
    </row>
    <row r="755" spans="3:23" ht="17.25" hidden="1" customHeight="1">
      <c r="C755" s="10"/>
      <c r="D755" s="119"/>
      <c r="E755" s="119"/>
      <c r="F755" s="16"/>
      <c r="G755" s="16"/>
      <c r="H755" s="16"/>
      <c r="I755" s="16"/>
      <c r="J755" s="16"/>
      <c r="K755" s="16"/>
      <c r="L755" s="16"/>
      <c r="M755" s="16"/>
      <c r="N755" s="16"/>
      <c r="O755" s="16"/>
      <c r="P755" s="16"/>
      <c r="Q755" s="16"/>
      <c r="R755" s="16"/>
      <c r="S755" s="16"/>
      <c r="T755" s="16"/>
      <c r="U755" s="16"/>
      <c r="V755" s="16"/>
      <c r="W755" s="16"/>
    </row>
    <row r="756" spans="3:23" ht="17.25" hidden="1" customHeight="1">
      <c r="C756" s="10"/>
      <c r="D756" s="119"/>
      <c r="E756" s="119"/>
      <c r="F756" s="16"/>
      <c r="G756" s="16"/>
      <c r="H756" s="16"/>
      <c r="I756" s="16"/>
      <c r="J756" s="16"/>
      <c r="K756" s="16"/>
      <c r="L756" s="16"/>
      <c r="M756" s="16"/>
      <c r="N756" s="16"/>
      <c r="O756" s="16"/>
      <c r="P756" s="16"/>
      <c r="Q756" s="16"/>
      <c r="R756" s="16"/>
      <c r="S756" s="16"/>
      <c r="T756" s="16"/>
      <c r="U756" s="16"/>
      <c r="V756" s="16"/>
      <c r="W756" s="16"/>
    </row>
    <row r="757" spans="3:23" ht="17.25" hidden="1" customHeight="1">
      <c r="C757" s="10"/>
      <c r="D757" s="119"/>
      <c r="E757" s="119"/>
      <c r="F757" s="16"/>
      <c r="G757" s="16"/>
      <c r="H757" s="16"/>
      <c r="I757" s="16"/>
      <c r="J757" s="16"/>
      <c r="K757" s="16"/>
      <c r="L757" s="16"/>
      <c r="M757" s="16"/>
      <c r="N757" s="16"/>
      <c r="O757" s="16"/>
      <c r="P757" s="16"/>
      <c r="Q757" s="16"/>
      <c r="R757" s="16"/>
      <c r="S757" s="16"/>
      <c r="T757" s="16"/>
      <c r="U757" s="16"/>
      <c r="V757" s="16"/>
      <c r="W757" s="16"/>
    </row>
    <row r="758" spans="3:23" ht="17.25" hidden="1" customHeight="1">
      <c r="C758" s="10"/>
      <c r="D758" s="119"/>
      <c r="E758" s="119"/>
      <c r="F758" s="16"/>
      <c r="G758" s="16"/>
      <c r="H758" s="16"/>
      <c r="I758" s="16"/>
      <c r="J758" s="16"/>
      <c r="K758" s="16"/>
      <c r="L758" s="16"/>
      <c r="M758" s="16"/>
      <c r="N758" s="16"/>
      <c r="O758" s="16"/>
      <c r="P758" s="16"/>
      <c r="Q758" s="16"/>
      <c r="R758" s="16"/>
      <c r="S758" s="16"/>
      <c r="T758" s="16"/>
      <c r="U758" s="16"/>
      <c r="V758" s="16"/>
      <c r="W758" s="16"/>
    </row>
    <row r="759" spans="3:23" ht="17.25" hidden="1" customHeight="1">
      <c r="C759" s="10"/>
      <c r="D759" s="119"/>
      <c r="E759" s="119"/>
      <c r="F759" s="16"/>
      <c r="G759" s="16"/>
      <c r="H759" s="16"/>
      <c r="I759" s="16"/>
      <c r="J759" s="16"/>
      <c r="K759" s="16"/>
      <c r="L759" s="16"/>
      <c r="M759" s="16"/>
      <c r="N759" s="16"/>
      <c r="O759" s="16"/>
      <c r="P759" s="16"/>
      <c r="Q759" s="16"/>
      <c r="R759" s="16"/>
      <c r="S759" s="16"/>
      <c r="T759" s="16"/>
      <c r="U759" s="16"/>
      <c r="V759" s="16"/>
      <c r="W759" s="16"/>
    </row>
    <row r="760" spans="3:23" ht="17.25" hidden="1" customHeight="1">
      <c r="C760" s="10"/>
      <c r="D760" s="119"/>
      <c r="E760" s="119"/>
      <c r="F760" s="16"/>
      <c r="G760" s="16"/>
      <c r="H760" s="16"/>
      <c r="I760" s="16"/>
      <c r="J760" s="16"/>
      <c r="K760" s="16"/>
      <c r="L760" s="16"/>
      <c r="M760" s="16"/>
      <c r="N760" s="16"/>
      <c r="O760" s="16"/>
      <c r="P760" s="16"/>
      <c r="Q760" s="16"/>
      <c r="R760" s="16"/>
      <c r="S760" s="16"/>
      <c r="T760" s="16"/>
      <c r="U760" s="16"/>
      <c r="V760" s="16"/>
      <c r="W760" s="16"/>
    </row>
    <row r="761" spans="3:23" ht="17.25" hidden="1" customHeight="1">
      <c r="C761" s="10"/>
      <c r="D761" s="119"/>
      <c r="E761" s="119"/>
      <c r="F761" s="16"/>
      <c r="G761" s="16"/>
      <c r="H761" s="16"/>
      <c r="I761" s="16"/>
      <c r="J761" s="16"/>
      <c r="K761" s="16"/>
      <c r="L761" s="16"/>
      <c r="M761" s="16"/>
      <c r="N761" s="16"/>
      <c r="O761" s="16"/>
      <c r="P761" s="16"/>
      <c r="Q761" s="16"/>
      <c r="R761" s="16"/>
      <c r="S761" s="16"/>
      <c r="T761" s="16"/>
      <c r="U761" s="16"/>
      <c r="V761" s="16"/>
      <c r="W761" s="16"/>
    </row>
    <row r="762" spans="3:23" ht="17.25" hidden="1" customHeight="1">
      <c r="C762" s="10"/>
      <c r="D762" s="119"/>
      <c r="E762" s="119"/>
      <c r="F762" s="16"/>
      <c r="G762" s="16"/>
      <c r="H762" s="16"/>
      <c r="I762" s="16"/>
      <c r="J762" s="16"/>
      <c r="K762" s="16"/>
      <c r="L762" s="16"/>
      <c r="M762" s="16"/>
      <c r="N762" s="16"/>
      <c r="O762" s="16"/>
      <c r="P762" s="16"/>
      <c r="Q762" s="16"/>
      <c r="R762" s="16"/>
      <c r="S762" s="16"/>
      <c r="T762" s="16"/>
      <c r="U762" s="16"/>
      <c r="V762" s="16"/>
      <c r="W762" s="16"/>
    </row>
    <row r="763" spans="3:23" ht="17.25" hidden="1" customHeight="1">
      <c r="C763" s="10"/>
      <c r="D763" s="119"/>
      <c r="E763" s="119"/>
      <c r="F763" s="16"/>
      <c r="G763" s="16"/>
      <c r="H763" s="16"/>
      <c r="I763" s="16"/>
      <c r="J763" s="16"/>
      <c r="K763" s="16"/>
      <c r="L763" s="16"/>
      <c r="M763" s="16"/>
      <c r="N763" s="16"/>
      <c r="O763" s="16"/>
      <c r="P763" s="16"/>
      <c r="Q763" s="16"/>
      <c r="R763" s="16"/>
      <c r="S763" s="16"/>
      <c r="T763" s="16"/>
      <c r="U763" s="16"/>
      <c r="V763" s="16"/>
      <c r="W763" s="16"/>
    </row>
    <row r="764" spans="3:23" ht="17.25" hidden="1" customHeight="1">
      <c r="C764" s="10"/>
      <c r="D764" s="119"/>
      <c r="E764" s="119"/>
      <c r="F764" s="16"/>
      <c r="G764" s="16"/>
      <c r="H764" s="16"/>
      <c r="I764" s="16"/>
      <c r="J764" s="16"/>
      <c r="K764" s="16"/>
      <c r="L764" s="16"/>
      <c r="M764" s="16"/>
      <c r="N764" s="16"/>
      <c r="O764" s="16"/>
      <c r="P764" s="16"/>
      <c r="Q764" s="16"/>
      <c r="R764" s="16"/>
      <c r="S764" s="16"/>
      <c r="T764" s="16"/>
      <c r="U764" s="16"/>
      <c r="V764" s="16"/>
      <c r="W764" s="16"/>
    </row>
    <row r="765" spans="3:23" ht="17.25" hidden="1" customHeight="1">
      <c r="C765" s="10"/>
      <c r="D765" s="119"/>
      <c r="E765" s="119"/>
      <c r="F765" s="16"/>
      <c r="G765" s="16"/>
      <c r="H765" s="16"/>
      <c r="I765" s="16"/>
      <c r="J765" s="16"/>
      <c r="K765" s="16"/>
      <c r="L765" s="16"/>
      <c r="M765" s="16"/>
      <c r="N765" s="16"/>
      <c r="O765" s="16"/>
      <c r="P765" s="16"/>
      <c r="Q765" s="16"/>
      <c r="R765" s="16"/>
      <c r="S765" s="16"/>
      <c r="T765" s="16"/>
      <c r="U765" s="16"/>
      <c r="V765" s="16"/>
      <c r="W765" s="16"/>
    </row>
    <row r="766" spans="3:23" ht="17.25" hidden="1" customHeight="1">
      <c r="C766" s="10"/>
      <c r="D766" s="119"/>
      <c r="E766" s="119"/>
      <c r="F766" s="16"/>
      <c r="G766" s="16"/>
      <c r="H766" s="16"/>
      <c r="I766" s="16"/>
      <c r="J766" s="16"/>
      <c r="K766" s="16"/>
      <c r="L766" s="16"/>
      <c r="M766" s="16"/>
      <c r="N766" s="16"/>
      <c r="O766" s="16"/>
      <c r="P766" s="16"/>
      <c r="Q766" s="16"/>
      <c r="R766" s="16"/>
      <c r="S766" s="16"/>
      <c r="T766" s="16"/>
      <c r="U766" s="16"/>
      <c r="V766" s="16"/>
      <c r="W766" s="16"/>
    </row>
    <row r="767" spans="3:23" ht="17.25" hidden="1" customHeight="1">
      <c r="C767" s="10"/>
      <c r="D767" s="119"/>
      <c r="E767" s="119"/>
      <c r="F767" s="16"/>
      <c r="G767" s="16"/>
      <c r="H767" s="16"/>
      <c r="I767" s="16"/>
      <c r="J767" s="16"/>
      <c r="K767" s="16"/>
      <c r="L767" s="16"/>
      <c r="M767" s="16"/>
      <c r="N767" s="16"/>
      <c r="O767" s="16"/>
      <c r="P767" s="16"/>
      <c r="Q767" s="16"/>
      <c r="R767" s="16"/>
      <c r="S767" s="16"/>
      <c r="T767" s="16"/>
      <c r="U767" s="16"/>
      <c r="V767" s="16"/>
      <c r="W767" s="16"/>
    </row>
    <row r="768" spans="3:23" ht="17.25" hidden="1" customHeight="1">
      <c r="C768" s="10"/>
      <c r="D768" s="119"/>
      <c r="E768" s="119"/>
      <c r="F768" s="16"/>
      <c r="G768" s="16"/>
      <c r="H768" s="16"/>
      <c r="I768" s="16"/>
      <c r="J768" s="16"/>
      <c r="K768" s="16"/>
      <c r="L768" s="16"/>
      <c r="M768" s="16"/>
      <c r="N768" s="16"/>
      <c r="O768" s="16"/>
      <c r="P768" s="16"/>
      <c r="Q768" s="16"/>
      <c r="R768" s="16"/>
      <c r="S768" s="16"/>
      <c r="T768" s="16"/>
      <c r="U768" s="16"/>
      <c r="V768" s="16"/>
      <c r="W768" s="16"/>
    </row>
    <row r="769" spans="3:23" ht="17.25" hidden="1" customHeight="1">
      <c r="C769" s="10"/>
      <c r="D769" s="119"/>
      <c r="E769" s="119"/>
      <c r="F769" s="16"/>
      <c r="G769" s="16"/>
      <c r="H769" s="16"/>
      <c r="I769" s="16"/>
      <c r="J769" s="16"/>
      <c r="K769" s="16"/>
      <c r="L769" s="16"/>
      <c r="M769" s="16"/>
      <c r="N769" s="16"/>
      <c r="O769" s="16"/>
      <c r="P769" s="16"/>
      <c r="Q769" s="16"/>
      <c r="R769" s="16"/>
      <c r="S769" s="16"/>
      <c r="T769" s="16"/>
      <c r="U769" s="16"/>
      <c r="V769" s="16"/>
      <c r="W769" s="16"/>
    </row>
    <row r="770" spans="3:23" ht="17.25" hidden="1" customHeight="1">
      <c r="C770" s="10"/>
      <c r="D770" s="119"/>
      <c r="E770" s="119"/>
      <c r="F770" s="16"/>
      <c r="G770" s="16"/>
      <c r="H770" s="16"/>
      <c r="I770" s="16"/>
      <c r="J770" s="16"/>
      <c r="K770" s="16"/>
      <c r="L770" s="16"/>
      <c r="M770" s="16"/>
      <c r="N770" s="16"/>
      <c r="O770" s="16"/>
      <c r="P770" s="16"/>
      <c r="Q770" s="16"/>
      <c r="R770" s="16"/>
      <c r="S770" s="16"/>
      <c r="T770" s="16"/>
      <c r="U770" s="16"/>
      <c r="V770" s="16"/>
      <c r="W770" s="16"/>
    </row>
    <row r="771" spans="3:23" ht="17.25" hidden="1" customHeight="1">
      <c r="C771" s="10"/>
      <c r="D771" s="119"/>
      <c r="E771" s="119"/>
      <c r="F771" s="16"/>
      <c r="G771" s="16"/>
      <c r="H771" s="16"/>
      <c r="I771" s="16"/>
      <c r="J771" s="16"/>
      <c r="K771" s="16"/>
      <c r="L771" s="16"/>
      <c r="M771" s="16"/>
      <c r="N771" s="16"/>
      <c r="O771" s="16"/>
      <c r="P771" s="16"/>
      <c r="Q771" s="16"/>
      <c r="R771" s="16"/>
      <c r="S771" s="16"/>
      <c r="T771" s="16"/>
      <c r="U771" s="16"/>
      <c r="V771" s="16"/>
      <c r="W771" s="16"/>
    </row>
    <row r="772" spans="3:23" ht="17.25" hidden="1" customHeight="1">
      <c r="C772" s="10"/>
      <c r="D772" s="119"/>
      <c r="E772" s="119"/>
      <c r="F772" s="16"/>
      <c r="G772" s="16"/>
      <c r="H772" s="16"/>
      <c r="I772" s="16"/>
      <c r="J772" s="16"/>
      <c r="K772" s="16"/>
      <c r="L772" s="16"/>
      <c r="M772" s="16"/>
      <c r="N772" s="16"/>
      <c r="O772" s="16"/>
      <c r="P772" s="16"/>
      <c r="Q772" s="16"/>
      <c r="R772" s="16"/>
      <c r="S772" s="16"/>
      <c r="T772" s="16"/>
      <c r="U772" s="16"/>
      <c r="V772" s="16"/>
      <c r="W772" s="16"/>
    </row>
    <row r="773" spans="3:23" ht="17.25" hidden="1" customHeight="1">
      <c r="C773" s="10"/>
      <c r="D773" s="119"/>
      <c r="E773" s="119"/>
      <c r="F773" s="16"/>
      <c r="G773" s="16"/>
      <c r="H773" s="16"/>
      <c r="I773" s="16"/>
      <c r="J773" s="16"/>
      <c r="K773" s="16"/>
      <c r="L773" s="16"/>
      <c r="M773" s="16"/>
      <c r="N773" s="16"/>
      <c r="O773" s="16"/>
      <c r="P773" s="16"/>
      <c r="Q773" s="16"/>
      <c r="R773" s="16"/>
      <c r="S773" s="16"/>
      <c r="T773" s="16"/>
      <c r="U773" s="16"/>
      <c r="V773" s="16"/>
      <c r="W773" s="16"/>
    </row>
    <row r="774" spans="3:23" ht="17.25" hidden="1" customHeight="1">
      <c r="C774" s="10"/>
      <c r="D774" s="119"/>
      <c r="E774" s="119"/>
      <c r="F774" s="16"/>
      <c r="G774" s="16"/>
      <c r="H774" s="16"/>
      <c r="I774" s="16"/>
      <c r="J774" s="16"/>
      <c r="K774" s="16"/>
      <c r="L774" s="16"/>
      <c r="M774" s="16"/>
      <c r="N774" s="16"/>
      <c r="O774" s="16"/>
      <c r="P774" s="16"/>
      <c r="Q774" s="16"/>
      <c r="R774" s="16"/>
      <c r="S774" s="16"/>
      <c r="T774" s="16"/>
      <c r="U774" s="16"/>
      <c r="V774" s="16"/>
      <c r="W774" s="16"/>
    </row>
    <row r="775" spans="3:23" ht="17.25" hidden="1" customHeight="1">
      <c r="C775" s="10"/>
      <c r="D775" s="119"/>
      <c r="E775" s="119"/>
      <c r="F775" s="16"/>
      <c r="G775" s="16"/>
      <c r="H775" s="16"/>
      <c r="I775" s="16"/>
      <c r="J775" s="16"/>
      <c r="K775" s="16"/>
      <c r="L775" s="16"/>
      <c r="M775" s="16"/>
      <c r="N775" s="16"/>
      <c r="O775" s="16"/>
      <c r="P775" s="16"/>
      <c r="Q775" s="16"/>
      <c r="R775" s="16"/>
      <c r="S775" s="16"/>
      <c r="T775" s="16"/>
      <c r="U775" s="16"/>
      <c r="V775" s="16"/>
      <c r="W775" s="16"/>
    </row>
    <row r="776" spans="3:23" ht="17.25" hidden="1" customHeight="1">
      <c r="C776" s="10"/>
      <c r="D776" s="119"/>
      <c r="E776" s="119"/>
      <c r="F776" s="16"/>
      <c r="G776" s="16"/>
      <c r="H776" s="16"/>
      <c r="I776" s="16"/>
      <c r="J776" s="16"/>
      <c r="K776" s="16"/>
      <c r="L776" s="16"/>
      <c r="M776" s="16"/>
      <c r="N776" s="16"/>
      <c r="O776" s="16"/>
      <c r="P776" s="16"/>
      <c r="Q776" s="16"/>
      <c r="R776" s="16"/>
      <c r="S776" s="16"/>
      <c r="T776" s="16"/>
      <c r="U776" s="16"/>
      <c r="V776" s="16"/>
      <c r="W776" s="16"/>
    </row>
    <row r="777" spans="3:23" ht="17.25" hidden="1" customHeight="1">
      <c r="C777" s="10"/>
      <c r="D777" s="119"/>
      <c r="E777" s="119"/>
      <c r="F777" s="16"/>
      <c r="G777" s="16"/>
      <c r="H777" s="16"/>
      <c r="I777" s="16"/>
      <c r="J777" s="16"/>
      <c r="K777" s="16"/>
      <c r="L777" s="16"/>
      <c r="M777" s="16"/>
      <c r="N777" s="16"/>
      <c r="O777" s="16"/>
      <c r="P777" s="16"/>
      <c r="Q777" s="16"/>
      <c r="R777" s="16"/>
      <c r="S777" s="16"/>
      <c r="T777" s="16"/>
      <c r="U777" s="16"/>
      <c r="V777" s="16"/>
      <c r="W777" s="16"/>
    </row>
    <row r="778" spans="3:23" ht="17.25" hidden="1" customHeight="1">
      <c r="C778" s="10"/>
      <c r="D778" s="119"/>
      <c r="E778" s="119"/>
      <c r="F778" s="16"/>
      <c r="G778" s="16"/>
      <c r="H778" s="16"/>
      <c r="I778" s="16"/>
      <c r="J778" s="16"/>
      <c r="K778" s="16"/>
      <c r="L778" s="16"/>
      <c r="M778" s="16"/>
      <c r="N778" s="16"/>
      <c r="O778" s="16"/>
      <c r="P778" s="16"/>
      <c r="Q778" s="16"/>
      <c r="R778" s="16"/>
      <c r="S778" s="16"/>
      <c r="T778" s="16"/>
      <c r="U778" s="16"/>
      <c r="V778" s="16"/>
      <c r="W778" s="16"/>
    </row>
    <row r="779" spans="3:23" ht="17.25" hidden="1" customHeight="1">
      <c r="C779" s="10"/>
      <c r="D779" s="119"/>
      <c r="E779" s="119"/>
      <c r="F779" s="16"/>
      <c r="G779" s="16"/>
      <c r="H779" s="16"/>
      <c r="I779" s="16"/>
      <c r="J779" s="16"/>
      <c r="K779" s="16"/>
      <c r="L779" s="16"/>
      <c r="M779" s="16"/>
      <c r="N779" s="16"/>
      <c r="O779" s="16"/>
      <c r="P779" s="16"/>
      <c r="Q779" s="16"/>
      <c r="R779" s="16"/>
      <c r="S779" s="16"/>
      <c r="T779" s="16"/>
      <c r="U779" s="16"/>
      <c r="V779" s="16"/>
      <c r="W779" s="16"/>
    </row>
    <row r="780" spans="3:23" ht="17.25" hidden="1" customHeight="1">
      <c r="C780" s="10"/>
      <c r="D780" s="119"/>
      <c r="E780" s="119"/>
      <c r="F780" s="16"/>
      <c r="G780" s="16"/>
      <c r="H780" s="16"/>
      <c r="I780" s="16"/>
      <c r="J780" s="16"/>
      <c r="K780" s="16"/>
      <c r="L780" s="16"/>
      <c r="M780" s="16"/>
      <c r="N780" s="16"/>
      <c r="O780" s="16"/>
      <c r="P780" s="16"/>
      <c r="Q780" s="16"/>
      <c r="R780" s="16"/>
      <c r="S780" s="16"/>
      <c r="T780" s="16"/>
      <c r="U780" s="16"/>
      <c r="V780" s="16"/>
      <c r="W780" s="16"/>
    </row>
    <row r="781" spans="3:23" ht="17.25" hidden="1" customHeight="1">
      <c r="C781" s="10"/>
      <c r="D781" s="119"/>
      <c r="E781" s="119"/>
      <c r="F781" s="16"/>
      <c r="G781" s="16"/>
      <c r="H781" s="16"/>
      <c r="I781" s="16"/>
      <c r="J781" s="16"/>
      <c r="K781" s="16"/>
      <c r="L781" s="16"/>
      <c r="M781" s="16"/>
      <c r="N781" s="16"/>
      <c r="O781" s="16"/>
      <c r="P781" s="16"/>
      <c r="Q781" s="16"/>
      <c r="R781" s="16"/>
      <c r="S781" s="16"/>
      <c r="T781" s="16"/>
      <c r="U781" s="16"/>
      <c r="V781" s="16"/>
      <c r="W781" s="16"/>
    </row>
    <row r="782" spans="3:23" ht="17.25" hidden="1" customHeight="1">
      <c r="C782" s="10"/>
      <c r="D782" s="119"/>
      <c r="E782" s="119"/>
      <c r="F782" s="16"/>
      <c r="G782" s="16"/>
      <c r="H782" s="16"/>
      <c r="I782" s="16"/>
      <c r="J782" s="16"/>
      <c r="K782" s="16"/>
      <c r="L782" s="16"/>
      <c r="M782" s="16"/>
      <c r="N782" s="16"/>
      <c r="O782" s="16"/>
      <c r="P782" s="16"/>
      <c r="Q782" s="16"/>
      <c r="R782" s="16"/>
      <c r="S782" s="16"/>
      <c r="T782" s="16"/>
      <c r="U782" s="16"/>
      <c r="V782" s="16"/>
      <c r="W782" s="16"/>
    </row>
    <row r="783" spans="3:23" ht="17.25" hidden="1" customHeight="1">
      <c r="C783" s="10"/>
      <c r="D783" s="119"/>
      <c r="E783" s="119"/>
      <c r="F783" s="16"/>
      <c r="G783" s="16"/>
      <c r="H783" s="16"/>
      <c r="I783" s="16"/>
      <c r="J783" s="16"/>
      <c r="K783" s="16"/>
      <c r="L783" s="16"/>
      <c r="M783" s="16"/>
      <c r="N783" s="16"/>
      <c r="O783" s="16"/>
      <c r="P783" s="16"/>
      <c r="Q783" s="16"/>
      <c r="R783" s="16"/>
      <c r="S783" s="16"/>
      <c r="T783" s="16"/>
      <c r="U783" s="16"/>
      <c r="V783" s="16"/>
      <c r="W783" s="16"/>
    </row>
    <row r="784" spans="3:23" ht="17.25" hidden="1" customHeight="1">
      <c r="C784" s="10"/>
      <c r="D784" s="119"/>
      <c r="E784" s="119"/>
      <c r="F784" s="16"/>
      <c r="G784" s="16"/>
      <c r="H784" s="16"/>
      <c r="I784" s="16"/>
      <c r="J784" s="16"/>
      <c r="K784" s="16"/>
      <c r="L784" s="16"/>
      <c r="M784" s="16"/>
      <c r="N784" s="16"/>
      <c r="O784" s="16"/>
      <c r="P784" s="16"/>
      <c r="Q784" s="16"/>
      <c r="R784" s="16"/>
      <c r="S784" s="16"/>
      <c r="T784" s="16"/>
      <c r="U784" s="16"/>
      <c r="V784" s="16"/>
      <c r="W784" s="16"/>
    </row>
    <row r="785" spans="3:23" ht="17.25" hidden="1" customHeight="1">
      <c r="C785" s="10"/>
      <c r="D785" s="119"/>
      <c r="E785" s="119"/>
      <c r="F785" s="16"/>
      <c r="G785" s="16"/>
      <c r="H785" s="16"/>
      <c r="I785" s="16"/>
      <c r="J785" s="16"/>
      <c r="K785" s="16"/>
      <c r="L785" s="16"/>
      <c r="M785" s="16"/>
      <c r="N785" s="16"/>
      <c r="O785" s="16"/>
      <c r="P785" s="16"/>
      <c r="Q785" s="16"/>
      <c r="R785" s="16"/>
      <c r="S785" s="16"/>
      <c r="T785" s="16"/>
      <c r="U785" s="16"/>
      <c r="V785" s="16"/>
      <c r="W785" s="16"/>
    </row>
    <row r="786" spans="3:23" ht="17.25" hidden="1" customHeight="1">
      <c r="C786" s="10"/>
      <c r="D786" s="119"/>
      <c r="E786" s="119"/>
      <c r="F786" s="16"/>
      <c r="G786" s="16"/>
      <c r="H786" s="16"/>
      <c r="I786" s="16"/>
      <c r="J786" s="16"/>
      <c r="K786" s="16"/>
      <c r="L786" s="16"/>
      <c r="M786" s="16"/>
      <c r="N786" s="16"/>
      <c r="O786" s="16"/>
      <c r="P786" s="16"/>
      <c r="Q786" s="16"/>
      <c r="R786" s="16"/>
      <c r="S786" s="16"/>
      <c r="T786" s="16"/>
      <c r="U786" s="16"/>
      <c r="V786" s="16"/>
      <c r="W786" s="16"/>
    </row>
    <row r="787" spans="3:23" ht="17.25" hidden="1" customHeight="1">
      <c r="C787" s="10"/>
      <c r="D787" s="119"/>
      <c r="E787" s="119"/>
      <c r="F787" s="16"/>
      <c r="G787" s="16"/>
      <c r="H787" s="16"/>
      <c r="I787" s="16"/>
      <c r="J787" s="16"/>
      <c r="K787" s="16"/>
      <c r="L787" s="16"/>
      <c r="M787" s="16"/>
      <c r="N787" s="16"/>
      <c r="O787" s="16"/>
      <c r="P787" s="16"/>
      <c r="Q787" s="16"/>
      <c r="R787" s="16"/>
      <c r="S787" s="16"/>
      <c r="T787" s="16"/>
      <c r="U787" s="16"/>
      <c r="V787" s="16"/>
      <c r="W787" s="16"/>
    </row>
    <row r="788" spans="3:23" ht="17.25" hidden="1" customHeight="1">
      <c r="C788" s="10"/>
      <c r="D788" s="119"/>
      <c r="E788" s="119"/>
      <c r="F788" s="16"/>
      <c r="G788" s="16"/>
      <c r="H788" s="16"/>
      <c r="I788" s="16"/>
      <c r="J788" s="16"/>
      <c r="K788" s="16"/>
      <c r="L788" s="16"/>
      <c r="M788" s="16"/>
      <c r="N788" s="16"/>
      <c r="O788" s="16"/>
      <c r="P788" s="16"/>
      <c r="Q788" s="16"/>
      <c r="R788" s="16"/>
      <c r="S788" s="16"/>
      <c r="T788" s="16"/>
      <c r="U788" s="16"/>
      <c r="V788" s="16"/>
      <c r="W788" s="16"/>
    </row>
    <row r="789" spans="3:23" ht="17.25" hidden="1" customHeight="1">
      <c r="C789" s="10"/>
      <c r="D789" s="119"/>
      <c r="E789" s="119"/>
      <c r="F789" s="16"/>
      <c r="G789" s="16"/>
      <c r="H789" s="16"/>
      <c r="I789" s="16"/>
      <c r="J789" s="16"/>
      <c r="K789" s="16"/>
      <c r="L789" s="16"/>
      <c r="M789" s="16"/>
      <c r="N789" s="16"/>
      <c r="O789" s="16"/>
      <c r="P789" s="16"/>
      <c r="Q789" s="16"/>
      <c r="R789" s="16"/>
      <c r="S789" s="16"/>
      <c r="T789" s="16"/>
      <c r="U789" s="16"/>
      <c r="V789" s="16"/>
      <c r="W789" s="16"/>
    </row>
    <row r="790" spans="3:23" ht="17.25" hidden="1" customHeight="1">
      <c r="C790" s="10"/>
      <c r="D790" s="119"/>
      <c r="E790" s="119"/>
      <c r="F790" s="16"/>
      <c r="G790" s="16"/>
      <c r="H790" s="16"/>
      <c r="I790" s="16"/>
      <c r="J790" s="16"/>
      <c r="K790" s="16"/>
      <c r="L790" s="16"/>
      <c r="M790" s="16"/>
      <c r="N790" s="16"/>
      <c r="O790" s="16"/>
      <c r="P790" s="16"/>
      <c r="Q790" s="16"/>
      <c r="R790" s="16"/>
      <c r="S790" s="16"/>
      <c r="T790" s="16"/>
      <c r="U790" s="16"/>
      <c r="V790" s="16"/>
      <c r="W790" s="16"/>
    </row>
    <row r="791" spans="3:23" ht="17.25" hidden="1" customHeight="1">
      <c r="C791" s="10"/>
      <c r="D791" s="119"/>
      <c r="E791" s="119"/>
      <c r="F791" s="16"/>
      <c r="G791" s="16"/>
      <c r="H791" s="16"/>
      <c r="I791" s="16"/>
      <c r="J791" s="16"/>
      <c r="K791" s="16"/>
      <c r="L791" s="16"/>
      <c r="M791" s="16"/>
      <c r="N791" s="16"/>
      <c r="O791" s="16"/>
      <c r="P791" s="16"/>
      <c r="Q791" s="16"/>
      <c r="R791" s="16"/>
      <c r="S791" s="16"/>
      <c r="T791" s="16"/>
      <c r="U791" s="16"/>
      <c r="V791" s="16"/>
      <c r="W791" s="16"/>
    </row>
    <row r="792" spans="3:23" ht="17.25" hidden="1" customHeight="1">
      <c r="C792" s="10"/>
      <c r="D792" s="119"/>
      <c r="E792" s="119"/>
      <c r="F792" s="16"/>
      <c r="G792" s="16"/>
      <c r="H792" s="16"/>
      <c r="I792" s="16"/>
      <c r="J792" s="16"/>
      <c r="K792" s="16"/>
      <c r="L792" s="16"/>
      <c r="M792" s="16"/>
      <c r="N792" s="16"/>
      <c r="O792" s="16"/>
      <c r="P792" s="16"/>
      <c r="Q792" s="16"/>
      <c r="R792" s="16"/>
      <c r="S792" s="16"/>
      <c r="T792" s="16"/>
      <c r="U792" s="16"/>
      <c r="V792" s="16"/>
      <c r="W792" s="16"/>
    </row>
    <row r="793" spans="3:23" ht="17.25" hidden="1" customHeight="1">
      <c r="C793" s="10"/>
      <c r="D793" s="119"/>
      <c r="E793" s="119"/>
      <c r="F793" s="16"/>
      <c r="G793" s="16"/>
      <c r="H793" s="16"/>
      <c r="I793" s="16"/>
      <c r="J793" s="16"/>
      <c r="K793" s="16"/>
      <c r="L793" s="16"/>
      <c r="M793" s="16"/>
      <c r="N793" s="16"/>
      <c r="O793" s="16"/>
      <c r="P793" s="16"/>
      <c r="Q793" s="16"/>
      <c r="R793" s="16"/>
      <c r="S793" s="16"/>
      <c r="T793" s="16"/>
      <c r="U793" s="16"/>
      <c r="V793" s="16"/>
      <c r="W793" s="16"/>
    </row>
    <row r="794" spans="3:23" ht="17.25" hidden="1" customHeight="1">
      <c r="C794" s="10"/>
      <c r="D794" s="119"/>
      <c r="E794" s="119"/>
      <c r="F794" s="16"/>
      <c r="G794" s="16"/>
      <c r="H794" s="16"/>
      <c r="I794" s="16"/>
      <c r="J794" s="16"/>
      <c r="K794" s="16"/>
      <c r="L794" s="16"/>
      <c r="M794" s="16"/>
      <c r="N794" s="16"/>
      <c r="O794" s="16"/>
      <c r="P794" s="16"/>
      <c r="Q794" s="16"/>
      <c r="R794" s="16"/>
      <c r="S794" s="16"/>
      <c r="T794" s="16"/>
      <c r="U794" s="16"/>
      <c r="V794" s="16"/>
      <c r="W794" s="16"/>
    </row>
    <row r="795" spans="3:23" ht="17.25" hidden="1" customHeight="1">
      <c r="C795" s="10"/>
      <c r="D795" s="119"/>
      <c r="E795" s="119"/>
      <c r="F795" s="16"/>
      <c r="G795" s="16"/>
      <c r="H795" s="16"/>
      <c r="I795" s="16"/>
      <c r="J795" s="16"/>
      <c r="K795" s="16"/>
      <c r="L795" s="16"/>
      <c r="M795" s="16"/>
      <c r="N795" s="16"/>
      <c r="O795" s="16"/>
      <c r="P795" s="16"/>
      <c r="Q795" s="16"/>
      <c r="R795" s="16"/>
      <c r="S795" s="16"/>
      <c r="T795" s="16"/>
      <c r="U795" s="16"/>
      <c r="V795" s="16"/>
      <c r="W795" s="16"/>
    </row>
    <row r="796" spans="3:23" ht="17.25" hidden="1" customHeight="1">
      <c r="C796" s="10"/>
      <c r="D796" s="119"/>
      <c r="E796" s="119"/>
      <c r="F796" s="16"/>
      <c r="G796" s="16"/>
      <c r="H796" s="16"/>
      <c r="I796" s="16"/>
      <c r="J796" s="16"/>
      <c r="K796" s="16"/>
      <c r="L796" s="16"/>
      <c r="M796" s="16"/>
      <c r="N796" s="16"/>
      <c r="O796" s="16"/>
      <c r="P796" s="16"/>
      <c r="Q796" s="16"/>
      <c r="R796" s="16"/>
      <c r="S796" s="16"/>
      <c r="T796" s="16"/>
      <c r="U796" s="16"/>
      <c r="V796" s="16"/>
      <c r="W796" s="16"/>
    </row>
    <row r="797" spans="3:23" ht="17.25" hidden="1" customHeight="1">
      <c r="C797" s="10"/>
      <c r="D797" s="119"/>
      <c r="E797" s="119"/>
      <c r="F797" s="16"/>
      <c r="G797" s="16"/>
      <c r="H797" s="16"/>
      <c r="I797" s="16"/>
      <c r="J797" s="16"/>
      <c r="K797" s="16"/>
      <c r="L797" s="16"/>
      <c r="M797" s="16"/>
      <c r="N797" s="16"/>
      <c r="O797" s="16"/>
      <c r="P797" s="16"/>
      <c r="Q797" s="16"/>
      <c r="R797" s="16"/>
      <c r="S797" s="16"/>
      <c r="T797" s="16"/>
      <c r="U797" s="16"/>
      <c r="V797" s="16"/>
      <c r="W797" s="16"/>
    </row>
    <row r="798" spans="3:23" ht="17.25" hidden="1" customHeight="1">
      <c r="C798" s="10"/>
      <c r="D798" s="119"/>
      <c r="E798" s="119"/>
      <c r="F798" s="16"/>
      <c r="G798" s="16"/>
      <c r="H798" s="16"/>
      <c r="I798" s="16"/>
      <c r="J798" s="16"/>
      <c r="K798" s="16"/>
      <c r="L798" s="16"/>
      <c r="M798" s="16"/>
      <c r="N798" s="16"/>
      <c r="O798" s="16"/>
      <c r="P798" s="16"/>
      <c r="Q798" s="16"/>
      <c r="R798" s="16"/>
      <c r="S798" s="16"/>
      <c r="T798" s="16"/>
      <c r="U798" s="16"/>
      <c r="V798" s="16"/>
      <c r="W798" s="16"/>
    </row>
    <row r="799" spans="3:23" ht="17.25" hidden="1" customHeight="1">
      <c r="C799" s="10"/>
      <c r="D799" s="119"/>
      <c r="E799" s="119"/>
      <c r="F799" s="16"/>
      <c r="G799" s="16"/>
      <c r="H799" s="16"/>
      <c r="I799" s="16"/>
      <c r="J799" s="16"/>
      <c r="K799" s="16"/>
      <c r="L799" s="16"/>
      <c r="M799" s="16"/>
      <c r="N799" s="16"/>
      <c r="O799" s="16"/>
      <c r="P799" s="16"/>
      <c r="Q799" s="16"/>
      <c r="R799" s="16"/>
      <c r="S799" s="16"/>
      <c r="T799" s="16"/>
      <c r="U799" s="16"/>
      <c r="V799" s="16"/>
      <c r="W799" s="16"/>
    </row>
    <row r="800" spans="3:23" ht="17.25" hidden="1" customHeight="1">
      <c r="C800" s="10"/>
      <c r="D800" s="119"/>
      <c r="E800" s="119"/>
      <c r="F800" s="16"/>
      <c r="G800" s="16"/>
      <c r="H800" s="16"/>
      <c r="I800" s="16"/>
      <c r="J800" s="16"/>
      <c r="K800" s="16"/>
      <c r="L800" s="16"/>
      <c r="M800" s="16"/>
      <c r="N800" s="16"/>
      <c r="O800" s="16"/>
      <c r="P800" s="16"/>
      <c r="Q800" s="16"/>
      <c r="R800" s="16"/>
      <c r="S800" s="16"/>
      <c r="T800" s="16"/>
      <c r="U800" s="16"/>
      <c r="V800" s="16"/>
      <c r="W800" s="16"/>
    </row>
    <row r="801" spans="3:23" ht="17.25" hidden="1" customHeight="1">
      <c r="C801" s="10"/>
      <c r="D801" s="119"/>
      <c r="E801" s="119"/>
      <c r="F801" s="16"/>
      <c r="G801" s="16"/>
      <c r="H801" s="16"/>
      <c r="I801" s="16"/>
      <c r="J801" s="16"/>
      <c r="K801" s="16"/>
      <c r="L801" s="16"/>
      <c r="M801" s="16"/>
      <c r="N801" s="16"/>
      <c r="O801" s="16"/>
      <c r="P801" s="16"/>
      <c r="Q801" s="16"/>
      <c r="R801" s="16"/>
      <c r="S801" s="16"/>
      <c r="T801" s="16"/>
      <c r="U801" s="16"/>
      <c r="V801" s="16"/>
      <c r="W801" s="16"/>
    </row>
    <row r="802" spans="3:23" ht="17.25" hidden="1" customHeight="1">
      <c r="C802" s="10"/>
      <c r="D802" s="119"/>
      <c r="E802" s="119"/>
      <c r="F802" s="16"/>
      <c r="G802" s="16"/>
      <c r="H802" s="16"/>
      <c r="I802" s="16"/>
      <c r="J802" s="16"/>
      <c r="K802" s="16"/>
      <c r="L802" s="16"/>
      <c r="M802" s="16"/>
      <c r="N802" s="16"/>
      <c r="O802" s="16"/>
      <c r="P802" s="16"/>
      <c r="Q802" s="16"/>
      <c r="R802" s="16"/>
      <c r="S802" s="16"/>
      <c r="T802" s="16"/>
      <c r="U802" s="16"/>
      <c r="V802" s="16"/>
      <c r="W802" s="16"/>
    </row>
    <row r="803" spans="3:23" ht="17.25" hidden="1" customHeight="1">
      <c r="C803" s="10"/>
      <c r="D803" s="119"/>
      <c r="E803" s="119"/>
      <c r="F803" s="16"/>
      <c r="G803" s="16"/>
      <c r="H803" s="16"/>
      <c r="I803" s="16"/>
      <c r="J803" s="16"/>
      <c r="K803" s="16"/>
      <c r="L803" s="16"/>
      <c r="M803" s="16"/>
      <c r="N803" s="16"/>
      <c r="O803" s="16"/>
      <c r="P803" s="16"/>
      <c r="Q803" s="16"/>
      <c r="R803" s="16"/>
      <c r="S803" s="16"/>
      <c r="T803" s="16"/>
      <c r="U803" s="16"/>
      <c r="V803" s="16"/>
      <c r="W803" s="16"/>
    </row>
    <row r="804" spans="3:23" ht="17.25" hidden="1" customHeight="1">
      <c r="C804" s="10"/>
      <c r="D804" s="119"/>
      <c r="E804" s="119"/>
      <c r="F804" s="16"/>
      <c r="G804" s="16"/>
      <c r="H804" s="16"/>
      <c r="I804" s="16"/>
      <c r="J804" s="16"/>
      <c r="K804" s="16"/>
      <c r="L804" s="16"/>
      <c r="M804" s="16"/>
      <c r="N804" s="16"/>
      <c r="O804" s="16"/>
      <c r="P804" s="16"/>
      <c r="Q804" s="16"/>
      <c r="R804" s="16"/>
      <c r="S804" s="16"/>
      <c r="T804" s="16"/>
      <c r="U804" s="16"/>
      <c r="V804" s="16"/>
      <c r="W804" s="16"/>
    </row>
    <row r="805" spans="3:23" ht="17.25" hidden="1" customHeight="1">
      <c r="C805" s="10"/>
      <c r="D805" s="119"/>
      <c r="E805" s="119"/>
      <c r="F805" s="16"/>
      <c r="G805" s="16"/>
      <c r="H805" s="16"/>
      <c r="I805" s="16"/>
      <c r="J805" s="16"/>
      <c r="K805" s="16"/>
      <c r="L805" s="16"/>
      <c r="M805" s="16"/>
      <c r="N805" s="16"/>
      <c r="O805" s="16"/>
      <c r="P805" s="16"/>
      <c r="Q805" s="16"/>
      <c r="R805" s="16"/>
      <c r="S805" s="16"/>
      <c r="T805" s="16"/>
      <c r="U805" s="16"/>
      <c r="V805" s="16"/>
      <c r="W805" s="16"/>
    </row>
    <row r="806" spans="3:23" ht="17.25" hidden="1" customHeight="1">
      <c r="C806" s="10"/>
      <c r="D806" s="119"/>
      <c r="E806" s="119"/>
      <c r="F806" s="16"/>
      <c r="G806" s="16"/>
      <c r="H806" s="16"/>
      <c r="I806" s="16"/>
      <c r="J806" s="16"/>
      <c r="K806" s="16"/>
      <c r="L806" s="16"/>
      <c r="M806" s="16"/>
      <c r="N806" s="16"/>
      <c r="O806" s="16"/>
      <c r="P806" s="16"/>
      <c r="Q806" s="16"/>
      <c r="R806" s="16"/>
      <c r="S806" s="16"/>
      <c r="T806" s="16"/>
      <c r="U806" s="16"/>
      <c r="V806" s="16"/>
      <c r="W806" s="16"/>
    </row>
    <row r="807" spans="3:23" ht="17.25" hidden="1" customHeight="1">
      <c r="C807" s="10"/>
      <c r="D807" s="119"/>
      <c r="E807" s="119"/>
      <c r="F807" s="16"/>
      <c r="G807" s="16"/>
      <c r="H807" s="16"/>
      <c r="I807" s="16"/>
      <c r="J807" s="16"/>
      <c r="K807" s="16"/>
      <c r="L807" s="16"/>
      <c r="M807" s="16"/>
      <c r="N807" s="16"/>
      <c r="O807" s="16"/>
      <c r="P807" s="16"/>
      <c r="Q807" s="16"/>
      <c r="R807" s="16"/>
      <c r="S807" s="16"/>
      <c r="T807" s="16"/>
      <c r="U807" s="16"/>
      <c r="V807" s="16"/>
      <c r="W807" s="16"/>
    </row>
    <row r="808" spans="3:23" ht="17.25" hidden="1" customHeight="1">
      <c r="C808" s="10"/>
      <c r="D808" s="119"/>
      <c r="E808" s="119"/>
      <c r="F808" s="16"/>
      <c r="G808" s="16"/>
      <c r="H808" s="16"/>
      <c r="I808" s="16"/>
      <c r="J808" s="16"/>
      <c r="K808" s="16"/>
      <c r="L808" s="16"/>
      <c r="M808" s="16"/>
      <c r="N808" s="16"/>
      <c r="O808" s="16"/>
      <c r="P808" s="16"/>
      <c r="Q808" s="16"/>
      <c r="R808" s="16"/>
      <c r="S808" s="16"/>
      <c r="T808" s="16"/>
      <c r="U808" s="16"/>
      <c r="V808" s="16"/>
      <c r="W808" s="16"/>
    </row>
    <row r="809" spans="3:23" ht="17.25" hidden="1" customHeight="1">
      <c r="C809" s="10"/>
      <c r="D809" s="119"/>
      <c r="E809" s="119"/>
      <c r="F809" s="16"/>
      <c r="G809" s="16"/>
      <c r="H809" s="16"/>
      <c r="I809" s="16"/>
      <c r="J809" s="16"/>
      <c r="K809" s="16"/>
      <c r="L809" s="16"/>
      <c r="M809" s="16"/>
      <c r="N809" s="16"/>
      <c r="O809" s="16"/>
      <c r="P809" s="16"/>
      <c r="Q809" s="16"/>
      <c r="R809" s="16"/>
      <c r="S809" s="16"/>
      <c r="T809" s="16"/>
      <c r="U809" s="16"/>
      <c r="V809" s="16"/>
      <c r="W809" s="16"/>
    </row>
    <row r="810" spans="3:23" ht="17.25" hidden="1" customHeight="1">
      <c r="C810" s="10"/>
      <c r="D810" s="119"/>
      <c r="E810" s="119"/>
      <c r="F810" s="16"/>
      <c r="G810" s="16"/>
      <c r="H810" s="16"/>
      <c r="I810" s="16"/>
      <c r="J810" s="16"/>
      <c r="K810" s="16"/>
      <c r="L810" s="16"/>
      <c r="M810" s="16"/>
      <c r="N810" s="16"/>
      <c r="O810" s="16"/>
      <c r="P810" s="16"/>
      <c r="Q810" s="16"/>
      <c r="R810" s="16"/>
      <c r="S810" s="16"/>
      <c r="T810" s="16"/>
      <c r="U810" s="16"/>
      <c r="V810" s="16"/>
      <c r="W810" s="16"/>
    </row>
    <row r="811" spans="3:23" ht="17.25" hidden="1" customHeight="1">
      <c r="C811" s="10"/>
      <c r="D811" s="119"/>
      <c r="E811" s="119"/>
      <c r="F811" s="16"/>
      <c r="G811" s="16"/>
      <c r="H811" s="16"/>
      <c r="I811" s="16"/>
      <c r="J811" s="16"/>
      <c r="K811" s="16"/>
      <c r="L811" s="16"/>
      <c r="M811" s="16"/>
      <c r="N811" s="16"/>
      <c r="O811" s="16"/>
      <c r="P811" s="16"/>
      <c r="Q811" s="16"/>
      <c r="R811" s="16"/>
      <c r="S811" s="16"/>
      <c r="T811" s="16"/>
      <c r="U811" s="16"/>
      <c r="V811" s="16"/>
      <c r="W811" s="16"/>
    </row>
    <row r="812" spans="3:23" ht="17.25" hidden="1" customHeight="1">
      <c r="C812" s="10"/>
      <c r="D812" s="119"/>
      <c r="E812" s="119"/>
      <c r="F812" s="16"/>
      <c r="G812" s="16"/>
      <c r="H812" s="16"/>
      <c r="I812" s="16"/>
      <c r="J812" s="16"/>
      <c r="K812" s="16"/>
      <c r="L812" s="16"/>
      <c r="M812" s="16"/>
      <c r="N812" s="16"/>
      <c r="O812" s="16"/>
      <c r="P812" s="16"/>
      <c r="Q812" s="16"/>
      <c r="R812" s="16"/>
      <c r="S812" s="16"/>
      <c r="T812" s="16"/>
      <c r="U812" s="16"/>
      <c r="V812" s="16"/>
      <c r="W812" s="16"/>
    </row>
    <row r="813" spans="3:23" ht="17.25" hidden="1" customHeight="1">
      <c r="C813" s="10"/>
      <c r="D813" s="119"/>
      <c r="E813" s="119"/>
      <c r="F813" s="16"/>
      <c r="G813" s="16"/>
      <c r="H813" s="16"/>
      <c r="I813" s="16"/>
      <c r="J813" s="16"/>
      <c r="K813" s="16"/>
      <c r="L813" s="16"/>
      <c r="M813" s="16"/>
      <c r="N813" s="16"/>
      <c r="O813" s="16"/>
      <c r="P813" s="16"/>
      <c r="Q813" s="16"/>
      <c r="R813" s="16"/>
      <c r="S813" s="16"/>
      <c r="T813" s="16"/>
      <c r="U813" s="16"/>
      <c r="V813" s="16"/>
      <c r="W813" s="16"/>
    </row>
    <row r="814" spans="3:23" ht="17.25" hidden="1" customHeight="1">
      <c r="C814" s="10"/>
      <c r="D814" s="119"/>
      <c r="E814" s="119"/>
      <c r="F814" s="16"/>
      <c r="G814" s="16"/>
      <c r="H814" s="16"/>
      <c r="I814" s="16"/>
      <c r="J814" s="16"/>
      <c r="K814" s="16"/>
      <c r="L814" s="16"/>
      <c r="M814" s="16"/>
      <c r="N814" s="16"/>
      <c r="O814" s="16"/>
      <c r="P814" s="16"/>
      <c r="Q814" s="16"/>
      <c r="R814" s="16"/>
      <c r="S814" s="16"/>
      <c r="T814" s="16"/>
      <c r="U814" s="16"/>
      <c r="V814" s="16"/>
      <c r="W814" s="16"/>
    </row>
    <row r="815" spans="3:23" ht="17.25" hidden="1" customHeight="1">
      <c r="C815" s="10"/>
      <c r="D815" s="119"/>
      <c r="E815" s="119"/>
      <c r="F815" s="16"/>
      <c r="G815" s="16"/>
      <c r="H815" s="16"/>
      <c r="I815" s="16"/>
      <c r="J815" s="16"/>
      <c r="K815" s="16"/>
      <c r="L815" s="16"/>
      <c r="M815" s="16"/>
      <c r="N815" s="16"/>
      <c r="O815" s="16"/>
      <c r="P815" s="16"/>
      <c r="Q815" s="16"/>
      <c r="R815" s="16"/>
      <c r="S815" s="16"/>
      <c r="T815" s="16"/>
      <c r="U815" s="16"/>
      <c r="V815" s="16"/>
      <c r="W815" s="16"/>
    </row>
    <row r="816" spans="3:23" ht="17.25" hidden="1" customHeight="1">
      <c r="C816" s="10"/>
      <c r="D816" s="119"/>
      <c r="E816" s="119"/>
      <c r="F816" s="16"/>
      <c r="G816" s="16"/>
      <c r="H816" s="16"/>
      <c r="I816" s="16"/>
      <c r="J816" s="16"/>
      <c r="K816" s="16"/>
      <c r="L816" s="16"/>
      <c r="M816" s="16"/>
      <c r="N816" s="16"/>
      <c r="O816" s="16"/>
      <c r="P816" s="16"/>
      <c r="Q816" s="16"/>
      <c r="R816" s="16"/>
      <c r="S816" s="16"/>
      <c r="T816" s="16"/>
      <c r="U816" s="16"/>
      <c r="V816" s="16"/>
      <c r="W816" s="16"/>
    </row>
    <row r="817" spans="3:23" ht="17.25" hidden="1" customHeight="1">
      <c r="C817" s="10"/>
      <c r="D817" s="119"/>
      <c r="E817" s="119"/>
      <c r="F817" s="16"/>
      <c r="G817" s="16"/>
      <c r="H817" s="16"/>
      <c r="I817" s="16"/>
      <c r="J817" s="16"/>
      <c r="K817" s="16"/>
      <c r="L817" s="16"/>
      <c r="M817" s="16"/>
      <c r="N817" s="16"/>
      <c r="O817" s="16"/>
      <c r="P817" s="16"/>
      <c r="Q817" s="16"/>
      <c r="R817" s="16"/>
      <c r="S817" s="16"/>
      <c r="T817" s="16"/>
      <c r="U817" s="16"/>
      <c r="V817" s="16"/>
      <c r="W817" s="16"/>
    </row>
    <row r="818" spans="3:23" ht="17.25" hidden="1" customHeight="1">
      <c r="C818" s="10"/>
      <c r="D818" s="119"/>
      <c r="E818" s="119"/>
      <c r="F818" s="16"/>
      <c r="G818" s="16"/>
      <c r="H818" s="16"/>
      <c r="I818" s="16"/>
      <c r="J818" s="16"/>
      <c r="K818" s="16"/>
      <c r="L818" s="16"/>
      <c r="M818" s="16"/>
      <c r="N818" s="16"/>
      <c r="O818" s="16"/>
      <c r="P818" s="16"/>
      <c r="Q818" s="16"/>
      <c r="R818" s="16"/>
      <c r="S818" s="16"/>
      <c r="T818" s="16"/>
      <c r="U818" s="16"/>
      <c r="V818" s="16"/>
      <c r="W818" s="16"/>
    </row>
    <row r="819" spans="3:23" ht="17.25" hidden="1" customHeight="1">
      <c r="C819" s="10"/>
      <c r="D819" s="119"/>
      <c r="E819" s="119"/>
      <c r="F819" s="16"/>
      <c r="G819" s="16"/>
      <c r="H819" s="16"/>
      <c r="I819" s="16"/>
      <c r="J819" s="16"/>
      <c r="K819" s="16"/>
      <c r="L819" s="16"/>
      <c r="M819" s="16"/>
      <c r="N819" s="16"/>
      <c r="O819" s="16"/>
      <c r="P819" s="16"/>
      <c r="Q819" s="16"/>
      <c r="R819" s="16"/>
      <c r="S819" s="16"/>
      <c r="T819" s="16"/>
      <c r="U819" s="16"/>
      <c r="V819" s="16"/>
      <c r="W819" s="16"/>
    </row>
    <row r="820" spans="3:23" ht="17.25" hidden="1" customHeight="1">
      <c r="C820" s="10"/>
      <c r="D820" s="119"/>
      <c r="E820" s="119"/>
      <c r="F820" s="16"/>
      <c r="G820" s="16"/>
      <c r="H820" s="16"/>
      <c r="I820" s="16"/>
      <c r="J820" s="16"/>
      <c r="K820" s="16"/>
      <c r="L820" s="16"/>
      <c r="M820" s="16"/>
      <c r="N820" s="16"/>
      <c r="O820" s="16"/>
      <c r="P820" s="16"/>
      <c r="Q820" s="16"/>
      <c r="R820" s="16"/>
      <c r="S820" s="16"/>
      <c r="T820" s="16"/>
      <c r="U820" s="16"/>
      <c r="V820" s="16"/>
      <c r="W820" s="16"/>
    </row>
    <row r="821" spans="3:23" ht="17.25" hidden="1" customHeight="1">
      <c r="C821" s="10"/>
      <c r="D821" s="119"/>
      <c r="E821" s="119"/>
      <c r="F821" s="16"/>
      <c r="G821" s="16"/>
      <c r="H821" s="16"/>
      <c r="I821" s="16"/>
      <c r="J821" s="16"/>
      <c r="K821" s="16"/>
      <c r="L821" s="16"/>
      <c r="M821" s="16"/>
      <c r="N821" s="16"/>
      <c r="O821" s="16"/>
      <c r="P821" s="16"/>
      <c r="Q821" s="16"/>
      <c r="R821" s="16"/>
      <c r="S821" s="16"/>
      <c r="T821" s="16"/>
      <c r="U821" s="16"/>
      <c r="V821" s="16"/>
      <c r="W821" s="16"/>
    </row>
    <row r="822" spans="3:23" ht="17.25" hidden="1" customHeight="1">
      <c r="C822" s="10"/>
      <c r="D822" s="119"/>
      <c r="E822" s="119"/>
      <c r="F822" s="16"/>
      <c r="G822" s="16"/>
      <c r="H822" s="16"/>
      <c r="I822" s="16"/>
      <c r="J822" s="16"/>
      <c r="K822" s="16"/>
      <c r="L822" s="16"/>
      <c r="M822" s="16"/>
      <c r="N822" s="16"/>
      <c r="O822" s="16"/>
      <c r="P822" s="16"/>
      <c r="Q822" s="16"/>
      <c r="R822" s="16"/>
      <c r="S822" s="16"/>
      <c r="T822" s="16"/>
      <c r="U822" s="16"/>
      <c r="V822" s="16"/>
      <c r="W822" s="16"/>
    </row>
    <row r="823" spans="3:23" ht="17.25" hidden="1" customHeight="1">
      <c r="C823" s="10"/>
      <c r="D823" s="119"/>
      <c r="E823" s="119"/>
      <c r="F823" s="16"/>
      <c r="G823" s="16"/>
      <c r="H823" s="16"/>
      <c r="I823" s="16"/>
      <c r="J823" s="16"/>
      <c r="K823" s="16"/>
      <c r="L823" s="16"/>
      <c r="M823" s="16"/>
      <c r="N823" s="16"/>
      <c r="O823" s="16"/>
      <c r="P823" s="16"/>
      <c r="Q823" s="16"/>
      <c r="R823" s="16"/>
      <c r="S823" s="16"/>
      <c r="T823" s="16"/>
      <c r="U823" s="16"/>
      <c r="V823" s="16"/>
      <c r="W823" s="16"/>
    </row>
    <row r="824" spans="3:23" ht="17.25" hidden="1" customHeight="1">
      <c r="C824" s="10"/>
      <c r="D824" s="119"/>
      <c r="E824" s="119"/>
      <c r="F824" s="16"/>
      <c r="G824" s="16"/>
      <c r="H824" s="16"/>
      <c r="I824" s="16"/>
      <c r="J824" s="16"/>
      <c r="K824" s="16"/>
      <c r="L824" s="16"/>
      <c r="M824" s="16"/>
      <c r="N824" s="16"/>
      <c r="O824" s="16"/>
      <c r="P824" s="16"/>
      <c r="Q824" s="16"/>
      <c r="R824" s="16"/>
      <c r="S824" s="16"/>
      <c r="T824" s="16"/>
      <c r="U824" s="16"/>
      <c r="V824" s="16"/>
      <c r="W824" s="16"/>
    </row>
    <row r="825" spans="3:23" ht="17.25" hidden="1" customHeight="1">
      <c r="C825" s="10"/>
      <c r="D825" s="119"/>
      <c r="E825" s="119"/>
      <c r="F825" s="16"/>
      <c r="G825" s="16"/>
      <c r="H825" s="16"/>
      <c r="I825" s="16"/>
      <c r="J825" s="16"/>
      <c r="K825" s="16"/>
      <c r="L825" s="16"/>
      <c r="M825" s="16"/>
      <c r="N825" s="16"/>
      <c r="O825" s="16"/>
      <c r="P825" s="16"/>
      <c r="Q825" s="16"/>
      <c r="R825" s="16"/>
      <c r="S825" s="16"/>
      <c r="T825" s="16"/>
      <c r="U825" s="16"/>
      <c r="V825" s="16"/>
      <c r="W825" s="16"/>
    </row>
    <row r="826" spans="3:23" ht="17.25" hidden="1" customHeight="1">
      <c r="C826" s="10"/>
      <c r="D826" s="119"/>
      <c r="E826" s="119"/>
      <c r="F826" s="16"/>
      <c r="G826" s="16"/>
      <c r="H826" s="16"/>
      <c r="I826" s="16"/>
      <c r="J826" s="16"/>
      <c r="K826" s="16"/>
      <c r="L826" s="16"/>
      <c r="M826" s="16"/>
      <c r="N826" s="16"/>
      <c r="O826" s="16"/>
      <c r="P826" s="16"/>
      <c r="Q826" s="16"/>
      <c r="R826" s="16"/>
      <c r="S826" s="16"/>
      <c r="T826" s="16"/>
      <c r="U826" s="16"/>
      <c r="V826" s="16"/>
      <c r="W826" s="16"/>
    </row>
    <row r="827" spans="3:23" ht="17.25" hidden="1" customHeight="1">
      <c r="C827" s="10"/>
      <c r="D827" s="119"/>
      <c r="E827" s="119"/>
      <c r="F827" s="16"/>
      <c r="G827" s="16"/>
      <c r="H827" s="16"/>
      <c r="I827" s="16"/>
      <c r="J827" s="16"/>
      <c r="K827" s="16"/>
      <c r="L827" s="16"/>
      <c r="M827" s="16"/>
      <c r="N827" s="16"/>
      <c r="O827" s="16"/>
      <c r="P827" s="16"/>
      <c r="Q827" s="16"/>
      <c r="R827" s="16"/>
      <c r="S827" s="16"/>
      <c r="T827" s="16"/>
      <c r="U827" s="16"/>
      <c r="V827" s="16"/>
      <c r="W827" s="16"/>
    </row>
    <row r="828" spans="3:23" ht="17.25" hidden="1" customHeight="1">
      <c r="C828" s="10"/>
      <c r="D828" s="119"/>
      <c r="E828" s="119"/>
      <c r="F828" s="16"/>
      <c r="G828" s="16"/>
      <c r="H828" s="16"/>
      <c r="I828" s="16"/>
      <c r="J828" s="16"/>
      <c r="K828" s="16"/>
      <c r="L828" s="16"/>
      <c r="M828" s="16"/>
      <c r="N828" s="16"/>
      <c r="O828" s="16"/>
      <c r="P828" s="16"/>
      <c r="Q828" s="16"/>
      <c r="R828" s="16"/>
      <c r="S828" s="16"/>
      <c r="T828" s="16"/>
      <c r="U828" s="16"/>
      <c r="V828" s="16"/>
      <c r="W828" s="16"/>
    </row>
    <row r="829" spans="3:23" ht="17.25" hidden="1" customHeight="1">
      <c r="C829" s="10"/>
      <c r="D829" s="119"/>
      <c r="E829" s="119"/>
      <c r="F829" s="16"/>
      <c r="G829" s="16"/>
      <c r="H829" s="16"/>
      <c r="I829" s="16"/>
      <c r="J829" s="16"/>
      <c r="K829" s="16"/>
      <c r="L829" s="16"/>
      <c r="M829" s="16"/>
      <c r="N829" s="16"/>
      <c r="O829" s="16"/>
      <c r="P829" s="16"/>
      <c r="Q829" s="16"/>
      <c r="R829" s="16"/>
      <c r="S829" s="16"/>
      <c r="T829" s="16"/>
      <c r="U829" s="16"/>
      <c r="V829" s="16"/>
      <c r="W829" s="16"/>
    </row>
    <row r="830" spans="3:23" ht="17.25" hidden="1" customHeight="1">
      <c r="C830" s="10"/>
      <c r="D830" s="119"/>
      <c r="E830" s="119"/>
      <c r="F830" s="16"/>
      <c r="G830" s="16"/>
      <c r="H830" s="16"/>
      <c r="I830" s="16"/>
      <c r="J830" s="16"/>
      <c r="K830" s="16"/>
      <c r="L830" s="16"/>
      <c r="M830" s="16"/>
      <c r="N830" s="16"/>
      <c r="O830" s="16"/>
      <c r="P830" s="16"/>
      <c r="Q830" s="16"/>
      <c r="R830" s="16"/>
      <c r="S830" s="16"/>
      <c r="T830" s="16"/>
      <c r="U830" s="16"/>
      <c r="V830" s="16"/>
      <c r="W830" s="16"/>
    </row>
    <row r="831" spans="3:23" ht="17.25" hidden="1" customHeight="1">
      <c r="C831" s="10"/>
      <c r="D831" s="119"/>
      <c r="E831" s="119"/>
      <c r="F831" s="16"/>
      <c r="G831" s="16"/>
      <c r="H831" s="16"/>
      <c r="I831" s="16"/>
      <c r="J831" s="16"/>
      <c r="K831" s="16"/>
      <c r="L831" s="16"/>
      <c r="M831" s="16"/>
      <c r="N831" s="16"/>
      <c r="O831" s="16"/>
      <c r="P831" s="16"/>
      <c r="Q831" s="16"/>
      <c r="R831" s="16"/>
      <c r="S831" s="16"/>
      <c r="T831" s="16"/>
      <c r="U831" s="16"/>
      <c r="V831" s="16"/>
      <c r="W831" s="16"/>
    </row>
    <row r="832" spans="3:23" ht="17.25" hidden="1" customHeight="1">
      <c r="C832" s="10"/>
      <c r="D832" s="119"/>
      <c r="E832" s="119"/>
      <c r="F832" s="16"/>
      <c r="G832" s="16"/>
      <c r="H832" s="16"/>
      <c r="I832" s="16"/>
      <c r="J832" s="16"/>
      <c r="K832" s="16"/>
      <c r="L832" s="16"/>
      <c r="M832" s="16"/>
      <c r="N832" s="16"/>
      <c r="O832" s="16"/>
      <c r="P832" s="16"/>
      <c r="Q832" s="16"/>
      <c r="R832" s="16"/>
      <c r="S832" s="16"/>
      <c r="T832" s="16"/>
      <c r="U832" s="16"/>
      <c r="V832" s="16"/>
      <c r="W832" s="16"/>
    </row>
    <row r="833" spans="3:23" ht="17.25" hidden="1" customHeight="1">
      <c r="C833" s="10"/>
      <c r="D833" s="119"/>
      <c r="E833" s="119"/>
      <c r="F833" s="16"/>
      <c r="G833" s="16"/>
      <c r="H833" s="16"/>
      <c r="I833" s="16"/>
      <c r="J833" s="16"/>
      <c r="K833" s="16"/>
      <c r="L833" s="16"/>
      <c r="M833" s="16"/>
      <c r="N833" s="16"/>
      <c r="O833" s="16"/>
      <c r="P833" s="16"/>
      <c r="Q833" s="16"/>
      <c r="R833" s="16"/>
      <c r="S833" s="16"/>
      <c r="T833" s="16"/>
      <c r="U833" s="16"/>
      <c r="V833" s="16"/>
      <c r="W833" s="16"/>
    </row>
    <row r="834" spans="3:23" ht="17.25" hidden="1" customHeight="1">
      <c r="C834" s="10"/>
      <c r="D834" s="119"/>
      <c r="E834" s="119"/>
      <c r="F834" s="16"/>
      <c r="G834" s="16"/>
      <c r="H834" s="16"/>
      <c r="I834" s="16"/>
      <c r="J834" s="16"/>
      <c r="K834" s="16"/>
      <c r="L834" s="16"/>
      <c r="M834" s="16"/>
      <c r="N834" s="16"/>
      <c r="O834" s="16"/>
      <c r="P834" s="16"/>
      <c r="Q834" s="16"/>
      <c r="R834" s="16"/>
      <c r="S834" s="16"/>
      <c r="T834" s="16"/>
      <c r="U834" s="16"/>
      <c r="V834" s="16"/>
      <c r="W834" s="16"/>
    </row>
    <row r="835" spans="3:23" ht="17.25" hidden="1" customHeight="1">
      <c r="C835" s="10"/>
      <c r="D835" s="119"/>
      <c r="E835" s="119"/>
      <c r="F835" s="16"/>
      <c r="G835" s="16"/>
      <c r="H835" s="16"/>
      <c r="I835" s="16"/>
      <c r="J835" s="16"/>
      <c r="K835" s="16"/>
      <c r="L835" s="16"/>
      <c r="M835" s="16"/>
      <c r="N835" s="16"/>
      <c r="O835" s="16"/>
      <c r="P835" s="16"/>
      <c r="Q835" s="16"/>
      <c r="R835" s="16"/>
      <c r="S835" s="16"/>
      <c r="T835" s="16"/>
      <c r="U835" s="16"/>
      <c r="V835" s="16"/>
      <c r="W835" s="16"/>
    </row>
    <row r="836" spans="3:23" ht="17.25" hidden="1" customHeight="1">
      <c r="C836" s="10"/>
      <c r="D836" s="119"/>
      <c r="E836" s="119"/>
      <c r="F836" s="16"/>
      <c r="G836" s="16"/>
      <c r="H836" s="16"/>
      <c r="I836" s="16"/>
      <c r="J836" s="16"/>
      <c r="K836" s="16"/>
      <c r="L836" s="16"/>
      <c r="M836" s="16"/>
      <c r="N836" s="16"/>
      <c r="O836" s="16"/>
      <c r="P836" s="16"/>
      <c r="Q836" s="16"/>
      <c r="R836" s="16"/>
      <c r="S836" s="16"/>
      <c r="T836" s="16"/>
      <c r="U836" s="16"/>
      <c r="V836" s="16"/>
      <c r="W836" s="16"/>
    </row>
    <row r="837" spans="3:23" ht="17.25" hidden="1" customHeight="1">
      <c r="C837" s="10"/>
      <c r="D837" s="119"/>
      <c r="E837" s="119"/>
      <c r="F837" s="16"/>
      <c r="G837" s="16"/>
      <c r="H837" s="16"/>
      <c r="I837" s="16"/>
      <c r="J837" s="16"/>
      <c r="K837" s="16"/>
      <c r="L837" s="16"/>
      <c r="M837" s="16"/>
      <c r="N837" s="16"/>
      <c r="O837" s="16"/>
      <c r="P837" s="16"/>
      <c r="Q837" s="16"/>
      <c r="R837" s="16"/>
      <c r="S837" s="16"/>
      <c r="T837" s="16"/>
      <c r="U837" s="16"/>
      <c r="V837" s="16"/>
      <c r="W837" s="16"/>
    </row>
    <row r="838" spans="3:23" ht="17.25" hidden="1" customHeight="1">
      <c r="C838" s="10"/>
      <c r="D838" s="119"/>
      <c r="E838" s="119"/>
      <c r="F838" s="16"/>
      <c r="G838" s="16"/>
      <c r="H838" s="16"/>
      <c r="I838" s="16"/>
      <c r="J838" s="16"/>
      <c r="K838" s="16"/>
      <c r="L838" s="16"/>
      <c r="M838" s="16"/>
      <c r="N838" s="16"/>
      <c r="O838" s="16"/>
      <c r="P838" s="16"/>
      <c r="Q838" s="16"/>
      <c r="R838" s="16"/>
      <c r="S838" s="16"/>
      <c r="T838" s="16"/>
      <c r="U838" s="16"/>
      <c r="V838" s="16"/>
      <c r="W838" s="16"/>
    </row>
    <row r="839" spans="3:23" ht="17.25" hidden="1" customHeight="1">
      <c r="C839" s="10"/>
      <c r="D839" s="119"/>
      <c r="E839" s="119"/>
      <c r="F839" s="16"/>
      <c r="G839" s="16"/>
      <c r="H839" s="16"/>
      <c r="I839" s="16"/>
      <c r="J839" s="16"/>
      <c r="K839" s="16"/>
      <c r="L839" s="16"/>
      <c r="M839" s="16"/>
      <c r="N839" s="16"/>
      <c r="O839" s="16"/>
      <c r="P839" s="16"/>
      <c r="Q839" s="16"/>
      <c r="R839" s="16"/>
      <c r="S839" s="16"/>
      <c r="T839" s="16"/>
      <c r="U839" s="16"/>
      <c r="V839" s="16"/>
      <c r="W839" s="16"/>
    </row>
    <row r="840" spans="3:23" ht="17.25" hidden="1" customHeight="1">
      <c r="C840" s="10"/>
      <c r="D840" s="119"/>
      <c r="E840" s="119"/>
      <c r="F840" s="16"/>
      <c r="G840" s="16"/>
      <c r="H840" s="16"/>
      <c r="I840" s="16"/>
      <c r="J840" s="16"/>
      <c r="K840" s="16"/>
      <c r="L840" s="16"/>
      <c r="M840" s="16"/>
      <c r="N840" s="16"/>
      <c r="O840" s="16"/>
      <c r="P840" s="16"/>
      <c r="Q840" s="16"/>
      <c r="R840" s="16"/>
      <c r="S840" s="16"/>
      <c r="T840" s="16"/>
      <c r="U840" s="16"/>
      <c r="V840" s="16"/>
      <c r="W840" s="16"/>
    </row>
    <row r="841" spans="3:23" ht="17.25" hidden="1" customHeight="1">
      <c r="C841" s="10"/>
      <c r="D841" s="119"/>
      <c r="E841" s="119"/>
      <c r="F841" s="16"/>
      <c r="G841" s="16"/>
      <c r="H841" s="16"/>
      <c r="I841" s="16"/>
      <c r="J841" s="16"/>
      <c r="K841" s="16"/>
      <c r="L841" s="16"/>
      <c r="M841" s="16"/>
      <c r="N841" s="16"/>
      <c r="O841" s="16"/>
      <c r="P841" s="16"/>
      <c r="Q841" s="16"/>
      <c r="R841" s="16"/>
      <c r="S841" s="16"/>
      <c r="T841" s="16"/>
      <c r="U841" s="16"/>
      <c r="V841" s="16"/>
      <c r="W841" s="16"/>
    </row>
    <row r="842" spans="3:23" ht="17.25" hidden="1" customHeight="1">
      <c r="C842" s="10"/>
      <c r="D842" s="119"/>
      <c r="E842" s="119"/>
      <c r="F842" s="16"/>
      <c r="G842" s="16"/>
      <c r="H842" s="16"/>
      <c r="I842" s="16"/>
      <c r="J842" s="16"/>
      <c r="K842" s="16"/>
      <c r="L842" s="16"/>
      <c r="M842" s="16"/>
      <c r="N842" s="16"/>
      <c r="O842" s="16"/>
      <c r="P842" s="16"/>
      <c r="Q842" s="16"/>
      <c r="R842" s="16"/>
      <c r="S842" s="16"/>
      <c r="T842" s="16"/>
      <c r="U842" s="16"/>
      <c r="V842" s="16"/>
      <c r="W842" s="16"/>
    </row>
    <row r="843" spans="3:23" ht="17.25" hidden="1" customHeight="1">
      <c r="C843" s="10"/>
      <c r="D843" s="119"/>
      <c r="E843" s="119"/>
      <c r="F843" s="16"/>
      <c r="G843" s="16"/>
      <c r="H843" s="16"/>
      <c r="I843" s="16"/>
      <c r="J843" s="16"/>
      <c r="K843" s="16"/>
      <c r="L843" s="16"/>
      <c r="M843" s="16"/>
      <c r="N843" s="16"/>
      <c r="O843" s="16"/>
      <c r="P843" s="16"/>
      <c r="Q843" s="16"/>
      <c r="R843" s="16"/>
      <c r="S843" s="16"/>
      <c r="T843" s="16"/>
      <c r="U843" s="16"/>
      <c r="V843" s="16"/>
      <c r="W843" s="16"/>
    </row>
    <row r="844" spans="3:23" ht="17.25" hidden="1" customHeight="1">
      <c r="C844" s="10"/>
      <c r="D844" s="119"/>
      <c r="E844" s="119"/>
      <c r="F844" s="16"/>
      <c r="G844" s="16"/>
      <c r="H844" s="16"/>
      <c r="I844" s="16"/>
      <c r="J844" s="16"/>
      <c r="K844" s="16"/>
      <c r="L844" s="16"/>
      <c r="M844" s="16"/>
      <c r="N844" s="16"/>
      <c r="O844" s="16"/>
      <c r="P844" s="16"/>
      <c r="Q844" s="16"/>
      <c r="R844" s="16"/>
      <c r="S844" s="16"/>
      <c r="T844" s="16"/>
      <c r="U844" s="16"/>
      <c r="V844" s="16"/>
      <c r="W844" s="16"/>
    </row>
    <row r="845" spans="3:23" ht="17.25" hidden="1" customHeight="1">
      <c r="C845" s="10"/>
      <c r="D845" s="119"/>
      <c r="E845" s="119"/>
      <c r="F845" s="16"/>
      <c r="G845" s="16"/>
      <c r="H845" s="16"/>
      <c r="I845" s="16"/>
      <c r="J845" s="16"/>
      <c r="K845" s="16"/>
      <c r="L845" s="16"/>
      <c r="M845" s="16"/>
      <c r="N845" s="16"/>
      <c r="O845" s="16"/>
      <c r="P845" s="16"/>
      <c r="Q845" s="16"/>
      <c r="R845" s="16"/>
      <c r="S845" s="16"/>
      <c r="T845" s="16"/>
      <c r="U845" s="16"/>
      <c r="V845" s="16"/>
      <c r="W845" s="16"/>
    </row>
    <row r="846" spans="3:23" ht="17.25" hidden="1" customHeight="1">
      <c r="C846" s="10"/>
      <c r="D846" s="119"/>
      <c r="E846" s="119"/>
      <c r="F846" s="16"/>
      <c r="G846" s="16"/>
      <c r="H846" s="16"/>
      <c r="I846" s="16"/>
      <c r="J846" s="16"/>
      <c r="K846" s="16"/>
      <c r="L846" s="16"/>
      <c r="M846" s="16"/>
      <c r="N846" s="16"/>
      <c r="O846" s="16"/>
      <c r="P846" s="16"/>
      <c r="Q846" s="16"/>
      <c r="R846" s="16"/>
      <c r="S846" s="16"/>
      <c r="T846" s="16"/>
      <c r="U846" s="16"/>
      <c r="V846" s="16"/>
      <c r="W846" s="16"/>
    </row>
    <row r="847" spans="3:23" ht="17.25" hidden="1" customHeight="1">
      <c r="C847" s="10"/>
      <c r="D847" s="119"/>
      <c r="E847" s="119"/>
      <c r="F847" s="16"/>
      <c r="G847" s="16"/>
      <c r="H847" s="16"/>
      <c r="I847" s="16"/>
      <c r="J847" s="16"/>
      <c r="K847" s="16"/>
      <c r="L847" s="16"/>
      <c r="M847" s="16"/>
      <c r="N847" s="16"/>
      <c r="O847" s="16"/>
      <c r="P847" s="16"/>
      <c r="Q847" s="16"/>
      <c r="R847" s="16"/>
      <c r="S847" s="16"/>
      <c r="T847" s="16"/>
      <c r="U847" s="16"/>
      <c r="V847" s="16"/>
      <c r="W847" s="16"/>
    </row>
    <row r="848" spans="3:23" ht="17.25" hidden="1" customHeight="1">
      <c r="C848" s="10"/>
      <c r="D848" s="119"/>
      <c r="E848" s="119"/>
      <c r="F848" s="16"/>
      <c r="G848" s="16"/>
      <c r="H848" s="16"/>
      <c r="I848" s="16"/>
      <c r="J848" s="16"/>
      <c r="K848" s="16"/>
      <c r="L848" s="16"/>
      <c r="M848" s="16"/>
      <c r="N848" s="16"/>
      <c r="O848" s="16"/>
      <c r="P848" s="16"/>
      <c r="Q848" s="16"/>
      <c r="R848" s="16"/>
      <c r="S848" s="16"/>
      <c r="T848" s="16"/>
      <c r="U848" s="16"/>
      <c r="V848" s="16"/>
      <c r="W848" s="16"/>
    </row>
    <row r="849" spans="3:23" ht="17.25" hidden="1" customHeight="1">
      <c r="C849" s="10"/>
      <c r="D849" s="119"/>
      <c r="E849" s="119"/>
      <c r="F849" s="16"/>
      <c r="G849" s="16"/>
      <c r="H849" s="16"/>
      <c r="I849" s="16"/>
      <c r="J849" s="16"/>
      <c r="K849" s="16"/>
      <c r="L849" s="16"/>
      <c r="M849" s="16"/>
      <c r="N849" s="16"/>
      <c r="O849" s="16"/>
      <c r="P849" s="16"/>
      <c r="Q849" s="16"/>
      <c r="R849" s="16"/>
      <c r="S849" s="16"/>
      <c r="T849" s="16"/>
      <c r="U849" s="16"/>
      <c r="V849" s="16"/>
      <c r="W849" s="16"/>
    </row>
    <row r="850" spans="3:23" ht="17.25" hidden="1" customHeight="1">
      <c r="C850" s="10"/>
      <c r="D850" s="119"/>
      <c r="E850" s="119"/>
      <c r="F850" s="16"/>
      <c r="G850" s="16"/>
      <c r="H850" s="16"/>
      <c r="I850" s="16"/>
      <c r="J850" s="16"/>
      <c r="K850" s="16"/>
      <c r="L850" s="16"/>
      <c r="M850" s="16"/>
      <c r="N850" s="16"/>
      <c r="O850" s="16"/>
      <c r="P850" s="16"/>
      <c r="Q850" s="16"/>
      <c r="R850" s="16"/>
      <c r="S850" s="16"/>
      <c r="T850" s="16"/>
      <c r="U850" s="16"/>
      <c r="V850" s="16"/>
      <c r="W850" s="16"/>
    </row>
    <row r="851" spans="3:23" ht="17.25" hidden="1" customHeight="1">
      <c r="C851" s="10"/>
      <c r="D851" s="119"/>
      <c r="E851" s="119"/>
      <c r="F851" s="16"/>
      <c r="G851" s="16"/>
      <c r="H851" s="16"/>
      <c r="I851" s="16"/>
      <c r="J851" s="16"/>
      <c r="K851" s="16"/>
      <c r="L851" s="16"/>
      <c r="M851" s="16"/>
      <c r="N851" s="16"/>
      <c r="O851" s="16"/>
      <c r="P851" s="16"/>
      <c r="Q851" s="16"/>
      <c r="R851" s="16"/>
      <c r="S851" s="16"/>
      <c r="T851" s="16"/>
      <c r="U851" s="16"/>
      <c r="V851" s="16"/>
      <c r="W851" s="16"/>
    </row>
    <row r="852" spans="3:23" ht="17.25" hidden="1" customHeight="1">
      <c r="C852" s="10"/>
      <c r="D852" s="119"/>
      <c r="E852" s="119"/>
      <c r="F852" s="16"/>
      <c r="G852" s="16"/>
      <c r="H852" s="16"/>
      <c r="I852" s="16"/>
      <c r="J852" s="16"/>
      <c r="K852" s="16"/>
      <c r="L852" s="16"/>
      <c r="M852" s="16"/>
      <c r="N852" s="16"/>
      <c r="O852" s="16"/>
      <c r="P852" s="16"/>
      <c r="Q852" s="16"/>
      <c r="R852" s="16"/>
      <c r="S852" s="16"/>
      <c r="T852" s="16"/>
      <c r="U852" s="16"/>
      <c r="V852" s="16"/>
      <c r="W852" s="16"/>
    </row>
    <row r="853" spans="3:23" ht="17.25" hidden="1" customHeight="1">
      <c r="C853" s="10"/>
      <c r="D853" s="119"/>
      <c r="E853" s="119"/>
      <c r="F853" s="16"/>
      <c r="G853" s="16"/>
      <c r="H853" s="16"/>
      <c r="I853" s="16"/>
      <c r="J853" s="16"/>
      <c r="K853" s="16"/>
      <c r="L853" s="16"/>
      <c r="M853" s="16"/>
      <c r="N853" s="16"/>
      <c r="O853" s="16"/>
      <c r="P853" s="16"/>
      <c r="Q853" s="16"/>
      <c r="R853" s="16"/>
      <c r="S853" s="16"/>
      <c r="T853" s="16"/>
      <c r="U853" s="16"/>
      <c r="V853" s="16"/>
      <c r="W853" s="16"/>
    </row>
    <row r="854" spans="3:23" ht="17.25" hidden="1" customHeight="1">
      <c r="C854" s="10"/>
      <c r="D854" s="119"/>
      <c r="E854" s="119"/>
      <c r="F854" s="16"/>
      <c r="G854" s="16"/>
      <c r="H854" s="16"/>
      <c r="I854" s="16"/>
      <c r="J854" s="16"/>
      <c r="K854" s="16"/>
      <c r="L854" s="16"/>
      <c r="M854" s="16"/>
      <c r="N854" s="16"/>
      <c r="O854" s="16"/>
      <c r="P854" s="16"/>
      <c r="Q854" s="16"/>
      <c r="R854" s="16"/>
      <c r="S854" s="16"/>
      <c r="T854" s="16"/>
      <c r="U854" s="16"/>
      <c r="V854" s="16"/>
      <c r="W854" s="16"/>
    </row>
    <row r="855" spans="3:23" ht="17.25" hidden="1" customHeight="1">
      <c r="C855" s="10"/>
      <c r="D855" s="119"/>
      <c r="E855" s="119"/>
      <c r="F855" s="16"/>
      <c r="G855" s="16"/>
      <c r="H855" s="16"/>
      <c r="I855" s="16"/>
      <c r="J855" s="16"/>
      <c r="K855" s="16"/>
      <c r="L855" s="16"/>
      <c r="M855" s="16"/>
      <c r="N855" s="16"/>
      <c r="O855" s="16"/>
      <c r="P855" s="16"/>
      <c r="Q855" s="16"/>
      <c r="R855" s="16"/>
      <c r="S855" s="16"/>
      <c r="T855" s="16"/>
      <c r="U855" s="16"/>
      <c r="V855" s="16"/>
      <c r="W855" s="16"/>
    </row>
    <row r="856" spans="3:23" ht="17.25" hidden="1" customHeight="1">
      <c r="C856" s="10"/>
      <c r="D856" s="119"/>
      <c r="E856" s="119"/>
      <c r="F856" s="16"/>
      <c r="G856" s="16"/>
      <c r="H856" s="16"/>
      <c r="I856" s="16"/>
      <c r="J856" s="16"/>
      <c r="K856" s="16"/>
      <c r="L856" s="16"/>
      <c r="M856" s="16"/>
      <c r="N856" s="16"/>
      <c r="O856" s="16"/>
      <c r="P856" s="16"/>
      <c r="Q856" s="16"/>
      <c r="R856" s="16"/>
      <c r="S856" s="16"/>
      <c r="T856" s="16"/>
      <c r="U856" s="16"/>
      <c r="V856" s="16"/>
      <c r="W856" s="16"/>
    </row>
    <row r="857" spans="3:23" ht="17.25" hidden="1" customHeight="1">
      <c r="C857" s="10"/>
      <c r="D857" s="119"/>
      <c r="E857" s="119"/>
      <c r="F857" s="16"/>
      <c r="G857" s="16"/>
      <c r="H857" s="16"/>
      <c r="I857" s="16"/>
      <c r="J857" s="16"/>
      <c r="K857" s="16"/>
      <c r="L857" s="16"/>
      <c r="M857" s="16"/>
      <c r="N857" s="16"/>
      <c r="O857" s="16"/>
      <c r="P857" s="16"/>
      <c r="Q857" s="16"/>
      <c r="R857" s="16"/>
      <c r="S857" s="16"/>
      <c r="T857" s="16"/>
      <c r="U857" s="16"/>
      <c r="V857" s="16"/>
      <c r="W857" s="16"/>
    </row>
    <row r="858" spans="3:23" ht="17.25" hidden="1" customHeight="1">
      <c r="C858" s="10"/>
      <c r="D858" s="119"/>
      <c r="E858" s="119"/>
      <c r="F858" s="16"/>
      <c r="G858" s="16"/>
      <c r="H858" s="16"/>
      <c r="I858" s="16"/>
      <c r="J858" s="16"/>
      <c r="K858" s="16"/>
      <c r="L858" s="16"/>
      <c r="M858" s="16"/>
      <c r="N858" s="16"/>
      <c r="O858" s="16"/>
      <c r="P858" s="16"/>
      <c r="Q858" s="16"/>
      <c r="R858" s="16"/>
      <c r="S858" s="16"/>
      <c r="T858" s="16"/>
      <c r="U858" s="16"/>
      <c r="V858" s="16"/>
      <c r="W858" s="16"/>
    </row>
    <row r="859" spans="3:23" ht="17.25" hidden="1" customHeight="1">
      <c r="C859" s="10"/>
      <c r="D859" s="119"/>
      <c r="E859" s="119"/>
      <c r="F859" s="16"/>
      <c r="G859" s="16"/>
      <c r="H859" s="16"/>
      <c r="I859" s="16"/>
      <c r="J859" s="16"/>
      <c r="K859" s="16"/>
      <c r="L859" s="16"/>
      <c r="M859" s="16"/>
      <c r="N859" s="16"/>
      <c r="O859" s="16"/>
      <c r="P859" s="16"/>
      <c r="Q859" s="16"/>
      <c r="R859" s="16"/>
      <c r="S859" s="16"/>
      <c r="T859" s="16"/>
      <c r="U859" s="16"/>
      <c r="V859" s="16"/>
      <c r="W859" s="16"/>
    </row>
    <row r="860" spans="3:23" ht="17.25" hidden="1" customHeight="1">
      <c r="C860" s="10"/>
      <c r="D860" s="119"/>
      <c r="E860" s="119"/>
      <c r="F860" s="16"/>
      <c r="G860" s="16"/>
      <c r="H860" s="16"/>
      <c r="I860" s="16"/>
      <c r="J860" s="16"/>
      <c r="K860" s="16"/>
      <c r="L860" s="16"/>
      <c r="M860" s="16"/>
      <c r="N860" s="16"/>
      <c r="O860" s="16"/>
      <c r="P860" s="16"/>
      <c r="Q860" s="16"/>
      <c r="R860" s="16"/>
      <c r="S860" s="16"/>
      <c r="T860" s="16"/>
      <c r="U860" s="16"/>
      <c r="V860" s="16"/>
      <c r="W860" s="16"/>
    </row>
    <row r="861" spans="3:23" ht="17.25" hidden="1" customHeight="1">
      <c r="C861" s="10"/>
      <c r="D861" s="119"/>
      <c r="E861" s="119"/>
      <c r="F861" s="16"/>
      <c r="G861" s="16"/>
      <c r="H861" s="16"/>
      <c r="I861" s="16"/>
      <c r="J861" s="16"/>
      <c r="K861" s="16"/>
      <c r="L861" s="16"/>
      <c r="M861" s="16"/>
      <c r="N861" s="16"/>
      <c r="O861" s="16"/>
      <c r="P861" s="16"/>
      <c r="Q861" s="16"/>
      <c r="R861" s="16"/>
      <c r="S861" s="16"/>
      <c r="T861" s="16"/>
      <c r="U861" s="16"/>
      <c r="V861" s="16"/>
      <c r="W861" s="16"/>
    </row>
    <row r="862" spans="3:23" ht="17.25" hidden="1" customHeight="1">
      <c r="C862" s="10"/>
      <c r="D862" s="119"/>
      <c r="E862" s="119"/>
      <c r="F862" s="16"/>
      <c r="G862" s="16"/>
      <c r="H862" s="16"/>
      <c r="I862" s="16"/>
      <c r="J862" s="16"/>
      <c r="K862" s="16"/>
      <c r="L862" s="16"/>
      <c r="M862" s="16"/>
      <c r="N862" s="16"/>
      <c r="O862" s="16"/>
      <c r="P862" s="16"/>
      <c r="Q862" s="16"/>
      <c r="R862" s="16"/>
      <c r="S862" s="16"/>
      <c r="T862" s="16"/>
      <c r="U862" s="16"/>
      <c r="V862" s="16"/>
      <c r="W862" s="16"/>
    </row>
    <row r="863" spans="3:23" ht="17.25" hidden="1" customHeight="1">
      <c r="C863" s="10"/>
      <c r="D863" s="119"/>
      <c r="E863" s="119"/>
      <c r="F863" s="16"/>
      <c r="G863" s="16"/>
      <c r="H863" s="16"/>
      <c r="I863" s="16"/>
      <c r="J863" s="16"/>
      <c r="K863" s="16"/>
      <c r="L863" s="16"/>
      <c r="M863" s="16"/>
      <c r="N863" s="16"/>
      <c r="O863" s="16"/>
      <c r="P863" s="16"/>
      <c r="Q863" s="16"/>
      <c r="R863" s="16"/>
      <c r="S863" s="16"/>
      <c r="T863" s="16"/>
      <c r="U863" s="16"/>
      <c r="V863" s="16"/>
      <c r="W863" s="16"/>
    </row>
    <row r="864" spans="3:23" ht="17.25" hidden="1" customHeight="1">
      <c r="C864" s="10"/>
      <c r="D864" s="119"/>
      <c r="E864" s="119"/>
      <c r="F864" s="16"/>
      <c r="G864" s="16"/>
      <c r="H864" s="16"/>
      <c r="I864" s="16"/>
      <c r="J864" s="16"/>
      <c r="K864" s="16"/>
      <c r="L864" s="16"/>
      <c r="M864" s="16"/>
      <c r="N864" s="16"/>
      <c r="O864" s="16"/>
      <c r="P864" s="16"/>
      <c r="Q864" s="16"/>
      <c r="R864" s="16"/>
      <c r="S864" s="16"/>
      <c r="T864" s="16"/>
      <c r="U864" s="16"/>
      <c r="V864" s="16"/>
      <c r="W864" s="16"/>
    </row>
    <row r="865" spans="3:23" ht="17.25" hidden="1" customHeight="1">
      <c r="C865" s="10"/>
      <c r="D865" s="119"/>
      <c r="E865" s="119"/>
      <c r="F865" s="16"/>
      <c r="G865" s="16"/>
      <c r="H865" s="16"/>
      <c r="I865" s="16"/>
      <c r="J865" s="16"/>
      <c r="K865" s="16"/>
      <c r="L865" s="16"/>
      <c r="M865" s="16"/>
      <c r="N865" s="16"/>
      <c r="O865" s="16"/>
      <c r="P865" s="16"/>
      <c r="Q865" s="16"/>
      <c r="R865" s="16"/>
      <c r="S865" s="16"/>
      <c r="T865" s="16"/>
      <c r="U865" s="16"/>
      <c r="V865" s="16"/>
      <c r="W865" s="16"/>
    </row>
    <row r="866" spans="3:23" ht="17.25" hidden="1" customHeight="1">
      <c r="C866" s="10"/>
      <c r="D866" s="119"/>
      <c r="E866" s="119"/>
      <c r="F866" s="16"/>
      <c r="G866" s="16"/>
      <c r="H866" s="16"/>
      <c r="I866" s="16"/>
      <c r="J866" s="16"/>
      <c r="K866" s="16"/>
      <c r="L866" s="16"/>
      <c r="M866" s="16"/>
      <c r="N866" s="16"/>
      <c r="O866" s="16"/>
      <c r="P866" s="16"/>
      <c r="Q866" s="16"/>
      <c r="R866" s="16"/>
      <c r="S866" s="16"/>
      <c r="T866" s="16"/>
      <c r="U866" s="16"/>
      <c r="V866" s="16"/>
      <c r="W866" s="16"/>
    </row>
    <row r="867" spans="3:23" ht="17.25" hidden="1" customHeight="1">
      <c r="C867" s="10"/>
      <c r="D867" s="119"/>
      <c r="E867" s="119"/>
      <c r="F867" s="16"/>
      <c r="G867" s="16"/>
      <c r="H867" s="16"/>
      <c r="I867" s="16"/>
      <c r="J867" s="16"/>
      <c r="K867" s="16"/>
      <c r="L867" s="16"/>
      <c r="M867" s="16"/>
      <c r="N867" s="16"/>
      <c r="O867" s="16"/>
      <c r="P867" s="16"/>
      <c r="Q867" s="16"/>
      <c r="R867" s="16"/>
      <c r="S867" s="16"/>
      <c r="T867" s="16"/>
      <c r="U867" s="16"/>
      <c r="V867" s="16"/>
      <c r="W867" s="16"/>
    </row>
    <row r="868" spans="3:23" ht="17.25" hidden="1" customHeight="1">
      <c r="C868" s="10"/>
      <c r="D868" s="119"/>
      <c r="E868" s="119"/>
      <c r="F868" s="16"/>
      <c r="G868" s="16"/>
      <c r="H868" s="16"/>
      <c r="I868" s="16"/>
      <c r="J868" s="16"/>
      <c r="K868" s="16"/>
      <c r="L868" s="16"/>
      <c r="M868" s="16"/>
      <c r="N868" s="16"/>
      <c r="O868" s="16"/>
      <c r="P868" s="16"/>
      <c r="Q868" s="16"/>
      <c r="R868" s="16"/>
      <c r="S868" s="16"/>
      <c r="T868" s="16"/>
      <c r="U868" s="16"/>
      <c r="V868" s="16"/>
      <c r="W868" s="16"/>
    </row>
    <row r="869" spans="3:23" ht="17.25" hidden="1" customHeight="1">
      <c r="C869" s="10"/>
      <c r="D869" s="119"/>
      <c r="E869" s="119"/>
      <c r="F869" s="16"/>
      <c r="G869" s="16"/>
      <c r="H869" s="16"/>
      <c r="I869" s="16"/>
      <c r="J869" s="16"/>
      <c r="K869" s="16"/>
      <c r="L869" s="16"/>
      <c r="M869" s="16"/>
      <c r="N869" s="16"/>
      <c r="O869" s="16"/>
      <c r="P869" s="16"/>
      <c r="Q869" s="16"/>
      <c r="R869" s="16"/>
      <c r="S869" s="16"/>
      <c r="T869" s="16"/>
      <c r="U869" s="16"/>
      <c r="V869" s="16"/>
      <c r="W869" s="16"/>
    </row>
    <row r="870" spans="3:23" ht="17.25" hidden="1" customHeight="1">
      <c r="C870" s="10"/>
      <c r="D870" s="119"/>
      <c r="E870" s="119"/>
      <c r="F870" s="16"/>
      <c r="G870" s="16"/>
      <c r="H870" s="16"/>
      <c r="I870" s="16"/>
      <c r="J870" s="16"/>
      <c r="K870" s="16"/>
      <c r="L870" s="16"/>
      <c r="M870" s="16"/>
      <c r="N870" s="16"/>
      <c r="O870" s="16"/>
      <c r="P870" s="16"/>
      <c r="Q870" s="16"/>
      <c r="R870" s="16"/>
      <c r="S870" s="16"/>
      <c r="T870" s="16"/>
      <c r="U870" s="16"/>
      <c r="V870" s="16"/>
      <c r="W870" s="16"/>
    </row>
    <row r="871" spans="3:23" ht="17.25" hidden="1" customHeight="1">
      <c r="C871" s="10"/>
      <c r="D871" s="119"/>
      <c r="E871" s="119"/>
      <c r="F871" s="16"/>
      <c r="G871" s="16"/>
      <c r="H871" s="16"/>
      <c r="I871" s="16"/>
      <c r="J871" s="16"/>
      <c r="K871" s="16"/>
      <c r="L871" s="16"/>
      <c r="M871" s="16"/>
      <c r="N871" s="16"/>
      <c r="O871" s="16"/>
      <c r="P871" s="16"/>
      <c r="Q871" s="16"/>
      <c r="R871" s="16"/>
      <c r="S871" s="16"/>
      <c r="T871" s="16"/>
      <c r="U871" s="16"/>
      <c r="V871" s="16"/>
      <c r="W871" s="16"/>
    </row>
    <row r="872" spans="3:23" ht="17.25" hidden="1" customHeight="1">
      <c r="C872" s="10"/>
      <c r="D872" s="119"/>
      <c r="E872" s="119"/>
      <c r="F872" s="16"/>
      <c r="G872" s="16"/>
      <c r="H872" s="16"/>
      <c r="I872" s="16"/>
      <c r="J872" s="16"/>
      <c r="K872" s="16"/>
      <c r="L872" s="16"/>
      <c r="M872" s="16"/>
      <c r="N872" s="16"/>
      <c r="O872" s="16"/>
      <c r="P872" s="16"/>
      <c r="Q872" s="16"/>
      <c r="R872" s="16"/>
      <c r="S872" s="16"/>
      <c r="T872" s="16"/>
      <c r="U872" s="16"/>
      <c r="V872" s="16"/>
      <c r="W872" s="16"/>
    </row>
    <row r="873" spans="3:23" ht="17.25" hidden="1" customHeight="1">
      <c r="C873" s="10"/>
      <c r="D873" s="119"/>
      <c r="E873" s="119"/>
      <c r="F873" s="16"/>
      <c r="G873" s="16"/>
      <c r="H873" s="16"/>
      <c r="I873" s="16"/>
      <c r="J873" s="16"/>
      <c r="K873" s="16"/>
      <c r="L873" s="16"/>
      <c r="M873" s="16"/>
      <c r="N873" s="16"/>
      <c r="O873" s="16"/>
      <c r="P873" s="16"/>
      <c r="Q873" s="16"/>
      <c r="R873" s="16"/>
      <c r="S873" s="16"/>
      <c r="T873" s="16"/>
      <c r="U873" s="16"/>
      <c r="V873" s="16"/>
      <c r="W873" s="16"/>
    </row>
    <row r="874" spans="3:23" ht="17.25" hidden="1" customHeight="1">
      <c r="C874" s="10"/>
      <c r="D874" s="119"/>
      <c r="E874" s="119"/>
      <c r="F874" s="16"/>
      <c r="G874" s="16"/>
      <c r="H874" s="16"/>
      <c r="I874" s="16"/>
      <c r="J874" s="16"/>
      <c r="K874" s="16"/>
      <c r="L874" s="16"/>
      <c r="M874" s="16"/>
      <c r="N874" s="16"/>
      <c r="O874" s="16"/>
      <c r="P874" s="16"/>
      <c r="Q874" s="16"/>
      <c r="R874" s="16"/>
      <c r="S874" s="16"/>
      <c r="T874" s="16"/>
      <c r="U874" s="16"/>
      <c r="V874" s="16"/>
      <c r="W874" s="16"/>
    </row>
    <row r="875" spans="3:23" ht="17.25" hidden="1" customHeight="1">
      <c r="C875" s="10"/>
      <c r="D875" s="119"/>
      <c r="E875" s="119"/>
      <c r="F875" s="16"/>
      <c r="G875" s="16"/>
      <c r="H875" s="16"/>
      <c r="I875" s="16"/>
      <c r="J875" s="16"/>
      <c r="K875" s="16"/>
      <c r="L875" s="16"/>
      <c r="M875" s="16"/>
      <c r="N875" s="16"/>
      <c r="O875" s="16"/>
      <c r="P875" s="16"/>
      <c r="Q875" s="16"/>
      <c r="R875" s="16"/>
      <c r="S875" s="16"/>
      <c r="T875" s="16"/>
      <c r="U875" s="16"/>
      <c r="V875" s="16"/>
      <c r="W875" s="16"/>
    </row>
    <row r="876" spans="3:23" ht="17.25" hidden="1" customHeight="1">
      <c r="C876" s="10"/>
      <c r="D876" s="119"/>
      <c r="E876" s="119"/>
      <c r="F876" s="16"/>
      <c r="G876" s="16"/>
      <c r="H876" s="16"/>
      <c r="I876" s="16"/>
      <c r="J876" s="16"/>
      <c r="K876" s="16"/>
      <c r="L876" s="16"/>
      <c r="M876" s="16"/>
      <c r="N876" s="16"/>
      <c r="O876" s="16"/>
      <c r="P876" s="16"/>
      <c r="Q876" s="16"/>
      <c r="R876" s="16"/>
      <c r="S876" s="16"/>
      <c r="T876" s="16"/>
      <c r="U876" s="16"/>
      <c r="V876" s="16"/>
      <c r="W876" s="16"/>
    </row>
    <row r="877" spans="3:23" ht="17.25" hidden="1" customHeight="1">
      <c r="C877" s="10"/>
      <c r="D877" s="119"/>
      <c r="E877" s="119"/>
      <c r="F877" s="16"/>
      <c r="G877" s="16"/>
      <c r="H877" s="16"/>
      <c r="I877" s="16"/>
      <c r="J877" s="16"/>
      <c r="K877" s="16"/>
      <c r="L877" s="16"/>
      <c r="M877" s="16"/>
      <c r="N877" s="16"/>
      <c r="O877" s="16"/>
      <c r="P877" s="16"/>
      <c r="Q877" s="16"/>
      <c r="R877" s="16"/>
      <c r="S877" s="16"/>
      <c r="T877" s="16"/>
      <c r="U877" s="16"/>
      <c r="V877" s="16"/>
      <c r="W877" s="16"/>
    </row>
    <row r="878" spans="3:23" ht="17.25" hidden="1" customHeight="1">
      <c r="C878" s="10"/>
      <c r="D878" s="119"/>
      <c r="E878" s="119"/>
      <c r="F878" s="16"/>
      <c r="G878" s="16"/>
      <c r="H878" s="16"/>
      <c r="I878" s="16"/>
      <c r="J878" s="16"/>
      <c r="K878" s="16"/>
      <c r="L878" s="16"/>
      <c r="M878" s="16"/>
      <c r="N878" s="16"/>
      <c r="O878" s="16"/>
      <c r="P878" s="16"/>
      <c r="Q878" s="16"/>
      <c r="R878" s="16"/>
      <c r="S878" s="16"/>
      <c r="T878" s="16"/>
      <c r="U878" s="16"/>
      <c r="V878" s="16"/>
      <c r="W878" s="16"/>
    </row>
    <row r="879" spans="3:23" ht="17.25" hidden="1" customHeight="1">
      <c r="C879" s="10"/>
      <c r="D879" s="119"/>
      <c r="E879" s="119"/>
      <c r="F879" s="16"/>
      <c r="G879" s="16"/>
      <c r="H879" s="16"/>
      <c r="I879" s="16"/>
      <c r="J879" s="16"/>
      <c r="K879" s="16"/>
      <c r="L879" s="16"/>
      <c r="M879" s="16"/>
      <c r="N879" s="16"/>
      <c r="O879" s="16"/>
      <c r="P879" s="16"/>
      <c r="Q879" s="16"/>
      <c r="R879" s="16"/>
      <c r="S879" s="16"/>
      <c r="T879" s="16"/>
      <c r="U879" s="16"/>
      <c r="V879" s="16"/>
      <c r="W879" s="16"/>
    </row>
    <row r="880" spans="3:23" ht="17.25" hidden="1" customHeight="1">
      <c r="C880" s="10"/>
      <c r="D880" s="119"/>
      <c r="E880" s="119"/>
      <c r="F880" s="16"/>
      <c r="G880" s="16"/>
      <c r="H880" s="16"/>
      <c r="I880" s="16"/>
      <c r="J880" s="16"/>
      <c r="K880" s="16"/>
      <c r="L880" s="16"/>
      <c r="M880" s="16"/>
      <c r="N880" s="16"/>
      <c r="O880" s="16"/>
      <c r="P880" s="16"/>
      <c r="Q880" s="16"/>
      <c r="R880" s="16"/>
      <c r="S880" s="16"/>
      <c r="T880" s="16"/>
      <c r="U880" s="16"/>
      <c r="V880" s="16"/>
      <c r="W880" s="16"/>
    </row>
    <row r="881" spans="3:23" ht="17.25" hidden="1" customHeight="1">
      <c r="C881" s="10"/>
      <c r="D881" s="119"/>
      <c r="E881" s="119"/>
      <c r="F881" s="16"/>
      <c r="G881" s="16"/>
      <c r="H881" s="16"/>
      <c r="I881" s="16"/>
      <c r="J881" s="16"/>
      <c r="K881" s="16"/>
      <c r="L881" s="16"/>
      <c r="M881" s="16"/>
      <c r="N881" s="16"/>
      <c r="O881" s="16"/>
      <c r="P881" s="16"/>
      <c r="Q881" s="16"/>
      <c r="R881" s="16"/>
      <c r="S881" s="16"/>
      <c r="T881" s="16"/>
      <c r="U881" s="16"/>
      <c r="V881" s="16"/>
      <c r="W881" s="16"/>
    </row>
    <row r="882" spans="3:23" ht="17.25" hidden="1" customHeight="1">
      <c r="C882" s="10"/>
      <c r="D882" s="119"/>
      <c r="E882" s="119"/>
      <c r="F882" s="16"/>
      <c r="G882" s="16"/>
      <c r="H882" s="16"/>
      <c r="I882" s="16"/>
      <c r="J882" s="16"/>
      <c r="K882" s="16"/>
      <c r="L882" s="16"/>
      <c r="M882" s="16"/>
      <c r="N882" s="16"/>
      <c r="O882" s="16"/>
      <c r="P882" s="16"/>
      <c r="Q882" s="16"/>
      <c r="R882" s="16"/>
      <c r="S882" s="16"/>
      <c r="T882" s="16"/>
      <c r="U882" s="16"/>
      <c r="V882" s="16"/>
      <c r="W882" s="16"/>
    </row>
    <row r="883" spans="3:23" ht="17.25" hidden="1" customHeight="1">
      <c r="C883" s="10"/>
      <c r="D883" s="119"/>
      <c r="E883" s="119"/>
      <c r="F883" s="16"/>
      <c r="G883" s="16"/>
      <c r="H883" s="16"/>
      <c r="I883" s="16"/>
      <c r="J883" s="16"/>
      <c r="K883" s="16"/>
      <c r="L883" s="16"/>
      <c r="M883" s="16"/>
      <c r="N883" s="16"/>
      <c r="O883" s="16"/>
      <c r="P883" s="16"/>
      <c r="Q883" s="16"/>
      <c r="R883" s="16"/>
      <c r="S883" s="16"/>
      <c r="T883" s="16"/>
      <c r="U883" s="16"/>
      <c r="V883" s="16"/>
      <c r="W883" s="16"/>
    </row>
    <row r="884" spans="3:23" ht="17.25" hidden="1" customHeight="1">
      <c r="C884" s="10"/>
      <c r="D884" s="119"/>
      <c r="E884" s="119"/>
      <c r="F884" s="16"/>
      <c r="G884" s="16"/>
      <c r="H884" s="16"/>
      <c r="I884" s="16"/>
      <c r="J884" s="16"/>
      <c r="K884" s="16"/>
      <c r="L884" s="16"/>
      <c r="M884" s="16"/>
      <c r="N884" s="16"/>
      <c r="O884" s="16"/>
      <c r="P884" s="16"/>
      <c r="Q884" s="16"/>
      <c r="R884" s="16"/>
      <c r="S884" s="16"/>
      <c r="T884" s="16"/>
      <c r="U884" s="16"/>
      <c r="V884" s="16"/>
      <c r="W884" s="16"/>
    </row>
    <row r="885" spans="3:23" ht="17.25" hidden="1" customHeight="1">
      <c r="C885" s="10"/>
      <c r="D885" s="119"/>
      <c r="E885" s="119"/>
      <c r="F885" s="16"/>
      <c r="G885" s="16"/>
      <c r="H885" s="16"/>
      <c r="I885" s="16"/>
      <c r="J885" s="16"/>
      <c r="K885" s="16"/>
      <c r="L885" s="16"/>
      <c r="M885" s="16"/>
      <c r="N885" s="16"/>
      <c r="O885" s="16"/>
      <c r="P885" s="16"/>
      <c r="Q885" s="16"/>
      <c r="R885" s="16"/>
      <c r="S885" s="16"/>
      <c r="T885" s="16"/>
      <c r="U885" s="16"/>
      <c r="V885" s="16"/>
      <c r="W885" s="16"/>
    </row>
    <row r="886" spans="3:23" ht="17.25" hidden="1" customHeight="1">
      <c r="C886" s="10"/>
      <c r="D886" s="119"/>
      <c r="E886" s="119"/>
      <c r="F886" s="16"/>
      <c r="G886" s="16"/>
      <c r="H886" s="16"/>
      <c r="I886" s="16"/>
      <c r="J886" s="16"/>
      <c r="K886" s="16"/>
      <c r="L886" s="16"/>
      <c r="M886" s="16"/>
      <c r="N886" s="16"/>
      <c r="O886" s="16"/>
      <c r="P886" s="16"/>
      <c r="Q886" s="16"/>
      <c r="R886" s="16"/>
      <c r="S886" s="16"/>
      <c r="T886" s="16"/>
      <c r="U886" s="16"/>
      <c r="V886" s="16"/>
      <c r="W886" s="16"/>
    </row>
    <row r="887" spans="3:23" ht="17.25" hidden="1" customHeight="1">
      <c r="C887" s="10"/>
      <c r="D887" s="119"/>
      <c r="E887" s="119"/>
      <c r="F887" s="16"/>
      <c r="G887" s="16"/>
      <c r="H887" s="16"/>
      <c r="I887" s="16"/>
      <c r="J887" s="16"/>
      <c r="K887" s="16"/>
      <c r="L887" s="16"/>
      <c r="M887" s="16"/>
      <c r="N887" s="16"/>
      <c r="O887" s="16"/>
      <c r="P887" s="16"/>
      <c r="Q887" s="16"/>
      <c r="R887" s="16"/>
      <c r="S887" s="16"/>
      <c r="T887" s="16"/>
      <c r="U887" s="16"/>
      <c r="V887" s="16"/>
      <c r="W887" s="16"/>
    </row>
    <row r="888" spans="3:23" ht="17.25" hidden="1" customHeight="1">
      <c r="C888" s="10"/>
      <c r="D888" s="119"/>
      <c r="E888" s="119"/>
      <c r="F888" s="16"/>
      <c r="G888" s="16"/>
      <c r="H888" s="16"/>
      <c r="I888" s="16"/>
      <c r="J888" s="16"/>
      <c r="K888" s="16"/>
      <c r="L888" s="16"/>
      <c r="M888" s="16"/>
      <c r="N888" s="16"/>
      <c r="O888" s="16"/>
      <c r="P888" s="16"/>
      <c r="Q888" s="16"/>
      <c r="R888" s="16"/>
      <c r="S888" s="16"/>
      <c r="T888" s="16"/>
      <c r="U888" s="16"/>
      <c r="V888" s="16"/>
      <c r="W888" s="16"/>
    </row>
    <row r="889" spans="3:23" ht="17.25" hidden="1" customHeight="1">
      <c r="C889" s="10"/>
      <c r="D889" s="119"/>
      <c r="E889" s="119"/>
      <c r="F889" s="16"/>
      <c r="G889" s="16"/>
      <c r="H889" s="16"/>
      <c r="I889" s="16"/>
      <c r="J889" s="16"/>
      <c r="K889" s="16"/>
      <c r="L889" s="16"/>
      <c r="M889" s="16"/>
      <c r="N889" s="16"/>
      <c r="O889" s="16"/>
      <c r="P889" s="16"/>
      <c r="Q889" s="16"/>
      <c r="R889" s="16"/>
      <c r="S889" s="16"/>
      <c r="T889" s="16"/>
      <c r="U889" s="16"/>
      <c r="V889" s="16"/>
      <c r="W889" s="16"/>
    </row>
    <row r="890" spans="3:23" ht="17.25" hidden="1" customHeight="1">
      <c r="C890" s="10"/>
      <c r="D890" s="119"/>
      <c r="E890" s="119"/>
      <c r="F890" s="16"/>
      <c r="G890" s="16"/>
      <c r="H890" s="16"/>
      <c r="I890" s="16"/>
      <c r="J890" s="16"/>
      <c r="K890" s="16"/>
      <c r="L890" s="16"/>
      <c r="M890" s="16"/>
      <c r="N890" s="16"/>
      <c r="O890" s="16"/>
      <c r="P890" s="16"/>
      <c r="Q890" s="16"/>
      <c r="R890" s="16"/>
      <c r="S890" s="16"/>
      <c r="T890" s="16"/>
      <c r="U890" s="16"/>
      <c r="V890" s="16"/>
      <c r="W890" s="16"/>
    </row>
    <row r="891" spans="3:23" ht="17.25" hidden="1" customHeight="1">
      <c r="C891" s="10"/>
      <c r="D891" s="119"/>
      <c r="E891" s="119"/>
      <c r="F891" s="16"/>
      <c r="G891" s="16"/>
      <c r="H891" s="16"/>
      <c r="I891" s="16"/>
      <c r="J891" s="16"/>
      <c r="K891" s="16"/>
      <c r="L891" s="16"/>
      <c r="M891" s="16"/>
      <c r="N891" s="16"/>
      <c r="O891" s="16"/>
      <c r="P891" s="16"/>
      <c r="Q891" s="16"/>
      <c r="R891" s="16"/>
      <c r="S891" s="16"/>
      <c r="T891" s="16"/>
      <c r="U891" s="16"/>
      <c r="V891" s="16"/>
      <c r="W891" s="16"/>
    </row>
    <row r="892" spans="3:23" ht="17.25" hidden="1" customHeight="1">
      <c r="C892" s="10"/>
      <c r="D892" s="119"/>
      <c r="E892" s="119"/>
      <c r="F892" s="16"/>
      <c r="G892" s="16"/>
      <c r="H892" s="16"/>
      <c r="I892" s="16"/>
      <c r="J892" s="16"/>
      <c r="K892" s="16"/>
      <c r="L892" s="16"/>
      <c r="M892" s="16"/>
      <c r="N892" s="16"/>
      <c r="O892" s="16"/>
      <c r="P892" s="16"/>
      <c r="Q892" s="16"/>
      <c r="R892" s="16"/>
      <c r="S892" s="16"/>
      <c r="T892" s="16"/>
      <c r="U892" s="16"/>
      <c r="V892" s="16"/>
      <c r="W892" s="16"/>
    </row>
    <row r="893" spans="3:23" ht="17.25" hidden="1" customHeight="1">
      <c r="C893" s="10"/>
      <c r="D893" s="119"/>
      <c r="E893" s="119"/>
      <c r="F893" s="16"/>
      <c r="G893" s="16"/>
      <c r="H893" s="16"/>
      <c r="I893" s="16"/>
      <c r="J893" s="16"/>
      <c r="K893" s="16"/>
      <c r="L893" s="16"/>
      <c r="M893" s="16"/>
      <c r="N893" s="16"/>
      <c r="O893" s="16"/>
      <c r="P893" s="16"/>
      <c r="Q893" s="16"/>
      <c r="R893" s="16"/>
      <c r="S893" s="16"/>
      <c r="T893" s="16"/>
      <c r="U893" s="16"/>
      <c r="V893" s="16"/>
      <c r="W893" s="16"/>
    </row>
    <row r="894" spans="3:23" ht="17.25" hidden="1" customHeight="1">
      <c r="C894" s="10"/>
      <c r="D894" s="119"/>
      <c r="E894" s="119"/>
      <c r="F894" s="16"/>
      <c r="G894" s="16"/>
      <c r="H894" s="16"/>
      <c r="I894" s="16"/>
      <c r="J894" s="16"/>
      <c r="K894" s="16"/>
      <c r="L894" s="16"/>
      <c r="M894" s="16"/>
      <c r="N894" s="16"/>
      <c r="O894" s="16"/>
      <c r="P894" s="16"/>
      <c r="Q894" s="16"/>
      <c r="R894" s="16"/>
      <c r="S894" s="16"/>
      <c r="T894" s="16"/>
      <c r="U894" s="16"/>
      <c r="V894" s="16"/>
      <c r="W894" s="16"/>
    </row>
    <row r="895" spans="3:23" ht="17.25" hidden="1" customHeight="1">
      <c r="C895" s="10"/>
      <c r="D895" s="119"/>
      <c r="E895" s="119"/>
      <c r="F895" s="16"/>
      <c r="G895" s="16"/>
      <c r="H895" s="16"/>
      <c r="I895" s="16"/>
      <c r="J895" s="16"/>
      <c r="K895" s="16"/>
      <c r="L895" s="16"/>
      <c r="M895" s="16"/>
      <c r="N895" s="16"/>
      <c r="O895" s="16"/>
      <c r="P895" s="16"/>
      <c r="Q895" s="16"/>
      <c r="R895" s="16"/>
      <c r="S895" s="16"/>
      <c r="T895" s="16"/>
      <c r="U895" s="16"/>
      <c r="V895" s="16"/>
      <c r="W895" s="16"/>
    </row>
    <row r="896" spans="3:23" ht="17.25" hidden="1" customHeight="1">
      <c r="C896" s="10"/>
      <c r="D896" s="119"/>
      <c r="E896" s="119"/>
      <c r="F896" s="16"/>
      <c r="G896" s="16"/>
      <c r="H896" s="16"/>
      <c r="I896" s="16"/>
      <c r="J896" s="16"/>
      <c r="K896" s="16"/>
      <c r="L896" s="16"/>
      <c r="M896" s="16"/>
      <c r="N896" s="16"/>
      <c r="O896" s="16"/>
      <c r="P896" s="16"/>
      <c r="Q896" s="16"/>
      <c r="R896" s="16"/>
      <c r="S896" s="16"/>
      <c r="T896" s="16"/>
      <c r="U896" s="16"/>
      <c r="V896" s="16"/>
      <c r="W896" s="16"/>
    </row>
    <row r="897" spans="3:23" ht="17.25" hidden="1" customHeight="1">
      <c r="C897" s="10"/>
      <c r="D897" s="119"/>
      <c r="E897" s="119"/>
      <c r="F897" s="16"/>
      <c r="G897" s="16"/>
      <c r="H897" s="16"/>
      <c r="I897" s="16"/>
      <c r="J897" s="16"/>
      <c r="K897" s="16"/>
      <c r="L897" s="16"/>
      <c r="M897" s="16"/>
      <c r="N897" s="16"/>
      <c r="O897" s="16"/>
      <c r="P897" s="16"/>
      <c r="Q897" s="16"/>
      <c r="R897" s="16"/>
      <c r="S897" s="16"/>
      <c r="T897" s="16"/>
      <c r="U897" s="16"/>
      <c r="V897" s="16"/>
      <c r="W897" s="16"/>
    </row>
    <row r="898" spans="3:23" ht="17.25" hidden="1" customHeight="1">
      <c r="C898" s="10"/>
      <c r="D898" s="119"/>
      <c r="E898" s="119"/>
      <c r="F898" s="16"/>
      <c r="G898" s="16"/>
      <c r="H898" s="16"/>
      <c r="I898" s="16"/>
      <c r="J898" s="16"/>
      <c r="K898" s="16"/>
      <c r="L898" s="16"/>
      <c r="M898" s="16"/>
      <c r="N898" s="16"/>
      <c r="O898" s="16"/>
      <c r="P898" s="16"/>
      <c r="Q898" s="16"/>
      <c r="R898" s="16"/>
      <c r="S898" s="16"/>
      <c r="T898" s="16"/>
      <c r="U898" s="16"/>
      <c r="V898" s="16"/>
      <c r="W898" s="16"/>
    </row>
    <row r="899" spans="3:23" ht="17.25" hidden="1" customHeight="1">
      <c r="C899" s="10"/>
      <c r="D899" s="119"/>
      <c r="E899" s="119"/>
      <c r="F899" s="16"/>
      <c r="G899" s="16"/>
      <c r="H899" s="16"/>
      <c r="I899" s="16"/>
      <c r="J899" s="16"/>
      <c r="K899" s="16"/>
      <c r="L899" s="16"/>
      <c r="M899" s="16"/>
      <c r="N899" s="16"/>
      <c r="O899" s="16"/>
      <c r="P899" s="16"/>
      <c r="Q899" s="16"/>
      <c r="R899" s="16"/>
      <c r="S899" s="16"/>
      <c r="T899" s="16"/>
      <c r="U899" s="16"/>
      <c r="V899" s="16"/>
      <c r="W899" s="16"/>
    </row>
    <row r="900" spans="3:23" ht="17.25" hidden="1" customHeight="1">
      <c r="C900" s="10"/>
      <c r="D900" s="119"/>
      <c r="E900" s="119"/>
      <c r="F900" s="16"/>
      <c r="G900" s="16"/>
      <c r="H900" s="16"/>
      <c r="I900" s="16"/>
      <c r="J900" s="16"/>
      <c r="K900" s="16"/>
      <c r="L900" s="16"/>
      <c r="M900" s="16"/>
      <c r="N900" s="16"/>
      <c r="O900" s="16"/>
      <c r="P900" s="16"/>
      <c r="Q900" s="16"/>
      <c r="R900" s="16"/>
      <c r="S900" s="16"/>
      <c r="T900" s="16"/>
      <c r="U900" s="16"/>
      <c r="V900" s="16"/>
      <c r="W900" s="16"/>
    </row>
    <row r="901" spans="3:23" ht="17.25" hidden="1" customHeight="1">
      <c r="C901" s="10"/>
      <c r="D901" s="119"/>
      <c r="E901" s="119"/>
      <c r="F901" s="16"/>
      <c r="G901" s="16"/>
      <c r="H901" s="16"/>
      <c r="I901" s="16"/>
      <c r="J901" s="16"/>
      <c r="K901" s="16"/>
      <c r="L901" s="16"/>
      <c r="M901" s="16"/>
      <c r="N901" s="16"/>
      <c r="O901" s="16"/>
      <c r="P901" s="16"/>
      <c r="Q901" s="16"/>
      <c r="R901" s="16"/>
      <c r="S901" s="16"/>
      <c r="T901" s="16"/>
      <c r="U901" s="16"/>
      <c r="V901" s="16"/>
      <c r="W901" s="16"/>
    </row>
    <row r="902" spans="3:23" ht="17.25" hidden="1" customHeight="1">
      <c r="C902" s="10"/>
      <c r="D902" s="119"/>
      <c r="E902" s="119"/>
      <c r="F902" s="16"/>
      <c r="G902" s="16"/>
      <c r="H902" s="16"/>
      <c r="I902" s="16"/>
      <c r="J902" s="16"/>
      <c r="K902" s="16"/>
      <c r="L902" s="16"/>
      <c r="M902" s="16"/>
      <c r="N902" s="16"/>
      <c r="O902" s="16"/>
      <c r="P902" s="16"/>
      <c r="Q902" s="16"/>
      <c r="R902" s="16"/>
      <c r="S902" s="16"/>
      <c r="T902" s="16"/>
      <c r="U902" s="16"/>
      <c r="V902" s="16"/>
      <c r="W902" s="16"/>
    </row>
    <row r="903" spans="3:23" ht="17.25" hidden="1" customHeight="1">
      <c r="C903" s="10"/>
      <c r="D903" s="119"/>
      <c r="E903" s="119"/>
      <c r="F903" s="16"/>
      <c r="G903" s="16"/>
      <c r="H903" s="16"/>
      <c r="I903" s="16"/>
      <c r="J903" s="16"/>
      <c r="K903" s="16"/>
      <c r="L903" s="16"/>
      <c r="M903" s="16"/>
      <c r="N903" s="16"/>
      <c r="O903" s="16"/>
      <c r="P903" s="16"/>
      <c r="Q903" s="16"/>
      <c r="R903" s="16"/>
      <c r="S903" s="16"/>
      <c r="T903" s="16"/>
      <c r="U903" s="16"/>
      <c r="V903" s="16"/>
      <c r="W903" s="16"/>
    </row>
    <row r="904" spans="3:23" ht="17.25" hidden="1" customHeight="1">
      <c r="C904" s="10"/>
      <c r="D904" s="119"/>
      <c r="E904" s="119"/>
      <c r="F904" s="16"/>
      <c r="G904" s="16"/>
      <c r="H904" s="16"/>
      <c r="I904" s="16"/>
      <c r="J904" s="16"/>
      <c r="K904" s="16"/>
      <c r="L904" s="16"/>
      <c r="M904" s="16"/>
      <c r="N904" s="16"/>
      <c r="O904" s="16"/>
      <c r="P904" s="16"/>
      <c r="Q904" s="16"/>
      <c r="R904" s="16"/>
      <c r="S904" s="16"/>
      <c r="T904" s="16"/>
      <c r="U904" s="16"/>
      <c r="V904" s="16"/>
      <c r="W904" s="16"/>
    </row>
    <row r="905" spans="3:23" ht="17.25" hidden="1" customHeight="1">
      <c r="C905" s="10"/>
      <c r="D905" s="119"/>
      <c r="E905" s="119"/>
      <c r="F905" s="16"/>
      <c r="G905" s="16"/>
      <c r="H905" s="16"/>
      <c r="I905" s="16"/>
      <c r="J905" s="16"/>
      <c r="K905" s="16"/>
      <c r="L905" s="16"/>
      <c r="M905" s="16"/>
      <c r="N905" s="16"/>
      <c r="O905" s="16"/>
      <c r="P905" s="16"/>
      <c r="Q905" s="16"/>
      <c r="R905" s="16"/>
      <c r="S905" s="16"/>
      <c r="T905" s="16"/>
      <c r="U905" s="16"/>
      <c r="V905" s="16"/>
      <c r="W905" s="16"/>
    </row>
    <row r="906" spans="3:23" ht="17.25" hidden="1" customHeight="1">
      <c r="C906" s="10"/>
      <c r="D906" s="119"/>
      <c r="E906" s="119"/>
      <c r="F906" s="16"/>
      <c r="G906" s="16"/>
      <c r="H906" s="16"/>
      <c r="I906" s="16"/>
      <c r="J906" s="16"/>
      <c r="K906" s="16"/>
      <c r="L906" s="16"/>
      <c r="M906" s="16"/>
      <c r="N906" s="16"/>
      <c r="O906" s="16"/>
      <c r="P906" s="16"/>
      <c r="Q906" s="16"/>
      <c r="R906" s="16"/>
      <c r="S906" s="16"/>
      <c r="T906" s="16"/>
      <c r="U906" s="16"/>
      <c r="V906" s="16"/>
      <c r="W906" s="16"/>
    </row>
    <row r="907" spans="3:23" ht="17.25" hidden="1" customHeight="1">
      <c r="C907" s="10"/>
      <c r="D907" s="119"/>
      <c r="E907" s="119"/>
      <c r="F907" s="16"/>
      <c r="G907" s="16"/>
      <c r="H907" s="16"/>
      <c r="I907" s="16"/>
      <c r="J907" s="16"/>
      <c r="K907" s="16"/>
      <c r="L907" s="16"/>
      <c r="M907" s="16"/>
      <c r="N907" s="16"/>
      <c r="O907" s="16"/>
      <c r="P907" s="16"/>
      <c r="Q907" s="16"/>
      <c r="R907" s="16"/>
      <c r="S907" s="16"/>
      <c r="T907" s="16"/>
      <c r="U907" s="16"/>
      <c r="V907" s="16"/>
      <c r="W907" s="16"/>
    </row>
    <row r="908" spans="3:23" ht="17.25" hidden="1" customHeight="1">
      <c r="C908" s="10"/>
      <c r="D908" s="119"/>
      <c r="E908" s="119"/>
      <c r="F908" s="16"/>
      <c r="G908" s="16"/>
      <c r="H908" s="16"/>
      <c r="I908" s="16"/>
      <c r="J908" s="16"/>
      <c r="K908" s="16"/>
      <c r="L908" s="16"/>
      <c r="M908" s="16"/>
      <c r="N908" s="16"/>
      <c r="O908" s="16"/>
      <c r="P908" s="16"/>
      <c r="Q908" s="16"/>
      <c r="R908" s="16"/>
      <c r="S908" s="16"/>
      <c r="T908" s="16"/>
      <c r="U908" s="16"/>
      <c r="V908" s="16"/>
      <c r="W908" s="16"/>
    </row>
    <row r="909" spans="3:23" ht="17.25" hidden="1" customHeight="1">
      <c r="C909" s="10"/>
      <c r="D909" s="119"/>
      <c r="E909" s="119"/>
      <c r="F909" s="16"/>
      <c r="G909" s="16"/>
      <c r="H909" s="16"/>
      <c r="I909" s="16"/>
      <c r="J909" s="16"/>
      <c r="K909" s="16"/>
      <c r="L909" s="16"/>
      <c r="M909" s="16"/>
      <c r="N909" s="16"/>
      <c r="O909" s="16"/>
      <c r="P909" s="16"/>
      <c r="Q909" s="16"/>
      <c r="R909" s="16"/>
      <c r="S909" s="16"/>
      <c r="T909" s="16"/>
      <c r="U909" s="16"/>
      <c r="V909" s="16"/>
      <c r="W909" s="16"/>
    </row>
    <row r="910" spans="3:23" ht="17.25" hidden="1" customHeight="1">
      <c r="C910" s="10"/>
      <c r="D910" s="119"/>
      <c r="E910" s="119"/>
      <c r="F910" s="16"/>
      <c r="G910" s="16"/>
      <c r="H910" s="16"/>
      <c r="I910" s="16"/>
      <c r="J910" s="16"/>
      <c r="K910" s="16"/>
      <c r="L910" s="16"/>
      <c r="M910" s="16"/>
      <c r="N910" s="16"/>
      <c r="O910" s="16"/>
      <c r="P910" s="16"/>
      <c r="Q910" s="16"/>
      <c r="R910" s="16"/>
      <c r="S910" s="16"/>
      <c r="T910" s="16"/>
      <c r="U910" s="16"/>
      <c r="V910" s="16"/>
      <c r="W910" s="16"/>
    </row>
    <row r="911" spans="3:23" ht="17.25" hidden="1" customHeight="1">
      <c r="C911" s="10"/>
      <c r="D911" s="119"/>
      <c r="E911" s="119"/>
      <c r="F911" s="16"/>
      <c r="G911" s="16"/>
      <c r="H911" s="16"/>
      <c r="I911" s="16"/>
      <c r="J911" s="16"/>
      <c r="K911" s="16"/>
      <c r="L911" s="16"/>
      <c r="M911" s="16"/>
      <c r="N911" s="16"/>
      <c r="O911" s="16"/>
      <c r="P911" s="16"/>
      <c r="Q911" s="16"/>
      <c r="R911" s="16"/>
      <c r="S911" s="16"/>
      <c r="T911" s="16"/>
      <c r="U911" s="16"/>
      <c r="V911" s="16"/>
      <c r="W911" s="16"/>
    </row>
    <row r="912" spans="3:23" ht="17.25" hidden="1" customHeight="1">
      <c r="C912" s="10"/>
      <c r="D912" s="119"/>
      <c r="E912" s="119"/>
      <c r="F912" s="16"/>
      <c r="G912" s="16"/>
      <c r="H912" s="16"/>
      <c r="I912" s="16"/>
      <c r="J912" s="16"/>
      <c r="K912" s="16"/>
      <c r="L912" s="16"/>
      <c r="M912" s="16"/>
      <c r="N912" s="16"/>
      <c r="O912" s="16"/>
      <c r="P912" s="16"/>
      <c r="Q912" s="16"/>
      <c r="R912" s="16"/>
      <c r="S912" s="16"/>
      <c r="T912" s="16"/>
      <c r="U912" s="16"/>
      <c r="V912" s="16"/>
      <c r="W912" s="16"/>
    </row>
    <row r="913" spans="3:23" ht="17.25" hidden="1" customHeight="1">
      <c r="C913" s="10"/>
      <c r="D913" s="119"/>
      <c r="E913" s="119"/>
      <c r="F913" s="16"/>
      <c r="G913" s="16"/>
      <c r="H913" s="16"/>
      <c r="I913" s="16"/>
      <c r="J913" s="16"/>
      <c r="K913" s="16"/>
      <c r="L913" s="16"/>
      <c r="M913" s="16"/>
      <c r="N913" s="16"/>
      <c r="O913" s="16"/>
      <c r="P913" s="16"/>
      <c r="Q913" s="16"/>
      <c r="R913" s="16"/>
      <c r="S913" s="16"/>
      <c r="T913" s="16"/>
      <c r="U913" s="16"/>
      <c r="V913" s="16"/>
      <c r="W913" s="16"/>
    </row>
    <row r="914" spans="3:23" ht="17.25" hidden="1" customHeight="1">
      <c r="C914" s="10"/>
      <c r="D914" s="119"/>
      <c r="E914" s="119"/>
      <c r="F914" s="16"/>
      <c r="G914" s="16"/>
      <c r="H914" s="16"/>
      <c r="I914" s="16"/>
      <c r="J914" s="16"/>
      <c r="K914" s="16"/>
      <c r="L914" s="16"/>
      <c r="M914" s="16"/>
      <c r="N914" s="16"/>
      <c r="O914" s="16"/>
      <c r="P914" s="16"/>
      <c r="Q914" s="16"/>
      <c r="R914" s="16"/>
      <c r="S914" s="16"/>
      <c r="T914" s="16"/>
      <c r="U914" s="16"/>
      <c r="V914" s="16"/>
      <c r="W914" s="16"/>
    </row>
    <row r="915" spans="3:23" ht="17.25" hidden="1" customHeight="1">
      <c r="C915" s="10"/>
      <c r="D915" s="119"/>
      <c r="E915" s="119"/>
      <c r="F915" s="16"/>
      <c r="G915" s="16"/>
      <c r="H915" s="16"/>
      <c r="I915" s="16"/>
      <c r="J915" s="16"/>
      <c r="K915" s="16"/>
      <c r="L915" s="16"/>
      <c r="M915" s="16"/>
      <c r="N915" s="16"/>
      <c r="O915" s="16"/>
      <c r="P915" s="16"/>
      <c r="Q915" s="16"/>
      <c r="R915" s="16"/>
      <c r="S915" s="16"/>
      <c r="T915" s="16"/>
      <c r="U915" s="16"/>
      <c r="V915" s="16"/>
      <c r="W915" s="16"/>
    </row>
    <row r="916" spans="3:23" ht="17.25" hidden="1" customHeight="1">
      <c r="C916" s="10"/>
      <c r="D916" s="119"/>
      <c r="E916" s="119"/>
      <c r="F916" s="16"/>
      <c r="G916" s="16"/>
      <c r="H916" s="16"/>
      <c r="I916" s="16"/>
      <c r="J916" s="16"/>
      <c r="K916" s="16"/>
      <c r="L916" s="16"/>
      <c r="M916" s="16"/>
      <c r="N916" s="16"/>
      <c r="O916" s="16"/>
      <c r="P916" s="16"/>
      <c r="Q916" s="16"/>
      <c r="R916" s="16"/>
      <c r="S916" s="16"/>
      <c r="T916" s="16"/>
      <c r="U916" s="16"/>
      <c r="V916" s="16"/>
      <c r="W916" s="16"/>
    </row>
    <row r="917" spans="3:23" ht="17.25" hidden="1" customHeight="1">
      <c r="C917" s="10"/>
      <c r="D917" s="119"/>
      <c r="E917" s="119"/>
      <c r="F917" s="16"/>
      <c r="G917" s="16"/>
      <c r="H917" s="16"/>
      <c r="I917" s="16"/>
      <c r="J917" s="16"/>
      <c r="K917" s="16"/>
      <c r="L917" s="16"/>
      <c r="M917" s="16"/>
      <c r="N917" s="16"/>
      <c r="O917" s="16"/>
      <c r="P917" s="16"/>
      <c r="Q917" s="16"/>
      <c r="R917" s="16"/>
      <c r="S917" s="16"/>
      <c r="T917" s="16"/>
      <c r="U917" s="16"/>
      <c r="V917" s="16"/>
      <c r="W917" s="16"/>
    </row>
    <row r="918" spans="3:23" ht="17.25" hidden="1" customHeight="1">
      <c r="C918" s="10"/>
      <c r="D918" s="119"/>
      <c r="E918" s="119"/>
      <c r="F918" s="16"/>
      <c r="G918" s="16"/>
      <c r="H918" s="16"/>
      <c r="I918" s="16"/>
      <c r="J918" s="16"/>
      <c r="K918" s="16"/>
      <c r="L918" s="16"/>
      <c r="M918" s="16"/>
      <c r="N918" s="16"/>
      <c r="O918" s="16"/>
      <c r="P918" s="16"/>
      <c r="Q918" s="16"/>
      <c r="R918" s="16"/>
      <c r="S918" s="16"/>
      <c r="T918" s="16"/>
      <c r="U918" s="16"/>
      <c r="V918" s="16"/>
      <c r="W918" s="16"/>
    </row>
    <row r="919" spans="3:23" ht="17.25" hidden="1" customHeight="1">
      <c r="C919" s="10"/>
      <c r="D919" s="119"/>
      <c r="E919" s="119"/>
      <c r="F919" s="16"/>
      <c r="G919" s="16"/>
      <c r="H919" s="16"/>
      <c r="I919" s="16"/>
      <c r="J919" s="16"/>
      <c r="K919" s="16"/>
      <c r="L919" s="16"/>
      <c r="M919" s="16"/>
      <c r="N919" s="16"/>
      <c r="O919" s="16"/>
      <c r="P919" s="16"/>
      <c r="Q919" s="16"/>
      <c r="R919" s="16"/>
      <c r="S919" s="16"/>
      <c r="T919" s="16"/>
      <c r="U919" s="16"/>
      <c r="V919" s="16"/>
      <c r="W919" s="16"/>
    </row>
    <row r="920" spans="3:23" ht="17.25" hidden="1" customHeight="1">
      <c r="C920" s="10"/>
      <c r="D920" s="119"/>
      <c r="E920" s="119"/>
      <c r="F920" s="16"/>
      <c r="G920" s="16"/>
      <c r="H920" s="16"/>
      <c r="I920" s="16"/>
      <c r="J920" s="16"/>
      <c r="K920" s="16"/>
      <c r="L920" s="16"/>
      <c r="M920" s="16"/>
      <c r="N920" s="16"/>
      <c r="O920" s="16"/>
      <c r="P920" s="16"/>
      <c r="Q920" s="16"/>
      <c r="R920" s="16"/>
      <c r="S920" s="16"/>
      <c r="T920" s="16"/>
      <c r="U920" s="16"/>
      <c r="V920" s="16"/>
      <c r="W920" s="16"/>
    </row>
    <row r="921" spans="3:23" ht="17.25" hidden="1" customHeight="1">
      <c r="C921" s="10"/>
      <c r="D921" s="119"/>
      <c r="E921" s="119"/>
      <c r="F921" s="16"/>
      <c r="G921" s="16"/>
      <c r="H921" s="16"/>
      <c r="I921" s="16"/>
      <c r="J921" s="16"/>
      <c r="K921" s="16"/>
      <c r="L921" s="16"/>
      <c r="M921" s="16"/>
      <c r="N921" s="16"/>
      <c r="O921" s="16"/>
      <c r="P921" s="16"/>
      <c r="Q921" s="16"/>
      <c r="R921" s="16"/>
      <c r="S921" s="16"/>
      <c r="T921" s="16"/>
      <c r="U921" s="16"/>
      <c r="V921" s="16"/>
      <c r="W921" s="16"/>
    </row>
    <row r="922" spans="3:23" ht="17.25" hidden="1" customHeight="1">
      <c r="C922" s="10"/>
      <c r="D922" s="119"/>
      <c r="E922" s="119"/>
      <c r="F922" s="16"/>
      <c r="G922" s="16"/>
      <c r="H922" s="16"/>
      <c r="I922" s="16"/>
      <c r="J922" s="16"/>
      <c r="K922" s="16"/>
      <c r="L922" s="16"/>
      <c r="M922" s="16"/>
      <c r="N922" s="16"/>
      <c r="O922" s="16"/>
      <c r="P922" s="16"/>
      <c r="Q922" s="16"/>
      <c r="R922" s="16"/>
      <c r="S922" s="16"/>
      <c r="T922" s="16"/>
      <c r="U922" s="16"/>
      <c r="V922" s="16"/>
      <c r="W922" s="16"/>
    </row>
    <row r="923" spans="3:23" ht="17.25" hidden="1" customHeight="1">
      <c r="C923" s="10"/>
      <c r="D923" s="119"/>
      <c r="E923" s="119"/>
      <c r="F923" s="16"/>
      <c r="G923" s="16"/>
      <c r="H923" s="16"/>
      <c r="I923" s="16"/>
      <c r="J923" s="16"/>
      <c r="K923" s="16"/>
      <c r="L923" s="16"/>
      <c r="M923" s="16"/>
      <c r="N923" s="16"/>
      <c r="O923" s="16"/>
      <c r="P923" s="16"/>
      <c r="Q923" s="16"/>
      <c r="R923" s="16"/>
      <c r="S923" s="16"/>
      <c r="T923" s="16"/>
      <c r="U923" s="16"/>
      <c r="V923" s="16"/>
      <c r="W923" s="16"/>
    </row>
    <row r="924" spans="3:23" ht="17.25" hidden="1" customHeight="1">
      <c r="C924" s="10"/>
      <c r="D924" s="119"/>
      <c r="E924" s="119"/>
      <c r="F924" s="16"/>
      <c r="G924" s="16"/>
      <c r="H924" s="16"/>
      <c r="I924" s="16"/>
      <c r="J924" s="16"/>
      <c r="K924" s="16"/>
      <c r="L924" s="16"/>
      <c r="M924" s="16"/>
      <c r="N924" s="16"/>
      <c r="O924" s="16"/>
      <c r="P924" s="16"/>
      <c r="Q924" s="16"/>
      <c r="R924" s="16"/>
      <c r="S924" s="16"/>
      <c r="T924" s="16"/>
      <c r="U924" s="16"/>
      <c r="V924" s="16"/>
      <c r="W924" s="16"/>
    </row>
    <row r="925" spans="3:23" ht="17.25" hidden="1" customHeight="1">
      <c r="C925" s="10"/>
      <c r="D925" s="119"/>
      <c r="E925" s="119"/>
      <c r="F925" s="16"/>
      <c r="G925" s="16"/>
      <c r="H925" s="16"/>
      <c r="I925" s="16"/>
      <c r="J925" s="16"/>
      <c r="K925" s="16"/>
      <c r="L925" s="16"/>
      <c r="M925" s="16"/>
      <c r="N925" s="16"/>
      <c r="O925" s="16"/>
      <c r="P925" s="16"/>
      <c r="Q925" s="16"/>
      <c r="R925" s="16"/>
      <c r="S925" s="16"/>
      <c r="T925" s="16"/>
      <c r="U925" s="16"/>
      <c r="V925" s="16"/>
      <c r="W925" s="16"/>
    </row>
    <row r="926" spans="3:23" ht="17.25" hidden="1" customHeight="1">
      <c r="C926" s="10"/>
      <c r="D926" s="119"/>
      <c r="E926" s="119"/>
      <c r="F926" s="16"/>
      <c r="G926" s="16"/>
      <c r="H926" s="16"/>
      <c r="I926" s="16"/>
      <c r="J926" s="16"/>
      <c r="K926" s="16"/>
      <c r="L926" s="16"/>
      <c r="M926" s="16"/>
      <c r="N926" s="16"/>
      <c r="O926" s="16"/>
      <c r="P926" s="16"/>
      <c r="Q926" s="16"/>
      <c r="R926" s="16"/>
      <c r="S926" s="16"/>
      <c r="T926" s="16"/>
      <c r="U926" s="16"/>
      <c r="V926" s="16"/>
      <c r="W926" s="16"/>
    </row>
    <row r="927" spans="3:23" ht="17.25" hidden="1" customHeight="1">
      <c r="C927" s="10"/>
      <c r="D927" s="119"/>
      <c r="E927" s="119"/>
      <c r="F927" s="16"/>
      <c r="G927" s="16"/>
      <c r="H927" s="16"/>
      <c r="I927" s="16"/>
      <c r="J927" s="16"/>
      <c r="K927" s="16"/>
      <c r="L927" s="16"/>
      <c r="M927" s="16"/>
      <c r="N927" s="16"/>
      <c r="O927" s="16"/>
      <c r="P927" s="16"/>
      <c r="Q927" s="16"/>
      <c r="R927" s="16"/>
      <c r="S927" s="16"/>
      <c r="T927" s="16"/>
      <c r="U927" s="16"/>
      <c r="V927" s="16"/>
      <c r="W927" s="16"/>
    </row>
    <row r="928" spans="3:23" ht="17.25" hidden="1" customHeight="1">
      <c r="C928" s="10"/>
      <c r="D928" s="119"/>
      <c r="E928" s="119"/>
      <c r="F928" s="16"/>
      <c r="G928" s="16"/>
      <c r="H928" s="16"/>
      <c r="I928" s="16"/>
      <c r="J928" s="16"/>
      <c r="K928" s="16"/>
      <c r="L928" s="16"/>
      <c r="M928" s="16"/>
      <c r="N928" s="16"/>
      <c r="O928" s="16"/>
      <c r="P928" s="16"/>
      <c r="Q928" s="16"/>
      <c r="R928" s="16"/>
      <c r="S928" s="16"/>
      <c r="T928" s="16"/>
      <c r="U928" s="16"/>
      <c r="V928" s="16"/>
      <c r="W928" s="16"/>
    </row>
    <row r="929" spans="3:23" ht="17.25" hidden="1" customHeight="1">
      <c r="C929" s="10"/>
      <c r="D929" s="119"/>
      <c r="E929" s="119"/>
      <c r="F929" s="16"/>
      <c r="G929" s="16"/>
      <c r="H929" s="16"/>
      <c r="I929" s="16"/>
      <c r="J929" s="16"/>
      <c r="K929" s="16"/>
      <c r="L929" s="16"/>
      <c r="M929" s="16"/>
      <c r="N929" s="16"/>
      <c r="O929" s="16"/>
      <c r="P929" s="16"/>
      <c r="Q929" s="16"/>
      <c r="R929" s="16"/>
      <c r="S929" s="16"/>
      <c r="T929" s="16"/>
      <c r="U929" s="16"/>
      <c r="V929" s="16"/>
      <c r="W929" s="16"/>
    </row>
    <row r="930" spans="3:23" ht="17.25" hidden="1" customHeight="1">
      <c r="C930" s="10"/>
      <c r="D930" s="119"/>
      <c r="E930" s="119"/>
      <c r="F930" s="16"/>
      <c r="G930" s="16"/>
      <c r="H930" s="16"/>
      <c r="I930" s="16"/>
      <c r="J930" s="16"/>
      <c r="K930" s="16"/>
      <c r="L930" s="16"/>
      <c r="M930" s="16"/>
      <c r="N930" s="16"/>
      <c r="O930" s="16"/>
      <c r="P930" s="16"/>
      <c r="Q930" s="16"/>
      <c r="R930" s="16"/>
      <c r="S930" s="16"/>
      <c r="T930" s="16"/>
      <c r="U930" s="16"/>
      <c r="V930" s="16"/>
      <c r="W930" s="16"/>
    </row>
    <row r="931" spans="3:23" ht="17.25" hidden="1" customHeight="1">
      <c r="C931" s="10"/>
      <c r="D931" s="119"/>
      <c r="E931" s="119"/>
      <c r="F931" s="16"/>
      <c r="G931" s="16"/>
      <c r="H931" s="16"/>
      <c r="I931" s="16"/>
      <c r="J931" s="16"/>
      <c r="K931" s="16"/>
      <c r="L931" s="16"/>
      <c r="M931" s="16"/>
      <c r="N931" s="16"/>
      <c r="O931" s="16"/>
      <c r="P931" s="16"/>
      <c r="Q931" s="16"/>
      <c r="R931" s="16"/>
      <c r="S931" s="16"/>
      <c r="T931" s="16"/>
      <c r="U931" s="16"/>
      <c r="V931" s="16"/>
      <c r="W931" s="16"/>
    </row>
    <row r="932" spans="3:23" ht="17.25" hidden="1" customHeight="1">
      <c r="C932" s="10"/>
      <c r="D932" s="119"/>
      <c r="E932" s="119"/>
      <c r="F932" s="16"/>
      <c r="G932" s="16"/>
      <c r="H932" s="16"/>
      <c r="I932" s="16"/>
      <c r="J932" s="16"/>
      <c r="K932" s="16"/>
      <c r="L932" s="16"/>
      <c r="M932" s="16"/>
      <c r="N932" s="16"/>
      <c r="O932" s="16"/>
      <c r="P932" s="16"/>
      <c r="Q932" s="16"/>
      <c r="R932" s="16"/>
      <c r="S932" s="16"/>
      <c r="T932" s="16"/>
      <c r="U932" s="16"/>
      <c r="V932" s="16"/>
      <c r="W932" s="16"/>
    </row>
    <row r="933" spans="3:23" ht="17.25" hidden="1" customHeight="1">
      <c r="C933" s="10"/>
      <c r="D933" s="119"/>
      <c r="E933" s="119"/>
      <c r="F933" s="16"/>
      <c r="G933" s="16"/>
      <c r="H933" s="16"/>
      <c r="I933" s="16"/>
      <c r="J933" s="16"/>
      <c r="K933" s="16"/>
      <c r="L933" s="16"/>
      <c r="M933" s="16"/>
      <c r="N933" s="16"/>
      <c r="O933" s="16"/>
      <c r="P933" s="16"/>
      <c r="Q933" s="16"/>
      <c r="R933" s="16"/>
      <c r="S933" s="16"/>
      <c r="T933" s="16"/>
      <c r="U933" s="16"/>
      <c r="V933" s="16"/>
      <c r="W933" s="16"/>
    </row>
    <row r="934" spans="3:23" ht="17.25" hidden="1" customHeight="1">
      <c r="C934" s="10"/>
      <c r="D934" s="119"/>
      <c r="E934" s="119"/>
      <c r="F934" s="16"/>
      <c r="G934" s="16"/>
      <c r="H934" s="16"/>
      <c r="I934" s="16"/>
      <c r="J934" s="16"/>
      <c r="K934" s="16"/>
      <c r="L934" s="16"/>
      <c r="M934" s="16"/>
      <c r="N934" s="16"/>
      <c r="O934" s="16"/>
      <c r="P934" s="16"/>
      <c r="Q934" s="16"/>
      <c r="R934" s="16"/>
      <c r="S934" s="16"/>
      <c r="T934" s="16"/>
      <c r="U934" s="16"/>
      <c r="V934" s="16"/>
      <c r="W934" s="16"/>
    </row>
    <row r="935" spans="3:23" ht="17.25" hidden="1" customHeight="1">
      <c r="C935" s="10"/>
      <c r="D935" s="119"/>
      <c r="E935" s="119"/>
      <c r="F935" s="16"/>
      <c r="G935" s="16"/>
      <c r="H935" s="16"/>
      <c r="I935" s="16"/>
      <c r="J935" s="16"/>
      <c r="K935" s="16"/>
      <c r="L935" s="16"/>
      <c r="M935" s="16"/>
      <c r="N935" s="16"/>
      <c r="O935" s="16"/>
      <c r="P935" s="16"/>
      <c r="Q935" s="16"/>
      <c r="R935" s="16"/>
      <c r="S935" s="16"/>
      <c r="T935" s="16"/>
      <c r="U935" s="16"/>
      <c r="V935" s="16"/>
      <c r="W935" s="16"/>
    </row>
    <row r="936" spans="3:23" ht="17.25" hidden="1" customHeight="1">
      <c r="C936" s="10"/>
      <c r="D936" s="119"/>
      <c r="E936" s="119"/>
      <c r="F936" s="16"/>
      <c r="G936" s="16"/>
      <c r="H936" s="16"/>
      <c r="I936" s="16"/>
      <c r="J936" s="16"/>
      <c r="K936" s="16"/>
      <c r="L936" s="16"/>
      <c r="M936" s="16"/>
      <c r="N936" s="16"/>
      <c r="O936" s="16"/>
      <c r="P936" s="16"/>
      <c r="Q936" s="16"/>
      <c r="R936" s="16"/>
      <c r="S936" s="16"/>
      <c r="T936" s="16"/>
      <c r="U936" s="16"/>
      <c r="V936" s="16"/>
      <c r="W936" s="16"/>
    </row>
    <row r="937" spans="3:23" ht="17.25" hidden="1" customHeight="1">
      <c r="C937" s="10"/>
      <c r="D937" s="119"/>
      <c r="E937" s="119"/>
      <c r="F937" s="16"/>
      <c r="G937" s="16"/>
      <c r="H937" s="16"/>
      <c r="I937" s="16"/>
      <c r="J937" s="16"/>
      <c r="K937" s="16"/>
      <c r="L937" s="16"/>
      <c r="M937" s="16"/>
      <c r="N937" s="16"/>
      <c r="O937" s="16"/>
      <c r="P937" s="16"/>
      <c r="Q937" s="16"/>
      <c r="R937" s="16"/>
      <c r="S937" s="16"/>
      <c r="T937" s="16"/>
      <c r="U937" s="16"/>
      <c r="V937" s="16"/>
      <c r="W937" s="16"/>
    </row>
    <row r="938" spans="3:23" ht="17.25" hidden="1" customHeight="1">
      <c r="C938" s="10"/>
      <c r="D938" s="119"/>
      <c r="E938" s="119"/>
      <c r="F938" s="16"/>
      <c r="G938" s="16"/>
      <c r="H938" s="16"/>
      <c r="I938" s="16"/>
      <c r="J938" s="16"/>
      <c r="K938" s="16"/>
      <c r="L938" s="16"/>
      <c r="M938" s="16"/>
      <c r="N938" s="16"/>
      <c r="O938" s="16"/>
      <c r="P938" s="16"/>
      <c r="Q938" s="16"/>
      <c r="R938" s="16"/>
      <c r="S938" s="16"/>
      <c r="T938" s="16"/>
      <c r="U938" s="16"/>
      <c r="V938" s="16"/>
      <c r="W938" s="16"/>
    </row>
    <row r="939" spans="3:23" ht="17.25" hidden="1" customHeight="1">
      <c r="C939" s="10"/>
      <c r="D939" s="119"/>
      <c r="E939" s="119"/>
      <c r="F939" s="16"/>
      <c r="G939" s="16"/>
      <c r="H939" s="16"/>
      <c r="I939" s="16"/>
      <c r="J939" s="16"/>
      <c r="K939" s="16"/>
      <c r="L939" s="16"/>
      <c r="M939" s="16"/>
      <c r="N939" s="16"/>
      <c r="O939" s="16"/>
      <c r="P939" s="16"/>
      <c r="Q939" s="16"/>
      <c r="R939" s="16"/>
      <c r="S939" s="16"/>
      <c r="T939" s="16"/>
      <c r="U939" s="16"/>
      <c r="V939" s="16"/>
      <c r="W939" s="16"/>
    </row>
    <row r="940" spans="3:23" ht="17.25" hidden="1" customHeight="1">
      <c r="C940" s="10"/>
      <c r="D940" s="119"/>
      <c r="E940" s="119"/>
      <c r="F940" s="16"/>
      <c r="G940" s="16"/>
      <c r="H940" s="16"/>
      <c r="I940" s="16"/>
      <c r="J940" s="16"/>
      <c r="K940" s="16"/>
      <c r="L940" s="16"/>
      <c r="M940" s="16"/>
      <c r="N940" s="16"/>
      <c r="O940" s="16"/>
      <c r="P940" s="16"/>
      <c r="Q940" s="16"/>
      <c r="R940" s="16"/>
      <c r="S940" s="16"/>
      <c r="T940" s="16"/>
      <c r="U940" s="16"/>
      <c r="V940" s="16"/>
      <c r="W940" s="16"/>
    </row>
    <row r="941" spans="3:23" ht="17.25" hidden="1" customHeight="1">
      <c r="C941" s="10"/>
      <c r="D941" s="119"/>
      <c r="E941" s="119"/>
      <c r="F941" s="16"/>
      <c r="G941" s="16"/>
      <c r="H941" s="16"/>
      <c r="I941" s="16"/>
      <c r="J941" s="16"/>
      <c r="K941" s="16"/>
      <c r="L941" s="16"/>
      <c r="M941" s="16"/>
      <c r="N941" s="16"/>
      <c r="O941" s="16"/>
      <c r="P941" s="16"/>
      <c r="Q941" s="16"/>
      <c r="R941" s="16"/>
      <c r="S941" s="16"/>
      <c r="T941" s="16"/>
      <c r="U941" s="16"/>
      <c r="V941" s="16"/>
      <c r="W941" s="16"/>
    </row>
    <row r="942" spans="3:23" ht="17.25" hidden="1" customHeight="1">
      <c r="C942" s="10"/>
      <c r="D942" s="119"/>
      <c r="E942" s="119"/>
      <c r="F942" s="16"/>
      <c r="G942" s="16"/>
      <c r="H942" s="16"/>
      <c r="I942" s="16"/>
      <c r="J942" s="16"/>
      <c r="K942" s="16"/>
      <c r="L942" s="16"/>
      <c r="M942" s="16"/>
      <c r="N942" s="16"/>
      <c r="O942" s="16"/>
      <c r="P942" s="16"/>
      <c r="Q942" s="16"/>
      <c r="R942" s="16"/>
      <c r="S942" s="16"/>
      <c r="T942" s="16"/>
      <c r="U942" s="16"/>
      <c r="V942" s="16"/>
      <c r="W942" s="16"/>
    </row>
    <row r="943" spans="3:23" ht="17.25" hidden="1" customHeight="1">
      <c r="C943" s="10"/>
      <c r="D943" s="119"/>
      <c r="E943" s="119"/>
      <c r="F943" s="16"/>
      <c r="G943" s="16"/>
      <c r="H943" s="16"/>
      <c r="I943" s="16"/>
      <c r="J943" s="16"/>
      <c r="K943" s="16"/>
      <c r="L943" s="16"/>
      <c r="M943" s="16"/>
      <c r="N943" s="16"/>
      <c r="O943" s="16"/>
      <c r="P943" s="16"/>
      <c r="Q943" s="16"/>
      <c r="R943" s="16"/>
      <c r="S943" s="16"/>
      <c r="T943" s="16"/>
      <c r="U943" s="16"/>
      <c r="V943" s="16"/>
      <c r="W943" s="16"/>
    </row>
    <row r="944" spans="3:23" ht="17.25" hidden="1" customHeight="1">
      <c r="C944" s="10"/>
      <c r="D944" s="119"/>
      <c r="E944" s="119"/>
      <c r="F944" s="16"/>
      <c r="G944" s="16"/>
      <c r="H944" s="16"/>
      <c r="I944" s="16"/>
      <c r="J944" s="16"/>
      <c r="K944" s="16"/>
      <c r="L944" s="16"/>
      <c r="M944" s="16"/>
      <c r="N944" s="16"/>
      <c r="O944" s="16"/>
      <c r="P944" s="16"/>
      <c r="Q944" s="16"/>
      <c r="R944" s="16"/>
      <c r="S944" s="16"/>
      <c r="T944" s="16"/>
      <c r="U944" s="16"/>
      <c r="V944" s="16"/>
      <c r="W944" s="16"/>
    </row>
    <row r="945" spans="3:23" ht="17.25" hidden="1" customHeight="1">
      <c r="C945" s="10"/>
      <c r="D945" s="119"/>
      <c r="E945" s="119"/>
      <c r="F945" s="16"/>
      <c r="G945" s="16"/>
      <c r="H945" s="16"/>
      <c r="I945" s="16"/>
      <c r="J945" s="16"/>
      <c r="K945" s="16"/>
      <c r="L945" s="16"/>
      <c r="M945" s="16"/>
      <c r="N945" s="16"/>
      <c r="O945" s="16"/>
      <c r="P945" s="16"/>
      <c r="Q945" s="16"/>
      <c r="R945" s="16"/>
      <c r="S945" s="16"/>
      <c r="T945" s="16"/>
      <c r="U945" s="16"/>
      <c r="V945" s="16"/>
      <c r="W945" s="16"/>
    </row>
    <row r="946" spans="3:23" ht="17.25" hidden="1" customHeight="1">
      <c r="C946" s="10"/>
      <c r="D946" s="119"/>
      <c r="E946" s="119"/>
      <c r="F946" s="16"/>
      <c r="G946" s="16"/>
      <c r="H946" s="16"/>
      <c r="I946" s="16"/>
      <c r="J946" s="16"/>
      <c r="K946" s="16"/>
      <c r="L946" s="16"/>
      <c r="M946" s="16"/>
      <c r="N946" s="16"/>
      <c r="O946" s="16"/>
      <c r="P946" s="16"/>
      <c r="Q946" s="16"/>
      <c r="R946" s="16"/>
      <c r="S946" s="16"/>
      <c r="T946" s="16"/>
      <c r="U946" s="16"/>
      <c r="V946" s="16"/>
      <c r="W946" s="16"/>
    </row>
    <row r="947" spans="3:23" ht="17.25" hidden="1" customHeight="1">
      <c r="C947" s="10"/>
      <c r="D947" s="119"/>
      <c r="E947" s="119"/>
      <c r="F947" s="16"/>
      <c r="G947" s="16"/>
      <c r="H947" s="16"/>
      <c r="I947" s="16"/>
      <c r="J947" s="16"/>
      <c r="K947" s="16"/>
      <c r="L947" s="16"/>
      <c r="M947" s="16"/>
      <c r="N947" s="16"/>
      <c r="O947" s="16"/>
      <c r="P947" s="16"/>
      <c r="Q947" s="16"/>
      <c r="R947" s="16"/>
      <c r="S947" s="16"/>
      <c r="T947" s="16"/>
      <c r="U947" s="16"/>
      <c r="V947" s="16"/>
      <c r="W947" s="16"/>
    </row>
    <row r="948" spans="3:23" ht="17.25" hidden="1" customHeight="1">
      <c r="C948" s="10"/>
      <c r="D948" s="119"/>
      <c r="E948" s="119"/>
      <c r="F948" s="16"/>
      <c r="G948" s="16"/>
      <c r="H948" s="16"/>
      <c r="I948" s="16"/>
      <c r="J948" s="16"/>
      <c r="K948" s="16"/>
      <c r="L948" s="16"/>
      <c r="M948" s="16"/>
      <c r="N948" s="16"/>
      <c r="O948" s="16"/>
      <c r="P948" s="16"/>
      <c r="Q948" s="16"/>
      <c r="R948" s="16"/>
      <c r="S948" s="16"/>
      <c r="T948" s="16"/>
      <c r="U948" s="16"/>
      <c r="V948" s="16"/>
      <c r="W948" s="16"/>
    </row>
    <row r="949" spans="3:23" ht="17.25" hidden="1" customHeight="1">
      <c r="C949" s="10"/>
      <c r="D949" s="119"/>
      <c r="E949" s="119"/>
      <c r="F949" s="16"/>
      <c r="G949" s="16"/>
      <c r="H949" s="16"/>
      <c r="I949" s="16"/>
      <c r="J949" s="16"/>
      <c r="K949" s="16"/>
      <c r="L949" s="16"/>
      <c r="M949" s="16"/>
      <c r="N949" s="16"/>
      <c r="O949" s="16"/>
      <c r="P949" s="16"/>
      <c r="Q949" s="16"/>
      <c r="R949" s="16"/>
      <c r="S949" s="16"/>
      <c r="T949" s="16"/>
      <c r="U949" s="16"/>
      <c r="V949" s="16"/>
      <c r="W949" s="16"/>
    </row>
    <row r="950" spans="3:23" ht="17.25" hidden="1" customHeight="1">
      <c r="C950" s="10"/>
      <c r="D950" s="119"/>
      <c r="E950" s="119"/>
      <c r="F950" s="117"/>
      <c r="G950" s="117"/>
      <c r="H950" s="117"/>
      <c r="I950" s="117"/>
      <c r="J950" s="117"/>
      <c r="K950" s="117"/>
      <c r="L950" s="117"/>
      <c r="M950" s="117"/>
      <c r="N950" s="117"/>
      <c r="O950" s="117"/>
      <c r="P950" s="117"/>
      <c r="Q950" s="117"/>
      <c r="R950" s="117"/>
      <c r="S950" s="117"/>
      <c r="T950" s="117"/>
      <c r="U950" s="117"/>
      <c r="V950" s="117"/>
      <c r="W950" s="117"/>
    </row>
    <row r="951" spans="3:23" ht="17.25" hidden="1" customHeight="1">
      <c r="C951" s="10"/>
      <c r="D951" s="119"/>
      <c r="E951" s="119"/>
    </row>
    <row r="952" spans="3:23" ht="17.25" hidden="1" customHeight="1">
      <c r="C952" s="10"/>
      <c r="D952" s="119"/>
      <c r="E952" s="119"/>
    </row>
    <row r="953" spans="3:23" ht="17.25" hidden="1" customHeight="1">
      <c r="C953" s="10"/>
      <c r="D953" s="119"/>
      <c r="E953" s="119"/>
      <c r="F953" s="10"/>
      <c r="G953" s="10"/>
      <c r="H953" s="10"/>
      <c r="I953" s="10"/>
      <c r="J953" s="10"/>
      <c r="K953" s="10"/>
      <c r="L953" s="10"/>
      <c r="M953" s="10"/>
      <c r="N953" s="10"/>
      <c r="O953" s="10"/>
      <c r="P953" s="10"/>
      <c r="Q953" s="10"/>
      <c r="R953" s="10"/>
      <c r="S953" s="10"/>
      <c r="T953" s="10"/>
      <c r="U953" s="10"/>
      <c r="V953" s="10"/>
      <c r="W953" s="10"/>
    </row>
    <row r="954" spans="3:23" ht="17.25" hidden="1" customHeight="1">
      <c r="C954" s="10"/>
      <c r="D954" s="119"/>
      <c r="E954" s="119"/>
      <c r="F954" s="118"/>
      <c r="G954" s="118"/>
      <c r="H954" s="118"/>
      <c r="I954" s="118"/>
      <c r="J954" s="118"/>
      <c r="K954" s="118"/>
      <c r="L954" s="118"/>
      <c r="M954" s="118"/>
      <c r="N954" s="118"/>
      <c r="O954" s="118"/>
      <c r="P954" s="118"/>
      <c r="Q954" s="118"/>
      <c r="R954" s="118"/>
      <c r="S954" s="118"/>
      <c r="T954" s="118"/>
      <c r="U954" s="118"/>
      <c r="V954" s="118"/>
      <c r="W954" s="118"/>
    </row>
    <row r="955" spans="3:23" ht="17.25" hidden="1" customHeight="1">
      <c r="C955" s="10"/>
      <c r="D955" s="119"/>
      <c r="E955" s="119"/>
      <c r="F955" s="118"/>
      <c r="G955" s="118"/>
      <c r="H955" s="118"/>
      <c r="I955" s="118"/>
      <c r="J955" s="118"/>
      <c r="K955" s="118"/>
      <c r="L955" s="118"/>
      <c r="M955" s="118"/>
      <c r="N955" s="118"/>
      <c r="O955" s="118"/>
      <c r="P955" s="118"/>
      <c r="Q955" s="118"/>
      <c r="R955" s="118"/>
      <c r="S955" s="118"/>
      <c r="T955" s="118"/>
      <c r="U955" s="118"/>
      <c r="V955" s="118"/>
      <c r="W955" s="118"/>
    </row>
    <row r="956" spans="3:23" ht="17.25" hidden="1" customHeight="1">
      <c r="C956" s="10"/>
      <c r="D956" s="119"/>
      <c r="E956" s="119"/>
      <c r="F956" s="118"/>
      <c r="G956" s="118"/>
      <c r="H956" s="118"/>
      <c r="I956" s="118"/>
      <c r="J956" s="118"/>
      <c r="K956" s="118"/>
      <c r="L956" s="118"/>
      <c r="M956" s="118"/>
      <c r="N956" s="118"/>
      <c r="O956" s="118"/>
      <c r="P956" s="118"/>
      <c r="Q956" s="118"/>
      <c r="R956" s="118"/>
      <c r="S956" s="118"/>
      <c r="T956" s="118"/>
      <c r="U956" s="118"/>
      <c r="V956" s="118"/>
      <c r="W956" s="118"/>
    </row>
    <row r="957" spans="3:23" ht="17.25" hidden="1" customHeight="1">
      <c r="C957" s="10"/>
      <c r="F957" s="118"/>
      <c r="G957" s="118"/>
      <c r="H957" s="118"/>
      <c r="I957" s="118"/>
      <c r="J957" s="118"/>
      <c r="K957" s="118"/>
      <c r="L957" s="118"/>
      <c r="M957" s="118"/>
      <c r="N957" s="118"/>
      <c r="O957" s="118"/>
      <c r="P957" s="118"/>
      <c r="Q957" s="118"/>
      <c r="R957" s="118"/>
      <c r="S957" s="118"/>
      <c r="T957" s="118"/>
      <c r="U957" s="118"/>
      <c r="V957" s="118"/>
      <c r="W957" s="118"/>
    </row>
    <row r="958" spans="3:23" ht="17.25" hidden="1" customHeight="1">
      <c r="C958" s="10"/>
      <c r="F958" s="118"/>
      <c r="G958" s="118"/>
      <c r="H958" s="118"/>
      <c r="I958" s="118"/>
      <c r="J958" s="118"/>
      <c r="K958" s="118"/>
      <c r="L958" s="118"/>
      <c r="M958" s="118"/>
      <c r="N958" s="118"/>
      <c r="O958" s="118"/>
      <c r="P958" s="118"/>
      <c r="Q958" s="118"/>
      <c r="R958" s="118"/>
      <c r="S958" s="118"/>
      <c r="T958" s="118"/>
      <c r="U958" s="118"/>
      <c r="V958" s="118"/>
      <c r="W958" s="118"/>
    </row>
    <row r="959" spans="3:23" ht="17.25" hidden="1" customHeight="1">
      <c r="C959" s="10"/>
      <c r="F959" s="118"/>
      <c r="G959" s="118"/>
      <c r="H959" s="118"/>
      <c r="I959" s="118"/>
      <c r="J959" s="118"/>
      <c r="K959" s="118"/>
      <c r="L959" s="118"/>
      <c r="M959" s="118"/>
      <c r="N959" s="118"/>
      <c r="O959" s="118"/>
      <c r="P959" s="118"/>
      <c r="Q959" s="118"/>
      <c r="R959" s="118"/>
      <c r="S959" s="118"/>
      <c r="T959" s="118"/>
      <c r="U959" s="118"/>
      <c r="V959" s="118"/>
      <c r="W959" s="118"/>
    </row>
    <row r="960" spans="3:23" ht="17.25" hidden="1" customHeight="1">
      <c r="C960" s="10"/>
      <c r="F960" s="118"/>
      <c r="G960" s="118"/>
      <c r="H960" s="118"/>
      <c r="I960" s="118"/>
      <c r="J960" s="118"/>
      <c r="K960" s="118"/>
      <c r="L960" s="118"/>
      <c r="M960" s="118"/>
      <c r="N960" s="118"/>
      <c r="O960" s="118"/>
      <c r="P960" s="118"/>
      <c r="Q960" s="118"/>
      <c r="R960" s="118"/>
      <c r="S960" s="118"/>
      <c r="T960" s="118"/>
      <c r="U960" s="118"/>
      <c r="V960" s="118"/>
      <c r="W960" s="118"/>
    </row>
    <row r="961" spans="3:23" ht="17.25" hidden="1" customHeight="1">
      <c r="C961" s="10"/>
      <c r="F961" s="118"/>
      <c r="G961" s="118"/>
      <c r="H961" s="118"/>
      <c r="I961" s="118"/>
      <c r="J961" s="118"/>
      <c r="K961" s="118"/>
      <c r="L961" s="118"/>
      <c r="M961" s="118"/>
      <c r="N961" s="118"/>
      <c r="O961" s="118"/>
      <c r="P961" s="118"/>
      <c r="Q961" s="118"/>
      <c r="R961" s="118"/>
      <c r="S961" s="118"/>
      <c r="T961" s="118"/>
      <c r="U961" s="118"/>
      <c r="V961" s="118"/>
      <c r="W961" s="118"/>
    </row>
    <row r="962" spans="3:23" ht="17.25" hidden="1" customHeight="1">
      <c r="C962" s="10"/>
      <c r="F962" s="118"/>
      <c r="G962" s="118"/>
      <c r="H962" s="118"/>
      <c r="I962" s="118"/>
      <c r="J962" s="118"/>
      <c r="K962" s="118"/>
      <c r="L962" s="118"/>
      <c r="M962" s="118"/>
      <c r="N962" s="118"/>
      <c r="O962" s="118"/>
      <c r="P962" s="118"/>
      <c r="Q962" s="118"/>
      <c r="R962" s="118"/>
      <c r="S962" s="118"/>
      <c r="T962" s="118"/>
      <c r="U962" s="118"/>
      <c r="V962" s="118"/>
      <c r="W962" s="118"/>
    </row>
    <row r="963" spans="3:23" ht="17.25" hidden="1" customHeight="1">
      <c r="C963" s="10"/>
    </row>
    <row r="964" spans="3:23" ht="17.25" hidden="1" customHeight="1">
      <c r="C964" s="10"/>
    </row>
    <row r="965" spans="3:23" ht="17.25" hidden="1" customHeight="1"/>
    <row r="966" spans="3:23" ht="17.25" hidden="1" customHeight="1"/>
    <row r="967" spans="3:23" ht="17.25" hidden="1" customHeight="1"/>
    <row r="968" spans="3:23" ht="17.25" hidden="1" customHeight="1"/>
    <row r="969" spans="3:23" ht="17.25" hidden="1" customHeight="1"/>
    <row r="970" spans="3:23" ht="17.25" hidden="1" customHeight="1"/>
    <row r="971" spans="3:23" ht="17.25" hidden="1" customHeight="1"/>
    <row r="972" spans="3:23" ht="17.25" hidden="1" customHeight="1"/>
    <row r="973" spans="3:23" ht="17.25" hidden="1" customHeight="1"/>
    <row r="974" spans="3:23" ht="17.25" hidden="1" customHeight="1"/>
    <row r="975" spans="3:23" ht="17.25" hidden="1" customHeight="1"/>
    <row r="976" spans="3:23" ht="17.25" hidden="1" customHeight="1"/>
    <row r="977" ht="17.25" hidden="1" customHeight="1"/>
    <row r="978" ht="17.25" hidden="1" customHeight="1"/>
    <row r="979" ht="17.25" hidden="1" customHeight="1"/>
    <row r="980" ht="17.25" hidden="1" customHeight="1"/>
    <row r="981" ht="17.25" hidden="1" customHeight="1"/>
    <row r="982" ht="17.25" hidden="1" customHeight="1"/>
    <row r="983" ht="17.25" hidden="1" customHeight="1"/>
    <row r="984" ht="17.25" hidden="1" customHeight="1"/>
    <row r="985" ht="17.25" hidden="1" customHeight="1"/>
    <row r="986" ht="17.25" hidden="1" customHeight="1"/>
    <row r="987" ht="17.25" hidden="1" customHeight="1"/>
    <row r="988" ht="17.25" hidden="1" customHeight="1"/>
    <row r="989" ht="17.25" hidden="1" customHeight="1"/>
    <row r="990" ht="17.25" hidden="1" customHeight="1"/>
    <row r="991" ht="17.25" hidden="1" customHeight="1"/>
    <row r="992" ht="17.25" hidden="1" customHeight="1"/>
    <row r="993" ht="17.25" hidden="1" customHeight="1"/>
    <row r="994" ht="17.25" hidden="1" customHeight="1"/>
    <row r="995" ht="17.25" hidden="1" customHeight="1"/>
    <row r="996" ht="17.25" hidden="1" customHeight="1"/>
    <row r="997" ht="17.25" hidden="1" customHeight="1"/>
    <row r="998" ht="17.25" hidden="1" customHeight="1"/>
    <row r="999" ht="17.25" hidden="1" customHeight="1"/>
    <row r="1000" ht="17.25" hidden="1" customHeight="1"/>
    <row r="1001" ht="17.25" hidden="1" customHeight="1"/>
    <row r="1002" ht="17.25" hidden="1" customHeight="1"/>
    <row r="1003" ht="17.25" hidden="1" customHeight="1"/>
    <row r="1004" ht="17.25" hidden="1" customHeight="1"/>
    <row r="1005" ht="17.25" hidden="1" customHeight="1"/>
    <row r="1006" ht="17.25" hidden="1" customHeight="1"/>
    <row r="1007" ht="17.25" hidden="1" customHeight="1"/>
    <row r="1008" ht="17.25" hidden="1" customHeight="1"/>
    <row r="1009" ht="17.25" hidden="1" customHeight="1"/>
    <row r="1010" ht="17.25" hidden="1" customHeight="1"/>
    <row r="1011" ht="17.25" hidden="1" customHeight="1"/>
    <row r="1012" ht="17.25" hidden="1" customHeight="1"/>
    <row r="1013" ht="17.25" hidden="1" customHeight="1"/>
    <row r="1014" ht="17.25" hidden="1" customHeight="1"/>
    <row r="1015" ht="17.25" hidden="1" customHeight="1"/>
    <row r="1016" ht="17.25" hidden="1" customHeight="1"/>
    <row r="1017" ht="17.25" hidden="1" customHeight="1"/>
    <row r="1018" ht="17.25" hidden="1" customHeight="1"/>
    <row r="1019" ht="17.25" hidden="1" customHeight="1"/>
    <row r="1020" ht="17.25" hidden="1" customHeight="1"/>
    <row r="1021" ht="17.25" hidden="1" customHeight="1"/>
    <row r="1022" ht="17.25" hidden="1" customHeight="1"/>
    <row r="1023" ht="17.25" hidden="1" customHeight="1"/>
    <row r="1024" ht="17.25" hidden="1" customHeight="1"/>
    <row r="1025" ht="17.25" hidden="1" customHeight="1"/>
    <row r="1026" ht="17.25" hidden="1" customHeight="1"/>
    <row r="1027" ht="17.25" hidden="1" customHeight="1"/>
    <row r="1028" ht="17.25" hidden="1" customHeight="1"/>
    <row r="1029" ht="17.25" hidden="1" customHeight="1"/>
    <row r="1030" ht="17.25" hidden="1" customHeight="1"/>
    <row r="1031" ht="17.25" hidden="1" customHeight="1"/>
    <row r="1032" ht="17.25" hidden="1" customHeight="1"/>
    <row r="1033" ht="17.25" hidden="1" customHeight="1"/>
    <row r="1034" ht="17.25" hidden="1" customHeight="1"/>
    <row r="1035" ht="17.25" hidden="1" customHeight="1"/>
    <row r="1036" ht="17.25" hidden="1" customHeight="1"/>
    <row r="1037" ht="17.25" hidden="1" customHeight="1"/>
    <row r="1038" ht="17.25" hidden="1" customHeight="1"/>
    <row r="1039" ht="17.25" hidden="1" customHeight="1"/>
    <row r="1040" ht="17.25" hidden="1" customHeight="1"/>
    <row r="1041" ht="17.25" hidden="1" customHeight="1"/>
    <row r="1042" ht="17.25" hidden="1" customHeight="1"/>
    <row r="1043" ht="17.25" hidden="1" customHeight="1"/>
    <row r="1044" ht="17.25" hidden="1" customHeight="1"/>
    <row r="1045" ht="17.25" hidden="1" customHeight="1"/>
    <row r="1046" ht="17.25" hidden="1" customHeight="1"/>
    <row r="1047" ht="17.25" hidden="1" customHeight="1"/>
    <row r="1048" ht="17.25" hidden="1" customHeight="1"/>
    <row r="1049" ht="17.25" hidden="1" customHeight="1"/>
    <row r="1050" ht="17.25" hidden="1" customHeight="1"/>
    <row r="1051" ht="17.25" hidden="1" customHeight="1"/>
    <row r="1052" ht="17.25" hidden="1" customHeight="1"/>
    <row r="1053" ht="17.25" hidden="1" customHeight="1"/>
    <row r="1054" ht="17.25" hidden="1" customHeight="1"/>
    <row r="1055" ht="17.25" hidden="1" customHeight="1"/>
    <row r="1056" ht="17.25" hidden="1" customHeight="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sheetData>
  <mergeCells count="5">
    <mergeCell ref="C1:K1"/>
    <mergeCell ref="C5:C6"/>
    <mergeCell ref="D5:D6"/>
    <mergeCell ref="C2:K2"/>
    <mergeCell ref="C3:K3"/>
  </mergeCells>
  <phoneticPr fontId="8" type="noConversion"/>
  <printOptions horizontalCentered="1"/>
  <pageMargins left="0.5" right="0.5" top="0.5" bottom="0.5" header="0.5" footer="0.25"/>
  <pageSetup scale="28" fitToHeight="0" orientation="landscape" r:id="rId1"/>
  <headerFooter alignWithMargins="0">
    <oddFooter>&amp;L&amp;"Times New Roman,Bold Italic"&amp;F: &amp;A&amp;C&amp;"Times New Roman,Bold Italic"Date: &amp;D&amp;R&amp;"Times New Roman,Bold Italic"Page: &amp;P of &amp;N</oddFooter>
  </headerFooter>
  <rowBreaks count="1" manualBreakCount="1">
    <brk id="87" min="2" max="10" man="1"/>
  </rowBreaks>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pageSetUpPr fitToPage="1"/>
  </sheetPr>
  <dimension ref="A1:S107"/>
  <sheetViews>
    <sheetView zoomScale="80" zoomScaleNormal="80" workbookViewId="0">
      <pane xSplit="5" ySplit="7" topLeftCell="K50" activePane="bottomRight" state="frozen"/>
      <selection activeCell="J6" sqref="J6"/>
      <selection pane="topRight" activeCell="J6" sqref="J6"/>
      <selection pane="bottomLeft" activeCell="J6" sqref="J6"/>
      <selection pane="bottomRight" activeCell="P33" sqref="P33"/>
    </sheetView>
  </sheetViews>
  <sheetFormatPr defaultRowHeight="15.75"/>
  <cols>
    <col min="1" max="1" width="22.5" style="196" customWidth="1"/>
    <col min="2" max="2" width="2.5" style="20" customWidth="1"/>
    <col min="3" max="3" width="3.125" style="1520" customWidth="1"/>
    <col min="4" max="4" width="23.375" style="1520" customWidth="1"/>
    <col min="5" max="5" width="4" style="1520" bestFit="1" customWidth="1"/>
    <col min="6" max="6" width="16.875" style="1520" bestFit="1" customWidth="1"/>
    <col min="7" max="19" width="12.875" style="1520" bestFit="1" customWidth="1"/>
    <col min="20" max="16384" width="9" style="1520"/>
  </cols>
  <sheetData>
    <row r="1" spans="1:19">
      <c r="A1" s="411"/>
      <c r="D1" s="1624" t="s">
        <v>2181</v>
      </c>
      <c r="F1" s="562" t="s">
        <v>3493</v>
      </c>
    </row>
    <row r="2" spans="1:19">
      <c r="A2" s="411"/>
      <c r="D2" s="3142" t="s">
        <v>3971</v>
      </c>
      <c r="E2" s="1624"/>
      <c r="F2" s="562" t="s">
        <v>3785</v>
      </c>
    </row>
    <row r="3" spans="1:19">
      <c r="A3" s="411"/>
      <c r="D3" s="1624"/>
      <c r="F3" s="1624"/>
    </row>
    <row r="4" spans="1:19">
      <c r="A4" s="411"/>
    </row>
    <row r="5" spans="1:19" ht="16.5" thickBot="1">
      <c r="A5" s="411"/>
      <c r="G5" s="4327"/>
      <c r="H5" s="4327"/>
      <c r="I5" s="4327"/>
      <c r="J5" s="4327"/>
      <c r="K5" s="4327"/>
    </row>
    <row r="6" spans="1:19" ht="16.5" thickBot="1">
      <c r="A6" s="411"/>
      <c r="F6" s="1563" t="s">
        <v>2249</v>
      </c>
      <c r="G6" s="1643">
        <v>1.0300000000000001E-3</v>
      </c>
      <c r="H6" s="1644">
        <v>0</v>
      </c>
      <c r="I6" s="1644">
        <v>1.1940522965290003E-3</v>
      </c>
      <c r="J6" s="1644">
        <v>1.3439163793441224E-3</v>
      </c>
      <c r="K6" s="1644">
        <v>1.5579674166007653E-3</v>
      </c>
      <c r="L6" s="2139">
        <v>1.8602945717094974E-3</v>
      </c>
      <c r="M6" s="2139">
        <v>2.2879276757372629E-3</v>
      </c>
      <c r="N6" s="2139">
        <v>2.8982783280026726E-3</v>
      </c>
      <c r="O6" s="2139">
        <v>3.7815958416513476E-3</v>
      </c>
      <c r="P6" s="2139">
        <v>5.0821485916548673E-3</v>
      </c>
      <c r="Q6" s="2139">
        <v>7.0348822166232082E-3</v>
      </c>
      <c r="R6" s="2139">
        <v>1.0030059908031122E-2</v>
      </c>
      <c r="S6" s="2139">
        <v>1.4999999999999999E-2</v>
      </c>
    </row>
    <row r="7" spans="1:19" s="1524" customFormat="1">
      <c r="A7" s="411"/>
      <c r="B7" s="20"/>
      <c r="F7" s="1900">
        <f>Dashboard!F$7</f>
        <v>2013</v>
      </c>
      <c r="G7" s="1900">
        <f>Dashboard!G$7</f>
        <v>2014</v>
      </c>
      <c r="H7" s="1900">
        <f>Dashboard!H$7</f>
        <v>2015</v>
      </c>
      <c r="I7" s="1900">
        <f>Dashboard!I$7</f>
        <v>2016</v>
      </c>
      <c r="J7" s="1900">
        <f>Dashboard!J$7</f>
        <v>2017</v>
      </c>
      <c r="K7" s="1900">
        <f>Dashboard!K$7</f>
        <v>2018</v>
      </c>
      <c r="L7" s="1900">
        <f>Dashboard!L$7</f>
        <v>2019</v>
      </c>
      <c r="M7" s="1900">
        <f>Dashboard!M$7</f>
        <v>2020</v>
      </c>
      <c r="N7" s="1900">
        <f>Dashboard!N$7</f>
        <v>2021</v>
      </c>
      <c r="O7" s="1900">
        <f>Dashboard!O$7</f>
        <v>2022</v>
      </c>
      <c r="P7" s="1900">
        <f>Dashboard!P$7</f>
        <v>2023</v>
      </c>
      <c r="Q7" s="1900">
        <f>Dashboard!Q$7</f>
        <v>2024</v>
      </c>
      <c r="R7" s="1900">
        <f>Dashboard!R$7</f>
        <v>2025</v>
      </c>
      <c r="S7" s="1900">
        <f>Dashboard!S$7</f>
        <v>2026</v>
      </c>
    </row>
    <row r="8" spans="1:19">
      <c r="A8" s="411"/>
    </row>
    <row r="9" spans="1:19">
      <c r="A9" s="411"/>
      <c r="D9" s="1522" t="s">
        <v>717</v>
      </c>
      <c r="E9" s="1520" t="s">
        <v>1963</v>
      </c>
      <c r="G9" s="1523"/>
    </row>
    <row r="10" spans="1:19">
      <c r="A10" s="411"/>
      <c r="D10" s="1521" t="s">
        <v>1964</v>
      </c>
      <c r="E10" s="1520" t="s">
        <v>1965</v>
      </c>
      <c r="F10" s="1527">
        <f>'Forecast (BV) 2017'!F9</f>
        <v>120111176</v>
      </c>
      <c r="G10" s="1527">
        <f>'Forecast (BV) 2017'!G9</f>
        <v>121783447.86</v>
      </c>
      <c r="H10" s="1527">
        <f>'Forecast (BV) 2017'!H9</f>
        <v>120366417.23763707</v>
      </c>
      <c r="I10" s="1527">
        <f>'Forecast (BV) 2017'!I9</f>
        <v>123242823.8</v>
      </c>
      <c r="J10" s="1527">
        <f>'Forecast (BV) 2017'!J9</f>
        <v>125707735.3618919</v>
      </c>
      <c r="K10" s="1527">
        <f>'Forecast (BV) 2017'!K9</f>
        <v>125212737.0956192</v>
      </c>
      <c r="L10" s="1527">
        <f>'Forecast (BV) 2017'!L9</f>
        <v>127214137.48535559</v>
      </c>
      <c r="M10" s="1527">
        <f>'Forecast (BV) 2017'!M9</f>
        <v>129247528.2589215</v>
      </c>
      <c r="N10" s="1527">
        <f>'Forecast (BV) 2017'!N9</f>
        <v>131313420.75061211</v>
      </c>
      <c r="O10" s="1527">
        <f>'Forecast (BV) 2017'!O9</f>
        <v>133412334.46788989</v>
      </c>
      <c r="P10" s="1527">
        <f>'Forecast (BV) 2017'!P9</f>
        <v>135544797.22202465</v>
      </c>
      <c r="Q10" s="1527">
        <f>'Forecast (BV) 2017'!Q9</f>
        <v>137711345.26082149</v>
      </c>
      <c r="R10" s="1527">
        <f>'Forecast (BV) 2017'!R9</f>
        <v>139912523.40347046</v>
      </c>
      <c r="S10" s="1527">
        <f>'Forecast (BV) 2017'!S9</f>
        <v>142148885.17755154</v>
      </c>
    </row>
    <row r="11" spans="1:19">
      <c r="A11" s="411"/>
      <c r="D11" s="1521" t="s">
        <v>1966</v>
      </c>
      <c r="E11" s="1520" t="s">
        <v>1965</v>
      </c>
      <c r="F11" s="1527">
        <f>'Forecast (BV) 2017'!F10</f>
        <v>74183964.389999986</v>
      </c>
      <c r="G11" s="1527">
        <f>'Forecast (BV) 2017'!G10</f>
        <v>53571588.666819997</v>
      </c>
      <c r="H11" s="1527">
        <f>'Forecast (BV) 2017'!H10</f>
        <v>35000000</v>
      </c>
      <c r="I11" s="1527">
        <f>'Forecast (BV) 2017'!I10</f>
        <v>35000000</v>
      </c>
      <c r="J11" s="1527">
        <f>'Forecast (BV) 2017'!J10</f>
        <v>35000000</v>
      </c>
      <c r="K11" s="1527">
        <f>'Forecast (BV) 2017'!K10</f>
        <v>35000000</v>
      </c>
      <c r="L11" s="1527">
        <f>'Forecast (BV) 2017'!L10</f>
        <v>35000000</v>
      </c>
      <c r="M11" s="1527">
        <f>'Forecast (BV) 2017'!M10</f>
        <v>35000000</v>
      </c>
      <c r="N11" s="1527">
        <f>'Forecast (BV) 2017'!N10</f>
        <v>35000000</v>
      </c>
      <c r="O11" s="1527">
        <f>'Forecast (BV) 2017'!O10</f>
        <v>35000000</v>
      </c>
      <c r="P11" s="1527">
        <f>'Forecast (BV) 2017'!P10</f>
        <v>35000000</v>
      </c>
      <c r="Q11" s="1527">
        <f>'Forecast (BV) 2017'!Q10</f>
        <v>35000000</v>
      </c>
      <c r="R11" s="1527">
        <f>'Forecast (BV) 2017'!R10</f>
        <v>35000000</v>
      </c>
      <c r="S11" s="1527">
        <f>'Forecast (BV) 2017'!S10</f>
        <v>35000000</v>
      </c>
    </row>
    <row r="12" spans="1:19">
      <c r="A12" s="411"/>
      <c r="D12" s="1521" t="s">
        <v>1967</v>
      </c>
      <c r="E12" s="1520" t="s">
        <v>1968</v>
      </c>
      <c r="F12" s="1562">
        <f>'Forecast (BV) 2017'!F11</f>
        <v>0</v>
      </c>
      <c r="G12" s="1562">
        <f>'Forecast (BV) 2017'!G11</f>
        <v>0</v>
      </c>
      <c r="H12" s="1562">
        <f>'Forecast (BV) 2017'!H11</f>
        <v>15281986.80274754</v>
      </c>
      <c r="I12" s="1562">
        <f>'Forecast (BV) 2017'!I11</f>
        <v>12083702.953720002</v>
      </c>
      <c r="J12" s="1562">
        <f>'Forecast (BV) 2017'!J11</f>
        <v>0</v>
      </c>
      <c r="K12" s="1562">
        <f>'Forecast (BV) 2017'!K11</f>
        <v>54037071.547890358</v>
      </c>
      <c r="L12" s="1562">
        <f>'Forecast (BV) 2017'!L11</f>
        <v>0</v>
      </c>
      <c r="M12" s="1562">
        <f>'Forecast (BV) 2017'!M11</f>
        <v>7.4605047702789315E-9</v>
      </c>
      <c r="N12" s="1562">
        <f>'Forecast (BV) 2017'!N11</f>
        <v>-6.714454293251038E-8</v>
      </c>
      <c r="O12" s="1562">
        <f>'Forecast (BV) 2017'!O11</f>
        <v>0</v>
      </c>
      <c r="P12" s="1562">
        <f>'Forecast (BV) 2017'!P11</f>
        <v>0</v>
      </c>
      <c r="Q12" s="1562">
        <f>'Forecast (BV) 2017'!Q11</f>
        <v>9.4994902610778809E-8</v>
      </c>
      <c r="R12" s="1562">
        <f>'Forecast (BV) 2017'!R11</f>
        <v>-3.7252902984619141E-8</v>
      </c>
      <c r="S12" s="1562">
        <f>'Forecast (BV) 2017'!S11</f>
        <v>6.7055225372314453E-8</v>
      </c>
    </row>
    <row r="13" spans="1:19">
      <c r="A13" s="411"/>
      <c r="D13" s="1521" t="s">
        <v>1969</v>
      </c>
      <c r="E13" s="1520" t="s">
        <v>1965</v>
      </c>
      <c r="F13" s="1527">
        <f>'Forecast (BV) 2017'!F12</f>
        <v>3979371</v>
      </c>
      <c r="G13" s="1527">
        <f>'Forecast (BV) 2017'!G12</f>
        <v>3006716.03</v>
      </c>
      <c r="H13" s="1527">
        <f>'Forecast (BV) 2017'!H12</f>
        <v>3987821.9757650476</v>
      </c>
      <c r="I13" s="1527">
        <f>'Forecast (BV) 2017'!I12</f>
        <v>7228862.8499999996</v>
      </c>
      <c r="J13" s="1527">
        <f>'Forecast (BV) 2017'!J12</f>
        <v>9969539.2716433201</v>
      </c>
      <c r="K13" s="1527">
        <f>'Forecast (BV) 2017'!K12</f>
        <v>7228862.8499999996</v>
      </c>
      <c r="L13" s="1527">
        <f>'Forecast (BV) 2017'!L12</f>
        <v>7228862.8499999996</v>
      </c>
      <c r="M13" s="1527">
        <f>'Forecast (BV) 2017'!M12</f>
        <v>7228862.8499999996</v>
      </c>
      <c r="N13" s="1527">
        <f>'Forecast (BV) 2017'!N12</f>
        <v>7228862.8499999996</v>
      </c>
      <c r="O13" s="1527">
        <f>'Forecast (BV) 2017'!O12</f>
        <v>7228862.8499999996</v>
      </c>
      <c r="P13" s="1527">
        <f>'Forecast (BV) 2017'!P12</f>
        <v>7228862.8499999996</v>
      </c>
      <c r="Q13" s="1527">
        <f>'Forecast (BV) 2017'!Q12</f>
        <v>7228862.8499999996</v>
      </c>
      <c r="R13" s="1527">
        <f>'Forecast (BV) 2017'!R12</f>
        <v>7228862.8499999996</v>
      </c>
      <c r="S13" s="1527">
        <f>'Forecast (BV) 2017'!S12</f>
        <v>7228862.8499999996</v>
      </c>
    </row>
    <row r="14" spans="1:19">
      <c r="A14" s="411"/>
      <c r="D14" s="1521" t="s">
        <v>1970</v>
      </c>
      <c r="E14" s="1520" t="s">
        <v>1968</v>
      </c>
      <c r="F14" s="1527">
        <f>'Forecast (BV) 2017'!F13</f>
        <v>1710284</v>
      </c>
      <c r="G14" s="1527">
        <f>'Forecast (BV) 2017'!G13</f>
        <v>1730438.41</v>
      </c>
      <c r="H14" s="1527">
        <f>'Forecast (BV) 2017'!H13</f>
        <v>1713916.0702845447</v>
      </c>
      <c r="I14" s="1527">
        <f>'Forecast (BV) 2017'!I13</f>
        <v>1741606.64</v>
      </c>
      <c r="J14" s="1527">
        <f>'Forecast (BV) 2017'!J13</f>
        <v>1758097.73754544</v>
      </c>
      <c r="K14" s="1527">
        <f>'Forecast (BV) 2017'!K13</f>
        <v>1741606.64</v>
      </c>
      <c r="L14" s="1527">
        <f>'Forecast (BV) 2017'!L13</f>
        <v>1741606.64</v>
      </c>
      <c r="M14" s="1527">
        <f>'Forecast (BV) 2017'!M13</f>
        <v>1741606.64</v>
      </c>
      <c r="N14" s="1527">
        <f>'Forecast (BV) 2017'!N13</f>
        <v>1741606.64</v>
      </c>
      <c r="O14" s="1527">
        <f>'Forecast (BV) 2017'!O13</f>
        <v>1741606.64</v>
      </c>
      <c r="P14" s="1527">
        <f>'Forecast (BV) 2017'!P13</f>
        <v>1741606.64</v>
      </c>
      <c r="Q14" s="1527">
        <f>'Forecast (BV) 2017'!Q13</f>
        <v>1741606.64</v>
      </c>
      <c r="R14" s="1527">
        <f>'Forecast (BV) 2017'!R13</f>
        <v>1741606.64</v>
      </c>
      <c r="S14" s="1527">
        <f>'Forecast (BV) 2017'!S13</f>
        <v>1741606.64</v>
      </c>
    </row>
    <row r="15" spans="1:19">
      <c r="A15" s="411"/>
      <c r="D15" s="1521" t="s">
        <v>1971</v>
      </c>
      <c r="E15" s="1520" t="s">
        <v>1972</v>
      </c>
      <c r="F15" s="1527">
        <f>'Forecast (BV) 2017'!F14</f>
        <v>17141782</v>
      </c>
      <c r="G15" s="1527">
        <f>'Forecast (BV) 2017'!G14</f>
        <v>17916758.449999999</v>
      </c>
      <c r="H15" s="1527">
        <f>'Forecast (BV) 2017'!H14</f>
        <v>17178188.767024752</v>
      </c>
      <c r="I15" s="1527">
        <f>'Forecast (BV) 2017'!I14</f>
        <v>18259254.27</v>
      </c>
      <c r="J15" s="1527">
        <f>'Forecast (BV) 2017'!J14</f>
        <v>18203139.917064801</v>
      </c>
      <c r="K15" s="1527">
        <f>'Forecast (BV) 2017'!K14</f>
        <v>18259254.27</v>
      </c>
      <c r="L15" s="1527">
        <f>'Forecast (BV) 2017'!L14</f>
        <v>18259254.27</v>
      </c>
      <c r="M15" s="1527">
        <f>'Forecast (BV) 2017'!M14</f>
        <v>18259254.27</v>
      </c>
      <c r="N15" s="1527">
        <f>'Forecast (BV) 2017'!N14</f>
        <v>18259254.27</v>
      </c>
      <c r="O15" s="1527">
        <f>'Forecast (BV) 2017'!O14</f>
        <v>18259254.27</v>
      </c>
      <c r="P15" s="1527">
        <f>'Forecast (BV) 2017'!P14</f>
        <v>18259254.27</v>
      </c>
      <c r="Q15" s="1527">
        <f>'Forecast (BV) 2017'!Q14</f>
        <v>18259254.27</v>
      </c>
      <c r="R15" s="1527">
        <f>'Forecast (BV) 2017'!R14</f>
        <v>18259254.27</v>
      </c>
      <c r="S15" s="1527">
        <f>'Forecast (BV) 2017'!S14</f>
        <v>18259254.27</v>
      </c>
    </row>
    <row r="16" spans="1:19">
      <c r="A16" s="411"/>
      <c r="D16" s="1521" t="s">
        <v>1973</v>
      </c>
      <c r="E16" s="1520" t="s">
        <v>1972</v>
      </c>
      <c r="F16" s="1527">
        <f>'Forecast (BV) 2017'!F15</f>
        <v>3024397</v>
      </c>
      <c r="G16" s="1527">
        <f>'Forecast (BV) 2017'!G15</f>
        <v>38985010.82</v>
      </c>
      <c r="H16" s="1527">
        <f>'Forecast (BV) 2017'!H15</f>
        <v>42972517.778555177</v>
      </c>
      <c r="I16" s="1527">
        <f>'Forecast (BV) 2017'!I15</f>
        <v>7314225.9400000004</v>
      </c>
      <c r="J16" s="1527">
        <f>'Forecast (BV) 2017'!J15</f>
        <v>42446461.920058936</v>
      </c>
      <c r="K16" s="1527">
        <f>'Forecast (BV) 2017'!K15</f>
        <v>1045373.2348897986</v>
      </c>
      <c r="L16" s="1527">
        <f>'Forecast (BV) 2017'!L15</f>
        <v>1046765.6720386711</v>
      </c>
      <c r="M16" s="1527">
        <f>'Forecast (BV) 2017'!M15</f>
        <v>1048159.9639138266</v>
      </c>
      <c r="N16" s="1527">
        <f>'Forecast (BV) 2017'!N15</f>
        <v>1049556.1129857597</v>
      </c>
      <c r="O16" s="1527">
        <f>'Forecast (BV) 2017'!O15</f>
        <v>1050954.1217282568</v>
      </c>
      <c r="P16" s="1527">
        <f>'Forecast (BV) 2017'!P15</f>
        <v>1052353.9926183987</v>
      </c>
      <c r="Q16" s="1527">
        <f>'Forecast (BV) 2017'!Q15</f>
        <v>1053755.7281365665</v>
      </c>
      <c r="R16" s="1527">
        <f>'Forecast (BV) 2017'!R15</f>
        <v>1055159.3307664443</v>
      </c>
      <c r="S16" s="1527">
        <f>'Forecast (BV) 2017'!S15</f>
        <v>1056564.8029950252</v>
      </c>
    </row>
    <row r="17" spans="1:19">
      <c r="A17" s="411"/>
      <c r="D17" s="1521" t="s">
        <v>2596</v>
      </c>
      <c r="E17" s="1520" t="s">
        <v>1972</v>
      </c>
      <c r="F17" s="1527">
        <f>'Forecast (BV) 2017'!F16</f>
        <v>8565879</v>
      </c>
      <c r="G17" s="1527">
        <f>'Forecast (BV) 2017'!G16</f>
        <v>4586435.46</v>
      </c>
      <c r="H17" s="1527">
        <f>'Forecast (BV) 2017'!H16</f>
        <v>3571915.6299999901</v>
      </c>
      <c r="I17" s="1527">
        <f>'Forecast (BV) 2017'!I16</f>
        <v>3639720.2399999998</v>
      </c>
      <c r="J17" s="1527">
        <f>'Forecast (BV) 2017'!J16</f>
        <v>3571915.6299999901</v>
      </c>
      <c r="K17" s="1527">
        <f>'Forecast (BV) 2017'!K16</f>
        <v>3571915.6299999901</v>
      </c>
      <c r="L17" s="1527">
        <f>'Forecast (BV) 2017'!L16</f>
        <v>3571915.6299999901</v>
      </c>
      <c r="M17" s="1527">
        <f>'Forecast (BV) 2017'!M16</f>
        <v>17986915.629999992</v>
      </c>
      <c r="N17" s="1527">
        <f>'Forecast (BV) 2017'!N16</f>
        <v>18344040.629999992</v>
      </c>
      <c r="O17" s="1527">
        <f>'Forecast (BV) 2017'!O16</f>
        <v>18712290.629999992</v>
      </c>
      <c r="P17" s="1527">
        <f>'Forecast (BV) 2017'!P16</f>
        <v>19100665.629999992</v>
      </c>
      <c r="Q17" s="1527">
        <f>'Forecast (BV) 2017'!Q16</f>
        <v>17161265.629999999</v>
      </c>
      <c r="R17" s="1527">
        <f>'Forecast (BV) 2017'!R16</f>
        <v>4095625</v>
      </c>
      <c r="S17" s="1527">
        <f>'Forecast (BV) 2017'!S16</f>
        <v>4155500</v>
      </c>
    </row>
    <row r="18" spans="1:19">
      <c r="A18" s="411"/>
      <c r="D18" s="1521" t="s">
        <v>1975</v>
      </c>
      <c r="E18" s="1520" t="s">
        <v>1965</v>
      </c>
      <c r="F18" s="1526">
        <f>'Forecast (BV) 2017'!F17</f>
        <v>1100970</v>
      </c>
      <c r="G18" s="1526">
        <f>'Forecast (BV) 2017'!G17</f>
        <v>1086503.07</v>
      </c>
      <c r="H18" s="1526">
        <f>'Forecast (BV) 2017'!H17</f>
        <v>1103308.177641762</v>
      </c>
      <c r="I18" s="1526">
        <f>'Forecast (BV) 2017'!I17</f>
        <v>629587.12211999996</v>
      </c>
      <c r="J18" s="1526">
        <f>'Forecast (BV) 2017'!J17</f>
        <v>1103869.73507088</v>
      </c>
      <c r="K18" s="1526">
        <f>'Forecast (BV) 2017'!K17</f>
        <v>629587.12211999996</v>
      </c>
      <c r="L18" s="1526">
        <f>'Forecast (BV) 2017'!L17</f>
        <v>629587.12211999996</v>
      </c>
      <c r="M18" s="1526">
        <f>'Forecast (BV) 2017'!M17</f>
        <v>629587.12211999996</v>
      </c>
      <c r="N18" s="1526">
        <f>'Forecast (BV) 2017'!N17</f>
        <v>629587.12211999996</v>
      </c>
      <c r="O18" s="1526">
        <f>'Forecast (BV) 2017'!O17</f>
        <v>629587.12211999996</v>
      </c>
      <c r="P18" s="1526">
        <f>'Forecast (BV) 2017'!P17</f>
        <v>629587.12211999996</v>
      </c>
      <c r="Q18" s="1526">
        <f>'Forecast (BV) 2017'!Q17</f>
        <v>629587.12211999996</v>
      </c>
      <c r="R18" s="1526">
        <f>'Forecast (BV) 2017'!R17</f>
        <v>629587.12211999996</v>
      </c>
      <c r="S18" s="1526">
        <f>'Forecast (BV) 2017'!S17</f>
        <v>629587.12211999996</v>
      </c>
    </row>
    <row r="19" spans="1:19">
      <c r="A19" s="411"/>
      <c r="D19" s="4200" t="s">
        <v>3884</v>
      </c>
      <c r="E19" s="1520" t="s">
        <v>1972</v>
      </c>
      <c r="F19" s="1527">
        <f>'Forecast (BV) 2017'!F18</f>
        <v>0</v>
      </c>
      <c r="G19" s="1527">
        <f>'Forecast (BV) 2017'!G18</f>
        <v>0</v>
      </c>
      <c r="H19" s="1527">
        <f>'Forecast (BV) 2017'!H18</f>
        <v>0</v>
      </c>
      <c r="I19" s="1527">
        <f>'Forecast (BV) 2017'!I18</f>
        <v>1248238.8686800001</v>
      </c>
      <c r="J19" s="1527">
        <f>'Forecast (BV) 2017'!J18</f>
        <v>0</v>
      </c>
      <c r="K19" s="1527">
        <f>'Forecast (BV) 2017'!K18</f>
        <v>0</v>
      </c>
      <c r="L19" s="1527">
        <f>'Forecast (BV) 2017'!L18</f>
        <v>0</v>
      </c>
      <c r="M19" s="1527">
        <f>'Forecast (BV) 2017'!M18</f>
        <v>0</v>
      </c>
      <c r="N19" s="1527">
        <f>'Forecast (BV) 2017'!N18</f>
        <v>0</v>
      </c>
      <c r="O19" s="1527">
        <f>'Forecast (BV) 2017'!O18</f>
        <v>0</v>
      </c>
      <c r="P19" s="1527">
        <f>'Forecast (BV) 2017'!P18</f>
        <v>0</v>
      </c>
      <c r="Q19" s="1527">
        <f>'Forecast (BV) 2017'!Q18</f>
        <v>0</v>
      </c>
      <c r="R19" s="1527">
        <f>'Forecast (BV) 2017'!R18</f>
        <v>0</v>
      </c>
      <c r="S19" s="1527">
        <f>'Forecast (BV) 2017'!S18</f>
        <v>0</v>
      </c>
    </row>
    <row r="20" spans="1:19">
      <c r="A20" s="411"/>
      <c r="D20" s="1582" t="s">
        <v>1976</v>
      </c>
      <c r="E20" s="1522"/>
      <c r="F20" s="1568">
        <f>SUM(F10:F19)</f>
        <v>229817823.38999999</v>
      </c>
      <c r="G20" s="1568">
        <f t="shared" ref="G20:S20" si="0">SUM(G10:G19)</f>
        <v>242666898.76681998</v>
      </c>
      <c r="H20" s="1568">
        <f t="shared" si="0"/>
        <v>241176072.4396559</v>
      </c>
      <c r="I20" s="1568">
        <f t="shared" si="0"/>
        <v>210388022.68452001</v>
      </c>
      <c r="J20" s="1568">
        <f t="shared" si="0"/>
        <v>237760759.57327524</v>
      </c>
      <c r="K20" s="1568">
        <f t="shared" si="0"/>
        <v>246726408.39051935</v>
      </c>
      <c r="L20" s="1568">
        <f t="shared" si="0"/>
        <v>194692129.66951424</v>
      </c>
      <c r="M20" s="1568">
        <f t="shared" si="0"/>
        <v>211141914.73495531</v>
      </c>
      <c r="N20" s="1568">
        <f t="shared" si="0"/>
        <v>213566328.37571779</v>
      </c>
      <c r="O20" s="1568">
        <f t="shared" si="0"/>
        <v>216034890.10173815</v>
      </c>
      <c r="P20" s="1568">
        <f t="shared" si="0"/>
        <v>218557127.72676304</v>
      </c>
      <c r="Q20" s="1568">
        <f t="shared" si="0"/>
        <v>218785677.50107813</v>
      </c>
      <c r="R20" s="1568">
        <f t="shared" si="0"/>
        <v>207922618.61635685</v>
      </c>
      <c r="S20" s="1568">
        <f t="shared" si="0"/>
        <v>210220260.86266661</v>
      </c>
    </row>
    <row r="21" spans="1:19">
      <c r="A21" s="411"/>
    </row>
    <row r="22" spans="1:19">
      <c r="A22" s="411"/>
      <c r="D22" s="1522" t="s">
        <v>1977</v>
      </c>
      <c r="E22" s="1520" t="s">
        <v>1963</v>
      </c>
    </row>
    <row r="23" spans="1:19">
      <c r="A23" s="411"/>
      <c r="D23" s="1521" t="s">
        <v>1978</v>
      </c>
      <c r="E23" s="1520" t="s">
        <v>1968</v>
      </c>
      <c r="F23" s="1578">
        <f>'Forecast (BV) 2017'!F21</f>
        <v>18855958.129999999</v>
      </c>
      <c r="G23" s="1578">
        <f>'Forecast (BV) 2017'!G21</f>
        <v>10960158.873180002</v>
      </c>
      <c r="H23" s="1578">
        <f>'Forecast (BV) 2017'!H21</f>
        <v>4500000</v>
      </c>
      <c r="I23" s="1578">
        <f>'Forecast (BV) 2017'!I21</f>
        <v>21233209.899999999</v>
      </c>
      <c r="J23" s="1578">
        <f>'Forecast (BV) 2017'!J21</f>
        <v>4500000</v>
      </c>
      <c r="K23" s="1578">
        <f>'Forecast (BV) 2017'!K21</f>
        <v>4500000</v>
      </c>
      <c r="L23" s="1578">
        <f>'Forecast (BV) 2017'!L21</f>
        <v>4500000</v>
      </c>
      <c r="M23" s="1578">
        <f>'Forecast (BV) 2017'!M21</f>
        <v>4500000</v>
      </c>
      <c r="N23" s="1578">
        <f>'Forecast (BV) 2017'!N21</f>
        <v>4500000</v>
      </c>
      <c r="O23" s="1578">
        <f>'Forecast (BV) 2017'!O21</f>
        <v>4500000</v>
      </c>
      <c r="P23" s="1578">
        <f>'Forecast (BV) 2017'!P21</f>
        <v>4500000</v>
      </c>
      <c r="Q23" s="1578">
        <f>'Forecast (BV) 2017'!Q21</f>
        <v>4500000</v>
      </c>
      <c r="R23" s="1578">
        <f>'Forecast (BV) 2017'!R21</f>
        <v>4500000</v>
      </c>
      <c r="S23" s="1578">
        <f>'Forecast (BV) 2017'!S21</f>
        <v>4500000</v>
      </c>
    </row>
    <row r="24" spans="1:19">
      <c r="A24" s="411"/>
      <c r="D24" s="1521" t="s">
        <v>1979</v>
      </c>
      <c r="E24" s="1520" t="s">
        <v>1972</v>
      </c>
      <c r="F24" s="1578">
        <f>'Forecast (BV) 2017'!F22</f>
        <v>67797565</v>
      </c>
      <c r="G24" s="1578">
        <f>'Forecast (BV) 2017'!G22</f>
        <v>95773666.480000004</v>
      </c>
      <c r="H24" s="1578">
        <f>'Forecast (BV) 2017'!H22</f>
        <v>104999477.19760987</v>
      </c>
      <c r="I24" s="1578">
        <f>'Forecast (BV) 2017'!I22</f>
        <v>124519646.04000001</v>
      </c>
      <c r="J24" s="1578">
        <f>'Forecast (BV) 2017'!J22</f>
        <v>112039651.95702724</v>
      </c>
      <c r="K24" s="1578">
        <f>'Forecast (BV) 2017'!K22</f>
        <v>2395970.9837005883</v>
      </c>
      <c r="L24" s="1578">
        <f>'Forecast (BV) 2017'!L22</f>
        <v>48125745.300241888</v>
      </c>
      <c r="M24" s="1578">
        <f>'Forecast (BV) 2017'!M22</f>
        <v>35224517.1956992</v>
      </c>
      <c r="N24" s="1578">
        <f>'Forecast (BV) 2017'!N22</f>
        <v>29590422.413400382</v>
      </c>
      <c r="O24" s="1578">
        <f>'Forecast (BV) 2017'!O22</f>
        <v>30125282.262037739</v>
      </c>
      <c r="P24" s="1578">
        <f>'Forecast (BV) 2017'!P22</f>
        <v>31463733.122096859</v>
      </c>
      <c r="Q24" s="1578">
        <f>'Forecast (BV) 2017'!Q22</f>
        <v>30068187.052298546</v>
      </c>
      <c r="R24" s="1578">
        <f>'Forecast (BV) 2017'!R22</f>
        <v>29898534.027976409</v>
      </c>
      <c r="S24" s="1578">
        <f>'Forecast (BV) 2017'!S22</f>
        <v>46679113.848120421</v>
      </c>
    </row>
    <row r="25" spans="1:19">
      <c r="A25" s="411"/>
      <c r="D25" s="1521" t="s">
        <v>1980</v>
      </c>
      <c r="E25" s="1520" t="s">
        <v>1968</v>
      </c>
      <c r="F25" s="1527">
        <f>'Forecast (BV) 2017'!F23</f>
        <v>24625643</v>
      </c>
      <c r="G25" s="1527">
        <f>'Forecast (BV) 2017'!G23</f>
        <v>11951985.800000001</v>
      </c>
      <c r="H25" s="1527">
        <f>'Forecast (BV) 2017'!H23</f>
        <v>25220393.12477611</v>
      </c>
      <c r="I25" s="1527">
        <f>'Forecast (BV) 2017'!I23</f>
        <v>12015914.65</v>
      </c>
      <c r="J25" s="1527">
        <f>'Forecast (BV) 2017'!J23</f>
        <v>25670186.950231917</v>
      </c>
      <c r="K25" s="1527">
        <f>'Forecast (BV) 2017'!K23</f>
        <v>24686894.701499999</v>
      </c>
      <c r="L25" s="1527">
        <f>'Forecast (BV) 2017'!L23</f>
        <v>24436179.597649112</v>
      </c>
      <c r="M25" s="1527">
        <f>'Forecast (BV) 2017'!M23</f>
        <v>24137936.180060707</v>
      </c>
      <c r="N25" s="1527">
        <f>'Forecast (BV) 2017'!N23</f>
        <v>24537310.374384612</v>
      </c>
      <c r="O25" s="1527">
        <f>'Forecast (BV) 2017'!O23</f>
        <v>24765474.015150249</v>
      </c>
      <c r="P25" s="1527">
        <f>'Forecast (BV) 2017'!P23</f>
        <v>23974049.937069729</v>
      </c>
      <c r="Q25" s="1527">
        <f>'Forecast (BV) 2017'!Q23</f>
        <v>24009164.350682706</v>
      </c>
      <c r="R25" s="1527">
        <f>'Forecast (BV) 2017'!R23</f>
        <v>23654792.972460374</v>
      </c>
      <c r="S25" s="1527">
        <f>'Forecast (BV) 2017'!S23</f>
        <v>23664160.007525526</v>
      </c>
    </row>
    <row r="26" spans="1:19">
      <c r="A26" s="411"/>
      <c r="D26" s="1521" t="s">
        <v>2596</v>
      </c>
      <c r="E26" s="1520" t="s">
        <v>1972</v>
      </c>
      <c r="F26" s="1562">
        <f>'Forecast (BV) 2017'!F24</f>
        <v>77241138</v>
      </c>
      <c r="G26" s="1562">
        <f>'Forecast (BV) 2017'!G24</f>
        <v>96007516.080000013</v>
      </c>
      <c r="H26" s="1562">
        <f>'Forecast (BV) 2017'!H24</f>
        <v>97365833.775174171</v>
      </c>
      <c r="I26" s="1562">
        <f>'Forecast (BV) 2017'!I24</f>
        <v>109913801.12</v>
      </c>
      <c r="J26" s="1562">
        <f>'Forecast (BV) 2017'!J24</f>
        <v>104396104.88496287</v>
      </c>
      <c r="K26" s="1562">
        <f>'Forecast (BV) 2017'!K24</f>
        <v>67992308.090000004</v>
      </c>
      <c r="L26" s="1562">
        <f>'Forecast (BV) 2017'!L24</f>
        <v>80141932.721598566</v>
      </c>
      <c r="M26" s="1562">
        <f>'Forecast (BV) 2017'!M24</f>
        <v>87999791.090393424</v>
      </c>
      <c r="N26" s="1562">
        <f>'Forecast (BV) 2017'!N24</f>
        <v>99456594.664687574</v>
      </c>
      <c r="O26" s="1562">
        <f>'Forecast (BV) 2017'!O24</f>
        <v>111213266.43577157</v>
      </c>
      <c r="P26" s="1562">
        <f>'Forecast (BV) 2017'!P24</f>
        <v>117363283.96581092</v>
      </c>
      <c r="Q26" s="1562">
        <f>'Forecast (BV) 2017'!Q24</f>
        <v>129555677.2539714</v>
      </c>
      <c r="R26" s="1562">
        <f>'Forecast (BV) 2017'!R24</f>
        <v>139371497.82825807</v>
      </c>
      <c r="S26" s="1562">
        <f>'Forecast (BV) 2017'!S24</f>
        <v>152134196.39803529</v>
      </c>
    </row>
    <row r="27" spans="1:19">
      <c r="A27" s="411"/>
      <c r="D27" s="1583" t="s">
        <v>1971</v>
      </c>
      <c r="E27" s="1520" t="s">
        <v>1972</v>
      </c>
      <c r="F27" s="1561">
        <f>'Forecast (BV) 2017'!F25</f>
        <v>30755765</v>
      </c>
      <c r="G27" s="1561">
        <f>'Forecast (BV) 2017'!G25</f>
        <v>41054145.979999997</v>
      </c>
      <c r="H27" s="1561">
        <f>'Forecast (BV) 2017'!H25</f>
        <v>54336772.957885332</v>
      </c>
      <c r="I27" s="1561">
        <f>'Forecast (BV) 2017'!I25</f>
        <v>41559813.199999996</v>
      </c>
      <c r="J27" s="1561">
        <f>'Forecast (BV) 2017'!J25</f>
        <v>45119246.521969862</v>
      </c>
      <c r="K27" s="1561">
        <f>'Forecast (BV) 2017'!K25</f>
        <v>41559813.199999996</v>
      </c>
      <c r="L27" s="1561">
        <f>'Forecast (BV) 2017'!L25</f>
        <v>42494998.166921884</v>
      </c>
      <c r="M27" s="1561">
        <f>'Forecast (BV) 2017'!M25</f>
        <v>46341337.456662461</v>
      </c>
      <c r="N27" s="1561">
        <f>'Forecast (BV) 2017'!N25</f>
        <v>49018187.896330103</v>
      </c>
      <c r="O27" s="1561">
        <f>'Forecast (BV) 2017'!O25</f>
        <v>50710705.258178726</v>
      </c>
      <c r="P27" s="1561">
        <f>'Forecast (BV) 2017'!P25</f>
        <v>51917471.959790163</v>
      </c>
      <c r="Q27" s="1561">
        <f>'Forecast (BV) 2017'!Q25</f>
        <v>52747320.831595451</v>
      </c>
      <c r="R27" s="1561">
        <f>'Forecast (BV) 2017'!R25</f>
        <v>53590434.00776767</v>
      </c>
      <c r="S27" s="1561">
        <f>'Forecast (BV) 2017'!S25</f>
        <v>54447023.504947826</v>
      </c>
    </row>
    <row r="28" spans="1:19">
      <c r="A28" s="411"/>
      <c r="D28" s="1521" t="s">
        <v>1981</v>
      </c>
      <c r="E28" s="1520" t="s">
        <v>1972</v>
      </c>
      <c r="F28" s="1642">
        <f>'Forecast (BV) 2017'!F26</f>
        <v>12496529</v>
      </c>
      <c r="G28" s="1642">
        <f>'Forecast (BV) 2017'!G26</f>
        <v>12585650.960000001</v>
      </c>
      <c r="H28" s="1642">
        <f>'Forecast (BV) 2017'!H26</f>
        <v>12523070.135211417</v>
      </c>
      <c r="I28" s="1642">
        <f>'Forecast (BV) 2017'!I26</f>
        <v>11732036.640000001</v>
      </c>
      <c r="J28" s="1642">
        <f>'Forecast (BV) 2017'!J26</f>
        <v>12786820.004944641</v>
      </c>
      <c r="K28" s="1642">
        <f>'Forecast (BV) 2017'!K26</f>
        <v>11732036.640000001</v>
      </c>
      <c r="L28" s="1642">
        <f>'Forecast (BV) 2017'!L26</f>
        <v>11732036.640000001</v>
      </c>
      <c r="M28" s="1642">
        <f>'Forecast (BV) 2017'!M26</f>
        <v>11732036.640000001</v>
      </c>
      <c r="N28" s="1642">
        <f>'Forecast (BV) 2017'!N26</f>
        <v>11732036.640000001</v>
      </c>
      <c r="O28" s="1642">
        <f>'Forecast (BV) 2017'!O26</f>
        <v>11732036.640000001</v>
      </c>
      <c r="P28" s="1642">
        <f>'Forecast (BV) 2017'!P26</f>
        <v>11732036.640000001</v>
      </c>
      <c r="Q28" s="1642">
        <f>'Forecast (BV) 2017'!Q26</f>
        <v>11732036.640000001</v>
      </c>
      <c r="R28" s="1642">
        <f>'Forecast (BV) 2017'!R26</f>
        <v>11732036.640000001</v>
      </c>
      <c r="S28" s="1642">
        <f>'Forecast (BV) 2017'!S26</f>
        <v>11732036.640000001</v>
      </c>
    </row>
    <row r="29" spans="1:19">
      <c r="A29" s="411"/>
      <c r="D29" s="1521" t="s">
        <v>1975</v>
      </c>
      <c r="E29" s="1520" t="s">
        <v>1965</v>
      </c>
      <c r="F29" s="1578">
        <f>'Forecast (BV) 2017'!F27</f>
        <v>0</v>
      </c>
      <c r="G29" s="1578">
        <f>'Forecast (BV) 2017'!G27</f>
        <v>0</v>
      </c>
      <c r="H29" s="1578">
        <f>'Forecast (BV) 2017'!H27</f>
        <v>0</v>
      </c>
      <c r="I29" s="1578">
        <f>'Forecast (BV) 2017'!I27</f>
        <v>430323.85788000003</v>
      </c>
      <c r="J29" s="1578">
        <f>'Forecast (BV) 2017'!J27</f>
        <v>0</v>
      </c>
      <c r="K29" s="1578">
        <f>'Forecast (BV) 2017'!K27</f>
        <v>0</v>
      </c>
      <c r="L29" s="1578">
        <f>'Forecast (BV) 2017'!L27</f>
        <v>0</v>
      </c>
      <c r="M29" s="1578">
        <f>'Forecast (BV) 2017'!M27</f>
        <v>0</v>
      </c>
      <c r="N29" s="1578">
        <f>'Forecast (BV) 2017'!N27</f>
        <v>0</v>
      </c>
      <c r="O29" s="1578">
        <f>'Forecast (BV) 2017'!O27</f>
        <v>0</v>
      </c>
      <c r="P29" s="1578">
        <f>'Forecast (BV) 2017'!P27</f>
        <v>0</v>
      </c>
      <c r="Q29" s="1578">
        <f>'Forecast (BV) 2017'!Q27</f>
        <v>0</v>
      </c>
      <c r="R29" s="1578">
        <f>'Forecast (BV) 2017'!R27</f>
        <v>0</v>
      </c>
      <c r="S29" s="1578">
        <f>'Forecast (BV) 2017'!S27</f>
        <v>0</v>
      </c>
    </row>
    <row r="30" spans="1:19">
      <c r="A30" s="411"/>
      <c r="D30" s="1521" t="s">
        <v>3884</v>
      </c>
      <c r="E30" s="1520" t="s">
        <v>1972</v>
      </c>
      <c r="F30" s="2157">
        <f>'Forecast (BV) 2017'!F28</f>
        <v>0</v>
      </c>
      <c r="G30" s="2157">
        <f>'Forecast (BV) 2017'!G28</f>
        <v>0</v>
      </c>
      <c r="H30" s="2157">
        <f>'Forecast (BV) 2017'!H28</f>
        <v>0</v>
      </c>
      <c r="I30" s="2157">
        <f>'Forecast (BV) 2017'!I28</f>
        <v>7044516.3876</v>
      </c>
      <c r="J30" s="2157">
        <f>'Forecast (BV) 2017'!J28</f>
        <v>0</v>
      </c>
      <c r="K30" s="2157">
        <f>'Forecast (BV) 2017'!K28</f>
        <v>0</v>
      </c>
      <c r="L30" s="2157">
        <f>'Forecast (BV) 2017'!L28</f>
        <v>0</v>
      </c>
      <c r="M30" s="2157">
        <f>'Forecast (BV) 2017'!M28</f>
        <v>0</v>
      </c>
      <c r="N30" s="2157">
        <f>'Forecast (BV) 2017'!N28</f>
        <v>0</v>
      </c>
      <c r="O30" s="2157">
        <f>'Forecast (BV) 2017'!O28</f>
        <v>0</v>
      </c>
      <c r="P30" s="2157">
        <f>'Forecast (BV) 2017'!P28</f>
        <v>0</v>
      </c>
      <c r="Q30" s="2157">
        <f>'Forecast (BV) 2017'!Q28</f>
        <v>0</v>
      </c>
      <c r="R30" s="2157">
        <f>'Forecast (BV) 2017'!R28</f>
        <v>0</v>
      </c>
      <c r="S30" s="2157">
        <f>'Forecast (BV) 2017'!S28</f>
        <v>0</v>
      </c>
    </row>
    <row r="31" spans="1:19">
      <c r="A31" s="411"/>
      <c r="D31" s="1582" t="s">
        <v>1982</v>
      </c>
      <c r="E31" s="1522"/>
      <c r="F31" s="1568">
        <f>SUM(F23:F30)</f>
        <v>231772598.13</v>
      </c>
      <c r="G31" s="1568">
        <f t="shared" ref="G31:S31" si="1">SUM(G23:G30)</f>
        <v>268333124.17318001</v>
      </c>
      <c r="H31" s="1568">
        <f t="shared" si="1"/>
        <v>298945547.1906569</v>
      </c>
      <c r="I31" s="1568">
        <f t="shared" si="1"/>
        <v>328449261.79548001</v>
      </c>
      <c r="J31" s="1568">
        <f t="shared" si="1"/>
        <v>304512010.3191365</v>
      </c>
      <c r="K31" s="1568">
        <f t="shared" si="1"/>
        <v>152867023.61520058</v>
      </c>
      <c r="L31" s="1568">
        <f t="shared" si="1"/>
        <v>211430892.42641145</v>
      </c>
      <c r="M31" s="1568">
        <f t="shared" si="1"/>
        <v>209935618.56281579</v>
      </c>
      <c r="N31" s="1568">
        <f t="shared" si="1"/>
        <v>218834551.98880267</v>
      </c>
      <c r="O31" s="1568">
        <f t="shared" si="1"/>
        <v>233046764.61113828</v>
      </c>
      <c r="P31" s="1568">
        <f t="shared" si="1"/>
        <v>240950575.62476766</v>
      </c>
      <c r="Q31" s="1568">
        <f t="shared" si="1"/>
        <v>252612386.12854809</v>
      </c>
      <c r="R31" s="1568">
        <f t="shared" si="1"/>
        <v>262747295.47646254</v>
      </c>
      <c r="S31" s="1568">
        <f t="shared" si="1"/>
        <v>293156530.39862907</v>
      </c>
    </row>
    <row r="32" spans="1:19">
      <c r="A32" s="411"/>
      <c r="D32" s="1521"/>
    </row>
    <row r="33" spans="1:19">
      <c r="A33" s="411"/>
      <c r="D33" s="1522" t="s">
        <v>1983</v>
      </c>
      <c r="E33" s="1522"/>
      <c r="F33" s="1568">
        <f>F20+F31</f>
        <v>461590421.51999998</v>
      </c>
      <c r="G33" s="1568">
        <f t="shared" ref="G33:S33" si="2">G20+G31</f>
        <v>511000022.94</v>
      </c>
      <c r="H33" s="1568">
        <f t="shared" si="2"/>
        <v>540121619.6303128</v>
      </c>
      <c r="I33" s="1568">
        <f t="shared" si="2"/>
        <v>538837284.48000002</v>
      </c>
      <c r="J33" s="1568">
        <f t="shared" si="2"/>
        <v>542272769.89241171</v>
      </c>
      <c r="K33" s="1568">
        <f t="shared" si="2"/>
        <v>399593432.0057199</v>
      </c>
      <c r="L33" s="1568">
        <f t="shared" si="2"/>
        <v>406123022.09592569</v>
      </c>
      <c r="M33" s="1568">
        <f t="shared" si="2"/>
        <v>421077533.2977711</v>
      </c>
      <c r="N33" s="1568">
        <f t="shared" si="2"/>
        <v>432400880.36452043</v>
      </c>
      <c r="O33" s="1568">
        <f t="shared" si="2"/>
        <v>449081654.71287644</v>
      </c>
      <c r="P33" s="1568">
        <f t="shared" si="2"/>
        <v>459507703.35153067</v>
      </c>
      <c r="Q33" s="1568">
        <f t="shared" si="2"/>
        <v>471398063.62962621</v>
      </c>
      <c r="R33" s="1568">
        <f t="shared" si="2"/>
        <v>470669914.09281939</v>
      </c>
      <c r="S33" s="1568">
        <f t="shared" si="2"/>
        <v>503376791.26129568</v>
      </c>
    </row>
    <row r="34" spans="1:19">
      <c r="A34" s="411"/>
      <c r="D34" s="1520" t="s">
        <v>1984</v>
      </c>
    </row>
    <row r="35" spans="1:19">
      <c r="A35" s="411"/>
    </row>
    <row r="36" spans="1:19">
      <c r="A36" s="411"/>
      <c r="D36" s="1576" t="s">
        <v>2183</v>
      </c>
    </row>
    <row r="37" spans="1:19">
      <c r="A37" s="411"/>
      <c r="D37" s="1521" t="s">
        <v>717</v>
      </c>
      <c r="F37" s="1523">
        <f t="shared" ref="F37:K37" si="3">SUM(F10:F14,F18)</f>
        <v>201085765.38999999</v>
      </c>
      <c r="G37" s="1523">
        <f t="shared" si="3"/>
        <v>181178694.03681999</v>
      </c>
      <c r="H37" s="1523">
        <f t="shared" si="3"/>
        <v>177453450.26407596</v>
      </c>
      <c r="I37" s="1523">
        <f t="shared" si="3"/>
        <v>179926583.36583999</v>
      </c>
      <c r="J37" s="1523">
        <f t="shared" si="3"/>
        <v>173539242.10615152</v>
      </c>
      <c r="K37" s="1523">
        <f t="shared" si="3"/>
        <v>223849865.25562954</v>
      </c>
      <c r="L37" s="1523">
        <f t="shared" ref="L37:S37" si="4">SUM(L10:L14,L18)</f>
        <v>171814194.09747556</v>
      </c>
      <c r="M37" s="1523">
        <f t="shared" si="4"/>
        <v>173847584.87104148</v>
      </c>
      <c r="N37" s="1523">
        <f t="shared" si="4"/>
        <v>175913477.36273202</v>
      </c>
      <c r="O37" s="1523">
        <f t="shared" si="4"/>
        <v>178012391.08000988</v>
      </c>
      <c r="P37" s="1523">
        <f t="shared" si="4"/>
        <v>180144853.83414462</v>
      </c>
      <c r="Q37" s="1523">
        <f t="shared" si="4"/>
        <v>182311401.87294155</v>
      </c>
      <c r="R37" s="1523">
        <f t="shared" si="4"/>
        <v>184512580.0155904</v>
      </c>
      <c r="S37" s="1523">
        <f t="shared" si="4"/>
        <v>186748941.78967157</v>
      </c>
    </row>
    <row r="38" spans="1:19">
      <c r="A38" s="411"/>
      <c r="D38" s="1521" t="s">
        <v>1977</v>
      </c>
      <c r="F38" s="1526">
        <f>SUM(F23,F25)</f>
        <v>43481601.129999995</v>
      </c>
      <c r="G38" s="1526">
        <f t="shared" ref="G38:S38" si="5">SUM(G23,G25)</f>
        <v>22912144.673180003</v>
      </c>
      <c r="H38" s="1526">
        <f>SUM(H23,H25)</f>
        <v>29720393.12477611</v>
      </c>
      <c r="I38" s="1526">
        <f>SUM(I23,I25)</f>
        <v>33249124.549999997</v>
      </c>
      <c r="J38" s="1526">
        <f>SUM(J23,J25)</f>
        <v>30170186.950231917</v>
      </c>
      <c r="K38" s="1526">
        <f>SUM(K23,K25)</f>
        <v>29186894.701499999</v>
      </c>
      <c r="L38" s="1526">
        <f t="shared" si="5"/>
        <v>28936179.597649112</v>
      </c>
      <c r="M38" s="1526">
        <f t="shared" si="5"/>
        <v>28637936.180060707</v>
      </c>
      <c r="N38" s="1526">
        <f t="shared" si="5"/>
        <v>29037310.374384612</v>
      </c>
      <c r="O38" s="1526">
        <f t="shared" si="5"/>
        <v>29265474.015150249</v>
      </c>
      <c r="P38" s="1526">
        <f t="shared" si="5"/>
        <v>28474049.937069729</v>
      </c>
      <c r="Q38" s="1526">
        <f t="shared" si="5"/>
        <v>28509164.350682706</v>
      </c>
      <c r="R38" s="1526">
        <f t="shared" si="5"/>
        <v>28154792.972460374</v>
      </c>
      <c r="S38" s="1526">
        <f t="shared" si="5"/>
        <v>28164160.007525526</v>
      </c>
    </row>
    <row r="39" spans="1:19">
      <c r="A39" s="411"/>
      <c r="D39" s="1580" t="s">
        <v>452</v>
      </c>
      <c r="E39" s="1522"/>
      <c r="F39" s="1581">
        <f>SUM(F37:F38)</f>
        <v>244567366.51999998</v>
      </c>
      <c r="G39" s="1581">
        <f t="shared" ref="G39:S39" si="6">SUM(G37:G38)</f>
        <v>204090838.71000001</v>
      </c>
      <c r="H39" s="1581">
        <f>SUM(H37:H38)</f>
        <v>207173843.38885206</v>
      </c>
      <c r="I39" s="1581">
        <f>SUM(I37:I38)</f>
        <v>213175707.91583997</v>
      </c>
      <c r="J39" s="1581">
        <f>SUM(J37:J38)</f>
        <v>203709429.05638343</v>
      </c>
      <c r="K39" s="1581">
        <f>SUM(K37:K38)</f>
        <v>253036759.95712954</v>
      </c>
      <c r="L39" s="1581">
        <f t="shared" si="6"/>
        <v>200750373.69512469</v>
      </c>
      <c r="M39" s="1581">
        <f t="shared" si="6"/>
        <v>202485521.05110219</v>
      </c>
      <c r="N39" s="1581">
        <f t="shared" si="6"/>
        <v>204950787.73711663</v>
      </c>
      <c r="O39" s="1581">
        <f t="shared" si="6"/>
        <v>207277865.09516013</v>
      </c>
      <c r="P39" s="1581">
        <f t="shared" si="6"/>
        <v>208618903.77121437</v>
      </c>
      <c r="Q39" s="1581">
        <f t="shared" si="6"/>
        <v>210820566.22362426</v>
      </c>
      <c r="R39" s="1581">
        <f t="shared" si="6"/>
        <v>212667372.98805076</v>
      </c>
      <c r="S39" s="1581">
        <f t="shared" si="6"/>
        <v>214913101.7971971</v>
      </c>
    </row>
    <row r="40" spans="1:19">
      <c r="A40" s="411"/>
      <c r="D40" s="1580"/>
      <c r="E40" s="1522"/>
      <c r="F40" s="1581"/>
      <c r="G40" s="1581"/>
      <c r="H40" s="1581"/>
      <c r="I40" s="1581"/>
      <c r="J40" s="1581"/>
      <c r="K40" s="1581"/>
      <c r="L40" s="1581"/>
      <c r="M40" s="1581"/>
      <c r="N40" s="1581"/>
      <c r="O40" s="1581"/>
      <c r="P40" s="1581"/>
      <c r="Q40" s="1581"/>
      <c r="R40" s="1581"/>
      <c r="S40" s="1581"/>
    </row>
    <row r="41" spans="1:19">
      <c r="A41" s="411"/>
      <c r="D41" s="1522" t="s">
        <v>2246</v>
      </c>
      <c r="F41" s="1523"/>
      <c r="G41" s="1705">
        <f>G39*365/SUM('Fin Forecast - Consolidated'!I57,-'Fin Forecast - Consolidated'!I54,-'Fin Forecast - Consolidated'!I45,-'Fin Forecast - Consolidated'!I34)</f>
        <v>432.25660064226133</v>
      </c>
      <c r="H41" s="1705">
        <f>H39*365/SUM('Fin Forecast - Consolidated'!J57,-'Fin Forecast - Consolidated'!J54,-'Fin Forecast - Consolidated'!J45,-'Fin Forecast - Consolidated'!J34)</f>
        <v>503.40853222346601</v>
      </c>
      <c r="I41" s="1705">
        <f>I39*365/SUM('Fin Forecast - Consolidated'!K57,-'Fin Forecast - Consolidated'!K54,-'Fin Forecast - Consolidated'!K45,-'Fin Forecast - Consolidated'!K34)</f>
        <v>668.61169565992668</v>
      </c>
      <c r="J41" s="1705">
        <f>J39*365/SUM('Fin Forecast - Consolidated'!L57,-'Fin Forecast - Consolidated'!L54,-'Fin Forecast - Consolidated'!L45,-'Fin Forecast - Consolidated'!L34)</f>
        <v>645.89729702976501</v>
      </c>
      <c r="K41" s="1705">
        <f>K39*365/SUM('Fin Forecast - Consolidated'!M57,-'Fin Forecast - Consolidated'!M54,-'Fin Forecast - Consolidated'!M45,-'Fin Forecast - Consolidated'!M34)</f>
        <v>782.78565190073198</v>
      </c>
      <c r="L41" s="1705">
        <f>L39*365/SUM('Fin Forecast - Consolidated'!N57,-'Fin Forecast - Consolidated'!N54,-'Fin Forecast - Consolidated'!N45,-'Fin Forecast - Consolidated'!N34)</f>
        <v>591.25862350361615</v>
      </c>
      <c r="M41" s="1705">
        <f>M39*365/SUM('Fin Forecast - Consolidated'!O57,-'Fin Forecast - Consolidated'!O54,-'Fin Forecast - Consolidated'!O45,-'Fin Forecast - Consolidated'!O34)</f>
        <v>514.92676725908757</v>
      </c>
      <c r="N41" s="1705">
        <f>N39*365/SUM('Fin Forecast - Consolidated'!P57,-'Fin Forecast - Consolidated'!P54,-'Fin Forecast - Consolidated'!P45,-'Fin Forecast - Consolidated'!P34)</f>
        <v>362.28626969767527</v>
      </c>
      <c r="O41" s="1705">
        <f>O39*365/SUM('Fin Forecast - Consolidated'!Q57,-'Fin Forecast - Consolidated'!Q54,-'Fin Forecast - Consolidated'!Q45,-'Fin Forecast - Consolidated'!Q34)</f>
        <v>360.56700225281645</v>
      </c>
      <c r="P41" s="1705">
        <f>P39*365/SUM('Fin Forecast - Consolidated'!R57,-'Fin Forecast - Consolidated'!R54,-'Fin Forecast - Consolidated'!R45,-'Fin Forecast - Consolidated'!R34)</f>
        <v>352.07482099879809</v>
      </c>
      <c r="Q41" s="1705">
        <f>Q39*365/SUM('Fin Forecast - Consolidated'!S57,-'Fin Forecast - Consolidated'!S54,-'Fin Forecast - Consolidated'!S45,-'Fin Forecast - Consolidated'!S34)</f>
        <v>345.62076028784321</v>
      </c>
      <c r="R41" s="1705">
        <f>R39*365/SUM('Fin Forecast - Consolidated'!T57,-'Fin Forecast - Consolidated'!T54,-'Fin Forecast - Consolidated'!T45,-'Fin Forecast - Consolidated'!T34)</f>
        <v>330.5165900536083</v>
      </c>
      <c r="S41" s="1705">
        <f>S39*365/SUM('Fin Forecast - Consolidated'!U57,-'Fin Forecast - Consolidated'!U54,-'Fin Forecast - Consolidated'!U45,-'Fin Forecast - Consolidated'!U34)</f>
        <v>313.65222875579309</v>
      </c>
    </row>
    <row r="42" spans="1:19">
      <c r="A42" s="411"/>
      <c r="D42" s="1522"/>
      <c r="F42" s="1523"/>
    </row>
    <row r="43" spans="1:19">
      <c r="A43" s="411"/>
      <c r="C43" s="1573"/>
      <c r="D43" s="1574"/>
      <c r="E43" s="1573"/>
      <c r="F43" s="1575"/>
      <c r="G43" s="1573"/>
      <c r="H43" s="1573"/>
      <c r="I43" s="1573"/>
      <c r="J43" s="1573"/>
      <c r="K43" s="1573"/>
      <c r="L43" s="1573"/>
      <c r="M43" s="1573"/>
      <c r="N43" s="1573"/>
      <c r="O43" s="1573"/>
      <c r="P43" s="1573"/>
      <c r="Q43" s="1573"/>
      <c r="R43" s="1573"/>
      <c r="S43" s="1573"/>
    </row>
    <row r="44" spans="1:19">
      <c r="A44" s="411"/>
      <c r="F44" s="1523"/>
    </row>
    <row r="45" spans="1:19">
      <c r="A45" s="411"/>
      <c r="D45" s="1564" t="s">
        <v>2250</v>
      </c>
    </row>
    <row r="46" spans="1:19">
      <c r="A46" s="411"/>
      <c r="D46" s="1539"/>
    </row>
    <row r="47" spans="1:19">
      <c r="A47" s="411"/>
      <c r="D47" s="1564" t="s">
        <v>2251</v>
      </c>
    </row>
    <row r="48" spans="1:19">
      <c r="A48" s="411"/>
      <c r="D48" s="1563" t="s">
        <v>2252</v>
      </c>
      <c r="G48" s="1527">
        <f>F60</f>
        <v>74183964.600119993</v>
      </c>
      <c r="H48" s="1527">
        <f>G60</f>
        <v>86739956.661385402</v>
      </c>
      <c r="I48" s="1527">
        <f t="shared" ref="I48:S48" si="7">H60</f>
        <v>132548680.81751624</v>
      </c>
      <c r="J48" s="1527">
        <f t="shared" si="7"/>
        <v>132415221.28218946</v>
      </c>
      <c r="K48" s="1527">
        <f t="shared" si="7"/>
        <v>131821638.32982565</v>
      </c>
      <c r="L48" s="1527">
        <f t="shared" si="7"/>
        <v>133583702.067112</v>
      </c>
      <c r="M48" s="1527">
        <f t="shared" si="7"/>
        <v>132056893.47958098</v>
      </c>
      <c r="N48" s="1527">
        <f t="shared" si="7"/>
        <v>130933384.06657849</v>
      </c>
      <c r="O48" s="1527">
        <f t="shared" si="7"/>
        <v>135753326.18802443</v>
      </c>
      <c r="P48" s="1527">
        <f t="shared" si="7"/>
        <v>134824256.45742735</v>
      </c>
      <c r="Q48" s="1527">
        <f t="shared" si="7"/>
        <v>142091641.44698393</v>
      </c>
      <c r="R48" s="1527">
        <f t="shared" si="7"/>
        <v>147034933.93786082</v>
      </c>
      <c r="S48" s="1527">
        <f t="shared" si="7"/>
        <v>152484595.03324497</v>
      </c>
    </row>
    <row r="49" spans="1:19">
      <c r="A49" s="411"/>
      <c r="D49" s="1563" t="s">
        <v>2253</v>
      </c>
      <c r="G49" s="1562">
        <f>'Fin Forecast - Consolidated'!I30-'Fin Forecast - Consolidated'!I25</f>
        <v>335931879.66734779</v>
      </c>
      <c r="H49" s="1562">
        <f>'Fin Forecast - Consolidated'!J30-'Fin Forecast - Consolidated'!J25</f>
        <v>330019596.1259132</v>
      </c>
      <c r="I49" s="1562">
        <f>'Fin Forecast - Consolidated'!K30-'Fin Forecast - Consolidated'!K25</f>
        <v>298729608.9269613</v>
      </c>
      <c r="J49" s="1562">
        <f>'Fin Forecast - Consolidated'!L30-'Fin Forecast - Consolidated'!L25</f>
        <v>289864358.36860871</v>
      </c>
      <c r="K49" s="1562">
        <f>'Fin Forecast - Consolidated'!M30-'Fin Forecast - Consolidated'!M25</f>
        <v>301101707.60030007</v>
      </c>
      <c r="L49" s="1562">
        <f>'Fin Forecast - Consolidated'!N30-'Fin Forecast - Consolidated'!N25</f>
        <v>319561433.12923527</v>
      </c>
      <c r="M49" s="1562">
        <f>'Fin Forecast - Consolidated'!O30-'Fin Forecast - Consolidated'!O25</f>
        <v>338976136.63340056</v>
      </c>
      <c r="N49" s="1562">
        <f>'Fin Forecast - Consolidated'!P30-'Fin Forecast - Consolidated'!P25</f>
        <v>412055896.58777463</v>
      </c>
      <c r="O49" s="1562">
        <f>'Fin Forecast - Consolidated'!Q30-'Fin Forecast - Consolidated'!Q25</f>
        <v>432354499.48444265</v>
      </c>
      <c r="P49" s="1562">
        <f>'Fin Forecast - Consolidated'!R30-'Fin Forecast - Consolidated'!R25</f>
        <v>446717604.95829064</v>
      </c>
      <c r="Q49" s="1562">
        <f>'Fin Forecast - Consolidated'!S30-'Fin Forecast - Consolidated'!S25</f>
        <v>465977523.57051033</v>
      </c>
      <c r="R49" s="1562">
        <f>'Fin Forecast - Consolidated'!T30-'Fin Forecast - Consolidated'!T25</f>
        <v>482967981.00897133</v>
      </c>
      <c r="S49" s="1562">
        <f>'Fin Forecast - Consolidated'!U30-'Fin Forecast - Consolidated'!U25</f>
        <v>506910948.50745142</v>
      </c>
    </row>
    <row r="50" spans="1:19">
      <c r="A50" s="411"/>
      <c r="D50" s="1563" t="s">
        <v>2254</v>
      </c>
      <c r="G50" s="1562">
        <f>-('Fin Forecast - Consolidated'!I57-'Fin Forecast - Consolidated'!I34)</f>
        <v>-262277906.01999977</v>
      </c>
      <c r="H50" s="1562">
        <f>-('Fin Forecast - Consolidated'!J57-'Fin Forecast - Consolidated'!J34)</f>
        <v>-235467984.26999998</v>
      </c>
      <c r="I50" s="1562">
        <f>-('Fin Forecast - Consolidated'!K57-'Fin Forecast - Consolidated'!K34)</f>
        <v>-211276367.12797311</v>
      </c>
      <c r="J50" s="1562">
        <f>-('Fin Forecast - Consolidated'!L57-'Fin Forecast - Consolidated'!L34)</f>
        <v>-216106161.0920338</v>
      </c>
      <c r="K50" s="1562">
        <f>-('Fin Forecast - Consolidated'!M57-'Fin Forecast - Consolidated'!M34)</f>
        <v>-223578315.5212025</v>
      </c>
      <c r="L50" s="1562">
        <f>-('Fin Forecast - Consolidated'!N57-'Fin Forecast - Consolidated'!N34)</f>
        <v>-246830111.55836043</v>
      </c>
      <c r="M50" s="1562">
        <f>-('Fin Forecast - Consolidated'!O57-'Fin Forecast - Consolidated'!O34)</f>
        <v>-269036607.21410507</v>
      </c>
      <c r="N50" s="1562">
        <f>-('Fin Forecast - Consolidated'!P57-'Fin Forecast - Consolidated'!P34)</f>
        <v>-329132341.53533256</v>
      </c>
      <c r="O50" s="1562">
        <f>-('Fin Forecast - Consolidated'!Q57-'Fin Forecast - Consolidated'!Q34)</f>
        <v>-335867771.57857949</v>
      </c>
      <c r="P50" s="1562">
        <f>-('Fin Forecast - Consolidated'!R57-'Fin Forecast - Consolidated'!R34)</f>
        <v>-335378623.60761034</v>
      </c>
      <c r="Q50" s="1562">
        <f>-('Fin Forecast - Consolidated'!S57-'Fin Forecast - Consolidated'!S34)</f>
        <v>-331500835.53360307</v>
      </c>
      <c r="R50" s="1562">
        <f>-('Fin Forecast - Consolidated'!T57-'Fin Forecast - Consolidated'!T34)</f>
        <v>-347037720.92253476</v>
      </c>
      <c r="S50" s="1562">
        <f>-('Fin Forecast - Consolidated'!U57-'Fin Forecast - Consolidated'!U34)</f>
        <v>-365215553.29649532</v>
      </c>
    </row>
    <row r="51" spans="1:19">
      <c r="A51" s="411"/>
      <c r="D51" s="1563" t="s">
        <v>2255</v>
      </c>
      <c r="F51" s="1584"/>
      <c r="G51" s="1562"/>
      <c r="H51" s="1562"/>
      <c r="I51" s="1562"/>
      <c r="J51" s="1562"/>
      <c r="K51" s="1562"/>
      <c r="L51" s="1584"/>
      <c r="M51" s="1584"/>
      <c r="N51" s="1584"/>
      <c r="O51" s="1584"/>
      <c r="P51" s="1584"/>
      <c r="Q51" s="1584"/>
      <c r="R51" s="1584"/>
      <c r="S51" s="1584"/>
    </row>
    <row r="52" spans="1:19" ht="16.5" thickBot="1">
      <c r="A52" s="411"/>
      <c r="D52" s="1563" t="s">
        <v>2256</v>
      </c>
      <c r="G52" s="1527">
        <f>-'Fin Forecast - Elec'!I92</f>
        <v>-43454998.460000001</v>
      </c>
      <c r="H52" s="1527">
        <f>-'Fin Forecast - Elec'!J92</f>
        <v>-36659184.746062398</v>
      </c>
      <c r="I52" s="1527">
        <f>-'Fin Forecast - Elec'!K92</f>
        <v>-59999222.552695818</v>
      </c>
      <c r="J52" s="1527">
        <f>-'Fin Forecast - Elec'!L92</f>
        <v>-69299537.898900956</v>
      </c>
      <c r="K52" s="1527">
        <f>-'Fin Forecast - Elec'!M92</f>
        <v>-55761096.780477867</v>
      </c>
      <c r="L52" s="1527">
        <f>-'Fin Forecast - Elec'!N92</f>
        <v>-52719294.060464561</v>
      </c>
      <c r="M52" s="1527">
        <f>-'Fin Forecast - Elec'!O92</f>
        <v>-29345320.730032656</v>
      </c>
      <c r="N52" s="1527">
        <f>-'Fin Forecast - Elec'!P92</f>
        <v>-27846208.057557296</v>
      </c>
      <c r="O52" s="1527">
        <f>-'Fin Forecast - Elec'!Q92</f>
        <v>-31387073.699986964</v>
      </c>
      <c r="P52" s="1527">
        <f>-'Fin Forecast - Elec'!R92</f>
        <v>-36279392.549446926</v>
      </c>
      <c r="Q52" s="1527">
        <f>-'Fin Forecast - Elec'!S92</f>
        <v>-31901862.832594763</v>
      </c>
      <c r="R52" s="1527">
        <f>-'Fin Forecast - Elec'!T92</f>
        <v>-31158184.660147019</v>
      </c>
      <c r="S52" s="1527">
        <f>-'Fin Forecast - Elec'!U92</f>
        <v>-34661890.528807357</v>
      </c>
    </row>
    <row r="53" spans="1:19" ht="16.5" thickBot="1">
      <c r="A53" s="411"/>
      <c r="D53" s="1563" t="s">
        <v>2257</v>
      </c>
      <c r="G53" s="1567">
        <v>-10187631.210000001</v>
      </c>
      <c r="H53" s="2144"/>
      <c r="I53" s="2144"/>
      <c r="J53" s="2144"/>
      <c r="K53" s="2144"/>
      <c r="L53" s="1584"/>
      <c r="M53" s="1584"/>
      <c r="N53" s="1584"/>
      <c r="O53" s="1584"/>
      <c r="P53" s="1584"/>
      <c r="Q53" s="1584"/>
      <c r="R53" s="1584"/>
      <c r="S53" s="1584"/>
    </row>
    <row r="54" spans="1:19" s="1584" customFormat="1" ht="16.5" thickBot="1">
      <c r="A54" s="411"/>
      <c r="B54" s="20"/>
      <c r="C54" s="1520"/>
      <c r="D54" s="1563" t="s">
        <v>2795</v>
      </c>
      <c r="E54" s="1520"/>
      <c r="F54" s="1520"/>
      <c r="G54" s="2145">
        <v>-7500000</v>
      </c>
      <c r="H54" s="2144"/>
      <c r="I54" s="2144"/>
      <c r="J54" s="2144"/>
      <c r="K54" s="2144"/>
    </row>
    <row r="55" spans="1:19">
      <c r="A55" s="411"/>
      <c r="D55" s="1563" t="s">
        <v>2258</v>
      </c>
      <c r="G55" s="2147">
        <v>0</v>
      </c>
      <c r="H55" s="2147">
        <v>0</v>
      </c>
      <c r="I55" s="2147">
        <v>0</v>
      </c>
      <c r="J55" s="2147">
        <v>0</v>
      </c>
      <c r="K55" s="2147">
        <v>0</v>
      </c>
      <c r="L55" s="2147">
        <v>0</v>
      </c>
      <c r="M55" s="2147">
        <v>0</v>
      </c>
      <c r="N55" s="2147">
        <v>0</v>
      </c>
      <c r="O55" s="2147">
        <v>0</v>
      </c>
      <c r="P55" s="2147">
        <v>0</v>
      </c>
      <c r="Q55" s="2147">
        <v>0</v>
      </c>
      <c r="R55" s="2147">
        <v>0</v>
      </c>
      <c r="S55" s="2147">
        <v>0</v>
      </c>
    </row>
    <row r="56" spans="1:19">
      <c r="A56" s="411"/>
      <c r="D56" s="1563" t="s">
        <v>2259</v>
      </c>
      <c r="G56" s="2147">
        <v>0</v>
      </c>
      <c r="H56" s="2146">
        <f t="shared" ref="H56:S56" si="8">-H64</f>
        <v>-12083702.953720002</v>
      </c>
      <c r="I56" s="2146">
        <f t="shared" si="8"/>
        <v>-27666486.961203694</v>
      </c>
      <c r="J56" s="2146">
        <f t="shared" si="8"/>
        <v>-5140761.4783228701</v>
      </c>
      <c r="K56" s="2146">
        <f t="shared" si="8"/>
        <v>-20104210.091357153</v>
      </c>
      <c r="L56" s="2146">
        <f t="shared" si="8"/>
        <v>-21661554.312975064</v>
      </c>
      <c r="M56" s="2146">
        <f t="shared" si="8"/>
        <v>-41867330.008197173</v>
      </c>
      <c r="N56" s="2146">
        <f t="shared" si="8"/>
        <v>-50453845.665016897</v>
      </c>
      <c r="O56" s="2146">
        <f t="shared" si="8"/>
        <v>-66283168.257466801</v>
      </c>
      <c r="P56" s="2146">
        <f t="shared" si="8"/>
        <v>-68152354.060868725</v>
      </c>
      <c r="Q56" s="2146">
        <f t="shared" si="8"/>
        <v>-98146906.637001559</v>
      </c>
      <c r="R56" s="2146">
        <f t="shared" si="8"/>
        <v>-100083313.21184322</v>
      </c>
      <c r="S56" s="2146">
        <f t="shared" si="8"/>
        <v>-101807638.99208324</v>
      </c>
    </row>
    <row r="57" spans="1:19">
      <c r="A57" s="411"/>
      <c r="D57" s="2140" t="s">
        <v>2260</v>
      </c>
      <c r="G57" s="2149">
        <f>SUM(G48:G56)</f>
        <v>86695308.577468008</v>
      </c>
      <c r="H57" s="2149">
        <f t="shared" ref="H57:S57" si="9">SUM(H48:H56)</f>
        <v>132548680.81751624</v>
      </c>
      <c r="I57" s="2149">
        <f t="shared" si="9"/>
        <v>132336213.1026049</v>
      </c>
      <c r="J57" s="2149">
        <f t="shared" si="9"/>
        <v>131733119.18154058</v>
      </c>
      <c r="K57" s="2149">
        <f t="shared" si="9"/>
        <v>133479723.53708817</v>
      </c>
      <c r="L57" s="2149">
        <f t="shared" si="9"/>
        <v>131934175.26454718</v>
      </c>
      <c r="M57" s="2149">
        <f t="shared" si="9"/>
        <v>130783772.16064666</v>
      </c>
      <c r="N57" s="2149">
        <f t="shared" si="9"/>
        <v>135556885.39644641</v>
      </c>
      <c r="O57" s="2149">
        <f t="shared" si="9"/>
        <v>134569812.13643387</v>
      </c>
      <c r="P57" s="2149">
        <f t="shared" si="9"/>
        <v>141731491.19779193</v>
      </c>
      <c r="Q57" s="2149">
        <f t="shared" si="9"/>
        <v>146519560.0142948</v>
      </c>
      <c r="R57" s="2149">
        <f t="shared" si="9"/>
        <v>151723696.15230718</v>
      </c>
      <c r="S57" s="2149">
        <f t="shared" si="9"/>
        <v>157710460.72331047</v>
      </c>
    </row>
    <row r="58" spans="1:19">
      <c r="A58" s="411"/>
      <c r="D58" s="2141" t="s">
        <v>2261</v>
      </c>
      <c r="G58" s="1527">
        <f>G57/2</f>
        <v>43347654.288734004</v>
      </c>
      <c r="H58" s="1527">
        <f t="shared" ref="H58:S58" si="10">H57/2</f>
        <v>66274340.408758119</v>
      </c>
      <c r="I58" s="1527">
        <f t="shared" si="10"/>
        <v>66168106.551302448</v>
      </c>
      <c r="J58" s="1527">
        <f t="shared" si="10"/>
        <v>65866559.590770289</v>
      </c>
      <c r="K58" s="1527">
        <f t="shared" si="10"/>
        <v>66739861.768544085</v>
      </c>
      <c r="L58" s="1527">
        <f t="shared" si="10"/>
        <v>65967087.632273592</v>
      </c>
      <c r="M58" s="1527">
        <f t="shared" si="10"/>
        <v>65391886.080323331</v>
      </c>
      <c r="N58" s="1527">
        <f t="shared" si="10"/>
        <v>67778442.698223203</v>
      </c>
      <c r="O58" s="1527">
        <f t="shared" si="10"/>
        <v>67284906.068216935</v>
      </c>
      <c r="P58" s="1527">
        <f t="shared" si="10"/>
        <v>70865745.598895967</v>
      </c>
      <c r="Q58" s="1527">
        <f t="shared" si="10"/>
        <v>73259780.007147402</v>
      </c>
      <c r="R58" s="1527">
        <f t="shared" si="10"/>
        <v>75861848.076153591</v>
      </c>
      <c r="S58" s="1527">
        <f t="shared" si="10"/>
        <v>78855230.361655235</v>
      </c>
    </row>
    <row r="59" spans="1:19" ht="16.5" thickBot="1">
      <c r="A59" s="411"/>
      <c r="D59" s="2141" t="s">
        <v>2262</v>
      </c>
      <c r="G59" s="1526">
        <f>G58*G6</f>
        <v>44648.083917396027</v>
      </c>
      <c r="H59" s="1526">
        <f t="shared" ref="H59:S59" si="11">H58*H6</f>
        <v>0</v>
      </c>
      <c r="I59" s="1526">
        <f t="shared" si="11"/>
        <v>79008.179584558282</v>
      </c>
      <c r="J59" s="1526">
        <f t="shared" si="11"/>
        <v>88519.148285081887</v>
      </c>
      <c r="K59" s="1526">
        <f t="shared" si="11"/>
        <v>103978.53002383081</v>
      </c>
      <c r="L59" s="1526">
        <f t="shared" si="11"/>
        <v>122718.21503380328</v>
      </c>
      <c r="M59" s="1526">
        <f t="shared" si="11"/>
        <v>149611.90593183003</v>
      </c>
      <c r="N59" s="1526">
        <f t="shared" si="11"/>
        <v>196440.79157803129</v>
      </c>
      <c r="O59" s="1526">
        <f t="shared" si="11"/>
        <v>254444.3209934707</v>
      </c>
      <c r="P59" s="1526">
        <f t="shared" si="11"/>
        <v>360150.24919200124</v>
      </c>
      <c r="Q59" s="1526">
        <f t="shared" si="11"/>
        <v>515373.92356600973</v>
      </c>
      <c r="R59" s="1526">
        <f t="shared" si="11"/>
        <v>760898.88093777606</v>
      </c>
      <c r="S59" s="1526">
        <f t="shared" si="11"/>
        <v>1182828.4554248285</v>
      </c>
    </row>
    <row r="60" spans="1:19" ht="16.5" thickBot="1">
      <c r="A60" s="411"/>
      <c r="D60" s="2140" t="s">
        <v>2263</v>
      </c>
      <c r="F60" s="1802">
        <v>74183964.600119993</v>
      </c>
      <c r="G60" s="1568">
        <f>G57+G59</f>
        <v>86739956.661385402</v>
      </c>
      <c r="H60" s="1568">
        <f t="shared" ref="H60:S60" si="12">H57+H59</f>
        <v>132548680.81751624</v>
      </c>
      <c r="I60" s="1568">
        <f t="shared" si="12"/>
        <v>132415221.28218946</v>
      </c>
      <c r="J60" s="1568">
        <f t="shared" si="12"/>
        <v>131821638.32982565</v>
      </c>
      <c r="K60" s="1568">
        <f t="shared" si="12"/>
        <v>133583702.067112</v>
      </c>
      <c r="L60" s="1568">
        <f t="shared" si="12"/>
        <v>132056893.47958098</v>
      </c>
      <c r="M60" s="1568">
        <f t="shared" si="12"/>
        <v>130933384.06657849</v>
      </c>
      <c r="N60" s="1568">
        <f t="shared" si="12"/>
        <v>135753326.18802443</v>
      </c>
      <c r="O60" s="1568">
        <f t="shared" si="12"/>
        <v>134824256.45742735</v>
      </c>
      <c r="P60" s="1568">
        <f t="shared" si="12"/>
        <v>142091641.44698393</v>
      </c>
      <c r="Q60" s="1568">
        <f t="shared" si="12"/>
        <v>147034933.93786082</v>
      </c>
      <c r="R60" s="1568">
        <f t="shared" si="12"/>
        <v>152484595.03324497</v>
      </c>
      <c r="S60" s="1568">
        <f t="shared" si="12"/>
        <v>158893289.17873529</v>
      </c>
    </row>
    <row r="61" spans="1:19">
      <c r="D61" s="1539"/>
    </row>
    <row r="62" spans="1:19">
      <c r="D62" s="1564" t="s">
        <v>2624</v>
      </c>
      <c r="G62" s="1577"/>
      <c r="H62" s="1577"/>
      <c r="I62" s="1577"/>
      <c r="J62" s="1577"/>
      <c r="K62" s="1577"/>
      <c r="L62" s="1577"/>
      <c r="M62" s="1577"/>
      <c r="N62" s="1577"/>
      <c r="O62" s="1577"/>
      <c r="P62" s="1577"/>
      <c r="Q62" s="1577"/>
      <c r="R62" s="1577"/>
      <c r="S62" s="1577"/>
    </row>
    <row r="63" spans="1:19">
      <c r="D63" s="1563" t="s">
        <v>2252</v>
      </c>
      <c r="G63" s="1523">
        <f>F66</f>
        <v>0</v>
      </c>
      <c r="H63" s="1523">
        <f t="shared" ref="H63:S63" si="13">G66</f>
        <v>0</v>
      </c>
      <c r="I63" s="1523">
        <f t="shared" si="13"/>
        <v>12083702.953720002</v>
      </c>
      <c r="J63" s="1523">
        <f t="shared" si="13"/>
        <v>4415189.9149236977</v>
      </c>
      <c r="K63" s="1523">
        <f t="shared" si="13"/>
        <v>-96566032.576362789</v>
      </c>
      <c r="L63" s="1523">
        <f t="shared" si="13"/>
        <v>-80634604.004934207</v>
      </c>
      <c r="M63" s="1523">
        <f t="shared" si="13"/>
        <v>-75384726.757049948</v>
      </c>
      <c r="N63" s="1523">
        <f t="shared" si="13"/>
        <v>-70507835.261448711</v>
      </c>
      <c r="O63" s="1523">
        <f t="shared" si="13"/>
        <v>-71737835.261448726</v>
      </c>
      <c r="P63" s="1523">
        <f t="shared" si="13"/>
        <v>-66986587.178377308</v>
      </c>
      <c r="Q63" s="1523">
        <f t="shared" si="13"/>
        <v>-58800954.197783515</v>
      </c>
      <c r="R63" s="1523">
        <f t="shared" si="13"/>
        <v>-37231695.436878771</v>
      </c>
      <c r="S63" s="1523">
        <f t="shared" si="13"/>
        <v>-11988124.992786571</v>
      </c>
    </row>
    <row r="64" spans="1:19">
      <c r="D64" s="1563" t="s">
        <v>2796</v>
      </c>
      <c r="G64" s="2134">
        <f>-G56</f>
        <v>0</v>
      </c>
      <c r="H64" s="2134">
        <f>Dashboard!H21</f>
        <v>12083702.953720002</v>
      </c>
      <c r="I64" s="2134">
        <f>Dashboard!I21</f>
        <v>27666486.961203694</v>
      </c>
      <c r="J64" s="2134">
        <f>Dashboard!J21</f>
        <v>5140761.4783228701</v>
      </c>
      <c r="K64" s="2134">
        <f>Dashboard!K21</f>
        <v>20104210.091357153</v>
      </c>
      <c r="L64" s="2134">
        <f>Dashboard!L21</f>
        <v>21661554.312975064</v>
      </c>
      <c r="M64" s="2134">
        <f>Dashboard!M21</f>
        <v>41867330.008197173</v>
      </c>
      <c r="N64" s="2134">
        <f>Dashboard!N21</f>
        <v>50453845.665016897</v>
      </c>
      <c r="O64" s="2134">
        <f>Dashboard!O21</f>
        <v>66283168.257466801</v>
      </c>
      <c r="P64" s="2134">
        <f>Dashboard!P21</f>
        <v>68152354.060868725</v>
      </c>
      <c r="Q64" s="2134">
        <f>Dashboard!Q21</f>
        <v>98146906.637001559</v>
      </c>
      <c r="R64" s="2134">
        <f>Dashboard!R21</f>
        <v>100083313.21184322</v>
      </c>
      <c r="S64" s="2134">
        <f>Dashboard!S21</f>
        <v>101807638.99208324</v>
      </c>
    </row>
    <row r="65" spans="1:19">
      <c r="D65" s="1563" t="s">
        <v>2797</v>
      </c>
      <c r="G65" s="2134">
        <f>Dashboard!G20</f>
        <v>0</v>
      </c>
      <c r="H65" s="2134">
        <f>Dashboard!H20</f>
        <v>0</v>
      </c>
      <c r="I65" s="2134">
        <f>Dashboard!I20</f>
        <v>-35335000</v>
      </c>
      <c r="J65" s="2134">
        <f>Dashboard!J20</f>
        <v>-106121983.96960936</v>
      </c>
      <c r="K65" s="2134">
        <f>Dashboard!K20</f>
        <v>-4172781.5199285746</v>
      </c>
      <c r="L65" s="2134">
        <f>Dashboard!L20</f>
        <v>-16411677.065090813</v>
      </c>
      <c r="M65" s="2134">
        <f>Dashboard!M20</f>
        <v>-36990438.512595937</v>
      </c>
      <c r="N65" s="2134">
        <f>Dashboard!N20</f>
        <v>-51683845.665016912</v>
      </c>
      <c r="O65" s="2134">
        <f>Dashboard!O20</f>
        <v>-61531920.174395382</v>
      </c>
      <c r="P65" s="2134">
        <f>Dashboard!P20</f>
        <v>-59966721.080274932</v>
      </c>
      <c r="Q65" s="2134">
        <f>Dashboard!Q20</f>
        <v>-76577647.876096815</v>
      </c>
      <c r="R65" s="2134">
        <f>Dashboard!R20</f>
        <v>-74839742.767751023</v>
      </c>
      <c r="S65" s="2134">
        <f>Dashboard!S20</f>
        <v>-58333422.783343986</v>
      </c>
    </row>
    <row r="66" spans="1:19">
      <c r="D66" s="2140" t="s">
        <v>2260</v>
      </c>
      <c r="G66" s="1675">
        <f>SUM(G63:G65)</f>
        <v>0</v>
      </c>
      <c r="H66" s="1675">
        <f t="shared" ref="H66:S66" si="14">SUM(H63:H65)</f>
        <v>12083702.953720002</v>
      </c>
      <c r="I66" s="1675">
        <f t="shared" si="14"/>
        <v>4415189.9149236977</v>
      </c>
      <c r="J66" s="1675">
        <f t="shared" si="14"/>
        <v>-96566032.576362789</v>
      </c>
      <c r="K66" s="1675">
        <f t="shared" si="14"/>
        <v>-80634604.004934207</v>
      </c>
      <c r="L66" s="1675">
        <f t="shared" si="14"/>
        <v>-75384726.757049948</v>
      </c>
      <c r="M66" s="1675">
        <f t="shared" si="14"/>
        <v>-70507835.261448711</v>
      </c>
      <c r="N66" s="1675">
        <f t="shared" si="14"/>
        <v>-71737835.261448726</v>
      </c>
      <c r="O66" s="1675">
        <f t="shared" si="14"/>
        <v>-66986587.178377308</v>
      </c>
      <c r="P66" s="1675">
        <f t="shared" si="14"/>
        <v>-58800954.197783515</v>
      </c>
      <c r="Q66" s="1675">
        <f t="shared" si="14"/>
        <v>-37231695.436878771</v>
      </c>
      <c r="R66" s="1675">
        <f t="shared" si="14"/>
        <v>-11988124.992786571</v>
      </c>
      <c r="S66" s="1675">
        <f t="shared" si="14"/>
        <v>31486091.21595268</v>
      </c>
    </row>
    <row r="67" spans="1:19">
      <c r="D67" s="2141" t="s">
        <v>2261</v>
      </c>
      <c r="G67" s="1562">
        <f>G66/2</f>
        <v>0</v>
      </c>
      <c r="H67" s="1562">
        <f t="shared" ref="H67:S67" si="15">H66/2</f>
        <v>6041851.4768600008</v>
      </c>
      <c r="I67" s="1562">
        <f t="shared" si="15"/>
        <v>2207594.9574618489</v>
      </c>
      <c r="J67" s="1562">
        <f t="shared" si="15"/>
        <v>-48283016.288181394</v>
      </c>
      <c r="K67" s="1562">
        <f t="shared" si="15"/>
        <v>-40317302.002467103</v>
      </c>
      <c r="L67" s="1562">
        <f t="shared" si="15"/>
        <v>-37692363.378524974</v>
      </c>
      <c r="M67" s="1562">
        <f t="shared" si="15"/>
        <v>-35253917.630724356</v>
      </c>
      <c r="N67" s="1562">
        <f t="shared" si="15"/>
        <v>-35868917.630724363</v>
      </c>
      <c r="O67" s="1562">
        <f t="shared" si="15"/>
        <v>-33493293.589188654</v>
      </c>
      <c r="P67" s="1562">
        <f t="shared" si="15"/>
        <v>-29400477.098891757</v>
      </c>
      <c r="Q67" s="1562">
        <f t="shared" si="15"/>
        <v>-18615847.718439385</v>
      </c>
      <c r="R67" s="1562">
        <f t="shared" si="15"/>
        <v>-5994062.4963932857</v>
      </c>
      <c r="S67" s="1562">
        <f t="shared" si="15"/>
        <v>15743045.60797634</v>
      </c>
    </row>
    <row r="68" spans="1:19">
      <c r="D68" s="2141" t="s">
        <v>2262</v>
      </c>
      <c r="G68" s="1562">
        <f>G67*G$6</f>
        <v>0</v>
      </c>
      <c r="H68" s="1562">
        <f t="shared" ref="H68:S68" si="16">H67*H$6</f>
        <v>0</v>
      </c>
      <c r="I68" s="1562">
        <f t="shared" si="16"/>
        <v>2635.9838287631615</v>
      </c>
      <c r="J68" s="1562">
        <f t="shared" si="16"/>
        <v>-64888.336433826029</v>
      </c>
      <c r="K68" s="1562">
        <f t="shared" si="16"/>
        <v>-62813.042845096534</v>
      </c>
      <c r="L68" s="1562">
        <f t="shared" si="16"/>
        <v>-70118.898987971857</v>
      </c>
      <c r="M68" s="1562">
        <f t="shared" si="16"/>
        <v>-80658.413825496085</v>
      </c>
      <c r="N68" s="1562">
        <f t="shared" si="16"/>
        <v>-103958.10661804139</v>
      </c>
      <c r="O68" s="1562">
        <f t="shared" si="16"/>
        <v>-126658.09976008355</v>
      </c>
      <c r="P68" s="1562">
        <f t="shared" si="16"/>
        <v>-149417.59328211393</v>
      </c>
      <c r="Q68" s="1562">
        <f t="shared" si="16"/>
        <v>-130960.29606181495</v>
      </c>
      <c r="R68" s="1562">
        <f t="shared" si="16"/>
        <v>-60120.805931307237</v>
      </c>
      <c r="S68" s="1562">
        <f t="shared" si="16"/>
        <v>236145.6841196451</v>
      </c>
    </row>
    <row r="69" spans="1:19">
      <c r="D69" s="2140" t="s">
        <v>2263</v>
      </c>
      <c r="G69" s="1675">
        <f>G66+G68</f>
        <v>0</v>
      </c>
      <c r="H69" s="1675">
        <f t="shared" ref="H69:S69" si="17">H66+H68</f>
        <v>12083702.953720002</v>
      </c>
      <c r="I69" s="1675">
        <f t="shared" si="17"/>
        <v>4417825.8987524612</v>
      </c>
      <c r="J69" s="1675">
        <f t="shared" si="17"/>
        <v>-96630920.912796617</v>
      </c>
      <c r="K69" s="1675">
        <f t="shared" si="17"/>
        <v>-80697417.047779307</v>
      </c>
      <c r="L69" s="1675">
        <f t="shared" si="17"/>
        <v>-75454845.656037927</v>
      </c>
      <c r="M69" s="1675">
        <f t="shared" si="17"/>
        <v>-70588493.675274208</v>
      </c>
      <c r="N69" s="1675">
        <f t="shared" si="17"/>
        <v>-71841793.368066773</v>
      </c>
      <c r="O69" s="1675">
        <f t="shared" si="17"/>
        <v>-67113245.278137386</v>
      </c>
      <c r="P69" s="1675">
        <f t="shared" si="17"/>
        <v>-58950371.791065626</v>
      </c>
      <c r="Q69" s="1675">
        <f t="shared" si="17"/>
        <v>-37362655.732940584</v>
      </c>
      <c r="R69" s="1675">
        <f t="shared" si="17"/>
        <v>-12048245.798717879</v>
      </c>
      <c r="S69" s="1675">
        <f t="shared" si="17"/>
        <v>31722236.900072325</v>
      </c>
    </row>
    <row r="70" spans="1:19">
      <c r="D70" s="1539"/>
    </row>
    <row r="71" spans="1:19">
      <c r="D71" s="1564" t="s">
        <v>2594</v>
      </c>
    </row>
    <row r="72" spans="1:19">
      <c r="D72" s="1521" t="s">
        <v>2592</v>
      </c>
      <c r="G72" s="1523">
        <f>'Debt_Sum - Elec'!L13</f>
        <v>5595000</v>
      </c>
      <c r="H72" s="1523">
        <f>'Debt_Sum - Elec'!M13</f>
        <v>950000</v>
      </c>
      <c r="I72" s="1523">
        <f>'Debt_Sum - Elec'!N13</f>
        <v>0</v>
      </c>
      <c r="J72" s="1523">
        <f>'Debt_Sum - Elec'!O13</f>
        <v>0</v>
      </c>
      <c r="K72" s="1523">
        <f>'Debt_Sum - Elec'!P13</f>
        <v>0</v>
      </c>
      <c r="L72" s="1523">
        <f>'Debt_Sum - Elec'!Q13</f>
        <v>14415000</v>
      </c>
      <c r="M72" s="1523">
        <f>'Debt_Sum - Elec'!R13</f>
        <v>15130000</v>
      </c>
      <c r="N72" s="1523">
        <f>'Debt_Sum - Elec'!S13</f>
        <v>15870000</v>
      </c>
      <c r="O72" s="1523">
        <f>'Debt_Sum - Elec'!T13</f>
        <v>16645000</v>
      </c>
      <c r="P72" s="1523">
        <f>'Debt_Sum - Elec'!U13</f>
        <v>15110000</v>
      </c>
      <c r="Q72" s="1523">
        <f>'Debt_Sum - Elec'!V13</f>
        <v>2405000</v>
      </c>
      <c r="R72" s="1523">
        <f>'Debt_Sum - Elec'!W13</f>
        <v>2525000</v>
      </c>
      <c r="S72" s="1523">
        <f>'Debt_Sum - Elec'!X13</f>
        <v>2650000</v>
      </c>
    </row>
    <row r="73" spans="1:19">
      <c r="D73" s="1521" t="s">
        <v>2591</v>
      </c>
      <c r="G73" s="1523">
        <f>'Debt_Sum - Elec'!L14</f>
        <v>2970878.8199999901</v>
      </c>
      <c r="H73" s="1523">
        <f>'Debt_Sum - Elec'!M14</f>
        <v>3606877.91</v>
      </c>
      <c r="I73" s="1523">
        <f>'Debt_Sum - Elec'!N14</f>
        <v>3571915.6299999901</v>
      </c>
      <c r="J73" s="1523">
        <f>'Debt_Sum - Elec'!O14</f>
        <v>3571915.6299999901</v>
      </c>
      <c r="K73" s="1523">
        <f>'Debt_Sum - Elec'!P14</f>
        <v>3571915.6299999901</v>
      </c>
      <c r="L73" s="1523">
        <f>'Debt_Sum - Elec'!Q14</f>
        <v>3571915.6299999901</v>
      </c>
      <c r="M73" s="1523">
        <f>'Debt_Sum - Elec'!R14</f>
        <v>3214040.6299999901</v>
      </c>
      <c r="N73" s="1523">
        <f>'Debt_Sum - Elec'!S14</f>
        <v>2842290.6299999901</v>
      </c>
      <c r="O73" s="1523">
        <f>'Debt_Sum - Elec'!T14</f>
        <v>2455665.6299999901</v>
      </c>
      <c r="P73" s="1523">
        <f>'Debt_Sum - Elec'!U14</f>
        <v>2051265.63</v>
      </c>
      <c r="Q73" s="1523">
        <f>'Debt_Sum - Elec'!V14</f>
        <v>1690625</v>
      </c>
      <c r="R73" s="1523">
        <f>'Debt_Sum - Elec'!W14</f>
        <v>1630500</v>
      </c>
      <c r="S73" s="1523">
        <f>'Debt_Sum - Elec'!X14</f>
        <v>1567375</v>
      </c>
    </row>
    <row r="74" spans="1:19">
      <c r="D74" s="1521" t="s">
        <v>2593</v>
      </c>
      <c r="G74" s="1526">
        <f>'Debt_Sum - Elec'!L15</f>
        <v>3586165.6299999901</v>
      </c>
      <c r="H74" s="1526">
        <f>'Debt_Sum - Elec'!M15</f>
        <v>3734600.52</v>
      </c>
      <c r="I74" s="1526">
        <f>'Debt_Sum - Elec'!N15</f>
        <v>3571915.6299999901</v>
      </c>
      <c r="J74" s="1526">
        <f>'Debt_Sum - Elec'!O15</f>
        <v>3571915.6299999901</v>
      </c>
      <c r="K74" s="1526">
        <f>'Debt_Sum - Elec'!P15</f>
        <v>3571915.6299999901</v>
      </c>
      <c r="L74" s="1526">
        <f>'Debt_Sum - Elec'!Q15</f>
        <v>3214040.6299999901</v>
      </c>
      <c r="M74" s="1526">
        <f>'Debt_Sum - Elec'!R15</f>
        <v>2842290.6299999901</v>
      </c>
      <c r="N74" s="1526">
        <f>'Debt_Sum - Elec'!S15</f>
        <v>2455665.6299999901</v>
      </c>
      <c r="O74" s="1526">
        <f>'Debt_Sum - Elec'!T15</f>
        <v>2051265.63</v>
      </c>
      <c r="P74" s="1526">
        <f>'Debt_Sum - Elec'!U15</f>
        <v>1690625</v>
      </c>
      <c r="Q74" s="1526">
        <f>'Debt_Sum - Elec'!V15</f>
        <v>1630500</v>
      </c>
      <c r="R74" s="1526">
        <f>'Debt_Sum - Elec'!W15</f>
        <v>1567375</v>
      </c>
      <c r="S74" s="1526">
        <f>'Debt_Sum - Elec'!X15</f>
        <v>1501125</v>
      </c>
    </row>
    <row r="75" spans="1:19">
      <c r="D75" s="1565" t="s">
        <v>2263</v>
      </c>
      <c r="G75" s="1525">
        <f>SUM(G72:G74)</f>
        <v>12152044.449999979</v>
      </c>
      <c r="H75" s="1525">
        <f t="shared" ref="H75:S75" si="18">SUM(H72:H74)</f>
        <v>8291478.4299999997</v>
      </c>
      <c r="I75" s="1525">
        <f t="shared" si="18"/>
        <v>7143831.2599999802</v>
      </c>
      <c r="J75" s="1525">
        <f t="shared" si="18"/>
        <v>7143831.2599999802</v>
      </c>
      <c r="K75" s="1525">
        <f t="shared" si="18"/>
        <v>7143831.2599999802</v>
      </c>
      <c r="L75" s="1525">
        <f t="shared" si="18"/>
        <v>21200956.259999983</v>
      </c>
      <c r="M75" s="1525">
        <f t="shared" si="18"/>
        <v>21186331.259999983</v>
      </c>
      <c r="N75" s="1525">
        <f t="shared" si="18"/>
        <v>21167956.259999983</v>
      </c>
      <c r="O75" s="1525">
        <f t="shared" si="18"/>
        <v>21151931.25999999</v>
      </c>
      <c r="P75" s="1525">
        <f t="shared" si="18"/>
        <v>18851890.629999999</v>
      </c>
      <c r="Q75" s="1525">
        <f t="shared" si="18"/>
        <v>5726125</v>
      </c>
      <c r="R75" s="1525">
        <f t="shared" si="18"/>
        <v>5722875</v>
      </c>
      <c r="S75" s="1525">
        <f t="shared" si="18"/>
        <v>5718500</v>
      </c>
    </row>
    <row r="76" spans="1:19">
      <c r="D76" s="1539"/>
    </row>
    <row r="77" spans="1:19">
      <c r="D77" s="1564" t="s">
        <v>2264</v>
      </c>
    </row>
    <row r="78" spans="1:19">
      <c r="D78" s="1521" t="s">
        <v>2265</v>
      </c>
      <c r="G78" s="2151">
        <v>1500000</v>
      </c>
      <c r="H78" s="2151">
        <v>1500000</v>
      </c>
      <c r="I78" s="2151">
        <v>1500000</v>
      </c>
      <c r="J78" s="2151">
        <v>1500000</v>
      </c>
      <c r="K78" s="2151">
        <v>1500000</v>
      </c>
      <c r="L78" s="2151">
        <v>1500000</v>
      </c>
      <c r="M78" s="2151">
        <v>1500000</v>
      </c>
      <c r="N78" s="2151">
        <v>1500000</v>
      </c>
      <c r="O78" s="2151">
        <v>1500000</v>
      </c>
      <c r="P78" s="2151">
        <v>1500000</v>
      </c>
      <c r="Q78" s="2151">
        <v>1500000</v>
      </c>
      <c r="R78" s="2151">
        <v>1500000</v>
      </c>
      <c r="S78" s="2151">
        <v>1500000</v>
      </c>
    </row>
    <row r="79" spans="1:19" s="1584" customFormat="1">
      <c r="A79" s="196"/>
      <c r="B79" s="20"/>
      <c r="C79" s="1520"/>
      <c r="D79" s="1521" t="s">
        <v>2266</v>
      </c>
      <c r="E79" s="1520"/>
      <c r="F79" s="1520"/>
      <c r="G79" s="2150"/>
      <c r="H79" s="2150"/>
      <c r="I79" s="2150"/>
      <c r="J79" s="2150"/>
      <c r="K79" s="2150"/>
      <c r="L79" s="2150"/>
      <c r="M79" s="2150"/>
      <c r="N79" s="2150"/>
      <c r="O79" s="2150"/>
      <c r="P79" s="2150"/>
      <c r="Q79" s="2150"/>
      <c r="R79" s="2150"/>
      <c r="S79" s="2150"/>
    </row>
    <row r="80" spans="1:19">
      <c r="D80" s="1565" t="s">
        <v>2263</v>
      </c>
      <c r="G80" s="1525">
        <f>SUM(G78:G79)</f>
        <v>1500000</v>
      </c>
      <c r="H80" s="1525">
        <f t="shared" ref="H80:S80" si="19">SUM(H78:H79)</f>
        <v>1500000</v>
      </c>
      <c r="I80" s="1525">
        <f t="shared" si="19"/>
        <v>1500000</v>
      </c>
      <c r="J80" s="1525">
        <f t="shared" si="19"/>
        <v>1500000</v>
      </c>
      <c r="K80" s="1525">
        <f t="shared" si="19"/>
        <v>1500000</v>
      </c>
      <c r="L80" s="1525">
        <f t="shared" si="19"/>
        <v>1500000</v>
      </c>
      <c r="M80" s="1525">
        <f t="shared" si="19"/>
        <v>1500000</v>
      </c>
      <c r="N80" s="1525">
        <f t="shared" si="19"/>
        <v>1500000</v>
      </c>
      <c r="O80" s="1525">
        <f t="shared" si="19"/>
        <v>1500000</v>
      </c>
      <c r="P80" s="1525">
        <f t="shared" si="19"/>
        <v>1500000</v>
      </c>
      <c r="Q80" s="1525">
        <f t="shared" si="19"/>
        <v>1500000</v>
      </c>
      <c r="R80" s="1525">
        <f t="shared" si="19"/>
        <v>1500000</v>
      </c>
      <c r="S80" s="1525">
        <f t="shared" si="19"/>
        <v>1500000</v>
      </c>
    </row>
    <row r="81" spans="4:19">
      <c r="D81" s="1539"/>
    </row>
    <row r="82" spans="4:19">
      <c r="D82" s="1564" t="s">
        <v>2267</v>
      </c>
    </row>
    <row r="83" spans="4:19">
      <c r="D83" s="1521" t="s">
        <v>2798</v>
      </c>
      <c r="G83" s="2153">
        <v>24014767.217822</v>
      </c>
      <c r="H83" s="2153">
        <v>0</v>
      </c>
      <c r="I83" s="2153">
        <v>0</v>
      </c>
      <c r="J83" s="2153">
        <v>0</v>
      </c>
      <c r="K83" s="2153">
        <v>0</v>
      </c>
      <c r="L83" s="2153">
        <v>0</v>
      </c>
      <c r="M83" s="2153">
        <v>0</v>
      </c>
      <c r="N83" s="2153">
        <v>0</v>
      </c>
      <c r="O83" s="2153">
        <v>0</v>
      </c>
      <c r="P83" s="2153">
        <v>0</v>
      </c>
      <c r="Q83" s="2153">
        <v>0</v>
      </c>
      <c r="R83" s="2153">
        <v>0</v>
      </c>
      <c r="S83" s="2153">
        <v>0</v>
      </c>
    </row>
    <row r="84" spans="4:19">
      <c r="D84" s="1521" t="s">
        <v>725</v>
      </c>
      <c r="G84" s="1566"/>
      <c r="H84" s="1566"/>
      <c r="I84" s="1566"/>
      <c r="J84" s="1566"/>
      <c r="K84" s="1566"/>
      <c r="L84" s="1566"/>
      <c r="M84" s="1566"/>
      <c r="N84" s="1566"/>
      <c r="O84" s="1566"/>
      <c r="P84" s="1566"/>
      <c r="Q84" s="1566"/>
      <c r="R84" s="1566"/>
      <c r="S84" s="1566"/>
    </row>
    <row r="85" spans="4:19">
      <c r="D85" s="1565" t="s">
        <v>2263</v>
      </c>
      <c r="G85" s="2149">
        <f>SUM(G83:G84)</f>
        <v>24014767.217822</v>
      </c>
      <c r="H85" s="2149">
        <f t="shared" ref="H85:S85" si="20">SUM(H83:H84)</f>
        <v>0</v>
      </c>
      <c r="I85" s="2149">
        <f t="shared" si="20"/>
        <v>0</v>
      </c>
      <c r="J85" s="2149">
        <f t="shared" si="20"/>
        <v>0</v>
      </c>
      <c r="K85" s="2149">
        <f t="shared" si="20"/>
        <v>0</v>
      </c>
      <c r="L85" s="2149">
        <f t="shared" si="20"/>
        <v>0</v>
      </c>
      <c r="M85" s="2149">
        <f t="shared" si="20"/>
        <v>0</v>
      </c>
      <c r="N85" s="2149">
        <f t="shared" si="20"/>
        <v>0</v>
      </c>
      <c r="O85" s="2149">
        <f t="shared" si="20"/>
        <v>0</v>
      </c>
      <c r="P85" s="2149">
        <f t="shared" si="20"/>
        <v>0</v>
      </c>
      <c r="Q85" s="2149">
        <f t="shared" si="20"/>
        <v>0</v>
      </c>
      <c r="R85" s="2149">
        <f t="shared" si="20"/>
        <v>0</v>
      </c>
      <c r="S85" s="2149">
        <f t="shared" si="20"/>
        <v>0</v>
      </c>
    </row>
    <row r="86" spans="4:19">
      <c r="D86" s="1539"/>
    </row>
    <row r="87" spans="4:19">
      <c r="D87" s="1564" t="s">
        <v>2268</v>
      </c>
    </row>
    <row r="88" spans="4:19">
      <c r="D88" s="1521" t="s">
        <v>2269</v>
      </c>
      <c r="G88" s="2154">
        <v>12000000</v>
      </c>
      <c r="H88" s="2154">
        <v>12000000</v>
      </c>
      <c r="I88" s="2154">
        <v>12000000</v>
      </c>
      <c r="J88" s="2154">
        <v>12000000</v>
      </c>
      <c r="K88" s="2154">
        <v>12000000</v>
      </c>
      <c r="L88" s="2154">
        <v>12000000</v>
      </c>
      <c r="M88" s="2154">
        <v>12000000</v>
      </c>
      <c r="N88" s="2154">
        <v>12000000</v>
      </c>
      <c r="O88" s="2154">
        <v>12000000</v>
      </c>
      <c r="P88" s="2154">
        <v>12000000</v>
      </c>
      <c r="Q88" s="2154">
        <v>12000000</v>
      </c>
      <c r="R88" s="2154">
        <v>12000000</v>
      </c>
      <c r="S88" s="2154">
        <v>12000000</v>
      </c>
    </row>
    <row r="89" spans="4:19">
      <c r="D89" s="1521" t="s">
        <v>2270</v>
      </c>
      <c r="G89" s="2157">
        <f>0.15*'Debt-PRP'!D$26</f>
        <v>11668554.676499972</v>
      </c>
      <c r="H89" s="2157">
        <f>0.15*'Debt-PRP'!E$26</f>
        <v>11355166.672499985</v>
      </c>
      <c r="I89" s="2157">
        <f>0.15*'Debt-PRP'!F$26</f>
        <v>12740479.336499996</v>
      </c>
      <c r="J89" s="2157">
        <f>0.15*'Debt-PRP'!G$26</f>
        <v>13379860.586484</v>
      </c>
      <c r="K89" s="2157">
        <f>0.15*'Debt-PRP'!H$26</f>
        <v>14224610.148992592</v>
      </c>
      <c r="L89" s="2157">
        <f>0.15*'Debt-PRP'!I$26</f>
        <v>14207405.663283518</v>
      </c>
      <c r="M89" s="2157">
        <f>0.15*'Debt-PRP'!J$26</f>
        <v>14649527.772489063</v>
      </c>
      <c r="N89" s="2157">
        <f>0.15*'Debt-PRP'!K$26</f>
        <v>15105481.439249162</v>
      </c>
      <c r="O89" s="2157">
        <f>0.15*'Debt-PRP'!L$26</f>
        <v>14741185.688943537</v>
      </c>
      <c r="P89" s="2157">
        <f>0.15*'Debt-PRP'!M$26</f>
        <v>15271328.72220183</v>
      </c>
      <c r="Q89" s="2157">
        <f>0.15*'Debt-PRP'!N$26</f>
        <v>15456764.359439675</v>
      </c>
      <c r="R89" s="2157">
        <f>0.15*'Debt-PRP'!O$26</f>
        <v>16112354.519986093</v>
      </c>
      <c r="S89" s="2157">
        <f>0.15*'Debt-PRP'!P$26</f>
        <v>16759078.738904838</v>
      </c>
    </row>
    <row r="90" spans="4:19">
      <c r="D90" s="1565" t="s">
        <v>2263</v>
      </c>
      <c r="G90" s="1568">
        <f>G88+G89</f>
        <v>23668554.67649997</v>
      </c>
      <c r="H90" s="1568">
        <f t="shared" ref="H90:S90" si="21">H88+H89</f>
        <v>23355166.672499985</v>
      </c>
      <c r="I90" s="1568">
        <f t="shared" si="21"/>
        <v>24740479.336499996</v>
      </c>
      <c r="J90" s="1568">
        <f t="shared" si="21"/>
        <v>25379860.586484</v>
      </c>
      <c r="K90" s="1568">
        <f t="shared" si="21"/>
        <v>26224610.148992591</v>
      </c>
      <c r="L90" s="1568">
        <f t="shared" si="21"/>
        <v>26207405.663283519</v>
      </c>
      <c r="M90" s="1568">
        <f t="shared" si="21"/>
        <v>26649527.772489063</v>
      </c>
      <c r="N90" s="1568">
        <f t="shared" si="21"/>
        <v>27105481.439249162</v>
      </c>
      <c r="O90" s="1568">
        <f t="shared" si="21"/>
        <v>26741185.688943535</v>
      </c>
      <c r="P90" s="1568">
        <f t="shared" si="21"/>
        <v>27271328.722201832</v>
      </c>
      <c r="Q90" s="1568">
        <f t="shared" si="21"/>
        <v>27456764.359439675</v>
      </c>
      <c r="R90" s="1568">
        <f t="shared" si="21"/>
        <v>28112354.519986093</v>
      </c>
      <c r="S90" s="1568">
        <f t="shared" si="21"/>
        <v>28759078.738904838</v>
      </c>
    </row>
    <row r="91" spans="4:19">
      <c r="D91" s="1539"/>
    </row>
    <row r="92" spans="4:19">
      <c r="D92" s="1564" t="s">
        <v>2595</v>
      </c>
    </row>
    <row r="93" spans="4:19">
      <c r="D93" s="1521" t="s">
        <v>2592</v>
      </c>
      <c r="G93" s="1578">
        <f>'Debt from Forecast17'!E58+'Debt from Forecast17'!E61+'Debt from Forecast17'!E68+'Debt from Forecast17'!E70</f>
        <v>29695000</v>
      </c>
      <c r="H93" s="1578">
        <f>'Debt from Forecast17'!F58+'Debt from Forecast17'!F61+'Debt from Forecast17'!F68+'Debt from Forecast17'!F70</f>
        <v>28630000</v>
      </c>
      <c r="I93" s="1578">
        <f>'Debt from Forecast17'!G58+'Debt from Forecast17'!G61+'Debt from Forecast17'!G68+'Debt from Forecast17'!G70</f>
        <v>31935000</v>
      </c>
      <c r="J93" s="1578">
        <f>'Debt from Forecast17'!H58+'Debt from Forecast17'!H61+'Debt from Forecast17'!H68+'Debt from Forecast17'!H70</f>
        <v>33100000</v>
      </c>
      <c r="K93" s="1578">
        <f>'Debt from Forecast17'!I58+'Debt from Forecast17'!I61+'Debt from Forecast17'!I68+'Debt from Forecast17'!I70</f>
        <v>34947165.494438954</v>
      </c>
      <c r="L93" s="1578">
        <f>'Debt from Forecast17'!J58+'Debt from Forecast17'!J61+'Debt from Forecast17'!J68+'Debt from Forecast17'!J70</f>
        <v>32807253.222379949</v>
      </c>
      <c r="M93" s="1578">
        <f>'Debt from Forecast17'!K58+'Debt from Forecast17'!K61+'Debt from Forecast17'!K68+'Debt from Forecast17'!K70</f>
        <v>34561565.180295348</v>
      </c>
      <c r="N93" s="1578">
        <f>'Debt from Forecast17'!L58+'Debt from Forecast17'!L61+'Debt from Forecast17'!L68+'Debt from Forecast17'!L70</f>
        <v>36777770.973184355</v>
      </c>
      <c r="O93" s="1578">
        <f>'Debt from Forecast17'!M58+'Debt from Forecast17'!M61+'Debt from Forecast17'!M68+'Debt from Forecast17'!M70</f>
        <v>33466209.903927833</v>
      </c>
      <c r="P93" s="1578">
        <f>'Debt from Forecast17'!N58+'Debt from Forecast17'!N61+'Debt from Forecast17'!N68+'Debt from Forecast17'!N70</f>
        <v>36107178.536678955</v>
      </c>
      <c r="Q93" s="1578">
        <f>'Debt from Forecast17'!O58+'Debt from Forecast17'!O61+'Debt from Forecast17'!O68+'Debt from Forecast17'!O70</f>
        <v>36487509.960093692</v>
      </c>
      <c r="R93" s="1578">
        <f>'Debt from Forecast17'!P58+'Debt from Forecast17'!P61+'Debt from Forecast17'!P68+'Debt from Forecast17'!P70</f>
        <v>39465597.41155085</v>
      </c>
      <c r="S93" s="1578">
        <f>'Debt from Forecast17'!Q58+'Debt from Forecast17'!Q61+'Debt from Forecast17'!Q68+'Debt from Forecast17'!Q70</f>
        <v>42594621.340699606</v>
      </c>
    </row>
    <row r="94" spans="4:19">
      <c r="D94" s="1521" t="s">
        <v>2591</v>
      </c>
      <c r="G94" s="1578">
        <f>'Debt from Forecast17'!E59+'Debt from Forecast17'!E62</f>
        <v>24798759.739999902</v>
      </c>
      <c r="H94" s="1578">
        <f>'Debt from Forecast17'!F59+'Debt from Forecast17'!F62</f>
        <v>23079728.989999902</v>
      </c>
      <c r="I94" s="1578">
        <f>'Debt from Forecast17'!G59+'Debt from Forecast17'!G62</f>
        <v>25918527.109999992</v>
      </c>
      <c r="J94" s="1578">
        <f>'Debt from Forecast17'!H59+'Debt from Forecast17'!H62</f>
        <v>28667289.969999999</v>
      </c>
      <c r="K94" s="1578">
        <f>'Debt from Forecast17'!I59+'Debt from Forecast17'!I62</f>
        <v>28714128.969999999</v>
      </c>
      <c r="L94" s="1578">
        <f>'Debt from Forecast17'!J59+'Debt from Forecast17'!J62</f>
        <v>28000691.27</v>
      </c>
      <c r="M94" s="1578">
        <f>'Debt from Forecast17'!K59+'Debt from Forecast17'!K62</f>
        <v>27275755.419999998</v>
      </c>
      <c r="N94" s="1578">
        <f>'Debt from Forecast17'!L59+'Debt from Forecast17'!L62</f>
        <v>26536841.039999999</v>
      </c>
      <c r="O94" s="1578">
        <f>'Debt from Forecast17'!M59+'Debt from Forecast17'!M62</f>
        <v>25709800.34</v>
      </c>
      <c r="P94" s="1578">
        <f>'Debt from Forecast17'!N59+'Debt from Forecast17'!N62</f>
        <v>25007697.789999999</v>
      </c>
      <c r="Q94" s="1578">
        <f>'Debt from Forecast17'!O59+'Debt from Forecast17'!O62</f>
        <v>24251734.34</v>
      </c>
      <c r="R94" s="1578">
        <f>'Debt from Forecast17'!P59+'Debt from Forecast17'!P62</f>
        <v>23621764.699999999</v>
      </c>
      <c r="S94" s="1578">
        <f>'Debt from Forecast17'!Q59+'Debt from Forecast17'!Q62</f>
        <v>22947106.289999999</v>
      </c>
    </row>
    <row r="95" spans="4:19">
      <c r="D95" s="2327" t="s">
        <v>2593</v>
      </c>
      <c r="G95" s="1578">
        <f>'Debt from Forecast17'!E60+'Debt from Forecast17'!E63</f>
        <v>24932356.079999901</v>
      </c>
      <c r="H95" s="1578">
        <f>'Debt from Forecast17'!F60+'Debt from Forecast17'!F63</f>
        <v>26494077.440000001</v>
      </c>
      <c r="I95" s="1578">
        <f>'Debt from Forecast17'!G60+'Debt from Forecast17'!G63</f>
        <v>28667289.969999991</v>
      </c>
      <c r="J95" s="1578">
        <f>'Debt from Forecast17'!H60+'Debt from Forecast17'!H63</f>
        <v>28835798.759999998</v>
      </c>
      <c r="K95" s="1578">
        <f>'Debt from Forecast17'!I60+'Debt from Forecast17'!I63</f>
        <v>28000691.27</v>
      </c>
      <c r="L95" s="1578">
        <f>'Debt from Forecast17'!J60+'Debt from Forecast17'!J63</f>
        <v>27275755.419999998</v>
      </c>
      <c r="M95" s="1578">
        <f>'Debt from Forecast17'!K60+'Debt from Forecast17'!K63</f>
        <v>26536841.039999999</v>
      </c>
      <c r="N95" s="1578">
        <f>'Debt from Forecast17'!L60+'Debt from Forecast17'!L63</f>
        <v>25709800.34</v>
      </c>
      <c r="O95" s="1578">
        <f>'Debt from Forecast17'!M60+'Debt from Forecast17'!M63</f>
        <v>25007697.789999999</v>
      </c>
      <c r="P95" s="1578">
        <f>'Debt from Forecast17'!N60+'Debt from Forecast17'!N63</f>
        <v>24251734.34</v>
      </c>
      <c r="Q95" s="1578">
        <f>'Debt from Forecast17'!O60+'Debt from Forecast17'!O63</f>
        <v>23621764.699999999</v>
      </c>
      <c r="R95" s="1578">
        <f>'Debt from Forecast17'!P60+'Debt from Forecast17'!P63</f>
        <v>22947106.289999999</v>
      </c>
      <c r="S95" s="1578">
        <f>'Debt from Forecast17'!Q60+'Debt from Forecast17'!Q63</f>
        <v>22244633.289999999</v>
      </c>
    </row>
    <row r="96" spans="4:19">
      <c r="D96" s="2327" t="s">
        <v>2902</v>
      </c>
      <c r="G96" s="1578">
        <f>'Debt from Forecast17'!E69+'Debt from Forecast17'!E71</f>
        <v>0</v>
      </c>
      <c r="H96" s="1578">
        <f>'Debt from Forecast17'!F69+'Debt from Forecast17'!F71</f>
        <v>0</v>
      </c>
      <c r="I96" s="1578">
        <f>'Debt from Forecast17'!G69+'Debt from Forecast17'!G71</f>
        <v>0</v>
      </c>
      <c r="J96" s="1578">
        <f>'Debt from Forecast17'!H69+'Debt from Forecast17'!H71</f>
        <v>0</v>
      </c>
      <c r="K96" s="1578">
        <f>'Debt from Forecast17'!I69+'Debt from Forecast17'!I71</f>
        <v>4529425.2743192054</v>
      </c>
      <c r="L96" s="1578">
        <f>'Debt from Forecast17'!J69+'Debt from Forecast17'!J71</f>
        <v>7947370.9560269322</v>
      </c>
      <c r="M96" s="1578">
        <f>'Debt from Forecast17'!K69+'Debt from Forecast17'!K71</f>
        <v>10555859.388784438</v>
      </c>
      <c r="N96" s="1578">
        <f>'Debt from Forecast17'!L69+'Debt from Forecast17'!L71</f>
        <v>12893639.105174441</v>
      </c>
      <c r="O96" s="1578">
        <f>'Debt from Forecast17'!M69+'Debt from Forecast17'!M71</f>
        <v>15250257.703766191</v>
      </c>
      <c r="P96" s="1578">
        <f>'Debt from Forecast17'!N69+'Debt from Forecast17'!N71</f>
        <v>17542686.114584893</v>
      </c>
      <c r="Q96" s="1578">
        <f>'Debt from Forecast17'!O69+'Debt from Forecast17'!O71</f>
        <v>19721867.816328734</v>
      </c>
      <c r="R96" s="1578">
        <f>'Debt from Forecast17'!P69+'Debt from Forecast17'!P71</f>
        <v>22352273.332968861</v>
      </c>
      <c r="S96" s="1578">
        <f>'Debt from Forecast17'!Q69+'Debt from Forecast17'!Q71</f>
        <v>24841239.14721686</v>
      </c>
    </row>
    <row r="97" spans="4:19" ht="16.5" thickBot="1">
      <c r="D97" s="1583" t="s">
        <v>2271</v>
      </c>
      <c r="G97" s="1578">
        <v>0</v>
      </c>
      <c r="H97" s="1578">
        <v>0</v>
      </c>
      <c r="I97" s="1578">
        <v>0</v>
      </c>
      <c r="J97" s="1578">
        <v>4014605.1738311416</v>
      </c>
      <c r="K97" s="1578">
        <v>4210305.22228193</v>
      </c>
      <c r="L97" s="1578">
        <v>4872005.6570515484</v>
      </c>
      <c r="M97" s="1578">
        <v>6319688.9165865649</v>
      </c>
      <c r="N97" s="1578">
        <v>8338349.3411666937</v>
      </c>
      <c r="O97" s="1578">
        <v>10750532.179327164</v>
      </c>
      <c r="P97" s="1578">
        <v>13128822.753248163</v>
      </c>
      <c r="Q97" s="1578">
        <v>16161280.329018077</v>
      </c>
      <c r="R97" s="1578">
        <v>19160721.225923222</v>
      </c>
      <c r="S97" s="1578">
        <v>21569144.242494591</v>
      </c>
    </row>
    <row r="98" spans="4:19" ht="16.5" thickBot="1">
      <c r="D98" s="1521" t="s">
        <v>2576</v>
      </c>
      <c r="F98" s="1674">
        <v>22168486.100000001</v>
      </c>
      <c r="G98" s="1578">
        <f>-'Debt-PRP'!D23+F98</f>
        <v>29939016.41</v>
      </c>
      <c r="H98" s="1578">
        <f>-'Debt-PRP'!E23+G98</f>
        <v>38152841.689999998</v>
      </c>
      <c r="I98" s="1578">
        <f>-'Debt-PRP'!F23+H98</f>
        <v>48697449.859999999</v>
      </c>
      <c r="J98" s="1578">
        <f>-'Debt-PRP'!G23+I98</f>
        <v>59236398.013439998</v>
      </c>
      <c r="K98" s="1578">
        <f>-'Debt-PRP'!H23+J98</f>
        <v>69732004.69558087</v>
      </c>
      <c r="L98" s="1578">
        <f>-'Debt-PRP'!I23+K98</f>
        <v>80181967.808764294</v>
      </c>
      <c r="M98" s="1578">
        <f>-'Debt-PRP'!J23+L98</f>
        <v>90583400.354583651</v>
      </c>
      <c r="N98" s="1578">
        <f>-'Debt-PRP'!K23+M98</f>
        <v>100933172.21794803</v>
      </c>
      <c r="O98" s="1578">
        <f>-'Debt-PRP'!L23+N98</f>
        <v>111227496.69601846</v>
      </c>
      <c r="P98" s="1578">
        <f>-'Debt-PRP'!M23+O98</f>
        <v>121462865.32927009</v>
      </c>
      <c r="Q98" s="1578">
        <f>-'Debt-PRP'!N23+P98</f>
        <v>131635576.41609468</v>
      </c>
      <c r="R98" s="1578">
        <f>-'Debt-PRP'!O23+Q98</f>
        <v>141741551.35070708</v>
      </c>
      <c r="S98" s="1578">
        <f>-'Debt-PRP'!P23+R98</f>
        <v>151776889.82592463</v>
      </c>
    </row>
    <row r="99" spans="4:19">
      <c r="D99" s="1521" t="s">
        <v>2272</v>
      </c>
      <c r="G99" s="2155">
        <v>28530</v>
      </c>
      <c r="H99" s="2155">
        <v>28530</v>
      </c>
      <c r="I99" s="2155">
        <v>28530</v>
      </c>
      <c r="J99" s="2155">
        <v>28530</v>
      </c>
      <c r="K99" s="2155">
        <v>28530</v>
      </c>
      <c r="L99" s="2155">
        <v>28530</v>
      </c>
      <c r="M99" s="2155">
        <v>28530</v>
      </c>
      <c r="N99" s="2155">
        <v>28530</v>
      </c>
      <c r="O99" s="2155">
        <v>28530</v>
      </c>
      <c r="P99" s="2155">
        <v>28530</v>
      </c>
      <c r="Q99" s="2155">
        <v>28530</v>
      </c>
      <c r="R99" s="2155">
        <v>28530</v>
      </c>
      <c r="S99" s="2155">
        <v>28530</v>
      </c>
    </row>
    <row r="100" spans="4:19">
      <c r="D100" s="1565" t="s">
        <v>2263</v>
      </c>
      <c r="G100" s="2156">
        <f>SUM(G93:G99)</f>
        <v>109393662.22999981</v>
      </c>
      <c r="H100" s="2156">
        <f t="shared" ref="H100:S100" si="22">SUM(H93:H99)</f>
        <v>116385178.1199999</v>
      </c>
      <c r="I100" s="2156">
        <f t="shared" si="22"/>
        <v>135246796.94</v>
      </c>
      <c r="J100" s="2156">
        <f t="shared" si="22"/>
        <v>153882621.91727114</v>
      </c>
      <c r="K100" s="2156">
        <f t="shared" si="22"/>
        <v>170162250.92662096</v>
      </c>
      <c r="L100" s="2156">
        <f t="shared" si="22"/>
        <v>181113574.33422273</v>
      </c>
      <c r="M100" s="2156">
        <f t="shared" si="22"/>
        <v>195861640.30024999</v>
      </c>
      <c r="N100" s="2156">
        <f t="shared" si="22"/>
        <v>211218103.01747352</v>
      </c>
      <c r="O100" s="2156">
        <f t="shared" si="22"/>
        <v>221440524.61303964</v>
      </c>
      <c r="P100" s="2156">
        <f t="shared" si="22"/>
        <v>237529514.86378211</v>
      </c>
      <c r="Q100" s="2156">
        <f t="shared" si="22"/>
        <v>251908263.56153518</v>
      </c>
      <c r="R100" s="2156">
        <f t="shared" si="22"/>
        <v>269317544.31115001</v>
      </c>
      <c r="S100" s="2156">
        <f t="shared" si="22"/>
        <v>286002164.13633567</v>
      </c>
    </row>
    <row r="101" spans="4:19">
      <c r="D101" s="1539"/>
    </row>
    <row r="102" spans="4:19">
      <c r="D102" s="1564" t="s">
        <v>2273</v>
      </c>
    </row>
    <row r="103" spans="4:19">
      <c r="D103" s="1583" t="s">
        <v>2274</v>
      </c>
      <c r="G103" s="2152">
        <v>42738853.166714095</v>
      </c>
      <c r="H103" s="2152">
        <v>42785555.065518402</v>
      </c>
      <c r="I103" s="2152">
        <v>41559813.199999996</v>
      </c>
      <c r="J103" s="2152">
        <v>42224105.254188798</v>
      </c>
      <c r="K103" s="2152">
        <v>43174238.21762196</v>
      </c>
      <c r="L103" s="2152">
        <v>47082057.394569755</v>
      </c>
      <c r="M103" s="2152">
        <v>49801694.61166504</v>
      </c>
      <c r="N103" s="2152">
        <v>51521265.171025455</v>
      </c>
      <c r="O103" s="2152">
        <v>52747320.831595451</v>
      </c>
      <c r="P103" s="2152">
        <v>53590434.00776767</v>
      </c>
      <c r="Q103" s="2152">
        <v>54447023.504947826</v>
      </c>
      <c r="R103" s="2152">
        <v>55317304.728650913</v>
      </c>
      <c r="S103" s="2152">
        <v>56201496.527433671</v>
      </c>
    </row>
    <row r="104" spans="4:19">
      <c r="D104" s="1583" t="s">
        <v>2275</v>
      </c>
      <c r="G104" s="1566"/>
      <c r="H104" s="1566"/>
      <c r="I104" s="1566">
        <v>664292.05418880004</v>
      </c>
      <c r="J104" s="1566">
        <v>679240.05070007942</v>
      </c>
      <c r="K104" s="1566">
        <v>740719.93790729286</v>
      </c>
      <c r="L104" s="1566">
        <v>783506.71533494047</v>
      </c>
      <c r="M104" s="1566">
        <v>810559.91284672881</v>
      </c>
      <c r="N104" s="1566">
        <v>829848.87180528603</v>
      </c>
      <c r="O104" s="1566">
        <v>843113.17617222178</v>
      </c>
      <c r="P104" s="1566">
        <v>856589.49718015851</v>
      </c>
      <c r="Q104" s="1566">
        <v>870281.22370308614</v>
      </c>
      <c r="R104" s="1566">
        <v>884191.79878275632</v>
      </c>
      <c r="S104" s="1566">
        <v>898324.7204944999</v>
      </c>
    </row>
    <row r="105" spans="4:19">
      <c r="D105" s="1583" t="s">
        <v>2276</v>
      </c>
      <c r="G105" s="2153">
        <v>0</v>
      </c>
      <c r="H105" s="2153">
        <v>4480726.9838484358</v>
      </c>
      <c r="I105" s="2153">
        <v>0</v>
      </c>
      <c r="J105" s="2153">
        <v>270892.91273308377</v>
      </c>
      <c r="K105" s="2153">
        <v>3167099.2390405005</v>
      </c>
      <c r="L105" s="2153">
        <v>1936130.501760351</v>
      </c>
      <c r="M105" s="2153">
        <v>909010.6465136878</v>
      </c>
      <c r="N105" s="2153">
        <v>396206.78876470751</v>
      </c>
      <c r="O105" s="2153">
        <v>0</v>
      </c>
      <c r="P105" s="2153">
        <v>0</v>
      </c>
      <c r="Q105" s="2153">
        <v>0</v>
      </c>
      <c r="R105" s="2153">
        <v>0</v>
      </c>
      <c r="S105" s="2153">
        <v>0</v>
      </c>
    </row>
    <row r="106" spans="4:19">
      <c r="D106" s="1565" t="s">
        <v>2263</v>
      </c>
      <c r="G106" s="1579">
        <f>SUM(G103:G105)</f>
        <v>42738853.166714095</v>
      </c>
      <c r="H106" s="1579">
        <f>SUM(H103:H105)</f>
        <v>47266282.049366839</v>
      </c>
      <c r="I106" s="1579">
        <f>SUM(I103:I105)</f>
        <v>42224105.254188798</v>
      </c>
      <c r="J106" s="1579">
        <f>SUM(J103:J105)</f>
        <v>43174238.21762196</v>
      </c>
      <c r="K106" s="1579">
        <f>SUM(K103:K105)</f>
        <v>47082057.394569755</v>
      </c>
      <c r="L106" s="1579">
        <f t="shared" ref="L106:S106" si="23">SUM(L103:L105)</f>
        <v>49801694.61166504</v>
      </c>
      <c r="M106" s="1579">
        <f t="shared" si="23"/>
        <v>51521265.171025455</v>
      </c>
      <c r="N106" s="1579">
        <f t="shared" si="23"/>
        <v>52747320.831595451</v>
      </c>
      <c r="O106" s="1579">
        <f t="shared" si="23"/>
        <v>53590434.00776767</v>
      </c>
      <c r="P106" s="1579">
        <f t="shared" si="23"/>
        <v>54447023.504947826</v>
      </c>
      <c r="Q106" s="1579">
        <f t="shared" si="23"/>
        <v>55317304.728650913</v>
      </c>
      <c r="R106" s="1579">
        <f t="shared" si="23"/>
        <v>56201496.527433671</v>
      </c>
      <c r="S106" s="1579">
        <f t="shared" si="23"/>
        <v>57099821.247928172</v>
      </c>
    </row>
    <row r="107" spans="4:19">
      <c r="D107" s="1584"/>
    </row>
  </sheetData>
  <printOptions horizontalCentered="1"/>
  <pageMargins left="0.5" right="0.5" top="0.5" bottom="0.5" header="0.5" footer="0.25"/>
  <pageSetup scale="49" fitToHeight="0" orientation="landscape" r:id="rId1"/>
  <headerFooter alignWithMargins="0">
    <oddFooter>&amp;L&amp;"Times New Roman,Bold Italic"&amp;F: &amp;A&amp;C&amp;"Times New Roman,Bold Italic"Date: &amp;D&amp;R&amp;"Times New Roman,Bold Italic"Page: &amp;P of &amp;N</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tabColor theme="2" tint="-0.749992370372631"/>
    <pageSetUpPr fitToPage="1"/>
  </sheetPr>
  <dimension ref="A1:AQ280"/>
  <sheetViews>
    <sheetView showGridLines="0" zoomScale="70" zoomScaleNormal="70" zoomScaleSheetLayoutView="75" workbookViewId="0">
      <pane xSplit="6" ySplit="7" topLeftCell="G8" activePane="bottomRight" state="frozen"/>
      <selection activeCell="D15" sqref="D15"/>
      <selection pane="topRight" activeCell="D15" sqref="D15"/>
      <selection pane="bottomLeft" activeCell="D15" sqref="D15"/>
      <selection pane="bottomRight" activeCell="C1" sqref="C1:C1048576"/>
    </sheetView>
  </sheetViews>
  <sheetFormatPr defaultColWidth="0" defaultRowHeight="15.75" customHeight="1" zeroHeight="1"/>
  <cols>
    <col min="1" max="1" width="22.5" style="34" customWidth="1"/>
    <col min="2" max="2" width="2" style="34" customWidth="1"/>
    <col min="3" max="3" width="5.5" style="34" hidden="1" customWidth="1"/>
    <col min="4" max="4" width="32.375" style="34" customWidth="1"/>
    <col min="5" max="6" width="11.5" style="34" bestFit="1" customWidth="1"/>
    <col min="7" max="9" width="15.125" style="160" bestFit="1" customWidth="1"/>
    <col min="10" max="21" width="16.25" style="160" bestFit="1" customWidth="1"/>
    <col min="22" max="22" width="2.625" style="34" customWidth="1"/>
    <col min="23" max="35" width="9" style="34" customWidth="1"/>
    <col min="36" max="36" width="11" style="34" bestFit="1" customWidth="1"/>
    <col min="37" max="43" width="0" style="34" hidden="1" customWidth="1"/>
    <col min="44" max="16384" width="9" style="34" hidden="1"/>
  </cols>
  <sheetData>
    <row r="1" spans="1:22" ht="22.5">
      <c r="A1" s="1279"/>
      <c r="B1" s="1331"/>
      <c r="C1" s="1332"/>
      <c r="D1" s="583"/>
      <c r="E1" s="583"/>
      <c r="F1" s="583"/>
      <c r="G1" s="583"/>
      <c r="H1" s="583"/>
      <c r="I1" s="583"/>
      <c r="J1" s="583"/>
      <c r="K1" s="583"/>
      <c r="L1" s="583"/>
      <c r="M1" s="583"/>
      <c r="N1" s="583"/>
      <c r="O1" s="583"/>
      <c r="P1" s="583"/>
      <c r="Q1" s="583"/>
      <c r="R1" s="583"/>
      <c r="S1" s="583"/>
      <c r="T1" s="583"/>
      <c r="U1" s="583"/>
      <c r="V1" s="33"/>
    </row>
    <row r="2" spans="1:22" ht="22.5">
      <c r="A2" s="1279"/>
      <c r="B2" s="1331"/>
      <c r="C2" s="4415" t="s">
        <v>981</v>
      </c>
      <c r="D2" s="4415"/>
      <c r="E2" s="4415"/>
      <c r="F2" s="4415"/>
      <c r="G2" s="4415"/>
      <c r="H2" s="4415"/>
      <c r="I2" s="4415"/>
      <c r="J2" s="1624" t="s">
        <v>2181</v>
      </c>
      <c r="K2" s="1520"/>
      <c r="L2" s="562" t="s">
        <v>3493</v>
      </c>
      <c r="M2" s="821"/>
      <c r="N2" s="821"/>
      <c r="O2" s="821"/>
      <c r="P2" s="821"/>
      <c r="Q2" s="821"/>
      <c r="R2" s="821"/>
      <c r="S2" s="821"/>
      <c r="T2" s="821"/>
      <c r="U2" s="821"/>
      <c r="V2" s="33"/>
    </row>
    <row r="3" spans="1:22" ht="22.5">
      <c r="A3" s="1279"/>
      <c r="B3" s="1331"/>
      <c r="C3" s="4415" t="s">
        <v>554</v>
      </c>
      <c r="D3" s="4415"/>
      <c r="E3" s="4415"/>
      <c r="F3" s="4415"/>
      <c r="G3" s="4415"/>
      <c r="H3" s="4415"/>
      <c r="I3" s="4415"/>
      <c r="J3" s="4224" t="s">
        <v>3971</v>
      </c>
      <c r="K3" s="1624"/>
      <c r="L3" s="562" t="s">
        <v>3989</v>
      </c>
      <c r="M3" s="821"/>
      <c r="N3" s="821"/>
      <c r="O3" s="821"/>
      <c r="P3" s="821"/>
      <c r="Q3" s="821"/>
      <c r="R3" s="821"/>
      <c r="S3" s="821"/>
      <c r="T3" s="821"/>
      <c r="U3" s="821"/>
      <c r="V3" s="33"/>
    </row>
    <row r="4" spans="1:22" ht="18.75">
      <c r="A4" s="1279"/>
      <c r="B4" s="1331"/>
      <c r="C4" s="1333"/>
      <c r="D4" s="443"/>
      <c r="E4" s="443"/>
      <c r="F4" s="443"/>
      <c r="G4" s="1333"/>
      <c r="H4" s="1333"/>
      <c r="I4" s="1333"/>
      <c r="J4" s="1333"/>
      <c r="K4" s="1333"/>
      <c r="L4" s="1333"/>
      <c r="M4" s="1333"/>
      <c r="N4" s="1333"/>
      <c r="O4" s="1333"/>
      <c r="P4" s="1333"/>
      <c r="Q4" s="1333"/>
      <c r="R4" s="1333"/>
      <c r="S4" s="1333"/>
      <c r="T4" s="1333"/>
      <c r="U4" s="1333"/>
      <c r="V4" s="33"/>
    </row>
    <row r="5" spans="1:22">
      <c r="A5" s="1279"/>
      <c r="B5" s="1331"/>
      <c r="C5" s="1332"/>
      <c r="D5" s="1332"/>
      <c r="E5" s="1332"/>
      <c r="F5" s="1332"/>
      <c r="G5" s="1334"/>
      <c r="H5" s="1334"/>
      <c r="I5" s="1334"/>
      <c r="J5" s="1333"/>
      <c r="K5" s="1333"/>
      <c r="L5" s="1333"/>
      <c r="M5" s="1333"/>
      <c r="N5" s="1333"/>
      <c r="O5" s="1333"/>
      <c r="P5" s="1333"/>
      <c r="Q5" s="1333"/>
      <c r="R5" s="1333"/>
      <c r="S5" s="1333"/>
      <c r="T5" s="1333"/>
      <c r="U5" s="1333"/>
      <c r="V5" s="33"/>
    </row>
    <row r="6" spans="1:22">
      <c r="A6" s="1279"/>
      <c r="B6" s="1331"/>
      <c r="C6" s="4416" t="s">
        <v>867</v>
      </c>
      <c r="D6" s="4416" t="s">
        <v>399</v>
      </c>
      <c r="E6" s="4416"/>
      <c r="F6" s="4416"/>
      <c r="G6" s="1335"/>
      <c r="H6" s="1335"/>
      <c r="I6" s="1335"/>
      <c r="J6" s="1335"/>
      <c r="K6" s="1335"/>
      <c r="L6" s="1335"/>
      <c r="M6" s="1335"/>
      <c r="N6" s="1335"/>
      <c r="O6" s="1335"/>
      <c r="P6" s="1335"/>
      <c r="Q6" s="1335"/>
      <c r="R6" s="1335"/>
      <c r="S6" s="1335"/>
      <c r="T6" s="1335"/>
      <c r="U6" s="1335"/>
      <c r="V6" s="417"/>
    </row>
    <row r="7" spans="1:22">
      <c r="A7" s="1279"/>
      <c r="B7" s="1331"/>
      <c r="C7" s="4417" t="s">
        <v>867</v>
      </c>
      <c r="D7" s="4417"/>
      <c r="E7" s="4418"/>
      <c r="F7" s="4418"/>
      <c r="G7" s="1336">
        <f>H7-1</f>
        <v>2012</v>
      </c>
      <c r="H7" s="1336">
        <f>Dashboard!F$7</f>
        <v>2013</v>
      </c>
      <c r="I7" s="1336">
        <f>Dashboard!G$7</f>
        <v>2014</v>
      </c>
      <c r="J7" s="1336">
        <f>Dashboard!H$7</f>
        <v>2015</v>
      </c>
      <c r="K7" s="1336">
        <f>Dashboard!I$7</f>
        <v>2016</v>
      </c>
      <c r="L7" s="1336">
        <f>Dashboard!J$7</f>
        <v>2017</v>
      </c>
      <c r="M7" s="1336">
        <f>Dashboard!K$7</f>
        <v>2018</v>
      </c>
      <c r="N7" s="1336">
        <f>Dashboard!L$7</f>
        <v>2019</v>
      </c>
      <c r="O7" s="1336">
        <f>Dashboard!M$7</f>
        <v>2020</v>
      </c>
      <c r="P7" s="1336">
        <f>Dashboard!N$7</f>
        <v>2021</v>
      </c>
      <c r="Q7" s="1336">
        <f>Dashboard!O$7</f>
        <v>2022</v>
      </c>
      <c r="R7" s="1336">
        <f>Dashboard!P$7</f>
        <v>2023</v>
      </c>
      <c r="S7" s="1336">
        <f>Dashboard!Q$7</f>
        <v>2024</v>
      </c>
      <c r="T7" s="1336">
        <f>Dashboard!R$7</f>
        <v>2025</v>
      </c>
      <c r="U7" s="1336">
        <f>Dashboard!S$7</f>
        <v>2026</v>
      </c>
      <c r="V7" s="417"/>
    </row>
    <row r="8" spans="1:22">
      <c r="A8" s="1279"/>
      <c r="B8" s="1331"/>
      <c r="C8" s="1331"/>
      <c r="D8" s="1337"/>
      <c r="E8" s="1337"/>
      <c r="F8" s="1337"/>
      <c r="G8" s="1331"/>
      <c r="H8" s="1331"/>
      <c r="I8" s="1331"/>
      <c r="J8" s="1331"/>
      <c r="K8" s="1331"/>
      <c r="L8" s="1331"/>
      <c r="M8" s="1331"/>
      <c r="N8" s="1331"/>
      <c r="O8" s="1331"/>
      <c r="P8" s="1331"/>
      <c r="Q8" s="1331"/>
      <c r="R8" s="1331"/>
      <c r="S8" s="1331"/>
      <c r="T8" s="1331"/>
      <c r="U8" s="1331"/>
      <c r="V8" s="33"/>
    </row>
    <row r="9" spans="1:22" s="183" customFormat="1">
      <c r="A9" s="1279"/>
      <c r="B9" s="1338"/>
      <c r="C9" s="1339">
        <v>1</v>
      </c>
      <c r="D9" s="1340" t="s">
        <v>890</v>
      </c>
      <c r="E9" s="1340"/>
      <c r="F9" s="1340"/>
      <c r="G9" s="1518">
        <v>0</v>
      </c>
      <c r="H9" s="1518">
        <v>0</v>
      </c>
      <c r="I9" s="1518">
        <v>0</v>
      </c>
      <c r="J9" s="1518">
        <v>0</v>
      </c>
      <c r="K9" s="1518">
        <v>0</v>
      </c>
      <c r="L9" s="1518">
        <v>0</v>
      </c>
      <c r="M9" s="1518">
        <v>0</v>
      </c>
      <c r="N9" s="1518">
        <v>0</v>
      </c>
      <c r="O9" s="1518">
        <v>0</v>
      </c>
      <c r="P9" s="1518">
        <v>0</v>
      </c>
      <c r="Q9" s="1518">
        <v>0</v>
      </c>
      <c r="R9" s="1518">
        <v>0</v>
      </c>
      <c r="S9" s="1518">
        <v>0</v>
      </c>
      <c r="T9" s="1518">
        <v>0</v>
      </c>
      <c r="U9" s="1518">
        <v>0</v>
      </c>
      <c r="V9" s="182"/>
    </row>
    <row r="10" spans="1:22">
      <c r="A10" s="1279"/>
      <c r="B10" s="1331"/>
      <c r="C10" s="1331"/>
      <c r="D10" s="1337"/>
      <c r="E10" s="1337"/>
      <c r="F10" s="1337"/>
      <c r="G10" s="1331"/>
      <c r="H10" s="1331"/>
      <c r="I10" s="1331"/>
      <c r="J10" s="1331"/>
      <c r="K10" s="1331"/>
      <c r="L10" s="1331"/>
      <c r="M10" s="1331"/>
      <c r="N10" s="1331"/>
      <c r="O10" s="1331"/>
      <c r="P10" s="1331"/>
      <c r="Q10" s="1331"/>
      <c r="R10" s="1331"/>
      <c r="S10" s="1331"/>
      <c r="T10" s="1331"/>
      <c r="U10" s="1331"/>
      <c r="V10" s="33"/>
    </row>
    <row r="11" spans="1:22">
      <c r="A11" s="1279"/>
      <c r="B11" s="1331"/>
      <c r="C11" s="1332"/>
      <c r="D11" s="1341" t="s">
        <v>883</v>
      </c>
      <c r="E11" s="1341"/>
      <c r="F11" s="1341"/>
      <c r="G11" s="1332"/>
      <c r="H11" s="1332"/>
      <c r="I11" s="1645"/>
      <c r="J11" s="1332"/>
      <c r="K11" s="1332"/>
      <c r="L11" s="1332"/>
      <c r="M11" s="1332"/>
      <c r="N11" s="1332"/>
      <c r="O11" s="1332"/>
      <c r="P11" s="1332"/>
      <c r="Q11" s="1332"/>
      <c r="R11" s="1332"/>
      <c r="S11" s="1332"/>
      <c r="T11" s="1332"/>
      <c r="U11" s="1332"/>
      <c r="V11" s="33"/>
    </row>
    <row r="12" spans="1:22" ht="18.75" customHeight="1">
      <c r="A12" s="1279"/>
      <c r="B12" s="1331"/>
      <c r="C12" s="1339">
        <f>IF(D12="","",MAX(C$9:C11)+1)</f>
        <v>2</v>
      </c>
      <c r="D12" s="1343" t="s">
        <v>2051</v>
      </c>
      <c r="E12" s="1343"/>
      <c r="F12" s="1343"/>
      <c r="G12" s="1344">
        <f>'Forecast (BV) 2017'!E46</f>
        <v>52353360.310000002</v>
      </c>
      <c r="H12" s="1344">
        <f>'Forecast (BV) 2017'!F46</f>
        <v>55640876.630000003</v>
      </c>
      <c r="I12" s="1344">
        <f>'Forecast (BV) 2017'!G46</f>
        <v>61099098.909999996</v>
      </c>
      <c r="J12" s="1344">
        <f>'Forecast (BV) 2017'!I46</f>
        <v>51082310.369999997</v>
      </c>
      <c r="K12" s="1344">
        <f>'Forecast (BV) 2017'!K46</f>
        <v>39278145.865235783</v>
      </c>
      <c r="L12" s="1344">
        <f>'Forecast (BV) 2017'!L46</f>
        <v>40915980.700040989</v>
      </c>
      <c r="M12" s="1344">
        <f>'Forecast (BV) 2017'!M46</f>
        <v>39395696.787638061</v>
      </c>
      <c r="N12" s="1344">
        <f>'Forecast (BV) 2017'!N46</f>
        <v>34422363.37476857</v>
      </c>
      <c r="O12" s="1344">
        <f>'Forecast (BV) 2017'!O46</f>
        <v>29417035.325962219</v>
      </c>
      <c r="P12" s="1344">
        <f>'Forecast (BV) 2017'!P46</f>
        <v>23755028.832793873</v>
      </c>
      <c r="Q12" s="1344">
        <f>'Forecast (BV) 2017'!Q46</f>
        <v>20886469.139375698</v>
      </c>
      <c r="R12" s="1344">
        <f>'Forecast (BV) 2017'!R46</f>
        <v>17391507.670925897</v>
      </c>
      <c r="S12" s="1344">
        <f>'Forecast (BV) 2017'!S46</f>
        <v>14555273.492445875</v>
      </c>
      <c r="T12" s="1344">
        <f>'Forecast (BV) 2017'!T46</f>
        <v>15254264.69797747</v>
      </c>
      <c r="U12" s="1344">
        <f>'Forecast (BV) 2017'!U46</f>
        <v>15953497.336456399</v>
      </c>
      <c r="V12" s="33"/>
    </row>
    <row r="13" spans="1:22">
      <c r="A13" s="1279"/>
      <c r="B13" s="1331"/>
      <c r="C13" s="1339">
        <f>IF(D13="","",MAX(C$9:C12)+1)</f>
        <v>3</v>
      </c>
      <c r="D13" s="1343" t="s">
        <v>2197</v>
      </c>
      <c r="E13" s="1343"/>
      <c r="F13" s="1343"/>
      <c r="G13" s="1344">
        <f>'Forecast (BV) 2017'!E77-G12</f>
        <v>82302352.699999988</v>
      </c>
      <c r="H13" s="1344">
        <f>'Forecast (BV) 2017'!F77-H12</f>
        <v>86789493.879999995</v>
      </c>
      <c r="I13" s="2931">
        <f t="shared" ref="I13:U13" si="0">I52-I12</f>
        <v>84549021.839999795</v>
      </c>
      <c r="J13" s="987">
        <f t="shared" si="0"/>
        <v>99142572.129999906</v>
      </c>
      <c r="K13" s="987">
        <f t="shared" si="0"/>
        <v>116382469.52517083</v>
      </c>
      <c r="L13" s="987">
        <f t="shared" si="0"/>
        <v>118792176.32215723</v>
      </c>
      <c r="M13" s="987">
        <f t="shared" si="0"/>
        <v>127109019.84343505</v>
      </c>
      <c r="N13" s="987">
        <f t="shared" si="0"/>
        <v>137246228.50820607</v>
      </c>
      <c r="O13" s="987">
        <f t="shared" si="0"/>
        <v>147481910.02354416</v>
      </c>
      <c r="P13" s="987">
        <f t="shared" si="0"/>
        <v>153506800.72748867</v>
      </c>
      <c r="Q13" s="987">
        <f t="shared" si="0"/>
        <v>158175335.19992667</v>
      </c>
      <c r="R13" s="987">
        <f t="shared" si="0"/>
        <v>161388105.50894168</v>
      </c>
      <c r="S13" s="987">
        <f t="shared" si="0"/>
        <v>171408881.86686492</v>
      </c>
      <c r="T13" s="987">
        <f t="shared" si="0"/>
        <v>180101592.47076243</v>
      </c>
      <c r="U13" s="987">
        <f t="shared" si="0"/>
        <v>188782315.64999637</v>
      </c>
      <c r="V13" s="33"/>
    </row>
    <row r="14" spans="1:22" ht="6" customHeight="1">
      <c r="A14" s="1279"/>
      <c r="B14" s="1331"/>
      <c r="C14" s="1339" t="str">
        <f>IF(D14="","",MAX(C$9:C13)+1)</f>
        <v/>
      </c>
      <c r="D14" s="1343"/>
      <c r="E14" s="1343"/>
      <c r="F14" s="1343"/>
      <c r="G14" s="1344"/>
      <c r="H14" s="1344"/>
      <c r="I14" s="1344"/>
      <c r="J14" s="1344"/>
      <c r="K14" s="1344"/>
      <c r="L14" s="1344"/>
      <c r="M14" s="1344"/>
      <c r="N14" s="1344"/>
      <c r="O14" s="1344"/>
      <c r="P14" s="1344"/>
      <c r="Q14" s="1344"/>
      <c r="R14" s="1344"/>
      <c r="S14" s="1344"/>
      <c r="T14" s="1344"/>
      <c r="U14" s="1344"/>
      <c r="V14" s="33"/>
    </row>
    <row r="15" spans="1:22">
      <c r="A15" s="1279"/>
      <c r="B15" s="1331"/>
      <c r="C15" s="1339">
        <f>IF(D15="","",MAX(C$9:C14)+1)</f>
        <v>4</v>
      </c>
      <c r="D15" s="1346" t="s">
        <v>1040</v>
      </c>
      <c r="E15" s="1346"/>
      <c r="F15" s="1346"/>
      <c r="G15" s="1347">
        <f t="shared" ref="G15:U15" si="1">SUM(G12:G13)</f>
        <v>134655713.00999999</v>
      </c>
      <c r="H15" s="1347">
        <f t="shared" si="1"/>
        <v>142430370.50999999</v>
      </c>
      <c r="I15" s="1347">
        <f t="shared" si="1"/>
        <v>145648120.74999979</v>
      </c>
      <c r="J15" s="1347">
        <f t="shared" si="1"/>
        <v>150224882.49999991</v>
      </c>
      <c r="K15" s="1347">
        <f t="shared" si="1"/>
        <v>155660615.39040661</v>
      </c>
      <c r="L15" s="1347">
        <f t="shared" si="1"/>
        <v>159708157.02219823</v>
      </c>
      <c r="M15" s="1347">
        <f t="shared" si="1"/>
        <v>166504716.63107312</v>
      </c>
      <c r="N15" s="1347">
        <f t="shared" si="1"/>
        <v>171668591.88297462</v>
      </c>
      <c r="O15" s="1347">
        <f t="shared" si="1"/>
        <v>176898945.34950638</v>
      </c>
      <c r="P15" s="1347">
        <f t="shared" si="1"/>
        <v>177261829.56028253</v>
      </c>
      <c r="Q15" s="1347">
        <f t="shared" si="1"/>
        <v>179061804.33930236</v>
      </c>
      <c r="R15" s="1347">
        <f t="shared" si="1"/>
        <v>178779613.17986757</v>
      </c>
      <c r="S15" s="1347">
        <f t="shared" si="1"/>
        <v>185964155.35931081</v>
      </c>
      <c r="T15" s="1347">
        <f t="shared" si="1"/>
        <v>195355857.16873991</v>
      </c>
      <c r="U15" s="1347">
        <f t="shared" si="1"/>
        <v>204735812.98645276</v>
      </c>
      <c r="V15" s="33"/>
    </row>
    <row r="16" spans="1:22">
      <c r="A16" s="1279"/>
      <c r="B16" s="1331"/>
      <c r="C16" s="1339" t="str">
        <f>IF(D16="","",MAX(C$9:C15)+1)</f>
        <v/>
      </c>
      <c r="D16" s="1343"/>
      <c r="E16" s="1343"/>
      <c r="F16" s="1343"/>
      <c r="G16" s="1540"/>
      <c r="H16" s="1540"/>
      <c r="I16" s="1540"/>
      <c r="J16" s="1540"/>
      <c r="K16" s="1540"/>
      <c r="L16" s="1540"/>
      <c r="M16" s="1540"/>
      <c r="N16" s="1344"/>
      <c r="O16" s="1344"/>
      <c r="P16" s="1344"/>
      <c r="Q16" s="1344"/>
      <c r="R16" s="1344"/>
      <c r="S16" s="1344"/>
      <c r="T16" s="1344"/>
      <c r="U16" s="1344"/>
      <c r="V16" s="33"/>
    </row>
    <row r="17" spans="1:22">
      <c r="A17" s="1279"/>
      <c r="B17" s="1331"/>
      <c r="C17" s="1339">
        <f>IF(D17="","",MAX(C$9:C16)+1)</f>
        <v>5</v>
      </c>
      <c r="D17" s="1349" t="s">
        <v>308</v>
      </c>
      <c r="E17" s="1349"/>
      <c r="F17" s="1349"/>
      <c r="G17" s="1344"/>
      <c r="H17" s="1344"/>
      <c r="I17" s="1344"/>
      <c r="J17" s="1344"/>
      <c r="K17" s="1344"/>
      <c r="L17" s="1344"/>
      <c r="M17" s="1344"/>
      <c r="N17" s="1344"/>
      <c r="O17" s="1344"/>
      <c r="P17" s="1344"/>
      <c r="Q17" s="1344"/>
      <c r="R17" s="1344"/>
      <c r="S17" s="1344"/>
      <c r="T17" s="1344"/>
      <c r="U17" s="1344"/>
      <c r="V17" s="33"/>
    </row>
    <row r="18" spans="1:22" ht="18">
      <c r="A18" s="1279"/>
      <c r="B18" s="1331"/>
      <c r="C18" s="1339">
        <f>IF(D18="","",MAX(C$9:C17)+1)</f>
        <v>6</v>
      </c>
      <c r="D18" s="1343" t="s">
        <v>1944</v>
      </c>
      <c r="E18" s="1343"/>
      <c r="F18" s="1343"/>
      <c r="G18" s="2930">
        <v>2203175.5299999998</v>
      </c>
      <c r="H18" s="2930">
        <v>-141133.32</v>
      </c>
      <c r="I18" s="2930">
        <v>1511708.0788380085</v>
      </c>
      <c r="J18" s="2930">
        <v>935847.46734362887</v>
      </c>
      <c r="K18" s="2930">
        <v>1346163.4404775053</v>
      </c>
      <c r="L18" s="2930">
        <v>1437196.763748236</v>
      </c>
      <c r="M18" s="2930">
        <v>1490237.0676641085</v>
      </c>
      <c r="N18" s="2930">
        <v>1550257.274510982</v>
      </c>
      <c r="O18" s="2930">
        <v>1600473.1982036843</v>
      </c>
      <c r="P18" s="2930">
        <v>1620280.3577431177</v>
      </c>
      <c r="Q18" s="2930">
        <v>1651732.0623728638</v>
      </c>
      <c r="R18" s="2930">
        <v>1675689.4012086059</v>
      </c>
      <c r="S18" s="2930">
        <v>1732231.7847668047</v>
      </c>
      <c r="T18" s="2930">
        <v>1741924.5541734821</v>
      </c>
      <c r="U18" s="2930">
        <v>1767985.7308390478</v>
      </c>
      <c r="V18" s="33"/>
    </row>
    <row r="19" spans="1:22">
      <c r="A19" s="1279"/>
      <c r="B19" s="1350"/>
      <c r="C19" s="1339">
        <f>IF(D19="","",MAX(C$9:C18)+1)</f>
        <v>7</v>
      </c>
      <c r="D19" s="1351" t="s">
        <v>309</v>
      </c>
      <c r="E19" s="1351"/>
      <c r="F19" s="1351"/>
      <c r="G19" s="1347">
        <f t="shared" ref="G19:U19" si="2">SUM(G18:G18)</f>
        <v>2203175.5299999998</v>
      </c>
      <c r="H19" s="1347">
        <f t="shared" si="2"/>
        <v>-141133.32</v>
      </c>
      <c r="I19" s="1347">
        <f t="shared" si="2"/>
        <v>1511708.0788380085</v>
      </c>
      <c r="J19" s="1347">
        <f t="shared" si="2"/>
        <v>935847.46734362887</v>
      </c>
      <c r="K19" s="1347">
        <f t="shared" si="2"/>
        <v>1346163.4404775053</v>
      </c>
      <c r="L19" s="1347">
        <f t="shared" si="2"/>
        <v>1437196.763748236</v>
      </c>
      <c r="M19" s="1347">
        <f t="shared" si="2"/>
        <v>1490237.0676641085</v>
      </c>
      <c r="N19" s="1347">
        <f t="shared" si="2"/>
        <v>1550257.274510982</v>
      </c>
      <c r="O19" s="1347">
        <f t="shared" si="2"/>
        <v>1600473.1982036843</v>
      </c>
      <c r="P19" s="1347">
        <f t="shared" si="2"/>
        <v>1620280.3577431177</v>
      </c>
      <c r="Q19" s="1347">
        <f t="shared" si="2"/>
        <v>1651732.0623728638</v>
      </c>
      <c r="R19" s="1347">
        <f t="shared" si="2"/>
        <v>1675689.4012086059</v>
      </c>
      <c r="S19" s="1347">
        <f t="shared" si="2"/>
        <v>1732231.7847668047</v>
      </c>
      <c r="T19" s="1347">
        <f t="shared" si="2"/>
        <v>1741924.5541734821</v>
      </c>
      <c r="U19" s="1347">
        <f t="shared" si="2"/>
        <v>1767985.7308390478</v>
      </c>
      <c r="V19" s="159"/>
    </row>
    <row r="20" spans="1:22" ht="15.75" customHeight="1">
      <c r="A20" s="1279"/>
      <c r="B20" s="1350"/>
      <c r="C20" s="1339" t="str">
        <f>IF(D20="","",MAX(C$9:C19)+1)</f>
        <v/>
      </c>
      <c r="D20" s="1342"/>
      <c r="E20" s="1342"/>
      <c r="F20" s="1342"/>
      <c r="G20" s="1347"/>
      <c r="H20" s="1347"/>
      <c r="I20" s="1347"/>
      <c r="J20" s="1347"/>
      <c r="K20" s="1347"/>
      <c r="L20" s="1347"/>
      <c r="M20" s="1347"/>
      <c r="N20" s="1347"/>
      <c r="O20" s="1347"/>
      <c r="P20" s="1347"/>
      <c r="Q20" s="1347"/>
      <c r="R20" s="1347"/>
      <c r="S20" s="1347"/>
      <c r="T20" s="1347"/>
      <c r="U20" s="1347"/>
      <c r="V20" s="159"/>
    </row>
    <row r="21" spans="1:22" ht="15.75" customHeight="1">
      <c r="A21" s="1279"/>
      <c r="B21" s="1350"/>
      <c r="C21" s="1339">
        <f>IF(D21="","",MAX(C$9:C20)+1)</f>
        <v>8</v>
      </c>
      <c r="D21" s="1353" t="s">
        <v>1041</v>
      </c>
      <c r="E21" s="1353"/>
      <c r="F21" s="1353"/>
      <c r="G21" s="1352">
        <f t="shared" ref="G21:U21" si="3">SUM(G15,G19)</f>
        <v>136858888.53999999</v>
      </c>
      <c r="H21" s="1352">
        <f t="shared" si="3"/>
        <v>142289237.19</v>
      </c>
      <c r="I21" s="1352">
        <f t="shared" si="3"/>
        <v>147159828.82883781</v>
      </c>
      <c r="J21" s="1352">
        <f t="shared" si="3"/>
        <v>151160729.96734354</v>
      </c>
      <c r="K21" s="1352">
        <f t="shared" si="3"/>
        <v>157006778.8308841</v>
      </c>
      <c r="L21" s="1352">
        <f t="shared" si="3"/>
        <v>161145353.78594646</v>
      </c>
      <c r="M21" s="1352">
        <f t="shared" si="3"/>
        <v>167994953.69873723</v>
      </c>
      <c r="N21" s="1352">
        <f t="shared" si="3"/>
        <v>173218849.1574856</v>
      </c>
      <c r="O21" s="1352">
        <f t="shared" si="3"/>
        <v>178499418.54771006</v>
      </c>
      <c r="P21" s="1352">
        <f t="shared" si="3"/>
        <v>178882109.91802564</v>
      </c>
      <c r="Q21" s="1352">
        <f t="shared" si="3"/>
        <v>180713536.40167522</v>
      </c>
      <c r="R21" s="1352">
        <f t="shared" si="3"/>
        <v>180455302.58107617</v>
      </c>
      <c r="S21" s="1352">
        <f t="shared" si="3"/>
        <v>187696387.1440776</v>
      </c>
      <c r="T21" s="1352">
        <f t="shared" si="3"/>
        <v>197097781.72291338</v>
      </c>
      <c r="U21" s="1352">
        <f t="shared" si="3"/>
        <v>206503798.7172918</v>
      </c>
      <c r="V21" s="159"/>
    </row>
    <row r="22" spans="1:22" ht="15.75" customHeight="1">
      <c r="A22" s="1279"/>
      <c r="B22" s="1350"/>
      <c r="C22" s="1339" t="str">
        <f>IF(D22="","",MAX(C$9:C21)+1)</f>
        <v/>
      </c>
      <c r="D22" s="1346"/>
      <c r="E22" s="1346"/>
      <c r="F22" s="1346"/>
      <c r="G22" s="1347"/>
      <c r="H22" s="1347"/>
      <c r="I22" s="1347"/>
      <c r="J22" s="1347"/>
      <c r="K22" s="1347"/>
      <c r="L22" s="1347"/>
      <c r="M22" s="1347"/>
      <c r="N22" s="1347"/>
      <c r="O22" s="1347"/>
      <c r="P22" s="1347"/>
      <c r="Q22" s="1347"/>
      <c r="R22" s="1347"/>
      <c r="S22" s="1347"/>
      <c r="T22" s="1347"/>
      <c r="U22" s="1347"/>
      <c r="V22" s="159"/>
    </row>
    <row r="23" spans="1:22" ht="15.75" customHeight="1">
      <c r="A23" s="1279"/>
      <c r="B23" s="1350"/>
      <c r="C23" s="1339">
        <f>IF(D23="","",MAX(C$9:C22)+1)</f>
        <v>9</v>
      </c>
      <c r="D23" s="1353" t="s">
        <v>190</v>
      </c>
      <c r="E23" s="1346"/>
      <c r="F23" s="1346"/>
      <c r="G23" s="1352">
        <f t="shared" ref="G23:U23" si="4">G21</f>
        <v>136858888.53999999</v>
      </c>
      <c r="H23" s="1352">
        <f t="shared" si="4"/>
        <v>142289237.19</v>
      </c>
      <c r="I23" s="1352">
        <f t="shared" si="4"/>
        <v>147159828.82883781</v>
      </c>
      <c r="J23" s="1352">
        <f t="shared" si="4"/>
        <v>151160729.96734354</v>
      </c>
      <c r="K23" s="1352">
        <f t="shared" si="4"/>
        <v>157006778.8308841</v>
      </c>
      <c r="L23" s="1352">
        <f t="shared" si="4"/>
        <v>161145353.78594646</v>
      </c>
      <c r="M23" s="1352">
        <f t="shared" si="4"/>
        <v>167994953.69873723</v>
      </c>
      <c r="N23" s="1352">
        <f t="shared" si="4"/>
        <v>173218849.1574856</v>
      </c>
      <c r="O23" s="1352">
        <f t="shared" si="4"/>
        <v>178499418.54771006</v>
      </c>
      <c r="P23" s="1352">
        <f t="shared" si="4"/>
        <v>178882109.91802564</v>
      </c>
      <c r="Q23" s="1352">
        <f t="shared" si="4"/>
        <v>180713536.40167522</v>
      </c>
      <c r="R23" s="1352">
        <f t="shared" si="4"/>
        <v>180455302.58107617</v>
      </c>
      <c r="S23" s="1352">
        <f t="shared" si="4"/>
        <v>187696387.1440776</v>
      </c>
      <c r="T23" s="1352">
        <f t="shared" si="4"/>
        <v>197097781.72291338</v>
      </c>
      <c r="U23" s="1352">
        <f t="shared" si="4"/>
        <v>206503798.7172918</v>
      </c>
      <c r="V23" s="159"/>
    </row>
    <row r="24" spans="1:22" ht="15.75" customHeight="1">
      <c r="A24" s="1279"/>
      <c r="B24" s="1350"/>
      <c r="C24" s="1339" t="str">
        <f>IF(D24="","",MAX(C$9:C23)+1)</f>
        <v/>
      </c>
      <c r="D24" s="1346"/>
      <c r="E24" s="1346"/>
      <c r="F24" s="1346"/>
      <c r="G24" s="1347"/>
      <c r="H24" s="1347"/>
      <c r="I24" s="1347"/>
      <c r="J24" s="1347"/>
      <c r="K24" s="1347"/>
      <c r="L24" s="1347"/>
      <c r="M24" s="1347"/>
      <c r="N24" s="1347"/>
      <c r="O24" s="1347"/>
      <c r="P24" s="1347"/>
      <c r="Q24" s="1347"/>
      <c r="R24" s="1347"/>
      <c r="S24" s="1347"/>
      <c r="T24" s="1347"/>
      <c r="U24" s="1347"/>
      <c r="V24" s="159"/>
    </row>
    <row r="25" spans="1:22" ht="15.75" customHeight="1">
      <c r="A25" s="1279"/>
      <c r="B25" s="1331"/>
      <c r="C25" s="1339">
        <f>IF(D25="","",MAX(C$9:C24)+1)</f>
        <v>10</v>
      </c>
      <c r="D25" s="1462" t="s">
        <v>884</v>
      </c>
      <c r="E25" s="1341"/>
      <c r="F25" s="1341"/>
      <c r="G25" s="1344"/>
      <c r="H25" s="1344"/>
      <c r="I25" s="1344"/>
      <c r="J25" s="1344"/>
      <c r="K25" s="1344"/>
      <c r="L25" s="1344"/>
      <c r="M25" s="1344"/>
      <c r="N25" s="1344"/>
      <c r="O25" s="1344"/>
      <c r="P25" s="1344"/>
      <c r="Q25" s="1344"/>
      <c r="R25" s="1344"/>
      <c r="S25" s="1344"/>
      <c r="T25" s="1344"/>
      <c r="U25" s="1344"/>
      <c r="V25" s="33"/>
    </row>
    <row r="26" spans="1:22" ht="15.75" customHeight="1">
      <c r="A26" s="1279"/>
      <c r="B26" s="1331"/>
      <c r="C26" s="1339">
        <f>IF(D26="","",MAX(C$9:C25)+1)</f>
        <v>11</v>
      </c>
      <c r="D26" s="1349" t="s">
        <v>713</v>
      </c>
      <c r="E26" s="1349"/>
      <c r="F26" s="1349"/>
      <c r="G26" s="1344"/>
      <c r="H26" s="1344"/>
      <c r="I26" s="1344"/>
      <c r="J26" s="1344"/>
      <c r="K26" s="1344"/>
      <c r="L26" s="1344"/>
      <c r="M26" s="1344"/>
      <c r="N26" s="1344"/>
      <c r="O26" s="1344"/>
      <c r="P26" s="1344"/>
      <c r="Q26" s="1344"/>
      <c r="R26" s="1344"/>
      <c r="S26" s="1344"/>
      <c r="T26" s="1344"/>
      <c r="U26" s="1344"/>
      <c r="V26" s="33"/>
    </row>
    <row r="27" spans="1:22" ht="15.75" customHeight="1">
      <c r="A27" s="1279"/>
      <c r="B27" s="1331"/>
      <c r="C27" s="1339">
        <f>IF(D27="","",MAX(C$9:C26)+1)</f>
        <v>12</v>
      </c>
      <c r="D27" s="1343" t="s">
        <v>753</v>
      </c>
      <c r="E27" s="1343"/>
      <c r="F27" s="1343"/>
      <c r="G27" s="1344">
        <f>'O&amp;M_Detail - PRP'!L164</f>
        <v>23182503.020000007</v>
      </c>
      <c r="H27" s="1344">
        <f>'O&amp;M_Detail - PRP'!M164</f>
        <v>22919312.75</v>
      </c>
      <c r="I27" s="1344">
        <f>'O&amp;M_Detail - PRP'!N164</f>
        <v>25125926.260000002</v>
      </c>
      <c r="J27" s="1344">
        <f>'O&amp;M_Detail - PRP'!O164</f>
        <v>26602965.880000006</v>
      </c>
      <c r="K27" s="1344">
        <f>'O&amp;M_Detail - PRP'!P164</f>
        <v>29157426.357729089</v>
      </c>
      <c r="L27" s="1344">
        <f>'O&amp;M_Detail - PRP'!Q164</f>
        <v>28366026.767493136</v>
      </c>
      <c r="M27" s="1344">
        <f>'O&amp;M_Detail - PRP'!R164</f>
        <v>29607066.269383427</v>
      </c>
      <c r="N27" s="1344">
        <f>'O&amp;M_Detail - PRP'!S164</f>
        <v>29909573.184843589</v>
      </c>
      <c r="O27" s="1344">
        <f>'O&amp;M_Detail - PRP'!T164</f>
        <v>30984564.991925973</v>
      </c>
      <c r="P27" s="1344">
        <f>'O&amp;M_Detail - PRP'!U164</f>
        <v>32193549.351190228</v>
      </c>
      <c r="Q27" s="1344">
        <f>'O&amp;M_Detail - PRP'!V164</f>
        <v>31590768.477236833</v>
      </c>
      <c r="R27" s="1344">
        <f>'O&amp;M_Detail - PRP'!W164</f>
        <v>33441750.524913382</v>
      </c>
      <c r="S27" s="1344">
        <f>'O&amp;M_Detail - PRP'!X164</f>
        <v>34932394.176444799</v>
      </c>
      <c r="T27" s="1344">
        <f>'O&amp;M_Detail - PRP'!Y164</f>
        <v>37049000.596623883</v>
      </c>
      <c r="U27" s="1344">
        <f>'O&amp;M_Detail - PRP'!Z164</f>
        <v>39255190.100388512</v>
      </c>
      <c r="V27" s="33"/>
    </row>
    <row r="28" spans="1:22" ht="15.75" customHeight="1">
      <c r="A28" s="1279"/>
      <c r="B28" s="1331"/>
      <c r="C28" s="1339">
        <f>IF(D28="","",MAX(C$9:C27)+1)</f>
        <v>13</v>
      </c>
      <c r="D28" s="1343" t="s">
        <v>600</v>
      </c>
      <c r="E28" s="1343"/>
      <c r="F28" s="1343"/>
      <c r="G28" s="1344">
        <f>'O&amp;M_Detail - PRP'!L165</f>
        <v>1515866.54</v>
      </c>
      <c r="H28" s="1344">
        <f>'O&amp;M_Detail - PRP'!M165</f>
        <v>1652966.02</v>
      </c>
      <c r="I28" s="1344">
        <f>'O&amp;M_Detail - PRP'!N165</f>
        <v>2184113.13</v>
      </c>
      <c r="J28" s="1344">
        <f>'O&amp;M_Detail - PRP'!O165</f>
        <v>2766607.75</v>
      </c>
      <c r="K28" s="1344">
        <f>'O&amp;M_Detail - PRP'!P165</f>
        <v>3000287.0161054586</v>
      </c>
      <c r="L28" s="1344">
        <f>'O&amp;M_Detail - PRP'!Q165</f>
        <v>3163645.765841241</v>
      </c>
      <c r="M28" s="1344">
        <f>'O&amp;M_Detail - PRP'!R165</f>
        <v>3395500.4463553242</v>
      </c>
      <c r="N28" s="1344">
        <f>'O&amp;M_Detail - PRP'!S165</f>
        <v>3554384.3960699365</v>
      </c>
      <c r="O28" s="1344">
        <f>'O&amp;M_Detail - PRP'!T165</f>
        <v>3703069.4424492046</v>
      </c>
      <c r="P28" s="1344">
        <f>'O&amp;M_Detail - PRP'!U165</f>
        <v>3829833.4052451495</v>
      </c>
      <c r="Q28" s="1344">
        <f>'O&amp;M_Detail - PRP'!V165</f>
        <v>3835042.0424758028</v>
      </c>
      <c r="R28" s="1344">
        <f>'O&amp;M_Detail - PRP'!W165</f>
        <v>4028715.4699299904</v>
      </c>
      <c r="S28" s="1344">
        <f>'O&amp;M_Detail - PRP'!X165</f>
        <v>4182408.5227264669</v>
      </c>
      <c r="T28" s="1344">
        <f>'O&amp;M_Detail - PRP'!Y165</f>
        <v>4384395.8689606739</v>
      </c>
      <c r="U28" s="1344">
        <f>'O&amp;M_Detail - PRP'!Z165</f>
        <v>4582700.3956712745</v>
      </c>
      <c r="V28" s="33"/>
    </row>
    <row r="29" spans="1:22">
      <c r="A29" s="1279"/>
      <c r="B29" s="1331"/>
      <c r="C29" s="1339">
        <f>IF(D29="","",MAX(C$9:C28)+1)</f>
        <v>14</v>
      </c>
      <c r="D29" s="1343" t="s">
        <v>377</v>
      </c>
      <c r="E29" s="1343"/>
      <c r="F29" s="1343"/>
      <c r="G29" s="1344">
        <f>'O&amp;M_Detail - PRP'!L166+'O&amp;M_Detail - PRP'!L163</f>
        <v>15495162.170000002</v>
      </c>
      <c r="H29" s="1344">
        <f>'O&amp;M_Detail - PRP'!M166+'O&amp;M_Detail - PRP'!M163</f>
        <v>18771334.510000002</v>
      </c>
      <c r="I29" s="1344">
        <f>'O&amp;M_Detail - PRP'!N166+'O&amp;M_Detail - PRP'!N163</f>
        <v>16684459.040000003</v>
      </c>
      <c r="J29" s="1344">
        <f>'O&amp;M_Detail - PRP'!O166+'O&amp;M_Detail - PRP'!O163</f>
        <v>21481102.950000003</v>
      </c>
      <c r="K29" s="1344">
        <f>'O&amp;M_Detail - PRP'!P166+'O&amp;M_Detail - PRP'!P163</f>
        <v>22090719.305608291</v>
      </c>
      <c r="L29" s="1344">
        <f>'O&amp;M_Detail - PRP'!Q166+'O&amp;M_Detail - PRP'!Q163</f>
        <v>22094165.053695187</v>
      </c>
      <c r="M29" s="1344">
        <f>'O&amp;M_Detail - PRP'!R166+'O&amp;M_Detail - PRP'!R163</f>
        <v>23558199.690145094</v>
      </c>
      <c r="N29" s="1344">
        <f>'O&amp;M_Detail - PRP'!S166+'O&amp;M_Detail - PRP'!S163</f>
        <v>24521321.72563092</v>
      </c>
      <c r="O29" s="1344">
        <f>'O&amp;M_Detail - PRP'!T166+'O&amp;M_Detail - PRP'!T163</f>
        <v>25388432.701867282</v>
      </c>
      <c r="P29" s="1344">
        <f>'O&amp;M_Detail - PRP'!U166+'O&amp;M_Detail - PRP'!U163</f>
        <v>26487653.679572839</v>
      </c>
      <c r="Q29" s="1344">
        <f>'O&amp;M_Detail - PRP'!V166+'O&amp;M_Detail - PRP'!V163</f>
        <v>25930673.581373662</v>
      </c>
      <c r="R29" s="1344">
        <f>'O&amp;M_Detail - PRP'!W166+'O&amp;M_Detail - PRP'!W163</f>
        <v>27290093.823522683</v>
      </c>
      <c r="S29" s="1344">
        <f>'O&amp;M_Detail - PRP'!X166+'O&amp;M_Detail - PRP'!X163</f>
        <v>28350981.50409691</v>
      </c>
      <c r="T29" s="1344">
        <f>'O&amp;M_Detail - PRP'!Y166+'O&amp;M_Detail - PRP'!Y163</f>
        <v>30130790.899184581</v>
      </c>
      <c r="U29" s="1344">
        <f>'O&amp;M_Detail - PRP'!Z166+'O&amp;M_Detail - PRP'!Z163</f>
        <v>31995700.324354641</v>
      </c>
      <c r="V29" s="33"/>
    </row>
    <row r="30" spans="1:22" ht="15.75" customHeight="1">
      <c r="A30" s="1279"/>
      <c r="B30" s="1331"/>
      <c r="C30" s="1339">
        <f>IF(D30="","",MAX(C$9:C29)+1)</f>
        <v>15</v>
      </c>
      <c r="D30" s="1343" t="s">
        <v>2230</v>
      </c>
      <c r="E30" s="1343"/>
      <c r="F30" s="1343"/>
      <c r="G30" s="1552">
        <f>'O&amp;M_Detail - PRP'!L26</f>
        <v>18555225.159999996</v>
      </c>
      <c r="H30" s="1552">
        <f>'O&amp;M_Detail - PRP'!M26</f>
        <v>20711320.289999999</v>
      </c>
      <c r="I30" s="1552">
        <f>'O&amp;M_Detail - PRP'!N26</f>
        <v>22276660.329999998</v>
      </c>
      <c r="J30" s="1552">
        <f>'O&amp;M_Detail - PRP'!O26</f>
        <v>21771158.43</v>
      </c>
      <c r="K30" s="1552">
        <f>'O&amp;M_Detail - PRP'!P26</f>
        <v>13021358.215000195</v>
      </c>
      <c r="L30" s="1552">
        <f>'O&amp;M_Detail - PRP'!Q26</f>
        <v>12869310.099137427</v>
      </c>
      <c r="M30" s="1552">
        <f>'O&amp;M_Detail - PRP'!R26</f>
        <v>13388859.190690089</v>
      </c>
      <c r="N30" s="1552">
        <f>'O&amp;M_Detail - PRP'!S26</f>
        <v>13875351.006627321</v>
      </c>
      <c r="O30" s="1552">
        <f>'O&amp;M_Detail - PRP'!T26</f>
        <v>14394705.787581932</v>
      </c>
      <c r="P30" s="1552">
        <f>'O&amp;M_Detail - PRP'!U26</f>
        <v>15164931.604000604</v>
      </c>
      <c r="Q30" s="1552">
        <f>'O&amp;M_Detail - PRP'!V26</f>
        <v>14708264.600651238</v>
      </c>
      <c r="R30" s="1552">
        <f>'O&amp;M_Detail - PRP'!W26</f>
        <v>15547055.999787565</v>
      </c>
      <c r="S30" s="1552">
        <f>'O&amp;M_Detail - PRP'!X26</f>
        <v>16252281.10125982</v>
      </c>
      <c r="T30" s="1552">
        <f>'O&amp;M_Detail - PRP'!Y26</f>
        <v>17428902.127743255</v>
      </c>
      <c r="U30" s="1552">
        <f>'O&amp;M_Detail - PRP'!Z26</f>
        <v>18737217.167352997</v>
      </c>
      <c r="V30" s="33"/>
    </row>
    <row r="31" spans="1:22">
      <c r="A31" s="1279"/>
      <c r="B31" s="1331"/>
      <c r="C31" s="1339">
        <f>IF(D31="","",MAX(C$9:C30)+1)</f>
        <v>16</v>
      </c>
      <c r="D31" s="1351" t="s">
        <v>714</v>
      </c>
      <c r="E31" s="1351"/>
      <c r="F31" s="1351"/>
      <c r="G31" s="1344">
        <f t="shared" ref="G31:U31" si="5">SUM(G27:G30)</f>
        <v>58748756.890000001</v>
      </c>
      <c r="H31" s="1344">
        <f t="shared" si="5"/>
        <v>64054933.57</v>
      </c>
      <c r="I31" s="1344">
        <f t="shared" si="5"/>
        <v>66271158.760000005</v>
      </c>
      <c r="J31" s="1344">
        <f t="shared" si="5"/>
        <v>72621835.01000002</v>
      </c>
      <c r="K31" s="1344">
        <f t="shared" si="5"/>
        <v>67269790.894443035</v>
      </c>
      <c r="L31" s="1344">
        <f t="shared" si="5"/>
        <v>66493147.686166987</v>
      </c>
      <c r="M31" s="1344">
        <f t="shared" si="5"/>
        <v>69949625.596573934</v>
      </c>
      <c r="N31" s="1344">
        <f t="shared" si="5"/>
        <v>71860630.313171774</v>
      </c>
      <c r="O31" s="1344">
        <f t="shared" si="5"/>
        <v>74470772.9238244</v>
      </c>
      <c r="P31" s="1344">
        <f t="shared" si="5"/>
        <v>77675968.040008813</v>
      </c>
      <c r="Q31" s="1344">
        <f t="shared" si="5"/>
        <v>76064748.701737538</v>
      </c>
      <c r="R31" s="1344">
        <f t="shared" si="5"/>
        <v>80307615.81815362</v>
      </c>
      <c r="S31" s="1344">
        <f t="shared" si="5"/>
        <v>83718065.304527998</v>
      </c>
      <c r="T31" s="1344">
        <f t="shared" si="5"/>
        <v>88993089.49251239</v>
      </c>
      <c r="U31" s="1344">
        <f t="shared" si="5"/>
        <v>94570807.987767428</v>
      </c>
      <c r="V31" s="33"/>
    </row>
    <row r="32" spans="1:22">
      <c r="A32" s="1279"/>
      <c r="B32" s="1331"/>
      <c r="C32" s="1339" t="str">
        <f>IF(D32="","",MAX(C$9:C31)+1)</f>
        <v/>
      </c>
      <c r="D32" s="1342"/>
      <c r="E32" s="1342"/>
      <c r="F32" s="1342"/>
      <c r="G32" s="1344"/>
      <c r="H32" s="1344"/>
      <c r="I32" s="1344"/>
      <c r="J32" s="1344"/>
      <c r="K32" s="1344"/>
      <c r="L32" s="1344"/>
      <c r="M32" s="1344"/>
      <c r="N32" s="1344"/>
      <c r="O32" s="1344"/>
      <c r="P32" s="1344"/>
      <c r="Q32" s="1344"/>
      <c r="R32" s="1344"/>
      <c r="S32" s="1344"/>
      <c r="T32" s="1344"/>
      <c r="U32" s="1344"/>
      <c r="V32" s="33"/>
    </row>
    <row r="33" spans="1:22">
      <c r="A33" s="1279"/>
      <c r="B33" s="1331"/>
      <c r="C33" s="1339">
        <f>IF(D33="","",MAX(C$9:C32)+1)</f>
        <v>17</v>
      </c>
      <c r="D33" s="1346" t="s">
        <v>715</v>
      </c>
      <c r="E33" s="1346"/>
      <c r="F33" s="1346"/>
      <c r="G33" s="1344">
        <f t="shared" ref="G33:U33" si="6">G23-G31</f>
        <v>78110131.649999991</v>
      </c>
      <c r="H33" s="1344">
        <f t="shared" si="6"/>
        <v>78234303.620000005</v>
      </c>
      <c r="I33" s="1344">
        <f t="shared" si="6"/>
        <v>80888670.068837807</v>
      </c>
      <c r="J33" s="1344">
        <f t="shared" si="6"/>
        <v>78538894.957343519</v>
      </c>
      <c r="K33" s="1344">
        <f t="shared" si="6"/>
        <v>89736987.936441064</v>
      </c>
      <c r="L33" s="1344">
        <f t="shared" si="6"/>
        <v>94652206.099779472</v>
      </c>
      <c r="M33" s="1344">
        <f t="shared" si="6"/>
        <v>98045328.1021633</v>
      </c>
      <c r="N33" s="1344">
        <f t="shared" si="6"/>
        <v>101358218.84431383</v>
      </c>
      <c r="O33" s="1344">
        <f t="shared" si="6"/>
        <v>104028645.62388566</v>
      </c>
      <c r="P33" s="1344">
        <f t="shared" si="6"/>
        <v>101206141.87801683</v>
      </c>
      <c r="Q33" s="1344">
        <f t="shared" si="6"/>
        <v>104648787.69993769</v>
      </c>
      <c r="R33" s="1344">
        <f t="shared" si="6"/>
        <v>100147686.76292256</v>
      </c>
      <c r="S33" s="1344">
        <f t="shared" si="6"/>
        <v>103978321.8395496</v>
      </c>
      <c r="T33" s="1344">
        <f t="shared" si="6"/>
        <v>108104692.23040099</v>
      </c>
      <c r="U33" s="1344">
        <f t="shared" si="6"/>
        <v>111932990.72952437</v>
      </c>
      <c r="V33" s="33"/>
    </row>
    <row r="34" spans="1:22">
      <c r="A34" s="1279"/>
      <c r="B34" s="1331"/>
      <c r="C34" s="1339" t="str">
        <f>IF(D34="","",MAX(C$9:C33)+1)</f>
        <v/>
      </c>
      <c r="D34" s="1343"/>
      <c r="E34" s="1343"/>
      <c r="F34" s="1343"/>
      <c r="G34" s="1344"/>
      <c r="H34" s="1344"/>
      <c r="I34" s="1344"/>
      <c r="J34" s="1344"/>
      <c r="K34" s="1344"/>
      <c r="L34" s="1344"/>
      <c r="M34" s="1344"/>
      <c r="N34" s="1344"/>
      <c r="O34" s="1344"/>
      <c r="P34" s="1344"/>
      <c r="Q34" s="1344"/>
      <c r="R34" s="1344"/>
      <c r="S34" s="1344"/>
      <c r="T34" s="1344"/>
      <c r="U34" s="1344"/>
      <c r="V34" s="33"/>
    </row>
    <row r="35" spans="1:22">
      <c r="A35" s="1279"/>
      <c r="B35" s="1331"/>
      <c r="C35" s="1339">
        <f>IF(D35="","",MAX(C$9:C34)+1)</f>
        <v>18</v>
      </c>
      <c r="D35" s="1349" t="s">
        <v>614</v>
      </c>
      <c r="E35" s="1349"/>
      <c r="F35" s="1349"/>
      <c r="G35" s="1344"/>
      <c r="H35" s="1344"/>
      <c r="I35" s="1344"/>
      <c r="J35" s="1344"/>
      <c r="K35" s="1344"/>
      <c r="L35" s="1344"/>
      <c r="M35" s="1344"/>
      <c r="N35" s="1344"/>
      <c r="O35" s="1344"/>
      <c r="P35" s="1344"/>
      <c r="Q35" s="1344"/>
      <c r="R35" s="1344"/>
      <c r="S35" s="1344"/>
      <c r="T35" s="1344"/>
      <c r="U35" s="1344"/>
      <c r="V35" s="33"/>
    </row>
    <row r="36" spans="1:22">
      <c r="A36" s="1279"/>
      <c r="B36" s="1331"/>
      <c r="C36" s="1339">
        <f>IF(D36="","",MAX(C$9:C35)+1)</f>
        <v>19</v>
      </c>
      <c r="D36" s="1343" t="s">
        <v>573</v>
      </c>
      <c r="E36" s="1343"/>
      <c r="F36" s="1343"/>
      <c r="G36" s="1344">
        <f>'Forecast (BV) 2017'!E76</f>
        <v>74080309.959999993</v>
      </c>
      <c r="H36" s="1344">
        <f>'Forecast (BV) 2017'!F76</f>
        <v>76420927</v>
      </c>
      <c r="I36" s="1344">
        <f>SUM('Debt-PRP'!D22:D23)</f>
        <v>77790364.509999812</v>
      </c>
      <c r="J36" s="1344">
        <f>SUM('Debt-PRP'!E22:E23)</f>
        <v>75701111.149999902</v>
      </c>
      <c r="K36" s="1344">
        <f>SUM('Debt-PRP'!F22:F23)</f>
        <v>84936528.909999982</v>
      </c>
      <c r="L36" s="1344">
        <f>SUM('Debt-PRP'!G22:G23)</f>
        <v>89199070.576560006</v>
      </c>
      <c r="M36" s="1344">
        <f>SUM('Debt-PRP'!H22:H23)</f>
        <v>88409143.557859123</v>
      </c>
      <c r="N36" s="1344">
        <f>SUM('Debt-PRP'!I22:I23)</f>
        <v>84726413.576816574</v>
      </c>
      <c r="O36" s="1344">
        <f>SUM('Debt-PRP'!J22:J23)</f>
        <v>84691093.914180636</v>
      </c>
      <c r="P36" s="1344">
        <f>SUM('Debt-PRP'!K22:K23)</f>
        <v>84636799.516635612</v>
      </c>
      <c r="Q36" s="1344">
        <f>SUM('Debt-PRP'!L22:L23)</f>
        <v>78803103.651929572</v>
      </c>
      <c r="R36" s="1344">
        <f>SUM('Debt-PRP'!M22:M23)</f>
        <v>78778993.496748358</v>
      </c>
      <c r="S36" s="1344">
        <f>SUM('Debt-PRP'!N22:N23)</f>
        <v>72505717.953175411</v>
      </c>
      <c r="T36" s="1344">
        <f>SUM('Debt-PRP'!O22:O23)</f>
        <v>72447826.055387586</v>
      </c>
      <c r="U36" s="1344">
        <f>SUM('Debt-PRP'!P22:P23)</f>
        <v>72431331.104782447</v>
      </c>
      <c r="V36" s="1344"/>
    </row>
    <row r="37" spans="1:22">
      <c r="A37" s="1279"/>
      <c r="B37" s="1331"/>
      <c r="C37" s="1339">
        <f>IF(D37="","",MAX(C$9:C36)+1)</f>
        <v>20</v>
      </c>
      <c r="D37" s="1343" t="s">
        <v>484</v>
      </c>
      <c r="E37" s="1343"/>
      <c r="F37" s="1343"/>
      <c r="G37" s="1344">
        <v>0</v>
      </c>
      <c r="H37" s="1344">
        <v>0</v>
      </c>
      <c r="I37" s="1344">
        <f>'Debt-PRP'!D24</f>
        <v>0</v>
      </c>
      <c r="J37" s="1344">
        <f>'Debt-PRP'!E24</f>
        <v>0</v>
      </c>
      <c r="K37" s="1344">
        <f>'Debt-PRP'!F24</f>
        <v>0</v>
      </c>
      <c r="L37" s="1344">
        <f>'Debt-PRP'!G24</f>
        <v>0</v>
      </c>
      <c r="M37" s="1344">
        <f>'Debt-PRP'!H24</f>
        <v>6421590.7687581591</v>
      </c>
      <c r="N37" s="1344">
        <f>'Debt-PRP'!I24</f>
        <v>9989624.1784068793</v>
      </c>
      <c r="O37" s="1344">
        <f>'Debt-PRP'!J24</f>
        <v>12972424.56907979</v>
      </c>
      <c r="P37" s="1344">
        <f>'Debt-PRP'!K24</f>
        <v>16066410.078358795</v>
      </c>
      <c r="Q37" s="1344">
        <f>'Debt-PRP'!L24</f>
        <v>19471467.607694022</v>
      </c>
      <c r="R37" s="1344">
        <f>'Debt-PRP'!M24</f>
        <v>23029864.651263848</v>
      </c>
      <c r="S37" s="1344">
        <f>'Debt-PRP'!N24</f>
        <v>30539377.776422426</v>
      </c>
      <c r="T37" s="1344">
        <f>'Debt-PRP'!O24</f>
        <v>34967870.744519711</v>
      </c>
      <c r="U37" s="1344">
        <f>'Debt-PRP'!P24</f>
        <v>39295860.48791647</v>
      </c>
      <c r="V37" s="1344"/>
    </row>
    <row r="38" spans="1:22">
      <c r="A38" s="1279"/>
      <c r="B38" s="1331"/>
      <c r="C38" s="1339">
        <f>IF(D38="","",MAX(C$9:C37)+1)</f>
        <v>21</v>
      </c>
      <c r="D38" s="1343" t="s">
        <v>3991</v>
      </c>
      <c r="E38" s="1343"/>
      <c r="F38" s="1343"/>
      <c r="G38" s="1344"/>
      <c r="H38" s="1344"/>
      <c r="I38" s="1344"/>
      <c r="J38" s="1344"/>
      <c r="K38" s="1344">
        <f>'Debt from Forecast17'!G100</f>
        <v>1559333.5859636068</v>
      </c>
      <c r="L38" s="1344">
        <f>'Debt from Forecast17'!H100</f>
        <v>2120976.7594712377</v>
      </c>
      <c r="M38" s="1344">
        <f>'Debt from Forecast17'!I100</f>
        <v>-170605.29211811721</v>
      </c>
      <c r="N38" s="1344">
        <f>'Debt from Forecast17'!J100</f>
        <v>3196961.8145793825</v>
      </c>
      <c r="O38" s="1344">
        <f>'Debt from Forecast17'!K100</f>
        <v>2869691.9424215406</v>
      </c>
      <c r="P38" s="1344">
        <f>'Debt from Forecast17'!L100</f>
        <v>-3012310.0747206807</v>
      </c>
      <c r="Q38" s="1344">
        <f>'Debt from Forecast17'!M100</f>
        <v>2827522.377941221</v>
      </c>
      <c r="R38" s="1344">
        <f>'Debt from Forecast17'!N100</f>
        <v>-5231822.786298275</v>
      </c>
      <c r="S38" s="1344">
        <f>'Debt from Forecast17'!O100</f>
        <v>-2693967.674815014</v>
      </c>
      <c r="T38" s="1344">
        <f>'Debt from Forecast17'!P100</f>
        <v>-2947891.1236797869</v>
      </c>
      <c r="U38" s="1344">
        <f>'Debt from Forecast17'!Q100</f>
        <v>-3457148.5940135717</v>
      </c>
      <c r="V38" s="1344"/>
    </row>
    <row r="39" spans="1:22" ht="18">
      <c r="A39" s="1279"/>
      <c r="B39" s="1331"/>
      <c r="C39" s="1339">
        <f>IF(D39="","",MAX(C$9:C38)+1)</f>
        <v>22</v>
      </c>
      <c r="D39" s="1343" t="s">
        <v>2189</v>
      </c>
      <c r="E39" s="1343"/>
      <c r="F39" s="1343"/>
      <c r="G39" s="1345">
        <v>0</v>
      </c>
      <c r="H39" s="1345">
        <v>0</v>
      </c>
      <c r="I39" s="1345">
        <f>'Debt-PRP'!D25</f>
        <v>0</v>
      </c>
      <c r="J39" s="1345">
        <f>'Debt-PRP'!E25</f>
        <v>0</v>
      </c>
      <c r="K39" s="1345">
        <f>'Debt-PRP'!F25</f>
        <v>0</v>
      </c>
      <c r="L39" s="1345">
        <f>'Debt-PRP'!G25</f>
        <v>0</v>
      </c>
      <c r="M39" s="1345">
        <f>'Debt-PRP'!H25</f>
        <v>0</v>
      </c>
      <c r="N39" s="1345">
        <f>'Debt-PRP'!I25</f>
        <v>0</v>
      </c>
      <c r="O39" s="1345">
        <f>'Debt-PRP'!J25</f>
        <v>0</v>
      </c>
      <c r="P39" s="1345">
        <f>'Debt-PRP'!K25</f>
        <v>0</v>
      </c>
      <c r="Q39" s="1345">
        <f>'Debt-PRP'!L25</f>
        <v>0</v>
      </c>
      <c r="R39" s="1345">
        <f>'Debt-PRP'!M25</f>
        <v>0</v>
      </c>
      <c r="S39" s="1345">
        <f>'Debt-PRP'!N25</f>
        <v>0</v>
      </c>
      <c r="T39" s="1345">
        <f>'Debt-PRP'!O25</f>
        <v>0</v>
      </c>
      <c r="U39" s="1345">
        <f>'Debt-PRP'!P25</f>
        <v>0</v>
      </c>
      <c r="V39" s="1345"/>
    </row>
    <row r="40" spans="1:22">
      <c r="A40" s="1279"/>
      <c r="B40" s="1331"/>
      <c r="C40" s="1339">
        <f>IF(D40="","",MAX(C$9:C39)+1)</f>
        <v>23</v>
      </c>
      <c r="D40" s="1351" t="s">
        <v>615</v>
      </c>
      <c r="E40" s="1351"/>
      <c r="F40" s="1351"/>
      <c r="G40" s="1344">
        <f t="shared" ref="G40:U40" si="7">SUM(G36:G39)</f>
        <v>74080309.959999993</v>
      </c>
      <c r="H40" s="1344">
        <f t="shared" si="7"/>
        <v>76420927</v>
      </c>
      <c r="I40" s="1344">
        <f t="shared" si="7"/>
        <v>77790364.509999812</v>
      </c>
      <c r="J40" s="1344">
        <f t="shared" si="7"/>
        <v>75701111.149999902</v>
      </c>
      <c r="K40" s="1344">
        <f t="shared" si="7"/>
        <v>86495862.495963588</v>
      </c>
      <c r="L40" s="1344">
        <f t="shared" si="7"/>
        <v>91320047.336031243</v>
      </c>
      <c r="M40" s="1344">
        <f t="shared" si="7"/>
        <v>94660129.034499168</v>
      </c>
      <c r="N40" s="1344">
        <f t="shared" si="7"/>
        <v>97912999.569802836</v>
      </c>
      <c r="O40" s="1344">
        <f t="shared" si="7"/>
        <v>100533210.42568196</v>
      </c>
      <c r="P40" s="1344">
        <f t="shared" si="7"/>
        <v>97690899.52027373</v>
      </c>
      <c r="Q40" s="1344">
        <f t="shared" si="7"/>
        <v>101102093.63756481</v>
      </c>
      <c r="R40" s="1344">
        <f t="shared" si="7"/>
        <v>96577035.361713931</v>
      </c>
      <c r="S40" s="1344">
        <f t="shared" si="7"/>
        <v>100351128.05478282</v>
      </c>
      <c r="T40" s="1344">
        <f t="shared" si="7"/>
        <v>104467805.67622751</v>
      </c>
      <c r="U40" s="1344">
        <f t="shared" si="7"/>
        <v>108270042.99868535</v>
      </c>
      <c r="V40" s="33"/>
    </row>
    <row r="41" spans="1:22">
      <c r="A41" s="1279"/>
      <c r="B41" s="1331"/>
      <c r="C41" s="1339" t="str">
        <f>IF(D41="","",MAX(C$9:C40)+1)</f>
        <v/>
      </c>
      <c r="D41" s="1343"/>
      <c r="E41" s="1343"/>
      <c r="F41" s="1343"/>
      <c r="G41" s="1344"/>
      <c r="H41" s="1344"/>
      <c r="I41" s="1344"/>
      <c r="J41" s="1344"/>
      <c r="K41" s="1344"/>
      <c r="L41" s="1344"/>
      <c r="M41" s="1344"/>
      <c r="N41" s="1344"/>
      <c r="O41" s="1344"/>
      <c r="P41" s="1344"/>
      <c r="Q41" s="1344"/>
      <c r="R41" s="1344"/>
      <c r="S41" s="1344"/>
      <c r="T41" s="1344"/>
      <c r="U41" s="1344"/>
      <c r="V41" s="33"/>
    </row>
    <row r="42" spans="1:22">
      <c r="A42" s="1279"/>
      <c r="B42" s="1331"/>
      <c r="C42" s="1339">
        <f>IF(D42="","",MAX(C$9:C41)+1)</f>
        <v>24</v>
      </c>
      <c r="D42" s="1343" t="s">
        <v>481</v>
      </c>
      <c r="E42" s="1343"/>
      <c r="F42" s="1343"/>
      <c r="G42" s="1344">
        <f t="shared" ref="G42:U42" si="8">G33-G40</f>
        <v>4029821.6899999976</v>
      </c>
      <c r="H42" s="1344">
        <f t="shared" si="8"/>
        <v>1813376.6200000048</v>
      </c>
      <c r="I42" s="1344">
        <f t="shared" si="8"/>
        <v>3098305.5588379949</v>
      </c>
      <c r="J42" s="1344">
        <f t="shared" si="8"/>
        <v>2837783.8073436171</v>
      </c>
      <c r="K42" s="1344">
        <f t="shared" si="8"/>
        <v>3241125.4404774755</v>
      </c>
      <c r="L42" s="1344">
        <f t="shared" si="8"/>
        <v>3332158.7637482285</v>
      </c>
      <c r="M42" s="1344">
        <f t="shared" si="8"/>
        <v>3385199.0676641315</v>
      </c>
      <c r="N42" s="1344">
        <f t="shared" si="8"/>
        <v>3445219.2745109946</v>
      </c>
      <c r="O42" s="1344">
        <f t="shared" si="8"/>
        <v>3495435.1982036978</v>
      </c>
      <c r="P42" s="1344">
        <f t="shared" si="8"/>
        <v>3515242.3577430993</v>
      </c>
      <c r="Q42" s="1344">
        <f t="shared" si="8"/>
        <v>3546694.0623728782</v>
      </c>
      <c r="R42" s="1344">
        <f t="shared" si="8"/>
        <v>3570651.4012086242</v>
      </c>
      <c r="S42" s="1344">
        <f t="shared" si="8"/>
        <v>3627193.7847667783</v>
      </c>
      <c r="T42" s="1344">
        <f t="shared" si="8"/>
        <v>3636886.5541734844</v>
      </c>
      <c r="U42" s="1344">
        <f t="shared" si="8"/>
        <v>3662947.730839029</v>
      </c>
      <c r="V42" s="33"/>
    </row>
    <row r="43" spans="1:22">
      <c r="A43" s="1279"/>
      <c r="B43" s="1331"/>
      <c r="C43" s="1339" t="str">
        <f>IF(D43="","",MAX(C$9:C42)+1)</f>
        <v/>
      </c>
      <c r="D43" s="1342"/>
      <c r="E43" s="1342"/>
      <c r="F43" s="1342"/>
      <c r="G43" s="1344"/>
      <c r="H43" s="1344"/>
      <c r="I43" s="1344"/>
      <c r="J43" s="1344"/>
      <c r="K43" s="1344"/>
      <c r="L43" s="1344"/>
      <c r="M43" s="1344"/>
      <c r="N43" s="1344"/>
      <c r="O43" s="1344"/>
      <c r="P43" s="1344"/>
      <c r="Q43" s="1344"/>
      <c r="R43" s="1344"/>
      <c r="S43" s="1344"/>
      <c r="T43" s="1344"/>
      <c r="U43" s="1344"/>
      <c r="V43" s="33"/>
    </row>
    <row r="44" spans="1:22">
      <c r="A44" s="1279"/>
      <c r="B44" s="1331"/>
      <c r="C44" s="1339">
        <f>IF(D44="","",MAX(C$9:C43)+1)</f>
        <v>25</v>
      </c>
      <c r="D44" s="1342" t="s">
        <v>135</v>
      </c>
      <c r="E44" s="1342"/>
      <c r="F44" s="1342"/>
      <c r="G44" s="1347"/>
      <c r="H44" s="1347"/>
      <c r="I44" s="1347"/>
      <c r="J44" s="1347"/>
      <c r="K44" s="1347"/>
      <c r="L44" s="1347"/>
      <c r="M44" s="1347"/>
      <c r="N44" s="1347"/>
      <c r="O44" s="1347"/>
      <c r="P44" s="1347"/>
      <c r="Q44" s="1347"/>
      <c r="R44" s="1347"/>
      <c r="S44" s="1347"/>
      <c r="T44" s="1347"/>
      <c r="U44" s="1347"/>
      <c r="V44" s="33"/>
    </row>
    <row r="45" spans="1:22">
      <c r="A45" s="1279"/>
      <c r="B45" s="1331"/>
      <c r="C45" s="1339">
        <f>IF(D45="","",MAX(C$9:C44)+1)</f>
        <v>26</v>
      </c>
      <c r="D45" s="1343" t="s">
        <v>843</v>
      </c>
      <c r="E45" s="1354"/>
      <c r="F45" s="1354"/>
      <c r="G45" s="1344">
        <v>1826646.16</v>
      </c>
      <c r="H45" s="1344">
        <f>'Forecast (BV) 2017'!F75</f>
        <v>1954509.94</v>
      </c>
      <c r="I45" s="1344">
        <f>'Forecast (BV) 2017'!G75</f>
        <v>1586597.48</v>
      </c>
      <c r="J45" s="1344">
        <f>'Forecast (BV) 2017'!I75</f>
        <v>1901936.34</v>
      </c>
      <c r="K45" s="1344">
        <f>'Other Taxes'!I8</f>
        <v>1894962</v>
      </c>
      <c r="L45" s="1344">
        <f>'Other Taxes'!J8</f>
        <v>1894962</v>
      </c>
      <c r="M45" s="1344">
        <f>'Other Taxes'!K8</f>
        <v>1894962</v>
      </c>
      <c r="N45" s="1344">
        <f>'Other Taxes'!L8</f>
        <v>1894962</v>
      </c>
      <c r="O45" s="1344">
        <f>'Other Taxes'!M8</f>
        <v>1894962</v>
      </c>
      <c r="P45" s="1344">
        <f>'Other Taxes'!N8</f>
        <v>1894962</v>
      </c>
      <c r="Q45" s="1344">
        <f>'Other Taxes'!O8</f>
        <v>1894962</v>
      </c>
      <c r="R45" s="1344">
        <f>'Other Taxes'!P8</f>
        <v>1894962</v>
      </c>
      <c r="S45" s="1344">
        <f>'Other Taxes'!Q8</f>
        <v>1894962</v>
      </c>
      <c r="T45" s="1344">
        <f>'Other Taxes'!R8</f>
        <v>1894962</v>
      </c>
      <c r="U45" s="1344">
        <f>'Other Taxes'!S8</f>
        <v>1894962</v>
      </c>
      <c r="V45" s="33"/>
    </row>
    <row r="46" spans="1:22" hidden="1">
      <c r="A46" s="1279"/>
      <c r="B46" s="1331"/>
      <c r="C46" s="1339" t="str">
        <f>IF(D46="","",MAX(C$9:C45)+1)</f>
        <v/>
      </c>
      <c r="D46" s="1343"/>
      <c r="E46" s="1354"/>
      <c r="F46" s="1354"/>
      <c r="G46" s="1344"/>
      <c r="H46" s="1344"/>
      <c r="I46" s="1344"/>
      <c r="J46" s="1344"/>
      <c r="K46" s="1344"/>
      <c r="L46" s="1344"/>
      <c r="M46" s="1344"/>
      <c r="N46" s="1344"/>
      <c r="O46" s="1344"/>
      <c r="P46" s="1344"/>
      <c r="Q46" s="1344"/>
      <c r="R46" s="1344"/>
      <c r="S46" s="1344"/>
      <c r="T46" s="1344"/>
      <c r="U46" s="1344"/>
      <c r="V46" s="33"/>
    </row>
    <row r="47" spans="1:22">
      <c r="A47" s="1279"/>
      <c r="B47" s="1331"/>
      <c r="C47" s="1339">
        <f>IF(D47="","",MAX(C$9:C46)+1)</f>
        <v>27</v>
      </c>
      <c r="D47" s="1343" t="s">
        <v>980</v>
      </c>
      <c r="E47" s="1354"/>
      <c r="F47" s="1354"/>
      <c r="G47" s="1344"/>
      <c r="H47" s="1344"/>
      <c r="I47" s="1344"/>
      <c r="J47" s="1344"/>
      <c r="K47" s="1344"/>
      <c r="L47" s="1344"/>
      <c r="M47" s="1344"/>
      <c r="N47" s="1344"/>
      <c r="O47" s="1344"/>
      <c r="P47" s="1344"/>
      <c r="Q47" s="1344"/>
      <c r="R47" s="1344"/>
      <c r="S47" s="1344"/>
      <c r="T47" s="1344"/>
      <c r="U47" s="1344"/>
      <c r="V47" s="33"/>
    </row>
    <row r="48" spans="1:22" hidden="1">
      <c r="A48" s="1279"/>
      <c r="B48" s="1331"/>
      <c r="C48" s="1339"/>
      <c r="D48" s="1343"/>
      <c r="E48" s="1354"/>
      <c r="F48" s="1354"/>
      <c r="G48" s="1344"/>
      <c r="H48" s="1344"/>
      <c r="I48" s="1344"/>
      <c r="J48" s="1344"/>
      <c r="K48" s="1344"/>
      <c r="L48" s="1344"/>
      <c r="M48" s="1344"/>
      <c r="N48" s="1344"/>
      <c r="O48" s="1344"/>
      <c r="P48" s="1344"/>
      <c r="Q48" s="1344"/>
      <c r="R48" s="1344"/>
      <c r="S48" s="1344"/>
      <c r="T48" s="1344"/>
      <c r="U48" s="1344"/>
      <c r="V48" s="33"/>
    </row>
    <row r="49" spans="1:24" ht="15.75" customHeight="1">
      <c r="A49" s="1279"/>
      <c r="B49" s="1331"/>
      <c r="C49" s="1339">
        <f>IF(D49="","",MAX(C$9:C47)+1)</f>
        <v>28</v>
      </c>
      <c r="D49" s="1343" t="s">
        <v>1941</v>
      </c>
      <c r="E49" s="1354"/>
      <c r="F49" s="1354"/>
      <c r="G49">
        <v>0</v>
      </c>
      <c r="H49">
        <v>0</v>
      </c>
      <c r="I49">
        <v>0</v>
      </c>
      <c r="J49">
        <v>0</v>
      </c>
      <c r="K49">
        <v>0</v>
      </c>
      <c r="L49">
        <v>0</v>
      </c>
      <c r="M49">
        <v>0</v>
      </c>
      <c r="N49">
        <v>0</v>
      </c>
      <c r="O49">
        <v>0</v>
      </c>
      <c r="P49">
        <v>0</v>
      </c>
      <c r="Q49">
        <v>0</v>
      </c>
      <c r="R49">
        <v>0</v>
      </c>
      <c r="S49">
        <v>0</v>
      </c>
      <c r="T49">
        <v>0</v>
      </c>
      <c r="U49">
        <v>0</v>
      </c>
      <c r="V49" s="33"/>
    </row>
    <row r="50" spans="1:24" ht="15.75" customHeight="1">
      <c r="A50" s="1279"/>
      <c r="B50" s="1331"/>
      <c r="C50" s="1339">
        <f>IF(D50="","",MAX(C$9:C49)+1)</f>
        <v>29</v>
      </c>
      <c r="D50" s="1351" t="s">
        <v>716</v>
      </c>
      <c r="E50" s="1351"/>
      <c r="F50" s="1351"/>
      <c r="G50" s="1347">
        <f t="shared" ref="G50:U50" si="9">SUM(G45:G49)</f>
        <v>1826646.16</v>
      </c>
      <c r="H50" s="1347">
        <f t="shared" si="9"/>
        <v>1954509.94</v>
      </c>
      <c r="I50" s="1347">
        <f t="shared" si="9"/>
        <v>1586597.48</v>
      </c>
      <c r="J50" s="1347">
        <f t="shared" si="9"/>
        <v>1901936.34</v>
      </c>
      <c r="K50" s="1347">
        <f t="shared" si="9"/>
        <v>1894962</v>
      </c>
      <c r="L50" s="1347">
        <f t="shared" si="9"/>
        <v>1894962</v>
      </c>
      <c r="M50" s="1347">
        <f t="shared" si="9"/>
        <v>1894962</v>
      </c>
      <c r="N50" s="1347">
        <f t="shared" si="9"/>
        <v>1894962</v>
      </c>
      <c r="O50" s="1347">
        <f t="shared" si="9"/>
        <v>1894962</v>
      </c>
      <c r="P50" s="1347">
        <f t="shared" si="9"/>
        <v>1894962</v>
      </c>
      <c r="Q50" s="1347">
        <f t="shared" si="9"/>
        <v>1894962</v>
      </c>
      <c r="R50" s="1347">
        <f t="shared" si="9"/>
        <v>1894962</v>
      </c>
      <c r="S50" s="1347">
        <f t="shared" si="9"/>
        <v>1894962</v>
      </c>
      <c r="T50" s="1347">
        <f t="shared" si="9"/>
        <v>1894962</v>
      </c>
      <c r="U50" s="1347">
        <f t="shared" si="9"/>
        <v>1894962</v>
      </c>
      <c r="V50" s="33"/>
    </row>
    <row r="51" spans="1:24" ht="15.75" customHeight="1">
      <c r="A51" s="1279"/>
      <c r="B51" s="1331"/>
      <c r="C51" s="1339" t="str">
        <f>IF(D51="","",MAX(C$9:C50)+1)</f>
        <v/>
      </c>
      <c r="D51" s="1343"/>
      <c r="E51" s="1343"/>
      <c r="F51" s="1343"/>
      <c r="G51" s="1344"/>
      <c r="H51" s="1344"/>
      <c r="I51" s="1344"/>
      <c r="J51" s="1344"/>
      <c r="K51" s="1344"/>
      <c r="L51" s="1344"/>
      <c r="M51" s="1344"/>
      <c r="N51" s="1344"/>
      <c r="O51" s="1344"/>
      <c r="P51" s="1344"/>
      <c r="Q51" s="1344"/>
      <c r="R51" s="1344"/>
      <c r="S51" s="1344"/>
      <c r="T51" s="1344"/>
      <c r="U51" s="1344"/>
      <c r="V51" s="33"/>
    </row>
    <row r="52" spans="1:24" ht="15.75" customHeight="1">
      <c r="A52" s="1680"/>
      <c r="B52" s="1681"/>
      <c r="C52" s="1682">
        <f>IF(D52="","",MAX(C$9:C51)+1)</f>
        <v>30</v>
      </c>
      <c r="D52" s="1342" t="s">
        <v>2227</v>
      </c>
      <c r="E52" s="1342"/>
      <c r="F52" s="1342"/>
      <c r="G52" s="1347">
        <f t="shared" ref="G52:U52" si="10">SUM(G31,G40,G50)</f>
        <v>134655713.00999999</v>
      </c>
      <c r="H52" s="1347">
        <f t="shared" si="10"/>
        <v>142430370.50999999</v>
      </c>
      <c r="I52" s="1347">
        <f t="shared" si="10"/>
        <v>145648120.74999979</v>
      </c>
      <c r="J52" s="1347">
        <f t="shared" si="10"/>
        <v>150224882.49999991</v>
      </c>
      <c r="K52" s="1347">
        <f>SUM(K31,K40,K50)</f>
        <v>155660615.39040661</v>
      </c>
      <c r="L52" s="1347">
        <f t="shared" si="10"/>
        <v>159708157.02219823</v>
      </c>
      <c r="M52" s="1347">
        <f t="shared" si="10"/>
        <v>166504716.63107312</v>
      </c>
      <c r="N52" s="1347">
        <f t="shared" si="10"/>
        <v>171668591.88297462</v>
      </c>
      <c r="O52" s="1347">
        <f t="shared" si="10"/>
        <v>176898945.34950638</v>
      </c>
      <c r="P52" s="1347">
        <f t="shared" si="10"/>
        <v>177261829.56028253</v>
      </c>
      <c r="Q52" s="1347">
        <f t="shared" si="10"/>
        <v>179061804.33930236</v>
      </c>
      <c r="R52" s="1347">
        <f t="shared" si="10"/>
        <v>178779613.17986757</v>
      </c>
      <c r="S52" s="1347">
        <f t="shared" si="10"/>
        <v>185964155.35931081</v>
      </c>
      <c r="T52" s="1347">
        <f t="shared" si="10"/>
        <v>195355857.16873991</v>
      </c>
      <c r="U52" s="1347">
        <f t="shared" si="10"/>
        <v>204735812.98645276</v>
      </c>
      <c r="V52" s="1683"/>
    </row>
    <row r="53" spans="1:24" ht="15.75" customHeight="1">
      <c r="A53" s="1279"/>
      <c r="B53" s="1331"/>
      <c r="C53" s="1339" t="str">
        <f>IF(D53="","",MAX(C$9:C52)+1)</f>
        <v/>
      </c>
      <c r="D53" s="1342"/>
      <c r="E53" s="1342"/>
      <c r="F53" s="1342"/>
      <c r="G53" s="1355"/>
      <c r="H53" s="1355"/>
      <c r="I53" s="1355"/>
      <c r="J53" s="1355"/>
      <c r="K53" s="1355"/>
      <c r="L53" s="1355"/>
      <c r="M53" s="1355"/>
      <c r="N53" s="1355"/>
      <c r="O53" s="1355"/>
      <c r="P53" s="1355"/>
      <c r="Q53" s="1355"/>
      <c r="R53" s="1355"/>
      <c r="S53" s="1355"/>
      <c r="T53" s="1355"/>
      <c r="U53" s="1355"/>
      <c r="V53" s="33"/>
    </row>
    <row r="54" spans="1:24" ht="15.75" customHeight="1">
      <c r="A54" s="1279"/>
      <c r="B54" s="1331"/>
      <c r="C54" s="1339">
        <f>IF(D54="","",MAX(C$9:C53)+1)</f>
        <v>31</v>
      </c>
      <c r="D54" s="1342" t="s">
        <v>2544</v>
      </c>
      <c r="E54" s="1342"/>
      <c r="F54" s="1342"/>
      <c r="G54" s="1344">
        <f t="shared" ref="G54:U54" si="11">G52-G19</f>
        <v>132452537.47999999</v>
      </c>
      <c r="H54" s="1344">
        <f t="shared" si="11"/>
        <v>142571503.82999998</v>
      </c>
      <c r="I54" s="1344">
        <f t="shared" si="11"/>
        <v>144136412.67116177</v>
      </c>
      <c r="J54" s="1344">
        <f t="shared" si="11"/>
        <v>149289035.03265628</v>
      </c>
      <c r="K54" s="1344">
        <f t="shared" si="11"/>
        <v>154314451.94992912</v>
      </c>
      <c r="L54" s="1344">
        <f t="shared" si="11"/>
        <v>158270960.25845</v>
      </c>
      <c r="M54" s="1344">
        <f t="shared" si="11"/>
        <v>165014479.563409</v>
      </c>
      <c r="N54" s="1344">
        <f t="shared" si="11"/>
        <v>170118334.60846364</v>
      </c>
      <c r="O54" s="1344">
        <f t="shared" si="11"/>
        <v>175298472.1513027</v>
      </c>
      <c r="P54" s="1344">
        <f t="shared" si="11"/>
        <v>175641549.20253941</v>
      </c>
      <c r="Q54" s="1344">
        <f t="shared" si="11"/>
        <v>177410072.2769295</v>
      </c>
      <c r="R54" s="1344">
        <f t="shared" si="11"/>
        <v>177103923.77865896</v>
      </c>
      <c r="S54" s="1344">
        <f t="shared" si="11"/>
        <v>184231923.57454401</v>
      </c>
      <c r="T54" s="1344">
        <f t="shared" si="11"/>
        <v>193613932.61456645</v>
      </c>
      <c r="U54" s="1344">
        <f t="shared" si="11"/>
        <v>202967827.25561371</v>
      </c>
      <c r="V54" s="33"/>
    </row>
    <row r="55" spans="1:24" ht="15.75" customHeight="1">
      <c r="A55" s="1279"/>
      <c r="B55" s="1331"/>
      <c r="C55" s="1339" t="str">
        <f>IF(D55="","",MAX(C$9:C54)+1)</f>
        <v/>
      </c>
      <c r="D55" s="1342"/>
      <c r="E55" s="1342"/>
      <c r="F55" s="1342"/>
      <c r="G55" s="1355"/>
      <c r="H55" s="1355"/>
      <c r="I55" s="1355"/>
      <c r="J55" s="1355"/>
      <c r="K55" s="1355"/>
      <c r="L55" s="1355"/>
      <c r="M55" s="1355"/>
      <c r="N55" s="1355"/>
      <c r="O55" s="1355"/>
      <c r="P55" s="1355"/>
      <c r="Q55" s="1355"/>
      <c r="R55" s="1355"/>
      <c r="S55" s="1355"/>
      <c r="T55" s="1355"/>
      <c r="U55" s="1355"/>
      <c r="V55" s="33"/>
    </row>
    <row r="56" spans="1:24" ht="15.75" customHeight="1">
      <c r="A56" s="1279"/>
      <c r="B56" s="1331"/>
      <c r="C56" s="1339">
        <f>IF(D56="","",MAX(C$9:C55)+1)</f>
        <v>32</v>
      </c>
      <c r="D56" s="1356" t="s">
        <v>655</v>
      </c>
      <c r="E56" s="1356"/>
      <c r="F56" s="1356"/>
      <c r="G56" s="1344">
        <f t="shared" ref="G56:U56" si="12">G23-G52</f>
        <v>2203175.5300000012</v>
      </c>
      <c r="H56" s="1344">
        <f t="shared" si="12"/>
        <v>-141133.31999999285</v>
      </c>
      <c r="I56" s="1344">
        <f t="shared" si="12"/>
        <v>1511708.0788380206</v>
      </c>
      <c r="J56" s="1344">
        <f t="shared" si="12"/>
        <v>935847.46734362841</v>
      </c>
      <c r="K56" s="1344">
        <f t="shared" si="12"/>
        <v>1346163.4404774904</v>
      </c>
      <c r="L56" s="1344">
        <f t="shared" si="12"/>
        <v>1437196.7637482285</v>
      </c>
      <c r="M56" s="1344">
        <f t="shared" si="12"/>
        <v>1490237.0676641166</v>
      </c>
      <c r="N56" s="1344">
        <f t="shared" si="12"/>
        <v>1550257.2745109797</v>
      </c>
      <c r="O56" s="1344">
        <f t="shared" si="12"/>
        <v>1600473.1982036829</v>
      </c>
      <c r="P56" s="1344">
        <f t="shared" si="12"/>
        <v>1620280.3577431142</v>
      </c>
      <c r="Q56" s="1344">
        <f t="shared" si="12"/>
        <v>1651732.0623728633</v>
      </c>
      <c r="R56" s="1344">
        <f t="shared" si="12"/>
        <v>1675689.4012086093</v>
      </c>
      <c r="S56" s="1344">
        <f t="shared" si="12"/>
        <v>1732231.7847667933</v>
      </c>
      <c r="T56" s="1344">
        <f t="shared" si="12"/>
        <v>1741924.5541734695</v>
      </c>
      <c r="U56" s="1344">
        <f t="shared" si="12"/>
        <v>1767985.7308390439</v>
      </c>
      <c r="V56" s="33"/>
    </row>
    <row r="57" spans="1:24" ht="15.75" customHeight="1">
      <c r="A57" s="1279"/>
      <c r="B57" s="1331"/>
      <c r="C57" s="1339" t="str">
        <f>IF(D57="","",MAX(C$9:C56)+1)</f>
        <v/>
      </c>
      <c r="D57" s="1343"/>
      <c r="E57" s="1343"/>
      <c r="F57" s="1343"/>
      <c r="G57" s="1344"/>
      <c r="H57" s="1344"/>
      <c r="I57" s="1344"/>
      <c r="J57" s="1344"/>
      <c r="K57" s="1344"/>
      <c r="L57" s="1344"/>
      <c r="M57" s="1344"/>
      <c r="N57" s="1344"/>
      <c r="O57" s="1344"/>
      <c r="P57" s="1344"/>
      <c r="Q57" s="1344"/>
      <c r="R57" s="1344"/>
      <c r="S57" s="1344"/>
      <c r="T57" s="1344"/>
      <c r="U57" s="1344"/>
      <c r="V57" s="33"/>
    </row>
    <row r="58" spans="1:24" ht="15.75" customHeight="1">
      <c r="A58" s="1279"/>
      <c r="B58" s="1331"/>
      <c r="C58" s="1339">
        <f>IF(D58="","",MAX(C$9:C57)+1)</f>
        <v>33</v>
      </c>
      <c r="D58" s="1333" t="s">
        <v>273</v>
      </c>
      <c r="E58" s="1333"/>
      <c r="F58" s="1333"/>
      <c r="G58" s="1348">
        <f>G56</f>
        <v>2203175.5300000012</v>
      </c>
      <c r="H58" s="1348">
        <f t="shared" ref="H58:U58" si="13">H56+G58</f>
        <v>2062042.2100000083</v>
      </c>
      <c r="I58" s="1348">
        <f t="shared" si="13"/>
        <v>3573750.2888380289</v>
      </c>
      <c r="J58" s="1348">
        <f t="shared" si="13"/>
        <v>4509597.7561816573</v>
      </c>
      <c r="K58" s="1348">
        <f t="shared" si="13"/>
        <v>5855761.1966591477</v>
      </c>
      <c r="L58" s="1348">
        <f t="shared" si="13"/>
        <v>7292957.9604073763</v>
      </c>
      <c r="M58" s="1348">
        <f t="shared" si="13"/>
        <v>8783195.0280714929</v>
      </c>
      <c r="N58" s="1348">
        <f t="shared" si="13"/>
        <v>10333452.302582473</v>
      </c>
      <c r="O58" s="1348">
        <f t="shared" si="13"/>
        <v>11933925.500786155</v>
      </c>
      <c r="P58" s="1348">
        <f t="shared" si="13"/>
        <v>13554205.85852927</v>
      </c>
      <c r="Q58" s="1348">
        <f t="shared" si="13"/>
        <v>15205937.920902133</v>
      </c>
      <c r="R58" s="1348">
        <f t="shared" si="13"/>
        <v>16881627.322110742</v>
      </c>
      <c r="S58" s="1348">
        <f t="shared" si="13"/>
        <v>18613859.106877536</v>
      </c>
      <c r="T58" s="1348">
        <f t="shared" si="13"/>
        <v>20355783.661051005</v>
      </c>
      <c r="U58" s="1348">
        <f t="shared" si="13"/>
        <v>22123769.391890049</v>
      </c>
      <c r="V58" s="33"/>
    </row>
    <row r="59" spans="1:24" ht="15.75" customHeight="1">
      <c r="A59" s="411"/>
      <c r="B59" s="33"/>
      <c r="C59" s="242" t="str">
        <f>IF(D59="","",MAX(C$9:C58)+1)</f>
        <v/>
      </c>
      <c r="D59" s="185"/>
      <c r="E59" s="185"/>
      <c r="F59" s="185"/>
      <c r="G59" s="244"/>
      <c r="H59" s="244"/>
      <c r="I59" s="244"/>
      <c r="J59" s="244"/>
      <c r="K59" s="244"/>
      <c r="L59" s="244"/>
      <c r="M59" s="244"/>
      <c r="N59" s="244"/>
      <c r="O59" s="244"/>
      <c r="P59" s="244"/>
      <c r="Q59" s="244"/>
      <c r="R59" s="244"/>
      <c r="S59" s="244"/>
      <c r="T59" s="244"/>
      <c r="U59" s="244"/>
      <c r="V59" s="33"/>
    </row>
    <row r="60" spans="1:24" s="184" customFormat="1" ht="15.75" hidden="1" customHeight="1">
      <c r="C60" s="242"/>
      <c r="V60" s="185"/>
      <c r="W60" s="185"/>
      <c r="X60" s="185"/>
    </row>
    <row r="61" spans="1:24" ht="15.75" hidden="1" customHeight="1"/>
    <row r="62" spans="1:24" ht="15.75" hidden="1" customHeight="1"/>
    <row r="63" spans="1:24" ht="15.75" hidden="1" customHeight="1"/>
    <row r="64" spans="1:2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ht="15.75" hidden="1" customHeight="1"/>
    <row r="114" ht="15.75" hidden="1" customHeight="1"/>
    <row r="115" ht="15.75" hidden="1" customHeight="1"/>
    <row r="116" ht="15.75" hidden="1" customHeight="1"/>
    <row r="117" ht="15.75" hidden="1" customHeight="1"/>
    <row r="118" ht="15.75" hidden="1" customHeight="1"/>
    <row r="119" ht="15.75" hidden="1" customHeight="1"/>
    <row r="120" ht="15.75" hidden="1" customHeight="1"/>
    <row r="121" ht="15.75" hidden="1" customHeight="1"/>
    <row r="122" ht="15.75" hidden="1" customHeight="1"/>
    <row r="123" ht="15.75" hidden="1" customHeight="1"/>
    <row r="124" ht="15.75" hidden="1" customHeight="1"/>
    <row r="125" ht="15.75" hidden="1" customHeight="1"/>
    <row r="126" ht="15.75" hidden="1" customHeight="1"/>
    <row r="127" ht="15.75" hidden="1" customHeight="1"/>
    <row r="128" ht="15.75" hidden="1" customHeight="1"/>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spans="36:36" ht="15.75" hidden="1" customHeight="1"/>
    <row r="162" spans="36:36" ht="15.75" hidden="1" customHeight="1"/>
    <row r="163" spans="36:36" ht="15.75" hidden="1" customHeight="1"/>
    <row r="164" spans="36:36" ht="15.75" hidden="1" customHeight="1"/>
    <row r="165" spans="36:36" ht="15.75" hidden="1" customHeight="1"/>
    <row r="166" spans="36:36" ht="15.75" hidden="1" customHeight="1"/>
    <row r="167" spans="36:36" ht="15.75" hidden="1" customHeight="1"/>
    <row r="168" spans="36:36" ht="15.75" hidden="1" customHeight="1">
      <c r="AJ168" s="34" t="s">
        <v>194</v>
      </c>
    </row>
    <row r="169" spans="36:36" hidden="1"/>
    <row r="170" spans="36:36" hidden="1"/>
    <row r="171" spans="36:36" hidden="1"/>
    <row r="172" spans="36:36" hidden="1"/>
    <row r="173" spans="36:36" hidden="1"/>
    <row r="174" spans="36:36" hidden="1"/>
    <row r="175" spans="36:36" hidden="1"/>
    <row r="176" spans="36:3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row r="234"/>
    <row r="235"/>
    <row r="236"/>
    <row r="237"/>
    <row r="238"/>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sheetData>
  <mergeCells count="6">
    <mergeCell ref="C2:I2"/>
    <mergeCell ref="C3:I3"/>
    <mergeCell ref="C6:C7"/>
    <mergeCell ref="D6:D7"/>
    <mergeCell ref="E6:E7"/>
    <mergeCell ref="F6:F7"/>
  </mergeCells>
  <printOptions horizontalCentered="1"/>
  <pageMargins left="0.5" right="0.5" top="0.5" bottom="0.5" header="0.5" footer="0.25"/>
  <pageSetup scale="36" fitToHeight="0" orientation="landscape" r:id="rId1"/>
  <headerFooter alignWithMargins="0">
    <oddFooter>&amp;L&amp;"Times New Roman,Bold Italic"&amp;F: &amp;A&amp;C&amp;"Times New Roman,Bold Italic"Date: &amp;D&amp;R&amp;"Times New Roman,Bold Italic"Page: &amp;P of &amp;N</oddFooter>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2" tint="-0.749992370372631"/>
    <pageSetUpPr fitToPage="1"/>
  </sheetPr>
  <dimension ref="A1:AQ284"/>
  <sheetViews>
    <sheetView showGridLines="0" zoomScale="70" zoomScaleNormal="70" zoomScaleSheetLayoutView="75" workbookViewId="0">
      <pane xSplit="6" ySplit="7" topLeftCell="N41" activePane="bottomRight" state="frozen"/>
      <selection activeCell="D15" sqref="D15"/>
      <selection pane="topRight" activeCell="D15" sqref="D15"/>
      <selection pane="bottomLeft" activeCell="D15" sqref="D15"/>
      <selection pane="bottomRight" activeCell="R71" sqref="R71"/>
    </sheetView>
  </sheetViews>
  <sheetFormatPr defaultColWidth="0" defaultRowHeight="15.75" zeroHeight="1"/>
  <cols>
    <col min="1" max="1" width="22.5" style="1466" customWidth="1"/>
    <col min="2" max="2" width="2" style="1466" customWidth="1"/>
    <col min="3" max="3" width="4.75" style="1466" hidden="1" customWidth="1"/>
    <col min="4" max="4" width="25.25" style="1466" customWidth="1"/>
    <col min="5" max="5" width="10.25" style="1466" bestFit="1" customWidth="1"/>
    <col min="6" max="6" width="10" style="1466" customWidth="1"/>
    <col min="7" max="8" width="15.125" style="1481" bestFit="1" customWidth="1"/>
    <col min="9" max="9" width="18.5" style="1481" bestFit="1" customWidth="1"/>
    <col min="10" max="18" width="15.125" style="1481" bestFit="1" customWidth="1"/>
    <col min="19" max="19" width="18.5" style="1481" bestFit="1" customWidth="1"/>
    <col min="20" max="21" width="15.125" style="1481" bestFit="1" customWidth="1"/>
    <col min="22" max="22" width="2.625" style="1466" customWidth="1"/>
    <col min="23" max="35" width="9" style="1466" customWidth="1"/>
    <col min="36" max="36" width="14" style="1466" bestFit="1" customWidth="1"/>
    <col min="37" max="43" width="0" style="1466" hidden="1" customWidth="1"/>
    <col min="44" max="16384" width="9" style="1466" hidden="1"/>
  </cols>
  <sheetData>
    <row r="1" spans="1:22" ht="23.25">
      <c r="A1" s="1360"/>
      <c r="B1" s="1463"/>
      <c r="C1" s="1464"/>
      <c r="D1" s="1465"/>
      <c r="E1" s="1465"/>
      <c r="F1" s="1465"/>
      <c r="G1" s="1465"/>
      <c r="H1" s="1465"/>
      <c r="I1" s="1465"/>
      <c r="J1" s="1465"/>
      <c r="K1" s="1465"/>
      <c r="L1" s="1465"/>
      <c r="M1" s="1465"/>
      <c r="N1" s="1465"/>
      <c r="O1" s="1465"/>
      <c r="P1" s="1465"/>
      <c r="Q1" s="1465"/>
      <c r="R1" s="1465"/>
      <c r="S1" s="1465"/>
      <c r="T1" s="1465"/>
      <c r="U1" s="1465"/>
      <c r="V1" s="1463"/>
    </row>
    <row r="2" spans="1:22" ht="23.25">
      <c r="A2" s="1360"/>
      <c r="B2" s="1463"/>
      <c r="C2" s="4421" t="str">
        <f>Client</f>
        <v>Grant County Public Utility District</v>
      </c>
      <c r="D2" s="4421"/>
      <c r="E2" s="4421"/>
      <c r="F2" s="4421"/>
      <c r="G2" s="4421"/>
      <c r="H2" s="4421"/>
      <c r="I2" s="4421"/>
      <c r="J2" s="1467"/>
      <c r="K2" s="1624" t="s">
        <v>2181</v>
      </c>
      <c r="L2" s="1520"/>
      <c r="M2" s="562" t="s">
        <v>3493</v>
      </c>
      <c r="N2" s="1467"/>
      <c r="O2" s="1467"/>
      <c r="P2" s="1467"/>
      <c r="Q2" s="1467"/>
      <c r="R2" s="1467"/>
      <c r="S2" s="1467"/>
      <c r="T2" s="1467"/>
      <c r="U2" s="1467"/>
      <c r="V2" s="1463"/>
    </row>
    <row r="3" spans="1:22" ht="23.25">
      <c r="A3" s="1360"/>
      <c r="B3" s="1463"/>
      <c r="C3" s="4421" t="s">
        <v>554</v>
      </c>
      <c r="D3" s="4421"/>
      <c r="E3" s="4421"/>
      <c r="F3" s="4421"/>
      <c r="G3" s="4421"/>
      <c r="H3" s="4421"/>
      <c r="I3" s="4421"/>
      <c r="J3" s="1467"/>
      <c r="K3" s="562" t="s">
        <v>3971</v>
      </c>
      <c r="L3" s="1624"/>
      <c r="M3" s="1624" t="s">
        <v>3499</v>
      </c>
      <c r="N3" s="1467"/>
      <c r="O3" s="1467"/>
      <c r="P3" s="1467"/>
      <c r="Q3" s="1467"/>
      <c r="R3" s="1467"/>
      <c r="S3" s="1467"/>
      <c r="T3" s="1467"/>
      <c r="U3" s="1467"/>
      <c r="V3" s="1463"/>
    </row>
    <row r="4" spans="1:22" ht="18.75">
      <c r="A4" s="1360"/>
      <c r="B4" s="1463"/>
      <c r="C4" s="1468"/>
      <c r="D4" s="1469"/>
      <c r="E4" s="1469"/>
      <c r="F4" s="1469"/>
      <c r="G4" s="1468"/>
      <c r="H4" s="1468"/>
      <c r="I4" s="1468"/>
      <c r="J4" s="1468"/>
      <c r="K4" s="1468"/>
      <c r="L4" s="1468"/>
      <c r="M4" s="1468"/>
      <c r="N4" s="1468"/>
      <c r="O4" s="1468"/>
      <c r="P4" s="1468"/>
      <c r="Q4" s="1468"/>
      <c r="R4" s="1468"/>
      <c r="S4" s="1468"/>
      <c r="T4" s="1468"/>
      <c r="U4" s="1468"/>
      <c r="V4" s="1463"/>
    </row>
    <row r="5" spans="1:22">
      <c r="A5" s="1360"/>
      <c r="B5" s="1463"/>
      <c r="C5" s="1464"/>
      <c r="D5" s="1464"/>
      <c r="E5" s="1464"/>
      <c r="F5" s="1464"/>
      <c r="G5" s="1470"/>
      <c r="H5" s="1470"/>
      <c r="I5" s="1470"/>
      <c r="J5" s="1468"/>
      <c r="K5" s="1468"/>
      <c r="L5" s="1468"/>
      <c r="M5" s="1468"/>
      <c r="N5" s="1468"/>
      <c r="O5" s="1468"/>
      <c r="P5" s="1468"/>
      <c r="Q5" s="1468"/>
      <c r="R5" s="1468"/>
      <c r="S5" s="1468"/>
      <c r="T5" s="1468"/>
      <c r="U5" s="1468"/>
      <c r="V5" s="1463"/>
    </row>
    <row r="6" spans="1:22">
      <c r="A6" s="1360"/>
      <c r="B6" s="1463"/>
      <c r="C6" s="4419" t="s">
        <v>867</v>
      </c>
      <c r="D6" s="4419" t="s">
        <v>399</v>
      </c>
      <c r="E6" s="4419"/>
      <c r="F6" s="4419"/>
      <c r="G6" s="1471"/>
      <c r="H6" s="1471"/>
      <c r="I6" s="1471"/>
      <c r="J6" s="1471"/>
      <c r="K6" s="1471"/>
      <c r="L6" s="1471"/>
      <c r="M6" s="1471"/>
      <c r="N6" s="1471"/>
      <c r="O6" s="1471"/>
      <c r="P6" s="1471"/>
      <c r="Q6" s="1471"/>
      <c r="R6" s="1471"/>
      <c r="S6" s="1471"/>
      <c r="T6" s="1471"/>
      <c r="U6" s="1471"/>
      <c r="V6" s="1472"/>
    </row>
    <row r="7" spans="1:22">
      <c r="A7" s="1360"/>
      <c r="B7" s="1463"/>
      <c r="C7" s="4420" t="s">
        <v>867</v>
      </c>
      <c r="D7" s="4420"/>
      <c r="E7" s="4422"/>
      <c r="F7" s="4422"/>
      <c r="G7" s="1336">
        <f>H7-1</f>
        <v>2012</v>
      </c>
      <c r="H7" s="1336">
        <f>Dashboard!F$7</f>
        <v>2013</v>
      </c>
      <c r="I7" s="1336">
        <f>Dashboard!G$7</f>
        <v>2014</v>
      </c>
      <c r="J7" s="1336">
        <f>Dashboard!H$7</f>
        <v>2015</v>
      </c>
      <c r="K7" s="1336">
        <f>Dashboard!I$7</f>
        <v>2016</v>
      </c>
      <c r="L7" s="1336">
        <f>Dashboard!J$7</f>
        <v>2017</v>
      </c>
      <c r="M7" s="1336">
        <f>Dashboard!K$7</f>
        <v>2018</v>
      </c>
      <c r="N7" s="1336">
        <f>Dashboard!L$7</f>
        <v>2019</v>
      </c>
      <c r="O7" s="1336">
        <f>Dashboard!M$7</f>
        <v>2020</v>
      </c>
      <c r="P7" s="1336">
        <f>Dashboard!N$7</f>
        <v>2021</v>
      </c>
      <c r="Q7" s="1336">
        <f>Dashboard!O$7</f>
        <v>2022</v>
      </c>
      <c r="R7" s="1336">
        <f>Dashboard!P$7</f>
        <v>2023</v>
      </c>
      <c r="S7" s="1336">
        <f>Dashboard!Q$7</f>
        <v>2024</v>
      </c>
      <c r="T7" s="1336">
        <f>Dashboard!R$7</f>
        <v>2025</v>
      </c>
      <c r="U7" s="1336">
        <f>Dashboard!S$7</f>
        <v>2026</v>
      </c>
      <c r="V7" s="1463"/>
    </row>
    <row r="8" spans="1:22">
      <c r="A8" s="1360"/>
      <c r="B8" s="1463"/>
      <c r="C8" s="1463"/>
      <c r="D8" s="1474"/>
      <c r="E8" s="1474"/>
      <c r="F8" s="1474"/>
      <c r="G8" s="1463"/>
      <c r="H8" s="1463"/>
      <c r="I8" s="1463"/>
      <c r="J8" s="1463"/>
      <c r="K8" s="1463"/>
      <c r="L8" s="1463"/>
      <c r="M8" s="1463"/>
      <c r="N8" s="1463"/>
      <c r="O8" s="1463"/>
      <c r="P8" s="1463"/>
      <c r="Q8" s="1463"/>
      <c r="R8" s="1463"/>
      <c r="S8" s="1463"/>
      <c r="T8" s="1463"/>
      <c r="U8" s="1463"/>
      <c r="V8" s="1463"/>
    </row>
    <row r="9" spans="1:22" s="1478" customFormat="1">
      <c r="A9" s="1360"/>
      <c r="B9" s="1475"/>
      <c r="C9" s="1476">
        <v>1</v>
      </c>
      <c r="D9" s="1477" t="s">
        <v>890</v>
      </c>
      <c r="E9" s="1477"/>
      <c r="F9" s="1477"/>
      <c r="G9" s="1435">
        <f>SUM(Cust_Detail!I189:I202)</f>
        <v>3937200</v>
      </c>
      <c r="H9" s="1435">
        <f>SUM(Cust_Detail!J189:J202)</f>
        <v>3912800</v>
      </c>
      <c r="I9" s="1435">
        <f>SUM(Cust_Detail!K189:K202)</f>
        <v>4130000</v>
      </c>
      <c r="J9" s="1435">
        <f>SUM(Cust_Detail!L189:L202)</f>
        <v>4495900</v>
      </c>
      <c r="K9" s="1435">
        <f>SUM(Cust_Detail!M189:M202)</f>
        <v>4521600</v>
      </c>
      <c r="L9" s="1435">
        <f>SUM(Cust_Detail!N189:N202)</f>
        <v>4832200</v>
      </c>
      <c r="M9" s="1435">
        <f>SUM(Cust_Detail!O189:O202)</f>
        <v>5095300</v>
      </c>
      <c r="N9" s="1435">
        <f>SUM(Cust_Detail!P189:P202)</f>
        <v>5450700</v>
      </c>
      <c r="O9" s="1435">
        <f>SUM(Cust_Detail!Q189:Q202)</f>
        <v>5711600</v>
      </c>
      <c r="P9" s="1435">
        <f>SUM(Cust_Detail!R189:R202)</f>
        <v>5908000</v>
      </c>
      <c r="Q9" s="1435">
        <f>SUM(Cust_Detail!S189:S202)</f>
        <v>6064800</v>
      </c>
      <c r="R9" s="1435">
        <f>SUM(Cust_Detail!T189:T202)</f>
        <v>6242800</v>
      </c>
      <c r="S9" s="1435">
        <f>SUM(Cust_Detail!U189:U202)</f>
        <v>6439400</v>
      </c>
      <c r="T9" s="1435">
        <f>SUM(Cust_Detail!V189:V202)</f>
        <v>6571300</v>
      </c>
      <c r="U9" s="1435">
        <f>SUM(Cust_Detail!W189:W202)</f>
        <v>6710200</v>
      </c>
      <c r="V9" s="1475"/>
    </row>
    <row r="10" spans="1:22">
      <c r="A10" s="1360"/>
      <c r="B10" s="1463"/>
      <c r="C10" s="1463"/>
      <c r="D10" s="1474"/>
      <c r="E10" s="1474"/>
      <c r="F10" s="1474"/>
      <c r="G10" s="1463"/>
      <c r="H10" s="1463"/>
      <c r="I10" s="1463"/>
      <c r="J10" s="1463"/>
      <c r="K10" s="1463"/>
      <c r="L10" s="1463"/>
      <c r="M10" s="1463"/>
      <c r="N10" s="1463"/>
      <c r="O10" s="1463"/>
      <c r="P10" s="1463"/>
      <c r="Q10" s="1463"/>
      <c r="R10" s="1463"/>
      <c r="S10" s="1463"/>
      <c r="T10" s="1463"/>
      <c r="U10" s="1463"/>
      <c r="V10" s="1463"/>
    </row>
    <row r="11" spans="1:22">
      <c r="A11" s="1360"/>
      <c r="B11" s="1463"/>
      <c r="C11" s="1464"/>
      <c r="D11" s="1479" t="s">
        <v>883</v>
      </c>
      <c r="E11" s="1479"/>
      <c r="F11" s="1479"/>
      <c r="G11" s="1464"/>
      <c r="H11" s="1464"/>
      <c r="I11" s="1464"/>
      <c r="J11" s="1464"/>
      <c r="K11" s="1464"/>
      <c r="L11" s="1464"/>
      <c r="M11" s="1464"/>
      <c r="N11" s="1464"/>
      <c r="O11" s="1464"/>
      <c r="P11" s="1464"/>
      <c r="Q11" s="1464"/>
      <c r="R11" s="1464"/>
      <c r="S11" s="1464"/>
      <c r="T11" s="1464"/>
      <c r="U11" s="1464"/>
      <c r="V11" s="1463"/>
    </row>
    <row r="12" spans="1:22">
      <c r="A12" s="1360"/>
      <c r="B12" s="1463"/>
      <c r="C12" s="1476">
        <f>IF(D12="","",MAX(C$9:C11)+1)</f>
        <v>2</v>
      </c>
      <c r="D12" s="1480" t="s">
        <v>189</v>
      </c>
      <c r="E12" s="1480"/>
      <c r="F12" s="1480"/>
      <c r="V12" s="1463"/>
    </row>
    <row r="13" spans="1:22">
      <c r="A13" s="1360"/>
      <c r="B13" s="1463"/>
      <c r="C13" s="1476">
        <f>IF(D13="","",MAX(C$9:C12)+1)</f>
        <v>3</v>
      </c>
      <c r="D13" s="1482" t="s">
        <v>282</v>
      </c>
      <c r="E13" s="1482"/>
      <c r="F13" s="1482"/>
      <c r="V13" s="1463"/>
    </row>
    <row r="14" spans="1:22">
      <c r="A14" s="1360"/>
      <c r="B14" s="1463"/>
      <c r="C14" s="1476">
        <f>IF(D14="","",MAX(C$9:C13)+1)</f>
        <v>4</v>
      </c>
      <c r="D14" s="1484" t="s">
        <v>521</v>
      </c>
      <c r="E14" s="1484"/>
      <c r="F14" s="1484"/>
      <c r="G14" s="1483">
        <f>Rev!H239</f>
        <v>36116971.762110069</v>
      </c>
      <c r="H14" s="1483">
        <f>Rev!I239</f>
        <v>39543452.574530959</v>
      </c>
      <c r="I14" s="1483">
        <f>Rev!J239</f>
        <v>40126635.651825801</v>
      </c>
      <c r="J14" s="1483">
        <f>Rev!K239</f>
        <v>41424780.989396721</v>
      </c>
      <c r="K14" s="1483">
        <f>Rev!L239</f>
        <v>43330607.45485945</v>
      </c>
      <c r="L14" s="1483">
        <f>Rev!M239</f>
        <v>43903694.812468678</v>
      </c>
      <c r="M14" s="1483">
        <f>Rev!N239</f>
        <v>44505412.902738735</v>
      </c>
      <c r="N14" s="1483">
        <f>Rev!O239</f>
        <v>45115820.061369091</v>
      </c>
      <c r="O14" s="1483">
        <f>Rev!P239</f>
        <v>45756173.883008912</v>
      </c>
      <c r="P14" s="1483">
        <f>Rev!Q239</f>
        <v>46364498.680134758</v>
      </c>
      <c r="Q14" s="1483">
        <f>Rev!R239</f>
        <v>47003001.535892956</v>
      </c>
      <c r="R14" s="1483">
        <f>Rev!S239</f>
        <v>47651038.484054431</v>
      </c>
      <c r="S14" s="1483">
        <f>Rev!T239</f>
        <v>48330648.920275912</v>
      </c>
      <c r="T14" s="1483">
        <f>Rev!U239</f>
        <v>48976589.433980763</v>
      </c>
      <c r="U14" s="1483">
        <f>Rev!V239</f>
        <v>49654152.68996156</v>
      </c>
      <c r="V14" s="1463"/>
    </row>
    <row r="15" spans="1:22">
      <c r="A15" s="1360"/>
      <c r="B15" s="1463"/>
      <c r="C15" s="1476">
        <f>IF(D15="","",MAX(C$9:C14)+1)</f>
        <v>5</v>
      </c>
      <c r="D15" s="1484" t="s">
        <v>727</v>
      </c>
      <c r="E15" s="1484"/>
      <c r="F15" s="1484"/>
      <c r="G15" s="1483">
        <f>Rev!H240</f>
        <v>19511044.590033971</v>
      </c>
      <c r="H15" s="1483">
        <f>Rev!I240</f>
        <v>20898813.817650307</v>
      </c>
      <c r="I15" s="1483">
        <f>Rev!J240</f>
        <v>23028980.079743613</v>
      </c>
      <c r="J15" s="1483">
        <f>Rev!K240</f>
        <v>21928955.920960672</v>
      </c>
      <c r="K15" s="1483">
        <f>Rev!L240</f>
        <v>24640276.399856191</v>
      </c>
      <c r="L15" s="1483">
        <f>Rev!M240</f>
        <v>23928010.324111272</v>
      </c>
      <c r="M15" s="1483">
        <f>Rev!N240</f>
        <v>24173026.454235099</v>
      </c>
      <c r="N15" s="1483">
        <f>Rev!O240</f>
        <v>24418042.584358923</v>
      </c>
      <c r="O15" s="1483">
        <f>Rev!P240</f>
        <v>24663058.714482747</v>
      </c>
      <c r="P15" s="1483">
        <f>Rev!Q240</f>
        <v>24908074.844606567</v>
      </c>
      <c r="Q15" s="1483">
        <f>Rev!R240</f>
        <v>25154771.820923492</v>
      </c>
      <c r="R15" s="1483">
        <f>Rev!S240</f>
        <v>25399787.951047327</v>
      </c>
      <c r="S15" s="1483">
        <f>Rev!T240</f>
        <v>25646484.927364241</v>
      </c>
      <c r="T15" s="1483">
        <f>Rev!U240</f>
        <v>25891501.057488065</v>
      </c>
      <c r="U15" s="1483">
        <f>Rev!V240</f>
        <v>26138198.033804983</v>
      </c>
      <c r="V15" s="1463"/>
    </row>
    <row r="16" spans="1:22">
      <c r="A16" s="1360"/>
      <c r="B16" s="1463"/>
      <c r="C16" s="1476">
        <f>IF(D16="","",MAX(C$9:C15)+1)</f>
        <v>6</v>
      </c>
      <c r="D16" s="1484" t="s">
        <v>2221</v>
      </c>
      <c r="E16" s="1484"/>
      <c r="F16" s="1484"/>
      <c r="G16" s="1483">
        <f>Rev!H241</f>
        <v>85950779.503907681</v>
      </c>
      <c r="H16" s="1483">
        <f>Rev!I241</f>
        <v>87441700.618536085</v>
      </c>
      <c r="I16" s="1483">
        <f>Rev!J241</f>
        <v>95420238.134129256</v>
      </c>
      <c r="J16" s="1483">
        <f>Rev!K241</f>
        <v>106876135.2238275</v>
      </c>
      <c r="K16" s="1483">
        <f>Rev!L241</f>
        <v>108906680.89356728</v>
      </c>
      <c r="L16" s="1483">
        <f>Rev!M241</f>
        <v>120308749.51426256</v>
      </c>
      <c r="M16" s="1483">
        <f>Rev!N241</f>
        <v>129329148.02549994</v>
      </c>
      <c r="N16" s="1483">
        <f>Rev!O241</f>
        <v>141156872.60647896</v>
      </c>
      <c r="O16" s="1483">
        <f>Rev!P241</f>
        <v>149251158.43198472</v>
      </c>
      <c r="P16" s="1483">
        <f>Rev!Q241</f>
        <v>155380410.74327952</v>
      </c>
      <c r="Q16" s="1483">
        <f>Rev!R241</f>
        <v>160290799.20595571</v>
      </c>
      <c r="R16" s="1483">
        <f>Rev!S241</f>
        <v>166067665.91296864</v>
      </c>
      <c r="S16" s="1483">
        <f>Rev!T241</f>
        <v>172464303.67865202</v>
      </c>
      <c r="T16" s="1483">
        <f>Rev!U241</f>
        <v>176794450.33451432</v>
      </c>
      <c r="U16" s="1483">
        <f>Rev!V241</f>
        <v>181239635.99150169</v>
      </c>
      <c r="V16" s="1463"/>
    </row>
    <row r="17" spans="1:22" ht="18">
      <c r="A17" s="1360"/>
      <c r="B17" s="1463"/>
      <c r="C17" s="1476">
        <f>IF(D17="","",MAX(C$9:C16)+1)</f>
        <v>7</v>
      </c>
      <c r="D17" s="1484" t="s">
        <v>2220</v>
      </c>
      <c r="E17" s="1484"/>
      <c r="F17" s="1484"/>
      <c r="G17" s="1485">
        <f>Rev!H242</f>
        <v>1021029.080855742</v>
      </c>
      <c r="H17" s="1485">
        <f>Rev!I242</f>
        <v>1030492.622826336</v>
      </c>
      <c r="I17" s="1485">
        <f>Rev!J242</f>
        <v>996078.93281111179</v>
      </c>
      <c r="J17" s="1485">
        <f>Rev!K242</f>
        <v>1029382.144384724</v>
      </c>
      <c r="K17" s="1485">
        <f>Rev!L242</f>
        <v>1011154.8310764299</v>
      </c>
      <c r="L17" s="1485">
        <f>Rev!M242</f>
        <v>1011154.8310764299</v>
      </c>
      <c r="M17" s="1485">
        <f>Rev!N242</f>
        <v>1011154.8310764299</v>
      </c>
      <c r="N17" s="1485">
        <f>Rev!O242</f>
        <v>1011154.8310764299</v>
      </c>
      <c r="O17" s="1485">
        <f>Rev!P242</f>
        <v>1011154.8310764299</v>
      </c>
      <c r="P17" s="1485">
        <f>Rev!Q242</f>
        <v>1011154.8310764299</v>
      </c>
      <c r="Q17" s="1485">
        <f>Rev!R242</f>
        <v>1011154.8310764299</v>
      </c>
      <c r="R17" s="1485">
        <f>Rev!S242</f>
        <v>1011154.8310764299</v>
      </c>
      <c r="S17" s="1485">
        <f>Rev!T242</f>
        <v>1011154.8310764299</v>
      </c>
      <c r="T17" s="1485">
        <f>Rev!U242</f>
        <v>1011154.8310764299</v>
      </c>
      <c r="U17" s="1485">
        <f>Rev!V242</f>
        <v>1011154.8310764299</v>
      </c>
      <c r="V17" s="1463"/>
    </row>
    <row r="18" spans="1:22">
      <c r="A18" s="1360"/>
      <c r="B18" s="1463"/>
      <c r="C18" s="1476">
        <f>IF(D18="","",MAX(C$9:C17)+1)</f>
        <v>8</v>
      </c>
      <c r="D18" s="1486" t="s">
        <v>2155</v>
      </c>
      <c r="E18" s="1486"/>
      <c r="F18" s="1486"/>
      <c r="G18" s="1483">
        <f t="shared" ref="G18:U18" si="0">SUM(G14:G17)</f>
        <v>142599824.93690744</v>
      </c>
      <c r="H18" s="1483">
        <f t="shared" si="0"/>
        <v>148914459.63354367</v>
      </c>
      <c r="I18" s="1483">
        <f t="shared" si="0"/>
        <v>159571932.79850978</v>
      </c>
      <c r="J18" s="1483">
        <f t="shared" si="0"/>
        <v>171259254.27856961</v>
      </c>
      <c r="K18" s="1483">
        <f t="shared" si="0"/>
        <v>177888719.57935935</v>
      </c>
      <c r="L18" s="1483">
        <f t="shared" si="0"/>
        <v>189151609.48191893</v>
      </c>
      <c r="M18" s="1483">
        <f t="shared" si="0"/>
        <v>199018742.21355021</v>
      </c>
      <c r="N18" s="1483">
        <f t="shared" si="0"/>
        <v>211701890.08328342</v>
      </c>
      <c r="O18" s="1483">
        <f t="shared" si="0"/>
        <v>220681545.86055282</v>
      </c>
      <c r="P18" s="1483">
        <f t="shared" si="0"/>
        <v>227664139.09909728</v>
      </c>
      <c r="Q18" s="1483">
        <f t="shared" si="0"/>
        <v>233459727.3938486</v>
      </c>
      <c r="R18" s="1483">
        <f t="shared" si="0"/>
        <v>240129647.17914683</v>
      </c>
      <c r="S18" s="1483">
        <f t="shared" si="0"/>
        <v>247452592.35736862</v>
      </c>
      <c r="T18" s="1483">
        <f t="shared" si="0"/>
        <v>252673695.65705961</v>
      </c>
      <c r="U18" s="1483">
        <f t="shared" si="0"/>
        <v>258043141.54634467</v>
      </c>
      <c r="V18" s="1463"/>
    </row>
    <row r="19" spans="1:22">
      <c r="A19" s="1360"/>
      <c r="B19" s="1463"/>
      <c r="C19" s="1476"/>
      <c r="D19" s="1482"/>
      <c r="E19" s="1482"/>
      <c r="F19" s="1482"/>
      <c r="G19" s="1483"/>
      <c r="H19" s="1483"/>
      <c r="I19" s="1487"/>
      <c r="J19" s="1487"/>
      <c r="K19" s="1487"/>
      <c r="L19" s="1487"/>
      <c r="M19" s="1487"/>
      <c r="N19" s="1483"/>
      <c r="O19" s="1483"/>
      <c r="P19" s="1483"/>
      <c r="Q19" s="1483"/>
      <c r="R19" s="1483"/>
      <c r="S19" s="1483"/>
      <c r="T19" s="1483"/>
      <c r="U19" s="1483"/>
      <c r="V19" s="1463"/>
    </row>
    <row r="20" spans="1:22">
      <c r="A20" s="1360"/>
      <c r="B20" s="1463"/>
      <c r="C20" s="1476">
        <f>IF(D20="","",MAX(C$9:C19)+1)</f>
        <v>9</v>
      </c>
      <c r="D20" s="1482" t="s">
        <v>264</v>
      </c>
      <c r="E20" s="1482"/>
      <c r="F20" s="1482"/>
      <c r="G20" s="1483">
        <f>INDEX('Lead Sheet 2015'!$C$663:$I$663,1,MATCH(G$7,'Lead Sheet 2015'!$C$618:$I$618,0))-G26</f>
        <v>61781098.57</v>
      </c>
      <c r="H20" s="1483">
        <f>INDEX('Lead Sheet 2015'!$C$663:$I$663,1,MATCH(H$7,'Lead Sheet 2015'!$C$618:$I$618,0))-H26</f>
        <v>79297529.069999993</v>
      </c>
      <c r="I20" s="1483">
        <f>INDEX('Lead Sheet 2015'!$C$663:$I$663,1,MATCH(I$7,'Lead Sheet 2015'!$C$618:$I$618,0))-I26</f>
        <v>81069782.100000009</v>
      </c>
      <c r="J20" s="1483">
        <f>INDEX('Lead Sheet 2015'!$C$663:$I$663,1,MATCH(J$7,'Lead Sheet 2015'!$C$618:$I$618,0))-J26</f>
        <v>82051166.86999999</v>
      </c>
      <c r="K20" s="1483">
        <f>('Net Power'!E7+'Net Power'!E8-K26)*INDEX(Dashboard!$F$15:$S$15,1,MATCH(K$7,Dashboard!$F$7:$S$7,0))</f>
        <v>48076352.579858921</v>
      </c>
      <c r="L20" s="1483">
        <f>('Net Power'!F7+'Net Power'!F8-L26)*INDEX(Dashboard!$F$15:$S$15,1,MATCH(L$7,Dashboard!$F$7:$S$7,0))</f>
        <v>35992377.538601264</v>
      </c>
      <c r="M20" s="1483">
        <f>('Net Power'!G7+'Net Power'!G8-M26)*INDEX(Dashboard!$F$15:$S$15,1,MATCH(M$7,Dashboard!$F$7:$S$7,0))</f>
        <v>24642763.423588555</v>
      </c>
      <c r="N20" s="1483">
        <f>('Net Power'!H7+'Net Power'!H8-N26)*INDEX(Dashboard!$F$15:$S$15,1,MATCH(N$7,Dashboard!$F$7:$S$7,0))</f>
        <v>22914055.701018848</v>
      </c>
      <c r="O20" s="1483">
        <f>('Net Power'!I7+'Net Power'!I8-O26)*INDEX(Dashboard!$F$15:$S$15,1,MATCH(O$7,Dashboard!$F$7:$S$7,0))</f>
        <v>43172392.291625708</v>
      </c>
      <c r="P20" s="1483">
        <f>('Net Power'!J7+'Net Power'!J8-P26)*INDEX(Dashboard!$F$15:$S$15,1,MATCH(P$7,Dashboard!$F$7:$S$7,0))</f>
        <v>107117376.3092228</v>
      </c>
      <c r="Q20" s="1483">
        <f>('Net Power'!K7+'Net Power'!K8-Q26)*INDEX(Dashboard!$F$15:$S$15,1,MATCH(Q$7,Dashboard!$F$7:$S$7,0))</f>
        <v>115565419.68582402</v>
      </c>
      <c r="R20" s="1483">
        <f>('Net Power'!L7+'Net Power'!L8-R26)*INDEX(Dashboard!$F$15:$S$15,1,MATCH(R$7,Dashboard!$F$7:$S$7,0))</f>
        <v>116787151.32321164</v>
      </c>
      <c r="S20" s="1483">
        <f>('Net Power'!M7+'Net Power'!M8-S26)*INDEX(Dashboard!$F$15:$S$15,1,MATCH(S$7,Dashboard!$F$7:$S$7,0))</f>
        <v>121107298.90224025</v>
      </c>
      <c r="T20" s="1483">
        <f>('Net Power'!N7+'Net Power'!N8-T26)*INDEX(Dashboard!$F$15:$S$15,1,MATCH(T$7,Dashboard!$F$7:$S$7,0))</f>
        <v>120788226.76333712</v>
      </c>
      <c r="U20" s="1483">
        <f>('Net Power'!O7+'Net Power'!O8-U26)*INDEX(Dashboard!$F$15:$S$15,1,MATCH(U$7,Dashboard!$F$7:$S$7,0))</f>
        <v>126949775.10137782</v>
      </c>
      <c r="V20" s="1463"/>
    </row>
    <row r="21" spans="1:22">
      <c r="A21" s="1360"/>
      <c r="B21" s="1463"/>
      <c r="C21" s="1476">
        <f>IF(D21="","",MAX(C$9:C20)+1)</f>
        <v>10</v>
      </c>
      <c r="D21" s="1482" t="s">
        <v>2771</v>
      </c>
      <c r="E21" s="1482"/>
      <c r="F21" s="1482"/>
      <c r="G21" s="1483">
        <f>INDEX('Lead Sheet 2015'!$C$672:$I$672,1,MATCH(G$7,'Lead Sheet 2015'!$C$618:$I$618,0))</f>
        <v>3832582.09</v>
      </c>
      <c r="H21" s="1483">
        <f>INDEX('Lead Sheet 2015'!$C$672:$I$672,1,MATCH(H$7,'Lead Sheet 2015'!$C$618:$I$618,0))</f>
        <v>4403766.55</v>
      </c>
      <c r="I21" s="1483">
        <f>INDEX('Lead Sheet 2015'!$C$672:$I$672,1,MATCH(I$7,'Lead Sheet 2015'!$C$618:$I$618,0))</f>
        <v>5100712.3199999994</v>
      </c>
      <c r="J21" s="1483">
        <f>INDEX('Lead Sheet 2015'!$C$672:$I$672,1,MATCH(J$7,'Lead Sheet 2015'!$C$618:$I$618,0))</f>
        <v>5338187.4400000004</v>
      </c>
      <c r="K21" s="1483">
        <f>'Forecast (BV) 2017'!K53</f>
        <v>5203236.6376320003</v>
      </c>
      <c r="L21" s="1483">
        <f>'Forecast (BV) 2017'!L53</f>
        <v>5255269.0040083202</v>
      </c>
      <c r="M21" s="1483">
        <f>'Forecast (BV) 2017'!M53</f>
        <v>5307821.6940484038</v>
      </c>
      <c r="N21" s="1483">
        <f>'Forecast (BV) 2017'!N53</f>
        <v>5360899.9109888878</v>
      </c>
      <c r="O21" s="1483">
        <f>'Forecast (BV) 2017'!O53</f>
        <v>5414508.9100987772</v>
      </c>
      <c r="P21" s="1483">
        <f>'Forecast (BV) 2017'!P53</f>
        <v>5468653.9991997648</v>
      </c>
      <c r="Q21" s="1483">
        <f>'Forecast (BV) 2017'!Q53</f>
        <v>5523340.5391917629</v>
      </c>
      <c r="R21" s="1483">
        <f>'Forecast (BV) 2017'!R53</f>
        <v>5578573.9445836805</v>
      </c>
      <c r="S21" s="1483">
        <f>'Forecast (BV) 2017'!S53</f>
        <v>5634359.6840295177</v>
      </c>
      <c r="T21" s="1483">
        <f>'Forecast (BV) 2017'!T53</f>
        <v>5690703.2808698127</v>
      </c>
      <c r="U21" s="1483">
        <f>'Forecast (BV) 2017'!U53</f>
        <v>5747610.3136785105</v>
      </c>
      <c r="V21" s="1463"/>
    </row>
    <row r="22" spans="1:22">
      <c r="A22" s="1360"/>
      <c r="B22" s="1463"/>
      <c r="C22" s="1476" t="str">
        <f>IF(D22="","",MAX(C$9:C21)+1)</f>
        <v/>
      </c>
      <c r="D22" s="1482"/>
      <c r="E22" s="1482"/>
      <c r="F22" s="1482"/>
      <c r="G22" s="1483"/>
      <c r="H22" s="1483"/>
      <c r="I22" s="1483"/>
      <c r="J22" s="1483"/>
      <c r="K22" s="1483"/>
      <c r="L22" s="1483"/>
      <c r="M22" s="1483"/>
      <c r="N22" s="1483"/>
      <c r="O22" s="1483"/>
      <c r="P22" s="1483"/>
      <c r="Q22" s="1483"/>
      <c r="R22" s="1483"/>
      <c r="S22" s="1483"/>
      <c r="T22" s="1483"/>
      <c r="U22" s="1483"/>
      <c r="V22" s="1463"/>
    </row>
    <row r="23" spans="1:22">
      <c r="A23" s="1360"/>
      <c r="B23" s="1463"/>
      <c r="C23" s="1476">
        <f>IF(D23="","",MAX(C$9:C22)+1)</f>
        <v>11</v>
      </c>
      <c r="D23" s="1489" t="s">
        <v>1040</v>
      </c>
      <c r="E23" s="1489"/>
      <c r="F23" s="1489"/>
      <c r="G23" s="1490">
        <f t="shared" ref="G23:U23" si="1">SUM(G18:G21)</f>
        <v>208213505.59690744</v>
      </c>
      <c r="H23" s="1490">
        <f t="shared" si="1"/>
        <v>232615755.25354367</v>
      </c>
      <c r="I23" s="1490">
        <f t="shared" si="1"/>
        <v>245742427.21850979</v>
      </c>
      <c r="J23" s="1490">
        <f t="shared" si="1"/>
        <v>258648608.58856958</v>
      </c>
      <c r="K23" s="1490">
        <f t="shared" si="1"/>
        <v>231168308.79685029</v>
      </c>
      <c r="L23" s="1490">
        <f t="shared" si="1"/>
        <v>230399256.02452853</v>
      </c>
      <c r="M23" s="1490">
        <f t="shared" si="1"/>
        <v>228969327.33118716</v>
      </c>
      <c r="N23" s="1490">
        <f t="shared" si="1"/>
        <v>239976845.69529116</v>
      </c>
      <c r="O23" s="1490">
        <f t="shared" si="1"/>
        <v>269268447.06227732</v>
      </c>
      <c r="P23" s="1490">
        <f t="shared" si="1"/>
        <v>340250169.40751982</v>
      </c>
      <c r="Q23" s="1490">
        <f t="shared" si="1"/>
        <v>354548487.61886442</v>
      </c>
      <c r="R23" s="1490">
        <f t="shared" si="1"/>
        <v>362495372.44694209</v>
      </c>
      <c r="S23" s="1490">
        <f t="shared" si="1"/>
        <v>374194250.94363838</v>
      </c>
      <c r="T23" s="1490">
        <f t="shared" si="1"/>
        <v>379152625.70126659</v>
      </c>
      <c r="U23" s="1490">
        <f t="shared" si="1"/>
        <v>390740526.96140099</v>
      </c>
      <c r="V23" s="1463"/>
    </row>
    <row r="24" spans="1:22">
      <c r="A24" s="1360"/>
      <c r="B24" s="1463"/>
      <c r="C24" s="1476" t="str">
        <f>IF(D24="","",MAX(C$9:C23)+1)</f>
        <v/>
      </c>
      <c r="D24" s="1482"/>
      <c r="E24" s="1482"/>
      <c r="F24" s="1482"/>
      <c r="G24" s="1483"/>
      <c r="H24" s="1483"/>
      <c r="I24" s="1487"/>
      <c r="J24" s="1487"/>
      <c r="K24" s="1487"/>
      <c r="L24" s="1487"/>
      <c r="M24" s="1487"/>
      <c r="N24" s="1483"/>
      <c r="O24" s="1483"/>
      <c r="P24" s="1483"/>
      <c r="Q24" s="1483"/>
      <c r="R24" s="1483"/>
      <c r="S24" s="1483"/>
      <c r="T24" s="1483"/>
      <c r="U24" s="1483"/>
      <c r="V24" s="1463"/>
    </row>
    <row r="25" spans="1:22">
      <c r="A25" s="1360"/>
      <c r="B25" s="1463"/>
      <c r="C25" s="1476">
        <f>IF(D25="","",MAX(C$9:C24)+1)</f>
        <v>12</v>
      </c>
      <c r="D25" s="1491" t="s">
        <v>308</v>
      </c>
      <c r="E25" s="1491"/>
      <c r="F25" s="1491"/>
      <c r="G25" s="1483"/>
      <c r="H25" s="1483"/>
      <c r="I25" s="1483"/>
      <c r="J25" s="1483"/>
      <c r="K25" s="1483"/>
      <c r="L25" s="1483"/>
      <c r="M25" s="1483"/>
      <c r="N25" s="1483"/>
      <c r="O25" s="1483"/>
      <c r="P25" s="1483"/>
      <c r="Q25" s="1483"/>
      <c r="R25" s="1483"/>
      <c r="S25" s="1483"/>
      <c r="T25" s="1483"/>
      <c r="U25" s="1483"/>
      <c r="V25" s="1463"/>
    </row>
    <row r="26" spans="1:22">
      <c r="A26" s="1360"/>
      <c r="B26" s="1463"/>
      <c r="C26" s="1476">
        <f>IF(D26="","",MAX(C$9:C25)+1)</f>
        <v>13</v>
      </c>
      <c r="D26" s="1482" t="str">
        <f>'Other Inc_Summ.'!D9</f>
        <v>Green Power Sales</v>
      </c>
      <c r="E26" s="1482"/>
      <c r="F26" s="1482"/>
      <c r="G26" s="1483">
        <f>'Other Inc_Summ.'!H9</f>
        <v>923.62</v>
      </c>
      <c r="H26" s="1483">
        <f>'Other Inc_Summ.'!I9</f>
        <v>65276.5</v>
      </c>
      <c r="I26" s="1483">
        <f>'Other Inc_Summ.'!J9</f>
        <v>8312.32</v>
      </c>
      <c r="J26" s="1483">
        <f>'Other Inc_Summ.'!K9</f>
        <v>21962.86</v>
      </c>
      <c r="K26" s="1483">
        <f>'Other Inc_Summ.'!L9</f>
        <v>0</v>
      </c>
      <c r="L26" s="1483">
        <f>'Other Inc_Summ.'!M9</f>
        <v>0</v>
      </c>
      <c r="M26" s="1483">
        <f>'Other Inc_Summ.'!N9</f>
        <v>0</v>
      </c>
      <c r="N26" s="1483">
        <f>'Other Inc_Summ.'!O9</f>
        <v>0</v>
      </c>
      <c r="O26" s="1483">
        <f>'Other Inc_Summ.'!P9</f>
        <v>0</v>
      </c>
      <c r="P26" s="1483">
        <f>'Other Inc_Summ.'!Q9</f>
        <v>0</v>
      </c>
      <c r="Q26" s="1483">
        <f>'Other Inc_Summ.'!R9</f>
        <v>0</v>
      </c>
      <c r="R26" s="1483">
        <f>'Other Inc_Summ.'!S9</f>
        <v>0</v>
      </c>
      <c r="S26" s="1483">
        <f>'Other Inc_Summ.'!T9</f>
        <v>0</v>
      </c>
      <c r="T26" s="1483">
        <f>'Other Inc_Summ.'!U9</f>
        <v>0</v>
      </c>
      <c r="U26" s="1483">
        <f>'Other Inc_Summ.'!V9</f>
        <v>0</v>
      </c>
      <c r="V26" s="1463"/>
    </row>
    <row r="27" spans="1:22">
      <c r="A27" s="1360"/>
      <c r="B27" s="1463"/>
      <c r="C27" s="1476">
        <f>IF(D27="","",MAX(C$9:C26)+1)</f>
        <v>14</v>
      </c>
      <c r="D27" s="1482" t="str">
        <f>'Other Inc_Summ.'!D10</f>
        <v>Penalty for Late Payment</v>
      </c>
      <c r="E27" s="1482"/>
      <c r="F27" s="1482"/>
      <c r="G27" s="1483">
        <f>'Other Inc_Summ.'!H10</f>
        <v>723427.15</v>
      </c>
      <c r="H27" s="1483">
        <f>'Other Inc_Summ.'!I10</f>
        <v>839048.02</v>
      </c>
      <c r="I27" s="1483">
        <f>'Other Inc_Summ.'!J10</f>
        <v>1070843.33</v>
      </c>
      <c r="J27" s="1483">
        <f>'Other Inc_Summ.'!K10</f>
        <v>1130591.47</v>
      </c>
      <c r="K27" s="1483">
        <f>'Other Inc_Summ.'!L10</f>
        <v>1075898.8828876247</v>
      </c>
      <c r="L27" s="1483">
        <f>'Other Inc_Summ.'!M10</f>
        <v>1120931.9424245609</v>
      </c>
      <c r="M27" s="1483">
        <f>'Other Inc_Summ.'!N10</f>
        <v>1138130.016615696</v>
      </c>
      <c r="N27" s="1483">
        <f>'Other Inc_Summ.'!O10</f>
        <v>1145168.7260796092</v>
      </c>
      <c r="O27" s="1483">
        <f>'Other Inc_Summ.'!P10</f>
        <v>1168954.8098880309</v>
      </c>
      <c r="P27" s="1483">
        <f>'Other Inc_Summ.'!Q10</f>
        <v>1185445.0442753227</v>
      </c>
      <c r="Q27" s="1483">
        <f>'Other Inc_Summ.'!R10</f>
        <v>1201692.2185354177</v>
      </c>
      <c r="R27" s="1483">
        <f>'Other Inc_Summ.'!S10</f>
        <v>1221101.4226961986</v>
      </c>
      <c r="S27" s="1483">
        <f>'Other Inc_Summ.'!T10</f>
        <v>1239007.6809670983</v>
      </c>
      <c r="T27" s="1483">
        <f>'Other Inc_Summ.'!U10</f>
        <v>1257400.1777108759</v>
      </c>
      <c r="U27" s="1483">
        <f>'Other Inc_Summ.'!V10</f>
        <v>1276529.3416397022</v>
      </c>
      <c r="V27" s="1463"/>
    </row>
    <row r="28" spans="1:22">
      <c r="A28" s="1360"/>
      <c r="B28" s="1463"/>
      <c r="C28" s="1476">
        <f>IF(D28="","",MAX(C$9:C27)+1)</f>
        <v>15</v>
      </c>
      <c r="D28" s="1482" t="str">
        <f>'Other Inc_Summ.'!D11</f>
        <v>Misc Service Revenue</v>
      </c>
      <c r="E28" s="1482"/>
      <c r="F28" s="1482"/>
      <c r="G28" s="1483">
        <f>'Other Inc_Summ.'!H11</f>
        <v>292947.25</v>
      </c>
      <c r="H28" s="1483">
        <f>'Other Inc_Summ.'!I11</f>
        <v>321509.90000000002</v>
      </c>
      <c r="I28" s="1483">
        <f>'Other Inc_Summ.'!J11</f>
        <v>299368.84999999998</v>
      </c>
      <c r="J28" s="1483">
        <f>'Other Inc_Summ.'!K11</f>
        <v>278170.17</v>
      </c>
      <c r="K28" s="1483">
        <f>'Other Inc_Summ.'!L11</f>
        <v>318135.56791921792</v>
      </c>
      <c r="L28" s="1483">
        <f>'Other Inc_Summ.'!M11</f>
        <v>306343.61733102566</v>
      </c>
      <c r="M28" s="1483">
        <f>'Other Inc_Summ.'!N11</f>
        <v>308747.20264285553</v>
      </c>
      <c r="N28" s="1483">
        <f>'Other Inc_Summ.'!O11</f>
        <v>320454.03961913334</v>
      </c>
      <c r="O28" s="1483">
        <f>'Other Inc_Summ.'!P11</f>
        <v>321250.16329460923</v>
      </c>
      <c r="P28" s="1483">
        <f>'Other Inc_Summ.'!Q11</f>
        <v>326368.817174064</v>
      </c>
      <c r="Q28" s="1483">
        <f>'Other Inc_Summ.'!R11</f>
        <v>332419.7793354381</v>
      </c>
      <c r="R28" s="1483">
        <f>'Other Inc_Summ.'!S11</f>
        <v>336528.61046030361</v>
      </c>
      <c r="S28" s="1483">
        <f>'Other Inc_Summ.'!T11</f>
        <v>341774.96887544438</v>
      </c>
      <c r="T28" s="1483">
        <f>'Other Inc_Summ.'!U11</f>
        <v>347065.17885208089</v>
      </c>
      <c r="U28" s="1483">
        <f>'Other Inc_Summ.'!V11</f>
        <v>352094.15949153726</v>
      </c>
      <c r="V28" s="1463"/>
    </row>
    <row r="29" spans="1:22">
      <c r="A29" s="1360"/>
      <c r="B29" s="1463"/>
      <c r="C29" s="1476">
        <f>IF(D29="","",MAX(C$9:C28)+1)</f>
        <v>16</v>
      </c>
      <c r="D29" s="1482" t="str">
        <f>'Other Inc_Summ.'!D12</f>
        <v>Rent from Elec Property</v>
      </c>
      <c r="E29" s="1482"/>
      <c r="F29" s="1482"/>
      <c r="G29" s="1483">
        <f>'Other Inc_Summ.'!H12</f>
        <v>343283.04</v>
      </c>
      <c r="H29" s="1483">
        <f>'Other Inc_Summ.'!I12</f>
        <v>336004.73</v>
      </c>
      <c r="I29" s="1483">
        <f>'Other Inc_Summ.'!J12</f>
        <v>329971.7</v>
      </c>
      <c r="J29" s="1483">
        <f>'Other Inc_Summ.'!K12</f>
        <v>337837.58</v>
      </c>
      <c r="K29" s="1483">
        <f>'Other Inc_Summ.'!L12</f>
        <v>355207.52325314796</v>
      </c>
      <c r="L29" s="1483">
        <f>'Other Inc_Summ.'!M12</f>
        <v>349897.91194930824</v>
      </c>
      <c r="M29" s="1483">
        <f>'Other Inc_Summ.'!N12</f>
        <v>356734.02588360914</v>
      </c>
      <c r="N29" s="1483">
        <f>'Other Inc_Summ.'!O12</f>
        <v>364617.57741360727</v>
      </c>
      <c r="O29" s="1483">
        <f>'Other Inc_Summ.'!P12</f>
        <v>367848.82966694527</v>
      </c>
      <c r="P29" s="1483">
        <f>'Other Inc_Summ.'!Q12</f>
        <v>374012.86893128115</v>
      </c>
      <c r="Q29" s="1483">
        <f>'Other Inc_Summ.'!R12</f>
        <v>379946.12920596352</v>
      </c>
      <c r="R29" s="1483">
        <f>'Other Inc_Summ.'!S12</f>
        <v>385209.69269612752</v>
      </c>
      <c r="S29" s="1483">
        <f>'Other Inc_Summ.'!T12</f>
        <v>391171.11723485723</v>
      </c>
      <c r="T29" s="1483">
        <f>'Other Inc_Summ.'!U12</f>
        <v>397062.96732932632</v>
      </c>
      <c r="U29" s="1483">
        <f>'Other Inc_Summ.'!V12</f>
        <v>402940.59787353105</v>
      </c>
      <c r="V29" s="1463"/>
    </row>
    <row r="30" spans="1:22">
      <c r="A30" s="1360"/>
      <c r="B30" s="1463"/>
      <c r="C30" s="1476">
        <f>IF(D30="","",MAX(C$9:C29)+1)</f>
        <v>17</v>
      </c>
      <c r="D30" s="1482" t="str">
        <f>'Other Inc_Summ.'!D13</f>
        <v>Other Electric Revenues</v>
      </c>
      <c r="E30" s="1482"/>
      <c r="F30" s="1482"/>
      <c r="G30" s="1483">
        <f>'Other Inc_Summ.'!H13</f>
        <v>13751.03</v>
      </c>
      <c r="H30" s="1483">
        <f>'Other Inc_Summ.'!I13</f>
        <v>18379.3</v>
      </c>
      <c r="I30" s="1483">
        <f>'Other Inc_Summ.'!J13</f>
        <v>12924.88</v>
      </c>
      <c r="J30" s="1483">
        <f>'Other Inc_Summ.'!K13</f>
        <v>12909.89</v>
      </c>
      <c r="K30" s="1483">
        <f>'Other Inc_Summ.'!L13</f>
        <v>15645.498211009537</v>
      </c>
      <c r="L30" s="1483">
        <f>'Other Inc_Summ.'!M13</f>
        <v>14187.31265016965</v>
      </c>
      <c r="M30" s="1483">
        <f>'Other Inc_Summ.'!N13</f>
        <v>14619.950978229965</v>
      </c>
      <c r="N30" s="1483">
        <f>'Other Inc_Summ.'!O13</f>
        <v>15264.320949846189</v>
      </c>
      <c r="O30" s="1483">
        <f>'Other Inc_Summ.'!P13</f>
        <v>15133.431173543871</v>
      </c>
      <c r="P30" s="1483">
        <f>'Other Inc_Summ.'!Q13</f>
        <v>15458.312152807912</v>
      </c>
      <c r="Q30" s="1483">
        <f>'Other Inc_Summ.'!R13</f>
        <v>15746.191094658108</v>
      </c>
      <c r="R30" s="1483">
        <f>'Other Inc_Summ.'!S13</f>
        <v>15911.657091419576</v>
      </c>
      <c r="S30" s="1483">
        <f>'Other Inc_Summ.'!T13</f>
        <v>16178.886610810479</v>
      </c>
      <c r="T30" s="1483">
        <f>'Other Inc_Summ.'!U13</f>
        <v>16426.319601249812</v>
      </c>
      <c r="U30" s="1483">
        <f>'Other Inc_Summ.'!V13</f>
        <v>16659.86414116525</v>
      </c>
      <c r="V30" s="1463"/>
    </row>
    <row r="31" spans="1:22">
      <c r="A31" s="1360"/>
      <c r="B31" s="1463"/>
      <c r="C31" s="1476">
        <f>IF(D31="","",MAX(C$9:C30)+1)</f>
        <v>18</v>
      </c>
      <c r="D31" s="1482" t="str">
        <f>'Other Inc_Summ.'!D14</f>
        <v>Interest and Other Income, and JLB Payments</v>
      </c>
      <c r="E31" s="1482"/>
      <c r="F31" s="1482"/>
      <c r="G31" s="1483">
        <f>'Other Inc_Summ.'!H14</f>
        <v>1273430.23</v>
      </c>
      <c r="H31" s="1483">
        <f>'Other Inc_Summ.'!I14</f>
        <v>-96076.140000000101</v>
      </c>
      <c r="I31" s="1483">
        <f>'Other Inc_Summ.'!J14</f>
        <v>3090567.3200000003</v>
      </c>
      <c r="J31" s="1483">
        <f>'Other Inc_Summ.'!K14</f>
        <v>4349055.8100000005</v>
      </c>
      <c r="K31" s="1483">
        <f>'Other Inc_Summ.'!L14</f>
        <v>6291061.243626738</v>
      </c>
      <c r="L31" s="1483">
        <f>'Other Inc_Summ.'!M14</f>
        <v>7766347.2979476731</v>
      </c>
      <c r="M31" s="1483">
        <f>'Other Inc_Summ.'!N14</f>
        <v>14906377.944111161</v>
      </c>
      <c r="N31" s="1483">
        <f>'Other Inc_Summ.'!O14</f>
        <v>15316958.379292076</v>
      </c>
      <c r="O31" s="1483">
        <f>'Other Inc_Summ.'!P14</f>
        <v>16323777.404787961</v>
      </c>
      <c r="P31" s="1483">
        <f>'Other Inc_Summ.'!Q14</f>
        <v>18521357.465201512</v>
      </c>
      <c r="Q31" s="1483">
        <f>'Other Inc_Summ.'!R14</f>
        <v>21561325.174006425</v>
      </c>
      <c r="R31" s="1483">
        <f>'Other Inc_Summ.'!S14</f>
        <v>25159350.369345762</v>
      </c>
      <c r="S31" s="1483">
        <f>'Other Inc_Summ.'!T14</f>
        <v>28686301.45745568</v>
      </c>
      <c r="T31" s="1483">
        <f>'Other Inc_Summ.'!U14</f>
        <v>33152431.373971581</v>
      </c>
      <c r="U31" s="1483">
        <f>'Other Inc_Summ.'!V14</f>
        <v>37525640.217348956</v>
      </c>
      <c r="V31" s="1463"/>
    </row>
    <row r="32" spans="1:22">
      <c r="A32" s="1360"/>
      <c r="B32" s="1463"/>
      <c r="C32" s="1476">
        <f>IF(D32="","",MAX(C$9:C31)+1)</f>
        <v>19</v>
      </c>
      <c r="D32" s="1482" t="str">
        <f>'Other Inc_Summ.'!D15</f>
        <v>Contributions in Aid of Construction</v>
      </c>
      <c r="E32" s="1482"/>
      <c r="F32" s="1482"/>
      <c r="G32" s="1483">
        <f>'Other Inc_Summ.'!H15</f>
        <v>3847423.78</v>
      </c>
      <c r="H32" s="1483">
        <f>'Other Inc_Summ.'!I15</f>
        <v>11966255.630000001</v>
      </c>
      <c r="I32" s="1483">
        <f>'Other Inc_Summ.'!J15</f>
        <v>22766657.059999999</v>
      </c>
      <c r="J32" s="1483">
        <f>'Other Inc_Summ.'!K15</f>
        <v>13222301.92</v>
      </c>
      <c r="K32" s="1483">
        <f>'Other Inc_Summ.'!L15</f>
        <v>18881042.1085</v>
      </c>
      <c r="L32" s="1483">
        <f>'Other Inc_Summ.'!M15</f>
        <v>3771216.7979882499</v>
      </c>
      <c r="M32" s="1483">
        <f>'Other Inc_Summ.'!N15</f>
        <v>6481437.273579197</v>
      </c>
      <c r="N32" s="1483">
        <f>'Other Inc_Summ.'!O15</f>
        <v>13491703.741310302</v>
      </c>
      <c r="O32" s="1483">
        <f>'Other Inc_Summ.'!P15</f>
        <v>2302016.4081461993</v>
      </c>
      <c r="P32" s="1483">
        <f>'Other Inc_Summ.'!Q15</f>
        <v>2312375.481982857</v>
      </c>
      <c r="Q32" s="1483">
        <f>'Other Inc_Summ.'!R15</f>
        <v>2322781.1716517797</v>
      </c>
      <c r="R32" s="1483">
        <f>'Other Inc_Summ.'!S15</f>
        <v>2333233.6869242126</v>
      </c>
      <c r="S32" s="1483">
        <f>'Other Inc_Summ.'!T15</f>
        <v>2343733.2385153715</v>
      </c>
      <c r="T32" s="1483">
        <f>'Other Inc_Summ.'!U15</f>
        <v>2354280.0380886905</v>
      </c>
      <c r="U32" s="1483">
        <f>'Other Inc_Summ.'!V15</f>
        <v>2364874.2982600895</v>
      </c>
      <c r="V32" s="1463"/>
    </row>
    <row r="33" spans="1:22">
      <c r="A33" s="1360"/>
      <c r="B33" s="1492"/>
      <c r="C33" s="1476">
        <f>IF(D33="","",MAX(C$9:C32)+1)</f>
        <v>20</v>
      </c>
      <c r="D33" s="1493" t="s">
        <v>309</v>
      </c>
      <c r="E33" s="1493"/>
      <c r="F33" s="1493"/>
      <c r="G33" s="1490">
        <f t="shared" ref="G33:U33" si="2">SUM(G26:G32)</f>
        <v>6495186.0999999996</v>
      </c>
      <c r="H33" s="1490">
        <f t="shared" si="2"/>
        <v>13450397.940000001</v>
      </c>
      <c r="I33" s="1490">
        <f t="shared" si="2"/>
        <v>27578645.460000001</v>
      </c>
      <c r="J33" s="1490">
        <f t="shared" si="2"/>
        <v>19352829.699999999</v>
      </c>
      <c r="K33" s="1490">
        <f t="shared" si="2"/>
        <v>26936990.824397739</v>
      </c>
      <c r="L33" s="1490">
        <f t="shared" si="2"/>
        <v>13328924.880290989</v>
      </c>
      <c r="M33" s="1490">
        <f t="shared" si="2"/>
        <v>23206046.413810749</v>
      </c>
      <c r="N33" s="1490">
        <f t="shared" si="2"/>
        <v>30654166.784664575</v>
      </c>
      <c r="O33" s="1490">
        <f t="shared" si="2"/>
        <v>20498981.046957288</v>
      </c>
      <c r="P33" s="1490">
        <f t="shared" si="2"/>
        <v>22735017.989717845</v>
      </c>
      <c r="Q33" s="1490">
        <f t="shared" si="2"/>
        <v>25813910.663829684</v>
      </c>
      <c r="R33" s="1490">
        <f t="shared" si="2"/>
        <v>29451335.439214021</v>
      </c>
      <c r="S33" s="1490">
        <f t="shared" si="2"/>
        <v>33018167.349659264</v>
      </c>
      <c r="T33" s="1490">
        <f t="shared" si="2"/>
        <v>37524666.055553809</v>
      </c>
      <c r="U33" s="1490">
        <f t="shared" si="2"/>
        <v>41938738.478754982</v>
      </c>
      <c r="V33" s="1492"/>
    </row>
    <row r="34" spans="1:22" ht="15.75" customHeight="1">
      <c r="A34" s="1360"/>
      <c r="B34" s="1492"/>
      <c r="C34" s="1476" t="str">
        <f>IF(D34="","",MAX(C$9:C33)+1)</f>
        <v/>
      </c>
      <c r="D34" s="1480"/>
      <c r="E34" s="1480"/>
      <c r="F34" s="1480"/>
      <c r="G34" s="1490"/>
      <c r="H34" s="1490"/>
      <c r="I34" s="1490"/>
      <c r="J34" s="1490"/>
      <c r="K34" s="1490"/>
      <c r="L34" s="1490"/>
      <c r="M34" s="1490"/>
      <c r="N34" s="1490"/>
      <c r="O34" s="1490"/>
      <c r="P34" s="1490"/>
      <c r="Q34" s="1490"/>
      <c r="R34" s="1490"/>
      <c r="S34" s="1490"/>
      <c r="T34" s="1490"/>
      <c r="U34" s="1490"/>
      <c r="V34" s="1492"/>
    </row>
    <row r="35" spans="1:22" ht="15.75" customHeight="1">
      <c r="A35" s="1360"/>
      <c r="B35" s="1492"/>
      <c r="C35" s="1476">
        <f>IF(D35="","",MAX(C$9:C34)+1)</f>
        <v>21</v>
      </c>
      <c r="D35" s="1466" t="s">
        <v>1041</v>
      </c>
      <c r="G35" s="1494">
        <f t="shared" ref="G35:U35" si="3">SUM(G23,G33)</f>
        <v>214708691.69690743</v>
      </c>
      <c r="H35" s="1494">
        <f t="shared" si="3"/>
        <v>246066153.19354367</v>
      </c>
      <c r="I35" s="1494">
        <f t="shared" si="3"/>
        <v>273321072.67850977</v>
      </c>
      <c r="J35" s="1494">
        <f t="shared" si="3"/>
        <v>278001438.28856957</v>
      </c>
      <c r="K35" s="1494">
        <f t="shared" si="3"/>
        <v>258105299.62124804</v>
      </c>
      <c r="L35" s="1494">
        <f t="shared" si="3"/>
        <v>243728180.90481952</v>
      </c>
      <c r="M35" s="1494">
        <f t="shared" si="3"/>
        <v>252175373.74499792</v>
      </c>
      <c r="N35" s="1494">
        <f t="shared" si="3"/>
        <v>270631012.47995573</v>
      </c>
      <c r="O35" s="1494">
        <f t="shared" si="3"/>
        <v>289767428.10923463</v>
      </c>
      <c r="P35" s="1494">
        <f t="shared" si="3"/>
        <v>362985187.39723766</v>
      </c>
      <c r="Q35" s="1494">
        <f t="shared" si="3"/>
        <v>380362398.2826941</v>
      </c>
      <c r="R35" s="1494">
        <f t="shared" si="3"/>
        <v>391946707.88615608</v>
      </c>
      <c r="S35" s="1494">
        <f t="shared" si="3"/>
        <v>407212418.29329765</v>
      </c>
      <c r="T35" s="1494">
        <f t="shared" si="3"/>
        <v>416677291.75682038</v>
      </c>
      <c r="U35" s="1494">
        <f t="shared" si="3"/>
        <v>432679265.44015598</v>
      </c>
      <c r="V35" s="1492"/>
    </row>
    <row r="36" spans="1:22" ht="15.75" customHeight="1">
      <c r="A36" s="1360"/>
      <c r="B36" s="1492"/>
      <c r="C36" s="1476" t="str">
        <f>IF(D36="","",MAX(C$9:C35)+1)</f>
        <v/>
      </c>
      <c r="D36" s="1489"/>
      <c r="E36" s="1489"/>
      <c r="F36" s="1489"/>
      <c r="G36" s="1490"/>
      <c r="H36" s="1490"/>
      <c r="I36" s="1490"/>
      <c r="J36" s="1490"/>
      <c r="K36" s="1490"/>
      <c r="L36" s="1490"/>
      <c r="M36" s="1490"/>
      <c r="N36" s="1490"/>
      <c r="O36" s="1490"/>
      <c r="P36" s="1490"/>
      <c r="Q36" s="1490"/>
      <c r="R36" s="1490"/>
      <c r="S36" s="1490"/>
      <c r="T36" s="1490"/>
      <c r="U36" s="1490"/>
      <c r="V36" s="1492"/>
    </row>
    <row r="37" spans="1:22" ht="15.75" customHeight="1">
      <c r="A37" s="1360"/>
      <c r="B37" s="1492"/>
      <c r="C37" s="1476">
        <f>IF(D37="","",MAX(C$9:C36)+1)</f>
        <v>22</v>
      </c>
      <c r="D37" s="1495" t="s">
        <v>1042</v>
      </c>
      <c r="E37" s="1496"/>
      <c r="F37" s="1497" t="s">
        <v>1043</v>
      </c>
      <c r="G37" s="1490"/>
      <c r="H37" s="1490"/>
      <c r="I37" s="1490"/>
      <c r="J37" s="1490"/>
      <c r="K37" s="1490"/>
      <c r="L37" s="1490"/>
      <c r="M37" s="1490"/>
      <c r="N37" s="1490"/>
      <c r="O37" s="1490"/>
      <c r="P37" s="1490"/>
      <c r="Q37" s="1490"/>
      <c r="R37" s="1490"/>
      <c r="S37" s="1490"/>
      <c r="T37" s="1490"/>
      <c r="U37" s="1490"/>
      <c r="V37" s="1492"/>
    </row>
    <row r="38" spans="1:22" ht="15.75" customHeight="1">
      <c r="A38" s="1360"/>
      <c r="B38" s="1492"/>
      <c r="C38" s="1476">
        <f>IF(D38="","",MAX(C$9:C37)+1)</f>
        <v>23</v>
      </c>
      <c r="D38" s="1498" t="s">
        <v>1044</v>
      </c>
      <c r="E38" s="1499" t="s">
        <v>1045</v>
      </c>
      <c r="F38" s="1499" t="s">
        <v>1046</v>
      </c>
      <c r="G38" s="1490"/>
      <c r="H38" s="1490"/>
      <c r="I38" s="1490"/>
      <c r="J38" s="1490"/>
      <c r="K38" s="1490"/>
      <c r="L38" s="1490"/>
      <c r="M38" s="1490"/>
      <c r="N38" s="1490"/>
      <c r="O38" s="1490"/>
      <c r="P38" s="1490"/>
      <c r="Q38" s="1490"/>
      <c r="R38" s="1490"/>
      <c r="S38" s="1490"/>
      <c r="T38" s="1490"/>
      <c r="U38" s="1490"/>
      <c r="V38" s="1492"/>
    </row>
    <row r="39" spans="1:22" ht="15.75" customHeight="1" thickBot="1">
      <c r="A39" s="1360"/>
      <c r="B39" s="1492"/>
      <c r="C39" s="1476" t="str">
        <f>IF(D39="","",MAX(C$9:C38)+1)</f>
        <v/>
      </c>
      <c r="D39" s="1489"/>
      <c r="E39" s="1489"/>
      <c r="F39" s="1489"/>
      <c r="G39" s="1490"/>
      <c r="H39" s="1490"/>
      <c r="I39" s="1490"/>
      <c r="J39" s="1490"/>
      <c r="K39" s="1490"/>
      <c r="L39" s="1490"/>
      <c r="M39" s="1490"/>
      <c r="N39" s="1490"/>
      <c r="O39" s="1490"/>
      <c r="P39" s="1490"/>
      <c r="Q39" s="1490"/>
      <c r="R39" s="1490"/>
      <c r="S39" s="1490"/>
      <c r="T39" s="1490"/>
      <c r="U39" s="1490"/>
      <c r="V39" s="1492"/>
    </row>
    <row r="40" spans="1:22" ht="15.75" customHeight="1">
      <c r="A40" s="1360"/>
      <c r="B40" s="1492"/>
      <c r="C40" s="1476">
        <f>IF(D40="","",MAX(C$9:C39)+1)</f>
        <v>24</v>
      </c>
      <c r="D40" s="1500">
        <f t="array" ref="D40:D56">TRANSPOSE(Dashboard!G11:S11)</f>
        <v>41640</v>
      </c>
      <c r="E40" s="1545">
        <f>INDEX(Dashboard!$F$10:$S$10,1,MATCH($D40,Dashboard!$F$11:$S$11,0))</f>
        <v>0</v>
      </c>
      <c r="F40" s="1546">
        <f>INDEX(Dashboard!$F$12:$S$12,1,MATCH($D40,Dashboard!$F$11:$S$11,0))</f>
        <v>12</v>
      </c>
      <c r="G40" s="1503"/>
      <c r="H40" s="1490"/>
      <c r="I40" s="1502">
        <f>ROUND((I$18+SUM(I$39:I39))*$E40*$F40/12,-2)</f>
        <v>0</v>
      </c>
      <c r="J40" s="1502">
        <f>ROUND((J$18+SUM(J$39:J39))*$E40,-2)</f>
        <v>0</v>
      </c>
      <c r="K40" s="1502">
        <f>ROUND((K$18+SUM(K$39:K39))*$E40,-2)</f>
        <v>0</v>
      </c>
      <c r="L40" s="1502">
        <f>ROUND((L$18+SUM(L$39:L39))*$E40,-2)</f>
        <v>0</v>
      </c>
      <c r="M40" s="1502">
        <f>ROUND((M$18+SUM(M$39:M39))*$E40,-2)</f>
        <v>0</v>
      </c>
      <c r="N40" s="1502">
        <f>ROUND((N$18+SUM(N$39:N39))*$E40,-2)</f>
        <v>0</v>
      </c>
      <c r="O40" s="1502">
        <f>ROUND((O$18+SUM(O$39:O39))*$E40,-2)</f>
        <v>0</v>
      </c>
      <c r="P40" s="1502">
        <f>ROUND((P$18+SUM(P$39:P39))*$E40,-2)</f>
        <v>0</v>
      </c>
      <c r="Q40" s="1502">
        <f>ROUND((Q$18+SUM(Q$39:Q39))*$E40,-2)</f>
        <v>0</v>
      </c>
      <c r="R40" s="1502">
        <f>ROUND((R$18+SUM(R$39:R39))*$E40,-2)</f>
        <v>0</v>
      </c>
      <c r="S40" s="1502">
        <f>ROUND((S$18+SUM(S$39:S39))*$E40,-2)</f>
        <v>0</v>
      </c>
      <c r="T40" s="1502">
        <f>ROUND((T$18+SUM(T$39:T39))*$E40,-2)</f>
        <v>0</v>
      </c>
      <c r="U40" s="1502">
        <f>ROUND((U$18+SUM(U$39:U39))*$E40,-2)</f>
        <v>0</v>
      </c>
      <c r="V40" s="1492"/>
    </row>
    <row r="41" spans="1:22" ht="15.75" customHeight="1">
      <c r="A41" s="1360"/>
      <c r="B41" s="1492"/>
      <c r="C41" s="1476">
        <f>IF(D41="","",MAX(C$9:C40)+1)</f>
        <v>25</v>
      </c>
      <c r="D41" s="1500">
        <v>42005</v>
      </c>
      <c r="E41" s="1547">
        <f>INDEX(Dashboard!$F$10:$S$10,1,MATCH($D41,Dashboard!$F$11:$S$11,0))</f>
        <v>0</v>
      </c>
      <c r="F41" s="1548">
        <f>INDEX(Dashboard!$F$12:$S$12,1,MATCH($D41,Dashboard!$F$11:$S$11,0))</f>
        <v>12</v>
      </c>
      <c r="G41" s="1503"/>
      <c r="H41" s="1490"/>
      <c r="I41" s="1502"/>
      <c r="J41" s="1502">
        <f>ROUND((J$18+SUM(J$39:J40))*$E41*$F41/12,-2)</f>
        <v>0</v>
      </c>
      <c r="K41" s="1502">
        <f>ROUND((K$18+SUM(K$39:K40))*$E41,-2)</f>
        <v>0</v>
      </c>
      <c r="L41" s="1502">
        <f>ROUND((L$18+SUM(L$39:L40))*$E41,-2)</f>
        <v>0</v>
      </c>
      <c r="M41" s="1502">
        <f>ROUND((M$18+SUM(M$39:M40))*$E41,-2)</f>
        <v>0</v>
      </c>
      <c r="N41" s="1502">
        <f>ROUND((N$18+SUM(N$39:N40))*$E41,-2)</f>
        <v>0</v>
      </c>
      <c r="O41" s="1502">
        <f>ROUND((O$18+SUM(O$39:O40))*$E41,-2)</f>
        <v>0</v>
      </c>
      <c r="P41" s="1502">
        <f>ROUND((P$18+SUM(P$39:P40))*$E41,-2)</f>
        <v>0</v>
      </c>
      <c r="Q41" s="1502">
        <f>ROUND((Q$18+SUM(Q$39:Q40))*$E41,-2)</f>
        <v>0</v>
      </c>
      <c r="R41" s="1502">
        <f>ROUND((R$18+SUM(R$39:R40))*$E41,-2)</f>
        <v>0</v>
      </c>
      <c r="S41" s="1502">
        <f>ROUND((S$18+SUM(S$39:S40))*$E41,-2)</f>
        <v>0</v>
      </c>
      <c r="T41" s="1502">
        <f>ROUND((T$18+SUM(T$39:T40))*$E41,-2)</f>
        <v>0</v>
      </c>
      <c r="U41" s="1502">
        <f>ROUND((U$18+SUM(U$39:U40))*$E41,-2)</f>
        <v>0</v>
      </c>
      <c r="V41" s="1492"/>
    </row>
    <row r="42" spans="1:22" ht="15.75" customHeight="1">
      <c r="A42" s="1360"/>
      <c r="B42" s="1492"/>
      <c r="C42" s="1476">
        <f>IF(D42="","",MAX(C$9:C41)+1)</f>
        <v>26</v>
      </c>
      <c r="D42" s="1500">
        <v>42370</v>
      </c>
      <c r="E42" s="1547">
        <f>INDEX(Dashboard!$F$10:$S$10,1,MATCH($D42,Dashboard!$F$11:$S$11,0))</f>
        <v>0</v>
      </c>
      <c r="F42" s="1548">
        <f>INDEX(Dashboard!$F$12:$S$12,1,MATCH($D42,Dashboard!$F$11:$S$11,0))</f>
        <v>12</v>
      </c>
      <c r="G42" s="1503"/>
      <c r="H42" s="1490"/>
      <c r="I42" s="1502"/>
      <c r="J42" s="1502"/>
      <c r="K42" s="1502">
        <f>ROUND((K$18+SUM(K$39:K41))*$E42*$F42/12,-2)</f>
        <v>0</v>
      </c>
      <c r="L42" s="1502">
        <f>ROUND((L$18+SUM(L$39:L41))*$E42,-2)</f>
        <v>0</v>
      </c>
      <c r="M42" s="1502">
        <f>ROUND((M$18+SUM(M$39:M41))*$E42,-2)</f>
        <v>0</v>
      </c>
      <c r="N42" s="1502">
        <f>ROUND((N$18+SUM(N$39:N41))*$E42,-2)</f>
        <v>0</v>
      </c>
      <c r="O42" s="1502">
        <f>ROUND((O$18+SUM(O$39:O41))*$E42,-2)</f>
        <v>0</v>
      </c>
      <c r="P42" s="1502">
        <f>ROUND((P$18+SUM(P$39:P41))*$E42,-2)</f>
        <v>0</v>
      </c>
      <c r="Q42" s="1502">
        <f>ROUND((Q$18+SUM(Q$39:Q41))*$E42,-2)</f>
        <v>0</v>
      </c>
      <c r="R42" s="1502">
        <f>ROUND((R$18+SUM(R$39:R41))*$E42,-2)</f>
        <v>0</v>
      </c>
      <c r="S42" s="1502">
        <f>ROUND((S$18+SUM(S$39:S41))*$E42,-2)</f>
        <v>0</v>
      </c>
      <c r="T42" s="1502">
        <f>ROUND((T$18+SUM(T$39:T41))*$E42,-2)</f>
        <v>0</v>
      </c>
      <c r="U42" s="1502">
        <f>ROUND((U$18+SUM(U$39:U41))*$E42,-2)</f>
        <v>0</v>
      </c>
      <c r="V42" s="1492"/>
    </row>
    <row r="43" spans="1:22" ht="15.75" customHeight="1">
      <c r="A43" s="1360"/>
      <c r="B43" s="1492"/>
      <c r="C43" s="1476">
        <f>IF(D43="","",MAX(C$9:C42)+1)</f>
        <v>27</v>
      </c>
      <c r="D43" s="1500">
        <v>42736</v>
      </c>
      <c r="E43" s="1547">
        <f>INDEX(Dashboard!$F$10:$S$10,1,MATCH($D43,Dashboard!$F$11:$S$11,0))</f>
        <v>0.02</v>
      </c>
      <c r="F43" s="1548">
        <f>INDEX(Dashboard!$F$12:$S$12,1,MATCH($D43,Dashboard!$F$11:$S$11,0))</f>
        <v>12</v>
      </c>
      <c r="G43" s="1503"/>
      <c r="H43" s="1490"/>
      <c r="I43" s="1502"/>
      <c r="J43" s="1502"/>
      <c r="K43" s="1502"/>
      <c r="L43" s="1502">
        <f>ROUND((L$18+SUM(L$39:L42))*$E43*$F43/12,-2)</f>
        <v>3783000</v>
      </c>
      <c r="M43" s="1502">
        <f>ROUND((M$18+SUM(M$39:M42))*$E43,-2)</f>
        <v>3980400</v>
      </c>
      <c r="N43" s="1502">
        <f>ROUND((N$18+SUM(N$39:N42))*$E43,-2)</f>
        <v>4234000</v>
      </c>
      <c r="O43" s="1502">
        <f>ROUND((O$18+SUM(O$39:O42))*$E43,-2)</f>
        <v>4413600</v>
      </c>
      <c r="P43" s="1502">
        <f>ROUND((P$18+SUM(P$39:P42))*$E43,-2)</f>
        <v>4553300</v>
      </c>
      <c r="Q43" s="1502">
        <f>ROUND((Q$18+SUM(Q$39:Q42))*$E43,-2)</f>
        <v>4669200</v>
      </c>
      <c r="R43" s="1502">
        <f>ROUND((R$18+SUM(R$39:R42))*$E43,-2)</f>
        <v>4802600</v>
      </c>
      <c r="S43" s="1502">
        <f>ROUND((S$18+SUM(S$39:S42))*$E43,-2)</f>
        <v>4949100</v>
      </c>
      <c r="T43" s="1502">
        <f>ROUND((T$18+SUM(T$39:T42))*$E43,-2)</f>
        <v>5053500</v>
      </c>
      <c r="U43" s="1502">
        <f>ROUND((U$18+SUM(U$39:U42))*$E43,-2)</f>
        <v>5160900</v>
      </c>
      <c r="V43" s="1492"/>
    </row>
    <row r="44" spans="1:22" ht="15.75" customHeight="1">
      <c r="A44" s="1360"/>
      <c r="B44" s="1492"/>
      <c r="C44" s="1476">
        <f>IF(D44="","",MAX(C$9:C43)+1)</f>
        <v>28</v>
      </c>
      <c r="D44" s="1500">
        <v>43101</v>
      </c>
      <c r="E44" s="1547">
        <f>INDEX(Dashboard!$F$10:$S$10,1,MATCH($D44,Dashboard!$F$11:$S$11,0))</f>
        <v>0.02</v>
      </c>
      <c r="F44" s="1548">
        <f>INDEX(Dashboard!$F$12:$S$12,1,MATCH($D44,Dashboard!$F$11:$S$11,0))</f>
        <v>12</v>
      </c>
      <c r="G44" s="1503"/>
      <c r="H44" s="1490"/>
      <c r="I44" s="1502"/>
      <c r="J44" s="1502"/>
      <c r="K44" s="1502"/>
      <c r="L44" s="1502"/>
      <c r="M44" s="1502">
        <f>ROUND((M$18+SUM(M$39:M43))*$E44*$F44/12,-2)</f>
        <v>4060000</v>
      </c>
      <c r="N44" s="1502">
        <f>ROUND((N$18+SUM(N$39:N43))*$E44,-2)</f>
        <v>4318700</v>
      </c>
      <c r="O44" s="1502">
        <f>ROUND((O$18+SUM(O$39:O43))*$E44,-2)</f>
        <v>4501900</v>
      </c>
      <c r="P44" s="1502">
        <f>ROUND((P$18+SUM(P$39:P43))*$E44,-2)</f>
        <v>4644300</v>
      </c>
      <c r="Q44" s="1502">
        <f>ROUND((Q$18+SUM(Q$39:Q43))*$E44,-2)</f>
        <v>4762600</v>
      </c>
      <c r="R44" s="1502">
        <f>ROUND((R$18+SUM(R$39:R43))*$E44,-2)</f>
        <v>4898600</v>
      </c>
      <c r="S44" s="1502">
        <f>ROUND((S$18+SUM(S$39:S43))*$E44,-2)</f>
        <v>5048000</v>
      </c>
      <c r="T44" s="1502">
        <f>ROUND((T$18+SUM(T$39:T43))*$E44,-2)</f>
        <v>5154500</v>
      </c>
      <c r="U44" s="1502">
        <f>ROUND((U$18+SUM(U$39:U43))*$E44,-2)</f>
        <v>5264100</v>
      </c>
      <c r="V44" s="1492"/>
    </row>
    <row r="45" spans="1:22" ht="15.75" customHeight="1">
      <c r="A45" s="1360"/>
      <c r="B45" s="1492"/>
      <c r="C45" s="1476">
        <f>IF(D45="","",MAX(C$9:C44)+1)</f>
        <v>29</v>
      </c>
      <c r="D45" s="1500">
        <v>43466</v>
      </c>
      <c r="E45" s="1547">
        <f>INDEX(Dashboard!$F$10:$S$10,1,MATCH($D45,Dashboard!$F$11:$S$11,0))</f>
        <v>0.02</v>
      </c>
      <c r="F45" s="1548">
        <f>INDEX(Dashboard!$F$12:$S$12,1,MATCH($D45,Dashboard!$F$11:$S$11,0))</f>
        <v>12</v>
      </c>
      <c r="G45" s="1503"/>
      <c r="H45" s="1490"/>
      <c r="I45" s="1502"/>
      <c r="J45" s="1502"/>
      <c r="K45" s="1502"/>
      <c r="L45" s="1502"/>
      <c r="M45" s="1502"/>
      <c r="N45" s="1502">
        <f>ROUND((N$18+SUM(N$39:N44))*$E45*$F45/12,-2)</f>
        <v>4405100</v>
      </c>
      <c r="O45" s="1502">
        <f>ROUND((O$18+SUM(O$39:O44))*$E45,-2)</f>
        <v>4591900</v>
      </c>
      <c r="P45" s="1502">
        <f>ROUND((P$18+SUM(P$39:P44))*$E45,-2)</f>
        <v>4737200</v>
      </c>
      <c r="Q45" s="1502">
        <f>ROUND((Q$18+SUM(Q$39:Q44))*$E45,-2)</f>
        <v>4857800</v>
      </c>
      <c r="R45" s="1502">
        <f>ROUND((R$18+SUM(R$39:R44))*$E45,-2)</f>
        <v>4996600</v>
      </c>
      <c r="S45" s="1502">
        <f>ROUND((S$18+SUM(S$39:S44))*$E45,-2)</f>
        <v>5149000</v>
      </c>
      <c r="T45" s="1502">
        <f>ROUND((T$18+SUM(T$39:T44))*$E45,-2)</f>
        <v>5257600</v>
      </c>
      <c r="U45" s="1502">
        <f>ROUND((U$18+SUM(U$39:U44))*$E45,-2)</f>
        <v>5369400</v>
      </c>
      <c r="V45" s="1492"/>
    </row>
    <row r="46" spans="1:22" ht="15.75" customHeight="1">
      <c r="A46" s="1360"/>
      <c r="B46" s="1492"/>
      <c r="C46" s="1476">
        <f>IF(D46="","",MAX(C$9:C45)+1)</f>
        <v>30</v>
      </c>
      <c r="D46" s="1500">
        <v>43831</v>
      </c>
      <c r="E46" s="1547">
        <f>INDEX(Dashboard!$F$10:$S$10,1,MATCH($D46,Dashboard!$F$11:$S$11,0))</f>
        <v>0.02</v>
      </c>
      <c r="F46" s="1548">
        <f>INDEX(Dashboard!$F$12:$S$12,1,MATCH($D46,Dashboard!$F$11:$S$11,0))</f>
        <v>12</v>
      </c>
      <c r="G46" s="1503"/>
      <c r="H46" s="1490"/>
      <c r="I46" s="1502"/>
      <c r="J46" s="1502"/>
      <c r="K46" s="1502"/>
      <c r="L46" s="1502"/>
      <c r="M46" s="1502"/>
      <c r="N46" s="1502"/>
      <c r="O46" s="1502">
        <f>ROUND((O$18+SUM(O$39:O45))*$E46*$F46/12,-2)</f>
        <v>4683800</v>
      </c>
      <c r="P46" s="1502">
        <f>ROUND((P$18+SUM(P$39:P45))*$E46,-2)</f>
        <v>4832000</v>
      </c>
      <c r="Q46" s="1502">
        <f>ROUND((Q$18+SUM(Q$39:Q45))*$E46,-2)</f>
        <v>4955000</v>
      </c>
      <c r="R46" s="1502">
        <f>ROUND((R$18+SUM(R$39:R45))*$E46,-2)</f>
        <v>5096500</v>
      </c>
      <c r="S46" s="1502">
        <f>ROUND((S$18+SUM(S$39:S45))*$E46,-2)</f>
        <v>5252000</v>
      </c>
      <c r="T46" s="1502">
        <f>ROUND((T$18+SUM(T$39:T45))*$E46,-2)</f>
        <v>5362800</v>
      </c>
      <c r="U46" s="1502">
        <f>ROUND((U$18+SUM(U$39:U45))*$E46,-2)</f>
        <v>5476800</v>
      </c>
      <c r="V46" s="1492"/>
    </row>
    <row r="47" spans="1:22" ht="15.75" customHeight="1">
      <c r="A47" s="1360"/>
      <c r="B47" s="1492"/>
      <c r="C47" s="1476">
        <f>IF(D47="","",MAX(C$9:C46)+1)</f>
        <v>31</v>
      </c>
      <c r="D47" s="1500">
        <v>44197</v>
      </c>
      <c r="E47" s="1547">
        <f>INDEX(Dashboard!$F$10:$S$10,1,MATCH($D47,Dashboard!$F$11:$S$11,0))</f>
        <v>0.02</v>
      </c>
      <c r="F47" s="1548">
        <f>INDEX(Dashboard!$F$12:$S$12,1,MATCH($D47,Dashboard!$F$11:$S$11,0))</f>
        <v>12</v>
      </c>
      <c r="G47" s="1503"/>
      <c r="H47" s="1490"/>
      <c r="I47" s="1502"/>
      <c r="J47" s="1502"/>
      <c r="K47" s="1502"/>
      <c r="L47" s="1502"/>
      <c r="M47" s="1502"/>
      <c r="N47" s="1502"/>
      <c r="O47" s="1502"/>
      <c r="P47" s="1502">
        <f>ROUND((P$18+SUM(P$39:P46))*$E47*$F47/12,-2)</f>
        <v>4928600</v>
      </c>
      <c r="Q47" s="1502">
        <f>ROUND((Q$18+SUM(Q$39:Q46))*$E47,-2)</f>
        <v>5054100</v>
      </c>
      <c r="R47" s="1502">
        <f>ROUND((R$18+SUM(R$39:R46))*$E47,-2)</f>
        <v>5198500</v>
      </c>
      <c r="S47" s="1502">
        <f>ROUND((S$18+SUM(S$39:S46))*$E47,-2)</f>
        <v>5357000</v>
      </c>
      <c r="T47" s="1502">
        <f>ROUND((T$18+SUM(T$39:T46))*$E47,-2)</f>
        <v>5470000</v>
      </c>
      <c r="U47" s="1502">
        <f>ROUND((U$18+SUM(U$39:U46))*$E47,-2)</f>
        <v>5586300</v>
      </c>
      <c r="V47" s="1492"/>
    </row>
    <row r="48" spans="1:22" ht="15.75" customHeight="1">
      <c r="A48" s="1360"/>
      <c r="B48" s="1492"/>
      <c r="C48" s="1476">
        <f>IF(D48="","",MAX(C$9:C47)+1)</f>
        <v>32</v>
      </c>
      <c r="D48" s="1500">
        <v>44562</v>
      </c>
      <c r="E48" s="1547">
        <f>INDEX(Dashboard!$F$10:$S$10,1,MATCH($D48,Dashboard!$F$11:$S$11,0))</f>
        <v>0.02</v>
      </c>
      <c r="F48" s="1548">
        <f>INDEX(Dashboard!$F$12:$S$12,1,MATCH($D48,Dashboard!$F$11:$S$11,0))</f>
        <v>12</v>
      </c>
      <c r="G48" s="1503"/>
      <c r="H48" s="1490"/>
      <c r="I48" s="1502"/>
      <c r="J48" s="1502"/>
      <c r="K48" s="1502"/>
      <c r="L48" s="1502"/>
      <c r="M48" s="1502"/>
      <c r="N48" s="1502"/>
      <c r="O48" s="1502"/>
      <c r="P48" s="1502"/>
      <c r="Q48" s="1502">
        <f>ROUND((Q$18+SUM(Q$39:Q47))*$E48*$F48/12,-2)</f>
        <v>5155200</v>
      </c>
      <c r="R48" s="1502">
        <f>ROUND((R$18+SUM(R$39:R47))*$E48,-2)</f>
        <v>5302400</v>
      </c>
      <c r="S48" s="1502">
        <f>ROUND((S$18+SUM(S$39:S47))*$E48,-2)</f>
        <v>5464200</v>
      </c>
      <c r="T48" s="1502">
        <f>ROUND((T$18+SUM(T$39:T47))*$E48,-2)</f>
        <v>5579400</v>
      </c>
      <c r="U48" s="1502">
        <f>ROUND((U$18+SUM(U$39:U47))*$E48,-2)</f>
        <v>5698000</v>
      </c>
      <c r="V48" s="1492"/>
    </row>
    <row r="49" spans="1:22" ht="15.75" customHeight="1">
      <c r="A49" s="1360"/>
      <c r="B49" s="1492"/>
      <c r="C49" s="1476">
        <f>IF(D49="","",MAX(C$9:C48)+1)</f>
        <v>33</v>
      </c>
      <c r="D49" s="1500">
        <v>44927</v>
      </c>
      <c r="E49" s="1547">
        <f>INDEX(Dashboard!$F$10:$S$10,1,MATCH($D49,Dashboard!$F$11:$S$11,0))</f>
        <v>0.02</v>
      </c>
      <c r="F49" s="1548">
        <f>INDEX(Dashboard!$F$12:$S$12,1,MATCH($D49,Dashboard!$F$11:$S$11,0))</f>
        <v>12</v>
      </c>
      <c r="G49" s="1503"/>
      <c r="H49" s="1490"/>
      <c r="I49" s="1502"/>
      <c r="J49" s="1502"/>
      <c r="K49" s="1502"/>
      <c r="L49" s="1502"/>
      <c r="M49" s="1502"/>
      <c r="N49" s="1502"/>
      <c r="O49" s="1502"/>
      <c r="P49" s="1502"/>
      <c r="Q49" s="1502"/>
      <c r="R49" s="1502">
        <f>ROUND((R$18+SUM(R$39:R48))*$E49*$F49/12,-2)</f>
        <v>5408500</v>
      </c>
      <c r="S49" s="1502">
        <f>ROUND((S$18+SUM(S$39:S48))*$E49,-2)</f>
        <v>5573400</v>
      </c>
      <c r="T49" s="1502">
        <f>ROUND((T$18+SUM(T$39:T48))*$E49,-2)</f>
        <v>5691000</v>
      </c>
      <c r="U49" s="1502">
        <f>ROUND((U$18+SUM(U$39:U48))*$E49,-2)</f>
        <v>5812000</v>
      </c>
      <c r="V49" s="1492"/>
    </row>
    <row r="50" spans="1:22" ht="15.75" customHeight="1" thickBot="1">
      <c r="A50" s="1360"/>
      <c r="B50" s="1492"/>
      <c r="C50" s="1476">
        <f>IF(D50="","",MAX(C$9:C49)+1)</f>
        <v>34</v>
      </c>
      <c r="D50" s="1500">
        <v>45292</v>
      </c>
      <c r="E50" s="1549">
        <f>INDEX(Dashboard!$F$10:$S$10,1,MATCH($D50,Dashboard!$F$11:$S$11,0))</f>
        <v>0.02</v>
      </c>
      <c r="F50" s="1550">
        <f>INDEX(Dashboard!$F$12:$S$12,1,MATCH($D50,Dashboard!$F$11:$S$11,0))</f>
        <v>12</v>
      </c>
      <c r="G50" s="1503"/>
      <c r="H50" s="1490"/>
      <c r="I50" s="1502"/>
      <c r="J50" s="1502"/>
      <c r="K50" s="1502"/>
      <c r="L50" s="1502"/>
      <c r="M50" s="1502"/>
      <c r="N50" s="1502"/>
      <c r="O50" s="1502"/>
      <c r="P50" s="1502"/>
      <c r="Q50" s="1502"/>
      <c r="R50" s="1502"/>
      <c r="S50" s="1502">
        <f>ROUND((S$18+SUM(S$39:S49))*$E50*$F50/12,-2)</f>
        <v>5684900</v>
      </c>
      <c r="T50" s="1502">
        <f>ROUND((T$18+SUM(T$39:T49))*$E50,-2)</f>
        <v>5804800</v>
      </c>
      <c r="U50" s="1502">
        <f>ROUND((U$18+SUM(U$39:U49))*$E50,-2)</f>
        <v>5928200</v>
      </c>
      <c r="V50" s="1492"/>
    </row>
    <row r="51" spans="1:22" ht="15.75" customHeight="1">
      <c r="A51" s="1360"/>
      <c r="B51" s="1492"/>
      <c r="C51" s="1476">
        <f>IF(D51="","",MAX(C$9:C50)+1)</f>
        <v>35</v>
      </c>
      <c r="D51" s="1500">
        <v>45658</v>
      </c>
      <c r="E51" s="1547">
        <f>INDEX(Dashboard!$F$10:$S$10,1,MATCH($D51,Dashboard!$F$11:$S$11,0))</f>
        <v>0.02</v>
      </c>
      <c r="F51" s="1548">
        <f>INDEX(Dashboard!$F$12:$S$12,1,MATCH($D51,Dashboard!$F$11:$S$11,0))</f>
        <v>12</v>
      </c>
      <c r="G51" s="1503"/>
      <c r="H51" s="1490"/>
      <c r="I51" s="1502"/>
      <c r="J51" s="1502"/>
      <c r="K51" s="1502"/>
      <c r="L51" s="1502"/>
      <c r="M51" s="1502"/>
      <c r="N51" s="1502"/>
      <c r="O51" s="1502"/>
      <c r="P51" s="1502"/>
      <c r="Q51" s="1502"/>
      <c r="R51" s="1502"/>
      <c r="S51" s="1502"/>
      <c r="T51" s="1502">
        <f>ROUND((T$18+SUM(T$39:T50))*$E51*$F51/12,-2)</f>
        <v>5920900</v>
      </c>
      <c r="U51" s="1502">
        <f>ROUND((U$18+SUM(U$39:U50))*$E51,-2)</f>
        <v>6046800</v>
      </c>
      <c r="V51" s="1492"/>
    </row>
    <row r="52" spans="1:22" ht="15.75" customHeight="1" thickBot="1">
      <c r="A52" s="1360"/>
      <c r="B52" s="1492"/>
      <c r="C52" s="1476">
        <f>IF(D52="","",MAX(C$9:C51)+1)</f>
        <v>36</v>
      </c>
      <c r="D52" s="1500">
        <v>46023</v>
      </c>
      <c r="E52" s="1549">
        <f>INDEX(Dashboard!$F$10:$S$10,1,MATCH($D52,Dashboard!$F$11:$S$11,0))</f>
        <v>0.02</v>
      </c>
      <c r="F52" s="1550">
        <f>INDEX(Dashboard!$F$12:$S$12,1,MATCH($D52,Dashboard!$F$11:$S$11,0))</f>
        <v>12</v>
      </c>
      <c r="G52" s="1503"/>
      <c r="H52" s="1490"/>
      <c r="I52" s="1502"/>
      <c r="J52" s="1502"/>
      <c r="K52" s="1502"/>
      <c r="L52" s="1502"/>
      <c r="M52" s="1502"/>
      <c r="N52" s="1502"/>
      <c r="O52" s="1502"/>
      <c r="P52" s="1502"/>
      <c r="Q52" s="1502"/>
      <c r="R52" s="1502"/>
      <c r="S52" s="1502"/>
      <c r="T52" s="1502"/>
      <c r="U52" s="1502">
        <f>ROUND((U$18+SUM(U$39:U51))*$E52*$F52/12,-2)</f>
        <v>6167700</v>
      </c>
      <c r="V52" s="1492"/>
    </row>
    <row r="53" spans="1:22" ht="15.75" hidden="1" customHeight="1">
      <c r="A53" s="1360"/>
      <c r="B53" s="1492"/>
      <c r="C53" s="1476" t="e">
        <f>IF(D53="","",MAX(C$9:C52)+1)</f>
        <v>#N/A</v>
      </c>
      <c r="D53" s="1500" t="e">
        <v>#N/A</v>
      </c>
      <c r="E53" s="1547" t="e">
        <f>INDEX(Dashboard!$F$10:$S$10,1,MATCH($D53,Dashboard!$F$11:$S$11,0))</f>
        <v>#N/A</v>
      </c>
      <c r="F53" s="1548" t="e">
        <f>INDEX(Dashboard!$F$12:$S$12,1,MATCH($D53,Dashboard!$F$11:$S$11,0))</f>
        <v>#N/A</v>
      </c>
      <c r="G53" s="1503"/>
      <c r="H53" s="1490"/>
      <c r="I53" s="1502"/>
      <c r="J53" s="1502"/>
      <c r="K53" s="1502"/>
      <c r="L53" s="1502"/>
      <c r="M53" s="1502"/>
      <c r="N53" s="1502"/>
      <c r="O53" s="1502"/>
      <c r="P53" s="1502"/>
      <c r="Q53" s="1502"/>
      <c r="R53" s="1502"/>
      <c r="S53" s="1502"/>
      <c r="T53" s="1502"/>
      <c r="U53" s="1502"/>
      <c r="V53" s="1492"/>
    </row>
    <row r="54" spans="1:22" ht="15.75" hidden="1" customHeight="1">
      <c r="A54" s="1360"/>
      <c r="B54" s="1492"/>
      <c r="C54" s="1476" t="e">
        <f>IF(D54="","",MAX(C$9:C53)+1)</f>
        <v>#N/A</v>
      </c>
      <c r="D54" s="1500" t="e">
        <v>#N/A</v>
      </c>
      <c r="E54" s="1547" t="e">
        <f>INDEX(Dashboard!$F$10:$S$10,1,MATCH($D54,Dashboard!$F$11:$S$11,0))</f>
        <v>#N/A</v>
      </c>
      <c r="F54" s="1548" t="e">
        <f>INDEX(Dashboard!$F$12:$S$12,1,MATCH($D54,Dashboard!$F$11:$S$11,0))</f>
        <v>#N/A</v>
      </c>
      <c r="G54" s="1503"/>
      <c r="H54" s="1490"/>
      <c r="I54" s="1502"/>
      <c r="J54" s="1502"/>
      <c r="K54" s="1502"/>
      <c r="L54" s="1502"/>
      <c r="M54" s="1502"/>
      <c r="N54" s="1502"/>
      <c r="O54" s="1502"/>
      <c r="P54" s="1502"/>
      <c r="Q54" s="1502"/>
      <c r="R54" s="1502"/>
      <c r="S54" s="1502"/>
      <c r="T54" s="1502"/>
      <c r="U54" s="1502"/>
      <c r="V54" s="1492"/>
    </row>
    <row r="55" spans="1:22" ht="15.75" hidden="1" customHeight="1">
      <c r="A55" s="1360"/>
      <c r="B55" s="1492"/>
      <c r="C55" s="1476" t="e">
        <f>IF(D55="","",MAX(C$9:C54)+1)</f>
        <v>#N/A</v>
      </c>
      <c r="D55" s="1500" t="e">
        <v>#N/A</v>
      </c>
      <c r="E55" s="1547" t="e">
        <f>INDEX(Dashboard!$F$10:$S$10,1,MATCH($D55,Dashboard!$F$11:$S$11,0))</f>
        <v>#N/A</v>
      </c>
      <c r="F55" s="1548" t="e">
        <f>INDEX(Dashboard!$F$12:$S$12,1,MATCH($D55,Dashboard!$F$11:$S$11,0))</f>
        <v>#N/A</v>
      </c>
      <c r="G55" s="1503"/>
      <c r="H55" s="1490"/>
      <c r="I55" s="1502"/>
      <c r="J55" s="1502"/>
      <c r="K55" s="1502"/>
      <c r="L55" s="1502"/>
      <c r="M55" s="1502"/>
      <c r="N55" s="1502"/>
      <c r="O55" s="1502"/>
      <c r="P55" s="1502"/>
      <c r="Q55" s="1502"/>
      <c r="R55" s="1502"/>
      <c r="S55" s="1502"/>
      <c r="T55" s="1502"/>
      <c r="U55" s="1502"/>
      <c r="V55" s="1492"/>
    </row>
    <row r="56" spans="1:22" ht="15.75" hidden="1" customHeight="1" thickBot="1">
      <c r="A56" s="1360"/>
      <c r="B56" s="1492"/>
      <c r="C56" s="1476" t="e">
        <f>IF(D56="","",MAX(C$9:C55)+1)</f>
        <v>#N/A</v>
      </c>
      <c r="D56" s="1500" t="e">
        <v>#N/A</v>
      </c>
      <c r="E56" s="1549" t="e">
        <f>INDEX(Dashboard!$F$10:$S$10,1,MATCH($D56,Dashboard!$F$11:$S$11,0))</f>
        <v>#N/A</v>
      </c>
      <c r="F56" s="1550" t="e">
        <f>INDEX(Dashboard!$F$12:$S$12,1,MATCH($D56,Dashboard!$F$11:$S$11,0))</f>
        <v>#N/A</v>
      </c>
      <c r="G56" s="1503"/>
      <c r="H56" s="1490"/>
      <c r="I56" s="1502"/>
      <c r="J56" s="1502"/>
      <c r="K56" s="1502"/>
      <c r="L56" s="1502"/>
      <c r="M56" s="1502"/>
      <c r="N56" s="1502"/>
      <c r="O56" s="1502"/>
      <c r="P56" s="1502"/>
      <c r="Q56" s="1502"/>
      <c r="R56" s="1502"/>
      <c r="S56" s="1502"/>
      <c r="T56" s="1502"/>
      <c r="U56" s="1502"/>
      <c r="V56" s="1492"/>
    </row>
    <row r="57" spans="1:22" ht="15.75" customHeight="1">
      <c r="A57" s="1360"/>
      <c r="B57" s="1492"/>
      <c r="C57" s="1476" t="str">
        <f>IF(D57="","",MAX(C$9:C56)+1)</f>
        <v/>
      </c>
      <c r="D57" s="1496"/>
      <c r="E57" s="1496"/>
      <c r="F57" s="1496"/>
      <c r="G57" s="1501"/>
      <c r="H57" s="1501"/>
      <c r="I57" s="1502"/>
      <c r="J57" s="1502"/>
      <c r="K57" s="1502"/>
      <c r="L57" s="1502"/>
      <c r="M57" s="1502"/>
      <c r="N57" s="1502"/>
      <c r="O57" s="1502"/>
      <c r="P57" s="1502"/>
      <c r="Q57" s="1502"/>
      <c r="R57" s="1502"/>
      <c r="S57" s="1502"/>
      <c r="T57" s="1502"/>
      <c r="U57" s="1502"/>
      <c r="V57" s="1492"/>
    </row>
    <row r="58" spans="1:22" ht="15.75" customHeight="1">
      <c r="A58" s="1360"/>
      <c r="B58" s="1492"/>
      <c r="C58" s="1476" t="e">
        <f>IF(D58="","",MAX(C$9:C57)+1)</f>
        <v>#N/A</v>
      </c>
      <c r="D58" s="1496" t="s">
        <v>1047</v>
      </c>
      <c r="E58" s="1496"/>
      <c r="F58" s="1496"/>
      <c r="G58" s="1504">
        <f t="shared" ref="G58:U58" si="4">SUM(G40:G57)</f>
        <v>0</v>
      </c>
      <c r="H58" s="1504">
        <f t="shared" si="4"/>
        <v>0</v>
      </c>
      <c r="I58" s="1504">
        <f t="shared" si="4"/>
        <v>0</v>
      </c>
      <c r="J58" s="1504">
        <f t="shared" si="4"/>
        <v>0</v>
      </c>
      <c r="K58" s="1504">
        <f>SUM(K40:K57)</f>
        <v>0</v>
      </c>
      <c r="L58" s="1504">
        <f t="shared" si="4"/>
        <v>3783000</v>
      </c>
      <c r="M58" s="1504">
        <f t="shared" si="4"/>
        <v>8040400</v>
      </c>
      <c r="N58" s="1504">
        <f t="shared" si="4"/>
        <v>12957800</v>
      </c>
      <c r="O58" s="1504">
        <f t="shared" si="4"/>
        <v>18191200</v>
      </c>
      <c r="P58" s="1504">
        <f t="shared" si="4"/>
        <v>23695400</v>
      </c>
      <c r="Q58" s="1504">
        <f t="shared" si="4"/>
        <v>29453900</v>
      </c>
      <c r="R58" s="1504">
        <f t="shared" si="4"/>
        <v>35703700</v>
      </c>
      <c r="S58" s="1504">
        <f t="shared" si="4"/>
        <v>42477600</v>
      </c>
      <c r="T58" s="1504">
        <f t="shared" si="4"/>
        <v>49294500</v>
      </c>
      <c r="U58" s="1504">
        <f t="shared" si="4"/>
        <v>56510200</v>
      </c>
      <c r="V58" s="1492"/>
    </row>
    <row r="59" spans="1:22" ht="15.75" customHeight="1">
      <c r="A59" s="1360"/>
      <c r="B59" s="1492"/>
      <c r="C59" s="1476" t="str">
        <f>IF(D59="","",MAX(C$9:C58)+1)</f>
        <v/>
      </c>
      <c r="D59" s="1489"/>
      <c r="E59" s="1489"/>
      <c r="F59" s="1489"/>
      <c r="G59" s="1490"/>
      <c r="H59" s="1490"/>
      <c r="I59" s="1490"/>
      <c r="J59" s="2589"/>
      <c r="K59" s="2589"/>
      <c r="L59" s="2589"/>
      <c r="M59" s="2589"/>
      <c r="N59" s="2589"/>
      <c r="O59" s="2589"/>
      <c r="P59" s="2589"/>
      <c r="Q59" s="2589"/>
      <c r="R59" s="2589"/>
      <c r="S59" s="2589"/>
      <c r="T59" s="1490"/>
      <c r="U59" s="1490"/>
      <c r="V59" s="1492"/>
    </row>
    <row r="60" spans="1:22" ht="15.75" customHeight="1">
      <c r="A60" s="1360"/>
      <c r="B60" s="1492"/>
      <c r="C60" s="1476" t="e">
        <f>IF(D60="","",MAX(C$9:C59)+1)</f>
        <v>#N/A</v>
      </c>
      <c r="D60" s="1489" t="s">
        <v>190</v>
      </c>
      <c r="E60" s="1489"/>
      <c r="F60" s="1489"/>
      <c r="G60" s="1494">
        <f t="shared" ref="G60:U60" si="5">G35+G58</f>
        <v>214708691.69690743</v>
      </c>
      <c r="H60" s="1494">
        <f t="shared" si="5"/>
        <v>246066153.19354367</v>
      </c>
      <c r="I60" s="1494">
        <f t="shared" si="5"/>
        <v>273321072.67850977</v>
      </c>
      <c r="J60" s="1494">
        <f t="shared" si="5"/>
        <v>278001438.28856957</v>
      </c>
      <c r="K60" s="1494">
        <f t="shared" si="5"/>
        <v>258105299.62124804</v>
      </c>
      <c r="L60" s="1494">
        <f t="shared" si="5"/>
        <v>247511180.90481952</v>
      </c>
      <c r="M60" s="1494">
        <f t="shared" si="5"/>
        <v>260215773.74499792</v>
      </c>
      <c r="N60" s="1494">
        <f t="shared" si="5"/>
        <v>283588812.47995573</v>
      </c>
      <c r="O60" s="1494">
        <f t="shared" si="5"/>
        <v>307958628.10923463</v>
      </c>
      <c r="P60" s="1494">
        <f t="shared" si="5"/>
        <v>386680587.39723766</v>
      </c>
      <c r="Q60" s="1494">
        <f t="shared" si="5"/>
        <v>409816298.2826941</v>
      </c>
      <c r="R60" s="1494">
        <f t="shared" si="5"/>
        <v>427650407.88615608</v>
      </c>
      <c r="S60" s="1494">
        <f t="shared" si="5"/>
        <v>449690018.29329765</v>
      </c>
      <c r="T60" s="1494">
        <f t="shared" si="5"/>
        <v>465971791.75682038</v>
      </c>
      <c r="U60" s="1494">
        <f t="shared" si="5"/>
        <v>489189465.44015598</v>
      </c>
      <c r="V60" s="1492"/>
    </row>
    <row r="61" spans="1:22" ht="15.75" customHeight="1">
      <c r="A61" s="1360"/>
      <c r="B61" s="1492"/>
      <c r="C61" s="1476" t="str">
        <f>IF(D61="","",MAX(C$9:C60)+1)</f>
        <v/>
      </c>
      <c r="D61" s="1489"/>
      <c r="E61" s="1489"/>
      <c r="F61" s="1489"/>
      <c r="G61" s="1490"/>
      <c r="H61" s="1490"/>
      <c r="I61" s="1490"/>
      <c r="J61" s="2590"/>
      <c r="K61" s="2590"/>
      <c r="L61" s="2590"/>
      <c r="M61" s="2590"/>
      <c r="N61" s="2590"/>
      <c r="O61" s="2590"/>
      <c r="P61" s="2590"/>
      <c r="Q61" s="2590"/>
      <c r="R61" s="2590"/>
      <c r="S61" s="2590"/>
      <c r="T61" s="1490"/>
      <c r="U61" s="1490"/>
      <c r="V61" s="1492"/>
    </row>
    <row r="62" spans="1:22" ht="15.75" customHeight="1">
      <c r="A62" s="1360"/>
      <c r="B62" s="1463"/>
      <c r="C62" s="1476" t="e">
        <f>IF(D62="","",MAX(C$9:C61)+1)</f>
        <v>#N/A</v>
      </c>
      <c r="D62" s="1479" t="s">
        <v>884</v>
      </c>
      <c r="E62" s="1479"/>
      <c r="F62" s="1479"/>
      <c r="G62" s="1483"/>
      <c r="H62" s="1483"/>
      <c r="I62" s="1483"/>
      <c r="J62" s="1483"/>
      <c r="K62" s="1483"/>
      <c r="L62" s="1483"/>
      <c r="M62" s="1483"/>
      <c r="N62" s="1483"/>
      <c r="O62" s="1483"/>
      <c r="P62" s="1483"/>
      <c r="Q62" s="1483"/>
      <c r="R62" s="1483"/>
      <c r="S62" s="1483"/>
      <c r="T62" s="1483"/>
      <c r="U62" s="1483"/>
      <c r="V62" s="1463"/>
    </row>
    <row r="63" spans="1:22" ht="15.75" customHeight="1">
      <c r="A63" s="1360"/>
      <c r="B63" s="1463"/>
      <c r="C63" s="1476" t="e">
        <f>IF(D63="","",MAX(C$9:C62)+1)</f>
        <v>#N/A</v>
      </c>
      <c r="D63" s="1491" t="s">
        <v>713</v>
      </c>
      <c r="E63" s="1491"/>
      <c r="F63" s="1491"/>
      <c r="G63" s="1679"/>
      <c r="H63" s="1679"/>
      <c r="I63" s="1679"/>
      <c r="J63" s="1679"/>
      <c r="K63" s="1679"/>
      <c r="L63" s="1483"/>
      <c r="M63" s="1483"/>
      <c r="N63" s="1483"/>
      <c r="O63" s="1483"/>
      <c r="P63" s="1483"/>
      <c r="Q63" s="1483"/>
      <c r="R63" s="1483"/>
      <c r="S63" s="1483"/>
      <c r="T63" s="1483"/>
      <c r="U63" s="1483"/>
      <c r="V63" s="1463"/>
    </row>
    <row r="64" spans="1:22" ht="15.75" customHeight="1">
      <c r="A64" s="1360"/>
      <c r="B64" s="1463"/>
      <c r="C64" s="1476" t="e">
        <f>IF(D64="","",MAX(C$9:C63)+1)</f>
        <v>#N/A</v>
      </c>
      <c r="D64" s="1486" t="s">
        <v>2282</v>
      </c>
      <c r="E64" s="1491"/>
      <c r="F64" s="1491"/>
      <c r="G64" s="1483">
        <f>'O&amp;M_Detail - Elec'!L11</f>
        <v>82984562.430000007</v>
      </c>
      <c r="H64" s="1483">
        <f>'O&amp;M_Detail - Elec'!M11</f>
        <v>90265419.799999997</v>
      </c>
      <c r="I64" s="1483">
        <f>'O&amp;M_Detail - Elec'!N11</f>
        <v>107261620.67</v>
      </c>
      <c r="J64" s="1483">
        <f>'O&amp;M_Detail - Elec'!O11</f>
        <v>115383956.84999999</v>
      </c>
      <c r="K64" s="1483">
        <f>'O&amp;M_Detail - Elec'!P11</f>
        <v>114823135.93920723</v>
      </c>
      <c r="L64" s="1483">
        <f>'O&amp;M_Detail - Elec'!Q11</f>
        <v>116671199.562686</v>
      </c>
      <c r="M64" s="1483">
        <f>'O&amp;M_Detail - Elec'!R11</f>
        <v>127279625.13555317</v>
      </c>
      <c r="N64" s="1483">
        <f>'O&amp;M_Detail - Elec'!S11</f>
        <v>134049266.69362669</v>
      </c>
      <c r="O64" s="1483">
        <f>'O&amp;M_Detail - Elec'!T11</f>
        <v>144612218.08112264</v>
      </c>
      <c r="P64" s="1483">
        <f>'O&amp;M_Detail - Elec'!U11</f>
        <v>156519110.80220935</v>
      </c>
      <c r="Q64" s="1483">
        <f>'O&amp;M_Detail - Elec'!V11</f>
        <v>155347812.82198545</v>
      </c>
      <c r="R64" s="1483">
        <f>'O&amp;M_Detail - Elec'!W11</f>
        <v>166619928.29523996</v>
      </c>
      <c r="S64" s="1483">
        <f>'O&amp;M_Detail - Elec'!X11</f>
        <v>174102849.54167992</v>
      </c>
      <c r="T64" s="1483">
        <f>'O&amp;M_Detail - Elec'!Y11</f>
        <v>183049483.59444222</v>
      </c>
      <c r="U64" s="1483">
        <f>'O&amp;M_Detail - Elec'!Z11</f>
        <v>192239464.24400994</v>
      </c>
      <c r="V64" s="1463"/>
    </row>
    <row r="65" spans="1:24" ht="15.75" customHeight="1">
      <c r="A65" s="1360"/>
      <c r="B65" s="1463"/>
      <c r="C65" s="1476" t="e">
        <f>IF(D65="","",MAX(C$9:C64)+1)</f>
        <v>#N/A</v>
      </c>
      <c r="D65" s="1486" t="s">
        <v>2740</v>
      </c>
      <c r="E65" s="1491"/>
      <c r="F65" s="1491"/>
      <c r="G65" s="1483">
        <f>'O&amp;M_Detail - Elec'!L12</f>
        <v>0</v>
      </c>
      <c r="H65" s="1483">
        <f>'O&amp;M_Detail - Elec'!M12</f>
        <v>0</v>
      </c>
      <c r="I65" s="1483">
        <f>'O&amp;M_Detail - Elec'!N12</f>
        <v>0</v>
      </c>
      <c r="J65" s="1483">
        <f>'O&amp;M_Detail - Elec'!O12</f>
        <v>0</v>
      </c>
      <c r="K65" s="1483">
        <f>'O&amp;M_Detail - Elec'!P12</f>
        <v>-22331156</v>
      </c>
      <c r="L65" s="1483">
        <f>'O&amp;M_Detail - Elec'!Q12</f>
        <v>-27158062</v>
      </c>
      <c r="M65" s="1483">
        <f>'O&amp;M_Detail - Elec'!R12</f>
        <v>-29268149.043546669</v>
      </c>
      <c r="N65" s="1483">
        <f>'O&amp;M_Detail - Elec'!S12</f>
        <v>-38768509.543191545</v>
      </c>
      <c r="O65" s="1483">
        <f>'O&amp;M_Detail - Elec'!T12</f>
        <v>-50617381.579403922</v>
      </c>
      <c r="P65" s="1483">
        <f>'O&amp;M_Detail - Elec'!U12</f>
        <v>-59823693.53993424</v>
      </c>
      <c r="Q65" s="1483">
        <f>'O&amp;M_Detail - Elec'!V12</f>
        <v>-69354432.552820072</v>
      </c>
      <c r="R65" s="1483">
        <f>'O&amp;M_Detail - Elec'!W12</f>
        <v>-77056309.364797801</v>
      </c>
      <c r="S65" s="1483">
        <f>'O&amp;M_Detail - Elec'!X12</f>
        <v>-86654691.012235552</v>
      </c>
      <c r="T65" s="1483">
        <f>'O&amp;M_Detail - Elec'!Y12</f>
        <v>-88404604.947769329</v>
      </c>
      <c r="U65" s="1483">
        <f>'O&amp;M_Detail - Elec'!Z12</f>
        <v>-92946228.790804625</v>
      </c>
      <c r="V65" s="1463"/>
    </row>
    <row r="66" spans="1:24" ht="15.75" customHeight="1">
      <c r="A66" s="1360"/>
      <c r="B66" s="1463"/>
      <c r="C66" s="1476" t="e">
        <f>IF(D66="","",MAX(C$9:C65)+1)</f>
        <v>#N/A</v>
      </c>
      <c r="D66" s="1486" t="s">
        <v>2741</v>
      </c>
      <c r="E66" s="1491"/>
      <c r="F66" s="1491"/>
      <c r="G66" s="1483">
        <f>'O&amp;M_Detail - Elec'!L17</f>
        <v>17833129.68</v>
      </c>
      <c r="H66" s="1483">
        <f>'O&amp;M_Detail - Elec'!M17</f>
        <v>32100472.760000002</v>
      </c>
      <c r="I66" s="1483">
        <f>'O&amp;M_Detail - Elec'!N17</f>
        <v>54469470.229999997</v>
      </c>
      <c r="J66" s="1483">
        <f>'O&amp;M_Detail - Elec'!O17</f>
        <v>43555640.840000004</v>
      </c>
      <c r="K66" s="1483">
        <f>'O&amp;M_Detail - Elec'!P17</f>
        <v>13332459.16</v>
      </c>
      <c r="L66" s="1483">
        <f>'O&amp;M_Detail - Elec'!Q17</f>
        <v>12878309.359999999</v>
      </c>
      <c r="M66" s="1483">
        <f>'O&amp;M_Detail - Elec'!R17</f>
        <v>10615986.178582095</v>
      </c>
      <c r="N66" s="1483">
        <f>'O&amp;M_Detail - Elec'!S17</f>
        <v>21054529.889413234</v>
      </c>
      <c r="O66" s="1483">
        <f>'O&amp;M_Detail - Elec'!T17</f>
        <v>45889950.905892216</v>
      </c>
      <c r="P66" s="1483">
        <f>'O&amp;M_Detail - Elec'!U17</f>
        <v>112717916.89019872</v>
      </c>
      <c r="Q66" s="1483">
        <f>'O&amp;M_Detail - Elec'!V17</f>
        <v>124787420.04669285</v>
      </c>
      <c r="R66" s="1483">
        <f>'O&amp;M_Detail - Elec'!W17</f>
        <v>132243110.39536577</v>
      </c>
      <c r="S66" s="1483">
        <f>'O&amp;M_Detail - Elec'!X17</f>
        <v>142216139.55369937</v>
      </c>
      <c r="T66" s="1483">
        <f>'O&amp;M_Detail - Elec'!Y17</f>
        <v>148679659.5540238</v>
      </c>
      <c r="U66" s="1483">
        <f>'O&amp;M_Detail - Elec'!Z17</f>
        <v>158797248.46992144</v>
      </c>
      <c r="V66" s="1463"/>
    </row>
    <row r="67" spans="1:24" ht="15.75" customHeight="1">
      <c r="A67" s="1360"/>
      <c r="B67" s="1463"/>
      <c r="C67" s="1476" t="e">
        <f>IF(D67="","",MAX(C$9:C66)+1)</f>
        <v>#N/A</v>
      </c>
      <c r="D67" s="1486" t="s">
        <v>2281</v>
      </c>
      <c r="E67" s="1491"/>
      <c r="F67" s="1491"/>
      <c r="G67" s="1485">
        <f>'O&amp;M_Detail - Elec'!L163-SUM(G64:G66)</f>
        <v>-438421.59000001848</v>
      </c>
      <c r="H67" s="1485">
        <f>'O&amp;M_Detail - Elec'!M163-SUM(H64:H66)</f>
        <v>-5204773.1700000018</v>
      </c>
      <c r="I67" s="1485">
        <f>'O&amp;M_Detail - Elec'!N163-SUM(I64:I66)</f>
        <v>-2579863.1600000262</v>
      </c>
      <c r="J67" s="1485">
        <f>'O&amp;M_Detail - Elec'!O163-SUM(J64:J66)</f>
        <v>-25801327.039999977</v>
      </c>
      <c r="K67" s="1485">
        <f>'O&amp;M_Detail - Elec'!P163-SUM(K64:K66)</f>
        <v>559851.14440000057</v>
      </c>
      <c r="L67" s="1485">
        <f>'O&amp;M_Detail - Elec'!Q163-SUM(L64:L66)</f>
        <v>647170.29454399645</v>
      </c>
      <c r="M67" s="1485">
        <f>'O&amp;M_Detail - Elec'!R163-SUM(M64:M66)</f>
        <v>1110450.0554540604</v>
      </c>
      <c r="N67" s="1485">
        <f>'O&amp;M_Detail - Elec'!S163-SUM(N64:N66)</f>
        <v>1821394.160458535</v>
      </c>
      <c r="O67" s="1485">
        <f>'O&amp;M_Detail - Elec'!T163-SUM(O64:O66)</f>
        <v>3266546.7372475863</v>
      </c>
      <c r="P67" s="1485">
        <f>'O&amp;M_Detail - Elec'!U163-SUM(P64:P66)</f>
        <v>3705916.1113198698</v>
      </c>
      <c r="Q67" s="1485">
        <f>'O&amp;M_Detail - Elec'!V163-SUM(Q64:Q66)</f>
        <v>4022271.451477021</v>
      </c>
      <c r="R67" s="1485">
        <f>'O&amp;M_Detail - Elec'!W163-SUM(R64:R66)</f>
        <v>3023305.6937494576</v>
      </c>
      <c r="S67" s="1485">
        <f>'O&amp;M_Detail - Elec'!X163-SUM(S64:S66)</f>
        <v>3425904.2404143214</v>
      </c>
      <c r="T67" s="1485">
        <f>'O&amp;M_Detail - Elec'!Y163-SUM(T64:T66)</f>
        <v>3449387.0847286582</v>
      </c>
      <c r="U67" s="1485">
        <f>'O&amp;M_Detail - Elec'!Z163-SUM(U64:U66)</f>
        <v>3554490.9180107117</v>
      </c>
      <c r="V67" s="1463"/>
    </row>
    <row r="68" spans="1:24" ht="15.75" customHeight="1">
      <c r="A68" s="1360"/>
      <c r="B68" s="1463"/>
      <c r="C68" s="1476" t="e">
        <f>IF(D68="","",MAX(C$9:C67)+1)</f>
        <v>#N/A</v>
      </c>
      <c r="D68" s="1482" t="s">
        <v>2283</v>
      </c>
      <c r="E68" s="1482"/>
      <c r="F68" s="1482"/>
      <c r="G68" s="1505">
        <f>SUM(G64:G67)</f>
        <v>100379270.52</v>
      </c>
      <c r="H68" s="1505">
        <f t="shared" ref="H68:U68" si="6">SUM(H64:H67)</f>
        <v>117161119.39</v>
      </c>
      <c r="I68" s="1505">
        <f t="shared" si="6"/>
        <v>159151227.73999998</v>
      </c>
      <c r="J68" s="1505">
        <f t="shared" si="6"/>
        <v>133138270.65000002</v>
      </c>
      <c r="K68" s="1505">
        <f t="shared" si="6"/>
        <v>106384290.24360722</v>
      </c>
      <c r="L68" s="1505">
        <f t="shared" si="6"/>
        <v>103038617.21722999</v>
      </c>
      <c r="M68" s="1505">
        <f t="shared" si="6"/>
        <v>109737912.32604267</v>
      </c>
      <c r="N68" s="1505">
        <f t="shared" si="6"/>
        <v>118156681.20030692</v>
      </c>
      <c r="O68" s="1505">
        <f t="shared" si="6"/>
        <v>143151334.14485851</v>
      </c>
      <c r="P68" s="1505">
        <f t="shared" si="6"/>
        <v>213119250.26379368</v>
      </c>
      <c r="Q68" s="1505">
        <f t="shared" si="6"/>
        <v>214803071.76733527</v>
      </c>
      <c r="R68" s="1505">
        <f t="shared" si="6"/>
        <v>224830035.01955739</v>
      </c>
      <c r="S68" s="1505">
        <f t="shared" si="6"/>
        <v>233090202.32355806</v>
      </c>
      <c r="T68" s="1505">
        <f t="shared" si="6"/>
        <v>246773925.28542536</v>
      </c>
      <c r="U68" s="1505">
        <f t="shared" si="6"/>
        <v>261644974.84113747</v>
      </c>
      <c r="V68" s="1483"/>
      <c r="W68" s="1483"/>
      <c r="X68" s="1463"/>
    </row>
    <row r="69" spans="1:24" ht="15.75" customHeight="1">
      <c r="A69" s="1360"/>
      <c r="B69" s="1463"/>
      <c r="C69" s="1476" t="e">
        <f>IF(D69="","",MAX(C$9:C68)+1)</f>
        <v>#N/A</v>
      </c>
      <c r="D69" s="1482" t="s">
        <v>753</v>
      </c>
      <c r="E69" s="1482"/>
      <c r="F69" s="1482"/>
      <c r="G69" s="1483">
        <f>'O&amp;M_Detail - Elec'!L164</f>
        <v>461071.88</v>
      </c>
      <c r="H69" s="1483">
        <f>'O&amp;M_Detail - Elec'!M164</f>
        <v>464652.82000000007</v>
      </c>
      <c r="I69" s="1483">
        <f>'O&amp;M_Detail - Elec'!N164</f>
        <v>405417.2</v>
      </c>
      <c r="J69" s="1483">
        <f>'O&amp;M_Detail - Elec'!O164</f>
        <v>418725.12</v>
      </c>
      <c r="K69" s="1483">
        <f>'O&amp;M_Detail - Elec'!P164</f>
        <v>455028.15503329912</v>
      </c>
      <c r="L69" s="1483">
        <f>'O&amp;M_Detail - Elec'!Q164</f>
        <v>502522.19229343906</v>
      </c>
      <c r="M69" s="1483">
        <f>'O&amp;M_Detail - Elec'!R164</f>
        <v>530303.82626700692</v>
      </c>
      <c r="N69" s="1483">
        <f>'O&amp;M_Detail - Elec'!S164</f>
        <v>543420.22634831513</v>
      </c>
      <c r="O69" s="1483">
        <f>'O&amp;M_Detail - Elec'!T164</f>
        <v>563438.85317375325</v>
      </c>
      <c r="P69" s="1483">
        <f>'O&amp;M_Detail - Elec'!U164</f>
        <v>577492.46389164461</v>
      </c>
      <c r="Q69" s="1483">
        <f>'O&amp;M_Detail - Elec'!V164</f>
        <v>592985.74542125559</v>
      </c>
      <c r="R69" s="1483">
        <f>'O&amp;M_Detail - Elec'!W164</f>
        <v>618120.2517056705</v>
      </c>
      <c r="S69" s="1483">
        <f>'O&amp;M_Detail - Elec'!X164</f>
        <v>635063.69790164474</v>
      </c>
      <c r="T69" s="1483">
        <f>'O&amp;M_Detail - Elec'!Y164</f>
        <v>653342.73910223681</v>
      </c>
      <c r="U69" s="1483">
        <f>'O&amp;M_Detail - Elec'!Z164</f>
        <v>683409.9654822906</v>
      </c>
      <c r="V69" s="1463"/>
    </row>
    <row r="70" spans="1:24" ht="15.75" customHeight="1">
      <c r="A70" s="1360"/>
      <c r="B70" s="1463"/>
      <c r="C70" s="1476" t="e">
        <f>IF(D70="","",MAX(C$9:C69)+1)</f>
        <v>#N/A</v>
      </c>
      <c r="D70" s="1482" t="s">
        <v>600</v>
      </c>
      <c r="E70" s="1482"/>
      <c r="F70" s="1482"/>
      <c r="G70" s="1483">
        <f>'O&amp;M_Detail - Elec'!L165</f>
        <v>6933438.7200000007</v>
      </c>
      <c r="H70" s="1483">
        <f>'O&amp;M_Detail - Elec'!M165</f>
        <v>6271196.5999999996</v>
      </c>
      <c r="I70" s="1483">
        <f>'O&amp;M_Detail - Elec'!N165</f>
        <v>4721334.16</v>
      </c>
      <c r="J70" s="1483">
        <f>'O&amp;M_Detail - Elec'!O165</f>
        <v>8075510.46</v>
      </c>
      <c r="K70" s="1483">
        <f>'O&amp;M_Detail - Elec'!P165</f>
        <v>2566753.9179197438</v>
      </c>
      <c r="L70" s="1483">
        <f>'O&amp;M_Detail - Elec'!Q165</f>
        <v>2751826.7140462874</v>
      </c>
      <c r="M70" s="1483">
        <f>'O&amp;M_Detail - Elec'!R165</f>
        <v>2895166.6470514582</v>
      </c>
      <c r="N70" s="1483">
        <f>'O&amp;M_Detail - Elec'!S165</f>
        <v>2977280.9494048376</v>
      </c>
      <c r="O70" s="1483">
        <f>'O&amp;M_Detail - Elec'!T165</f>
        <v>3091418.9213395794</v>
      </c>
      <c r="P70" s="1483">
        <f>'O&amp;M_Detail - Elec'!U165</f>
        <v>3177710.5344355055</v>
      </c>
      <c r="Q70" s="1483">
        <f>'O&amp;M_Detail - Elec'!V165</f>
        <v>3274249.7984641865</v>
      </c>
      <c r="R70" s="1483">
        <f>'O&amp;M_Detail - Elec'!W165</f>
        <v>3416477.7732745847</v>
      </c>
      <c r="S70" s="1483">
        <f>'O&amp;M_Detail - Elec'!X165</f>
        <v>3520467.8803847791</v>
      </c>
      <c r="T70" s="1483">
        <f>'O&amp;M_Detail - Elec'!Y165</f>
        <v>3632351.8566670059</v>
      </c>
      <c r="U70" s="1483">
        <f>'O&amp;M_Detail - Elec'!Z165</f>
        <v>3801447.4401745857</v>
      </c>
      <c r="V70" s="1463"/>
    </row>
    <row r="71" spans="1:24" ht="15.75" customHeight="1">
      <c r="A71" s="1360"/>
      <c r="B71" s="1463"/>
      <c r="C71" s="1476" t="e">
        <f>IF(D71="","",MAX(C$9:C70)+1)</f>
        <v>#N/A</v>
      </c>
      <c r="D71" s="1482" t="s">
        <v>601</v>
      </c>
      <c r="E71" s="1482"/>
      <c r="F71" s="1482"/>
      <c r="G71" s="1483">
        <f>'O&amp;M_Detail - Elec'!L166+'O&amp;M_Detail - Elec'!L167</f>
        <v>13430163.57</v>
      </c>
      <c r="H71" s="1483">
        <f>'O&amp;M_Detail - Elec'!M166+'O&amp;M_Detail - Elec'!M167</f>
        <v>15271779.120000001</v>
      </c>
      <c r="I71" s="1483">
        <f>'O&amp;M_Detail - Elec'!N166+'O&amp;M_Detail - Elec'!N167</f>
        <v>14625271.010000002</v>
      </c>
      <c r="J71" s="1483">
        <f>'O&amp;M_Detail - Elec'!O166+'O&amp;M_Detail - Elec'!O167</f>
        <v>13903667.529999999</v>
      </c>
      <c r="K71" s="1483">
        <f>'O&amp;M_Detail - Elec'!P166+'O&amp;M_Detail - Elec'!P167</f>
        <v>13374530.556853719</v>
      </c>
      <c r="L71" s="1483">
        <f>'O&amp;M_Detail - Elec'!Q166+'O&amp;M_Detail - Elec'!Q167</f>
        <v>14732458.858004173</v>
      </c>
      <c r="M71" s="1483">
        <f>'O&amp;M_Detail - Elec'!R166+'O&amp;M_Detail - Elec'!R167</f>
        <v>15517677.528446738</v>
      </c>
      <c r="N71" s="1483">
        <f>'O&amp;M_Detail - Elec'!S166+'O&amp;M_Detail - Elec'!S167</f>
        <v>15882420.172470961</v>
      </c>
      <c r="O71" s="1483">
        <f>'O&amp;M_Detail - Elec'!T166+'O&amp;M_Detail - Elec'!T167</f>
        <v>16471212.033784516</v>
      </c>
      <c r="P71" s="1483">
        <f>'O&amp;M_Detail - Elec'!U166+'O&amp;M_Detail - Elec'!U167</f>
        <v>16820601.784516007</v>
      </c>
      <c r="Q71" s="1483">
        <f>'O&amp;M_Detail - Elec'!V166+'O&amp;M_Detail - Elec'!V167</f>
        <v>17262032.579929501</v>
      </c>
      <c r="R71" s="1483">
        <f>'O&amp;M_Detail - Elec'!W166+'O&amp;M_Detail - Elec'!W167</f>
        <v>18039491.139086608</v>
      </c>
      <c r="S71" s="1483">
        <f>'O&amp;M_Detail - Elec'!X166+'O&amp;M_Detail - Elec'!X167</f>
        <v>18493525.052538324</v>
      </c>
      <c r="T71" s="1483">
        <f>'O&amp;M_Detail - Elec'!Y166+'O&amp;M_Detail - Elec'!Y167</f>
        <v>18998187.84503172</v>
      </c>
      <c r="U71" s="1483">
        <f>'O&amp;M_Detail - Elec'!Z166+'O&amp;M_Detail - Elec'!Z167</f>
        <v>19940275.70607635</v>
      </c>
      <c r="V71" s="1463"/>
    </row>
    <row r="72" spans="1:24" ht="15.75" customHeight="1">
      <c r="A72" s="1360"/>
      <c r="B72" s="1463"/>
      <c r="C72" s="1476" t="e">
        <f>IF(D72="","",MAX(C$9:C71)+1)</f>
        <v>#N/A</v>
      </c>
      <c r="D72" s="1482" t="s">
        <v>376</v>
      </c>
      <c r="E72" s="1482"/>
      <c r="F72" s="1482"/>
      <c r="G72" s="1483">
        <f>'O&amp;M_Detail - Elec'!L168</f>
        <v>6803630.3599999994</v>
      </c>
      <c r="H72" s="1483">
        <f>'O&amp;M_Detail - Elec'!M168</f>
        <v>7318047.2800000003</v>
      </c>
      <c r="I72" s="1483">
        <f>'O&amp;M_Detail - Elec'!N168</f>
        <v>7109752.8799999999</v>
      </c>
      <c r="J72" s="1483">
        <f>'O&amp;M_Detail - Elec'!O168</f>
        <v>6850413.0599999996</v>
      </c>
      <c r="K72" s="1483">
        <f>'O&amp;M_Detail - Elec'!P168</f>
        <v>8031695.6079924935</v>
      </c>
      <c r="L72" s="1483">
        <f>'O&amp;M_Detail - Elec'!Q168</f>
        <v>8770846.2548130881</v>
      </c>
      <c r="M72" s="1483">
        <f>'O&amp;M_Detail - Elec'!R168</f>
        <v>9179493.7004864793</v>
      </c>
      <c r="N72" s="1483">
        <f>'O&amp;M_Detail - Elec'!S168</f>
        <v>9356845.7757435367</v>
      </c>
      <c r="O72" s="1483">
        <f>'O&amp;M_Detail - Elec'!T168</f>
        <v>9711208.7877193484</v>
      </c>
      <c r="P72" s="1483">
        <f>'O&amp;M_Detail - Elec'!U168</f>
        <v>9793303.890052693</v>
      </c>
      <c r="Q72" s="1483">
        <f>'O&amp;M_Detail - Elec'!V168</f>
        <v>10030396.694008408</v>
      </c>
      <c r="R72" s="1483">
        <f>'O&amp;M_Detail - Elec'!W168</f>
        <v>10574863.577084396</v>
      </c>
      <c r="S72" s="1483">
        <f>'O&amp;M_Detail - Elec'!X168</f>
        <v>10759316.518980984</v>
      </c>
      <c r="T72" s="1483">
        <f>'O&amp;M_Detail - Elec'!Y168</f>
        <v>10996980.162808452</v>
      </c>
      <c r="U72" s="1483">
        <f>'O&amp;M_Detail - Elec'!Z168</f>
        <v>11679705.194819774</v>
      </c>
      <c r="V72" s="1463"/>
    </row>
    <row r="73" spans="1:24" ht="15.75" customHeight="1">
      <c r="A73" s="1360"/>
      <c r="B73" s="1463"/>
      <c r="C73" s="1476" t="e">
        <f>IF(D73="","",MAX(C$9:C72)+1)</f>
        <v>#N/A</v>
      </c>
      <c r="D73" s="1482" t="s">
        <v>288</v>
      </c>
      <c r="E73" s="1482"/>
      <c r="F73" s="1482"/>
      <c r="G73" s="1483">
        <f>'O&amp;M_Detail - Elec'!L169</f>
        <v>1279812.9400000002</v>
      </c>
      <c r="H73" s="1483">
        <f>'O&amp;M_Detail - Elec'!M169</f>
        <v>1469685.6</v>
      </c>
      <c r="I73" s="1483">
        <f>'O&amp;M_Detail - Elec'!N169</f>
        <v>1297662.7</v>
      </c>
      <c r="J73" s="1483">
        <f>'O&amp;M_Detail - Elec'!O169</f>
        <v>1280121.67</v>
      </c>
      <c r="K73" s="1483">
        <f>'O&amp;M_Detail - Elec'!P169</f>
        <v>1587465.3423760985</v>
      </c>
      <c r="L73" s="1483">
        <f>'O&amp;M_Detail - Elec'!Q169</f>
        <v>1739382.8247952205</v>
      </c>
      <c r="M73" s="1483">
        <f>'O&amp;M_Detail - Elec'!R169</f>
        <v>1824952.0116274948</v>
      </c>
      <c r="N73" s="1483">
        <f>'O&amp;M_Detail - Elec'!S169</f>
        <v>1863186.9450650269</v>
      </c>
      <c r="O73" s="1483">
        <f>'O&amp;M_Detail - Elec'!T169</f>
        <v>1933167.2405346793</v>
      </c>
      <c r="P73" s="1483">
        <f>'O&amp;M_Detail - Elec'!U169</f>
        <v>1959140.9308490793</v>
      </c>
      <c r="Q73" s="1483">
        <f>'O&amp;M_Detail - Elec'!V169</f>
        <v>2008138.9780987659</v>
      </c>
      <c r="R73" s="1483">
        <f>'O&amp;M_Detail - Elec'!W169</f>
        <v>2109831.5794569179</v>
      </c>
      <c r="S73" s="1483">
        <f>'O&amp;M_Detail - Elec'!X169</f>
        <v>2153020.4127162546</v>
      </c>
      <c r="T73" s="1483">
        <f>'O&amp;M_Detail - Elec'!Y169</f>
        <v>2204985.7331777783</v>
      </c>
      <c r="U73" s="1483">
        <f>'O&amp;M_Detail - Elec'!Z169</f>
        <v>2330998.4928866625</v>
      </c>
      <c r="V73" s="1463"/>
    </row>
    <row r="74" spans="1:24" ht="18">
      <c r="A74" s="1360"/>
      <c r="B74" s="1463"/>
      <c r="C74" s="1476" t="e">
        <f>IF(D74="","",MAX(C$9:C73)+1)</f>
        <v>#N/A</v>
      </c>
      <c r="D74" s="1482" t="s">
        <v>377</v>
      </c>
      <c r="E74" s="1482"/>
      <c r="F74" s="1482"/>
      <c r="G74" s="1485">
        <f>'O&amp;M_Detail - Elec'!L170</f>
        <v>11142625.050000001</v>
      </c>
      <c r="H74" s="1485">
        <f>'O&amp;M_Detail - Elec'!M170</f>
        <v>11819895.349999998</v>
      </c>
      <c r="I74" s="1485">
        <f>'O&amp;M_Detail - Elec'!N170</f>
        <v>12235955.66</v>
      </c>
      <c r="J74" s="1485">
        <f>'O&amp;M_Detail - Elec'!O170</f>
        <v>13760308.120000001</v>
      </c>
      <c r="K74" s="1485">
        <f>'O&amp;M_Detail - Elec'!P170</f>
        <v>16093361.551131595</v>
      </c>
      <c r="L74" s="1485">
        <f>'O&amp;M_Detail - Elec'!Q170</f>
        <v>17645876.315125987</v>
      </c>
      <c r="M74" s="1485">
        <f>'O&amp;M_Detail - Elec'!R170</f>
        <v>18523584.669170365</v>
      </c>
      <c r="N74" s="1485">
        <f>'O&amp;M_Detail - Elec'!S170</f>
        <v>18917980.143920753</v>
      </c>
      <c r="O74" s="1485">
        <f>'O&amp;M_Detail - Elec'!T170</f>
        <v>19627297.458039869</v>
      </c>
      <c r="P74" s="1485">
        <f>'O&amp;M_Detail - Elec'!U170</f>
        <v>19911382.254342586</v>
      </c>
      <c r="Q74" s="1485">
        <f>'O&amp;M_Detail - Elec'!V170</f>
        <v>20412665.865144849</v>
      </c>
      <c r="R74" s="1485">
        <f>'O&amp;M_Detail - Elec'!W170</f>
        <v>21430985.531307399</v>
      </c>
      <c r="S74" s="1485">
        <f>'O&amp;M_Detail - Elec'!X170</f>
        <v>21883167.474369351</v>
      </c>
      <c r="T74" s="1485">
        <f>'O&amp;M_Detail - Elec'!Y170</f>
        <v>22420614.67173573</v>
      </c>
      <c r="U74" s="1485">
        <f>'O&amp;M_Detail - Elec'!Z170</f>
        <v>23679080.360316493</v>
      </c>
      <c r="V74" s="1463"/>
    </row>
    <row r="75" spans="1:24" ht="15.75" customHeight="1">
      <c r="A75" s="1360"/>
      <c r="B75" s="1463"/>
      <c r="C75" s="1476" t="e">
        <f>IF(D75="","",MAX(C$9:C74)+1)</f>
        <v>#N/A</v>
      </c>
      <c r="D75" s="1493" t="s">
        <v>714</v>
      </c>
      <c r="E75" s="1493"/>
      <c r="F75" s="1493"/>
      <c r="G75" s="1483">
        <f t="shared" ref="G75:U75" si="7">SUM(G68:G74)</f>
        <v>140430013.03999999</v>
      </c>
      <c r="H75" s="1483">
        <f t="shared" si="7"/>
        <v>159776376.15999997</v>
      </c>
      <c r="I75" s="1483">
        <f t="shared" si="7"/>
        <v>199546621.34999993</v>
      </c>
      <c r="J75" s="1483">
        <f t="shared" si="7"/>
        <v>177427016.61000001</v>
      </c>
      <c r="K75" s="1483">
        <f t="shared" si="7"/>
        <v>148493125.37491417</v>
      </c>
      <c r="L75" s="1483">
        <f t="shared" si="7"/>
        <v>149181530.37630817</v>
      </c>
      <c r="M75" s="1483">
        <f t="shared" si="7"/>
        <v>158209090.7090922</v>
      </c>
      <c r="N75" s="1483">
        <f>SUM(N68:N74)</f>
        <v>167697815.41326034</v>
      </c>
      <c r="O75" s="1483">
        <f t="shared" si="7"/>
        <v>194549077.43945026</v>
      </c>
      <c r="P75" s="1483">
        <f t="shared" si="7"/>
        <v>265358882.12188122</v>
      </c>
      <c r="Q75" s="1483">
        <f t="shared" si="7"/>
        <v>268383541.42840225</v>
      </c>
      <c r="R75" s="1483">
        <f t="shared" si="7"/>
        <v>281019804.87147295</v>
      </c>
      <c r="S75" s="1483">
        <f t="shared" si="7"/>
        <v>290534763.36044937</v>
      </c>
      <c r="T75" s="1483">
        <f t="shared" si="7"/>
        <v>305680388.29394829</v>
      </c>
      <c r="U75" s="1483">
        <f t="shared" si="7"/>
        <v>323759892.00089359</v>
      </c>
      <c r="V75" s="1463"/>
    </row>
    <row r="76" spans="1:24" ht="15.75" customHeight="1">
      <c r="A76" s="1360"/>
      <c r="B76" s="1463"/>
      <c r="C76" s="1476" t="str">
        <f>IF(D76="","",MAX(C$9:C75)+1)</f>
        <v/>
      </c>
      <c r="D76" s="1480"/>
      <c r="E76" s="1480"/>
      <c r="F76" s="1480"/>
      <c r="G76" s="1483"/>
      <c r="H76" s="1483"/>
      <c r="I76" s="1483"/>
      <c r="J76" s="1483"/>
      <c r="K76" s="1483"/>
      <c r="L76" s="1483"/>
      <c r="M76" s="1483"/>
      <c r="N76" s="1483"/>
      <c r="O76" s="1483"/>
      <c r="P76" s="1483"/>
      <c r="Q76" s="1483"/>
      <c r="R76" s="1483"/>
      <c r="S76" s="1483"/>
      <c r="T76" s="1483"/>
      <c r="U76" s="1483"/>
      <c r="V76" s="1463"/>
    </row>
    <row r="77" spans="1:24" ht="15.75" customHeight="1">
      <c r="A77" s="1360"/>
      <c r="B77" s="1463"/>
      <c r="C77" s="1476" t="e">
        <f>IF(D77="","",MAX(C$9:C76)+1)</f>
        <v>#N/A</v>
      </c>
      <c r="D77" s="1489" t="s">
        <v>715</v>
      </c>
      <c r="E77" s="1489"/>
      <c r="F77" s="1489"/>
      <c r="G77" s="1483">
        <f t="shared" ref="G77:U77" si="8">G60-G75</f>
        <v>74278678.656907439</v>
      </c>
      <c r="H77" s="1483">
        <f t="shared" si="8"/>
        <v>86289777.033543706</v>
      </c>
      <c r="I77" s="1483">
        <f t="shared" si="8"/>
        <v>73774451.328509837</v>
      </c>
      <c r="J77" s="1483">
        <f t="shared" si="8"/>
        <v>100574421.67856956</v>
      </c>
      <c r="K77" s="1483">
        <f t="shared" si="8"/>
        <v>109612174.24633387</v>
      </c>
      <c r="L77" s="1483">
        <f t="shared" si="8"/>
        <v>98329650.528511345</v>
      </c>
      <c r="M77" s="1483">
        <f t="shared" si="8"/>
        <v>102006683.03590572</v>
      </c>
      <c r="N77" s="1483">
        <f t="shared" si="8"/>
        <v>115890997.06669539</v>
      </c>
      <c r="O77" s="1483">
        <f t="shared" si="8"/>
        <v>113409550.66978437</v>
      </c>
      <c r="P77" s="1483">
        <f t="shared" si="8"/>
        <v>121321705.27535644</v>
      </c>
      <c r="Q77" s="1483">
        <f t="shared" si="8"/>
        <v>141432756.85429186</v>
      </c>
      <c r="R77" s="1483">
        <f t="shared" si="8"/>
        <v>146630603.01468313</v>
      </c>
      <c r="S77" s="1483">
        <f>S60-S75</f>
        <v>159155254.93284827</v>
      </c>
      <c r="T77" s="1483">
        <f t="shared" si="8"/>
        <v>160291403.46287209</v>
      </c>
      <c r="U77" s="1483">
        <f t="shared" si="8"/>
        <v>165429573.43926239</v>
      </c>
      <c r="V77" s="1463"/>
    </row>
    <row r="78" spans="1:24" ht="15.75" customHeight="1">
      <c r="A78" s="1360"/>
      <c r="B78" s="1463"/>
      <c r="C78" s="1476" t="str">
        <f>IF(D78="","",MAX(C$9:C77)+1)</f>
        <v/>
      </c>
      <c r="D78" s="1482"/>
      <c r="E78" s="1482"/>
      <c r="F78" s="1482"/>
      <c r="G78" s="1483"/>
      <c r="H78" s="1483"/>
      <c r="I78" s="1483"/>
      <c r="J78" s="1483"/>
      <c r="K78" s="1483"/>
      <c r="L78" s="1483"/>
      <c r="M78" s="1483"/>
      <c r="N78" s="1483"/>
      <c r="O78" s="1483"/>
      <c r="P78" s="1483"/>
      <c r="Q78" s="1483"/>
      <c r="R78" s="1483"/>
      <c r="S78" s="1483"/>
      <c r="T78" s="1483"/>
      <c r="U78" s="1483"/>
      <c r="V78" s="1463"/>
    </row>
    <row r="79" spans="1:24" ht="15.75" customHeight="1">
      <c r="A79" s="1360"/>
      <c r="B79" s="1463"/>
      <c r="C79" s="1476" t="e">
        <f>IF(D79="","",MAX(C$9:C78)+1)</f>
        <v>#N/A</v>
      </c>
      <c r="D79" s="1491" t="s">
        <v>614</v>
      </c>
      <c r="E79" s="1491"/>
      <c r="F79" s="1491"/>
      <c r="G79" s="1483"/>
      <c r="H79" s="1483"/>
      <c r="I79" s="1483"/>
      <c r="J79" s="1483"/>
      <c r="K79" s="1483"/>
      <c r="L79" s="1483"/>
      <c r="M79" s="1483"/>
      <c r="N79" s="1483"/>
      <c r="O79" s="1483"/>
      <c r="P79" s="1483"/>
      <c r="Q79" s="1483"/>
      <c r="R79" s="1483"/>
      <c r="S79" s="1483"/>
      <c r="T79" s="1483"/>
      <c r="U79" s="1483"/>
      <c r="V79" s="1463"/>
    </row>
    <row r="80" spans="1:24" ht="15.75" customHeight="1">
      <c r="A80" s="1360"/>
      <c r="B80" s="1463"/>
      <c r="C80" s="1476" t="e">
        <f>IF(D80="","",MAX(C$9:C79)+1)</f>
        <v>#N/A</v>
      </c>
      <c r="D80" s="1482" t="s">
        <v>573</v>
      </c>
      <c r="E80" s="1482"/>
      <c r="F80" s="1482"/>
      <c r="G80" s="1483">
        <f>'Debt_Sum - Elec'!J92</f>
        <v>18179231.259999998</v>
      </c>
      <c r="H80" s="1483">
        <f>'Debt_Sum - Elec'!K92</f>
        <v>18007381.259999998</v>
      </c>
      <c r="I80" s="1483">
        <f>'Debt_Sum - Elec'!L92</f>
        <v>12152044.449999981</v>
      </c>
      <c r="J80" s="1483">
        <f>'Debt_Sum - Elec'!M92</f>
        <v>8291478.4299999997</v>
      </c>
      <c r="K80" s="1483">
        <f>'Debt_Sum - Elec'!N92</f>
        <v>7143831.2599999802</v>
      </c>
      <c r="L80" s="1483">
        <f>'Debt_Sum - Elec'!O92</f>
        <v>7143831.2599999802</v>
      </c>
      <c r="M80" s="1483">
        <f>'Debt_Sum - Elec'!P92</f>
        <v>7143831.2599999802</v>
      </c>
      <c r="N80" s="1483">
        <f>'Debt_Sum - Elec'!Q92</f>
        <v>21200956.259999979</v>
      </c>
      <c r="O80" s="1483">
        <f>'Debt_Sum - Elec'!R92</f>
        <v>21186331.259999979</v>
      </c>
      <c r="P80" s="1483">
        <f>'Debt_Sum - Elec'!S92</f>
        <v>21167956.259999979</v>
      </c>
      <c r="Q80" s="1483">
        <f>'Debt_Sum - Elec'!T92</f>
        <v>21151931.25999999</v>
      </c>
      <c r="R80" s="1483">
        <f>'Debt_Sum - Elec'!U92</f>
        <v>18736480.945051692</v>
      </c>
      <c r="S80" s="1483">
        <f>'Debt_Sum - Elec'!V92</f>
        <v>4720759.0671651904</v>
      </c>
      <c r="T80" s="1483">
        <f>'Debt_Sum - Elec'!W92</f>
        <v>3927060.0943969074</v>
      </c>
      <c r="U80" s="1483">
        <f>'Debt_Sum - Elec'!X92</f>
        <v>3061645.7122670086</v>
      </c>
      <c r="V80" s="1463"/>
    </row>
    <row r="81" spans="1:22" ht="15.75" customHeight="1">
      <c r="A81" s="1360"/>
      <c r="B81" s="1463"/>
      <c r="C81" s="1476" t="e">
        <f>IF(D81="","",MAX(C$9:C80)+1)</f>
        <v>#N/A</v>
      </c>
      <c r="D81" s="1482" t="s">
        <v>2656</v>
      </c>
      <c r="E81" s="1482"/>
      <c r="F81" s="1482"/>
      <c r="G81" s="1483"/>
      <c r="H81" s="1483"/>
      <c r="I81" s="1483">
        <f>Dashboard!G19</f>
        <v>0</v>
      </c>
      <c r="J81" s="1483">
        <f>Dashboard!H19</f>
        <v>0</v>
      </c>
      <c r="K81" s="1483">
        <f>Dashboard!I19</f>
        <v>0</v>
      </c>
      <c r="L81" s="1483">
        <f>Dashboard!J19</f>
        <v>0</v>
      </c>
      <c r="M81" s="1483">
        <f>Dashboard!K19</f>
        <v>0</v>
      </c>
      <c r="N81" s="1483">
        <f>Dashboard!L19</f>
        <v>0</v>
      </c>
      <c r="O81" s="1483">
        <f>Dashboard!M19</f>
        <v>0</v>
      </c>
      <c r="P81" s="1483">
        <f>Dashboard!N19</f>
        <v>0</v>
      </c>
      <c r="Q81" s="1483">
        <f>Dashboard!O19</f>
        <v>0</v>
      </c>
      <c r="R81" s="1483">
        <f>Dashboard!P19</f>
        <v>0</v>
      </c>
      <c r="S81" s="1483">
        <f>Dashboard!Q19</f>
        <v>0</v>
      </c>
      <c r="T81" s="1483">
        <f>Dashboard!R19</f>
        <v>0</v>
      </c>
      <c r="U81" s="1483">
        <f>Dashboard!S19</f>
        <v>0</v>
      </c>
      <c r="V81" s="1463"/>
    </row>
    <row r="82" spans="1:22" ht="15.75" customHeight="1">
      <c r="A82" s="1360"/>
      <c r="B82" s="1463"/>
      <c r="C82" s="1476" t="e">
        <f>IF(D82="","",MAX(C$9:C81)+1)</f>
        <v>#N/A</v>
      </c>
      <c r="D82" s="1482" t="s">
        <v>484</v>
      </c>
      <c r="E82" s="1482"/>
      <c r="F82" s="1482"/>
      <c r="G82" s="1485">
        <f>'Debt_Sum - Elec'!J58</f>
        <v>0</v>
      </c>
      <c r="H82" s="1485">
        <f>'Debt_Sum - Elec'!K58</f>
        <v>0</v>
      </c>
      <c r="I82" s="1485">
        <f>'Debt_Sum - Elec'!L58</f>
        <v>0</v>
      </c>
      <c r="J82" s="1485">
        <f>'Debt_Sum - Elec'!M58</f>
        <v>1262500</v>
      </c>
      <c r="K82" s="1485">
        <f>'Debt_Sum - Elec'!N58</f>
        <v>1262500</v>
      </c>
      <c r="L82" s="1485">
        <f>'Debt_Sum - Elec'!O58</f>
        <v>2525000</v>
      </c>
      <c r="M82" s="1485">
        <f>'Debt_Sum - Elec'!P58</f>
        <v>3787500</v>
      </c>
      <c r="N82" s="1485">
        <f>'Debt_Sum - Elec'!Q58</f>
        <v>3787500</v>
      </c>
      <c r="O82" s="1485">
        <f>'Debt_Sum - Elec'!R58</f>
        <v>3787500</v>
      </c>
      <c r="P82" s="1485">
        <f>'Debt_Sum - Elec'!S58</f>
        <v>3787500</v>
      </c>
      <c r="Q82" s="1485">
        <f>'Debt_Sum - Elec'!T58</f>
        <v>3787500</v>
      </c>
      <c r="R82" s="1485">
        <f>'Debt_Sum - Elec'!U58</f>
        <v>3787500</v>
      </c>
      <c r="S82" s="1485">
        <f>'Debt_Sum - Elec'!V58</f>
        <v>3787500</v>
      </c>
      <c r="T82" s="1485">
        <f>'Debt_Sum - Elec'!W58</f>
        <v>3787500</v>
      </c>
      <c r="U82" s="1485">
        <f>'Debt_Sum - Elec'!X58</f>
        <v>3787500</v>
      </c>
      <c r="V82" s="1463"/>
    </row>
    <row r="83" spans="1:22" ht="15.75" customHeight="1">
      <c r="A83" s="1360"/>
      <c r="B83" s="1463"/>
      <c r="C83" s="1476" t="e">
        <f>IF(D83="","",MAX(C$9:C82)+1)</f>
        <v>#N/A</v>
      </c>
      <c r="D83" s="1493" t="s">
        <v>615</v>
      </c>
      <c r="E83" s="1493"/>
      <c r="F83" s="1493"/>
      <c r="G83" s="1483">
        <f t="shared" ref="G83:U83" si="9">SUM(G80:G82)</f>
        <v>18179231.259999998</v>
      </c>
      <c r="H83" s="1483">
        <f t="shared" si="9"/>
        <v>18007381.259999998</v>
      </c>
      <c r="I83" s="1483">
        <f t="shared" si="9"/>
        <v>12152044.449999981</v>
      </c>
      <c r="J83" s="1483">
        <f t="shared" si="9"/>
        <v>9553978.4299999997</v>
      </c>
      <c r="K83" s="1483">
        <f t="shared" si="9"/>
        <v>8406331.2599999793</v>
      </c>
      <c r="L83" s="1483">
        <f t="shared" si="9"/>
        <v>9668831.2599999793</v>
      </c>
      <c r="M83" s="1483">
        <f t="shared" si="9"/>
        <v>10931331.259999979</v>
      </c>
      <c r="N83" s="1483">
        <f t="shared" si="9"/>
        <v>24988456.259999979</v>
      </c>
      <c r="O83" s="1483">
        <f t="shared" si="9"/>
        <v>24973831.259999979</v>
      </c>
      <c r="P83" s="1483">
        <f t="shared" si="9"/>
        <v>24955456.259999979</v>
      </c>
      <c r="Q83" s="1483">
        <f t="shared" si="9"/>
        <v>24939431.25999999</v>
      </c>
      <c r="R83" s="1483">
        <f t="shared" si="9"/>
        <v>22523980.945051692</v>
      </c>
      <c r="S83" s="1483">
        <f t="shared" si="9"/>
        <v>8508259.0671651904</v>
      </c>
      <c r="T83" s="1483">
        <f t="shared" si="9"/>
        <v>7714560.0943969078</v>
      </c>
      <c r="U83" s="1483">
        <f t="shared" si="9"/>
        <v>6849145.7122670086</v>
      </c>
      <c r="V83" s="1463"/>
    </row>
    <row r="84" spans="1:22" ht="15.75" customHeight="1">
      <c r="A84" s="1360"/>
      <c r="B84" s="1463"/>
      <c r="C84" s="1476" t="str">
        <f>IF(D84="","",MAX(C$9:C83)+1)</f>
        <v/>
      </c>
      <c r="D84" s="1482"/>
      <c r="E84" s="1482"/>
      <c r="F84" s="1482"/>
      <c r="G84" s="1483"/>
      <c r="H84" s="1483"/>
      <c r="I84" s="1483"/>
      <c r="J84" s="1483"/>
      <c r="K84" s="1483"/>
      <c r="L84" s="1483"/>
      <c r="M84" s="1483"/>
      <c r="N84" s="1483"/>
      <c r="O84" s="1483"/>
      <c r="P84" s="1483"/>
      <c r="Q84" s="1483"/>
      <c r="R84" s="1483"/>
      <c r="S84" s="1483"/>
      <c r="T84" s="1483"/>
      <c r="U84" s="1483"/>
      <c r="V84" s="1463"/>
    </row>
    <row r="85" spans="1:22" ht="15.75" customHeight="1">
      <c r="A85" s="1360"/>
      <c r="B85" s="1463"/>
      <c r="C85" s="1476" t="e">
        <f>IF(D85="","",MAX(C$9:C84)+1)</f>
        <v>#N/A</v>
      </c>
      <c r="D85" s="1482" t="s">
        <v>481</v>
      </c>
      <c r="E85" s="1482"/>
      <c r="F85" s="1482"/>
      <c r="G85" s="1483">
        <f t="shared" ref="G85:U85" si="10">G77-G83</f>
        <v>56099447.396907441</v>
      </c>
      <c r="H85" s="1483">
        <f t="shared" si="10"/>
        <v>68282395.773543715</v>
      </c>
      <c r="I85" s="1483">
        <f t="shared" si="10"/>
        <v>61622406.878509857</v>
      </c>
      <c r="J85" s="1483">
        <f t="shared" si="10"/>
        <v>91020443.248569548</v>
      </c>
      <c r="K85" s="1483">
        <f t="shared" si="10"/>
        <v>101205842.98633389</v>
      </c>
      <c r="L85" s="1483">
        <f t="shared" si="10"/>
        <v>88660819.26851137</v>
      </c>
      <c r="M85" s="1483">
        <f t="shared" si="10"/>
        <v>91075351.775905743</v>
      </c>
      <c r="N85" s="1483">
        <f t="shared" si="10"/>
        <v>90902540.806695417</v>
      </c>
      <c r="O85" s="1483">
        <f t="shared" si="10"/>
        <v>88435719.409784392</v>
      </c>
      <c r="P85" s="1483">
        <f t="shared" si="10"/>
        <v>96366249.015356466</v>
      </c>
      <c r="Q85" s="1483">
        <f t="shared" si="10"/>
        <v>116493325.59429187</v>
      </c>
      <c r="R85" s="1483">
        <f t="shared" si="10"/>
        <v>124106622.06963143</v>
      </c>
      <c r="S85" s="1483">
        <f>S77-S83</f>
        <v>150646995.86568308</v>
      </c>
      <c r="T85" s="1483">
        <f t="shared" si="10"/>
        <v>152576843.36847517</v>
      </c>
      <c r="U85" s="1483">
        <f t="shared" si="10"/>
        <v>158580427.72699538</v>
      </c>
      <c r="V85" s="1463"/>
    </row>
    <row r="86" spans="1:22" ht="15.75" customHeight="1">
      <c r="A86" s="1360"/>
      <c r="B86" s="1463"/>
      <c r="C86" s="1476" t="str">
        <f>IF(D86="","",MAX(C$9:C85)+1)</f>
        <v/>
      </c>
      <c r="D86" s="1480"/>
      <c r="E86" s="1480"/>
      <c r="F86" s="1480"/>
      <c r="G86" s="1483"/>
      <c r="H86" s="1483"/>
      <c r="I86" s="1483"/>
      <c r="J86" s="1483"/>
      <c r="K86" s="1483"/>
      <c r="L86" s="1483"/>
      <c r="M86" s="1483"/>
      <c r="N86" s="1483"/>
      <c r="O86" s="1483"/>
      <c r="P86" s="1483"/>
      <c r="Q86" s="1483"/>
      <c r="R86" s="1483"/>
      <c r="S86" s="1483"/>
      <c r="T86" s="1483"/>
      <c r="U86" s="1483"/>
      <c r="V86" s="1463"/>
    </row>
    <row r="87" spans="1:22" ht="15.75" customHeight="1">
      <c r="A87" s="1360"/>
      <c r="B87" s="1463"/>
      <c r="C87" s="1476" t="e">
        <f>IF(D87="","",MAX(C$9:C86)+1)</f>
        <v>#N/A</v>
      </c>
      <c r="D87" s="1480" t="s">
        <v>135</v>
      </c>
      <c r="E87" s="1480"/>
      <c r="F87" s="1480"/>
      <c r="G87" s="1490"/>
      <c r="H87" s="1490"/>
      <c r="I87" s="1490"/>
      <c r="J87" s="1532"/>
      <c r="K87" s="1532"/>
      <c r="L87" s="1532"/>
      <c r="M87" s="1532"/>
      <c r="N87" s="1490"/>
      <c r="O87" s="1490"/>
      <c r="P87" s="1490"/>
      <c r="Q87" s="1490"/>
      <c r="R87" s="1490"/>
      <c r="S87" s="1490"/>
      <c r="T87" s="1490"/>
      <c r="U87" s="1490"/>
      <c r="V87" s="1463"/>
    </row>
    <row r="88" spans="1:22" ht="15.75" customHeight="1">
      <c r="A88" s="1360"/>
      <c r="B88" s="1463"/>
      <c r="C88" s="1476" t="e">
        <f>IF(D88="","",MAX(C$9:C87)+1)</f>
        <v>#N/A</v>
      </c>
      <c r="D88" s="1401" t="s">
        <v>843</v>
      </c>
      <c r="E88" s="1401"/>
      <c r="F88" s="1401"/>
      <c r="G88" s="1483">
        <f>INDEX('Lead Sheet 2015'!$C$876:$I$876,1,MATCH(G$7,'Lead Sheet 2015'!$C$618:$I$618,0))</f>
        <v>10442675.130000001</v>
      </c>
      <c r="H88" s="1483">
        <f>INDEX('Lead Sheet 2015'!$C$876:$I$876,1,MATCH(H$7,'Lead Sheet 2015'!$C$618:$I$618,0))</f>
        <v>11776457.59</v>
      </c>
      <c r="I88" s="1483">
        <f>INDEX('Lead Sheet 2015'!$C$876:$I$876,1,MATCH(I$7,'Lead Sheet 2015'!$C$618:$I$618,0))</f>
        <v>12192740.140000001</v>
      </c>
      <c r="J88" s="1483">
        <f>INDEX('Lead Sheet 2015'!$C$876:$I$876,1,MATCH(J$7,'Lead Sheet 2015'!$C$618:$I$618,0))</f>
        <v>13646063.579999996</v>
      </c>
      <c r="K88" s="1483">
        <f>'Other Taxes'!I19</f>
        <v>13539431.041859569</v>
      </c>
      <c r="L88" s="1483">
        <f>'Other Taxes'!J19</f>
        <v>14218841.996213386</v>
      </c>
      <c r="M88" s="1483">
        <f>'Other Taxes'!K19</f>
        <v>15212802.056590391</v>
      </c>
      <c r="N88" s="1483">
        <f>'Other Taxes'!L19</f>
        <v>16524514.695752164</v>
      </c>
      <c r="O88" s="1483">
        <f>'Other Taxes'!M19</f>
        <v>17226971.246271096</v>
      </c>
      <c r="P88" s="1483">
        <f>'Other Taxes'!N19</f>
        <v>18075284.395378157</v>
      </c>
      <c r="Q88" s="1483">
        <f>'Other Taxes'!O19</f>
        <v>18830807.372860372</v>
      </c>
      <c r="R88" s="1483">
        <f>'Other Taxes'!P19</f>
        <v>19675152.906458043</v>
      </c>
      <c r="S88" s="1483">
        <f>'Other Taxes'!Q19</f>
        <v>20596507.288357612</v>
      </c>
      <c r="T88" s="1483">
        <f>'Other Taxes'!R19</f>
        <v>21336398.959891859</v>
      </c>
      <c r="U88" s="1483">
        <f>'Other Taxes'!S19</f>
        <v>22110166.84089189</v>
      </c>
      <c r="V88" s="1463"/>
    </row>
    <row r="89" spans="1:22" ht="15.75" customHeight="1">
      <c r="A89" s="1360"/>
      <c r="B89" s="1463"/>
      <c r="C89" s="1476" t="e">
        <f>IF(D89="","",MAX(C$9:C88)+1)</f>
        <v>#N/A</v>
      </c>
      <c r="D89" s="1401" t="s">
        <v>3479</v>
      </c>
      <c r="E89" s="1401"/>
      <c r="F89" s="1401"/>
      <c r="G89" s="1483"/>
      <c r="H89" s="1483"/>
      <c r="I89" s="1483">
        <f>Dashboard!G$21*(1-INDEX(Dashboard!$F$22:$S$22,1,MATCH(I$7,Dashboard!$F$7:$S$7,0)))</f>
        <v>0</v>
      </c>
      <c r="J89" s="1483">
        <f>Dashboard!H$21*(1-INDEX(Dashboard!$F$22:$S$22,1,MATCH(J$7,Dashboard!$F$7:$S$7,0)))</f>
        <v>0</v>
      </c>
      <c r="K89" s="1483">
        <f>Dashboard!I$21*(1-INDEX(Dashboard!$F$22:$S$22,1,MATCH(K$7,Dashboard!$F$7:$S$7,0)))</f>
        <v>0</v>
      </c>
      <c r="L89" s="1483">
        <f>Dashboard!J$21*(1-INDEX(Dashboard!$F$22:$S$22,1,MATCH(L$7,Dashboard!$F$7:$S$7,0)))</f>
        <v>0</v>
      </c>
      <c r="M89" s="1483">
        <f>Dashboard!K$21*(1-INDEX(Dashboard!$F$22:$S$22,1,MATCH(M$7,Dashboard!$F$7:$S$7,0)))</f>
        <v>0</v>
      </c>
      <c r="N89" s="1483">
        <f>Dashboard!L$21*(1-INDEX(Dashboard!$F$22:$S$22,1,MATCH(N$7,Dashboard!$F$7:$S$7,0)))</f>
        <v>0</v>
      </c>
      <c r="O89" s="1483">
        <f>Dashboard!M$21*(1-INDEX(Dashboard!$F$22:$S$22,1,MATCH(O$7,Dashboard!$F$7:$S$7,0)))</f>
        <v>0</v>
      </c>
      <c r="P89" s="1483">
        <f>Dashboard!N$21*(1-INDEX(Dashboard!$F$22:$S$22,1,MATCH(P$7,Dashboard!$F$7:$S$7,0)))</f>
        <v>0</v>
      </c>
      <c r="Q89" s="1483">
        <f>Dashboard!O$21*(1-INDEX(Dashboard!$F$22:$S$22,1,MATCH(Q$7,Dashboard!$F$7:$S$7,0)))</f>
        <v>0</v>
      </c>
      <c r="R89" s="1483">
        <f>Dashboard!P$21*(1-INDEX(Dashboard!$F$22:$S$22,1,MATCH(R$7,Dashboard!$F$7:$S$7,0)))</f>
        <v>0</v>
      </c>
      <c r="S89" s="1483">
        <f>Dashboard!Q$21*(1-INDEX(Dashboard!$F$22:$S$22,1,MATCH(S$7,Dashboard!$F$7:$S$7,0)))</f>
        <v>0</v>
      </c>
      <c r="T89" s="1483">
        <f>Dashboard!R$21*(1-INDEX(Dashboard!$F$22:$S$22,1,MATCH(T$7,Dashboard!$F$7:$S$7,0)))</f>
        <v>0</v>
      </c>
      <c r="U89" s="1483">
        <f>Dashboard!S$21*(1-INDEX(Dashboard!$F$22:$S$22,1,MATCH(U$7,Dashboard!$F$7:$S$7,0)))</f>
        <v>0</v>
      </c>
      <c r="V89" s="1463"/>
    </row>
    <row r="90" spans="1:22" ht="15.75" customHeight="1">
      <c r="A90" s="1360"/>
      <c r="B90" s="1463"/>
      <c r="C90" s="1476" t="e">
        <f>IF(D90="","",MAX(C$9:C89)+1)</f>
        <v>#N/A</v>
      </c>
      <c r="D90" s="1401" t="s">
        <v>3480</v>
      </c>
      <c r="E90" s="1401"/>
      <c r="F90" s="1401"/>
      <c r="G90" s="1483"/>
      <c r="H90" s="1483"/>
      <c r="I90" s="1483">
        <f>Dashboard!G$21*INDEX(Dashboard!$F$22:$S$22,1,MATCH(I$7,Dashboard!$F$7:$S$7,0))</f>
        <v>37182000</v>
      </c>
      <c r="J90" s="1483">
        <f>Dashboard!H$21*INDEX(Dashboard!$F$22:$S$22,1,MATCH(J$7,Dashboard!$F$7:$S$7,0))</f>
        <v>12083702.953720002</v>
      </c>
      <c r="K90" s="1483">
        <f>Dashboard!I$21*INDEX(Dashboard!$F$22:$S$22,1,MATCH(K$7,Dashboard!$F$7:$S$7,0))</f>
        <v>27666486.961203694</v>
      </c>
      <c r="L90" s="1483">
        <f>Dashboard!J$21*INDEX(Dashboard!$F$22:$S$22,1,MATCH(L$7,Dashboard!$F$7:$S$7,0))</f>
        <v>5140761.4783228701</v>
      </c>
      <c r="M90" s="1483">
        <f>Dashboard!K$21*INDEX(Dashboard!$F$22:$S$22,1,MATCH(M$7,Dashboard!$F$7:$S$7,0))</f>
        <v>20104210.091357153</v>
      </c>
      <c r="N90" s="1483">
        <f>Dashboard!L$21*INDEX(Dashboard!$F$22:$S$22,1,MATCH(N$7,Dashboard!$F$7:$S$7,0))</f>
        <v>21661554.312975064</v>
      </c>
      <c r="O90" s="1483">
        <f>Dashboard!M$21*INDEX(Dashboard!$F$22:$S$22,1,MATCH(O$7,Dashboard!$F$7:$S$7,0))</f>
        <v>41867330.008197173</v>
      </c>
      <c r="P90" s="1483">
        <f>Dashboard!N$21*INDEX(Dashboard!$F$22:$S$22,1,MATCH(P$7,Dashboard!$F$7:$S$7,0))</f>
        <v>50453845.665016897</v>
      </c>
      <c r="Q90" s="1483">
        <f>Dashboard!O$21*INDEX(Dashboard!$F$22:$S$22,1,MATCH(Q$7,Dashboard!$F$7:$S$7,0))</f>
        <v>66283168.257466801</v>
      </c>
      <c r="R90" s="1483">
        <f>Dashboard!P$21*INDEX(Dashboard!$F$22:$S$22,1,MATCH(R$7,Dashboard!$F$7:$S$7,0))</f>
        <v>68152354.060868725</v>
      </c>
      <c r="S90" s="1483">
        <f>Dashboard!Q$21*INDEX(Dashboard!$F$22:$S$22,1,MATCH(S$7,Dashboard!$F$7:$S$7,0))</f>
        <v>98146906.637001559</v>
      </c>
      <c r="T90" s="1483">
        <f>Dashboard!R$21*INDEX(Dashboard!$F$22:$S$22,1,MATCH(T$7,Dashboard!$F$7:$S$7,0))</f>
        <v>100083313.21184322</v>
      </c>
      <c r="U90" s="1483">
        <f>Dashboard!S$21*INDEX(Dashboard!$F$22:$S$22,1,MATCH(U$7,Dashboard!$F$7:$S$7,0))</f>
        <v>101807638.99208324</v>
      </c>
      <c r="V90" s="1463"/>
    </row>
    <row r="91" spans="1:22" ht="15.75" hidden="1" customHeight="1">
      <c r="A91" s="1360"/>
      <c r="B91" s="1463"/>
      <c r="C91" s="1476" t="e">
        <f>IF(D91="","",MAX(C$9:C90)+1)</f>
        <v>#N/A</v>
      </c>
      <c r="D91" s="1506" t="s">
        <v>2211</v>
      </c>
      <c r="E91" s="1401"/>
      <c r="F91" s="1401"/>
      <c r="G91" s="1488"/>
      <c r="H91" s="1488"/>
      <c r="I91" s="1488"/>
      <c r="J91" s="1488"/>
      <c r="K91" s="1488"/>
      <c r="L91" s="1488"/>
      <c r="M91" s="1488"/>
      <c r="N91" s="1488"/>
      <c r="O91" s="1488"/>
      <c r="P91" s="1488"/>
      <c r="Q91" s="1488"/>
      <c r="R91" s="1488"/>
      <c r="S91" s="1488"/>
      <c r="T91" s="1488"/>
      <c r="U91" s="1488"/>
      <c r="V91" s="1463"/>
    </row>
    <row r="92" spans="1:22" ht="15.75" customHeight="1">
      <c r="A92" s="1360"/>
      <c r="B92" s="1463"/>
      <c r="C92" s="1476" t="e">
        <f>IF(D92="","",MAX(C$9:C91)+1)</f>
        <v>#N/A</v>
      </c>
      <c r="D92" s="1401" t="s">
        <v>1941</v>
      </c>
      <c r="E92" s="1401"/>
      <c r="F92" s="1401"/>
      <c r="G92" s="1485">
        <f>'Forecast (BV) 2017'!E96</f>
        <v>50784988.143320002</v>
      </c>
      <c r="H92" s="1485">
        <f>'Forecast (BV) 2017'!F96</f>
        <v>67069487</v>
      </c>
      <c r="I92" s="1485">
        <f>'Forecast (BV) 2017'!G96</f>
        <v>43454998.460000001</v>
      </c>
      <c r="J92" s="1485">
        <f>'Forecast (BV) 2017'!I96</f>
        <v>36659184.746062398</v>
      </c>
      <c r="K92" s="1485">
        <f>'Forecast (BV) 2017'!K96</f>
        <v>59999222.552695818</v>
      </c>
      <c r="L92" s="1485">
        <f>'Forecast (BV) 2017'!L96</f>
        <v>69299537.898900956</v>
      </c>
      <c r="M92" s="1485">
        <f>'Forecast (BV) 2017'!M96</f>
        <v>55761096.780477867</v>
      </c>
      <c r="N92" s="1485">
        <f>'Forecast (BV) 2017'!N96</f>
        <v>52719294.060464561</v>
      </c>
      <c r="O92" s="1485">
        <f>'Forecast (BV) 2017'!O96</f>
        <v>29345320.730032656</v>
      </c>
      <c r="P92" s="1485">
        <f>'Forecast (BV) 2017'!P96</f>
        <v>27846208.057557296</v>
      </c>
      <c r="Q92" s="1485">
        <f>'Forecast (BV) 2017'!Q96</f>
        <v>31387073.699986964</v>
      </c>
      <c r="R92" s="1485">
        <f>'Forecast (BV) 2017'!R96</f>
        <v>36279392.549446926</v>
      </c>
      <c r="S92" s="1485">
        <f>'Forecast (BV) 2017'!S96</f>
        <v>31901862.832594763</v>
      </c>
      <c r="T92" s="1485">
        <f>'Forecast (BV) 2017'!T96</f>
        <v>31158184.660147019</v>
      </c>
      <c r="U92" s="1485">
        <f>'Forecast (BV) 2017'!U96</f>
        <v>34661890.528807357</v>
      </c>
      <c r="V92" s="1463"/>
    </row>
    <row r="93" spans="1:22" ht="15.75" customHeight="1">
      <c r="A93" s="1360"/>
      <c r="B93" s="1463"/>
      <c r="C93" s="1476" t="e">
        <f>IF(D93="","",MAX(C$9:C92)+1)</f>
        <v>#N/A</v>
      </c>
      <c r="D93" s="1493" t="s">
        <v>716</v>
      </c>
      <c r="E93" s="1493"/>
      <c r="F93" s="1493"/>
      <c r="G93" s="1490">
        <f t="shared" ref="G93:U93" si="11">SUM(G88:G92)</f>
        <v>61227663.273320004</v>
      </c>
      <c r="H93" s="1490">
        <f t="shared" si="11"/>
        <v>78845944.590000004</v>
      </c>
      <c r="I93" s="1490">
        <f t="shared" si="11"/>
        <v>92829738.599999994</v>
      </c>
      <c r="J93" s="1490">
        <f t="shared" si="11"/>
        <v>62388951.2797824</v>
      </c>
      <c r="K93" s="1490">
        <f t="shared" si="11"/>
        <v>101205140.55575907</v>
      </c>
      <c r="L93" s="1490">
        <f t="shared" si="11"/>
        <v>88659141.373437211</v>
      </c>
      <c r="M93" s="1490">
        <f t="shared" si="11"/>
        <v>91078108.928425401</v>
      </c>
      <c r="N93" s="1490">
        <f t="shared" si="11"/>
        <v>90905363.069191784</v>
      </c>
      <c r="O93" s="1490">
        <f t="shared" si="11"/>
        <v>88439621.98450093</v>
      </c>
      <c r="P93" s="1490">
        <f t="shared" si="11"/>
        <v>96375338.117952362</v>
      </c>
      <c r="Q93" s="1490">
        <f t="shared" si="11"/>
        <v>116501049.33031413</v>
      </c>
      <c r="R93" s="1490">
        <f t="shared" si="11"/>
        <v>124106899.51677369</v>
      </c>
      <c r="S93" s="1490">
        <f>SUM(S88:S92)</f>
        <v>150645276.75795394</v>
      </c>
      <c r="T93" s="1490">
        <f t="shared" si="11"/>
        <v>152577896.83188209</v>
      </c>
      <c r="U93" s="1490">
        <f t="shared" si="11"/>
        <v>158579696.36178249</v>
      </c>
      <c r="V93" s="1463"/>
    </row>
    <row r="94" spans="1:22" ht="15.75" customHeight="1">
      <c r="A94" s="1360"/>
      <c r="B94" s="1463"/>
      <c r="C94" s="1476" t="str">
        <f>IF(D94="","",MAX(C$9:C93)+1)</f>
        <v/>
      </c>
      <c r="D94" s="1482"/>
      <c r="E94" s="1482"/>
      <c r="F94" s="1482"/>
      <c r="G94" s="1483"/>
      <c r="H94" s="1483"/>
      <c r="I94" s="1483"/>
      <c r="J94" s="1483"/>
      <c r="K94" s="1483"/>
      <c r="L94" s="1483"/>
      <c r="M94" s="1483"/>
      <c r="N94" s="1483"/>
      <c r="O94" s="1483"/>
      <c r="P94" s="1483"/>
      <c r="Q94" s="1483"/>
      <c r="R94" s="1483"/>
      <c r="S94" s="1483"/>
      <c r="T94" s="1483"/>
      <c r="U94" s="1483"/>
      <c r="V94" s="1463"/>
    </row>
    <row r="95" spans="1:22" ht="15.75" customHeight="1">
      <c r="A95" s="1360"/>
      <c r="B95" s="1463"/>
      <c r="C95" s="1476" t="e">
        <f>IF(D95="","",MAX(C$9:C94)+1)</f>
        <v>#N/A</v>
      </c>
      <c r="D95" s="1480" t="s">
        <v>553</v>
      </c>
      <c r="E95" s="1480"/>
      <c r="F95" s="1480"/>
      <c r="G95" s="1483">
        <f t="shared" ref="G95:U95" si="12">SUM(G75,G83,G93)</f>
        <v>219836907.57331997</v>
      </c>
      <c r="H95" s="1483">
        <f t="shared" si="12"/>
        <v>256629702.00999996</v>
      </c>
      <c r="I95" s="1483">
        <f>SUM(I75,I83,I93)</f>
        <v>304528404.39999992</v>
      </c>
      <c r="J95" s="1483">
        <f t="shared" si="12"/>
        <v>249369946.31978244</v>
      </c>
      <c r="K95" s="1483">
        <f>SUM(K75,K83,K93)</f>
        <v>258104597.19067323</v>
      </c>
      <c r="L95" s="1483">
        <f t="shared" si="12"/>
        <v>247509503.00974536</v>
      </c>
      <c r="M95" s="1483">
        <f t="shared" si="12"/>
        <v>260218530.89751759</v>
      </c>
      <c r="N95" s="1483">
        <f t="shared" si="12"/>
        <v>283591634.74245214</v>
      </c>
      <c r="O95" s="1483">
        <f t="shared" si="12"/>
        <v>307962530.6839512</v>
      </c>
      <c r="P95" s="1483">
        <f t="shared" si="12"/>
        <v>386689676.49983352</v>
      </c>
      <c r="Q95" s="1483">
        <f t="shared" si="12"/>
        <v>409824022.01871634</v>
      </c>
      <c r="R95" s="1483">
        <f t="shared" si="12"/>
        <v>427650685.33329833</v>
      </c>
      <c r="S95" s="1483">
        <f t="shared" si="12"/>
        <v>449688299.18556851</v>
      </c>
      <c r="T95" s="1483">
        <f t="shared" si="12"/>
        <v>465972845.22022724</v>
      </c>
      <c r="U95" s="1483">
        <f t="shared" si="12"/>
        <v>489188734.07494307</v>
      </c>
      <c r="V95" s="1463"/>
    </row>
    <row r="96" spans="1:22" ht="15.75" customHeight="1">
      <c r="A96" s="1360"/>
      <c r="B96" s="1463"/>
      <c r="C96" s="1476" t="str">
        <f>IF(D96="","",MAX(C$9:C95)+1)</f>
        <v/>
      </c>
      <c r="D96" s="1480"/>
      <c r="E96" s="1480"/>
      <c r="F96" s="1480"/>
      <c r="G96" s="1507"/>
      <c r="H96" s="1507"/>
      <c r="I96" s="1507"/>
      <c r="J96" s="1507"/>
      <c r="K96" s="1507"/>
      <c r="L96" s="1507"/>
      <c r="M96" s="1507"/>
      <c r="N96" s="1507"/>
      <c r="O96" s="1507"/>
      <c r="P96" s="1507"/>
      <c r="Q96" s="1507"/>
      <c r="R96" s="1507"/>
      <c r="S96" s="1507"/>
      <c r="T96" s="1507"/>
      <c r="U96" s="1507"/>
      <c r="V96" s="1463"/>
    </row>
    <row r="97" spans="1:22" ht="15.75" customHeight="1">
      <c r="A97" s="1360"/>
      <c r="B97" s="1463"/>
      <c r="C97" s="1476" t="e">
        <f>IF(D97="","",MAX(C$9:C96)+1)</f>
        <v>#N/A</v>
      </c>
      <c r="D97" s="1480" t="s">
        <v>136</v>
      </c>
      <c r="E97" s="1480"/>
      <c r="F97" s="1480"/>
      <c r="G97" s="1483">
        <f>G95-G33-G20-G21</f>
        <v>147728040.81331998</v>
      </c>
      <c r="H97" s="1483">
        <f t="shared" ref="H97:U97" si="13">H95-H33-H20-H21</f>
        <v>159478008.44999996</v>
      </c>
      <c r="I97" s="1483">
        <f t="shared" si="13"/>
        <v>190779264.51999992</v>
      </c>
      <c r="J97" s="1483">
        <f t="shared" si="13"/>
        <v>142627762.30978245</v>
      </c>
      <c r="K97" s="1483">
        <f>K95-K33-K20-K21</f>
        <v>177888017.14878455</v>
      </c>
      <c r="L97" s="1483">
        <f t="shared" si="13"/>
        <v>192932931.58684477</v>
      </c>
      <c r="M97" s="1483">
        <f t="shared" si="13"/>
        <v>207061899.36606988</v>
      </c>
      <c r="N97" s="1483">
        <f t="shared" si="13"/>
        <v>224662512.34577984</v>
      </c>
      <c r="O97" s="1483">
        <f t="shared" si="13"/>
        <v>238876648.43526939</v>
      </c>
      <c r="P97" s="1483">
        <f t="shared" si="13"/>
        <v>251368628.20169309</v>
      </c>
      <c r="Q97" s="1483">
        <f t="shared" si="13"/>
        <v>262921351.12987086</v>
      </c>
      <c r="R97" s="1483">
        <f t="shared" si="13"/>
        <v>275833624.62628901</v>
      </c>
      <c r="S97" s="1483">
        <f t="shared" si="13"/>
        <v>289928473.24963945</v>
      </c>
      <c r="T97" s="1483">
        <f t="shared" si="13"/>
        <v>301969249.12046647</v>
      </c>
      <c r="U97" s="1483">
        <f t="shared" si="13"/>
        <v>314552610.18113172</v>
      </c>
      <c r="V97" s="1463"/>
    </row>
    <row r="98" spans="1:22" ht="15.75" customHeight="1">
      <c r="A98" s="1360"/>
      <c r="B98" s="1463"/>
      <c r="C98" s="1476" t="str">
        <f>IF(D98="","",MAX(C$9:C97)+1)</f>
        <v/>
      </c>
      <c r="D98" s="1480"/>
      <c r="E98" s="1480"/>
      <c r="F98" s="1480"/>
      <c r="G98" s="1507"/>
      <c r="H98" s="1507"/>
      <c r="I98" s="1507"/>
      <c r="J98" s="1507"/>
      <c r="K98" s="1507"/>
      <c r="L98" s="1507"/>
      <c r="M98" s="1507"/>
      <c r="N98" s="1507"/>
      <c r="O98" s="1507"/>
      <c r="P98" s="1507"/>
      <c r="Q98" s="1507"/>
      <c r="R98" s="1507"/>
      <c r="S98" s="1507"/>
      <c r="T98" s="1507"/>
      <c r="U98" s="1507"/>
      <c r="V98" s="1463"/>
    </row>
    <row r="99" spans="1:22" ht="15.75" customHeight="1">
      <c r="A99" s="1360"/>
      <c r="B99" s="1463"/>
      <c r="C99" s="1476" t="e">
        <f>IF(D99="","",MAX(C$9:C98)+1)</f>
        <v>#N/A</v>
      </c>
      <c r="D99" s="1508" t="s">
        <v>655</v>
      </c>
      <c r="E99" s="1508"/>
      <c r="F99" s="1508"/>
      <c r="G99" s="1483"/>
      <c r="H99" s="1483">
        <f t="shared" ref="H99:U99" si="14">H60-H95</f>
        <v>-10563548.816456288</v>
      </c>
      <c r="I99" s="1483">
        <f t="shared" si="14"/>
        <v>-31207331.721490145</v>
      </c>
      <c r="J99" s="1483">
        <f t="shared" si="14"/>
        <v>28631491.968787134</v>
      </c>
      <c r="K99" s="1483">
        <f>K60-K95</f>
        <v>702.43057480454445</v>
      </c>
      <c r="L99" s="1483">
        <f t="shared" si="14"/>
        <v>1677.8950741589069</v>
      </c>
      <c r="M99" s="1483">
        <f t="shared" si="14"/>
        <v>-2757.1525196731091</v>
      </c>
      <c r="N99" s="1483">
        <f t="shared" si="14"/>
        <v>-2822.2624964118004</v>
      </c>
      <c r="O99" s="1483">
        <f t="shared" si="14"/>
        <v>-3902.5747165679932</v>
      </c>
      <c r="P99" s="1483">
        <f t="shared" si="14"/>
        <v>-9089.1025958657265</v>
      </c>
      <c r="Q99" s="1483">
        <f t="shared" si="14"/>
        <v>-7723.736022233963</v>
      </c>
      <c r="R99" s="1483">
        <f t="shared" si="14"/>
        <v>-277.44714224338531</v>
      </c>
      <c r="S99" s="1483">
        <f t="shared" si="14"/>
        <v>1719.1077291369438</v>
      </c>
      <c r="T99" s="1483">
        <f t="shared" si="14"/>
        <v>-1053.4634068608284</v>
      </c>
      <c r="U99" s="1483">
        <f t="shared" si="14"/>
        <v>731.36521291732788</v>
      </c>
      <c r="V99" s="1463"/>
    </row>
    <row r="100" spans="1:22" ht="15.75" customHeight="1">
      <c r="A100" s="1360"/>
      <c r="B100" s="1463"/>
      <c r="C100" s="1476" t="str">
        <f>IF(D100="","",MAX(C$9:C99)+1)</f>
        <v/>
      </c>
      <c r="D100" s="1482"/>
      <c r="E100" s="1482"/>
      <c r="F100" s="1482"/>
      <c r="G100" s="1483"/>
      <c r="H100" s="1483"/>
      <c r="I100" s="1483"/>
      <c r="J100" s="1483"/>
      <c r="K100" s="1483"/>
      <c r="L100" s="1483"/>
      <c r="M100" s="1483"/>
      <c r="N100" s="1483"/>
      <c r="O100" s="1483"/>
      <c r="P100" s="1483"/>
      <c r="Q100" s="1483"/>
      <c r="R100" s="1483"/>
      <c r="S100" s="1483"/>
      <c r="T100" s="1483"/>
      <c r="U100" s="1483"/>
      <c r="V100" s="1463"/>
    </row>
    <row r="101" spans="1:22" ht="15.75" customHeight="1">
      <c r="A101" s="1360"/>
      <c r="B101" s="1463"/>
      <c r="C101" s="1476" t="e">
        <f>IF(D101="","",MAX(C$9:C100)+1)</f>
        <v>#N/A</v>
      </c>
      <c r="D101" s="1468" t="s">
        <v>273</v>
      </c>
      <c r="E101" s="1468"/>
      <c r="F101" s="1468"/>
      <c r="G101" s="1385"/>
      <c r="H101" s="1385">
        <f>'Cash Balances (BV)'!F60</f>
        <v>74183964.600119993</v>
      </c>
      <c r="I101" s="1385">
        <f>I99+H101</f>
        <v>42976632.878629848</v>
      </c>
      <c r="J101" s="1385">
        <f t="shared" ref="J101:U101" si="15">J99+I101</f>
        <v>71608124.847416982</v>
      </c>
      <c r="K101" s="1385">
        <f t="shared" si="15"/>
        <v>71608827.277991787</v>
      </c>
      <c r="L101" s="1385">
        <f t="shared" si="15"/>
        <v>71610505.173065946</v>
      </c>
      <c r="M101" s="1385">
        <f t="shared" si="15"/>
        <v>71607748.020546272</v>
      </c>
      <c r="N101" s="1385">
        <f t="shared" si="15"/>
        <v>71604925.758049861</v>
      </c>
      <c r="O101" s="1385">
        <f t="shared" si="15"/>
        <v>71601023.183333293</v>
      </c>
      <c r="P101" s="1385">
        <f t="shared" si="15"/>
        <v>71591934.080737427</v>
      </c>
      <c r="Q101" s="1385">
        <f t="shared" si="15"/>
        <v>71584210.344715193</v>
      </c>
      <c r="R101" s="1385">
        <f t="shared" si="15"/>
        <v>71583932.89757295</v>
      </c>
      <c r="S101" s="1385">
        <f t="shared" si="15"/>
        <v>71585652.005302086</v>
      </c>
      <c r="T101" s="1385">
        <f t="shared" si="15"/>
        <v>71584598.541895226</v>
      </c>
      <c r="U101" s="1385">
        <f t="shared" si="15"/>
        <v>71585329.907108143</v>
      </c>
      <c r="V101" s="1463"/>
    </row>
    <row r="102" spans="1:22" ht="15.75" customHeight="1">
      <c r="A102" s="1360"/>
      <c r="B102" s="1463"/>
      <c r="C102" s="1476" t="str">
        <f>IF(D102="","",MAX(C$9:C101)+1)</f>
        <v/>
      </c>
      <c r="D102" s="1480"/>
      <c r="E102" s="1480"/>
      <c r="F102" s="1480"/>
      <c r="G102" s="1483"/>
      <c r="H102" s="1483"/>
      <c r="I102" s="1483"/>
      <c r="J102" s="1483"/>
      <c r="K102" s="1483"/>
      <c r="L102" s="1483"/>
      <c r="M102" s="1483"/>
      <c r="N102" s="1483"/>
      <c r="O102" s="1483"/>
      <c r="P102" s="1483"/>
      <c r="Q102" s="1483"/>
      <c r="R102" s="1483"/>
      <c r="S102" s="1483"/>
      <c r="T102" s="1483"/>
      <c r="U102" s="1483"/>
      <c r="V102" s="1463"/>
    </row>
    <row r="103" spans="1:22">
      <c r="A103" s="1360"/>
      <c r="C103" s="1476" t="e">
        <f>IF(D103="","",MAX(C$9:C102)+1)</f>
        <v>#N/A</v>
      </c>
      <c r="D103" s="1466" t="s">
        <v>2216</v>
      </c>
      <c r="G103" s="1543">
        <f>'Fin Forecast - Consolidated'!G80</f>
        <v>3.5490066842852555</v>
      </c>
      <c r="H103" s="1543">
        <f>'Fin Forecast - Consolidated'!H80</f>
        <v>4.3309598568217167</v>
      </c>
      <c r="I103" s="1543">
        <f>'Fin Forecast - Consolidated'!I80</f>
        <v>6.9366360833637435</v>
      </c>
      <c r="J103" s="1543">
        <f>'Fin Forecast - Consolidated'!J80</f>
        <v>10.798615840978993</v>
      </c>
      <c r="K103" s="1543">
        <f>'Fin Forecast - Consolidated'!K80</f>
        <v>11.243122201029101</v>
      </c>
      <c r="L103" s="1543">
        <f>'Fin Forecast - Consolidated'!L80</f>
        <v>8.4798079072927042</v>
      </c>
      <c r="M103" s="1543">
        <f>'Fin Forecast - Consolidated'!M80</f>
        <v>7.9555256540120292</v>
      </c>
      <c r="N103" s="1543">
        <f>'Fin Forecast - Consolidated'!N80</f>
        <v>3.848557892321915</v>
      </c>
      <c r="O103" s="1543">
        <f>'Fin Forecast - Consolidated'!O80</f>
        <v>3.7364266022950554</v>
      </c>
      <c r="P103" s="1543">
        <f>'Fin Forecast - Consolidated'!P80</f>
        <v>4.2579358136207075</v>
      </c>
      <c r="Q103" s="1543">
        <f>'Fin Forecast - Consolidated'!Q80</f>
        <v>4.8026126119241077</v>
      </c>
      <c r="R103" s="1543">
        <f>'Fin Forecast - Consolidated'!R80</f>
        <v>5.8687348926906138</v>
      </c>
      <c r="S103" s="1543">
        <f>'Fin Forecast - Consolidated'!S80</f>
        <v>16.601835252575203</v>
      </c>
      <c r="T103" s="1543">
        <f>'Fin Forecast - Consolidated'!T80</f>
        <v>18.394165563597618</v>
      </c>
      <c r="U103" s="1543">
        <f>'Fin Forecast - Consolidated'!U80</f>
        <v>21.429906934160154</v>
      </c>
      <c r="V103" s="1543"/>
    </row>
    <row r="104" spans="1:22">
      <c r="A104" s="1360"/>
    </row>
    <row r="105" spans="1:22">
      <c r="A105" s="1360"/>
    </row>
    <row r="106" spans="1:22">
      <c r="A106" s="1360"/>
    </row>
    <row r="107" spans="1:22">
      <c r="A107" s="1360"/>
    </row>
    <row r="108" spans="1:22">
      <c r="A108" s="1360"/>
    </row>
    <row r="109" spans="1:22">
      <c r="A109" s="1360"/>
    </row>
    <row r="110" spans="1:22"/>
    <row r="111" spans="1:22"/>
    <row r="112" spans="1:2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sheetData>
  <mergeCells count="6">
    <mergeCell ref="C6:C7"/>
    <mergeCell ref="D6:D7"/>
    <mergeCell ref="C2:I2"/>
    <mergeCell ref="C3:I3"/>
    <mergeCell ref="E6:E7"/>
    <mergeCell ref="F6:F7"/>
  </mergeCells>
  <phoneticPr fontId="8" type="noConversion"/>
  <printOptions horizontalCentered="1"/>
  <pageMargins left="0.5" right="0.5" top="0.5" bottom="0.5" header="0.5" footer="0.25"/>
  <pageSetup scale="38" fitToHeight="0" orientation="landscape" r:id="rId1"/>
  <headerFooter alignWithMargins="0">
    <oddFooter>&amp;L&amp;"Times New Roman,Bold Italic"&amp;F: &amp;A&amp;C&amp;"Times New Roman,Bold Italic"Date: &amp;D&amp;R&amp;"Times New Roman,Bold Italic"Page: &amp;P of &amp;N</oddFooter>
  </headerFooter>
  <ignoredErrors>
    <ignoredError sqref="C2"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B284"/>
  <sheetViews>
    <sheetView showGridLines="0" zoomScale="89" zoomScaleNormal="89" workbookViewId="0">
      <pane xSplit="1" ySplit="8" topLeftCell="B9" activePane="bottomRight" state="frozen"/>
      <selection activeCell="G45" sqref="G45"/>
      <selection pane="topRight" activeCell="G45" sqref="G45"/>
      <selection pane="bottomLeft" activeCell="G45" sqref="G45"/>
      <selection pane="bottomRight" activeCell="G45" sqref="G45"/>
    </sheetView>
  </sheetViews>
  <sheetFormatPr defaultColWidth="0" defaultRowHeight="15.75" zeroHeight="1"/>
  <cols>
    <col min="1" max="1" width="22.625" customWidth="1"/>
    <col min="2" max="2" width="2" style="1" customWidth="1"/>
    <col min="3" max="3" width="9" customWidth="1"/>
    <col min="4" max="4" width="0.375" customWidth="1"/>
    <col min="5" max="5" width="30.75" customWidth="1"/>
    <col min="6" max="6" width="0.375" customWidth="1"/>
    <col min="7" max="7" width="155.125" customWidth="1"/>
    <col min="8" max="8" width="1.75" customWidth="1"/>
  </cols>
  <sheetData>
    <row r="1" spans="1:8" ht="22.5">
      <c r="A1" s="411"/>
      <c r="C1" s="430" t="s">
        <v>391</v>
      </c>
      <c r="D1" s="430"/>
      <c r="E1" s="109"/>
      <c r="F1" s="109"/>
      <c r="G1" s="430"/>
      <c r="H1" s="53"/>
    </row>
    <row r="2" spans="1:8" ht="22.5">
      <c r="A2" s="411"/>
      <c r="C2" s="430" t="s">
        <v>717</v>
      </c>
      <c r="D2" s="430"/>
      <c r="E2" s="109"/>
      <c r="F2" s="109"/>
      <c r="G2" s="430"/>
      <c r="H2" s="53"/>
    </row>
    <row r="3" spans="1:8" ht="22.5">
      <c r="A3" s="411"/>
      <c r="C3" s="430" t="s">
        <v>435</v>
      </c>
      <c r="D3" s="430"/>
      <c r="E3" s="109"/>
      <c r="F3" s="109"/>
      <c r="G3" s="430"/>
      <c r="H3" s="53"/>
    </row>
    <row r="4" spans="1:8" ht="15.75" customHeight="1">
      <c r="A4" s="411"/>
      <c r="C4" s="7"/>
      <c r="G4" s="50"/>
    </row>
    <row r="5" spans="1:8">
      <c r="A5" s="411"/>
    </row>
    <row r="6" spans="1:8">
      <c r="A6" s="411"/>
      <c r="H6" s="20"/>
    </row>
    <row r="7" spans="1:8">
      <c r="A7" s="411"/>
      <c r="C7" s="431" t="s">
        <v>867</v>
      </c>
      <c r="D7" s="86"/>
      <c r="E7" s="431" t="s">
        <v>201</v>
      </c>
      <c r="F7" s="86"/>
      <c r="G7" s="4341" t="s">
        <v>399</v>
      </c>
      <c r="H7" s="20"/>
    </row>
    <row r="8" spans="1:8">
      <c r="A8" s="411"/>
      <c r="C8" s="432" t="s">
        <v>398</v>
      </c>
      <c r="D8" s="86"/>
      <c r="E8" s="432" t="s">
        <v>202</v>
      </c>
      <c r="F8" s="86"/>
      <c r="G8" s="4342"/>
      <c r="H8" s="20"/>
    </row>
    <row r="9" spans="1:8">
      <c r="A9" s="411"/>
      <c r="C9" s="65"/>
      <c r="D9" s="51"/>
      <c r="E9" s="65"/>
      <c r="F9" s="51"/>
      <c r="G9" s="102"/>
      <c r="H9" s="20"/>
    </row>
    <row r="10" spans="1:8">
      <c r="A10" s="411"/>
      <c r="C10" s="54"/>
      <c r="D10" s="51"/>
      <c r="E10" s="58" t="s">
        <v>587</v>
      </c>
      <c r="F10" s="51"/>
      <c r="G10" s="51"/>
    </row>
    <row r="11" spans="1:8">
      <c r="A11" s="411"/>
      <c r="C11" s="54">
        <f>MAX($C$9:C10)+1</f>
        <v>1</v>
      </c>
      <c r="D11" s="51"/>
      <c r="E11" s="107" t="s">
        <v>299</v>
      </c>
      <c r="F11" s="51"/>
      <c r="G11" s="51" t="s">
        <v>298</v>
      </c>
    </row>
    <row r="12" spans="1:8">
      <c r="A12" s="411"/>
      <c r="C12" s="54">
        <f>MAX($C$9:C11)+1</f>
        <v>2</v>
      </c>
      <c r="D12" s="51"/>
      <c r="E12" s="107" t="s">
        <v>300</v>
      </c>
      <c r="F12" s="51"/>
      <c r="G12" s="51" t="s">
        <v>297</v>
      </c>
    </row>
    <row r="13" spans="1:8">
      <c r="A13" s="411"/>
      <c r="C13" s="54">
        <f>MAX($C$9:C12)+1</f>
        <v>3</v>
      </c>
      <c r="D13" s="51"/>
      <c r="E13" s="107" t="s">
        <v>565</v>
      </c>
      <c r="F13" s="51"/>
      <c r="G13" s="51" t="s">
        <v>566</v>
      </c>
    </row>
    <row r="14" spans="1:8">
      <c r="A14" s="411"/>
      <c r="C14" s="54">
        <f>MAX($C$9:C13)+1</f>
        <v>4</v>
      </c>
      <c r="D14" s="51"/>
      <c r="E14" s="107" t="s">
        <v>556</v>
      </c>
      <c r="F14" s="51"/>
      <c r="G14" s="51" t="s">
        <v>557</v>
      </c>
    </row>
    <row r="15" spans="1:8">
      <c r="A15" s="411"/>
      <c r="C15" s="54"/>
      <c r="D15" s="51"/>
      <c r="E15" s="107"/>
      <c r="F15" s="51"/>
      <c r="G15" s="51"/>
    </row>
    <row r="16" spans="1:8">
      <c r="A16" s="411"/>
      <c r="C16" s="54"/>
      <c r="D16" s="51"/>
      <c r="E16" s="107"/>
      <c r="F16" s="51"/>
      <c r="G16" s="51"/>
    </row>
    <row r="17" spans="1:7">
      <c r="A17" s="411"/>
      <c r="C17" s="51"/>
      <c r="D17" s="51"/>
      <c r="E17" s="51"/>
      <c r="F17" s="51"/>
      <c r="G17" s="51"/>
    </row>
    <row r="18" spans="1:7">
      <c r="A18" s="411"/>
      <c r="C18" s="51"/>
      <c r="D18" s="51"/>
      <c r="E18" s="58"/>
      <c r="F18" s="51"/>
      <c r="G18" s="51"/>
    </row>
    <row r="19" spans="1:7">
      <c r="A19" s="411"/>
      <c r="C19" s="54"/>
      <c r="D19" s="51"/>
      <c r="E19" s="107"/>
      <c r="F19" s="51"/>
      <c r="G19" s="51"/>
    </row>
    <row r="20" spans="1:7">
      <c r="A20" s="411"/>
      <c r="C20" s="51"/>
      <c r="D20" s="51"/>
      <c r="E20" s="51"/>
      <c r="F20" s="51"/>
      <c r="G20" s="51"/>
    </row>
    <row r="21" spans="1:7">
      <c r="A21" s="411"/>
      <c r="C21" s="51"/>
      <c r="D21" s="51"/>
      <c r="E21" s="51"/>
      <c r="F21" s="51"/>
      <c r="G21" s="51"/>
    </row>
    <row r="22" spans="1:7">
      <c r="A22" s="411"/>
      <c r="C22" s="51"/>
      <c r="D22" s="51"/>
      <c r="E22" s="51"/>
      <c r="F22" s="51"/>
      <c r="G22" s="51"/>
    </row>
    <row r="23" spans="1:7">
      <c r="A23" s="411"/>
      <c r="C23" s="51"/>
      <c r="D23" s="51"/>
      <c r="E23" s="51"/>
      <c r="F23" s="51"/>
      <c r="G23" s="51"/>
    </row>
    <row r="24" spans="1:7">
      <c r="A24" s="411"/>
      <c r="C24" s="51"/>
      <c r="D24" s="51"/>
      <c r="E24" s="51"/>
      <c r="F24" s="51"/>
      <c r="G24" s="51"/>
    </row>
    <row r="25" spans="1:7">
      <c r="A25" s="411"/>
      <c r="C25" s="51"/>
      <c r="D25" s="51"/>
      <c r="E25" s="51"/>
      <c r="F25" s="51"/>
      <c r="G25" s="51"/>
    </row>
    <row r="26" spans="1:7">
      <c r="A26" s="411"/>
      <c r="C26" s="51"/>
      <c r="D26" s="51"/>
      <c r="E26" s="51"/>
      <c r="F26" s="51"/>
      <c r="G26" s="51"/>
    </row>
    <row r="27" spans="1:7">
      <c r="A27" s="411"/>
      <c r="C27" s="51"/>
      <c r="D27" s="51"/>
      <c r="E27" s="51"/>
      <c r="F27" s="51"/>
      <c r="G27" s="51"/>
    </row>
    <row r="28" spans="1:7">
      <c r="A28" s="411"/>
      <c r="C28" s="51"/>
      <c r="D28" s="51"/>
      <c r="E28" s="51"/>
      <c r="F28" s="51"/>
      <c r="G28" s="51"/>
    </row>
    <row r="29" spans="1:7">
      <c r="A29" s="411"/>
      <c r="C29" s="51"/>
      <c r="D29" s="51"/>
      <c r="E29" s="51"/>
      <c r="F29" s="51"/>
      <c r="G29" s="51"/>
    </row>
    <row r="30" spans="1:7">
      <c r="A30" s="411"/>
      <c r="C30" s="51"/>
      <c r="D30" s="51"/>
      <c r="E30" s="51"/>
      <c r="F30" s="51"/>
      <c r="G30" s="51"/>
    </row>
    <row r="31" spans="1:7">
      <c r="A31" s="411"/>
      <c r="C31" s="51"/>
      <c r="D31" s="51"/>
      <c r="E31" s="51"/>
      <c r="F31" s="51"/>
      <c r="G31" s="51"/>
    </row>
    <row r="32" spans="1:7">
      <c r="A32" s="411"/>
      <c r="C32" s="51"/>
      <c r="D32" s="51"/>
      <c r="E32" s="51"/>
      <c r="F32" s="51"/>
      <c r="G32" s="51"/>
    </row>
    <row r="33" spans="1:7">
      <c r="A33" s="411"/>
      <c r="C33" s="51"/>
      <c r="D33" s="51"/>
      <c r="E33" s="51"/>
      <c r="F33" s="51"/>
      <c r="G33" s="51"/>
    </row>
    <row r="34" spans="1:7">
      <c r="A34" s="415"/>
      <c r="C34" s="51"/>
      <c r="D34" s="51"/>
      <c r="E34" s="51"/>
      <c r="F34" s="51"/>
      <c r="G34" s="51"/>
    </row>
    <row r="35" spans="1:7">
      <c r="A35" s="415"/>
      <c r="C35" s="51"/>
      <c r="D35" s="51"/>
      <c r="E35" s="51"/>
      <c r="F35" s="51"/>
      <c r="G35" s="51"/>
    </row>
    <row r="36" spans="1:7">
      <c r="A36" s="415"/>
      <c r="C36" s="51"/>
      <c r="D36" s="51"/>
      <c r="E36" s="51"/>
      <c r="F36" s="51"/>
      <c r="G36" s="51"/>
    </row>
    <row r="37" spans="1:7">
      <c r="A37" s="415"/>
      <c r="C37" s="51"/>
      <c r="D37" s="51"/>
      <c r="E37" s="51"/>
      <c r="F37" s="51"/>
      <c r="G37" s="51"/>
    </row>
    <row r="38" spans="1:7">
      <c r="A38" s="415"/>
      <c r="C38" s="51"/>
      <c r="D38" s="51"/>
      <c r="E38" s="51"/>
      <c r="F38" s="51"/>
      <c r="G38" s="51"/>
    </row>
    <row r="39" spans="1:7">
      <c r="A39" s="415"/>
      <c r="C39" s="51"/>
      <c r="D39" s="51"/>
      <c r="E39" s="51"/>
      <c r="F39" s="51"/>
      <c r="G39" s="51"/>
    </row>
    <row r="40" spans="1:7">
      <c r="A40" s="415"/>
      <c r="C40" s="51"/>
      <c r="D40" s="51"/>
      <c r="E40" s="51"/>
      <c r="F40" s="51"/>
      <c r="G40" s="51"/>
    </row>
    <row r="41" spans="1:7">
      <c r="A41" s="415"/>
      <c r="C41" s="51"/>
      <c r="D41" s="51"/>
      <c r="E41" s="51"/>
      <c r="F41" s="51"/>
      <c r="G41" s="51"/>
    </row>
    <row r="42" spans="1:7">
      <c r="A42" s="415"/>
      <c r="C42" s="51"/>
      <c r="D42" s="51"/>
      <c r="E42" s="51"/>
      <c r="F42" s="51"/>
      <c r="G42" s="51"/>
    </row>
    <row r="43" spans="1:7">
      <c r="A43" s="415"/>
      <c r="C43" s="51"/>
      <c r="D43" s="51"/>
      <c r="E43" s="51"/>
      <c r="F43" s="51"/>
      <c r="G43" s="51"/>
    </row>
    <row r="44" spans="1:7">
      <c r="A44" s="415"/>
      <c r="C44" s="51"/>
      <c r="D44" s="51"/>
      <c r="E44" s="51"/>
      <c r="F44" s="51"/>
      <c r="G44" s="51"/>
    </row>
    <row r="45" spans="1:7">
      <c r="A45" s="415"/>
      <c r="C45" s="51"/>
      <c r="D45" s="51"/>
      <c r="E45" s="51"/>
      <c r="F45" s="51"/>
      <c r="G45" s="51"/>
    </row>
    <row r="46" spans="1:7">
      <c r="A46" s="415"/>
      <c r="C46" s="51"/>
      <c r="D46" s="51"/>
      <c r="E46" s="51"/>
      <c r="F46" s="51"/>
      <c r="G46" s="51"/>
    </row>
    <row r="47" spans="1:7">
      <c r="A47" s="415"/>
      <c r="C47" s="51"/>
      <c r="D47" s="51"/>
      <c r="E47" s="51"/>
      <c r="F47" s="51"/>
      <c r="G47" s="51"/>
    </row>
    <row r="48" spans="1:7">
      <c r="A48" s="415"/>
      <c r="C48" s="51"/>
      <c r="D48" s="51"/>
      <c r="E48" s="51"/>
      <c r="F48" s="51"/>
      <c r="G48" s="51"/>
    </row>
    <row r="49" spans="1:7">
      <c r="A49" s="415"/>
      <c r="C49" s="51"/>
      <c r="D49" s="51"/>
      <c r="E49" s="51"/>
      <c r="F49" s="51"/>
      <c r="G49" s="51"/>
    </row>
    <row r="50" spans="1:7">
      <c r="A50" s="415"/>
      <c r="C50" s="51"/>
      <c r="D50" s="51"/>
      <c r="E50" s="51"/>
      <c r="F50" s="51"/>
      <c r="G50" s="51"/>
    </row>
    <row r="51" spans="1:7">
      <c r="A51" s="415"/>
      <c r="C51" s="51"/>
      <c r="D51" s="51"/>
      <c r="E51" s="51"/>
      <c r="F51" s="51"/>
      <c r="G51" s="51"/>
    </row>
    <row r="52" spans="1:7">
      <c r="A52" s="415"/>
      <c r="C52" s="51"/>
      <c r="D52" s="51"/>
      <c r="E52" s="51"/>
      <c r="F52" s="51"/>
      <c r="G52" s="51"/>
    </row>
    <row r="53" spans="1:7">
      <c r="A53" s="415"/>
      <c r="C53" s="51"/>
      <c r="D53" s="51"/>
      <c r="E53" s="51"/>
      <c r="F53" s="51"/>
      <c r="G53" s="51"/>
    </row>
    <row r="54" spans="1:7">
      <c r="A54" s="415"/>
      <c r="C54" s="51"/>
      <c r="D54" s="51"/>
      <c r="E54" s="51"/>
      <c r="F54" s="51"/>
      <c r="G54" s="51"/>
    </row>
    <row r="55" spans="1:7">
      <c r="A55" s="415"/>
      <c r="C55" s="51"/>
      <c r="D55" s="51"/>
      <c r="E55" s="51"/>
      <c r="F55" s="51"/>
      <c r="G55" s="51"/>
    </row>
    <row r="56" spans="1:7">
      <c r="A56" s="415"/>
      <c r="C56" s="51"/>
      <c r="D56" s="51"/>
      <c r="E56" s="51"/>
      <c r="F56" s="51"/>
      <c r="G56" s="51"/>
    </row>
    <row r="57" spans="1:7">
      <c r="A57" s="415"/>
      <c r="C57" s="51"/>
      <c r="D57" s="51"/>
      <c r="E57" s="51"/>
      <c r="F57" s="51"/>
      <c r="G57" s="51"/>
    </row>
    <row r="58" spans="1:7" ht="7.5" customHeight="1">
      <c r="A58" s="415"/>
    </row>
    <row r="59" spans="1:7" hidden="1"/>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spans="28:28" hidden="1"/>
    <row r="242" spans="28:28" hidden="1"/>
    <row r="243" spans="28:28" hidden="1"/>
    <row r="244" spans="28:28" hidden="1"/>
    <row r="245" spans="28:28" hidden="1"/>
    <row r="246" spans="28:28" hidden="1"/>
    <row r="247" spans="28:28" hidden="1"/>
    <row r="248" spans="28:28" hidden="1"/>
    <row r="249" spans="28:28" hidden="1"/>
    <row r="250" spans="28:28" hidden="1">
      <c r="AB250" t="s">
        <v>194</v>
      </c>
    </row>
    <row r="251" spans="28:28" hidden="1"/>
    <row r="252" spans="28:28" hidden="1"/>
    <row r="253" spans="28:28" hidden="1"/>
    <row r="254" spans="28:28" hidden="1"/>
    <row r="255" spans="28:28" hidden="1"/>
    <row r="256" spans="28:28"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sheetData>
  <mergeCells count="1">
    <mergeCell ref="G7:G8"/>
  </mergeCells>
  <phoneticPr fontId="8" type="noConversion"/>
  <hyperlinks>
    <hyperlink ref="E11" location="'POR_Sum Existing'!A1" display="POR_Sum Existing"/>
    <hyperlink ref="E12" location="'POR_Sum Proposed'!A1" display="POR_Sum Proposed"/>
    <hyperlink ref="E13" location="Dashboard!A1" display="Dashboard"/>
    <hyperlink ref="E14" location="'Figure 1'!A1" display="Figure 1"/>
  </hyperlinks>
  <pageMargins left="0.75" right="0.75" top="0.75" bottom="0.75" header="0.5" footer="0.5"/>
  <pageSetup scale="51"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tabColor theme="2" tint="-0.749992370372631"/>
    <pageSetUpPr fitToPage="1"/>
  </sheetPr>
  <dimension ref="A1:AQ364"/>
  <sheetViews>
    <sheetView showGridLines="0" zoomScale="70" zoomScaleNormal="70" zoomScaleSheetLayoutView="75" workbookViewId="0">
      <pane xSplit="6" ySplit="7" topLeftCell="I41" activePane="bottomRight" state="frozen"/>
      <selection activeCell="D15" sqref="D15"/>
      <selection pane="topRight" activeCell="D15" sqref="D15"/>
      <selection pane="bottomLeft" activeCell="D15" sqref="D15"/>
      <selection pane="bottomRight" activeCell="J74" sqref="J74"/>
    </sheetView>
  </sheetViews>
  <sheetFormatPr defaultColWidth="0" defaultRowHeight="15.75" customHeight="1" zeroHeight="1"/>
  <cols>
    <col min="1" max="1" width="22.5" style="1466" customWidth="1"/>
    <col min="2" max="2" width="2" style="1466" customWidth="1"/>
    <col min="3" max="3" width="6.75" style="1466" hidden="1" customWidth="1"/>
    <col min="4" max="4" width="26.5" style="1466" customWidth="1"/>
    <col min="5" max="6" width="15.5" style="1466" customWidth="1"/>
    <col min="7" max="21" width="14.625" style="1481" customWidth="1"/>
    <col min="22" max="22" width="2.625" style="1466" customWidth="1"/>
    <col min="23" max="35" width="9" style="1466" customWidth="1"/>
    <col min="36" max="36" width="14" style="1466" bestFit="1" customWidth="1"/>
    <col min="37" max="43" width="0" style="1466" hidden="1" customWidth="1"/>
    <col min="44" max="16384" width="9" style="1466" hidden="1"/>
  </cols>
  <sheetData>
    <row r="1" spans="1:22" ht="23.25">
      <c r="A1" s="1360"/>
      <c r="B1" s="1463"/>
      <c r="C1" s="1464"/>
      <c r="D1" s="1465"/>
      <c r="E1" s="1465"/>
      <c r="F1" s="1465"/>
      <c r="G1" s="1465"/>
      <c r="H1" s="1465"/>
      <c r="I1" s="1465"/>
      <c r="J1" s="1465"/>
      <c r="K1" s="1465"/>
      <c r="L1" s="1465"/>
      <c r="M1" s="1465"/>
      <c r="N1" s="1465"/>
      <c r="O1" s="1465"/>
      <c r="P1" s="1465"/>
      <c r="Q1" s="1465"/>
      <c r="R1" s="1465"/>
      <c r="S1" s="1465"/>
      <c r="T1" s="1465"/>
      <c r="U1" s="1465"/>
      <c r="V1" s="1463"/>
    </row>
    <row r="2" spans="1:22" ht="23.25">
      <c r="A2" s="1360"/>
      <c r="B2" s="1463"/>
      <c r="C2" s="4421" t="str">
        <f>Client</f>
        <v>Grant County Public Utility District</v>
      </c>
      <c r="D2" s="4421"/>
      <c r="E2" s="4421"/>
      <c r="F2" s="4421"/>
      <c r="G2" s="4421"/>
      <c r="H2" s="4421"/>
      <c r="I2" s="4421"/>
      <c r="J2" s="1624" t="s">
        <v>2181</v>
      </c>
      <c r="K2" s="1520"/>
      <c r="L2" s="562" t="s">
        <v>3493</v>
      </c>
      <c r="M2" s="1467"/>
      <c r="N2" s="1467"/>
      <c r="O2" s="1467"/>
      <c r="P2" s="1467"/>
      <c r="Q2" s="1467"/>
      <c r="R2" s="1467"/>
      <c r="S2" s="1467"/>
      <c r="T2" s="1467"/>
      <c r="U2" s="1467"/>
      <c r="V2" s="1463"/>
    </row>
    <row r="3" spans="1:22" ht="23.25">
      <c r="A3" s="1360"/>
      <c r="B3" s="1463"/>
      <c r="C3" s="4421" t="s">
        <v>554</v>
      </c>
      <c r="D3" s="4421"/>
      <c r="E3" s="4421"/>
      <c r="F3" s="4421"/>
      <c r="G3" s="4421"/>
      <c r="H3" s="4421"/>
      <c r="I3" s="4421"/>
      <c r="J3" s="562" t="s">
        <v>3971</v>
      </c>
      <c r="K3" s="1624"/>
      <c r="L3" s="1624" t="s">
        <v>3499</v>
      </c>
      <c r="M3" s="1467"/>
      <c r="N3" s="1467"/>
      <c r="O3" s="1467"/>
      <c r="P3" s="1467"/>
      <c r="Q3" s="1467"/>
      <c r="R3" s="1467"/>
      <c r="S3" s="1467"/>
      <c r="T3" s="1467"/>
      <c r="U3" s="1467"/>
      <c r="V3" s="1463"/>
    </row>
    <row r="4" spans="1:22" ht="18.75">
      <c r="A4" s="1360"/>
      <c r="B4" s="1463"/>
      <c r="C4" s="1468"/>
      <c r="D4" s="1469"/>
      <c r="E4" s="1469"/>
      <c r="F4" s="1469"/>
      <c r="G4" s="1468"/>
      <c r="H4" s="1468"/>
      <c r="I4" s="1468"/>
      <c r="J4" s="1468"/>
      <c r="K4" s="1468"/>
      <c r="L4" s="1468"/>
      <c r="M4" s="1468"/>
      <c r="N4" s="1468"/>
      <c r="O4" s="1468"/>
      <c r="P4" s="1468"/>
      <c r="Q4" s="1468"/>
      <c r="R4" s="1468"/>
      <c r="S4" s="1468"/>
      <c r="T4" s="1468"/>
      <c r="U4" s="1468"/>
      <c r="V4" s="1463"/>
    </row>
    <row r="5" spans="1:22">
      <c r="A5" s="1360"/>
      <c r="B5" s="1463"/>
      <c r="C5" s="1464"/>
      <c r="D5" s="1464"/>
      <c r="E5" s="1464"/>
      <c r="F5" s="1464"/>
      <c r="G5" s="1470"/>
      <c r="H5" s="1470"/>
      <c r="I5" s="1470"/>
      <c r="J5" s="1468"/>
      <c r="K5" s="1468"/>
      <c r="L5" s="1468"/>
      <c r="M5" s="1468"/>
      <c r="N5" s="1468"/>
      <c r="O5" s="1468"/>
      <c r="P5" s="1468"/>
      <c r="Q5" s="1468"/>
      <c r="R5" s="1468"/>
      <c r="S5" s="1468"/>
      <c r="T5" s="1468"/>
      <c r="U5" s="1468"/>
      <c r="V5" s="1463"/>
    </row>
    <row r="6" spans="1:22">
      <c r="A6" s="1360"/>
      <c r="B6" s="1463"/>
      <c r="C6" s="4419" t="s">
        <v>867</v>
      </c>
      <c r="D6" s="4419" t="s">
        <v>399</v>
      </c>
      <c r="E6" s="4419"/>
      <c r="F6" s="4419"/>
      <c r="G6" s="1471"/>
      <c r="H6" s="1471"/>
      <c r="I6" s="1687"/>
      <c r="J6" s="1471"/>
      <c r="K6" s="1471"/>
      <c r="L6" s="1471"/>
      <c r="M6" s="1471"/>
      <c r="N6" s="1471"/>
      <c r="O6" s="1471"/>
      <c r="P6" s="1471"/>
      <c r="Q6" s="1471"/>
      <c r="R6" s="1471"/>
      <c r="S6" s="1471"/>
      <c r="T6" s="1471"/>
      <c r="U6" s="1471"/>
      <c r="V6" s="1472"/>
    </row>
    <row r="7" spans="1:22">
      <c r="A7" s="1360"/>
      <c r="B7" s="1463"/>
      <c r="C7" s="4420" t="s">
        <v>867</v>
      </c>
      <c r="D7" s="4420"/>
      <c r="E7" s="4422"/>
      <c r="F7" s="4422"/>
      <c r="G7" s="1473">
        <f>H7-1</f>
        <v>2012</v>
      </c>
      <c r="H7" s="1336">
        <f>Dashboard!F$7</f>
        <v>2013</v>
      </c>
      <c r="I7" s="1336">
        <f>Dashboard!G$7</f>
        <v>2014</v>
      </c>
      <c r="J7" s="1336">
        <f>Dashboard!H$7</f>
        <v>2015</v>
      </c>
      <c r="K7" s="1336">
        <f>Dashboard!I$7</f>
        <v>2016</v>
      </c>
      <c r="L7" s="1336">
        <f>Dashboard!J$7</f>
        <v>2017</v>
      </c>
      <c r="M7" s="1336">
        <f>Dashboard!K$7</f>
        <v>2018</v>
      </c>
      <c r="N7" s="1336">
        <f>Dashboard!L$7</f>
        <v>2019</v>
      </c>
      <c r="O7" s="1336">
        <f>Dashboard!M$7</f>
        <v>2020</v>
      </c>
      <c r="P7" s="1336">
        <f>Dashboard!N$7</f>
        <v>2021</v>
      </c>
      <c r="Q7" s="1336">
        <f>Dashboard!O$7</f>
        <v>2022</v>
      </c>
      <c r="R7" s="1336">
        <f>Dashboard!P$7</f>
        <v>2023</v>
      </c>
      <c r="S7" s="1336">
        <f>Dashboard!Q$7</f>
        <v>2024</v>
      </c>
      <c r="T7" s="1336">
        <f>Dashboard!R$7</f>
        <v>2025</v>
      </c>
      <c r="U7" s="1336">
        <f>Dashboard!S$7</f>
        <v>2026</v>
      </c>
      <c r="V7" s="1463"/>
    </row>
    <row r="8" spans="1:22">
      <c r="A8" s="1360"/>
      <c r="B8" s="1463"/>
      <c r="C8" s="1463"/>
      <c r="D8" s="1474"/>
      <c r="E8" s="1474"/>
      <c r="F8" s="1474"/>
      <c r="G8" s="1463"/>
      <c r="H8" s="1463"/>
      <c r="I8" s="1688"/>
      <c r="J8" s="1463"/>
      <c r="K8" s="1463"/>
      <c r="L8" s="1463"/>
      <c r="M8" s="1463"/>
      <c r="N8" s="1463"/>
      <c r="O8" s="1463"/>
      <c r="P8" s="1463"/>
      <c r="Q8" s="1463"/>
      <c r="R8" s="1463"/>
      <c r="S8" s="1463"/>
      <c r="T8" s="1463"/>
      <c r="U8" s="1463"/>
      <c r="V8" s="1463"/>
    </row>
    <row r="9" spans="1:22" s="1478" customFormat="1">
      <c r="A9" s="1360"/>
      <c r="B9" s="1475"/>
      <c r="C9" s="1476">
        <v>1</v>
      </c>
      <c r="D9" s="1477" t="s">
        <v>890</v>
      </c>
      <c r="E9" s="1477"/>
      <c r="F9" s="1477"/>
      <c r="G9" s="1435">
        <f>'Fin Forecast - Elec'!G9</f>
        <v>3937200</v>
      </c>
      <c r="H9" s="1435">
        <f>'Fin Forecast - Elec'!H9</f>
        <v>3912800</v>
      </c>
      <c r="I9" s="1689">
        <f>'Fin Forecast - Elec'!I9</f>
        <v>4130000</v>
      </c>
      <c r="J9" s="1435">
        <f>'Fin Forecast - Elec'!J9</f>
        <v>4495900</v>
      </c>
      <c r="K9" s="1435">
        <f>'Fin Forecast - Elec'!K9</f>
        <v>4521600</v>
      </c>
      <c r="L9" s="1435">
        <f>'Fin Forecast - Elec'!L9</f>
        <v>4832200</v>
      </c>
      <c r="M9" s="1435">
        <f>'Fin Forecast - Elec'!M9</f>
        <v>5095300</v>
      </c>
      <c r="N9" s="1435">
        <f>'Fin Forecast - Elec'!N9</f>
        <v>5450700</v>
      </c>
      <c r="O9" s="1435">
        <f>'Fin Forecast - Elec'!O9</f>
        <v>5711600</v>
      </c>
      <c r="P9" s="1435">
        <f>'Fin Forecast - Elec'!P9</f>
        <v>5908000</v>
      </c>
      <c r="Q9" s="1435">
        <f>'Fin Forecast - Elec'!Q9</f>
        <v>6064800</v>
      </c>
      <c r="R9" s="1435">
        <f>'Fin Forecast - Elec'!R9</f>
        <v>6242800</v>
      </c>
      <c r="S9" s="1435">
        <f>'Fin Forecast - Elec'!S9</f>
        <v>6439400</v>
      </c>
      <c r="T9" s="1435">
        <f>'Fin Forecast - Elec'!T9</f>
        <v>6571300</v>
      </c>
      <c r="U9" s="1435">
        <f>'Fin Forecast - Elec'!U9</f>
        <v>6710200</v>
      </c>
      <c r="V9" s="1435"/>
    </row>
    <row r="10" spans="1:22">
      <c r="A10" s="1360"/>
      <c r="B10" s="1463"/>
      <c r="C10" s="1463"/>
      <c r="D10" s="1474"/>
      <c r="E10" s="1474"/>
      <c r="F10" s="1474"/>
      <c r="G10" s="1463"/>
      <c r="H10" s="1463"/>
      <c r="I10" s="1688"/>
      <c r="J10" s="1463"/>
      <c r="K10" s="1463"/>
      <c r="L10" s="1463"/>
      <c r="M10" s="1463"/>
      <c r="N10" s="1463"/>
      <c r="O10" s="1463"/>
      <c r="P10" s="1463"/>
      <c r="Q10" s="1463"/>
      <c r="R10" s="1463"/>
      <c r="S10" s="1463"/>
      <c r="T10" s="1463"/>
      <c r="U10" s="1463"/>
      <c r="V10" s="1463"/>
    </row>
    <row r="11" spans="1:22">
      <c r="A11" s="1360"/>
      <c r="B11" s="1463"/>
      <c r="C11" s="1464"/>
      <c r="D11" s="1743" t="s">
        <v>883</v>
      </c>
      <c r="E11" s="1479"/>
      <c r="F11" s="1479"/>
      <c r="G11" s="1464"/>
      <c r="H11" s="1464"/>
      <c r="I11" s="1690"/>
      <c r="J11" s="1464"/>
      <c r="K11" s="1464"/>
      <c r="L11" s="1464"/>
      <c r="M11" s="1464"/>
      <c r="N11" s="1464"/>
      <c r="O11" s="1464"/>
      <c r="P11" s="1464"/>
      <c r="Q11" s="1464"/>
      <c r="R11" s="1464"/>
      <c r="S11" s="1464"/>
      <c r="T11" s="1464"/>
      <c r="U11" s="1464"/>
      <c r="V11" s="1463"/>
    </row>
    <row r="12" spans="1:22">
      <c r="A12" s="1360"/>
      <c r="B12" s="1463"/>
      <c r="C12" s="1476">
        <f>IF(D12="","",MAX(C$9:C11)+1)</f>
        <v>2</v>
      </c>
      <c r="D12" s="1480" t="s">
        <v>189</v>
      </c>
      <c r="E12" s="1480"/>
      <c r="F12" s="1480"/>
      <c r="I12" s="1691"/>
      <c r="V12" s="1463"/>
    </row>
    <row r="13" spans="1:22">
      <c r="A13" s="1360"/>
      <c r="B13" s="1463"/>
      <c r="C13" s="1476">
        <f>IF(D13="","",MAX(C$9:C12)+1)</f>
        <v>3</v>
      </c>
      <c r="D13" s="1482" t="s">
        <v>282</v>
      </c>
      <c r="E13" s="1482"/>
      <c r="F13" s="1482"/>
      <c r="I13" s="1691"/>
      <c r="V13" s="1463"/>
    </row>
    <row r="14" spans="1:22">
      <c r="A14" s="1360"/>
      <c r="B14" s="1463"/>
      <c r="C14" s="1476">
        <f>IF(D14="","",MAX(C$9:C13)+1)</f>
        <v>4</v>
      </c>
      <c r="D14" s="1484" t="s">
        <v>521</v>
      </c>
      <c r="E14" s="1484"/>
      <c r="F14" s="1484"/>
      <c r="G14" s="1483">
        <f>'Fin Forecast - Elec'!G14</f>
        <v>36116971.762110069</v>
      </c>
      <c r="H14" s="1483">
        <f>'Fin Forecast - Elec'!H14</f>
        <v>39543452.574530959</v>
      </c>
      <c r="I14" s="1692">
        <f>'Fin Forecast - Elec'!I14</f>
        <v>40126635.651825801</v>
      </c>
      <c r="J14" s="1483">
        <f>'Fin Forecast - Elec'!J14</f>
        <v>41424780.989396721</v>
      </c>
      <c r="K14" s="1483">
        <f>'Fin Forecast - Elec'!K14</f>
        <v>43330607.45485945</v>
      </c>
      <c r="L14" s="1483">
        <f>'Fin Forecast - Elec'!L14</f>
        <v>43903694.812468678</v>
      </c>
      <c r="M14" s="1483">
        <f>'Fin Forecast - Elec'!M14</f>
        <v>44505412.902738735</v>
      </c>
      <c r="N14" s="1483">
        <f>'Fin Forecast - Elec'!N14</f>
        <v>45115820.061369091</v>
      </c>
      <c r="O14" s="1483">
        <f>'Fin Forecast - Elec'!O14</f>
        <v>45756173.883008912</v>
      </c>
      <c r="P14" s="1483">
        <f>'Fin Forecast - Elec'!P14</f>
        <v>46364498.680134758</v>
      </c>
      <c r="Q14" s="1483">
        <f>'Fin Forecast - Elec'!Q14</f>
        <v>47003001.535892956</v>
      </c>
      <c r="R14" s="1483">
        <f>'Fin Forecast - Elec'!R14</f>
        <v>47651038.484054431</v>
      </c>
      <c r="S14" s="1483">
        <f>'Fin Forecast - Elec'!S14</f>
        <v>48330648.920275912</v>
      </c>
      <c r="T14" s="1483">
        <f>'Fin Forecast - Elec'!T14</f>
        <v>48976589.433980763</v>
      </c>
      <c r="U14" s="1483">
        <f>'Fin Forecast - Elec'!U14</f>
        <v>49654152.68996156</v>
      </c>
      <c r="V14" s="1463"/>
    </row>
    <row r="15" spans="1:22">
      <c r="A15" s="1360"/>
      <c r="B15" s="1463"/>
      <c r="C15" s="1476">
        <f>IF(D15="","",MAX(C$9:C14)+1)</f>
        <v>5</v>
      </c>
      <c r="D15" s="1484" t="s">
        <v>727</v>
      </c>
      <c r="E15" s="1484"/>
      <c r="F15" s="1484"/>
      <c r="G15" s="1483">
        <f>'Fin Forecast - Elec'!G15</f>
        <v>19511044.590033971</v>
      </c>
      <c r="H15" s="1483">
        <f>'Fin Forecast - Elec'!H15</f>
        <v>20898813.817650307</v>
      </c>
      <c r="I15" s="1692">
        <f>'Fin Forecast - Elec'!I15</f>
        <v>23028980.079743613</v>
      </c>
      <c r="J15" s="1483">
        <f>'Fin Forecast - Elec'!J15</f>
        <v>21928955.920960672</v>
      </c>
      <c r="K15" s="1483">
        <f>'Fin Forecast - Elec'!K15</f>
        <v>24640276.399856191</v>
      </c>
      <c r="L15" s="1483">
        <f>'Fin Forecast - Elec'!L15</f>
        <v>23928010.324111272</v>
      </c>
      <c r="M15" s="1483">
        <f>'Fin Forecast - Elec'!M15</f>
        <v>24173026.454235099</v>
      </c>
      <c r="N15" s="1483">
        <f>'Fin Forecast - Elec'!N15</f>
        <v>24418042.584358923</v>
      </c>
      <c r="O15" s="1483">
        <f>'Fin Forecast - Elec'!O15</f>
        <v>24663058.714482747</v>
      </c>
      <c r="P15" s="1483">
        <f>'Fin Forecast - Elec'!P15</f>
        <v>24908074.844606567</v>
      </c>
      <c r="Q15" s="1483">
        <f>'Fin Forecast - Elec'!Q15</f>
        <v>25154771.820923492</v>
      </c>
      <c r="R15" s="1483">
        <f>'Fin Forecast - Elec'!R15</f>
        <v>25399787.951047327</v>
      </c>
      <c r="S15" s="1483">
        <f>'Fin Forecast - Elec'!S15</f>
        <v>25646484.927364241</v>
      </c>
      <c r="T15" s="1483">
        <f>'Fin Forecast - Elec'!T15</f>
        <v>25891501.057488065</v>
      </c>
      <c r="U15" s="1483">
        <f>'Fin Forecast - Elec'!U15</f>
        <v>26138198.033804983</v>
      </c>
      <c r="V15" s="1463"/>
    </row>
    <row r="16" spans="1:22">
      <c r="A16" s="1360"/>
      <c r="B16" s="1463"/>
      <c r="C16" s="1476">
        <f>IF(D16="","",MAX(C$9:C15)+1)</f>
        <v>6</v>
      </c>
      <c r="D16" s="1484" t="s">
        <v>2221</v>
      </c>
      <c r="E16" s="1484"/>
      <c r="F16" s="1484"/>
      <c r="G16" s="1483">
        <f>'Fin Forecast - Elec'!G16</f>
        <v>85950779.503907681</v>
      </c>
      <c r="H16" s="1483">
        <f>'Fin Forecast - Elec'!H16</f>
        <v>87441700.618536085</v>
      </c>
      <c r="I16" s="1692">
        <f>'Fin Forecast - Elec'!I16</f>
        <v>95420238.134129256</v>
      </c>
      <c r="J16" s="1483">
        <f>'Fin Forecast - Elec'!J16</f>
        <v>106876135.2238275</v>
      </c>
      <c r="K16" s="1483">
        <f>'Fin Forecast - Elec'!K16</f>
        <v>108906680.89356728</v>
      </c>
      <c r="L16" s="1483">
        <f>'Fin Forecast - Elec'!L16</f>
        <v>120308749.51426256</v>
      </c>
      <c r="M16" s="1483">
        <f>'Fin Forecast - Elec'!M16</f>
        <v>129329148.02549994</v>
      </c>
      <c r="N16" s="1483">
        <f>'Fin Forecast - Elec'!N16</f>
        <v>141156872.60647896</v>
      </c>
      <c r="O16" s="1483">
        <f>'Fin Forecast - Elec'!O16</f>
        <v>149251158.43198472</v>
      </c>
      <c r="P16" s="1483">
        <f>'Fin Forecast - Elec'!P16</f>
        <v>155380410.74327952</v>
      </c>
      <c r="Q16" s="1483">
        <f>'Fin Forecast - Elec'!Q16</f>
        <v>160290799.20595571</v>
      </c>
      <c r="R16" s="1483">
        <f>'Fin Forecast - Elec'!R16</f>
        <v>166067665.91296864</v>
      </c>
      <c r="S16" s="1483">
        <f>'Fin Forecast - Elec'!S16</f>
        <v>172464303.67865202</v>
      </c>
      <c r="T16" s="1483">
        <f>'Fin Forecast - Elec'!T16</f>
        <v>176794450.33451432</v>
      </c>
      <c r="U16" s="1483">
        <f>'Fin Forecast - Elec'!U16</f>
        <v>181239635.99150169</v>
      </c>
      <c r="V16" s="1463"/>
    </row>
    <row r="17" spans="1:22">
      <c r="A17" s="1360"/>
      <c r="B17" s="1463"/>
      <c r="C17" s="1476">
        <f>IF(D17="","",MAX(C$9:C16)+1)</f>
        <v>7</v>
      </c>
      <c r="D17" s="1484" t="s">
        <v>2220</v>
      </c>
      <c r="E17" s="1484"/>
      <c r="F17" s="1484"/>
      <c r="G17" s="1483">
        <f>'Fin Forecast - Elec'!G17</f>
        <v>1021029.080855742</v>
      </c>
      <c r="H17" s="1483">
        <f>'Fin Forecast - Elec'!H17</f>
        <v>1030492.622826336</v>
      </c>
      <c r="I17" s="1692">
        <f>'Fin Forecast - Elec'!I17</f>
        <v>996078.93281111179</v>
      </c>
      <c r="J17" s="1483">
        <f>'Fin Forecast - Elec'!J17</f>
        <v>1029382.144384724</v>
      </c>
      <c r="K17" s="1483">
        <f>'Fin Forecast - Elec'!K17</f>
        <v>1011154.8310764299</v>
      </c>
      <c r="L17" s="1483">
        <f>'Fin Forecast - Elec'!L17</f>
        <v>1011154.8310764299</v>
      </c>
      <c r="M17" s="1483">
        <f>'Fin Forecast - Elec'!M17</f>
        <v>1011154.8310764299</v>
      </c>
      <c r="N17" s="1483">
        <f>'Fin Forecast - Elec'!N17</f>
        <v>1011154.8310764299</v>
      </c>
      <c r="O17" s="1483">
        <f>'Fin Forecast - Elec'!O17</f>
        <v>1011154.8310764299</v>
      </c>
      <c r="P17" s="1483">
        <f>'Fin Forecast - Elec'!P17</f>
        <v>1011154.8310764299</v>
      </c>
      <c r="Q17" s="1483">
        <f>'Fin Forecast - Elec'!Q17</f>
        <v>1011154.8310764299</v>
      </c>
      <c r="R17" s="1483">
        <f>'Fin Forecast - Elec'!R17</f>
        <v>1011154.8310764299</v>
      </c>
      <c r="S17" s="1483">
        <f>'Fin Forecast - Elec'!S17</f>
        <v>1011154.8310764299</v>
      </c>
      <c r="T17" s="1483">
        <f>'Fin Forecast - Elec'!T17</f>
        <v>1011154.8310764299</v>
      </c>
      <c r="U17" s="1483">
        <f>'Fin Forecast - Elec'!U17</f>
        <v>1011154.8310764299</v>
      </c>
      <c r="V17" s="1463"/>
    </row>
    <row r="18" spans="1:22">
      <c r="A18" s="1360"/>
      <c r="B18" s="1463"/>
      <c r="C18" s="1476">
        <f>IF(D18="","",MAX(C$9:C17)+1)</f>
        <v>8</v>
      </c>
      <c r="D18" s="1482" t="s">
        <v>2602</v>
      </c>
      <c r="E18" s="1484"/>
      <c r="F18" s="1484"/>
      <c r="G18" s="1483">
        <f>'Fin Forecast - Elec'!G58</f>
        <v>0</v>
      </c>
      <c r="H18" s="1483">
        <f>'Fin Forecast - Elec'!H58</f>
        <v>0</v>
      </c>
      <c r="I18" s="1692">
        <f>'Fin Forecast - Elec'!I58</f>
        <v>0</v>
      </c>
      <c r="J18" s="1483">
        <f>'Fin Forecast - Elec'!J58</f>
        <v>0</v>
      </c>
      <c r="K18" s="1483">
        <f>'Fin Forecast - Elec'!K58</f>
        <v>0</v>
      </c>
      <c r="L18" s="1483">
        <f>'Fin Forecast - Elec'!L58</f>
        <v>3783000</v>
      </c>
      <c r="M18" s="1483">
        <f>'Fin Forecast - Elec'!M58</f>
        <v>8040400</v>
      </c>
      <c r="N18" s="1483">
        <f>'Fin Forecast - Elec'!N58</f>
        <v>12957800</v>
      </c>
      <c r="O18" s="1483">
        <f>'Fin Forecast - Elec'!O58</f>
        <v>18191200</v>
      </c>
      <c r="P18" s="1483">
        <f>'Fin Forecast - Elec'!P58</f>
        <v>23695400</v>
      </c>
      <c r="Q18" s="1483">
        <f>'Fin Forecast - Elec'!Q58</f>
        <v>29453900</v>
      </c>
      <c r="R18" s="1483">
        <f>'Fin Forecast - Elec'!R58</f>
        <v>35703700</v>
      </c>
      <c r="S18" s="1483">
        <f>'Fin Forecast - Elec'!S58</f>
        <v>42477600</v>
      </c>
      <c r="T18" s="1483">
        <f>'Fin Forecast - Elec'!T58</f>
        <v>49294500</v>
      </c>
      <c r="U18" s="1483">
        <f>'Fin Forecast - Elec'!U58</f>
        <v>56510200</v>
      </c>
      <c r="V18" s="1463"/>
    </row>
    <row r="19" spans="1:22">
      <c r="A19" s="1360"/>
      <c r="B19" s="1463"/>
      <c r="C19" s="1476">
        <f>IF(D19="","",MAX(C$9:C18)+1)</f>
        <v>9</v>
      </c>
      <c r="D19" s="1482" t="s">
        <v>264</v>
      </c>
      <c r="E19" s="1482"/>
      <c r="F19" s="1482"/>
      <c r="G19" s="1385">
        <f>'Fin Forecast - Elec'!G20</f>
        <v>61781098.57</v>
      </c>
      <c r="H19" s="1385">
        <f>'Fin Forecast - Elec'!H20</f>
        <v>79297529.069999993</v>
      </c>
      <c r="I19" s="1689">
        <f>'Fin Forecast - Elec'!I20</f>
        <v>81069782.100000009</v>
      </c>
      <c r="J19" s="1385">
        <f>'Fin Forecast - Elec'!J20</f>
        <v>82051166.86999999</v>
      </c>
      <c r="K19" s="1385">
        <f>'Fin Forecast - Elec'!K20</f>
        <v>48076352.579858921</v>
      </c>
      <c r="L19" s="1385">
        <f>'Fin Forecast - Elec'!L20</f>
        <v>35992377.538601264</v>
      </c>
      <c r="M19" s="1385">
        <f>'Fin Forecast - Elec'!M20</f>
        <v>24642763.423588555</v>
      </c>
      <c r="N19" s="1385">
        <f>'Fin Forecast - Elec'!N20</f>
        <v>22914055.701018848</v>
      </c>
      <c r="O19" s="1385">
        <f>'Fin Forecast - Elec'!O20</f>
        <v>43172392.291625708</v>
      </c>
      <c r="P19" s="1385">
        <f>'Fin Forecast - Elec'!P20</f>
        <v>107117376.3092228</v>
      </c>
      <c r="Q19" s="1385">
        <f>'Fin Forecast - Elec'!Q20</f>
        <v>115565419.68582402</v>
      </c>
      <c r="R19" s="1385">
        <f>'Fin Forecast - Elec'!R20</f>
        <v>116787151.32321164</v>
      </c>
      <c r="S19" s="1385">
        <f>'Fin Forecast - Elec'!S20</f>
        <v>121107298.90224025</v>
      </c>
      <c r="T19" s="1385">
        <f>'Fin Forecast - Elec'!T20</f>
        <v>120788226.76333712</v>
      </c>
      <c r="U19" s="1385">
        <f>'Fin Forecast - Elec'!U20</f>
        <v>126949775.10137782</v>
      </c>
      <c r="V19" s="1463"/>
    </row>
    <row r="20" spans="1:22">
      <c r="A20" s="1360"/>
      <c r="B20" s="1463"/>
      <c r="C20" s="1476">
        <f>IF(D20="","",MAX(C$9:C19)+1)</f>
        <v>10</v>
      </c>
      <c r="D20" s="1482" t="s">
        <v>1998</v>
      </c>
      <c r="E20" s="1482"/>
      <c r="F20" s="1482"/>
      <c r="G20" s="1385">
        <f>'Fin Forecast - Elec'!G21</f>
        <v>3832582.09</v>
      </c>
      <c r="H20" s="1385">
        <f>'Fin Forecast - Elec'!H21</f>
        <v>4403766.55</v>
      </c>
      <c r="I20" s="1689">
        <f>'Fin Forecast - Elec'!I21</f>
        <v>5100712.3199999994</v>
      </c>
      <c r="J20" s="1385">
        <f>'Fin Forecast - Elec'!J21</f>
        <v>5338187.4400000004</v>
      </c>
      <c r="K20" s="1385">
        <f>'Fin Forecast - Elec'!K21</f>
        <v>5203236.6376320003</v>
      </c>
      <c r="L20" s="1385">
        <f>'Fin Forecast - Elec'!L21</f>
        <v>5255269.0040083202</v>
      </c>
      <c r="M20" s="1385">
        <f>'Fin Forecast - Elec'!M21</f>
        <v>5307821.6940484038</v>
      </c>
      <c r="N20" s="1385">
        <f>'Fin Forecast - Elec'!N21</f>
        <v>5360899.9109888878</v>
      </c>
      <c r="O20" s="1385">
        <f>'Fin Forecast - Elec'!O21</f>
        <v>5414508.9100987772</v>
      </c>
      <c r="P20" s="1385">
        <f>'Fin Forecast - Elec'!P21</f>
        <v>5468653.9991997648</v>
      </c>
      <c r="Q20" s="1385">
        <f>'Fin Forecast - Elec'!Q21</f>
        <v>5523340.5391917629</v>
      </c>
      <c r="R20" s="1385">
        <f>'Fin Forecast - Elec'!R21</f>
        <v>5578573.9445836805</v>
      </c>
      <c r="S20" s="1385">
        <f>'Fin Forecast - Elec'!S21</f>
        <v>5634359.6840295177</v>
      </c>
      <c r="T20" s="1385">
        <f>'Fin Forecast - Elec'!T21</f>
        <v>5690703.2808698127</v>
      </c>
      <c r="U20" s="1385">
        <f>'Fin Forecast - Elec'!U21</f>
        <v>5747610.3136785105</v>
      </c>
      <c r="V20" s="1463"/>
    </row>
    <row r="21" spans="1:22">
      <c r="A21" s="1360"/>
      <c r="B21" s="1463"/>
      <c r="C21" s="1476">
        <f>IF(D21="","",MAX(C$9:C20)+1)</f>
        <v>11</v>
      </c>
      <c r="D21" s="1482" t="s">
        <v>389</v>
      </c>
      <c r="E21" s="1491"/>
      <c r="F21" s="1491"/>
      <c r="G21" s="1483">
        <f>SUM('Fin Forecast - Elec'!G26:G31)</f>
        <v>2647762.3200000003</v>
      </c>
      <c r="H21" s="1483">
        <f>SUM('Fin Forecast - Elec'!H26:H31)</f>
        <v>1484142.3099999998</v>
      </c>
      <c r="I21" s="1692">
        <f>SUM('Fin Forecast - Elec'!I26:I31)</f>
        <v>4811988.4000000004</v>
      </c>
      <c r="J21" s="1483">
        <f>SUM('Fin Forecast - Elec'!J26:J31)</f>
        <v>6130527.7800000003</v>
      </c>
      <c r="K21" s="1483">
        <f>SUM('Fin Forecast - Elec'!K26:K31)</f>
        <v>8055948.715897738</v>
      </c>
      <c r="L21" s="1483">
        <f>SUM('Fin Forecast - Elec'!L26:L31)</f>
        <v>9557708.082302738</v>
      </c>
      <c r="M21" s="1483">
        <f>SUM('Fin Forecast - Elec'!M26:M31)</f>
        <v>16724609.140231552</v>
      </c>
      <c r="N21" s="1483">
        <f>SUM('Fin Forecast - Elec'!N26:N31)</f>
        <v>17162463.043354273</v>
      </c>
      <c r="O21" s="1483">
        <f>SUM('Fin Forecast - Elec'!O26:O31)</f>
        <v>18196964.638811089</v>
      </c>
      <c r="P21" s="1483">
        <f>SUM('Fin Forecast - Elec'!P26:P31)</f>
        <v>20422642.507734988</v>
      </c>
      <c r="Q21" s="1483">
        <f>SUM('Fin Forecast - Elec'!Q26:Q31)</f>
        <v>23491129.492177904</v>
      </c>
      <c r="R21" s="1483">
        <f>SUM('Fin Forecast - Elec'!R26:R31)</f>
        <v>27118101.752289809</v>
      </c>
      <c r="S21" s="1483">
        <f>SUM('Fin Forecast - Elec'!S26:S31)</f>
        <v>30674434.111143891</v>
      </c>
      <c r="T21" s="1483">
        <f>SUM('Fin Forecast - Elec'!T26:T31)</f>
        <v>35170386.017465115</v>
      </c>
      <c r="U21" s="1483">
        <f>SUM('Fin Forecast - Elec'!U26:U31)</f>
        <v>39573864.18049489</v>
      </c>
      <c r="V21" s="1463"/>
    </row>
    <row r="22" spans="1:22" ht="18">
      <c r="A22" s="1360"/>
      <c r="B22" s="1463"/>
      <c r="C22" s="1476">
        <f>IF(D22="","",MAX(C$9:C21)+1)</f>
        <v>12</v>
      </c>
      <c r="D22" s="1482" t="str">
        <f>'Other Inc_Summ.'!D15</f>
        <v>Contributions in Aid of Construction</v>
      </c>
      <c r="E22" s="1482"/>
      <c r="F22" s="1482"/>
      <c r="G22" s="1485">
        <f>'Fin Forecast - Elec'!G32</f>
        <v>3847423.78</v>
      </c>
      <c r="H22" s="1485">
        <f>'Fin Forecast - Elec'!H32</f>
        <v>11966255.630000001</v>
      </c>
      <c r="I22" s="1693">
        <f>'Fin Forecast - Elec'!I32</f>
        <v>22766657.059999999</v>
      </c>
      <c r="J22" s="1485">
        <f>'Fin Forecast - Elec'!J32</f>
        <v>13222301.92</v>
      </c>
      <c r="K22" s="1485">
        <f>'Fin Forecast - Elec'!K32</f>
        <v>18881042.1085</v>
      </c>
      <c r="L22" s="1485">
        <f>'Fin Forecast - Elec'!L32</f>
        <v>3771216.7979882499</v>
      </c>
      <c r="M22" s="1485">
        <f>'Fin Forecast - Elec'!M32</f>
        <v>6481437.273579197</v>
      </c>
      <c r="N22" s="1485">
        <f>'Fin Forecast - Elec'!N32</f>
        <v>13491703.741310302</v>
      </c>
      <c r="O22" s="1485">
        <f>'Fin Forecast - Elec'!O32</f>
        <v>2302016.4081461993</v>
      </c>
      <c r="P22" s="1485">
        <f>'Fin Forecast - Elec'!P32</f>
        <v>2312375.481982857</v>
      </c>
      <c r="Q22" s="1485">
        <f>'Fin Forecast - Elec'!Q32</f>
        <v>2322781.1716517797</v>
      </c>
      <c r="R22" s="1485">
        <f>'Fin Forecast - Elec'!R32</f>
        <v>2333233.6869242126</v>
      </c>
      <c r="S22" s="1485">
        <f>'Fin Forecast - Elec'!S32</f>
        <v>2343733.2385153715</v>
      </c>
      <c r="T22" s="1485">
        <f>'Fin Forecast - Elec'!T32</f>
        <v>2354280.0380886905</v>
      </c>
      <c r="U22" s="1485">
        <f>'Fin Forecast - Elec'!U32</f>
        <v>2364874.2982600895</v>
      </c>
      <c r="V22" s="1463"/>
    </row>
    <row r="23" spans="1:22" ht="15.75" customHeight="1">
      <c r="A23" s="1360"/>
      <c r="B23" s="1492"/>
      <c r="C23" s="1476">
        <f>IF(D23="","",MAX(C$9:C22)+1)</f>
        <v>13</v>
      </c>
      <c r="D23" s="1489" t="s">
        <v>2219</v>
      </c>
      <c r="E23" s="1489"/>
      <c r="F23" s="1489"/>
      <c r="G23" s="1494">
        <f t="shared" ref="G23:U23" si="0">SUM(G14:G22)</f>
        <v>214708691.69690743</v>
      </c>
      <c r="H23" s="1494">
        <f t="shared" si="0"/>
        <v>246066153.19354367</v>
      </c>
      <c r="I23" s="1694">
        <f t="shared" si="0"/>
        <v>273321072.67850977</v>
      </c>
      <c r="J23" s="1494">
        <f t="shared" si="0"/>
        <v>278001438.28856957</v>
      </c>
      <c r="K23" s="1494">
        <f t="shared" si="0"/>
        <v>258105299.62124804</v>
      </c>
      <c r="L23" s="1494">
        <f t="shared" si="0"/>
        <v>247511180.90481952</v>
      </c>
      <c r="M23" s="1494">
        <f t="shared" si="0"/>
        <v>260215773.74499792</v>
      </c>
      <c r="N23" s="1494">
        <f t="shared" si="0"/>
        <v>283588812.47995573</v>
      </c>
      <c r="O23" s="1494">
        <f t="shared" si="0"/>
        <v>307958628.10923463</v>
      </c>
      <c r="P23" s="1494">
        <f t="shared" si="0"/>
        <v>386680587.39723766</v>
      </c>
      <c r="Q23" s="1494">
        <f t="shared" si="0"/>
        <v>409816298.2826941</v>
      </c>
      <c r="R23" s="1494">
        <f t="shared" si="0"/>
        <v>427650407.88615614</v>
      </c>
      <c r="S23" s="1494">
        <f t="shared" si="0"/>
        <v>449690018.29329765</v>
      </c>
      <c r="T23" s="1494">
        <f t="shared" si="0"/>
        <v>465971791.75682038</v>
      </c>
      <c r="U23" s="1494">
        <f t="shared" si="0"/>
        <v>489189465.44015598</v>
      </c>
      <c r="V23" s="1492"/>
    </row>
    <row r="24" spans="1:22" ht="15.75" customHeight="1">
      <c r="A24" s="1360"/>
      <c r="B24" s="1492"/>
      <c r="C24" s="1476" t="str">
        <f>IF(D24="","",MAX(C$9:C23)+1)</f>
        <v/>
      </c>
      <c r="D24" s="1489"/>
      <c r="E24" s="1489"/>
      <c r="F24" s="1489"/>
      <c r="G24" s="1494"/>
      <c r="H24" s="1494"/>
      <c r="I24" s="1694"/>
      <c r="J24" s="1494"/>
      <c r="K24" s="1494"/>
      <c r="L24" s="1494"/>
      <c r="M24" s="1494"/>
      <c r="N24" s="1494"/>
      <c r="O24" s="1494"/>
      <c r="P24" s="1494"/>
      <c r="Q24" s="1494"/>
      <c r="R24" s="1494"/>
      <c r="S24" s="1494"/>
      <c r="T24" s="1494"/>
      <c r="U24" s="1494"/>
      <c r="V24" s="1492"/>
    </row>
    <row r="25" spans="1:22">
      <c r="A25" s="1360"/>
      <c r="B25" s="1463"/>
      <c r="C25" s="1476">
        <f>IF(D25="","",MAX(C$9:C24)+1)</f>
        <v>14</v>
      </c>
      <c r="D25" s="1482" t="s">
        <v>2240</v>
      </c>
      <c r="E25" s="1482"/>
      <c r="F25" s="1482"/>
      <c r="G25" s="1907">
        <v>0</v>
      </c>
      <c r="H25" s="1908">
        <v>0</v>
      </c>
      <c r="I25" s="1907">
        <v>0</v>
      </c>
      <c r="J25" s="1908">
        <v>0</v>
      </c>
      <c r="K25" s="1908">
        <v>0</v>
      </c>
      <c r="L25" s="1908">
        <v>0</v>
      </c>
      <c r="M25" s="1908">
        <v>0</v>
      </c>
      <c r="N25" s="1908">
        <v>0</v>
      </c>
      <c r="O25" s="1908">
        <v>0</v>
      </c>
      <c r="P25" s="1908">
        <v>0</v>
      </c>
      <c r="Q25" s="1908">
        <v>0</v>
      </c>
      <c r="R25" s="1908">
        <v>0</v>
      </c>
      <c r="S25" s="1908">
        <v>0</v>
      </c>
      <c r="T25" s="1908">
        <v>0</v>
      </c>
      <c r="U25" s="1908">
        <v>0</v>
      </c>
      <c r="V25" s="1463"/>
    </row>
    <row r="26" spans="1:22">
      <c r="A26" s="1360"/>
      <c r="B26" s="1463"/>
      <c r="C26" s="1476">
        <f>IF(D26="","",MAX(C$9:C25)+1)</f>
        <v>15</v>
      </c>
      <c r="D26" s="1482" t="s">
        <v>2051</v>
      </c>
      <c r="E26" s="1482"/>
      <c r="F26" s="1482"/>
      <c r="G26" s="1385">
        <f>'Fin Forecast - PRP'!G12</f>
        <v>52353360.310000002</v>
      </c>
      <c r="H26" s="1385">
        <f>'Fin Forecast - PRP'!H12</f>
        <v>55640876.630000003</v>
      </c>
      <c r="I26" s="1689">
        <f>'Fin Forecast - PRP'!I12</f>
        <v>61099098.909999996</v>
      </c>
      <c r="J26" s="1385">
        <f>'Fin Forecast - PRP'!J12</f>
        <v>51082310.369999997</v>
      </c>
      <c r="K26" s="1385">
        <f>'Fin Forecast - PRP'!K12</f>
        <v>39278145.865235783</v>
      </c>
      <c r="L26" s="1385">
        <f>'Fin Forecast - PRP'!L12</f>
        <v>40915980.700040989</v>
      </c>
      <c r="M26" s="1385">
        <f>'Fin Forecast - PRP'!M12</f>
        <v>39395696.787638061</v>
      </c>
      <c r="N26" s="1385">
        <f>'Fin Forecast - PRP'!N12</f>
        <v>34422363.37476857</v>
      </c>
      <c r="O26" s="1385">
        <f>'Fin Forecast - PRP'!O12</f>
        <v>29417035.325962219</v>
      </c>
      <c r="P26" s="1385">
        <f>'Fin Forecast - PRP'!P12</f>
        <v>23755028.832793873</v>
      </c>
      <c r="Q26" s="1385">
        <f>'Fin Forecast - PRP'!Q12</f>
        <v>20886469.139375698</v>
      </c>
      <c r="R26" s="1385">
        <f>'Fin Forecast - PRP'!R12</f>
        <v>17391507.670925897</v>
      </c>
      <c r="S26" s="1385">
        <f>'Fin Forecast - PRP'!S12</f>
        <v>14555273.492445875</v>
      </c>
      <c r="T26" s="1385">
        <f>'Fin Forecast - PRP'!T12</f>
        <v>15254264.69797747</v>
      </c>
      <c r="U26" s="1385">
        <f>'Fin Forecast - PRP'!U12</f>
        <v>15953497.336456399</v>
      </c>
      <c r="V26" s="1463"/>
    </row>
    <row r="27" spans="1:22" ht="18">
      <c r="A27" s="1360"/>
      <c r="B27" s="1463"/>
      <c r="C27" s="1476">
        <f>IF(D27="","",MAX(C$9:C26)+1)</f>
        <v>16</v>
      </c>
      <c r="D27" s="1482" t="s">
        <v>389</v>
      </c>
      <c r="E27" s="1491"/>
      <c r="F27" s="1491"/>
      <c r="G27" s="1485">
        <f>'Fin Forecast - PRP'!G19</f>
        <v>2203175.5299999998</v>
      </c>
      <c r="H27" s="1485">
        <f>'Fin Forecast - PRP'!H19</f>
        <v>-141133.32</v>
      </c>
      <c r="I27" s="1693">
        <f>'Fin Forecast - PRP'!I19</f>
        <v>1511708.0788380085</v>
      </c>
      <c r="J27" s="1485">
        <f>'Fin Forecast - PRP'!J19</f>
        <v>935847.46734362887</v>
      </c>
      <c r="K27" s="1485">
        <f>'Fin Forecast - PRP'!K19</f>
        <v>1346163.4404775053</v>
      </c>
      <c r="L27" s="1485">
        <f>'Fin Forecast - PRP'!L19</f>
        <v>1437196.763748236</v>
      </c>
      <c r="M27" s="1485">
        <f>'Fin Forecast - PRP'!M19</f>
        <v>1490237.0676641085</v>
      </c>
      <c r="N27" s="1485">
        <f>'Fin Forecast - PRP'!N19</f>
        <v>1550257.274510982</v>
      </c>
      <c r="O27" s="1485">
        <f>'Fin Forecast - PRP'!O19</f>
        <v>1600473.1982036843</v>
      </c>
      <c r="P27" s="1485">
        <f>'Fin Forecast - PRP'!P19</f>
        <v>1620280.3577431177</v>
      </c>
      <c r="Q27" s="1485">
        <f>'Fin Forecast - PRP'!Q19</f>
        <v>1651732.0623728638</v>
      </c>
      <c r="R27" s="1485">
        <f>'Fin Forecast - PRP'!R19</f>
        <v>1675689.4012086059</v>
      </c>
      <c r="S27" s="1485">
        <f>'Fin Forecast - PRP'!S19</f>
        <v>1732231.7847668047</v>
      </c>
      <c r="T27" s="1485">
        <f>'Fin Forecast - PRP'!T19</f>
        <v>1741924.5541734821</v>
      </c>
      <c r="U27" s="1485">
        <f>'Fin Forecast - PRP'!U19</f>
        <v>1767985.7308390478</v>
      </c>
      <c r="V27" s="1463"/>
    </row>
    <row r="28" spans="1:22" ht="15.75" customHeight="1">
      <c r="A28" s="1360"/>
      <c r="B28" s="1492"/>
      <c r="C28" s="1476">
        <f>IF(D28="","",MAX(C$9:C27)+1)</f>
        <v>17</v>
      </c>
      <c r="D28" s="1489" t="s">
        <v>2228</v>
      </c>
      <c r="E28" s="1489"/>
      <c r="F28" s="1489"/>
      <c r="G28" s="1494">
        <f>SUM(G25:G27)</f>
        <v>54556535.840000004</v>
      </c>
      <c r="H28" s="1494">
        <f t="shared" ref="H28:U28" si="1">SUM(H25:H27)</f>
        <v>55499743.310000002</v>
      </c>
      <c r="I28" s="1694">
        <f t="shared" si="1"/>
        <v>62610806.988838002</v>
      </c>
      <c r="J28" s="1494">
        <f t="shared" si="1"/>
        <v>52018157.837343626</v>
      </c>
      <c r="K28" s="1494">
        <f t="shared" si="1"/>
        <v>40624309.305713288</v>
      </c>
      <c r="L28" s="1494">
        <f t="shared" si="1"/>
        <v>42353177.463789225</v>
      </c>
      <c r="M28" s="1494">
        <f t="shared" si="1"/>
        <v>40885933.85530217</v>
      </c>
      <c r="N28" s="1494">
        <f t="shared" si="1"/>
        <v>35972620.64927955</v>
      </c>
      <c r="O28" s="1494">
        <f t="shared" si="1"/>
        <v>31017508.524165902</v>
      </c>
      <c r="P28" s="1494">
        <f t="shared" si="1"/>
        <v>25375309.190536991</v>
      </c>
      <c r="Q28" s="1494">
        <f t="shared" si="1"/>
        <v>22538201.201748561</v>
      </c>
      <c r="R28" s="1494">
        <f t="shared" si="1"/>
        <v>19067197.072134502</v>
      </c>
      <c r="S28" s="1494">
        <f t="shared" si="1"/>
        <v>16287505.277212679</v>
      </c>
      <c r="T28" s="1494">
        <f t="shared" si="1"/>
        <v>16996189.252150953</v>
      </c>
      <c r="U28" s="1494">
        <f t="shared" si="1"/>
        <v>17721483.067295447</v>
      </c>
      <c r="V28" s="1492"/>
    </row>
    <row r="29" spans="1:22" ht="15.75" customHeight="1">
      <c r="A29" s="1360"/>
      <c r="B29" s="1492"/>
      <c r="C29" s="1476" t="str">
        <f>IF(D29="","",MAX(C$9:C28)+1)</f>
        <v/>
      </c>
      <c r="D29" s="1489"/>
      <c r="E29" s="1489"/>
      <c r="F29" s="1489"/>
      <c r="G29" s="1494"/>
      <c r="H29" s="1494"/>
      <c r="I29" s="1694"/>
      <c r="J29" s="1494"/>
      <c r="K29" s="1494"/>
      <c r="L29" s="1494"/>
      <c r="M29" s="1494"/>
      <c r="N29" s="1494"/>
      <c r="O29" s="1494"/>
      <c r="P29" s="1494"/>
      <c r="Q29" s="1494"/>
      <c r="R29" s="1494"/>
      <c r="S29" s="1494"/>
      <c r="T29" s="1494"/>
      <c r="U29" s="1494"/>
      <c r="V29" s="1492"/>
    </row>
    <row r="30" spans="1:22" ht="15.75" customHeight="1">
      <c r="A30" s="1360"/>
      <c r="B30" s="1492"/>
      <c r="C30" s="1476">
        <f>IF(D30="","",MAX(C$9:C29)+1)</f>
        <v>18</v>
      </c>
      <c r="D30" s="1489" t="s">
        <v>190</v>
      </c>
      <c r="E30" s="1489"/>
      <c r="F30" s="1489"/>
      <c r="G30" s="1494">
        <f t="shared" ref="G30:U30" si="2">G23+G28</f>
        <v>269265227.53690743</v>
      </c>
      <c r="H30" s="1494">
        <f t="shared" si="2"/>
        <v>301565896.50354367</v>
      </c>
      <c r="I30" s="1694">
        <f t="shared" si="2"/>
        <v>335931879.66734779</v>
      </c>
      <c r="J30" s="1494">
        <f t="shared" si="2"/>
        <v>330019596.1259132</v>
      </c>
      <c r="K30" s="1494">
        <f t="shared" si="2"/>
        <v>298729608.9269613</v>
      </c>
      <c r="L30" s="1494">
        <f t="shared" si="2"/>
        <v>289864358.36860871</v>
      </c>
      <c r="M30" s="1494">
        <f t="shared" si="2"/>
        <v>301101707.60030007</v>
      </c>
      <c r="N30" s="1494">
        <f t="shared" si="2"/>
        <v>319561433.12923527</v>
      </c>
      <c r="O30" s="1494">
        <f t="shared" si="2"/>
        <v>338976136.63340056</v>
      </c>
      <c r="P30" s="1494">
        <f t="shared" si="2"/>
        <v>412055896.58777463</v>
      </c>
      <c r="Q30" s="1494">
        <f t="shared" si="2"/>
        <v>432354499.48444265</v>
      </c>
      <c r="R30" s="1494">
        <f t="shared" si="2"/>
        <v>446717604.95829064</v>
      </c>
      <c r="S30" s="1494">
        <f t="shared" si="2"/>
        <v>465977523.57051033</v>
      </c>
      <c r="T30" s="1494">
        <f t="shared" si="2"/>
        <v>482967981.00897133</v>
      </c>
      <c r="U30" s="1494">
        <f t="shared" si="2"/>
        <v>506910948.50745142</v>
      </c>
      <c r="V30" s="1492"/>
    </row>
    <row r="31" spans="1:22" ht="15.75" customHeight="1">
      <c r="A31" s="1360"/>
      <c r="B31" s="1492"/>
      <c r="C31" s="1476" t="str">
        <f>IF(D31="","",MAX(C$9:C30)+1)</f>
        <v/>
      </c>
      <c r="D31" s="1489"/>
      <c r="E31" s="1489"/>
      <c r="F31" s="1489"/>
      <c r="G31" s="1490"/>
      <c r="H31" s="1490"/>
      <c r="I31" s="1691"/>
      <c r="J31" s="1490"/>
      <c r="K31" s="1490"/>
      <c r="L31" s="1490"/>
      <c r="M31" s="1490"/>
      <c r="N31" s="1490"/>
      <c r="O31" s="1490"/>
      <c r="P31" s="1490"/>
      <c r="Q31" s="1490"/>
      <c r="R31" s="1490"/>
      <c r="S31" s="1490"/>
      <c r="T31" s="1490"/>
      <c r="U31" s="1490"/>
      <c r="V31" s="1492"/>
    </row>
    <row r="32" spans="1:22" ht="15.75" customHeight="1">
      <c r="A32" s="1360"/>
      <c r="B32" s="1463"/>
      <c r="C32" s="1476">
        <f>IF(D32="","",MAX(C$9:C31)+1)</f>
        <v>19</v>
      </c>
      <c r="D32" s="1743" t="s">
        <v>2232</v>
      </c>
      <c r="E32" s="1479"/>
      <c r="F32" s="1479"/>
      <c r="G32" s="1483"/>
      <c r="H32" s="1483"/>
      <c r="I32" s="1692"/>
      <c r="J32" s="1483"/>
      <c r="K32" s="1483"/>
      <c r="L32" s="1483"/>
      <c r="M32" s="1483"/>
      <c r="N32" s="1483"/>
      <c r="O32" s="1483"/>
      <c r="P32" s="1483"/>
      <c r="Q32" s="1483"/>
      <c r="R32" s="1483"/>
      <c r="S32" s="1483"/>
      <c r="T32" s="1483"/>
      <c r="U32" s="1483"/>
      <c r="V32" s="1463"/>
    </row>
    <row r="33" spans="1:24">
      <c r="A33" s="1360"/>
      <c r="B33" s="1463"/>
      <c r="C33" s="1476">
        <f>IF(D33="","",MAX(C$9:C32)+1)</f>
        <v>20</v>
      </c>
      <c r="D33" s="1551" t="s">
        <v>717</v>
      </c>
      <c r="E33" s="1491"/>
      <c r="F33" s="1491"/>
      <c r="G33" s="1483"/>
      <c r="H33" s="1483"/>
      <c r="I33" s="1692"/>
      <c r="J33" s="1483"/>
      <c r="K33" s="1483"/>
      <c r="L33" s="1483"/>
      <c r="M33" s="1483"/>
      <c r="N33" s="1483"/>
      <c r="O33" s="1483"/>
      <c r="P33" s="1483"/>
      <c r="Q33" s="1483"/>
      <c r="R33" s="1483"/>
      <c r="S33" s="1483"/>
      <c r="T33" s="1483"/>
      <c r="U33" s="1483"/>
      <c r="V33" s="1463"/>
    </row>
    <row r="34" spans="1:24">
      <c r="A34" s="1360"/>
      <c r="B34" s="1463"/>
      <c r="C34" s="1476">
        <f>IF(D34="","",MAX(C$9:C33)+1)</f>
        <v>21</v>
      </c>
      <c r="D34" s="1482" t="s">
        <v>2180</v>
      </c>
      <c r="E34" s="1482"/>
      <c r="F34" s="1482"/>
      <c r="G34" s="1907">
        <v>0</v>
      </c>
      <c r="H34" s="1908">
        <v>0</v>
      </c>
      <c r="I34" s="1907">
        <v>0</v>
      </c>
      <c r="J34" s="1908">
        <v>0</v>
      </c>
      <c r="K34" s="1908">
        <v>0</v>
      </c>
      <c r="L34" s="1908">
        <v>0</v>
      </c>
      <c r="M34" s="1908">
        <v>0</v>
      </c>
      <c r="N34" s="1908">
        <v>0</v>
      </c>
      <c r="O34" s="1908">
        <v>0</v>
      </c>
      <c r="P34" s="1908">
        <v>0</v>
      </c>
      <c r="Q34" s="1908">
        <v>0</v>
      </c>
      <c r="R34" s="1908">
        <v>0</v>
      </c>
      <c r="S34" s="1908">
        <v>0</v>
      </c>
      <c r="T34" s="1908">
        <v>0</v>
      </c>
      <c r="U34" s="1908">
        <v>0</v>
      </c>
      <c r="V34" s="1483"/>
      <c r="W34" s="1483"/>
      <c r="X34" s="1463"/>
    </row>
    <row r="35" spans="1:24">
      <c r="A35" s="1360"/>
      <c r="B35" s="1463"/>
      <c r="C35" s="1476">
        <f>IF(D35="","",MAX(C$9:C34)+1)</f>
        <v>22</v>
      </c>
      <c r="D35" s="1482" t="s">
        <v>2740</v>
      </c>
      <c r="E35" s="1482"/>
      <c r="F35" s="1482"/>
      <c r="G35" s="1505">
        <f>'Fin Forecast - Elec'!G65</f>
        <v>0</v>
      </c>
      <c r="H35" s="1505">
        <f>'Fin Forecast - Elec'!H65</f>
        <v>0</v>
      </c>
      <c r="I35" s="1695">
        <f>'Fin Forecast - Elec'!I65</f>
        <v>0</v>
      </c>
      <c r="J35" s="1505">
        <f>'Fin Forecast - Elec'!J65</f>
        <v>0</v>
      </c>
      <c r="K35" s="1505">
        <f>'Fin Forecast - Elec'!K65</f>
        <v>-22331156</v>
      </c>
      <c r="L35" s="1505">
        <f>'Fin Forecast - Elec'!L65</f>
        <v>-27158062</v>
      </c>
      <c r="M35" s="1505">
        <f>'Fin Forecast - Elec'!M65</f>
        <v>-29268149.043546669</v>
      </c>
      <c r="N35" s="1505">
        <f>'Fin Forecast - Elec'!N65</f>
        <v>-38768509.543191545</v>
      </c>
      <c r="O35" s="1505">
        <f>'Fin Forecast - Elec'!O65</f>
        <v>-50617381.579403922</v>
      </c>
      <c r="P35" s="1505">
        <f>'Fin Forecast - Elec'!P65</f>
        <v>-59823693.53993424</v>
      </c>
      <c r="Q35" s="1505">
        <f>'Fin Forecast - Elec'!Q65</f>
        <v>-69354432.552820072</v>
      </c>
      <c r="R35" s="1505">
        <f>'Fin Forecast - Elec'!R65</f>
        <v>-77056309.364797801</v>
      </c>
      <c r="S35" s="1505">
        <f>'Fin Forecast - Elec'!S65</f>
        <v>-86654691.012235552</v>
      </c>
      <c r="T35" s="1505">
        <f>'Fin Forecast - Elec'!T65</f>
        <v>-88404604.947769329</v>
      </c>
      <c r="U35" s="1505">
        <f>'Fin Forecast - Elec'!U65</f>
        <v>-92946228.790804625</v>
      </c>
      <c r="V35" s="1483"/>
      <c r="W35" s="1483"/>
      <c r="X35" s="1463"/>
    </row>
    <row r="36" spans="1:24">
      <c r="A36" s="1360"/>
      <c r="B36" s="1463"/>
      <c r="C36" s="1476">
        <f>IF(D36="","",MAX(C$9:C34)+1)</f>
        <v>22</v>
      </c>
      <c r="D36" s="1482" t="s">
        <v>2741</v>
      </c>
      <c r="E36" s="1482"/>
      <c r="F36" s="1482"/>
      <c r="G36" s="1505">
        <f>'Fin Forecast - Elec'!G66</f>
        <v>17833129.68</v>
      </c>
      <c r="H36" s="1505">
        <f>'Fin Forecast - Elec'!H66</f>
        <v>32100472.760000002</v>
      </c>
      <c r="I36" s="1695">
        <f>'Fin Forecast - Elec'!I66</f>
        <v>54469470.229999997</v>
      </c>
      <c r="J36" s="1505">
        <f>'Fin Forecast - Elec'!J66</f>
        <v>43555640.840000004</v>
      </c>
      <c r="K36" s="1505">
        <f>'Fin Forecast - Elec'!K66</f>
        <v>13332459.16</v>
      </c>
      <c r="L36" s="1505">
        <f>'Fin Forecast - Elec'!L66</f>
        <v>12878309.359999999</v>
      </c>
      <c r="M36" s="1505">
        <f>'Fin Forecast - Elec'!M66</f>
        <v>10615986.178582095</v>
      </c>
      <c r="N36" s="1505">
        <f>'Fin Forecast - Elec'!N66</f>
        <v>21054529.889413234</v>
      </c>
      <c r="O36" s="1505">
        <f>'Fin Forecast - Elec'!O66</f>
        <v>45889950.905892216</v>
      </c>
      <c r="P36" s="1505">
        <f>'Fin Forecast - Elec'!P66</f>
        <v>112717916.89019872</v>
      </c>
      <c r="Q36" s="1505">
        <f>'Fin Forecast - Elec'!Q66</f>
        <v>124787420.04669285</v>
      </c>
      <c r="R36" s="1505">
        <f>'Fin Forecast - Elec'!R66</f>
        <v>132243110.39536577</v>
      </c>
      <c r="S36" s="1505">
        <f>'Fin Forecast - Elec'!S66</f>
        <v>142216139.55369937</v>
      </c>
      <c r="T36" s="1505">
        <f>'Fin Forecast - Elec'!T66</f>
        <v>148679659.5540238</v>
      </c>
      <c r="U36" s="1505">
        <f>'Fin Forecast - Elec'!U66</f>
        <v>158797248.46992144</v>
      </c>
      <c r="V36" s="1483"/>
      <c r="W36" s="1483"/>
      <c r="X36" s="1463"/>
    </row>
    <row r="37" spans="1:24">
      <c r="A37" s="1360"/>
      <c r="B37" s="1463"/>
      <c r="C37" s="1476">
        <f>IF(D37="","",MAX(C$9:C35)+1)</f>
        <v>23</v>
      </c>
      <c r="D37" s="1482" t="s">
        <v>2281</v>
      </c>
      <c r="E37" s="1482"/>
      <c r="F37" s="1482"/>
      <c r="G37" s="1505">
        <f>'Fin Forecast - Elec'!G67</f>
        <v>-438421.59000001848</v>
      </c>
      <c r="H37" s="1505">
        <f>'Fin Forecast - Elec'!H67</f>
        <v>-5204773.1700000018</v>
      </c>
      <c r="I37" s="1695">
        <f>'Fin Forecast - Elec'!I67</f>
        <v>-2579863.1600000262</v>
      </c>
      <c r="J37" s="1505">
        <f>'Fin Forecast - Elec'!J67</f>
        <v>-25801327.039999977</v>
      </c>
      <c r="K37" s="1505">
        <f>'Fin Forecast - Elec'!K67</f>
        <v>559851.14440000057</v>
      </c>
      <c r="L37" s="1505">
        <f>'Fin Forecast - Elec'!L67</f>
        <v>647170.29454399645</v>
      </c>
      <c r="M37" s="1505">
        <f>'Fin Forecast - Elec'!M67</f>
        <v>1110450.0554540604</v>
      </c>
      <c r="N37" s="1505">
        <f>'Fin Forecast - Elec'!N67</f>
        <v>1821394.160458535</v>
      </c>
      <c r="O37" s="1505">
        <f>'Fin Forecast - Elec'!O67</f>
        <v>3266546.7372475863</v>
      </c>
      <c r="P37" s="1505">
        <f>'Fin Forecast - Elec'!P67</f>
        <v>3705916.1113198698</v>
      </c>
      <c r="Q37" s="1505">
        <f>'Fin Forecast - Elec'!Q67</f>
        <v>4022271.451477021</v>
      </c>
      <c r="R37" s="1505">
        <f>'Fin Forecast - Elec'!R67</f>
        <v>3023305.6937494576</v>
      </c>
      <c r="S37" s="1505">
        <f>'Fin Forecast - Elec'!S67</f>
        <v>3425904.2404143214</v>
      </c>
      <c r="T37" s="1505">
        <f>'Fin Forecast - Elec'!T67</f>
        <v>3449387.0847286582</v>
      </c>
      <c r="U37" s="1505">
        <f>'Fin Forecast - Elec'!U67</f>
        <v>3554490.9180107117</v>
      </c>
      <c r="V37" s="1483"/>
      <c r="W37" s="1483"/>
      <c r="X37" s="1463"/>
    </row>
    <row r="38" spans="1:24">
      <c r="A38" s="1360"/>
      <c r="B38" s="1463"/>
      <c r="C38" s="1476">
        <f>IF(D38="","",MAX(C$9:C37)+1)</f>
        <v>24</v>
      </c>
      <c r="D38" s="1482" t="s">
        <v>2003</v>
      </c>
      <c r="E38" s="1482"/>
      <c r="F38" s="1482"/>
      <c r="G38" s="1483">
        <f>'Fin Forecast - Elec'!G69</f>
        <v>461071.88</v>
      </c>
      <c r="H38" s="1483">
        <f>'Fin Forecast - Elec'!H69</f>
        <v>464652.82000000007</v>
      </c>
      <c r="I38" s="1692">
        <f>'Fin Forecast - Elec'!I69</f>
        <v>405417.2</v>
      </c>
      <c r="J38" s="1483">
        <f>'Fin Forecast - Elec'!J69</f>
        <v>418725.12</v>
      </c>
      <c r="K38" s="1483">
        <f>'Fin Forecast - Elec'!K69</f>
        <v>455028.15503329912</v>
      </c>
      <c r="L38" s="1483">
        <f>'Fin Forecast - Elec'!L69</f>
        <v>502522.19229343906</v>
      </c>
      <c r="M38" s="1483">
        <f>'Fin Forecast - Elec'!M69</f>
        <v>530303.82626700692</v>
      </c>
      <c r="N38" s="1483">
        <f>'Fin Forecast - Elec'!N69</f>
        <v>543420.22634831513</v>
      </c>
      <c r="O38" s="1483">
        <f>'Fin Forecast - Elec'!O69</f>
        <v>563438.85317375325</v>
      </c>
      <c r="P38" s="1483">
        <f>'Fin Forecast - Elec'!P69</f>
        <v>577492.46389164461</v>
      </c>
      <c r="Q38" s="1483">
        <f>'Fin Forecast - Elec'!Q69</f>
        <v>592985.74542125559</v>
      </c>
      <c r="R38" s="1483">
        <f>'Fin Forecast - Elec'!R69</f>
        <v>618120.2517056705</v>
      </c>
      <c r="S38" s="1483">
        <f>'Fin Forecast - Elec'!S69</f>
        <v>635063.69790164474</v>
      </c>
      <c r="T38" s="1483">
        <f>'Fin Forecast - Elec'!T69</f>
        <v>653342.73910223681</v>
      </c>
      <c r="U38" s="1483">
        <f>'Fin Forecast - Elec'!U69</f>
        <v>683409.9654822906</v>
      </c>
      <c r="V38" s="1463"/>
    </row>
    <row r="39" spans="1:24">
      <c r="A39" s="1360"/>
      <c r="B39" s="1463"/>
      <c r="C39" s="1476">
        <f>IF(D39="","",MAX(C$9:C38)+1)</f>
        <v>25</v>
      </c>
      <c r="D39" s="1482" t="s">
        <v>600</v>
      </c>
      <c r="E39" s="1482"/>
      <c r="F39" s="1482"/>
      <c r="G39" s="1483">
        <f>'Fin Forecast - Elec'!G70</f>
        <v>6933438.7200000007</v>
      </c>
      <c r="H39" s="1483">
        <f>'Fin Forecast - Elec'!H70</f>
        <v>6271196.5999999996</v>
      </c>
      <c r="I39" s="1692">
        <f>'Fin Forecast - Elec'!I70</f>
        <v>4721334.16</v>
      </c>
      <c r="J39" s="1483">
        <f>'Fin Forecast - Elec'!J70</f>
        <v>8075510.46</v>
      </c>
      <c r="K39" s="1483">
        <f>'Fin Forecast - Elec'!K70</f>
        <v>2566753.9179197438</v>
      </c>
      <c r="L39" s="1483">
        <f>'Fin Forecast - Elec'!L70</f>
        <v>2751826.7140462874</v>
      </c>
      <c r="M39" s="1483">
        <f>'Fin Forecast - Elec'!M70</f>
        <v>2895166.6470514582</v>
      </c>
      <c r="N39" s="1483">
        <f>'Fin Forecast - Elec'!N70</f>
        <v>2977280.9494048376</v>
      </c>
      <c r="O39" s="1483">
        <f>'Fin Forecast - Elec'!O70</f>
        <v>3091418.9213395794</v>
      </c>
      <c r="P39" s="1483">
        <f>'Fin Forecast - Elec'!P70</f>
        <v>3177710.5344355055</v>
      </c>
      <c r="Q39" s="1483">
        <f>'Fin Forecast - Elec'!Q70</f>
        <v>3274249.7984641865</v>
      </c>
      <c r="R39" s="1483">
        <f>'Fin Forecast - Elec'!R70</f>
        <v>3416477.7732745847</v>
      </c>
      <c r="S39" s="1483">
        <f>'Fin Forecast - Elec'!S70</f>
        <v>3520467.8803847791</v>
      </c>
      <c r="T39" s="1483">
        <f>'Fin Forecast - Elec'!T70</f>
        <v>3632351.8566670059</v>
      </c>
      <c r="U39" s="1483">
        <f>'Fin Forecast - Elec'!U70</f>
        <v>3801447.4401745857</v>
      </c>
      <c r="V39" s="1463"/>
    </row>
    <row r="40" spans="1:24">
      <c r="A40" s="1360"/>
      <c r="B40" s="1463"/>
      <c r="C40" s="1476">
        <f>IF(D40="","",MAX(C$9:C39)+1)</f>
        <v>26</v>
      </c>
      <c r="D40" s="1482" t="s">
        <v>601</v>
      </c>
      <c r="E40" s="1482"/>
      <c r="F40" s="1482"/>
      <c r="G40" s="1483">
        <f>'Fin Forecast - Elec'!G71</f>
        <v>13430163.57</v>
      </c>
      <c r="H40" s="1483">
        <f>'Fin Forecast - Elec'!H71</f>
        <v>15271779.120000001</v>
      </c>
      <c r="I40" s="1692">
        <f>'Fin Forecast - Elec'!I71</f>
        <v>14625271.010000002</v>
      </c>
      <c r="J40" s="1483">
        <f>'Fin Forecast - Elec'!J71</f>
        <v>13903667.529999999</v>
      </c>
      <c r="K40" s="1483">
        <f>'Fin Forecast - Elec'!K71</f>
        <v>13374530.556853719</v>
      </c>
      <c r="L40" s="1483">
        <f>'Fin Forecast - Elec'!L71</f>
        <v>14732458.858004173</v>
      </c>
      <c r="M40" s="1483">
        <f>'Fin Forecast - Elec'!M71</f>
        <v>15517677.528446738</v>
      </c>
      <c r="N40" s="1483">
        <f>'Fin Forecast - Elec'!N71</f>
        <v>15882420.172470961</v>
      </c>
      <c r="O40" s="1483">
        <f>'Fin Forecast - Elec'!O71</f>
        <v>16471212.033784516</v>
      </c>
      <c r="P40" s="1483">
        <f>'Fin Forecast - Elec'!P71</f>
        <v>16820601.784516007</v>
      </c>
      <c r="Q40" s="1483">
        <f>'Fin Forecast - Elec'!Q71</f>
        <v>17262032.579929501</v>
      </c>
      <c r="R40" s="1483">
        <f>'Fin Forecast - Elec'!R71</f>
        <v>18039491.139086608</v>
      </c>
      <c r="S40" s="1483">
        <f>'Fin Forecast - Elec'!S71</f>
        <v>18493525.052538324</v>
      </c>
      <c r="T40" s="1483">
        <f>'Fin Forecast - Elec'!T71</f>
        <v>18998187.84503172</v>
      </c>
      <c r="U40" s="1483">
        <f>'Fin Forecast - Elec'!U71</f>
        <v>19940275.70607635</v>
      </c>
      <c r="V40" s="1463"/>
    </row>
    <row r="41" spans="1:24">
      <c r="A41" s="1360"/>
      <c r="B41" s="1463"/>
      <c r="C41" s="1476">
        <f>IF(D41="","",MAX(C$9:C40)+1)</f>
        <v>27</v>
      </c>
      <c r="D41" s="1482" t="s">
        <v>2004</v>
      </c>
      <c r="E41" s="1482"/>
      <c r="F41" s="1482"/>
      <c r="G41" s="1483">
        <f>'Fin Forecast - Elec'!G72</f>
        <v>6803630.3599999994</v>
      </c>
      <c r="H41" s="1483">
        <f>'Fin Forecast - Elec'!H72</f>
        <v>7318047.2800000003</v>
      </c>
      <c r="I41" s="1692">
        <f>'Fin Forecast - Elec'!I72</f>
        <v>7109752.8799999999</v>
      </c>
      <c r="J41" s="1483">
        <f>'Fin Forecast - Elec'!J72</f>
        <v>6850413.0599999996</v>
      </c>
      <c r="K41" s="1483">
        <f>'Fin Forecast - Elec'!K72</f>
        <v>8031695.6079924935</v>
      </c>
      <c r="L41" s="1483">
        <f>'Fin Forecast - Elec'!L72</f>
        <v>8770846.2548130881</v>
      </c>
      <c r="M41" s="1483">
        <f>'Fin Forecast - Elec'!M72</f>
        <v>9179493.7004864793</v>
      </c>
      <c r="N41" s="1483">
        <f>'Fin Forecast - Elec'!N72</f>
        <v>9356845.7757435367</v>
      </c>
      <c r="O41" s="1483">
        <f>'Fin Forecast - Elec'!O72</f>
        <v>9711208.7877193484</v>
      </c>
      <c r="P41" s="1483">
        <f>'Fin Forecast - Elec'!P72</f>
        <v>9793303.890052693</v>
      </c>
      <c r="Q41" s="1483">
        <f>'Fin Forecast - Elec'!Q72</f>
        <v>10030396.694008408</v>
      </c>
      <c r="R41" s="1483">
        <f>'Fin Forecast - Elec'!R72</f>
        <v>10574863.577084396</v>
      </c>
      <c r="S41" s="1483">
        <f>'Fin Forecast - Elec'!S72</f>
        <v>10759316.518980984</v>
      </c>
      <c r="T41" s="1483">
        <f>'Fin Forecast - Elec'!T72</f>
        <v>10996980.162808452</v>
      </c>
      <c r="U41" s="1483">
        <f>'Fin Forecast - Elec'!U72</f>
        <v>11679705.194819774</v>
      </c>
      <c r="V41" s="1463"/>
    </row>
    <row r="42" spans="1:24">
      <c r="A42" s="1360"/>
      <c r="B42" s="1463"/>
      <c r="C42" s="1476">
        <f>IF(D42="","",MAX(C$9:C41)+1)</f>
        <v>28</v>
      </c>
      <c r="D42" s="1482" t="s">
        <v>2005</v>
      </c>
      <c r="E42" s="1482"/>
      <c r="F42" s="1482"/>
      <c r="G42" s="1483">
        <f>'Fin Forecast - Elec'!G73</f>
        <v>1279812.9400000002</v>
      </c>
      <c r="H42" s="1483">
        <f>'Fin Forecast - Elec'!H73</f>
        <v>1469685.6</v>
      </c>
      <c r="I42" s="1692">
        <f>'Fin Forecast - Elec'!I73</f>
        <v>1297662.7</v>
      </c>
      <c r="J42" s="1483">
        <f>'Fin Forecast - Elec'!J73</f>
        <v>1280121.67</v>
      </c>
      <c r="K42" s="1483">
        <f>'Fin Forecast - Elec'!K73</f>
        <v>1587465.3423760985</v>
      </c>
      <c r="L42" s="1483">
        <f>'Fin Forecast - Elec'!L73</f>
        <v>1739382.8247952205</v>
      </c>
      <c r="M42" s="1483">
        <f>'Fin Forecast - Elec'!M73</f>
        <v>1824952.0116274948</v>
      </c>
      <c r="N42" s="1483">
        <f>'Fin Forecast - Elec'!N73</f>
        <v>1863186.9450650269</v>
      </c>
      <c r="O42" s="1483">
        <f>'Fin Forecast - Elec'!O73</f>
        <v>1933167.2405346793</v>
      </c>
      <c r="P42" s="1483">
        <f>'Fin Forecast - Elec'!P73</f>
        <v>1959140.9308490793</v>
      </c>
      <c r="Q42" s="1483">
        <f>'Fin Forecast - Elec'!Q73</f>
        <v>2008138.9780987659</v>
      </c>
      <c r="R42" s="1483">
        <f>'Fin Forecast - Elec'!R73</f>
        <v>2109831.5794569179</v>
      </c>
      <c r="S42" s="1483">
        <f>'Fin Forecast - Elec'!S73</f>
        <v>2153020.4127162546</v>
      </c>
      <c r="T42" s="1483">
        <f>'Fin Forecast - Elec'!T73</f>
        <v>2204985.7331777783</v>
      </c>
      <c r="U42" s="1483">
        <f>'Fin Forecast - Elec'!U73</f>
        <v>2330998.4928866625</v>
      </c>
      <c r="V42" s="1463"/>
    </row>
    <row r="43" spans="1:24">
      <c r="A43" s="1360"/>
      <c r="B43" s="1463"/>
      <c r="C43" s="1476">
        <f>IF(D43="","",MAX(C$9:C42)+1)</f>
        <v>29</v>
      </c>
      <c r="D43" s="1482" t="s">
        <v>377</v>
      </c>
      <c r="E43" s="1482"/>
      <c r="F43" s="1482"/>
      <c r="G43" s="1483">
        <f>'Fin Forecast - Elec'!G74</f>
        <v>11142625.050000001</v>
      </c>
      <c r="H43" s="1483">
        <f>'Fin Forecast - Elec'!H74</f>
        <v>11819895.349999998</v>
      </c>
      <c r="I43" s="1692">
        <f>'Fin Forecast - Elec'!I74</f>
        <v>12235955.66</v>
      </c>
      <c r="J43" s="1483">
        <f>'Fin Forecast - Elec'!J74</f>
        <v>13760308.120000001</v>
      </c>
      <c r="K43" s="1483">
        <f>'Fin Forecast - Elec'!K74</f>
        <v>16093361.551131595</v>
      </c>
      <c r="L43" s="1483">
        <f>'Fin Forecast - Elec'!L74</f>
        <v>17645876.315125987</v>
      </c>
      <c r="M43" s="1483">
        <f>'Fin Forecast - Elec'!M74</f>
        <v>18523584.669170365</v>
      </c>
      <c r="N43" s="1483">
        <f>'Fin Forecast - Elec'!N74</f>
        <v>18917980.143920753</v>
      </c>
      <c r="O43" s="1483">
        <f>'Fin Forecast - Elec'!O74</f>
        <v>19627297.458039869</v>
      </c>
      <c r="P43" s="1483">
        <f>'Fin Forecast - Elec'!P74</f>
        <v>19911382.254342586</v>
      </c>
      <c r="Q43" s="1483">
        <f>'Fin Forecast - Elec'!Q74</f>
        <v>20412665.865144849</v>
      </c>
      <c r="R43" s="1483">
        <f>'Fin Forecast - Elec'!R74</f>
        <v>21430985.531307399</v>
      </c>
      <c r="S43" s="1483">
        <f>'Fin Forecast - Elec'!S74</f>
        <v>21883167.474369351</v>
      </c>
      <c r="T43" s="1483">
        <f>'Fin Forecast - Elec'!T74</f>
        <v>22420614.67173573</v>
      </c>
      <c r="U43" s="1483">
        <f>'Fin Forecast - Elec'!U74</f>
        <v>23679080.360316493</v>
      </c>
      <c r="V43" s="1463"/>
    </row>
    <row r="44" spans="1:24">
      <c r="A44" s="1360"/>
      <c r="B44" s="1463"/>
      <c r="C44" s="1476">
        <f>IF(D44="","",MAX(C$9:C43)+1)</f>
        <v>30</v>
      </c>
      <c r="D44" s="1401" t="s">
        <v>843</v>
      </c>
      <c r="E44" s="1401"/>
      <c r="F44" s="1401"/>
      <c r="G44" s="1385">
        <f>'Fin Forecast - Elec'!G88</f>
        <v>10442675.130000001</v>
      </c>
      <c r="H44" s="1385">
        <f>'Fin Forecast - Elec'!H88</f>
        <v>11776457.59</v>
      </c>
      <c r="I44" s="1689">
        <f>'Fin Forecast - Elec'!I88</f>
        <v>12192740.140000001</v>
      </c>
      <c r="J44" s="1385">
        <f>'Fin Forecast - Elec'!J88</f>
        <v>13646063.579999996</v>
      </c>
      <c r="K44" s="1385">
        <f>'Fin Forecast - Elec'!K88</f>
        <v>13539431.041859569</v>
      </c>
      <c r="L44" s="1385">
        <f>'Fin Forecast - Elec'!L88</f>
        <v>14218841.996213386</v>
      </c>
      <c r="M44" s="1385">
        <f>'Fin Forecast - Elec'!M88</f>
        <v>15212802.056590391</v>
      </c>
      <c r="N44" s="1385">
        <f>'Fin Forecast - Elec'!N88</f>
        <v>16524514.695752164</v>
      </c>
      <c r="O44" s="1385">
        <f>'Fin Forecast - Elec'!O88</f>
        <v>17226971.246271096</v>
      </c>
      <c r="P44" s="1385">
        <f>'Fin Forecast - Elec'!P88</f>
        <v>18075284.395378157</v>
      </c>
      <c r="Q44" s="1385">
        <f>'Fin Forecast - Elec'!Q88</f>
        <v>18830807.372860372</v>
      </c>
      <c r="R44" s="1385">
        <f>'Fin Forecast - Elec'!R88</f>
        <v>19675152.906458043</v>
      </c>
      <c r="S44" s="1385">
        <f>'Fin Forecast - Elec'!S88</f>
        <v>20596507.288357612</v>
      </c>
      <c r="T44" s="1385">
        <f>'Fin Forecast - Elec'!T88</f>
        <v>21336398.959891859</v>
      </c>
      <c r="U44" s="1385">
        <f>'Fin Forecast - Elec'!U88</f>
        <v>22110166.84089189</v>
      </c>
      <c r="V44" s="1463"/>
    </row>
    <row r="45" spans="1:24" ht="18">
      <c r="A45" s="1360"/>
      <c r="B45" s="1463"/>
      <c r="C45" s="1476">
        <f>IF(D45="","",MAX(C$9:C44)+1)</f>
        <v>31</v>
      </c>
      <c r="D45" s="1482" t="s">
        <v>615</v>
      </c>
      <c r="E45" s="1493"/>
      <c r="F45" s="1493"/>
      <c r="G45" s="1485">
        <f>'Fin Forecast - Elec'!G83</f>
        <v>18179231.259999998</v>
      </c>
      <c r="H45" s="1485">
        <f>'Fin Forecast - Elec'!H83</f>
        <v>18007381.259999998</v>
      </c>
      <c r="I45" s="1693">
        <f>'Fin Forecast - Elec'!I83</f>
        <v>12152044.449999981</v>
      </c>
      <c r="J45" s="1485">
        <f>'Fin Forecast - Elec'!J83</f>
        <v>9553978.4299999997</v>
      </c>
      <c r="K45" s="1485">
        <f>'Fin Forecast - Elec'!K83</f>
        <v>8406331.2599999793</v>
      </c>
      <c r="L45" s="1485">
        <f>'Fin Forecast - Elec'!L83</f>
        <v>9668831.2599999793</v>
      </c>
      <c r="M45" s="1485">
        <f>'Fin Forecast - Elec'!M83</f>
        <v>10931331.259999979</v>
      </c>
      <c r="N45" s="1485">
        <f>'Fin Forecast - Elec'!N83</f>
        <v>24988456.259999979</v>
      </c>
      <c r="O45" s="1485">
        <f>'Fin Forecast - Elec'!O83</f>
        <v>24973831.259999979</v>
      </c>
      <c r="P45" s="1485">
        <f>'Fin Forecast - Elec'!P83</f>
        <v>24955456.259999979</v>
      </c>
      <c r="Q45" s="1485">
        <f>'Fin Forecast - Elec'!Q83</f>
        <v>24939431.25999999</v>
      </c>
      <c r="R45" s="1485">
        <f>'Fin Forecast - Elec'!R83</f>
        <v>22523980.945051692</v>
      </c>
      <c r="S45" s="1485">
        <f>'Fin Forecast - Elec'!S83</f>
        <v>8508259.0671651904</v>
      </c>
      <c r="T45" s="1485">
        <f>'Fin Forecast - Elec'!T83</f>
        <v>7714560.0943969078</v>
      </c>
      <c r="U45" s="1485">
        <f>'Fin Forecast - Elec'!U83</f>
        <v>6849145.7122670086</v>
      </c>
      <c r="V45" s="1463"/>
    </row>
    <row r="46" spans="1:24">
      <c r="A46" s="1360"/>
      <c r="B46" s="1463"/>
      <c r="C46" s="1476">
        <f>IF(D46="","",MAX(C$9:C45)+1)</f>
        <v>32</v>
      </c>
      <c r="D46" s="1480" t="s">
        <v>2007</v>
      </c>
      <c r="E46" s="1480"/>
      <c r="F46" s="1480"/>
      <c r="G46" s="1494">
        <f>SUM(G34:G45)</f>
        <v>86067356.99999997</v>
      </c>
      <c r="H46" s="1494">
        <f t="shared" ref="H46:U46" si="3">SUM(H34:H45)</f>
        <v>99294795.210000008</v>
      </c>
      <c r="I46" s="1694">
        <f t="shared" si="3"/>
        <v>116629785.26999995</v>
      </c>
      <c r="J46" s="1494">
        <f t="shared" si="3"/>
        <v>85243101.770000041</v>
      </c>
      <c r="K46" s="1494">
        <f t="shared" si="3"/>
        <v>55615751.737566501</v>
      </c>
      <c r="L46" s="1494">
        <f t="shared" si="3"/>
        <v>56398004.069835559</v>
      </c>
      <c r="M46" s="1494">
        <f t="shared" si="3"/>
        <v>57073598.890129402</v>
      </c>
      <c r="N46" s="1494">
        <f t="shared" si="3"/>
        <v>75161519.675385803</v>
      </c>
      <c r="O46" s="1494">
        <f t="shared" si="3"/>
        <v>92137661.864598706</v>
      </c>
      <c r="P46" s="1494">
        <f t="shared" si="3"/>
        <v>151870511.97505</v>
      </c>
      <c r="Q46" s="1494">
        <f t="shared" si="3"/>
        <v>156805967.23927712</v>
      </c>
      <c r="R46" s="1494">
        <f t="shared" si="3"/>
        <v>156599010.42774275</v>
      </c>
      <c r="S46" s="1494">
        <f t="shared" si="3"/>
        <v>145536680.17429227</v>
      </c>
      <c r="T46" s="1494">
        <f t="shared" si="3"/>
        <v>151681863.75379485</v>
      </c>
      <c r="U46" s="1494">
        <f t="shared" si="3"/>
        <v>160479740.31004259</v>
      </c>
      <c r="V46" s="1463"/>
    </row>
    <row r="47" spans="1:24">
      <c r="A47" s="1360"/>
      <c r="B47" s="1463"/>
      <c r="C47" s="1476" t="str">
        <f>IF(D47="","",MAX(C$9:C46)+1)</f>
        <v/>
      </c>
      <c r="D47" s="1512"/>
      <c r="E47" s="1401"/>
      <c r="F47" s="1401"/>
      <c r="G47" s="1385"/>
      <c r="H47" s="1385"/>
      <c r="I47" s="1692"/>
      <c r="J47" s="1483"/>
      <c r="K47" s="1483"/>
      <c r="L47" s="1483"/>
      <c r="M47" s="1483"/>
      <c r="N47" s="1483"/>
      <c r="O47" s="1483"/>
      <c r="P47" s="1483"/>
      <c r="Q47" s="1483"/>
      <c r="R47" s="1483"/>
      <c r="S47" s="1483"/>
      <c r="T47" s="1483"/>
      <c r="U47" s="1483"/>
      <c r="V47" s="1463"/>
    </row>
    <row r="48" spans="1:24">
      <c r="A48" s="1360"/>
      <c r="B48" s="1463"/>
      <c r="C48" s="1476">
        <f>IF(D48="","",MAX(C$9:C47)+1)</f>
        <v>33</v>
      </c>
      <c r="D48" s="1551" t="s">
        <v>1977</v>
      </c>
      <c r="E48" s="1491"/>
      <c r="F48" s="1491"/>
      <c r="G48" s="1483"/>
      <c r="H48" s="1483"/>
      <c r="I48" s="1692"/>
      <c r="J48" s="1483"/>
      <c r="K48" s="1483"/>
      <c r="L48" s="1483"/>
      <c r="M48" s="1483"/>
      <c r="N48" s="1483"/>
      <c r="O48" s="1483"/>
      <c r="P48" s="1483"/>
      <c r="Q48" s="1483"/>
      <c r="R48" s="1483"/>
      <c r="S48" s="1483"/>
      <c r="T48" s="1483"/>
      <c r="U48" s="1483"/>
      <c r="V48" s="1463"/>
    </row>
    <row r="49" spans="1:24">
      <c r="A49" s="1360"/>
      <c r="B49" s="1463"/>
      <c r="C49" s="1476">
        <f>IF(D49="","",MAX(C$9:C48)+1)</f>
        <v>34</v>
      </c>
      <c r="D49" s="1482" t="s">
        <v>753</v>
      </c>
      <c r="E49" s="1482"/>
      <c r="F49" s="1482"/>
      <c r="G49" s="1505">
        <f>'Fin Forecast - PRP'!G27</f>
        <v>23182503.020000007</v>
      </c>
      <c r="H49" s="1505">
        <f>'Fin Forecast - PRP'!H27</f>
        <v>22919312.75</v>
      </c>
      <c r="I49" s="1695">
        <f>'Fin Forecast - PRP'!I27</f>
        <v>25125926.260000002</v>
      </c>
      <c r="J49" s="1505">
        <f>'Fin Forecast - PRP'!J27</f>
        <v>26602965.880000006</v>
      </c>
      <c r="K49" s="1505">
        <f>'Fin Forecast - PRP'!K27</f>
        <v>29157426.357729089</v>
      </c>
      <c r="L49" s="1505">
        <f>'Fin Forecast - PRP'!L27</f>
        <v>28366026.767493136</v>
      </c>
      <c r="M49" s="1505">
        <f>'Fin Forecast - PRP'!M27</f>
        <v>29607066.269383427</v>
      </c>
      <c r="N49" s="1505">
        <f>'Fin Forecast - PRP'!N27</f>
        <v>29909573.184843589</v>
      </c>
      <c r="O49" s="1505">
        <f>'Fin Forecast - PRP'!O27</f>
        <v>30984564.991925973</v>
      </c>
      <c r="P49" s="1505">
        <f>'Fin Forecast - PRP'!P27</f>
        <v>32193549.351190228</v>
      </c>
      <c r="Q49" s="1505">
        <f>'Fin Forecast - PRP'!Q27</f>
        <v>31590768.477236833</v>
      </c>
      <c r="R49" s="1505">
        <f>'Fin Forecast - PRP'!R27</f>
        <v>33441750.524913382</v>
      </c>
      <c r="S49" s="1505">
        <f>'Fin Forecast - PRP'!S27</f>
        <v>34932394.176444799</v>
      </c>
      <c r="T49" s="1505">
        <f>'Fin Forecast - PRP'!T27</f>
        <v>37049000.596623883</v>
      </c>
      <c r="U49" s="1505">
        <f>'Fin Forecast - PRP'!U27</f>
        <v>39255190.100388512</v>
      </c>
      <c r="V49" s="1483"/>
      <c r="W49" s="1483"/>
      <c r="X49" s="1463"/>
    </row>
    <row r="50" spans="1:24">
      <c r="A50" s="1360"/>
      <c r="B50" s="1463"/>
      <c r="C50" s="1476">
        <f>IF(D50="","",MAX(C$9:C49)+1)</f>
        <v>35</v>
      </c>
      <c r="D50" s="1482" t="s">
        <v>600</v>
      </c>
      <c r="E50" s="1482"/>
      <c r="F50" s="1482"/>
      <c r="G50" s="1505">
        <f>'Fin Forecast - PRP'!G28</f>
        <v>1515866.54</v>
      </c>
      <c r="H50" s="1505">
        <f>'Fin Forecast - PRP'!H28</f>
        <v>1652966.02</v>
      </c>
      <c r="I50" s="1692">
        <f>'Fin Forecast - PRP'!I28</f>
        <v>2184113.13</v>
      </c>
      <c r="J50" s="1483">
        <f>'Fin Forecast - PRP'!J28</f>
        <v>2766607.75</v>
      </c>
      <c r="K50" s="1483">
        <f>'Fin Forecast - PRP'!K28</f>
        <v>3000287.0161054586</v>
      </c>
      <c r="L50" s="1483">
        <f>'Fin Forecast - PRP'!L28</f>
        <v>3163645.765841241</v>
      </c>
      <c r="M50" s="1483">
        <f>'Fin Forecast - PRP'!M28</f>
        <v>3395500.4463553242</v>
      </c>
      <c r="N50" s="1483">
        <f>'Fin Forecast - PRP'!N28</f>
        <v>3554384.3960699365</v>
      </c>
      <c r="O50" s="1483">
        <f>'Fin Forecast - PRP'!O28</f>
        <v>3703069.4424492046</v>
      </c>
      <c r="P50" s="1483">
        <f>'Fin Forecast - PRP'!P28</f>
        <v>3829833.4052451495</v>
      </c>
      <c r="Q50" s="1483">
        <f>'Fin Forecast - PRP'!Q28</f>
        <v>3835042.0424758028</v>
      </c>
      <c r="R50" s="1483">
        <f>'Fin Forecast - PRP'!R28</f>
        <v>4028715.4699299904</v>
      </c>
      <c r="S50" s="1483">
        <f>'Fin Forecast - PRP'!S28</f>
        <v>4182408.5227264669</v>
      </c>
      <c r="T50" s="1483">
        <f>'Fin Forecast - PRP'!T28</f>
        <v>4384395.8689606739</v>
      </c>
      <c r="U50" s="1483">
        <f>'Fin Forecast - PRP'!U28</f>
        <v>4582700.3956712745</v>
      </c>
      <c r="V50" s="1463"/>
    </row>
    <row r="51" spans="1:24">
      <c r="A51" s="1360"/>
      <c r="B51" s="1463"/>
      <c r="C51" s="1476">
        <f>IF(D51="","",MAX(C$9:C50)+1)</f>
        <v>36</v>
      </c>
      <c r="D51" s="1482" t="s">
        <v>377</v>
      </c>
      <c r="E51" s="1482"/>
      <c r="F51" s="1482"/>
      <c r="G51" s="1483">
        <f>'Fin Forecast - PRP'!G29</f>
        <v>15495162.170000002</v>
      </c>
      <c r="H51" s="1483">
        <f>'Fin Forecast - PRP'!H29</f>
        <v>18771334.510000002</v>
      </c>
      <c r="I51" s="1692">
        <f>'Fin Forecast - PRP'!I29</f>
        <v>16684459.040000003</v>
      </c>
      <c r="J51" s="1483">
        <f>'Fin Forecast - PRP'!J29</f>
        <v>21481102.950000003</v>
      </c>
      <c r="K51" s="1483">
        <f>'Fin Forecast - PRP'!K29</f>
        <v>22090719.305608291</v>
      </c>
      <c r="L51" s="1483">
        <f>'Fin Forecast - PRP'!L29</f>
        <v>22094165.053695187</v>
      </c>
      <c r="M51" s="1483">
        <f>'Fin Forecast - PRP'!M29</f>
        <v>23558199.690145094</v>
      </c>
      <c r="N51" s="1483">
        <f>'Fin Forecast - PRP'!N29</f>
        <v>24521321.72563092</v>
      </c>
      <c r="O51" s="1483">
        <f>'Fin Forecast - PRP'!O29</f>
        <v>25388432.701867282</v>
      </c>
      <c r="P51" s="1483">
        <f>'Fin Forecast - PRP'!P29</f>
        <v>26487653.679572839</v>
      </c>
      <c r="Q51" s="1483">
        <f>'Fin Forecast - PRP'!Q29</f>
        <v>25930673.581373662</v>
      </c>
      <c r="R51" s="1483">
        <f>'Fin Forecast - PRP'!R29</f>
        <v>27290093.823522683</v>
      </c>
      <c r="S51" s="1483">
        <f>'Fin Forecast - PRP'!S29</f>
        <v>28350981.50409691</v>
      </c>
      <c r="T51" s="1483">
        <f>'Fin Forecast - PRP'!T29</f>
        <v>30130790.899184581</v>
      </c>
      <c r="U51" s="1483">
        <f>'Fin Forecast - PRP'!U29</f>
        <v>31995700.324354641</v>
      </c>
      <c r="V51" s="1463"/>
    </row>
    <row r="52" spans="1:24">
      <c r="A52" s="1360"/>
      <c r="B52" s="1463"/>
      <c r="C52" s="1476">
        <f>IF(D52="","",MAX(C$9:C51)+1)</f>
        <v>37</v>
      </c>
      <c r="D52" s="1482" t="s">
        <v>2008</v>
      </c>
      <c r="E52" s="1482"/>
      <c r="F52" s="1482"/>
      <c r="G52" s="1483">
        <f>'Fin Forecast - PRP'!G30</f>
        <v>18555225.159999996</v>
      </c>
      <c r="H52" s="1483">
        <f>'Fin Forecast - PRP'!H30</f>
        <v>20711320.289999999</v>
      </c>
      <c r="I52" s="1692">
        <f>'Fin Forecast - PRP'!I30</f>
        <v>22276660.329999998</v>
      </c>
      <c r="J52" s="1483">
        <f>'Fin Forecast - PRP'!J30</f>
        <v>21771158.43</v>
      </c>
      <c r="K52" s="1483">
        <f>'Fin Forecast - PRP'!K30</f>
        <v>13021358.215000195</v>
      </c>
      <c r="L52" s="1483">
        <f>'Fin Forecast - PRP'!L30</f>
        <v>12869310.099137427</v>
      </c>
      <c r="M52" s="1483">
        <f>'Fin Forecast - PRP'!M30</f>
        <v>13388859.190690089</v>
      </c>
      <c r="N52" s="1483">
        <f>'Fin Forecast - PRP'!N30</f>
        <v>13875351.006627321</v>
      </c>
      <c r="O52" s="1483">
        <f>'Fin Forecast - PRP'!O30</f>
        <v>14394705.787581932</v>
      </c>
      <c r="P52" s="1483">
        <f>'Fin Forecast - PRP'!P30</f>
        <v>15164931.604000604</v>
      </c>
      <c r="Q52" s="1483">
        <f>'Fin Forecast - PRP'!Q30</f>
        <v>14708264.600651238</v>
      </c>
      <c r="R52" s="1483">
        <f>'Fin Forecast - PRP'!R30</f>
        <v>15547055.999787565</v>
      </c>
      <c r="S52" s="1483">
        <f>'Fin Forecast - PRP'!S30</f>
        <v>16252281.10125982</v>
      </c>
      <c r="T52" s="1483">
        <f>'Fin Forecast - PRP'!T30</f>
        <v>17428902.127743255</v>
      </c>
      <c r="U52" s="1483">
        <f>'Fin Forecast - PRP'!U30</f>
        <v>18737217.167352997</v>
      </c>
      <c r="V52" s="1463"/>
    </row>
    <row r="53" spans="1:24">
      <c r="A53" s="1360"/>
      <c r="B53" s="1463"/>
      <c r="C53" s="1476">
        <f>IF(D53="","",MAX(C$9:C52)+1)</f>
        <v>38</v>
      </c>
      <c r="D53" s="1482" t="s">
        <v>843</v>
      </c>
      <c r="E53" s="1482"/>
      <c r="F53" s="1482"/>
      <c r="G53" s="1483">
        <f>'Fin Forecast - PRP'!G45</f>
        <v>1826646.16</v>
      </c>
      <c r="H53" s="1483">
        <f>'Fin Forecast - PRP'!H45</f>
        <v>1954509.94</v>
      </c>
      <c r="I53" s="1692">
        <f>'Fin Forecast - PRP'!I45</f>
        <v>1586597.48</v>
      </c>
      <c r="J53" s="1483">
        <f>'Fin Forecast - PRP'!J45</f>
        <v>1901936.34</v>
      </c>
      <c r="K53" s="1483">
        <f>'Fin Forecast - PRP'!K45</f>
        <v>1894962</v>
      </c>
      <c r="L53" s="1483">
        <f>'Fin Forecast - PRP'!L45</f>
        <v>1894962</v>
      </c>
      <c r="M53" s="1483">
        <f>'Fin Forecast - PRP'!M45</f>
        <v>1894962</v>
      </c>
      <c r="N53" s="1483">
        <f>'Fin Forecast - PRP'!N45</f>
        <v>1894962</v>
      </c>
      <c r="O53" s="1483">
        <f>'Fin Forecast - PRP'!O45</f>
        <v>1894962</v>
      </c>
      <c r="P53" s="1483">
        <f>'Fin Forecast - PRP'!P45</f>
        <v>1894962</v>
      </c>
      <c r="Q53" s="1483">
        <f>'Fin Forecast - PRP'!Q45</f>
        <v>1894962</v>
      </c>
      <c r="R53" s="1483">
        <f>'Fin Forecast - PRP'!R45</f>
        <v>1894962</v>
      </c>
      <c r="S53" s="1483">
        <f>'Fin Forecast - PRP'!S45</f>
        <v>1894962</v>
      </c>
      <c r="T53" s="1483">
        <f>'Fin Forecast - PRP'!T45</f>
        <v>1894962</v>
      </c>
      <c r="U53" s="1483">
        <f>'Fin Forecast - PRP'!U45</f>
        <v>1894962</v>
      </c>
      <c r="V53" s="1463"/>
    </row>
    <row r="54" spans="1:24" ht="18">
      <c r="A54" s="1360"/>
      <c r="B54" s="1463"/>
      <c r="C54" s="1476">
        <f>IF(D54="","",MAX(C$9:C53)+1)</f>
        <v>39</v>
      </c>
      <c r="D54" s="1482" t="s">
        <v>615</v>
      </c>
      <c r="E54" s="1482"/>
      <c r="F54" s="1482"/>
      <c r="G54" s="1485">
        <f>'Fin Forecast - PRP'!G40</f>
        <v>74080309.959999993</v>
      </c>
      <c r="H54" s="1485">
        <f>'Fin Forecast - PRP'!H40</f>
        <v>76420927</v>
      </c>
      <c r="I54" s="1693">
        <f>'Fin Forecast - PRP'!I40</f>
        <v>77790364.509999812</v>
      </c>
      <c r="J54" s="1485">
        <f>'Fin Forecast - PRP'!J40</f>
        <v>75701111.149999902</v>
      </c>
      <c r="K54" s="1485">
        <f>'Fin Forecast - PRP'!K40</f>
        <v>86495862.495963588</v>
      </c>
      <c r="L54" s="1485">
        <f>'Fin Forecast - PRP'!L40</f>
        <v>91320047.336031243</v>
      </c>
      <c r="M54" s="1485">
        <f>'Fin Forecast - PRP'!M40</f>
        <v>94660129.034499168</v>
      </c>
      <c r="N54" s="1485">
        <f>'Fin Forecast - PRP'!N40</f>
        <v>97912999.569802836</v>
      </c>
      <c r="O54" s="1485">
        <f>'Fin Forecast - PRP'!O40</f>
        <v>100533210.42568196</v>
      </c>
      <c r="P54" s="1485">
        <f>'Fin Forecast - PRP'!P40</f>
        <v>97690899.52027373</v>
      </c>
      <c r="Q54" s="1485">
        <f>'Fin Forecast - PRP'!Q40</f>
        <v>101102093.63756481</v>
      </c>
      <c r="R54" s="1485">
        <f>'Fin Forecast - PRP'!R40</f>
        <v>96577035.361713931</v>
      </c>
      <c r="S54" s="1485">
        <f>'Fin Forecast - PRP'!S40</f>
        <v>100351128.05478282</v>
      </c>
      <c r="T54" s="1485">
        <f>'Fin Forecast - PRP'!T40</f>
        <v>104467805.67622751</v>
      </c>
      <c r="U54" s="1485">
        <f>'Fin Forecast - PRP'!U40</f>
        <v>108270042.99868535</v>
      </c>
      <c r="V54" s="1463"/>
    </row>
    <row r="55" spans="1:24">
      <c r="A55" s="1360"/>
      <c r="B55" s="1463"/>
      <c r="C55" s="1476">
        <f>IF(D55="","",MAX(C$9:C54)+1)</f>
        <v>40</v>
      </c>
      <c r="D55" s="1489" t="s">
        <v>2011</v>
      </c>
      <c r="E55" s="1482"/>
      <c r="F55" s="1482"/>
      <c r="G55" s="1490">
        <f t="shared" ref="G55:U55" si="4">SUM(G49:G54)</f>
        <v>134655713.00999999</v>
      </c>
      <c r="H55" s="1490">
        <f t="shared" si="4"/>
        <v>142430370.50999999</v>
      </c>
      <c r="I55" s="1691">
        <f t="shared" si="4"/>
        <v>145648120.74999982</v>
      </c>
      <c r="J55" s="1490">
        <f t="shared" si="4"/>
        <v>150224882.49999994</v>
      </c>
      <c r="K55" s="1490">
        <f t="shared" si="4"/>
        <v>155660615.39040661</v>
      </c>
      <c r="L55" s="1490">
        <f t="shared" si="4"/>
        <v>159708157.02219823</v>
      </c>
      <c r="M55" s="1490">
        <f t="shared" si="4"/>
        <v>166504716.63107312</v>
      </c>
      <c r="N55" s="1490">
        <f t="shared" si="4"/>
        <v>171668591.88297462</v>
      </c>
      <c r="O55" s="1490">
        <f t="shared" si="4"/>
        <v>176898945.34950638</v>
      </c>
      <c r="P55" s="1490">
        <f t="shared" si="4"/>
        <v>177261829.56028253</v>
      </c>
      <c r="Q55" s="1490">
        <f t="shared" si="4"/>
        <v>179061804.33930236</v>
      </c>
      <c r="R55" s="1490">
        <f t="shared" si="4"/>
        <v>178779613.17986757</v>
      </c>
      <c r="S55" s="1490">
        <f t="shared" si="4"/>
        <v>185964155.35931081</v>
      </c>
      <c r="T55" s="1490">
        <f t="shared" si="4"/>
        <v>195355857.16873991</v>
      </c>
      <c r="U55" s="1490">
        <f t="shared" si="4"/>
        <v>204735812.98645276</v>
      </c>
      <c r="V55" s="1463"/>
    </row>
    <row r="56" spans="1:24">
      <c r="A56" s="1360"/>
      <c r="B56" s="1463"/>
      <c r="C56" s="1476" t="str">
        <f>IF(D56="","",MAX(C$9:C55)+1)</f>
        <v/>
      </c>
      <c r="D56" s="1489"/>
      <c r="E56" s="1482"/>
      <c r="F56" s="1482"/>
      <c r="G56" s="1490"/>
      <c r="H56" s="1490"/>
      <c r="I56" s="1691"/>
      <c r="J56" s="1490"/>
      <c r="K56" s="1490"/>
      <c r="L56" s="1490"/>
      <c r="M56" s="1490"/>
      <c r="N56" s="1490"/>
      <c r="O56" s="1490"/>
      <c r="P56" s="1490"/>
      <c r="Q56" s="1490"/>
      <c r="R56" s="1490"/>
      <c r="S56" s="1490"/>
      <c r="T56" s="1490"/>
      <c r="U56" s="1490"/>
      <c r="V56" s="1463"/>
    </row>
    <row r="57" spans="1:24">
      <c r="A57" s="1360"/>
      <c r="B57" s="1463"/>
      <c r="C57" s="1476">
        <f>IF(D57="","",MAX(C$9:C56)+1)</f>
        <v>41</v>
      </c>
      <c r="D57" s="1489" t="s">
        <v>2012</v>
      </c>
      <c r="E57" s="1489"/>
      <c r="F57" s="1482"/>
      <c r="G57" s="1490">
        <f t="shared" ref="G57:U57" si="5">G46+G55</f>
        <v>220723070.00999996</v>
      </c>
      <c r="H57" s="1490">
        <f t="shared" si="5"/>
        <v>241725165.72</v>
      </c>
      <c r="I57" s="1691">
        <f t="shared" si="5"/>
        <v>262277906.01999977</v>
      </c>
      <c r="J57" s="1490">
        <f t="shared" si="5"/>
        <v>235467984.26999998</v>
      </c>
      <c r="K57" s="1490">
        <f t="shared" si="5"/>
        <v>211276367.12797311</v>
      </c>
      <c r="L57" s="1490">
        <f t="shared" si="5"/>
        <v>216106161.0920338</v>
      </c>
      <c r="M57" s="1490">
        <f t="shared" si="5"/>
        <v>223578315.5212025</v>
      </c>
      <c r="N57" s="1490">
        <f t="shared" si="5"/>
        <v>246830111.55836043</v>
      </c>
      <c r="O57" s="1490">
        <f t="shared" si="5"/>
        <v>269036607.21410507</v>
      </c>
      <c r="P57" s="1490">
        <f t="shared" si="5"/>
        <v>329132341.53533256</v>
      </c>
      <c r="Q57" s="1490">
        <f t="shared" si="5"/>
        <v>335867771.57857949</v>
      </c>
      <c r="R57" s="1490">
        <f t="shared" si="5"/>
        <v>335378623.60761034</v>
      </c>
      <c r="S57" s="1490">
        <f t="shared" si="5"/>
        <v>331500835.53360307</v>
      </c>
      <c r="T57" s="1490">
        <f t="shared" si="5"/>
        <v>347037720.92253476</v>
      </c>
      <c r="U57" s="1490">
        <f t="shared" si="5"/>
        <v>365215553.29649532</v>
      </c>
      <c r="V57" s="1463"/>
    </row>
    <row r="58" spans="1:24">
      <c r="A58" s="1360"/>
      <c r="B58" s="1463"/>
      <c r="C58" s="1476" t="str">
        <f>IF(D58="","",MAX(C$9:C57)+1)</f>
        <v/>
      </c>
      <c r="D58" s="1489"/>
      <c r="E58" s="1482"/>
      <c r="F58" s="1482"/>
      <c r="G58" s="1483"/>
      <c r="H58" s="1483"/>
      <c r="I58" s="1692"/>
      <c r="J58" s="1483"/>
      <c r="K58" s="1483"/>
      <c r="L58" s="1483"/>
      <c r="M58" s="1483"/>
      <c r="N58" s="1483"/>
      <c r="O58" s="1483"/>
      <c r="P58" s="1483"/>
      <c r="Q58" s="1483"/>
      <c r="R58" s="1483"/>
      <c r="S58" s="1483"/>
      <c r="T58" s="1483"/>
      <c r="U58" s="1483"/>
      <c r="V58" s="1463"/>
    </row>
    <row r="59" spans="1:24">
      <c r="A59" s="1360"/>
      <c r="B59" s="1463"/>
      <c r="C59" s="1476">
        <f>IF(D59="","",MAX(C$9:C58)+1)</f>
        <v>42</v>
      </c>
      <c r="D59" s="1489" t="s">
        <v>267</v>
      </c>
      <c r="E59" s="1482"/>
      <c r="F59" s="1482"/>
      <c r="G59" s="1483"/>
      <c r="H59" s="1483"/>
      <c r="I59" s="1692"/>
      <c r="J59" s="1483"/>
      <c r="K59" s="1483"/>
      <c r="L59" s="1483"/>
      <c r="M59" s="1483"/>
      <c r="N59" s="1483"/>
      <c r="O59" s="1483"/>
      <c r="P59" s="1483"/>
      <c r="Q59" s="1483"/>
      <c r="R59" s="1483"/>
      <c r="S59" s="1483"/>
      <c r="T59" s="1483"/>
      <c r="U59" s="1483"/>
      <c r="V59" s="1463"/>
    </row>
    <row r="60" spans="1:24">
      <c r="A60" s="1360"/>
      <c r="B60" s="1463"/>
      <c r="C60" s="1476">
        <f>IF(D60="","",MAX(C$9:C59)+1)</f>
        <v>43</v>
      </c>
      <c r="D60" s="1482" t="s">
        <v>2225</v>
      </c>
      <c r="E60" s="1482"/>
      <c r="F60" s="1482"/>
      <c r="G60" s="1483">
        <f>'Fin Forecast - Elec'!G92</f>
        <v>50784988.143320002</v>
      </c>
      <c r="H60" s="1483">
        <f>'Fin Forecast - Elec'!H92</f>
        <v>67069487</v>
      </c>
      <c r="I60" s="1692">
        <f>'Fin Forecast - Elec'!I92</f>
        <v>43454998.460000001</v>
      </c>
      <c r="J60" s="1483">
        <f>'Fin Forecast - Elec'!J92</f>
        <v>36659184.746062398</v>
      </c>
      <c r="K60" s="1483">
        <f>'Fin Forecast - Elec'!K92</f>
        <v>59999222.552695818</v>
      </c>
      <c r="L60" s="1483">
        <f>'Fin Forecast - Elec'!L92</f>
        <v>69299537.898900956</v>
      </c>
      <c r="M60" s="1483">
        <f>'Fin Forecast - Elec'!M92</f>
        <v>55761096.780477867</v>
      </c>
      <c r="N60" s="1483">
        <f>'Fin Forecast - Elec'!N92</f>
        <v>52719294.060464561</v>
      </c>
      <c r="O60" s="1483">
        <f>'Fin Forecast - Elec'!O92</f>
        <v>29345320.730032656</v>
      </c>
      <c r="P60" s="1483">
        <f>'Fin Forecast - Elec'!P92</f>
        <v>27846208.057557296</v>
      </c>
      <c r="Q60" s="1483">
        <f>'Fin Forecast - Elec'!Q92</f>
        <v>31387073.699986964</v>
      </c>
      <c r="R60" s="1483">
        <f>'Fin Forecast - Elec'!R92</f>
        <v>36279392.549446926</v>
      </c>
      <c r="S60" s="1483">
        <f>'Fin Forecast - Elec'!S92</f>
        <v>31901862.832594763</v>
      </c>
      <c r="T60" s="1483">
        <f>'Fin Forecast - Elec'!T92</f>
        <v>31158184.660147019</v>
      </c>
      <c r="U60" s="1483">
        <f>'Fin Forecast - Elec'!U92</f>
        <v>34661890.528807357</v>
      </c>
      <c r="V60" s="1483"/>
    </row>
    <row r="61" spans="1:24">
      <c r="A61" s="1360"/>
      <c r="B61" s="1463"/>
      <c r="C61" s="1476">
        <f>IF(D61="","",MAX(C$9:C60)+1)</f>
        <v>44</v>
      </c>
      <c r="D61" s="1482" t="s">
        <v>2742</v>
      </c>
      <c r="E61" s="1482"/>
      <c r="F61" s="1482"/>
      <c r="G61" s="1483">
        <f>CIP_E!J40</f>
        <v>0</v>
      </c>
      <c r="H61" s="1483">
        <f>CIP_E!K40</f>
        <v>0</v>
      </c>
      <c r="I61" s="1692">
        <f>'Fin Forecast - PRP'!I49</f>
        <v>0</v>
      </c>
      <c r="J61" s="1483">
        <f>'Fin Forecast - PRP'!J49</f>
        <v>0</v>
      </c>
      <c r="K61" s="1483">
        <f>'Fin Forecast - PRP'!K49</f>
        <v>0</v>
      </c>
      <c r="L61" s="1483">
        <f>'Fin Forecast - PRP'!L49</f>
        <v>0</v>
      </c>
      <c r="M61" s="1483">
        <f>'Fin Forecast - PRP'!M49</f>
        <v>0</v>
      </c>
      <c r="N61" s="1483">
        <f>'Fin Forecast - PRP'!N49</f>
        <v>0</v>
      </c>
      <c r="O61" s="1483">
        <f>'Fin Forecast - PRP'!O49</f>
        <v>0</v>
      </c>
      <c r="P61" s="1483">
        <f>'Fin Forecast - PRP'!P49</f>
        <v>0</v>
      </c>
      <c r="Q61" s="1483">
        <f>'Fin Forecast - PRP'!Q49</f>
        <v>0</v>
      </c>
      <c r="R61" s="1483">
        <f>'Fin Forecast - PRP'!R49</f>
        <v>0</v>
      </c>
      <c r="S61" s="1483">
        <f>'Fin Forecast - PRP'!S49</f>
        <v>0</v>
      </c>
      <c r="T61" s="1483">
        <f>'Fin Forecast - PRP'!T49</f>
        <v>0</v>
      </c>
      <c r="U61" s="1483">
        <f>'Fin Forecast - PRP'!U49</f>
        <v>0</v>
      </c>
      <c r="V61" s="1463"/>
    </row>
    <row r="62" spans="1:24">
      <c r="A62" s="1360"/>
      <c r="B62" s="1463"/>
      <c r="C62" s="1476" t="str">
        <f>IF(D62="","",MAX(C$9:C61)+1)</f>
        <v/>
      </c>
      <c r="D62" s="1482"/>
      <c r="E62" s="1482"/>
      <c r="F62" s="1482"/>
      <c r="G62" s="1483"/>
      <c r="H62" s="1483"/>
      <c r="I62" s="1692"/>
      <c r="J62" s="1483"/>
      <c r="K62" s="1483"/>
      <c r="L62" s="1483"/>
      <c r="M62" s="1483"/>
      <c r="N62" s="1483"/>
      <c r="O62" s="1483"/>
      <c r="P62" s="1483"/>
      <c r="Q62" s="1483"/>
      <c r="R62" s="1483"/>
      <c r="S62" s="1483"/>
      <c r="T62" s="1483"/>
      <c r="U62" s="1483"/>
      <c r="V62" s="1463"/>
    </row>
    <row r="63" spans="1:24">
      <c r="A63" s="1360"/>
      <c r="B63" s="1463"/>
      <c r="C63" s="1476">
        <f>IF(D63="","",MAX(C$9:C62)+1)</f>
        <v>45</v>
      </c>
      <c r="D63" s="1489" t="s">
        <v>2226</v>
      </c>
      <c r="E63" s="1482"/>
      <c r="F63" s="1482"/>
      <c r="G63" s="1483"/>
      <c r="H63" s="1483"/>
      <c r="I63" s="1692"/>
      <c r="J63" s="1483"/>
      <c r="K63" s="1483"/>
      <c r="L63" s="1483"/>
      <c r="M63" s="1483"/>
      <c r="N63" s="1483"/>
      <c r="O63" s="1483"/>
      <c r="P63" s="1483"/>
      <c r="Q63" s="1483"/>
      <c r="R63" s="1483"/>
      <c r="S63" s="1483"/>
      <c r="T63" s="1483"/>
      <c r="U63" s="1483"/>
      <c r="V63" s="1463"/>
    </row>
    <row r="64" spans="1:24">
      <c r="A64" s="1360"/>
      <c r="B64" s="1463"/>
      <c r="C64" s="1476">
        <f>IF(D64="","",MAX(C$9:C63)+1)</f>
        <v>46</v>
      </c>
      <c r="D64" s="1401" t="str">
        <f>'Fin Forecast - Elec'!D89</f>
        <v>Transfer to/(from) Finance Plan Reserve (Debt Service)</v>
      </c>
      <c r="E64" s="1401"/>
      <c r="F64" s="1401"/>
      <c r="G64" s="1483">
        <f>'Fin Forecast - Elec'!G89</f>
        <v>0</v>
      </c>
      <c r="H64" s="1483">
        <f>'Fin Forecast - Elec'!H89</f>
        <v>0</v>
      </c>
      <c r="I64" s="1692">
        <f>'Fin Forecast - Elec'!I89</f>
        <v>0</v>
      </c>
      <c r="J64" s="1483">
        <f>'Fin Forecast - Elec'!J89</f>
        <v>0</v>
      </c>
      <c r="K64" s="1483">
        <f>'Fin Forecast - Elec'!K89</f>
        <v>0</v>
      </c>
      <c r="L64" s="1483">
        <f>'Fin Forecast - Elec'!L89</f>
        <v>0</v>
      </c>
      <c r="M64" s="1483">
        <f>'Fin Forecast - Elec'!M89</f>
        <v>0</v>
      </c>
      <c r="N64" s="1483">
        <f>'Fin Forecast - Elec'!N89</f>
        <v>0</v>
      </c>
      <c r="O64" s="1483">
        <f>'Fin Forecast - Elec'!O89</f>
        <v>0</v>
      </c>
      <c r="P64" s="1483">
        <f>'Fin Forecast - Elec'!P89</f>
        <v>0</v>
      </c>
      <c r="Q64" s="1483">
        <f>'Fin Forecast - Elec'!Q89</f>
        <v>0</v>
      </c>
      <c r="R64" s="1483">
        <f>'Fin Forecast - Elec'!R89</f>
        <v>0</v>
      </c>
      <c r="S64" s="1483">
        <f>'Fin Forecast - Elec'!S89</f>
        <v>0</v>
      </c>
      <c r="T64" s="1483">
        <f>'Fin Forecast - Elec'!T89</f>
        <v>0</v>
      </c>
      <c r="U64" s="1483">
        <f>'Fin Forecast - Elec'!U89</f>
        <v>0</v>
      </c>
      <c r="V64" s="1463"/>
    </row>
    <row r="65" spans="1:36">
      <c r="A65" s="1360"/>
      <c r="B65" s="1463"/>
      <c r="C65" s="1476">
        <f>IF(D65="","",MAX(C$9:C64)+1)</f>
        <v>47</v>
      </c>
      <c r="D65" s="1401" t="str">
        <f>'Fin Forecast - Elec'!D90</f>
        <v>Transfer to/(from) Finance Plan Reserve (PRP Capital)</v>
      </c>
      <c r="E65" s="1401"/>
      <c r="F65" s="1401"/>
      <c r="G65" s="1483">
        <f>'Fin Forecast - Elec'!G90</f>
        <v>0</v>
      </c>
      <c r="H65" s="1483">
        <f>'Fin Forecast - Elec'!H90</f>
        <v>0</v>
      </c>
      <c r="I65" s="1692">
        <f>'Fin Forecast - Elec'!I90</f>
        <v>37182000</v>
      </c>
      <c r="J65" s="1483">
        <f>'Fin Forecast - Elec'!J90</f>
        <v>12083702.953720002</v>
      </c>
      <c r="K65" s="1483">
        <f>'Fin Forecast - Elec'!K90</f>
        <v>27666486.961203694</v>
      </c>
      <c r="L65" s="1483">
        <f>'Fin Forecast - Elec'!L90</f>
        <v>5140761.4783228701</v>
      </c>
      <c r="M65" s="1483">
        <f>'Fin Forecast - Elec'!M90</f>
        <v>20104210.091357153</v>
      </c>
      <c r="N65" s="1483">
        <f>'Fin Forecast - Elec'!N90</f>
        <v>21661554.312975064</v>
      </c>
      <c r="O65" s="1483">
        <f>'Fin Forecast - Elec'!O90</f>
        <v>41867330.008197173</v>
      </c>
      <c r="P65" s="1483">
        <f>'Fin Forecast - Elec'!P90</f>
        <v>50453845.665016897</v>
      </c>
      <c r="Q65" s="1483">
        <f>'Fin Forecast - Elec'!Q90</f>
        <v>66283168.257466801</v>
      </c>
      <c r="R65" s="1483">
        <f>'Fin Forecast - Elec'!R90</f>
        <v>68152354.060868725</v>
      </c>
      <c r="S65" s="1483">
        <f>'Fin Forecast - Elec'!S90</f>
        <v>98146906.637001559</v>
      </c>
      <c r="T65" s="1483">
        <f>'Fin Forecast - Elec'!T90</f>
        <v>100083313.21184322</v>
      </c>
      <c r="U65" s="1483">
        <f>'Fin Forecast - Elec'!U90</f>
        <v>101807638.99208324</v>
      </c>
      <c r="V65" s="1463"/>
    </row>
    <row r="66" spans="1:36" ht="15.75" hidden="1" customHeight="1">
      <c r="A66" s="1360"/>
      <c r="B66" s="1463"/>
      <c r="C66" s="1476">
        <f>IF(D66="","",MAX(C$9:C65)+1)</f>
        <v>48</v>
      </c>
      <c r="D66" s="1401" t="str">
        <f>'Fin Forecast - Elec'!D91</f>
        <v>Transfer 3</v>
      </c>
      <c r="E66" s="1401"/>
      <c r="F66" s="1401"/>
      <c r="G66" s="1483">
        <f>'Fin Forecast - Elec'!G91</f>
        <v>0</v>
      </c>
      <c r="H66" s="1483">
        <f>'Fin Forecast - Elec'!H91</f>
        <v>0</v>
      </c>
      <c r="I66" s="1692">
        <f>'Fin Forecast - Elec'!I91</f>
        <v>0</v>
      </c>
      <c r="J66" s="1483">
        <f>'Fin Forecast - Elec'!J91</f>
        <v>0</v>
      </c>
      <c r="K66" s="1483">
        <f>'Fin Forecast - Elec'!K91</f>
        <v>0</v>
      </c>
      <c r="L66" s="1483">
        <f>'Fin Forecast - Elec'!L91</f>
        <v>0</v>
      </c>
      <c r="M66" s="1483">
        <f>'Fin Forecast - Elec'!M91</f>
        <v>0</v>
      </c>
      <c r="N66" s="1483">
        <f>'Fin Forecast - Elec'!N91</f>
        <v>0</v>
      </c>
      <c r="O66" s="1483">
        <f>'Fin Forecast - Elec'!O91</f>
        <v>0</v>
      </c>
      <c r="P66" s="1483">
        <f>'Fin Forecast - Elec'!P91</f>
        <v>0</v>
      </c>
      <c r="Q66" s="1483">
        <f>'Fin Forecast - Elec'!Q91</f>
        <v>0</v>
      </c>
      <c r="R66" s="1483">
        <f>'Fin Forecast - Elec'!R91</f>
        <v>0</v>
      </c>
      <c r="S66" s="1483">
        <f>'Fin Forecast - Elec'!S91</f>
        <v>0</v>
      </c>
      <c r="T66" s="1483">
        <f>'Fin Forecast - Elec'!T91</f>
        <v>0</v>
      </c>
      <c r="U66" s="1483">
        <f>'Fin Forecast - Elec'!U91</f>
        <v>0</v>
      </c>
      <c r="V66" s="1463"/>
    </row>
    <row r="67" spans="1:36" customFormat="1" ht="15.75" customHeight="1">
      <c r="A67" s="1360"/>
      <c r="C67" s="1476" t="str">
        <f>IF(D67="","",MAX(C$9:C66)+1)</f>
        <v/>
      </c>
      <c r="D67" s="1361"/>
      <c r="E67" s="1361"/>
      <c r="F67" s="1361"/>
      <c r="G67" s="1361"/>
      <c r="H67" s="1361"/>
      <c r="I67" s="1901"/>
      <c r="J67" s="1361"/>
      <c r="K67" s="1361"/>
      <c r="L67" s="1361"/>
      <c r="M67" s="1361"/>
      <c r="N67" s="1361"/>
      <c r="O67" s="1361"/>
      <c r="P67" s="1361"/>
      <c r="Q67" s="1361"/>
      <c r="R67" s="1361"/>
      <c r="S67" s="1361"/>
      <c r="T67" s="1361"/>
      <c r="U67" s="1361"/>
      <c r="V67" s="1361"/>
      <c r="W67" s="1361"/>
      <c r="X67" s="1361"/>
      <c r="Y67" s="1361"/>
      <c r="Z67" s="1361"/>
      <c r="AA67" s="1361"/>
      <c r="AB67" s="1361"/>
    </row>
    <row r="68" spans="1:36">
      <c r="A68" s="1360"/>
      <c r="B68" s="1463"/>
      <c r="C68" s="1476">
        <f>IF(D68="","",MAX(C$9:C67)+1)</f>
        <v>49</v>
      </c>
      <c r="D68" s="1489" t="s">
        <v>2223</v>
      </c>
      <c r="E68" s="1482"/>
      <c r="F68" s="1482"/>
      <c r="G68" s="1483"/>
      <c r="H68" s="1483"/>
      <c r="I68" s="1692"/>
      <c r="J68" s="1483"/>
      <c r="K68" s="1483"/>
      <c r="L68" s="1483"/>
      <c r="M68" s="1483"/>
      <c r="N68" s="1483"/>
      <c r="O68" s="1483"/>
      <c r="P68" s="1483"/>
      <c r="Q68" s="1483"/>
      <c r="R68" s="1483"/>
      <c r="S68" s="1483"/>
      <c r="T68" s="1483"/>
      <c r="U68" s="1483"/>
      <c r="V68" s="1463"/>
    </row>
    <row r="69" spans="1:36">
      <c r="A69" s="1360"/>
      <c r="B69" s="1463"/>
      <c r="C69" s="1476">
        <f>IF(D69="","",MAX(C$9:C68)+1)</f>
        <v>50</v>
      </c>
      <c r="D69" s="1482" t="s">
        <v>2224</v>
      </c>
      <c r="E69" s="1482"/>
      <c r="F69" s="1482"/>
      <c r="G69" s="3089">
        <f>'Forecast (BV) 2017'!E92</f>
        <v>28536568.689999998</v>
      </c>
      <c r="H69" s="3089">
        <f>'Forecast (BV) 2017'!F92</f>
        <v>29611859.079999998</v>
      </c>
      <c r="I69" s="4328">
        <f>'Forecast (BV) 2017'!G92</f>
        <v>30713083.699999999</v>
      </c>
      <c r="J69" s="3089">
        <f>'Forecast (BV) 2017'!I92</f>
        <v>32242338.59</v>
      </c>
      <c r="K69" s="3089">
        <f>'Forecast (BV) 2017'!K92</f>
        <v>34753917.620746456</v>
      </c>
      <c r="L69" s="3089">
        <f>'Forecast (BV) 2017'!L92</f>
        <v>37190865.386608787</v>
      </c>
      <c r="M69" s="3089">
        <f>'Forecast (BV) 2017'!M92</f>
        <v>40206925.973828778</v>
      </c>
      <c r="N69" s="3089">
        <f>'Forecast (BV) 2017'!N92</f>
        <v>42748908.228497393</v>
      </c>
      <c r="O69" s="3089">
        <f>'Forecast (BV) 2017'!O92</f>
        <v>45137009.612629361</v>
      </c>
      <c r="P69" s="3089">
        <f>'Forecast (BV) 2017'!P92</f>
        <v>44925632.027356319</v>
      </c>
      <c r="Q69" s="3089">
        <f>'Forecast (BV) 2017'!Q92</f>
        <v>43863245.850368671</v>
      </c>
      <c r="R69" s="3089">
        <f>'Forecast (BV) 2017'!R92</f>
        <v>44561808.875802666</v>
      </c>
      <c r="S69" s="3089">
        <f>'Forecast (BV) 2017'!S92</f>
        <v>45681229.971239023</v>
      </c>
      <c r="T69" s="3089">
        <f>'Forecast (BV) 2017'!T92</f>
        <v>46511143.659667529</v>
      </c>
      <c r="U69" s="3089">
        <f>'Forecast (BV) 2017'!U92</f>
        <v>47334480.6176017</v>
      </c>
      <c r="V69" s="1463"/>
    </row>
    <row r="70" spans="1:36">
      <c r="A70" s="1360"/>
      <c r="B70" s="1463"/>
      <c r="C70" s="1476">
        <f>IF(D70="","",MAX(C$9:C69)+1)</f>
        <v>51</v>
      </c>
      <c r="D70" s="1482" t="s">
        <v>2743</v>
      </c>
      <c r="E70" s="1482"/>
      <c r="F70" s="1482"/>
      <c r="G70" s="3089">
        <f>'Forecast (BV) 2017'!E93</f>
        <v>19320685.760000002</v>
      </c>
      <c r="H70" s="3089">
        <f>'Forecast (BV) 2017'!F93</f>
        <v>20861603.969999999</v>
      </c>
      <c r="I70" s="4328">
        <f>'Forecast (BV) 2017'!G93</f>
        <v>23182793.129999999</v>
      </c>
      <c r="J70" s="3089">
        <f>'Forecast (BV) 2017'!I93</f>
        <v>24742727.190000001</v>
      </c>
      <c r="K70" s="3089">
        <f>'Forecast (BV) 2017'!K93</f>
        <v>29095569.021214548</v>
      </c>
      <c r="L70" s="3089">
        <f>'Forecast (BV) 2017'!L93</f>
        <v>30955346.70987042</v>
      </c>
      <c r="M70" s="3089">
        <f>'Forecast (BV) 2017'!M93</f>
        <v>32938718.218346704</v>
      </c>
      <c r="N70" s="3089">
        <f>'Forecast (BV) 2017'!N93</f>
        <v>34756703.326951668</v>
      </c>
      <c r="O70" s="3089">
        <f>'Forecast (BV) 2017'!O93</f>
        <v>35991063.893670887</v>
      </c>
      <c r="P70" s="3089">
        <f>'Forecast (BV) 2017'!P93</f>
        <v>35992073.561981581</v>
      </c>
      <c r="Q70" s="3089">
        <f>'Forecast (BV) 2017'!Q93</f>
        <v>35467747.0223286</v>
      </c>
      <c r="R70" s="3089">
        <f>'Forecast (BV) 2017'!R93</f>
        <v>36112822.876777835</v>
      </c>
      <c r="S70" s="3089">
        <f>'Forecast (BV) 2017'!S93</f>
        <v>36826239.760905758</v>
      </c>
      <c r="T70" s="3089">
        <f>'Forecast (BV) 2017'!T93</f>
        <v>37483110.922426045</v>
      </c>
      <c r="U70" s="3089">
        <f>'Forecast (BV) 2017'!U93</f>
        <v>38832768.084736049</v>
      </c>
      <c r="V70" s="1463"/>
    </row>
    <row r="71" spans="1:36">
      <c r="A71" s="1360"/>
      <c r="B71" s="1463"/>
      <c r="C71" s="1476" t="str">
        <f>IF(D71="","",MAX(C$9:C70)+1)</f>
        <v/>
      </c>
      <c r="D71" s="1489"/>
      <c r="E71" s="1482"/>
      <c r="F71" s="1482"/>
      <c r="G71" s="1483"/>
      <c r="H71" s="1483"/>
      <c r="I71" s="1692"/>
      <c r="J71" s="1483"/>
      <c r="K71" s="1483"/>
      <c r="L71" s="1483"/>
      <c r="M71" s="1483"/>
      <c r="N71" s="1483"/>
      <c r="O71" s="1483"/>
      <c r="P71" s="1483"/>
      <c r="Q71" s="1483"/>
      <c r="R71" s="1483"/>
      <c r="S71" s="1483"/>
      <c r="T71" s="1483"/>
      <c r="U71" s="1483"/>
      <c r="V71" s="1463"/>
    </row>
    <row r="72" spans="1:36" ht="15.75" customHeight="1">
      <c r="A72" s="1360"/>
      <c r="B72" s="1463"/>
      <c r="C72" s="1476">
        <f>IF(D72="","",MAX(C$9:C71)+1)</f>
        <v>52</v>
      </c>
      <c r="D72" s="1480" t="s">
        <v>2227</v>
      </c>
      <c r="E72" s="1480"/>
      <c r="F72" s="1480"/>
      <c r="G72" s="1483">
        <f t="shared" ref="G72:U72" si="6">SUM(G57,G60:G61,G64:G66)</f>
        <v>271508058.15331995</v>
      </c>
      <c r="H72" s="1483">
        <f t="shared" si="6"/>
        <v>308794652.72000003</v>
      </c>
      <c r="I72" s="1692">
        <f>SUM(I57,I60:I61,I64:I66)</f>
        <v>342914904.47999978</v>
      </c>
      <c r="J72" s="1483">
        <f t="shared" si="6"/>
        <v>284210871.96978235</v>
      </c>
      <c r="K72" s="1483">
        <f t="shared" si="6"/>
        <v>298942076.64187264</v>
      </c>
      <c r="L72" s="1483">
        <f t="shared" si="6"/>
        <v>290546460.46925759</v>
      </c>
      <c r="M72" s="1483">
        <f t="shared" si="6"/>
        <v>299443622.39303756</v>
      </c>
      <c r="N72" s="1483">
        <f t="shared" si="6"/>
        <v>321210959.93180001</v>
      </c>
      <c r="O72" s="1483">
        <f t="shared" si="6"/>
        <v>340249257.95233494</v>
      </c>
      <c r="P72" s="1483">
        <f t="shared" si="6"/>
        <v>407432395.25790673</v>
      </c>
      <c r="Q72" s="1483">
        <f t="shared" si="6"/>
        <v>433538013.53603327</v>
      </c>
      <c r="R72" s="1483">
        <f t="shared" si="6"/>
        <v>439810370.21792603</v>
      </c>
      <c r="S72" s="1483">
        <f t="shared" si="6"/>
        <v>461549605.0031994</v>
      </c>
      <c r="T72" s="1483">
        <f t="shared" si="6"/>
        <v>478279218.79452503</v>
      </c>
      <c r="U72" s="1483">
        <f t="shared" si="6"/>
        <v>501685082.81738591</v>
      </c>
      <c r="V72" s="1463"/>
    </row>
    <row r="73" spans="1:36" ht="15.75" customHeight="1">
      <c r="A73" s="1360"/>
      <c r="B73" s="1463"/>
      <c r="C73" s="1476" t="str">
        <f>IF(D73="","",MAX(C$9:C72)+1)</f>
        <v/>
      </c>
      <c r="D73" s="1480"/>
      <c r="E73" s="1480"/>
      <c r="F73" s="1480"/>
      <c r="G73" s="1507"/>
      <c r="H73" s="1507"/>
      <c r="I73" s="1697"/>
      <c r="J73" s="1507"/>
      <c r="K73" s="1507"/>
      <c r="L73" s="1507"/>
      <c r="M73" s="1507"/>
      <c r="N73" s="1507"/>
      <c r="O73" s="1507"/>
      <c r="P73" s="1507"/>
      <c r="Q73" s="1507"/>
      <c r="R73" s="1507"/>
      <c r="S73" s="1507"/>
      <c r="T73" s="1507"/>
      <c r="U73" s="1507"/>
      <c r="V73" s="1463"/>
    </row>
    <row r="74" spans="1:36" ht="15.75" customHeight="1">
      <c r="A74" s="1360"/>
      <c r="B74" s="1463"/>
      <c r="C74" s="1476">
        <f>IF(D74="","",MAX(C$9:C73)+1)</f>
        <v>53</v>
      </c>
      <c r="D74" s="1480" t="s">
        <v>2229</v>
      </c>
      <c r="E74" s="1480"/>
      <c r="F74" s="1480"/>
      <c r="G74" s="1483">
        <f t="shared" ref="G74:U74" si="7">G30-G72</f>
        <v>-2242830.6164125204</v>
      </c>
      <c r="H74" s="1483">
        <f t="shared" si="7"/>
        <v>-7228756.2164563537</v>
      </c>
      <c r="I74" s="1692">
        <f>I30-I72</f>
        <v>-6983024.8126519918</v>
      </c>
      <c r="J74" s="1483">
        <f t="shared" si="7"/>
        <v>45808724.15613085</v>
      </c>
      <c r="K74" s="1483">
        <f t="shared" si="7"/>
        <v>-212467.71491134167</v>
      </c>
      <c r="L74" s="1483">
        <f t="shared" si="7"/>
        <v>-682102.10064888</v>
      </c>
      <c r="M74" s="1483">
        <f t="shared" si="7"/>
        <v>1658085.207262516</v>
      </c>
      <c r="N74" s="1483">
        <f t="shared" si="7"/>
        <v>-1649526.8025647402</v>
      </c>
      <c r="O74" s="1483">
        <f t="shared" si="7"/>
        <v>-1273121.318934381</v>
      </c>
      <c r="P74" s="1483">
        <f t="shared" si="7"/>
        <v>4623501.3298678994</v>
      </c>
      <c r="Q74" s="1483">
        <f t="shared" si="7"/>
        <v>-1183514.0515906215</v>
      </c>
      <c r="R74" s="1483">
        <f t="shared" si="7"/>
        <v>6907234.7403646111</v>
      </c>
      <c r="S74" s="1483">
        <f t="shared" si="7"/>
        <v>4427918.5673109293</v>
      </c>
      <c r="T74" s="1483">
        <f t="shared" si="7"/>
        <v>4688762.2144463062</v>
      </c>
      <c r="U74" s="1483">
        <f t="shared" si="7"/>
        <v>5225865.6900655031</v>
      </c>
      <c r="V74" s="1463"/>
    </row>
    <row r="75" spans="1:36" s="1481" customFormat="1">
      <c r="A75" s="1360"/>
      <c r="B75" s="1466"/>
      <c r="C75" s="1466"/>
      <c r="D75" s="1466"/>
      <c r="E75" s="1466"/>
      <c r="F75" s="1466"/>
      <c r="I75" s="1691"/>
      <c r="V75" s="1466"/>
      <c r="W75" s="1466"/>
      <c r="X75" s="1466"/>
      <c r="Y75" s="1466"/>
      <c r="Z75" s="1466"/>
      <c r="AA75" s="1466"/>
      <c r="AB75" s="1466"/>
      <c r="AC75" s="1466"/>
      <c r="AD75" s="1466"/>
      <c r="AE75" s="1466"/>
      <c r="AF75" s="1466"/>
      <c r="AG75" s="1466"/>
      <c r="AH75" s="1466"/>
      <c r="AI75" s="1466"/>
      <c r="AJ75" s="1466"/>
    </row>
    <row r="76" spans="1:36" s="1481" customFormat="1" hidden="1">
      <c r="A76" s="1360"/>
      <c r="B76" s="1466"/>
      <c r="C76" s="1466"/>
      <c r="D76" s="1466" t="s">
        <v>2239</v>
      </c>
      <c r="E76" s="1466"/>
      <c r="F76" s="1466"/>
      <c r="I76" s="1691"/>
      <c r="V76" s="1466"/>
      <c r="W76" s="1466"/>
      <c r="X76" s="1466"/>
      <c r="Y76" s="1466"/>
      <c r="Z76" s="1466"/>
      <c r="AA76" s="1466"/>
      <c r="AB76" s="1466"/>
      <c r="AC76" s="1466"/>
      <c r="AD76" s="1466"/>
      <c r="AE76" s="1466"/>
      <c r="AF76" s="1466"/>
      <c r="AG76" s="1466"/>
      <c r="AH76" s="1466"/>
      <c r="AI76" s="1466"/>
      <c r="AJ76" s="1466"/>
    </row>
    <row r="77" spans="1:36" s="1481" customFormat="1" hidden="1">
      <c r="A77" s="1360"/>
      <c r="B77" s="1466"/>
      <c r="C77" s="1466"/>
      <c r="E77" s="1464" t="s">
        <v>861</v>
      </c>
      <c r="F77" s="1464"/>
      <c r="G77" s="1435">
        <f t="shared" ref="G77:U77" si="8">G23</f>
        <v>214708691.69690743</v>
      </c>
      <c r="H77" s="1435">
        <f t="shared" si="8"/>
        <v>246066153.19354367</v>
      </c>
      <c r="I77" s="1689">
        <f t="shared" si="8"/>
        <v>273321072.67850977</v>
      </c>
      <c r="J77" s="1385">
        <f t="shared" si="8"/>
        <v>278001438.28856957</v>
      </c>
      <c r="K77" s="1385">
        <f t="shared" si="8"/>
        <v>258105299.62124804</v>
      </c>
      <c r="L77" s="1385">
        <f t="shared" si="8"/>
        <v>247511180.90481952</v>
      </c>
      <c r="M77" s="1385">
        <f t="shared" si="8"/>
        <v>260215773.74499792</v>
      </c>
      <c r="N77" s="1385">
        <f t="shared" si="8"/>
        <v>283588812.47995573</v>
      </c>
      <c r="O77" s="1385">
        <f t="shared" si="8"/>
        <v>307958628.10923463</v>
      </c>
      <c r="P77" s="1385">
        <f t="shared" si="8"/>
        <v>386680587.39723766</v>
      </c>
      <c r="Q77" s="1385">
        <f t="shared" si="8"/>
        <v>409816298.2826941</v>
      </c>
      <c r="R77" s="1385">
        <f t="shared" si="8"/>
        <v>427650407.88615614</v>
      </c>
      <c r="S77" s="1385">
        <f t="shared" si="8"/>
        <v>449690018.29329765</v>
      </c>
      <c r="T77" s="1385">
        <f t="shared" si="8"/>
        <v>465971791.75682038</v>
      </c>
      <c r="U77" s="1385">
        <f t="shared" si="8"/>
        <v>489189465.44015598</v>
      </c>
      <c r="V77" s="1466"/>
      <c r="W77" s="1466"/>
      <c r="X77" s="1466"/>
      <c r="Y77" s="1466"/>
      <c r="Z77" s="1466"/>
      <c r="AA77" s="1466"/>
      <c r="AB77" s="1466"/>
      <c r="AC77" s="1466"/>
      <c r="AD77" s="1466"/>
      <c r="AE77" s="1466"/>
      <c r="AF77" s="1466"/>
      <c r="AG77" s="1466"/>
      <c r="AH77" s="1466"/>
      <c r="AI77" s="1466"/>
      <c r="AJ77" s="1466"/>
    </row>
    <row r="78" spans="1:36" ht="15.75" hidden="1" customHeight="1">
      <c r="A78" s="1360"/>
      <c r="E78" s="1464" t="s">
        <v>2028</v>
      </c>
      <c r="F78" s="1464"/>
      <c r="G78" s="1399">
        <f t="shared" ref="G78:U78" si="9">G57-G26-G45-G34</f>
        <v>150190478.43999997</v>
      </c>
      <c r="H78" s="1399">
        <f t="shared" si="9"/>
        <v>168076907.83000001</v>
      </c>
      <c r="I78" s="1889">
        <f t="shared" si="9"/>
        <v>189026762.65999979</v>
      </c>
      <c r="J78" s="1399">
        <f t="shared" si="9"/>
        <v>174831695.46999997</v>
      </c>
      <c r="K78" s="1399">
        <f t="shared" si="9"/>
        <v>163591890.00273734</v>
      </c>
      <c r="L78" s="1399">
        <f t="shared" si="9"/>
        <v>165521349.13199282</v>
      </c>
      <c r="M78" s="1399">
        <f t="shared" si="9"/>
        <v>173251287.47356445</v>
      </c>
      <c r="N78" s="1399">
        <f t="shared" si="9"/>
        <v>187419291.92359185</v>
      </c>
      <c r="O78" s="1399">
        <f t="shared" si="9"/>
        <v>214645740.62814286</v>
      </c>
      <c r="P78" s="1399">
        <f t="shared" si="9"/>
        <v>280421856.44253868</v>
      </c>
      <c r="Q78" s="1399">
        <f t="shared" si="9"/>
        <v>290041871.17920381</v>
      </c>
      <c r="R78" s="1399">
        <f t="shared" si="9"/>
        <v>295463134.99163276</v>
      </c>
      <c r="S78" s="1399">
        <f t="shared" si="9"/>
        <v>308437302.97399199</v>
      </c>
      <c r="T78" s="1399">
        <f t="shared" si="9"/>
        <v>324068896.13016039</v>
      </c>
      <c r="U78" s="1399">
        <f t="shared" si="9"/>
        <v>342412910.24777192</v>
      </c>
    </row>
    <row r="79" spans="1:36" ht="15.75" hidden="1" customHeight="1">
      <c r="A79" s="1360"/>
      <c r="E79" s="1466" t="s">
        <v>2241</v>
      </c>
      <c r="G79" s="1909">
        <f>G77-G78</f>
        <v>64518213.256907463</v>
      </c>
      <c r="H79" s="1909">
        <f>H77-H78</f>
        <v>77989245.363543659</v>
      </c>
      <c r="I79" s="1910">
        <f>I77-I78</f>
        <v>84294310.018509984</v>
      </c>
      <c r="J79" s="1911">
        <f t="shared" ref="J79:U79" si="10">J77-J78</f>
        <v>103169742.8185696</v>
      </c>
      <c r="K79" s="1911">
        <f t="shared" si="10"/>
        <v>94513409.618510693</v>
      </c>
      <c r="L79" s="1911">
        <f t="shared" si="10"/>
        <v>81989831.772826701</v>
      </c>
      <c r="M79" s="1911">
        <f t="shared" si="10"/>
        <v>86964486.271433473</v>
      </c>
      <c r="N79" s="1911">
        <f t="shared" si="10"/>
        <v>96169520.556363881</v>
      </c>
      <c r="O79" s="1911">
        <f t="shared" si="10"/>
        <v>93312887.481091768</v>
      </c>
      <c r="P79" s="1911">
        <f t="shared" si="10"/>
        <v>106258730.95469898</v>
      </c>
      <c r="Q79" s="1911">
        <f t="shared" si="10"/>
        <v>119774427.10349029</v>
      </c>
      <c r="R79" s="1911">
        <f t="shared" si="10"/>
        <v>132187272.89452338</v>
      </c>
      <c r="S79" s="1911">
        <f t="shared" si="10"/>
        <v>141252715.31930566</v>
      </c>
      <c r="T79" s="1911">
        <f t="shared" si="10"/>
        <v>141902895.62665999</v>
      </c>
      <c r="U79" s="1911">
        <f t="shared" si="10"/>
        <v>146776555.19238406</v>
      </c>
    </row>
    <row r="80" spans="1:36" ht="15.75" hidden="1" customHeight="1">
      <c r="A80" s="1360"/>
      <c r="E80" s="1466" t="s">
        <v>2739</v>
      </c>
      <c r="G80" s="1559">
        <f t="shared" ref="G80:U80" si="11">G79/G45</f>
        <v>3.5490066842852555</v>
      </c>
      <c r="H80" s="1559">
        <f t="shared" si="11"/>
        <v>4.3309598568217167</v>
      </c>
      <c r="I80" s="1699">
        <f t="shared" si="11"/>
        <v>6.9366360833637435</v>
      </c>
      <c r="J80" s="1903">
        <f t="shared" si="11"/>
        <v>10.798615840978993</v>
      </c>
      <c r="K80" s="1903">
        <f t="shared" si="11"/>
        <v>11.243122201029101</v>
      </c>
      <c r="L80" s="1903">
        <f t="shared" si="11"/>
        <v>8.4798079072927042</v>
      </c>
      <c r="M80" s="1903">
        <f t="shared" si="11"/>
        <v>7.9555256540120292</v>
      </c>
      <c r="N80" s="1903">
        <f t="shared" si="11"/>
        <v>3.848557892321915</v>
      </c>
      <c r="O80" s="1903">
        <f t="shared" si="11"/>
        <v>3.7364266022950554</v>
      </c>
      <c r="P80" s="1903">
        <f t="shared" si="11"/>
        <v>4.2579358136207075</v>
      </c>
      <c r="Q80" s="1903">
        <f t="shared" si="11"/>
        <v>4.8026126119241077</v>
      </c>
      <c r="R80" s="1903">
        <f t="shared" si="11"/>
        <v>5.8687348926906138</v>
      </c>
      <c r="S80" s="1903">
        <f t="shared" si="11"/>
        <v>16.601835252575203</v>
      </c>
      <c r="T80" s="1903">
        <f t="shared" si="11"/>
        <v>18.394165563597618</v>
      </c>
      <c r="U80" s="1903">
        <f t="shared" si="11"/>
        <v>21.429906934160154</v>
      </c>
    </row>
    <row r="81" spans="1:21" ht="15.75" hidden="1" customHeight="1">
      <c r="A81" s="1360"/>
      <c r="G81" s="1559"/>
      <c r="H81" s="1559"/>
      <c r="I81" s="1699"/>
      <c r="J81" s="1903"/>
      <c r="K81" s="1903"/>
      <c r="L81" s="1903"/>
      <c r="M81" s="1903"/>
      <c r="N81" s="1903"/>
      <c r="O81" s="1903"/>
      <c r="P81" s="1903"/>
      <c r="Q81" s="1903"/>
      <c r="R81" s="1903"/>
      <c r="S81" s="1903"/>
      <c r="T81" s="1903"/>
      <c r="U81" s="1903"/>
    </row>
    <row r="82" spans="1:21" ht="15.75" hidden="1" customHeight="1">
      <c r="A82" s="1360"/>
      <c r="D82" s="1466" t="s">
        <v>2217</v>
      </c>
      <c r="G82" s="1560"/>
      <c r="H82" s="1560"/>
      <c r="I82" s="1700"/>
      <c r="J82" s="1904"/>
      <c r="K82" s="1904"/>
      <c r="L82" s="1904"/>
      <c r="M82" s="1904"/>
      <c r="N82" s="1904"/>
      <c r="O82" s="1904"/>
      <c r="P82" s="1904"/>
      <c r="Q82" s="1904"/>
      <c r="R82" s="1904"/>
      <c r="S82" s="1904"/>
      <c r="T82" s="1904"/>
      <c r="U82" s="1904"/>
    </row>
    <row r="83" spans="1:21" ht="15.75" hidden="1" customHeight="1">
      <c r="A83" s="1360"/>
      <c r="E83" s="3129" t="s">
        <v>2051</v>
      </c>
      <c r="G83" s="1406">
        <f>G26</f>
        <v>52353360.310000002</v>
      </c>
      <c r="H83" s="3132">
        <f t="shared" ref="H83:U83" si="12">H26</f>
        <v>55640876.630000003</v>
      </c>
      <c r="I83" s="1406">
        <f t="shared" si="12"/>
        <v>61099098.909999996</v>
      </c>
      <c r="J83" s="1406">
        <f t="shared" si="12"/>
        <v>51082310.369999997</v>
      </c>
      <c r="K83" s="1406">
        <f t="shared" si="12"/>
        <v>39278145.865235783</v>
      </c>
      <c r="L83" s="1406">
        <f t="shared" si="12"/>
        <v>40915980.700040989</v>
      </c>
      <c r="M83" s="1406">
        <f t="shared" si="12"/>
        <v>39395696.787638061</v>
      </c>
      <c r="N83" s="1406">
        <f t="shared" si="12"/>
        <v>34422363.37476857</v>
      </c>
      <c r="O83" s="1406">
        <f t="shared" si="12"/>
        <v>29417035.325962219</v>
      </c>
      <c r="P83" s="1406">
        <f t="shared" si="12"/>
        <v>23755028.832793873</v>
      </c>
      <c r="Q83" s="1406">
        <f t="shared" si="12"/>
        <v>20886469.139375698</v>
      </c>
      <c r="R83" s="1406">
        <f t="shared" si="12"/>
        <v>17391507.670925897</v>
      </c>
      <c r="S83" s="1406">
        <f t="shared" si="12"/>
        <v>14555273.492445875</v>
      </c>
      <c r="T83" s="1406">
        <f t="shared" si="12"/>
        <v>15254264.69797747</v>
      </c>
      <c r="U83" s="1406">
        <f t="shared" si="12"/>
        <v>15953497.336456399</v>
      </c>
    </row>
    <row r="84" spans="1:21" ht="15.75" hidden="1" customHeight="1">
      <c r="A84" s="1360"/>
      <c r="E84" s="3129" t="s">
        <v>2052</v>
      </c>
      <c r="G84" s="1406">
        <f>SUM(G14:G18)</f>
        <v>142599824.93690744</v>
      </c>
      <c r="H84" s="3132">
        <f t="shared" ref="H84:U84" si="13">SUM(H14:H18)</f>
        <v>148914459.63354367</v>
      </c>
      <c r="I84" s="1406">
        <f t="shared" si="13"/>
        <v>159571932.79850978</v>
      </c>
      <c r="J84" s="1406">
        <f t="shared" si="13"/>
        <v>171259254.27856961</v>
      </c>
      <c r="K84" s="1406">
        <f t="shared" si="13"/>
        <v>177888719.57935935</v>
      </c>
      <c r="L84" s="1406">
        <f t="shared" si="13"/>
        <v>192934609.48191893</v>
      </c>
      <c r="M84" s="1406">
        <f t="shared" si="13"/>
        <v>207059142.21355021</v>
      </c>
      <c r="N84" s="1406">
        <f t="shared" si="13"/>
        <v>224659690.08328342</v>
      </c>
      <c r="O84" s="1406">
        <f t="shared" si="13"/>
        <v>238872745.86055282</v>
      </c>
      <c r="P84" s="1406">
        <f t="shared" si="13"/>
        <v>251359539.09909728</v>
      </c>
      <c r="Q84" s="1406">
        <f t="shared" si="13"/>
        <v>262913627.3938486</v>
      </c>
      <c r="R84" s="1406">
        <f t="shared" si="13"/>
        <v>275833347.17914683</v>
      </c>
      <c r="S84" s="1406">
        <f t="shared" si="13"/>
        <v>289930192.35736859</v>
      </c>
      <c r="T84" s="1406">
        <f t="shared" si="13"/>
        <v>301968195.65705961</v>
      </c>
      <c r="U84" s="1406">
        <f t="shared" si="13"/>
        <v>314553341.54634464</v>
      </c>
    </row>
    <row r="85" spans="1:21" ht="15.75" hidden="1" customHeight="1">
      <c r="A85" s="1360"/>
      <c r="E85" s="3129" t="s">
        <v>2053</v>
      </c>
      <c r="G85" s="1406">
        <f>G19-SUM(G34:G37)</f>
        <v>44386390.480000019</v>
      </c>
      <c r="H85" s="3132">
        <f t="shared" ref="H85:U85" si="14">H19-SUM(H34:H37)</f>
        <v>52401829.479999989</v>
      </c>
      <c r="I85" s="1406">
        <f t="shared" si="14"/>
        <v>29180175.030000038</v>
      </c>
      <c r="J85" s="1406">
        <f t="shared" si="14"/>
        <v>64296853.069999963</v>
      </c>
      <c r="K85" s="1406">
        <f t="shared" si="14"/>
        <v>56515198.275458917</v>
      </c>
      <c r="L85" s="1406">
        <f t="shared" si="14"/>
        <v>49624959.884057269</v>
      </c>
      <c r="M85" s="1406">
        <f t="shared" si="14"/>
        <v>42184476.233099073</v>
      </c>
      <c r="N85" s="1406">
        <f t="shared" si="14"/>
        <v>38806641.19433862</v>
      </c>
      <c r="O85" s="1406">
        <f t="shared" si="14"/>
        <v>44633276.227889828</v>
      </c>
      <c r="P85" s="1406">
        <f t="shared" si="14"/>
        <v>50517236.847638451</v>
      </c>
      <c r="Q85" s="1406">
        <f t="shared" si="14"/>
        <v>56110160.740474224</v>
      </c>
      <c r="R85" s="1406">
        <f t="shared" si="14"/>
        <v>58577044.598894209</v>
      </c>
      <c r="S85" s="1406">
        <f t="shared" si="14"/>
        <v>62119946.120362103</v>
      </c>
      <c r="T85" s="1406">
        <f t="shared" si="14"/>
        <v>57063785.072353989</v>
      </c>
      <c r="U85" s="1406">
        <f t="shared" si="14"/>
        <v>57544264.504250288</v>
      </c>
    </row>
    <row r="86" spans="1:21" ht="15.75" hidden="1" customHeight="1">
      <c r="A86" s="1360"/>
      <c r="E86" s="3129" t="s">
        <v>2054</v>
      </c>
      <c r="G86" s="1406">
        <f>G20</f>
        <v>3832582.09</v>
      </c>
      <c r="H86" s="3132">
        <f t="shared" ref="H86:U86" si="15">H20</f>
        <v>4403766.55</v>
      </c>
      <c r="I86" s="1406">
        <f t="shared" si="15"/>
        <v>5100712.3199999994</v>
      </c>
      <c r="J86" s="1406">
        <f t="shared" si="15"/>
        <v>5338187.4400000004</v>
      </c>
      <c r="K86" s="1406">
        <f t="shared" si="15"/>
        <v>5203236.6376320003</v>
      </c>
      <c r="L86" s="1406">
        <f t="shared" si="15"/>
        <v>5255269.0040083202</v>
      </c>
      <c r="M86" s="1406">
        <f t="shared" si="15"/>
        <v>5307821.6940484038</v>
      </c>
      <c r="N86" s="1406">
        <f t="shared" si="15"/>
        <v>5360899.9109888878</v>
      </c>
      <c r="O86" s="1406">
        <f t="shared" si="15"/>
        <v>5414508.9100987772</v>
      </c>
      <c r="P86" s="1406">
        <f t="shared" si="15"/>
        <v>5468653.9991997648</v>
      </c>
      <c r="Q86" s="1406">
        <f t="shared" si="15"/>
        <v>5523340.5391917629</v>
      </c>
      <c r="R86" s="1406">
        <f t="shared" si="15"/>
        <v>5578573.9445836805</v>
      </c>
      <c r="S86" s="1406">
        <f t="shared" si="15"/>
        <v>5634359.6840295177</v>
      </c>
      <c r="T86" s="1406">
        <f t="shared" si="15"/>
        <v>5690703.2808698127</v>
      </c>
      <c r="U86" s="1406">
        <f t="shared" si="15"/>
        <v>5747610.3136785105</v>
      </c>
    </row>
    <row r="87" spans="1:21" ht="15.75" hidden="1" customHeight="1">
      <c r="A87" s="1360"/>
      <c r="E87" s="3129" t="s">
        <v>2055</v>
      </c>
      <c r="G87" s="1406">
        <f>G21</f>
        <v>2647762.3200000003</v>
      </c>
      <c r="H87" s="1406">
        <f>H21</f>
        <v>1484142.3099999998</v>
      </c>
      <c r="I87" s="1698">
        <f t="shared" ref="I87:U87" si="16">I21</f>
        <v>4811988.4000000004</v>
      </c>
      <c r="J87" s="1406">
        <f t="shared" si="16"/>
        <v>6130527.7800000003</v>
      </c>
      <c r="K87" s="1406">
        <f t="shared" si="16"/>
        <v>8055948.715897738</v>
      </c>
      <c r="L87" s="1406">
        <f t="shared" si="16"/>
        <v>9557708.082302738</v>
      </c>
      <c r="M87" s="1406">
        <f t="shared" si="16"/>
        <v>16724609.140231552</v>
      </c>
      <c r="N87" s="1406">
        <f t="shared" si="16"/>
        <v>17162463.043354273</v>
      </c>
      <c r="O87" s="1406">
        <f t="shared" si="16"/>
        <v>18196964.638811089</v>
      </c>
      <c r="P87" s="1406">
        <f t="shared" si="16"/>
        <v>20422642.507734988</v>
      </c>
      <c r="Q87" s="1406">
        <f t="shared" si="16"/>
        <v>23491129.492177904</v>
      </c>
      <c r="R87" s="1406">
        <f t="shared" si="16"/>
        <v>27118101.752289809</v>
      </c>
      <c r="S87" s="1406">
        <f t="shared" si="16"/>
        <v>30674434.111143891</v>
      </c>
      <c r="T87" s="1406">
        <f t="shared" si="16"/>
        <v>35170386.017465115</v>
      </c>
      <c r="U87" s="1406">
        <f t="shared" si="16"/>
        <v>39573864.18049489</v>
      </c>
    </row>
    <row r="88" spans="1:21" ht="15.75" hidden="1" customHeight="1">
      <c r="A88" s="1360"/>
      <c r="E88" s="3129" t="s">
        <v>2056</v>
      </c>
      <c r="G88" s="1406">
        <f>-(G57-G54-G53-G45-G44-G37-G36-G35-G34)</f>
        <v>-98799499.409999996</v>
      </c>
      <c r="H88" s="3132">
        <f t="shared" ref="H88:U88" si="17">-(H57-H54-H53-H45-H44-H37-H36-H35-H34)</f>
        <v>-106670190.34000002</v>
      </c>
      <c r="I88" s="1406">
        <f t="shared" si="17"/>
        <v>-106666552.37000003</v>
      </c>
      <c r="J88" s="1406">
        <f t="shared" si="17"/>
        <v>-116910580.97000006</v>
      </c>
      <c r="K88" s="1406">
        <f t="shared" si="17"/>
        <v>-109378626.02574998</v>
      </c>
      <c r="L88" s="1406">
        <f t="shared" si="17"/>
        <v>-112636060.8452452</v>
      </c>
      <c r="M88" s="1406">
        <f t="shared" si="17"/>
        <v>-118420803.9796235</v>
      </c>
      <c r="N88" s="1406">
        <f t="shared" si="17"/>
        <v>-121401764.52612522</v>
      </c>
      <c r="O88" s="1406">
        <f t="shared" si="17"/>
        <v>-125868516.21841614</v>
      </c>
      <c r="P88" s="1406">
        <f t="shared" si="17"/>
        <v>-129915599.89809629</v>
      </c>
      <c r="Q88" s="1406">
        <f t="shared" si="17"/>
        <v>-129645218.36280452</v>
      </c>
      <c r="R88" s="1406">
        <f t="shared" si="17"/>
        <v>-136497385.67006922</v>
      </c>
      <c r="S88" s="1406">
        <f t="shared" si="17"/>
        <v>-141162626.34141931</v>
      </c>
      <c r="T88" s="1406">
        <f t="shared" si="17"/>
        <v>-147899552.50103533</v>
      </c>
      <c r="U88" s="1406">
        <f t="shared" si="17"/>
        <v>-156685725.14752352</v>
      </c>
    </row>
    <row r="89" spans="1:21" ht="15.75" hidden="1" customHeight="1">
      <c r="A89" s="1360"/>
      <c r="E89" s="3129" t="s">
        <v>843</v>
      </c>
      <c r="G89" s="1406">
        <f>-SUM(G44,G53)</f>
        <v>-12269321.290000001</v>
      </c>
      <c r="H89" s="3132">
        <f t="shared" ref="H89:U89" si="18">-SUM(H44,H53)</f>
        <v>-13730967.529999999</v>
      </c>
      <c r="I89" s="1406">
        <f t="shared" si="18"/>
        <v>-13779337.620000001</v>
      </c>
      <c r="J89" s="1406">
        <f t="shared" si="18"/>
        <v>-15547999.919999996</v>
      </c>
      <c r="K89" s="1406">
        <f t="shared" si="18"/>
        <v>-15434393.041859569</v>
      </c>
      <c r="L89" s="1406">
        <f t="shared" si="18"/>
        <v>-16113803.996213386</v>
      </c>
      <c r="M89" s="1406">
        <f t="shared" si="18"/>
        <v>-17107764.056590393</v>
      </c>
      <c r="N89" s="1406">
        <f t="shared" si="18"/>
        <v>-18419476.695752166</v>
      </c>
      <c r="O89" s="1406">
        <f t="shared" si="18"/>
        <v>-19121933.246271096</v>
      </c>
      <c r="P89" s="1406">
        <f t="shared" si="18"/>
        <v>-19970246.395378157</v>
      </c>
      <c r="Q89" s="1406">
        <f t="shared" si="18"/>
        <v>-20725769.372860372</v>
      </c>
      <c r="R89" s="1406">
        <f t="shared" si="18"/>
        <v>-21570114.906458043</v>
      </c>
      <c r="S89" s="1406">
        <f t="shared" si="18"/>
        <v>-22491469.288357612</v>
      </c>
      <c r="T89" s="1406">
        <f t="shared" si="18"/>
        <v>-23231360.959891859</v>
      </c>
      <c r="U89" s="1406">
        <f t="shared" si="18"/>
        <v>-24005128.84089189</v>
      </c>
    </row>
    <row r="90" spans="1:21" ht="15.75" hidden="1" customHeight="1">
      <c r="A90" s="1360"/>
      <c r="E90" s="3130" t="s">
        <v>2057</v>
      </c>
      <c r="G90" s="1909">
        <f>SUM(G83:G89)</f>
        <v>134751099.43690747</v>
      </c>
      <c r="H90" s="3131">
        <f t="shared" ref="H90:U90" si="19">SUM(H83:H89)</f>
        <v>142443916.73354366</v>
      </c>
      <c r="I90" s="1909">
        <f t="shared" si="19"/>
        <v>139318017.46850976</v>
      </c>
      <c r="J90" s="1909">
        <f t="shared" si="19"/>
        <v>165648552.0485695</v>
      </c>
      <c r="K90" s="1909">
        <f t="shared" si="19"/>
        <v>162128230.00597423</v>
      </c>
      <c r="L90" s="1909">
        <f t="shared" si="19"/>
        <v>169538662.31086969</v>
      </c>
      <c r="M90" s="1909">
        <f t="shared" si="19"/>
        <v>175143178.03235346</v>
      </c>
      <c r="N90" s="1909">
        <f t="shared" si="19"/>
        <v>180590816.38485634</v>
      </c>
      <c r="O90" s="1909">
        <f t="shared" si="19"/>
        <v>191544081.49862751</v>
      </c>
      <c r="P90" s="1909">
        <f t="shared" si="19"/>
        <v>201637254.9929899</v>
      </c>
      <c r="Q90" s="1909">
        <f t="shared" si="19"/>
        <v>218553739.56940329</v>
      </c>
      <c r="R90" s="1909">
        <f t="shared" si="19"/>
        <v>226431074.5693132</v>
      </c>
      <c r="S90" s="1909">
        <f t="shared" si="19"/>
        <v>239260110.13557306</v>
      </c>
      <c r="T90" s="1909">
        <f t="shared" si="19"/>
        <v>244016421.26479882</v>
      </c>
      <c r="U90" s="1909">
        <f t="shared" si="19"/>
        <v>252681723.89280933</v>
      </c>
    </row>
    <row r="91" spans="1:21" ht="15.75" hidden="1" customHeight="1">
      <c r="A91" s="1360"/>
      <c r="E91" s="3129" t="s">
        <v>384</v>
      </c>
      <c r="G91" s="1406">
        <f>-(G69+G70)</f>
        <v>-47857254.450000003</v>
      </c>
      <c r="H91" s="3132">
        <f t="shared" ref="H91:U91" si="20">-(H69+H70)</f>
        <v>-50473463.049999997</v>
      </c>
      <c r="I91" s="1406">
        <f t="shared" si="20"/>
        <v>-53895876.829999998</v>
      </c>
      <c r="J91" s="1406">
        <f t="shared" si="20"/>
        <v>-56985065.780000001</v>
      </c>
      <c r="K91" s="1406">
        <f t="shared" si="20"/>
        <v>-63849486.641961008</v>
      </c>
      <c r="L91" s="1406">
        <f t="shared" si="20"/>
        <v>-68146212.096479207</v>
      </c>
      <c r="M91" s="1406">
        <f t="shared" si="20"/>
        <v>-73145644.192175478</v>
      </c>
      <c r="N91" s="1406">
        <f t="shared" si="20"/>
        <v>-77505611.555449069</v>
      </c>
      <c r="O91" s="1406">
        <f t="shared" si="20"/>
        <v>-81128073.506300241</v>
      </c>
      <c r="P91" s="1406">
        <f t="shared" si="20"/>
        <v>-80917705.5893379</v>
      </c>
      <c r="Q91" s="1406">
        <f t="shared" si="20"/>
        <v>-79330992.872697264</v>
      </c>
      <c r="R91" s="1406">
        <f t="shared" si="20"/>
        <v>-80674631.752580494</v>
      </c>
      <c r="S91" s="1406">
        <f t="shared" si="20"/>
        <v>-82507469.732144773</v>
      </c>
      <c r="T91" s="1406">
        <f t="shared" si="20"/>
        <v>-83994254.582093567</v>
      </c>
      <c r="U91" s="1406">
        <f t="shared" si="20"/>
        <v>-86167248.702337742</v>
      </c>
    </row>
    <row r="92" spans="1:21" ht="15.75" hidden="1" customHeight="1">
      <c r="A92" s="1360"/>
      <c r="E92" s="3130" t="s">
        <v>2058</v>
      </c>
      <c r="G92" s="1909">
        <f>G90+G91</f>
        <v>86893844.986907467</v>
      </c>
      <c r="H92" s="3131">
        <f t="shared" ref="H92:U92" si="21">H90+H91</f>
        <v>91970453.683543667</v>
      </c>
      <c r="I92" s="1909">
        <f t="shared" si="21"/>
        <v>85422140.638509765</v>
      </c>
      <c r="J92" s="1909">
        <f t="shared" si="21"/>
        <v>108663486.2685695</v>
      </c>
      <c r="K92" s="1909">
        <f t="shared" si="21"/>
        <v>98278743.364013225</v>
      </c>
      <c r="L92" s="1909">
        <f t="shared" si="21"/>
        <v>101392450.21439049</v>
      </c>
      <c r="M92" s="1909">
        <f t="shared" si="21"/>
        <v>101997533.84017798</v>
      </c>
      <c r="N92" s="1909">
        <f t="shared" si="21"/>
        <v>103085204.82940727</v>
      </c>
      <c r="O92" s="1909">
        <f t="shared" si="21"/>
        <v>110416007.99232727</v>
      </c>
      <c r="P92" s="1909">
        <f t="shared" si="21"/>
        <v>120719549.403652</v>
      </c>
      <c r="Q92" s="1909">
        <f t="shared" si="21"/>
        <v>139222746.69670603</v>
      </c>
      <c r="R92" s="1909">
        <f t="shared" si="21"/>
        <v>145756442.8167327</v>
      </c>
      <c r="S92" s="1909">
        <f t="shared" si="21"/>
        <v>156752640.40342829</v>
      </c>
      <c r="T92" s="1909">
        <f t="shared" si="21"/>
        <v>160022166.68270525</v>
      </c>
      <c r="U92" s="1909">
        <f t="shared" si="21"/>
        <v>166514475.19047159</v>
      </c>
    </row>
    <row r="93" spans="1:21" ht="15.75" hidden="1" customHeight="1">
      <c r="A93" s="1360"/>
      <c r="G93" s="1560"/>
      <c r="H93" s="1560"/>
      <c r="I93" s="1700"/>
      <c r="J93" s="1904"/>
      <c r="K93" s="1904"/>
      <c r="L93" s="1904"/>
      <c r="M93" s="1904"/>
      <c r="N93" s="1904"/>
      <c r="O93" s="1904"/>
      <c r="P93" s="1904"/>
      <c r="Q93" s="1904"/>
      <c r="R93" s="1904"/>
      <c r="S93" s="1904"/>
      <c r="T93" s="1904"/>
      <c r="U93" s="1904"/>
    </row>
    <row r="94" spans="1:21" ht="15.75" hidden="1" customHeight="1">
      <c r="A94" s="1360"/>
      <c r="E94" s="1464" t="s">
        <v>2229</v>
      </c>
      <c r="F94" s="1464"/>
      <c r="G94" s="1406">
        <f>G92</f>
        <v>86893844.986907467</v>
      </c>
      <c r="H94" s="1406">
        <f t="shared" ref="H94:U94" si="22">H92</f>
        <v>91970453.683543667</v>
      </c>
      <c r="I94" s="1698">
        <f t="shared" si="22"/>
        <v>85422140.638509765</v>
      </c>
      <c r="J94" s="1406">
        <f t="shared" si="22"/>
        <v>108663486.2685695</v>
      </c>
      <c r="K94" s="1406">
        <f t="shared" si="22"/>
        <v>98278743.364013225</v>
      </c>
      <c r="L94" s="1406">
        <f t="shared" si="22"/>
        <v>101392450.21439049</v>
      </c>
      <c r="M94" s="1406">
        <f t="shared" si="22"/>
        <v>101997533.84017798</v>
      </c>
      <c r="N94" s="1406">
        <f t="shared" si="22"/>
        <v>103085204.82940727</v>
      </c>
      <c r="O94" s="1406">
        <f t="shared" si="22"/>
        <v>110416007.99232727</v>
      </c>
      <c r="P94" s="1406">
        <f t="shared" si="22"/>
        <v>120719549.403652</v>
      </c>
      <c r="Q94" s="1406">
        <f t="shared" si="22"/>
        <v>139222746.69670603</v>
      </c>
      <c r="R94" s="1406">
        <f t="shared" si="22"/>
        <v>145756442.8167327</v>
      </c>
      <c r="S94" s="1406">
        <f t="shared" si="22"/>
        <v>156752640.40342829</v>
      </c>
      <c r="T94" s="1406">
        <f t="shared" si="22"/>
        <v>160022166.68270525</v>
      </c>
      <c r="U94" s="1406">
        <f t="shared" si="22"/>
        <v>166514475.19047159</v>
      </c>
    </row>
    <row r="95" spans="1:21" ht="15.75" hidden="1" customHeight="1">
      <c r="A95" s="1360"/>
      <c r="E95" s="1464" t="s">
        <v>2042</v>
      </c>
      <c r="F95" s="1464"/>
      <c r="G95" s="1406">
        <f>G22</f>
        <v>3847423.78</v>
      </c>
      <c r="H95" s="1406">
        <f>H22</f>
        <v>11966255.630000001</v>
      </c>
      <c r="I95" s="1698">
        <f>I22</f>
        <v>22766657.059999999</v>
      </c>
      <c r="J95" s="1902">
        <f>J22</f>
        <v>13222301.92</v>
      </c>
      <c r="K95" s="1902">
        <f t="shared" ref="K95:U95" si="23">K22</f>
        <v>18881042.1085</v>
      </c>
      <c r="L95" s="1902">
        <f t="shared" si="23"/>
        <v>3771216.7979882499</v>
      </c>
      <c r="M95" s="1902">
        <f t="shared" si="23"/>
        <v>6481437.273579197</v>
      </c>
      <c r="N95" s="1902">
        <f t="shared" si="23"/>
        <v>13491703.741310302</v>
      </c>
      <c r="O95" s="1902">
        <f t="shared" si="23"/>
        <v>2302016.4081461993</v>
      </c>
      <c r="P95" s="1902">
        <f t="shared" si="23"/>
        <v>2312375.481982857</v>
      </c>
      <c r="Q95" s="1902">
        <f t="shared" si="23"/>
        <v>2322781.1716517797</v>
      </c>
      <c r="R95" s="1902">
        <f t="shared" si="23"/>
        <v>2333233.6869242126</v>
      </c>
      <c r="S95" s="1902">
        <f t="shared" si="23"/>
        <v>2343733.2385153715</v>
      </c>
      <c r="T95" s="1902">
        <f t="shared" si="23"/>
        <v>2354280.0380886905</v>
      </c>
      <c r="U95" s="1902">
        <f t="shared" si="23"/>
        <v>2364874.2982600895</v>
      </c>
    </row>
    <row r="96" spans="1:21" ht="15.75" hidden="1" customHeight="1">
      <c r="A96" s="1360"/>
      <c r="E96" s="1464" t="s">
        <v>2242</v>
      </c>
      <c r="F96" s="1464"/>
      <c r="G96" s="1406">
        <f>(G69+G70)</f>
        <v>47857254.450000003</v>
      </c>
      <c r="H96" s="1406">
        <f>(H69+H70)</f>
        <v>50473463.049999997</v>
      </c>
      <c r="I96" s="1698">
        <f>(I69+I70)</f>
        <v>53895876.829999998</v>
      </c>
      <c r="J96" s="1902">
        <f>(J69+J70)</f>
        <v>56985065.780000001</v>
      </c>
      <c r="K96" s="1902">
        <f t="shared" ref="K96:U96" si="24">(K69+K70)</f>
        <v>63849486.641961008</v>
      </c>
      <c r="L96" s="1902">
        <f t="shared" si="24"/>
        <v>68146212.096479207</v>
      </c>
      <c r="M96" s="1902">
        <f t="shared" si="24"/>
        <v>73145644.192175478</v>
      </c>
      <c r="N96" s="1902">
        <f t="shared" si="24"/>
        <v>77505611.555449069</v>
      </c>
      <c r="O96" s="1902">
        <f t="shared" si="24"/>
        <v>81128073.506300241</v>
      </c>
      <c r="P96" s="1902">
        <f t="shared" si="24"/>
        <v>80917705.5893379</v>
      </c>
      <c r="Q96" s="1902">
        <f t="shared" si="24"/>
        <v>79330992.872697264</v>
      </c>
      <c r="R96" s="1902">
        <f t="shared" si="24"/>
        <v>80674631.752580494</v>
      </c>
      <c r="S96" s="1902">
        <f t="shared" si="24"/>
        <v>82507469.732144773</v>
      </c>
      <c r="T96" s="1902">
        <f t="shared" si="24"/>
        <v>83994254.582093567</v>
      </c>
      <c r="U96" s="1902">
        <f t="shared" si="24"/>
        <v>86167248.702337742</v>
      </c>
    </row>
    <row r="97" spans="1:22" ht="15.75" hidden="1" customHeight="1">
      <c r="A97" s="1360"/>
      <c r="E97" s="1464" t="s">
        <v>2243</v>
      </c>
      <c r="F97" s="1464"/>
      <c r="G97" s="1558">
        <v>0</v>
      </c>
      <c r="H97" s="1558">
        <v>-38900000</v>
      </c>
      <c r="I97" s="1701">
        <v>0</v>
      </c>
      <c r="J97" s="1905">
        <v>0</v>
      </c>
      <c r="K97" s="1905">
        <v>0</v>
      </c>
      <c r="L97" s="1905">
        <v>0</v>
      </c>
      <c r="M97" s="1905">
        <v>0</v>
      </c>
      <c r="N97" s="1905">
        <v>0</v>
      </c>
      <c r="O97" s="1905">
        <v>0</v>
      </c>
      <c r="P97" s="1905">
        <v>0</v>
      </c>
      <c r="Q97" s="1905">
        <v>0</v>
      </c>
      <c r="R97" s="1905">
        <v>0</v>
      </c>
      <c r="S97" s="1905">
        <v>0</v>
      </c>
      <c r="T97" s="1905">
        <v>0</v>
      </c>
      <c r="U97" s="1905">
        <v>0</v>
      </c>
    </row>
    <row r="98" spans="1:22" ht="15.75" hidden="1" customHeight="1">
      <c r="A98" s="1360"/>
      <c r="E98" s="1464" t="s">
        <v>2245</v>
      </c>
      <c r="F98" s="1464"/>
      <c r="G98" s="1435">
        <f>G27</f>
        <v>2203175.5299999998</v>
      </c>
      <c r="H98" s="1435">
        <f>H27</f>
        <v>-141133.32</v>
      </c>
      <c r="I98" s="1689">
        <f>I27</f>
        <v>1511708.0788380085</v>
      </c>
      <c r="J98" s="1385">
        <f t="shared" ref="J98:U98" si="25">J27</f>
        <v>935847.46734362887</v>
      </c>
      <c r="K98" s="1385">
        <f t="shared" si="25"/>
        <v>1346163.4404775053</v>
      </c>
      <c r="L98" s="1385">
        <f t="shared" si="25"/>
        <v>1437196.763748236</v>
      </c>
      <c r="M98" s="1385">
        <f t="shared" si="25"/>
        <v>1490237.0676641085</v>
      </c>
      <c r="N98" s="1385">
        <f t="shared" si="25"/>
        <v>1550257.274510982</v>
      </c>
      <c r="O98" s="1385">
        <f t="shared" si="25"/>
        <v>1600473.1982036843</v>
      </c>
      <c r="P98" s="1385">
        <f t="shared" si="25"/>
        <v>1620280.3577431177</v>
      </c>
      <c r="Q98" s="1385">
        <f t="shared" si="25"/>
        <v>1651732.0623728638</v>
      </c>
      <c r="R98" s="1385">
        <f t="shared" si="25"/>
        <v>1675689.4012086059</v>
      </c>
      <c r="S98" s="1385">
        <f t="shared" si="25"/>
        <v>1732231.7847668047</v>
      </c>
      <c r="T98" s="1385">
        <f t="shared" si="25"/>
        <v>1741924.5541734821</v>
      </c>
      <c r="U98" s="1385">
        <f t="shared" si="25"/>
        <v>1767985.7308390478</v>
      </c>
    </row>
    <row r="99" spans="1:22" ht="15.75" hidden="1" customHeight="1">
      <c r="A99" s="1360"/>
      <c r="E99" s="1464" t="s">
        <v>2244</v>
      </c>
      <c r="F99" s="1464"/>
      <c r="G99" s="1888">
        <v>7774719</v>
      </c>
      <c r="H99" s="1888">
        <v>7774719</v>
      </c>
      <c r="I99" s="1889">
        <f>-'Debt-PRP'!D23</f>
        <v>7770530.3099999996</v>
      </c>
      <c r="J99" s="1399">
        <f>-'Debt-PRP'!E23</f>
        <v>8213825.2800000003</v>
      </c>
      <c r="K99" s="1399">
        <f>-'Debt-PRP'!F23</f>
        <v>10544608.17</v>
      </c>
      <c r="L99" s="1399">
        <f>-'Debt-PRP'!G23</f>
        <v>10538948.15344</v>
      </c>
      <c r="M99" s="1399">
        <f>-'Debt-PRP'!H23</f>
        <v>10495606.682140868</v>
      </c>
      <c r="N99" s="1399">
        <f>-'Debt-PRP'!I23</f>
        <v>10449963.11318342</v>
      </c>
      <c r="O99" s="1399">
        <f>-'Debt-PRP'!J23</f>
        <v>10401432.545819364</v>
      </c>
      <c r="P99" s="1399">
        <f>-'Debt-PRP'!K23</f>
        <v>10349771.863364385</v>
      </c>
      <c r="Q99" s="1399">
        <f>-'Debt-PRP'!L23</f>
        <v>10294324.478070417</v>
      </c>
      <c r="R99" s="1399">
        <f>-'Debt-PRP'!M23</f>
        <v>10235368.63325163</v>
      </c>
      <c r="S99" s="1399">
        <f>-'Debt-PRP'!N23</f>
        <v>10172711.086824587</v>
      </c>
      <c r="T99" s="1399">
        <f>-'Debt-PRP'!O23</f>
        <v>10105974.934612401</v>
      </c>
      <c r="U99" s="1399">
        <f>-'Debt-PRP'!P23</f>
        <v>10035338.475217536</v>
      </c>
    </row>
    <row r="100" spans="1:22" ht="15.75" hidden="1" customHeight="1">
      <c r="A100" s="1360"/>
      <c r="E100" s="1466" t="s">
        <v>2241</v>
      </c>
      <c r="G100" s="1481">
        <f>SUM(G94:G99)</f>
        <v>148576417.74690747</v>
      </c>
      <c r="H100" s="1481">
        <f>SUM(H94:H99)</f>
        <v>123143758.04354367</v>
      </c>
      <c r="I100" s="1691">
        <f>SUM(I94:I99)</f>
        <v>171366912.91734779</v>
      </c>
      <c r="J100" s="1490">
        <f t="shared" ref="J100:U100" si="26">SUM(J94:J99)</f>
        <v>188020526.71591315</v>
      </c>
      <c r="K100" s="1490">
        <f t="shared" si="26"/>
        <v>192900043.72495171</v>
      </c>
      <c r="L100" s="1490">
        <f t="shared" si="26"/>
        <v>185286024.02604616</v>
      </c>
      <c r="M100" s="1490">
        <f t="shared" si="26"/>
        <v>193610459.05573761</v>
      </c>
      <c r="N100" s="1490">
        <f>SUM(N94:N99)</f>
        <v>206082740.51386103</v>
      </c>
      <c r="O100" s="1490">
        <f t="shared" si="26"/>
        <v>205848003.65079677</v>
      </c>
      <c r="P100" s="1490">
        <f t="shared" si="26"/>
        <v>215919682.69608027</v>
      </c>
      <c r="Q100" s="1490">
        <f t="shared" si="26"/>
        <v>232822577.28149834</v>
      </c>
      <c r="R100" s="1490">
        <f t="shared" si="26"/>
        <v>240675366.29069766</v>
      </c>
      <c r="S100" s="1490">
        <f t="shared" si="26"/>
        <v>253508786.24567983</v>
      </c>
      <c r="T100" s="1490">
        <f t="shared" si="26"/>
        <v>258218600.79167336</v>
      </c>
      <c r="U100" s="1490">
        <f t="shared" si="26"/>
        <v>266849922.39712602</v>
      </c>
      <c r="V100" s="1481"/>
    </row>
    <row r="101" spans="1:22" ht="15.75" hidden="1" customHeight="1">
      <c r="A101" s="1360"/>
      <c r="E101" s="1466" t="s">
        <v>2739</v>
      </c>
      <c r="G101" s="1543">
        <f t="shared" ref="G101:U101" si="27">G100/(G45+G54)</f>
        <v>1.6104179121443443</v>
      </c>
      <c r="H101" s="1543">
        <f t="shared" si="27"/>
        <v>1.3040978951404936</v>
      </c>
      <c r="I101" s="1702">
        <f t="shared" si="27"/>
        <v>1.9052960099563268</v>
      </c>
      <c r="J101" s="1906">
        <f t="shared" si="27"/>
        <v>2.2053877093106844</v>
      </c>
      <c r="K101" s="1906">
        <f t="shared" si="27"/>
        <v>2.0326194378707929</v>
      </c>
      <c r="L101" s="1906">
        <f t="shared" si="27"/>
        <v>1.8347171154084658</v>
      </c>
      <c r="M101" s="1906">
        <f>M100/(M45+M54)</f>
        <v>1.8335806561984245</v>
      </c>
      <c r="N101" s="1906">
        <f>N100/(N45+N54)</f>
        <v>1.6768128507708637</v>
      </c>
      <c r="O101" s="1906">
        <f t="shared" si="27"/>
        <v>1.6401311104624678</v>
      </c>
      <c r="P101" s="1906">
        <f t="shared" si="27"/>
        <v>1.7605063054862371</v>
      </c>
      <c r="Q101" s="1906">
        <f t="shared" si="27"/>
        <v>1.8471894676830956</v>
      </c>
      <c r="R101" s="1906">
        <f t="shared" si="27"/>
        <v>2.0207666882606268</v>
      </c>
      <c r="S101" s="1906">
        <f t="shared" si="27"/>
        <v>2.3287728596312101</v>
      </c>
      <c r="T101" s="1906">
        <f t="shared" si="27"/>
        <v>2.3017753193014703</v>
      </c>
      <c r="U101" s="1906">
        <f t="shared" si="27"/>
        <v>2.3180316451599361</v>
      </c>
      <c r="V101" s="1555"/>
    </row>
    <row r="102" spans="1:22" ht="15.75" hidden="1" customHeight="1">
      <c r="A102" s="1360"/>
      <c r="G102" s="1543"/>
      <c r="H102" s="1543"/>
      <c r="I102" s="1702"/>
      <c r="J102" s="1906"/>
      <c r="K102" s="1906"/>
      <c r="L102" s="1906"/>
      <c r="M102" s="1906"/>
      <c r="N102" s="1906"/>
      <c r="O102" s="1906"/>
      <c r="P102" s="1906"/>
      <c r="Q102" s="1906"/>
      <c r="R102" s="1906"/>
      <c r="S102" s="1906"/>
      <c r="T102" s="1906"/>
      <c r="U102" s="1906"/>
      <c r="V102" s="1555"/>
    </row>
    <row r="103" spans="1:22" ht="15.75" hidden="1" customHeight="1">
      <c r="A103" s="1360"/>
      <c r="D103" s="1809" t="s">
        <v>2222</v>
      </c>
      <c r="G103" s="1912"/>
      <c r="H103" s="1912"/>
      <c r="I103" s="1913"/>
      <c r="J103" s="1912"/>
      <c r="K103" s="1912"/>
      <c r="L103" s="1912"/>
      <c r="M103" s="1912"/>
      <c r="N103" s="1912"/>
      <c r="O103" s="1912"/>
      <c r="P103" s="1912"/>
      <c r="Q103" s="1912"/>
      <c r="R103" s="1912"/>
      <c r="S103" s="1912"/>
      <c r="T103" s="1912"/>
      <c r="U103" s="1912"/>
    </row>
    <row r="104" spans="1:22" ht="15.75" hidden="1" customHeight="1">
      <c r="A104" s="1360"/>
      <c r="G104" s="1466"/>
      <c r="H104" s="1466"/>
      <c r="I104" s="1703"/>
      <c r="J104" s="1466"/>
      <c r="K104" s="1466"/>
      <c r="L104" s="1466"/>
      <c r="M104" s="1466"/>
      <c r="N104" s="1466"/>
      <c r="O104" s="1466"/>
      <c r="P104" s="1466"/>
      <c r="Q104" s="1466"/>
      <c r="R104" s="1466"/>
      <c r="S104" s="1466"/>
      <c r="T104" s="1466"/>
      <c r="U104" s="1466"/>
    </row>
    <row r="105" spans="1:22" ht="15.75" hidden="1" customHeight="1">
      <c r="A105" s="1360"/>
      <c r="D105" s="1809" t="s">
        <v>2215</v>
      </c>
      <c r="G105" s="1466"/>
      <c r="H105" s="1466"/>
      <c r="I105" s="1703"/>
      <c r="J105" s="1466"/>
      <c r="K105" s="1466"/>
      <c r="L105" s="1466"/>
      <c r="M105" s="1466"/>
      <c r="N105" s="1466"/>
      <c r="O105" s="1466"/>
      <c r="P105" s="1466"/>
      <c r="Q105" s="1466"/>
      <c r="R105" s="1466"/>
      <c r="S105" s="1466"/>
      <c r="T105" s="1466"/>
      <c r="U105" s="1466"/>
    </row>
    <row r="106" spans="1:22" ht="15.75" hidden="1" customHeight="1">
      <c r="A106" s="1360"/>
      <c r="D106" s="1812" t="s">
        <v>717</v>
      </c>
      <c r="G106" s="1466"/>
      <c r="H106" s="1466"/>
      <c r="I106" s="1692">
        <f>'Cash Balances (BV)'!G37</f>
        <v>181178694.03681999</v>
      </c>
      <c r="J106" s="1556">
        <f>'Cash Balances (BV)'!H37</f>
        <v>177453450.26407596</v>
      </c>
      <c r="K106" s="1556">
        <f>'Cash Balances (BV)'!I37</f>
        <v>179926583.36583999</v>
      </c>
      <c r="L106" s="1556">
        <f>'Cash Balances (BV)'!J37</f>
        <v>173539242.10615152</v>
      </c>
      <c r="M106" s="1556">
        <f>'Cash Balances (BV)'!K37</f>
        <v>223849865.25562954</v>
      </c>
      <c r="N106" s="1556">
        <f>'Cash Balances (BV)'!L37</f>
        <v>171814194.09747556</v>
      </c>
      <c r="O106" s="1556">
        <f>'Cash Balances (BV)'!M37</f>
        <v>173847584.87104148</v>
      </c>
      <c r="P106" s="1556">
        <f>'Cash Balances (BV)'!N37</f>
        <v>175913477.36273202</v>
      </c>
      <c r="Q106" s="1556">
        <f>'Cash Balances (BV)'!O37</f>
        <v>178012391.08000988</v>
      </c>
      <c r="R106" s="1556">
        <f>'Cash Balances (BV)'!P37</f>
        <v>180144853.83414462</v>
      </c>
      <c r="S106" s="1556">
        <f>'Cash Balances (BV)'!Q37</f>
        <v>182311401.87294155</v>
      </c>
      <c r="T106" s="1556">
        <f>'Cash Balances (BV)'!R37</f>
        <v>184512580.0155904</v>
      </c>
      <c r="U106" s="1556">
        <f>'Cash Balances (BV)'!S37</f>
        <v>186748941.78967157</v>
      </c>
      <c r="V106" s="1556"/>
    </row>
    <row r="107" spans="1:22" ht="15.75" hidden="1" customHeight="1">
      <c r="A107" s="1360"/>
      <c r="D107" s="1812" t="s">
        <v>2280</v>
      </c>
      <c r="G107" s="1466"/>
      <c r="H107" s="1466"/>
      <c r="I107" s="1692">
        <f>'Cash Balances (BV)'!G38</f>
        <v>22912144.673180003</v>
      </c>
      <c r="J107" s="1556">
        <f>'Cash Balances (BV)'!H38</f>
        <v>29720393.12477611</v>
      </c>
      <c r="K107" s="1556">
        <f>'Cash Balances (BV)'!I38</f>
        <v>33249124.549999997</v>
      </c>
      <c r="L107" s="1556">
        <f>'Cash Balances (BV)'!J38</f>
        <v>30170186.950231917</v>
      </c>
      <c r="M107" s="1556">
        <f>'Cash Balances (BV)'!K38</f>
        <v>29186894.701499999</v>
      </c>
      <c r="N107" s="1556">
        <f>'Cash Balances (BV)'!L38</f>
        <v>28936179.597649112</v>
      </c>
      <c r="O107" s="1556">
        <f>'Cash Balances (BV)'!M38</f>
        <v>28637936.180060707</v>
      </c>
      <c r="P107" s="1556">
        <f>'Cash Balances (BV)'!N38</f>
        <v>29037310.374384612</v>
      </c>
      <c r="Q107" s="1556">
        <f>'Cash Balances (BV)'!O38</f>
        <v>29265474.015150249</v>
      </c>
      <c r="R107" s="1556">
        <f>'Cash Balances (BV)'!P38</f>
        <v>28474049.937069729</v>
      </c>
      <c r="S107" s="1556">
        <f>'Cash Balances (BV)'!Q38</f>
        <v>28509164.350682706</v>
      </c>
      <c r="T107" s="1556">
        <f>'Cash Balances (BV)'!R38</f>
        <v>28154792.972460374</v>
      </c>
      <c r="U107" s="1556">
        <f>'Cash Balances (BV)'!S38</f>
        <v>28164160.007525526</v>
      </c>
      <c r="V107" s="1556"/>
    </row>
    <row r="108" spans="1:22" ht="15.75" hidden="1" customHeight="1">
      <c r="A108" s="1360"/>
      <c r="D108" s="1812" t="s">
        <v>602</v>
      </c>
      <c r="G108" s="1466"/>
      <c r="H108" s="1466"/>
      <c r="I108" s="1692">
        <f>'Cash Balances (BV)'!G39</f>
        <v>204090838.71000001</v>
      </c>
      <c r="J108" s="1556">
        <f>'Cash Balances (BV)'!H39</f>
        <v>207173843.38885206</v>
      </c>
      <c r="K108" s="1556">
        <f>'Cash Balances (BV)'!I39</f>
        <v>213175707.91583997</v>
      </c>
      <c r="L108" s="1556">
        <f>'Cash Balances (BV)'!J39</f>
        <v>203709429.05638343</v>
      </c>
      <c r="M108" s="1556">
        <f>'Cash Balances (BV)'!K39</f>
        <v>253036759.95712954</v>
      </c>
      <c r="N108" s="1556">
        <f>'Cash Balances (BV)'!L39</f>
        <v>200750373.69512469</v>
      </c>
      <c r="O108" s="1556">
        <f>'Cash Balances (BV)'!M39</f>
        <v>202485521.05110219</v>
      </c>
      <c r="P108" s="1556">
        <f>'Cash Balances (BV)'!N39</f>
        <v>204950787.73711663</v>
      </c>
      <c r="Q108" s="1556">
        <f>'Cash Balances (BV)'!O39</f>
        <v>207277865.09516013</v>
      </c>
      <c r="R108" s="1556">
        <f>'Cash Balances (BV)'!P39</f>
        <v>208618903.77121437</v>
      </c>
      <c r="S108" s="1556">
        <f>'Cash Balances (BV)'!Q39</f>
        <v>210820566.22362426</v>
      </c>
      <c r="T108" s="1556">
        <f>'Cash Balances (BV)'!R39</f>
        <v>212667372.98805076</v>
      </c>
      <c r="U108" s="1556">
        <f>'Cash Balances (BV)'!S39</f>
        <v>214913101.7971971</v>
      </c>
      <c r="V108" s="1556"/>
    </row>
    <row r="109" spans="1:22" ht="15.75" hidden="1" customHeight="1">
      <c r="A109" s="1360"/>
      <c r="D109" s="1809" t="s">
        <v>2246</v>
      </c>
      <c r="G109" s="1466"/>
      <c r="H109" s="1466"/>
      <c r="I109" s="1692">
        <f>'Cash Balances (BV)'!G41</f>
        <v>432.25660064226133</v>
      </c>
      <c r="J109" s="1556">
        <f>'Cash Balances (BV)'!H41</f>
        <v>503.40853222346601</v>
      </c>
      <c r="K109" s="1556">
        <f>'Cash Balances (BV)'!I41</f>
        <v>668.61169565992668</v>
      </c>
      <c r="L109" s="1556">
        <f>'Cash Balances (BV)'!J41</f>
        <v>645.89729702976501</v>
      </c>
      <c r="M109" s="1556">
        <f>'Cash Balances (BV)'!K41</f>
        <v>782.78565190073198</v>
      </c>
      <c r="N109" s="1556">
        <f>'Cash Balances (BV)'!L41</f>
        <v>591.25862350361615</v>
      </c>
      <c r="O109" s="1556">
        <f>'Cash Balances (BV)'!M41</f>
        <v>514.92676725908757</v>
      </c>
      <c r="P109" s="1556">
        <f>'Cash Balances (BV)'!N41</f>
        <v>362.28626969767527</v>
      </c>
      <c r="Q109" s="1556">
        <f>'Cash Balances (BV)'!O41</f>
        <v>360.56700225281645</v>
      </c>
      <c r="R109" s="1556">
        <f>'Cash Balances (BV)'!P41</f>
        <v>352.07482099879809</v>
      </c>
      <c r="S109" s="1556">
        <f>'Cash Balances (BV)'!Q41</f>
        <v>345.62076028784321</v>
      </c>
      <c r="T109" s="1556">
        <f>'Cash Balances (BV)'!R41</f>
        <v>330.5165900536083</v>
      </c>
      <c r="U109" s="1556">
        <f>'Cash Balances (BV)'!S41</f>
        <v>313.65222875579309</v>
      </c>
      <c r="V109" s="1556"/>
    </row>
    <row r="110" spans="1:22" ht="15.75" hidden="1" customHeight="1">
      <c r="A110" s="1360"/>
      <c r="D110" s="1809"/>
      <c r="G110" s="1466"/>
      <c r="H110" s="1466"/>
      <c r="I110" s="1692"/>
      <c r="J110" s="1556"/>
      <c r="K110" s="1556"/>
      <c r="L110" s="1556"/>
      <c r="M110" s="1556"/>
      <c r="N110" s="1556"/>
      <c r="O110" s="1556"/>
      <c r="P110" s="1556"/>
      <c r="Q110" s="1556"/>
      <c r="R110" s="1556"/>
      <c r="S110" s="1556"/>
      <c r="T110" s="1556"/>
      <c r="U110" s="1556"/>
      <c r="V110" s="1556"/>
    </row>
    <row r="111" spans="1:22" ht="15.75" hidden="1" customHeight="1">
      <c r="A111" s="1360"/>
      <c r="D111" s="1809"/>
      <c r="G111" s="1466"/>
      <c r="H111" s="1466"/>
      <c r="I111" s="1692"/>
      <c r="J111" s="1556"/>
      <c r="K111" s="1556"/>
      <c r="L111" s="1556"/>
      <c r="M111" s="1556"/>
      <c r="N111" s="1556"/>
      <c r="O111" s="1556"/>
      <c r="P111" s="1556"/>
      <c r="Q111" s="1556"/>
      <c r="R111" s="1556"/>
      <c r="S111" s="1556"/>
      <c r="T111" s="1556"/>
      <c r="U111" s="1556"/>
      <c r="V111" s="1556"/>
    </row>
    <row r="112" spans="1:22" ht="15.75" hidden="1" customHeight="1">
      <c r="A112" s="1360"/>
      <c r="D112" s="1809" t="s">
        <v>2218</v>
      </c>
      <c r="G112" s="1466"/>
      <c r="H112" s="1466"/>
      <c r="I112" s="1692"/>
      <c r="J112" s="1556"/>
      <c r="K112" s="1556"/>
      <c r="L112" s="1556"/>
      <c r="M112" s="1556"/>
      <c r="N112" s="1556"/>
      <c r="O112" s="1556"/>
      <c r="P112" s="1556"/>
      <c r="Q112" s="1556"/>
      <c r="R112" s="1556"/>
      <c r="S112" s="1556"/>
      <c r="T112" s="1556"/>
      <c r="U112" s="1556"/>
      <c r="V112" s="1556"/>
    </row>
    <row r="113" spans="1:22" ht="15.75" hidden="1" customHeight="1">
      <c r="A113" s="1360"/>
      <c r="E113" s="1537" t="s">
        <v>2085</v>
      </c>
      <c r="G113" s="1557">
        <f>G57-G34</f>
        <v>220723070.00999996</v>
      </c>
      <c r="H113" s="1557">
        <f t="shared" ref="H113:U113" si="28">H57-H34</f>
        <v>241725165.72</v>
      </c>
      <c r="I113" s="1557">
        <f t="shared" si="28"/>
        <v>262277906.01999977</v>
      </c>
      <c r="J113" s="1557">
        <f t="shared" si="28"/>
        <v>235467984.26999998</v>
      </c>
      <c r="K113" s="1557">
        <f t="shared" si="28"/>
        <v>211276367.12797311</v>
      </c>
      <c r="L113" s="1557">
        <f t="shared" si="28"/>
        <v>216106161.0920338</v>
      </c>
      <c r="M113" s="1557">
        <f t="shared" si="28"/>
        <v>223578315.5212025</v>
      </c>
      <c r="N113" s="1557">
        <f t="shared" si="28"/>
        <v>246830111.55836043</v>
      </c>
      <c r="O113" s="1557">
        <f t="shared" si="28"/>
        <v>269036607.21410507</v>
      </c>
      <c r="P113" s="1557">
        <f t="shared" si="28"/>
        <v>329132341.53533256</v>
      </c>
      <c r="Q113" s="1557">
        <f t="shared" si="28"/>
        <v>335867771.57857949</v>
      </c>
      <c r="R113" s="1557">
        <f t="shared" si="28"/>
        <v>335378623.60761034</v>
      </c>
      <c r="S113" s="1557">
        <f t="shared" si="28"/>
        <v>331500835.53360307</v>
      </c>
      <c r="T113" s="1557">
        <f t="shared" si="28"/>
        <v>347037720.92253476</v>
      </c>
      <c r="U113" s="1557">
        <f t="shared" si="28"/>
        <v>365215553.29649532</v>
      </c>
      <c r="V113" s="1556"/>
    </row>
    <row r="114" spans="1:22" ht="15.75" hidden="1" customHeight="1">
      <c r="A114" s="1360"/>
      <c r="E114" s="1537" t="s">
        <v>2087</v>
      </c>
      <c r="G114" s="1556">
        <f>-G26</f>
        <v>-52353360.310000002</v>
      </c>
      <c r="H114" s="1556">
        <f t="shared" ref="H114:U114" si="29">-H26</f>
        <v>-55640876.630000003</v>
      </c>
      <c r="I114" s="1556">
        <f t="shared" si="29"/>
        <v>-61099098.909999996</v>
      </c>
      <c r="J114" s="1556">
        <f t="shared" si="29"/>
        <v>-51082310.369999997</v>
      </c>
      <c r="K114" s="1556">
        <f t="shared" si="29"/>
        <v>-39278145.865235783</v>
      </c>
      <c r="L114" s="1556">
        <f t="shared" si="29"/>
        <v>-40915980.700040989</v>
      </c>
      <c r="M114" s="1556">
        <f t="shared" si="29"/>
        <v>-39395696.787638061</v>
      </c>
      <c r="N114" s="1556">
        <f t="shared" si="29"/>
        <v>-34422363.37476857</v>
      </c>
      <c r="O114" s="1556">
        <f t="shared" si="29"/>
        <v>-29417035.325962219</v>
      </c>
      <c r="P114" s="1556">
        <f t="shared" si="29"/>
        <v>-23755028.832793873</v>
      </c>
      <c r="Q114" s="1556">
        <f t="shared" si="29"/>
        <v>-20886469.139375698</v>
      </c>
      <c r="R114" s="1556">
        <f t="shared" si="29"/>
        <v>-17391507.670925897</v>
      </c>
      <c r="S114" s="1556">
        <f t="shared" si="29"/>
        <v>-14555273.492445875</v>
      </c>
      <c r="T114" s="1556">
        <f t="shared" si="29"/>
        <v>-15254264.69797747</v>
      </c>
      <c r="U114" s="1556">
        <f t="shared" si="29"/>
        <v>-15953497.336456399</v>
      </c>
      <c r="V114" s="1556"/>
    </row>
    <row r="115" spans="1:22" ht="15.75" hidden="1" customHeight="1">
      <c r="A115" s="1360"/>
      <c r="E115" s="1537" t="s">
        <v>2088</v>
      </c>
      <c r="G115" s="1706">
        <f>-G36</f>
        <v>-17833129.68</v>
      </c>
      <c r="H115" s="1706">
        <f t="shared" ref="H115:U115" si="30">-H36</f>
        <v>-32100472.760000002</v>
      </c>
      <c r="I115" s="1706">
        <f t="shared" si="30"/>
        <v>-54469470.229999997</v>
      </c>
      <c r="J115" s="1706">
        <f t="shared" si="30"/>
        <v>-43555640.840000004</v>
      </c>
      <c r="K115" s="1706">
        <f t="shared" si="30"/>
        <v>-13332459.16</v>
      </c>
      <c r="L115" s="1706">
        <f t="shared" si="30"/>
        <v>-12878309.359999999</v>
      </c>
      <c r="M115" s="1706">
        <f t="shared" si="30"/>
        <v>-10615986.178582095</v>
      </c>
      <c r="N115" s="1706">
        <f t="shared" si="30"/>
        <v>-21054529.889413234</v>
      </c>
      <c r="O115" s="1706">
        <f t="shared" si="30"/>
        <v>-45889950.905892216</v>
      </c>
      <c r="P115" s="1706">
        <f t="shared" si="30"/>
        <v>-112717916.89019872</v>
      </c>
      <c r="Q115" s="1706">
        <f t="shared" si="30"/>
        <v>-124787420.04669285</v>
      </c>
      <c r="R115" s="1706">
        <f t="shared" si="30"/>
        <v>-132243110.39536577</v>
      </c>
      <c r="S115" s="1706">
        <f t="shared" si="30"/>
        <v>-142216139.55369937</v>
      </c>
      <c r="T115" s="1706">
        <f t="shared" si="30"/>
        <v>-148679659.5540238</v>
      </c>
      <c r="U115" s="1706">
        <f t="shared" si="30"/>
        <v>-158797248.46992144</v>
      </c>
      <c r="V115" s="1556"/>
    </row>
    <row r="116" spans="1:22" ht="15.75" hidden="1" customHeight="1">
      <c r="A116" s="1360"/>
      <c r="E116" s="1537" t="s">
        <v>2089</v>
      </c>
      <c r="G116" s="1556">
        <f>SUM(G113:G115)</f>
        <v>150536580.01999995</v>
      </c>
      <c r="H116" s="1556">
        <f t="shared" ref="H116:U116" si="31">SUM(H113:H115)</f>
        <v>153983816.33000001</v>
      </c>
      <c r="I116" s="1556">
        <f t="shared" si="31"/>
        <v>146709336.87999979</v>
      </c>
      <c r="J116" s="1556">
        <f t="shared" si="31"/>
        <v>140830033.05999997</v>
      </c>
      <c r="K116" s="1556">
        <f t="shared" si="31"/>
        <v>158665762.10273734</v>
      </c>
      <c r="L116" s="1556">
        <f t="shared" si="31"/>
        <v>162311871.03199279</v>
      </c>
      <c r="M116" s="1556">
        <f t="shared" si="31"/>
        <v>173566632.55498233</v>
      </c>
      <c r="N116" s="1556">
        <f t="shared" si="31"/>
        <v>191353218.29417861</v>
      </c>
      <c r="O116" s="1556">
        <f t="shared" si="31"/>
        <v>193729620.98225063</v>
      </c>
      <c r="P116" s="1556">
        <f t="shared" si="31"/>
        <v>192659395.81233996</v>
      </c>
      <c r="Q116" s="1556">
        <f t="shared" si="31"/>
        <v>190193882.39251095</v>
      </c>
      <c r="R116" s="1556">
        <f t="shared" si="31"/>
        <v>185744005.54131866</v>
      </c>
      <c r="S116" s="1556">
        <f t="shared" si="31"/>
        <v>174729422.48745781</v>
      </c>
      <c r="T116" s="1556">
        <f t="shared" si="31"/>
        <v>183103796.67053348</v>
      </c>
      <c r="U116" s="1556">
        <f t="shared" si="31"/>
        <v>190464807.49011746</v>
      </c>
      <c r="V116" s="1556"/>
    </row>
    <row r="117" spans="1:22" ht="15.75" hidden="1" customHeight="1">
      <c r="A117" s="1360"/>
      <c r="E117" s="1537"/>
      <c r="G117" s="1466"/>
      <c r="H117" s="1466"/>
      <c r="I117" s="1466"/>
      <c r="J117" s="1466"/>
      <c r="K117" s="1466"/>
      <c r="L117" s="1466"/>
      <c r="M117" s="1466"/>
      <c r="N117" s="1466"/>
      <c r="O117" s="1466"/>
      <c r="P117" s="1466"/>
      <c r="Q117" s="1466"/>
      <c r="R117" s="1466"/>
      <c r="S117" s="1466"/>
      <c r="T117" s="1466"/>
      <c r="U117" s="1466"/>
      <c r="V117" s="1556"/>
    </row>
    <row r="118" spans="1:22" ht="15.75" hidden="1" customHeight="1">
      <c r="A118" s="1360"/>
      <c r="E118" s="1537" t="s">
        <v>387</v>
      </c>
      <c r="G118" s="1557">
        <f t="shared" ref="G118:U118" si="32">G30-G25</f>
        <v>269265227.53690743</v>
      </c>
      <c r="H118" s="1557">
        <f t="shared" si="32"/>
        <v>301565896.50354367</v>
      </c>
      <c r="I118" s="1557">
        <f t="shared" si="32"/>
        <v>335931879.66734779</v>
      </c>
      <c r="J118" s="1557">
        <f t="shared" si="32"/>
        <v>330019596.1259132</v>
      </c>
      <c r="K118" s="1557">
        <f t="shared" si="32"/>
        <v>298729608.9269613</v>
      </c>
      <c r="L118" s="1557">
        <f t="shared" si="32"/>
        <v>289864358.36860871</v>
      </c>
      <c r="M118" s="1557">
        <f t="shared" si="32"/>
        <v>301101707.60030007</v>
      </c>
      <c r="N118" s="1557">
        <f t="shared" si="32"/>
        <v>319561433.12923527</v>
      </c>
      <c r="O118" s="1557">
        <f t="shared" si="32"/>
        <v>338976136.63340056</v>
      </c>
      <c r="P118" s="1557">
        <f t="shared" si="32"/>
        <v>412055896.58777463</v>
      </c>
      <c r="Q118" s="1557">
        <f t="shared" si="32"/>
        <v>432354499.48444265</v>
      </c>
      <c r="R118" s="1557">
        <f t="shared" si="32"/>
        <v>446717604.95829064</v>
      </c>
      <c r="S118" s="1557">
        <f t="shared" si="32"/>
        <v>465977523.57051033</v>
      </c>
      <c r="T118" s="1557">
        <f t="shared" si="32"/>
        <v>482967981.00897133</v>
      </c>
      <c r="U118" s="1557">
        <f t="shared" si="32"/>
        <v>506910948.50745142</v>
      </c>
      <c r="V118" s="1556"/>
    </row>
    <row r="119" spans="1:22" ht="15.75" hidden="1" customHeight="1">
      <c r="A119" s="1360"/>
      <c r="E119" s="1537" t="s">
        <v>2087</v>
      </c>
      <c r="G119" s="1557">
        <f t="shared" ref="G119:U119" si="33">-G26</f>
        <v>-52353360.310000002</v>
      </c>
      <c r="H119" s="1557">
        <f t="shared" si="33"/>
        <v>-55640876.630000003</v>
      </c>
      <c r="I119" s="1557">
        <f t="shared" si="33"/>
        <v>-61099098.909999996</v>
      </c>
      <c r="J119" s="1557">
        <f t="shared" si="33"/>
        <v>-51082310.369999997</v>
      </c>
      <c r="K119" s="1557">
        <f t="shared" si="33"/>
        <v>-39278145.865235783</v>
      </c>
      <c r="L119" s="1557">
        <f t="shared" si="33"/>
        <v>-40915980.700040989</v>
      </c>
      <c r="M119" s="1557">
        <f t="shared" si="33"/>
        <v>-39395696.787638061</v>
      </c>
      <c r="N119" s="1557">
        <f t="shared" si="33"/>
        <v>-34422363.37476857</v>
      </c>
      <c r="O119" s="1557">
        <f t="shared" si="33"/>
        <v>-29417035.325962219</v>
      </c>
      <c r="P119" s="1557">
        <f t="shared" si="33"/>
        <v>-23755028.832793873</v>
      </c>
      <c r="Q119" s="1557">
        <f t="shared" si="33"/>
        <v>-20886469.139375698</v>
      </c>
      <c r="R119" s="1557">
        <f t="shared" si="33"/>
        <v>-17391507.670925897</v>
      </c>
      <c r="S119" s="1557">
        <f t="shared" si="33"/>
        <v>-14555273.492445875</v>
      </c>
      <c r="T119" s="1557">
        <f t="shared" si="33"/>
        <v>-15254264.69797747</v>
      </c>
      <c r="U119" s="1557">
        <f t="shared" si="33"/>
        <v>-15953497.336456399</v>
      </c>
      <c r="V119" s="1556"/>
    </row>
    <row r="120" spans="1:22" ht="15.75" hidden="1" customHeight="1">
      <c r="A120" s="1360"/>
      <c r="E120" s="1537" t="s">
        <v>2088</v>
      </c>
      <c r="G120" s="1557">
        <f t="shared" ref="G120:U120" si="34">-G19</f>
        <v>-61781098.57</v>
      </c>
      <c r="H120" s="1557">
        <f t="shared" si="34"/>
        <v>-79297529.069999993</v>
      </c>
      <c r="I120" s="1557">
        <f t="shared" si="34"/>
        <v>-81069782.100000009</v>
      </c>
      <c r="J120" s="1557">
        <f t="shared" si="34"/>
        <v>-82051166.86999999</v>
      </c>
      <c r="K120" s="1557">
        <f t="shared" si="34"/>
        <v>-48076352.579858921</v>
      </c>
      <c r="L120" s="1557">
        <f t="shared" si="34"/>
        <v>-35992377.538601264</v>
      </c>
      <c r="M120" s="1557">
        <f t="shared" si="34"/>
        <v>-24642763.423588555</v>
      </c>
      <c r="N120" s="1557">
        <f t="shared" si="34"/>
        <v>-22914055.701018848</v>
      </c>
      <c r="O120" s="1557">
        <f t="shared" si="34"/>
        <v>-43172392.291625708</v>
      </c>
      <c r="P120" s="1557">
        <f t="shared" si="34"/>
        <v>-107117376.3092228</v>
      </c>
      <c r="Q120" s="1557">
        <f t="shared" si="34"/>
        <v>-115565419.68582402</v>
      </c>
      <c r="R120" s="1557">
        <f t="shared" si="34"/>
        <v>-116787151.32321164</v>
      </c>
      <c r="S120" s="1557">
        <f t="shared" si="34"/>
        <v>-121107298.90224025</v>
      </c>
      <c r="T120" s="1557">
        <f t="shared" si="34"/>
        <v>-120788226.76333712</v>
      </c>
      <c r="U120" s="1557">
        <f t="shared" si="34"/>
        <v>-126949775.10137782</v>
      </c>
      <c r="V120" s="1556"/>
    </row>
    <row r="121" spans="1:22" ht="15.75" hidden="1" customHeight="1">
      <c r="A121" s="1360"/>
      <c r="E121" s="1537" t="s">
        <v>2092</v>
      </c>
      <c r="G121" s="1706">
        <f t="shared" ref="G121:U121" si="35">-G22</f>
        <v>-3847423.78</v>
      </c>
      <c r="H121" s="1706">
        <f t="shared" si="35"/>
        <v>-11966255.630000001</v>
      </c>
      <c r="I121" s="1706">
        <f t="shared" si="35"/>
        <v>-22766657.059999999</v>
      </c>
      <c r="J121" s="1706">
        <f t="shared" si="35"/>
        <v>-13222301.92</v>
      </c>
      <c r="K121" s="1706">
        <f t="shared" si="35"/>
        <v>-18881042.1085</v>
      </c>
      <c r="L121" s="1706">
        <f t="shared" si="35"/>
        <v>-3771216.7979882499</v>
      </c>
      <c r="M121" s="1706">
        <f t="shared" si="35"/>
        <v>-6481437.273579197</v>
      </c>
      <c r="N121" s="1706">
        <f t="shared" si="35"/>
        <v>-13491703.741310302</v>
      </c>
      <c r="O121" s="1706">
        <f t="shared" si="35"/>
        <v>-2302016.4081461993</v>
      </c>
      <c r="P121" s="1706">
        <f t="shared" si="35"/>
        <v>-2312375.481982857</v>
      </c>
      <c r="Q121" s="1706">
        <f t="shared" si="35"/>
        <v>-2322781.1716517797</v>
      </c>
      <c r="R121" s="1706">
        <f t="shared" si="35"/>
        <v>-2333233.6869242126</v>
      </c>
      <c r="S121" s="1706">
        <f t="shared" si="35"/>
        <v>-2343733.2385153715</v>
      </c>
      <c r="T121" s="1706">
        <f t="shared" si="35"/>
        <v>-2354280.0380886905</v>
      </c>
      <c r="U121" s="1706">
        <f t="shared" si="35"/>
        <v>-2364874.2982600895</v>
      </c>
      <c r="V121" s="1556"/>
    </row>
    <row r="122" spans="1:22" ht="15.75" hidden="1" customHeight="1">
      <c r="A122" s="1360"/>
      <c r="E122" s="1537" t="s">
        <v>387</v>
      </c>
      <c r="F122" s="1464"/>
      <c r="G122" s="1557">
        <f>SUM(G118:G121)</f>
        <v>151283344.87690744</v>
      </c>
      <c r="H122" s="1557">
        <f t="shared" ref="H122:U122" si="36">SUM(H118:H121)</f>
        <v>154661235.17354369</v>
      </c>
      <c r="I122" s="1557">
        <f t="shared" si="36"/>
        <v>170996341.5973478</v>
      </c>
      <c r="J122" s="1557">
        <f t="shared" si="36"/>
        <v>183663816.96591321</v>
      </c>
      <c r="K122" s="1557">
        <f t="shared" si="36"/>
        <v>192494068.37336659</v>
      </c>
      <c r="L122" s="1557">
        <f t="shared" si="36"/>
        <v>209184783.3319782</v>
      </c>
      <c r="M122" s="1557">
        <f t="shared" si="36"/>
        <v>230581810.11549425</v>
      </c>
      <c r="N122" s="1557">
        <f t="shared" si="36"/>
        <v>248733310.31213757</v>
      </c>
      <c r="O122" s="1557">
        <f t="shared" si="36"/>
        <v>264084692.6076664</v>
      </c>
      <c r="P122" s="1557">
        <f t="shared" si="36"/>
        <v>278871115.96377504</v>
      </c>
      <c r="Q122" s="1557">
        <f t="shared" si="36"/>
        <v>293579829.48759115</v>
      </c>
      <c r="R122" s="1557">
        <f t="shared" si="36"/>
        <v>310205712.27722883</v>
      </c>
      <c r="S122" s="1557">
        <f t="shared" si="36"/>
        <v>327971217.93730879</v>
      </c>
      <c r="T122" s="1557">
        <f t="shared" si="36"/>
        <v>344571209.50956804</v>
      </c>
      <c r="U122" s="1557">
        <f t="shared" si="36"/>
        <v>361642801.77135706</v>
      </c>
    </row>
    <row r="123" spans="1:22" ht="15.75" hidden="1" customHeight="1">
      <c r="A123" s="1360"/>
      <c r="E123" s="1809" t="s">
        <v>2218</v>
      </c>
      <c r="G123" s="1543">
        <f t="shared" ref="G123:U123" si="37">G116/G122</f>
        <v>0.99506379993438743</v>
      </c>
      <c r="H123" s="1543">
        <f t="shared" si="37"/>
        <v>0.99561998297256871</v>
      </c>
      <c r="I123" s="1543">
        <f>I116/I122</f>
        <v>0.85796769398413431</v>
      </c>
      <c r="J123" s="1543">
        <f t="shared" si="37"/>
        <v>0.76678158706751209</v>
      </c>
      <c r="K123" s="1543">
        <f t="shared" si="37"/>
        <v>0.82426312376018274</v>
      </c>
      <c r="L123" s="1543">
        <f t="shared" si="37"/>
        <v>0.77592580323781168</v>
      </c>
      <c r="M123" s="1543">
        <f t="shared" si="37"/>
        <v>0.7527334114865607</v>
      </c>
      <c r="N123" s="1543">
        <f t="shared" si="37"/>
        <v>0.76931078533087427</v>
      </c>
      <c r="O123" s="1543">
        <f t="shared" si="37"/>
        <v>0.73358898264528427</v>
      </c>
      <c r="P123" s="1543">
        <f t="shared" si="37"/>
        <v>0.69085460911400431</v>
      </c>
      <c r="Q123" s="1543">
        <f t="shared" si="37"/>
        <v>0.64784383424594216</v>
      </c>
      <c r="R123" s="1543">
        <f t="shared" si="37"/>
        <v>0.59877687028316373</v>
      </c>
      <c r="S123" s="1543">
        <f t="shared" si="37"/>
        <v>0.53275840357691717</v>
      </c>
      <c r="T123" s="1543">
        <f t="shared" si="37"/>
        <v>0.53139609931760434</v>
      </c>
      <c r="U123" s="1543">
        <f t="shared" si="37"/>
        <v>0.52666555661333425</v>
      </c>
    </row>
    <row r="124" spans="1:22" ht="15.75" hidden="1" customHeight="1">
      <c r="A124" s="1360"/>
    </row>
    <row r="125" spans="1:22" ht="15.75" hidden="1" customHeight="1">
      <c r="A125" s="1360"/>
    </row>
    <row r="126" spans="1:22" ht="15.75" customHeight="1"/>
    <row r="127" spans="1:22" ht="15.75" customHeight="1"/>
    <row r="128" spans="1:22"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hidden="1" customHeight="1"/>
    <row r="361" ht="15.75" customHeight="1"/>
    <row r="362" ht="15.75" customHeight="1"/>
    <row r="363" ht="15.75" customHeight="1"/>
    <row r="364" ht="15.75" customHeight="1"/>
  </sheetData>
  <mergeCells count="6">
    <mergeCell ref="C2:I2"/>
    <mergeCell ref="C3:I3"/>
    <mergeCell ref="C6:C7"/>
    <mergeCell ref="D6:D7"/>
    <mergeCell ref="E6:E7"/>
    <mergeCell ref="F6:F7"/>
  </mergeCells>
  <printOptions horizontalCentered="1"/>
  <pageMargins left="0.5" right="0.5" top="0.5" bottom="0.5" header="0.5" footer="0.25"/>
  <pageSetup scale="38" fitToHeight="0" orientation="landscape" r:id="rId1"/>
  <headerFooter alignWithMargins="0">
    <oddFooter>&amp;L&amp;"Times New Roman,Bold Italic"&amp;F: &amp;A&amp;C&amp;"Times New Roman,Bold Italic"Date: &amp;D&amp;R&amp;"Times New Roman,Bold Italic"Page: &amp;P of &amp;N</oddFooter>
  </headerFooter>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FF99"/>
    <pageSetUpPr fitToPage="1"/>
  </sheetPr>
  <dimension ref="A1:HT156"/>
  <sheetViews>
    <sheetView showGridLines="0" zoomScale="70" zoomScaleNormal="70" zoomScaleSheetLayoutView="75" workbookViewId="0">
      <pane xSplit="5" ySplit="7" topLeftCell="F26" activePane="bottomRight" state="frozen"/>
      <selection activeCell="D11" sqref="D11"/>
      <selection pane="topRight" activeCell="D11" sqref="D11"/>
      <selection pane="bottomLeft" activeCell="D11" sqref="D11"/>
      <selection pane="bottomRight" activeCell="K23" sqref="K23"/>
    </sheetView>
  </sheetViews>
  <sheetFormatPr defaultRowHeight="15.75" zeroHeight="1"/>
  <cols>
    <col min="1" max="1" width="22.5" style="1466" customWidth="1"/>
    <col min="2" max="2" width="2" style="1466" customWidth="1"/>
    <col min="3" max="3" width="5.625" style="1466" customWidth="1"/>
    <col min="4" max="4" width="30.25" style="1466" customWidth="1"/>
    <col min="5" max="5" width="13.375" style="1466" bestFit="1" customWidth="1"/>
    <col min="6" max="6" width="14.625" style="1481" customWidth="1"/>
    <col min="7" max="19" width="15.375" style="1481" customWidth="1"/>
    <col min="20" max="16384" width="9" style="1466"/>
  </cols>
  <sheetData>
    <row r="1" spans="1:19" ht="20.100000000000001" customHeight="1">
      <c r="A1" s="1360"/>
      <c r="B1" s="1463"/>
      <c r="C1" s="4421"/>
      <c r="D1" s="4421"/>
      <c r="E1" s="4421"/>
      <c r="F1" s="4421"/>
      <c r="G1" s="4421"/>
      <c r="H1" s="1467"/>
      <c r="I1" s="1624" t="s">
        <v>2181</v>
      </c>
      <c r="J1" s="1520"/>
      <c r="K1" s="562" t="s">
        <v>3493</v>
      </c>
      <c r="L1" s="1467"/>
      <c r="M1" s="1467"/>
      <c r="N1" s="1467"/>
      <c r="O1" s="1467"/>
      <c r="P1" s="1467"/>
      <c r="Q1" s="1467"/>
      <c r="R1" s="1467"/>
      <c r="S1" s="1467"/>
    </row>
    <row r="2" spans="1:19" ht="20.100000000000001" customHeight="1">
      <c r="A2" s="1360"/>
      <c r="B2" s="1463"/>
      <c r="C2" s="4421" t="str">
        <f>Client</f>
        <v>Grant County Public Utility District</v>
      </c>
      <c r="D2" s="4421"/>
      <c r="E2" s="4421"/>
      <c r="F2" s="4421"/>
      <c r="G2" s="4421"/>
      <c r="H2" s="1467"/>
      <c r="I2" s="562" t="s">
        <v>3971</v>
      </c>
      <c r="J2" s="1624"/>
      <c r="K2" s="562" t="s">
        <v>3898</v>
      </c>
      <c r="L2" s="1467"/>
      <c r="M2" s="1467"/>
      <c r="N2" s="1467"/>
      <c r="O2" s="1467"/>
      <c r="P2" s="1467"/>
      <c r="Q2" s="1467"/>
      <c r="R2" s="1467"/>
      <c r="S2" s="1467"/>
    </row>
    <row r="3" spans="1:19" ht="20.100000000000001" customHeight="1">
      <c r="A3" s="1360"/>
      <c r="B3" s="1463"/>
      <c r="C3" s="4421" t="s">
        <v>567</v>
      </c>
      <c r="D3" s="4421"/>
      <c r="E3" s="4421"/>
      <c r="F3" s="4421"/>
      <c r="G3" s="4421"/>
      <c r="H3" s="1467"/>
      <c r="I3" s="1467"/>
      <c r="J3" s="1467"/>
      <c r="K3" s="1467"/>
      <c r="L3" s="1467"/>
      <c r="M3" s="1467"/>
      <c r="N3" s="1467"/>
      <c r="O3" s="1467"/>
      <c r="P3" s="1467"/>
      <c r="Q3" s="1467"/>
      <c r="R3" s="1467"/>
      <c r="S3" s="1467"/>
    </row>
    <row r="4" spans="1:19" ht="23.25">
      <c r="A4" s="1360"/>
      <c r="B4" s="1463"/>
      <c r="C4" s="4421" t="s">
        <v>717</v>
      </c>
      <c r="D4" s="4421"/>
      <c r="E4" s="4421"/>
      <c r="F4" s="4421"/>
      <c r="G4" s="4421"/>
      <c r="H4" s="1467"/>
      <c r="I4" s="1467"/>
      <c r="J4" s="1467"/>
      <c r="K4" s="1467"/>
      <c r="L4" s="1467"/>
      <c r="M4" s="1467"/>
      <c r="N4" s="1467"/>
      <c r="O4" s="1467"/>
      <c r="P4" s="1467"/>
      <c r="Q4" s="1467"/>
      <c r="R4" s="1467"/>
      <c r="S4" s="1467"/>
    </row>
    <row r="5" spans="1:19">
      <c r="A5" s="1360"/>
      <c r="B5" s="1463"/>
      <c r="C5" s="1468"/>
      <c r="D5" s="1468"/>
      <c r="E5" s="1468"/>
      <c r="F5" s="1468"/>
      <c r="G5" s="1468"/>
      <c r="H5" s="1468"/>
      <c r="I5" s="1468"/>
      <c r="J5" s="1468"/>
      <c r="K5" s="1468"/>
      <c r="L5" s="1468"/>
      <c r="M5" s="1468"/>
      <c r="N5" s="1468"/>
      <c r="O5" s="1468"/>
      <c r="P5" s="1468"/>
      <c r="Q5" s="1468"/>
      <c r="R5" s="1468"/>
      <c r="S5" s="1468"/>
    </row>
    <row r="6" spans="1:19">
      <c r="A6" s="1360"/>
      <c r="B6" s="1463"/>
      <c r="C6" s="4422" t="s">
        <v>867</v>
      </c>
      <c r="D6" s="4423" t="s">
        <v>399</v>
      </c>
      <c r="E6" s="4424"/>
      <c r="F6" s="4427"/>
      <c r="G6" s="4427"/>
      <c r="H6" s="4427"/>
      <c r="I6" s="4427"/>
      <c r="J6" s="4427"/>
      <c r="K6" s="4427"/>
      <c r="L6" s="4427"/>
      <c r="M6" s="4427"/>
      <c r="N6" s="4427"/>
      <c r="O6" s="4427"/>
      <c r="P6" s="4427"/>
      <c r="Q6" s="4427"/>
      <c r="R6" s="4427"/>
      <c r="S6" s="4427"/>
    </row>
    <row r="7" spans="1:19">
      <c r="A7" s="1360"/>
      <c r="B7" s="1463"/>
      <c r="C7" s="4420" t="s">
        <v>867</v>
      </c>
      <c r="D7" s="4425"/>
      <c r="E7" s="4426"/>
      <c r="F7" s="1473">
        <v>2013</v>
      </c>
      <c r="G7" s="1473">
        <f>F7+1</f>
        <v>2014</v>
      </c>
      <c r="H7" s="1473">
        <f t="shared" ref="H7:S7" si="0">G7+1</f>
        <v>2015</v>
      </c>
      <c r="I7" s="1473">
        <f t="shared" si="0"/>
        <v>2016</v>
      </c>
      <c r="J7" s="1473">
        <f t="shared" si="0"/>
        <v>2017</v>
      </c>
      <c r="K7" s="1473">
        <f t="shared" si="0"/>
        <v>2018</v>
      </c>
      <c r="L7" s="1473">
        <f t="shared" si="0"/>
        <v>2019</v>
      </c>
      <c r="M7" s="1473">
        <f t="shared" si="0"/>
        <v>2020</v>
      </c>
      <c r="N7" s="1473">
        <f t="shared" si="0"/>
        <v>2021</v>
      </c>
      <c r="O7" s="1473">
        <f t="shared" si="0"/>
        <v>2022</v>
      </c>
      <c r="P7" s="1473">
        <f t="shared" si="0"/>
        <v>2023</v>
      </c>
      <c r="Q7" s="1473">
        <f t="shared" si="0"/>
        <v>2024</v>
      </c>
      <c r="R7" s="1473">
        <f t="shared" si="0"/>
        <v>2025</v>
      </c>
      <c r="S7" s="1473">
        <f t="shared" si="0"/>
        <v>2026</v>
      </c>
    </row>
    <row r="8" spans="1:19">
      <c r="A8" s="1360"/>
      <c r="B8" s="1463"/>
      <c r="C8" s="1807"/>
      <c r="D8" s="1361"/>
      <c r="E8" s="1361"/>
      <c r="F8" s="1361"/>
      <c r="G8" s="1361"/>
      <c r="H8" s="1361"/>
      <c r="I8" s="1361"/>
      <c r="J8" s="1361"/>
      <c r="K8" s="1361"/>
      <c r="L8" s="1361"/>
      <c r="M8" s="1361"/>
      <c r="N8" s="1361"/>
      <c r="O8" s="1361"/>
      <c r="P8" s="1361"/>
      <c r="Q8" s="1361"/>
      <c r="R8" s="1361"/>
      <c r="S8" s="1361"/>
    </row>
    <row r="9" spans="1:19">
      <c r="A9" s="1360"/>
      <c r="B9" s="1463"/>
      <c r="C9" s="1807"/>
      <c r="D9" s="1613" t="s">
        <v>2233</v>
      </c>
      <c r="E9" s="1361"/>
      <c r="F9" s="1361"/>
      <c r="G9" s="1361"/>
      <c r="H9" s="1361"/>
      <c r="I9" s="1361"/>
      <c r="J9" s="1361"/>
      <c r="K9" s="1361"/>
      <c r="L9" s="1361"/>
      <c r="M9" s="1361"/>
      <c r="N9" s="1361"/>
      <c r="O9" s="1361"/>
      <c r="P9" s="1361"/>
      <c r="Q9" s="1361"/>
      <c r="R9" s="1361"/>
      <c r="S9" s="1361"/>
    </row>
    <row r="10" spans="1:19">
      <c r="A10" s="1360"/>
      <c r="B10" s="1463"/>
      <c r="C10" s="1476">
        <v>1</v>
      </c>
      <c r="D10" s="1361" t="s">
        <v>2234</v>
      </c>
      <c r="E10" s="1361"/>
      <c r="F10" s="1361"/>
      <c r="G10" s="2528">
        <v>0</v>
      </c>
      <c r="H10" s="2528">
        <v>0</v>
      </c>
      <c r="I10" s="2528">
        <v>0</v>
      </c>
      <c r="J10" s="2528">
        <v>0.02</v>
      </c>
      <c r="K10" s="2528">
        <v>0.02</v>
      </c>
      <c r="L10" s="2528">
        <v>0.02</v>
      </c>
      <c r="M10" s="2528">
        <v>0.02</v>
      </c>
      <c r="N10" s="2528">
        <v>0.02</v>
      </c>
      <c r="O10" s="2528">
        <v>0.02</v>
      </c>
      <c r="P10" s="2528">
        <v>0.02</v>
      </c>
      <c r="Q10" s="2528">
        <v>0.02</v>
      </c>
      <c r="R10" s="2528">
        <v>0.02</v>
      </c>
      <c r="S10" s="2528">
        <v>0.02</v>
      </c>
    </row>
    <row r="11" spans="1:19">
      <c r="A11" s="1360"/>
      <c r="B11" s="1463"/>
      <c r="C11" s="1476">
        <f>+MAX($C$10:C10)+1</f>
        <v>2</v>
      </c>
      <c r="D11" s="1361" t="s">
        <v>563</v>
      </c>
      <c r="E11" s="1361"/>
      <c r="F11" s="1361"/>
      <c r="G11" s="2529">
        <v>41640</v>
      </c>
      <c r="H11" s="2529">
        <v>42005</v>
      </c>
      <c r="I11" s="2529">
        <v>42370</v>
      </c>
      <c r="J11" s="2529">
        <v>42736</v>
      </c>
      <c r="K11" s="2529">
        <v>43101</v>
      </c>
      <c r="L11" s="2529">
        <v>43466</v>
      </c>
      <c r="M11" s="2529">
        <v>43831</v>
      </c>
      <c r="N11" s="2529">
        <v>44197</v>
      </c>
      <c r="O11" s="2529">
        <v>44562</v>
      </c>
      <c r="P11" s="2529">
        <v>44927</v>
      </c>
      <c r="Q11" s="2529">
        <v>45292</v>
      </c>
      <c r="R11" s="2529">
        <v>45658</v>
      </c>
      <c r="S11" s="2529">
        <v>46023</v>
      </c>
    </row>
    <row r="12" spans="1:19">
      <c r="A12" s="1360"/>
      <c r="B12" s="1463"/>
      <c r="C12" s="1476">
        <f>+MAX($C$10:C11)+1</f>
        <v>3</v>
      </c>
      <c r="D12" s="1361" t="s">
        <v>564</v>
      </c>
      <c r="E12" s="1361"/>
      <c r="F12" s="1361"/>
      <c r="G12" s="1808">
        <f>13-MONTH(G11)</f>
        <v>12</v>
      </c>
      <c r="H12" s="1808">
        <f t="shared" ref="H12:S12" si="1">13-MONTH(H11)</f>
        <v>12</v>
      </c>
      <c r="I12" s="1808">
        <f t="shared" si="1"/>
        <v>12</v>
      </c>
      <c r="J12" s="1808">
        <f t="shared" si="1"/>
        <v>12</v>
      </c>
      <c r="K12" s="1808">
        <f t="shared" si="1"/>
        <v>12</v>
      </c>
      <c r="L12" s="1808">
        <f t="shared" si="1"/>
        <v>12</v>
      </c>
      <c r="M12" s="1808">
        <f t="shared" si="1"/>
        <v>12</v>
      </c>
      <c r="N12" s="1808">
        <f t="shared" si="1"/>
        <v>12</v>
      </c>
      <c r="O12" s="1808">
        <f t="shared" si="1"/>
        <v>12</v>
      </c>
      <c r="P12" s="1808">
        <f t="shared" si="1"/>
        <v>12</v>
      </c>
      <c r="Q12" s="1808">
        <f t="shared" si="1"/>
        <v>12</v>
      </c>
      <c r="R12" s="1808">
        <f t="shared" si="1"/>
        <v>12</v>
      </c>
      <c r="S12" s="1808">
        <f t="shared" si="1"/>
        <v>12</v>
      </c>
    </row>
    <row r="13" spans="1:19">
      <c r="A13" s="1360"/>
      <c r="B13" s="1463"/>
      <c r="C13" s="1476"/>
      <c r="D13" s="1361"/>
      <c r="E13" s="1361"/>
      <c r="F13" s="1361"/>
      <c r="G13" s="1808"/>
      <c r="H13" s="1808"/>
      <c r="I13" s="1808"/>
      <c r="J13" s="1808"/>
      <c r="K13" s="1808"/>
      <c r="L13" s="1808"/>
      <c r="M13" s="1808"/>
      <c r="N13" s="1808"/>
      <c r="O13" s="1808"/>
      <c r="P13" s="1808"/>
      <c r="Q13" s="1808"/>
      <c r="R13" s="1808"/>
      <c r="S13" s="1808"/>
    </row>
    <row r="14" spans="1:19" ht="47.25">
      <c r="A14" s="1360"/>
      <c r="B14" s="1463"/>
      <c r="C14" s="2535">
        <f>+MAX($C$10:C13)+1</f>
        <v>4</v>
      </c>
      <c r="D14" s="2536" t="s">
        <v>2953</v>
      </c>
      <c r="E14" s="1361"/>
      <c r="F14" s="1361"/>
      <c r="G14" s="2530" t="s">
        <v>3786</v>
      </c>
      <c r="H14" s="2530" t="str">
        <f>G14</f>
        <v>Budget Water (100% Water, 50% Exceedance)</v>
      </c>
      <c r="I14" s="2530" t="str">
        <f t="shared" ref="I14:S14" si="2">H14</f>
        <v>Budget Water (100% Water, 50% Exceedance)</v>
      </c>
      <c r="J14" s="2530" t="str">
        <f t="shared" si="2"/>
        <v>Budget Water (100% Water, 50% Exceedance)</v>
      </c>
      <c r="K14" s="2530" t="str">
        <f t="shared" si="2"/>
        <v>Budget Water (100% Water, 50% Exceedance)</v>
      </c>
      <c r="L14" s="2530" t="str">
        <f t="shared" si="2"/>
        <v>Budget Water (100% Water, 50% Exceedance)</v>
      </c>
      <c r="M14" s="2530" t="str">
        <f t="shared" si="2"/>
        <v>Budget Water (100% Water, 50% Exceedance)</v>
      </c>
      <c r="N14" s="2530" t="str">
        <f t="shared" si="2"/>
        <v>Budget Water (100% Water, 50% Exceedance)</v>
      </c>
      <c r="O14" s="2530" t="str">
        <f t="shared" si="2"/>
        <v>Budget Water (100% Water, 50% Exceedance)</v>
      </c>
      <c r="P14" s="2530" t="str">
        <f t="shared" si="2"/>
        <v>Budget Water (100% Water, 50% Exceedance)</v>
      </c>
      <c r="Q14" s="2530" t="str">
        <f t="shared" si="2"/>
        <v>Budget Water (100% Water, 50% Exceedance)</v>
      </c>
      <c r="R14" s="2530" t="str">
        <f t="shared" si="2"/>
        <v>Budget Water (100% Water, 50% Exceedance)</v>
      </c>
      <c r="S14" s="2530" t="str">
        <f t="shared" si="2"/>
        <v>Budget Water (100% Water, 50% Exceedance)</v>
      </c>
    </row>
    <row r="15" spans="1:19">
      <c r="A15" s="1360"/>
      <c r="B15" s="1463"/>
      <c r="C15" s="1476">
        <f>+MAX($C$10:C14)+1</f>
        <v>5</v>
      </c>
      <c r="D15" s="1361" t="s">
        <v>2235</v>
      </c>
      <c r="E15" s="1361"/>
      <c r="F15" s="1361"/>
      <c r="G15" s="2531">
        <v>1</v>
      </c>
      <c r="H15" s="2531">
        <f>G15</f>
        <v>1</v>
      </c>
      <c r="I15" s="2531">
        <f t="shared" ref="I15:S15" si="3">H15</f>
        <v>1</v>
      </c>
      <c r="J15" s="2531">
        <f t="shared" si="3"/>
        <v>1</v>
      </c>
      <c r="K15" s="2531">
        <f t="shared" si="3"/>
        <v>1</v>
      </c>
      <c r="L15" s="2531">
        <f t="shared" si="3"/>
        <v>1</v>
      </c>
      <c r="M15" s="2531">
        <f t="shared" si="3"/>
        <v>1</v>
      </c>
      <c r="N15" s="2531">
        <f t="shared" si="3"/>
        <v>1</v>
      </c>
      <c r="O15" s="2531">
        <f t="shared" si="3"/>
        <v>1</v>
      </c>
      <c r="P15" s="2531">
        <f t="shared" si="3"/>
        <v>1</v>
      </c>
      <c r="Q15" s="2531">
        <f t="shared" si="3"/>
        <v>1</v>
      </c>
      <c r="R15" s="2531">
        <f t="shared" si="3"/>
        <v>1</v>
      </c>
      <c r="S15" s="2531">
        <f t="shared" si="3"/>
        <v>1</v>
      </c>
    </row>
    <row r="16" spans="1:19">
      <c r="A16" s="1360"/>
      <c r="B16" s="1463"/>
      <c r="C16" s="1476">
        <f>+MAX($C$10:C15)+1</f>
        <v>6</v>
      </c>
      <c r="D16" s="1361" t="s">
        <v>3482</v>
      </c>
      <c r="E16" s="1361"/>
      <c r="F16" s="1361"/>
      <c r="G16" s="2531">
        <v>0.03</v>
      </c>
      <c r="H16" s="2531">
        <v>0.03</v>
      </c>
      <c r="I16" s="2531">
        <v>0.03</v>
      </c>
      <c r="J16" s="2531">
        <v>0.03</v>
      </c>
      <c r="K16" s="2531">
        <v>0.03</v>
      </c>
      <c r="L16" s="2531">
        <v>0.03</v>
      </c>
      <c r="M16" s="2531">
        <v>0.03</v>
      </c>
      <c r="N16" s="2531">
        <v>0.03</v>
      </c>
      <c r="O16" s="2531">
        <v>0.03</v>
      </c>
      <c r="P16" s="2531">
        <v>0.03</v>
      </c>
      <c r="Q16" s="2531">
        <v>0.03</v>
      </c>
      <c r="R16" s="2531">
        <v>0.03</v>
      </c>
      <c r="S16" s="2531">
        <v>0.03</v>
      </c>
    </row>
    <row r="17" spans="1:228">
      <c r="A17" s="1360"/>
      <c r="B17" s="1463"/>
      <c r="C17" s="1476"/>
      <c r="D17" s="1361"/>
      <c r="E17" s="1361"/>
      <c r="F17" s="1361"/>
      <c r="G17" s="1361"/>
      <c r="H17" s="1361"/>
      <c r="I17" s="1361"/>
      <c r="J17" s="1361"/>
      <c r="K17" s="1361"/>
      <c r="L17" s="1361"/>
      <c r="M17" s="1361"/>
      <c r="N17" s="1361"/>
      <c r="O17" s="1361"/>
      <c r="P17" s="1361"/>
      <c r="Q17" s="1361"/>
      <c r="R17" s="1361"/>
      <c r="S17" s="1361"/>
    </row>
    <row r="18" spans="1:228">
      <c r="A18" s="1360"/>
      <c r="B18" s="1367"/>
      <c r="C18" s="1476">
        <f>+MAX($C$10:C17)+1</f>
        <v>7</v>
      </c>
      <c r="D18" s="1809" t="s">
        <v>2238</v>
      </c>
      <c r="E18" s="1367"/>
      <c r="F18" s="1446"/>
      <c r="G18" s="1446"/>
      <c r="H18" s="1446"/>
      <c r="I18" s="1446"/>
      <c r="J18" s="1446"/>
      <c r="K18" s="1446"/>
      <c r="L18" s="1446"/>
      <c r="M18" s="1446"/>
      <c r="N18" s="1446"/>
      <c r="O18" s="1446"/>
      <c r="P18" s="1446"/>
      <c r="Q18" s="1446"/>
      <c r="R18" s="1446"/>
      <c r="S18" s="1446"/>
      <c r="T18" s="1463"/>
      <c r="U18" s="1463"/>
      <c r="V18" s="1463"/>
      <c r="W18" s="1463"/>
      <c r="X18" s="1463"/>
      <c r="Y18" s="1463"/>
      <c r="Z18" s="1463"/>
      <c r="AA18" s="1463"/>
      <c r="AB18" s="1463"/>
      <c r="AC18" s="1463"/>
      <c r="AD18" s="1463"/>
      <c r="AE18" s="1463"/>
      <c r="AF18" s="1463"/>
      <c r="AG18" s="1463"/>
      <c r="AH18" s="1463"/>
      <c r="AI18" s="1463"/>
      <c r="AJ18" s="1463"/>
      <c r="AK18" s="1463"/>
      <c r="AL18" s="1463"/>
      <c r="AM18" s="1463"/>
      <c r="AN18" s="1463"/>
      <c r="AO18" s="1463"/>
      <c r="AP18" s="1463"/>
      <c r="AQ18" s="1463"/>
      <c r="AR18" s="1463"/>
      <c r="AS18" s="1463"/>
      <c r="AT18" s="1463"/>
      <c r="AU18" s="1463"/>
      <c r="AV18" s="1463"/>
      <c r="AW18" s="1463"/>
      <c r="AX18" s="1463"/>
      <c r="AY18" s="1463"/>
      <c r="AZ18" s="1463"/>
      <c r="BA18" s="1463"/>
      <c r="BB18" s="1463"/>
      <c r="BC18" s="1463"/>
      <c r="BD18" s="1463"/>
      <c r="BE18" s="1463"/>
      <c r="BF18" s="1463"/>
      <c r="BG18" s="1463"/>
      <c r="BH18" s="1463"/>
      <c r="BI18" s="1463"/>
      <c r="BJ18" s="1463"/>
      <c r="BK18" s="1463"/>
      <c r="BL18" s="1463"/>
      <c r="BM18" s="1463"/>
      <c r="BN18" s="1463"/>
      <c r="BO18" s="1463"/>
      <c r="BP18" s="1463"/>
      <c r="BQ18" s="1463"/>
      <c r="BR18" s="1463"/>
      <c r="BS18" s="1463"/>
      <c r="BT18" s="1463"/>
      <c r="BU18" s="1463"/>
      <c r="BV18" s="1463"/>
      <c r="BW18" s="1463"/>
      <c r="BX18" s="1463"/>
      <c r="BY18" s="1463"/>
      <c r="BZ18" s="1463"/>
      <c r="CA18" s="1463"/>
      <c r="CB18" s="1463"/>
      <c r="CC18" s="1463"/>
      <c r="CD18" s="1463"/>
      <c r="CE18" s="1463"/>
      <c r="CF18" s="1463"/>
      <c r="CG18" s="1463"/>
      <c r="CH18" s="1463"/>
      <c r="CI18" s="1463"/>
      <c r="CJ18" s="1463"/>
      <c r="CK18" s="1463"/>
      <c r="CL18" s="1463"/>
      <c r="CM18" s="1463"/>
      <c r="CN18" s="1463"/>
      <c r="CO18" s="1463"/>
      <c r="CP18" s="1463"/>
      <c r="CQ18" s="1463"/>
      <c r="CR18" s="1463"/>
      <c r="CS18" s="1463"/>
      <c r="CT18" s="1463"/>
      <c r="CU18" s="1463"/>
      <c r="CV18" s="1463"/>
      <c r="CW18" s="1463"/>
      <c r="CX18" s="1463"/>
      <c r="CY18" s="1463"/>
      <c r="CZ18" s="1463"/>
      <c r="DA18" s="1463"/>
      <c r="DB18" s="1463"/>
      <c r="DC18" s="1463"/>
      <c r="DD18" s="1463"/>
      <c r="DE18" s="1463"/>
      <c r="DF18" s="1463"/>
      <c r="DG18" s="1463"/>
      <c r="DH18" s="1463"/>
      <c r="DI18" s="1463"/>
      <c r="DJ18" s="1463"/>
      <c r="DK18" s="1463"/>
      <c r="DL18" s="1463"/>
      <c r="DM18" s="1463"/>
      <c r="DN18" s="1463"/>
      <c r="DO18" s="1463"/>
      <c r="DP18" s="1463"/>
      <c r="DQ18" s="1463"/>
      <c r="DR18" s="1463"/>
      <c r="DS18" s="1463"/>
      <c r="DT18" s="1463"/>
      <c r="DU18" s="1463"/>
      <c r="DV18" s="1463"/>
      <c r="DW18" s="1463"/>
      <c r="DX18" s="1463"/>
      <c r="DY18" s="1463"/>
      <c r="DZ18" s="1463"/>
      <c r="EA18" s="1463"/>
      <c r="EB18" s="1463"/>
      <c r="EC18" s="1463"/>
      <c r="ED18" s="1463"/>
      <c r="EE18" s="1463"/>
      <c r="EF18" s="1463"/>
      <c r="EG18" s="1463"/>
      <c r="EH18" s="1463"/>
      <c r="EI18" s="1463"/>
      <c r="EJ18" s="1463"/>
      <c r="EK18" s="1463"/>
      <c r="EL18" s="1463"/>
      <c r="EM18" s="1463"/>
      <c r="EN18" s="1463"/>
      <c r="EO18" s="1463"/>
      <c r="EP18" s="1463"/>
      <c r="EQ18" s="1463"/>
      <c r="ER18" s="1463"/>
      <c r="ES18" s="1463"/>
      <c r="ET18" s="1463"/>
      <c r="EU18" s="1463"/>
      <c r="EV18" s="1463"/>
      <c r="EW18" s="1463"/>
      <c r="EX18" s="1463"/>
      <c r="EY18" s="1463"/>
      <c r="EZ18" s="1463"/>
      <c r="FA18" s="1463"/>
      <c r="FB18" s="1463"/>
      <c r="FC18" s="1463"/>
      <c r="FD18" s="1463"/>
      <c r="FE18" s="1463"/>
      <c r="FF18" s="1463"/>
      <c r="FG18" s="1463"/>
      <c r="FH18" s="1463"/>
      <c r="FI18" s="1463"/>
      <c r="FJ18" s="1463"/>
      <c r="FK18" s="1463"/>
      <c r="FL18" s="1463"/>
      <c r="FM18" s="1463"/>
      <c r="FN18" s="1463"/>
      <c r="FO18" s="1463"/>
      <c r="FP18" s="1463"/>
      <c r="FQ18" s="1463"/>
      <c r="FR18" s="1463"/>
      <c r="FS18" s="1463"/>
      <c r="FT18" s="1463"/>
      <c r="FU18" s="1463"/>
      <c r="FV18" s="1463"/>
      <c r="FW18" s="1463"/>
      <c r="FX18" s="1463"/>
      <c r="FY18" s="1463"/>
      <c r="FZ18" s="1463"/>
      <c r="GA18" s="1463"/>
      <c r="GB18" s="1463"/>
      <c r="GC18" s="1463"/>
      <c r="GD18" s="1463"/>
      <c r="GE18" s="1463"/>
      <c r="GF18" s="1463"/>
      <c r="GG18" s="1463"/>
      <c r="GH18" s="1463"/>
      <c r="GI18" s="1463"/>
      <c r="GJ18" s="1463"/>
      <c r="GK18" s="1463"/>
      <c r="GL18" s="1463"/>
      <c r="GM18" s="1463"/>
      <c r="GN18" s="1463"/>
      <c r="GO18" s="1463"/>
      <c r="GP18" s="1463"/>
      <c r="GQ18" s="1463"/>
      <c r="GR18" s="1463"/>
      <c r="GS18" s="1463"/>
      <c r="GT18" s="1463"/>
      <c r="GU18" s="1463"/>
      <c r="GV18" s="1463"/>
      <c r="GW18" s="1463"/>
      <c r="GX18" s="1463"/>
      <c r="GY18" s="1463"/>
      <c r="GZ18" s="1463"/>
      <c r="HA18" s="1463"/>
      <c r="HB18" s="1463"/>
      <c r="HC18" s="1463"/>
      <c r="HD18" s="1463"/>
      <c r="HE18" s="1463"/>
      <c r="HF18" s="1463"/>
      <c r="HG18" s="1463"/>
      <c r="HH18" s="1463"/>
      <c r="HI18" s="1463"/>
      <c r="HJ18" s="1463"/>
      <c r="HK18" s="1463"/>
      <c r="HL18" s="1463"/>
      <c r="HM18" s="1463"/>
      <c r="HN18" s="1463"/>
      <c r="HO18" s="1463"/>
      <c r="HP18" s="1463"/>
      <c r="HQ18" s="1463"/>
      <c r="HR18" s="1463"/>
      <c r="HS18" s="1463"/>
      <c r="HT18" s="1463"/>
    </row>
    <row r="19" spans="1:228">
      <c r="A19" s="1360"/>
      <c r="B19" s="1367"/>
      <c r="C19" s="1476">
        <f>+MAX($C$10:C18)+1</f>
        <v>8</v>
      </c>
      <c r="D19" s="1361" t="s">
        <v>2663</v>
      </c>
      <c r="E19" s="1367"/>
      <c r="F19" s="1446"/>
      <c r="G19" s="3234"/>
      <c r="H19" s="3234"/>
      <c r="I19" s="3234"/>
      <c r="J19" s="3234"/>
      <c r="K19" s="3234"/>
      <c r="L19" s="3234"/>
      <c r="M19" s="3234"/>
      <c r="N19" s="3234"/>
      <c r="O19" s="3234"/>
      <c r="P19" s="3234"/>
      <c r="Q19" s="3234"/>
      <c r="R19" s="3234"/>
      <c r="S19" s="3234"/>
      <c r="T19" s="1463"/>
      <c r="U19" s="1463"/>
      <c r="V19" s="1463"/>
      <c r="W19" s="1463"/>
      <c r="X19" s="1463"/>
      <c r="Y19" s="1463"/>
      <c r="Z19" s="1463"/>
      <c r="AA19" s="1463"/>
      <c r="AB19" s="1463"/>
      <c r="AC19" s="1463"/>
      <c r="AD19" s="1463"/>
      <c r="AE19" s="1463"/>
      <c r="AF19" s="1463"/>
      <c r="AG19" s="1463"/>
      <c r="AH19" s="1463"/>
      <c r="AI19" s="1463"/>
      <c r="AJ19" s="1463"/>
      <c r="AK19" s="1463"/>
      <c r="AL19" s="1463"/>
      <c r="AM19" s="1463"/>
      <c r="AN19" s="1463"/>
      <c r="AO19" s="1463"/>
      <c r="AP19" s="1463"/>
      <c r="AQ19" s="1463"/>
      <c r="AR19" s="1463"/>
      <c r="AS19" s="1463"/>
      <c r="AT19" s="1463"/>
      <c r="AU19" s="1463"/>
      <c r="AV19" s="1463"/>
      <c r="AW19" s="1463"/>
      <c r="AX19" s="1463"/>
      <c r="AY19" s="1463"/>
      <c r="AZ19" s="1463"/>
      <c r="BA19" s="1463"/>
      <c r="BB19" s="1463"/>
      <c r="BC19" s="1463"/>
      <c r="BD19" s="1463"/>
      <c r="BE19" s="1463"/>
      <c r="BF19" s="1463"/>
      <c r="BG19" s="1463"/>
      <c r="BH19" s="1463"/>
      <c r="BI19" s="1463"/>
      <c r="BJ19" s="1463"/>
      <c r="BK19" s="1463"/>
      <c r="BL19" s="1463"/>
      <c r="BM19" s="1463"/>
      <c r="BN19" s="1463"/>
      <c r="BO19" s="1463"/>
      <c r="BP19" s="1463"/>
      <c r="BQ19" s="1463"/>
      <c r="BR19" s="1463"/>
      <c r="BS19" s="1463"/>
      <c r="BT19" s="1463"/>
      <c r="BU19" s="1463"/>
      <c r="BV19" s="1463"/>
      <c r="BW19" s="1463"/>
      <c r="BX19" s="1463"/>
      <c r="BY19" s="1463"/>
      <c r="BZ19" s="1463"/>
      <c r="CA19" s="1463"/>
      <c r="CB19" s="1463"/>
      <c r="CC19" s="1463"/>
      <c r="CD19" s="1463"/>
      <c r="CE19" s="1463"/>
      <c r="CF19" s="1463"/>
      <c r="CG19" s="1463"/>
      <c r="CH19" s="1463"/>
      <c r="CI19" s="1463"/>
      <c r="CJ19" s="1463"/>
      <c r="CK19" s="1463"/>
      <c r="CL19" s="1463"/>
      <c r="CM19" s="1463"/>
      <c r="CN19" s="1463"/>
      <c r="CO19" s="1463"/>
      <c r="CP19" s="1463"/>
      <c r="CQ19" s="1463"/>
      <c r="CR19" s="1463"/>
      <c r="CS19" s="1463"/>
      <c r="CT19" s="1463"/>
      <c r="CU19" s="1463"/>
      <c r="CV19" s="1463"/>
      <c r="CW19" s="1463"/>
      <c r="CX19" s="1463"/>
      <c r="CY19" s="1463"/>
      <c r="CZ19" s="1463"/>
      <c r="DA19" s="1463"/>
      <c r="DB19" s="1463"/>
      <c r="DC19" s="1463"/>
      <c r="DD19" s="1463"/>
      <c r="DE19" s="1463"/>
      <c r="DF19" s="1463"/>
      <c r="DG19" s="1463"/>
      <c r="DH19" s="1463"/>
      <c r="DI19" s="1463"/>
      <c r="DJ19" s="1463"/>
      <c r="DK19" s="1463"/>
      <c r="DL19" s="1463"/>
      <c r="DM19" s="1463"/>
      <c r="DN19" s="1463"/>
      <c r="DO19" s="1463"/>
      <c r="DP19" s="1463"/>
      <c r="DQ19" s="1463"/>
      <c r="DR19" s="1463"/>
      <c r="DS19" s="1463"/>
      <c r="DT19" s="1463"/>
      <c r="DU19" s="1463"/>
      <c r="DV19" s="1463"/>
      <c r="DW19" s="1463"/>
      <c r="DX19" s="1463"/>
      <c r="DY19" s="1463"/>
      <c r="DZ19" s="1463"/>
      <c r="EA19" s="1463"/>
      <c r="EB19" s="1463"/>
      <c r="EC19" s="1463"/>
      <c r="ED19" s="1463"/>
      <c r="EE19" s="1463"/>
      <c r="EF19" s="1463"/>
      <c r="EG19" s="1463"/>
      <c r="EH19" s="1463"/>
      <c r="EI19" s="1463"/>
      <c r="EJ19" s="1463"/>
      <c r="EK19" s="1463"/>
      <c r="EL19" s="1463"/>
      <c r="EM19" s="1463"/>
      <c r="EN19" s="1463"/>
      <c r="EO19" s="1463"/>
      <c r="EP19" s="1463"/>
      <c r="EQ19" s="1463"/>
      <c r="ER19" s="1463"/>
      <c r="ES19" s="1463"/>
      <c r="ET19" s="1463"/>
      <c r="EU19" s="1463"/>
      <c r="EV19" s="1463"/>
      <c r="EW19" s="1463"/>
      <c r="EX19" s="1463"/>
      <c r="EY19" s="1463"/>
      <c r="EZ19" s="1463"/>
      <c r="FA19" s="1463"/>
      <c r="FB19" s="1463"/>
      <c r="FC19" s="1463"/>
      <c r="FD19" s="1463"/>
      <c r="FE19" s="1463"/>
      <c r="FF19" s="1463"/>
      <c r="FG19" s="1463"/>
      <c r="FH19" s="1463"/>
      <c r="FI19" s="1463"/>
      <c r="FJ19" s="1463"/>
      <c r="FK19" s="1463"/>
      <c r="FL19" s="1463"/>
      <c r="FM19" s="1463"/>
      <c r="FN19" s="1463"/>
      <c r="FO19" s="1463"/>
      <c r="FP19" s="1463"/>
      <c r="FQ19" s="1463"/>
      <c r="FR19" s="1463"/>
      <c r="FS19" s="1463"/>
      <c r="FT19" s="1463"/>
      <c r="FU19" s="1463"/>
      <c r="FV19" s="1463"/>
      <c r="FW19" s="1463"/>
      <c r="FX19" s="1463"/>
      <c r="FY19" s="1463"/>
      <c r="FZ19" s="1463"/>
      <c r="GA19" s="1463"/>
      <c r="GB19" s="1463"/>
      <c r="GC19" s="1463"/>
      <c r="GD19" s="1463"/>
      <c r="GE19" s="1463"/>
      <c r="GF19" s="1463"/>
      <c r="GG19" s="1463"/>
      <c r="GH19" s="1463"/>
      <c r="GI19" s="1463"/>
      <c r="GJ19" s="1463"/>
      <c r="GK19" s="1463"/>
      <c r="GL19" s="1463"/>
      <c r="GM19" s="1463"/>
      <c r="GN19" s="1463"/>
      <c r="GO19" s="1463"/>
      <c r="GP19" s="1463"/>
      <c r="GQ19" s="1463"/>
      <c r="GR19" s="1463"/>
      <c r="GS19" s="1463"/>
      <c r="GT19" s="1463"/>
      <c r="GU19" s="1463"/>
      <c r="GV19" s="1463"/>
      <c r="GW19" s="1463"/>
      <c r="GX19" s="1463"/>
      <c r="GY19" s="1463"/>
      <c r="GZ19" s="1463"/>
      <c r="HA19" s="1463"/>
      <c r="HB19" s="1463"/>
      <c r="HC19" s="1463"/>
      <c r="HD19" s="1463"/>
      <c r="HE19" s="1463"/>
      <c r="HF19" s="1463"/>
      <c r="HG19" s="1463"/>
      <c r="HH19" s="1463"/>
      <c r="HI19" s="1463"/>
      <c r="HJ19" s="1463"/>
      <c r="HK19" s="1463"/>
      <c r="HL19" s="1463"/>
      <c r="HM19" s="1463"/>
      <c r="HN19" s="1463"/>
      <c r="HO19" s="1463"/>
      <c r="HP19" s="1463"/>
      <c r="HQ19" s="1463"/>
      <c r="HR19" s="1463"/>
      <c r="HS19" s="1463"/>
      <c r="HT19" s="1463"/>
    </row>
    <row r="20" spans="1:228">
      <c r="A20" s="1360"/>
      <c r="B20" s="1367"/>
      <c r="C20" s="1476">
        <f>+MAX($C$10:C19)+1</f>
        <v>9</v>
      </c>
      <c r="D20" s="1361" t="s">
        <v>2662</v>
      </c>
      <c r="E20" s="1367"/>
      <c r="F20" s="1446"/>
      <c r="G20" s="2532">
        <f>'Forecast (BV) 2017'!G174</f>
        <v>0</v>
      </c>
      <c r="H20" s="2532">
        <f>'Forecast (BV) 2017'!I174</f>
        <v>0</v>
      </c>
      <c r="I20" s="2532">
        <f>-'Forecast (BV) 2017'!K174</f>
        <v>-35335000</v>
      </c>
      <c r="J20" s="2532">
        <f>-'Forecast (BV) 2017'!L174</f>
        <v>-106121983.96960936</v>
      </c>
      <c r="K20" s="2532">
        <f>-'Forecast (BV) 2017'!M174</f>
        <v>-4172781.5199285746</v>
      </c>
      <c r="L20" s="2532">
        <f>-'Forecast (BV) 2017'!N174</f>
        <v>-16411677.065090813</v>
      </c>
      <c r="M20" s="2532">
        <f>-'Forecast (BV) 2017'!O174</f>
        <v>-36990438.512595937</v>
      </c>
      <c r="N20" s="2532">
        <f>-'Forecast (BV) 2017'!P174</f>
        <v>-51683845.665016912</v>
      </c>
      <c r="O20" s="2532">
        <f>-'Forecast (BV) 2017'!Q174</f>
        <v>-61531920.174395382</v>
      </c>
      <c r="P20" s="2532">
        <f>-'Forecast (BV) 2017'!R174</f>
        <v>-59966721.080274932</v>
      </c>
      <c r="Q20" s="2532">
        <f>-'Forecast (BV) 2017'!S174</f>
        <v>-76577647.876096815</v>
      </c>
      <c r="R20" s="2532">
        <f>-'Forecast (BV) 2017'!T174</f>
        <v>-74839742.767751023</v>
      </c>
      <c r="S20" s="2532">
        <f>-'Forecast (BV) 2017'!U174</f>
        <v>-58333422.783343986</v>
      </c>
      <c r="T20" s="1463"/>
      <c r="U20" s="1463"/>
      <c r="V20" s="1463"/>
      <c r="W20" s="1463"/>
      <c r="X20" s="1463"/>
      <c r="Y20" s="1463"/>
      <c r="Z20" s="1463"/>
      <c r="AA20" s="1463"/>
      <c r="AB20" s="1463"/>
      <c r="AC20" s="1463"/>
      <c r="AD20" s="1463"/>
      <c r="AE20" s="1463"/>
      <c r="AF20" s="1463"/>
      <c r="AG20" s="1463"/>
      <c r="AH20" s="1463"/>
      <c r="AI20" s="1463"/>
      <c r="AJ20" s="1463"/>
      <c r="AK20" s="1463"/>
      <c r="AL20" s="1463"/>
      <c r="AM20" s="1463"/>
      <c r="AN20" s="1463"/>
      <c r="AO20" s="1463"/>
      <c r="AP20" s="1463"/>
      <c r="AQ20" s="1463"/>
      <c r="AR20" s="1463"/>
      <c r="AS20" s="1463"/>
      <c r="AT20" s="1463"/>
      <c r="AU20" s="1463"/>
      <c r="AV20" s="1463"/>
      <c r="AW20" s="1463"/>
      <c r="AX20" s="1463"/>
      <c r="AY20" s="1463"/>
      <c r="AZ20" s="1463"/>
      <c r="BA20" s="1463"/>
      <c r="BB20" s="1463"/>
      <c r="BC20" s="1463"/>
      <c r="BD20" s="1463"/>
      <c r="BE20" s="1463"/>
      <c r="BF20" s="1463"/>
      <c r="BG20" s="1463"/>
      <c r="BH20" s="1463"/>
      <c r="BI20" s="1463"/>
      <c r="BJ20" s="1463"/>
      <c r="BK20" s="1463"/>
      <c r="BL20" s="1463"/>
      <c r="BM20" s="1463"/>
      <c r="BN20" s="1463"/>
      <c r="BO20" s="1463"/>
      <c r="BP20" s="1463"/>
      <c r="BQ20" s="1463"/>
      <c r="BR20" s="1463"/>
      <c r="BS20" s="1463"/>
      <c r="BT20" s="1463"/>
      <c r="BU20" s="1463"/>
      <c r="BV20" s="1463"/>
      <c r="BW20" s="1463"/>
      <c r="BX20" s="1463"/>
      <c r="BY20" s="1463"/>
      <c r="BZ20" s="1463"/>
      <c r="CA20" s="1463"/>
      <c r="CB20" s="1463"/>
      <c r="CC20" s="1463"/>
      <c r="CD20" s="1463"/>
      <c r="CE20" s="1463"/>
      <c r="CF20" s="1463"/>
      <c r="CG20" s="1463"/>
      <c r="CH20" s="1463"/>
      <c r="CI20" s="1463"/>
      <c r="CJ20" s="1463"/>
      <c r="CK20" s="1463"/>
      <c r="CL20" s="1463"/>
      <c r="CM20" s="1463"/>
      <c r="CN20" s="1463"/>
      <c r="CO20" s="1463"/>
      <c r="CP20" s="1463"/>
      <c r="CQ20" s="1463"/>
      <c r="CR20" s="1463"/>
      <c r="CS20" s="1463"/>
      <c r="CT20" s="1463"/>
      <c r="CU20" s="1463"/>
      <c r="CV20" s="1463"/>
      <c r="CW20" s="1463"/>
      <c r="CX20" s="1463"/>
      <c r="CY20" s="1463"/>
      <c r="CZ20" s="1463"/>
      <c r="DA20" s="1463"/>
      <c r="DB20" s="1463"/>
      <c r="DC20" s="1463"/>
      <c r="DD20" s="1463"/>
      <c r="DE20" s="1463"/>
      <c r="DF20" s="1463"/>
      <c r="DG20" s="1463"/>
      <c r="DH20" s="1463"/>
      <c r="DI20" s="1463"/>
      <c r="DJ20" s="1463"/>
      <c r="DK20" s="1463"/>
      <c r="DL20" s="1463"/>
      <c r="DM20" s="1463"/>
      <c r="DN20" s="1463"/>
      <c r="DO20" s="1463"/>
      <c r="DP20" s="1463"/>
      <c r="DQ20" s="1463"/>
      <c r="DR20" s="1463"/>
      <c r="DS20" s="1463"/>
      <c r="DT20" s="1463"/>
      <c r="DU20" s="1463"/>
      <c r="DV20" s="1463"/>
      <c r="DW20" s="1463"/>
      <c r="DX20" s="1463"/>
      <c r="DY20" s="1463"/>
      <c r="DZ20" s="1463"/>
      <c r="EA20" s="1463"/>
      <c r="EB20" s="1463"/>
      <c r="EC20" s="1463"/>
      <c r="ED20" s="1463"/>
      <c r="EE20" s="1463"/>
      <c r="EF20" s="1463"/>
      <c r="EG20" s="1463"/>
      <c r="EH20" s="1463"/>
      <c r="EI20" s="1463"/>
      <c r="EJ20" s="1463"/>
      <c r="EK20" s="1463"/>
      <c r="EL20" s="1463"/>
      <c r="EM20" s="1463"/>
      <c r="EN20" s="1463"/>
      <c r="EO20" s="1463"/>
      <c r="EP20" s="1463"/>
      <c r="EQ20" s="1463"/>
      <c r="ER20" s="1463"/>
      <c r="ES20" s="1463"/>
      <c r="ET20" s="1463"/>
      <c r="EU20" s="1463"/>
      <c r="EV20" s="1463"/>
      <c r="EW20" s="1463"/>
      <c r="EX20" s="1463"/>
      <c r="EY20" s="1463"/>
      <c r="EZ20" s="1463"/>
      <c r="FA20" s="1463"/>
      <c r="FB20" s="1463"/>
      <c r="FC20" s="1463"/>
      <c r="FD20" s="1463"/>
      <c r="FE20" s="1463"/>
      <c r="FF20" s="1463"/>
      <c r="FG20" s="1463"/>
      <c r="FH20" s="1463"/>
      <c r="FI20" s="1463"/>
      <c r="FJ20" s="1463"/>
      <c r="FK20" s="1463"/>
      <c r="FL20" s="1463"/>
      <c r="FM20" s="1463"/>
      <c r="FN20" s="1463"/>
      <c r="FO20" s="1463"/>
      <c r="FP20" s="1463"/>
      <c r="FQ20" s="1463"/>
      <c r="FR20" s="1463"/>
      <c r="FS20" s="1463"/>
      <c r="FT20" s="1463"/>
      <c r="FU20" s="1463"/>
      <c r="FV20" s="1463"/>
      <c r="FW20" s="1463"/>
      <c r="FX20" s="1463"/>
      <c r="FY20" s="1463"/>
      <c r="FZ20" s="1463"/>
      <c r="GA20" s="1463"/>
      <c r="GB20" s="1463"/>
      <c r="GC20" s="1463"/>
      <c r="GD20" s="1463"/>
      <c r="GE20" s="1463"/>
      <c r="GF20" s="1463"/>
      <c r="GG20" s="1463"/>
      <c r="GH20" s="1463"/>
      <c r="GI20" s="1463"/>
      <c r="GJ20" s="1463"/>
      <c r="GK20" s="1463"/>
      <c r="GL20" s="1463"/>
      <c r="GM20" s="1463"/>
      <c r="GN20" s="1463"/>
      <c r="GO20" s="1463"/>
      <c r="GP20" s="1463"/>
      <c r="GQ20" s="1463"/>
      <c r="GR20" s="1463"/>
      <c r="GS20" s="1463"/>
      <c r="GT20" s="1463"/>
      <c r="GU20" s="1463"/>
      <c r="GV20" s="1463"/>
      <c r="GW20" s="1463"/>
      <c r="GX20" s="1463"/>
      <c r="GY20" s="1463"/>
      <c r="GZ20" s="1463"/>
      <c r="HA20" s="1463"/>
      <c r="HB20" s="1463"/>
      <c r="HC20" s="1463"/>
      <c r="HD20" s="1463"/>
      <c r="HE20" s="1463"/>
      <c r="HF20" s="1463"/>
      <c r="HG20" s="1463"/>
      <c r="HH20" s="1463"/>
      <c r="HI20" s="1463"/>
      <c r="HJ20" s="1463"/>
      <c r="HK20" s="1463"/>
      <c r="HL20" s="1463"/>
      <c r="HM20" s="1463"/>
      <c r="HN20" s="1463"/>
      <c r="HO20" s="1463"/>
      <c r="HP20" s="1463"/>
      <c r="HQ20" s="1463"/>
      <c r="HR20" s="1463"/>
      <c r="HS20" s="1463"/>
      <c r="HT20" s="1463"/>
    </row>
    <row r="21" spans="1:228">
      <c r="A21" s="1360"/>
      <c r="B21" s="1367"/>
      <c r="C21" s="1476">
        <f>+MAX($C$10:C20)+1</f>
        <v>10</v>
      </c>
      <c r="D21" s="1361" t="s">
        <v>2664</v>
      </c>
      <c r="E21" s="1367"/>
      <c r="F21" s="1446"/>
      <c r="G21" s="2532">
        <v>37182000</v>
      </c>
      <c r="H21" s="2532">
        <v>12083702.953720002</v>
      </c>
      <c r="I21" s="2532">
        <f>77216486.9612037-50000000-I23</f>
        <v>27666486.961203694</v>
      </c>
      <c r="J21" s="2532">
        <f>52084912.4217191-50000000+J23</f>
        <v>5140761.4783228701</v>
      </c>
      <c r="K21" s="2532">
        <f>4172781.51992858+K23</f>
        <v>20104210.091357153</v>
      </c>
      <c r="L21" s="2532">
        <f>16411677.0650907+L23</f>
        <v>21661554.312975064</v>
      </c>
      <c r="M21" s="2532">
        <f>36990438.512596+M23</f>
        <v>41867330.008197173</v>
      </c>
      <c r="N21" s="2532">
        <f>51683845.6650169+N23</f>
        <v>50453845.665016897</v>
      </c>
      <c r="O21" s="2532">
        <f>64093168.2574668+O23</f>
        <v>66283168.257466801</v>
      </c>
      <c r="P21" s="2532">
        <f>79717218.9257336+P23</f>
        <v>68152354.060868725</v>
      </c>
      <c r="Q21" s="2532">
        <f>94119814.43842+Q23</f>
        <v>98146906.637001559</v>
      </c>
      <c r="R21" s="2532">
        <f>93948498.3970284+R23</f>
        <v>100083313.21184322</v>
      </c>
      <c r="S21" s="2532">
        <f>98324708.4008236+S23</f>
        <v>101807638.99208324</v>
      </c>
      <c r="T21" s="1463"/>
      <c r="U21" s="1463"/>
      <c r="V21" s="1463"/>
      <c r="W21" s="1463"/>
      <c r="X21" s="1463"/>
      <c r="Y21" s="1463"/>
      <c r="Z21" s="1463"/>
      <c r="AA21" s="1463"/>
      <c r="AB21" s="1463"/>
      <c r="AC21" s="1463"/>
      <c r="AD21" s="1463"/>
      <c r="AE21" s="1463"/>
      <c r="AF21" s="1463"/>
      <c r="AG21" s="1463"/>
      <c r="AH21" s="1463"/>
      <c r="AI21" s="1463"/>
      <c r="AJ21" s="1463"/>
      <c r="AK21" s="1463"/>
      <c r="AL21" s="1463"/>
      <c r="AM21" s="1463"/>
      <c r="AN21" s="1463"/>
      <c r="AO21" s="1463"/>
      <c r="AP21" s="1463"/>
      <c r="AQ21" s="1463"/>
      <c r="AR21" s="1463"/>
      <c r="AS21" s="1463"/>
      <c r="AT21" s="1463"/>
      <c r="AU21" s="1463"/>
      <c r="AV21" s="1463"/>
      <c r="AW21" s="1463"/>
      <c r="AX21" s="1463"/>
      <c r="AY21" s="1463"/>
      <c r="AZ21" s="1463"/>
      <c r="BA21" s="1463"/>
      <c r="BB21" s="1463"/>
      <c r="BC21" s="1463"/>
      <c r="BD21" s="1463"/>
      <c r="BE21" s="1463"/>
      <c r="BF21" s="1463"/>
      <c r="BG21" s="1463"/>
      <c r="BH21" s="1463"/>
      <c r="BI21" s="1463"/>
      <c r="BJ21" s="1463"/>
      <c r="BK21" s="1463"/>
      <c r="BL21" s="1463"/>
      <c r="BM21" s="1463"/>
      <c r="BN21" s="1463"/>
      <c r="BO21" s="1463"/>
      <c r="BP21" s="1463"/>
      <c r="BQ21" s="1463"/>
      <c r="BR21" s="1463"/>
      <c r="BS21" s="1463"/>
      <c r="BT21" s="1463"/>
      <c r="BU21" s="1463"/>
      <c r="BV21" s="1463"/>
      <c r="BW21" s="1463"/>
      <c r="BX21" s="1463"/>
      <c r="BY21" s="1463"/>
      <c r="BZ21" s="1463"/>
      <c r="CA21" s="1463"/>
      <c r="CB21" s="1463"/>
      <c r="CC21" s="1463"/>
      <c r="CD21" s="1463"/>
      <c r="CE21" s="1463"/>
      <c r="CF21" s="1463"/>
      <c r="CG21" s="1463"/>
      <c r="CH21" s="1463"/>
      <c r="CI21" s="1463"/>
      <c r="CJ21" s="1463"/>
      <c r="CK21" s="1463"/>
      <c r="CL21" s="1463"/>
      <c r="CM21" s="1463"/>
      <c r="CN21" s="1463"/>
      <c r="CO21" s="1463"/>
      <c r="CP21" s="1463"/>
      <c r="CQ21" s="1463"/>
      <c r="CR21" s="1463"/>
      <c r="CS21" s="1463"/>
      <c r="CT21" s="1463"/>
      <c r="CU21" s="1463"/>
      <c r="CV21" s="1463"/>
      <c r="CW21" s="1463"/>
      <c r="CX21" s="1463"/>
      <c r="CY21" s="1463"/>
      <c r="CZ21" s="1463"/>
      <c r="DA21" s="1463"/>
      <c r="DB21" s="1463"/>
      <c r="DC21" s="1463"/>
      <c r="DD21" s="1463"/>
      <c r="DE21" s="1463"/>
      <c r="DF21" s="1463"/>
      <c r="DG21" s="1463"/>
      <c r="DH21" s="1463"/>
      <c r="DI21" s="1463"/>
      <c r="DJ21" s="1463"/>
      <c r="DK21" s="1463"/>
      <c r="DL21" s="1463"/>
      <c r="DM21" s="1463"/>
      <c r="DN21" s="1463"/>
      <c r="DO21" s="1463"/>
      <c r="DP21" s="1463"/>
      <c r="DQ21" s="1463"/>
      <c r="DR21" s="1463"/>
      <c r="DS21" s="1463"/>
      <c r="DT21" s="1463"/>
      <c r="DU21" s="1463"/>
      <c r="DV21" s="1463"/>
      <c r="DW21" s="1463"/>
      <c r="DX21" s="1463"/>
      <c r="DY21" s="1463"/>
      <c r="DZ21" s="1463"/>
      <c r="EA21" s="1463"/>
      <c r="EB21" s="1463"/>
      <c r="EC21" s="1463"/>
      <c r="ED21" s="1463"/>
      <c r="EE21" s="1463"/>
      <c r="EF21" s="1463"/>
      <c r="EG21" s="1463"/>
      <c r="EH21" s="1463"/>
      <c r="EI21" s="1463"/>
      <c r="EJ21" s="1463"/>
      <c r="EK21" s="1463"/>
      <c r="EL21" s="1463"/>
      <c r="EM21" s="1463"/>
      <c r="EN21" s="1463"/>
      <c r="EO21" s="1463"/>
      <c r="EP21" s="1463"/>
      <c r="EQ21" s="1463"/>
      <c r="ER21" s="1463"/>
      <c r="ES21" s="1463"/>
      <c r="ET21" s="1463"/>
      <c r="EU21" s="1463"/>
      <c r="EV21" s="1463"/>
      <c r="EW21" s="1463"/>
      <c r="EX21" s="1463"/>
      <c r="EY21" s="1463"/>
      <c r="EZ21" s="1463"/>
      <c r="FA21" s="1463"/>
      <c r="FB21" s="1463"/>
      <c r="FC21" s="1463"/>
      <c r="FD21" s="1463"/>
      <c r="FE21" s="1463"/>
      <c r="FF21" s="1463"/>
      <c r="FG21" s="1463"/>
      <c r="FH21" s="1463"/>
      <c r="FI21" s="1463"/>
      <c r="FJ21" s="1463"/>
      <c r="FK21" s="1463"/>
      <c r="FL21" s="1463"/>
      <c r="FM21" s="1463"/>
      <c r="FN21" s="1463"/>
      <c r="FO21" s="1463"/>
      <c r="FP21" s="1463"/>
      <c r="FQ21" s="1463"/>
      <c r="FR21" s="1463"/>
      <c r="FS21" s="1463"/>
      <c r="FT21" s="1463"/>
      <c r="FU21" s="1463"/>
      <c r="FV21" s="1463"/>
      <c r="FW21" s="1463"/>
      <c r="FX21" s="1463"/>
      <c r="FY21" s="1463"/>
      <c r="FZ21" s="1463"/>
      <c r="GA21" s="1463"/>
      <c r="GB21" s="1463"/>
      <c r="GC21" s="1463"/>
      <c r="GD21" s="1463"/>
      <c r="GE21" s="1463"/>
      <c r="GF21" s="1463"/>
      <c r="GG21" s="1463"/>
      <c r="GH21" s="1463"/>
      <c r="GI21" s="1463"/>
      <c r="GJ21" s="1463"/>
      <c r="GK21" s="1463"/>
      <c r="GL21" s="1463"/>
      <c r="GM21" s="1463"/>
      <c r="GN21" s="1463"/>
      <c r="GO21" s="1463"/>
      <c r="GP21" s="1463"/>
      <c r="GQ21" s="1463"/>
      <c r="GR21" s="1463"/>
      <c r="GS21" s="1463"/>
      <c r="GT21" s="1463"/>
      <c r="GU21" s="1463"/>
      <c r="GV21" s="1463"/>
      <c r="GW21" s="1463"/>
      <c r="GX21" s="1463"/>
      <c r="GY21" s="1463"/>
      <c r="GZ21" s="1463"/>
      <c r="HA21" s="1463"/>
      <c r="HB21" s="1463"/>
      <c r="HC21" s="1463"/>
      <c r="HD21" s="1463"/>
      <c r="HE21" s="1463"/>
      <c r="HF21" s="1463"/>
      <c r="HG21" s="1463"/>
      <c r="HH21" s="1463"/>
      <c r="HI21" s="1463"/>
      <c r="HJ21" s="1463"/>
      <c r="HK21" s="1463"/>
      <c r="HL21" s="1463"/>
      <c r="HM21" s="1463"/>
      <c r="HN21" s="1463"/>
      <c r="HO21" s="1463"/>
      <c r="HP21" s="1463"/>
      <c r="HQ21" s="1463"/>
      <c r="HR21" s="1463"/>
      <c r="HS21" s="1463"/>
      <c r="HT21" s="1463"/>
    </row>
    <row r="22" spans="1:228">
      <c r="A22" s="1360"/>
      <c r="B22" s="1367"/>
      <c r="C22" s="1476">
        <f>+MAX($C$10:C21)+1</f>
        <v>11</v>
      </c>
      <c r="D22" s="1361" t="s">
        <v>3481</v>
      </c>
      <c r="E22" s="1367"/>
      <c r="F22" s="1446"/>
      <c r="G22" s="2533">
        <v>1</v>
      </c>
      <c r="H22" s="2533">
        <v>1</v>
      </c>
      <c r="I22" s="2533">
        <v>1</v>
      </c>
      <c r="J22" s="2533">
        <v>1</v>
      </c>
      <c r="K22" s="2533">
        <v>1</v>
      </c>
      <c r="L22" s="2533">
        <v>1</v>
      </c>
      <c r="M22" s="2533">
        <v>1</v>
      </c>
      <c r="N22" s="2533">
        <v>1</v>
      </c>
      <c r="O22" s="2533">
        <v>1</v>
      </c>
      <c r="P22" s="2533">
        <v>1</v>
      </c>
      <c r="Q22" s="2533">
        <v>1</v>
      </c>
      <c r="R22" s="2533">
        <v>1</v>
      </c>
      <c r="S22" s="2533">
        <v>1</v>
      </c>
      <c r="T22" s="1463"/>
      <c r="U22" s="1463"/>
      <c r="V22" s="1463"/>
      <c r="W22" s="1463"/>
      <c r="X22" s="1463"/>
      <c r="Y22" s="1463"/>
      <c r="Z22" s="1463"/>
      <c r="AA22" s="1463"/>
      <c r="AB22" s="1463"/>
      <c r="AC22" s="1463"/>
      <c r="AD22" s="1463"/>
      <c r="AE22" s="1463"/>
      <c r="AF22" s="1463"/>
      <c r="AG22" s="1463"/>
      <c r="AH22" s="1463"/>
      <c r="AI22" s="1463"/>
      <c r="AJ22" s="1463"/>
      <c r="AK22" s="1463"/>
      <c r="AL22" s="1463"/>
      <c r="AM22" s="1463"/>
      <c r="AN22" s="1463"/>
      <c r="AO22" s="1463"/>
      <c r="AP22" s="1463"/>
      <c r="AQ22" s="1463"/>
      <c r="AR22" s="1463"/>
      <c r="AS22" s="1463"/>
      <c r="AT22" s="1463"/>
      <c r="AU22" s="1463"/>
      <c r="AV22" s="1463"/>
      <c r="AW22" s="1463"/>
      <c r="AX22" s="1463"/>
      <c r="AY22" s="1463"/>
      <c r="AZ22" s="1463"/>
      <c r="BA22" s="1463"/>
      <c r="BB22" s="1463"/>
      <c r="BC22" s="1463"/>
      <c r="BD22" s="1463"/>
      <c r="BE22" s="1463"/>
      <c r="BF22" s="1463"/>
      <c r="BG22" s="1463"/>
      <c r="BH22" s="1463"/>
      <c r="BI22" s="1463"/>
      <c r="BJ22" s="1463"/>
      <c r="BK22" s="1463"/>
      <c r="BL22" s="1463"/>
      <c r="BM22" s="1463"/>
      <c r="BN22" s="1463"/>
      <c r="BO22" s="1463"/>
      <c r="BP22" s="1463"/>
      <c r="BQ22" s="1463"/>
      <c r="BR22" s="1463"/>
      <c r="BS22" s="1463"/>
      <c r="BT22" s="1463"/>
      <c r="BU22" s="1463"/>
      <c r="BV22" s="1463"/>
      <c r="BW22" s="1463"/>
      <c r="BX22" s="1463"/>
      <c r="BY22" s="1463"/>
      <c r="BZ22" s="1463"/>
      <c r="CA22" s="1463"/>
      <c r="CB22" s="1463"/>
      <c r="CC22" s="1463"/>
      <c r="CD22" s="1463"/>
      <c r="CE22" s="1463"/>
      <c r="CF22" s="1463"/>
      <c r="CG22" s="1463"/>
      <c r="CH22" s="1463"/>
      <c r="CI22" s="1463"/>
      <c r="CJ22" s="1463"/>
      <c r="CK22" s="1463"/>
      <c r="CL22" s="1463"/>
      <c r="CM22" s="1463"/>
      <c r="CN22" s="1463"/>
      <c r="CO22" s="1463"/>
      <c r="CP22" s="1463"/>
      <c r="CQ22" s="1463"/>
      <c r="CR22" s="1463"/>
      <c r="CS22" s="1463"/>
      <c r="CT22" s="1463"/>
      <c r="CU22" s="1463"/>
      <c r="CV22" s="1463"/>
      <c r="CW22" s="1463"/>
      <c r="CX22" s="1463"/>
      <c r="CY22" s="1463"/>
      <c r="CZ22" s="1463"/>
      <c r="DA22" s="1463"/>
      <c r="DB22" s="1463"/>
      <c r="DC22" s="1463"/>
      <c r="DD22" s="1463"/>
      <c r="DE22" s="1463"/>
      <c r="DF22" s="1463"/>
      <c r="DG22" s="1463"/>
      <c r="DH22" s="1463"/>
      <c r="DI22" s="1463"/>
      <c r="DJ22" s="1463"/>
      <c r="DK22" s="1463"/>
      <c r="DL22" s="1463"/>
      <c r="DM22" s="1463"/>
      <c r="DN22" s="1463"/>
      <c r="DO22" s="1463"/>
      <c r="DP22" s="1463"/>
      <c r="DQ22" s="1463"/>
      <c r="DR22" s="1463"/>
      <c r="DS22" s="1463"/>
      <c r="DT22" s="1463"/>
      <c r="DU22" s="1463"/>
      <c r="DV22" s="1463"/>
      <c r="DW22" s="1463"/>
      <c r="DX22" s="1463"/>
      <c r="DY22" s="1463"/>
      <c r="DZ22" s="1463"/>
      <c r="EA22" s="1463"/>
      <c r="EB22" s="1463"/>
      <c r="EC22" s="1463"/>
      <c r="ED22" s="1463"/>
      <c r="EE22" s="1463"/>
      <c r="EF22" s="1463"/>
      <c r="EG22" s="1463"/>
      <c r="EH22" s="1463"/>
      <c r="EI22" s="1463"/>
      <c r="EJ22" s="1463"/>
      <c r="EK22" s="1463"/>
      <c r="EL22" s="1463"/>
      <c r="EM22" s="1463"/>
      <c r="EN22" s="1463"/>
      <c r="EO22" s="1463"/>
      <c r="EP22" s="1463"/>
      <c r="EQ22" s="1463"/>
      <c r="ER22" s="1463"/>
      <c r="ES22" s="1463"/>
      <c r="ET22" s="1463"/>
      <c r="EU22" s="1463"/>
      <c r="EV22" s="1463"/>
      <c r="EW22" s="1463"/>
      <c r="EX22" s="1463"/>
      <c r="EY22" s="1463"/>
      <c r="EZ22" s="1463"/>
      <c r="FA22" s="1463"/>
      <c r="FB22" s="1463"/>
      <c r="FC22" s="1463"/>
      <c r="FD22" s="1463"/>
      <c r="FE22" s="1463"/>
      <c r="FF22" s="1463"/>
      <c r="FG22" s="1463"/>
      <c r="FH22" s="1463"/>
      <c r="FI22" s="1463"/>
      <c r="FJ22" s="1463"/>
      <c r="FK22" s="1463"/>
      <c r="FL22" s="1463"/>
      <c r="FM22" s="1463"/>
      <c r="FN22" s="1463"/>
      <c r="FO22" s="1463"/>
      <c r="FP22" s="1463"/>
      <c r="FQ22" s="1463"/>
      <c r="FR22" s="1463"/>
      <c r="FS22" s="1463"/>
      <c r="FT22" s="1463"/>
      <c r="FU22" s="1463"/>
      <c r="FV22" s="1463"/>
      <c r="FW22" s="1463"/>
      <c r="FX22" s="1463"/>
      <c r="FY22" s="1463"/>
      <c r="FZ22" s="1463"/>
      <c r="GA22" s="1463"/>
      <c r="GB22" s="1463"/>
      <c r="GC22" s="1463"/>
      <c r="GD22" s="1463"/>
      <c r="GE22" s="1463"/>
      <c r="GF22" s="1463"/>
      <c r="GG22" s="1463"/>
      <c r="GH22" s="1463"/>
      <c r="GI22" s="1463"/>
      <c r="GJ22" s="1463"/>
      <c r="GK22" s="1463"/>
      <c r="GL22" s="1463"/>
      <c r="GM22" s="1463"/>
      <c r="GN22" s="1463"/>
      <c r="GO22" s="1463"/>
      <c r="GP22" s="1463"/>
      <c r="GQ22" s="1463"/>
      <c r="GR22" s="1463"/>
      <c r="GS22" s="1463"/>
      <c r="GT22" s="1463"/>
      <c r="GU22" s="1463"/>
      <c r="GV22" s="1463"/>
      <c r="GW22" s="1463"/>
      <c r="GX22" s="1463"/>
      <c r="GY22" s="1463"/>
      <c r="GZ22" s="1463"/>
      <c r="HA22" s="1463"/>
      <c r="HB22" s="1463"/>
      <c r="HC22" s="1463"/>
      <c r="HD22" s="1463"/>
      <c r="HE22" s="1463"/>
      <c r="HF22" s="1463"/>
      <c r="HG22" s="1463"/>
      <c r="HH22" s="1463"/>
      <c r="HI22" s="1463"/>
      <c r="HJ22" s="1463"/>
      <c r="HK22" s="1463"/>
      <c r="HL22" s="1463"/>
      <c r="HM22" s="1463"/>
      <c r="HN22" s="1463"/>
      <c r="HO22" s="1463"/>
      <c r="HP22" s="1463"/>
      <c r="HQ22" s="1463"/>
      <c r="HR22" s="1463"/>
      <c r="HS22" s="1463"/>
      <c r="HT22" s="1463"/>
    </row>
    <row r="23" spans="1:228">
      <c r="A23" s="1360"/>
      <c r="B23" s="1367"/>
      <c r="C23" s="1476"/>
      <c r="D23" s="1361"/>
      <c r="E23" s="1367" t="s">
        <v>3531</v>
      </c>
      <c r="F23" s="1446"/>
      <c r="G23" s="1446"/>
      <c r="H23" s="1446"/>
      <c r="I23" s="1818">
        <v>-450000</v>
      </c>
      <c r="J23" s="1818">
        <v>3055849.0566037735</v>
      </c>
      <c r="K23" s="1818">
        <v>15931428.571428573</v>
      </c>
      <c r="L23" s="1818">
        <v>5249877.2478843629</v>
      </c>
      <c r="M23" s="1818">
        <v>4876891.4956011735</v>
      </c>
      <c r="N23" s="1818">
        <v>-1230000</v>
      </c>
      <c r="O23" s="1818">
        <v>2190000</v>
      </c>
      <c r="P23" s="1818">
        <v>-11564864.864864865</v>
      </c>
      <c r="Q23" s="1818">
        <v>4027092.1985815596</v>
      </c>
      <c r="R23" s="1818">
        <v>6134814.8148148153</v>
      </c>
      <c r="S23" s="1818">
        <v>3482930.5912596402</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c r="AT23" s="1463"/>
      <c r="AU23" s="1463"/>
      <c r="AV23" s="1463"/>
      <c r="AW23" s="1463"/>
      <c r="AX23" s="1463"/>
      <c r="AY23" s="1463"/>
      <c r="AZ23" s="1463"/>
      <c r="BA23" s="1463"/>
      <c r="BB23" s="1463"/>
      <c r="BC23" s="1463"/>
      <c r="BD23" s="1463"/>
      <c r="BE23" s="1463"/>
      <c r="BF23" s="1463"/>
      <c r="BG23" s="1463"/>
      <c r="BH23" s="1463"/>
      <c r="BI23" s="1463"/>
      <c r="BJ23" s="1463"/>
      <c r="BK23" s="1463"/>
      <c r="BL23" s="1463"/>
      <c r="BM23" s="1463"/>
      <c r="BN23" s="1463"/>
      <c r="BO23" s="1463"/>
      <c r="BP23" s="1463"/>
      <c r="BQ23" s="1463"/>
      <c r="BR23" s="1463"/>
      <c r="BS23" s="1463"/>
      <c r="BT23" s="1463"/>
      <c r="BU23" s="1463"/>
      <c r="BV23" s="1463"/>
      <c r="BW23" s="1463"/>
      <c r="BX23" s="1463"/>
      <c r="BY23" s="1463"/>
      <c r="BZ23" s="1463"/>
      <c r="CA23" s="1463"/>
      <c r="CB23" s="1463"/>
      <c r="CC23" s="1463"/>
      <c r="CD23" s="1463"/>
      <c r="CE23" s="1463"/>
      <c r="CF23" s="1463"/>
      <c r="CG23" s="1463"/>
      <c r="CH23" s="1463"/>
      <c r="CI23" s="1463"/>
      <c r="CJ23" s="1463"/>
      <c r="CK23" s="1463"/>
      <c r="CL23" s="1463"/>
      <c r="CM23" s="1463"/>
      <c r="CN23" s="1463"/>
      <c r="CO23" s="1463"/>
      <c r="CP23" s="1463"/>
      <c r="CQ23" s="1463"/>
      <c r="CR23" s="1463"/>
      <c r="CS23" s="1463"/>
      <c r="CT23" s="1463"/>
      <c r="CU23" s="1463"/>
      <c r="CV23" s="1463"/>
      <c r="CW23" s="1463"/>
      <c r="CX23" s="1463"/>
      <c r="CY23" s="1463"/>
      <c r="CZ23" s="1463"/>
      <c r="DA23" s="1463"/>
      <c r="DB23" s="1463"/>
      <c r="DC23" s="1463"/>
      <c r="DD23" s="1463"/>
      <c r="DE23" s="1463"/>
      <c r="DF23" s="1463"/>
      <c r="DG23" s="1463"/>
      <c r="DH23" s="1463"/>
      <c r="DI23" s="1463"/>
      <c r="DJ23" s="1463"/>
      <c r="DK23" s="1463"/>
      <c r="DL23" s="1463"/>
      <c r="DM23" s="1463"/>
      <c r="DN23" s="1463"/>
      <c r="DO23" s="1463"/>
      <c r="DP23" s="1463"/>
      <c r="DQ23" s="1463"/>
      <c r="DR23" s="1463"/>
      <c r="DS23" s="1463"/>
      <c r="DT23" s="1463"/>
      <c r="DU23" s="1463"/>
      <c r="DV23" s="1463"/>
      <c r="DW23" s="1463"/>
      <c r="DX23" s="1463"/>
      <c r="DY23" s="1463"/>
      <c r="DZ23" s="1463"/>
      <c r="EA23" s="1463"/>
      <c r="EB23" s="1463"/>
      <c r="EC23" s="1463"/>
      <c r="ED23" s="1463"/>
      <c r="EE23" s="1463"/>
      <c r="EF23" s="1463"/>
      <c r="EG23" s="1463"/>
      <c r="EH23" s="1463"/>
      <c r="EI23" s="1463"/>
      <c r="EJ23" s="1463"/>
      <c r="EK23" s="1463"/>
      <c r="EL23" s="1463"/>
      <c r="EM23" s="1463"/>
      <c r="EN23" s="1463"/>
      <c r="EO23" s="1463"/>
      <c r="EP23" s="1463"/>
      <c r="EQ23" s="1463"/>
      <c r="ER23" s="1463"/>
      <c r="ES23" s="1463"/>
      <c r="ET23" s="1463"/>
      <c r="EU23" s="1463"/>
      <c r="EV23" s="1463"/>
      <c r="EW23" s="1463"/>
      <c r="EX23" s="1463"/>
      <c r="EY23" s="1463"/>
      <c r="EZ23" s="1463"/>
      <c r="FA23" s="1463"/>
      <c r="FB23" s="1463"/>
      <c r="FC23" s="1463"/>
      <c r="FD23" s="1463"/>
      <c r="FE23" s="1463"/>
      <c r="FF23" s="1463"/>
      <c r="FG23" s="1463"/>
      <c r="FH23" s="1463"/>
      <c r="FI23" s="1463"/>
      <c r="FJ23" s="1463"/>
      <c r="FK23" s="1463"/>
      <c r="FL23" s="1463"/>
      <c r="FM23" s="1463"/>
      <c r="FN23" s="1463"/>
      <c r="FO23" s="1463"/>
      <c r="FP23" s="1463"/>
      <c r="FQ23" s="1463"/>
      <c r="FR23" s="1463"/>
      <c r="FS23" s="1463"/>
      <c r="FT23" s="1463"/>
      <c r="FU23" s="1463"/>
      <c r="FV23" s="1463"/>
      <c r="FW23" s="1463"/>
      <c r="FX23" s="1463"/>
      <c r="FY23" s="1463"/>
      <c r="FZ23" s="1463"/>
      <c r="GA23" s="1463"/>
      <c r="GB23" s="1463"/>
      <c r="GC23" s="1463"/>
      <c r="GD23" s="1463"/>
      <c r="GE23" s="1463"/>
      <c r="GF23" s="1463"/>
      <c r="GG23" s="1463"/>
      <c r="GH23" s="1463"/>
      <c r="GI23" s="1463"/>
      <c r="GJ23" s="1463"/>
      <c r="GK23" s="1463"/>
      <c r="GL23" s="1463"/>
      <c r="GM23" s="1463"/>
      <c r="GN23" s="1463"/>
      <c r="GO23" s="1463"/>
      <c r="GP23" s="1463"/>
      <c r="GQ23" s="1463"/>
      <c r="GR23" s="1463"/>
      <c r="GS23" s="1463"/>
      <c r="GT23" s="1463"/>
      <c r="GU23" s="1463"/>
      <c r="GV23" s="1463"/>
      <c r="GW23" s="1463"/>
      <c r="GX23" s="1463"/>
      <c r="GY23" s="1463"/>
      <c r="GZ23" s="1463"/>
      <c r="HA23" s="1463"/>
      <c r="HB23" s="1463"/>
      <c r="HC23" s="1463"/>
      <c r="HD23" s="1463"/>
      <c r="HE23" s="1463"/>
      <c r="HF23" s="1463"/>
      <c r="HG23" s="1463"/>
      <c r="HH23" s="1463"/>
      <c r="HI23" s="1463"/>
      <c r="HJ23" s="1463"/>
      <c r="HK23" s="1463"/>
      <c r="HL23" s="1463"/>
      <c r="HM23" s="1463"/>
      <c r="HN23" s="1463"/>
      <c r="HO23" s="1463"/>
      <c r="HP23" s="1463"/>
      <c r="HQ23" s="1463"/>
      <c r="HR23" s="1463"/>
      <c r="HS23" s="1463"/>
      <c r="HT23" s="1463"/>
    </row>
    <row r="24" spans="1:228">
      <c r="A24" s="1360"/>
      <c r="B24" s="1367"/>
      <c r="C24" s="1476">
        <f>+MAX($C$10:C23)+1</f>
        <v>12</v>
      </c>
      <c r="D24" s="1809" t="s">
        <v>2236</v>
      </c>
      <c r="E24" s="1446"/>
      <c r="F24" s="1810"/>
      <c r="G24" s="1466"/>
      <c r="H24" s="1466"/>
      <c r="I24" s="1466"/>
      <c r="J24" s="1466"/>
      <c r="K24" s="1466"/>
      <c r="L24" s="1466"/>
      <c r="M24" s="1466"/>
      <c r="N24" s="1466"/>
      <c r="O24" s="1466"/>
      <c r="P24" s="1466"/>
      <c r="Q24" s="1466"/>
      <c r="R24" s="1466"/>
      <c r="S24" s="1466"/>
      <c r="AH24" s="1811"/>
      <c r="AI24" s="1463"/>
      <c r="AJ24" s="1463"/>
      <c r="AK24" s="1463"/>
      <c r="AL24" s="1463"/>
      <c r="AM24" s="1463"/>
      <c r="AN24" s="1463"/>
      <c r="AO24" s="1463"/>
      <c r="AP24" s="1463"/>
      <c r="AQ24" s="1463"/>
      <c r="AR24" s="1463"/>
      <c r="AS24" s="1463"/>
      <c r="AT24" s="1463"/>
      <c r="AU24" s="1463"/>
      <c r="AV24" s="1463"/>
      <c r="AW24" s="1463"/>
      <c r="AX24" s="1463"/>
      <c r="AY24" s="1463"/>
      <c r="AZ24" s="1463"/>
      <c r="BA24" s="1463"/>
      <c r="BB24" s="1463"/>
      <c r="BC24" s="1463"/>
      <c r="BD24" s="1463"/>
      <c r="BE24" s="1463"/>
      <c r="BF24" s="1463"/>
      <c r="BG24" s="1463"/>
      <c r="BH24" s="1463"/>
      <c r="BI24" s="1463"/>
      <c r="BJ24" s="1463"/>
      <c r="BK24" s="1463"/>
      <c r="BL24" s="1463"/>
      <c r="BM24" s="1463"/>
      <c r="BN24" s="1463"/>
      <c r="BO24" s="1463"/>
      <c r="BP24" s="1463"/>
      <c r="BQ24" s="1463"/>
      <c r="BR24" s="1463"/>
      <c r="BS24" s="1463"/>
      <c r="BT24" s="1463"/>
      <c r="BU24" s="1463"/>
      <c r="BV24" s="1463"/>
      <c r="BW24" s="1463"/>
      <c r="BX24" s="1463"/>
      <c r="BY24" s="1463"/>
      <c r="BZ24" s="1463"/>
      <c r="CA24" s="1463"/>
      <c r="CB24" s="1463"/>
      <c r="CC24" s="1463"/>
      <c r="CD24" s="1463"/>
      <c r="CE24" s="1463"/>
      <c r="CF24" s="1463"/>
      <c r="CG24" s="1463"/>
      <c r="CH24" s="1463"/>
      <c r="CI24" s="1463"/>
      <c r="CJ24" s="1463"/>
      <c r="CK24" s="1463"/>
      <c r="CL24" s="1463"/>
      <c r="CM24" s="1463"/>
      <c r="CN24" s="1463"/>
      <c r="CO24" s="1463"/>
      <c r="CP24" s="1463"/>
      <c r="CQ24" s="1463"/>
      <c r="CR24" s="1463"/>
      <c r="CS24" s="1463"/>
      <c r="CT24" s="1463"/>
      <c r="CU24" s="1463"/>
      <c r="CV24" s="1463"/>
      <c r="CW24" s="1463"/>
      <c r="CX24" s="1463"/>
      <c r="CY24" s="1463"/>
      <c r="CZ24" s="1463"/>
      <c r="DA24" s="1463"/>
      <c r="DB24" s="1463"/>
      <c r="DC24" s="1463"/>
      <c r="DD24" s="1463"/>
      <c r="DE24" s="1463"/>
      <c r="DF24" s="1463"/>
      <c r="DG24" s="1463"/>
      <c r="DH24" s="1463"/>
      <c r="DI24" s="1463"/>
      <c r="DJ24" s="1463"/>
      <c r="DK24" s="1463"/>
      <c r="DL24" s="1463"/>
      <c r="DM24" s="1463"/>
      <c r="DN24" s="1463"/>
      <c r="DO24" s="1463"/>
      <c r="DP24" s="1463"/>
      <c r="DQ24" s="1463"/>
      <c r="DR24" s="1463"/>
      <c r="DS24" s="1463"/>
      <c r="DT24" s="1463"/>
      <c r="DU24" s="1463"/>
      <c r="DV24" s="1463"/>
      <c r="DW24" s="1463"/>
      <c r="DX24" s="1463"/>
      <c r="DY24" s="1463"/>
      <c r="DZ24" s="1463"/>
      <c r="EA24" s="1463"/>
      <c r="EB24" s="1463"/>
      <c r="EC24" s="1463"/>
      <c r="ED24" s="1463"/>
      <c r="EE24" s="1463"/>
      <c r="EF24" s="1463"/>
      <c r="EG24" s="1463"/>
      <c r="EH24" s="1463"/>
      <c r="EI24" s="1463"/>
      <c r="EJ24" s="1463"/>
      <c r="EK24" s="1463"/>
      <c r="EL24" s="1463"/>
      <c r="EM24" s="1463"/>
      <c r="EN24" s="1463"/>
      <c r="EO24" s="1463"/>
      <c r="EP24" s="1463"/>
      <c r="EQ24" s="1463"/>
      <c r="ER24" s="1463"/>
      <c r="ES24" s="1463"/>
      <c r="ET24" s="1463"/>
      <c r="EU24" s="1463"/>
      <c r="EV24" s="1463"/>
      <c r="EW24" s="1463"/>
      <c r="EX24" s="1463"/>
      <c r="EY24" s="1463"/>
      <c r="EZ24" s="1463"/>
      <c r="FA24" s="1463"/>
      <c r="FB24" s="1463"/>
      <c r="FC24" s="1463"/>
      <c r="FD24" s="1463"/>
      <c r="FE24" s="1463"/>
      <c r="FF24" s="1463"/>
      <c r="FG24" s="1463"/>
      <c r="FH24" s="1463"/>
      <c r="FI24" s="1463"/>
      <c r="FJ24" s="1463"/>
      <c r="FK24" s="1463"/>
      <c r="FL24" s="1463"/>
      <c r="FM24" s="1463"/>
      <c r="FN24" s="1463"/>
      <c r="FO24" s="1463"/>
      <c r="FP24" s="1463"/>
      <c r="FQ24" s="1463"/>
      <c r="FR24" s="1463"/>
      <c r="FS24" s="1463"/>
      <c r="FT24" s="1463"/>
      <c r="FU24" s="1463"/>
      <c r="FV24" s="1463"/>
      <c r="FW24" s="1463"/>
      <c r="FX24" s="1463"/>
      <c r="FY24" s="1463"/>
      <c r="FZ24" s="1463"/>
      <c r="GA24" s="1463"/>
      <c r="GB24" s="1463"/>
      <c r="GC24" s="1463"/>
      <c r="GD24" s="1463"/>
      <c r="GE24" s="1463"/>
      <c r="GF24" s="1463"/>
      <c r="GG24" s="1463"/>
      <c r="GH24" s="1463"/>
      <c r="GI24" s="1463"/>
      <c r="GJ24" s="1463"/>
      <c r="GK24" s="1463"/>
      <c r="GL24" s="1463"/>
      <c r="GM24" s="1463"/>
      <c r="GN24" s="1463"/>
      <c r="GO24" s="1463"/>
      <c r="GP24" s="1463"/>
      <c r="GQ24" s="1463"/>
      <c r="GR24" s="1463"/>
      <c r="GS24" s="1463"/>
      <c r="GT24" s="1463"/>
      <c r="GU24" s="1463"/>
      <c r="GV24" s="1463"/>
      <c r="GW24" s="1463"/>
      <c r="GX24" s="1463"/>
      <c r="GY24" s="1463"/>
      <c r="GZ24" s="1463"/>
      <c r="HA24" s="1463"/>
      <c r="HB24" s="1463"/>
      <c r="HC24" s="1463"/>
      <c r="HD24" s="1463"/>
      <c r="HE24" s="1463"/>
      <c r="HF24" s="1463"/>
      <c r="HG24" s="1463"/>
      <c r="HH24" s="1463"/>
      <c r="HI24" s="1463"/>
      <c r="HJ24" s="1463"/>
      <c r="HK24" s="1463"/>
      <c r="HL24" s="1463"/>
      <c r="HM24" s="1463"/>
      <c r="HN24" s="1463"/>
      <c r="HO24" s="1463"/>
      <c r="HP24" s="1463"/>
      <c r="HQ24" s="1463"/>
      <c r="HR24" s="1463"/>
      <c r="HS24" s="1463"/>
      <c r="HT24" s="1463"/>
    </row>
    <row r="25" spans="1:228">
      <c r="A25" s="1360"/>
      <c r="B25" s="1367"/>
      <c r="C25" s="1476">
        <f>+MAX($C$10:C24)+1</f>
        <v>13</v>
      </c>
      <c r="D25" s="1361" t="s">
        <v>2194</v>
      </c>
      <c r="E25" s="1446"/>
      <c r="F25" s="1810"/>
      <c r="G25" s="2533">
        <v>0.64610518077282153</v>
      </c>
      <c r="H25" s="2533">
        <v>0.68269305963471194</v>
      </c>
      <c r="I25" s="2533">
        <v>0.74382279297606857</v>
      </c>
      <c r="J25" s="2533">
        <v>0.75704044216787081</v>
      </c>
      <c r="K25" s="2533">
        <v>0.77475842531519368</v>
      </c>
      <c r="L25" s="2533">
        <v>0.80868879366566926</v>
      </c>
      <c r="M25" s="2533">
        <v>0.84090722003734786</v>
      </c>
      <c r="N25" s="2533">
        <v>0.87106520140927557</v>
      </c>
      <c r="O25" s="2533">
        <v>0.88818936653107472</v>
      </c>
      <c r="P25" s="2533">
        <v>0.90603953842288554</v>
      </c>
      <c r="Q25" s="2533">
        <v>0.92465512109575732</v>
      </c>
      <c r="R25" s="2533">
        <v>0.92470000000000008</v>
      </c>
      <c r="S25" s="2533">
        <v>0.92470000000000008</v>
      </c>
      <c r="T25" s="1811"/>
      <c r="U25" s="1811"/>
      <c r="V25" s="1811"/>
      <c r="W25" s="1811"/>
      <c r="X25" s="1811"/>
      <c r="Y25" s="1811"/>
      <c r="Z25" s="1811"/>
      <c r="AA25" s="1811"/>
      <c r="AB25" s="1811"/>
      <c r="AC25" s="1811"/>
      <c r="AD25" s="1811"/>
      <c r="AE25" s="1811"/>
      <c r="AF25" s="1811"/>
      <c r="AG25" s="1811"/>
      <c r="AH25" s="1463"/>
      <c r="AI25" s="1463"/>
      <c r="AJ25" s="1463"/>
      <c r="AK25" s="1463"/>
      <c r="AL25" s="1463"/>
      <c r="AM25" s="1463"/>
      <c r="AN25" s="1463"/>
      <c r="AO25" s="1463"/>
      <c r="AP25" s="1463"/>
      <c r="AQ25" s="1463"/>
      <c r="AR25" s="1463"/>
      <c r="AS25" s="1463"/>
      <c r="AT25" s="1463"/>
      <c r="AU25" s="1463"/>
      <c r="AV25" s="1463"/>
      <c r="AW25" s="1463"/>
      <c r="AX25" s="1463"/>
      <c r="AY25" s="1463"/>
      <c r="AZ25" s="1463"/>
      <c r="BA25" s="1463"/>
      <c r="BB25" s="1463"/>
      <c r="BC25" s="1463"/>
      <c r="BD25" s="1463"/>
      <c r="BE25" s="1463"/>
      <c r="BF25" s="1463"/>
      <c r="BG25" s="1463"/>
      <c r="BH25" s="1463"/>
      <c r="BI25" s="1463"/>
      <c r="BJ25" s="1463"/>
      <c r="BK25" s="1463"/>
      <c r="BL25" s="1463"/>
      <c r="BM25" s="1463"/>
      <c r="BN25" s="1463"/>
      <c r="BO25" s="1463"/>
      <c r="BP25" s="1463"/>
      <c r="BQ25" s="1463"/>
      <c r="BR25" s="1463"/>
      <c r="BS25" s="1463"/>
      <c r="BT25" s="1463"/>
      <c r="BU25" s="1463"/>
      <c r="BV25" s="1463"/>
      <c r="BW25" s="1463"/>
      <c r="BX25" s="1463"/>
      <c r="BY25" s="1463"/>
      <c r="BZ25" s="1463"/>
      <c r="CA25" s="1463"/>
      <c r="CB25" s="1463"/>
      <c r="CC25" s="1463"/>
      <c r="CD25" s="1463"/>
      <c r="CE25" s="1463"/>
      <c r="CF25" s="1463"/>
      <c r="CG25" s="1463"/>
      <c r="CH25" s="1463"/>
      <c r="CI25" s="1463"/>
      <c r="CJ25" s="1463"/>
      <c r="CK25" s="1463"/>
      <c r="CL25" s="1463"/>
      <c r="CM25" s="1463"/>
      <c r="CN25" s="1463"/>
      <c r="CO25" s="1463"/>
      <c r="CP25" s="1463"/>
      <c r="CQ25" s="1463"/>
      <c r="CR25" s="1463"/>
      <c r="CS25" s="1463"/>
      <c r="CT25" s="1463"/>
      <c r="CU25" s="1463"/>
      <c r="CV25" s="1463"/>
      <c r="CW25" s="1463"/>
      <c r="CX25" s="1463"/>
      <c r="CY25" s="1463"/>
      <c r="CZ25" s="1463"/>
      <c r="DA25" s="1463"/>
      <c r="DB25" s="1463"/>
      <c r="DC25" s="1463"/>
      <c r="DD25" s="1463"/>
      <c r="DE25" s="1463"/>
      <c r="DF25" s="1463"/>
      <c r="DG25" s="1463"/>
      <c r="DH25" s="1463"/>
      <c r="DI25" s="1463"/>
      <c r="DJ25" s="1463"/>
      <c r="DK25" s="1463"/>
      <c r="DL25" s="1463"/>
      <c r="DM25" s="1463"/>
      <c r="DN25" s="1463"/>
      <c r="DO25" s="1463"/>
      <c r="DP25" s="1463"/>
      <c r="DQ25" s="1463"/>
      <c r="DR25" s="1463"/>
      <c r="DS25" s="1463"/>
      <c r="DT25" s="1463"/>
      <c r="DU25" s="1463"/>
      <c r="DV25" s="1463"/>
      <c r="DW25" s="1463"/>
      <c r="DX25" s="1463"/>
      <c r="DY25" s="1463"/>
      <c r="DZ25" s="1463"/>
      <c r="EA25" s="1463"/>
      <c r="EB25" s="1463"/>
      <c r="EC25" s="1463"/>
      <c r="ED25" s="1463"/>
      <c r="EE25" s="1463"/>
      <c r="EF25" s="1463"/>
      <c r="EG25" s="1463"/>
      <c r="EH25" s="1463"/>
      <c r="EI25" s="1463"/>
      <c r="EJ25" s="1463"/>
      <c r="EK25" s="1463"/>
      <c r="EL25" s="1463"/>
      <c r="EM25" s="1463"/>
      <c r="EN25" s="1463"/>
      <c r="EO25" s="1463"/>
      <c r="EP25" s="1463"/>
      <c r="EQ25" s="1463"/>
      <c r="ER25" s="1463"/>
      <c r="ES25" s="1463"/>
      <c r="ET25" s="1463"/>
      <c r="EU25" s="1463"/>
      <c r="EV25" s="1463"/>
      <c r="EW25" s="1463"/>
      <c r="EX25" s="1463"/>
      <c r="EY25" s="1463"/>
      <c r="EZ25" s="1463"/>
      <c r="FA25" s="1463"/>
      <c r="FB25" s="1463"/>
      <c r="FC25" s="1463"/>
      <c r="FD25" s="1463"/>
      <c r="FE25" s="1463"/>
      <c r="FF25" s="1463"/>
      <c r="FG25" s="1463"/>
      <c r="FH25" s="1463"/>
      <c r="FI25" s="1463"/>
      <c r="FJ25" s="1463"/>
      <c r="FK25" s="1463"/>
      <c r="FL25" s="1463"/>
      <c r="FM25" s="1463"/>
      <c r="FN25" s="1463"/>
      <c r="FO25" s="1463"/>
      <c r="FP25" s="1463"/>
      <c r="FQ25" s="1463"/>
      <c r="FR25" s="1463"/>
      <c r="FS25" s="1463"/>
      <c r="FT25" s="1463"/>
      <c r="FU25" s="1463"/>
      <c r="FV25" s="1463"/>
      <c r="FW25" s="1463"/>
      <c r="FX25" s="1463"/>
      <c r="FY25" s="1463"/>
      <c r="FZ25" s="1463"/>
      <c r="GA25" s="1463"/>
      <c r="GB25" s="1463"/>
      <c r="GC25" s="1463"/>
      <c r="GD25" s="1463"/>
      <c r="GE25" s="1463"/>
      <c r="GF25" s="1463"/>
      <c r="GG25" s="1463"/>
      <c r="GH25" s="1463"/>
      <c r="GI25" s="1463"/>
      <c r="GJ25" s="1463"/>
      <c r="GK25" s="1463"/>
      <c r="GL25" s="1463"/>
      <c r="GM25" s="1463"/>
      <c r="GN25" s="1463"/>
      <c r="GO25" s="1463"/>
      <c r="GP25" s="1463"/>
      <c r="GQ25" s="1463"/>
      <c r="GR25" s="1463"/>
      <c r="GS25" s="1463"/>
      <c r="GT25" s="1463"/>
      <c r="GU25" s="1463"/>
      <c r="GV25" s="1463"/>
      <c r="GW25" s="1463"/>
      <c r="GX25" s="1463"/>
      <c r="GY25" s="1463"/>
      <c r="GZ25" s="1463"/>
      <c r="HA25" s="1463"/>
      <c r="HB25" s="1463"/>
      <c r="HC25" s="1463"/>
      <c r="HD25" s="1463"/>
      <c r="HE25" s="1463"/>
      <c r="HF25" s="1463"/>
      <c r="HG25" s="1463"/>
      <c r="HH25" s="1463"/>
      <c r="HI25" s="1463"/>
      <c r="HJ25" s="1463"/>
      <c r="HK25" s="1463"/>
      <c r="HL25" s="1463"/>
      <c r="HM25" s="1463"/>
      <c r="HN25" s="1463"/>
      <c r="HO25" s="1463"/>
      <c r="HP25" s="1463"/>
      <c r="HQ25" s="1463"/>
      <c r="HR25" s="1463"/>
      <c r="HS25" s="1463"/>
      <c r="HT25" s="1463"/>
    </row>
    <row r="26" spans="1:228">
      <c r="A26" s="1360"/>
      <c r="B26" s="1367"/>
      <c r="C26" s="1476">
        <f>+MAX($C$10:C25)+1</f>
        <v>14</v>
      </c>
      <c r="D26" s="1361" t="s">
        <v>2187</v>
      </c>
      <c r="E26" s="1446"/>
      <c r="F26" s="1810"/>
      <c r="G26" s="2533">
        <v>0.77</v>
      </c>
      <c r="H26" s="2534">
        <f>G26</f>
        <v>0.77</v>
      </c>
      <c r="I26" s="2534">
        <f>'Debt-PRP'!F35</f>
        <v>0.80906148860226379</v>
      </c>
      <c r="J26" s="2534">
        <f>'Debt-PRP'!G35</f>
        <v>0.80430450487648697</v>
      </c>
      <c r="K26" s="2534">
        <f>'Debt-PRP'!H35</f>
        <v>0.79750804358089988</v>
      </c>
      <c r="L26" s="2534">
        <f>'Debt-PRP'!I35</f>
        <v>0.78267217317982674</v>
      </c>
      <c r="M26" s="2534">
        <f>'Debt-PRP'!J35</f>
        <v>0.7651609797308927</v>
      </c>
      <c r="N26" s="2534">
        <f>'Debt-PRP'!K35</f>
        <v>0.74343789682357375</v>
      </c>
      <c r="O26" s="2534">
        <f>'Debt-PRP'!L35</f>
        <v>0.72715570100639315</v>
      </c>
      <c r="P26" s="2534">
        <f>'Debt-PRP'!M35</f>
        <v>0.70501415441725435</v>
      </c>
      <c r="Q26" s="2534">
        <f>'Debt-PRP'!N35</f>
        <v>0.6722880144943062</v>
      </c>
      <c r="R26" s="2534">
        <f>'Debt-PRP'!O35</f>
        <v>0.67219145321520202</v>
      </c>
      <c r="S26" s="2534">
        <f>'Debt-PRP'!P35</f>
        <v>0.67219145321520202</v>
      </c>
      <c r="T26" s="1811"/>
      <c r="U26" s="1811"/>
      <c r="V26" s="1811"/>
      <c r="W26" s="1811"/>
      <c r="X26" s="1811"/>
      <c r="Y26" s="1811"/>
      <c r="Z26" s="1811"/>
      <c r="AA26" s="1811"/>
      <c r="AB26" s="1811"/>
      <c r="AC26" s="1811"/>
      <c r="AD26" s="1811"/>
      <c r="AE26" s="1811"/>
      <c r="AF26" s="1811"/>
      <c r="AG26" s="1811"/>
      <c r="AH26" s="1463"/>
      <c r="AI26" s="1463"/>
      <c r="AJ26" s="1463"/>
      <c r="AK26" s="1463"/>
      <c r="AL26" s="1463"/>
      <c r="AM26" s="1463"/>
      <c r="AN26" s="1463"/>
      <c r="AO26" s="1463"/>
      <c r="AP26" s="1463"/>
      <c r="AQ26" s="1463"/>
      <c r="AR26" s="1463"/>
      <c r="AS26" s="1463"/>
      <c r="AT26" s="1463"/>
      <c r="AU26" s="1463"/>
      <c r="AV26" s="1463"/>
      <c r="AW26" s="1463"/>
      <c r="AX26" s="1463"/>
      <c r="AY26" s="1463"/>
      <c r="AZ26" s="1463"/>
      <c r="BA26" s="1463"/>
      <c r="BB26" s="1463"/>
      <c r="BC26" s="1463"/>
      <c r="BD26" s="1463"/>
      <c r="BE26" s="1463"/>
      <c r="BF26" s="1463"/>
      <c r="BG26" s="1463"/>
      <c r="BH26" s="1463"/>
      <c r="BI26" s="1463"/>
      <c r="BJ26" s="1463"/>
      <c r="BK26" s="1463"/>
      <c r="BL26" s="1463"/>
      <c r="BM26" s="1463"/>
      <c r="BN26" s="1463"/>
      <c r="BO26" s="1463"/>
      <c r="BP26" s="1463"/>
      <c r="BQ26" s="1463"/>
      <c r="BR26" s="1463"/>
      <c r="BS26" s="1463"/>
      <c r="BT26" s="1463"/>
      <c r="BU26" s="1463"/>
      <c r="BV26" s="1463"/>
      <c r="BW26" s="1463"/>
      <c r="BX26" s="1463"/>
      <c r="BY26" s="1463"/>
      <c r="BZ26" s="1463"/>
      <c r="CA26" s="1463"/>
      <c r="CB26" s="1463"/>
      <c r="CC26" s="1463"/>
      <c r="CD26" s="1463"/>
      <c r="CE26" s="1463"/>
      <c r="CF26" s="1463"/>
      <c r="CG26" s="1463"/>
      <c r="CH26" s="1463"/>
      <c r="CI26" s="1463"/>
      <c r="CJ26" s="1463"/>
      <c r="CK26" s="1463"/>
      <c r="CL26" s="1463"/>
      <c r="CM26" s="1463"/>
      <c r="CN26" s="1463"/>
      <c r="CO26" s="1463"/>
      <c r="CP26" s="1463"/>
      <c r="CQ26" s="1463"/>
      <c r="CR26" s="1463"/>
      <c r="CS26" s="1463"/>
      <c r="CT26" s="1463"/>
      <c r="CU26" s="1463"/>
      <c r="CV26" s="1463"/>
      <c r="CW26" s="1463"/>
      <c r="CX26" s="1463"/>
      <c r="CY26" s="1463"/>
      <c r="CZ26" s="1463"/>
      <c r="DA26" s="1463"/>
      <c r="DB26" s="1463"/>
      <c r="DC26" s="1463"/>
      <c r="DD26" s="1463"/>
      <c r="DE26" s="1463"/>
      <c r="DF26" s="1463"/>
      <c r="DG26" s="1463"/>
      <c r="DH26" s="1463"/>
      <c r="DI26" s="1463"/>
      <c r="DJ26" s="1463"/>
      <c r="DK26" s="1463"/>
      <c r="DL26" s="1463"/>
      <c r="DM26" s="1463"/>
      <c r="DN26" s="1463"/>
      <c r="DO26" s="1463"/>
      <c r="DP26" s="1463"/>
      <c r="DQ26" s="1463"/>
      <c r="DR26" s="1463"/>
      <c r="DS26" s="1463"/>
      <c r="DT26" s="1463"/>
      <c r="DU26" s="1463"/>
      <c r="DV26" s="1463"/>
      <c r="DW26" s="1463"/>
      <c r="DX26" s="1463"/>
      <c r="DY26" s="1463"/>
      <c r="DZ26" s="1463"/>
      <c r="EA26" s="1463"/>
      <c r="EB26" s="1463"/>
      <c r="EC26" s="1463"/>
      <c r="ED26" s="1463"/>
      <c r="EE26" s="1463"/>
      <c r="EF26" s="1463"/>
      <c r="EG26" s="1463"/>
      <c r="EH26" s="1463"/>
      <c r="EI26" s="1463"/>
      <c r="EJ26" s="1463"/>
      <c r="EK26" s="1463"/>
      <c r="EL26" s="1463"/>
      <c r="EM26" s="1463"/>
      <c r="EN26" s="1463"/>
      <c r="EO26" s="1463"/>
      <c r="EP26" s="1463"/>
      <c r="EQ26" s="1463"/>
      <c r="ER26" s="1463"/>
      <c r="ES26" s="1463"/>
      <c r="ET26" s="1463"/>
      <c r="EU26" s="1463"/>
      <c r="EV26" s="1463"/>
      <c r="EW26" s="1463"/>
      <c r="EX26" s="1463"/>
      <c r="EY26" s="1463"/>
      <c r="EZ26" s="1463"/>
      <c r="FA26" s="1463"/>
      <c r="FB26" s="1463"/>
      <c r="FC26" s="1463"/>
      <c r="FD26" s="1463"/>
      <c r="FE26" s="1463"/>
      <c r="FF26" s="1463"/>
      <c r="FG26" s="1463"/>
      <c r="FH26" s="1463"/>
      <c r="FI26" s="1463"/>
      <c r="FJ26" s="1463"/>
      <c r="FK26" s="1463"/>
      <c r="FL26" s="1463"/>
      <c r="FM26" s="1463"/>
      <c r="FN26" s="1463"/>
      <c r="FO26" s="1463"/>
      <c r="FP26" s="1463"/>
      <c r="FQ26" s="1463"/>
      <c r="FR26" s="1463"/>
      <c r="FS26" s="1463"/>
      <c r="FT26" s="1463"/>
      <c r="FU26" s="1463"/>
      <c r="FV26" s="1463"/>
      <c r="FW26" s="1463"/>
      <c r="FX26" s="1463"/>
      <c r="FY26" s="1463"/>
      <c r="FZ26" s="1463"/>
      <c r="GA26" s="1463"/>
      <c r="GB26" s="1463"/>
      <c r="GC26" s="1463"/>
      <c r="GD26" s="1463"/>
      <c r="GE26" s="1463"/>
      <c r="GF26" s="1463"/>
      <c r="GG26" s="1463"/>
      <c r="GH26" s="1463"/>
      <c r="GI26" s="1463"/>
      <c r="GJ26" s="1463"/>
      <c r="GK26" s="1463"/>
      <c r="GL26" s="1463"/>
      <c r="GM26" s="1463"/>
      <c r="GN26" s="1463"/>
      <c r="GO26" s="1463"/>
      <c r="GP26" s="1463"/>
      <c r="GQ26" s="1463"/>
      <c r="GR26" s="1463"/>
      <c r="GS26" s="1463"/>
      <c r="GT26" s="1463"/>
      <c r="GU26" s="1463"/>
      <c r="GV26" s="1463"/>
      <c r="GW26" s="1463"/>
      <c r="GX26" s="1463"/>
      <c r="GY26" s="1463"/>
      <c r="GZ26" s="1463"/>
      <c r="HA26" s="1463"/>
      <c r="HB26" s="1463"/>
      <c r="HC26" s="1463"/>
      <c r="HD26" s="1463"/>
      <c r="HE26" s="1463"/>
      <c r="HF26" s="1463"/>
      <c r="HG26" s="1463"/>
      <c r="HH26" s="1463"/>
      <c r="HI26" s="1463"/>
      <c r="HJ26" s="1463"/>
      <c r="HK26" s="1463"/>
      <c r="HL26" s="1463"/>
      <c r="HM26" s="1463"/>
      <c r="HN26" s="1463"/>
      <c r="HO26" s="1463"/>
      <c r="HP26" s="1463"/>
      <c r="HQ26" s="1463"/>
      <c r="HR26" s="1463"/>
      <c r="HS26" s="1463"/>
      <c r="HT26" s="1463"/>
    </row>
    <row r="27" spans="1:228">
      <c r="A27" s="1360"/>
      <c r="B27" s="1367"/>
      <c r="C27" s="1476"/>
      <c r="D27" s="1367"/>
      <c r="E27" s="1446"/>
      <c r="F27" s="1810"/>
      <c r="G27" s="1446"/>
      <c r="H27" s="1446"/>
      <c r="I27" s="1446"/>
      <c r="J27" s="1446"/>
      <c r="K27" s="1446"/>
      <c r="L27" s="1446"/>
      <c r="M27" s="1446"/>
      <c r="N27" s="1446"/>
      <c r="O27" s="1446"/>
      <c r="P27" s="1446"/>
      <c r="Q27" s="1446"/>
      <c r="R27" s="1446"/>
      <c r="S27" s="1446"/>
      <c r="T27" s="1463"/>
      <c r="U27" s="1463"/>
      <c r="V27" s="1463"/>
      <c r="W27" s="1463"/>
      <c r="X27" s="1463"/>
      <c r="Y27" s="1463"/>
      <c r="Z27" s="1463"/>
      <c r="AA27" s="1463"/>
      <c r="AB27" s="1463"/>
      <c r="AC27" s="1463"/>
      <c r="AD27" s="1463"/>
      <c r="AE27" s="1463"/>
      <c r="AF27" s="1463"/>
      <c r="AG27" s="1463"/>
      <c r="AH27" s="1463"/>
      <c r="AI27" s="1463"/>
      <c r="AJ27" s="1463"/>
      <c r="AK27" s="1463"/>
      <c r="AL27" s="1463"/>
      <c r="AM27" s="1463"/>
      <c r="AN27" s="1463"/>
      <c r="AO27" s="1463"/>
      <c r="AP27" s="1463"/>
      <c r="AQ27" s="1463"/>
      <c r="AR27" s="1463"/>
      <c r="AS27" s="1463"/>
      <c r="AT27" s="1463"/>
      <c r="AU27" s="1463"/>
      <c r="AV27" s="1463"/>
      <c r="AW27" s="1463"/>
      <c r="AX27" s="1463"/>
      <c r="AY27" s="1463"/>
      <c r="AZ27" s="1463"/>
      <c r="BA27" s="1463"/>
      <c r="BB27" s="1463"/>
      <c r="BC27" s="1463"/>
      <c r="BD27" s="1463"/>
      <c r="BE27" s="1463"/>
      <c r="BF27" s="1463"/>
      <c r="BG27" s="1463"/>
      <c r="BH27" s="1463"/>
      <c r="BI27" s="1463"/>
      <c r="BJ27" s="1463"/>
      <c r="BK27" s="1463"/>
      <c r="BL27" s="1463"/>
      <c r="BM27" s="1463"/>
      <c r="BN27" s="1463"/>
      <c r="BO27" s="1463"/>
      <c r="BP27" s="1463"/>
      <c r="BQ27" s="1463"/>
      <c r="BR27" s="1463"/>
      <c r="BS27" s="1463"/>
      <c r="BT27" s="1463"/>
      <c r="BU27" s="1463"/>
      <c r="BV27" s="1463"/>
      <c r="BW27" s="1463"/>
      <c r="BX27" s="1463"/>
      <c r="BY27" s="1463"/>
      <c r="BZ27" s="1463"/>
      <c r="CA27" s="1463"/>
      <c r="CB27" s="1463"/>
      <c r="CC27" s="1463"/>
      <c r="CD27" s="1463"/>
      <c r="CE27" s="1463"/>
      <c r="CF27" s="1463"/>
      <c r="CG27" s="1463"/>
      <c r="CH27" s="1463"/>
      <c r="CI27" s="1463"/>
      <c r="CJ27" s="1463"/>
      <c r="CK27" s="1463"/>
      <c r="CL27" s="1463"/>
      <c r="CM27" s="1463"/>
      <c r="CN27" s="1463"/>
      <c r="CO27" s="1463"/>
      <c r="CP27" s="1463"/>
      <c r="CQ27" s="1463"/>
      <c r="CR27" s="1463"/>
      <c r="CS27" s="1463"/>
      <c r="CT27" s="1463"/>
      <c r="CU27" s="1463"/>
      <c r="CV27" s="1463"/>
      <c r="CW27" s="1463"/>
      <c r="CX27" s="1463"/>
      <c r="CY27" s="1463"/>
      <c r="CZ27" s="1463"/>
      <c r="DA27" s="1463"/>
      <c r="DB27" s="1463"/>
      <c r="DC27" s="1463"/>
      <c r="DD27" s="1463"/>
      <c r="DE27" s="1463"/>
      <c r="DF27" s="1463"/>
      <c r="DG27" s="1463"/>
      <c r="DH27" s="1463"/>
      <c r="DI27" s="1463"/>
      <c r="DJ27" s="1463"/>
      <c r="DK27" s="1463"/>
      <c r="DL27" s="1463"/>
      <c r="DM27" s="1463"/>
      <c r="DN27" s="1463"/>
      <c r="DO27" s="1463"/>
      <c r="DP27" s="1463"/>
      <c r="DQ27" s="1463"/>
      <c r="DR27" s="1463"/>
      <c r="DS27" s="1463"/>
      <c r="DT27" s="1463"/>
      <c r="DU27" s="1463"/>
      <c r="DV27" s="1463"/>
      <c r="DW27" s="1463"/>
      <c r="DX27" s="1463"/>
      <c r="DY27" s="1463"/>
      <c r="DZ27" s="1463"/>
      <c r="EA27" s="1463"/>
      <c r="EB27" s="1463"/>
      <c r="EC27" s="1463"/>
      <c r="ED27" s="1463"/>
      <c r="EE27" s="1463"/>
      <c r="EF27" s="1463"/>
      <c r="EG27" s="1463"/>
      <c r="EH27" s="1463"/>
      <c r="EI27" s="1463"/>
      <c r="EJ27" s="1463"/>
      <c r="EK27" s="1463"/>
      <c r="EL27" s="1463"/>
      <c r="EM27" s="1463"/>
      <c r="EN27" s="1463"/>
      <c r="EO27" s="1463"/>
      <c r="EP27" s="1463"/>
      <c r="EQ27" s="1463"/>
      <c r="ER27" s="1463"/>
      <c r="ES27" s="1463"/>
      <c r="ET27" s="1463"/>
      <c r="EU27" s="1463"/>
      <c r="EV27" s="1463"/>
      <c r="EW27" s="1463"/>
      <c r="EX27" s="1463"/>
      <c r="EY27" s="1463"/>
      <c r="EZ27" s="1463"/>
      <c r="FA27" s="1463"/>
      <c r="FB27" s="1463"/>
      <c r="FC27" s="1463"/>
      <c r="FD27" s="1463"/>
      <c r="FE27" s="1463"/>
      <c r="FF27" s="1463"/>
      <c r="FG27" s="1463"/>
      <c r="FH27" s="1463"/>
      <c r="FI27" s="1463"/>
      <c r="FJ27" s="1463"/>
      <c r="FK27" s="1463"/>
      <c r="FL27" s="1463"/>
      <c r="FM27" s="1463"/>
      <c r="FN27" s="1463"/>
      <c r="FO27" s="1463"/>
      <c r="FP27" s="1463"/>
      <c r="FQ27" s="1463"/>
      <c r="FR27" s="1463"/>
      <c r="FS27" s="1463"/>
      <c r="FT27" s="1463"/>
      <c r="FU27" s="1463"/>
      <c r="FV27" s="1463"/>
      <c r="FW27" s="1463"/>
      <c r="FX27" s="1463"/>
      <c r="FY27" s="1463"/>
      <c r="FZ27" s="1463"/>
      <c r="GA27" s="1463"/>
      <c r="GB27" s="1463"/>
      <c r="GC27" s="1463"/>
      <c r="GD27" s="1463"/>
      <c r="GE27" s="1463"/>
      <c r="GF27" s="1463"/>
      <c r="GG27" s="1463"/>
      <c r="GH27" s="1463"/>
      <c r="GI27" s="1463"/>
      <c r="GJ27" s="1463"/>
      <c r="GK27" s="1463"/>
      <c r="GL27" s="1463"/>
      <c r="GM27" s="1463"/>
      <c r="GN27" s="1463"/>
      <c r="GO27" s="1463"/>
      <c r="GP27" s="1463"/>
      <c r="GQ27" s="1463"/>
      <c r="GR27" s="1463"/>
      <c r="GS27" s="1463"/>
      <c r="GT27" s="1463"/>
      <c r="GU27" s="1463"/>
      <c r="GV27" s="1463"/>
      <c r="GW27" s="1463"/>
      <c r="GX27" s="1463"/>
      <c r="GY27" s="1463"/>
      <c r="GZ27" s="1463"/>
      <c r="HA27" s="1463"/>
      <c r="HB27" s="1463"/>
      <c r="HC27" s="1463"/>
      <c r="HD27" s="1463"/>
      <c r="HE27" s="1463"/>
      <c r="HF27" s="1463"/>
      <c r="HG27" s="1463"/>
      <c r="HH27" s="1463"/>
      <c r="HI27" s="1463"/>
      <c r="HJ27" s="1463"/>
      <c r="HK27" s="1463"/>
      <c r="HL27" s="1463"/>
      <c r="HM27" s="1463"/>
      <c r="HN27" s="1463"/>
      <c r="HO27" s="1463"/>
      <c r="HP27" s="1463"/>
      <c r="HQ27" s="1463"/>
      <c r="HR27" s="1463"/>
      <c r="HS27" s="1463"/>
      <c r="HT27" s="1463"/>
    </row>
    <row r="28" spans="1:228" ht="12" customHeight="1">
      <c r="A28" s="1360"/>
      <c r="B28" s="1463"/>
      <c r="C28" s="1476">
        <f>+MAX($C$10:C27)+1</f>
        <v>15</v>
      </c>
      <c r="D28" s="1613" t="s">
        <v>2247</v>
      </c>
      <c r="E28" s="1361"/>
      <c r="F28" s="1361"/>
      <c r="G28" s="1361"/>
      <c r="H28" s="1361"/>
      <c r="I28" s="1361"/>
      <c r="J28" s="1361"/>
      <c r="K28" s="1361"/>
      <c r="L28" s="1361"/>
      <c r="M28" s="1361"/>
      <c r="N28" s="1361"/>
      <c r="O28" s="1361"/>
      <c r="P28" s="1361"/>
      <c r="Q28" s="1361"/>
      <c r="R28" s="1361"/>
      <c r="S28" s="1361"/>
    </row>
    <row r="29" spans="1:228">
      <c r="A29" s="1360"/>
      <c r="B29" s="1463"/>
      <c r="C29" s="1476">
        <f>+MAX($C$10:C28)+1</f>
        <v>16</v>
      </c>
      <c r="D29" s="1812" t="s">
        <v>681</v>
      </c>
      <c r="E29" s="1361"/>
      <c r="F29" s="1483"/>
      <c r="G29" s="1483">
        <f>F34</f>
        <v>74183964.600119993</v>
      </c>
      <c r="H29" s="1483">
        <f t="shared" ref="H29:S29" si="4">G34</f>
        <v>42976632.878629848</v>
      </c>
      <c r="I29" s="1483">
        <f t="shared" si="4"/>
        <v>71608124.847416982</v>
      </c>
      <c r="J29" s="1483">
        <f t="shared" si="4"/>
        <v>71608827.277991787</v>
      </c>
      <c r="K29" s="1483">
        <f t="shared" si="4"/>
        <v>71610505.173065946</v>
      </c>
      <c r="L29" s="1483">
        <f t="shared" si="4"/>
        <v>71607748.020546272</v>
      </c>
      <c r="M29" s="1483">
        <f t="shared" si="4"/>
        <v>71604925.758049861</v>
      </c>
      <c r="N29" s="1483">
        <f t="shared" si="4"/>
        <v>71601023.183333293</v>
      </c>
      <c r="O29" s="1483">
        <f t="shared" si="4"/>
        <v>71591934.080737427</v>
      </c>
      <c r="P29" s="1483">
        <f t="shared" si="4"/>
        <v>71584210.344715193</v>
      </c>
      <c r="Q29" s="1483">
        <f t="shared" si="4"/>
        <v>71583932.89757295</v>
      </c>
      <c r="R29" s="1483">
        <f t="shared" si="4"/>
        <v>71585652.005302086</v>
      </c>
      <c r="S29" s="1483">
        <f t="shared" si="4"/>
        <v>71584598.541895226</v>
      </c>
    </row>
    <row r="30" spans="1:228">
      <c r="A30" s="1360"/>
      <c r="B30" s="1463"/>
      <c r="C30" s="1476">
        <f>+MAX($C$10:C29)+1</f>
        <v>17</v>
      </c>
      <c r="D30" s="1812" t="s">
        <v>3014</v>
      </c>
      <c r="E30" s="1361"/>
      <c r="F30" s="1483"/>
      <c r="G30" s="1483">
        <f>'Cash Balances (BV)'!G56</f>
        <v>0</v>
      </c>
      <c r="H30" s="1483"/>
      <c r="I30" s="1483"/>
      <c r="J30" s="1483"/>
      <c r="K30" s="1483"/>
      <c r="L30" s="1483"/>
      <c r="M30" s="1483"/>
      <c r="N30" s="1483"/>
      <c r="O30" s="1483"/>
      <c r="P30" s="1483"/>
      <c r="Q30" s="1483"/>
      <c r="R30" s="1483"/>
      <c r="S30" s="1483"/>
    </row>
    <row r="31" spans="1:228">
      <c r="A31" s="1360"/>
      <c r="B31" s="1463"/>
      <c r="C31" s="1476">
        <f>+MAX($C$10:C30)+1</f>
        <v>18</v>
      </c>
      <c r="D31" s="1812" t="s">
        <v>190</v>
      </c>
      <c r="E31" s="1361"/>
      <c r="F31" s="1483"/>
      <c r="G31" s="1483">
        <f>'Fin Forecast - Elec'!I60</f>
        <v>273321072.67850977</v>
      </c>
      <c r="H31" s="1483">
        <f>'Fin Forecast - Elec'!J60</f>
        <v>278001438.28856957</v>
      </c>
      <c r="I31" s="1483">
        <f>'Fin Forecast - Elec'!K60</f>
        <v>258105299.62124804</v>
      </c>
      <c r="J31" s="1483">
        <f>'Fin Forecast - Elec'!L60</f>
        <v>247511180.90481952</v>
      </c>
      <c r="K31" s="1483">
        <f>'Fin Forecast - Elec'!M60</f>
        <v>260215773.74499792</v>
      </c>
      <c r="L31" s="1483">
        <f>'Fin Forecast - Elec'!N60</f>
        <v>283588812.47995573</v>
      </c>
      <c r="M31" s="1483">
        <f>'Fin Forecast - Elec'!O60</f>
        <v>307958628.10923463</v>
      </c>
      <c r="N31" s="1483">
        <f>'Fin Forecast - Elec'!P60</f>
        <v>386680587.39723766</v>
      </c>
      <c r="O31" s="1483">
        <f>'Fin Forecast - Elec'!Q60</f>
        <v>409816298.2826941</v>
      </c>
      <c r="P31" s="1483">
        <f>'Fin Forecast - Elec'!R60</f>
        <v>427650407.88615608</v>
      </c>
      <c r="Q31" s="1483">
        <f>'Fin Forecast - Elec'!S60</f>
        <v>449690018.29329765</v>
      </c>
      <c r="R31" s="1483">
        <f>'Fin Forecast - Elec'!T60</f>
        <v>465971791.75682038</v>
      </c>
      <c r="S31" s="1483">
        <f>'Fin Forecast - Elec'!U60</f>
        <v>489189465.44015598</v>
      </c>
    </row>
    <row r="32" spans="1:228" ht="18">
      <c r="A32" s="1360"/>
      <c r="B32" s="1463"/>
      <c r="C32" s="1476">
        <f>+MAX($C$10:C31)+1</f>
        <v>19</v>
      </c>
      <c r="D32" s="1812" t="s">
        <v>662</v>
      </c>
      <c r="E32" s="1361"/>
      <c r="F32" s="1485"/>
      <c r="G32" s="1485">
        <f>'Fin Forecast - Elec'!I95</f>
        <v>304528404.39999992</v>
      </c>
      <c r="H32" s="1485">
        <f>'Fin Forecast - Elec'!J95</f>
        <v>249369946.31978244</v>
      </c>
      <c r="I32" s="1485">
        <f>'Fin Forecast - Elec'!K95</f>
        <v>258104597.19067323</v>
      </c>
      <c r="J32" s="1485">
        <f>'Fin Forecast - Elec'!L95</f>
        <v>247509503.00974536</v>
      </c>
      <c r="K32" s="1485">
        <f>'Fin Forecast - Elec'!M95</f>
        <v>260218530.89751759</v>
      </c>
      <c r="L32" s="1485">
        <f>'Fin Forecast - Elec'!N95</f>
        <v>283591634.74245214</v>
      </c>
      <c r="M32" s="1485">
        <f>'Fin Forecast - Elec'!O95</f>
        <v>307962530.6839512</v>
      </c>
      <c r="N32" s="1485">
        <f>'Fin Forecast - Elec'!P95</f>
        <v>386689676.49983352</v>
      </c>
      <c r="O32" s="1485">
        <f>'Fin Forecast - Elec'!Q95</f>
        <v>409824022.01871634</v>
      </c>
      <c r="P32" s="1485">
        <f>'Fin Forecast - Elec'!R95</f>
        <v>427650685.33329833</v>
      </c>
      <c r="Q32" s="1485">
        <f>'Fin Forecast - Elec'!S95</f>
        <v>449688299.18556851</v>
      </c>
      <c r="R32" s="1485">
        <f>'Fin Forecast - Elec'!T95</f>
        <v>465972845.22022724</v>
      </c>
      <c r="S32" s="1485">
        <f>'Fin Forecast - Elec'!U95</f>
        <v>489188734.07494307</v>
      </c>
    </row>
    <row r="33" spans="1:228" ht="18">
      <c r="A33" s="1360"/>
      <c r="B33" s="1463"/>
      <c r="C33" s="1476">
        <f>+MAX($C$10:C32)+1</f>
        <v>20</v>
      </c>
      <c r="D33" s="1813" t="s">
        <v>680</v>
      </c>
      <c r="E33" s="1361"/>
      <c r="F33" s="1485"/>
      <c r="G33" s="1485">
        <f>G31-G32</f>
        <v>-31207331.721490145</v>
      </c>
      <c r="H33" s="1485">
        <f t="shared" ref="H33:S33" si="5">H31-H32</f>
        <v>28631491.968787134</v>
      </c>
      <c r="I33" s="1485">
        <f t="shared" si="5"/>
        <v>702.43057480454445</v>
      </c>
      <c r="J33" s="1485">
        <f t="shared" si="5"/>
        <v>1677.8950741589069</v>
      </c>
      <c r="K33" s="1485">
        <f t="shared" si="5"/>
        <v>-2757.1525196731091</v>
      </c>
      <c r="L33" s="1485">
        <f t="shared" si="5"/>
        <v>-2822.2624964118004</v>
      </c>
      <c r="M33" s="1485">
        <f t="shared" si="5"/>
        <v>-3902.5747165679932</v>
      </c>
      <c r="N33" s="1485">
        <f t="shared" si="5"/>
        <v>-9089.1025958657265</v>
      </c>
      <c r="O33" s="1485">
        <f t="shared" si="5"/>
        <v>-7723.736022233963</v>
      </c>
      <c r="P33" s="1485">
        <f t="shared" si="5"/>
        <v>-277.44714224338531</v>
      </c>
      <c r="Q33" s="1485">
        <f t="shared" si="5"/>
        <v>1719.1077291369438</v>
      </c>
      <c r="R33" s="1485">
        <f t="shared" si="5"/>
        <v>-1053.4634068608284</v>
      </c>
      <c r="S33" s="1485">
        <f t="shared" si="5"/>
        <v>731.36521291732788</v>
      </c>
    </row>
    <row r="34" spans="1:228">
      <c r="A34" s="1360"/>
      <c r="B34" s="1463"/>
      <c r="C34" s="1476">
        <f>+MAX($C$10:C33)+1</f>
        <v>21</v>
      </c>
      <c r="D34" s="1814" t="s">
        <v>682</v>
      </c>
      <c r="E34" s="1361"/>
      <c r="F34" s="1490">
        <f>'Cash Balances (BV)'!F60</f>
        <v>74183964.600119993</v>
      </c>
      <c r="G34" s="1490">
        <f>F34+G30+G33</f>
        <v>42976632.878629848</v>
      </c>
      <c r="H34" s="1490">
        <f t="shared" ref="H34:S34" si="6">G34+H30+H33</f>
        <v>71608124.847416982</v>
      </c>
      <c r="I34" s="1490">
        <f t="shared" si="6"/>
        <v>71608827.277991787</v>
      </c>
      <c r="J34" s="1490">
        <f t="shared" si="6"/>
        <v>71610505.173065946</v>
      </c>
      <c r="K34" s="1490">
        <f t="shared" si="6"/>
        <v>71607748.020546272</v>
      </c>
      <c r="L34" s="1490">
        <f t="shared" si="6"/>
        <v>71604925.758049861</v>
      </c>
      <c r="M34" s="1490">
        <f t="shared" si="6"/>
        <v>71601023.183333293</v>
      </c>
      <c r="N34" s="1490">
        <f t="shared" si="6"/>
        <v>71591934.080737427</v>
      </c>
      <c r="O34" s="1490">
        <f t="shared" si="6"/>
        <v>71584210.344715193</v>
      </c>
      <c r="P34" s="1490">
        <f t="shared" si="6"/>
        <v>71583932.89757295</v>
      </c>
      <c r="Q34" s="1490">
        <f t="shared" si="6"/>
        <v>71585652.005302086</v>
      </c>
      <c r="R34" s="1490">
        <f t="shared" si="6"/>
        <v>71584598.541895226</v>
      </c>
      <c r="S34" s="1490">
        <f t="shared" si="6"/>
        <v>71585329.907108143</v>
      </c>
    </row>
    <row r="35" spans="1:228">
      <c r="A35" s="1360"/>
      <c r="B35" s="1463"/>
      <c r="C35" s="1476"/>
      <c r="D35" s="1814"/>
      <c r="E35" s="1361"/>
      <c r="F35" s="1490"/>
      <c r="G35" s="1490"/>
      <c r="H35" s="1490"/>
      <c r="I35" s="1490"/>
      <c r="J35" s="1490"/>
      <c r="K35" s="1490"/>
      <c r="L35" s="1490"/>
      <c r="M35" s="1490"/>
      <c r="N35" s="1490"/>
      <c r="O35" s="1490"/>
      <c r="P35" s="1490"/>
      <c r="Q35" s="1490"/>
      <c r="R35" s="1490"/>
      <c r="S35" s="1490"/>
    </row>
    <row r="36" spans="1:228">
      <c r="A36" s="1360"/>
      <c r="B36" s="1463"/>
      <c r="C36" s="1476">
        <f>+MAX($C$10:C35)+1</f>
        <v>22</v>
      </c>
      <c r="D36" s="1452" t="s">
        <v>3483</v>
      </c>
      <c r="E36" s="1452"/>
      <c r="F36" s="1452"/>
      <c r="G36" s="2929">
        <f>ROUND(G33,-3)</f>
        <v>-31207000</v>
      </c>
      <c r="H36" s="2929">
        <f t="shared" ref="H36:S36" si="7">ROUND(H33,-3)</f>
        <v>28631000</v>
      </c>
      <c r="I36" s="2929">
        <f t="shared" si="7"/>
        <v>1000</v>
      </c>
      <c r="J36" s="2929">
        <f t="shared" si="7"/>
        <v>2000</v>
      </c>
      <c r="K36" s="2929">
        <f t="shared" si="7"/>
        <v>-3000</v>
      </c>
      <c r="L36" s="2929">
        <f t="shared" si="7"/>
        <v>-3000</v>
      </c>
      <c r="M36" s="2929">
        <f t="shared" si="7"/>
        <v>-4000</v>
      </c>
      <c r="N36" s="2929">
        <f t="shared" si="7"/>
        <v>-9000</v>
      </c>
      <c r="O36" s="2929">
        <f t="shared" si="7"/>
        <v>-8000</v>
      </c>
      <c r="P36" s="2929">
        <f t="shared" si="7"/>
        <v>0</v>
      </c>
      <c r="Q36" s="2929">
        <f t="shared" si="7"/>
        <v>2000</v>
      </c>
      <c r="R36" s="2929">
        <f t="shared" si="7"/>
        <v>-1000</v>
      </c>
      <c r="S36" s="2929">
        <f t="shared" si="7"/>
        <v>1000</v>
      </c>
    </row>
    <row r="37" spans="1:228">
      <c r="A37" s="1360"/>
      <c r="B37" s="1463"/>
      <c r="C37" s="1476"/>
      <c r="D37" s="1361"/>
      <c r="E37" s="1361"/>
      <c r="F37" s="1361"/>
      <c r="G37" s="1815"/>
      <c r="H37" s="1815"/>
      <c r="I37" s="1815"/>
      <c r="J37" s="1815"/>
      <c r="K37" s="1815"/>
      <c r="L37" s="1815"/>
      <c r="M37" s="1815"/>
      <c r="N37" s="1815"/>
      <c r="O37" s="1815"/>
      <c r="P37" s="1815"/>
      <c r="Q37" s="1815"/>
      <c r="R37" s="1815"/>
      <c r="S37" s="1815"/>
    </row>
    <row r="38" spans="1:228">
      <c r="A38" s="1360"/>
      <c r="B38" s="1463"/>
      <c r="C38" s="1476">
        <f>+MAX($C$10:C37)+1</f>
        <v>23</v>
      </c>
      <c r="D38" s="1613" t="s">
        <v>1967</v>
      </c>
      <c r="E38" s="1361"/>
      <c r="F38" s="1361"/>
      <c r="G38" s="1361"/>
      <c r="H38" s="1361"/>
      <c r="I38" s="1361"/>
      <c r="J38" s="1361"/>
      <c r="K38" s="1361"/>
      <c r="L38" s="1361"/>
      <c r="M38" s="1361"/>
      <c r="N38" s="1361"/>
      <c r="O38" s="1361"/>
      <c r="P38" s="1361"/>
      <c r="Q38" s="1361"/>
      <c r="R38" s="1361"/>
      <c r="S38" s="1361"/>
    </row>
    <row r="39" spans="1:228">
      <c r="A39" s="1360"/>
      <c r="B39" s="1463"/>
      <c r="C39" s="1476">
        <f>+MAX($C$10:C38)+1</f>
        <v>24</v>
      </c>
      <c r="D39" s="1812" t="s">
        <v>681</v>
      </c>
      <c r="E39" s="1361"/>
      <c r="F39" s="1361"/>
      <c r="G39" s="1819">
        <f>F42</f>
        <v>0</v>
      </c>
      <c r="H39" s="1819">
        <f t="shared" ref="H39:S39" si="8">G42</f>
        <v>0</v>
      </c>
      <c r="I39" s="1819">
        <f t="shared" si="8"/>
        <v>12083702.953720002</v>
      </c>
      <c r="J39" s="1819">
        <f t="shared" si="8"/>
        <v>4415189.9149236977</v>
      </c>
      <c r="K39" s="1819">
        <f t="shared" si="8"/>
        <v>-96566032.576362789</v>
      </c>
      <c r="L39" s="1819">
        <f t="shared" si="8"/>
        <v>-80634604.004934207</v>
      </c>
      <c r="M39" s="1819">
        <f t="shared" si="8"/>
        <v>-75384726.757049948</v>
      </c>
      <c r="N39" s="1819">
        <f t="shared" si="8"/>
        <v>-70507835.261448711</v>
      </c>
      <c r="O39" s="1819">
        <f t="shared" si="8"/>
        <v>-71737835.261448726</v>
      </c>
      <c r="P39" s="1819">
        <f t="shared" si="8"/>
        <v>-66986587.178377308</v>
      </c>
      <c r="Q39" s="1819">
        <f t="shared" si="8"/>
        <v>-58800954.197783515</v>
      </c>
      <c r="R39" s="1819">
        <f t="shared" si="8"/>
        <v>-37231695.436878771</v>
      </c>
      <c r="S39" s="1819">
        <f t="shared" si="8"/>
        <v>-11988124.992786571</v>
      </c>
    </row>
    <row r="40" spans="1:228">
      <c r="A40" s="1360"/>
      <c r="B40" s="1463"/>
      <c r="C40" s="1476">
        <f>+MAX($C$10:C39)+1</f>
        <v>25</v>
      </c>
      <c r="D40" s="1812" t="s">
        <v>2665</v>
      </c>
      <c r="E40" s="1361"/>
      <c r="F40" s="1361"/>
      <c r="G40" s="1815">
        <f>-G30</f>
        <v>0</v>
      </c>
      <c r="H40" s="1815">
        <f t="shared" ref="H40:S40" si="9">H21</f>
        <v>12083702.953720002</v>
      </c>
      <c r="I40" s="1815">
        <f t="shared" si="9"/>
        <v>27666486.961203694</v>
      </c>
      <c r="J40" s="1815">
        <f t="shared" si="9"/>
        <v>5140761.4783228701</v>
      </c>
      <c r="K40" s="1815">
        <f t="shared" si="9"/>
        <v>20104210.091357153</v>
      </c>
      <c r="L40" s="1815">
        <f t="shared" si="9"/>
        <v>21661554.312975064</v>
      </c>
      <c r="M40" s="1815">
        <f t="shared" si="9"/>
        <v>41867330.008197173</v>
      </c>
      <c r="N40" s="1815">
        <f t="shared" si="9"/>
        <v>50453845.665016897</v>
      </c>
      <c r="O40" s="1815">
        <f t="shared" si="9"/>
        <v>66283168.257466801</v>
      </c>
      <c r="P40" s="1815">
        <f t="shared" si="9"/>
        <v>68152354.060868725</v>
      </c>
      <c r="Q40" s="1815">
        <f t="shared" si="9"/>
        <v>98146906.637001559</v>
      </c>
      <c r="R40" s="1815">
        <f t="shared" si="9"/>
        <v>100083313.21184322</v>
      </c>
      <c r="S40" s="1815">
        <f t="shared" si="9"/>
        <v>101807638.99208324</v>
      </c>
    </row>
    <row r="41" spans="1:228" ht="18">
      <c r="A41" s="1360"/>
      <c r="B41" s="1463"/>
      <c r="C41" s="1476">
        <f>+MAX($C$10:C40)+1</f>
        <v>26</v>
      </c>
      <c r="D41" s="1812" t="s">
        <v>2666</v>
      </c>
      <c r="E41" s="1361"/>
      <c r="F41" s="1821">
        <v>0</v>
      </c>
      <c r="G41" s="1822">
        <f>(G19+G20)</f>
        <v>0</v>
      </c>
      <c r="H41" s="1822">
        <f t="shared" ref="H41:S41" si="10">(H19+H20)</f>
        <v>0</v>
      </c>
      <c r="I41" s="1822">
        <f t="shared" si="10"/>
        <v>-35335000</v>
      </c>
      <c r="J41" s="1822">
        <f t="shared" si="10"/>
        <v>-106121983.96960936</v>
      </c>
      <c r="K41" s="1822">
        <f t="shared" si="10"/>
        <v>-4172781.5199285746</v>
      </c>
      <c r="L41" s="1822">
        <f t="shared" si="10"/>
        <v>-16411677.065090813</v>
      </c>
      <c r="M41" s="1822">
        <f t="shared" si="10"/>
        <v>-36990438.512595937</v>
      </c>
      <c r="N41" s="1822">
        <f t="shared" si="10"/>
        <v>-51683845.665016912</v>
      </c>
      <c r="O41" s="1822">
        <f t="shared" si="10"/>
        <v>-61531920.174395382</v>
      </c>
      <c r="P41" s="1822">
        <f t="shared" si="10"/>
        <v>-59966721.080274932</v>
      </c>
      <c r="Q41" s="1822">
        <f t="shared" si="10"/>
        <v>-76577647.876096815</v>
      </c>
      <c r="R41" s="1822">
        <f t="shared" si="10"/>
        <v>-74839742.767751023</v>
      </c>
      <c r="S41" s="1822">
        <f t="shared" si="10"/>
        <v>-58333422.783343986</v>
      </c>
    </row>
    <row r="42" spans="1:228">
      <c r="A42" s="1360"/>
      <c r="B42" s="1463"/>
      <c r="C42" s="1476">
        <f>+MAX($C$10:C41)+1</f>
        <v>27</v>
      </c>
      <c r="D42" s="1814" t="s">
        <v>682</v>
      </c>
      <c r="E42" s="1361"/>
      <c r="F42" s="1820">
        <f>'Cash Balances (BV)'!F69</f>
        <v>0</v>
      </c>
      <c r="G42" s="1820">
        <f t="shared" ref="G42:S42" si="11">SUM(G39:G41)</f>
        <v>0</v>
      </c>
      <c r="H42" s="1820">
        <f t="shared" si="11"/>
        <v>12083702.953720002</v>
      </c>
      <c r="I42" s="1820">
        <f>SUM(I39:I41)</f>
        <v>4415189.9149236977</v>
      </c>
      <c r="J42" s="1820">
        <f t="shared" si="11"/>
        <v>-96566032.576362789</v>
      </c>
      <c r="K42" s="1820">
        <f t="shared" si="11"/>
        <v>-80634604.004934207</v>
      </c>
      <c r="L42" s="1820">
        <f t="shared" si="11"/>
        <v>-75384726.757049948</v>
      </c>
      <c r="M42" s="1820">
        <f t="shared" si="11"/>
        <v>-70507835.261448711</v>
      </c>
      <c r="N42" s="1820">
        <f t="shared" si="11"/>
        <v>-71737835.261448726</v>
      </c>
      <c r="O42" s="1820">
        <f t="shared" si="11"/>
        <v>-66986587.178377308</v>
      </c>
      <c r="P42" s="1820">
        <f t="shared" si="11"/>
        <v>-58800954.197783515</v>
      </c>
      <c r="Q42" s="1820">
        <f t="shared" si="11"/>
        <v>-37231695.436878771</v>
      </c>
      <c r="R42" s="1820">
        <f t="shared" si="11"/>
        <v>-11988124.992786571</v>
      </c>
      <c r="S42" s="1820">
        <f t="shared" si="11"/>
        <v>31486091.21595268</v>
      </c>
    </row>
    <row r="43" spans="1:228">
      <c r="A43" s="1360"/>
      <c r="B43" s="1463"/>
      <c r="C43" s="1476"/>
      <c r="D43" s="1361"/>
      <c r="E43" s="1361"/>
      <c r="F43" s="1361"/>
      <c r="G43" s="1361"/>
      <c r="H43" s="1361"/>
      <c r="I43" s="1361"/>
      <c r="J43" s="1361"/>
      <c r="K43" s="1361"/>
      <c r="L43" s="1361"/>
      <c r="M43" s="1361"/>
      <c r="N43" s="1361"/>
      <c r="O43" s="1361"/>
      <c r="P43" s="1361"/>
      <c r="Q43" s="1361"/>
      <c r="R43" s="1361"/>
      <c r="S43" s="1361"/>
    </row>
    <row r="44" spans="1:228">
      <c r="A44" s="1360"/>
      <c r="B44" s="1367"/>
      <c r="C44" s="1476">
        <f>+MAX($C$10:C43)+1</f>
        <v>28</v>
      </c>
      <c r="D44" s="1809" t="s">
        <v>2237</v>
      </c>
      <c r="E44" s="1446"/>
      <c r="F44" s="1446"/>
      <c r="G44" s="1446"/>
      <c r="H44" s="1446"/>
      <c r="I44" s="1446"/>
      <c r="J44" s="1446"/>
      <c r="K44" s="1446"/>
      <c r="L44" s="1446"/>
      <c r="M44" s="1446"/>
      <c r="N44" s="1446"/>
      <c r="O44" s="1446"/>
      <c r="P44" s="1446"/>
      <c r="Q44" s="1446"/>
      <c r="R44" s="1446"/>
      <c r="S44" s="1446"/>
      <c r="T44" s="1463"/>
      <c r="U44" s="1463"/>
      <c r="V44" s="1463"/>
      <c r="W44" s="1463"/>
      <c r="X44" s="1463"/>
      <c r="Y44" s="1463"/>
      <c r="Z44" s="1463"/>
      <c r="AA44" s="1463"/>
      <c r="AB44" s="1463"/>
      <c r="AC44" s="1463"/>
      <c r="AD44" s="1463"/>
      <c r="AE44" s="1463"/>
      <c r="AF44" s="1463"/>
      <c r="AG44" s="1463"/>
      <c r="AH44" s="1463"/>
      <c r="AI44" s="1463"/>
      <c r="AJ44" s="1463"/>
      <c r="AK44" s="1463"/>
      <c r="AL44" s="1463"/>
      <c r="AM44" s="1463"/>
      <c r="AN44" s="1463"/>
      <c r="AO44" s="1463"/>
      <c r="AP44" s="1463"/>
      <c r="AQ44" s="1463"/>
      <c r="AR44" s="1463"/>
      <c r="AS44" s="1463"/>
      <c r="AT44" s="1463"/>
      <c r="AU44" s="1463"/>
      <c r="AV44" s="1463"/>
      <c r="AW44" s="1463"/>
      <c r="AX44" s="1463"/>
      <c r="AY44" s="1463"/>
      <c r="AZ44" s="1463"/>
      <c r="BA44" s="1463"/>
      <c r="BB44" s="1463"/>
      <c r="BC44" s="1463"/>
      <c r="BD44" s="1463"/>
      <c r="BE44" s="1463"/>
      <c r="BF44" s="1463"/>
      <c r="BG44" s="1463"/>
      <c r="BH44" s="1463"/>
      <c r="BI44" s="1463"/>
      <c r="BJ44" s="1463"/>
      <c r="BK44" s="1463"/>
      <c r="BL44" s="1463"/>
      <c r="BM44" s="1463"/>
      <c r="BN44" s="1463"/>
      <c r="BO44" s="1463"/>
      <c r="BP44" s="1463"/>
      <c r="BQ44" s="1463"/>
      <c r="BR44" s="1463"/>
      <c r="BS44" s="1463"/>
      <c r="BT44" s="1463"/>
      <c r="BU44" s="1463"/>
      <c r="BV44" s="1463"/>
      <c r="BW44" s="1463"/>
      <c r="BX44" s="1463"/>
      <c r="BY44" s="1463"/>
      <c r="BZ44" s="1463"/>
      <c r="CA44" s="1463"/>
      <c r="CB44" s="1463"/>
      <c r="CC44" s="1463"/>
      <c r="CD44" s="1463"/>
      <c r="CE44" s="1463"/>
      <c r="CF44" s="1463"/>
      <c r="CG44" s="1463"/>
      <c r="CH44" s="1463"/>
      <c r="CI44" s="1463"/>
      <c r="CJ44" s="1463"/>
      <c r="CK44" s="1463"/>
      <c r="CL44" s="1463"/>
      <c r="CM44" s="1463"/>
      <c r="CN44" s="1463"/>
      <c r="CO44" s="1463"/>
      <c r="CP44" s="1463"/>
      <c r="CQ44" s="1463"/>
      <c r="CR44" s="1463"/>
      <c r="CS44" s="1463"/>
      <c r="CT44" s="1463"/>
      <c r="CU44" s="1463"/>
      <c r="CV44" s="1463"/>
      <c r="CW44" s="1463"/>
      <c r="CX44" s="1463"/>
      <c r="CY44" s="1463"/>
      <c r="CZ44" s="1463"/>
      <c r="DA44" s="1463"/>
      <c r="DB44" s="1463"/>
      <c r="DC44" s="1463"/>
      <c r="DD44" s="1463"/>
      <c r="DE44" s="1463"/>
      <c r="DF44" s="1463"/>
      <c r="DG44" s="1463"/>
      <c r="DH44" s="1463"/>
      <c r="DI44" s="1463"/>
      <c r="DJ44" s="1463"/>
      <c r="DK44" s="1463"/>
      <c r="DL44" s="1463"/>
      <c r="DM44" s="1463"/>
      <c r="DN44" s="1463"/>
      <c r="DO44" s="1463"/>
      <c r="DP44" s="1463"/>
      <c r="DQ44" s="1463"/>
      <c r="DR44" s="1463"/>
      <c r="DS44" s="1463"/>
      <c r="DT44" s="1463"/>
      <c r="DU44" s="1463"/>
      <c r="DV44" s="1463"/>
      <c r="DW44" s="1463"/>
      <c r="DX44" s="1463"/>
      <c r="DY44" s="1463"/>
      <c r="DZ44" s="1463"/>
      <c r="EA44" s="1463"/>
      <c r="EB44" s="1463"/>
      <c r="EC44" s="1463"/>
      <c r="ED44" s="1463"/>
      <c r="EE44" s="1463"/>
      <c r="EF44" s="1463"/>
      <c r="EG44" s="1463"/>
      <c r="EH44" s="1463"/>
      <c r="EI44" s="1463"/>
      <c r="EJ44" s="1463"/>
      <c r="EK44" s="1463"/>
      <c r="EL44" s="1463"/>
      <c r="EM44" s="1463"/>
      <c r="EN44" s="1463"/>
      <c r="EO44" s="1463"/>
      <c r="EP44" s="1463"/>
      <c r="EQ44" s="1463"/>
      <c r="ER44" s="1463"/>
      <c r="ES44" s="1463"/>
      <c r="ET44" s="1463"/>
      <c r="EU44" s="1463"/>
      <c r="EV44" s="1463"/>
      <c r="EW44" s="1463"/>
      <c r="EX44" s="1463"/>
      <c r="EY44" s="1463"/>
      <c r="EZ44" s="1463"/>
      <c r="FA44" s="1463"/>
      <c r="FB44" s="1463"/>
      <c r="FC44" s="1463"/>
      <c r="FD44" s="1463"/>
      <c r="FE44" s="1463"/>
      <c r="FF44" s="1463"/>
      <c r="FG44" s="1463"/>
      <c r="FH44" s="1463"/>
      <c r="FI44" s="1463"/>
      <c r="FJ44" s="1463"/>
      <c r="FK44" s="1463"/>
      <c r="FL44" s="1463"/>
      <c r="FM44" s="1463"/>
      <c r="FN44" s="1463"/>
      <c r="FO44" s="1463"/>
      <c r="FP44" s="1463"/>
      <c r="FQ44" s="1463"/>
      <c r="FR44" s="1463"/>
      <c r="FS44" s="1463"/>
      <c r="FT44" s="1463"/>
      <c r="FU44" s="1463"/>
      <c r="FV44" s="1463"/>
      <c r="FW44" s="1463"/>
      <c r="FX44" s="1463"/>
      <c r="FY44" s="1463"/>
      <c r="FZ44" s="1463"/>
      <c r="GA44" s="1463"/>
      <c r="GB44" s="1463"/>
      <c r="GC44" s="1463"/>
      <c r="GD44" s="1463"/>
      <c r="GE44" s="1463"/>
      <c r="GF44" s="1463"/>
      <c r="GG44" s="1463"/>
      <c r="GH44" s="1463"/>
      <c r="GI44" s="1463"/>
      <c r="GJ44" s="1463"/>
      <c r="GK44" s="1463"/>
      <c r="GL44" s="1463"/>
      <c r="GM44" s="1463"/>
      <c r="GN44" s="1463"/>
      <c r="GO44" s="1463"/>
      <c r="GP44" s="1463"/>
      <c r="GQ44" s="1463"/>
      <c r="GR44" s="1463"/>
      <c r="GS44" s="1463"/>
      <c r="GT44" s="1463"/>
      <c r="GU44" s="1463"/>
      <c r="GV44" s="1463"/>
      <c r="GW44" s="1463"/>
      <c r="GX44" s="1463"/>
      <c r="GY44" s="1463"/>
      <c r="GZ44" s="1463"/>
      <c r="HA44" s="1463"/>
      <c r="HB44" s="1463"/>
      <c r="HC44" s="1463"/>
      <c r="HD44" s="1463"/>
      <c r="HE44" s="1463"/>
      <c r="HF44" s="1463"/>
      <c r="HG44" s="1463"/>
      <c r="HH44" s="1463"/>
      <c r="HI44" s="1463"/>
      <c r="HJ44" s="1463"/>
      <c r="HK44" s="1463"/>
      <c r="HL44" s="1463"/>
      <c r="HM44" s="1463"/>
      <c r="HN44" s="1463"/>
      <c r="HO44" s="1463"/>
      <c r="HP44" s="1463"/>
      <c r="HQ44" s="1463"/>
      <c r="HR44" s="1463"/>
      <c r="HS44" s="1463"/>
      <c r="HT44" s="1463"/>
    </row>
    <row r="45" spans="1:228">
      <c r="A45" s="1360"/>
      <c r="B45" s="1367"/>
      <c r="C45" s="1476">
        <f>+MAX($C$10:C44)+1</f>
        <v>29</v>
      </c>
      <c r="D45" s="1446" t="s">
        <v>2215</v>
      </c>
      <c r="E45" s="1446"/>
      <c r="F45" s="1810"/>
      <c r="G45" s="1816"/>
      <c r="H45" s="1816"/>
      <c r="I45" s="1816"/>
      <c r="J45" s="1816"/>
      <c r="K45" s="1816"/>
      <c r="L45" s="1816"/>
      <c r="M45" s="1816"/>
      <c r="N45" s="1816"/>
      <c r="O45" s="1816"/>
      <c r="P45" s="1816"/>
      <c r="Q45" s="1816"/>
      <c r="R45" s="1816"/>
      <c r="S45" s="1816"/>
      <c r="T45" s="1463"/>
      <c r="U45" s="1463"/>
      <c r="V45" s="1463"/>
      <c r="W45" s="1463"/>
      <c r="X45" s="1463"/>
      <c r="Y45" s="1463"/>
      <c r="Z45" s="1463"/>
      <c r="AA45" s="1463"/>
      <c r="AB45" s="1463"/>
      <c r="AC45" s="1463"/>
      <c r="AD45" s="1463"/>
      <c r="AE45" s="1463"/>
      <c r="AF45" s="1463"/>
      <c r="AG45" s="1463"/>
      <c r="AH45" s="1463"/>
      <c r="AI45" s="1463"/>
      <c r="AJ45" s="1463"/>
      <c r="AK45" s="1463"/>
      <c r="AL45" s="1463"/>
      <c r="AM45" s="1463"/>
      <c r="AN45" s="1463"/>
      <c r="AO45" s="1463"/>
      <c r="AP45" s="1463"/>
      <c r="AQ45" s="1463"/>
      <c r="AR45" s="1463"/>
      <c r="AS45" s="1463"/>
      <c r="AT45" s="1463"/>
      <c r="AU45" s="1463"/>
      <c r="AV45" s="1463"/>
      <c r="AW45" s="1463"/>
      <c r="AX45" s="1463"/>
      <c r="AY45" s="1463"/>
      <c r="AZ45" s="1463"/>
      <c r="BA45" s="1463"/>
      <c r="BB45" s="1463"/>
      <c r="BC45" s="1463"/>
      <c r="BD45" s="1463"/>
      <c r="BE45" s="1463"/>
      <c r="BF45" s="1463"/>
      <c r="BG45" s="1463"/>
      <c r="BH45" s="1463"/>
      <c r="BI45" s="1463"/>
      <c r="BJ45" s="1463"/>
      <c r="BK45" s="1463"/>
      <c r="BL45" s="1463"/>
      <c r="BM45" s="1463"/>
      <c r="BN45" s="1463"/>
      <c r="BO45" s="1463"/>
      <c r="BP45" s="1463"/>
      <c r="BQ45" s="1463"/>
      <c r="BR45" s="1463"/>
      <c r="BS45" s="1463"/>
      <c r="BT45" s="1463"/>
      <c r="BU45" s="1463"/>
      <c r="BV45" s="1463"/>
      <c r="BW45" s="1463"/>
      <c r="BX45" s="1463"/>
      <c r="BY45" s="1463"/>
      <c r="BZ45" s="1463"/>
      <c r="CA45" s="1463"/>
      <c r="CB45" s="1463"/>
      <c r="CC45" s="1463"/>
      <c r="CD45" s="1463"/>
      <c r="CE45" s="1463"/>
      <c r="CF45" s="1463"/>
      <c r="CG45" s="1463"/>
      <c r="CH45" s="1463"/>
      <c r="CI45" s="1463"/>
      <c r="CJ45" s="1463"/>
      <c r="CK45" s="1463"/>
      <c r="CL45" s="1463"/>
      <c r="CM45" s="1463"/>
      <c r="CN45" s="1463"/>
      <c r="CO45" s="1463"/>
      <c r="CP45" s="1463"/>
      <c r="CQ45" s="1463"/>
      <c r="CR45" s="1463"/>
      <c r="CS45" s="1463"/>
      <c r="CT45" s="1463"/>
      <c r="CU45" s="1463"/>
      <c r="CV45" s="1463"/>
      <c r="CW45" s="1463"/>
      <c r="CX45" s="1463"/>
      <c r="CY45" s="1463"/>
      <c r="CZ45" s="1463"/>
      <c r="DA45" s="1463"/>
      <c r="DB45" s="1463"/>
      <c r="DC45" s="1463"/>
      <c r="DD45" s="1463"/>
      <c r="DE45" s="1463"/>
      <c r="DF45" s="1463"/>
      <c r="DG45" s="1463"/>
      <c r="DH45" s="1463"/>
      <c r="DI45" s="1463"/>
      <c r="DJ45" s="1463"/>
      <c r="DK45" s="1463"/>
      <c r="DL45" s="1463"/>
      <c r="DM45" s="1463"/>
      <c r="DN45" s="1463"/>
      <c r="DO45" s="1463"/>
      <c r="DP45" s="1463"/>
      <c r="DQ45" s="1463"/>
      <c r="DR45" s="1463"/>
      <c r="DS45" s="1463"/>
      <c r="DT45" s="1463"/>
      <c r="DU45" s="1463"/>
      <c r="DV45" s="1463"/>
      <c r="DW45" s="1463"/>
      <c r="DX45" s="1463"/>
      <c r="DY45" s="1463"/>
      <c r="DZ45" s="1463"/>
      <c r="EA45" s="1463"/>
      <c r="EB45" s="1463"/>
      <c r="EC45" s="1463"/>
      <c r="ED45" s="1463"/>
      <c r="EE45" s="1463"/>
      <c r="EF45" s="1463"/>
      <c r="EG45" s="1463"/>
      <c r="EH45" s="1463"/>
      <c r="EI45" s="1463"/>
      <c r="EJ45" s="1463"/>
      <c r="EK45" s="1463"/>
      <c r="EL45" s="1463"/>
      <c r="EM45" s="1463"/>
      <c r="EN45" s="1463"/>
      <c r="EO45" s="1463"/>
      <c r="EP45" s="1463"/>
      <c r="EQ45" s="1463"/>
      <c r="ER45" s="1463"/>
      <c r="ES45" s="1463"/>
      <c r="ET45" s="1463"/>
      <c r="EU45" s="1463"/>
      <c r="EV45" s="1463"/>
      <c r="EW45" s="1463"/>
      <c r="EX45" s="1463"/>
      <c r="EY45" s="1463"/>
      <c r="EZ45" s="1463"/>
      <c r="FA45" s="1463"/>
      <c r="FB45" s="1463"/>
      <c r="FC45" s="1463"/>
      <c r="FD45" s="1463"/>
      <c r="FE45" s="1463"/>
      <c r="FF45" s="1463"/>
      <c r="FG45" s="1463"/>
      <c r="FH45" s="1463"/>
      <c r="FI45" s="1463"/>
      <c r="FJ45" s="1463"/>
      <c r="FK45" s="1463"/>
      <c r="FL45" s="1463"/>
      <c r="FM45" s="1463"/>
      <c r="FN45" s="1463"/>
      <c r="FO45" s="1463"/>
      <c r="FP45" s="1463"/>
      <c r="FQ45" s="1463"/>
      <c r="FR45" s="1463"/>
      <c r="FS45" s="1463"/>
      <c r="FT45" s="1463"/>
      <c r="FU45" s="1463"/>
      <c r="FV45" s="1463"/>
      <c r="FW45" s="1463"/>
      <c r="FX45" s="1463"/>
      <c r="FY45" s="1463"/>
      <c r="FZ45" s="1463"/>
      <c r="GA45" s="1463"/>
      <c r="GB45" s="1463"/>
      <c r="GC45" s="1463"/>
      <c r="GD45" s="1463"/>
      <c r="GE45" s="1463"/>
      <c r="GF45" s="1463"/>
      <c r="GG45" s="1463"/>
      <c r="GH45" s="1463"/>
      <c r="GI45" s="1463"/>
      <c r="GJ45" s="1463"/>
      <c r="GK45" s="1463"/>
      <c r="GL45" s="1463"/>
      <c r="GM45" s="1463"/>
      <c r="GN45" s="1463"/>
      <c r="GO45" s="1463"/>
      <c r="GP45" s="1463"/>
      <c r="GQ45" s="1463"/>
      <c r="GR45" s="1463"/>
      <c r="GS45" s="1463"/>
      <c r="GT45" s="1463"/>
      <c r="GU45" s="1463"/>
      <c r="GV45" s="1463"/>
      <c r="GW45" s="1463"/>
      <c r="GX45" s="1463"/>
      <c r="GY45" s="1463"/>
      <c r="GZ45" s="1463"/>
      <c r="HA45" s="1463"/>
      <c r="HB45" s="1463"/>
      <c r="HC45" s="1463"/>
      <c r="HD45" s="1463"/>
      <c r="HE45" s="1463"/>
      <c r="HF45" s="1463"/>
      <c r="HG45" s="1463"/>
      <c r="HH45" s="1463"/>
      <c r="HI45" s="1463"/>
      <c r="HJ45" s="1463"/>
      <c r="HK45" s="1463"/>
      <c r="HL45" s="1463"/>
      <c r="HM45" s="1463"/>
      <c r="HN45" s="1463"/>
      <c r="HO45" s="1463"/>
      <c r="HP45" s="1463"/>
      <c r="HQ45" s="1463"/>
      <c r="HR45" s="1463"/>
      <c r="HS45" s="1463"/>
      <c r="HT45" s="1463"/>
    </row>
    <row r="46" spans="1:228">
      <c r="A46" s="1360"/>
      <c r="B46" s="1367"/>
      <c r="C46" s="1476">
        <f>+MAX($C$10:C45)+1</f>
        <v>30</v>
      </c>
      <c r="D46" s="1812" t="s">
        <v>717</v>
      </c>
      <c r="E46" s="1446"/>
      <c r="F46" s="1810"/>
      <c r="G46" s="1817">
        <f>'Cash Balances (BV)'!G37</f>
        <v>181178694.03681999</v>
      </c>
      <c r="H46" s="1817">
        <f>'Cash Balances (BV)'!H37</f>
        <v>177453450.26407596</v>
      </c>
      <c r="I46" s="1817">
        <f>'Cash Balances (BV)'!I37</f>
        <v>179926583.36583999</v>
      </c>
      <c r="J46" s="1817">
        <f>'Cash Balances (BV)'!J37</f>
        <v>173539242.10615152</v>
      </c>
      <c r="K46" s="1817">
        <f>'Cash Balances (BV)'!K37</f>
        <v>223849865.25562954</v>
      </c>
      <c r="L46" s="1817">
        <f>'Cash Balances (BV)'!L37</f>
        <v>171814194.09747556</v>
      </c>
      <c r="M46" s="1817">
        <f>'Cash Balances (BV)'!M37</f>
        <v>173847584.87104148</v>
      </c>
      <c r="N46" s="1817">
        <f>'Cash Balances (BV)'!N37</f>
        <v>175913477.36273202</v>
      </c>
      <c r="O46" s="1817">
        <f>'Cash Balances (BV)'!O37</f>
        <v>178012391.08000988</v>
      </c>
      <c r="P46" s="1817">
        <f>'Cash Balances (BV)'!P37</f>
        <v>180144853.83414462</v>
      </c>
      <c r="Q46" s="1817">
        <f>'Cash Balances (BV)'!Q37</f>
        <v>182311401.87294155</v>
      </c>
      <c r="R46" s="1817">
        <f>'Cash Balances (BV)'!R37</f>
        <v>184512580.0155904</v>
      </c>
      <c r="S46" s="1817">
        <f>'Cash Balances (BV)'!S37</f>
        <v>186748941.78967157</v>
      </c>
      <c r="T46" s="1463"/>
      <c r="U46" s="1463"/>
      <c r="V46" s="1463"/>
      <c r="W46" s="1463"/>
      <c r="X46" s="1463"/>
      <c r="Y46" s="1463"/>
      <c r="Z46" s="1463"/>
      <c r="AA46" s="1463"/>
      <c r="AB46" s="1463"/>
      <c r="AC46" s="1463"/>
      <c r="AD46" s="1463"/>
      <c r="AE46" s="1463"/>
      <c r="AF46" s="1463"/>
      <c r="AG46" s="1463"/>
      <c r="AH46" s="1463"/>
      <c r="AI46" s="1463"/>
      <c r="AJ46" s="1463"/>
      <c r="AK46" s="1463"/>
      <c r="AL46" s="1463"/>
      <c r="AM46" s="1463"/>
      <c r="AN46" s="1463"/>
      <c r="AO46" s="1463"/>
      <c r="AP46" s="1463"/>
      <c r="AQ46" s="1463"/>
      <c r="AR46" s="1463"/>
      <c r="AS46" s="1463"/>
      <c r="AT46" s="1463"/>
      <c r="AU46" s="1463"/>
      <c r="AV46" s="1463"/>
      <c r="AW46" s="1463"/>
      <c r="AX46" s="1463"/>
      <c r="AY46" s="1463"/>
      <c r="AZ46" s="1463"/>
      <c r="BA46" s="1463"/>
      <c r="BB46" s="1463"/>
      <c r="BC46" s="1463"/>
      <c r="BD46" s="1463"/>
      <c r="BE46" s="1463"/>
      <c r="BF46" s="1463"/>
      <c r="BG46" s="1463"/>
      <c r="BH46" s="1463"/>
      <c r="BI46" s="1463"/>
      <c r="BJ46" s="1463"/>
      <c r="BK46" s="1463"/>
      <c r="BL46" s="1463"/>
      <c r="BM46" s="1463"/>
      <c r="BN46" s="1463"/>
      <c r="BO46" s="1463"/>
      <c r="BP46" s="1463"/>
      <c r="BQ46" s="1463"/>
      <c r="BR46" s="1463"/>
      <c r="BS46" s="1463"/>
      <c r="BT46" s="1463"/>
      <c r="BU46" s="1463"/>
      <c r="BV46" s="1463"/>
      <c r="BW46" s="1463"/>
      <c r="BX46" s="1463"/>
      <c r="BY46" s="1463"/>
      <c r="BZ46" s="1463"/>
      <c r="CA46" s="1463"/>
      <c r="CB46" s="1463"/>
      <c r="CC46" s="1463"/>
      <c r="CD46" s="1463"/>
      <c r="CE46" s="1463"/>
      <c r="CF46" s="1463"/>
      <c r="CG46" s="1463"/>
      <c r="CH46" s="1463"/>
      <c r="CI46" s="1463"/>
      <c r="CJ46" s="1463"/>
      <c r="CK46" s="1463"/>
      <c r="CL46" s="1463"/>
      <c r="CM46" s="1463"/>
      <c r="CN46" s="1463"/>
      <c r="CO46" s="1463"/>
      <c r="CP46" s="1463"/>
      <c r="CQ46" s="1463"/>
      <c r="CR46" s="1463"/>
      <c r="CS46" s="1463"/>
      <c r="CT46" s="1463"/>
      <c r="CU46" s="1463"/>
      <c r="CV46" s="1463"/>
      <c r="CW46" s="1463"/>
      <c r="CX46" s="1463"/>
      <c r="CY46" s="1463"/>
      <c r="CZ46" s="1463"/>
      <c r="DA46" s="1463"/>
      <c r="DB46" s="1463"/>
      <c r="DC46" s="1463"/>
      <c r="DD46" s="1463"/>
      <c r="DE46" s="1463"/>
      <c r="DF46" s="1463"/>
      <c r="DG46" s="1463"/>
      <c r="DH46" s="1463"/>
      <c r="DI46" s="1463"/>
      <c r="DJ46" s="1463"/>
      <c r="DK46" s="1463"/>
      <c r="DL46" s="1463"/>
      <c r="DM46" s="1463"/>
      <c r="DN46" s="1463"/>
      <c r="DO46" s="1463"/>
      <c r="DP46" s="1463"/>
      <c r="DQ46" s="1463"/>
      <c r="DR46" s="1463"/>
      <c r="DS46" s="1463"/>
      <c r="DT46" s="1463"/>
      <c r="DU46" s="1463"/>
      <c r="DV46" s="1463"/>
      <c r="DW46" s="1463"/>
      <c r="DX46" s="1463"/>
      <c r="DY46" s="1463"/>
      <c r="DZ46" s="1463"/>
      <c r="EA46" s="1463"/>
      <c r="EB46" s="1463"/>
      <c r="EC46" s="1463"/>
      <c r="ED46" s="1463"/>
      <c r="EE46" s="1463"/>
      <c r="EF46" s="1463"/>
      <c r="EG46" s="1463"/>
      <c r="EH46" s="1463"/>
      <c r="EI46" s="1463"/>
      <c r="EJ46" s="1463"/>
      <c r="EK46" s="1463"/>
      <c r="EL46" s="1463"/>
      <c r="EM46" s="1463"/>
      <c r="EN46" s="1463"/>
      <c r="EO46" s="1463"/>
      <c r="EP46" s="1463"/>
      <c r="EQ46" s="1463"/>
      <c r="ER46" s="1463"/>
      <c r="ES46" s="1463"/>
      <c r="ET46" s="1463"/>
      <c r="EU46" s="1463"/>
      <c r="EV46" s="1463"/>
      <c r="EW46" s="1463"/>
      <c r="EX46" s="1463"/>
      <c r="EY46" s="1463"/>
      <c r="EZ46" s="1463"/>
      <c r="FA46" s="1463"/>
      <c r="FB46" s="1463"/>
      <c r="FC46" s="1463"/>
      <c r="FD46" s="1463"/>
      <c r="FE46" s="1463"/>
      <c r="FF46" s="1463"/>
      <c r="FG46" s="1463"/>
      <c r="FH46" s="1463"/>
      <c r="FI46" s="1463"/>
      <c r="FJ46" s="1463"/>
      <c r="FK46" s="1463"/>
      <c r="FL46" s="1463"/>
      <c r="FM46" s="1463"/>
      <c r="FN46" s="1463"/>
      <c r="FO46" s="1463"/>
      <c r="FP46" s="1463"/>
      <c r="FQ46" s="1463"/>
      <c r="FR46" s="1463"/>
      <c r="FS46" s="1463"/>
      <c r="FT46" s="1463"/>
      <c r="FU46" s="1463"/>
      <c r="FV46" s="1463"/>
      <c r="FW46" s="1463"/>
      <c r="FX46" s="1463"/>
      <c r="FY46" s="1463"/>
      <c r="FZ46" s="1463"/>
      <c r="GA46" s="1463"/>
      <c r="GB46" s="1463"/>
      <c r="GC46" s="1463"/>
      <c r="GD46" s="1463"/>
      <c r="GE46" s="1463"/>
      <c r="GF46" s="1463"/>
      <c r="GG46" s="1463"/>
      <c r="GH46" s="1463"/>
      <c r="GI46" s="1463"/>
      <c r="GJ46" s="1463"/>
      <c r="GK46" s="1463"/>
      <c r="GL46" s="1463"/>
      <c r="GM46" s="1463"/>
      <c r="GN46" s="1463"/>
      <c r="GO46" s="1463"/>
      <c r="GP46" s="1463"/>
      <c r="GQ46" s="1463"/>
      <c r="GR46" s="1463"/>
      <c r="GS46" s="1463"/>
      <c r="GT46" s="1463"/>
      <c r="GU46" s="1463"/>
      <c r="GV46" s="1463"/>
      <c r="GW46" s="1463"/>
      <c r="GX46" s="1463"/>
      <c r="GY46" s="1463"/>
      <c r="GZ46" s="1463"/>
      <c r="HA46" s="1463"/>
      <c r="HB46" s="1463"/>
      <c r="HC46" s="1463"/>
      <c r="HD46" s="1463"/>
      <c r="HE46" s="1463"/>
      <c r="HF46" s="1463"/>
      <c r="HG46" s="1463"/>
      <c r="HH46" s="1463"/>
      <c r="HI46" s="1463"/>
      <c r="HJ46" s="1463"/>
      <c r="HK46" s="1463"/>
      <c r="HL46" s="1463"/>
      <c r="HM46" s="1463"/>
      <c r="HN46" s="1463"/>
      <c r="HO46" s="1463"/>
      <c r="HP46" s="1463"/>
      <c r="HQ46" s="1463"/>
      <c r="HR46" s="1463"/>
      <c r="HS46" s="1463"/>
      <c r="HT46" s="1463"/>
    </row>
    <row r="47" spans="1:228">
      <c r="A47" s="1360"/>
      <c r="B47" s="1367"/>
      <c r="C47" s="1476">
        <f>+MAX($C$10:C46)+1</f>
        <v>31</v>
      </c>
      <c r="D47" s="1812" t="s">
        <v>2280</v>
      </c>
      <c r="E47" s="1446"/>
      <c r="F47" s="1810"/>
      <c r="G47" s="1817">
        <f>'Cash Balances (BV)'!G38</f>
        <v>22912144.673180003</v>
      </c>
      <c r="H47" s="1817">
        <f>'Cash Balances (BV)'!H38</f>
        <v>29720393.12477611</v>
      </c>
      <c r="I47" s="1817">
        <f>'Cash Balances (BV)'!I38</f>
        <v>33249124.549999997</v>
      </c>
      <c r="J47" s="1817">
        <f>'Cash Balances (BV)'!J38</f>
        <v>30170186.950231917</v>
      </c>
      <c r="K47" s="1817">
        <f>'Cash Balances (BV)'!K38</f>
        <v>29186894.701499999</v>
      </c>
      <c r="L47" s="1817">
        <f>'Cash Balances (BV)'!L38</f>
        <v>28936179.597649112</v>
      </c>
      <c r="M47" s="1817">
        <f>'Cash Balances (BV)'!M38</f>
        <v>28637936.180060707</v>
      </c>
      <c r="N47" s="1817">
        <f>'Cash Balances (BV)'!N38</f>
        <v>29037310.374384612</v>
      </c>
      <c r="O47" s="1817">
        <f>'Cash Balances (BV)'!O38</f>
        <v>29265474.015150249</v>
      </c>
      <c r="P47" s="1817">
        <f>'Cash Balances (BV)'!P38</f>
        <v>28474049.937069729</v>
      </c>
      <c r="Q47" s="1817">
        <f>'Cash Balances (BV)'!Q38</f>
        <v>28509164.350682706</v>
      </c>
      <c r="R47" s="1817">
        <f>'Cash Balances (BV)'!R38</f>
        <v>28154792.972460374</v>
      </c>
      <c r="S47" s="1817">
        <f>'Cash Balances (BV)'!S38</f>
        <v>28164160.007525526</v>
      </c>
      <c r="T47" s="1463"/>
      <c r="U47" s="1463"/>
      <c r="V47" s="1463"/>
      <c r="W47" s="1463"/>
      <c r="X47" s="1463"/>
      <c r="Y47" s="1463"/>
      <c r="Z47" s="1463"/>
      <c r="AA47" s="1463"/>
      <c r="AB47" s="1463"/>
      <c r="AC47" s="1463"/>
      <c r="AD47" s="1463"/>
      <c r="AE47" s="1463"/>
      <c r="AF47" s="1463"/>
      <c r="AG47" s="1463"/>
      <c r="AH47" s="1463"/>
      <c r="AI47" s="1463"/>
      <c r="AJ47" s="1463"/>
      <c r="AK47" s="1463"/>
      <c r="AL47" s="1463"/>
      <c r="AM47" s="1463"/>
      <c r="AN47" s="1463"/>
      <c r="AO47" s="1463"/>
      <c r="AP47" s="1463"/>
      <c r="AQ47" s="1463"/>
      <c r="AR47" s="1463"/>
      <c r="AS47" s="1463"/>
      <c r="AT47" s="1463"/>
      <c r="AU47" s="1463"/>
      <c r="AV47" s="1463"/>
      <c r="AW47" s="1463"/>
      <c r="AX47" s="1463"/>
      <c r="AY47" s="1463"/>
      <c r="AZ47" s="1463"/>
      <c r="BA47" s="1463"/>
      <c r="BB47" s="1463"/>
      <c r="BC47" s="1463"/>
      <c r="BD47" s="1463"/>
      <c r="BE47" s="1463"/>
      <c r="BF47" s="1463"/>
      <c r="BG47" s="1463"/>
      <c r="BH47" s="1463"/>
      <c r="BI47" s="1463"/>
      <c r="BJ47" s="1463"/>
      <c r="BK47" s="1463"/>
      <c r="BL47" s="1463"/>
      <c r="BM47" s="1463"/>
      <c r="BN47" s="1463"/>
      <c r="BO47" s="1463"/>
      <c r="BP47" s="1463"/>
      <c r="BQ47" s="1463"/>
      <c r="BR47" s="1463"/>
      <c r="BS47" s="1463"/>
      <c r="BT47" s="1463"/>
      <c r="BU47" s="1463"/>
      <c r="BV47" s="1463"/>
      <c r="BW47" s="1463"/>
      <c r="BX47" s="1463"/>
      <c r="BY47" s="1463"/>
      <c r="BZ47" s="1463"/>
      <c r="CA47" s="1463"/>
      <c r="CB47" s="1463"/>
      <c r="CC47" s="1463"/>
      <c r="CD47" s="1463"/>
      <c r="CE47" s="1463"/>
      <c r="CF47" s="1463"/>
      <c r="CG47" s="1463"/>
      <c r="CH47" s="1463"/>
      <c r="CI47" s="1463"/>
      <c r="CJ47" s="1463"/>
      <c r="CK47" s="1463"/>
      <c r="CL47" s="1463"/>
      <c r="CM47" s="1463"/>
      <c r="CN47" s="1463"/>
      <c r="CO47" s="1463"/>
      <c r="CP47" s="1463"/>
      <c r="CQ47" s="1463"/>
      <c r="CR47" s="1463"/>
      <c r="CS47" s="1463"/>
      <c r="CT47" s="1463"/>
      <c r="CU47" s="1463"/>
      <c r="CV47" s="1463"/>
      <c r="CW47" s="1463"/>
      <c r="CX47" s="1463"/>
      <c r="CY47" s="1463"/>
      <c r="CZ47" s="1463"/>
      <c r="DA47" s="1463"/>
      <c r="DB47" s="1463"/>
      <c r="DC47" s="1463"/>
      <c r="DD47" s="1463"/>
      <c r="DE47" s="1463"/>
      <c r="DF47" s="1463"/>
      <c r="DG47" s="1463"/>
      <c r="DH47" s="1463"/>
      <c r="DI47" s="1463"/>
      <c r="DJ47" s="1463"/>
      <c r="DK47" s="1463"/>
      <c r="DL47" s="1463"/>
      <c r="DM47" s="1463"/>
      <c r="DN47" s="1463"/>
      <c r="DO47" s="1463"/>
      <c r="DP47" s="1463"/>
      <c r="DQ47" s="1463"/>
      <c r="DR47" s="1463"/>
      <c r="DS47" s="1463"/>
      <c r="DT47" s="1463"/>
      <c r="DU47" s="1463"/>
      <c r="DV47" s="1463"/>
      <c r="DW47" s="1463"/>
      <c r="DX47" s="1463"/>
      <c r="DY47" s="1463"/>
      <c r="DZ47" s="1463"/>
      <c r="EA47" s="1463"/>
      <c r="EB47" s="1463"/>
      <c r="EC47" s="1463"/>
      <c r="ED47" s="1463"/>
      <c r="EE47" s="1463"/>
      <c r="EF47" s="1463"/>
      <c r="EG47" s="1463"/>
      <c r="EH47" s="1463"/>
      <c r="EI47" s="1463"/>
      <c r="EJ47" s="1463"/>
      <c r="EK47" s="1463"/>
      <c r="EL47" s="1463"/>
      <c r="EM47" s="1463"/>
      <c r="EN47" s="1463"/>
      <c r="EO47" s="1463"/>
      <c r="EP47" s="1463"/>
      <c r="EQ47" s="1463"/>
      <c r="ER47" s="1463"/>
      <c r="ES47" s="1463"/>
      <c r="ET47" s="1463"/>
      <c r="EU47" s="1463"/>
      <c r="EV47" s="1463"/>
      <c r="EW47" s="1463"/>
      <c r="EX47" s="1463"/>
      <c r="EY47" s="1463"/>
      <c r="EZ47" s="1463"/>
      <c r="FA47" s="1463"/>
      <c r="FB47" s="1463"/>
      <c r="FC47" s="1463"/>
      <c r="FD47" s="1463"/>
      <c r="FE47" s="1463"/>
      <c r="FF47" s="1463"/>
      <c r="FG47" s="1463"/>
      <c r="FH47" s="1463"/>
      <c r="FI47" s="1463"/>
      <c r="FJ47" s="1463"/>
      <c r="FK47" s="1463"/>
      <c r="FL47" s="1463"/>
      <c r="FM47" s="1463"/>
      <c r="FN47" s="1463"/>
      <c r="FO47" s="1463"/>
      <c r="FP47" s="1463"/>
      <c r="FQ47" s="1463"/>
      <c r="FR47" s="1463"/>
      <c r="FS47" s="1463"/>
      <c r="FT47" s="1463"/>
      <c r="FU47" s="1463"/>
      <c r="FV47" s="1463"/>
      <c r="FW47" s="1463"/>
      <c r="FX47" s="1463"/>
      <c r="FY47" s="1463"/>
      <c r="FZ47" s="1463"/>
      <c r="GA47" s="1463"/>
      <c r="GB47" s="1463"/>
      <c r="GC47" s="1463"/>
      <c r="GD47" s="1463"/>
      <c r="GE47" s="1463"/>
      <c r="GF47" s="1463"/>
      <c r="GG47" s="1463"/>
      <c r="GH47" s="1463"/>
      <c r="GI47" s="1463"/>
      <c r="GJ47" s="1463"/>
      <c r="GK47" s="1463"/>
      <c r="GL47" s="1463"/>
      <c r="GM47" s="1463"/>
      <c r="GN47" s="1463"/>
      <c r="GO47" s="1463"/>
      <c r="GP47" s="1463"/>
      <c r="GQ47" s="1463"/>
      <c r="GR47" s="1463"/>
      <c r="GS47" s="1463"/>
      <c r="GT47" s="1463"/>
      <c r="GU47" s="1463"/>
      <c r="GV47" s="1463"/>
      <c r="GW47" s="1463"/>
      <c r="GX47" s="1463"/>
      <c r="GY47" s="1463"/>
      <c r="GZ47" s="1463"/>
      <c r="HA47" s="1463"/>
      <c r="HB47" s="1463"/>
      <c r="HC47" s="1463"/>
      <c r="HD47" s="1463"/>
      <c r="HE47" s="1463"/>
      <c r="HF47" s="1463"/>
      <c r="HG47" s="1463"/>
      <c r="HH47" s="1463"/>
      <c r="HI47" s="1463"/>
      <c r="HJ47" s="1463"/>
      <c r="HK47" s="1463"/>
      <c r="HL47" s="1463"/>
      <c r="HM47" s="1463"/>
      <c r="HN47" s="1463"/>
      <c r="HO47" s="1463"/>
      <c r="HP47" s="1463"/>
      <c r="HQ47" s="1463"/>
      <c r="HR47" s="1463"/>
      <c r="HS47" s="1463"/>
      <c r="HT47" s="1463"/>
    </row>
    <row r="48" spans="1:228">
      <c r="A48" s="1360"/>
      <c r="B48" s="1367"/>
      <c r="C48" s="1476">
        <f>+MAX($C$10:C47)+1</f>
        <v>32</v>
      </c>
      <c r="D48" s="1812" t="s">
        <v>602</v>
      </c>
      <c r="E48" s="1446"/>
      <c r="F48" s="1810"/>
      <c r="G48" s="1817">
        <f>'Cash Balances (BV)'!G39</f>
        <v>204090838.71000001</v>
      </c>
      <c r="H48" s="1817">
        <f>'Cash Balances (BV)'!H39</f>
        <v>207173843.38885206</v>
      </c>
      <c r="I48" s="1817">
        <f>'Cash Balances (BV)'!I39</f>
        <v>213175707.91583997</v>
      </c>
      <c r="J48" s="1817">
        <f>'Cash Balances (BV)'!J39</f>
        <v>203709429.05638343</v>
      </c>
      <c r="K48" s="1817">
        <f>'Cash Balances (BV)'!K39</f>
        <v>253036759.95712954</v>
      </c>
      <c r="L48" s="1817">
        <f>'Cash Balances (BV)'!L39</f>
        <v>200750373.69512469</v>
      </c>
      <c r="M48" s="1817">
        <f>'Cash Balances (BV)'!M39</f>
        <v>202485521.05110219</v>
      </c>
      <c r="N48" s="1817">
        <f>'Cash Balances (BV)'!N39</f>
        <v>204950787.73711663</v>
      </c>
      <c r="O48" s="1817">
        <f>'Cash Balances (BV)'!O39</f>
        <v>207277865.09516013</v>
      </c>
      <c r="P48" s="1817">
        <f>'Cash Balances (BV)'!P39</f>
        <v>208618903.77121437</v>
      </c>
      <c r="Q48" s="1817">
        <f>'Cash Balances (BV)'!Q39</f>
        <v>210820566.22362426</v>
      </c>
      <c r="R48" s="1817">
        <f>'Cash Balances (BV)'!R39</f>
        <v>212667372.98805076</v>
      </c>
      <c r="S48" s="1817">
        <f>'Cash Balances (BV)'!S39</f>
        <v>214913101.7971971</v>
      </c>
      <c r="T48" s="1463"/>
      <c r="U48" s="1463"/>
      <c r="V48" s="1463"/>
      <c r="W48" s="1463"/>
      <c r="X48" s="1463"/>
      <c r="Y48" s="1463"/>
      <c r="Z48" s="1463"/>
      <c r="AA48" s="1463"/>
      <c r="AB48" s="1463"/>
      <c r="AC48" s="1463"/>
      <c r="AD48" s="1463"/>
      <c r="AE48" s="1463"/>
      <c r="AF48" s="1463"/>
      <c r="AG48" s="1463"/>
      <c r="AH48" s="1463"/>
      <c r="AI48" s="1463"/>
      <c r="AJ48" s="1463"/>
      <c r="AK48" s="1463"/>
      <c r="AL48" s="1463"/>
      <c r="AM48" s="1463"/>
      <c r="AN48" s="1463"/>
      <c r="AO48" s="1463"/>
      <c r="AP48" s="1463"/>
      <c r="AQ48" s="1463"/>
      <c r="AR48" s="1463"/>
      <c r="AS48" s="1463"/>
      <c r="AT48" s="1463"/>
      <c r="AU48" s="1463"/>
      <c r="AV48" s="1463"/>
      <c r="AW48" s="1463"/>
      <c r="AX48" s="1463"/>
      <c r="AY48" s="1463"/>
      <c r="AZ48" s="1463"/>
      <c r="BA48" s="1463"/>
      <c r="BB48" s="1463"/>
      <c r="BC48" s="1463"/>
      <c r="BD48" s="1463"/>
      <c r="BE48" s="1463"/>
      <c r="BF48" s="1463"/>
      <c r="BG48" s="1463"/>
      <c r="BH48" s="1463"/>
      <c r="BI48" s="1463"/>
      <c r="BJ48" s="1463"/>
      <c r="BK48" s="1463"/>
      <c r="BL48" s="1463"/>
      <c r="BM48" s="1463"/>
      <c r="BN48" s="1463"/>
      <c r="BO48" s="1463"/>
      <c r="BP48" s="1463"/>
      <c r="BQ48" s="1463"/>
      <c r="BR48" s="1463"/>
      <c r="BS48" s="1463"/>
      <c r="BT48" s="1463"/>
      <c r="BU48" s="1463"/>
      <c r="BV48" s="1463"/>
      <c r="BW48" s="1463"/>
      <c r="BX48" s="1463"/>
      <c r="BY48" s="1463"/>
      <c r="BZ48" s="1463"/>
      <c r="CA48" s="1463"/>
      <c r="CB48" s="1463"/>
      <c r="CC48" s="1463"/>
      <c r="CD48" s="1463"/>
      <c r="CE48" s="1463"/>
      <c r="CF48" s="1463"/>
      <c r="CG48" s="1463"/>
      <c r="CH48" s="1463"/>
      <c r="CI48" s="1463"/>
      <c r="CJ48" s="1463"/>
      <c r="CK48" s="1463"/>
      <c r="CL48" s="1463"/>
      <c r="CM48" s="1463"/>
      <c r="CN48" s="1463"/>
      <c r="CO48" s="1463"/>
      <c r="CP48" s="1463"/>
      <c r="CQ48" s="1463"/>
      <c r="CR48" s="1463"/>
      <c r="CS48" s="1463"/>
      <c r="CT48" s="1463"/>
      <c r="CU48" s="1463"/>
      <c r="CV48" s="1463"/>
      <c r="CW48" s="1463"/>
      <c r="CX48" s="1463"/>
      <c r="CY48" s="1463"/>
      <c r="CZ48" s="1463"/>
      <c r="DA48" s="1463"/>
      <c r="DB48" s="1463"/>
      <c r="DC48" s="1463"/>
      <c r="DD48" s="1463"/>
      <c r="DE48" s="1463"/>
      <c r="DF48" s="1463"/>
      <c r="DG48" s="1463"/>
      <c r="DH48" s="1463"/>
      <c r="DI48" s="1463"/>
      <c r="DJ48" s="1463"/>
      <c r="DK48" s="1463"/>
      <c r="DL48" s="1463"/>
      <c r="DM48" s="1463"/>
      <c r="DN48" s="1463"/>
      <c r="DO48" s="1463"/>
      <c r="DP48" s="1463"/>
      <c r="DQ48" s="1463"/>
      <c r="DR48" s="1463"/>
      <c r="DS48" s="1463"/>
      <c r="DT48" s="1463"/>
      <c r="DU48" s="1463"/>
      <c r="DV48" s="1463"/>
      <c r="DW48" s="1463"/>
      <c r="DX48" s="1463"/>
      <c r="DY48" s="1463"/>
      <c r="DZ48" s="1463"/>
      <c r="EA48" s="1463"/>
      <c r="EB48" s="1463"/>
      <c r="EC48" s="1463"/>
      <c r="ED48" s="1463"/>
      <c r="EE48" s="1463"/>
      <c r="EF48" s="1463"/>
      <c r="EG48" s="1463"/>
      <c r="EH48" s="1463"/>
      <c r="EI48" s="1463"/>
      <c r="EJ48" s="1463"/>
      <c r="EK48" s="1463"/>
      <c r="EL48" s="1463"/>
      <c r="EM48" s="1463"/>
      <c r="EN48" s="1463"/>
      <c r="EO48" s="1463"/>
      <c r="EP48" s="1463"/>
      <c r="EQ48" s="1463"/>
      <c r="ER48" s="1463"/>
      <c r="ES48" s="1463"/>
      <c r="ET48" s="1463"/>
      <c r="EU48" s="1463"/>
      <c r="EV48" s="1463"/>
      <c r="EW48" s="1463"/>
      <c r="EX48" s="1463"/>
      <c r="EY48" s="1463"/>
      <c r="EZ48" s="1463"/>
      <c r="FA48" s="1463"/>
      <c r="FB48" s="1463"/>
      <c r="FC48" s="1463"/>
      <c r="FD48" s="1463"/>
      <c r="FE48" s="1463"/>
      <c r="FF48" s="1463"/>
      <c r="FG48" s="1463"/>
      <c r="FH48" s="1463"/>
      <c r="FI48" s="1463"/>
      <c r="FJ48" s="1463"/>
      <c r="FK48" s="1463"/>
      <c r="FL48" s="1463"/>
      <c r="FM48" s="1463"/>
      <c r="FN48" s="1463"/>
      <c r="FO48" s="1463"/>
      <c r="FP48" s="1463"/>
      <c r="FQ48" s="1463"/>
      <c r="FR48" s="1463"/>
      <c r="FS48" s="1463"/>
      <c r="FT48" s="1463"/>
      <c r="FU48" s="1463"/>
      <c r="FV48" s="1463"/>
      <c r="FW48" s="1463"/>
      <c r="FX48" s="1463"/>
      <c r="FY48" s="1463"/>
      <c r="FZ48" s="1463"/>
      <c r="GA48" s="1463"/>
      <c r="GB48" s="1463"/>
      <c r="GC48" s="1463"/>
      <c r="GD48" s="1463"/>
      <c r="GE48" s="1463"/>
      <c r="GF48" s="1463"/>
      <c r="GG48" s="1463"/>
      <c r="GH48" s="1463"/>
      <c r="GI48" s="1463"/>
      <c r="GJ48" s="1463"/>
      <c r="GK48" s="1463"/>
      <c r="GL48" s="1463"/>
      <c r="GM48" s="1463"/>
      <c r="GN48" s="1463"/>
      <c r="GO48" s="1463"/>
      <c r="GP48" s="1463"/>
      <c r="GQ48" s="1463"/>
      <c r="GR48" s="1463"/>
      <c r="GS48" s="1463"/>
      <c r="GT48" s="1463"/>
      <c r="GU48" s="1463"/>
      <c r="GV48" s="1463"/>
      <c r="GW48" s="1463"/>
      <c r="GX48" s="1463"/>
      <c r="GY48" s="1463"/>
      <c r="GZ48" s="1463"/>
      <c r="HA48" s="1463"/>
      <c r="HB48" s="1463"/>
      <c r="HC48" s="1463"/>
      <c r="HD48" s="1463"/>
      <c r="HE48" s="1463"/>
      <c r="HF48" s="1463"/>
      <c r="HG48" s="1463"/>
      <c r="HH48" s="1463"/>
      <c r="HI48" s="1463"/>
      <c r="HJ48" s="1463"/>
      <c r="HK48" s="1463"/>
      <c r="HL48" s="1463"/>
      <c r="HM48" s="1463"/>
      <c r="HN48" s="1463"/>
      <c r="HO48" s="1463"/>
      <c r="HP48" s="1463"/>
      <c r="HQ48" s="1463"/>
      <c r="HR48" s="1463"/>
      <c r="HS48" s="1463"/>
      <c r="HT48" s="1463"/>
    </row>
    <row r="49" spans="1:228">
      <c r="A49" s="1360"/>
      <c r="B49" s="1367"/>
      <c r="C49" s="1476"/>
      <c r="D49" s="1812"/>
      <c r="E49" s="1446"/>
      <c r="F49" s="1810"/>
      <c r="G49" s="1817"/>
      <c r="H49" s="1817"/>
      <c r="I49" s="1817"/>
      <c r="J49" s="1817"/>
      <c r="K49" s="1817"/>
      <c r="L49" s="1817"/>
      <c r="M49" s="1817"/>
      <c r="N49" s="1817"/>
      <c r="O49" s="1817"/>
      <c r="P49" s="1817"/>
      <c r="Q49" s="1817"/>
      <c r="R49" s="1817"/>
      <c r="S49" s="1817"/>
      <c r="T49" s="1463"/>
      <c r="U49" s="1463"/>
      <c r="V49" s="1463"/>
      <c r="W49" s="1463"/>
      <c r="X49" s="1463"/>
      <c r="Y49" s="1463"/>
      <c r="Z49" s="1463"/>
      <c r="AA49" s="1463"/>
      <c r="AB49" s="1463"/>
      <c r="AC49" s="1463"/>
      <c r="AD49" s="1463"/>
      <c r="AE49" s="1463"/>
      <c r="AF49" s="1463"/>
      <c r="AG49" s="1463"/>
      <c r="AH49" s="1463"/>
      <c r="AI49" s="1463"/>
      <c r="AJ49" s="1463"/>
      <c r="AK49" s="1463"/>
      <c r="AL49" s="1463"/>
      <c r="AM49" s="1463"/>
      <c r="AN49" s="1463"/>
      <c r="AO49" s="1463"/>
      <c r="AP49" s="1463"/>
      <c r="AQ49" s="1463"/>
      <c r="AR49" s="1463"/>
      <c r="AS49" s="1463"/>
      <c r="AT49" s="1463"/>
      <c r="AU49" s="1463"/>
      <c r="AV49" s="1463"/>
      <c r="AW49" s="1463"/>
      <c r="AX49" s="1463"/>
      <c r="AY49" s="1463"/>
      <c r="AZ49" s="1463"/>
      <c r="BA49" s="1463"/>
      <c r="BB49" s="1463"/>
      <c r="BC49" s="1463"/>
      <c r="BD49" s="1463"/>
      <c r="BE49" s="1463"/>
      <c r="BF49" s="1463"/>
      <c r="BG49" s="1463"/>
      <c r="BH49" s="1463"/>
      <c r="BI49" s="1463"/>
      <c r="BJ49" s="1463"/>
      <c r="BK49" s="1463"/>
      <c r="BL49" s="1463"/>
      <c r="BM49" s="1463"/>
      <c r="BN49" s="1463"/>
      <c r="BO49" s="1463"/>
      <c r="BP49" s="1463"/>
      <c r="BQ49" s="1463"/>
      <c r="BR49" s="1463"/>
      <c r="BS49" s="1463"/>
      <c r="BT49" s="1463"/>
      <c r="BU49" s="1463"/>
      <c r="BV49" s="1463"/>
      <c r="BW49" s="1463"/>
      <c r="BX49" s="1463"/>
      <c r="BY49" s="1463"/>
      <c r="BZ49" s="1463"/>
      <c r="CA49" s="1463"/>
      <c r="CB49" s="1463"/>
      <c r="CC49" s="1463"/>
      <c r="CD49" s="1463"/>
      <c r="CE49" s="1463"/>
      <c r="CF49" s="1463"/>
      <c r="CG49" s="1463"/>
      <c r="CH49" s="1463"/>
      <c r="CI49" s="1463"/>
      <c r="CJ49" s="1463"/>
      <c r="CK49" s="1463"/>
      <c r="CL49" s="1463"/>
      <c r="CM49" s="1463"/>
      <c r="CN49" s="1463"/>
      <c r="CO49" s="1463"/>
      <c r="CP49" s="1463"/>
      <c r="CQ49" s="1463"/>
      <c r="CR49" s="1463"/>
      <c r="CS49" s="1463"/>
      <c r="CT49" s="1463"/>
      <c r="CU49" s="1463"/>
      <c r="CV49" s="1463"/>
      <c r="CW49" s="1463"/>
      <c r="CX49" s="1463"/>
      <c r="CY49" s="1463"/>
      <c r="CZ49" s="1463"/>
      <c r="DA49" s="1463"/>
      <c r="DB49" s="1463"/>
      <c r="DC49" s="1463"/>
      <c r="DD49" s="1463"/>
      <c r="DE49" s="1463"/>
      <c r="DF49" s="1463"/>
      <c r="DG49" s="1463"/>
      <c r="DH49" s="1463"/>
      <c r="DI49" s="1463"/>
      <c r="DJ49" s="1463"/>
      <c r="DK49" s="1463"/>
      <c r="DL49" s="1463"/>
      <c r="DM49" s="1463"/>
      <c r="DN49" s="1463"/>
      <c r="DO49" s="1463"/>
      <c r="DP49" s="1463"/>
      <c r="DQ49" s="1463"/>
      <c r="DR49" s="1463"/>
      <c r="DS49" s="1463"/>
      <c r="DT49" s="1463"/>
      <c r="DU49" s="1463"/>
      <c r="DV49" s="1463"/>
      <c r="DW49" s="1463"/>
      <c r="DX49" s="1463"/>
      <c r="DY49" s="1463"/>
      <c r="DZ49" s="1463"/>
      <c r="EA49" s="1463"/>
      <c r="EB49" s="1463"/>
      <c r="EC49" s="1463"/>
      <c r="ED49" s="1463"/>
      <c r="EE49" s="1463"/>
      <c r="EF49" s="1463"/>
      <c r="EG49" s="1463"/>
      <c r="EH49" s="1463"/>
      <c r="EI49" s="1463"/>
      <c r="EJ49" s="1463"/>
      <c r="EK49" s="1463"/>
      <c r="EL49" s="1463"/>
      <c r="EM49" s="1463"/>
      <c r="EN49" s="1463"/>
      <c r="EO49" s="1463"/>
      <c r="EP49" s="1463"/>
      <c r="EQ49" s="1463"/>
      <c r="ER49" s="1463"/>
      <c r="ES49" s="1463"/>
      <c r="ET49" s="1463"/>
      <c r="EU49" s="1463"/>
      <c r="EV49" s="1463"/>
      <c r="EW49" s="1463"/>
      <c r="EX49" s="1463"/>
      <c r="EY49" s="1463"/>
      <c r="EZ49" s="1463"/>
      <c r="FA49" s="1463"/>
      <c r="FB49" s="1463"/>
      <c r="FC49" s="1463"/>
      <c r="FD49" s="1463"/>
      <c r="FE49" s="1463"/>
      <c r="FF49" s="1463"/>
      <c r="FG49" s="1463"/>
      <c r="FH49" s="1463"/>
      <c r="FI49" s="1463"/>
      <c r="FJ49" s="1463"/>
      <c r="FK49" s="1463"/>
      <c r="FL49" s="1463"/>
      <c r="FM49" s="1463"/>
      <c r="FN49" s="1463"/>
      <c r="FO49" s="1463"/>
      <c r="FP49" s="1463"/>
      <c r="FQ49" s="1463"/>
      <c r="FR49" s="1463"/>
      <c r="FS49" s="1463"/>
      <c r="FT49" s="1463"/>
      <c r="FU49" s="1463"/>
      <c r="FV49" s="1463"/>
      <c r="FW49" s="1463"/>
      <c r="FX49" s="1463"/>
      <c r="FY49" s="1463"/>
      <c r="FZ49" s="1463"/>
      <c r="GA49" s="1463"/>
      <c r="GB49" s="1463"/>
      <c r="GC49" s="1463"/>
      <c r="GD49" s="1463"/>
      <c r="GE49" s="1463"/>
      <c r="GF49" s="1463"/>
      <c r="GG49" s="1463"/>
      <c r="GH49" s="1463"/>
      <c r="GI49" s="1463"/>
      <c r="GJ49" s="1463"/>
      <c r="GK49" s="1463"/>
      <c r="GL49" s="1463"/>
      <c r="GM49" s="1463"/>
      <c r="GN49" s="1463"/>
      <c r="GO49" s="1463"/>
      <c r="GP49" s="1463"/>
      <c r="GQ49" s="1463"/>
      <c r="GR49" s="1463"/>
      <c r="GS49" s="1463"/>
      <c r="GT49" s="1463"/>
      <c r="GU49" s="1463"/>
      <c r="GV49" s="1463"/>
      <c r="GW49" s="1463"/>
      <c r="GX49" s="1463"/>
      <c r="GY49" s="1463"/>
      <c r="GZ49" s="1463"/>
      <c r="HA49" s="1463"/>
      <c r="HB49" s="1463"/>
      <c r="HC49" s="1463"/>
      <c r="HD49" s="1463"/>
      <c r="HE49" s="1463"/>
      <c r="HF49" s="1463"/>
      <c r="HG49" s="1463"/>
      <c r="HH49" s="1463"/>
      <c r="HI49" s="1463"/>
      <c r="HJ49" s="1463"/>
      <c r="HK49" s="1463"/>
      <c r="HL49" s="1463"/>
      <c r="HM49" s="1463"/>
      <c r="HN49" s="1463"/>
      <c r="HO49" s="1463"/>
      <c r="HP49" s="1463"/>
      <c r="HQ49" s="1463"/>
      <c r="HR49" s="1463"/>
      <c r="HS49" s="1463"/>
      <c r="HT49" s="1463"/>
    </row>
    <row r="50" spans="1:228">
      <c r="A50" s="1360"/>
      <c r="B50" s="1367"/>
      <c r="C50" s="1476">
        <f>+MAX($C$10:C49)+1</f>
        <v>33</v>
      </c>
      <c r="D50" s="1446" t="s">
        <v>2246</v>
      </c>
      <c r="E50" s="1446"/>
      <c r="F50" s="1810"/>
      <c r="G50" s="1818">
        <f>'Fin Forecast - Consolidated'!I109</f>
        <v>432.25660064226133</v>
      </c>
      <c r="H50" s="1818">
        <f>'Fin Forecast - Consolidated'!J109</f>
        <v>503.40853222346601</v>
      </c>
      <c r="I50" s="1818">
        <f>'Fin Forecast - Consolidated'!K109</f>
        <v>668.61169565992668</v>
      </c>
      <c r="J50" s="1818">
        <f>'Fin Forecast - Consolidated'!L109</f>
        <v>645.89729702976501</v>
      </c>
      <c r="K50" s="1818">
        <f>'Fin Forecast - Consolidated'!M109</f>
        <v>782.78565190073198</v>
      </c>
      <c r="L50" s="1818">
        <f>'Fin Forecast - Consolidated'!N109</f>
        <v>591.25862350361615</v>
      </c>
      <c r="M50" s="1818">
        <f>'Fin Forecast - Consolidated'!O109</f>
        <v>514.92676725908757</v>
      </c>
      <c r="N50" s="1818">
        <f>'Fin Forecast - Consolidated'!P109</f>
        <v>362.28626969767527</v>
      </c>
      <c r="O50" s="1818">
        <f>'Fin Forecast - Consolidated'!Q109</f>
        <v>360.56700225281645</v>
      </c>
      <c r="P50" s="1818">
        <f>'Fin Forecast - Consolidated'!R109</f>
        <v>352.07482099879809</v>
      </c>
      <c r="Q50" s="1818">
        <f>'Fin Forecast - Consolidated'!S109</f>
        <v>345.62076028784321</v>
      </c>
      <c r="R50" s="1818">
        <f>'Fin Forecast - Consolidated'!T109</f>
        <v>330.5165900536083</v>
      </c>
      <c r="S50" s="1818">
        <f>'Fin Forecast - Consolidated'!U109</f>
        <v>313.65222875579309</v>
      </c>
      <c r="T50" s="1463"/>
      <c r="U50" s="1463"/>
      <c r="V50" s="1463"/>
      <c r="W50" s="1463"/>
      <c r="X50" s="1463"/>
      <c r="Y50" s="1463"/>
      <c r="Z50" s="1463"/>
      <c r="AA50" s="1463"/>
      <c r="AB50" s="1463"/>
      <c r="AC50" s="1463"/>
      <c r="AD50" s="1463"/>
      <c r="AE50" s="1463"/>
      <c r="AF50" s="1463"/>
      <c r="AG50" s="1463"/>
      <c r="AH50" s="1463"/>
      <c r="AI50" s="1463"/>
      <c r="AJ50" s="1463"/>
      <c r="AK50" s="1463"/>
      <c r="AL50" s="1463"/>
      <c r="AM50" s="1463"/>
      <c r="AN50" s="1463"/>
      <c r="AO50" s="1463"/>
      <c r="AP50" s="1463"/>
      <c r="AQ50" s="1463"/>
      <c r="AR50" s="1463"/>
      <c r="AS50" s="1463"/>
      <c r="AT50" s="1463"/>
      <c r="AU50" s="1463"/>
      <c r="AV50" s="1463"/>
      <c r="AW50" s="1463"/>
      <c r="AX50" s="1463"/>
      <c r="AY50" s="1463"/>
      <c r="AZ50" s="1463"/>
      <c r="BA50" s="1463"/>
      <c r="BB50" s="1463"/>
      <c r="BC50" s="1463"/>
      <c r="BD50" s="1463"/>
      <c r="BE50" s="1463"/>
      <c r="BF50" s="1463"/>
      <c r="BG50" s="1463"/>
      <c r="BH50" s="1463"/>
      <c r="BI50" s="1463"/>
      <c r="BJ50" s="1463"/>
      <c r="BK50" s="1463"/>
      <c r="BL50" s="1463"/>
      <c r="BM50" s="1463"/>
      <c r="BN50" s="1463"/>
      <c r="BO50" s="1463"/>
      <c r="BP50" s="1463"/>
      <c r="BQ50" s="1463"/>
      <c r="BR50" s="1463"/>
      <c r="BS50" s="1463"/>
      <c r="BT50" s="1463"/>
      <c r="BU50" s="1463"/>
      <c r="BV50" s="1463"/>
      <c r="BW50" s="1463"/>
      <c r="BX50" s="1463"/>
      <c r="BY50" s="1463"/>
      <c r="BZ50" s="1463"/>
      <c r="CA50" s="1463"/>
      <c r="CB50" s="1463"/>
      <c r="CC50" s="1463"/>
      <c r="CD50" s="1463"/>
      <c r="CE50" s="1463"/>
      <c r="CF50" s="1463"/>
      <c r="CG50" s="1463"/>
      <c r="CH50" s="1463"/>
      <c r="CI50" s="1463"/>
      <c r="CJ50" s="1463"/>
      <c r="CK50" s="1463"/>
      <c r="CL50" s="1463"/>
      <c r="CM50" s="1463"/>
      <c r="CN50" s="1463"/>
      <c r="CO50" s="1463"/>
      <c r="CP50" s="1463"/>
      <c r="CQ50" s="1463"/>
      <c r="CR50" s="1463"/>
      <c r="CS50" s="1463"/>
      <c r="CT50" s="1463"/>
      <c r="CU50" s="1463"/>
      <c r="CV50" s="1463"/>
      <c r="CW50" s="1463"/>
      <c r="CX50" s="1463"/>
      <c r="CY50" s="1463"/>
      <c r="CZ50" s="1463"/>
      <c r="DA50" s="1463"/>
      <c r="DB50" s="1463"/>
      <c r="DC50" s="1463"/>
      <c r="DD50" s="1463"/>
      <c r="DE50" s="1463"/>
      <c r="DF50" s="1463"/>
      <c r="DG50" s="1463"/>
      <c r="DH50" s="1463"/>
      <c r="DI50" s="1463"/>
      <c r="DJ50" s="1463"/>
      <c r="DK50" s="1463"/>
      <c r="DL50" s="1463"/>
      <c r="DM50" s="1463"/>
      <c r="DN50" s="1463"/>
      <c r="DO50" s="1463"/>
      <c r="DP50" s="1463"/>
      <c r="DQ50" s="1463"/>
      <c r="DR50" s="1463"/>
      <c r="DS50" s="1463"/>
      <c r="DT50" s="1463"/>
      <c r="DU50" s="1463"/>
      <c r="DV50" s="1463"/>
      <c r="DW50" s="1463"/>
      <c r="DX50" s="1463"/>
      <c r="DY50" s="1463"/>
      <c r="DZ50" s="1463"/>
      <c r="EA50" s="1463"/>
      <c r="EB50" s="1463"/>
      <c r="EC50" s="1463"/>
      <c r="ED50" s="1463"/>
      <c r="EE50" s="1463"/>
      <c r="EF50" s="1463"/>
      <c r="EG50" s="1463"/>
      <c r="EH50" s="1463"/>
      <c r="EI50" s="1463"/>
      <c r="EJ50" s="1463"/>
      <c r="EK50" s="1463"/>
      <c r="EL50" s="1463"/>
      <c r="EM50" s="1463"/>
      <c r="EN50" s="1463"/>
      <c r="EO50" s="1463"/>
      <c r="EP50" s="1463"/>
      <c r="EQ50" s="1463"/>
      <c r="ER50" s="1463"/>
      <c r="ES50" s="1463"/>
      <c r="ET50" s="1463"/>
      <c r="EU50" s="1463"/>
      <c r="EV50" s="1463"/>
      <c r="EW50" s="1463"/>
      <c r="EX50" s="1463"/>
      <c r="EY50" s="1463"/>
      <c r="EZ50" s="1463"/>
      <c r="FA50" s="1463"/>
      <c r="FB50" s="1463"/>
      <c r="FC50" s="1463"/>
      <c r="FD50" s="1463"/>
      <c r="FE50" s="1463"/>
      <c r="FF50" s="1463"/>
      <c r="FG50" s="1463"/>
      <c r="FH50" s="1463"/>
      <c r="FI50" s="1463"/>
      <c r="FJ50" s="1463"/>
      <c r="FK50" s="1463"/>
      <c r="FL50" s="1463"/>
      <c r="FM50" s="1463"/>
      <c r="FN50" s="1463"/>
      <c r="FO50" s="1463"/>
      <c r="FP50" s="1463"/>
      <c r="FQ50" s="1463"/>
      <c r="FR50" s="1463"/>
      <c r="FS50" s="1463"/>
      <c r="FT50" s="1463"/>
      <c r="FU50" s="1463"/>
      <c r="FV50" s="1463"/>
      <c r="FW50" s="1463"/>
      <c r="FX50" s="1463"/>
      <c r="FY50" s="1463"/>
      <c r="FZ50" s="1463"/>
      <c r="GA50" s="1463"/>
      <c r="GB50" s="1463"/>
      <c r="GC50" s="1463"/>
      <c r="GD50" s="1463"/>
      <c r="GE50" s="1463"/>
      <c r="GF50" s="1463"/>
      <c r="GG50" s="1463"/>
      <c r="GH50" s="1463"/>
      <c r="GI50" s="1463"/>
      <c r="GJ50" s="1463"/>
      <c r="GK50" s="1463"/>
      <c r="GL50" s="1463"/>
      <c r="GM50" s="1463"/>
      <c r="GN50" s="1463"/>
      <c r="GO50" s="1463"/>
      <c r="GP50" s="1463"/>
      <c r="GQ50" s="1463"/>
      <c r="GR50" s="1463"/>
      <c r="GS50" s="1463"/>
      <c r="GT50" s="1463"/>
      <c r="GU50" s="1463"/>
      <c r="GV50" s="1463"/>
      <c r="GW50" s="1463"/>
      <c r="GX50" s="1463"/>
      <c r="GY50" s="1463"/>
      <c r="GZ50" s="1463"/>
      <c r="HA50" s="1463"/>
      <c r="HB50" s="1463"/>
      <c r="HC50" s="1463"/>
      <c r="HD50" s="1463"/>
      <c r="HE50" s="1463"/>
      <c r="HF50" s="1463"/>
      <c r="HG50" s="1463"/>
      <c r="HH50" s="1463"/>
      <c r="HI50" s="1463"/>
      <c r="HJ50" s="1463"/>
      <c r="HK50" s="1463"/>
      <c r="HL50" s="1463"/>
      <c r="HM50" s="1463"/>
      <c r="HN50" s="1463"/>
      <c r="HO50" s="1463"/>
      <c r="HP50" s="1463"/>
      <c r="HQ50" s="1463"/>
      <c r="HR50" s="1463"/>
      <c r="HS50" s="1463"/>
      <c r="HT50" s="1463"/>
    </row>
    <row r="51" spans="1:228">
      <c r="A51" s="1360"/>
      <c r="B51" s="1367"/>
      <c r="C51" s="1476"/>
      <c r="D51" s="1446"/>
      <c r="E51" s="1446"/>
      <c r="F51" s="1810"/>
      <c r="G51" s="1816"/>
      <c r="H51" s="1816"/>
      <c r="I51" s="1816"/>
      <c r="J51" s="1816"/>
      <c r="K51" s="1816"/>
      <c r="L51" s="1816"/>
      <c r="M51" s="1816"/>
      <c r="N51" s="1816"/>
      <c r="O51" s="1816"/>
      <c r="P51" s="1816"/>
      <c r="Q51" s="1816"/>
      <c r="R51" s="1816"/>
      <c r="S51" s="1816"/>
      <c r="T51" s="1463"/>
      <c r="U51" s="1463"/>
      <c r="V51" s="1463"/>
      <c r="W51" s="1463"/>
      <c r="X51" s="1463"/>
      <c r="Y51" s="1463"/>
      <c r="Z51" s="1463"/>
      <c r="AA51" s="1463"/>
      <c r="AB51" s="1463"/>
      <c r="AC51" s="1463"/>
      <c r="AD51" s="1463"/>
      <c r="AE51" s="1463"/>
      <c r="AF51" s="1463"/>
      <c r="AG51" s="1463"/>
      <c r="AH51" s="1463"/>
      <c r="AI51" s="1463"/>
      <c r="AJ51" s="1463"/>
      <c r="AK51" s="1463"/>
      <c r="AL51" s="1463"/>
      <c r="AM51" s="1463"/>
      <c r="AN51" s="1463"/>
      <c r="AO51" s="1463"/>
      <c r="AP51" s="1463"/>
      <c r="AQ51" s="1463"/>
      <c r="AR51" s="1463"/>
      <c r="AS51" s="1463"/>
      <c r="AT51" s="1463"/>
      <c r="AU51" s="1463"/>
      <c r="AV51" s="1463"/>
      <c r="AW51" s="1463"/>
      <c r="AX51" s="1463"/>
      <c r="AY51" s="1463"/>
      <c r="AZ51" s="1463"/>
      <c r="BA51" s="1463"/>
      <c r="BB51" s="1463"/>
      <c r="BC51" s="1463"/>
      <c r="BD51" s="1463"/>
      <c r="BE51" s="1463"/>
      <c r="BF51" s="1463"/>
      <c r="BG51" s="1463"/>
      <c r="BH51" s="1463"/>
      <c r="BI51" s="1463"/>
      <c r="BJ51" s="1463"/>
      <c r="BK51" s="1463"/>
      <c r="BL51" s="1463"/>
      <c r="BM51" s="1463"/>
      <c r="BN51" s="1463"/>
      <c r="BO51" s="1463"/>
      <c r="BP51" s="1463"/>
      <c r="BQ51" s="1463"/>
      <c r="BR51" s="1463"/>
      <c r="BS51" s="1463"/>
      <c r="BT51" s="1463"/>
      <c r="BU51" s="1463"/>
      <c r="BV51" s="1463"/>
      <c r="BW51" s="1463"/>
      <c r="BX51" s="1463"/>
      <c r="BY51" s="1463"/>
      <c r="BZ51" s="1463"/>
      <c r="CA51" s="1463"/>
      <c r="CB51" s="1463"/>
      <c r="CC51" s="1463"/>
      <c r="CD51" s="1463"/>
      <c r="CE51" s="1463"/>
      <c r="CF51" s="1463"/>
      <c r="CG51" s="1463"/>
      <c r="CH51" s="1463"/>
      <c r="CI51" s="1463"/>
      <c r="CJ51" s="1463"/>
      <c r="CK51" s="1463"/>
      <c r="CL51" s="1463"/>
      <c r="CM51" s="1463"/>
      <c r="CN51" s="1463"/>
      <c r="CO51" s="1463"/>
      <c r="CP51" s="1463"/>
      <c r="CQ51" s="1463"/>
      <c r="CR51" s="1463"/>
      <c r="CS51" s="1463"/>
      <c r="CT51" s="1463"/>
      <c r="CU51" s="1463"/>
      <c r="CV51" s="1463"/>
      <c r="CW51" s="1463"/>
      <c r="CX51" s="1463"/>
      <c r="CY51" s="1463"/>
      <c r="CZ51" s="1463"/>
      <c r="DA51" s="1463"/>
      <c r="DB51" s="1463"/>
      <c r="DC51" s="1463"/>
      <c r="DD51" s="1463"/>
      <c r="DE51" s="1463"/>
      <c r="DF51" s="1463"/>
      <c r="DG51" s="1463"/>
      <c r="DH51" s="1463"/>
      <c r="DI51" s="1463"/>
      <c r="DJ51" s="1463"/>
      <c r="DK51" s="1463"/>
      <c r="DL51" s="1463"/>
      <c r="DM51" s="1463"/>
      <c r="DN51" s="1463"/>
      <c r="DO51" s="1463"/>
      <c r="DP51" s="1463"/>
      <c r="DQ51" s="1463"/>
      <c r="DR51" s="1463"/>
      <c r="DS51" s="1463"/>
      <c r="DT51" s="1463"/>
      <c r="DU51" s="1463"/>
      <c r="DV51" s="1463"/>
      <c r="DW51" s="1463"/>
      <c r="DX51" s="1463"/>
      <c r="DY51" s="1463"/>
      <c r="DZ51" s="1463"/>
      <c r="EA51" s="1463"/>
      <c r="EB51" s="1463"/>
      <c r="EC51" s="1463"/>
      <c r="ED51" s="1463"/>
      <c r="EE51" s="1463"/>
      <c r="EF51" s="1463"/>
      <c r="EG51" s="1463"/>
      <c r="EH51" s="1463"/>
      <c r="EI51" s="1463"/>
      <c r="EJ51" s="1463"/>
      <c r="EK51" s="1463"/>
      <c r="EL51" s="1463"/>
      <c r="EM51" s="1463"/>
      <c r="EN51" s="1463"/>
      <c r="EO51" s="1463"/>
      <c r="EP51" s="1463"/>
      <c r="EQ51" s="1463"/>
      <c r="ER51" s="1463"/>
      <c r="ES51" s="1463"/>
      <c r="ET51" s="1463"/>
      <c r="EU51" s="1463"/>
      <c r="EV51" s="1463"/>
      <c r="EW51" s="1463"/>
      <c r="EX51" s="1463"/>
      <c r="EY51" s="1463"/>
      <c r="EZ51" s="1463"/>
      <c r="FA51" s="1463"/>
      <c r="FB51" s="1463"/>
      <c r="FC51" s="1463"/>
      <c r="FD51" s="1463"/>
      <c r="FE51" s="1463"/>
      <c r="FF51" s="1463"/>
      <c r="FG51" s="1463"/>
      <c r="FH51" s="1463"/>
      <c r="FI51" s="1463"/>
      <c r="FJ51" s="1463"/>
      <c r="FK51" s="1463"/>
      <c r="FL51" s="1463"/>
      <c r="FM51" s="1463"/>
      <c r="FN51" s="1463"/>
      <c r="FO51" s="1463"/>
      <c r="FP51" s="1463"/>
      <c r="FQ51" s="1463"/>
      <c r="FR51" s="1463"/>
      <c r="FS51" s="1463"/>
      <c r="FT51" s="1463"/>
      <c r="FU51" s="1463"/>
      <c r="FV51" s="1463"/>
      <c r="FW51" s="1463"/>
      <c r="FX51" s="1463"/>
      <c r="FY51" s="1463"/>
      <c r="FZ51" s="1463"/>
      <c r="GA51" s="1463"/>
      <c r="GB51" s="1463"/>
      <c r="GC51" s="1463"/>
      <c r="GD51" s="1463"/>
      <c r="GE51" s="1463"/>
      <c r="GF51" s="1463"/>
      <c r="GG51" s="1463"/>
      <c r="GH51" s="1463"/>
      <c r="GI51" s="1463"/>
      <c r="GJ51" s="1463"/>
      <c r="GK51" s="1463"/>
      <c r="GL51" s="1463"/>
      <c r="GM51" s="1463"/>
      <c r="GN51" s="1463"/>
      <c r="GO51" s="1463"/>
      <c r="GP51" s="1463"/>
      <c r="GQ51" s="1463"/>
      <c r="GR51" s="1463"/>
      <c r="GS51" s="1463"/>
      <c r="GT51" s="1463"/>
      <c r="GU51" s="1463"/>
      <c r="GV51" s="1463"/>
      <c r="GW51" s="1463"/>
      <c r="GX51" s="1463"/>
      <c r="GY51" s="1463"/>
      <c r="GZ51" s="1463"/>
      <c r="HA51" s="1463"/>
      <c r="HB51" s="1463"/>
      <c r="HC51" s="1463"/>
      <c r="HD51" s="1463"/>
      <c r="HE51" s="1463"/>
      <c r="HF51" s="1463"/>
      <c r="HG51" s="1463"/>
      <c r="HH51" s="1463"/>
      <c r="HI51" s="1463"/>
      <c r="HJ51" s="1463"/>
      <c r="HK51" s="1463"/>
      <c r="HL51" s="1463"/>
      <c r="HM51" s="1463"/>
      <c r="HN51" s="1463"/>
      <c r="HO51" s="1463"/>
      <c r="HP51" s="1463"/>
      <c r="HQ51" s="1463"/>
      <c r="HR51" s="1463"/>
      <c r="HS51" s="1463"/>
      <c r="HT51" s="1463"/>
    </row>
    <row r="52" spans="1:228">
      <c r="A52" s="1360"/>
      <c r="B52" s="1367"/>
      <c r="C52" s="1476">
        <f>+MAX($C$10:C51)+1</f>
        <v>34</v>
      </c>
      <c r="D52" s="1446" t="s">
        <v>2216</v>
      </c>
      <c r="E52" s="1446"/>
      <c r="F52" s="1810"/>
      <c r="G52" s="1816">
        <f>'Fin Forecast - Consolidated'!I80</f>
        <v>6.9366360833637435</v>
      </c>
      <c r="H52" s="1816">
        <f>'Fin Forecast - Consolidated'!J80</f>
        <v>10.798615840978993</v>
      </c>
      <c r="I52" s="1816">
        <f>'Fin Forecast - Consolidated'!K80</f>
        <v>11.243122201029101</v>
      </c>
      <c r="J52" s="1816">
        <f>'Fin Forecast - Consolidated'!L80</f>
        <v>8.4798079072927042</v>
      </c>
      <c r="K52" s="1816">
        <f>'Fin Forecast - Consolidated'!M80</f>
        <v>7.9555256540120292</v>
      </c>
      <c r="L52" s="1816">
        <f>'Fin Forecast - Consolidated'!N80</f>
        <v>3.848557892321915</v>
      </c>
      <c r="M52" s="1816">
        <f>'Fin Forecast - Consolidated'!O80</f>
        <v>3.7364266022950554</v>
      </c>
      <c r="N52" s="1816">
        <f>'Fin Forecast - Consolidated'!P80</f>
        <v>4.2579358136207075</v>
      </c>
      <c r="O52" s="1816">
        <f>'Fin Forecast - Consolidated'!Q80</f>
        <v>4.8026126119241077</v>
      </c>
      <c r="P52" s="1816">
        <f>'Fin Forecast - Consolidated'!R80</f>
        <v>5.8687348926906138</v>
      </c>
      <c r="Q52" s="1816">
        <f>'Fin Forecast - Consolidated'!S80</f>
        <v>16.601835252575203</v>
      </c>
      <c r="R52" s="1816">
        <f>'Fin Forecast - Consolidated'!T80</f>
        <v>18.394165563597618</v>
      </c>
      <c r="S52" s="1816">
        <f>'Fin Forecast - Consolidated'!U80</f>
        <v>21.429906934160154</v>
      </c>
      <c r="T52" s="1463"/>
      <c r="U52" s="1463"/>
      <c r="V52" s="1463"/>
      <c r="W52" s="1463"/>
      <c r="X52" s="1463"/>
      <c r="Y52" s="1463"/>
      <c r="Z52" s="1463"/>
      <c r="AA52" s="1463"/>
      <c r="AB52" s="1463"/>
      <c r="AC52" s="1463"/>
      <c r="AD52" s="1463"/>
      <c r="AE52" s="1463"/>
      <c r="AF52" s="1463"/>
      <c r="AG52" s="1463"/>
      <c r="AH52" s="1463"/>
      <c r="AI52" s="1463"/>
      <c r="AJ52" s="1463"/>
      <c r="AK52" s="1463"/>
      <c r="AL52" s="1463"/>
      <c r="AM52" s="1463"/>
      <c r="AN52" s="1463"/>
      <c r="AO52" s="1463"/>
      <c r="AP52" s="1463"/>
      <c r="AQ52" s="1463"/>
      <c r="AR52" s="1463"/>
      <c r="AS52" s="1463"/>
      <c r="AT52" s="1463"/>
      <c r="AU52" s="1463"/>
      <c r="AV52" s="1463"/>
      <c r="AW52" s="1463"/>
      <c r="AX52" s="1463"/>
      <c r="AY52" s="1463"/>
      <c r="AZ52" s="1463"/>
      <c r="BA52" s="1463"/>
      <c r="BB52" s="1463"/>
      <c r="BC52" s="1463"/>
      <c r="BD52" s="1463"/>
      <c r="BE52" s="1463"/>
      <c r="BF52" s="1463"/>
      <c r="BG52" s="1463"/>
      <c r="BH52" s="1463"/>
      <c r="BI52" s="1463"/>
      <c r="BJ52" s="1463"/>
      <c r="BK52" s="1463"/>
      <c r="BL52" s="1463"/>
      <c r="BM52" s="1463"/>
      <c r="BN52" s="1463"/>
      <c r="BO52" s="1463"/>
      <c r="BP52" s="1463"/>
      <c r="BQ52" s="1463"/>
      <c r="BR52" s="1463"/>
      <c r="BS52" s="1463"/>
      <c r="BT52" s="1463"/>
      <c r="BU52" s="1463"/>
      <c r="BV52" s="1463"/>
      <c r="BW52" s="1463"/>
      <c r="BX52" s="1463"/>
      <c r="BY52" s="1463"/>
      <c r="BZ52" s="1463"/>
      <c r="CA52" s="1463"/>
      <c r="CB52" s="1463"/>
      <c r="CC52" s="1463"/>
      <c r="CD52" s="1463"/>
      <c r="CE52" s="1463"/>
      <c r="CF52" s="1463"/>
      <c r="CG52" s="1463"/>
      <c r="CH52" s="1463"/>
      <c r="CI52" s="1463"/>
      <c r="CJ52" s="1463"/>
      <c r="CK52" s="1463"/>
      <c r="CL52" s="1463"/>
      <c r="CM52" s="1463"/>
      <c r="CN52" s="1463"/>
      <c r="CO52" s="1463"/>
      <c r="CP52" s="1463"/>
      <c r="CQ52" s="1463"/>
      <c r="CR52" s="1463"/>
      <c r="CS52" s="1463"/>
      <c r="CT52" s="1463"/>
      <c r="CU52" s="1463"/>
      <c r="CV52" s="1463"/>
      <c r="CW52" s="1463"/>
      <c r="CX52" s="1463"/>
      <c r="CY52" s="1463"/>
      <c r="CZ52" s="1463"/>
      <c r="DA52" s="1463"/>
      <c r="DB52" s="1463"/>
      <c r="DC52" s="1463"/>
      <c r="DD52" s="1463"/>
      <c r="DE52" s="1463"/>
      <c r="DF52" s="1463"/>
      <c r="DG52" s="1463"/>
      <c r="DH52" s="1463"/>
      <c r="DI52" s="1463"/>
      <c r="DJ52" s="1463"/>
      <c r="DK52" s="1463"/>
      <c r="DL52" s="1463"/>
      <c r="DM52" s="1463"/>
      <c r="DN52" s="1463"/>
      <c r="DO52" s="1463"/>
      <c r="DP52" s="1463"/>
      <c r="DQ52" s="1463"/>
      <c r="DR52" s="1463"/>
      <c r="DS52" s="1463"/>
      <c r="DT52" s="1463"/>
      <c r="DU52" s="1463"/>
      <c r="DV52" s="1463"/>
      <c r="DW52" s="1463"/>
      <c r="DX52" s="1463"/>
      <c r="DY52" s="1463"/>
      <c r="DZ52" s="1463"/>
      <c r="EA52" s="1463"/>
      <c r="EB52" s="1463"/>
      <c r="EC52" s="1463"/>
      <c r="ED52" s="1463"/>
      <c r="EE52" s="1463"/>
      <c r="EF52" s="1463"/>
      <c r="EG52" s="1463"/>
      <c r="EH52" s="1463"/>
      <c r="EI52" s="1463"/>
      <c r="EJ52" s="1463"/>
      <c r="EK52" s="1463"/>
      <c r="EL52" s="1463"/>
      <c r="EM52" s="1463"/>
      <c r="EN52" s="1463"/>
      <c r="EO52" s="1463"/>
      <c r="EP52" s="1463"/>
      <c r="EQ52" s="1463"/>
      <c r="ER52" s="1463"/>
      <c r="ES52" s="1463"/>
      <c r="ET52" s="1463"/>
      <c r="EU52" s="1463"/>
      <c r="EV52" s="1463"/>
      <c r="EW52" s="1463"/>
      <c r="EX52" s="1463"/>
      <c r="EY52" s="1463"/>
      <c r="EZ52" s="1463"/>
      <c r="FA52" s="1463"/>
      <c r="FB52" s="1463"/>
      <c r="FC52" s="1463"/>
      <c r="FD52" s="1463"/>
      <c r="FE52" s="1463"/>
      <c r="FF52" s="1463"/>
      <c r="FG52" s="1463"/>
      <c r="FH52" s="1463"/>
      <c r="FI52" s="1463"/>
      <c r="FJ52" s="1463"/>
      <c r="FK52" s="1463"/>
      <c r="FL52" s="1463"/>
      <c r="FM52" s="1463"/>
      <c r="FN52" s="1463"/>
      <c r="FO52" s="1463"/>
      <c r="FP52" s="1463"/>
      <c r="FQ52" s="1463"/>
      <c r="FR52" s="1463"/>
      <c r="FS52" s="1463"/>
      <c r="FT52" s="1463"/>
      <c r="FU52" s="1463"/>
      <c r="FV52" s="1463"/>
      <c r="FW52" s="1463"/>
      <c r="FX52" s="1463"/>
      <c r="FY52" s="1463"/>
      <c r="FZ52" s="1463"/>
      <c r="GA52" s="1463"/>
      <c r="GB52" s="1463"/>
      <c r="GC52" s="1463"/>
      <c r="GD52" s="1463"/>
      <c r="GE52" s="1463"/>
      <c r="GF52" s="1463"/>
      <c r="GG52" s="1463"/>
      <c r="GH52" s="1463"/>
      <c r="GI52" s="1463"/>
      <c r="GJ52" s="1463"/>
      <c r="GK52" s="1463"/>
      <c r="GL52" s="1463"/>
      <c r="GM52" s="1463"/>
      <c r="GN52" s="1463"/>
      <c r="GO52" s="1463"/>
      <c r="GP52" s="1463"/>
      <c r="GQ52" s="1463"/>
      <c r="GR52" s="1463"/>
      <c r="GS52" s="1463"/>
      <c r="GT52" s="1463"/>
      <c r="GU52" s="1463"/>
      <c r="GV52" s="1463"/>
      <c r="GW52" s="1463"/>
      <c r="GX52" s="1463"/>
      <c r="GY52" s="1463"/>
      <c r="GZ52" s="1463"/>
      <c r="HA52" s="1463"/>
      <c r="HB52" s="1463"/>
      <c r="HC52" s="1463"/>
      <c r="HD52" s="1463"/>
      <c r="HE52" s="1463"/>
      <c r="HF52" s="1463"/>
      <c r="HG52" s="1463"/>
      <c r="HH52" s="1463"/>
      <c r="HI52" s="1463"/>
      <c r="HJ52" s="1463"/>
      <c r="HK52" s="1463"/>
      <c r="HL52" s="1463"/>
      <c r="HM52" s="1463"/>
      <c r="HN52" s="1463"/>
      <c r="HO52" s="1463"/>
      <c r="HP52" s="1463"/>
      <c r="HQ52" s="1463"/>
      <c r="HR52" s="1463"/>
      <c r="HS52" s="1463"/>
      <c r="HT52" s="1463"/>
    </row>
    <row r="53" spans="1:228">
      <c r="A53" s="1360"/>
      <c r="B53" s="1367"/>
      <c r="C53" s="1476">
        <f>+MAX($C$10:C52)+1</f>
        <v>35</v>
      </c>
      <c r="D53" s="1446" t="s">
        <v>2222</v>
      </c>
      <c r="E53" s="1446"/>
      <c r="F53" s="1810"/>
      <c r="G53" s="1816">
        <f>'Fin Forecast - Consolidated'!I103</f>
        <v>0</v>
      </c>
      <c r="H53" s="1816">
        <f>'Fin Forecast - Consolidated'!J103</f>
        <v>0</v>
      </c>
      <c r="I53" s="1816">
        <f>'Fin Forecast - Consolidated'!K103</f>
        <v>0</v>
      </c>
      <c r="J53" s="1816">
        <f>'Fin Forecast - Consolidated'!L103</f>
        <v>0</v>
      </c>
      <c r="K53" s="1816">
        <f>'Fin Forecast - Consolidated'!M103</f>
        <v>0</v>
      </c>
      <c r="L53" s="1816">
        <f>'Fin Forecast - Consolidated'!N103</f>
        <v>0</v>
      </c>
      <c r="M53" s="1816">
        <f>'Fin Forecast - Consolidated'!O103</f>
        <v>0</v>
      </c>
      <c r="N53" s="1816">
        <f>'Fin Forecast - Consolidated'!P103</f>
        <v>0</v>
      </c>
      <c r="O53" s="1816">
        <f>'Fin Forecast - Consolidated'!Q103</f>
        <v>0</v>
      </c>
      <c r="P53" s="1816">
        <f>'Fin Forecast - Consolidated'!R103</f>
        <v>0</v>
      </c>
      <c r="Q53" s="1816">
        <f>'Fin Forecast - Consolidated'!S103</f>
        <v>0</v>
      </c>
      <c r="R53" s="1816">
        <f>'Fin Forecast - Consolidated'!T103</f>
        <v>0</v>
      </c>
      <c r="S53" s="1816">
        <f>'Fin Forecast - Consolidated'!U103</f>
        <v>0</v>
      </c>
      <c r="T53" s="1463"/>
      <c r="U53" s="1463"/>
      <c r="V53" s="1463"/>
      <c r="W53" s="1463"/>
      <c r="X53" s="1463"/>
      <c r="Y53" s="1463"/>
      <c r="Z53" s="1463"/>
      <c r="AA53" s="1463"/>
      <c r="AB53" s="1463"/>
      <c r="AC53" s="1463"/>
      <c r="AD53" s="1463"/>
      <c r="AE53" s="1463"/>
      <c r="AF53" s="1463"/>
      <c r="AG53" s="1463"/>
      <c r="AH53" s="1463"/>
      <c r="AI53" s="1463"/>
      <c r="AJ53" s="1463"/>
      <c r="AK53" s="1463"/>
      <c r="AL53" s="1463"/>
      <c r="AM53" s="1463"/>
      <c r="AN53" s="1463"/>
      <c r="AO53" s="1463"/>
      <c r="AP53" s="1463"/>
      <c r="AQ53" s="1463"/>
      <c r="AR53" s="1463"/>
      <c r="AS53" s="1463"/>
      <c r="AT53" s="1463"/>
      <c r="AU53" s="1463"/>
      <c r="AV53" s="1463"/>
      <c r="AW53" s="1463"/>
      <c r="AX53" s="1463"/>
      <c r="AY53" s="1463"/>
      <c r="AZ53" s="1463"/>
      <c r="BA53" s="1463"/>
      <c r="BB53" s="1463"/>
      <c r="BC53" s="1463"/>
      <c r="BD53" s="1463"/>
      <c r="BE53" s="1463"/>
      <c r="BF53" s="1463"/>
      <c r="BG53" s="1463"/>
      <c r="BH53" s="1463"/>
      <c r="BI53" s="1463"/>
      <c r="BJ53" s="1463"/>
      <c r="BK53" s="1463"/>
      <c r="BL53" s="1463"/>
      <c r="BM53" s="1463"/>
      <c r="BN53" s="1463"/>
      <c r="BO53" s="1463"/>
      <c r="BP53" s="1463"/>
      <c r="BQ53" s="1463"/>
      <c r="BR53" s="1463"/>
      <c r="BS53" s="1463"/>
      <c r="BT53" s="1463"/>
      <c r="BU53" s="1463"/>
      <c r="BV53" s="1463"/>
      <c r="BW53" s="1463"/>
      <c r="BX53" s="1463"/>
      <c r="BY53" s="1463"/>
      <c r="BZ53" s="1463"/>
      <c r="CA53" s="1463"/>
      <c r="CB53" s="1463"/>
      <c r="CC53" s="1463"/>
      <c r="CD53" s="1463"/>
      <c r="CE53" s="1463"/>
      <c r="CF53" s="1463"/>
      <c r="CG53" s="1463"/>
      <c r="CH53" s="1463"/>
      <c r="CI53" s="1463"/>
      <c r="CJ53" s="1463"/>
      <c r="CK53" s="1463"/>
      <c r="CL53" s="1463"/>
      <c r="CM53" s="1463"/>
      <c r="CN53" s="1463"/>
      <c r="CO53" s="1463"/>
      <c r="CP53" s="1463"/>
      <c r="CQ53" s="1463"/>
      <c r="CR53" s="1463"/>
      <c r="CS53" s="1463"/>
      <c r="CT53" s="1463"/>
      <c r="CU53" s="1463"/>
      <c r="CV53" s="1463"/>
      <c r="CW53" s="1463"/>
      <c r="CX53" s="1463"/>
      <c r="CY53" s="1463"/>
      <c r="CZ53" s="1463"/>
      <c r="DA53" s="1463"/>
      <c r="DB53" s="1463"/>
      <c r="DC53" s="1463"/>
      <c r="DD53" s="1463"/>
      <c r="DE53" s="1463"/>
      <c r="DF53" s="1463"/>
      <c r="DG53" s="1463"/>
      <c r="DH53" s="1463"/>
      <c r="DI53" s="1463"/>
      <c r="DJ53" s="1463"/>
      <c r="DK53" s="1463"/>
      <c r="DL53" s="1463"/>
      <c r="DM53" s="1463"/>
      <c r="DN53" s="1463"/>
      <c r="DO53" s="1463"/>
      <c r="DP53" s="1463"/>
      <c r="DQ53" s="1463"/>
      <c r="DR53" s="1463"/>
      <c r="DS53" s="1463"/>
      <c r="DT53" s="1463"/>
      <c r="DU53" s="1463"/>
      <c r="DV53" s="1463"/>
      <c r="DW53" s="1463"/>
      <c r="DX53" s="1463"/>
      <c r="DY53" s="1463"/>
      <c r="DZ53" s="1463"/>
      <c r="EA53" s="1463"/>
      <c r="EB53" s="1463"/>
      <c r="EC53" s="1463"/>
      <c r="ED53" s="1463"/>
      <c r="EE53" s="1463"/>
      <c r="EF53" s="1463"/>
      <c r="EG53" s="1463"/>
      <c r="EH53" s="1463"/>
      <c r="EI53" s="1463"/>
      <c r="EJ53" s="1463"/>
      <c r="EK53" s="1463"/>
      <c r="EL53" s="1463"/>
      <c r="EM53" s="1463"/>
      <c r="EN53" s="1463"/>
      <c r="EO53" s="1463"/>
      <c r="EP53" s="1463"/>
      <c r="EQ53" s="1463"/>
      <c r="ER53" s="1463"/>
      <c r="ES53" s="1463"/>
      <c r="ET53" s="1463"/>
      <c r="EU53" s="1463"/>
      <c r="EV53" s="1463"/>
      <c r="EW53" s="1463"/>
      <c r="EX53" s="1463"/>
      <c r="EY53" s="1463"/>
      <c r="EZ53" s="1463"/>
      <c r="FA53" s="1463"/>
      <c r="FB53" s="1463"/>
      <c r="FC53" s="1463"/>
      <c r="FD53" s="1463"/>
      <c r="FE53" s="1463"/>
      <c r="FF53" s="1463"/>
      <c r="FG53" s="1463"/>
      <c r="FH53" s="1463"/>
      <c r="FI53" s="1463"/>
      <c r="FJ53" s="1463"/>
      <c r="FK53" s="1463"/>
      <c r="FL53" s="1463"/>
      <c r="FM53" s="1463"/>
      <c r="FN53" s="1463"/>
      <c r="FO53" s="1463"/>
      <c r="FP53" s="1463"/>
      <c r="FQ53" s="1463"/>
      <c r="FR53" s="1463"/>
      <c r="FS53" s="1463"/>
      <c r="FT53" s="1463"/>
      <c r="FU53" s="1463"/>
      <c r="FV53" s="1463"/>
      <c r="FW53" s="1463"/>
      <c r="FX53" s="1463"/>
      <c r="FY53" s="1463"/>
      <c r="FZ53" s="1463"/>
      <c r="GA53" s="1463"/>
      <c r="GB53" s="1463"/>
      <c r="GC53" s="1463"/>
      <c r="GD53" s="1463"/>
      <c r="GE53" s="1463"/>
      <c r="GF53" s="1463"/>
      <c r="GG53" s="1463"/>
      <c r="GH53" s="1463"/>
      <c r="GI53" s="1463"/>
      <c r="GJ53" s="1463"/>
      <c r="GK53" s="1463"/>
      <c r="GL53" s="1463"/>
      <c r="GM53" s="1463"/>
      <c r="GN53" s="1463"/>
      <c r="GO53" s="1463"/>
      <c r="GP53" s="1463"/>
      <c r="GQ53" s="1463"/>
      <c r="GR53" s="1463"/>
      <c r="GS53" s="1463"/>
      <c r="GT53" s="1463"/>
      <c r="GU53" s="1463"/>
      <c r="GV53" s="1463"/>
      <c r="GW53" s="1463"/>
      <c r="GX53" s="1463"/>
      <c r="GY53" s="1463"/>
      <c r="GZ53" s="1463"/>
      <c r="HA53" s="1463"/>
      <c r="HB53" s="1463"/>
      <c r="HC53" s="1463"/>
      <c r="HD53" s="1463"/>
      <c r="HE53" s="1463"/>
      <c r="HF53" s="1463"/>
      <c r="HG53" s="1463"/>
      <c r="HH53" s="1463"/>
      <c r="HI53" s="1463"/>
      <c r="HJ53" s="1463"/>
      <c r="HK53" s="1463"/>
      <c r="HL53" s="1463"/>
      <c r="HM53" s="1463"/>
      <c r="HN53" s="1463"/>
      <c r="HO53" s="1463"/>
      <c r="HP53" s="1463"/>
      <c r="HQ53" s="1463"/>
      <c r="HR53" s="1463"/>
      <c r="HS53" s="1463"/>
      <c r="HT53" s="1463"/>
    </row>
    <row r="54" spans="1:228">
      <c r="A54" s="1360"/>
      <c r="B54" s="1367"/>
      <c r="C54" s="1476">
        <f>+MAX($C$10:C53)+1</f>
        <v>36</v>
      </c>
      <c r="D54" s="1446" t="s">
        <v>2217</v>
      </c>
      <c r="E54" s="1446"/>
      <c r="F54" s="1810"/>
      <c r="G54" s="1816">
        <f>'Fin Forecast - Consolidated'!I101</f>
        <v>1.9052960099563268</v>
      </c>
      <c r="H54" s="1816">
        <f>'Fin Forecast - Consolidated'!J101</f>
        <v>2.2053877093106844</v>
      </c>
      <c r="I54" s="1816">
        <f>'Fin Forecast - Consolidated'!K101</f>
        <v>2.0326194378707929</v>
      </c>
      <c r="J54" s="1816">
        <f>'Fin Forecast - Consolidated'!L101</f>
        <v>1.8347171154084658</v>
      </c>
      <c r="K54" s="1816">
        <f>'Fin Forecast - Consolidated'!M101</f>
        <v>1.8335806561984245</v>
      </c>
      <c r="L54" s="1816">
        <f>'Fin Forecast - Consolidated'!N101</f>
        <v>1.6768128507708637</v>
      </c>
      <c r="M54" s="1816">
        <f>'Fin Forecast - Consolidated'!O101</f>
        <v>1.6401311104624678</v>
      </c>
      <c r="N54" s="1816">
        <f>'Fin Forecast - Consolidated'!P101</f>
        <v>1.7605063054862371</v>
      </c>
      <c r="O54" s="1816">
        <f>'Fin Forecast - Consolidated'!Q101</f>
        <v>1.8471894676830956</v>
      </c>
      <c r="P54" s="1816">
        <f>'Fin Forecast - Consolidated'!R101</f>
        <v>2.0207666882606268</v>
      </c>
      <c r="Q54" s="1816">
        <f>'Fin Forecast - Consolidated'!S101</f>
        <v>2.3287728596312101</v>
      </c>
      <c r="R54" s="1816">
        <f>'Fin Forecast - Consolidated'!T101</f>
        <v>2.3017753193014703</v>
      </c>
      <c r="S54" s="1816">
        <f>'Fin Forecast - Consolidated'!U101</f>
        <v>2.3180316451599361</v>
      </c>
      <c r="T54" s="1463"/>
      <c r="U54" s="1463"/>
      <c r="V54" s="1463"/>
      <c r="W54" s="1463"/>
      <c r="X54" s="1463"/>
      <c r="Y54" s="1463"/>
      <c r="Z54" s="1463"/>
      <c r="AA54" s="1463"/>
      <c r="AB54" s="1463"/>
      <c r="AC54" s="1463"/>
      <c r="AD54" s="1463"/>
      <c r="AE54" s="1463"/>
      <c r="AF54" s="1463"/>
      <c r="AG54" s="1463"/>
      <c r="AH54" s="1463"/>
      <c r="AI54" s="1463"/>
      <c r="AJ54" s="1463"/>
      <c r="AK54" s="1463"/>
      <c r="AL54" s="1463"/>
      <c r="AM54" s="1463"/>
      <c r="AN54" s="1463"/>
      <c r="AO54" s="1463"/>
      <c r="AP54" s="1463"/>
      <c r="AQ54" s="1463"/>
      <c r="AR54" s="1463"/>
      <c r="AS54" s="1463"/>
      <c r="AT54" s="1463"/>
      <c r="AU54" s="1463"/>
      <c r="AV54" s="1463"/>
      <c r="AW54" s="1463"/>
      <c r="AX54" s="1463"/>
      <c r="AY54" s="1463"/>
      <c r="AZ54" s="1463"/>
      <c r="BA54" s="1463"/>
      <c r="BB54" s="1463"/>
      <c r="BC54" s="1463"/>
      <c r="BD54" s="1463"/>
      <c r="BE54" s="1463"/>
      <c r="BF54" s="1463"/>
      <c r="BG54" s="1463"/>
      <c r="BH54" s="1463"/>
      <c r="BI54" s="1463"/>
      <c r="BJ54" s="1463"/>
      <c r="BK54" s="1463"/>
      <c r="BL54" s="1463"/>
      <c r="BM54" s="1463"/>
      <c r="BN54" s="1463"/>
      <c r="BO54" s="1463"/>
      <c r="BP54" s="1463"/>
      <c r="BQ54" s="1463"/>
      <c r="BR54" s="1463"/>
      <c r="BS54" s="1463"/>
      <c r="BT54" s="1463"/>
      <c r="BU54" s="1463"/>
      <c r="BV54" s="1463"/>
      <c r="BW54" s="1463"/>
      <c r="BX54" s="1463"/>
      <c r="BY54" s="1463"/>
      <c r="BZ54" s="1463"/>
      <c r="CA54" s="1463"/>
      <c r="CB54" s="1463"/>
      <c r="CC54" s="1463"/>
      <c r="CD54" s="1463"/>
      <c r="CE54" s="1463"/>
      <c r="CF54" s="1463"/>
      <c r="CG54" s="1463"/>
      <c r="CH54" s="1463"/>
      <c r="CI54" s="1463"/>
      <c r="CJ54" s="1463"/>
      <c r="CK54" s="1463"/>
      <c r="CL54" s="1463"/>
      <c r="CM54" s="1463"/>
      <c r="CN54" s="1463"/>
      <c r="CO54" s="1463"/>
      <c r="CP54" s="1463"/>
      <c r="CQ54" s="1463"/>
      <c r="CR54" s="1463"/>
      <c r="CS54" s="1463"/>
      <c r="CT54" s="1463"/>
      <c r="CU54" s="1463"/>
      <c r="CV54" s="1463"/>
      <c r="CW54" s="1463"/>
      <c r="CX54" s="1463"/>
      <c r="CY54" s="1463"/>
      <c r="CZ54" s="1463"/>
      <c r="DA54" s="1463"/>
      <c r="DB54" s="1463"/>
      <c r="DC54" s="1463"/>
      <c r="DD54" s="1463"/>
      <c r="DE54" s="1463"/>
      <c r="DF54" s="1463"/>
      <c r="DG54" s="1463"/>
      <c r="DH54" s="1463"/>
      <c r="DI54" s="1463"/>
      <c r="DJ54" s="1463"/>
      <c r="DK54" s="1463"/>
      <c r="DL54" s="1463"/>
      <c r="DM54" s="1463"/>
      <c r="DN54" s="1463"/>
      <c r="DO54" s="1463"/>
      <c r="DP54" s="1463"/>
      <c r="DQ54" s="1463"/>
      <c r="DR54" s="1463"/>
      <c r="DS54" s="1463"/>
      <c r="DT54" s="1463"/>
      <c r="DU54" s="1463"/>
      <c r="DV54" s="1463"/>
      <c r="DW54" s="1463"/>
      <c r="DX54" s="1463"/>
      <c r="DY54" s="1463"/>
      <c r="DZ54" s="1463"/>
      <c r="EA54" s="1463"/>
      <c r="EB54" s="1463"/>
      <c r="EC54" s="1463"/>
      <c r="ED54" s="1463"/>
      <c r="EE54" s="1463"/>
      <c r="EF54" s="1463"/>
      <c r="EG54" s="1463"/>
      <c r="EH54" s="1463"/>
      <c r="EI54" s="1463"/>
      <c r="EJ54" s="1463"/>
      <c r="EK54" s="1463"/>
      <c r="EL54" s="1463"/>
      <c r="EM54" s="1463"/>
      <c r="EN54" s="1463"/>
      <c r="EO54" s="1463"/>
      <c r="EP54" s="1463"/>
      <c r="EQ54" s="1463"/>
      <c r="ER54" s="1463"/>
      <c r="ES54" s="1463"/>
      <c r="ET54" s="1463"/>
      <c r="EU54" s="1463"/>
      <c r="EV54" s="1463"/>
      <c r="EW54" s="1463"/>
      <c r="EX54" s="1463"/>
      <c r="EY54" s="1463"/>
      <c r="EZ54" s="1463"/>
      <c r="FA54" s="1463"/>
      <c r="FB54" s="1463"/>
      <c r="FC54" s="1463"/>
      <c r="FD54" s="1463"/>
      <c r="FE54" s="1463"/>
      <c r="FF54" s="1463"/>
      <c r="FG54" s="1463"/>
      <c r="FH54" s="1463"/>
      <c r="FI54" s="1463"/>
      <c r="FJ54" s="1463"/>
      <c r="FK54" s="1463"/>
      <c r="FL54" s="1463"/>
      <c r="FM54" s="1463"/>
      <c r="FN54" s="1463"/>
      <c r="FO54" s="1463"/>
      <c r="FP54" s="1463"/>
      <c r="FQ54" s="1463"/>
      <c r="FR54" s="1463"/>
      <c r="FS54" s="1463"/>
      <c r="FT54" s="1463"/>
      <c r="FU54" s="1463"/>
      <c r="FV54" s="1463"/>
      <c r="FW54" s="1463"/>
      <c r="FX54" s="1463"/>
      <c r="FY54" s="1463"/>
      <c r="FZ54" s="1463"/>
      <c r="GA54" s="1463"/>
      <c r="GB54" s="1463"/>
      <c r="GC54" s="1463"/>
      <c r="GD54" s="1463"/>
      <c r="GE54" s="1463"/>
      <c r="GF54" s="1463"/>
      <c r="GG54" s="1463"/>
      <c r="GH54" s="1463"/>
      <c r="GI54" s="1463"/>
      <c r="GJ54" s="1463"/>
      <c r="GK54" s="1463"/>
      <c r="GL54" s="1463"/>
      <c r="GM54" s="1463"/>
      <c r="GN54" s="1463"/>
      <c r="GO54" s="1463"/>
      <c r="GP54" s="1463"/>
      <c r="GQ54" s="1463"/>
      <c r="GR54" s="1463"/>
      <c r="GS54" s="1463"/>
      <c r="GT54" s="1463"/>
      <c r="GU54" s="1463"/>
      <c r="GV54" s="1463"/>
      <c r="GW54" s="1463"/>
      <c r="GX54" s="1463"/>
      <c r="GY54" s="1463"/>
      <c r="GZ54" s="1463"/>
      <c r="HA54" s="1463"/>
      <c r="HB54" s="1463"/>
      <c r="HC54" s="1463"/>
      <c r="HD54" s="1463"/>
      <c r="HE54" s="1463"/>
      <c r="HF54" s="1463"/>
      <c r="HG54" s="1463"/>
      <c r="HH54" s="1463"/>
      <c r="HI54" s="1463"/>
      <c r="HJ54" s="1463"/>
      <c r="HK54" s="1463"/>
      <c r="HL54" s="1463"/>
      <c r="HM54" s="1463"/>
      <c r="HN54" s="1463"/>
      <c r="HO54" s="1463"/>
      <c r="HP54" s="1463"/>
      <c r="HQ54" s="1463"/>
      <c r="HR54" s="1463"/>
      <c r="HS54" s="1463"/>
      <c r="HT54" s="1463"/>
    </row>
    <row r="55" spans="1:228">
      <c r="A55" s="1360"/>
      <c r="B55" s="1367"/>
      <c r="C55" s="1476"/>
      <c r="D55" s="1446"/>
      <c r="E55" s="1446"/>
      <c r="F55" s="1810"/>
      <c r="G55" s="1816"/>
      <c r="H55" s="1816"/>
      <c r="I55" s="1816"/>
      <c r="J55" s="1816"/>
      <c r="K55" s="1816"/>
      <c r="L55" s="1816"/>
      <c r="M55" s="1816"/>
      <c r="N55" s="1816"/>
      <c r="O55" s="1816"/>
      <c r="P55" s="1816"/>
      <c r="Q55" s="1816"/>
      <c r="R55" s="1816"/>
      <c r="S55" s="1816"/>
      <c r="T55" s="1463"/>
      <c r="U55" s="1463"/>
      <c r="V55" s="1463"/>
      <c r="W55" s="1463"/>
      <c r="X55" s="1463"/>
      <c r="Y55" s="1463"/>
      <c r="Z55" s="1463"/>
      <c r="AA55" s="1463"/>
      <c r="AB55" s="1463"/>
      <c r="AC55" s="1463"/>
      <c r="AD55" s="1463"/>
      <c r="AE55" s="1463"/>
      <c r="AF55" s="1463"/>
      <c r="AG55" s="1463"/>
      <c r="AH55" s="1463"/>
      <c r="AI55" s="1463"/>
      <c r="AJ55" s="1463"/>
      <c r="AK55" s="1463"/>
      <c r="AL55" s="1463"/>
      <c r="AM55" s="1463"/>
      <c r="AN55" s="1463"/>
      <c r="AO55" s="1463"/>
      <c r="AP55" s="1463"/>
      <c r="AQ55" s="1463"/>
      <c r="AR55" s="1463"/>
      <c r="AS55" s="1463"/>
      <c r="AT55" s="1463"/>
      <c r="AU55" s="1463"/>
      <c r="AV55" s="1463"/>
      <c r="AW55" s="1463"/>
      <c r="AX55" s="1463"/>
      <c r="AY55" s="1463"/>
      <c r="AZ55" s="1463"/>
      <c r="BA55" s="1463"/>
      <c r="BB55" s="1463"/>
      <c r="BC55" s="1463"/>
      <c r="BD55" s="1463"/>
      <c r="BE55" s="1463"/>
      <c r="BF55" s="1463"/>
      <c r="BG55" s="1463"/>
      <c r="BH55" s="1463"/>
      <c r="BI55" s="1463"/>
      <c r="BJ55" s="1463"/>
      <c r="BK55" s="1463"/>
      <c r="BL55" s="1463"/>
      <c r="BM55" s="1463"/>
      <c r="BN55" s="1463"/>
      <c r="BO55" s="1463"/>
      <c r="BP55" s="1463"/>
      <c r="BQ55" s="1463"/>
      <c r="BR55" s="1463"/>
      <c r="BS55" s="1463"/>
      <c r="BT55" s="1463"/>
      <c r="BU55" s="1463"/>
      <c r="BV55" s="1463"/>
      <c r="BW55" s="1463"/>
      <c r="BX55" s="1463"/>
      <c r="BY55" s="1463"/>
      <c r="BZ55" s="1463"/>
      <c r="CA55" s="1463"/>
      <c r="CB55" s="1463"/>
      <c r="CC55" s="1463"/>
      <c r="CD55" s="1463"/>
      <c r="CE55" s="1463"/>
      <c r="CF55" s="1463"/>
      <c r="CG55" s="1463"/>
      <c r="CH55" s="1463"/>
      <c r="CI55" s="1463"/>
      <c r="CJ55" s="1463"/>
      <c r="CK55" s="1463"/>
      <c r="CL55" s="1463"/>
      <c r="CM55" s="1463"/>
      <c r="CN55" s="1463"/>
      <c r="CO55" s="1463"/>
      <c r="CP55" s="1463"/>
      <c r="CQ55" s="1463"/>
      <c r="CR55" s="1463"/>
      <c r="CS55" s="1463"/>
      <c r="CT55" s="1463"/>
      <c r="CU55" s="1463"/>
      <c r="CV55" s="1463"/>
      <c r="CW55" s="1463"/>
      <c r="CX55" s="1463"/>
      <c r="CY55" s="1463"/>
      <c r="CZ55" s="1463"/>
      <c r="DA55" s="1463"/>
      <c r="DB55" s="1463"/>
      <c r="DC55" s="1463"/>
      <c r="DD55" s="1463"/>
      <c r="DE55" s="1463"/>
      <c r="DF55" s="1463"/>
      <c r="DG55" s="1463"/>
      <c r="DH55" s="1463"/>
      <c r="DI55" s="1463"/>
      <c r="DJ55" s="1463"/>
      <c r="DK55" s="1463"/>
      <c r="DL55" s="1463"/>
      <c r="DM55" s="1463"/>
      <c r="DN55" s="1463"/>
      <c r="DO55" s="1463"/>
      <c r="DP55" s="1463"/>
      <c r="DQ55" s="1463"/>
      <c r="DR55" s="1463"/>
      <c r="DS55" s="1463"/>
      <c r="DT55" s="1463"/>
      <c r="DU55" s="1463"/>
      <c r="DV55" s="1463"/>
      <c r="DW55" s="1463"/>
      <c r="DX55" s="1463"/>
      <c r="DY55" s="1463"/>
      <c r="DZ55" s="1463"/>
      <c r="EA55" s="1463"/>
      <c r="EB55" s="1463"/>
      <c r="EC55" s="1463"/>
      <c r="ED55" s="1463"/>
      <c r="EE55" s="1463"/>
      <c r="EF55" s="1463"/>
      <c r="EG55" s="1463"/>
      <c r="EH55" s="1463"/>
      <c r="EI55" s="1463"/>
      <c r="EJ55" s="1463"/>
      <c r="EK55" s="1463"/>
      <c r="EL55" s="1463"/>
      <c r="EM55" s="1463"/>
      <c r="EN55" s="1463"/>
      <c r="EO55" s="1463"/>
      <c r="EP55" s="1463"/>
      <c r="EQ55" s="1463"/>
      <c r="ER55" s="1463"/>
      <c r="ES55" s="1463"/>
      <c r="ET55" s="1463"/>
      <c r="EU55" s="1463"/>
      <c r="EV55" s="1463"/>
      <c r="EW55" s="1463"/>
      <c r="EX55" s="1463"/>
      <c r="EY55" s="1463"/>
      <c r="EZ55" s="1463"/>
      <c r="FA55" s="1463"/>
      <c r="FB55" s="1463"/>
      <c r="FC55" s="1463"/>
      <c r="FD55" s="1463"/>
      <c r="FE55" s="1463"/>
      <c r="FF55" s="1463"/>
      <c r="FG55" s="1463"/>
      <c r="FH55" s="1463"/>
      <c r="FI55" s="1463"/>
      <c r="FJ55" s="1463"/>
      <c r="FK55" s="1463"/>
      <c r="FL55" s="1463"/>
      <c r="FM55" s="1463"/>
      <c r="FN55" s="1463"/>
      <c r="FO55" s="1463"/>
      <c r="FP55" s="1463"/>
      <c r="FQ55" s="1463"/>
      <c r="FR55" s="1463"/>
      <c r="FS55" s="1463"/>
      <c r="FT55" s="1463"/>
      <c r="FU55" s="1463"/>
      <c r="FV55" s="1463"/>
      <c r="FW55" s="1463"/>
      <c r="FX55" s="1463"/>
      <c r="FY55" s="1463"/>
      <c r="FZ55" s="1463"/>
      <c r="GA55" s="1463"/>
      <c r="GB55" s="1463"/>
      <c r="GC55" s="1463"/>
      <c r="GD55" s="1463"/>
      <c r="GE55" s="1463"/>
      <c r="GF55" s="1463"/>
      <c r="GG55" s="1463"/>
      <c r="GH55" s="1463"/>
      <c r="GI55" s="1463"/>
      <c r="GJ55" s="1463"/>
      <c r="GK55" s="1463"/>
      <c r="GL55" s="1463"/>
      <c r="GM55" s="1463"/>
      <c r="GN55" s="1463"/>
      <c r="GO55" s="1463"/>
      <c r="GP55" s="1463"/>
      <c r="GQ55" s="1463"/>
      <c r="GR55" s="1463"/>
      <c r="GS55" s="1463"/>
      <c r="GT55" s="1463"/>
      <c r="GU55" s="1463"/>
      <c r="GV55" s="1463"/>
      <c r="GW55" s="1463"/>
      <c r="GX55" s="1463"/>
      <c r="GY55" s="1463"/>
      <c r="GZ55" s="1463"/>
      <c r="HA55" s="1463"/>
      <c r="HB55" s="1463"/>
      <c r="HC55" s="1463"/>
      <c r="HD55" s="1463"/>
      <c r="HE55" s="1463"/>
      <c r="HF55" s="1463"/>
      <c r="HG55" s="1463"/>
      <c r="HH55" s="1463"/>
      <c r="HI55" s="1463"/>
      <c r="HJ55" s="1463"/>
      <c r="HK55" s="1463"/>
      <c r="HL55" s="1463"/>
      <c r="HM55" s="1463"/>
      <c r="HN55" s="1463"/>
      <c r="HO55" s="1463"/>
      <c r="HP55" s="1463"/>
      <c r="HQ55" s="1463"/>
      <c r="HR55" s="1463"/>
      <c r="HS55" s="1463"/>
      <c r="HT55" s="1463"/>
    </row>
    <row r="56" spans="1:228">
      <c r="A56" s="1360"/>
      <c r="B56" s="1367"/>
      <c r="C56" s="1476">
        <f>+MAX($C$10:C55)+1</f>
        <v>37</v>
      </c>
      <c r="D56" s="1446" t="s">
        <v>2218</v>
      </c>
      <c r="E56" s="1446"/>
      <c r="F56" s="1810"/>
      <c r="G56" s="1816">
        <f>'Fin Forecast - Consolidated'!I123</f>
        <v>0.85796769398413431</v>
      </c>
      <c r="H56" s="1816">
        <f>'Fin Forecast - Consolidated'!J123</f>
        <v>0.76678158706751209</v>
      </c>
      <c r="I56" s="1816">
        <f>'Fin Forecast - Consolidated'!K123</f>
        <v>0.82426312376018274</v>
      </c>
      <c r="J56" s="1816">
        <f>'Fin Forecast - Consolidated'!L123</f>
        <v>0.77592580323781168</v>
      </c>
      <c r="K56" s="1816">
        <f>'Fin Forecast - Consolidated'!M123</f>
        <v>0.7527334114865607</v>
      </c>
      <c r="L56" s="1816">
        <f>'Fin Forecast - Consolidated'!N123</f>
        <v>0.76931078533087427</v>
      </c>
      <c r="M56" s="1816">
        <f>'Fin Forecast - Consolidated'!O123</f>
        <v>0.73358898264528427</v>
      </c>
      <c r="N56" s="1816">
        <f>'Fin Forecast - Consolidated'!P123</f>
        <v>0.69085460911400431</v>
      </c>
      <c r="O56" s="1816">
        <f>'Fin Forecast - Consolidated'!Q123</f>
        <v>0.64784383424594216</v>
      </c>
      <c r="P56" s="1816">
        <f>'Fin Forecast - Consolidated'!R123</f>
        <v>0.59877687028316373</v>
      </c>
      <c r="Q56" s="1816">
        <f>'Fin Forecast - Consolidated'!S123</f>
        <v>0.53275840357691717</v>
      </c>
      <c r="R56" s="1816">
        <f>'Fin Forecast - Consolidated'!T123</f>
        <v>0.53139609931760434</v>
      </c>
      <c r="S56" s="1816">
        <f>'Fin Forecast - Consolidated'!U123</f>
        <v>0.52666555661333425</v>
      </c>
      <c r="T56" s="1463"/>
      <c r="U56" s="1463"/>
      <c r="V56" s="1463"/>
      <c r="W56" s="1463"/>
      <c r="X56" s="1463"/>
      <c r="Y56" s="1463"/>
      <c r="Z56" s="1463"/>
      <c r="AA56" s="1463"/>
      <c r="AB56" s="1463"/>
      <c r="AC56" s="1463"/>
      <c r="AD56" s="1463"/>
      <c r="AE56" s="1463"/>
      <c r="AF56" s="1463"/>
      <c r="AG56" s="1463"/>
      <c r="AH56" s="1463"/>
      <c r="AI56" s="1463"/>
      <c r="AJ56" s="1463"/>
      <c r="AK56" s="1463"/>
      <c r="AL56" s="1463"/>
      <c r="AM56" s="1463"/>
      <c r="AN56" s="1463"/>
      <c r="AO56" s="1463"/>
      <c r="AP56" s="1463"/>
      <c r="AQ56" s="1463"/>
      <c r="AR56" s="1463"/>
      <c r="AS56" s="1463"/>
      <c r="AT56" s="1463"/>
      <c r="AU56" s="1463"/>
      <c r="AV56" s="1463"/>
      <c r="AW56" s="1463"/>
      <c r="AX56" s="1463"/>
      <c r="AY56" s="1463"/>
      <c r="AZ56" s="1463"/>
      <c r="BA56" s="1463"/>
      <c r="BB56" s="1463"/>
      <c r="BC56" s="1463"/>
      <c r="BD56" s="1463"/>
      <c r="BE56" s="1463"/>
      <c r="BF56" s="1463"/>
      <c r="BG56" s="1463"/>
      <c r="BH56" s="1463"/>
      <c r="BI56" s="1463"/>
      <c r="BJ56" s="1463"/>
      <c r="BK56" s="1463"/>
      <c r="BL56" s="1463"/>
      <c r="BM56" s="1463"/>
      <c r="BN56" s="1463"/>
      <c r="BO56" s="1463"/>
      <c r="BP56" s="1463"/>
      <c r="BQ56" s="1463"/>
      <c r="BR56" s="1463"/>
      <c r="BS56" s="1463"/>
      <c r="BT56" s="1463"/>
      <c r="BU56" s="1463"/>
      <c r="BV56" s="1463"/>
      <c r="BW56" s="1463"/>
      <c r="BX56" s="1463"/>
      <c r="BY56" s="1463"/>
      <c r="BZ56" s="1463"/>
      <c r="CA56" s="1463"/>
      <c r="CB56" s="1463"/>
      <c r="CC56" s="1463"/>
      <c r="CD56" s="1463"/>
      <c r="CE56" s="1463"/>
      <c r="CF56" s="1463"/>
      <c r="CG56" s="1463"/>
      <c r="CH56" s="1463"/>
      <c r="CI56" s="1463"/>
      <c r="CJ56" s="1463"/>
      <c r="CK56" s="1463"/>
      <c r="CL56" s="1463"/>
      <c r="CM56" s="1463"/>
      <c r="CN56" s="1463"/>
      <c r="CO56" s="1463"/>
      <c r="CP56" s="1463"/>
      <c r="CQ56" s="1463"/>
      <c r="CR56" s="1463"/>
      <c r="CS56" s="1463"/>
      <c r="CT56" s="1463"/>
      <c r="CU56" s="1463"/>
      <c r="CV56" s="1463"/>
      <c r="CW56" s="1463"/>
      <c r="CX56" s="1463"/>
      <c r="CY56" s="1463"/>
      <c r="CZ56" s="1463"/>
      <c r="DA56" s="1463"/>
      <c r="DB56" s="1463"/>
      <c r="DC56" s="1463"/>
      <c r="DD56" s="1463"/>
      <c r="DE56" s="1463"/>
      <c r="DF56" s="1463"/>
      <c r="DG56" s="1463"/>
      <c r="DH56" s="1463"/>
      <c r="DI56" s="1463"/>
      <c r="DJ56" s="1463"/>
      <c r="DK56" s="1463"/>
      <c r="DL56" s="1463"/>
      <c r="DM56" s="1463"/>
      <c r="DN56" s="1463"/>
      <c r="DO56" s="1463"/>
      <c r="DP56" s="1463"/>
      <c r="DQ56" s="1463"/>
      <c r="DR56" s="1463"/>
      <c r="DS56" s="1463"/>
      <c r="DT56" s="1463"/>
      <c r="DU56" s="1463"/>
      <c r="DV56" s="1463"/>
      <c r="DW56" s="1463"/>
      <c r="DX56" s="1463"/>
      <c r="DY56" s="1463"/>
      <c r="DZ56" s="1463"/>
      <c r="EA56" s="1463"/>
      <c r="EB56" s="1463"/>
      <c r="EC56" s="1463"/>
      <c r="ED56" s="1463"/>
      <c r="EE56" s="1463"/>
      <c r="EF56" s="1463"/>
      <c r="EG56" s="1463"/>
      <c r="EH56" s="1463"/>
      <c r="EI56" s="1463"/>
      <c r="EJ56" s="1463"/>
      <c r="EK56" s="1463"/>
      <c r="EL56" s="1463"/>
      <c r="EM56" s="1463"/>
      <c r="EN56" s="1463"/>
      <c r="EO56" s="1463"/>
      <c r="EP56" s="1463"/>
      <c r="EQ56" s="1463"/>
      <c r="ER56" s="1463"/>
      <c r="ES56" s="1463"/>
      <c r="ET56" s="1463"/>
      <c r="EU56" s="1463"/>
      <c r="EV56" s="1463"/>
      <c r="EW56" s="1463"/>
      <c r="EX56" s="1463"/>
      <c r="EY56" s="1463"/>
      <c r="EZ56" s="1463"/>
      <c r="FA56" s="1463"/>
      <c r="FB56" s="1463"/>
      <c r="FC56" s="1463"/>
      <c r="FD56" s="1463"/>
      <c r="FE56" s="1463"/>
      <c r="FF56" s="1463"/>
      <c r="FG56" s="1463"/>
      <c r="FH56" s="1463"/>
      <c r="FI56" s="1463"/>
      <c r="FJ56" s="1463"/>
      <c r="FK56" s="1463"/>
      <c r="FL56" s="1463"/>
      <c r="FM56" s="1463"/>
      <c r="FN56" s="1463"/>
      <c r="FO56" s="1463"/>
      <c r="FP56" s="1463"/>
      <c r="FQ56" s="1463"/>
      <c r="FR56" s="1463"/>
      <c r="FS56" s="1463"/>
      <c r="FT56" s="1463"/>
      <c r="FU56" s="1463"/>
      <c r="FV56" s="1463"/>
      <c r="FW56" s="1463"/>
      <c r="FX56" s="1463"/>
      <c r="FY56" s="1463"/>
      <c r="FZ56" s="1463"/>
      <c r="GA56" s="1463"/>
      <c r="GB56" s="1463"/>
      <c r="GC56" s="1463"/>
      <c r="GD56" s="1463"/>
      <c r="GE56" s="1463"/>
      <c r="GF56" s="1463"/>
      <c r="GG56" s="1463"/>
      <c r="GH56" s="1463"/>
      <c r="GI56" s="1463"/>
      <c r="GJ56" s="1463"/>
      <c r="GK56" s="1463"/>
      <c r="GL56" s="1463"/>
      <c r="GM56" s="1463"/>
      <c r="GN56" s="1463"/>
      <c r="GO56" s="1463"/>
      <c r="GP56" s="1463"/>
      <c r="GQ56" s="1463"/>
      <c r="GR56" s="1463"/>
      <c r="GS56" s="1463"/>
      <c r="GT56" s="1463"/>
      <c r="GU56" s="1463"/>
      <c r="GV56" s="1463"/>
      <c r="GW56" s="1463"/>
      <c r="GX56" s="1463"/>
      <c r="GY56" s="1463"/>
      <c r="GZ56" s="1463"/>
      <c r="HA56" s="1463"/>
      <c r="HB56" s="1463"/>
      <c r="HC56" s="1463"/>
      <c r="HD56" s="1463"/>
      <c r="HE56" s="1463"/>
      <c r="HF56" s="1463"/>
      <c r="HG56" s="1463"/>
      <c r="HH56" s="1463"/>
      <c r="HI56" s="1463"/>
      <c r="HJ56" s="1463"/>
      <c r="HK56" s="1463"/>
      <c r="HL56" s="1463"/>
      <c r="HM56" s="1463"/>
      <c r="HN56" s="1463"/>
      <c r="HO56" s="1463"/>
      <c r="HP56" s="1463"/>
      <c r="HQ56" s="1463"/>
      <c r="HR56" s="1463"/>
      <c r="HS56" s="1463"/>
      <c r="HT56" s="1463"/>
    </row>
    <row r="57" spans="1:228">
      <c r="A57" s="1360"/>
      <c r="B57" s="1367"/>
      <c r="C57" s="1476"/>
      <c r="D57" s="1446"/>
      <c r="E57" s="1446"/>
      <c r="F57" s="1810"/>
      <c r="G57" s="1446"/>
      <c r="H57" s="1446"/>
      <c r="I57" s="1446"/>
      <c r="J57" s="1446"/>
      <c r="K57" s="1446"/>
      <c r="L57" s="1446"/>
      <c r="M57" s="1446"/>
      <c r="N57" s="1446"/>
      <c r="O57" s="1446"/>
      <c r="P57" s="1446"/>
      <c r="Q57" s="1446"/>
      <c r="R57" s="1446"/>
      <c r="S57" s="1446"/>
      <c r="T57" s="1463"/>
      <c r="U57" s="1463"/>
      <c r="V57" s="1463"/>
      <c r="W57" s="1463"/>
      <c r="X57" s="1463"/>
      <c r="Y57" s="1463"/>
      <c r="Z57" s="1463"/>
      <c r="AA57" s="1463"/>
      <c r="AB57" s="1463"/>
      <c r="AC57" s="1463"/>
      <c r="AD57" s="1463"/>
      <c r="AE57" s="1463"/>
      <c r="AF57" s="1463"/>
      <c r="AG57" s="1463"/>
      <c r="AH57" s="1463"/>
      <c r="AI57" s="1463"/>
      <c r="AJ57" s="1463"/>
      <c r="AK57" s="1463"/>
      <c r="AL57" s="1463"/>
      <c r="AM57" s="1463"/>
      <c r="AN57" s="1463"/>
      <c r="AO57" s="1463"/>
      <c r="AP57" s="1463"/>
      <c r="AQ57" s="1463"/>
      <c r="AR57" s="1463"/>
      <c r="AS57" s="1463"/>
      <c r="AT57" s="1463"/>
      <c r="AU57" s="1463"/>
      <c r="AV57" s="1463"/>
      <c r="AW57" s="1463"/>
      <c r="AX57" s="1463"/>
      <c r="AY57" s="1463"/>
      <c r="AZ57" s="1463"/>
      <c r="BA57" s="1463"/>
      <c r="BB57" s="1463"/>
      <c r="BC57" s="1463"/>
      <c r="BD57" s="1463"/>
      <c r="BE57" s="1463"/>
      <c r="BF57" s="1463"/>
      <c r="BG57" s="1463"/>
      <c r="BH57" s="1463"/>
      <c r="BI57" s="1463"/>
      <c r="BJ57" s="1463"/>
      <c r="BK57" s="1463"/>
      <c r="BL57" s="1463"/>
      <c r="BM57" s="1463"/>
      <c r="BN57" s="1463"/>
      <c r="BO57" s="1463"/>
      <c r="BP57" s="1463"/>
      <c r="BQ57" s="1463"/>
      <c r="BR57" s="1463"/>
      <c r="BS57" s="1463"/>
      <c r="BT57" s="1463"/>
      <c r="BU57" s="1463"/>
      <c r="BV57" s="1463"/>
      <c r="BW57" s="1463"/>
      <c r="BX57" s="1463"/>
      <c r="BY57" s="1463"/>
      <c r="BZ57" s="1463"/>
      <c r="CA57" s="1463"/>
      <c r="CB57" s="1463"/>
      <c r="CC57" s="1463"/>
      <c r="CD57" s="1463"/>
      <c r="CE57" s="1463"/>
      <c r="CF57" s="1463"/>
      <c r="CG57" s="1463"/>
      <c r="CH57" s="1463"/>
      <c r="CI57" s="1463"/>
      <c r="CJ57" s="1463"/>
      <c r="CK57" s="1463"/>
      <c r="CL57" s="1463"/>
      <c r="CM57" s="1463"/>
      <c r="CN57" s="1463"/>
      <c r="CO57" s="1463"/>
      <c r="CP57" s="1463"/>
      <c r="CQ57" s="1463"/>
      <c r="CR57" s="1463"/>
      <c r="CS57" s="1463"/>
      <c r="CT57" s="1463"/>
      <c r="CU57" s="1463"/>
      <c r="CV57" s="1463"/>
      <c r="CW57" s="1463"/>
      <c r="CX57" s="1463"/>
      <c r="CY57" s="1463"/>
      <c r="CZ57" s="1463"/>
      <c r="DA57" s="1463"/>
      <c r="DB57" s="1463"/>
      <c r="DC57" s="1463"/>
      <c r="DD57" s="1463"/>
      <c r="DE57" s="1463"/>
      <c r="DF57" s="1463"/>
      <c r="DG57" s="1463"/>
      <c r="DH57" s="1463"/>
      <c r="DI57" s="1463"/>
      <c r="DJ57" s="1463"/>
      <c r="DK57" s="1463"/>
      <c r="DL57" s="1463"/>
      <c r="DM57" s="1463"/>
      <c r="DN57" s="1463"/>
      <c r="DO57" s="1463"/>
      <c r="DP57" s="1463"/>
      <c r="DQ57" s="1463"/>
      <c r="DR57" s="1463"/>
      <c r="DS57" s="1463"/>
      <c r="DT57" s="1463"/>
      <c r="DU57" s="1463"/>
      <c r="DV57" s="1463"/>
      <c r="DW57" s="1463"/>
      <c r="DX57" s="1463"/>
      <c r="DY57" s="1463"/>
      <c r="DZ57" s="1463"/>
      <c r="EA57" s="1463"/>
      <c r="EB57" s="1463"/>
      <c r="EC57" s="1463"/>
      <c r="ED57" s="1463"/>
      <c r="EE57" s="1463"/>
      <c r="EF57" s="1463"/>
      <c r="EG57" s="1463"/>
      <c r="EH57" s="1463"/>
      <c r="EI57" s="1463"/>
      <c r="EJ57" s="1463"/>
      <c r="EK57" s="1463"/>
      <c r="EL57" s="1463"/>
      <c r="EM57" s="1463"/>
      <c r="EN57" s="1463"/>
      <c r="EO57" s="1463"/>
      <c r="EP57" s="1463"/>
      <c r="EQ57" s="1463"/>
      <c r="ER57" s="1463"/>
      <c r="ES57" s="1463"/>
      <c r="ET57" s="1463"/>
      <c r="EU57" s="1463"/>
      <c r="EV57" s="1463"/>
      <c r="EW57" s="1463"/>
      <c r="EX57" s="1463"/>
      <c r="EY57" s="1463"/>
      <c r="EZ57" s="1463"/>
      <c r="FA57" s="1463"/>
      <c r="FB57" s="1463"/>
      <c r="FC57" s="1463"/>
      <c r="FD57" s="1463"/>
      <c r="FE57" s="1463"/>
      <c r="FF57" s="1463"/>
      <c r="FG57" s="1463"/>
      <c r="FH57" s="1463"/>
      <c r="FI57" s="1463"/>
      <c r="FJ57" s="1463"/>
      <c r="FK57" s="1463"/>
      <c r="FL57" s="1463"/>
      <c r="FM57" s="1463"/>
      <c r="FN57" s="1463"/>
      <c r="FO57" s="1463"/>
      <c r="FP57" s="1463"/>
      <c r="FQ57" s="1463"/>
      <c r="FR57" s="1463"/>
      <c r="FS57" s="1463"/>
      <c r="FT57" s="1463"/>
      <c r="FU57" s="1463"/>
      <c r="FV57" s="1463"/>
      <c r="FW57" s="1463"/>
      <c r="FX57" s="1463"/>
      <c r="FY57" s="1463"/>
      <c r="FZ57" s="1463"/>
      <c r="GA57" s="1463"/>
      <c r="GB57" s="1463"/>
      <c r="GC57" s="1463"/>
      <c r="GD57" s="1463"/>
      <c r="GE57" s="1463"/>
      <c r="GF57" s="1463"/>
      <c r="GG57" s="1463"/>
      <c r="GH57" s="1463"/>
      <c r="GI57" s="1463"/>
      <c r="GJ57" s="1463"/>
      <c r="GK57" s="1463"/>
      <c r="GL57" s="1463"/>
      <c r="GM57" s="1463"/>
      <c r="GN57" s="1463"/>
      <c r="GO57" s="1463"/>
      <c r="GP57" s="1463"/>
      <c r="GQ57" s="1463"/>
      <c r="GR57" s="1463"/>
      <c r="GS57" s="1463"/>
      <c r="GT57" s="1463"/>
      <c r="GU57" s="1463"/>
      <c r="GV57" s="1463"/>
      <c r="GW57" s="1463"/>
      <c r="GX57" s="1463"/>
      <c r="GY57" s="1463"/>
      <c r="GZ57" s="1463"/>
      <c r="HA57" s="1463"/>
      <c r="HB57" s="1463"/>
      <c r="HC57" s="1463"/>
      <c r="HD57" s="1463"/>
      <c r="HE57" s="1463"/>
      <c r="HF57" s="1463"/>
      <c r="HG57" s="1463"/>
      <c r="HH57" s="1463"/>
      <c r="HI57" s="1463"/>
      <c r="HJ57" s="1463"/>
      <c r="HK57" s="1463"/>
      <c r="HL57" s="1463"/>
      <c r="HM57" s="1463"/>
      <c r="HN57" s="1463"/>
      <c r="HO57" s="1463"/>
      <c r="HP57" s="1463"/>
      <c r="HQ57" s="1463"/>
      <c r="HR57" s="1463"/>
      <c r="HS57" s="1463"/>
      <c r="HT57" s="1463"/>
    </row>
    <row r="58" spans="1:228">
      <c r="A58" s="1360"/>
      <c r="B58" s="1367"/>
      <c r="C58" s="1367"/>
      <c r="D58" s="1446"/>
      <c r="E58" s="1810"/>
      <c r="F58" s="1446"/>
      <c r="G58" s="1446"/>
      <c r="H58" s="1446"/>
      <c r="I58" s="1446"/>
      <c r="J58" s="1446"/>
      <c r="K58" s="1446"/>
      <c r="L58" s="1446"/>
      <c r="M58" s="1446"/>
      <c r="N58" s="1446"/>
      <c r="O58" s="1446"/>
      <c r="P58" s="1446"/>
      <c r="Q58" s="1446"/>
      <c r="R58" s="1446"/>
      <c r="S58" s="1446"/>
      <c r="T58" s="1463"/>
      <c r="U58" s="1463"/>
      <c r="V58" s="1463"/>
      <c r="W58" s="1463"/>
      <c r="X58" s="1463"/>
      <c r="Y58" s="1463"/>
      <c r="Z58" s="1463"/>
      <c r="AA58" s="1463"/>
      <c r="AB58" s="1463"/>
      <c r="AC58" s="1463"/>
      <c r="AD58" s="1463"/>
      <c r="AE58" s="1463"/>
      <c r="AF58" s="1463"/>
      <c r="AG58" s="1463"/>
      <c r="AH58" s="1463"/>
      <c r="AI58" s="1463"/>
      <c r="AJ58" s="1463"/>
      <c r="AK58" s="1463"/>
      <c r="AL58" s="1463"/>
      <c r="AM58" s="1463"/>
      <c r="AN58" s="1463"/>
      <c r="AO58" s="1463"/>
      <c r="AP58" s="1463"/>
      <c r="AQ58" s="1463"/>
      <c r="AR58" s="1463"/>
      <c r="AS58" s="1463"/>
      <c r="AT58" s="1463"/>
      <c r="AU58" s="1463"/>
      <c r="AV58" s="1463"/>
      <c r="AW58" s="1463"/>
      <c r="AX58" s="1463"/>
      <c r="AY58" s="1463"/>
      <c r="AZ58" s="1463"/>
      <c r="BA58" s="1463"/>
      <c r="BB58" s="1463"/>
      <c r="BC58" s="1463"/>
      <c r="BD58" s="1463"/>
      <c r="BE58" s="1463"/>
      <c r="BF58" s="1463"/>
      <c r="BG58" s="1463"/>
      <c r="BH58" s="1463"/>
      <c r="BI58" s="1463"/>
      <c r="BJ58" s="1463"/>
      <c r="BK58" s="1463"/>
      <c r="BL58" s="1463"/>
      <c r="BM58" s="1463"/>
      <c r="BN58" s="1463"/>
      <c r="BO58" s="1463"/>
      <c r="BP58" s="1463"/>
      <c r="BQ58" s="1463"/>
      <c r="BR58" s="1463"/>
      <c r="BS58" s="1463"/>
      <c r="BT58" s="1463"/>
      <c r="BU58" s="1463"/>
      <c r="BV58" s="1463"/>
      <c r="BW58" s="1463"/>
      <c r="BX58" s="1463"/>
      <c r="BY58" s="1463"/>
      <c r="BZ58" s="1463"/>
      <c r="CA58" s="1463"/>
      <c r="CB58" s="1463"/>
      <c r="CC58" s="1463"/>
      <c r="CD58" s="1463"/>
      <c r="CE58" s="1463"/>
      <c r="CF58" s="1463"/>
      <c r="CG58" s="1463"/>
      <c r="CH58" s="1463"/>
      <c r="CI58" s="1463"/>
      <c r="CJ58" s="1463"/>
      <c r="CK58" s="1463"/>
      <c r="CL58" s="1463"/>
      <c r="CM58" s="1463"/>
      <c r="CN58" s="1463"/>
      <c r="CO58" s="1463"/>
      <c r="CP58" s="1463"/>
      <c r="CQ58" s="1463"/>
      <c r="CR58" s="1463"/>
      <c r="CS58" s="1463"/>
      <c r="CT58" s="1463"/>
      <c r="CU58" s="1463"/>
      <c r="CV58" s="1463"/>
      <c r="CW58" s="1463"/>
      <c r="CX58" s="1463"/>
      <c r="CY58" s="1463"/>
      <c r="CZ58" s="1463"/>
      <c r="DA58" s="1463"/>
      <c r="DB58" s="1463"/>
      <c r="DC58" s="1463"/>
      <c r="DD58" s="1463"/>
      <c r="DE58" s="1463"/>
      <c r="DF58" s="1463"/>
      <c r="DG58" s="1463"/>
      <c r="DH58" s="1463"/>
      <c r="DI58" s="1463"/>
      <c r="DJ58" s="1463"/>
      <c r="DK58" s="1463"/>
      <c r="DL58" s="1463"/>
      <c r="DM58" s="1463"/>
      <c r="DN58" s="1463"/>
      <c r="DO58" s="1463"/>
      <c r="DP58" s="1463"/>
      <c r="DQ58" s="1463"/>
      <c r="DR58" s="1463"/>
      <c r="DS58" s="1463"/>
      <c r="DT58" s="1463"/>
      <c r="DU58" s="1463"/>
      <c r="DV58" s="1463"/>
      <c r="DW58" s="1463"/>
      <c r="DX58" s="1463"/>
      <c r="DY58" s="1463"/>
      <c r="DZ58" s="1463"/>
      <c r="EA58" s="1463"/>
      <c r="EB58" s="1463"/>
      <c r="EC58" s="1463"/>
      <c r="ED58" s="1463"/>
      <c r="EE58" s="1463"/>
      <c r="EF58" s="1463"/>
      <c r="EG58" s="1463"/>
      <c r="EH58" s="1463"/>
      <c r="EI58" s="1463"/>
      <c r="EJ58" s="1463"/>
      <c r="EK58" s="1463"/>
      <c r="EL58" s="1463"/>
      <c r="EM58" s="1463"/>
      <c r="EN58" s="1463"/>
      <c r="EO58" s="1463"/>
      <c r="EP58" s="1463"/>
      <c r="EQ58" s="1463"/>
      <c r="ER58" s="1463"/>
      <c r="ES58" s="1463"/>
      <c r="ET58" s="1463"/>
      <c r="EU58" s="1463"/>
      <c r="EV58" s="1463"/>
      <c r="EW58" s="1463"/>
      <c r="EX58" s="1463"/>
      <c r="EY58" s="1463"/>
      <c r="EZ58" s="1463"/>
      <c r="FA58" s="1463"/>
      <c r="FB58" s="1463"/>
      <c r="FC58" s="1463"/>
      <c r="FD58" s="1463"/>
      <c r="FE58" s="1463"/>
      <c r="FF58" s="1463"/>
      <c r="FG58" s="1463"/>
      <c r="FH58" s="1463"/>
      <c r="FI58" s="1463"/>
      <c r="FJ58" s="1463"/>
      <c r="FK58" s="1463"/>
      <c r="FL58" s="1463"/>
      <c r="FM58" s="1463"/>
      <c r="FN58" s="1463"/>
      <c r="FO58" s="1463"/>
      <c r="FP58" s="1463"/>
      <c r="FQ58" s="1463"/>
      <c r="FR58" s="1463"/>
      <c r="FS58" s="1463"/>
      <c r="FT58" s="1463"/>
      <c r="FU58" s="1463"/>
      <c r="FV58" s="1463"/>
      <c r="FW58" s="1463"/>
      <c r="FX58" s="1463"/>
      <c r="FY58" s="1463"/>
      <c r="FZ58" s="1463"/>
      <c r="GA58" s="1463"/>
      <c r="GB58" s="1463"/>
      <c r="GC58" s="1463"/>
      <c r="GD58" s="1463"/>
      <c r="GE58" s="1463"/>
      <c r="GF58" s="1463"/>
      <c r="GG58" s="1463"/>
      <c r="GH58" s="1463"/>
      <c r="GI58" s="1463"/>
      <c r="GJ58" s="1463"/>
      <c r="GK58" s="1463"/>
      <c r="GL58" s="1463"/>
      <c r="GM58" s="1463"/>
      <c r="GN58" s="1463"/>
      <c r="GO58" s="1463"/>
      <c r="GP58" s="1463"/>
      <c r="GQ58" s="1463"/>
      <c r="GR58" s="1463"/>
      <c r="GS58" s="1463"/>
      <c r="GT58" s="1463"/>
      <c r="GU58" s="1463"/>
      <c r="GV58" s="1463"/>
      <c r="GW58" s="1463"/>
      <c r="GX58" s="1463"/>
      <c r="GY58" s="1463"/>
      <c r="GZ58" s="1463"/>
      <c r="HA58" s="1463"/>
      <c r="HB58" s="1463"/>
      <c r="HC58" s="1463"/>
      <c r="HD58" s="1463"/>
      <c r="HE58" s="1463"/>
      <c r="HF58" s="1463"/>
      <c r="HG58" s="1463"/>
      <c r="HH58" s="1463"/>
      <c r="HI58" s="1463"/>
      <c r="HJ58" s="1463"/>
      <c r="HK58" s="1463"/>
      <c r="HL58" s="1463"/>
      <c r="HM58" s="1463"/>
      <c r="HN58" s="1463"/>
      <c r="HO58" s="1463"/>
      <c r="HP58" s="1463"/>
      <c r="HQ58" s="1463"/>
      <c r="HR58" s="1463"/>
      <c r="HS58" s="1463"/>
      <c r="HT58" s="1463"/>
    </row>
    <row r="59" spans="1:228">
      <c r="A59" s="1360"/>
      <c r="B59" s="1367"/>
      <c r="C59" s="1367"/>
      <c r="D59" s="1446"/>
      <c r="E59" s="1810"/>
      <c r="F59" s="1446"/>
      <c r="G59" s="1446"/>
      <c r="H59" s="1446"/>
      <c r="I59" s="1446"/>
      <c r="J59" s="1446"/>
      <c r="K59" s="1446"/>
      <c r="L59" s="1446"/>
      <c r="M59" s="1446"/>
      <c r="N59" s="1446"/>
      <c r="O59" s="1446"/>
      <c r="P59" s="1446"/>
      <c r="Q59" s="1446"/>
      <c r="R59" s="1446"/>
      <c r="S59" s="1446"/>
      <c r="T59" s="1463"/>
      <c r="U59" s="1463"/>
      <c r="V59" s="1463"/>
      <c r="W59" s="1463"/>
      <c r="X59" s="1463"/>
      <c r="Y59" s="1463"/>
      <c r="Z59" s="1463"/>
      <c r="AA59" s="1463"/>
      <c r="AB59" s="1463"/>
      <c r="AC59" s="1463"/>
      <c r="AD59" s="1463"/>
      <c r="AE59" s="1463"/>
      <c r="AF59" s="1463"/>
      <c r="AG59" s="1463"/>
      <c r="AH59" s="1463"/>
      <c r="AI59" s="1463"/>
      <c r="AJ59" s="1463"/>
      <c r="AK59" s="1463"/>
      <c r="AL59" s="1463"/>
      <c r="AM59" s="1463"/>
      <c r="AN59" s="1463"/>
      <c r="AO59" s="1463"/>
      <c r="AP59" s="1463"/>
      <c r="AQ59" s="1463"/>
      <c r="AR59" s="1463"/>
      <c r="AS59" s="1463"/>
      <c r="AT59" s="1463"/>
      <c r="AU59" s="1463"/>
      <c r="AV59" s="1463"/>
      <c r="AW59" s="1463"/>
      <c r="AX59" s="1463"/>
      <c r="AY59" s="1463"/>
      <c r="AZ59" s="1463"/>
      <c r="BA59" s="1463"/>
      <c r="BB59" s="1463"/>
      <c r="BC59" s="1463"/>
      <c r="BD59" s="1463"/>
      <c r="BE59" s="1463"/>
      <c r="BF59" s="1463"/>
      <c r="BG59" s="1463"/>
      <c r="BH59" s="1463"/>
      <c r="BI59" s="1463"/>
      <c r="BJ59" s="1463"/>
      <c r="BK59" s="1463"/>
      <c r="BL59" s="1463"/>
      <c r="BM59" s="1463"/>
      <c r="BN59" s="1463"/>
      <c r="BO59" s="1463"/>
      <c r="BP59" s="1463"/>
      <c r="BQ59" s="1463"/>
      <c r="BR59" s="1463"/>
      <c r="BS59" s="1463"/>
      <c r="BT59" s="1463"/>
      <c r="BU59" s="1463"/>
      <c r="BV59" s="1463"/>
      <c r="BW59" s="1463"/>
      <c r="BX59" s="1463"/>
      <c r="BY59" s="1463"/>
      <c r="BZ59" s="1463"/>
      <c r="CA59" s="1463"/>
      <c r="CB59" s="1463"/>
      <c r="CC59" s="1463"/>
      <c r="CD59" s="1463"/>
      <c r="CE59" s="1463"/>
      <c r="CF59" s="1463"/>
      <c r="CG59" s="1463"/>
      <c r="CH59" s="1463"/>
      <c r="CI59" s="1463"/>
      <c r="CJ59" s="1463"/>
      <c r="CK59" s="1463"/>
      <c r="CL59" s="1463"/>
      <c r="CM59" s="1463"/>
      <c r="CN59" s="1463"/>
      <c r="CO59" s="1463"/>
      <c r="CP59" s="1463"/>
      <c r="CQ59" s="1463"/>
      <c r="CR59" s="1463"/>
      <c r="CS59" s="1463"/>
      <c r="CT59" s="1463"/>
      <c r="CU59" s="1463"/>
      <c r="CV59" s="1463"/>
      <c r="CW59" s="1463"/>
      <c r="CX59" s="1463"/>
      <c r="CY59" s="1463"/>
      <c r="CZ59" s="1463"/>
      <c r="DA59" s="1463"/>
      <c r="DB59" s="1463"/>
      <c r="DC59" s="1463"/>
      <c r="DD59" s="1463"/>
      <c r="DE59" s="1463"/>
      <c r="DF59" s="1463"/>
      <c r="DG59" s="1463"/>
      <c r="DH59" s="1463"/>
      <c r="DI59" s="1463"/>
      <c r="DJ59" s="1463"/>
      <c r="DK59" s="1463"/>
      <c r="DL59" s="1463"/>
      <c r="DM59" s="1463"/>
      <c r="DN59" s="1463"/>
      <c r="DO59" s="1463"/>
      <c r="DP59" s="1463"/>
      <c r="DQ59" s="1463"/>
      <c r="DR59" s="1463"/>
      <c r="DS59" s="1463"/>
      <c r="DT59" s="1463"/>
      <c r="DU59" s="1463"/>
      <c r="DV59" s="1463"/>
      <c r="DW59" s="1463"/>
      <c r="DX59" s="1463"/>
      <c r="DY59" s="1463"/>
      <c r="DZ59" s="1463"/>
      <c r="EA59" s="1463"/>
      <c r="EB59" s="1463"/>
      <c r="EC59" s="1463"/>
      <c r="ED59" s="1463"/>
      <c r="EE59" s="1463"/>
      <c r="EF59" s="1463"/>
      <c r="EG59" s="1463"/>
      <c r="EH59" s="1463"/>
      <c r="EI59" s="1463"/>
      <c r="EJ59" s="1463"/>
      <c r="EK59" s="1463"/>
      <c r="EL59" s="1463"/>
      <c r="EM59" s="1463"/>
      <c r="EN59" s="1463"/>
      <c r="EO59" s="1463"/>
      <c r="EP59" s="1463"/>
      <c r="EQ59" s="1463"/>
      <c r="ER59" s="1463"/>
      <c r="ES59" s="1463"/>
      <c r="ET59" s="1463"/>
      <c r="EU59" s="1463"/>
      <c r="EV59" s="1463"/>
      <c r="EW59" s="1463"/>
      <c r="EX59" s="1463"/>
      <c r="EY59" s="1463"/>
      <c r="EZ59" s="1463"/>
      <c r="FA59" s="1463"/>
      <c r="FB59" s="1463"/>
      <c r="FC59" s="1463"/>
      <c r="FD59" s="1463"/>
      <c r="FE59" s="1463"/>
      <c r="FF59" s="1463"/>
      <c r="FG59" s="1463"/>
      <c r="FH59" s="1463"/>
      <c r="FI59" s="1463"/>
      <c r="FJ59" s="1463"/>
      <c r="FK59" s="1463"/>
      <c r="FL59" s="1463"/>
      <c r="FM59" s="1463"/>
      <c r="FN59" s="1463"/>
      <c r="FO59" s="1463"/>
      <c r="FP59" s="1463"/>
      <c r="FQ59" s="1463"/>
      <c r="FR59" s="1463"/>
      <c r="FS59" s="1463"/>
      <c r="FT59" s="1463"/>
      <c r="FU59" s="1463"/>
      <c r="FV59" s="1463"/>
      <c r="FW59" s="1463"/>
      <c r="FX59" s="1463"/>
      <c r="FY59" s="1463"/>
      <c r="FZ59" s="1463"/>
      <c r="GA59" s="1463"/>
      <c r="GB59" s="1463"/>
      <c r="GC59" s="1463"/>
      <c r="GD59" s="1463"/>
      <c r="GE59" s="1463"/>
      <c r="GF59" s="1463"/>
      <c r="GG59" s="1463"/>
      <c r="GH59" s="1463"/>
      <c r="GI59" s="1463"/>
      <c r="GJ59" s="1463"/>
      <c r="GK59" s="1463"/>
      <c r="GL59" s="1463"/>
      <c r="GM59" s="1463"/>
      <c r="GN59" s="1463"/>
      <c r="GO59" s="1463"/>
      <c r="GP59" s="1463"/>
      <c r="GQ59" s="1463"/>
      <c r="GR59" s="1463"/>
      <c r="GS59" s="1463"/>
      <c r="GT59" s="1463"/>
      <c r="GU59" s="1463"/>
      <c r="GV59" s="1463"/>
      <c r="GW59" s="1463"/>
      <c r="GX59" s="1463"/>
      <c r="GY59" s="1463"/>
      <c r="GZ59" s="1463"/>
      <c r="HA59" s="1463"/>
      <c r="HB59" s="1463"/>
      <c r="HC59" s="1463"/>
      <c r="HD59" s="1463"/>
      <c r="HE59" s="1463"/>
      <c r="HF59" s="1463"/>
      <c r="HG59" s="1463"/>
      <c r="HH59" s="1463"/>
      <c r="HI59" s="1463"/>
      <c r="HJ59" s="1463"/>
      <c r="HK59" s="1463"/>
      <c r="HL59" s="1463"/>
      <c r="HM59" s="1463"/>
      <c r="HN59" s="1463"/>
      <c r="HO59" s="1463"/>
      <c r="HP59" s="1463"/>
      <c r="HQ59" s="1463"/>
      <c r="HR59" s="1463"/>
      <c r="HS59" s="1463"/>
      <c r="HT59" s="1463"/>
    </row>
    <row r="60" spans="1:228">
      <c r="A60" s="1360"/>
      <c r="B60" s="1367"/>
      <c r="C60" s="1367"/>
      <c r="D60" s="1446"/>
      <c r="E60" s="1810"/>
      <c r="F60" s="1446"/>
      <c r="G60" s="1446"/>
      <c r="H60" s="1446"/>
      <c r="I60" s="1446"/>
      <c r="J60" s="1446"/>
      <c r="K60" s="1446"/>
      <c r="L60" s="1446"/>
      <c r="M60" s="1446"/>
      <c r="N60" s="1446"/>
      <c r="O60" s="1446"/>
      <c r="P60" s="1446"/>
      <c r="Q60" s="1446"/>
      <c r="R60" s="1446"/>
      <c r="S60" s="1446"/>
      <c r="T60" s="1463"/>
      <c r="U60" s="1463"/>
      <c r="V60" s="1463"/>
      <c r="W60" s="1463"/>
      <c r="X60" s="1463"/>
      <c r="Y60" s="1463"/>
      <c r="Z60" s="1463"/>
      <c r="AA60" s="1463"/>
      <c r="AB60" s="1463"/>
      <c r="AC60" s="1463"/>
      <c r="AD60" s="1463"/>
      <c r="AE60" s="1463"/>
      <c r="AF60" s="1463"/>
      <c r="AG60" s="1463"/>
      <c r="AH60" s="1463"/>
      <c r="AI60" s="1463"/>
      <c r="AJ60" s="1463"/>
      <c r="AK60" s="1463"/>
      <c r="AL60" s="1463"/>
      <c r="AM60" s="1463"/>
      <c r="AN60" s="1463"/>
      <c r="AO60" s="1463"/>
      <c r="AP60" s="1463"/>
      <c r="AQ60" s="1463"/>
      <c r="AR60" s="1463"/>
      <c r="AS60" s="1463"/>
      <c r="AT60" s="1463"/>
      <c r="AU60" s="1463"/>
      <c r="AV60" s="1463"/>
      <c r="AW60" s="1463"/>
      <c r="AX60" s="1463"/>
      <c r="AY60" s="1463"/>
      <c r="AZ60" s="1463"/>
      <c r="BA60" s="1463"/>
      <c r="BB60" s="1463"/>
      <c r="BC60" s="1463"/>
      <c r="BD60" s="1463"/>
      <c r="BE60" s="1463"/>
      <c r="BF60" s="1463"/>
      <c r="BG60" s="1463"/>
      <c r="BH60" s="1463"/>
      <c r="BI60" s="1463"/>
      <c r="BJ60" s="1463"/>
      <c r="BK60" s="1463"/>
      <c r="BL60" s="1463"/>
      <c r="BM60" s="1463"/>
      <c r="BN60" s="1463"/>
      <c r="BO60" s="1463"/>
      <c r="BP60" s="1463"/>
      <c r="BQ60" s="1463"/>
      <c r="BR60" s="1463"/>
      <c r="BS60" s="1463"/>
      <c r="BT60" s="1463"/>
      <c r="BU60" s="1463"/>
      <c r="BV60" s="1463"/>
      <c r="BW60" s="1463"/>
      <c r="BX60" s="1463"/>
      <c r="BY60" s="1463"/>
      <c r="BZ60" s="1463"/>
      <c r="CA60" s="1463"/>
      <c r="CB60" s="1463"/>
      <c r="CC60" s="1463"/>
      <c r="CD60" s="1463"/>
      <c r="CE60" s="1463"/>
      <c r="CF60" s="1463"/>
      <c r="CG60" s="1463"/>
      <c r="CH60" s="1463"/>
      <c r="CI60" s="1463"/>
      <c r="CJ60" s="1463"/>
      <c r="CK60" s="1463"/>
      <c r="CL60" s="1463"/>
      <c r="CM60" s="1463"/>
      <c r="CN60" s="1463"/>
      <c r="CO60" s="1463"/>
      <c r="CP60" s="1463"/>
      <c r="CQ60" s="1463"/>
      <c r="CR60" s="1463"/>
      <c r="CS60" s="1463"/>
      <c r="CT60" s="1463"/>
      <c r="CU60" s="1463"/>
      <c r="CV60" s="1463"/>
      <c r="CW60" s="1463"/>
      <c r="CX60" s="1463"/>
      <c r="CY60" s="1463"/>
      <c r="CZ60" s="1463"/>
      <c r="DA60" s="1463"/>
      <c r="DB60" s="1463"/>
      <c r="DC60" s="1463"/>
      <c r="DD60" s="1463"/>
      <c r="DE60" s="1463"/>
      <c r="DF60" s="1463"/>
      <c r="DG60" s="1463"/>
      <c r="DH60" s="1463"/>
      <c r="DI60" s="1463"/>
      <c r="DJ60" s="1463"/>
      <c r="DK60" s="1463"/>
      <c r="DL60" s="1463"/>
      <c r="DM60" s="1463"/>
      <c r="DN60" s="1463"/>
      <c r="DO60" s="1463"/>
      <c r="DP60" s="1463"/>
      <c r="DQ60" s="1463"/>
      <c r="DR60" s="1463"/>
      <c r="DS60" s="1463"/>
      <c r="DT60" s="1463"/>
      <c r="DU60" s="1463"/>
      <c r="DV60" s="1463"/>
      <c r="DW60" s="1463"/>
      <c r="DX60" s="1463"/>
      <c r="DY60" s="1463"/>
      <c r="DZ60" s="1463"/>
      <c r="EA60" s="1463"/>
      <c r="EB60" s="1463"/>
      <c r="EC60" s="1463"/>
      <c r="ED60" s="1463"/>
      <c r="EE60" s="1463"/>
      <c r="EF60" s="1463"/>
      <c r="EG60" s="1463"/>
      <c r="EH60" s="1463"/>
      <c r="EI60" s="1463"/>
      <c r="EJ60" s="1463"/>
      <c r="EK60" s="1463"/>
      <c r="EL60" s="1463"/>
      <c r="EM60" s="1463"/>
      <c r="EN60" s="1463"/>
      <c r="EO60" s="1463"/>
      <c r="EP60" s="1463"/>
      <c r="EQ60" s="1463"/>
      <c r="ER60" s="1463"/>
      <c r="ES60" s="1463"/>
      <c r="ET60" s="1463"/>
      <c r="EU60" s="1463"/>
      <c r="EV60" s="1463"/>
      <c r="EW60" s="1463"/>
      <c r="EX60" s="1463"/>
      <c r="EY60" s="1463"/>
      <c r="EZ60" s="1463"/>
      <c r="FA60" s="1463"/>
      <c r="FB60" s="1463"/>
      <c r="FC60" s="1463"/>
      <c r="FD60" s="1463"/>
      <c r="FE60" s="1463"/>
      <c r="FF60" s="1463"/>
      <c r="FG60" s="1463"/>
      <c r="FH60" s="1463"/>
      <c r="FI60" s="1463"/>
      <c r="FJ60" s="1463"/>
      <c r="FK60" s="1463"/>
      <c r="FL60" s="1463"/>
      <c r="FM60" s="1463"/>
      <c r="FN60" s="1463"/>
      <c r="FO60" s="1463"/>
      <c r="FP60" s="1463"/>
      <c r="FQ60" s="1463"/>
      <c r="FR60" s="1463"/>
      <c r="FS60" s="1463"/>
      <c r="FT60" s="1463"/>
      <c r="FU60" s="1463"/>
      <c r="FV60" s="1463"/>
      <c r="FW60" s="1463"/>
      <c r="FX60" s="1463"/>
      <c r="FY60" s="1463"/>
      <c r="FZ60" s="1463"/>
      <c r="GA60" s="1463"/>
      <c r="GB60" s="1463"/>
      <c r="GC60" s="1463"/>
      <c r="GD60" s="1463"/>
      <c r="GE60" s="1463"/>
      <c r="GF60" s="1463"/>
      <c r="GG60" s="1463"/>
      <c r="GH60" s="1463"/>
      <c r="GI60" s="1463"/>
      <c r="GJ60" s="1463"/>
      <c r="GK60" s="1463"/>
      <c r="GL60" s="1463"/>
      <c r="GM60" s="1463"/>
      <c r="GN60" s="1463"/>
      <c r="GO60" s="1463"/>
      <c r="GP60" s="1463"/>
      <c r="GQ60" s="1463"/>
      <c r="GR60" s="1463"/>
      <c r="GS60" s="1463"/>
      <c r="GT60" s="1463"/>
      <c r="GU60" s="1463"/>
      <c r="GV60" s="1463"/>
      <c r="GW60" s="1463"/>
      <c r="GX60" s="1463"/>
      <c r="GY60" s="1463"/>
      <c r="GZ60" s="1463"/>
      <c r="HA60" s="1463"/>
      <c r="HB60" s="1463"/>
      <c r="HC60" s="1463"/>
      <c r="HD60" s="1463"/>
      <c r="HE60" s="1463"/>
      <c r="HF60" s="1463"/>
      <c r="HG60" s="1463"/>
      <c r="HH60" s="1463"/>
      <c r="HI60" s="1463"/>
      <c r="HJ60" s="1463"/>
      <c r="HK60" s="1463"/>
      <c r="HL60" s="1463"/>
      <c r="HM60" s="1463"/>
      <c r="HN60" s="1463"/>
      <c r="HO60" s="1463"/>
      <c r="HP60" s="1463"/>
      <c r="HQ60" s="1463"/>
      <c r="HR60" s="1463"/>
      <c r="HS60" s="1463"/>
      <c r="HT60" s="1463"/>
    </row>
    <row r="61" spans="1:228">
      <c r="A61" s="1360"/>
      <c r="B61" s="1367"/>
      <c r="C61" s="1367"/>
      <c r="D61" s="1446"/>
      <c r="E61" s="1810"/>
      <c r="F61" s="1446"/>
      <c r="G61" s="1446"/>
      <c r="H61" s="1446"/>
      <c r="I61" s="1446"/>
      <c r="J61" s="1446"/>
      <c r="K61" s="1446"/>
      <c r="L61" s="1446"/>
      <c r="M61" s="1446"/>
      <c r="N61" s="1446"/>
      <c r="O61" s="1446"/>
      <c r="P61" s="1446"/>
      <c r="Q61" s="1446"/>
      <c r="R61" s="1446"/>
      <c r="S61" s="1446"/>
      <c r="T61" s="1463"/>
      <c r="U61" s="1463"/>
      <c r="V61" s="1463"/>
      <c r="W61" s="1463"/>
      <c r="X61" s="1463"/>
      <c r="Y61" s="1463"/>
      <c r="Z61" s="1463"/>
      <c r="AA61" s="1463"/>
      <c r="AB61" s="1463"/>
      <c r="AC61" s="1463"/>
      <c r="AD61" s="1463"/>
      <c r="AE61" s="1463"/>
      <c r="AF61" s="1463"/>
      <c r="AG61" s="1463"/>
      <c r="AH61" s="1463"/>
      <c r="AI61" s="1463"/>
      <c r="AJ61" s="1463"/>
      <c r="AK61" s="1463"/>
      <c r="AL61" s="1463"/>
      <c r="AM61" s="1463"/>
      <c r="AN61" s="1463"/>
      <c r="AO61" s="1463"/>
      <c r="AP61" s="1463"/>
      <c r="AQ61" s="1463"/>
      <c r="AR61" s="1463"/>
      <c r="AS61" s="1463"/>
      <c r="AT61" s="1463"/>
      <c r="AU61" s="1463"/>
      <c r="AV61" s="1463"/>
      <c r="AW61" s="1463"/>
      <c r="AX61" s="1463"/>
      <c r="AY61" s="1463"/>
      <c r="AZ61" s="1463"/>
      <c r="BA61" s="1463"/>
      <c r="BB61" s="1463"/>
      <c r="BC61" s="1463"/>
      <c r="BD61" s="1463"/>
      <c r="BE61" s="1463"/>
      <c r="BF61" s="1463"/>
      <c r="BG61" s="1463"/>
      <c r="BH61" s="1463"/>
      <c r="BI61" s="1463"/>
      <c r="BJ61" s="1463"/>
      <c r="BK61" s="1463"/>
      <c r="BL61" s="1463"/>
      <c r="BM61" s="1463"/>
      <c r="BN61" s="1463"/>
      <c r="BO61" s="1463"/>
      <c r="BP61" s="1463"/>
      <c r="BQ61" s="1463"/>
      <c r="BR61" s="1463"/>
      <c r="BS61" s="1463"/>
      <c r="BT61" s="1463"/>
      <c r="BU61" s="1463"/>
      <c r="BV61" s="1463"/>
      <c r="BW61" s="1463"/>
      <c r="BX61" s="1463"/>
      <c r="BY61" s="1463"/>
      <c r="BZ61" s="1463"/>
      <c r="CA61" s="1463"/>
      <c r="CB61" s="1463"/>
      <c r="CC61" s="1463"/>
      <c r="CD61" s="1463"/>
      <c r="CE61" s="1463"/>
      <c r="CF61" s="1463"/>
      <c r="CG61" s="1463"/>
      <c r="CH61" s="1463"/>
      <c r="CI61" s="1463"/>
      <c r="CJ61" s="1463"/>
      <c r="CK61" s="1463"/>
      <c r="CL61" s="1463"/>
      <c r="CM61" s="1463"/>
      <c r="CN61" s="1463"/>
      <c r="CO61" s="1463"/>
      <c r="CP61" s="1463"/>
      <c r="CQ61" s="1463"/>
      <c r="CR61" s="1463"/>
      <c r="CS61" s="1463"/>
      <c r="CT61" s="1463"/>
      <c r="CU61" s="1463"/>
      <c r="CV61" s="1463"/>
      <c r="CW61" s="1463"/>
      <c r="CX61" s="1463"/>
      <c r="CY61" s="1463"/>
      <c r="CZ61" s="1463"/>
      <c r="DA61" s="1463"/>
      <c r="DB61" s="1463"/>
      <c r="DC61" s="1463"/>
      <c r="DD61" s="1463"/>
      <c r="DE61" s="1463"/>
      <c r="DF61" s="1463"/>
      <c r="DG61" s="1463"/>
      <c r="DH61" s="1463"/>
      <c r="DI61" s="1463"/>
      <c r="DJ61" s="1463"/>
      <c r="DK61" s="1463"/>
      <c r="DL61" s="1463"/>
      <c r="DM61" s="1463"/>
      <c r="DN61" s="1463"/>
      <c r="DO61" s="1463"/>
      <c r="DP61" s="1463"/>
      <c r="DQ61" s="1463"/>
      <c r="DR61" s="1463"/>
      <c r="DS61" s="1463"/>
      <c r="DT61" s="1463"/>
      <c r="DU61" s="1463"/>
      <c r="DV61" s="1463"/>
      <c r="DW61" s="1463"/>
      <c r="DX61" s="1463"/>
      <c r="DY61" s="1463"/>
      <c r="DZ61" s="1463"/>
      <c r="EA61" s="1463"/>
      <c r="EB61" s="1463"/>
      <c r="EC61" s="1463"/>
      <c r="ED61" s="1463"/>
      <c r="EE61" s="1463"/>
      <c r="EF61" s="1463"/>
      <c r="EG61" s="1463"/>
      <c r="EH61" s="1463"/>
      <c r="EI61" s="1463"/>
      <c r="EJ61" s="1463"/>
      <c r="EK61" s="1463"/>
      <c r="EL61" s="1463"/>
      <c r="EM61" s="1463"/>
      <c r="EN61" s="1463"/>
      <c r="EO61" s="1463"/>
      <c r="EP61" s="1463"/>
      <c r="EQ61" s="1463"/>
      <c r="ER61" s="1463"/>
      <c r="ES61" s="1463"/>
      <c r="ET61" s="1463"/>
      <c r="EU61" s="1463"/>
      <c r="EV61" s="1463"/>
      <c r="EW61" s="1463"/>
      <c r="EX61" s="1463"/>
      <c r="EY61" s="1463"/>
      <c r="EZ61" s="1463"/>
      <c r="FA61" s="1463"/>
      <c r="FB61" s="1463"/>
      <c r="FC61" s="1463"/>
      <c r="FD61" s="1463"/>
      <c r="FE61" s="1463"/>
      <c r="FF61" s="1463"/>
      <c r="FG61" s="1463"/>
      <c r="FH61" s="1463"/>
      <c r="FI61" s="1463"/>
      <c r="FJ61" s="1463"/>
      <c r="FK61" s="1463"/>
      <c r="FL61" s="1463"/>
      <c r="FM61" s="1463"/>
      <c r="FN61" s="1463"/>
      <c r="FO61" s="1463"/>
      <c r="FP61" s="1463"/>
      <c r="FQ61" s="1463"/>
      <c r="FR61" s="1463"/>
      <c r="FS61" s="1463"/>
      <c r="FT61" s="1463"/>
      <c r="FU61" s="1463"/>
      <c r="FV61" s="1463"/>
      <c r="FW61" s="1463"/>
      <c r="FX61" s="1463"/>
      <c r="FY61" s="1463"/>
      <c r="FZ61" s="1463"/>
      <c r="GA61" s="1463"/>
      <c r="GB61" s="1463"/>
      <c r="GC61" s="1463"/>
      <c r="GD61" s="1463"/>
      <c r="GE61" s="1463"/>
      <c r="GF61" s="1463"/>
      <c r="GG61" s="1463"/>
      <c r="GH61" s="1463"/>
      <c r="GI61" s="1463"/>
      <c r="GJ61" s="1463"/>
      <c r="GK61" s="1463"/>
      <c r="GL61" s="1463"/>
      <c r="GM61" s="1463"/>
      <c r="GN61" s="1463"/>
      <c r="GO61" s="1463"/>
      <c r="GP61" s="1463"/>
      <c r="GQ61" s="1463"/>
      <c r="GR61" s="1463"/>
      <c r="GS61" s="1463"/>
      <c r="GT61" s="1463"/>
      <c r="GU61" s="1463"/>
      <c r="GV61" s="1463"/>
      <c r="GW61" s="1463"/>
      <c r="GX61" s="1463"/>
      <c r="GY61" s="1463"/>
      <c r="GZ61" s="1463"/>
      <c r="HA61" s="1463"/>
      <c r="HB61" s="1463"/>
      <c r="HC61" s="1463"/>
      <c r="HD61" s="1463"/>
      <c r="HE61" s="1463"/>
      <c r="HF61" s="1463"/>
      <c r="HG61" s="1463"/>
      <c r="HH61" s="1463"/>
      <c r="HI61" s="1463"/>
      <c r="HJ61" s="1463"/>
      <c r="HK61" s="1463"/>
      <c r="HL61" s="1463"/>
      <c r="HM61" s="1463"/>
      <c r="HN61" s="1463"/>
      <c r="HO61" s="1463"/>
      <c r="HP61" s="1463"/>
      <c r="HQ61" s="1463"/>
      <c r="HR61" s="1463"/>
      <c r="HS61" s="1463"/>
      <c r="HT61" s="1463"/>
    </row>
    <row r="62" spans="1:228">
      <c r="A62" s="1360"/>
      <c r="B62" s="1367"/>
      <c r="C62" s="1367"/>
      <c r="D62" s="1446"/>
      <c r="E62" s="1810"/>
      <c r="F62" s="1446"/>
      <c r="G62" s="1446"/>
      <c r="H62" s="1446"/>
      <c r="I62" s="1446"/>
      <c r="J62" s="1446"/>
      <c r="K62" s="1446"/>
      <c r="L62" s="1446"/>
      <c r="M62" s="1446"/>
      <c r="N62" s="1446"/>
      <c r="O62" s="1446"/>
      <c r="P62" s="1446"/>
      <c r="Q62" s="1446"/>
      <c r="R62" s="1446"/>
      <c r="S62" s="1446"/>
      <c r="T62" s="1463"/>
      <c r="U62" s="1463"/>
      <c r="V62" s="1463"/>
      <c r="W62" s="1463"/>
      <c r="X62" s="1463"/>
      <c r="Y62" s="1463"/>
      <c r="Z62" s="1463"/>
      <c r="AA62" s="1463"/>
      <c r="AB62" s="1463"/>
      <c r="AC62" s="1463"/>
      <c r="AD62" s="1463"/>
      <c r="AE62" s="1463"/>
      <c r="AF62" s="1463"/>
      <c r="AG62" s="1463"/>
      <c r="AH62" s="1463"/>
      <c r="AI62" s="1463"/>
      <c r="AJ62" s="1463"/>
      <c r="AK62" s="1463"/>
      <c r="AL62" s="1463"/>
      <c r="AM62" s="1463"/>
      <c r="AN62" s="1463"/>
      <c r="AO62" s="1463"/>
      <c r="AP62" s="1463"/>
      <c r="AQ62" s="1463"/>
      <c r="AR62" s="1463"/>
      <c r="AS62" s="1463"/>
      <c r="AT62" s="1463"/>
      <c r="AU62" s="1463"/>
      <c r="AV62" s="1463"/>
      <c r="AW62" s="1463"/>
      <c r="AX62" s="1463"/>
      <c r="AY62" s="1463"/>
      <c r="AZ62" s="1463"/>
      <c r="BA62" s="1463"/>
      <c r="BB62" s="1463"/>
      <c r="BC62" s="1463"/>
      <c r="BD62" s="1463"/>
      <c r="BE62" s="1463"/>
      <c r="BF62" s="1463"/>
      <c r="BG62" s="1463"/>
      <c r="BH62" s="1463"/>
      <c r="BI62" s="1463"/>
      <c r="BJ62" s="1463"/>
      <c r="BK62" s="1463"/>
      <c r="BL62" s="1463"/>
      <c r="BM62" s="1463"/>
      <c r="BN62" s="1463"/>
      <c r="BO62" s="1463"/>
      <c r="BP62" s="1463"/>
      <c r="BQ62" s="1463"/>
      <c r="BR62" s="1463"/>
      <c r="BS62" s="1463"/>
      <c r="BT62" s="1463"/>
      <c r="BU62" s="1463"/>
      <c r="BV62" s="1463"/>
      <c r="BW62" s="1463"/>
      <c r="BX62" s="1463"/>
      <c r="BY62" s="1463"/>
      <c r="BZ62" s="1463"/>
      <c r="CA62" s="1463"/>
      <c r="CB62" s="1463"/>
      <c r="CC62" s="1463"/>
      <c r="CD62" s="1463"/>
      <c r="CE62" s="1463"/>
      <c r="CF62" s="1463"/>
      <c r="CG62" s="1463"/>
      <c r="CH62" s="1463"/>
      <c r="CI62" s="1463"/>
      <c r="CJ62" s="1463"/>
      <c r="CK62" s="1463"/>
      <c r="CL62" s="1463"/>
      <c r="CM62" s="1463"/>
      <c r="CN62" s="1463"/>
      <c r="CO62" s="1463"/>
      <c r="CP62" s="1463"/>
      <c r="CQ62" s="1463"/>
      <c r="CR62" s="1463"/>
      <c r="CS62" s="1463"/>
      <c r="CT62" s="1463"/>
      <c r="CU62" s="1463"/>
      <c r="CV62" s="1463"/>
      <c r="CW62" s="1463"/>
      <c r="CX62" s="1463"/>
      <c r="CY62" s="1463"/>
      <c r="CZ62" s="1463"/>
      <c r="DA62" s="1463"/>
      <c r="DB62" s="1463"/>
      <c r="DC62" s="1463"/>
      <c r="DD62" s="1463"/>
      <c r="DE62" s="1463"/>
      <c r="DF62" s="1463"/>
      <c r="DG62" s="1463"/>
      <c r="DH62" s="1463"/>
      <c r="DI62" s="1463"/>
      <c r="DJ62" s="1463"/>
      <c r="DK62" s="1463"/>
      <c r="DL62" s="1463"/>
      <c r="DM62" s="1463"/>
      <c r="DN62" s="1463"/>
      <c r="DO62" s="1463"/>
      <c r="DP62" s="1463"/>
      <c r="DQ62" s="1463"/>
      <c r="DR62" s="1463"/>
      <c r="DS62" s="1463"/>
      <c r="DT62" s="1463"/>
      <c r="DU62" s="1463"/>
      <c r="DV62" s="1463"/>
      <c r="DW62" s="1463"/>
      <c r="DX62" s="1463"/>
      <c r="DY62" s="1463"/>
      <c r="DZ62" s="1463"/>
      <c r="EA62" s="1463"/>
      <c r="EB62" s="1463"/>
      <c r="EC62" s="1463"/>
      <c r="ED62" s="1463"/>
      <c r="EE62" s="1463"/>
      <c r="EF62" s="1463"/>
      <c r="EG62" s="1463"/>
      <c r="EH62" s="1463"/>
      <c r="EI62" s="1463"/>
      <c r="EJ62" s="1463"/>
      <c r="EK62" s="1463"/>
      <c r="EL62" s="1463"/>
      <c r="EM62" s="1463"/>
      <c r="EN62" s="1463"/>
      <c r="EO62" s="1463"/>
      <c r="EP62" s="1463"/>
      <c r="EQ62" s="1463"/>
      <c r="ER62" s="1463"/>
      <c r="ES62" s="1463"/>
      <c r="ET62" s="1463"/>
      <c r="EU62" s="1463"/>
      <c r="EV62" s="1463"/>
      <c r="EW62" s="1463"/>
      <c r="EX62" s="1463"/>
      <c r="EY62" s="1463"/>
      <c r="EZ62" s="1463"/>
      <c r="FA62" s="1463"/>
      <c r="FB62" s="1463"/>
      <c r="FC62" s="1463"/>
      <c r="FD62" s="1463"/>
      <c r="FE62" s="1463"/>
      <c r="FF62" s="1463"/>
      <c r="FG62" s="1463"/>
      <c r="FH62" s="1463"/>
      <c r="FI62" s="1463"/>
      <c r="FJ62" s="1463"/>
      <c r="FK62" s="1463"/>
      <c r="FL62" s="1463"/>
      <c r="FM62" s="1463"/>
      <c r="FN62" s="1463"/>
      <c r="FO62" s="1463"/>
      <c r="FP62" s="1463"/>
      <c r="FQ62" s="1463"/>
      <c r="FR62" s="1463"/>
      <c r="FS62" s="1463"/>
      <c r="FT62" s="1463"/>
      <c r="FU62" s="1463"/>
      <c r="FV62" s="1463"/>
      <c r="FW62" s="1463"/>
      <c r="FX62" s="1463"/>
      <c r="FY62" s="1463"/>
      <c r="FZ62" s="1463"/>
      <c r="GA62" s="1463"/>
      <c r="GB62" s="1463"/>
      <c r="GC62" s="1463"/>
      <c r="GD62" s="1463"/>
      <c r="GE62" s="1463"/>
      <c r="GF62" s="1463"/>
      <c r="GG62" s="1463"/>
      <c r="GH62" s="1463"/>
      <c r="GI62" s="1463"/>
      <c r="GJ62" s="1463"/>
      <c r="GK62" s="1463"/>
      <c r="GL62" s="1463"/>
      <c r="GM62" s="1463"/>
      <c r="GN62" s="1463"/>
      <c r="GO62" s="1463"/>
      <c r="GP62" s="1463"/>
      <c r="GQ62" s="1463"/>
      <c r="GR62" s="1463"/>
      <c r="GS62" s="1463"/>
      <c r="GT62" s="1463"/>
      <c r="GU62" s="1463"/>
      <c r="GV62" s="1463"/>
      <c r="GW62" s="1463"/>
      <c r="GX62" s="1463"/>
      <c r="GY62" s="1463"/>
      <c r="GZ62" s="1463"/>
      <c r="HA62" s="1463"/>
      <c r="HB62" s="1463"/>
      <c r="HC62" s="1463"/>
      <c r="HD62" s="1463"/>
      <c r="HE62" s="1463"/>
      <c r="HF62" s="1463"/>
      <c r="HG62" s="1463"/>
      <c r="HH62" s="1463"/>
      <c r="HI62" s="1463"/>
      <c r="HJ62" s="1463"/>
      <c r="HK62" s="1463"/>
      <c r="HL62" s="1463"/>
      <c r="HM62" s="1463"/>
      <c r="HN62" s="1463"/>
      <c r="HO62" s="1463"/>
      <c r="HP62" s="1463"/>
      <c r="HQ62" s="1463"/>
      <c r="HR62" s="1463"/>
      <c r="HS62" s="1463"/>
      <c r="HT62" s="1463"/>
    </row>
    <row r="63" spans="1:228">
      <c r="A63" s="1360"/>
      <c r="B63" s="1367"/>
      <c r="C63" s="1367"/>
      <c r="D63" s="1446"/>
      <c r="E63" s="1810"/>
      <c r="F63" s="1446"/>
      <c r="G63" s="1446"/>
      <c r="H63" s="1446"/>
      <c r="I63" s="1446"/>
      <c r="J63" s="1446"/>
      <c r="K63" s="1446"/>
      <c r="L63" s="1446"/>
      <c r="M63" s="1446"/>
      <c r="N63" s="1446"/>
      <c r="O63" s="1446"/>
      <c r="P63" s="1446"/>
      <c r="Q63" s="1446"/>
      <c r="R63" s="1446"/>
      <c r="S63" s="1446"/>
      <c r="T63" s="1463"/>
      <c r="U63" s="1463"/>
      <c r="V63" s="1463"/>
      <c r="W63" s="1463"/>
      <c r="X63" s="1463"/>
      <c r="Y63" s="1463"/>
      <c r="Z63" s="1463"/>
      <c r="AA63" s="1463"/>
      <c r="AB63" s="1463"/>
      <c r="AC63" s="1463"/>
      <c r="AD63" s="1463"/>
      <c r="AE63" s="1463"/>
      <c r="AF63" s="1463"/>
      <c r="AG63" s="1463"/>
      <c r="AH63" s="1463"/>
      <c r="AI63" s="1463"/>
      <c r="AJ63" s="1463"/>
      <c r="AK63" s="1463"/>
      <c r="AL63" s="1463"/>
      <c r="AM63" s="1463"/>
      <c r="AN63" s="1463"/>
      <c r="AO63" s="1463"/>
      <c r="AP63" s="1463"/>
      <c r="AQ63" s="1463"/>
      <c r="AR63" s="1463"/>
      <c r="AS63" s="1463"/>
      <c r="AT63" s="1463"/>
      <c r="AU63" s="1463"/>
      <c r="AV63" s="1463"/>
      <c r="AW63" s="1463"/>
      <c r="AX63" s="1463"/>
      <c r="AY63" s="1463"/>
      <c r="AZ63" s="1463"/>
      <c r="BA63" s="1463"/>
      <c r="BB63" s="1463"/>
      <c r="BC63" s="1463"/>
      <c r="BD63" s="1463"/>
      <c r="BE63" s="1463"/>
      <c r="BF63" s="1463"/>
      <c r="BG63" s="1463"/>
      <c r="BH63" s="1463"/>
      <c r="BI63" s="1463"/>
      <c r="BJ63" s="1463"/>
      <c r="BK63" s="1463"/>
      <c r="BL63" s="1463"/>
      <c r="BM63" s="1463"/>
      <c r="BN63" s="1463"/>
      <c r="BO63" s="1463"/>
      <c r="BP63" s="1463"/>
      <c r="BQ63" s="1463"/>
      <c r="BR63" s="1463"/>
      <c r="BS63" s="1463"/>
      <c r="BT63" s="1463"/>
      <c r="BU63" s="1463"/>
      <c r="BV63" s="1463"/>
      <c r="BW63" s="1463"/>
      <c r="BX63" s="1463"/>
      <c r="BY63" s="1463"/>
      <c r="BZ63" s="1463"/>
      <c r="CA63" s="1463"/>
      <c r="CB63" s="1463"/>
      <c r="CC63" s="1463"/>
      <c r="CD63" s="1463"/>
      <c r="CE63" s="1463"/>
      <c r="CF63" s="1463"/>
      <c r="CG63" s="1463"/>
      <c r="CH63" s="1463"/>
      <c r="CI63" s="1463"/>
      <c r="CJ63" s="1463"/>
      <c r="CK63" s="1463"/>
      <c r="CL63" s="1463"/>
      <c r="CM63" s="1463"/>
      <c r="CN63" s="1463"/>
      <c r="CO63" s="1463"/>
      <c r="CP63" s="1463"/>
      <c r="CQ63" s="1463"/>
      <c r="CR63" s="1463"/>
      <c r="CS63" s="1463"/>
      <c r="CT63" s="1463"/>
      <c r="CU63" s="1463"/>
      <c r="CV63" s="1463"/>
      <c r="CW63" s="1463"/>
      <c r="CX63" s="1463"/>
      <c r="CY63" s="1463"/>
      <c r="CZ63" s="1463"/>
      <c r="DA63" s="1463"/>
      <c r="DB63" s="1463"/>
      <c r="DC63" s="1463"/>
      <c r="DD63" s="1463"/>
      <c r="DE63" s="1463"/>
      <c r="DF63" s="1463"/>
      <c r="DG63" s="1463"/>
      <c r="DH63" s="1463"/>
      <c r="DI63" s="1463"/>
      <c r="DJ63" s="1463"/>
      <c r="DK63" s="1463"/>
      <c r="DL63" s="1463"/>
      <c r="DM63" s="1463"/>
      <c r="DN63" s="1463"/>
      <c r="DO63" s="1463"/>
      <c r="DP63" s="1463"/>
      <c r="DQ63" s="1463"/>
      <c r="DR63" s="1463"/>
      <c r="DS63" s="1463"/>
      <c r="DT63" s="1463"/>
      <c r="DU63" s="1463"/>
      <c r="DV63" s="1463"/>
      <c r="DW63" s="1463"/>
      <c r="DX63" s="1463"/>
      <c r="DY63" s="1463"/>
      <c r="DZ63" s="1463"/>
      <c r="EA63" s="1463"/>
      <c r="EB63" s="1463"/>
      <c r="EC63" s="1463"/>
      <c r="ED63" s="1463"/>
      <c r="EE63" s="1463"/>
      <c r="EF63" s="1463"/>
      <c r="EG63" s="1463"/>
      <c r="EH63" s="1463"/>
      <c r="EI63" s="1463"/>
      <c r="EJ63" s="1463"/>
      <c r="EK63" s="1463"/>
      <c r="EL63" s="1463"/>
      <c r="EM63" s="1463"/>
      <c r="EN63" s="1463"/>
      <c r="EO63" s="1463"/>
      <c r="EP63" s="1463"/>
      <c r="EQ63" s="1463"/>
      <c r="ER63" s="1463"/>
      <c r="ES63" s="1463"/>
      <c r="ET63" s="1463"/>
      <c r="EU63" s="1463"/>
      <c r="EV63" s="1463"/>
      <c r="EW63" s="1463"/>
      <c r="EX63" s="1463"/>
      <c r="EY63" s="1463"/>
      <c r="EZ63" s="1463"/>
      <c r="FA63" s="1463"/>
      <c r="FB63" s="1463"/>
      <c r="FC63" s="1463"/>
      <c r="FD63" s="1463"/>
      <c r="FE63" s="1463"/>
      <c r="FF63" s="1463"/>
      <c r="FG63" s="1463"/>
      <c r="FH63" s="1463"/>
      <c r="FI63" s="1463"/>
      <c r="FJ63" s="1463"/>
      <c r="FK63" s="1463"/>
      <c r="FL63" s="1463"/>
      <c r="FM63" s="1463"/>
      <c r="FN63" s="1463"/>
      <c r="FO63" s="1463"/>
      <c r="FP63" s="1463"/>
      <c r="FQ63" s="1463"/>
      <c r="FR63" s="1463"/>
      <c r="FS63" s="1463"/>
      <c r="FT63" s="1463"/>
      <c r="FU63" s="1463"/>
      <c r="FV63" s="1463"/>
      <c r="FW63" s="1463"/>
      <c r="FX63" s="1463"/>
      <c r="FY63" s="1463"/>
      <c r="FZ63" s="1463"/>
      <c r="GA63" s="1463"/>
      <c r="GB63" s="1463"/>
      <c r="GC63" s="1463"/>
      <c r="GD63" s="1463"/>
      <c r="GE63" s="1463"/>
      <c r="GF63" s="1463"/>
      <c r="GG63" s="1463"/>
      <c r="GH63" s="1463"/>
      <c r="GI63" s="1463"/>
      <c r="GJ63" s="1463"/>
      <c r="GK63" s="1463"/>
      <c r="GL63" s="1463"/>
      <c r="GM63" s="1463"/>
      <c r="GN63" s="1463"/>
      <c r="GO63" s="1463"/>
      <c r="GP63" s="1463"/>
      <c r="GQ63" s="1463"/>
      <c r="GR63" s="1463"/>
      <c r="GS63" s="1463"/>
      <c r="GT63" s="1463"/>
      <c r="GU63" s="1463"/>
      <c r="GV63" s="1463"/>
      <c r="GW63" s="1463"/>
      <c r="GX63" s="1463"/>
      <c r="GY63" s="1463"/>
      <c r="GZ63" s="1463"/>
      <c r="HA63" s="1463"/>
      <c r="HB63" s="1463"/>
      <c r="HC63" s="1463"/>
      <c r="HD63" s="1463"/>
      <c r="HE63" s="1463"/>
      <c r="HF63" s="1463"/>
      <c r="HG63" s="1463"/>
      <c r="HH63" s="1463"/>
      <c r="HI63" s="1463"/>
      <c r="HJ63" s="1463"/>
      <c r="HK63" s="1463"/>
      <c r="HL63" s="1463"/>
      <c r="HM63" s="1463"/>
      <c r="HN63" s="1463"/>
      <c r="HO63" s="1463"/>
      <c r="HP63" s="1463"/>
      <c r="HQ63" s="1463"/>
      <c r="HR63" s="1463"/>
      <c r="HS63" s="1463"/>
      <c r="HT63" s="1463"/>
    </row>
    <row r="64" spans="1:228">
      <c r="A64" s="1360"/>
      <c r="B64" s="1367"/>
      <c r="C64" s="1367"/>
      <c r="D64" s="1446"/>
      <c r="E64" s="1810"/>
      <c r="F64" s="1446"/>
      <c r="G64" s="1446"/>
      <c r="H64" s="1446"/>
      <c r="I64" s="1446"/>
      <c r="J64" s="1446"/>
      <c r="K64" s="1446"/>
      <c r="L64" s="1446"/>
      <c r="M64" s="1446"/>
      <c r="N64" s="1446"/>
      <c r="O64" s="1446"/>
      <c r="P64" s="1446"/>
      <c r="Q64" s="1446"/>
      <c r="R64" s="1446"/>
      <c r="S64" s="1446"/>
      <c r="T64" s="1463"/>
      <c r="U64" s="1463"/>
      <c r="V64" s="1463"/>
      <c r="W64" s="1463"/>
      <c r="X64" s="1463"/>
      <c r="Y64" s="1463"/>
      <c r="Z64" s="1463"/>
      <c r="AA64" s="1463"/>
      <c r="AB64" s="1463"/>
      <c r="AC64" s="1463"/>
      <c r="AD64" s="1463"/>
      <c r="AE64" s="1463"/>
      <c r="AF64" s="1463"/>
      <c r="AG64" s="1463"/>
      <c r="AH64" s="1463"/>
      <c r="AI64" s="1463"/>
      <c r="AJ64" s="1463"/>
      <c r="AK64" s="1463"/>
      <c r="AL64" s="1463"/>
      <c r="AM64" s="1463"/>
      <c r="AN64" s="1463"/>
      <c r="AO64" s="1463"/>
      <c r="AP64" s="1463"/>
      <c r="AQ64" s="1463"/>
      <c r="AR64" s="1463"/>
      <c r="AS64" s="1463"/>
      <c r="AT64" s="1463"/>
      <c r="AU64" s="1463"/>
      <c r="AV64" s="1463"/>
      <c r="AW64" s="1463"/>
      <c r="AX64" s="1463"/>
      <c r="AY64" s="1463"/>
      <c r="AZ64" s="1463"/>
      <c r="BA64" s="1463"/>
      <c r="BB64" s="1463"/>
      <c r="BC64" s="1463"/>
      <c r="BD64" s="1463"/>
      <c r="BE64" s="1463"/>
      <c r="BF64" s="1463"/>
      <c r="BG64" s="1463"/>
      <c r="BH64" s="1463"/>
      <c r="BI64" s="1463"/>
      <c r="BJ64" s="1463"/>
      <c r="BK64" s="1463"/>
      <c r="BL64" s="1463"/>
      <c r="BM64" s="1463"/>
      <c r="BN64" s="1463"/>
      <c r="BO64" s="1463"/>
      <c r="BP64" s="1463"/>
      <c r="BQ64" s="1463"/>
      <c r="BR64" s="1463"/>
      <c r="BS64" s="1463"/>
      <c r="BT64" s="1463"/>
      <c r="BU64" s="1463"/>
      <c r="BV64" s="1463"/>
      <c r="BW64" s="1463"/>
      <c r="BX64" s="1463"/>
      <c r="BY64" s="1463"/>
      <c r="BZ64" s="1463"/>
      <c r="CA64" s="1463"/>
      <c r="CB64" s="1463"/>
      <c r="CC64" s="1463"/>
      <c r="CD64" s="1463"/>
      <c r="CE64" s="1463"/>
      <c r="CF64" s="1463"/>
      <c r="CG64" s="1463"/>
      <c r="CH64" s="1463"/>
      <c r="CI64" s="1463"/>
      <c r="CJ64" s="1463"/>
      <c r="CK64" s="1463"/>
      <c r="CL64" s="1463"/>
      <c r="CM64" s="1463"/>
      <c r="CN64" s="1463"/>
      <c r="CO64" s="1463"/>
      <c r="CP64" s="1463"/>
      <c r="CQ64" s="1463"/>
      <c r="CR64" s="1463"/>
      <c r="CS64" s="1463"/>
      <c r="CT64" s="1463"/>
      <c r="CU64" s="1463"/>
      <c r="CV64" s="1463"/>
      <c r="CW64" s="1463"/>
      <c r="CX64" s="1463"/>
      <c r="CY64" s="1463"/>
      <c r="CZ64" s="1463"/>
      <c r="DA64" s="1463"/>
      <c r="DB64" s="1463"/>
      <c r="DC64" s="1463"/>
      <c r="DD64" s="1463"/>
      <c r="DE64" s="1463"/>
      <c r="DF64" s="1463"/>
      <c r="DG64" s="1463"/>
      <c r="DH64" s="1463"/>
      <c r="DI64" s="1463"/>
      <c r="DJ64" s="1463"/>
      <c r="DK64" s="1463"/>
      <c r="DL64" s="1463"/>
      <c r="DM64" s="1463"/>
      <c r="DN64" s="1463"/>
      <c r="DO64" s="1463"/>
      <c r="DP64" s="1463"/>
      <c r="DQ64" s="1463"/>
      <c r="DR64" s="1463"/>
      <c r="DS64" s="1463"/>
      <c r="DT64" s="1463"/>
      <c r="DU64" s="1463"/>
      <c r="DV64" s="1463"/>
      <c r="DW64" s="1463"/>
      <c r="DX64" s="1463"/>
      <c r="DY64" s="1463"/>
      <c r="DZ64" s="1463"/>
      <c r="EA64" s="1463"/>
      <c r="EB64" s="1463"/>
      <c r="EC64" s="1463"/>
      <c r="ED64" s="1463"/>
      <c r="EE64" s="1463"/>
      <c r="EF64" s="1463"/>
      <c r="EG64" s="1463"/>
      <c r="EH64" s="1463"/>
      <c r="EI64" s="1463"/>
      <c r="EJ64" s="1463"/>
      <c r="EK64" s="1463"/>
      <c r="EL64" s="1463"/>
      <c r="EM64" s="1463"/>
      <c r="EN64" s="1463"/>
      <c r="EO64" s="1463"/>
      <c r="EP64" s="1463"/>
      <c r="EQ64" s="1463"/>
      <c r="ER64" s="1463"/>
      <c r="ES64" s="1463"/>
      <c r="ET64" s="1463"/>
      <c r="EU64" s="1463"/>
      <c r="EV64" s="1463"/>
      <c r="EW64" s="1463"/>
      <c r="EX64" s="1463"/>
      <c r="EY64" s="1463"/>
      <c r="EZ64" s="1463"/>
      <c r="FA64" s="1463"/>
      <c r="FB64" s="1463"/>
      <c r="FC64" s="1463"/>
      <c r="FD64" s="1463"/>
      <c r="FE64" s="1463"/>
      <c r="FF64" s="1463"/>
      <c r="FG64" s="1463"/>
      <c r="FH64" s="1463"/>
      <c r="FI64" s="1463"/>
      <c r="FJ64" s="1463"/>
      <c r="FK64" s="1463"/>
      <c r="FL64" s="1463"/>
      <c r="FM64" s="1463"/>
      <c r="FN64" s="1463"/>
      <c r="FO64" s="1463"/>
      <c r="FP64" s="1463"/>
      <c r="FQ64" s="1463"/>
      <c r="FR64" s="1463"/>
      <c r="FS64" s="1463"/>
      <c r="FT64" s="1463"/>
      <c r="FU64" s="1463"/>
      <c r="FV64" s="1463"/>
      <c r="FW64" s="1463"/>
      <c r="FX64" s="1463"/>
      <c r="FY64" s="1463"/>
      <c r="FZ64" s="1463"/>
      <c r="GA64" s="1463"/>
      <c r="GB64" s="1463"/>
      <c r="GC64" s="1463"/>
      <c r="GD64" s="1463"/>
      <c r="GE64" s="1463"/>
      <c r="GF64" s="1463"/>
      <c r="GG64" s="1463"/>
      <c r="GH64" s="1463"/>
      <c r="GI64" s="1463"/>
      <c r="GJ64" s="1463"/>
      <c r="GK64" s="1463"/>
      <c r="GL64" s="1463"/>
      <c r="GM64" s="1463"/>
      <c r="GN64" s="1463"/>
      <c r="GO64" s="1463"/>
      <c r="GP64" s="1463"/>
      <c r="GQ64" s="1463"/>
      <c r="GR64" s="1463"/>
      <c r="GS64" s="1463"/>
      <c r="GT64" s="1463"/>
      <c r="GU64" s="1463"/>
      <c r="GV64" s="1463"/>
      <c r="GW64" s="1463"/>
      <c r="GX64" s="1463"/>
      <c r="GY64" s="1463"/>
      <c r="GZ64" s="1463"/>
      <c r="HA64" s="1463"/>
      <c r="HB64" s="1463"/>
      <c r="HC64" s="1463"/>
      <c r="HD64" s="1463"/>
      <c r="HE64" s="1463"/>
      <c r="HF64" s="1463"/>
      <c r="HG64" s="1463"/>
      <c r="HH64" s="1463"/>
      <c r="HI64" s="1463"/>
      <c r="HJ64" s="1463"/>
      <c r="HK64" s="1463"/>
      <c r="HL64" s="1463"/>
      <c r="HM64" s="1463"/>
      <c r="HN64" s="1463"/>
      <c r="HO64" s="1463"/>
      <c r="HP64" s="1463"/>
      <c r="HQ64" s="1463"/>
      <c r="HR64" s="1463"/>
      <c r="HS64" s="1463"/>
      <c r="HT64" s="1463"/>
    </row>
    <row r="65" spans="1:228">
      <c r="A65" s="1360"/>
      <c r="B65" s="1367"/>
      <c r="C65" s="1367"/>
      <c r="D65" s="1367"/>
      <c r="E65" s="1367"/>
      <c r="F65" s="1446"/>
      <c r="G65" s="1446"/>
      <c r="H65" s="1446"/>
      <c r="I65" s="1446"/>
      <c r="J65" s="1446"/>
      <c r="K65" s="1446"/>
      <c r="L65" s="1446"/>
      <c r="M65" s="1446"/>
      <c r="N65" s="1446"/>
      <c r="O65" s="1446"/>
      <c r="P65" s="1446"/>
      <c r="Q65" s="1446"/>
      <c r="R65" s="1446"/>
      <c r="S65" s="1446"/>
      <c r="T65" s="1463"/>
      <c r="U65" s="1463"/>
      <c r="V65" s="1463"/>
      <c r="W65" s="1463"/>
      <c r="X65" s="1463"/>
      <c r="Y65" s="1463"/>
      <c r="Z65" s="1463"/>
      <c r="AA65" s="1463"/>
      <c r="AB65" s="1463"/>
      <c r="AC65" s="1463"/>
      <c r="AD65" s="1463"/>
      <c r="AE65" s="1463"/>
      <c r="AF65" s="1463"/>
      <c r="AG65" s="1463"/>
      <c r="AH65" s="1463"/>
      <c r="AI65" s="1463"/>
      <c r="AJ65" s="1463"/>
      <c r="AK65" s="1463"/>
      <c r="AL65" s="1463"/>
      <c r="AM65" s="1463"/>
      <c r="AN65" s="1463"/>
      <c r="AO65" s="1463"/>
      <c r="AP65" s="1463"/>
      <c r="AQ65" s="1463"/>
      <c r="AR65" s="1463"/>
      <c r="AS65" s="1463"/>
      <c r="AT65" s="1463"/>
      <c r="AU65" s="1463"/>
      <c r="AV65" s="1463"/>
      <c r="AW65" s="1463"/>
      <c r="AX65" s="1463"/>
      <c r="AY65" s="1463"/>
      <c r="AZ65" s="1463"/>
      <c r="BA65" s="1463"/>
      <c r="BB65" s="1463"/>
      <c r="BC65" s="1463"/>
      <c r="BD65" s="1463"/>
      <c r="BE65" s="1463"/>
      <c r="BF65" s="1463"/>
      <c r="BG65" s="1463"/>
      <c r="BH65" s="1463"/>
      <c r="BI65" s="1463"/>
      <c r="BJ65" s="1463"/>
      <c r="BK65" s="1463"/>
      <c r="BL65" s="1463"/>
      <c r="BM65" s="1463"/>
      <c r="BN65" s="1463"/>
      <c r="BO65" s="1463"/>
      <c r="BP65" s="1463"/>
      <c r="BQ65" s="1463"/>
      <c r="BR65" s="1463"/>
      <c r="BS65" s="1463"/>
      <c r="BT65" s="1463"/>
      <c r="BU65" s="1463"/>
      <c r="BV65" s="1463"/>
      <c r="BW65" s="1463"/>
      <c r="BX65" s="1463"/>
      <c r="BY65" s="1463"/>
      <c r="BZ65" s="1463"/>
      <c r="CA65" s="1463"/>
      <c r="CB65" s="1463"/>
      <c r="CC65" s="1463"/>
      <c r="CD65" s="1463"/>
      <c r="CE65" s="1463"/>
      <c r="CF65" s="1463"/>
      <c r="CG65" s="1463"/>
      <c r="CH65" s="1463"/>
      <c r="CI65" s="1463"/>
      <c r="CJ65" s="1463"/>
      <c r="CK65" s="1463"/>
      <c r="CL65" s="1463"/>
      <c r="CM65" s="1463"/>
      <c r="CN65" s="1463"/>
      <c r="CO65" s="1463"/>
      <c r="CP65" s="1463"/>
      <c r="CQ65" s="1463"/>
      <c r="CR65" s="1463"/>
      <c r="CS65" s="1463"/>
      <c r="CT65" s="1463"/>
      <c r="CU65" s="1463"/>
      <c r="CV65" s="1463"/>
      <c r="CW65" s="1463"/>
      <c r="CX65" s="1463"/>
      <c r="CY65" s="1463"/>
      <c r="CZ65" s="1463"/>
      <c r="DA65" s="1463"/>
      <c r="DB65" s="1463"/>
      <c r="DC65" s="1463"/>
      <c r="DD65" s="1463"/>
      <c r="DE65" s="1463"/>
      <c r="DF65" s="1463"/>
      <c r="DG65" s="1463"/>
      <c r="DH65" s="1463"/>
      <c r="DI65" s="1463"/>
      <c r="DJ65" s="1463"/>
      <c r="DK65" s="1463"/>
      <c r="DL65" s="1463"/>
      <c r="DM65" s="1463"/>
      <c r="DN65" s="1463"/>
      <c r="DO65" s="1463"/>
      <c r="DP65" s="1463"/>
      <c r="DQ65" s="1463"/>
      <c r="DR65" s="1463"/>
      <c r="DS65" s="1463"/>
      <c r="DT65" s="1463"/>
      <c r="DU65" s="1463"/>
      <c r="DV65" s="1463"/>
      <c r="DW65" s="1463"/>
      <c r="DX65" s="1463"/>
      <c r="DY65" s="1463"/>
      <c r="DZ65" s="1463"/>
      <c r="EA65" s="1463"/>
      <c r="EB65" s="1463"/>
      <c r="EC65" s="1463"/>
      <c r="ED65" s="1463"/>
      <c r="EE65" s="1463"/>
      <c r="EF65" s="1463"/>
      <c r="EG65" s="1463"/>
      <c r="EH65" s="1463"/>
      <c r="EI65" s="1463"/>
      <c r="EJ65" s="1463"/>
      <c r="EK65" s="1463"/>
      <c r="EL65" s="1463"/>
      <c r="EM65" s="1463"/>
      <c r="EN65" s="1463"/>
      <c r="EO65" s="1463"/>
      <c r="EP65" s="1463"/>
      <c r="EQ65" s="1463"/>
      <c r="ER65" s="1463"/>
      <c r="ES65" s="1463"/>
      <c r="ET65" s="1463"/>
      <c r="EU65" s="1463"/>
      <c r="EV65" s="1463"/>
      <c r="EW65" s="1463"/>
      <c r="EX65" s="1463"/>
      <c r="EY65" s="1463"/>
      <c r="EZ65" s="1463"/>
      <c r="FA65" s="1463"/>
      <c r="FB65" s="1463"/>
      <c r="FC65" s="1463"/>
      <c r="FD65" s="1463"/>
      <c r="FE65" s="1463"/>
      <c r="FF65" s="1463"/>
      <c r="FG65" s="1463"/>
      <c r="FH65" s="1463"/>
      <c r="FI65" s="1463"/>
      <c r="FJ65" s="1463"/>
      <c r="FK65" s="1463"/>
      <c r="FL65" s="1463"/>
      <c r="FM65" s="1463"/>
      <c r="FN65" s="1463"/>
      <c r="FO65" s="1463"/>
      <c r="FP65" s="1463"/>
      <c r="FQ65" s="1463"/>
      <c r="FR65" s="1463"/>
      <c r="FS65" s="1463"/>
      <c r="FT65" s="1463"/>
      <c r="FU65" s="1463"/>
      <c r="FV65" s="1463"/>
      <c r="FW65" s="1463"/>
      <c r="FX65" s="1463"/>
      <c r="FY65" s="1463"/>
      <c r="FZ65" s="1463"/>
      <c r="GA65" s="1463"/>
      <c r="GB65" s="1463"/>
      <c r="GC65" s="1463"/>
      <c r="GD65" s="1463"/>
      <c r="GE65" s="1463"/>
      <c r="GF65" s="1463"/>
      <c r="GG65" s="1463"/>
      <c r="GH65" s="1463"/>
      <c r="GI65" s="1463"/>
      <c r="GJ65" s="1463"/>
      <c r="GK65" s="1463"/>
      <c r="GL65" s="1463"/>
      <c r="GM65" s="1463"/>
      <c r="GN65" s="1463"/>
      <c r="GO65" s="1463"/>
      <c r="GP65" s="1463"/>
      <c r="GQ65" s="1463"/>
      <c r="GR65" s="1463"/>
      <c r="GS65" s="1463"/>
      <c r="GT65" s="1463"/>
      <c r="GU65" s="1463"/>
      <c r="GV65" s="1463"/>
      <c r="GW65" s="1463"/>
      <c r="GX65" s="1463"/>
      <c r="GY65" s="1463"/>
      <c r="GZ65" s="1463"/>
      <c r="HA65" s="1463"/>
      <c r="HB65" s="1463"/>
      <c r="HC65" s="1463"/>
      <c r="HD65" s="1463"/>
      <c r="HE65" s="1463"/>
      <c r="HF65" s="1463"/>
      <c r="HG65" s="1463"/>
      <c r="HH65" s="1463"/>
      <c r="HI65" s="1463"/>
      <c r="HJ65" s="1463"/>
      <c r="HK65" s="1463"/>
      <c r="HL65" s="1463"/>
      <c r="HM65" s="1463"/>
      <c r="HN65" s="1463"/>
      <c r="HO65" s="1463"/>
      <c r="HP65" s="1463"/>
      <c r="HQ65" s="1463"/>
      <c r="HR65" s="1463"/>
      <c r="HS65" s="1463"/>
      <c r="HT65" s="1463"/>
    </row>
    <row r="66" spans="1:228">
      <c r="A66" s="1360"/>
      <c r="B66" s="1367"/>
      <c r="C66" s="1367"/>
      <c r="D66" s="1446"/>
      <c r="E66" s="1810"/>
      <c r="F66" s="1446"/>
      <c r="G66" s="1446"/>
      <c r="H66" s="1446"/>
      <c r="I66" s="1446"/>
      <c r="J66" s="1446"/>
      <c r="K66" s="1446"/>
      <c r="L66" s="1446"/>
      <c r="M66" s="1446"/>
      <c r="N66" s="1446"/>
      <c r="O66" s="1446"/>
      <c r="P66" s="1446"/>
      <c r="Q66" s="1446"/>
      <c r="R66" s="1446"/>
      <c r="S66" s="1446"/>
      <c r="T66" s="1463"/>
      <c r="U66" s="1463"/>
      <c r="V66" s="1463"/>
      <c r="W66" s="1463"/>
      <c r="X66" s="1463"/>
      <c r="Y66" s="1463"/>
      <c r="Z66" s="1463"/>
      <c r="AA66" s="1463"/>
      <c r="AB66" s="1463"/>
      <c r="AC66" s="1463"/>
      <c r="AD66" s="1463"/>
      <c r="AE66" s="1463"/>
      <c r="AF66" s="1463"/>
      <c r="AG66" s="1463"/>
      <c r="AH66" s="1463"/>
      <c r="AI66" s="1463"/>
      <c r="AJ66" s="1463"/>
      <c r="AK66" s="1463"/>
      <c r="AL66" s="1463"/>
      <c r="AM66" s="1463"/>
      <c r="AN66" s="1463"/>
      <c r="AO66" s="1463"/>
      <c r="AP66" s="1463"/>
      <c r="AQ66" s="1463"/>
      <c r="AR66" s="1463"/>
      <c r="AS66" s="1463"/>
      <c r="AT66" s="1463"/>
      <c r="AU66" s="1463"/>
      <c r="AV66" s="1463"/>
      <c r="AW66" s="1463"/>
      <c r="AX66" s="1463"/>
      <c r="AY66" s="1463"/>
      <c r="AZ66" s="1463"/>
      <c r="BA66" s="1463"/>
      <c r="BB66" s="1463"/>
      <c r="BC66" s="1463"/>
      <c r="BD66" s="1463"/>
      <c r="BE66" s="1463"/>
      <c r="BF66" s="1463"/>
      <c r="BG66" s="1463"/>
      <c r="BH66" s="1463"/>
      <c r="BI66" s="1463"/>
      <c r="BJ66" s="1463"/>
      <c r="BK66" s="1463"/>
      <c r="BL66" s="1463"/>
      <c r="BM66" s="1463"/>
      <c r="BN66" s="1463"/>
      <c r="BO66" s="1463"/>
      <c r="BP66" s="1463"/>
      <c r="BQ66" s="1463"/>
      <c r="BR66" s="1463"/>
      <c r="BS66" s="1463"/>
      <c r="BT66" s="1463"/>
      <c r="BU66" s="1463"/>
      <c r="BV66" s="1463"/>
      <c r="BW66" s="1463"/>
      <c r="BX66" s="1463"/>
      <c r="BY66" s="1463"/>
      <c r="BZ66" s="1463"/>
      <c r="CA66" s="1463"/>
      <c r="CB66" s="1463"/>
      <c r="CC66" s="1463"/>
      <c r="CD66" s="1463"/>
      <c r="CE66" s="1463"/>
      <c r="CF66" s="1463"/>
      <c r="CG66" s="1463"/>
      <c r="CH66" s="1463"/>
      <c r="CI66" s="1463"/>
      <c r="CJ66" s="1463"/>
      <c r="CK66" s="1463"/>
      <c r="CL66" s="1463"/>
      <c r="CM66" s="1463"/>
      <c r="CN66" s="1463"/>
      <c r="CO66" s="1463"/>
      <c r="CP66" s="1463"/>
      <c r="CQ66" s="1463"/>
      <c r="CR66" s="1463"/>
      <c r="CS66" s="1463"/>
      <c r="CT66" s="1463"/>
      <c r="CU66" s="1463"/>
      <c r="CV66" s="1463"/>
      <c r="CW66" s="1463"/>
      <c r="CX66" s="1463"/>
      <c r="CY66" s="1463"/>
      <c r="CZ66" s="1463"/>
      <c r="DA66" s="1463"/>
      <c r="DB66" s="1463"/>
      <c r="DC66" s="1463"/>
      <c r="DD66" s="1463"/>
      <c r="DE66" s="1463"/>
      <c r="DF66" s="1463"/>
      <c r="DG66" s="1463"/>
      <c r="DH66" s="1463"/>
      <c r="DI66" s="1463"/>
      <c r="DJ66" s="1463"/>
      <c r="DK66" s="1463"/>
      <c r="DL66" s="1463"/>
      <c r="DM66" s="1463"/>
      <c r="DN66" s="1463"/>
      <c r="DO66" s="1463"/>
      <c r="DP66" s="1463"/>
      <c r="DQ66" s="1463"/>
      <c r="DR66" s="1463"/>
      <c r="DS66" s="1463"/>
      <c r="DT66" s="1463"/>
      <c r="DU66" s="1463"/>
      <c r="DV66" s="1463"/>
      <c r="DW66" s="1463"/>
      <c r="DX66" s="1463"/>
      <c r="DY66" s="1463"/>
      <c r="DZ66" s="1463"/>
      <c r="EA66" s="1463"/>
      <c r="EB66" s="1463"/>
      <c r="EC66" s="1463"/>
      <c r="ED66" s="1463"/>
      <c r="EE66" s="1463"/>
      <c r="EF66" s="1463"/>
      <c r="EG66" s="1463"/>
      <c r="EH66" s="1463"/>
      <c r="EI66" s="1463"/>
      <c r="EJ66" s="1463"/>
      <c r="EK66" s="1463"/>
      <c r="EL66" s="1463"/>
      <c r="EM66" s="1463"/>
      <c r="EN66" s="1463"/>
      <c r="EO66" s="1463"/>
      <c r="EP66" s="1463"/>
      <c r="EQ66" s="1463"/>
      <c r="ER66" s="1463"/>
      <c r="ES66" s="1463"/>
      <c r="ET66" s="1463"/>
      <c r="EU66" s="1463"/>
      <c r="EV66" s="1463"/>
      <c r="EW66" s="1463"/>
      <c r="EX66" s="1463"/>
      <c r="EY66" s="1463"/>
      <c r="EZ66" s="1463"/>
      <c r="FA66" s="1463"/>
      <c r="FB66" s="1463"/>
      <c r="FC66" s="1463"/>
      <c r="FD66" s="1463"/>
      <c r="FE66" s="1463"/>
      <c r="FF66" s="1463"/>
      <c r="FG66" s="1463"/>
      <c r="FH66" s="1463"/>
      <c r="FI66" s="1463"/>
      <c r="FJ66" s="1463"/>
      <c r="FK66" s="1463"/>
      <c r="FL66" s="1463"/>
      <c r="FM66" s="1463"/>
      <c r="FN66" s="1463"/>
      <c r="FO66" s="1463"/>
      <c r="FP66" s="1463"/>
      <c r="FQ66" s="1463"/>
      <c r="FR66" s="1463"/>
      <c r="FS66" s="1463"/>
      <c r="FT66" s="1463"/>
      <c r="FU66" s="1463"/>
      <c r="FV66" s="1463"/>
      <c r="FW66" s="1463"/>
      <c r="FX66" s="1463"/>
      <c r="FY66" s="1463"/>
      <c r="FZ66" s="1463"/>
      <c r="GA66" s="1463"/>
      <c r="GB66" s="1463"/>
      <c r="GC66" s="1463"/>
      <c r="GD66" s="1463"/>
      <c r="GE66" s="1463"/>
      <c r="GF66" s="1463"/>
      <c r="GG66" s="1463"/>
      <c r="GH66" s="1463"/>
      <c r="GI66" s="1463"/>
      <c r="GJ66" s="1463"/>
      <c r="GK66" s="1463"/>
      <c r="GL66" s="1463"/>
      <c r="GM66" s="1463"/>
      <c r="GN66" s="1463"/>
      <c r="GO66" s="1463"/>
      <c r="GP66" s="1463"/>
      <c r="GQ66" s="1463"/>
      <c r="GR66" s="1463"/>
      <c r="GS66" s="1463"/>
      <c r="GT66" s="1463"/>
      <c r="GU66" s="1463"/>
      <c r="GV66" s="1463"/>
      <c r="GW66" s="1463"/>
      <c r="GX66" s="1463"/>
      <c r="GY66" s="1463"/>
      <c r="GZ66" s="1463"/>
      <c r="HA66" s="1463"/>
      <c r="HB66" s="1463"/>
      <c r="HC66" s="1463"/>
      <c r="HD66" s="1463"/>
      <c r="HE66" s="1463"/>
      <c r="HF66" s="1463"/>
      <c r="HG66" s="1463"/>
      <c r="HH66" s="1463"/>
      <c r="HI66" s="1463"/>
      <c r="HJ66" s="1463"/>
      <c r="HK66" s="1463"/>
      <c r="HL66" s="1463"/>
      <c r="HM66" s="1463"/>
      <c r="HN66" s="1463"/>
      <c r="HO66" s="1463"/>
      <c r="HP66" s="1463"/>
      <c r="HQ66" s="1463"/>
      <c r="HR66" s="1463"/>
      <c r="HS66" s="1463"/>
      <c r="HT66" s="1463"/>
    </row>
    <row r="67" spans="1:228">
      <c r="A67" s="1360"/>
      <c r="B67" s="1367"/>
      <c r="C67" s="1367"/>
      <c r="D67" s="1446"/>
      <c r="E67" s="1810"/>
      <c r="F67" s="1446"/>
      <c r="G67" s="1446"/>
      <c r="H67" s="1446"/>
      <c r="I67" s="1446"/>
      <c r="J67" s="1446"/>
      <c r="K67" s="1446"/>
      <c r="L67" s="1446"/>
      <c r="M67" s="1446"/>
      <c r="N67" s="1446"/>
      <c r="O67" s="1446"/>
      <c r="P67" s="1446"/>
      <c r="Q67" s="1446"/>
      <c r="R67" s="1446"/>
      <c r="S67" s="1446"/>
      <c r="T67" s="1463"/>
      <c r="U67" s="1463"/>
      <c r="V67" s="1463"/>
      <c r="W67" s="1463"/>
      <c r="X67" s="1463"/>
      <c r="Y67" s="1463"/>
      <c r="Z67" s="1463"/>
      <c r="AA67" s="1463"/>
      <c r="AB67" s="1463"/>
      <c r="AC67" s="1463"/>
      <c r="AD67" s="1463"/>
      <c r="AE67" s="1463"/>
      <c r="AF67" s="1463"/>
      <c r="AG67" s="1463"/>
      <c r="AH67" s="1463"/>
      <c r="AI67" s="1463"/>
      <c r="AJ67" s="1463"/>
      <c r="AK67" s="1463"/>
      <c r="AL67" s="1463"/>
      <c r="AM67" s="1463"/>
      <c r="AN67" s="1463"/>
      <c r="AO67" s="1463"/>
      <c r="AP67" s="1463"/>
      <c r="AQ67" s="1463"/>
      <c r="AR67" s="1463"/>
      <c r="AS67" s="1463"/>
      <c r="AT67" s="1463"/>
      <c r="AU67" s="1463"/>
      <c r="AV67" s="1463"/>
      <c r="AW67" s="1463"/>
      <c r="AX67" s="1463"/>
      <c r="AY67" s="1463"/>
      <c r="AZ67" s="1463"/>
      <c r="BA67" s="1463"/>
      <c r="BB67" s="1463"/>
      <c r="BC67" s="1463"/>
      <c r="BD67" s="1463"/>
      <c r="BE67" s="1463"/>
      <c r="BF67" s="1463"/>
      <c r="BG67" s="1463"/>
      <c r="BH67" s="1463"/>
      <c r="BI67" s="1463"/>
      <c r="BJ67" s="1463"/>
      <c r="BK67" s="1463"/>
      <c r="BL67" s="1463"/>
      <c r="BM67" s="1463"/>
      <c r="BN67" s="1463"/>
      <c r="BO67" s="1463"/>
      <c r="BP67" s="1463"/>
      <c r="BQ67" s="1463"/>
      <c r="BR67" s="1463"/>
      <c r="BS67" s="1463"/>
      <c r="BT67" s="1463"/>
      <c r="BU67" s="1463"/>
      <c r="BV67" s="1463"/>
      <c r="BW67" s="1463"/>
      <c r="BX67" s="1463"/>
      <c r="BY67" s="1463"/>
      <c r="BZ67" s="1463"/>
      <c r="CA67" s="1463"/>
      <c r="CB67" s="1463"/>
      <c r="CC67" s="1463"/>
      <c r="CD67" s="1463"/>
      <c r="CE67" s="1463"/>
      <c r="CF67" s="1463"/>
      <c r="CG67" s="1463"/>
      <c r="CH67" s="1463"/>
      <c r="CI67" s="1463"/>
      <c r="CJ67" s="1463"/>
      <c r="CK67" s="1463"/>
      <c r="CL67" s="1463"/>
      <c r="CM67" s="1463"/>
      <c r="CN67" s="1463"/>
      <c r="CO67" s="1463"/>
      <c r="CP67" s="1463"/>
      <c r="CQ67" s="1463"/>
      <c r="CR67" s="1463"/>
      <c r="CS67" s="1463"/>
      <c r="CT67" s="1463"/>
      <c r="CU67" s="1463"/>
      <c r="CV67" s="1463"/>
      <c r="CW67" s="1463"/>
      <c r="CX67" s="1463"/>
      <c r="CY67" s="1463"/>
      <c r="CZ67" s="1463"/>
      <c r="DA67" s="1463"/>
      <c r="DB67" s="1463"/>
      <c r="DC67" s="1463"/>
      <c r="DD67" s="1463"/>
      <c r="DE67" s="1463"/>
      <c r="DF67" s="1463"/>
      <c r="DG67" s="1463"/>
      <c r="DH67" s="1463"/>
      <c r="DI67" s="1463"/>
      <c r="DJ67" s="1463"/>
      <c r="DK67" s="1463"/>
      <c r="DL67" s="1463"/>
      <c r="DM67" s="1463"/>
      <c r="DN67" s="1463"/>
      <c r="DO67" s="1463"/>
      <c r="DP67" s="1463"/>
      <c r="DQ67" s="1463"/>
      <c r="DR67" s="1463"/>
      <c r="DS67" s="1463"/>
      <c r="DT67" s="1463"/>
      <c r="DU67" s="1463"/>
      <c r="DV67" s="1463"/>
      <c r="DW67" s="1463"/>
      <c r="DX67" s="1463"/>
      <c r="DY67" s="1463"/>
      <c r="DZ67" s="1463"/>
      <c r="EA67" s="1463"/>
      <c r="EB67" s="1463"/>
      <c r="EC67" s="1463"/>
      <c r="ED67" s="1463"/>
      <c r="EE67" s="1463"/>
      <c r="EF67" s="1463"/>
      <c r="EG67" s="1463"/>
      <c r="EH67" s="1463"/>
      <c r="EI67" s="1463"/>
      <c r="EJ67" s="1463"/>
      <c r="EK67" s="1463"/>
      <c r="EL67" s="1463"/>
      <c r="EM67" s="1463"/>
      <c r="EN67" s="1463"/>
      <c r="EO67" s="1463"/>
      <c r="EP67" s="1463"/>
      <c r="EQ67" s="1463"/>
      <c r="ER67" s="1463"/>
      <c r="ES67" s="1463"/>
      <c r="ET67" s="1463"/>
      <c r="EU67" s="1463"/>
      <c r="EV67" s="1463"/>
      <c r="EW67" s="1463"/>
      <c r="EX67" s="1463"/>
      <c r="EY67" s="1463"/>
      <c r="EZ67" s="1463"/>
      <c r="FA67" s="1463"/>
      <c r="FB67" s="1463"/>
      <c r="FC67" s="1463"/>
      <c r="FD67" s="1463"/>
      <c r="FE67" s="1463"/>
      <c r="FF67" s="1463"/>
      <c r="FG67" s="1463"/>
      <c r="FH67" s="1463"/>
      <c r="FI67" s="1463"/>
      <c r="FJ67" s="1463"/>
      <c r="FK67" s="1463"/>
      <c r="FL67" s="1463"/>
      <c r="FM67" s="1463"/>
      <c r="FN67" s="1463"/>
      <c r="FO67" s="1463"/>
      <c r="FP67" s="1463"/>
      <c r="FQ67" s="1463"/>
      <c r="FR67" s="1463"/>
      <c r="FS67" s="1463"/>
      <c r="FT67" s="1463"/>
      <c r="FU67" s="1463"/>
      <c r="FV67" s="1463"/>
      <c r="FW67" s="1463"/>
      <c r="FX67" s="1463"/>
      <c r="FY67" s="1463"/>
      <c r="FZ67" s="1463"/>
      <c r="GA67" s="1463"/>
      <c r="GB67" s="1463"/>
      <c r="GC67" s="1463"/>
      <c r="GD67" s="1463"/>
      <c r="GE67" s="1463"/>
      <c r="GF67" s="1463"/>
      <c r="GG67" s="1463"/>
      <c r="GH67" s="1463"/>
      <c r="GI67" s="1463"/>
      <c r="GJ67" s="1463"/>
      <c r="GK67" s="1463"/>
      <c r="GL67" s="1463"/>
      <c r="GM67" s="1463"/>
      <c r="GN67" s="1463"/>
      <c r="GO67" s="1463"/>
      <c r="GP67" s="1463"/>
      <c r="GQ67" s="1463"/>
      <c r="GR67" s="1463"/>
      <c r="GS67" s="1463"/>
      <c r="GT67" s="1463"/>
      <c r="GU67" s="1463"/>
      <c r="GV67" s="1463"/>
      <c r="GW67" s="1463"/>
      <c r="GX67" s="1463"/>
      <c r="GY67" s="1463"/>
      <c r="GZ67" s="1463"/>
      <c r="HA67" s="1463"/>
      <c r="HB67" s="1463"/>
      <c r="HC67" s="1463"/>
      <c r="HD67" s="1463"/>
      <c r="HE67" s="1463"/>
      <c r="HF67" s="1463"/>
      <c r="HG67" s="1463"/>
      <c r="HH67" s="1463"/>
      <c r="HI67" s="1463"/>
      <c r="HJ67" s="1463"/>
      <c r="HK67" s="1463"/>
      <c r="HL67" s="1463"/>
      <c r="HM67" s="1463"/>
      <c r="HN67" s="1463"/>
      <c r="HO67" s="1463"/>
      <c r="HP67" s="1463"/>
      <c r="HQ67" s="1463"/>
      <c r="HR67" s="1463"/>
      <c r="HS67" s="1463"/>
      <c r="HT67" s="1463"/>
    </row>
    <row r="68" spans="1:228" ht="18.75" customHeight="1">
      <c r="A68" s="1360"/>
      <c r="B68" s="1367"/>
      <c r="C68" s="1367"/>
      <c r="D68" s="1446"/>
      <c r="E68" s="1446"/>
      <c r="F68" s="1446"/>
      <c r="G68" s="1446"/>
      <c r="H68" s="1446"/>
      <c r="I68" s="1446"/>
      <c r="J68" s="1446"/>
      <c r="K68" s="1446"/>
      <c r="L68" s="1446"/>
      <c r="M68" s="1446"/>
      <c r="N68" s="1446"/>
      <c r="O68" s="1446"/>
      <c r="P68" s="1446"/>
      <c r="Q68" s="1446"/>
      <c r="R68" s="1446"/>
      <c r="S68" s="1446"/>
      <c r="T68" s="1463"/>
      <c r="U68" s="1463"/>
      <c r="V68" s="1463"/>
      <c r="W68" s="1463"/>
      <c r="X68" s="1463"/>
      <c r="Y68" s="1463"/>
      <c r="Z68" s="1463"/>
      <c r="AA68" s="1463"/>
      <c r="AB68" s="1463"/>
      <c r="AC68" s="1463"/>
      <c r="AD68" s="1463"/>
      <c r="AE68" s="1463"/>
      <c r="AF68" s="1463"/>
      <c r="AG68" s="1463"/>
      <c r="AH68" s="1463"/>
      <c r="AI68" s="1463"/>
      <c r="AJ68" s="1463"/>
      <c r="AK68" s="1463"/>
      <c r="AL68" s="1463"/>
      <c r="AM68" s="1463"/>
      <c r="AN68" s="1463"/>
      <c r="AO68" s="1463"/>
      <c r="AP68" s="1463"/>
      <c r="AQ68" s="1463"/>
      <c r="AR68" s="1463"/>
      <c r="AS68" s="1463"/>
      <c r="AT68" s="1463"/>
      <c r="AU68" s="1463"/>
      <c r="AV68" s="1463"/>
      <c r="AW68" s="1463"/>
      <c r="AX68" s="1463"/>
      <c r="AY68" s="1463"/>
      <c r="AZ68" s="1463"/>
      <c r="BA68" s="1463"/>
      <c r="BB68" s="1463"/>
      <c r="BC68" s="1463"/>
      <c r="BD68" s="1463"/>
      <c r="BE68" s="1463"/>
      <c r="BF68" s="1463"/>
      <c r="BG68" s="1463"/>
      <c r="BH68" s="1463"/>
      <c r="BI68" s="1463"/>
      <c r="BJ68" s="1463"/>
      <c r="BK68" s="1463"/>
      <c r="BL68" s="1463"/>
      <c r="BM68" s="1463"/>
      <c r="BN68" s="1463"/>
      <c r="BO68" s="1463"/>
      <c r="BP68" s="1463"/>
      <c r="BQ68" s="1463"/>
      <c r="BR68" s="1463"/>
      <c r="BS68" s="1463"/>
      <c r="BT68" s="1463"/>
      <c r="BU68" s="1463"/>
      <c r="BV68" s="1463"/>
      <c r="BW68" s="1463"/>
      <c r="BX68" s="1463"/>
      <c r="BY68" s="1463"/>
      <c r="BZ68" s="1463"/>
      <c r="CA68" s="1463"/>
      <c r="CB68" s="1463"/>
      <c r="CC68" s="1463"/>
      <c r="CD68" s="1463"/>
      <c r="CE68" s="1463"/>
      <c r="CF68" s="1463"/>
      <c r="CG68" s="1463"/>
      <c r="CH68" s="1463"/>
      <c r="CI68" s="1463"/>
      <c r="CJ68" s="1463"/>
      <c r="CK68" s="1463"/>
      <c r="CL68" s="1463"/>
      <c r="CM68" s="1463"/>
      <c r="CN68" s="1463"/>
      <c r="CO68" s="1463"/>
      <c r="CP68" s="1463"/>
      <c r="CQ68" s="1463"/>
      <c r="CR68" s="1463"/>
      <c r="CS68" s="1463"/>
      <c r="CT68" s="1463"/>
      <c r="CU68" s="1463"/>
      <c r="CV68" s="1463"/>
      <c r="CW68" s="1463"/>
      <c r="CX68" s="1463"/>
      <c r="CY68" s="1463"/>
      <c r="CZ68" s="1463"/>
      <c r="DA68" s="1463"/>
      <c r="DB68" s="1463"/>
      <c r="DC68" s="1463"/>
      <c r="DD68" s="1463"/>
      <c r="DE68" s="1463"/>
      <c r="DF68" s="1463"/>
      <c r="DG68" s="1463"/>
      <c r="DH68" s="1463"/>
      <c r="DI68" s="1463"/>
      <c r="DJ68" s="1463"/>
      <c r="DK68" s="1463"/>
      <c r="DL68" s="1463"/>
      <c r="DM68" s="1463"/>
      <c r="DN68" s="1463"/>
      <c r="DO68" s="1463"/>
      <c r="DP68" s="1463"/>
      <c r="DQ68" s="1463"/>
      <c r="DR68" s="1463"/>
      <c r="DS68" s="1463"/>
      <c r="DT68" s="1463"/>
      <c r="DU68" s="1463"/>
      <c r="DV68" s="1463"/>
      <c r="DW68" s="1463"/>
      <c r="DX68" s="1463"/>
      <c r="DY68" s="1463"/>
      <c r="DZ68" s="1463"/>
      <c r="EA68" s="1463"/>
      <c r="EB68" s="1463"/>
      <c r="EC68" s="1463"/>
      <c r="ED68" s="1463"/>
      <c r="EE68" s="1463"/>
      <c r="EF68" s="1463"/>
      <c r="EG68" s="1463"/>
      <c r="EH68" s="1463"/>
      <c r="EI68" s="1463"/>
      <c r="EJ68" s="1463"/>
      <c r="EK68" s="1463"/>
      <c r="EL68" s="1463"/>
      <c r="EM68" s="1463"/>
      <c r="EN68" s="1463"/>
      <c r="EO68" s="1463"/>
      <c r="EP68" s="1463"/>
      <c r="EQ68" s="1463"/>
      <c r="ER68" s="1463"/>
      <c r="ES68" s="1463"/>
      <c r="ET68" s="1463"/>
      <c r="EU68" s="1463"/>
      <c r="EV68" s="1463"/>
      <c r="EW68" s="1463"/>
      <c r="EX68" s="1463"/>
      <c r="EY68" s="1463"/>
      <c r="EZ68" s="1463"/>
      <c r="FA68" s="1463"/>
      <c r="FB68" s="1463"/>
      <c r="FC68" s="1463"/>
      <c r="FD68" s="1463"/>
      <c r="FE68" s="1463"/>
      <c r="FF68" s="1463"/>
      <c r="FG68" s="1463"/>
      <c r="FH68" s="1463"/>
      <c r="FI68" s="1463"/>
      <c r="FJ68" s="1463"/>
      <c r="FK68" s="1463"/>
      <c r="FL68" s="1463"/>
      <c r="FM68" s="1463"/>
      <c r="FN68" s="1463"/>
      <c r="FO68" s="1463"/>
      <c r="FP68" s="1463"/>
      <c r="FQ68" s="1463"/>
      <c r="FR68" s="1463"/>
      <c r="FS68" s="1463"/>
      <c r="FT68" s="1463"/>
      <c r="FU68" s="1463"/>
      <c r="FV68" s="1463"/>
      <c r="FW68" s="1463"/>
      <c r="FX68" s="1463"/>
      <c r="FY68" s="1463"/>
      <c r="FZ68" s="1463"/>
      <c r="GA68" s="1463"/>
      <c r="GB68" s="1463"/>
      <c r="GC68" s="1463"/>
      <c r="GD68" s="1463"/>
      <c r="GE68" s="1463"/>
      <c r="GF68" s="1463"/>
      <c r="GG68" s="1463"/>
      <c r="GH68" s="1463"/>
      <c r="GI68" s="1463"/>
      <c r="GJ68" s="1463"/>
      <c r="GK68" s="1463"/>
      <c r="GL68" s="1463"/>
      <c r="GM68" s="1463"/>
      <c r="GN68" s="1463"/>
      <c r="GO68" s="1463"/>
      <c r="GP68" s="1463"/>
      <c r="GQ68" s="1463"/>
      <c r="GR68" s="1463"/>
      <c r="GS68" s="1463"/>
      <c r="GT68" s="1463"/>
      <c r="GU68" s="1463"/>
      <c r="GV68" s="1463"/>
      <c r="GW68" s="1463"/>
      <c r="GX68" s="1463"/>
      <c r="GY68" s="1463"/>
      <c r="GZ68" s="1463"/>
      <c r="HA68" s="1463"/>
      <c r="HB68" s="1463"/>
      <c r="HC68" s="1463"/>
      <c r="HD68" s="1463"/>
      <c r="HE68" s="1463"/>
      <c r="HF68" s="1463"/>
      <c r="HG68" s="1463"/>
      <c r="HH68" s="1463"/>
      <c r="HI68" s="1463"/>
      <c r="HJ68" s="1463"/>
      <c r="HK68" s="1463"/>
      <c r="HL68" s="1463"/>
      <c r="HM68" s="1463"/>
      <c r="HN68" s="1463"/>
      <c r="HO68" s="1463"/>
      <c r="HP68" s="1463"/>
      <c r="HQ68" s="1463"/>
      <c r="HR68" s="1463"/>
      <c r="HS68" s="1463"/>
      <c r="HT68" s="1463"/>
    </row>
    <row r="69" spans="1:228" hidden="1">
      <c r="A69" s="1360"/>
      <c r="B69" s="1463"/>
      <c r="C69" s="1446"/>
      <c r="D69" s="1446"/>
      <c r="E69" s="1446"/>
      <c r="F69" s="1446"/>
      <c r="G69" s="1446"/>
      <c r="H69" s="1446"/>
      <c r="I69" s="1446"/>
      <c r="J69" s="1446"/>
      <c r="K69" s="1446"/>
      <c r="L69" s="1446"/>
      <c r="M69" s="1446"/>
      <c r="N69" s="1446"/>
      <c r="O69" s="1446"/>
      <c r="P69" s="1446"/>
      <c r="Q69" s="1446"/>
      <c r="R69" s="1446"/>
      <c r="S69" s="1446"/>
      <c r="T69" s="1463"/>
      <c r="U69" s="1463"/>
      <c r="V69" s="1463"/>
      <c r="W69" s="1463"/>
      <c r="X69" s="1463"/>
      <c r="Y69" s="1463"/>
      <c r="Z69" s="1463"/>
      <c r="AA69" s="1463"/>
      <c r="AB69" s="1463"/>
      <c r="AC69" s="1463"/>
      <c r="AD69" s="1463"/>
      <c r="AE69" s="1463"/>
      <c r="AF69" s="1463"/>
      <c r="AG69" s="1463"/>
      <c r="AH69" s="1463"/>
      <c r="AI69" s="1463"/>
      <c r="AJ69" s="1463"/>
      <c r="AK69" s="1463"/>
      <c r="AL69" s="1463"/>
      <c r="AM69" s="1463"/>
      <c r="AN69" s="1463"/>
      <c r="AO69" s="1463"/>
      <c r="AP69" s="1463"/>
      <c r="AQ69" s="1463"/>
      <c r="AR69" s="1463"/>
      <c r="AS69" s="1463"/>
      <c r="AT69" s="1463"/>
      <c r="AU69" s="1463"/>
      <c r="AV69" s="1463"/>
      <c r="AW69" s="1463"/>
      <c r="AX69" s="1463"/>
      <c r="AY69" s="1463"/>
      <c r="AZ69" s="1463"/>
      <c r="BA69" s="1463"/>
      <c r="BB69" s="1463"/>
      <c r="BC69" s="1463"/>
      <c r="BD69" s="1463"/>
      <c r="BE69" s="1463"/>
      <c r="BF69" s="1463"/>
      <c r="BG69" s="1463"/>
      <c r="BH69" s="1463"/>
      <c r="BI69" s="1463"/>
      <c r="BJ69" s="1463"/>
      <c r="BK69" s="1463"/>
      <c r="BL69" s="1463"/>
      <c r="BM69" s="1463"/>
      <c r="BN69" s="1463"/>
      <c r="BO69" s="1463"/>
      <c r="BP69" s="1463"/>
      <c r="BQ69" s="1463"/>
      <c r="BR69" s="1463"/>
      <c r="BS69" s="1463"/>
      <c r="BT69" s="1463"/>
      <c r="BU69" s="1463"/>
      <c r="BV69" s="1463"/>
      <c r="BW69" s="1463"/>
      <c r="BX69" s="1463"/>
      <c r="BY69" s="1463"/>
      <c r="BZ69" s="1463"/>
      <c r="CA69" s="1463"/>
      <c r="CB69" s="1463"/>
      <c r="CC69" s="1463"/>
      <c r="CD69" s="1463"/>
      <c r="CE69" s="1463"/>
      <c r="CF69" s="1463"/>
      <c r="CG69" s="1463"/>
      <c r="CH69" s="1463"/>
      <c r="CI69" s="1463"/>
      <c r="CJ69" s="1463"/>
      <c r="CK69" s="1463"/>
      <c r="CL69" s="1463"/>
      <c r="CM69" s="1463"/>
      <c r="CN69" s="1463"/>
      <c r="CO69" s="1463"/>
      <c r="CP69" s="1463"/>
      <c r="CQ69" s="1463"/>
      <c r="CR69" s="1463"/>
      <c r="CS69" s="1463"/>
      <c r="CT69" s="1463"/>
      <c r="CU69" s="1463"/>
      <c r="CV69" s="1463"/>
      <c r="CW69" s="1463"/>
      <c r="CX69" s="1463"/>
      <c r="CY69" s="1463"/>
      <c r="CZ69" s="1463"/>
      <c r="DA69" s="1463"/>
      <c r="DB69" s="1463"/>
      <c r="DC69" s="1463"/>
      <c r="DD69" s="1463"/>
      <c r="DE69" s="1463"/>
      <c r="DF69" s="1463"/>
      <c r="DG69" s="1463"/>
      <c r="DH69" s="1463"/>
      <c r="DI69" s="1463"/>
      <c r="DJ69" s="1463"/>
      <c r="DK69" s="1463"/>
      <c r="DL69" s="1463"/>
      <c r="DM69" s="1463"/>
      <c r="DN69" s="1463"/>
      <c r="DO69" s="1463"/>
      <c r="DP69" s="1463"/>
      <c r="DQ69" s="1463"/>
      <c r="DR69" s="1463"/>
      <c r="DS69" s="1463"/>
      <c r="DT69" s="1463"/>
      <c r="DU69" s="1463"/>
      <c r="DV69" s="1463"/>
      <c r="DW69" s="1463"/>
      <c r="DX69" s="1463"/>
      <c r="DY69" s="1463"/>
      <c r="DZ69" s="1463"/>
      <c r="EA69" s="1463"/>
      <c r="EB69" s="1463"/>
      <c r="EC69" s="1463"/>
      <c r="ED69" s="1463"/>
      <c r="EE69" s="1463"/>
      <c r="EF69" s="1463"/>
      <c r="EG69" s="1463"/>
      <c r="EH69" s="1463"/>
      <c r="EI69" s="1463"/>
      <c r="EJ69" s="1463"/>
      <c r="EK69" s="1463"/>
      <c r="EL69" s="1463"/>
      <c r="EM69" s="1463"/>
      <c r="EN69" s="1463"/>
      <c r="EO69" s="1463"/>
      <c r="EP69" s="1463"/>
      <c r="EQ69" s="1463"/>
      <c r="ER69" s="1463"/>
      <c r="ES69" s="1463"/>
      <c r="ET69" s="1463"/>
      <c r="EU69" s="1463"/>
      <c r="EV69" s="1463"/>
      <c r="EW69" s="1463"/>
      <c r="EX69" s="1463"/>
      <c r="EY69" s="1463"/>
      <c r="EZ69" s="1463"/>
      <c r="FA69" s="1463"/>
      <c r="FB69" s="1463"/>
      <c r="FC69" s="1463"/>
      <c r="FD69" s="1463"/>
      <c r="FE69" s="1463"/>
      <c r="FF69" s="1463"/>
      <c r="FG69" s="1463"/>
      <c r="FH69" s="1463"/>
      <c r="FI69" s="1463"/>
      <c r="FJ69" s="1463"/>
      <c r="FK69" s="1463"/>
      <c r="FL69" s="1463"/>
      <c r="FM69" s="1463"/>
      <c r="FN69" s="1463"/>
      <c r="FO69" s="1463"/>
      <c r="FP69" s="1463"/>
      <c r="FQ69" s="1463"/>
      <c r="FR69" s="1463"/>
      <c r="FS69" s="1463"/>
      <c r="FT69" s="1463"/>
      <c r="FU69" s="1463"/>
      <c r="FV69" s="1463"/>
      <c r="FW69" s="1463"/>
      <c r="FX69" s="1463"/>
      <c r="FY69" s="1463"/>
      <c r="FZ69" s="1463"/>
      <c r="GA69" s="1463"/>
      <c r="GB69" s="1463"/>
      <c r="GC69" s="1463"/>
      <c r="GD69" s="1463"/>
      <c r="GE69" s="1463"/>
      <c r="GF69" s="1463"/>
      <c r="GG69" s="1463"/>
      <c r="GH69" s="1463"/>
      <c r="GI69" s="1463"/>
      <c r="GJ69" s="1463"/>
      <c r="GK69" s="1463"/>
      <c r="GL69" s="1463"/>
      <c r="GM69" s="1463"/>
      <c r="GN69" s="1463"/>
      <c r="GO69" s="1463"/>
      <c r="GP69" s="1463"/>
      <c r="GQ69" s="1463"/>
      <c r="GR69" s="1463"/>
      <c r="GS69" s="1463"/>
      <c r="GT69" s="1463"/>
      <c r="GU69" s="1463"/>
      <c r="GV69" s="1463"/>
      <c r="GW69" s="1463"/>
      <c r="GX69" s="1463"/>
      <c r="GY69" s="1463"/>
      <c r="GZ69" s="1463"/>
      <c r="HA69" s="1463"/>
      <c r="HB69" s="1463"/>
      <c r="HC69" s="1463"/>
      <c r="HD69" s="1463"/>
      <c r="HE69" s="1463"/>
      <c r="HF69" s="1463"/>
      <c r="HG69" s="1463"/>
      <c r="HH69" s="1463"/>
      <c r="HI69" s="1463"/>
      <c r="HJ69" s="1463"/>
      <c r="HK69" s="1463"/>
      <c r="HL69" s="1463"/>
      <c r="HM69" s="1463"/>
      <c r="HN69" s="1463"/>
      <c r="HO69" s="1463"/>
      <c r="HP69" s="1463"/>
      <c r="HQ69" s="1463"/>
      <c r="HR69" s="1463"/>
      <c r="HS69" s="1463"/>
      <c r="HT69" s="1463"/>
    </row>
    <row r="70" spans="1:228" hidden="1">
      <c r="C70" s="1481"/>
      <c r="D70" s="1481"/>
      <c r="E70" s="1481"/>
    </row>
    <row r="71" spans="1:228" hidden="1"/>
    <row r="72" spans="1:228" hidden="1"/>
    <row r="73" spans="1:228" hidden="1"/>
    <row r="74" spans="1:228" hidden="1"/>
    <row r="75" spans="1:228" hidden="1"/>
    <row r="76" spans="1:228" hidden="1"/>
    <row r="77" spans="1:228" hidden="1"/>
    <row r="78" spans="1:228" hidden="1"/>
    <row r="79" spans="1:228" hidden="1"/>
    <row r="80" spans="1:228"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row r="144"/>
    <row r="145"/>
    <row r="146"/>
    <row r="147"/>
    <row r="148"/>
    <row r="149"/>
    <row r="150"/>
    <row r="151"/>
    <row r="152"/>
    <row r="153"/>
    <row r="154"/>
    <row r="155"/>
    <row r="156"/>
  </sheetData>
  <mergeCells count="7">
    <mergeCell ref="C6:C7"/>
    <mergeCell ref="D6:E7"/>
    <mergeCell ref="C1:G1"/>
    <mergeCell ref="C2:G2"/>
    <mergeCell ref="C3:G3"/>
    <mergeCell ref="C4:G4"/>
    <mergeCell ref="F6:S6"/>
  </mergeCells>
  <phoneticPr fontId="8" type="noConversion"/>
  <dataValidations disablePrompts="1" count="1">
    <dataValidation type="list" allowBlank="1" showInputMessage="1" showErrorMessage="1" sqref="G14:S14">
      <formula1>NetPowerScenario</formula1>
    </dataValidation>
  </dataValidations>
  <printOptions horizontalCentered="1"/>
  <pageMargins left="0.5" right="0.5" top="0.5" bottom="0.5" header="0.5" footer="0.25"/>
  <pageSetup scale="41" fitToHeight="0" orientation="landscape" r:id="rId1"/>
  <headerFooter alignWithMargins="0">
    <oddFooter>&amp;L&amp;"Times New Roman,Bold Italic"&amp;F: &amp;A&amp;C&amp;"Times New Roman,Bold Italic"Date: &amp;D&amp;R&amp;"Times New Roman,Bold Italic"Page: &amp;P of &amp;N</oddFooter>
  </headerFooter>
  <ignoredErrors>
    <ignoredError sqref="C2" unlockedFormula="1"/>
  </ignoredErrors>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8000"/>
    <pageSetUpPr fitToPage="1"/>
  </sheetPr>
  <dimension ref="A1:J617"/>
  <sheetViews>
    <sheetView showGridLines="0" zoomScale="80" zoomScaleNormal="80" workbookViewId="0">
      <pane ySplit="8" topLeftCell="A9" activePane="bottomLeft" state="frozen"/>
      <selection activeCell="D11" sqref="D11"/>
      <selection pane="bottomLeft" activeCell="H5" sqref="H5"/>
    </sheetView>
  </sheetViews>
  <sheetFormatPr defaultColWidth="0" defaultRowHeight="15.75" zeroHeight="1"/>
  <cols>
    <col min="1" max="1" width="22.5" style="726" customWidth="1"/>
    <col min="2" max="2" width="2.625" style="726" customWidth="1"/>
    <col min="3" max="3" width="4.625" style="726" customWidth="1"/>
    <col min="4" max="4" width="33.25" style="726" bestFit="1" customWidth="1"/>
    <col min="5" max="5" width="10.5" style="726" bestFit="1" customWidth="1"/>
    <col min="6" max="6" width="13.75" style="726" bestFit="1" customWidth="1"/>
    <col min="7" max="7" width="10.125" style="726" bestFit="1" customWidth="1"/>
    <col min="8" max="8" width="12.875" style="726" bestFit="1" customWidth="1"/>
    <col min="9" max="9" width="12.75" style="726" customWidth="1"/>
    <col min="10" max="10" width="15.5" style="726" hidden="1" customWidth="1"/>
    <col min="11" max="16384" width="0" style="726" hidden="1"/>
  </cols>
  <sheetData>
    <row r="1" spans="1:9" s="728" customFormat="1" ht="22.5">
      <c r="A1" s="727"/>
      <c r="C1" s="4428" t="s">
        <v>391</v>
      </c>
      <c r="D1" s="4428"/>
      <c r="E1" s="4428"/>
      <c r="F1" s="4428"/>
      <c r="G1" s="4428"/>
      <c r="H1" s="4428"/>
    </row>
    <row r="2" spans="1:9" s="728" customFormat="1" ht="22.5">
      <c r="A2" s="727"/>
      <c r="C2" s="4428" t="s">
        <v>717</v>
      </c>
      <c r="D2" s="4428"/>
      <c r="E2" s="4428"/>
      <c r="F2" s="4428"/>
      <c r="G2" s="4428"/>
      <c r="H2" s="4428"/>
    </row>
    <row r="3" spans="1:9" s="728" customFormat="1" ht="22.5">
      <c r="A3" s="727"/>
      <c r="C3" s="4428" t="str">
        <f>CONCATENATE("Test Year ",H5," Customer Data Summary")</f>
        <v>Test Year 2024 Customer Data Summary</v>
      </c>
      <c r="D3" s="4428"/>
      <c r="E3" s="4428"/>
      <c r="F3" s="4428"/>
      <c r="G3" s="4428"/>
      <c r="H3" s="4428"/>
    </row>
    <row r="4" spans="1:9" s="728" customFormat="1" ht="19.5" thickBot="1">
      <c r="A4" s="727"/>
      <c r="D4" s="758"/>
      <c r="E4" s="758"/>
      <c r="F4" s="757"/>
      <c r="G4" s="756"/>
      <c r="H4" s="759" t="s">
        <v>306</v>
      </c>
    </row>
    <row r="5" spans="1:9" s="728" customFormat="1" ht="16.5" thickBot="1">
      <c r="A5" s="727"/>
      <c r="D5" s="758"/>
      <c r="E5" s="758"/>
      <c r="F5" s="757"/>
      <c r="G5" s="756"/>
      <c r="H5" s="2948">
        <f>'COS_RR (top sheet)'!$I$6</f>
        <v>2024</v>
      </c>
    </row>
    <row r="6" spans="1:9" s="728" customFormat="1">
      <c r="A6" s="727"/>
      <c r="F6" s="747"/>
      <c r="G6" s="755"/>
      <c r="H6" s="747"/>
    </row>
    <row r="7" spans="1:9" s="747" customFormat="1">
      <c r="A7" s="727"/>
      <c r="C7" s="754" t="s">
        <v>867</v>
      </c>
      <c r="D7" s="4429" t="s">
        <v>399</v>
      </c>
      <c r="E7" s="4429" t="s">
        <v>606</v>
      </c>
      <c r="F7" s="4429" t="s">
        <v>605</v>
      </c>
      <c r="G7" s="4429" t="s">
        <v>104</v>
      </c>
      <c r="H7" s="4429" t="s">
        <v>71</v>
      </c>
      <c r="I7" s="746"/>
    </row>
    <row r="8" spans="1:9" s="747" customFormat="1">
      <c r="A8" s="727"/>
      <c r="C8" s="753" t="s">
        <v>398</v>
      </c>
      <c r="D8" s="4430"/>
      <c r="E8" s="4430"/>
      <c r="F8" s="4430" t="s">
        <v>602</v>
      </c>
      <c r="G8" s="4430"/>
      <c r="H8" s="4430"/>
      <c r="I8" s="746"/>
    </row>
    <row r="9" spans="1:9" s="728" customFormat="1">
      <c r="A9" s="727"/>
      <c r="C9" s="747"/>
      <c r="D9" s="747"/>
      <c r="E9" s="747"/>
      <c r="F9" s="747"/>
      <c r="G9" s="752"/>
      <c r="H9" s="747"/>
      <c r="I9" s="746"/>
    </row>
    <row r="10" spans="1:9" s="728" customFormat="1">
      <c r="A10" s="727"/>
      <c r="C10" s="747"/>
      <c r="D10" s="751" t="s">
        <v>591</v>
      </c>
      <c r="E10" s="747"/>
      <c r="F10" s="747"/>
      <c r="G10" s="750"/>
      <c r="H10" s="749"/>
      <c r="I10" s="746"/>
    </row>
    <row r="11" spans="1:9" s="728" customFormat="1">
      <c r="A11" s="727"/>
      <c r="C11" s="732"/>
      <c r="E11" s="748"/>
      <c r="F11" s="744"/>
      <c r="G11" s="747"/>
      <c r="H11" s="747"/>
      <c r="I11" s="746"/>
    </row>
    <row r="12" spans="1:9" s="728" customFormat="1" ht="16.5" customHeight="1">
      <c r="A12" s="727"/>
      <c r="C12" s="732">
        <f>MAX($C$11:C11+1)</f>
        <v>1</v>
      </c>
      <c r="D12" s="731" t="str">
        <f>Cust_Detail!E11</f>
        <v>Residential-Urban (1)</v>
      </c>
      <c r="E12" s="730">
        <f>Cust_Detail!$Y$12</f>
        <v>21400</v>
      </c>
      <c r="F12" s="730">
        <f>Cust_Detail!$Y$13</f>
        <v>369330646</v>
      </c>
      <c r="G12" s="730"/>
      <c r="H12" s="730"/>
      <c r="I12" s="729"/>
    </row>
    <row r="13" spans="1:9" s="728" customFormat="1" ht="16.5" customHeight="1">
      <c r="A13" s="727"/>
      <c r="C13" s="732"/>
      <c r="D13" s="745"/>
      <c r="E13" s="730"/>
      <c r="F13" s="730"/>
      <c r="G13" s="730"/>
      <c r="H13" s="730"/>
      <c r="I13" s="729"/>
    </row>
    <row r="14" spans="1:9" s="728" customFormat="1" ht="16.5" customHeight="1">
      <c r="A14" s="727"/>
      <c r="C14" s="732">
        <f>MAX(C$12:C13)+1</f>
        <v>2</v>
      </c>
      <c r="D14" s="743" t="str">
        <f>Cust_Detail!E15</f>
        <v>Residential-Rural (1)</v>
      </c>
      <c r="E14" s="730">
        <f>Cust_Detail!$Y$16</f>
        <v>20055</v>
      </c>
      <c r="F14" s="730">
        <f>Cust_Detail!$Y$17</f>
        <v>517691627</v>
      </c>
      <c r="G14" s="730"/>
      <c r="H14" s="730"/>
      <c r="I14" s="729"/>
    </row>
    <row r="15" spans="1:9" s="728" customFormat="1" ht="16.5" customHeight="1">
      <c r="A15" s="727"/>
      <c r="C15" s="732"/>
      <c r="D15" s="744"/>
      <c r="E15" s="730"/>
      <c r="F15" s="730"/>
      <c r="G15" s="739"/>
      <c r="H15" s="730"/>
      <c r="I15" s="729"/>
    </row>
    <row r="16" spans="1:9" s="728" customFormat="1" ht="16.5" customHeight="1">
      <c r="A16" s="727"/>
      <c r="C16" s="732">
        <f>MAX(C$12:C15)+1</f>
        <v>3</v>
      </c>
      <c r="D16" s="743" t="str">
        <f>Cust_Detail!E19</f>
        <v>Irrigation (3) 1 PH</v>
      </c>
      <c r="E16" s="730">
        <f>Cust_Detail!$Y$20</f>
        <v>62</v>
      </c>
      <c r="F16" s="730">
        <f>Cust_Detail!$Y$30</f>
        <v>3223283.3445287943</v>
      </c>
      <c r="G16" s="730"/>
      <c r="H16" s="730">
        <f>SUM(Cust_Detail!Y21:Y23)</f>
        <v>2045.0842764825516</v>
      </c>
      <c r="I16" s="729"/>
    </row>
    <row r="17" spans="1:9" s="728" customFormat="1" ht="16.5" customHeight="1">
      <c r="A17" s="727"/>
      <c r="C17" s="732"/>
      <c r="D17" s="736"/>
      <c r="E17" s="730"/>
      <c r="F17" s="730"/>
      <c r="G17" s="730"/>
      <c r="H17" s="730"/>
      <c r="I17" s="729"/>
    </row>
    <row r="18" spans="1:9" s="728" customFormat="1" ht="16.5" customHeight="1">
      <c r="A18" s="727"/>
      <c r="C18" s="732">
        <f>MAX(C$12:C17)+1</f>
        <v>4</v>
      </c>
      <c r="D18" s="743" t="str">
        <f>Cust_Detail!E32</f>
        <v>Irrigation (3) 3 PH</v>
      </c>
      <c r="E18" s="730">
        <f>Cust_Detail!$Y$33</f>
        <v>4667</v>
      </c>
      <c r="F18" s="730">
        <f>Cust_Detail!$Y$43</f>
        <v>641433385.56123352</v>
      </c>
      <c r="G18" s="730"/>
      <c r="H18" s="730">
        <f>SUM(Cust_Detail!Y34:Y36)</f>
        <v>406971.7710200299</v>
      </c>
      <c r="I18" s="729"/>
    </row>
    <row r="19" spans="1:9" s="728" customFormat="1" ht="16.5" customHeight="1">
      <c r="A19" s="727"/>
      <c r="C19" s="732"/>
      <c r="D19" s="736"/>
      <c r="E19" s="730"/>
      <c r="F19" s="730"/>
      <c r="G19" s="730"/>
      <c r="H19" s="730"/>
      <c r="I19" s="729"/>
    </row>
    <row r="20" spans="1:9" s="728" customFormat="1" ht="16.5" customHeight="1">
      <c r="A20" s="727"/>
      <c r="C20" s="732">
        <f>MAX(C$12:C19)+1</f>
        <v>5</v>
      </c>
      <c r="D20" s="743" t="str">
        <f>Cust_Detail!E45</f>
        <v>General Service (2) 1 PH</v>
      </c>
      <c r="E20" s="730">
        <f>Cust_Detail!$Y$46+Cust_Detail!Y67</f>
        <v>4963</v>
      </c>
      <c r="F20" s="730">
        <f>Cust_Detail!$Y$50+Cust_Detail!Y71</f>
        <v>122896848</v>
      </c>
      <c r="G20" s="730">
        <f>Cust_Detail!$Y$47+Cust_Detail!Y68</f>
        <v>117591</v>
      </c>
      <c r="H20" s="730"/>
      <c r="I20" s="729"/>
    </row>
    <row r="21" spans="1:9" s="728" customFormat="1" ht="16.5" customHeight="1">
      <c r="A21" s="727"/>
      <c r="C21" s="732"/>
      <c r="D21" s="731"/>
      <c r="E21" s="730"/>
      <c r="F21" s="730"/>
      <c r="G21" s="730"/>
      <c r="H21" s="730"/>
      <c r="I21" s="729"/>
    </row>
    <row r="22" spans="1:9" s="728" customFormat="1" ht="16.5" customHeight="1">
      <c r="A22" s="727"/>
      <c r="C22" s="732">
        <f>MAX(C$12:C21)+1</f>
        <v>6</v>
      </c>
      <c r="D22" s="743" t="str">
        <f>Cust_Detail!E52</f>
        <v>General Service (2) 3 PH</v>
      </c>
      <c r="E22" s="730">
        <f>Cust_Detail!$Y$53+Cust_Detail!Y60</f>
        <v>3233</v>
      </c>
      <c r="F22" s="730">
        <f>Cust_Detail!$Y$57+Cust_Detail!Y64</f>
        <v>449687544</v>
      </c>
      <c r="G22" s="730">
        <f>Cust_Detail!$Y$54+Cust_Detail!Y61</f>
        <v>1343971</v>
      </c>
      <c r="H22" s="730"/>
      <c r="I22" s="742"/>
    </row>
    <row r="23" spans="1:9" s="728" customFormat="1" ht="16.5" customHeight="1">
      <c r="A23" s="727"/>
      <c r="C23" s="732"/>
      <c r="D23" s="736"/>
      <c r="E23" s="730"/>
      <c r="F23" s="730"/>
      <c r="G23" s="730"/>
      <c r="H23" s="730"/>
      <c r="I23" s="729"/>
    </row>
    <row r="24" spans="1:9" s="728" customFormat="1" ht="16.5" customHeight="1">
      <c r="A24" s="727"/>
      <c r="C24" s="732">
        <f>MAX(C$12:C23)+1</f>
        <v>7</v>
      </c>
      <c r="D24" s="735" t="str">
        <f>Cust_Detail!E73</f>
        <v>Large General Service (7)</v>
      </c>
      <c r="E24" s="730"/>
      <c r="F24" s="730"/>
      <c r="G24" s="730"/>
      <c r="H24" s="730"/>
      <c r="I24" s="729"/>
    </row>
    <row r="25" spans="1:9" s="728" customFormat="1" ht="16.5" customHeight="1">
      <c r="A25" s="727"/>
      <c r="C25" s="732">
        <f>MAX(C$12:C24)+1</f>
        <v>8</v>
      </c>
      <c r="D25" s="738" t="str">
        <f>Cust_Detail!E76</f>
        <v>Energy Block 1 (0-50,000 kWh)</v>
      </c>
      <c r="E25" s="730">
        <f>Cust_Detail!$Y$74</f>
        <v>119</v>
      </c>
      <c r="F25" s="730">
        <f>Cust_Detail!$Y$76</f>
        <v>49905519.5049349</v>
      </c>
      <c r="G25" s="730">
        <f>Cust_Detail!$Y$75</f>
        <v>747039.01136328001</v>
      </c>
      <c r="H25" s="730"/>
      <c r="I25" s="740"/>
    </row>
    <row r="26" spans="1:9" s="728" customFormat="1" ht="16.5" customHeight="1">
      <c r="A26" s="727"/>
      <c r="C26" s="732">
        <f>MAX(C$12:C25)+1</f>
        <v>9</v>
      </c>
      <c r="D26" s="738" t="str">
        <f>Cust_Detail!E77</f>
        <v>Energy All Additional (kWh)</v>
      </c>
      <c r="E26" s="730"/>
      <c r="F26" s="733">
        <f>Cust_Detail!$Y$77</f>
        <v>249867272.78411299</v>
      </c>
      <c r="G26" s="730"/>
      <c r="H26" s="730"/>
      <c r="I26" s="729"/>
    </row>
    <row r="27" spans="1:9" s="728" customFormat="1" ht="16.5" customHeight="1">
      <c r="A27" s="727"/>
      <c r="C27" s="732">
        <f>MAX(C$12:C26)+1</f>
        <v>10</v>
      </c>
      <c r="D27" s="737" t="str">
        <f>"Total "&amp;D24</f>
        <v>Total Large General Service (7)</v>
      </c>
      <c r="E27" s="730"/>
      <c r="F27" s="734">
        <f>SUM(F25:F26)</f>
        <v>299772792.2890479</v>
      </c>
      <c r="G27" s="730"/>
      <c r="H27" s="730"/>
      <c r="I27" s="729"/>
    </row>
    <row r="28" spans="1:9" s="728" customFormat="1" ht="16.5" customHeight="1">
      <c r="A28" s="727"/>
      <c r="C28" s="732"/>
      <c r="D28" s="736"/>
      <c r="E28" s="730"/>
      <c r="F28" s="730"/>
      <c r="G28" s="730"/>
      <c r="H28" s="730"/>
      <c r="I28" s="729"/>
    </row>
    <row r="29" spans="1:9" s="728" customFormat="1" ht="16.5" customHeight="1">
      <c r="A29" s="727"/>
      <c r="C29" s="732">
        <f>MAX(C$12:C28)+1</f>
        <v>11</v>
      </c>
      <c r="D29" s="735" t="str">
        <f>Cust_Detail!E80</f>
        <v>Industrial (14)</v>
      </c>
      <c r="E29" s="730"/>
      <c r="F29" s="730"/>
      <c r="G29" s="730"/>
      <c r="H29" s="730"/>
      <c r="I29" s="729"/>
    </row>
    <row r="30" spans="1:9" s="728" customFormat="1" ht="16.5" customHeight="1">
      <c r="A30" s="727"/>
      <c r="C30" s="732">
        <f>MAX(C$12:C29)+1</f>
        <v>12</v>
      </c>
      <c r="D30" s="738" t="str">
        <f>Cust_Detail!E83</f>
        <v>Energy Block 1 (0-7,300 mWh)</v>
      </c>
      <c r="E30" s="730">
        <f>Cust_Detail!$Y$81</f>
        <v>13</v>
      </c>
      <c r="F30" s="730">
        <f>Cust_Detail!$Y$83</f>
        <v>825110823.88054132</v>
      </c>
      <c r="G30" s="730">
        <f>Cust_Detail!$Y$82</f>
        <v>1585555.6584887304</v>
      </c>
      <c r="H30" s="730"/>
      <c r="I30" s="741"/>
    </row>
    <row r="31" spans="1:9" s="728" customFormat="1" ht="16.5" customHeight="1">
      <c r="A31" s="727"/>
      <c r="C31" s="732">
        <f>MAX(C$12:C30)+1</f>
        <v>13</v>
      </c>
      <c r="D31" s="738" t="str">
        <f>Cust_Detail!E84</f>
        <v>Energy All Additional (kWh)</v>
      </c>
      <c r="E31" s="730"/>
      <c r="F31" s="733">
        <f>Cust_Detail!$Y$84</f>
        <v>112005881.62730074</v>
      </c>
      <c r="G31" s="730"/>
      <c r="H31" s="730"/>
      <c r="I31" s="729"/>
    </row>
    <row r="32" spans="1:9" s="728" customFormat="1" ht="16.5" customHeight="1">
      <c r="A32" s="727"/>
      <c r="C32" s="732">
        <f>MAX(C$12:C31)+1</f>
        <v>14</v>
      </c>
      <c r="D32" s="737" t="str">
        <f>"Total "&amp;D29</f>
        <v>Total Industrial (14)</v>
      </c>
      <c r="E32" s="730"/>
      <c r="F32" s="734">
        <f>SUM(F30:F31)</f>
        <v>937116705.50784206</v>
      </c>
      <c r="G32" s="730"/>
      <c r="H32" s="730"/>
      <c r="I32" s="729"/>
    </row>
    <row r="33" spans="1:9" s="728" customFormat="1" ht="16.5" customHeight="1">
      <c r="A33" s="727"/>
      <c r="C33" s="732"/>
      <c r="D33" s="736"/>
      <c r="E33" s="730"/>
      <c r="F33" s="730"/>
      <c r="G33" s="730"/>
      <c r="H33" s="730"/>
      <c r="I33" s="729"/>
    </row>
    <row r="34" spans="1:9" s="728" customFormat="1" ht="16.5" customHeight="1">
      <c r="A34" s="727"/>
      <c r="C34" s="732">
        <f>MAX(C$12:C33)+1</f>
        <v>15</v>
      </c>
      <c r="D34" s="735" t="str">
        <f>Cust_Detail!E87</f>
        <v>Large Industrial (15)</v>
      </c>
      <c r="E34" s="730"/>
      <c r="F34" s="730"/>
      <c r="G34" s="730"/>
      <c r="H34" s="730"/>
      <c r="I34" s="729"/>
    </row>
    <row r="35" spans="1:9" s="728" customFormat="1" ht="16.5" customHeight="1">
      <c r="A35" s="727"/>
      <c r="C35" s="732">
        <f>MAX(C$12:C34)+1</f>
        <v>16</v>
      </c>
      <c r="D35" s="738" t="str">
        <f>Cust_Detail!E90</f>
        <v>Energy Block 1</v>
      </c>
      <c r="E35" s="730">
        <f>Cust_Detail!$Y$88</f>
        <v>7</v>
      </c>
      <c r="F35" s="730">
        <f>Cust_Detail!$Y$90</f>
        <v>1051200000</v>
      </c>
      <c r="G35" s="730">
        <f>Cust_Detail!$Y$89</f>
        <v>4199125.9893269576</v>
      </c>
      <c r="H35" s="730"/>
      <c r="I35" s="740"/>
    </row>
    <row r="36" spans="1:9" s="728" customFormat="1" ht="16.5" customHeight="1">
      <c r="A36" s="727"/>
      <c r="C36" s="732">
        <f>MAX(C$12:C35)+1</f>
        <v>17</v>
      </c>
      <c r="D36" s="738" t="str">
        <f>Cust_Detail!E91</f>
        <v>Energy Block 2</v>
      </c>
      <c r="E36" s="730"/>
      <c r="F36" s="730">
        <f>Cust_Detail!$Y$91</f>
        <v>707176045.52690363</v>
      </c>
      <c r="G36" s="730"/>
      <c r="H36" s="730"/>
      <c r="I36" s="740"/>
    </row>
    <row r="37" spans="1:9" s="728" customFormat="1" ht="16.5" customHeight="1">
      <c r="A37" s="727"/>
      <c r="C37" s="732">
        <f>MAX(C$12:C36)+1</f>
        <v>18</v>
      </c>
      <c r="D37" s="738" t="str">
        <f>Cust_Detail!E92</f>
        <v>Energy Block 3</v>
      </c>
      <c r="E37" s="730"/>
      <c r="F37" s="730">
        <f>Cust_Detail!$Y$92</f>
        <v>914830507.42378497</v>
      </c>
      <c r="G37" s="730"/>
      <c r="H37" s="730"/>
      <c r="I37" s="740"/>
    </row>
    <row r="38" spans="1:9" s="728" customFormat="1" ht="16.5" customHeight="1">
      <c r="A38" s="727"/>
      <c r="C38" s="732">
        <f>MAX(C$12:C37)+1</f>
        <v>19</v>
      </c>
      <c r="D38" s="738" t="str">
        <f>Cust_Detail!E93</f>
        <v>Energy Block 4</v>
      </c>
      <c r="E38" s="730"/>
      <c r="F38" s="730">
        <f>Cust_Detail!$Y$93</f>
        <v>0</v>
      </c>
      <c r="G38" s="730"/>
      <c r="H38" s="730"/>
      <c r="I38" s="740"/>
    </row>
    <row r="39" spans="1:9" s="728" customFormat="1" ht="16.5" customHeight="1">
      <c r="A39" s="727"/>
      <c r="C39" s="732">
        <f>MAX(C$12:C38)+1</f>
        <v>20</v>
      </c>
      <c r="D39" s="738" t="str">
        <f>Cust_Detail!E94</f>
        <v>Energy Block 5</v>
      </c>
      <c r="E39" s="730"/>
      <c r="F39" s="733">
        <f>Cust_Detail!$Y$94</f>
        <v>0</v>
      </c>
      <c r="G39" s="730"/>
      <c r="H39" s="730"/>
      <c r="I39" s="729"/>
    </row>
    <row r="40" spans="1:9" s="728" customFormat="1" ht="16.5" customHeight="1">
      <c r="A40" s="727"/>
      <c r="C40" s="732">
        <f>MAX(C$12:C39)+1</f>
        <v>21</v>
      </c>
      <c r="D40" s="737" t="str">
        <f>"Total "&amp;D34</f>
        <v>Total Large Industrial (15)</v>
      </c>
      <c r="E40" s="730"/>
      <c r="F40" s="734">
        <f>SUM(F35:F39)</f>
        <v>2673206552.9506884</v>
      </c>
      <c r="G40" s="730"/>
      <c r="H40" s="730"/>
      <c r="I40" s="729"/>
    </row>
    <row r="41" spans="1:9" s="728" customFormat="1" ht="16.5" customHeight="1">
      <c r="A41" s="727"/>
      <c r="C41" s="732"/>
      <c r="D41" s="736"/>
      <c r="E41" s="730"/>
      <c r="F41" s="730"/>
      <c r="G41" s="730"/>
      <c r="H41" s="730"/>
      <c r="I41" s="729"/>
    </row>
    <row r="42" spans="1:9" s="728" customFormat="1" ht="16.5" customHeight="1">
      <c r="A42" s="727"/>
      <c r="C42" s="732">
        <f>MAX(C$12:C41)+1</f>
        <v>22</v>
      </c>
      <c r="D42" s="735" t="str">
        <f>Cust_Detail!E97</f>
        <v>Agricultural Processing (16)</v>
      </c>
      <c r="E42" s="730"/>
      <c r="F42" s="730"/>
      <c r="G42" s="730"/>
      <c r="H42" s="730"/>
      <c r="I42" s="729"/>
    </row>
    <row r="43" spans="1:9" s="728" customFormat="1" ht="16.5" customHeight="1">
      <c r="A43" s="727"/>
      <c r="C43" s="732">
        <f>MAX(C$12:C42)+1</f>
        <v>23</v>
      </c>
      <c r="D43" s="738" t="str">
        <f>Cust_Detail!E100</f>
        <v>Energy Block 1 (0-7,300 mWh)</v>
      </c>
      <c r="E43" s="730">
        <f>Cust_Detail!$Y$98</f>
        <v>11</v>
      </c>
      <c r="F43" s="730">
        <f>Cust_Detail!$Y$100</f>
        <v>416470274.41092974</v>
      </c>
      <c r="G43" s="730">
        <f>Cust_Detail!$Y$99</f>
        <v>813612.58963019704</v>
      </c>
      <c r="H43" s="730"/>
      <c r="I43" s="740"/>
    </row>
    <row r="44" spans="1:9" s="728" customFormat="1" ht="16.5" customHeight="1">
      <c r="A44" s="727"/>
      <c r="C44" s="732">
        <f>MAX(C$12:C43)+1</f>
        <v>24</v>
      </c>
      <c r="D44" s="738" t="str">
        <f>Cust_Detail!E101</f>
        <v>Energy All Additional (kWh)</v>
      </c>
      <c r="E44" s="730"/>
      <c r="F44" s="733">
        <f>Cust_Detail!$Y$101</f>
        <v>2459119.4692015164</v>
      </c>
      <c r="G44" s="730"/>
      <c r="H44" s="730"/>
      <c r="I44" s="729"/>
    </row>
    <row r="45" spans="1:9" s="728" customFormat="1" ht="16.5" customHeight="1">
      <c r="A45" s="727"/>
      <c r="C45" s="732">
        <f>MAX(C$12:C44)+1</f>
        <v>25</v>
      </c>
      <c r="D45" s="737" t="str">
        <f>"Total "&amp;D42</f>
        <v>Total Agricultural Processing (16)</v>
      </c>
      <c r="E45" s="730"/>
      <c r="F45" s="734">
        <f>SUM(F43:F44)</f>
        <v>418929393.88013124</v>
      </c>
      <c r="G45" s="730"/>
      <c r="H45" s="730"/>
      <c r="I45" s="729"/>
    </row>
    <row r="46" spans="1:9" s="728" customFormat="1" ht="16.5" customHeight="1">
      <c r="A46" s="727"/>
      <c r="C46" s="732"/>
      <c r="D46" s="731"/>
      <c r="E46" s="730"/>
      <c r="F46" s="730"/>
      <c r="G46" s="739"/>
      <c r="H46" s="730"/>
      <c r="I46" s="729"/>
    </row>
    <row r="47" spans="1:9" s="728" customFormat="1" ht="16.5" customHeight="1">
      <c r="A47" s="727"/>
      <c r="C47" s="732">
        <f>MAX(C$12:C46)+1</f>
        <v>26</v>
      </c>
      <c r="D47" s="735" t="str">
        <f>Cust_Detail!E104</f>
        <v>Agricultural Boiler (85)</v>
      </c>
      <c r="E47" s="730"/>
      <c r="F47" s="730"/>
      <c r="G47" s="730"/>
      <c r="H47" s="730"/>
      <c r="I47" s="729"/>
    </row>
    <row r="48" spans="1:9" s="728" customFormat="1" ht="16.5" customHeight="1">
      <c r="A48" s="727"/>
      <c r="C48" s="732">
        <f>MAX(C$12:C47)+1</f>
        <v>27</v>
      </c>
      <c r="D48" s="738" t="str">
        <f>Cust_Detail!E107</f>
        <v>Energy Block 1 (0 - 3500 kWh)</v>
      </c>
      <c r="E48" s="730">
        <f>Cust_Detail!$Y$105</f>
        <v>1</v>
      </c>
      <c r="F48" s="730">
        <f>Cust_Detail!$Y$107</f>
        <v>0</v>
      </c>
      <c r="G48" s="730">
        <f>Cust_Detail!$Y$106</f>
        <v>0</v>
      </c>
      <c r="H48" s="730"/>
      <c r="I48" s="729"/>
    </row>
    <row r="49" spans="1:9" s="728" customFormat="1" ht="16.5" customHeight="1">
      <c r="A49" s="727"/>
      <c r="C49" s="732">
        <f>MAX(C$12:C48)+1</f>
        <v>28</v>
      </c>
      <c r="D49" s="738" t="str">
        <f>Cust_Detail!E108</f>
        <v>Energy All Additional (kWh)</v>
      </c>
      <c r="E49" s="730"/>
      <c r="F49" s="730">
        <f>Cust_Detail!$Y$108</f>
        <v>0</v>
      </c>
      <c r="G49" s="730"/>
      <c r="H49" s="730"/>
      <c r="I49" s="729"/>
    </row>
    <row r="50" spans="1:9" s="728" customFormat="1" ht="16.5" customHeight="1">
      <c r="A50" s="727"/>
      <c r="C50" s="732">
        <f>MAX(C$12:C49)+1</f>
        <v>29</v>
      </c>
      <c r="D50" s="737" t="str">
        <f>"Total "&amp;D47</f>
        <v>Total Agricultural Boiler (85)</v>
      </c>
      <c r="E50" s="730"/>
      <c r="F50" s="734">
        <f>SUM(F48:F49)</f>
        <v>0</v>
      </c>
      <c r="G50" s="730"/>
      <c r="H50" s="730"/>
      <c r="I50" s="729"/>
    </row>
    <row r="51" spans="1:9" s="728" customFormat="1" ht="16.5" customHeight="1">
      <c r="A51" s="727"/>
      <c r="C51" s="732"/>
      <c r="D51" s="736"/>
      <c r="E51" s="730"/>
      <c r="F51" s="730"/>
      <c r="G51" s="730"/>
      <c r="H51" s="730"/>
      <c r="I51" s="729"/>
    </row>
    <row r="52" spans="1:9" s="728" customFormat="1" ht="16.5" customHeight="1">
      <c r="A52" s="727"/>
      <c r="C52" s="732">
        <f>MAX(C$12:C51)+1</f>
        <v>30</v>
      </c>
      <c r="D52" s="735" t="str">
        <f>Cust_Detail!E111</f>
        <v>Industrial (94)</v>
      </c>
      <c r="E52" s="730"/>
      <c r="F52" s="730"/>
      <c r="G52" s="730"/>
      <c r="H52" s="730"/>
      <c r="I52" s="729"/>
    </row>
    <row r="53" spans="1:9" s="728" customFormat="1" ht="16.5" customHeight="1">
      <c r="A53" s="727"/>
      <c r="C53" s="732">
        <f>MAX(C$12:C52)+1</f>
        <v>31</v>
      </c>
      <c r="D53" s="738" t="str">
        <f>Cust_Detail!E114</f>
        <v>Energy Block 1 (0-10,950 mWh)</v>
      </c>
      <c r="E53" s="730">
        <f>Cust_Detail!$Y$112</f>
        <v>0</v>
      </c>
      <c r="F53" s="730">
        <f>Cust_Detail!$Y$114</f>
        <v>0</v>
      </c>
      <c r="G53" s="730">
        <f>Cust_Detail!$Y$113</f>
        <v>0</v>
      </c>
      <c r="H53" s="730"/>
      <c r="I53" s="729"/>
    </row>
    <row r="54" spans="1:9" s="728" customFormat="1" ht="16.5" customHeight="1">
      <c r="A54" s="727"/>
      <c r="C54" s="732">
        <f>MAX(C$12:C53)+1</f>
        <v>32</v>
      </c>
      <c r="D54" s="738" t="str">
        <f>Cust_Detail!E115</f>
        <v>Energy All Additional (kWh)</v>
      </c>
      <c r="E54" s="730"/>
      <c r="F54" s="730">
        <f>Cust_Detail!$Y$115</f>
        <v>0</v>
      </c>
      <c r="G54" s="730"/>
      <c r="H54" s="730"/>
      <c r="I54" s="729"/>
    </row>
    <row r="55" spans="1:9" s="728" customFormat="1" ht="16.5" customHeight="1">
      <c r="A55" s="727"/>
      <c r="C55" s="732">
        <f>MAX(C$12:C54)+1</f>
        <v>33</v>
      </c>
      <c r="D55" s="737" t="str">
        <f>"Total "&amp;D52</f>
        <v>Total Industrial (94)</v>
      </c>
      <c r="E55" s="730"/>
      <c r="F55" s="734">
        <f>SUM(F53:F54)</f>
        <v>0</v>
      </c>
      <c r="G55" s="730"/>
      <c r="H55" s="730"/>
      <c r="I55" s="729"/>
    </row>
    <row r="56" spans="1:9" s="728" customFormat="1" ht="16.5" customHeight="1">
      <c r="A56" s="727"/>
      <c r="C56" s="732"/>
      <c r="D56" s="736"/>
      <c r="E56" s="730"/>
      <c r="F56" s="730"/>
      <c r="G56" s="730"/>
      <c r="H56" s="730"/>
      <c r="I56" s="729"/>
    </row>
    <row r="57" spans="1:9" s="728" customFormat="1" ht="16.5" customHeight="1">
      <c r="A57" s="727"/>
      <c r="C57" s="732">
        <f>MAX(C$12:C56)+1</f>
        <v>34</v>
      </c>
      <c r="D57" s="735" t="str">
        <f>Cust_Detail!E118</f>
        <v>Street Lights (6)</v>
      </c>
      <c r="E57" s="730">
        <f>Cust_Detail!$Y$119</f>
        <v>66</v>
      </c>
      <c r="F57" s="730">
        <f>Cust_Detail!$Y$120</f>
        <v>4515848</v>
      </c>
      <c r="G57" s="730"/>
      <c r="H57" s="730"/>
      <c r="I57" s="729"/>
    </row>
    <row r="58" spans="1:9" s="728" customFormat="1" ht="16.5" customHeight="1">
      <c r="A58" s="727"/>
      <c r="C58" s="732"/>
      <c r="D58" s="731"/>
      <c r="E58" s="730"/>
      <c r="F58" s="730"/>
      <c r="G58" s="730"/>
      <c r="H58" s="730"/>
      <c r="I58" s="729"/>
    </row>
    <row r="59" spans="1:9" s="728" customFormat="1" ht="16.5" customHeight="1">
      <c r="A59" s="727"/>
      <c r="C59" s="732">
        <f>MAX(C$12:C58)+1</f>
        <v>35</v>
      </c>
      <c r="D59" s="735" t="str">
        <f>Cust_Detail!E122</f>
        <v>Street Lights (2) 1PH</v>
      </c>
      <c r="E59" s="730">
        <f>Cust_Detail!$Y$123+Cust_Detail!$Y$127</f>
        <v>43</v>
      </c>
      <c r="F59" s="730">
        <f>Cust_Detail!$Y$124+Cust_Detail!$Y$128</f>
        <v>431238</v>
      </c>
      <c r="G59" s="730"/>
      <c r="H59" s="730"/>
      <c r="I59" s="729"/>
    </row>
    <row r="60" spans="1:9" s="728" customFormat="1" ht="16.5" customHeight="1">
      <c r="A60" s="727"/>
      <c r="C60" s="732"/>
      <c r="D60" s="731"/>
      <c r="E60" s="730"/>
      <c r="F60" s="730"/>
      <c r="G60" s="730"/>
      <c r="H60" s="730"/>
      <c r="I60" s="729"/>
    </row>
    <row r="61" spans="1:9" s="728" customFormat="1" ht="16.5" customHeight="1">
      <c r="A61" s="727"/>
      <c r="C61" s="732">
        <f>MAX(C$12:C60)+1</f>
        <v>36</v>
      </c>
      <c r="D61" s="735" t="str">
        <f>Cust_Detail!E130</f>
        <v>Other Sales (PA)</v>
      </c>
      <c r="E61" s="730">
        <f>Cust_Detail!$Y$131</f>
        <v>11</v>
      </c>
      <c r="F61" s="730">
        <f>Cust_Detail!$Y$132</f>
        <v>1190607</v>
      </c>
      <c r="G61" s="730"/>
      <c r="H61" s="730"/>
      <c r="I61" s="729"/>
    </row>
    <row r="62" spans="1:9" s="728" customFormat="1" ht="16.5" customHeight="1">
      <c r="A62" s="727"/>
      <c r="C62" s="732"/>
      <c r="D62" s="731"/>
      <c r="E62" s="730"/>
      <c r="F62" s="730"/>
      <c r="G62" s="730"/>
      <c r="H62" s="730"/>
      <c r="I62" s="729"/>
    </row>
    <row r="63" spans="1:9" s="728" customFormat="1" ht="16.5" customHeight="1">
      <c r="A63" s="727"/>
      <c r="C63" s="732">
        <f>MAX(C$12:C62)+1</f>
        <v>37</v>
      </c>
      <c r="D63" s="735" t="str">
        <f>Cust_Detail!E134</f>
        <v>Alternate Power Sales</v>
      </c>
      <c r="E63" s="730">
        <f>Cust_Detail!$Y$135</f>
        <v>0</v>
      </c>
      <c r="F63" s="730">
        <f>Cust_Detail!$Y$136</f>
        <v>0</v>
      </c>
      <c r="G63" s="730"/>
      <c r="H63" s="730"/>
      <c r="I63" s="729"/>
    </row>
    <row r="64" spans="1:9" s="728" customFormat="1" ht="16.5" customHeight="1">
      <c r="A64" s="727"/>
      <c r="C64" s="732"/>
      <c r="D64" s="731"/>
      <c r="E64" s="730"/>
      <c r="F64" s="730"/>
      <c r="G64" s="730"/>
      <c r="H64" s="730"/>
      <c r="I64" s="729"/>
    </row>
    <row r="65" spans="1:9" s="728" customFormat="1" ht="16.5" customHeight="1">
      <c r="A65" s="727"/>
      <c r="C65" s="732">
        <f>MAX(C$12:C64)+1</f>
        <v>38</v>
      </c>
      <c r="D65" s="735" t="s">
        <v>686</v>
      </c>
      <c r="E65" s="730">
        <f>SUM(E12:E64)</f>
        <v>54651</v>
      </c>
      <c r="F65" s="730">
        <f>SUM(F12,F14,F16,F18,F20,F22,F32,F27,F40,F45,F55,F57,F59,F61,F63,F50)</f>
        <v>6439426471.5334721</v>
      </c>
      <c r="G65" s="730">
        <f>SUM(G12:G64)</f>
        <v>8806895.2488091663</v>
      </c>
      <c r="H65" s="730">
        <f>SUM(H12:H64)</f>
        <v>409016.85529651248</v>
      </c>
      <c r="I65" s="729"/>
    </row>
    <row r="66" spans="1:9" s="728" customFormat="1" ht="16.5" customHeight="1">
      <c r="A66" s="727"/>
      <c r="C66" s="732"/>
      <c r="D66" s="731"/>
      <c r="E66" s="730"/>
      <c r="F66" s="1267">
        <f>F65-Cust_Detail!Y175</f>
        <v>0</v>
      </c>
      <c r="G66" s="730"/>
      <c r="H66" s="730"/>
      <c r="I66" s="729"/>
    </row>
    <row r="67" spans="1:9" s="728" customFormat="1" ht="16.5" hidden="1" customHeight="1">
      <c r="A67" s="727"/>
      <c r="C67" s="732"/>
      <c r="D67" s="731"/>
      <c r="E67" s="730"/>
      <c r="F67" s="730"/>
      <c r="G67" s="730"/>
      <c r="H67" s="730"/>
      <c r="I67" s="729"/>
    </row>
    <row r="68" spans="1:9" s="728" customFormat="1" ht="16.5" hidden="1" customHeight="1">
      <c r="A68" s="727"/>
      <c r="C68" s="732"/>
      <c r="D68" s="731"/>
      <c r="E68" s="730"/>
      <c r="F68" s="730"/>
      <c r="G68" s="730"/>
      <c r="H68" s="730"/>
      <c r="I68" s="729"/>
    </row>
    <row r="69" spans="1:9" ht="16.5" hidden="1" customHeight="1">
      <c r="A69" s="727"/>
    </row>
    <row r="70" spans="1:9" ht="16.5" hidden="1" customHeight="1">
      <c r="A70" s="727"/>
    </row>
    <row r="71" spans="1:9" ht="16.5" hidden="1" customHeight="1">
      <c r="A71" s="727"/>
    </row>
    <row r="72" spans="1:9" ht="16.5" hidden="1" customHeight="1"/>
    <row r="73" spans="1:9" ht="16.5" hidden="1" customHeight="1"/>
    <row r="74" spans="1:9" ht="16.5" hidden="1" customHeight="1"/>
    <row r="75" spans="1:9" ht="16.5" hidden="1" customHeight="1"/>
    <row r="76" spans="1:9" ht="16.5" hidden="1" customHeight="1"/>
    <row r="77" spans="1:9" ht="16.5" hidden="1" customHeight="1"/>
    <row r="78" spans="1:9" ht="16.5" hidden="1" customHeight="1"/>
    <row r="79" spans="1:9" ht="16.5" hidden="1" customHeight="1"/>
    <row r="80" spans="1:9" ht="16.5" hidden="1" customHeight="1"/>
    <row r="81" ht="16.5" hidden="1" customHeight="1"/>
    <row r="82" ht="16.5" hidden="1" customHeight="1"/>
    <row r="83" ht="16.5" hidden="1" customHeight="1"/>
    <row r="84" ht="16.5" hidden="1" customHeight="1"/>
    <row r="85" ht="16.5" hidden="1" customHeight="1"/>
    <row r="86" ht="16.5" hidden="1" customHeight="1"/>
    <row r="87" ht="16.5" hidden="1" customHeight="1"/>
    <row r="88" ht="16.5" hidden="1" customHeight="1"/>
    <row r="89" ht="16.5" hidden="1" customHeight="1"/>
    <row r="90" ht="16.5" hidden="1" customHeight="1"/>
    <row r="91" ht="16.5" hidden="1" customHeight="1"/>
    <row r="92" ht="16.5" hidden="1" customHeight="1"/>
    <row r="93" ht="16.5" hidden="1" customHeight="1"/>
    <row r="94" ht="16.5" hidden="1" customHeight="1"/>
    <row r="95" ht="16.5" hidden="1" customHeight="1"/>
    <row r="96" ht="16.5" hidden="1" customHeight="1"/>
    <row r="97" ht="16.5" hidden="1" customHeight="1"/>
    <row r="98" ht="16.5" hidden="1" customHeight="1"/>
    <row r="99" ht="16.5" hidden="1" customHeight="1"/>
    <row r="100" ht="16.5" hidden="1" customHeight="1"/>
    <row r="101" ht="16.5" hidden="1" customHeight="1"/>
    <row r="102" ht="16.5" hidden="1" customHeight="1"/>
    <row r="103" ht="16.5" hidden="1" customHeight="1"/>
    <row r="104" ht="16.5" hidden="1" customHeight="1"/>
    <row r="105" ht="16.5" hidden="1" customHeight="1"/>
    <row r="106" ht="16.5" hidden="1" customHeight="1"/>
    <row r="107" ht="16.5" hidden="1" customHeight="1"/>
    <row r="108" ht="16.5" hidden="1" customHeight="1"/>
    <row r="109" ht="16.5" hidden="1" customHeight="1"/>
    <row r="110" ht="16.5" hidden="1" customHeight="1"/>
    <row r="111" ht="16.5" hidden="1" customHeight="1"/>
    <row r="112" ht="16.5" hidden="1" customHeight="1"/>
    <row r="113" ht="16.5" hidden="1" customHeight="1"/>
    <row r="114" ht="16.5" hidden="1" customHeight="1"/>
    <row r="115" ht="16.5" hidden="1" customHeight="1"/>
    <row r="116" ht="16.5" hidden="1" customHeight="1"/>
    <row r="117" ht="16.5" hidden="1" customHeight="1"/>
    <row r="118" ht="16.5" hidden="1" customHeight="1"/>
    <row r="119" ht="16.5" hidden="1" customHeight="1"/>
    <row r="120" ht="16.5" hidden="1" customHeight="1"/>
    <row r="121" ht="16.5" hidden="1" customHeight="1"/>
    <row r="122" ht="16.5" hidden="1" customHeight="1"/>
    <row r="123" ht="16.5" hidden="1" customHeight="1"/>
    <row r="124" ht="16.5" hidden="1" customHeight="1"/>
    <row r="125" ht="16.5" hidden="1" customHeight="1"/>
    <row r="126" ht="16.5" hidden="1" customHeight="1"/>
    <row r="127" ht="16.5" hidden="1" customHeight="1"/>
    <row r="128" ht="16.5" hidden="1" customHeight="1"/>
    <row r="129" ht="16.5" hidden="1" customHeight="1"/>
    <row r="130" ht="16.5" hidden="1" customHeight="1"/>
    <row r="131" ht="16.5" hidden="1" customHeight="1"/>
    <row r="132" ht="16.5" hidden="1" customHeight="1"/>
    <row r="133" ht="16.5" hidden="1" customHeight="1"/>
    <row r="134" ht="16.5" hidden="1" customHeight="1"/>
    <row r="135" ht="16.5" hidden="1" customHeight="1"/>
    <row r="136" ht="16.5" hidden="1" customHeight="1"/>
    <row r="137" ht="16.5" hidden="1" customHeight="1"/>
    <row r="138" ht="16.5" hidden="1" customHeight="1"/>
    <row r="139" ht="16.5" hidden="1" customHeight="1"/>
    <row r="140" ht="16.5" hidden="1" customHeight="1"/>
    <row r="141" ht="16.5" hidden="1" customHeight="1"/>
    <row r="142" ht="16.5" hidden="1" customHeight="1"/>
    <row r="143" ht="16.5" hidden="1" customHeight="1"/>
    <row r="144" ht="16.5" hidden="1" customHeight="1"/>
    <row r="145" ht="16.5" hidden="1" customHeight="1"/>
    <row r="146" ht="16.5" hidden="1" customHeight="1"/>
    <row r="147" ht="16.5" hidden="1" customHeight="1"/>
    <row r="148" ht="16.5" hidden="1" customHeight="1"/>
    <row r="149" ht="16.5" hidden="1" customHeight="1"/>
    <row r="150" ht="16.5" hidden="1" customHeight="1"/>
    <row r="151" ht="16.5" hidden="1" customHeight="1"/>
    <row r="152" ht="16.5" hidden="1" customHeight="1"/>
    <row r="153" ht="16.5" hidden="1" customHeight="1"/>
    <row r="154" ht="16.5" hidden="1" customHeight="1"/>
    <row r="155" ht="16.5" hidden="1" customHeight="1"/>
    <row r="156" ht="16.5" hidden="1" customHeight="1"/>
    <row r="157" ht="16.5" hidden="1" customHeight="1"/>
    <row r="158" ht="16.5" hidden="1" customHeight="1"/>
    <row r="159" ht="16.5" hidden="1" customHeight="1"/>
    <row r="160" ht="16.5" hidden="1" customHeight="1"/>
    <row r="161" ht="16.5" hidden="1" customHeight="1"/>
    <row r="162" ht="16.5" hidden="1" customHeight="1"/>
    <row r="163" ht="16.5" hidden="1" customHeight="1"/>
    <row r="164" ht="16.5" hidden="1" customHeight="1"/>
    <row r="165" ht="16.5" hidden="1" customHeight="1"/>
    <row r="166" ht="16.5" hidden="1" customHeight="1"/>
    <row r="167" ht="16.5" hidden="1" customHeight="1"/>
    <row r="168" ht="16.5" hidden="1" customHeight="1"/>
    <row r="169" ht="16.5" hidden="1" customHeight="1"/>
    <row r="170" ht="16.5" hidden="1" customHeight="1"/>
    <row r="171" ht="16.5" hidden="1" customHeight="1"/>
    <row r="172" ht="16.5" hidden="1" customHeight="1"/>
    <row r="173" ht="16.5" hidden="1" customHeight="1"/>
    <row r="174" ht="16.5" hidden="1" customHeight="1"/>
    <row r="175" ht="16.5" hidden="1" customHeight="1"/>
    <row r="176" ht="16.5" hidden="1" customHeight="1"/>
    <row r="177" ht="16.5" hidden="1" customHeight="1"/>
    <row r="178" ht="16.5" hidden="1" customHeight="1"/>
    <row r="179" ht="16.5" hidden="1" customHeight="1"/>
    <row r="180" ht="16.5" hidden="1" customHeight="1"/>
    <row r="181" ht="16.5" hidden="1" customHeight="1"/>
    <row r="182" ht="16.5" hidden="1" customHeight="1"/>
    <row r="183" ht="16.5" hidden="1" customHeight="1"/>
    <row r="184" ht="16.5" hidden="1" customHeight="1"/>
    <row r="185" ht="16.5" hidden="1" customHeight="1"/>
    <row r="186" ht="16.5" hidden="1" customHeight="1"/>
    <row r="187" ht="16.5" hidden="1" customHeight="1"/>
    <row r="188" ht="16.5" hidden="1" customHeight="1"/>
    <row r="189" ht="16.5" hidden="1" customHeight="1"/>
    <row r="190" ht="16.5" hidden="1" customHeight="1"/>
    <row r="191" ht="16.5" hidden="1" customHeight="1"/>
    <row r="192" ht="16.5" hidden="1" customHeight="1"/>
    <row r="193" ht="16.5" hidden="1" customHeight="1"/>
    <row r="194" ht="16.5" hidden="1" customHeight="1"/>
    <row r="195" ht="16.5" hidden="1" customHeight="1"/>
    <row r="196" ht="16.5" hidden="1" customHeight="1"/>
    <row r="197" ht="16.5" hidden="1" customHeight="1"/>
    <row r="198" ht="16.5" hidden="1" customHeight="1"/>
    <row r="199" ht="16.5" hidden="1" customHeight="1"/>
    <row r="200" ht="16.5" hidden="1" customHeight="1"/>
    <row r="201" ht="16.5" hidden="1" customHeight="1"/>
    <row r="202" ht="16.5" hidden="1" customHeight="1"/>
    <row r="203" ht="16.5" hidden="1" customHeight="1"/>
    <row r="204" ht="16.5" hidden="1" customHeight="1"/>
    <row r="205" ht="16.5" hidden="1" customHeight="1"/>
    <row r="206" ht="16.5" hidden="1" customHeight="1"/>
    <row r="207" ht="16.5" hidden="1" customHeight="1"/>
    <row r="208" ht="16.5" hidden="1" customHeight="1"/>
    <row r="209" ht="16.5" hidden="1" customHeight="1"/>
    <row r="210" ht="16.5" hidden="1" customHeight="1"/>
    <row r="211" ht="16.5" hidden="1" customHeight="1"/>
    <row r="212" ht="16.5" hidden="1" customHeight="1"/>
    <row r="213" ht="16.5" hidden="1" customHeight="1"/>
    <row r="214" ht="16.5" hidden="1" customHeight="1"/>
    <row r="215" ht="16.5" hidden="1" customHeight="1"/>
    <row r="216" ht="16.5" hidden="1" customHeight="1"/>
    <row r="217" ht="16.5" hidden="1" customHeight="1"/>
    <row r="218" ht="16.5" hidden="1" customHeight="1"/>
    <row r="219" ht="16.5" hidden="1" customHeight="1"/>
    <row r="220" ht="16.5" hidden="1" customHeight="1"/>
    <row r="221" ht="16.5" hidden="1" customHeight="1"/>
    <row r="222" ht="16.5" hidden="1" customHeight="1"/>
    <row r="223" ht="16.5" hidden="1" customHeight="1"/>
    <row r="224" ht="16.5" hidden="1" customHeight="1"/>
    <row r="225" ht="16.5" hidden="1" customHeight="1"/>
    <row r="226" ht="16.5" hidden="1" customHeight="1"/>
    <row r="227" ht="16.5" hidden="1" customHeight="1"/>
    <row r="228" ht="16.5" hidden="1" customHeight="1"/>
    <row r="229" ht="16.5" hidden="1" customHeight="1"/>
    <row r="230" ht="16.5" hidden="1" customHeight="1"/>
    <row r="231" ht="16.5" hidden="1" customHeight="1"/>
    <row r="232" ht="16.5" hidden="1" customHeight="1"/>
    <row r="233" ht="16.5" hidden="1" customHeight="1"/>
    <row r="234" ht="16.5" hidden="1" customHeight="1"/>
    <row r="235" ht="16.5" hidden="1" customHeight="1"/>
    <row r="236" ht="16.5" hidden="1" customHeight="1"/>
    <row r="237" ht="16.5" hidden="1" customHeight="1"/>
    <row r="238" ht="16.5" hidden="1" customHeight="1"/>
    <row r="239" ht="16.5" hidden="1" customHeight="1"/>
    <row r="240" ht="16.5" hidden="1" customHeight="1"/>
    <row r="241" ht="16.5" hidden="1" customHeight="1"/>
    <row r="242" ht="16.5" hidden="1" customHeight="1"/>
    <row r="243" ht="16.5" hidden="1" customHeight="1"/>
    <row r="244" ht="16.5" hidden="1" customHeight="1"/>
    <row r="245" ht="16.5" hidden="1" customHeight="1"/>
    <row r="246" ht="16.5" hidden="1" customHeight="1"/>
    <row r="247" ht="16.5" hidden="1" customHeight="1"/>
    <row r="248" ht="16.5" hidden="1" customHeight="1"/>
    <row r="249" ht="16.5" hidden="1" customHeight="1"/>
    <row r="250" ht="16.5" hidden="1" customHeight="1"/>
    <row r="251" ht="16.5" hidden="1" customHeight="1"/>
    <row r="252" ht="16.5" hidden="1" customHeight="1"/>
    <row r="253" ht="16.5" hidden="1" customHeight="1"/>
    <row r="254" ht="16.5" hidden="1" customHeight="1"/>
    <row r="255" ht="16.5" hidden="1" customHeight="1"/>
    <row r="256" ht="16.5" hidden="1" customHeight="1"/>
    <row r="257" ht="16.5" hidden="1" customHeight="1"/>
    <row r="258" ht="16.5" hidden="1" customHeight="1"/>
    <row r="259" ht="16.5" hidden="1" customHeight="1"/>
    <row r="260" ht="16.5" hidden="1" customHeight="1"/>
    <row r="261" ht="16.5" hidden="1" customHeight="1"/>
    <row r="262" ht="16.5" hidden="1" customHeight="1"/>
    <row r="263" ht="16.5" hidden="1" customHeight="1"/>
    <row r="264" ht="16.5" hidden="1" customHeight="1"/>
    <row r="265" ht="16.5" hidden="1" customHeight="1"/>
    <row r="266" ht="16.5" hidden="1" customHeight="1"/>
    <row r="267" ht="16.5" hidden="1" customHeight="1"/>
    <row r="268" ht="16.5" hidden="1" customHeight="1"/>
    <row r="269" ht="16.5" hidden="1" customHeight="1"/>
    <row r="270" ht="16.5" hidden="1" customHeight="1"/>
    <row r="271" ht="16.5" hidden="1" customHeight="1"/>
    <row r="272" ht="16.5" hidden="1" customHeight="1"/>
    <row r="273" ht="16.5" hidden="1" customHeight="1"/>
    <row r="274" ht="16.5" hidden="1" customHeight="1"/>
    <row r="275" ht="16.5" hidden="1" customHeight="1"/>
    <row r="276" ht="16.5" hidden="1" customHeight="1"/>
    <row r="277" ht="16.5" hidden="1" customHeight="1"/>
    <row r="278" ht="16.5" hidden="1" customHeight="1"/>
    <row r="279" ht="16.5" hidden="1" customHeight="1"/>
    <row r="280" ht="16.5" hidden="1" customHeight="1"/>
    <row r="281" ht="16.5" hidden="1" customHeight="1"/>
    <row r="282" ht="16.5" hidden="1" customHeight="1"/>
    <row r="283" ht="16.5" hidden="1" customHeight="1"/>
    <row r="284" ht="16.5" hidden="1" customHeight="1"/>
    <row r="285" ht="16.5" hidden="1" customHeight="1"/>
    <row r="286" ht="16.5" hidden="1" customHeight="1"/>
    <row r="287" ht="16.5" hidden="1" customHeight="1"/>
    <row r="288" ht="16.5" hidden="1" customHeight="1"/>
    <row r="289" ht="16.5" hidden="1" customHeight="1"/>
    <row r="290" ht="16.5" hidden="1" customHeight="1"/>
    <row r="291" ht="16.5" hidden="1" customHeight="1"/>
    <row r="292" ht="16.5" hidden="1" customHeight="1"/>
    <row r="293" ht="16.5" hidden="1" customHeight="1"/>
    <row r="294" ht="16.5" hidden="1" customHeight="1"/>
    <row r="295" ht="16.5" hidden="1" customHeight="1"/>
    <row r="296" ht="16.5" hidden="1" customHeight="1"/>
    <row r="297" ht="16.5" hidden="1" customHeight="1"/>
    <row r="298" ht="16.5" hidden="1" customHeight="1"/>
    <row r="299" ht="16.5" hidden="1" customHeight="1"/>
    <row r="300" ht="16.5" hidden="1" customHeight="1"/>
    <row r="301" ht="16.5" hidden="1" customHeight="1"/>
    <row r="302" ht="16.5" hidden="1" customHeight="1"/>
    <row r="303" ht="16.5" hidden="1" customHeight="1"/>
    <row r="304" ht="16.5" hidden="1" customHeight="1"/>
    <row r="305" ht="16.5" hidden="1" customHeight="1"/>
    <row r="306" ht="16.5" hidden="1" customHeight="1"/>
    <row r="307" ht="16.5" hidden="1" customHeight="1"/>
    <row r="308" ht="16.5" hidden="1" customHeight="1"/>
    <row r="309" ht="16.5" hidden="1" customHeight="1"/>
    <row r="310" ht="16.5" hidden="1" customHeight="1"/>
    <row r="311" ht="16.5" hidden="1" customHeight="1"/>
    <row r="312" ht="16.5" hidden="1" customHeight="1"/>
    <row r="313" ht="16.5" hidden="1" customHeight="1"/>
    <row r="314" ht="16.5" hidden="1" customHeight="1"/>
    <row r="315" ht="16.5" hidden="1" customHeight="1"/>
    <row r="316" ht="16.5" hidden="1" customHeight="1"/>
    <row r="317" ht="16.5" hidden="1" customHeight="1"/>
    <row r="318" ht="16.5" hidden="1" customHeight="1"/>
    <row r="319" ht="16.5" hidden="1" customHeight="1"/>
    <row r="320" ht="16.5" hidden="1" customHeight="1"/>
    <row r="321" ht="16.5" hidden="1" customHeight="1"/>
    <row r="322" ht="16.5" hidden="1" customHeight="1"/>
    <row r="323" ht="16.5" hidden="1" customHeight="1"/>
    <row r="324" ht="16.5" hidden="1" customHeight="1"/>
    <row r="325" ht="16.5" hidden="1" customHeight="1"/>
    <row r="326" ht="16.5" hidden="1" customHeight="1"/>
    <row r="327" ht="16.5" hidden="1" customHeight="1"/>
    <row r="328" ht="16.5" hidden="1" customHeight="1"/>
    <row r="329" ht="16.5" hidden="1" customHeight="1"/>
    <row r="330" ht="16.5" hidden="1" customHeight="1"/>
    <row r="331" ht="16.5" hidden="1" customHeight="1"/>
    <row r="332" ht="16.5" hidden="1" customHeight="1"/>
    <row r="333" ht="16.5" hidden="1" customHeight="1"/>
    <row r="334" ht="16.5" hidden="1" customHeight="1"/>
    <row r="335" ht="16.5" hidden="1" customHeight="1"/>
    <row r="336" ht="16.5" hidden="1" customHeight="1"/>
    <row r="337" ht="16.5" hidden="1" customHeight="1"/>
    <row r="338" ht="16.5" hidden="1" customHeight="1"/>
    <row r="339" ht="16.5" hidden="1" customHeight="1"/>
    <row r="340" ht="16.5" hidden="1" customHeight="1"/>
    <row r="341" ht="16.5" hidden="1" customHeight="1"/>
    <row r="342" ht="16.5" hidden="1" customHeight="1"/>
    <row r="343" ht="16.5" hidden="1" customHeight="1"/>
    <row r="344" ht="16.5" hidden="1" customHeight="1"/>
    <row r="345" ht="16.5" hidden="1" customHeight="1"/>
    <row r="346" ht="16.5" hidden="1" customHeight="1"/>
    <row r="347" ht="16.5" hidden="1" customHeight="1"/>
    <row r="348" ht="16.5" hidden="1" customHeight="1"/>
    <row r="349" ht="16.5" hidden="1" customHeight="1"/>
    <row r="350" ht="16.5" hidden="1" customHeight="1"/>
    <row r="351" ht="16.5" hidden="1" customHeight="1"/>
    <row r="352" ht="16.5" hidden="1" customHeight="1"/>
    <row r="353" ht="16.5" hidden="1" customHeight="1"/>
    <row r="354" ht="16.5" hidden="1" customHeight="1"/>
    <row r="355" ht="16.5" hidden="1" customHeight="1"/>
    <row r="356" ht="16.5" hidden="1" customHeight="1"/>
    <row r="357" ht="16.5" hidden="1" customHeight="1"/>
    <row r="358" ht="16.5" hidden="1" customHeight="1"/>
    <row r="359" ht="16.5" hidden="1" customHeight="1"/>
    <row r="360" ht="16.5" hidden="1" customHeight="1"/>
    <row r="361" ht="16.5" hidden="1" customHeight="1"/>
    <row r="362" ht="16.5" hidden="1" customHeight="1"/>
    <row r="363" ht="16.5" hidden="1" customHeight="1"/>
    <row r="364" ht="16.5" hidden="1" customHeight="1"/>
    <row r="365" ht="16.5" hidden="1" customHeight="1"/>
    <row r="366" ht="16.5" hidden="1" customHeight="1"/>
    <row r="367" ht="16.5" hidden="1" customHeight="1"/>
    <row r="368" ht="16.5" hidden="1" customHeight="1"/>
    <row r="369" ht="16.5" hidden="1" customHeight="1"/>
    <row r="370" ht="16.5" hidden="1" customHeight="1"/>
    <row r="371" ht="16.5" hidden="1" customHeight="1"/>
    <row r="372" ht="16.5" hidden="1" customHeight="1"/>
    <row r="373" ht="16.5" hidden="1" customHeight="1"/>
    <row r="374" ht="16.5" hidden="1" customHeight="1"/>
    <row r="375" ht="16.5" hidden="1" customHeight="1"/>
    <row r="376" ht="16.5" hidden="1" customHeight="1"/>
    <row r="377" ht="16.5" hidden="1" customHeight="1"/>
    <row r="378" ht="16.5" hidden="1" customHeight="1"/>
    <row r="379" ht="16.5" hidden="1" customHeight="1"/>
    <row r="380" ht="16.5" hidden="1" customHeight="1"/>
    <row r="381" ht="16.5" hidden="1" customHeight="1"/>
    <row r="382" ht="16.5" hidden="1" customHeight="1"/>
    <row r="383" ht="16.5" hidden="1" customHeight="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sheetData>
  <mergeCells count="8">
    <mergeCell ref="C1:H1"/>
    <mergeCell ref="C2:H2"/>
    <mergeCell ref="C3:H3"/>
    <mergeCell ref="D7:D8"/>
    <mergeCell ref="E7:E8"/>
    <mergeCell ref="G7:G8"/>
    <mergeCell ref="H7:H8"/>
    <mergeCell ref="F7:F8"/>
  </mergeCells>
  <phoneticPr fontId="0" type="noConversion"/>
  <printOptions horizontalCentered="1"/>
  <pageMargins left="0.25" right="0.25" top="0.5" bottom="0.5" header="0.25" footer="0.25"/>
  <pageSetup scale="77" fitToHeight="10" orientation="portrait" r:id="rId1"/>
  <headerFooter alignWithMargins="0">
    <oddFooter>&amp;L&amp;"Times New Roman,Bold Italic"Black &amp; Veatch Corporation&amp;R&amp;"Times New Roman,Bold Italic"Date: &amp;D</oddFooter>
  </headerFooter>
  <rowBreaks count="1" manualBreakCount="1">
    <brk id="33" min="1" max="25" man="1"/>
  </rowBreaks>
  <ignoredErrors>
    <ignoredError sqref="F65" formula="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8000"/>
    <pageSetUpPr fitToPage="1"/>
  </sheetPr>
  <dimension ref="A1:Z496"/>
  <sheetViews>
    <sheetView showGridLines="0" zoomScale="70" zoomScaleNormal="70" workbookViewId="0">
      <pane xSplit="5" ySplit="12" topLeftCell="I49" activePane="bottomRight" state="frozen"/>
      <selection pane="topRight" activeCell="F1" sqref="F1"/>
      <selection pane="bottomLeft" activeCell="A13" sqref="A13"/>
      <selection pane="bottomRight" activeCell="O70" sqref="O70:V93"/>
    </sheetView>
  </sheetViews>
  <sheetFormatPr defaultColWidth="9" defaultRowHeight="15.75" zeroHeight="1"/>
  <cols>
    <col min="1" max="1" width="22.5" customWidth="1"/>
    <col min="2" max="2" width="2" customWidth="1"/>
    <col min="3" max="3" width="6.25" bestFit="1" customWidth="1"/>
    <col min="4" max="4" width="1.25" customWidth="1"/>
    <col min="5" max="5" width="57" customWidth="1"/>
    <col min="6" max="6" width="17.75" bestFit="1" customWidth="1"/>
    <col min="7" max="7" width="17.375" style="17" bestFit="1" customWidth="1"/>
    <col min="8" max="8" width="8.25" style="165" bestFit="1" customWidth="1"/>
    <col min="9" max="9" width="17" bestFit="1" customWidth="1"/>
    <col min="10" max="10" width="2.625" customWidth="1"/>
    <col min="11" max="11" width="16.375" customWidth="1"/>
    <col min="12" max="12" width="2.625" customWidth="1"/>
    <col min="13" max="14" width="15.125" customWidth="1"/>
    <col min="15" max="15" width="3.75" customWidth="1"/>
    <col min="16" max="16" width="16" customWidth="1"/>
    <col min="17" max="17" width="15.125" customWidth="1"/>
    <col min="18" max="18" width="14.75" customWidth="1"/>
    <col min="19" max="19" width="2.625" customWidth="1"/>
    <col min="20" max="20" width="16" customWidth="1"/>
    <col min="21" max="21" width="2.625" customWidth="1"/>
    <col min="22" max="22" width="15.375" customWidth="1"/>
    <col min="23" max="23" width="13" customWidth="1"/>
    <col min="24" max="24" width="14.5" customWidth="1"/>
    <col min="25" max="25" width="15.5" customWidth="1"/>
    <col min="26" max="26" width="2.125" style="86" customWidth="1"/>
    <col min="27" max="27" width="20" customWidth="1"/>
    <col min="28" max="32" width="16.625" customWidth="1"/>
    <col min="33" max="33" width="2.625" customWidth="1"/>
    <col min="34" max="51" width="16.625" customWidth="1"/>
    <col min="16384" max="16384" width="86.625" customWidth="1"/>
  </cols>
  <sheetData>
    <row r="1" spans="1:13" ht="22.5">
      <c r="A1" s="411"/>
      <c r="E1" s="4405" t="s">
        <v>636</v>
      </c>
      <c r="F1" s="4405"/>
      <c r="G1" s="4405"/>
      <c r="H1" s="4405"/>
      <c r="I1" s="4405"/>
    </row>
    <row r="2" spans="1:13" ht="22.5" customHeight="1">
      <c r="A2" s="411"/>
      <c r="C2" s="14"/>
      <c r="D2" s="14"/>
      <c r="E2" s="4405" t="str">
        <f>Client</f>
        <v>Grant County Public Utility District</v>
      </c>
      <c r="F2" s="4405"/>
      <c r="G2" s="4405"/>
      <c r="H2" s="4405"/>
      <c r="I2" s="4405"/>
    </row>
    <row r="3" spans="1:13" ht="22.5" customHeight="1">
      <c r="A3" s="411"/>
      <c r="E3" s="4405" t="s">
        <v>392</v>
      </c>
      <c r="F3" s="4405"/>
      <c r="G3" s="4405"/>
      <c r="H3" s="4405"/>
      <c r="I3" s="4405"/>
    </row>
    <row r="4" spans="1:13" ht="13.5" customHeight="1">
      <c r="A4" s="411"/>
      <c r="G4"/>
      <c r="H4" s="18"/>
    </row>
    <row r="5" spans="1:13" ht="18" customHeight="1" thickBot="1">
      <c r="A5" s="411"/>
      <c r="G5"/>
      <c r="H5" s="18"/>
      <c r="I5" s="5" t="s">
        <v>114</v>
      </c>
    </row>
    <row r="6" spans="1:13" ht="16.5" thickBot="1">
      <c r="A6" s="411"/>
      <c r="C6" s="14"/>
      <c r="D6" s="14"/>
      <c r="G6"/>
      <c r="H6" s="18"/>
      <c r="I6" s="2948">
        <f>'COS_Summ (cumulative)'!AC5</f>
        <v>2024</v>
      </c>
    </row>
    <row r="7" spans="1:13" ht="3.75" customHeight="1">
      <c r="A7" s="411"/>
      <c r="C7" s="14"/>
      <c r="D7" s="14"/>
      <c r="G7"/>
      <c r="H7" s="18"/>
    </row>
    <row r="8" spans="1:13" ht="15.75" hidden="1" customHeight="1">
      <c r="A8" s="411"/>
      <c r="C8" s="14"/>
      <c r="D8" s="14"/>
      <c r="G8"/>
      <c r="H8" s="18"/>
      <c r="I8" s="60" t="s">
        <v>390</v>
      </c>
    </row>
    <row r="9" spans="1:13" ht="4.5" customHeight="1" thickBot="1">
      <c r="A9" s="411"/>
      <c r="C9" s="14"/>
      <c r="D9" s="14"/>
      <c r="G9"/>
      <c r="H9" s="18"/>
    </row>
    <row r="10" spans="1:13">
      <c r="A10" s="411"/>
      <c r="C10" s="208"/>
      <c r="D10" s="209"/>
      <c r="E10" s="209"/>
      <c r="F10" s="209">
        <f>I6</f>
        <v>2024</v>
      </c>
      <c r="G10" s="209" t="s">
        <v>552</v>
      </c>
      <c r="H10" s="209"/>
      <c r="I10" s="210" t="s">
        <v>114</v>
      </c>
      <c r="J10" s="213"/>
      <c r="K10" s="209">
        <v>2015</v>
      </c>
      <c r="M10" s="59" t="s">
        <v>114</v>
      </c>
    </row>
    <row r="11" spans="1:13">
      <c r="A11" s="411"/>
      <c r="C11" s="211" t="s">
        <v>867</v>
      </c>
      <c r="D11" s="59"/>
      <c r="E11" s="59" t="s">
        <v>399</v>
      </c>
      <c r="F11" s="59" t="s">
        <v>114</v>
      </c>
      <c r="G11" s="59" t="s">
        <v>482</v>
      </c>
      <c r="H11" s="59" t="s">
        <v>862</v>
      </c>
      <c r="I11" s="212" t="s">
        <v>864</v>
      </c>
      <c r="J11" s="213"/>
      <c r="K11" s="59" t="s">
        <v>114</v>
      </c>
      <c r="L11" s="20"/>
      <c r="M11" s="59" t="s">
        <v>4007</v>
      </c>
    </row>
    <row r="12" spans="1:13" s="1" customFormat="1" ht="4.5" customHeight="1">
      <c r="A12" s="411"/>
      <c r="C12" s="341"/>
      <c r="D12" s="246"/>
      <c r="E12" s="17"/>
      <c r="F12" s="17"/>
      <c r="G12" s="17"/>
      <c r="H12" s="165"/>
      <c r="I12" s="325"/>
      <c r="J12" s="17"/>
      <c r="K12" s="17"/>
      <c r="L12" s="17"/>
    </row>
    <row r="13" spans="1:13">
      <c r="A13" s="411"/>
      <c r="C13" s="341"/>
      <c r="D13" s="246"/>
      <c r="E13" s="207" t="s">
        <v>663</v>
      </c>
      <c r="F13" s="17"/>
      <c r="I13" s="325"/>
      <c r="J13" s="466"/>
      <c r="K13" s="87"/>
      <c r="L13" s="20"/>
    </row>
    <row r="14" spans="1:13" ht="12" customHeight="1">
      <c r="A14" s="411"/>
      <c r="C14" s="341"/>
      <c r="D14" s="246"/>
      <c r="E14" s="17"/>
      <c r="F14" s="17"/>
      <c r="I14" s="325"/>
      <c r="J14" s="175"/>
      <c r="K14" s="87"/>
      <c r="L14" s="20"/>
    </row>
    <row r="15" spans="1:13">
      <c r="A15" s="411"/>
      <c r="C15" s="342"/>
      <c r="D15" s="246"/>
      <c r="E15" s="206" t="s">
        <v>661</v>
      </c>
      <c r="F15" s="343"/>
      <c r="I15" s="325"/>
      <c r="J15" s="85"/>
      <c r="K15" s="85"/>
      <c r="L15" s="8"/>
    </row>
    <row r="16" spans="1:13" ht="4.5" customHeight="1">
      <c r="A16" s="411"/>
      <c r="C16" s="342"/>
      <c r="D16" s="246"/>
      <c r="E16" s="206"/>
      <c r="F16" s="343"/>
      <c r="I16" s="325"/>
      <c r="J16" s="85"/>
      <c r="K16" s="85"/>
      <c r="L16" s="8"/>
    </row>
    <row r="17" spans="1:13">
      <c r="A17" s="411"/>
      <c r="C17" s="342">
        <f>+MAX(C$15:C16)+1</f>
        <v>1</v>
      </c>
      <c r="D17" s="246"/>
      <c r="E17" s="245" t="str">
        <f>'Fin Forecast - Elec'!D63</f>
        <v>Operation and Maintenance Expense</v>
      </c>
      <c r="F17" s="343"/>
      <c r="G17" s="343"/>
      <c r="I17" s="346"/>
      <c r="J17" s="85"/>
      <c r="K17" s="85"/>
      <c r="L17" s="8"/>
    </row>
    <row r="18" spans="1:13">
      <c r="A18" s="411"/>
      <c r="B18" s="342"/>
      <c r="C18" s="342">
        <f>+MAX(C$15:C17)+1</f>
        <v>2</v>
      </c>
      <c r="D18" s="246"/>
      <c r="E18" s="243" t="str">
        <f>'Fin Forecast - Elec'!D68</f>
        <v>Purchased Power - Total</v>
      </c>
      <c r="F18" s="589">
        <f>+SUMIF('Fin Forecast - Elec'!$G$7:$U$7,$I$6,'Fin Forecast - Elec'!G68:U68)</f>
        <v>233090202.32355806</v>
      </c>
      <c r="G18" s="279"/>
      <c r="I18" s="589">
        <f t="shared" ref="I18:I24" si="0">+F18+G18</f>
        <v>233090202.32355806</v>
      </c>
      <c r="J18" s="85"/>
      <c r="K18" s="589">
        <v>125786927.89568561</v>
      </c>
      <c r="L18" s="8"/>
      <c r="M18" s="589">
        <f>I18-K18</f>
        <v>107303274.42787245</v>
      </c>
    </row>
    <row r="19" spans="1:13">
      <c r="A19" s="411"/>
      <c r="B19" s="342"/>
      <c r="C19" s="342">
        <f>+MAX(C$15:C18)+1</f>
        <v>3</v>
      </c>
      <c r="D19" s="246"/>
      <c r="E19" s="243" t="str">
        <f>'Fin Forecast - Elec'!D69</f>
        <v>Generation</v>
      </c>
      <c r="F19" s="16">
        <f>+SUMIF('Fin Forecast - Elec'!$G$7:$U$7,$I$6,'Fin Forecast - Elec'!G69:U69)</f>
        <v>635063.69790164474</v>
      </c>
      <c r="G19" s="16"/>
      <c r="H19" s="460"/>
      <c r="I19" s="347">
        <f t="shared" si="0"/>
        <v>635063.69790164474</v>
      </c>
      <c r="J19" s="85"/>
      <c r="K19" s="347">
        <v>435769.92755090725</v>
      </c>
      <c r="L19" s="8"/>
      <c r="M19" s="347">
        <f t="shared" ref="M19:M24" si="1">I19-K19</f>
        <v>199293.7703507375</v>
      </c>
    </row>
    <row r="20" spans="1:13">
      <c r="A20" s="411"/>
      <c r="B20" s="342"/>
      <c r="C20" s="342">
        <f>+MAX(C$15:C19)+1</f>
        <v>4</v>
      </c>
      <c r="D20" s="246"/>
      <c r="E20" s="243" t="str">
        <f>'Fin Forecast - Elec'!D70</f>
        <v>Transmission</v>
      </c>
      <c r="F20" s="16">
        <f>+SUMIF('Fin Forecast - Elec'!$G$7:$U$7,$I$6,'Fin Forecast - Elec'!G70:U70)</f>
        <v>3520467.8803847791</v>
      </c>
      <c r="G20" s="16"/>
      <c r="I20" s="347">
        <f t="shared" si="0"/>
        <v>3520467.8803847791</v>
      </c>
      <c r="J20" s="85"/>
      <c r="K20" s="347">
        <v>4521071.6803180408</v>
      </c>
      <c r="L20" s="8"/>
      <c r="M20" s="347">
        <f t="shared" si="1"/>
        <v>-1000603.7999332617</v>
      </c>
    </row>
    <row r="21" spans="1:13">
      <c r="A21" s="411"/>
      <c r="B21" s="342"/>
      <c r="C21" s="342">
        <f>+MAX(C$15:C20)+1</f>
        <v>5</v>
      </c>
      <c r="D21" s="246"/>
      <c r="E21" s="243" t="str">
        <f>'Fin Forecast - Elec'!D71</f>
        <v>Distribution</v>
      </c>
      <c r="F21" s="16">
        <f>+SUMIF('Fin Forecast - Elec'!$G$7:$U$7,$I$6,'Fin Forecast - Elec'!G71:U71)</f>
        <v>18493525.052538324</v>
      </c>
      <c r="G21" s="16"/>
      <c r="I21" s="347">
        <f t="shared" si="0"/>
        <v>18493525.052538324</v>
      </c>
      <c r="J21" s="85"/>
      <c r="K21" s="347">
        <v>12780250.464414464</v>
      </c>
      <c r="L21" s="8"/>
      <c r="M21" s="347">
        <f t="shared" si="1"/>
        <v>5713274.5881238598</v>
      </c>
    </row>
    <row r="22" spans="1:13">
      <c r="A22" s="411"/>
      <c r="B22" s="342"/>
      <c r="C22" s="342">
        <f>+MAX(C$15:C21)+1</f>
        <v>6</v>
      </c>
      <c r="D22" s="246"/>
      <c r="E22" s="243" t="str">
        <f>'Fin Forecast - Elec'!D72</f>
        <v>Customer Accounts</v>
      </c>
      <c r="F22" s="16">
        <f>+SUMIF('Fin Forecast - Elec'!$G$7:$U$7,$I$6,'Fin Forecast - Elec'!G72:U72)</f>
        <v>10759316.518980984</v>
      </c>
      <c r="G22" s="16"/>
      <c r="I22" s="347">
        <f t="shared" si="0"/>
        <v>10759316.518980984</v>
      </c>
      <c r="J22" s="85"/>
      <c r="K22" s="347">
        <v>7556209.7879945925</v>
      </c>
      <c r="L22" s="8"/>
      <c r="M22" s="347">
        <f t="shared" si="1"/>
        <v>3203106.7309863912</v>
      </c>
    </row>
    <row r="23" spans="1:13">
      <c r="A23" s="411"/>
      <c r="B23" s="342"/>
      <c r="C23" s="342">
        <f>+MAX(C$15:C22)+1</f>
        <v>7</v>
      </c>
      <c r="D23" s="246"/>
      <c r="E23" s="243" t="str">
        <f>'Fin Forecast - Elec'!D73</f>
        <v>Fiber Optic Network</v>
      </c>
      <c r="F23" s="16">
        <f>+SUMIF('Fin Forecast - Elec'!$G$7:$U$7,$I$6,'Fin Forecast - Elec'!G73:U73)</f>
        <v>2153020.4127162546</v>
      </c>
      <c r="G23" s="16"/>
      <c r="I23" s="347">
        <f t="shared" si="0"/>
        <v>2153020.4127162546</v>
      </c>
      <c r="J23" s="85"/>
      <c r="K23" s="347">
        <v>1508556.1551212955</v>
      </c>
      <c r="L23" s="8"/>
      <c r="M23" s="347">
        <f t="shared" si="1"/>
        <v>644464.25759495911</v>
      </c>
    </row>
    <row r="24" spans="1:13">
      <c r="A24" s="411"/>
      <c r="B24" s="342"/>
      <c r="C24" s="342">
        <f>+MAX(C$15:C23)+1</f>
        <v>8</v>
      </c>
      <c r="D24" s="246"/>
      <c r="E24" s="243" t="str">
        <f>'Fin Forecast - Elec'!D74</f>
        <v>Administrative and General</v>
      </c>
      <c r="F24" s="277">
        <f>+SUMIF('Fin Forecast - Elec'!$G$7:$U$7,$I$6,'Fin Forecast - Elec'!G74:U74)</f>
        <v>21883167.474369351</v>
      </c>
      <c r="G24" s="277"/>
      <c r="H24" s="344"/>
      <c r="I24" s="345">
        <f t="shared" si="0"/>
        <v>21883167.474369351</v>
      </c>
      <c r="J24" s="85"/>
      <c r="K24" s="345">
        <v>15238631.028309422</v>
      </c>
      <c r="L24" s="8"/>
      <c r="M24" s="345">
        <f t="shared" si="1"/>
        <v>6644536.4460599292</v>
      </c>
    </row>
    <row r="25" spans="1:13">
      <c r="A25" s="411"/>
      <c r="C25" s="342">
        <f>+MAX(C$15:C24)+1</f>
        <v>9</v>
      </c>
      <c r="D25" s="246"/>
      <c r="E25" s="186" t="str">
        <f>'Fin Forecast - Elec'!D75</f>
        <v>Total Expenses</v>
      </c>
      <c r="F25" s="590">
        <f>SUM(F18:F24)</f>
        <v>290534763.36044937</v>
      </c>
      <c r="G25" s="590">
        <f>SUM(G18:G24)</f>
        <v>0</v>
      </c>
      <c r="H25" s="9"/>
      <c r="I25" s="590">
        <f>SUM(I18:I24)</f>
        <v>290534763.36044937</v>
      </c>
      <c r="J25" s="85"/>
      <c r="K25" s="590">
        <v>167827416.93939435</v>
      </c>
      <c r="L25" s="8"/>
      <c r="M25" s="590">
        <f>SUM(M18:M24)</f>
        <v>122707346.42105506</v>
      </c>
    </row>
    <row r="26" spans="1:13" ht="4.5" customHeight="1">
      <c r="A26" s="411"/>
      <c r="C26" s="342"/>
      <c r="D26" s="246"/>
      <c r="E26" s="206"/>
      <c r="F26" s="343"/>
      <c r="G26" s="343"/>
      <c r="I26" s="346"/>
      <c r="J26" s="85"/>
      <c r="K26" s="346"/>
      <c r="L26" s="8"/>
      <c r="M26" s="346"/>
    </row>
    <row r="27" spans="1:13">
      <c r="A27" s="411"/>
      <c r="C27" s="342"/>
      <c r="D27" s="246"/>
      <c r="E27" s="245" t="str">
        <f>'Fin Forecast - Elec'!D79</f>
        <v>Debt Service</v>
      </c>
      <c r="F27" s="343"/>
      <c r="G27" s="343"/>
      <c r="I27" s="346"/>
      <c r="J27" s="85"/>
      <c r="K27" s="346"/>
      <c r="L27" s="8"/>
      <c r="M27" s="346"/>
    </row>
    <row r="28" spans="1:13">
      <c r="A28" s="411"/>
      <c r="C28" s="342">
        <f>+MAX(C$15:C27)+1</f>
        <v>10</v>
      </c>
      <c r="D28" s="246"/>
      <c r="E28" s="243" t="str">
        <f>'Fin Forecast - Elec'!D80</f>
        <v>Existing Debt Service</v>
      </c>
      <c r="F28" s="589">
        <f>+SUMIF('Fin Forecast - Elec'!$G$7:$U$7,$I$6,'Fin Forecast - Elec'!G80:U80)</f>
        <v>4720759.0671651904</v>
      </c>
      <c r="G28" s="279"/>
      <c r="I28" s="589">
        <f>+F28+G28</f>
        <v>4720759.0671651904</v>
      </c>
      <c r="J28" s="85"/>
      <c r="K28" s="589">
        <v>8108081.2599999802</v>
      </c>
      <c r="L28" s="8"/>
      <c r="M28" s="589">
        <f t="shared" ref="M28:M30" si="2">I28-K28</f>
        <v>-3387322.1928347899</v>
      </c>
    </row>
    <row r="29" spans="1:13">
      <c r="A29" s="411"/>
      <c r="C29" s="342">
        <f>+MAX(C$15:C28)+1</f>
        <v>11</v>
      </c>
      <c r="D29" s="246"/>
      <c r="E29" s="243" t="str">
        <f>'Fin Forecast - Elec'!D81</f>
        <v>Use of Finance Plan Reserve</v>
      </c>
      <c r="F29" s="16">
        <f>+SUMIF('Fin Forecast - Elec'!$G$7:$U$7,$I$6,'Fin Forecast - Elec'!G81:U81)</f>
        <v>0</v>
      </c>
      <c r="G29" s="16"/>
      <c r="H29" s="460"/>
      <c r="I29" s="347">
        <f>+F29+G29</f>
        <v>0</v>
      </c>
      <c r="J29" s="85"/>
      <c r="K29" s="347">
        <v>0</v>
      </c>
      <c r="L29" s="8"/>
      <c r="M29" s="347">
        <f t="shared" si="2"/>
        <v>0</v>
      </c>
    </row>
    <row r="30" spans="1:13">
      <c r="A30" s="411"/>
      <c r="C30" s="342">
        <f>+MAX(C$15:C29)+1</f>
        <v>12</v>
      </c>
      <c r="D30" s="246"/>
      <c r="E30" s="243" t="str">
        <f>'Fin Forecast - Elec'!D82</f>
        <v>Proposed Debt</v>
      </c>
      <c r="F30" s="277">
        <f>+SUMIF('Fin Forecast - Elec'!$G$7:$U$7,$I$6,'Fin Forecast - Elec'!G82:U82)</f>
        <v>3787500</v>
      </c>
      <c r="G30" s="277"/>
      <c r="H30" s="344"/>
      <c r="I30" s="345">
        <f>+F30+G30</f>
        <v>3787500</v>
      </c>
      <c r="J30" s="462"/>
      <c r="K30" s="345">
        <v>0</v>
      </c>
      <c r="L30" s="8"/>
      <c r="M30" s="345">
        <f t="shared" si="2"/>
        <v>3787500</v>
      </c>
    </row>
    <row r="31" spans="1:13">
      <c r="A31" s="411"/>
      <c r="C31" s="342">
        <f>+MAX(C$15:C30)+1</f>
        <v>13</v>
      </c>
      <c r="D31" s="246"/>
      <c r="E31" s="186" t="str">
        <f>'Fin Forecast - Elec'!D83</f>
        <v>Total Debt Service</v>
      </c>
      <c r="F31" s="590">
        <f>SUM(F28:F30)</f>
        <v>8508259.0671651904</v>
      </c>
      <c r="G31" s="590">
        <f>SUM(G28:G30)</f>
        <v>0</v>
      </c>
      <c r="H31" s="591"/>
      <c r="I31" s="590">
        <f>SUM(I28:I30)</f>
        <v>8508259.0671651904</v>
      </c>
      <c r="J31" s="85"/>
      <c r="K31" s="590">
        <v>8108081.2599999802</v>
      </c>
      <c r="L31" s="8"/>
      <c r="M31" s="590">
        <f>SUM(M28:M30)</f>
        <v>400177.80716521014</v>
      </c>
    </row>
    <row r="32" spans="1:13" ht="4.5" customHeight="1">
      <c r="A32" s="411"/>
      <c r="C32" s="342"/>
      <c r="D32" s="246"/>
      <c r="E32" s="206"/>
      <c r="F32" s="343"/>
      <c r="G32" s="343"/>
      <c r="I32" s="346"/>
      <c r="J32" s="85"/>
      <c r="K32" s="346"/>
      <c r="L32" s="8"/>
      <c r="M32" s="346"/>
    </row>
    <row r="33" spans="1:13">
      <c r="A33" s="411"/>
      <c r="C33" s="342"/>
      <c r="D33" s="246"/>
      <c r="E33" s="185" t="str">
        <f>'Fin Forecast - Elec'!D87</f>
        <v>Other Expenditures and Transfers</v>
      </c>
      <c r="F33" s="343"/>
      <c r="G33" s="343"/>
      <c r="I33" s="346"/>
      <c r="J33" s="85"/>
      <c r="K33" s="346"/>
      <c r="L33" s="8"/>
      <c r="M33" s="346"/>
    </row>
    <row r="34" spans="1:13">
      <c r="A34" s="411"/>
      <c r="C34" s="342">
        <f>+MAX(C$15:C33)+1</f>
        <v>14</v>
      </c>
      <c r="D34" s="246"/>
      <c r="E34" s="252" t="str">
        <f>'Fin Forecast - Elec'!D88</f>
        <v>Taxes</v>
      </c>
      <c r="F34" s="589">
        <f>+SUMIF('Fin Forecast - Elec'!$G$7:$U$7,$I$6,'Fin Forecast - Elec'!G88:U88)</f>
        <v>20596507.288357612</v>
      </c>
      <c r="G34" s="279"/>
      <c r="I34" s="589">
        <f>+F34+G34</f>
        <v>20596507.288357612</v>
      </c>
      <c r="J34" s="85"/>
      <c r="K34" s="589">
        <v>12707872.123673724</v>
      </c>
      <c r="L34" s="8"/>
      <c r="M34" s="589">
        <f t="shared" ref="M34:M38" si="3">I34-K34</f>
        <v>7888635.1646838877</v>
      </c>
    </row>
    <row r="35" spans="1:13">
      <c r="A35" s="411"/>
      <c r="C35" s="342">
        <f>+MAX(C$15:C34)+1</f>
        <v>15</v>
      </c>
      <c r="D35" s="246"/>
      <c r="E35" s="252" t="str">
        <f>'Fin Forecast - Elec'!D89</f>
        <v>Transfer to/(from) Finance Plan Reserve (Debt Service)</v>
      </c>
      <c r="F35" s="16">
        <f>+SUMIF('Fin Forecast - Elec'!$G$7:$U$7,$I$6,'Fin Forecast - Elec'!G89:U89)</f>
        <v>0</v>
      </c>
      <c r="G35" s="279"/>
      <c r="I35" s="16">
        <f>+F35+G35</f>
        <v>0</v>
      </c>
      <c r="J35" s="85"/>
      <c r="K35" s="16">
        <v>0</v>
      </c>
      <c r="L35" s="8"/>
      <c r="M35" s="16">
        <f t="shared" si="3"/>
        <v>0</v>
      </c>
    </row>
    <row r="36" spans="1:13">
      <c r="A36" s="411"/>
      <c r="C36" s="342">
        <f>+MAX(C$15:C35)+1</f>
        <v>16</v>
      </c>
      <c r="D36" s="246"/>
      <c r="E36" s="252" t="str">
        <f>'Fin Forecast - Elec'!D90</f>
        <v>Transfer to/(from) Finance Plan Reserve (PRP Capital)</v>
      </c>
      <c r="F36" s="16">
        <f>+SUMIF('Fin Forecast - Elec'!$G$7:$U$7,$I$6,'Fin Forecast - Elec'!G90:U90)</f>
        <v>98146906.637001559</v>
      </c>
      <c r="G36" s="279">
        <v>0</v>
      </c>
      <c r="I36" s="16">
        <f>+F36+G36</f>
        <v>98146906.637001559</v>
      </c>
      <c r="J36" s="85"/>
      <c r="K36" s="16">
        <v>31833000</v>
      </c>
      <c r="L36" s="8"/>
      <c r="M36" s="16">
        <f t="shared" si="3"/>
        <v>66313906.637001559</v>
      </c>
    </row>
    <row r="37" spans="1:13">
      <c r="A37" s="411"/>
      <c r="C37" s="342">
        <f>+MAX(C$15:C36)+1</f>
        <v>17</v>
      </c>
      <c r="D37" s="246"/>
      <c r="E37" s="252" t="str">
        <f>'Fin Forecast - Elec'!D91</f>
        <v>Transfer 3</v>
      </c>
      <c r="F37" s="16">
        <f>+SUMIF('Fin Forecast - Elec'!$G$7:$U$7,$I$6,'Fin Forecast - Elec'!G91:U91)</f>
        <v>0</v>
      </c>
      <c r="G37" s="279"/>
      <c r="I37" s="16">
        <f>+F37+G37</f>
        <v>0</v>
      </c>
      <c r="J37" s="85"/>
      <c r="K37" s="16">
        <v>0</v>
      </c>
      <c r="L37" s="8"/>
      <c r="M37" s="16">
        <f t="shared" si="3"/>
        <v>0</v>
      </c>
    </row>
    <row r="38" spans="1:13">
      <c r="A38" s="411"/>
      <c r="C38" s="342">
        <f>+MAX(C$15:C37)+1</f>
        <v>18</v>
      </c>
      <c r="D38" s="246"/>
      <c r="E38" s="252" t="str">
        <f>'Fin Forecast - Elec'!D92</f>
        <v>Capital Projects</v>
      </c>
      <c r="F38" s="277">
        <f>+SUMIF('Fin Forecast - Elec'!$G$7:$U$7,$I$6,'Fin Forecast - Elec'!G92:U92)</f>
        <v>31901862.832594763</v>
      </c>
      <c r="G38" s="277"/>
      <c r="H38" s="592"/>
      <c r="I38" s="345">
        <f>+F38+G38</f>
        <v>31901862.832594763</v>
      </c>
      <c r="J38" s="85"/>
      <c r="K38" s="345">
        <v>55859940.056760222</v>
      </c>
      <c r="L38" s="8"/>
      <c r="M38" s="345">
        <f t="shared" si="3"/>
        <v>-23958077.224165458</v>
      </c>
    </row>
    <row r="39" spans="1:13">
      <c r="A39" s="411"/>
      <c r="C39" s="342">
        <f>+MAX(C$15:C38)+1</f>
        <v>19</v>
      </c>
      <c r="D39" s="246"/>
      <c r="E39" s="186" t="str">
        <f>'Fin Forecast - Elec'!D93</f>
        <v>Total Other Exp. And Transfers</v>
      </c>
      <c r="F39" s="590">
        <f>SUM(F34:F38)</f>
        <v>150645276.75795394</v>
      </c>
      <c r="G39" s="590">
        <f>SUM(G34:G38)</f>
        <v>0</v>
      </c>
      <c r="H39" s="9"/>
      <c r="I39" s="590">
        <f>SUM(I34:I38)</f>
        <v>150645276.75795394</v>
      </c>
      <c r="J39" s="85"/>
      <c r="K39" s="590">
        <v>100400812.18043394</v>
      </c>
      <c r="L39" s="8"/>
      <c r="M39" s="590">
        <f>SUM(M34:M38)</f>
        <v>50244464.577519998</v>
      </c>
    </row>
    <row r="40" spans="1:13" ht="4.5" customHeight="1">
      <c r="A40" s="411"/>
      <c r="C40" s="342"/>
      <c r="D40" s="246"/>
      <c r="E40" s="206"/>
      <c r="F40" s="589"/>
      <c r="G40" s="589"/>
      <c r="I40" s="589"/>
      <c r="J40" s="85"/>
      <c r="K40" s="589"/>
      <c r="L40" s="8"/>
      <c r="M40" s="589"/>
    </row>
    <row r="41" spans="1:13">
      <c r="A41" s="411"/>
      <c r="C41" s="342">
        <f>+MAX(C$15:C40)+1</f>
        <v>20</v>
      </c>
      <c r="D41" s="246"/>
      <c r="E41" s="206" t="s">
        <v>662</v>
      </c>
      <c r="F41" s="590">
        <f>SUM(F25,F31,F39)</f>
        <v>449688299.18556851</v>
      </c>
      <c r="G41" s="590">
        <f>SUM(G25,G31,G39)</f>
        <v>0</v>
      </c>
      <c r="H41" s="9"/>
      <c r="I41" s="590">
        <f>SUM(I25,I31,I39)</f>
        <v>449688299.18556851</v>
      </c>
      <c r="J41" s="85"/>
      <c r="K41" s="590">
        <v>276336310.37982827</v>
      </c>
      <c r="L41" s="8"/>
      <c r="M41" s="590">
        <f>M39+M31+M25</f>
        <v>173351988.80574027</v>
      </c>
    </row>
    <row r="42" spans="1:13" ht="4.5" customHeight="1">
      <c r="A42" s="411"/>
      <c r="C42" s="342"/>
      <c r="D42" s="246"/>
      <c r="E42" s="206"/>
      <c r="F42" s="343"/>
      <c r="G42" s="343"/>
      <c r="I42" s="346"/>
      <c r="J42" s="85"/>
      <c r="K42" s="346"/>
      <c r="L42" s="8"/>
      <c r="M42" s="346"/>
    </row>
    <row r="43" spans="1:13">
      <c r="A43" s="411"/>
      <c r="C43" s="342">
        <f>+MAX(C$15:C42)+1</f>
        <v>21</v>
      </c>
      <c r="D43" s="246"/>
      <c r="E43" s="206" t="s">
        <v>289</v>
      </c>
      <c r="F43" s="343"/>
      <c r="G43" s="343"/>
      <c r="I43" s="346"/>
      <c r="J43" s="85"/>
      <c r="K43" s="346"/>
      <c r="L43" s="8"/>
      <c r="M43" s="346"/>
    </row>
    <row r="44" spans="1:13" ht="4.5" customHeight="1">
      <c r="A44" s="411"/>
      <c r="C44" s="342"/>
      <c r="D44" s="246"/>
      <c r="E44" s="206"/>
      <c r="F44" s="343"/>
      <c r="G44" s="343"/>
      <c r="I44" s="346"/>
      <c r="J44" s="85"/>
      <c r="K44" s="346"/>
      <c r="L44" s="8"/>
      <c r="M44" s="346"/>
    </row>
    <row r="45" spans="1:13">
      <c r="A45" s="411"/>
      <c r="C45" s="342"/>
      <c r="D45" s="246"/>
      <c r="E45" s="245" t="str">
        <f>'Fin Forecast - Elec'!D25</f>
        <v>Other Revenue:</v>
      </c>
      <c r="F45" s="343"/>
      <c r="G45" s="343"/>
      <c r="I45" s="346"/>
      <c r="J45" s="85"/>
      <c r="K45" s="346"/>
      <c r="L45" s="8"/>
      <c r="M45" s="346"/>
    </row>
    <row r="46" spans="1:13">
      <c r="A46" s="411"/>
      <c r="C46" s="342">
        <f>+MAX(C$15:C45)+1</f>
        <v>22</v>
      </c>
      <c r="D46" s="246"/>
      <c r="E46" s="243" t="str">
        <f>'Fin Forecast - Elec'!D26</f>
        <v>Green Power Sales</v>
      </c>
      <c r="F46" s="589">
        <f>+SUMIF('Fin Forecast - Elec'!$G$7:$U$7,$I$6,'Fin Forecast - Elec'!G26:U26)</f>
        <v>0</v>
      </c>
      <c r="G46" s="279"/>
      <c r="I46" s="589">
        <f t="shared" ref="I46:I54" si="4">+F46+G46</f>
        <v>0</v>
      </c>
      <c r="J46" s="85"/>
      <c r="K46" s="589">
        <v>24991.2612852518</v>
      </c>
      <c r="L46" s="8"/>
      <c r="M46" s="589">
        <f t="shared" ref="M46:M54" si="5">I46-K46</f>
        <v>-24991.2612852518</v>
      </c>
    </row>
    <row r="47" spans="1:13">
      <c r="A47" s="411"/>
      <c r="C47" s="342">
        <f>+MAX(C$15:C46)+1</f>
        <v>23</v>
      </c>
      <c r="D47" s="246"/>
      <c r="E47" s="243" t="str">
        <f>'Fin Forecast - Elec'!D27</f>
        <v>Penalty for Late Payment</v>
      </c>
      <c r="F47" s="16">
        <f>+SUMIF('Fin Forecast - Elec'!$G$7:$U$7,$I$6,'Fin Forecast - Elec'!G27:U27)</f>
        <v>1239007.6809670983</v>
      </c>
      <c r="G47" s="16"/>
      <c r="I47" s="347">
        <f t="shared" si="4"/>
        <v>1239007.6809670983</v>
      </c>
      <c r="J47" s="85"/>
      <c r="K47" s="347">
        <v>508989.06126952928</v>
      </c>
      <c r="L47" s="8"/>
      <c r="M47" s="347">
        <f t="shared" si="5"/>
        <v>730018.61969756905</v>
      </c>
    </row>
    <row r="48" spans="1:13">
      <c r="A48" s="411"/>
      <c r="C48" s="342">
        <f>+MAX(C$15:C47)+1</f>
        <v>24</v>
      </c>
      <c r="D48" s="246"/>
      <c r="E48" s="243" t="str">
        <f>'Fin Forecast - Elec'!D28</f>
        <v>Misc Service Revenue</v>
      </c>
      <c r="F48" s="16">
        <f>+SUMIF('Fin Forecast - Elec'!$G$7:$U$7,$I$6,'Fin Forecast - Elec'!G28:U28)</f>
        <v>341774.96887544438</v>
      </c>
      <c r="G48" s="16"/>
      <c r="I48" s="347">
        <f t="shared" si="4"/>
        <v>341774.96887544438</v>
      </c>
      <c r="J48" s="85"/>
      <c r="K48" s="347">
        <v>200003.3888686547</v>
      </c>
      <c r="L48" s="8"/>
      <c r="M48" s="347">
        <f t="shared" si="5"/>
        <v>141771.58000678968</v>
      </c>
    </row>
    <row r="49" spans="1:13">
      <c r="A49" s="411"/>
      <c r="C49" s="342">
        <f>+MAX(C$15:C48)+1</f>
        <v>25</v>
      </c>
      <c r="D49" s="246"/>
      <c r="E49" s="243" t="str">
        <f>'Fin Forecast - Elec'!D29</f>
        <v>Rent from Elec Property</v>
      </c>
      <c r="F49" s="16">
        <f>+SUMIF('Fin Forecast - Elec'!$G$7:$U$7,$I$6,'Fin Forecast - Elec'!G29:U29)</f>
        <v>391171.11723485723</v>
      </c>
      <c r="G49" s="16"/>
      <c r="I49" s="347">
        <f t="shared" si="4"/>
        <v>391171.11723485723</v>
      </c>
      <c r="J49" s="85"/>
      <c r="K49" s="347">
        <v>224120.54391557979</v>
      </c>
      <c r="L49" s="8"/>
      <c r="M49" s="347">
        <f t="shared" si="5"/>
        <v>167050.57331927744</v>
      </c>
    </row>
    <row r="50" spans="1:13">
      <c r="A50" s="411"/>
      <c r="C50" s="342">
        <f>+MAX(C$15:C49)+1</f>
        <v>26</v>
      </c>
      <c r="D50" s="246"/>
      <c r="E50" s="243" t="str">
        <f>'Fin Forecast - Elec'!D30</f>
        <v>Other Electric Revenues</v>
      </c>
      <c r="F50" s="16">
        <f>+SUMIF('Fin Forecast - Elec'!$G$7:$U$7,$I$6,'Fin Forecast - Elec'!G30:U30)</f>
        <v>16178.886610810479</v>
      </c>
      <c r="G50" s="16"/>
      <c r="I50" s="347">
        <f t="shared" si="4"/>
        <v>16178.886610810479</v>
      </c>
      <c r="J50" s="85"/>
      <c r="K50" s="347">
        <v>10790.855397493509</v>
      </c>
      <c r="L50" s="8"/>
      <c r="M50" s="347">
        <f t="shared" si="5"/>
        <v>5388.03121331697</v>
      </c>
    </row>
    <row r="51" spans="1:13">
      <c r="A51" s="411"/>
      <c r="C51" s="342">
        <f>+MAX(C$15:C50)+1</f>
        <v>27</v>
      </c>
      <c r="D51" s="246"/>
      <c r="E51" s="243" t="str">
        <f>'Fin Forecast - Elec'!D31</f>
        <v>Interest and Other Income, and JLB Payments</v>
      </c>
      <c r="F51" s="16">
        <f>+SUMIF('Fin Forecast - Elec'!$G$7:$U$7,$I$6,'Fin Forecast - Elec'!G31:U31)</f>
        <v>28686301.45745568</v>
      </c>
      <c r="G51" s="16"/>
      <c r="I51" s="347">
        <f t="shared" si="4"/>
        <v>28686301.45745568</v>
      </c>
      <c r="J51" s="85"/>
      <c r="K51" s="347">
        <v>406869.79332117806</v>
      </c>
      <c r="L51" s="8"/>
      <c r="M51" s="347">
        <f t="shared" si="5"/>
        <v>28279431.664134502</v>
      </c>
    </row>
    <row r="52" spans="1:13">
      <c r="A52" s="411"/>
      <c r="C52" s="342">
        <f>+MAX(C$15:C51)+1</f>
        <v>28</v>
      </c>
      <c r="D52" s="246"/>
      <c r="E52" s="243" t="str">
        <f>'Fin Forecast - Elec'!D32</f>
        <v>Contributions in Aid of Construction</v>
      </c>
      <c r="F52" s="16">
        <f>+SUMIF('Fin Forecast - Elec'!$G$7:$U$7,$I$6,'Fin Forecast - Elec'!G32:U32)</f>
        <v>2343733.2385153715</v>
      </c>
      <c r="G52" s="16"/>
      <c r="I52" s="347">
        <f t="shared" si="4"/>
        <v>2343733.2385153715</v>
      </c>
      <c r="J52" s="85"/>
      <c r="K52" s="347">
        <v>14616855.670935536</v>
      </c>
      <c r="L52" s="8"/>
      <c r="M52" s="347">
        <f t="shared" si="5"/>
        <v>-12273122.432420164</v>
      </c>
    </row>
    <row r="53" spans="1:13">
      <c r="A53" s="411"/>
      <c r="C53" s="342">
        <f>+MAX(C$15:C52)+1</f>
        <v>29</v>
      </c>
      <c r="D53" s="246"/>
      <c r="E53" s="243" t="str">
        <f>'Fin Forecast - Elec'!D20</f>
        <v>Sales to Other Utilities</v>
      </c>
      <c r="F53" s="16">
        <f>+SUMIF('Fin Forecast - Elec'!$G$7:$U$7,$I$6,'Fin Forecast - Elec'!G20:U20)</f>
        <v>121107298.90224025</v>
      </c>
      <c r="G53" s="279"/>
      <c r="I53" s="347">
        <f t="shared" si="4"/>
        <v>121107298.90224025</v>
      </c>
      <c r="J53" s="85"/>
      <c r="K53" s="347">
        <v>86502754.678714767</v>
      </c>
      <c r="L53" s="8"/>
      <c r="M53" s="347">
        <f t="shared" si="5"/>
        <v>34604544.223525479</v>
      </c>
    </row>
    <row r="54" spans="1:13">
      <c r="A54" s="411"/>
      <c r="C54" s="342">
        <f>+MAX(C$15:C53)+1</f>
        <v>30</v>
      </c>
      <c r="D54" s="246"/>
      <c r="E54" s="243" t="str">
        <f>'Fin Forecast - Elec'!D21</f>
        <v>Fiber Optic Network Sales</v>
      </c>
      <c r="F54" s="277">
        <f>+SUMIF('Fin Forecast - Elec'!$G$7:$U$7,$I$6,'Fin Forecast - Elec'!G21:U21)</f>
        <v>5634359.6840295177</v>
      </c>
      <c r="G54" s="16"/>
      <c r="I54" s="345">
        <f t="shared" si="4"/>
        <v>5634359.6840295177</v>
      </c>
      <c r="J54" s="85"/>
      <c r="K54" s="345">
        <v>4492282.7166999998</v>
      </c>
      <c r="L54" s="8"/>
      <c r="M54" s="345">
        <f t="shared" si="5"/>
        <v>1142076.9673295179</v>
      </c>
    </row>
    <row r="55" spans="1:13">
      <c r="A55" s="411"/>
      <c r="C55" s="342">
        <f>+MAX(C$15:C54)+1</f>
        <v>31</v>
      </c>
      <c r="D55" s="246"/>
      <c r="E55" s="186" t="str">
        <f>'Fin Forecast - Elec'!D33</f>
        <v>Total Other Revenue</v>
      </c>
      <c r="F55" s="590">
        <f>-SUM(F46:F54)</f>
        <v>-159759825.93592903</v>
      </c>
      <c r="G55" s="590">
        <f>-SUM(G46:G54)</f>
        <v>0</v>
      </c>
      <c r="H55" s="9"/>
      <c r="I55" s="590">
        <f>-SUM(I46:I54)</f>
        <v>-159759825.93592903</v>
      </c>
      <c r="J55" s="85"/>
      <c r="K55" s="590">
        <v>-106987657.97040799</v>
      </c>
      <c r="L55" s="8"/>
      <c r="M55" s="590">
        <f>SUM(M46:M54)</f>
        <v>52772167.965521038</v>
      </c>
    </row>
    <row r="56" spans="1:13" ht="4.5" customHeight="1">
      <c r="A56" s="411"/>
      <c r="C56" s="342"/>
      <c r="D56" s="246"/>
      <c r="E56" s="206"/>
      <c r="F56" s="589"/>
      <c r="G56" s="589"/>
      <c r="I56" s="589"/>
      <c r="J56" s="85"/>
      <c r="K56" s="589"/>
      <c r="L56" s="8"/>
      <c r="M56" s="589"/>
    </row>
    <row r="57" spans="1:13">
      <c r="A57" s="411"/>
      <c r="C57" s="342">
        <f>+MAX(C$15:C56)+1</f>
        <v>32</v>
      </c>
      <c r="D57" s="246"/>
      <c r="E57" s="206" t="s">
        <v>136</v>
      </c>
      <c r="F57" s="590">
        <f>SUM(F41,F55)</f>
        <v>289928473.24963951</v>
      </c>
      <c r="G57" s="590">
        <f>SUM(G41,G55)</f>
        <v>0</v>
      </c>
      <c r="H57" s="9"/>
      <c r="I57" s="590">
        <f>SUM(I41,I55)</f>
        <v>289928473.24963951</v>
      </c>
      <c r="J57" s="192"/>
      <c r="K57" s="590">
        <v>169348652.40942028</v>
      </c>
      <c r="L57" s="8"/>
      <c r="M57" s="590">
        <f>M41-M55</f>
        <v>120579820.84021923</v>
      </c>
    </row>
    <row r="58" spans="1:13" ht="16.5" customHeight="1">
      <c r="A58" s="411"/>
      <c r="C58" s="342"/>
      <c r="D58" s="246"/>
      <c r="E58" s="206"/>
      <c r="F58" s="403"/>
      <c r="G58" s="403"/>
      <c r="H58" s="9"/>
      <c r="I58" s="403"/>
      <c r="J58" s="85"/>
      <c r="K58" s="403"/>
      <c r="L58" s="8"/>
      <c r="M58" s="403"/>
    </row>
    <row r="59" spans="1:13">
      <c r="A59" s="411"/>
      <c r="C59" s="342"/>
      <c r="D59" s="246"/>
      <c r="E59" s="206" t="s">
        <v>659</v>
      </c>
      <c r="F59" s="288"/>
      <c r="I59" s="325"/>
      <c r="J59" s="85"/>
      <c r="K59" s="325"/>
      <c r="L59" s="8"/>
      <c r="M59" s="325"/>
    </row>
    <row r="60" spans="1:13">
      <c r="A60" s="411"/>
      <c r="C60" s="342">
        <f>+MAX(C$15:C59)+1</f>
        <v>33</v>
      </c>
      <c r="D60" s="246"/>
      <c r="E60" s="252" t="str">
        <f>'Fin Forecast - Elec'!D14</f>
        <v>Residential</v>
      </c>
      <c r="F60" s="589">
        <f>SUMIF('Fin Forecast - Elec'!$G$7:$U$7,$I$6,'Fin Forecast - Elec'!G14:U14)</f>
        <v>48330648.920275912</v>
      </c>
      <c r="I60" s="589">
        <f>+F60+G60</f>
        <v>48330648.920275912</v>
      </c>
      <c r="J60" s="85"/>
      <c r="K60" s="589">
        <v>41746856.534171842</v>
      </c>
      <c r="L60" s="8"/>
      <c r="M60" s="589">
        <f t="shared" ref="M60:M63" si="6">I60-K60</f>
        <v>6583792.3861040697</v>
      </c>
    </row>
    <row r="61" spans="1:13">
      <c r="A61" s="411"/>
      <c r="C61" s="342">
        <f>+MAX(C$15:C60)+1</f>
        <v>34</v>
      </c>
      <c r="D61" s="246"/>
      <c r="E61" s="252" t="str">
        <f>'Fin Forecast - Elec'!D15</f>
        <v>Irrigation</v>
      </c>
      <c r="F61" s="16">
        <f>SUMIF('Fin Forecast - Elec'!$G$7:$U$7,$I$6,'Fin Forecast - Elec'!G15:U15)</f>
        <v>25646484.927364241</v>
      </c>
      <c r="G61" s="260"/>
      <c r="I61" s="347">
        <f>+F61+G61</f>
        <v>25646484.927364241</v>
      </c>
      <c r="J61" s="85"/>
      <c r="K61" s="347">
        <v>21374537.58544074</v>
      </c>
      <c r="L61" s="8"/>
      <c r="M61" s="347">
        <f t="shared" si="6"/>
        <v>4271947.3419235013</v>
      </c>
    </row>
    <row r="62" spans="1:13">
      <c r="A62" s="411"/>
      <c r="C62" s="342">
        <f>+MAX(C$15:C61)+1</f>
        <v>35</v>
      </c>
      <c r="D62" s="246"/>
      <c r="E62" s="252" t="str">
        <f>'Fin Forecast - Elec'!D16</f>
        <v>Commercial and Industrial</v>
      </c>
      <c r="F62" s="16">
        <f>SUMIF('Fin Forecast - Elec'!$G$7:$U$7,$I$6,'Fin Forecast - Elec'!G16:U16)</f>
        <v>172464303.67865202</v>
      </c>
      <c r="G62" s="260"/>
      <c r="I62" s="347">
        <f>+F62+G62</f>
        <v>172464303.67865202</v>
      </c>
      <c r="J62" s="85"/>
      <c r="K62" s="347">
        <v>101877289.84048182</v>
      </c>
      <c r="L62" s="8"/>
      <c r="M62" s="347">
        <f t="shared" si="6"/>
        <v>70587013.838170201</v>
      </c>
    </row>
    <row r="63" spans="1:13">
      <c r="A63" s="411"/>
      <c r="C63" s="342">
        <f>+MAX(C$15:C62)+1</f>
        <v>36</v>
      </c>
      <c r="D63" s="246"/>
      <c r="E63" s="252" t="str">
        <f>'Fin Forecast - Elec'!D17</f>
        <v>Governmental and Others</v>
      </c>
      <c r="F63" s="277">
        <f>SUMIF('Fin Forecast - Elec'!$G$7:$U$7,$I$6,'Fin Forecast - Elec'!G17:U17)</f>
        <v>1011154.8310764299</v>
      </c>
      <c r="G63" s="277"/>
      <c r="H63" s="344"/>
      <c r="I63" s="345">
        <f>+F63+G63</f>
        <v>1011154.8310764299</v>
      </c>
      <c r="J63" s="85"/>
      <c r="K63" s="345">
        <v>1029211.9492625148</v>
      </c>
      <c r="L63" s="8"/>
      <c r="M63" s="345">
        <f t="shared" si="6"/>
        <v>-18057.118186084903</v>
      </c>
    </row>
    <row r="64" spans="1:13">
      <c r="A64" s="411"/>
      <c r="C64" s="342">
        <f>+MAX(C$15:C63)+1</f>
        <v>37</v>
      </c>
      <c r="D64" s="246"/>
      <c r="E64" s="247" t="s">
        <v>199</v>
      </c>
      <c r="F64" s="16">
        <f>SUM(F60:F63)</f>
        <v>247452592.35736862</v>
      </c>
      <c r="G64" s="16"/>
      <c r="I64" s="16">
        <f>SUM(I60:I63)</f>
        <v>247452592.35736862</v>
      </c>
      <c r="J64" s="85"/>
      <c r="K64" s="16">
        <v>166027895.90935692</v>
      </c>
      <c r="L64" s="8"/>
      <c r="M64" s="16">
        <f>SUM(M60:M63)</f>
        <v>81424696.448011681</v>
      </c>
    </row>
    <row r="65" spans="1:22">
      <c r="A65" s="411"/>
      <c r="C65" s="342">
        <f>+MAX(C$15:C64)+1</f>
        <v>38</v>
      </c>
      <c r="D65" s="246"/>
      <c r="E65" s="247" t="s">
        <v>3484</v>
      </c>
      <c r="F65" s="16">
        <f>INDEX('Rate Increases'!$G$88:$U$88,1,MATCH($I$6,'Rate Increases'!$G$70:$U$70,0))</f>
        <v>36926900</v>
      </c>
      <c r="G65" s="16"/>
      <c r="I65" s="347">
        <f>+F65+G65</f>
        <v>36926900</v>
      </c>
      <c r="J65" s="85"/>
      <c r="K65" s="347">
        <v>0</v>
      </c>
      <c r="L65" s="8"/>
      <c r="M65" s="347">
        <v>0</v>
      </c>
    </row>
    <row r="66" spans="1:22">
      <c r="A66" s="411"/>
      <c r="C66" s="342">
        <f>+MAX(C$15:C65)+1</f>
        <v>39</v>
      </c>
      <c r="D66" s="246"/>
      <c r="E66" s="206" t="s">
        <v>387</v>
      </c>
      <c r="F66" s="590">
        <f>SUM(F64:F65)</f>
        <v>284379492.35736859</v>
      </c>
      <c r="G66" s="590">
        <f>SUM(G64:G65)</f>
        <v>0</v>
      </c>
      <c r="H66" s="9"/>
      <c r="I66" s="590">
        <f>SUM(I64:I65)</f>
        <v>284379492.35736859</v>
      </c>
      <c r="J66" s="85"/>
      <c r="K66" s="590">
        <v>166027895.90935692</v>
      </c>
      <c r="L66" s="8"/>
      <c r="M66" s="590">
        <f>M64+M65</f>
        <v>81424696.448011681</v>
      </c>
    </row>
    <row r="67" spans="1:22" ht="4.5" customHeight="1">
      <c r="A67" s="411"/>
      <c r="C67" s="342"/>
      <c r="D67" s="246"/>
      <c r="E67" s="206"/>
      <c r="F67" s="343"/>
      <c r="G67" s="589"/>
      <c r="I67" s="325"/>
      <c r="J67" s="85"/>
      <c r="K67" s="325"/>
      <c r="L67" s="8"/>
      <c r="M67" s="325"/>
    </row>
    <row r="68" spans="1:22">
      <c r="A68" s="411"/>
      <c r="C68" s="342"/>
      <c r="D68" s="246"/>
      <c r="E68" s="206" t="s">
        <v>863</v>
      </c>
      <c r="F68" s="17"/>
      <c r="I68" s="325"/>
      <c r="J68" s="85"/>
      <c r="K68" s="325"/>
      <c r="L68" s="8"/>
      <c r="M68" s="325"/>
    </row>
    <row r="69" spans="1:22">
      <c r="A69" s="411"/>
      <c r="C69" s="342">
        <f>+MAX(C$15:C68)+1</f>
        <v>40</v>
      </c>
      <c r="D69" s="246"/>
      <c r="E69" s="252" t="s">
        <v>121</v>
      </c>
      <c r="F69" s="343"/>
      <c r="G69" s="260"/>
      <c r="I69" s="590">
        <f>I57-I66</f>
        <v>5548980.8922709227</v>
      </c>
      <c r="J69" s="85"/>
      <c r="K69" s="590"/>
      <c r="L69" s="8"/>
      <c r="M69" s="590"/>
    </row>
    <row r="70" spans="1:22">
      <c r="A70" s="411"/>
      <c r="C70" s="342">
        <f>+MAX(C$15:C69)+1</f>
        <v>41</v>
      </c>
      <c r="D70" s="246"/>
      <c r="E70" s="252" t="s">
        <v>122</v>
      </c>
      <c r="F70" s="343">
        <f>F66-F55</f>
        <v>444139318.29329765</v>
      </c>
      <c r="G70" s="260"/>
      <c r="I70" s="2007">
        <f>ROUND(I69/I66,5)</f>
        <v>1.951E-2</v>
      </c>
      <c r="J70" s="85"/>
      <c r="K70" s="85"/>
      <c r="L70" s="8"/>
      <c r="O70" s="4278" t="s">
        <v>661</v>
      </c>
      <c r="P70" s="878"/>
      <c r="Q70" s="878"/>
      <c r="R70" s="4279" t="s">
        <v>4010</v>
      </c>
      <c r="S70" s="4279"/>
      <c r="T70" s="4279" t="s">
        <v>4011</v>
      </c>
      <c r="U70" s="4279"/>
      <c r="V70" s="4280" t="s">
        <v>4007</v>
      </c>
    </row>
    <row r="71" spans="1:22">
      <c r="A71" s="411"/>
      <c r="C71" s="341"/>
      <c r="D71" s="246"/>
      <c r="E71" s="206"/>
      <c r="F71" s="424"/>
      <c r="I71" s="347"/>
      <c r="J71" s="85"/>
      <c r="K71" s="85"/>
      <c r="L71" s="8"/>
      <c r="O71" s="1696"/>
      <c r="P71" s="243" t="s">
        <v>4008</v>
      </c>
      <c r="Q71" s="20"/>
      <c r="R71" s="4281">
        <f t="shared" ref="R71:R77" si="7">I18</f>
        <v>233090202.32355806</v>
      </c>
      <c r="S71" s="20"/>
      <c r="T71" s="4281">
        <f t="shared" ref="T71:T77" si="8">K18</f>
        <v>125786927.89568561</v>
      </c>
      <c r="U71" s="20"/>
      <c r="V71" s="4282">
        <f t="shared" ref="V71:V77" si="9">M18</f>
        <v>107303274.42787245</v>
      </c>
    </row>
    <row r="72" spans="1:22">
      <c r="A72" s="411"/>
      <c r="C72" s="341"/>
      <c r="D72" s="246"/>
      <c r="E72" s="11"/>
      <c r="F72" s="343"/>
      <c r="I72" s="349"/>
      <c r="J72" s="85"/>
      <c r="K72" s="85"/>
      <c r="L72" s="8"/>
      <c r="O72" s="1696"/>
      <c r="P72" s="243" t="s">
        <v>753</v>
      </c>
      <c r="Q72" s="20"/>
      <c r="R72" s="4281">
        <f t="shared" si="7"/>
        <v>635063.69790164474</v>
      </c>
      <c r="S72" s="20"/>
      <c r="T72" s="4281">
        <f t="shared" si="8"/>
        <v>435769.92755090725</v>
      </c>
      <c r="U72" s="20"/>
      <c r="V72" s="4282">
        <f t="shared" si="9"/>
        <v>199293.7703507375</v>
      </c>
    </row>
    <row r="73" spans="1:22">
      <c r="A73" s="411"/>
      <c r="C73" s="341"/>
      <c r="D73" s="246"/>
      <c r="E73" s="11"/>
      <c r="F73" s="343"/>
      <c r="G73" s="4431"/>
      <c r="H73" s="4431"/>
      <c r="I73" s="4432"/>
      <c r="J73" s="85"/>
      <c r="K73" s="85"/>
      <c r="L73" s="8"/>
      <c r="O73" s="1696"/>
      <c r="P73" s="243" t="s">
        <v>192</v>
      </c>
      <c r="Q73" s="20"/>
      <c r="R73" s="4281">
        <f t="shared" si="7"/>
        <v>3520467.8803847791</v>
      </c>
      <c r="S73" s="20"/>
      <c r="T73" s="4281">
        <f t="shared" si="8"/>
        <v>4521071.6803180408</v>
      </c>
      <c r="U73" s="20"/>
      <c r="V73" s="4282">
        <f t="shared" si="9"/>
        <v>-1000603.7999332617</v>
      </c>
    </row>
    <row r="74" spans="1:22">
      <c r="A74" s="411"/>
      <c r="C74" s="341"/>
      <c r="D74" s="246"/>
      <c r="E74" s="11"/>
      <c r="F74" s="343"/>
      <c r="G74" s="4431"/>
      <c r="H74" s="4431"/>
      <c r="I74" s="4432"/>
      <c r="J74" s="85"/>
      <c r="K74" s="85"/>
      <c r="L74" s="8"/>
      <c r="O74" s="1696"/>
      <c r="P74" s="243" t="s">
        <v>193</v>
      </c>
      <c r="Q74" s="20"/>
      <c r="R74" s="4281">
        <f t="shared" si="7"/>
        <v>18493525.052538324</v>
      </c>
      <c r="S74" s="20"/>
      <c r="T74" s="4281">
        <f t="shared" si="8"/>
        <v>12780250.464414464</v>
      </c>
      <c r="U74" s="20"/>
      <c r="V74" s="4282">
        <f t="shared" si="9"/>
        <v>5713274.5881238598</v>
      </c>
    </row>
    <row r="75" spans="1:22" ht="16.5" thickBot="1">
      <c r="A75" s="411"/>
      <c r="C75" s="350"/>
      <c r="D75" s="351"/>
      <c r="E75" s="352"/>
      <c r="F75" s="353"/>
      <c r="G75" s="338"/>
      <c r="H75" s="354"/>
      <c r="I75" s="355"/>
      <c r="J75" s="85"/>
      <c r="K75" s="85"/>
      <c r="L75" s="8"/>
      <c r="O75" s="1696"/>
      <c r="P75" s="243" t="s">
        <v>376</v>
      </c>
      <c r="Q75" s="20"/>
      <c r="R75" s="4281">
        <f t="shared" si="7"/>
        <v>10759316.518980984</v>
      </c>
      <c r="S75" s="20"/>
      <c r="T75" s="4281">
        <f t="shared" si="8"/>
        <v>7556209.7879945925</v>
      </c>
      <c r="U75" s="20"/>
      <c r="V75" s="4282">
        <f t="shared" si="9"/>
        <v>3203106.7309863912</v>
      </c>
    </row>
    <row r="76" spans="1:22" ht="16.5" customHeight="1">
      <c r="A76" s="411"/>
      <c r="C76" s="14"/>
      <c r="D76" s="14"/>
      <c r="E76" s="416"/>
      <c r="G76"/>
      <c r="H76" s="18"/>
      <c r="O76" s="1696"/>
      <c r="P76" s="243" t="s">
        <v>4009</v>
      </c>
      <c r="Q76" s="20"/>
      <c r="R76" s="4281">
        <f t="shared" si="7"/>
        <v>2153020.4127162546</v>
      </c>
      <c r="S76" s="20"/>
      <c r="T76" s="4281">
        <f t="shared" si="8"/>
        <v>1508556.1551212955</v>
      </c>
      <c r="U76" s="20"/>
      <c r="V76" s="4282">
        <f t="shared" si="9"/>
        <v>644464.25759495911</v>
      </c>
    </row>
    <row r="77" spans="1:22" ht="16.5" customHeight="1">
      <c r="A77" s="411"/>
      <c r="C77" s="14"/>
      <c r="D77" s="14"/>
      <c r="E77" s="252"/>
      <c r="G77"/>
      <c r="H77" s="18"/>
      <c r="O77" s="1696"/>
      <c r="P77" s="243" t="s">
        <v>377</v>
      </c>
      <c r="Q77" s="20"/>
      <c r="R77" s="4281">
        <f t="shared" si="7"/>
        <v>21883167.474369351</v>
      </c>
      <c r="S77" s="20"/>
      <c r="T77" s="4281">
        <f t="shared" si="8"/>
        <v>15238631.028309422</v>
      </c>
      <c r="U77" s="20"/>
      <c r="V77" s="4282">
        <f t="shared" si="9"/>
        <v>6644536.4460599292</v>
      </c>
    </row>
    <row r="78" spans="1:22">
      <c r="A78" s="411"/>
      <c r="O78" s="1696"/>
      <c r="P78" s="243" t="s">
        <v>879</v>
      </c>
      <c r="Q78" s="20"/>
      <c r="R78" s="4281">
        <f>I28</f>
        <v>4720759.0671651904</v>
      </c>
      <c r="S78" s="20"/>
      <c r="T78" s="4281">
        <f>K28</f>
        <v>8108081.2599999802</v>
      </c>
      <c r="U78" s="20"/>
      <c r="V78" s="4282">
        <f>M28</f>
        <v>-3387322.1928347899</v>
      </c>
    </row>
    <row r="79" spans="1:22">
      <c r="A79" s="411"/>
      <c r="O79" s="1696"/>
      <c r="P79" s="243" t="s">
        <v>880</v>
      </c>
      <c r="Q79" s="20"/>
      <c r="R79" s="4281">
        <f>I30</f>
        <v>3787500</v>
      </c>
      <c r="S79" s="20"/>
      <c r="T79" s="4281">
        <f>K30</f>
        <v>0</v>
      </c>
      <c r="U79" s="20"/>
      <c r="V79" s="4282">
        <f>M30</f>
        <v>3787500</v>
      </c>
    </row>
    <row r="80" spans="1:22">
      <c r="A80" s="411"/>
      <c r="O80" s="1696"/>
      <c r="P80" s="243" t="s">
        <v>489</v>
      </c>
      <c r="Q80" s="20"/>
      <c r="R80" s="4281">
        <f>I34+I36</f>
        <v>118743413.92535917</v>
      </c>
      <c r="S80" s="20"/>
      <c r="T80" s="4281">
        <f>K34+K36</f>
        <v>44540872.123673722</v>
      </c>
      <c r="U80" s="20"/>
      <c r="V80" s="4282">
        <f>M34+M36</f>
        <v>74202541.801685452</v>
      </c>
    </row>
    <row r="81" spans="1:22">
      <c r="A81" s="411"/>
      <c r="O81" s="1696"/>
      <c r="P81" s="243" t="s">
        <v>1941</v>
      </c>
      <c r="Q81" s="20"/>
      <c r="R81" s="4281">
        <f>I38</f>
        <v>31901862.832594763</v>
      </c>
      <c r="S81" s="20"/>
      <c r="T81" s="4281">
        <f>K38</f>
        <v>55859940.056760222</v>
      </c>
      <c r="U81" s="20"/>
      <c r="V81" s="4282">
        <f>M38</f>
        <v>-23958077.224165458</v>
      </c>
    </row>
    <row r="82" spans="1:22">
      <c r="A82" s="411"/>
      <c r="O82" s="1696"/>
      <c r="P82" s="243"/>
      <c r="Q82" s="20"/>
      <c r="R82" s="4281"/>
      <c r="S82" s="20"/>
      <c r="T82" s="4281"/>
      <c r="U82" s="20"/>
      <c r="V82" s="4282"/>
    </row>
    <row r="83" spans="1:22">
      <c r="A83" s="411"/>
      <c r="O83" s="4283" t="s">
        <v>662</v>
      </c>
      <c r="P83" s="4284"/>
      <c r="Q83" s="4284"/>
      <c r="R83" s="4285">
        <f>SUM(R71:R81)</f>
        <v>449688299.18556851</v>
      </c>
      <c r="S83" s="427"/>
      <c r="T83" s="4285">
        <f>SUM(T71:T81)</f>
        <v>276336310.37982833</v>
      </c>
      <c r="U83" s="427"/>
      <c r="V83" s="4286">
        <f>SUM(V71:V81)</f>
        <v>173351988.80574027</v>
      </c>
    </row>
    <row r="84" spans="1:22">
      <c r="A84" s="411"/>
      <c r="O84" s="4287"/>
      <c r="P84" s="4288"/>
      <c r="Q84" s="427"/>
      <c r="R84" s="4285"/>
      <c r="S84" s="427"/>
      <c r="T84" s="4285"/>
      <c r="U84" s="427"/>
      <c r="V84" s="4286"/>
    </row>
    <row r="85" spans="1:22">
      <c r="O85" s="4289" t="s">
        <v>4012</v>
      </c>
      <c r="P85" s="243"/>
      <c r="Q85" s="20"/>
      <c r="R85" s="20"/>
      <c r="S85" s="20"/>
      <c r="T85" s="20"/>
      <c r="U85" s="20"/>
      <c r="V85" s="1781"/>
    </row>
    <row r="86" spans="1:22">
      <c r="O86" s="1696"/>
      <c r="P86" s="243" t="s">
        <v>4013</v>
      </c>
      <c r="Q86" s="20"/>
      <c r="R86" s="4281">
        <f>I53</f>
        <v>121107298.90224025</v>
      </c>
      <c r="S86" s="20"/>
      <c r="T86" s="4281">
        <f>K53</f>
        <v>86502754.678714767</v>
      </c>
      <c r="U86" s="20"/>
      <c r="V86" s="4282">
        <f>M53</f>
        <v>34604544.223525479</v>
      </c>
    </row>
    <row r="87" spans="1:22">
      <c r="O87" s="1696"/>
      <c r="P87" s="243" t="s">
        <v>4014</v>
      </c>
      <c r="Q87" s="20"/>
      <c r="R87" s="4281">
        <f>I54</f>
        <v>5634359.6840295177</v>
      </c>
      <c r="S87" s="20"/>
      <c r="T87" s="4281">
        <f>K54</f>
        <v>4492282.7166999998</v>
      </c>
      <c r="U87" s="20"/>
      <c r="V87" s="4282">
        <f>M54</f>
        <v>1142076.9673295179</v>
      </c>
    </row>
    <row r="88" spans="1:22">
      <c r="O88" s="1696"/>
      <c r="P88" s="243" t="s">
        <v>4017</v>
      </c>
      <c r="Q88" s="20"/>
      <c r="R88" s="4281">
        <f>SUM(I46:I51)</f>
        <v>30674434.111143891</v>
      </c>
      <c r="S88" s="20"/>
      <c r="T88" s="4281">
        <f>SUM(K46:K51)</f>
        <v>1375764.9040576871</v>
      </c>
      <c r="U88" s="20"/>
      <c r="V88" s="4282">
        <f>SUM(M46:M51)</f>
        <v>29298669.207086205</v>
      </c>
    </row>
    <row r="89" spans="1:22">
      <c r="O89" s="1696"/>
      <c r="P89" s="243" t="s">
        <v>4015</v>
      </c>
      <c r="Q89" s="20"/>
      <c r="R89" s="4281">
        <f>I52</f>
        <v>2343733.2385153715</v>
      </c>
      <c r="S89" s="20"/>
      <c r="T89" s="4281">
        <f>K52</f>
        <v>14616855.670935536</v>
      </c>
      <c r="U89" s="20"/>
      <c r="V89" s="4282">
        <f>M52</f>
        <v>-12273122.432420164</v>
      </c>
    </row>
    <row r="90" spans="1:22">
      <c r="O90" s="1696"/>
      <c r="P90" s="243"/>
      <c r="Q90" s="20"/>
      <c r="R90" s="4281"/>
      <c r="S90" s="20"/>
      <c r="T90" s="4281"/>
      <c r="U90" s="20"/>
      <c r="V90" s="4282"/>
    </row>
    <row r="91" spans="1:22">
      <c r="O91" s="4283" t="s">
        <v>4016</v>
      </c>
      <c r="P91" s="4284"/>
      <c r="Q91" s="4284"/>
      <c r="R91" s="4285">
        <f>SUM(R86:R89)</f>
        <v>159759825.93592903</v>
      </c>
      <c r="S91" s="427"/>
      <c r="T91" s="4285">
        <f>SUM(T86:T89)</f>
        <v>106987657.97040799</v>
      </c>
      <c r="U91" s="427"/>
      <c r="V91" s="4286">
        <f>SUM(V86:V89)</f>
        <v>52772167.965521038</v>
      </c>
    </row>
    <row r="92" spans="1:22">
      <c r="O92" s="4287"/>
      <c r="P92" s="4288"/>
      <c r="Q92" s="427"/>
      <c r="R92" s="4285"/>
      <c r="S92" s="427"/>
      <c r="T92" s="4285"/>
      <c r="U92" s="427"/>
      <c r="V92" s="4286"/>
    </row>
    <row r="93" spans="1:22">
      <c r="O93" s="4290" t="s">
        <v>665</v>
      </c>
      <c r="P93" s="4291"/>
      <c r="Q93" s="4292"/>
      <c r="R93" s="4285">
        <f>R83-R91</f>
        <v>289928473.24963951</v>
      </c>
      <c r="S93" s="427"/>
      <c r="T93" s="4285">
        <f>T83-T91</f>
        <v>169348652.40942034</v>
      </c>
      <c r="U93" s="427"/>
      <c r="V93" s="4286">
        <f>V83-V91</f>
        <v>120579820.84021923</v>
      </c>
    </row>
    <row r="94" spans="1:22">
      <c r="P94" s="243"/>
    </row>
    <row r="95" spans="1:22">
      <c r="P95" s="243"/>
    </row>
    <row r="96" spans="1:22">
      <c r="P96" s="243"/>
    </row>
    <row r="97" spans="7:26">
      <c r="P97" s="243"/>
    </row>
    <row r="98" spans="7:26">
      <c r="P98" s="243"/>
    </row>
    <row r="99" spans="7:26">
      <c r="G99"/>
      <c r="H99"/>
      <c r="P99" s="243"/>
      <c r="Z99"/>
    </row>
    <row r="100" spans="7:26">
      <c r="G100"/>
      <c r="H100"/>
      <c r="Z100"/>
    </row>
    <row r="101" spans="7:26">
      <c r="G101"/>
      <c r="H101"/>
      <c r="Z101"/>
    </row>
    <row r="102" spans="7:26">
      <c r="G102"/>
      <c r="H102"/>
      <c r="Z102"/>
    </row>
    <row r="103" spans="7:26">
      <c r="G103"/>
      <c r="H103"/>
      <c r="Z103"/>
    </row>
    <row r="104" spans="7:26">
      <c r="G104"/>
      <c r="H104"/>
      <c r="Z104"/>
    </row>
    <row r="105" spans="7:26">
      <c r="G105"/>
      <c r="H105"/>
      <c r="Z105"/>
    </row>
    <row r="106" spans="7:26">
      <c r="G106"/>
      <c r="H106"/>
      <c r="Z106"/>
    </row>
    <row r="107" spans="7:26">
      <c r="G107"/>
      <c r="H107"/>
      <c r="Z107"/>
    </row>
    <row r="108" spans="7:26">
      <c r="G108"/>
      <c r="H108"/>
      <c r="Z108"/>
    </row>
    <row r="109" spans="7:26">
      <c r="G109"/>
      <c r="H109"/>
      <c r="Z109"/>
    </row>
    <row r="110" spans="7:26">
      <c r="G110"/>
      <c r="H110"/>
      <c r="Z110"/>
    </row>
    <row r="111" spans="7:26">
      <c r="G111"/>
      <c r="H111"/>
      <c r="Z111"/>
    </row>
    <row r="112" spans="7:26">
      <c r="G112"/>
      <c r="H112"/>
      <c r="Z112"/>
    </row>
    <row r="113" spans="7:26">
      <c r="G113"/>
      <c r="H113"/>
      <c r="Z113"/>
    </row>
    <row r="114" spans="7:26">
      <c r="G114"/>
      <c r="H114"/>
      <c r="Z114"/>
    </row>
    <row r="115" spans="7:26">
      <c r="G115"/>
      <c r="H115"/>
      <c r="Z115"/>
    </row>
    <row r="116" spans="7:26">
      <c r="G116"/>
      <c r="H116"/>
      <c r="Z116"/>
    </row>
    <row r="117" spans="7:26">
      <c r="G117"/>
      <c r="H117"/>
      <c r="Z117"/>
    </row>
    <row r="118" spans="7:26">
      <c r="G118"/>
      <c r="H118"/>
      <c r="Z118"/>
    </row>
    <row r="119" spans="7:26">
      <c r="G119"/>
      <c r="H119"/>
      <c r="Z119"/>
    </row>
    <row r="120" spans="7:26">
      <c r="G120"/>
      <c r="H120"/>
      <c r="Z120"/>
    </row>
    <row r="121" spans="7:26">
      <c r="G121"/>
      <c r="H121"/>
      <c r="Z121"/>
    </row>
    <row r="122" spans="7:26">
      <c r="G122"/>
      <c r="H122"/>
      <c r="Z122"/>
    </row>
    <row r="123" spans="7:26">
      <c r="G123"/>
      <c r="H123"/>
      <c r="Z123"/>
    </row>
    <row r="124" spans="7:26">
      <c r="G124"/>
      <c r="H124"/>
      <c r="Z124"/>
    </row>
    <row r="125" spans="7:26">
      <c r="G125"/>
      <c r="H125"/>
      <c r="Z125"/>
    </row>
    <row r="126" spans="7:26">
      <c r="G126"/>
      <c r="H126"/>
      <c r="Z126"/>
    </row>
    <row r="127" spans="7:26">
      <c r="G127"/>
      <c r="H127"/>
      <c r="Z127"/>
    </row>
    <row r="128" spans="7:26">
      <c r="G128"/>
      <c r="H128"/>
      <c r="Z128"/>
    </row>
    <row r="129" spans="7:26">
      <c r="G129"/>
      <c r="H129"/>
      <c r="Z129"/>
    </row>
    <row r="130" spans="7:26">
      <c r="G130"/>
      <c r="H130"/>
      <c r="Z130"/>
    </row>
    <row r="131" spans="7:26">
      <c r="G131"/>
      <c r="H131"/>
      <c r="Z131"/>
    </row>
    <row r="132" spans="7:26">
      <c r="G132"/>
      <c r="H132"/>
      <c r="Z132"/>
    </row>
    <row r="133" spans="7:26">
      <c r="G133"/>
      <c r="H133"/>
      <c r="Z133"/>
    </row>
    <row r="134" spans="7:26">
      <c r="G134"/>
      <c r="H134"/>
      <c r="Z134"/>
    </row>
    <row r="135" spans="7:26">
      <c r="G135"/>
      <c r="H135"/>
      <c r="Z135"/>
    </row>
    <row r="136" spans="7:26">
      <c r="G136"/>
      <c r="H136"/>
      <c r="Z136"/>
    </row>
    <row r="137" spans="7:26">
      <c r="G137"/>
      <c r="H137"/>
      <c r="Z137"/>
    </row>
    <row r="138" spans="7:26">
      <c r="G138"/>
      <c r="H138"/>
      <c r="Z138"/>
    </row>
    <row r="139" spans="7:26">
      <c r="G139"/>
      <c r="H139"/>
      <c r="Z139"/>
    </row>
    <row r="140" spans="7:26">
      <c r="G140"/>
      <c r="H140"/>
      <c r="Z140"/>
    </row>
    <row r="141" spans="7:26">
      <c r="G141"/>
      <c r="H141"/>
      <c r="Z141"/>
    </row>
    <row r="142" spans="7:26">
      <c r="G142"/>
      <c r="H142"/>
      <c r="Z142"/>
    </row>
    <row r="143" spans="7:26">
      <c r="G143"/>
      <c r="H143"/>
      <c r="Z143"/>
    </row>
    <row r="144" spans="7:26">
      <c r="G144"/>
      <c r="H144"/>
      <c r="Z144"/>
    </row>
    <row r="145" spans="7:26">
      <c r="G145"/>
      <c r="H145"/>
      <c r="Z145"/>
    </row>
    <row r="146" spans="7:26">
      <c r="G146"/>
      <c r="H146"/>
      <c r="Z146"/>
    </row>
    <row r="147" spans="7:26">
      <c r="G147"/>
      <c r="H147"/>
      <c r="Z147"/>
    </row>
    <row r="148" spans="7:26">
      <c r="G148"/>
      <c r="H148"/>
      <c r="Z148"/>
    </row>
    <row r="149" spans="7:26">
      <c r="G149"/>
      <c r="H149"/>
      <c r="Z149"/>
    </row>
    <row r="150" spans="7:26">
      <c r="G150"/>
      <c r="H150"/>
      <c r="Z150"/>
    </row>
    <row r="151" spans="7:26">
      <c r="G151"/>
      <c r="H151"/>
      <c r="Z151"/>
    </row>
    <row r="152" spans="7:26">
      <c r="G152"/>
      <c r="H152"/>
      <c r="Z152"/>
    </row>
    <row r="153" spans="7:26">
      <c r="G153"/>
      <c r="H153"/>
      <c r="Z153"/>
    </row>
    <row r="154" spans="7:26">
      <c r="G154"/>
      <c r="H154"/>
      <c r="Z154"/>
    </row>
    <row r="155" spans="7:26">
      <c r="G155"/>
      <c r="H155"/>
      <c r="Z155"/>
    </row>
    <row r="156" spans="7:26">
      <c r="G156"/>
      <c r="H156"/>
      <c r="Z156"/>
    </row>
    <row r="157" spans="7:26">
      <c r="G157"/>
      <c r="H157"/>
      <c r="Z157"/>
    </row>
    <row r="158" spans="7:26">
      <c r="G158"/>
      <c r="H158"/>
      <c r="Z158"/>
    </row>
    <row r="159" spans="7:26">
      <c r="G159"/>
      <c r="H159"/>
      <c r="Z159"/>
    </row>
    <row r="160" spans="7:26">
      <c r="G160"/>
      <c r="H160"/>
      <c r="Z160"/>
    </row>
    <row r="161" spans="7:26">
      <c r="G161"/>
      <c r="H161"/>
      <c r="Z161"/>
    </row>
    <row r="162" spans="7:26">
      <c r="G162"/>
      <c r="H162"/>
      <c r="Z162"/>
    </row>
    <row r="163" spans="7:26">
      <c r="G163"/>
      <c r="H163"/>
      <c r="Z163"/>
    </row>
    <row r="164" spans="7:26">
      <c r="G164"/>
      <c r="H164"/>
      <c r="Z164"/>
    </row>
    <row r="165" spans="7:26">
      <c r="G165"/>
      <c r="H165"/>
      <c r="Z165"/>
    </row>
    <row r="166" spans="7:26">
      <c r="G166"/>
      <c r="H166"/>
      <c r="Z166"/>
    </row>
    <row r="167" spans="7:26">
      <c r="G167"/>
      <c r="H167"/>
      <c r="Z167"/>
    </row>
    <row r="168" spans="7:26">
      <c r="G168"/>
      <c r="H168"/>
      <c r="Z168"/>
    </row>
    <row r="169" spans="7:26">
      <c r="G169"/>
      <c r="H169"/>
      <c r="Z169"/>
    </row>
    <row r="170" spans="7:26">
      <c r="G170"/>
      <c r="H170"/>
      <c r="Z170"/>
    </row>
    <row r="171" spans="7:26">
      <c r="G171"/>
      <c r="H171"/>
      <c r="Z171"/>
    </row>
    <row r="172" spans="7:26">
      <c r="G172"/>
      <c r="H172"/>
      <c r="Z172"/>
    </row>
    <row r="173" spans="7:26">
      <c r="G173"/>
      <c r="H173"/>
      <c r="Z173"/>
    </row>
    <row r="174" spans="7:26">
      <c r="G174"/>
      <c r="H174"/>
      <c r="Z174"/>
    </row>
    <row r="175" spans="7:26">
      <c r="G175"/>
      <c r="H175"/>
      <c r="Z175"/>
    </row>
    <row r="176" spans="7:26">
      <c r="G176"/>
      <c r="H176"/>
      <c r="Z176"/>
    </row>
    <row r="177" spans="7:26">
      <c r="G177"/>
      <c r="H177"/>
      <c r="Z177"/>
    </row>
    <row r="178" spans="7:26">
      <c r="G178"/>
      <c r="H178"/>
      <c r="Z178"/>
    </row>
    <row r="179" spans="7:26">
      <c r="G179"/>
      <c r="H179"/>
      <c r="Z179"/>
    </row>
    <row r="180" spans="7:26">
      <c r="G180"/>
      <c r="H180"/>
      <c r="Z180"/>
    </row>
    <row r="181" spans="7:26">
      <c r="G181"/>
      <c r="H181"/>
      <c r="Z181"/>
    </row>
    <row r="182" spans="7:26">
      <c r="G182"/>
      <c r="H182"/>
      <c r="Z182"/>
    </row>
    <row r="183" spans="7:26">
      <c r="G183"/>
      <c r="H183"/>
      <c r="Z183"/>
    </row>
    <row r="184" spans="7:26">
      <c r="G184"/>
      <c r="H184"/>
      <c r="Z184"/>
    </row>
    <row r="185" spans="7:26">
      <c r="G185"/>
      <c r="H185"/>
      <c r="Z185"/>
    </row>
    <row r="186" spans="7:26">
      <c r="G186"/>
      <c r="H186"/>
      <c r="Z186"/>
    </row>
    <row r="187" spans="7:26">
      <c r="G187"/>
      <c r="H187"/>
      <c r="Z187"/>
    </row>
    <row r="188" spans="7:26">
      <c r="G188"/>
      <c r="H188"/>
      <c r="Z188"/>
    </row>
    <row r="189" spans="7:26">
      <c r="G189"/>
      <c r="H189"/>
      <c r="Z189"/>
    </row>
    <row r="190" spans="7:26">
      <c r="G190"/>
      <c r="H190"/>
      <c r="Z190"/>
    </row>
    <row r="191" spans="7:26">
      <c r="G191"/>
      <c r="H191"/>
      <c r="Z191"/>
    </row>
    <row r="192" spans="7:26">
      <c r="G192"/>
      <c r="H192"/>
      <c r="Z192"/>
    </row>
    <row r="193" spans="7:26">
      <c r="G193"/>
      <c r="H193"/>
      <c r="Z193"/>
    </row>
    <row r="194" spans="7:26">
      <c r="G194"/>
      <c r="H194"/>
      <c r="Z194"/>
    </row>
    <row r="195" spans="7:26">
      <c r="G195"/>
      <c r="H195"/>
      <c r="Z195"/>
    </row>
    <row r="196" spans="7:26">
      <c r="G196"/>
      <c r="H196"/>
      <c r="Z196"/>
    </row>
    <row r="197" spans="7:26">
      <c r="G197"/>
      <c r="H197"/>
      <c r="Z197"/>
    </row>
    <row r="198" spans="7:26">
      <c r="G198"/>
      <c r="H198"/>
      <c r="Z198"/>
    </row>
    <row r="199" spans="7:26">
      <c r="G199"/>
      <c r="H199"/>
      <c r="Z199"/>
    </row>
    <row r="200" spans="7:26">
      <c r="G200"/>
      <c r="H200"/>
      <c r="Z200"/>
    </row>
    <row r="201" spans="7:26">
      <c r="G201"/>
      <c r="H201"/>
      <c r="Z201"/>
    </row>
    <row r="202" spans="7:26">
      <c r="G202"/>
      <c r="H202"/>
      <c r="Z202"/>
    </row>
    <row r="203" spans="7:26">
      <c r="G203"/>
      <c r="H203"/>
      <c r="Z203"/>
    </row>
    <row r="204" spans="7:26">
      <c r="G204"/>
      <c r="H204"/>
      <c r="Z204"/>
    </row>
    <row r="205" spans="7:26">
      <c r="G205"/>
      <c r="H205"/>
      <c r="Z205"/>
    </row>
    <row r="206" spans="7:26">
      <c r="G206"/>
      <c r="H206"/>
      <c r="Z206"/>
    </row>
    <row r="207" spans="7:26">
      <c r="G207"/>
      <c r="H207"/>
      <c r="Z207"/>
    </row>
    <row r="208" spans="7:26">
      <c r="G208"/>
      <c r="H208"/>
      <c r="Z208"/>
    </row>
    <row r="209" spans="7:26">
      <c r="G209"/>
      <c r="H209"/>
      <c r="Z209"/>
    </row>
    <row r="210" spans="7:26">
      <c r="G210"/>
      <c r="H210"/>
      <c r="Z210"/>
    </row>
    <row r="211" spans="7:26">
      <c r="G211"/>
      <c r="H211"/>
      <c r="Z211"/>
    </row>
    <row r="212" spans="7:26">
      <c r="G212"/>
      <c r="H212"/>
      <c r="Z212"/>
    </row>
    <row r="213" spans="7:26">
      <c r="G213"/>
      <c r="H213"/>
      <c r="Z213"/>
    </row>
    <row r="214" spans="7:26">
      <c r="G214"/>
      <c r="H214"/>
      <c r="Z214"/>
    </row>
    <row r="215" spans="7:26">
      <c r="G215"/>
      <c r="H215"/>
      <c r="Z215"/>
    </row>
    <row r="216" spans="7:26">
      <c r="G216"/>
      <c r="H216"/>
      <c r="Z216"/>
    </row>
    <row r="217" spans="7:26">
      <c r="G217"/>
      <c r="H217"/>
      <c r="Z217"/>
    </row>
    <row r="218" spans="7:26">
      <c r="G218"/>
      <c r="H218"/>
      <c r="Z218"/>
    </row>
    <row r="219" spans="7:26">
      <c r="G219"/>
      <c r="H219"/>
      <c r="Z219"/>
    </row>
    <row r="220" spans="7:26">
      <c r="G220"/>
      <c r="H220"/>
      <c r="Z220"/>
    </row>
    <row r="221" spans="7:26">
      <c r="G221"/>
      <c r="H221"/>
      <c r="Z221"/>
    </row>
    <row r="222" spans="7:26">
      <c r="G222"/>
      <c r="H222"/>
      <c r="Z222"/>
    </row>
    <row r="223" spans="7:26">
      <c r="G223"/>
      <c r="H223"/>
      <c r="Z223"/>
    </row>
    <row r="224" spans="7:26">
      <c r="G224"/>
      <c r="H224"/>
      <c r="Z224"/>
    </row>
    <row r="225" spans="7:26">
      <c r="G225"/>
      <c r="H225"/>
      <c r="Z225"/>
    </row>
    <row r="226" spans="7:26">
      <c r="G226"/>
      <c r="H226"/>
      <c r="Z226"/>
    </row>
    <row r="227" spans="7:26">
      <c r="G227"/>
      <c r="H227"/>
      <c r="Z227"/>
    </row>
    <row r="228" spans="7:26">
      <c r="G228"/>
      <c r="H228"/>
      <c r="Z228"/>
    </row>
    <row r="229" spans="7:26">
      <c r="G229"/>
      <c r="H229"/>
      <c r="Z229"/>
    </row>
    <row r="230" spans="7:26">
      <c r="G230"/>
      <c r="H230"/>
      <c r="Z230"/>
    </row>
    <row r="231" spans="7:26">
      <c r="G231"/>
      <c r="H231"/>
      <c r="Z231"/>
    </row>
    <row r="232" spans="7:26">
      <c r="G232"/>
      <c r="H232"/>
      <c r="Z232"/>
    </row>
    <row r="233" spans="7:26">
      <c r="G233"/>
      <c r="H233"/>
      <c r="Z233"/>
    </row>
    <row r="234" spans="7:26">
      <c r="G234"/>
      <c r="H234"/>
      <c r="Z234"/>
    </row>
    <row r="235" spans="7:26">
      <c r="G235"/>
      <c r="H235"/>
      <c r="Z235"/>
    </row>
    <row r="236" spans="7:26">
      <c r="G236"/>
      <c r="H236"/>
      <c r="Z236"/>
    </row>
    <row r="237" spans="7:26">
      <c r="G237"/>
      <c r="H237"/>
      <c r="Z237"/>
    </row>
    <row r="238" spans="7:26">
      <c r="G238"/>
      <c r="H238"/>
      <c r="Z238"/>
    </row>
    <row r="239" spans="7:26">
      <c r="G239"/>
      <c r="H239"/>
      <c r="Z239"/>
    </row>
    <row r="240" spans="7:26">
      <c r="G240"/>
      <c r="H240"/>
      <c r="Z240"/>
    </row>
    <row r="241" spans="7:26">
      <c r="G241"/>
      <c r="H241"/>
      <c r="Z241"/>
    </row>
    <row r="242" spans="7:26">
      <c r="G242"/>
      <c r="H242"/>
      <c r="Z242"/>
    </row>
    <row r="243" spans="7:26">
      <c r="G243"/>
      <c r="H243"/>
      <c r="Z243"/>
    </row>
    <row r="244" spans="7:26">
      <c r="G244"/>
      <c r="H244"/>
      <c r="Z244"/>
    </row>
    <row r="245" spans="7:26">
      <c r="G245"/>
      <c r="H245"/>
      <c r="Z245"/>
    </row>
    <row r="246" spans="7:26">
      <c r="G246"/>
      <c r="H246"/>
      <c r="Z246"/>
    </row>
    <row r="247" spans="7:26">
      <c r="G247"/>
      <c r="H247"/>
      <c r="Z247"/>
    </row>
    <row r="248" spans="7:26">
      <c r="G248"/>
      <c r="H248"/>
      <c r="Z248"/>
    </row>
    <row r="249" spans="7:26">
      <c r="G249"/>
      <c r="H249"/>
      <c r="Z249"/>
    </row>
    <row r="250" spans="7:26">
      <c r="G250"/>
      <c r="H250"/>
      <c r="Z250"/>
    </row>
    <row r="251" spans="7:26">
      <c r="G251"/>
      <c r="H251"/>
      <c r="Z251"/>
    </row>
    <row r="252" spans="7:26">
      <c r="G252"/>
      <c r="H252"/>
      <c r="Z252"/>
    </row>
    <row r="253" spans="7:26">
      <c r="G253"/>
      <c r="H253"/>
      <c r="Z253"/>
    </row>
    <row r="254" spans="7:26">
      <c r="G254"/>
      <c r="H254"/>
      <c r="Z254"/>
    </row>
    <row r="255" spans="7:26">
      <c r="G255"/>
      <c r="H255"/>
      <c r="Z255"/>
    </row>
    <row r="256" spans="7:26">
      <c r="G256"/>
      <c r="H256"/>
      <c r="Z256"/>
    </row>
    <row r="257" spans="7:26">
      <c r="G257"/>
      <c r="H257"/>
      <c r="Z257"/>
    </row>
    <row r="258" spans="7:26">
      <c r="G258"/>
      <c r="H258"/>
      <c r="Z258"/>
    </row>
    <row r="259" spans="7:26">
      <c r="G259"/>
      <c r="H259"/>
      <c r="Z259"/>
    </row>
    <row r="260" spans="7:26">
      <c r="G260"/>
      <c r="H260"/>
      <c r="Z260"/>
    </row>
    <row r="261" spans="7:26">
      <c r="G261"/>
      <c r="H261"/>
      <c r="Z261"/>
    </row>
    <row r="262" spans="7:26">
      <c r="G262"/>
      <c r="H262"/>
      <c r="Z262"/>
    </row>
    <row r="263" spans="7:26">
      <c r="G263"/>
      <c r="H263"/>
      <c r="Z263"/>
    </row>
    <row r="264" spans="7:26">
      <c r="G264"/>
      <c r="H264"/>
      <c r="Z264"/>
    </row>
    <row r="265" spans="7:26">
      <c r="G265"/>
      <c r="H265"/>
      <c r="Z265"/>
    </row>
    <row r="266" spans="7:26">
      <c r="G266"/>
      <c r="H266"/>
      <c r="Z266"/>
    </row>
    <row r="267" spans="7:26">
      <c r="G267"/>
      <c r="H267"/>
      <c r="Z267"/>
    </row>
    <row r="268" spans="7:26">
      <c r="G268"/>
      <c r="H268"/>
      <c r="Z268"/>
    </row>
    <row r="269" spans="7:26">
      <c r="G269"/>
      <c r="H269"/>
      <c r="Z269"/>
    </row>
    <row r="270" spans="7:26">
      <c r="G270"/>
      <c r="H270"/>
      <c r="Z270"/>
    </row>
    <row r="271" spans="7:26">
      <c r="G271"/>
      <c r="H271"/>
      <c r="Z271"/>
    </row>
    <row r="272" spans="7:26">
      <c r="G272"/>
      <c r="H272"/>
      <c r="Z272"/>
    </row>
    <row r="273" spans="7:26">
      <c r="G273"/>
      <c r="H273"/>
      <c r="Z273"/>
    </row>
    <row r="274" spans="7:26">
      <c r="G274"/>
      <c r="H274"/>
      <c r="Z274"/>
    </row>
    <row r="275" spans="7:26">
      <c r="G275"/>
      <c r="H275"/>
      <c r="Z275"/>
    </row>
    <row r="276" spans="7:26">
      <c r="G276"/>
      <c r="H276"/>
      <c r="Z276"/>
    </row>
    <row r="277" spans="7:26">
      <c r="G277"/>
      <c r="H277"/>
      <c r="Z277"/>
    </row>
    <row r="278" spans="7:26">
      <c r="G278"/>
      <c r="H278"/>
      <c r="Z278"/>
    </row>
    <row r="279" spans="7:26">
      <c r="G279"/>
      <c r="H279"/>
      <c r="Z279"/>
    </row>
    <row r="280" spans="7:26">
      <c r="G280"/>
      <c r="H280"/>
      <c r="Z280"/>
    </row>
    <row r="281" spans="7:26">
      <c r="G281"/>
      <c r="H281"/>
      <c r="Z281"/>
    </row>
    <row r="282" spans="7:26">
      <c r="G282"/>
      <c r="H282"/>
      <c r="Z282"/>
    </row>
    <row r="283" spans="7:26">
      <c r="G283"/>
      <c r="H283"/>
      <c r="Z283"/>
    </row>
    <row r="284" spans="7:26">
      <c r="G284"/>
      <c r="H284"/>
      <c r="Z284"/>
    </row>
    <row r="285" spans="7:26">
      <c r="G285"/>
      <c r="H285"/>
      <c r="Z285"/>
    </row>
    <row r="286" spans="7:26">
      <c r="G286"/>
      <c r="H286"/>
      <c r="Z286"/>
    </row>
    <row r="287" spans="7:26">
      <c r="G287"/>
      <c r="H287"/>
      <c r="Z287"/>
    </row>
    <row r="288" spans="7:26">
      <c r="G288"/>
      <c r="H288"/>
      <c r="Z288"/>
    </row>
    <row r="289" spans="7:26">
      <c r="G289"/>
      <c r="H289"/>
      <c r="Z289"/>
    </row>
    <row r="290" spans="7:26">
      <c r="G290"/>
      <c r="H290"/>
      <c r="Z290"/>
    </row>
    <row r="291" spans="7:26">
      <c r="G291"/>
      <c r="H291"/>
      <c r="Z291"/>
    </row>
    <row r="292" spans="7:26">
      <c r="G292"/>
      <c r="H292"/>
      <c r="Z292"/>
    </row>
    <row r="293" spans="7:26">
      <c r="G293"/>
      <c r="H293"/>
      <c r="Z293"/>
    </row>
    <row r="294" spans="7:26">
      <c r="G294"/>
      <c r="H294"/>
      <c r="Z294"/>
    </row>
    <row r="295" spans="7:26">
      <c r="G295"/>
      <c r="H295"/>
      <c r="Z295"/>
    </row>
    <row r="296" spans="7:26">
      <c r="G296"/>
      <c r="H296"/>
      <c r="Z296"/>
    </row>
    <row r="297" spans="7:26">
      <c r="G297"/>
      <c r="H297"/>
      <c r="Z297"/>
    </row>
    <row r="298" spans="7:26">
      <c r="G298"/>
      <c r="H298"/>
      <c r="Z298"/>
    </row>
    <row r="299" spans="7:26">
      <c r="G299"/>
      <c r="H299"/>
      <c r="Z299"/>
    </row>
    <row r="300" spans="7:26">
      <c r="G300"/>
      <c r="H300"/>
      <c r="Z300"/>
    </row>
    <row r="301" spans="7:26">
      <c r="G301"/>
      <c r="H301"/>
      <c r="Z301"/>
    </row>
    <row r="302" spans="7:26">
      <c r="G302"/>
      <c r="H302"/>
      <c r="Z302"/>
    </row>
    <row r="303" spans="7:26">
      <c r="G303"/>
      <c r="H303"/>
      <c r="Z303"/>
    </row>
    <row r="304" spans="7:26">
      <c r="G304"/>
      <c r="H304"/>
      <c r="Z304"/>
    </row>
    <row r="305" spans="7:26">
      <c r="G305"/>
      <c r="H305"/>
      <c r="Z305"/>
    </row>
    <row r="306" spans="7:26">
      <c r="G306"/>
      <c r="H306"/>
      <c r="Z306"/>
    </row>
    <row r="307" spans="7:26">
      <c r="G307"/>
      <c r="H307"/>
      <c r="Z307"/>
    </row>
    <row r="308" spans="7:26">
      <c r="G308"/>
      <c r="H308"/>
      <c r="Z308"/>
    </row>
    <row r="309" spans="7:26">
      <c r="G309"/>
      <c r="H309"/>
      <c r="Z309"/>
    </row>
    <row r="310" spans="7:26">
      <c r="G310"/>
      <c r="H310"/>
      <c r="Z310"/>
    </row>
    <row r="311" spans="7:26">
      <c r="G311"/>
      <c r="H311"/>
      <c r="Z311"/>
    </row>
    <row r="312" spans="7:26">
      <c r="G312"/>
      <c r="H312"/>
      <c r="Z312"/>
    </row>
    <row r="313" spans="7:26">
      <c r="G313"/>
      <c r="H313"/>
      <c r="Z313"/>
    </row>
    <row r="314" spans="7:26">
      <c r="G314"/>
      <c r="H314"/>
      <c r="Z314"/>
    </row>
    <row r="315" spans="7:26">
      <c r="G315"/>
      <c r="H315"/>
      <c r="Z315"/>
    </row>
    <row r="316" spans="7:26">
      <c r="G316"/>
      <c r="H316"/>
      <c r="Z316"/>
    </row>
    <row r="317" spans="7:26">
      <c r="G317"/>
      <c r="H317"/>
      <c r="Z317"/>
    </row>
    <row r="318" spans="7:26">
      <c r="G318"/>
      <c r="H318"/>
      <c r="Z318"/>
    </row>
    <row r="319" spans="7:26">
      <c r="G319"/>
      <c r="H319"/>
      <c r="Z319"/>
    </row>
    <row r="320" spans="7:26">
      <c r="G320"/>
      <c r="H320"/>
      <c r="Z320"/>
    </row>
    <row r="321" spans="7:26">
      <c r="G321"/>
      <c r="H321"/>
      <c r="Z321"/>
    </row>
    <row r="322" spans="7:26">
      <c r="G322"/>
      <c r="H322"/>
      <c r="Z322"/>
    </row>
    <row r="323" spans="7:26">
      <c r="G323"/>
      <c r="H323"/>
      <c r="Z323"/>
    </row>
    <row r="324" spans="7:26">
      <c r="G324"/>
      <c r="H324"/>
      <c r="Z324"/>
    </row>
    <row r="325" spans="7:26">
      <c r="G325"/>
      <c r="H325"/>
      <c r="Z325"/>
    </row>
    <row r="326" spans="7:26">
      <c r="G326"/>
      <c r="H326"/>
      <c r="Z326"/>
    </row>
    <row r="327" spans="7:26">
      <c r="G327"/>
      <c r="H327"/>
      <c r="Z327"/>
    </row>
    <row r="328" spans="7:26">
      <c r="G328"/>
      <c r="H328"/>
      <c r="Z328"/>
    </row>
    <row r="329" spans="7:26">
      <c r="G329"/>
      <c r="H329"/>
      <c r="Z329"/>
    </row>
    <row r="330" spans="7:26">
      <c r="G330"/>
      <c r="H330"/>
      <c r="Z330"/>
    </row>
    <row r="331" spans="7:26">
      <c r="G331"/>
      <c r="H331"/>
      <c r="Z331"/>
    </row>
    <row r="332" spans="7:26">
      <c r="G332"/>
      <c r="H332"/>
      <c r="Z332"/>
    </row>
    <row r="333" spans="7:26">
      <c r="G333"/>
      <c r="H333"/>
      <c r="Z333"/>
    </row>
    <row r="334" spans="7:26">
      <c r="G334"/>
      <c r="H334"/>
      <c r="Z334"/>
    </row>
    <row r="335" spans="7:26">
      <c r="G335"/>
      <c r="H335"/>
      <c r="Z335"/>
    </row>
    <row r="336" spans="7:26">
      <c r="G336"/>
      <c r="H336"/>
      <c r="Z336"/>
    </row>
    <row r="337" spans="7:26">
      <c r="G337"/>
      <c r="H337"/>
      <c r="Z337"/>
    </row>
    <row r="338" spans="7:26">
      <c r="G338"/>
      <c r="H338"/>
      <c r="Z338"/>
    </row>
    <row r="339" spans="7:26">
      <c r="G339"/>
      <c r="H339"/>
      <c r="Z339"/>
    </row>
    <row r="340" spans="7:26">
      <c r="G340"/>
      <c r="H340"/>
      <c r="Z340"/>
    </row>
    <row r="341" spans="7:26">
      <c r="G341"/>
      <c r="H341"/>
      <c r="Z341"/>
    </row>
    <row r="342" spans="7:26">
      <c r="G342"/>
      <c r="H342"/>
      <c r="Z342"/>
    </row>
    <row r="343" spans="7:26">
      <c r="G343"/>
      <c r="H343"/>
      <c r="Z343"/>
    </row>
    <row r="344" spans="7:26">
      <c r="G344"/>
      <c r="H344"/>
      <c r="Z344"/>
    </row>
    <row r="345" spans="7:26">
      <c r="G345"/>
      <c r="H345"/>
      <c r="Z345"/>
    </row>
    <row r="346" spans="7:26">
      <c r="G346"/>
      <c r="H346"/>
      <c r="Z346"/>
    </row>
    <row r="347" spans="7:26">
      <c r="G347"/>
      <c r="H347"/>
      <c r="Z347"/>
    </row>
    <row r="348" spans="7:26">
      <c r="G348"/>
      <c r="H348"/>
      <c r="Z348"/>
    </row>
    <row r="349" spans="7:26">
      <c r="G349"/>
      <c r="H349"/>
      <c r="Z349"/>
    </row>
    <row r="350" spans="7:26">
      <c r="G350"/>
      <c r="H350"/>
      <c r="Z350"/>
    </row>
    <row r="351" spans="7:26">
      <c r="G351"/>
      <c r="H351"/>
      <c r="Z351"/>
    </row>
    <row r="352" spans="7:26">
      <c r="G352"/>
      <c r="H352"/>
      <c r="Z352"/>
    </row>
    <row r="353" spans="7:26">
      <c r="G353"/>
      <c r="H353"/>
      <c r="Z353"/>
    </row>
    <row r="354" spans="7:26">
      <c r="G354"/>
      <c r="H354"/>
      <c r="Z354"/>
    </row>
    <row r="355" spans="7:26">
      <c r="G355"/>
      <c r="H355"/>
      <c r="Z355"/>
    </row>
    <row r="356" spans="7:26">
      <c r="G356"/>
      <c r="H356"/>
      <c r="Z356"/>
    </row>
    <row r="357" spans="7:26">
      <c r="G357"/>
      <c r="H357"/>
      <c r="Z357"/>
    </row>
    <row r="358" spans="7:26">
      <c r="G358"/>
      <c r="H358"/>
      <c r="Z358"/>
    </row>
    <row r="359" spans="7:26">
      <c r="G359"/>
      <c r="H359"/>
      <c r="Z359"/>
    </row>
    <row r="360" spans="7:26">
      <c r="G360"/>
      <c r="H360"/>
      <c r="Z360"/>
    </row>
    <row r="361" spans="7:26">
      <c r="G361"/>
      <c r="H361"/>
      <c r="Z361"/>
    </row>
    <row r="362" spans="7:26">
      <c r="G362"/>
      <c r="H362"/>
      <c r="Z362"/>
    </row>
    <row r="363" spans="7:26">
      <c r="G363"/>
      <c r="H363"/>
      <c r="Z363"/>
    </row>
    <row r="364" spans="7:26">
      <c r="G364"/>
      <c r="H364"/>
      <c r="Z364"/>
    </row>
    <row r="365" spans="7:26">
      <c r="G365"/>
      <c r="H365"/>
      <c r="Z365"/>
    </row>
    <row r="366" spans="7:26">
      <c r="G366"/>
      <c r="H366"/>
      <c r="Z366"/>
    </row>
    <row r="367" spans="7:26">
      <c r="G367"/>
      <c r="H367"/>
      <c r="Z367"/>
    </row>
    <row r="368" spans="7:26">
      <c r="G368"/>
      <c r="H368"/>
      <c r="Z368"/>
    </row>
    <row r="369" spans="7:26">
      <c r="G369"/>
      <c r="H369"/>
      <c r="Z369"/>
    </row>
    <row r="370" spans="7:26">
      <c r="G370"/>
      <c r="H370"/>
      <c r="Z370"/>
    </row>
    <row r="371" spans="7:26">
      <c r="G371"/>
      <c r="H371"/>
      <c r="Z371"/>
    </row>
    <row r="372" spans="7:26">
      <c r="G372"/>
      <c r="H372"/>
      <c r="Z372"/>
    </row>
    <row r="373" spans="7:26">
      <c r="G373"/>
      <c r="H373"/>
      <c r="Z373"/>
    </row>
    <row r="374" spans="7:26">
      <c r="G374"/>
      <c r="H374"/>
      <c r="Z374"/>
    </row>
    <row r="375" spans="7:26">
      <c r="G375"/>
      <c r="H375"/>
      <c r="Z375"/>
    </row>
    <row r="376" spans="7:26">
      <c r="G376"/>
      <c r="H376"/>
      <c r="Z376"/>
    </row>
    <row r="377" spans="7:26">
      <c r="G377"/>
      <c r="H377"/>
      <c r="Z377"/>
    </row>
    <row r="378" spans="7:26">
      <c r="G378"/>
      <c r="H378"/>
      <c r="Z378"/>
    </row>
    <row r="379" spans="7:26">
      <c r="G379"/>
      <c r="H379"/>
      <c r="Z379"/>
    </row>
    <row r="380" spans="7:26">
      <c r="G380"/>
      <c r="H380"/>
      <c r="Z380"/>
    </row>
    <row r="381" spans="7:26">
      <c r="G381"/>
      <c r="H381"/>
      <c r="Z381"/>
    </row>
    <row r="382" spans="7:26">
      <c r="G382"/>
      <c r="H382"/>
      <c r="Z382"/>
    </row>
    <row r="383" spans="7:26">
      <c r="G383"/>
      <c r="H383"/>
      <c r="Z383"/>
    </row>
    <row r="384" spans="7:26">
      <c r="G384"/>
      <c r="H384"/>
      <c r="Z384"/>
    </row>
    <row r="385" spans="7:26">
      <c r="G385"/>
      <c r="H385"/>
      <c r="Z385"/>
    </row>
    <row r="386" spans="7:26">
      <c r="G386"/>
      <c r="H386"/>
      <c r="Z386"/>
    </row>
    <row r="387" spans="7:26">
      <c r="G387"/>
      <c r="H387"/>
      <c r="Z387"/>
    </row>
    <row r="388" spans="7:26">
      <c r="G388"/>
      <c r="H388"/>
      <c r="Z388"/>
    </row>
    <row r="389" spans="7:26">
      <c r="G389"/>
      <c r="H389"/>
      <c r="Z389"/>
    </row>
    <row r="390" spans="7:26">
      <c r="G390"/>
      <c r="H390"/>
      <c r="Z390"/>
    </row>
    <row r="391" spans="7:26">
      <c r="G391"/>
      <c r="H391"/>
      <c r="Z391"/>
    </row>
    <row r="392" spans="7:26">
      <c r="G392"/>
      <c r="H392"/>
      <c r="Z392"/>
    </row>
    <row r="393" spans="7:26">
      <c r="G393"/>
      <c r="H393"/>
      <c r="Z393"/>
    </row>
    <row r="394" spans="7:26">
      <c r="G394"/>
      <c r="H394"/>
      <c r="Z394"/>
    </row>
    <row r="395" spans="7:26">
      <c r="G395"/>
      <c r="H395"/>
      <c r="Z395"/>
    </row>
    <row r="396" spans="7:26">
      <c r="G396"/>
      <c r="H396"/>
      <c r="Z396"/>
    </row>
    <row r="397" spans="7:26">
      <c r="G397"/>
      <c r="H397"/>
      <c r="Z397"/>
    </row>
    <row r="398" spans="7:26">
      <c r="G398"/>
      <c r="H398"/>
      <c r="Z398"/>
    </row>
    <row r="399" spans="7:26">
      <c r="G399"/>
      <c r="H399"/>
      <c r="Z399"/>
    </row>
    <row r="400" spans="7:26">
      <c r="G400"/>
      <c r="H400"/>
      <c r="Z400"/>
    </row>
    <row r="401" spans="7:26">
      <c r="G401"/>
      <c r="H401"/>
      <c r="Z401"/>
    </row>
    <row r="402" spans="7:26">
      <c r="G402"/>
      <c r="H402"/>
      <c r="Z402"/>
    </row>
    <row r="403" spans="7:26">
      <c r="G403"/>
      <c r="H403"/>
      <c r="Z403"/>
    </row>
    <row r="404" spans="7:26">
      <c r="G404"/>
      <c r="H404"/>
      <c r="Z404"/>
    </row>
    <row r="405" spans="7:26">
      <c r="G405"/>
      <c r="H405"/>
      <c r="Z405"/>
    </row>
    <row r="406" spans="7:26">
      <c r="G406"/>
      <c r="H406"/>
      <c r="Z406"/>
    </row>
    <row r="407" spans="7:26">
      <c r="G407"/>
      <c r="H407"/>
      <c r="Z407"/>
    </row>
    <row r="408" spans="7:26">
      <c r="G408"/>
      <c r="H408"/>
      <c r="Z408"/>
    </row>
    <row r="409" spans="7:26">
      <c r="G409"/>
      <c r="H409"/>
      <c r="Z409"/>
    </row>
    <row r="410" spans="7:26">
      <c r="G410"/>
      <c r="H410"/>
      <c r="Z410"/>
    </row>
    <row r="411" spans="7:26">
      <c r="G411"/>
      <c r="H411"/>
      <c r="Z411"/>
    </row>
    <row r="412" spans="7:26">
      <c r="G412"/>
      <c r="H412"/>
      <c r="Z412"/>
    </row>
    <row r="413" spans="7:26">
      <c r="G413"/>
      <c r="H413"/>
      <c r="Z413"/>
    </row>
    <row r="414" spans="7:26">
      <c r="G414"/>
      <c r="H414"/>
      <c r="Z414"/>
    </row>
    <row r="415" spans="7:26">
      <c r="G415"/>
      <c r="H415"/>
      <c r="Z415"/>
    </row>
    <row r="416" spans="7:26">
      <c r="G416"/>
      <c r="H416"/>
      <c r="Z416"/>
    </row>
    <row r="417" spans="7:26">
      <c r="G417"/>
      <c r="H417"/>
      <c r="Z417"/>
    </row>
    <row r="418" spans="7:26">
      <c r="G418"/>
      <c r="H418"/>
      <c r="Z418"/>
    </row>
    <row r="419" spans="7:26">
      <c r="G419"/>
      <c r="H419"/>
      <c r="Z419"/>
    </row>
    <row r="420" spans="7:26">
      <c r="G420"/>
      <c r="H420"/>
      <c r="Z420"/>
    </row>
    <row r="421" spans="7:26">
      <c r="G421"/>
      <c r="H421"/>
      <c r="Z421"/>
    </row>
    <row r="422" spans="7:26">
      <c r="G422"/>
      <c r="H422"/>
      <c r="Z422"/>
    </row>
    <row r="423" spans="7:26">
      <c r="G423"/>
      <c r="H423"/>
      <c r="Z423"/>
    </row>
    <row r="424" spans="7:26">
      <c r="G424"/>
      <c r="H424"/>
      <c r="Z424"/>
    </row>
    <row r="425" spans="7:26">
      <c r="G425"/>
      <c r="H425"/>
      <c r="Z425"/>
    </row>
    <row r="426" spans="7:26">
      <c r="G426"/>
      <c r="H426"/>
      <c r="Z426"/>
    </row>
    <row r="427" spans="7:26">
      <c r="G427"/>
      <c r="H427"/>
      <c r="Z427"/>
    </row>
    <row r="428" spans="7:26">
      <c r="G428"/>
      <c r="H428"/>
      <c r="Z428"/>
    </row>
    <row r="429" spans="7:26">
      <c r="G429"/>
      <c r="H429"/>
      <c r="Z429"/>
    </row>
    <row r="430" spans="7:26">
      <c r="G430"/>
      <c r="H430"/>
      <c r="Z430"/>
    </row>
    <row r="431" spans="7:26">
      <c r="G431"/>
      <c r="H431"/>
      <c r="Z431"/>
    </row>
    <row r="432" spans="7:26">
      <c r="G432"/>
      <c r="H432"/>
      <c r="Z432"/>
    </row>
    <row r="433" spans="7:26">
      <c r="G433"/>
      <c r="H433"/>
      <c r="Z433"/>
    </row>
    <row r="434" spans="7:26">
      <c r="G434"/>
      <c r="H434"/>
      <c r="Z434"/>
    </row>
    <row r="435" spans="7:26">
      <c r="G435"/>
      <c r="H435"/>
      <c r="Z435"/>
    </row>
    <row r="436" spans="7:26">
      <c r="G436"/>
      <c r="H436"/>
      <c r="Z436"/>
    </row>
    <row r="437" spans="7:26">
      <c r="G437"/>
      <c r="H437"/>
      <c r="Z437"/>
    </row>
    <row r="438" spans="7:26">
      <c r="G438"/>
      <c r="H438"/>
      <c r="Z438"/>
    </row>
    <row r="439" spans="7:26">
      <c r="G439"/>
      <c r="H439"/>
      <c r="Z439"/>
    </row>
    <row r="440" spans="7:26">
      <c r="G440"/>
      <c r="H440"/>
      <c r="Z440"/>
    </row>
    <row r="441" spans="7:26">
      <c r="G441"/>
      <c r="H441"/>
      <c r="Z441"/>
    </row>
    <row r="442" spans="7:26">
      <c r="G442"/>
      <c r="H442"/>
      <c r="Z442"/>
    </row>
    <row r="443" spans="7:26">
      <c r="G443"/>
      <c r="H443"/>
      <c r="Z443"/>
    </row>
    <row r="444" spans="7:26">
      <c r="G444"/>
      <c r="H444"/>
      <c r="Z444"/>
    </row>
    <row r="445" spans="7:26">
      <c r="G445"/>
      <c r="H445"/>
      <c r="Z445"/>
    </row>
    <row r="446" spans="7:26">
      <c r="G446"/>
      <c r="H446"/>
      <c r="Z446"/>
    </row>
    <row r="447" spans="7:26">
      <c r="G447"/>
      <c r="H447"/>
      <c r="Z447"/>
    </row>
    <row r="448" spans="7:26">
      <c r="G448"/>
      <c r="H448"/>
      <c r="Z448"/>
    </row>
    <row r="449" spans="7:26">
      <c r="G449"/>
      <c r="H449"/>
      <c r="Z449"/>
    </row>
    <row r="450" spans="7:26">
      <c r="G450"/>
      <c r="H450"/>
      <c r="Z450"/>
    </row>
    <row r="451" spans="7:26">
      <c r="G451"/>
      <c r="H451"/>
      <c r="Z451"/>
    </row>
    <row r="452" spans="7:26">
      <c r="G452"/>
      <c r="H452"/>
      <c r="Z452"/>
    </row>
    <row r="453" spans="7:26">
      <c r="G453"/>
      <c r="H453"/>
      <c r="Z453"/>
    </row>
    <row r="454" spans="7:26">
      <c r="G454"/>
      <c r="H454"/>
      <c r="Z454"/>
    </row>
    <row r="455" spans="7:26">
      <c r="G455"/>
      <c r="H455"/>
      <c r="Z455"/>
    </row>
    <row r="456" spans="7:26">
      <c r="G456"/>
      <c r="H456"/>
      <c r="Z456"/>
    </row>
    <row r="457" spans="7:26">
      <c r="G457"/>
      <c r="H457"/>
      <c r="Z457"/>
    </row>
    <row r="458" spans="7:26">
      <c r="G458"/>
      <c r="H458"/>
      <c r="Z458"/>
    </row>
    <row r="459" spans="7:26">
      <c r="G459"/>
      <c r="H459"/>
      <c r="Z459"/>
    </row>
    <row r="460" spans="7:26">
      <c r="G460"/>
      <c r="H460"/>
      <c r="Z460"/>
    </row>
    <row r="461" spans="7:26">
      <c r="G461"/>
      <c r="H461"/>
      <c r="Z461"/>
    </row>
    <row r="462" spans="7:26">
      <c r="G462"/>
      <c r="H462"/>
      <c r="Z462"/>
    </row>
    <row r="463" spans="7:26">
      <c r="G463"/>
      <c r="H463"/>
      <c r="Z463"/>
    </row>
    <row r="464" spans="7:26">
      <c r="G464"/>
      <c r="H464"/>
      <c r="Z464"/>
    </row>
    <row r="465" spans="7:26">
      <c r="G465"/>
      <c r="H465"/>
      <c r="Z465"/>
    </row>
    <row r="466" spans="7:26">
      <c r="G466"/>
      <c r="H466"/>
      <c r="Z466"/>
    </row>
    <row r="467" spans="7:26">
      <c r="G467"/>
      <c r="H467"/>
      <c r="Z467"/>
    </row>
    <row r="468" spans="7:26">
      <c r="G468"/>
      <c r="H468"/>
      <c r="Z468"/>
    </row>
    <row r="469" spans="7:26">
      <c r="G469"/>
      <c r="H469"/>
      <c r="Z469"/>
    </row>
    <row r="470" spans="7:26">
      <c r="G470"/>
      <c r="H470"/>
      <c r="Z470"/>
    </row>
    <row r="471" spans="7:26">
      <c r="G471"/>
      <c r="H471"/>
      <c r="Z471"/>
    </row>
    <row r="472" spans="7:26">
      <c r="G472"/>
      <c r="H472"/>
      <c r="Z472"/>
    </row>
    <row r="473" spans="7:26">
      <c r="G473"/>
      <c r="H473"/>
      <c r="Z473"/>
    </row>
    <row r="474" spans="7:26">
      <c r="G474"/>
      <c r="H474"/>
      <c r="Z474"/>
    </row>
    <row r="475" spans="7:26">
      <c r="G475"/>
      <c r="H475"/>
      <c r="Z475"/>
    </row>
    <row r="476" spans="7:26">
      <c r="G476"/>
      <c r="H476"/>
      <c r="Z476"/>
    </row>
    <row r="477" spans="7:26">
      <c r="G477"/>
      <c r="H477"/>
      <c r="Z477"/>
    </row>
    <row r="478" spans="7:26">
      <c r="G478"/>
      <c r="H478"/>
      <c r="Z478"/>
    </row>
    <row r="479" spans="7:26">
      <c r="G479"/>
      <c r="H479"/>
      <c r="Z479"/>
    </row>
    <row r="480" spans="7:26">
      <c r="G480"/>
      <c r="H480"/>
      <c r="Z480"/>
    </row>
    <row r="481" spans="5:26">
      <c r="G481"/>
      <c r="H481"/>
      <c r="Z481"/>
    </row>
    <row r="482" spans="5:26">
      <c r="G482"/>
      <c r="H482"/>
      <c r="Z482"/>
    </row>
    <row r="483" spans="5:26">
      <c r="G483"/>
      <c r="H483"/>
      <c r="Z483"/>
    </row>
    <row r="484" spans="5:26">
      <c r="G484"/>
      <c r="H484"/>
      <c r="Z484"/>
    </row>
    <row r="485" spans="5:26">
      <c r="G485"/>
      <c r="H485"/>
      <c r="Z485"/>
    </row>
    <row r="486" spans="5:26">
      <c r="G486"/>
      <c r="H486"/>
      <c r="Z486"/>
    </row>
    <row r="487" spans="5:26">
      <c r="G487"/>
      <c r="H487"/>
      <c r="Z487"/>
    </row>
    <row r="488" spans="5:26">
      <c r="G488"/>
      <c r="H488"/>
      <c r="Z488"/>
    </row>
    <row r="489" spans="5:26">
      <c r="G489"/>
      <c r="H489"/>
      <c r="Z489"/>
    </row>
    <row r="490" spans="5:26">
      <c r="G490"/>
      <c r="H490"/>
      <c r="Z490"/>
    </row>
    <row r="491" spans="5:26">
      <c r="G491"/>
      <c r="H491"/>
      <c r="Z491"/>
    </row>
    <row r="492" spans="5:26">
      <c r="G492"/>
      <c r="H492"/>
      <c r="Z492"/>
    </row>
    <row r="493" spans="5:26"/>
    <row r="494" spans="5:26"/>
    <row r="495" spans="5:26"/>
    <row r="496" spans="5:26">
      <c r="E496" s="1747" t="s">
        <v>1031</v>
      </c>
      <c r="F496" s="1748">
        <f>F41-INDEX('Fin Forecast - Elec'!$G$95:$U$95,1,MATCH($I$6,'Fin Forecast - Elec'!$G$7:$U$7,0))</f>
        <v>0</v>
      </c>
    </row>
  </sheetData>
  <mergeCells count="4">
    <mergeCell ref="E3:I3"/>
    <mergeCell ref="E2:I2"/>
    <mergeCell ref="E1:I1"/>
    <mergeCell ref="G73:I74"/>
  </mergeCells>
  <phoneticPr fontId="8" type="noConversion"/>
  <printOptions horizontalCentered="1"/>
  <pageMargins left="0.25" right="0.25" top="0.5" bottom="0.5" header="0.25" footer="0.25"/>
  <pageSetup scale="10" orientation="portrait" r:id="rId1"/>
  <headerFooter alignWithMargins="0">
    <oddFooter>&amp;L&amp;"Times New Roman,Bold Italic"Black &amp; Veatch Corporation&amp;C&amp;"Times New Roman,Bold Italic"Date: &amp;D&amp;R&amp;"Times New Roman,Bold Italic"Page: &amp;P of&amp;N</odd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8000"/>
  </sheetPr>
  <dimension ref="A1:P313"/>
  <sheetViews>
    <sheetView showGridLines="0" zoomScale="70" zoomScaleNormal="70" zoomScaleSheetLayoutView="70" workbookViewId="0">
      <pane xSplit="6" ySplit="7" topLeftCell="G84" activePane="bottomRight" state="frozen"/>
      <selection activeCell="D11" sqref="D11"/>
      <selection pane="topRight" activeCell="D11" sqref="D11"/>
      <selection pane="bottomLeft" activeCell="D11" sqref="D11"/>
      <selection pane="bottomRight" activeCell="F14" sqref="F14"/>
    </sheetView>
  </sheetViews>
  <sheetFormatPr defaultRowHeight="15.75" zeroHeight="1"/>
  <cols>
    <col min="1" max="1" width="22.5" style="31" customWidth="1"/>
    <col min="2" max="2" width="1.625" style="31" customWidth="1"/>
    <col min="3" max="3" width="6.125" style="31" customWidth="1"/>
    <col min="4" max="4" width="8.375" style="31" customWidth="1"/>
    <col min="5" max="5" width="8.5" style="31" customWidth="1"/>
    <col min="6" max="6" width="36" style="31" customWidth="1"/>
    <col min="7" max="7" width="18.75" style="1258" bestFit="1" customWidth="1"/>
    <col min="8" max="8" width="16.125" style="31" customWidth="1"/>
    <col min="9" max="9" width="19.125" style="31" customWidth="1"/>
    <col min="10" max="10" width="19.25" style="1258" bestFit="1" customWidth="1"/>
    <col min="11" max="11" width="16.125" style="31" customWidth="1"/>
    <col min="12" max="12" width="18.375" style="31" customWidth="1"/>
    <col min="13" max="13" width="18.75" style="31" customWidth="1"/>
    <col min="14" max="14" width="2.625" style="31" customWidth="1"/>
    <col min="15" max="15" width="29.25" style="31" customWidth="1"/>
    <col min="16" max="16384" width="9" style="31"/>
  </cols>
  <sheetData>
    <row r="1" spans="1:16" s="30" customFormat="1" ht="22.5">
      <c r="A1" s="411"/>
      <c r="B1" s="29"/>
      <c r="C1" s="29"/>
      <c r="D1" s="29"/>
      <c r="E1" s="29"/>
      <c r="F1" s="4343" t="s">
        <v>391</v>
      </c>
      <c r="G1" s="4343"/>
      <c r="H1" s="4343"/>
      <c r="I1" s="4343"/>
      <c r="J1" s="4343"/>
      <c r="K1" s="4343"/>
      <c r="L1" s="4343"/>
      <c r="M1" s="4343"/>
      <c r="O1" s="3146" t="s">
        <v>2536</v>
      </c>
      <c r="P1" s="3146" t="s">
        <v>3493</v>
      </c>
    </row>
    <row r="2" spans="1:16" ht="22.5">
      <c r="A2" s="411"/>
      <c r="B2" s="29"/>
      <c r="C2" s="6"/>
      <c r="D2" s="6"/>
      <c r="E2" s="6"/>
      <c r="F2" s="4343" t="str">
        <f>Client</f>
        <v>Grant County Public Utility District</v>
      </c>
      <c r="G2" s="4343"/>
      <c r="H2" s="4343"/>
      <c r="I2" s="4343"/>
      <c r="J2" s="4343"/>
      <c r="K2" s="4343"/>
      <c r="L2" s="4343"/>
      <c r="M2" s="4343"/>
      <c r="O2" s="562" t="s">
        <v>3935</v>
      </c>
      <c r="P2" s="562" t="s">
        <v>3936</v>
      </c>
    </row>
    <row r="3" spans="1:16" ht="22.5">
      <c r="A3" s="411"/>
      <c r="B3" s="29"/>
      <c r="E3" s="6"/>
      <c r="F3" s="4343" t="s">
        <v>3932</v>
      </c>
      <c r="G3" s="4343"/>
      <c r="H3" s="4343"/>
      <c r="I3" s="4343"/>
      <c r="J3" s="4343"/>
      <c r="K3" s="4343"/>
      <c r="L3" s="4343"/>
      <c r="M3" s="4343"/>
      <c r="O3" s="1624" t="s">
        <v>3507</v>
      </c>
      <c r="P3" s="562" t="s">
        <v>2279</v>
      </c>
    </row>
    <row r="4" spans="1:16">
      <c r="A4" s="411"/>
      <c r="B4" s="29"/>
      <c r="E4" s="6"/>
      <c r="F4" s="2"/>
      <c r="H4" s="2"/>
      <c r="I4" s="2"/>
      <c r="K4" s="2"/>
      <c r="L4" s="2"/>
      <c r="M4" s="2"/>
    </row>
    <row r="5" spans="1:16">
      <c r="A5" s="411"/>
      <c r="B5" s="29"/>
      <c r="E5" s="6"/>
      <c r="F5" s="2"/>
      <c r="H5" s="2"/>
      <c r="I5" s="2"/>
      <c r="K5" s="2"/>
      <c r="L5" s="2"/>
      <c r="M5" s="2"/>
      <c r="O5" s="3146" t="s">
        <v>3508</v>
      </c>
    </row>
    <row r="6" spans="1:16">
      <c r="A6" s="411"/>
      <c r="B6" s="29"/>
      <c r="C6" s="129"/>
      <c r="D6" s="129"/>
      <c r="E6" s="129" t="s">
        <v>448</v>
      </c>
      <c r="F6" s="129"/>
      <c r="G6" s="1259" t="s">
        <v>597</v>
      </c>
      <c r="H6" s="129" t="s">
        <v>204</v>
      </c>
      <c r="I6" s="129" t="s">
        <v>205</v>
      </c>
      <c r="J6" s="1259" t="s">
        <v>689</v>
      </c>
      <c r="K6" s="129" t="s">
        <v>204</v>
      </c>
      <c r="L6" s="129" t="s">
        <v>205</v>
      </c>
      <c r="M6" s="129" t="s">
        <v>479</v>
      </c>
      <c r="O6" s="562" t="s">
        <v>3933</v>
      </c>
      <c r="P6" s="3143" t="s">
        <v>3934</v>
      </c>
    </row>
    <row r="7" spans="1:16">
      <c r="A7" s="411"/>
      <c r="B7" s="29"/>
      <c r="C7" s="132" t="s">
        <v>867</v>
      </c>
      <c r="D7" s="132"/>
      <c r="E7" s="132" t="s">
        <v>599</v>
      </c>
      <c r="F7" s="132" t="s">
        <v>399</v>
      </c>
      <c r="G7" s="1260" t="s">
        <v>660</v>
      </c>
      <c r="H7" s="132" t="s">
        <v>865</v>
      </c>
      <c r="I7" s="132" t="s">
        <v>206</v>
      </c>
      <c r="J7" s="1260" t="s">
        <v>384</v>
      </c>
      <c r="K7" s="132" t="s">
        <v>865</v>
      </c>
      <c r="L7" s="132" t="s">
        <v>478</v>
      </c>
      <c r="M7" s="132" t="s">
        <v>480</v>
      </c>
    </row>
    <row r="8" spans="1:16" s="30" customFormat="1">
      <c r="A8" s="411"/>
      <c r="B8" s="29"/>
      <c r="C8" s="314"/>
      <c r="D8" s="314"/>
      <c r="E8" s="314"/>
      <c r="F8" s="314"/>
      <c r="G8" s="1261"/>
      <c r="H8" s="314"/>
      <c r="I8" s="314"/>
      <c r="J8" s="1261"/>
      <c r="K8" s="314"/>
      <c r="L8" s="314"/>
      <c r="M8" s="314"/>
    </row>
    <row r="9" spans="1:16" ht="16.5" thickBot="1">
      <c r="A9" s="411"/>
      <c r="B9" s="29"/>
      <c r="C9" s="236"/>
      <c r="D9" s="236"/>
      <c r="E9" s="236"/>
      <c r="F9" s="14" t="s">
        <v>3104</v>
      </c>
      <c r="G9" s="1253"/>
      <c r="H9" s="4"/>
      <c r="I9" s="4"/>
      <c r="J9" s="1253"/>
      <c r="K9" s="4"/>
      <c r="L9" s="4"/>
      <c r="M9" s="4"/>
    </row>
    <row r="10" spans="1:16">
      <c r="A10" s="411"/>
      <c r="B10" s="29"/>
      <c r="C10" s="236">
        <f>+MAX($C$8:C9)+1</f>
        <v>1</v>
      </c>
      <c r="D10" s="1239">
        <v>301000</v>
      </c>
      <c r="E10" s="1240" t="str">
        <f t="shared" ref="E10:E16" si="0">MID(D10,1,3)</f>
        <v>301</v>
      </c>
      <c r="F10" s="1241" t="s">
        <v>508</v>
      </c>
      <c r="G10" s="4329">
        <v>30373</v>
      </c>
      <c r="H10" s="1242">
        <v>1</v>
      </c>
      <c r="I10" s="1626">
        <f t="shared" ref="I10:I16" si="1">G10*H10</f>
        <v>30373</v>
      </c>
      <c r="J10" s="1626">
        <v>0</v>
      </c>
      <c r="K10" s="1242">
        <v>1</v>
      </c>
      <c r="L10" s="1627">
        <f t="shared" ref="L10:L16" si="2">G10-J10</f>
        <v>30373</v>
      </c>
      <c r="M10" s="1243">
        <f t="shared" ref="M10:M16" si="3">L10</f>
        <v>30373</v>
      </c>
    </row>
    <row r="11" spans="1:16">
      <c r="A11" s="411"/>
      <c r="B11" s="29"/>
      <c r="C11" s="236">
        <f>+MAX($C$8:C10)+1</f>
        <v>2</v>
      </c>
      <c r="D11" s="1239">
        <v>302000</v>
      </c>
      <c r="E11" s="1240" t="str">
        <f t="shared" si="0"/>
        <v>302</v>
      </c>
      <c r="F11" s="1241" t="s">
        <v>509</v>
      </c>
      <c r="G11" s="4330">
        <v>3364</v>
      </c>
      <c r="H11" s="1245">
        <v>1</v>
      </c>
      <c r="I11" s="1628">
        <f t="shared" si="1"/>
        <v>3364</v>
      </c>
      <c r="J11" s="1628">
        <v>0</v>
      </c>
      <c r="K11" s="1245">
        <v>1</v>
      </c>
      <c r="L11" s="1629">
        <f t="shared" si="2"/>
        <v>3364</v>
      </c>
      <c r="M11" s="1243">
        <f t="shared" si="3"/>
        <v>3364</v>
      </c>
    </row>
    <row r="12" spans="1:16">
      <c r="A12" s="411"/>
      <c r="B12" s="29"/>
      <c r="C12" s="236">
        <f>+MAX($C$8:C11)+1</f>
        <v>3</v>
      </c>
      <c r="D12" s="1239">
        <v>303000</v>
      </c>
      <c r="E12" s="1240" t="str">
        <f t="shared" si="0"/>
        <v>303</v>
      </c>
      <c r="F12" s="1241" t="s">
        <v>510</v>
      </c>
      <c r="G12" s="4207">
        <f>801342.39+16969479.35</f>
        <v>17770821.740000002</v>
      </c>
      <c r="H12" s="1245">
        <v>1</v>
      </c>
      <c r="I12" s="1628">
        <f t="shared" si="1"/>
        <v>17770821.740000002</v>
      </c>
      <c r="J12" s="4206">
        <v>12854745.26</v>
      </c>
      <c r="K12" s="1245">
        <v>1</v>
      </c>
      <c r="L12" s="1629">
        <f t="shared" si="2"/>
        <v>4916076.4800000023</v>
      </c>
      <c r="M12" s="1243">
        <f t="shared" si="3"/>
        <v>4916076.4800000023</v>
      </c>
    </row>
    <row r="13" spans="1:16">
      <c r="A13" s="411"/>
      <c r="B13" s="29"/>
      <c r="C13" s="236">
        <f>+MAX($C$8:C12)+1</f>
        <v>4</v>
      </c>
      <c r="D13" s="1239">
        <v>303010</v>
      </c>
      <c r="E13" s="1240" t="str">
        <f t="shared" si="0"/>
        <v>303</v>
      </c>
      <c r="F13" s="1241" t="s">
        <v>511</v>
      </c>
      <c r="G13" s="4207">
        <v>16450622.41</v>
      </c>
      <c r="H13" s="1245">
        <v>1</v>
      </c>
      <c r="I13" s="1628">
        <f t="shared" si="1"/>
        <v>16450622.41</v>
      </c>
      <c r="J13" s="4206">
        <v>10240394.17</v>
      </c>
      <c r="K13" s="1245">
        <v>1</v>
      </c>
      <c r="L13" s="1629">
        <f t="shared" si="2"/>
        <v>6210228.2400000002</v>
      </c>
      <c r="M13" s="1243">
        <f t="shared" si="3"/>
        <v>6210228.2400000002</v>
      </c>
    </row>
    <row r="14" spans="1:16">
      <c r="A14" s="411"/>
      <c r="B14" s="29"/>
      <c r="C14" s="236">
        <f>+MAX($C$8:C13)+1</f>
        <v>5</v>
      </c>
      <c r="D14" s="1239">
        <v>303100</v>
      </c>
      <c r="E14" s="1240" t="str">
        <f t="shared" si="0"/>
        <v>303</v>
      </c>
      <c r="F14" s="1241" t="s">
        <v>512</v>
      </c>
      <c r="G14" s="4207">
        <v>0</v>
      </c>
      <c r="H14" s="1245">
        <v>1</v>
      </c>
      <c r="I14" s="1628">
        <f t="shared" si="1"/>
        <v>0</v>
      </c>
      <c r="J14" s="4206">
        <v>0</v>
      </c>
      <c r="K14" s="1245">
        <v>1</v>
      </c>
      <c r="L14" s="1629">
        <f t="shared" si="2"/>
        <v>0</v>
      </c>
      <c r="M14" s="1243">
        <f t="shared" si="3"/>
        <v>0</v>
      </c>
    </row>
    <row r="15" spans="1:16">
      <c r="A15" s="411"/>
      <c r="B15" s="29"/>
      <c r="C15" s="236">
        <f>+MAX($C$8:C14)+1</f>
        <v>6</v>
      </c>
      <c r="D15" s="1239">
        <v>303500</v>
      </c>
      <c r="E15" s="1240" t="str">
        <f t="shared" si="0"/>
        <v>303</v>
      </c>
      <c r="F15" s="1241" t="s">
        <v>2753</v>
      </c>
      <c r="G15" s="4207">
        <v>5191593.91</v>
      </c>
      <c r="H15" s="1245">
        <v>1</v>
      </c>
      <c r="I15" s="1628">
        <f t="shared" si="1"/>
        <v>5191593.91</v>
      </c>
      <c r="J15" s="4206">
        <v>1756047.14</v>
      </c>
      <c r="K15" s="1245">
        <v>1</v>
      </c>
      <c r="L15" s="1629">
        <f>G15-J15</f>
        <v>3435546.7700000005</v>
      </c>
      <c r="M15" s="1243">
        <f>L15</f>
        <v>3435546.7700000005</v>
      </c>
    </row>
    <row r="16" spans="1:16" ht="16.5" thickBot="1">
      <c r="A16" s="411"/>
      <c r="B16" s="29"/>
      <c r="C16" s="236">
        <f>+MAX($C$8:C15)+1</f>
        <v>7</v>
      </c>
      <c r="D16" s="1239">
        <v>346000</v>
      </c>
      <c r="E16" s="1240" t="str">
        <f t="shared" si="0"/>
        <v>346</v>
      </c>
      <c r="F16" s="1241" t="s">
        <v>513</v>
      </c>
      <c r="G16" s="4331">
        <v>29655.78</v>
      </c>
      <c r="H16" s="4332">
        <v>1</v>
      </c>
      <c r="I16" s="4333">
        <f t="shared" si="1"/>
        <v>29655.78</v>
      </c>
      <c r="J16" s="4333">
        <v>16310.69</v>
      </c>
      <c r="K16" s="4332">
        <f>H16</f>
        <v>1</v>
      </c>
      <c r="L16" s="1631">
        <f t="shared" si="2"/>
        <v>13345.089999999998</v>
      </c>
      <c r="M16" s="1243">
        <f t="shared" si="3"/>
        <v>13345.089999999998</v>
      </c>
    </row>
    <row r="17" spans="1:13" ht="2.25" customHeight="1">
      <c r="A17" s="411"/>
      <c r="B17" s="29"/>
      <c r="C17" s="236"/>
      <c r="D17" s="4"/>
      <c r="E17" s="4"/>
      <c r="F17" s="15"/>
      <c r="G17" s="1262"/>
      <c r="H17" s="1262"/>
      <c r="I17" s="1632"/>
      <c r="J17" s="1262"/>
      <c r="K17" s="1262"/>
      <c r="L17" s="1632"/>
      <c r="M17" s="1255"/>
    </row>
    <row r="18" spans="1:13">
      <c r="A18" s="411"/>
      <c r="B18" s="29"/>
      <c r="C18" s="236">
        <f>+MAX($C$8:C17)+1</f>
        <v>8</v>
      </c>
      <c r="D18" s="236"/>
      <c r="E18" s="236"/>
      <c r="F18" s="40" t="s">
        <v>3105</v>
      </c>
      <c r="G18" s="1263">
        <f>SUM(G10:G16)</f>
        <v>39476430.840000004</v>
      </c>
      <c r="H18" s="1263"/>
      <c r="I18" s="1633">
        <f>SUM(I10:I16)</f>
        <v>39476430.840000004</v>
      </c>
      <c r="J18" s="1263">
        <f>SUM(J10:J16)</f>
        <v>24867497.260000002</v>
      </c>
      <c r="K18" s="1263"/>
      <c r="L18" s="1633">
        <f>SUM(L10:L16)</f>
        <v>14608933.580000002</v>
      </c>
      <c r="M18" s="1263">
        <f>SUM(M10:M16)</f>
        <v>14608933.580000002</v>
      </c>
    </row>
    <row r="19" spans="1:13">
      <c r="A19" s="411"/>
      <c r="B19" s="29"/>
      <c r="C19" s="4"/>
      <c r="D19" s="4"/>
      <c r="E19" s="4"/>
      <c r="F19" s="4"/>
      <c r="G19" s="1253"/>
      <c r="H19" s="1253"/>
      <c r="I19" s="1634"/>
      <c r="J19" s="1253"/>
      <c r="K19" s="1253"/>
      <c r="L19" s="1634"/>
      <c r="M19" s="1253"/>
    </row>
    <row r="20" spans="1:13" ht="16.5" thickBot="1">
      <c r="A20" s="411"/>
      <c r="B20" s="29"/>
      <c r="C20" s="4"/>
      <c r="D20" s="4"/>
      <c r="E20" s="4"/>
      <c r="F20" s="40" t="s">
        <v>107</v>
      </c>
      <c r="G20" s="1253"/>
      <c r="H20" s="1253"/>
      <c r="I20" s="1634"/>
      <c r="J20" s="1253"/>
      <c r="K20" s="1253"/>
      <c r="L20" s="1634"/>
      <c r="M20" s="1253"/>
    </row>
    <row r="21" spans="1:13">
      <c r="A21" s="411"/>
      <c r="B21" s="29"/>
      <c r="C21" s="236">
        <f>+MAX(C17:C20)+1</f>
        <v>9</v>
      </c>
      <c r="D21" s="1239">
        <v>350000</v>
      </c>
      <c r="E21" s="1240" t="str">
        <f t="shared" ref="E21:E30" si="4">MID(D21,1,3)</f>
        <v>350</v>
      </c>
      <c r="F21" s="1241" t="s">
        <v>203</v>
      </c>
      <c r="G21" s="4329">
        <v>1667921.41</v>
      </c>
      <c r="H21" s="1242">
        <v>1</v>
      </c>
      <c r="I21" s="1626">
        <f>G21*H21</f>
        <v>1667921.41</v>
      </c>
      <c r="J21" s="1626">
        <v>0</v>
      </c>
      <c r="K21" s="1242">
        <f>H21</f>
        <v>1</v>
      </c>
      <c r="L21" s="1627">
        <f t="shared" ref="L21:L30" si="5">G21-J21</f>
        <v>1667921.41</v>
      </c>
      <c r="M21" s="1243">
        <f>L21</f>
        <v>1667921.41</v>
      </c>
    </row>
    <row r="22" spans="1:13">
      <c r="A22" s="411"/>
      <c r="B22" s="29"/>
      <c r="C22" s="236">
        <f>+MAX(C17:C21)+1</f>
        <v>10</v>
      </c>
      <c r="D22" s="1239">
        <v>352000</v>
      </c>
      <c r="E22" s="1240" t="str">
        <f t="shared" si="4"/>
        <v>352</v>
      </c>
      <c r="F22" s="1241" t="s">
        <v>207</v>
      </c>
      <c r="G22" s="4334">
        <v>569928.36</v>
      </c>
      <c r="H22" s="1245">
        <v>1</v>
      </c>
      <c r="I22" s="1635">
        <f t="shared" ref="I22:I30" si="6">G22*H22</f>
        <v>569928.36</v>
      </c>
      <c r="J22" s="1635">
        <v>297654.61</v>
      </c>
      <c r="K22" s="1245">
        <f>H22</f>
        <v>1</v>
      </c>
      <c r="L22" s="1636">
        <f t="shared" si="5"/>
        <v>272273.75</v>
      </c>
      <c r="M22" s="1243">
        <f t="shared" ref="M22:M30" si="7">L22</f>
        <v>272273.75</v>
      </c>
    </row>
    <row r="23" spans="1:13">
      <c r="A23" s="411"/>
      <c r="B23" s="29"/>
      <c r="C23" s="236">
        <f t="shared" ref="C23:C28" si="8">+MAX(C17:C22)+1</f>
        <v>11</v>
      </c>
      <c r="D23" s="1239">
        <v>353000</v>
      </c>
      <c r="E23" s="1240" t="str">
        <f t="shared" si="4"/>
        <v>353</v>
      </c>
      <c r="F23" s="1241" t="s">
        <v>413</v>
      </c>
      <c r="G23" s="4334">
        <v>46024484.879999988</v>
      </c>
      <c r="H23" s="1245">
        <v>1</v>
      </c>
      <c r="I23" s="1635">
        <f t="shared" si="6"/>
        <v>46024484.879999988</v>
      </c>
      <c r="J23" s="1635">
        <v>21858897.710000001</v>
      </c>
      <c r="K23" s="1245">
        <v>1</v>
      </c>
      <c r="L23" s="1636">
        <f t="shared" si="5"/>
        <v>24165587.169999987</v>
      </c>
      <c r="M23" s="1243">
        <f t="shared" si="7"/>
        <v>24165587.169999987</v>
      </c>
    </row>
    <row r="24" spans="1:13">
      <c r="A24" s="411"/>
      <c r="B24" s="29"/>
      <c r="C24" s="236">
        <f t="shared" si="8"/>
        <v>12</v>
      </c>
      <c r="D24" s="1239">
        <v>353100</v>
      </c>
      <c r="E24" s="1240" t="str">
        <f t="shared" si="4"/>
        <v>353</v>
      </c>
      <c r="F24" s="1241" t="s">
        <v>514</v>
      </c>
      <c r="G24" s="4334">
        <v>0</v>
      </c>
      <c r="H24" s="1245">
        <v>1</v>
      </c>
      <c r="I24" s="1635">
        <f t="shared" si="6"/>
        <v>0</v>
      </c>
      <c r="J24" s="1635">
        <v>0</v>
      </c>
      <c r="K24" s="1245">
        <v>1</v>
      </c>
      <c r="L24" s="1636">
        <f t="shared" si="5"/>
        <v>0</v>
      </c>
      <c r="M24" s="1243">
        <f t="shared" si="7"/>
        <v>0</v>
      </c>
    </row>
    <row r="25" spans="1:13">
      <c r="A25" s="411"/>
      <c r="B25" s="29"/>
      <c r="C25" s="236">
        <f t="shared" si="8"/>
        <v>13</v>
      </c>
      <c r="D25" s="1239">
        <v>353102</v>
      </c>
      <c r="E25" s="1240" t="str">
        <f t="shared" si="4"/>
        <v>353</v>
      </c>
      <c r="F25" s="1241" t="s">
        <v>319</v>
      </c>
      <c r="G25" s="4334">
        <v>0</v>
      </c>
      <c r="H25" s="1245">
        <v>1</v>
      </c>
      <c r="I25" s="1635">
        <f t="shared" si="6"/>
        <v>0</v>
      </c>
      <c r="J25" s="1635">
        <v>0</v>
      </c>
      <c r="K25" s="1245">
        <v>1</v>
      </c>
      <c r="L25" s="1636">
        <f t="shared" si="5"/>
        <v>0</v>
      </c>
      <c r="M25" s="1243">
        <f t="shared" si="7"/>
        <v>0</v>
      </c>
    </row>
    <row r="26" spans="1:13">
      <c r="A26" s="411"/>
      <c r="B26" s="29"/>
      <c r="C26" s="236">
        <f t="shared" si="8"/>
        <v>14</v>
      </c>
      <c r="D26" s="1239">
        <v>353940</v>
      </c>
      <c r="E26" s="1240" t="str">
        <f t="shared" si="4"/>
        <v>353</v>
      </c>
      <c r="F26" s="1241" t="s">
        <v>320</v>
      </c>
      <c r="G26" s="4334">
        <v>0</v>
      </c>
      <c r="H26" s="1245">
        <v>1</v>
      </c>
      <c r="I26" s="1635">
        <f t="shared" si="6"/>
        <v>0</v>
      </c>
      <c r="J26" s="1635">
        <v>0</v>
      </c>
      <c r="K26" s="1245">
        <v>1</v>
      </c>
      <c r="L26" s="1636">
        <f t="shared" si="5"/>
        <v>0</v>
      </c>
      <c r="M26" s="1243">
        <f t="shared" si="7"/>
        <v>0</v>
      </c>
    </row>
    <row r="27" spans="1:13">
      <c r="A27" s="411"/>
      <c r="B27" s="29"/>
      <c r="C27" s="236">
        <f t="shared" si="8"/>
        <v>15</v>
      </c>
      <c r="D27" s="1239">
        <v>354000</v>
      </c>
      <c r="E27" s="1240" t="str">
        <f t="shared" si="4"/>
        <v>354</v>
      </c>
      <c r="F27" s="1241" t="s">
        <v>414</v>
      </c>
      <c r="G27" s="4334">
        <v>4208752.21</v>
      </c>
      <c r="H27" s="1245">
        <v>1</v>
      </c>
      <c r="I27" s="1635">
        <f t="shared" si="6"/>
        <v>4208752.21</v>
      </c>
      <c r="J27" s="1635">
        <v>1721229.0999999999</v>
      </c>
      <c r="K27" s="1245">
        <v>1</v>
      </c>
      <c r="L27" s="1636">
        <f t="shared" si="5"/>
        <v>2487523.1100000003</v>
      </c>
      <c r="M27" s="1243">
        <f t="shared" si="7"/>
        <v>2487523.1100000003</v>
      </c>
    </row>
    <row r="28" spans="1:13">
      <c r="A28" s="411"/>
      <c r="B28" s="29"/>
      <c r="C28" s="236">
        <f t="shared" si="8"/>
        <v>16</v>
      </c>
      <c r="D28" s="1239">
        <v>355000</v>
      </c>
      <c r="E28" s="1240" t="str">
        <f t="shared" si="4"/>
        <v>355</v>
      </c>
      <c r="F28" s="1241" t="s">
        <v>415</v>
      </c>
      <c r="G28" s="4334">
        <v>83616236.019999996</v>
      </c>
      <c r="H28" s="1245">
        <v>1</v>
      </c>
      <c r="I28" s="1635">
        <f t="shared" si="6"/>
        <v>83616236.019999996</v>
      </c>
      <c r="J28" s="1635">
        <v>26238944.310000002</v>
      </c>
      <c r="K28" s="1245">
        <v>1</v>
      </c>
      <c r="L28" s="1636">
        <f t="shared" si="5"/>
        <v>57377291.709999993</v>
      </c>
      <c r="M28" s="1243">
        <f t="shared" si="7"/>
        <v>57377291.709999993</v>
      </c>
    </row>
    <row r="29" spans="1:13">
      <c r="A29" s="411"/>
      <c r="B29" s="29"/>
      <c r="C29" s="236">
        <f>+MAX(C22:C28)+1</f>
        <v>17</v>
      </c>
      <c r="D29" s="1239">
        <v>356000</v>
      </c>
      <c r="E29" s="1240" t="str">
        <f t="shared" si="4"/>
        <v>356</v>
      </c>
      <c r="F29" s="1241" t="s">
        <v>416</v>
      </c>
      <c r="G29" s="4334">
        <v>54935909.289999999</v>
      </c>
      <c r="H29" s="1245">
        <v>1</v>
      </c>
      <c r="I29" s="1635">
        <f t="shared" si="6"/>
        <v>54935909.289999999</v>
      </c>
      <c r="J29" s="1635">
        <v>12464825.529999999</v>
      </c>
      <c r="K29" s="1245">
        <v>1</v>
      </c>
      <c r="L29" s="1636">
        <f t="shared" si="5"/>
        <v>42471083.759999998</v>
      </c>
      <c r="M29" s="1243">
        <f t="shared" si="7"/>
        <v>42471083.759999998</v>
      </c>
    </row>
    <row r="30" spans="1:13" ht="16.5" thickBot="1">
      <c r="A30" s="411"/>
      <c r="B30" s="29"/>
      <c r="C30" s="236">
        <f>+MAX(C25:C29)+1</f>
        <v>18</v>
      </c>
      <c r="D30" s="1239">
        <v>359000</v>
      </c>
      <c r="E30" s="1240" t="str">
        <f t="shared" si="4"/>
        <v>359</v>
      </c>
      <c r="F30" s="1241" t="s">
        <v>318</v>
      </c>
      <c r="G30" s="4335">
        <v>19039.04</v>
      </c>
      <c r="H30" s="4332">
        <v>1</v>
      </c>
      <c r="I30" s="4336">
        <f t="shared" si="6"/>
        <v>19039.04</v>
      </c>
      <c r="J30" s="4336">
        <v>14397.59</v>
      </c>
      <c r="K30" s="4332">
        <v>1</v>
      </c>
      <c r="L30" s="1637">
        <f t="shared" si="5"/>
        <v>4641.4500000000007</v>
      </c>
      <c r="M30" s="1243">
        <f t="shared" si="7"/>
        <v>4641.4500000000007</v>
      </c>
    </row>
    <row r="31" spans="1:13" ht="2.25" customHeight="1">
      <c r="A31" s="411"/>
      <c r="B31" s="29"/>
      <c r="C31" s="236"/>
      <c r="D31" s="236"/>
      <c r="E31" s="4"/>
      <c r="F31" s="4"/>
      <c r="G31" s="1264"/>
      <c r="H31" s="1262"/>
      <c r="I31" s="1632"/>
      <c r="J31" s="1262">
        <v>0</v>
      </c>
      <c r="K31" s="1262"/>
      <c r="L31" s="1638"/>
      <c r="M31" s="1639"/>
    </row>
    <row r="32" spans="1:13">
      <c r="A32" s="411"/>
      <c r="B32" s="29"/>
      <c r="C32" s="236">
        <f>+MAX(C20:C31)+1</f>
        <v>19</v>
      </c>
      <c r="D32" s="236"/>
      <c r="E32" s="236"/>
      <c r="F32" s="40" t="s">
        <v>598</v>
      </c>
      <c r="G32" s="1257">
        <f>SUM(G21:G30)</f>
        <v>191042271.20999998</v>
      </c>
      <c r="H32" s="1257"/>
      <c r="I32" s="1640">
        <f>SUM(I21:I30)</f>
        <v>191042271.20999998</v>
      </c>
      <c r="J32" s="1257">
        <f>SUM(J21:J30)</f>
        <v>62595948.850000009</v>
      </c>
      <c r="K32" s="1257"/>
      <c r="L32" s="1640">
        <f>SUM(L21:L30)</f>
        <v>128446322.35999997</v>
      </c>
      <c r="M32" s="1263">
        <f>SUM(M21:M30)</f>
        <v>128446322.35999997</v>
      </c>
    </row>
    <row r="33" spans="1:13">
      <c r="A33" s="411"/>
      <c r="B33" s="29"/>
      <c r="C33" s="236"/>
      <c r="D33" s="236"/>
      <c r="E33" s="4"/>
      <c r="F33" s="4"/>
      <c r="G33" s="1253"/>
      <c r="H33" s="1253"/>
      <c r="I33" s="1634"/>
      <c r="J33" s="1253">
        <f>J32/G32</f>
        <v>0.32765496585408826</v>
      </c>
      <c r="K33" s="1253"/>
      <c r="L33" s="1634"/>
      <c r="M33" s="1253"/>
    </row>
    <row r="34" spans="1:13" ht="16.5" thickBot="1">
      <c r="A34" s="411"/>
      <c r="B34" s="29"/>
      <c r="C34" s="236"/>
      <c r="D34" s="236"/>
      <c r="E34" s="4"/>
      <c r="F34" s="14" t="s">
        <v>108</v>
      </c>
      <c r="G34" s="1253"/>
      <c r="H34" s="1253"/>
      <c r="I34" s="1634"/>
      <c r="J34" s="1253"/>
      <c r="K34" s="1253"/>
      <c r="L34" s="1634"/>
      <c r="M34" s="1253"/>
    </row>
    <row r="35" spans="1:13">
      <c r="A35" s="411"/>
      <c r="B35" s="29"/>
      <c r="C35" s="236">
        <f>+MAX(C22:C34)+1</f>
        <v>20</v>
      </c>
      <c r="D35" s="1239">
        <v>360000</v>
      </c>
      <c r="E35" s="1240" t="str">
        <f t="shared" ref="E35:E49" si="9">MID(D35,1,3)</f>
        <v>360</v>
      </c>
      <c r="F35" s="1241" t="s">
        <v>203</v>
      </c>
      <c r="G35" s="4329">
        <v>853208.64</v>
      </c>
      <c r="H35" s="1242">
        <v>1</v>
      </c>
      <c r="I35" s="1626">
        <f t="shared" ref="I35:I49" si="10">G35*H35</f>
        <v>853208.64</v>
      </c>
      <c r="J35" s="1626">
        <v>0</v>
      </c>
      <c r="K35" s="1242">
        <f t="shared" ref="K35:K49" si="11">H35</f>
        <v>1</v>
      </c>
      <c r="L35" s="1627">
        <f t="shared" ref="L35:L49" si="12">G35-J35</f>
        <v>853208.64</v>
      </c>
      <c r="M35" s="1243">
        <f>L35</f>
        <v>853208.64</v>
      </c>
    </row>
    <row r="36" spans="1:13">
      <c r="A36" s="411"/>
      <c r="B36" s="29"/>
      <c r="C36" s="236">
        <f>+MAX(C23:C35)+1</f>
        <v>21</v>
      </c>
      <c r="D36" s="1239">
        <v>361000</v>
      </c>
      <c r="E36" s="1240" t="str">
        <f t="shared" si="9"/>
        <v>361</v>
      </c>
      <c r="F36" s="1241" t="s">
        <v>207</v>
      </c>
      <c r="G36" s="4330">
        <v>1052383.6300000001</v>
      </c>
      <c r="H36" s="1245">
        <v>1</v>
      </c>
      <c r="I36" s="1628">
        <f t="shared" si="10"/>
        <v>1052383.6300000001</v>
      </c>
      <c r="J36" s="1628">
        <v>755819.68000000017</v>
      </c>
      <c r="K36" s="1245">
        <f t="shared" si="11"/>
        <v>1</v>
      </c>
      <c r="L36" s="1629">
        <f t="shared" si="12"/>
        <v>296563.94999999995</v>
      </c>
      <c r="M36" s="1243">
        <f t="shared" ref="M36:M49" si="13">L36</f>
        <v>296563.94999999995</v>
      </c>
    </row>
    <row r="37" spans="1:13">
      <c r="A37" s="411"/>
      <c r="B37" s="29"/>
      <c r="C37" s="236">
        <f t="shared" ref="C37:C48" si="14">+MAX(C27:C36)+1</f>
        <v>22</v>
      </c>
      <c r="D37" s="1239">
        <v>362000</v>
      </c>
      <c r="E37" s="1240" t="str">
        <f t="shared" si="9"/>
        <v>362</v>
      </c>
      <c r="F37" s="1241" t="s">
        <v>413</v>
      </c>
      <c r="G37" s="4330">
        <v>126220784.69999996</v>
      </c>
      <c r="H37" s="1245">
        <v>1</v>
      </c>
      <c r="I37" s="1628">
        <f t="shared" si="10"/>
        <v>126220784.69999996</v>
      </c>
      <c r="J37" s="1628">
        <v>51770286.180000015</v>
      </c>
      <c r="K37" s="1245">
        <f t="shared" si="11"/>
        <v>1</v>
      </c>
      <c r="L37" s="1629">
        <f t="shared" si="12"/>
        <v>74450498.519999951</v>
      </c>
      <c r="M37" s="1243">
        <f t="shared" si="13"/>
        <v>74450498.519999951</v>
      </c>
    </row>
    <row r="38" spans="1:13">
      <c r="A38" s="411"/>
      <c r="B38" s="29"/>
      <c r="C38" s="236">
        <f t="shared" si="14"/>
        <v>23</v>
      </c>
      <c r="D38" s="1239">
        <v>364000</v>
      </c>
      <c r="E38" s="1240" t="str">
        <f t="shared" si="9"/>
        <v>364</v>
      </c>
      <c r="F38" s="1241" t="s">
        <v>418</v>
      </c>
      <c r="G38" s="4334">
        <v>74906093.939999983</v>
      </c>
      <c r="H38" s="1245">
        <v>1</v>
      </c>
      <c r="I38" s="1635">
        <f t="shared" si="10"/>
        <v>74906093.939999983</v>
      </c>
      <c r="J38" s="1635">
        <v>48463150.460000008</v>
      </c>
      <c r="K38" s="1245">
        <f t="shared" si="11"/>
        <v>1</v>
      </c>
      <c r="L38" s="1629">
        <f t="shared" si="12"/>
        <v>26442943.479999974</v>
      </c>
      <c r="M38" s="1243">
        <f t="shared" si="13"/>
        <v>26442943.479999974</v>
      </c>
    </row>
    <row r="39" spans="1:13">
      <c r="A39" s="411"/>
      <c r="B39" s="29"/>
      <c r="C39" s="236">
        <f t="shared" si="14"/>
        <v>24</v>
      </c>
      <c r="D39" s="1239">
        <v>365000</v>
      </c>
      <c r="E39" s="1240" t="str">
        <f t="shared" si="9"/>
        <v>365</v>
      </c>
      <c r="F39" s="1241" t="s">
        <v>416</v>
      </c>
      <c r="G39" s="4334">
        <v>79450114.670000121</v>
      </c>
      <c r="H39" s="1245">
        <v>1</v>
      </c>
      <c r="I39" s="1635">
        <f t="shared" si="10"/>
        <v>79450114.670000121</v>
      </c>
      <c r="J39" s="1635">
        <v>33102973.090000004</v>
      </c>
      <c r="K39" s="1245">
        <f t="shared" si="11"/>
        <v>1</v>
      </c>
      <c r="L39" s="1629">
        <f t="shared" si="12"/>
        <v>46347141.580000117</v>
      </c>
      <c r="M39" s="1243">
        <f t="shared" si="13"/>
        <v>46347141.580000117</v>
      </c>
    </row>
    <row r="40" spans="1:13">
      <c r="A40" s="411"/>
      <c r="B40" s="29"/>
      <c r="C40" s="236">
        <f t="shared" si="14"/>
        <v>25</v>
      </c>
      <c r="D40" s="1239">
        <v>366000</v>
      </c>
      <c r="E40" s="1240" t="str">
        <f t="shared" si="9"/>
        <v>366</v>
      </c>
      <c r="F40" s="1241" t="s">
        <v>417</v>
      </c>
      <c r="G40" s="4334">
        <v>18865207.040000007</v>
      </c>
      <c r="H40" s="1245">
        <v>1</v>
      </c>
      <c r="I40" s="1635">
        <f t="shared" si="10"/>
        <v>18865207.040000007</v>
      </c>
      <c r="J40" s="1635">
        <v>4084508.4900000007</v>
      </c>
      <c r="K40" s="1245">
        <f t="shared" si="11"/>
        <v>1</v>
      </c>
      <c r="L40" s="1629">
        <f t="shared" si="12"/>
        <v>14780698.550000006</v>
      </c>
      <c r="M40" s="1243">
        <f t="shared" si="13"/>
        <v>14780698.550000006</v>
      </c>
    </row>
    <row r="41" spans="1:13">
      <c r="A41" s="411"/>
      <c r="B41" s="29"/>
      <c r="C41" s="236">
        <f t="shared" si="14"/>
        <v>26</v>
      </c>
      <c r="D41" s="1239">
        <v>367000</v>
      </c>
      <c r="E41" s="1240" t="str">
        <f t="shared" si="9"/>
        <v>367</v>
      </c>
      <c r="F41" s="1241" t="s">
        <v>419</v>
      </c>
      <c r="G41" s="4334">
        <v>84429162.459999844</v>
      </c>
      <c r="H41" s="1245">
        <v>1</v>
      </c>
      <c r="I41" s="1635">
        <f t="shared" si="10"/>
        <v>84429162.459999844</v>
      </c>
      <c r="J41" s="1635">
        <v>28001801.039999995</v>
      </c>
      <c r="K41" s="1245">
        <f t="shared" si="11"/>
        <v>1</v>
      </c>
      <c r="L41" s="1629">
        <f t="shared" si="12"/>
        <v>56427361.419999853</v>
      </c>
      <c r="M41" s="1243">
        <f t="shared" si="13"/>
        <v>56427361.419999853</v>
      </c>
    </row>
    <row r="42" spans="1:13">
      <c r="A42" s="411"/>
      <c r="B42" s="29"/>
      <c r="C42" s="236">
        <f t="shared" si="14"/>
        <v>27</v>
      </c>
      <c r="D42" s="1239">
        <v>368000</v>
      </c>
      <c r="E42" s="1240" t="str">
        <f t="shared" si="9"/>
        <v>368</v>
      </c>
      <c r="F42" s="1241" t="s">
        <v>420</v>
      </c>
      <c r="G42" s="4334">
        <v>71751310.809999958</v>
      </c>
      <c r="H42" s="1245">
        <v>1</v>
      </c>
      <c r="I42" s="1635">
        <f t="shared" si="10"/>
        <v>71751310.809999958</v>
      </c>
      <c r="J42" s="1635">
        <v>47713475.590000026</v>
      </c>
      <c r="K42" s="1245">
        <f t="shared" si="11"/>
        <v>1</v>
      </c>
      <c r="L42" s="1629">
        <f t="shared" si="12"/>
        <v>24037835.219999932</v>
      </c>
      <c r="M42" s="1243">
        <f t="shared" si="13"/>
        <v>24037835.219999932</v>
      </c>
    </row>
    <row r="43" spans="1:13">
      <c r="A43" s="411"/>
      <c r="B43" s="29"/>
      <c r="C43" s="236">
        <f t="shared" si="14"/>
        <v>28</v>
      </c>
      <c r="D43" s="1239">
        <v>369000</v>
      </c>
      <c r="E43" s="1240" t="str">
        <f t="shared" si="9"/>
        <v>369</v>
      </c>
      <c r="F43" s="1241" t="s">
        <v>2095</v>
      </c>
      <c r="G43" s="4334">
        <v>19664549.539999995</v>
      </c>
      <c r="H43" s="1245">
        <v>1</v>
      </c>
      <c r="I43" s="1635">
        <f t="shared" si="10"/>
        <v>19664549.539999995</v>
      </c>
      <c r="J43" s="1635">
        <v>16220267.309999999</v>
      </c>
      <c r="K43" s="1245">
        <f t="shared" si="11"/>
        <v>1</v>
      </c>
      <c r="L43" s="1629">
        <f t="shared" si="12"/>
        <v>3444282.2299999967</v>
      </c>
      <c r="M43" s="1243">
        <f t="shared" si="13"/>
        <v>3444282.2299999967</v>
      </c>
    </row>
    <row r="44" spans="1:13" hidden="1">
      <c r="A44" s="411"/>
      <c r="B44" s="29"/>
      <c r="C44" s="236"/>
      <c r="D44" s="1247">
        <v>369010</v>
      </c>
      <c r="E44" s="1248" t="str">
        <f t="shared" si="9"/>
        <v>369</v>
      </c>
      <c r="F44" s="1249" t="s">
        <v>324</v>
      </c>
      <c r="G44" s="4330">
        <v>0</v>
      </c>
      <c r="H44" s="1245">
        <v>1</v>
      </c>
      <c r="I44" s="1628">
        <f t="shared" si="10"/>
        <v>0</v>
      </c>
      <c r="J44" s="1628">
        <v>0</v>
      </c>
      <c r="K44" s="1245">
        <f t="shared" si="11"/>
        <v>1</v>
      </c>
      <c r="L44" s="1629">
        <f t="shared" si="12"/>
        <v>0</v>
      </c>
      <c r="M44" s="1243">
        <f t="shared" si="13"/>
        <v>0</v>
      </c>
    </row>
    <row r="45" spans="1:13" hidden="1">
      <c r="A45" s="411"/>
      <c r="B45" s="29"/>
      <c r="C45" s="236"/>
      <c r="D45" s="1247">
        <v>369020</v>
      </c>
      <c r="E45" s="1248" t="str">
        <f t="shared" si="9"/>
        <v>369</v>
      </c>
      <c r="F45" s="1249" t="s">
        <v>321</v>
      </c>
      <c r="G45" s="4330">
        <v>0</v>
      </c>
      <c r="H45" s="1245">
        <v>1</v>
      </c>
      <c r="I45" s="1628">
        <f t="shared" si="10"/>
        <v>0</v>
      </c>
      <c r="J45" s="1628">
        <v>0</v>
      </c>
      <c r="K45" s="1245">
        <f t="shared" si="11"/>
        <v>1</v>
      </c>
      <c r="L45" s="1629">
        <f t="shared" si="12"/>
        <v>0</v>
      </c>
      <c r="M45" s="1243">
        <f t="shared" si="13"/>
        <v>0</v>
      </c>
    </row>
    <row r="46" spans="1:13">
      <c r="A46" s="411"/>
      <c r="B46" s="29"/>
      <c r="C46" s="236">
        <f t="shared" si="14"/>
        <v>29</v>
      </c>
      <c r="D46" s="1239">
        <v>370000</v>
      </c>
      <c r="E46" s="1240" t="str">
        <f t="shared" si="9"/>
        <v>370</v>
      </c>
      <c r="F46" s="1241" t="s">
        <v>421</v>
      </c>
      <c r="G46" s="4330">
        <v>13712709.589999998</v>
      </c>
      <c r="H46" s="1245">
        <v>1</v>
      </c>
      <c r="I46" s="1628">
        <f t="shared" si="10"/>
        <v>13712709.589999998</v>
      </c>
      <c r="J46" s="1628">
        <v>10705773.57</v>
      </c>
      <c r="K46" s="1245">
        <f t="shared" si="11"/>
        <v>1</v>
      </c>
      <c r="L46" s="1629">
        <f t="shared" si="12"/>
        <v>3006936.0199999977</v>
      </c>
      <c r="M46" s="1243">
        <f t="shared" si="13"/>
        <v>3006936.0199999977</v>
      </c>
    </row>
    <row r="47" spans="1:13" hidden="1">
      <c r="A47" s="411"/>
      <c r="B47" s="29"/>
      <c r="C47" s="236"/>
      <c r="D47" s="1247">
        <v>370010</v>
      </c>
      <c r="E47" s="1248" t="str">
        <f t="shared" si="9"/>
        <v>370</v>
      </c>
      <c r="F47" s="1249" t="s">
        <v>322</v>
      </c>
      <c r="G47" s="1244">
        <v>0</v>
      </c>
      <c r="H47" s="1245">
        <v>1</v>
      </c>
      <c r="I47" s="1628">
        <f t="shared" si="10"/>
        <v>0</v>
      </c>
      <c r="J47" s="1246">
        <v>0</v>
      </c>
      <c r="K47" s="1245">
        <f t="shared" si="11"/>
        <v>1</v>
      </c>
      <c r="L47" s="1629">
        <f t="shared" si="12"/>
        <v>0</v>
      </c>
      <c r="M47" s="1243">
        <f t="shared" si="13"/>
        <v>0</v>
      </c>
    </row>
    <row r="48" spans="1:13">
      <c r="A48" s="411"/>
      <c r="B48" s="29"/>
      <c r="C48" s="236">
        <f t="shared" si="14"/>
        <v>30</v>
      </c>
      <c r="D48" s="1239">
        <v>370100</v>
      </c>
      <c r="E48" s="1240" t="str">
        <f t="shared" si="9"/>
        <v>370</v>
      </c>
      <c r="F48" s="1241" t="s">
        <v>323</v>
      </c>
      <c r="G48" s="4207">
        <v>5412282.4400000004</v>
      </c>
      <c r="H48" s="1245">
        <v>1</v>
      </c>
      <c r="I48" s="1628">
        <f t="shared" si="10"/>
        <v>5412282.4400000004</v>
      </c>
      <c r="J48" s="4206">
        <v>5412282.4400000004</v>
      </c>
      <c r="K48" s="1245">
        <f t="shared" si="11"/>
        <v>1</v>
      </c>
      <c r="L48" s="1629">
        <f t="shared" si="12"/>
        <v>0</v>
      </c>
      <c r="M48" s="1243">
        <f t="shared" si="13"/>
        <v>0</v>
      </c>
    </row>
    <row r="49" spans="1:13" ht="16.5" thickBot="1">
      <c r="A49" s="411"/>
      <c r="B49" s="29"/>
      <c r="C49" s="236">
        <f>+MAX(C45:C48)+1</f>
        <v>31</v>
      </c>
      <c r="D49" s="1239">
        <v>373000</v>
      </c>
      <c r="E49" s="1240" t="str">
        <f t="shared" si="9"/>
        <v>373</v>
      </c>
      <c r="F49" s="1241" t="s">
        <v>422</v>
      </c>
      <c r="G49" s="4331">
        <v>6552663.4299999997</v>
      </c>
      <c r="H49" s="4332">
        <v>1</v>
      </c>
      <c r="I49" s="4333">
        <f t="shared" si="10"/>
        <v>6552663.4299999997</v>
      </c>
      <c r="J49" s="4333">
        <v>4670267.3899999987</v>
      </c>
      <c r="K49" s="4332">
        <f t="shared" si="11"/>
        <v>1</v>
      </c>
      <c r="L49" s="1631">
        <f t="shared" si="12"/>
        <v>1882396.040000001</v>
      </c>
      <c r="M49" s="1243">
        <f t="shared" si="13"/>
        <v>1882396.040000001</v>
      </c>
    </row>
    <row r="50" spans="1:13" ht="2.25" customHeight="1">
      <c r="A50" s="411"/>
      <c r="B50" s="29"/>
      <c r="C50" s="236"/>
      <c r="D50" s="236"/>
      <c r="E50" s="236" t="str">
        <f>MID(D50,1,3)</f>
        <v/>
      </c>
      <c r="F50" s="4"/>
      <c r="G50" s="1254"/>
      <c r="H50" s="1254"/>
      <c r="I50" s="1641"/>
      <c r="J50" s="1254"/>
      <c r="K50" s="1254"/>
      <c r="L50" s="1641"/>
      <c r="M50" s="1255"/>
    </row>
    <row r="51" spans="1:13">
      <c r="A51" s="411"/>
      <c r="B51" s="29"/>
      <c r="C51" s="236">
        <f>+MAX(C35:C50)+1</f>
        <v>32</v>
      </c>
      <c r="D51" s="236"/>
      <c r="E51" s="236"/>
      <c r="F51" s="40" t="s">
        <v>106</v>
      </c>
      <c r="G51" s="1257">
        <f>SUM(G35:G49)</f>
        <v>502870470.88999987</v>
      </c>
      <c r="H51" s="1257"/>
      <c r="I51" s="1640">
        <f>SUM(I35:I49)</f>
        <v>502870470.88999987</v>
      </c>
      <c r="J51" s="1257">
        <f>SUM(J35:J49)</f>
        <v>250900605.24000004</v>
      </c>
      <c r="K51" s="1257"/>
      <c r="L51" s="1640">
        <f>SUM(L35:L49)</f>
        <v>251969865.64999986</v>
      </c>
      <c r="M51" s="1263">
        <f>SUM(M35:M49)</f>
        <v>251969865.64999986</v>
      </c>
    </row>
    <row r="52" spans="1:13">
      <c r="A52" s="411"/>
      <c r="B52" s="29"/>
      <c r="C52" s="236"/>
      <c r="D52" s="236"/>
      <c r="E52" s="4"/>
      <c r="F52" s="4"/>
      <c r="G52" s="1253"/>
      <c r="H52" s="1253"/>
      <c r="I52" s="1634"/>
      <c r="J52" s="1253"/>
      <c r="K52" s="1253"/>
      <c r="L52" s="1634"/>
      <c r="M52" s="1253"/>
    </row>
    <row r="53" spans="1:13" ht="16.5" thickBot="1">
      <c r="A53" s="411"/>
      <c r="B53" s="29"/>
      <c r="C53" s="236"/>
      <c r="D53" s="236"/>
      <c r="E53" s="4"/>
      <c r="F53" s="40" t="s">
        <v>425</v>
      </c>
      <c r="G53" s="1253"/>
      <c r="H53" s="1253"/>
      <c r="I53" s="1634"/>
      <c r="J53" s="1253"/>
      <c r="K53" s="1253"/>
      <c r="L53" s="1634"/>
      <c r="M53" s="1253"/>
    </row>
    <row r="54" spans="1:13">
      <c r="A54" s="411"/>
      <c r="B54" s="29"/>
      <c r="C54" s="236">
        <f>+MAX(C$10:C53)+1</f>
        <v>33</v>
      </c>
      <c r="D54" s="1585">
        <v>389000</v>
      </c>
      <c r="E54" s="1240" t="str">
        <f t="shared" ref="E54:E124" si="15">MID(D54,1,3)</f>
        <v>389</v>
      </c>
      <c r="F54" s="1241" t="s">
        <v>98</v>
      </c>
      <c r="G54" s="4329">
        <v>1068236.8500000001</v>
      </c>
      <c r="H54" s="1242">
        <v>1</v>
      </c>
      <c r="I54" s="1626">
        <f t="shared" ref="I54:I117" si="16">G54*H54</f>
        <v>1068236.8500000001</v>
      </c>
      <c r="J54" s="1626">
        <v>0</v>
      </c>
      <c r="K54" s="1242">
        <v>0</v>
      </c>
      <c r="L54" s="1627">
        <f t="shared" ref="L54:L117" si="17">G54-J54</f>
        <v>1068236.8500000001</v>
      </c>
      <c r="M54" s="1243">
        <f t="shared" ref="M54:M117" si="18">L54</f>
        <v>1068236.8500000001</v>
      </c>
    </row>
    <row r="55" spans="1:13" hidden="1">
      <c r="A55" s="411"/>
      <c r="B55" s="29"/>
      <c r="C55" s="236"/>
      <c r="D55" s="1247">
        <v>389110</v>
      </c>
      <c r="E55" s="1248" t="str">
        <f t="shared" si="15"/>
        <v>389</v>
      </c>
      <c r="F55" s="1249" t="s">
        <v>325</v>
      </c>
      <c r="G55" s="4330">
        <v>0</v>
      </c>
      <c r="H55" s="1245">
        <v>1</v>
      </c>
      <c r="I55" s="1628">
        <f t="shared" si="16"/>
        <v>0</v>
      </c>
      <c r="J55" s="1628">
        <v>0</v>
      </c>
      <c r="K55" s="1245">
        <v>1</v>
      </c>
      <c r="L55" s="1629">
        <f t="shared" si="17"/>
        <v>0</v>
      </c>
      <c r="M55" s="1243">
        <f t="shared" si="18"/>
        <v>0</v>
      </c>
    </row>
    <row r="56" spans="1:13" hidden="1">
      <c r="A56" s="411"/>
      <c r="B56" s="29"/>
      <c r="C56" s="236"/>
      <c r="D56" s="1247">
        <v>389120</v>
      </c>
      <c r="E56" s="1248" t="str">
        <f t="shared" si="15"/>
        <v>389</v>
      </c>
      <c r="F56" s="1249" t="s">
        <v>326</v>
      </c>
      <c r="G56" s="4330">
        <v>0</v>
      </c>
      <c r="H56" s="1245">
        <v>1</v>
      </c>
      <c r="I56" s="1628">
        <f t="shared" si="16"/>
        <v>0</v>
      </c>
      <c r="J56" s="1628">
        <v>0</v>
      </c>
      <c r="K56" s="1245">
        <v>1</v>
      </c>
      <c r="L56" s="1629">
        <f t="shared" si="17"/>
        <v>0</v>
      </c>
      <c r="M56" s="1243">
        <f t="shared" si="18"/>
        <v>0</v>
      </c>
    </row>
    <row r="57" spans="1:13" hidden="1">
      <c r="A57" s="411"/>
      <c r="B57" s="29"/>
      <c r="C57" s="236"/>
      <c r="D57" s="1247">
        <v>389130</v>
      </c>
      <c r="E57" s="1248" t="str">
        <f t="shared" si="15"/>
        <v>389</v>
      </c>
      <c r="F57" s="1249" t="s">
        <v>327</v>
      </c>
      <c r="G57" s="4330">
        <v>0</v>
      </c>
      <c r="H57" s="1245">
        <v>1</v>
      </c>
      <c r="I57" s="1628">
        <f t="shared" si="16"/>
        <v>0</v>
      </c>
      <c r="J57" s="1628">
        <v>0</v>
      </c>
      <c r="K57" s="1245">
        <v>1</v>
      </c>
      <c r="L57" s="1629">
        <f t="shared" si="17"/>
        <v>0</v>
      </c>
      <c r="M57" s="1243">
        <f t="shared" si="18"/>
        <v>0</v>
      </c>
    </row>
    <row r="58" spans="1:13" hidden="1">
      <c r="A58" s="411"/>
      <c r="B58" s="29"/>
      <c r="C58" s="236"/>
      <c r="D58" s="1247">
        <v>389210</v>
      </c>
      <c r="E58" s="1248" t="str">
        <f t="shared" si="15"/>
        <v>389</v>
      </c>
      <c r="F58" s="1249" t="s">
        <v>328</v>
      </c>
      <c r="G58" s="4330">
        <v>0</v>
      </c>
      <c r="H58" s="1245">
        <v>1</v>
      </c>
      <c r="I58" s="1628">
        <f t="shared" si="16"/>
        <v>0</v>
      </c>
      <c r="J58" s="1628">
        <v>0</v>
      </c>
      <c r="K58" s="1245">
        <v>1</v>
      </c>
      <c r="L58" s="1629">
        <f t="shared" si="17"/>
        <v>0</v>
      </c>
      <c r="M58" s="1243">
        <f t="shared" si="18"/>
        <v>0</v>
      </c>
    </row>
    <row r="59" spans="1:13" hidden="1">
      <c r="A59" s="411"/>
      <c r="B59" s="29"/>
      <c r="C59" s="236"/>
      <c r="D59" s="1247">
        <v>389220</v>
      </c>
      <c r="E59" s="1248" t="str">
        <f t="shared" si="15"/>
        <v>389</v>
      </c>
      <c r="F59" s="1249" t="s">
        <v>329</v>
      </c>
      <c r="G59" s="4330">
        <v>0</v>
      </c>
      <c r="H59" s="1245">
        <v>1</v>
      </c>
      <c r="I59" s="1628">
        <f t="shared" si="16"/>
        <v>0</v>
      </c>
      <c r="J59" s="1628">
        <v>0</v>
      </c>
      <c r="K59" s="1245">
        <v>1</v>
      </c>
      <c r="L59" s="1629">
        <f t="shared" si="17"/>
        <v>0</v>
      </c>
      <c r="M59" s="1243">
        <f t="shared" si="18"/>
        <v>0</v>
      </c>
    </row>
    <row r="60" spans="1:13" hidden="1">
      <c r="A60" s="411"/>
      <c r="B60" s="29"/>
      <c r="C60" s="236"/>
      <c r="D60" s="1247">
        <v>389310</v>
      </c>
      <c r="E60" s="1248" t="str">
        <f t="shared" si="15"/>
        <v>389</v>
      </c>
      <c r="F60" s="1249" t="s">
        <v>330</v>
      </c>
      <c r="G60" s="4330">
        <v>0</v>
      </c>
      <c r="H60" s="1245">
        <v>1</v>
      </c>
      <c r="I60" s="1628">
        <f t="shared" si="16"/>
        <v>0</v>
      </c>
      <c r="J60" s="1628">
        <v>0</v>
      </c>
      <c r="K60" s="1245">
        <v>1</v>
      </c>
      <c r="L60" s="1629">
        <f t="shared" si="17"/>
        <v>0</v>
      </c>
      <c r="M60" s="1243">
        <f t="shared" si="18"/>
        <v>0</v>
      </c>
    </row>
    <row r="61" spans="1:13" hidden="1">
      <c r="A61" s="411"/>
      <c r="B61" s="29"/>
      <c r="C61" s="236"/>
      <c r="D61" s="1247">
        <v>389420</v>
      </c>
      <c r="E61" s="1248" t="str">
        <f t="shared" si="15"/>
        <v>389</v>
      </c>
      <c r="F61" s="1249" t="s">
        <v>331</v>
      </c>
      <c r="G61" s="4330">
        <v>0</v>
      </c>
      <c r="H61" s="1245">
        <v>1</v>
      </c>
      <c r="I61" s="1628">
        <f t="shared" si="16"/>
        <v>0</v>
      </c>
      <c r="J61" s="1628">
        <v>0</v>
      </c>
      <c r="K61" s="1245">
        <v>1</v>
      </c>
      <c r="L61" s="1629">
        <f t="shared" si="17"/>
        <v>0</v>
      </c>
      <c r="M61" s="1243">
        <f t="shared" si="18"/>
        <v>0</v>
      </c>
    </row>
    <row r="62" spans="1:13" hidden="1">
      <c r="A62" s="411"/>
      <c r="B62" s="29"/>
      <c r="C62" s="236"/>
      <c r="D62" s="1247">
        <v>389510</v>
      </c>
      <c r="E62" s="1248" t="str">
        <f t="shared" si="15"/>
        <v>389</v>
      </c>
      <c r="F62" s="1249" t="s">
        <v>332</v>
      </c>
      <c r="G62" s="4330">
        <v>0</v>
      </c>
      <c r="H62" s="1245">
        <v>1</v>
      </c>
      <c r="I62" s="1628">
        <f t="shared" si="16"/>
        <v>0</v>
      </c>
      <c r="J62" s="1628">
        <v>0</v>
      </c>
      <c r="K62" s="1245">
        <v>1</v>
      </c>
      <c r="L62" s="1629">
        <f t="shared" si="17"/>
        <v>0</v>
      </c>
      <c r="M62" s="1243">
        <f t="shared" si="18"/>
        <v>0</v>
      </c>
    </row>
    <row r="63" spans="1:13" hidden="1">
      <c r="A63" s="411"/>
      <c r="B63" s="29"/>
      <c r="C63" s="236"/>
      <c r="D63" s="1247">
        <v>389530</v>
      </c>
      <c r="E63" s="1248" t="str">
        <f t="shared" si="15"/>
        <v>389</v>
      </c>
      <c r="F63" s="1249" t="s">
        <v>333</v>
      </c>
      <c r="G63" s="4330">
        <v>0</v>
      </c>
      <c r="H63" s="1245">
        <v>1</v>
      </c>
      <c r="I63" s="1628">
        <f t="shared" si="16"/>
        <v>0</v>
      </c>
      <c r="J63" s="1628">
        <v>0</v>
      </c>
      <c r="K63" s="1245">
        <v>1</v>
      </c>
      <c r="L63" s="1629">
        <f t="shared" si="17"/>
        <v>0</v>
      </c>
      <c r="M63" s="1243">
        <f t="shared" si="18"/>
        <v>0</v>
      </c>
    </row>
    <row r="64" spans="1:13" hidden="1">
      <c r="A64" s="411"/>
      <c r="B64" s="29"/>
      <c r="C64" s="236"/>
      <c r="D64" s="1247">
        <v>389720</v>
      </c>
      <c r="E64" s="1248" t="str">
        <f t="shared" si="15"/>
        <v>389</v>
      </c>
      <c r="F64" s="1249" t="s">
        <v>334</v>
      </c>
      <c r="G64" s="4330">
        <v>0</v>
      </c>
      <c r="H64" s="1245">
        <v>1</v>
      </c>
      <c r="I64" s="1628">
        <f t="shared" si="16"/>
        <v>0</v>
      </c>
      <c r="J64" s="1628">
        <v>0</v>
      </c>
      <c r="K64" s="1245">
        <v>1</v>
      </c>
      <c r="L64" s="1629">
        <f t="shared" si="17"/>
        <v>0</v>
      </c>
      <c r="M64" s="1243">
        <f t="shared" si="18"/>
        <v>0</v>
      </c>
    </row>
    <row r="65" spans="1:13" hidden="1">
      <c r="A65" s="411"/>
      <c r="B65" s="29"/>
      <c r="C65" s="236"/>
      <c r="D65" s="1247">
        <v>389940</v>
      </c>
      <c r="E65" s="1248" t="str">
        <f t="shared" si="15"/>
        <v>389</v>
      </c>
      <c r="F65" s="1249" t="s">
        <v>335</v>
      </c>
      <c r="G65" s="4330">
        <v>0</v>
      </c>
      <c r="H65" s="1245">
        <v>1</v>
      </c>
      <c r="I65" s="1628">
        <f t="shared" si="16"/>
        <v>0</v>
      </c>
      <c r="J65" s="1628">
        <v>0</v>
      </c>
      <c r="K65" s="1245">
        <v>1</v>
      </c>
      <c r="L65" s="1629">
        <f t="shared" si="17"/>
        <v>0</v>
      </c>
      <c r="M65" s="1243">
        <f t="shared" si="18"/>
        <v>0</v>
      </c>
    </row>
    <row r="66" spans="1:13">
      <c r="A66" s="411"/>
      <c r="B66" s="29"/>
      <c r="C66" s="236">
        <f>+MAX(C$10:C65)+1</f>
        <v>34</v>
      </c>
      <c r="D66" s="1239">
        <v>390000</v>
      </c>
      <c r="E66" s="1240" t="str">
        <f t="shared" si="15"/>
        <v>390</v>
      </c>
      <c r="F66" s="1241" t="s">
        <v>99</v>
      </c>
      <c r="G66" s="4330">
        <v>24778298.460000001</v>
      </c>
      <c r="H66" s="1245">
        <v>1</v>
      </c>
      <c r="I66" s="1628">
        <f t="shared" si="16"/>
        <v>24778298.460000001</v>
      </c>
      <c r="J66" s="1628">
        <v>12680792.34</v>
      </c>
      <c r="K66" s="1245">
        <v>1</v>
      </c>
      <c r="L66" s="1629">
        <f t="shared" si="17"/>
        <v>12097506.120000001</v>
      </c>
      <c r="M66" s="1243">
        <f t="shared" si="18"/>
        <v>12097506.120000001</v>
      </c>
    </row>
    <row r="67" spans="1:13" hidden="1">
      <c r="A67" s="411"/>
      <c r="B67" s="29"/>
      <c r="C67" s="236"/>
      <c r="D67" s="1247">
        <v>390110</v>
      </c>
      <c r="E67" s="1248" t="str">
        <f t="shared" si="15"/>
        <v>390</v>
      </c>
      <c r="F67" s="1249" t="s">
        <v>336</v>
      </c>
      <c r="G67" s="4330">
        <v>0</v>
      </c>
      <c r="H67" s="1245">
        <v>1</v>
      </c>
      <c r="I67" s="1628">
        <f t="shared" si="16"/>
        <v>0</v>
      </c>
      <c r="J67" s="1628">
        <v>0</v>
      </c>
      <c r="K67" s="1245">
        <v>1</v>
      </c>
      <c r="L67" s="1629">
        <f t="shared" si="17"/>
        <v>0</v>
      </c>
      <c r="M67" s="1243">
        <f t="shared" si="18"/>
        <v>0</v>
      </c>
    </row>
    <row r="68" spans="1:13" hidden="1">
      <c r="A68" s="411"/>
      <c r="B68" s="29"/>
      <c r="C68" s="236"/>
      <c r="D68" s="1247">
        <v>390120</v>
      </c>
      <c r="E68" s="1248" t="str">
        <f t="shared" si="15"/>
        <v>390</v>
      </c>
      <c r="F68" s="1249" t="s">
        <v>337</v>
      </c>
      <c r="G68" s="4330">
        <v>0</v>
      </c>
      <c r="H68" s="1245">
        <v>1</v>
      </c>
      <c r="I68" s="1628">
        <f t="shared" si="16"/>
        <v>0</v>
      </c>
      <c r="J68" s="1628">
        <v>0</v>
      </c>
      <c r="K68" s="1245">
        <v>1</v>
      </c>
      <c r="L68" s="1629">
        <f t="shared" si="17"/>
        <v>0</v>
      </c>
      <c r="M68" s="1243">
        <f t="shared" si="18"/>
        <v>0</v>
      </c>
    </row>
    <row r="69" spans="1:13" hidden="1">
      <c r="A69" s="411"/>
      <c r="B69" s="29"/>
      <c r="C69" s="236"/>
      <c r="D69" s="1247">
        <v>390130</v>
      </c>
      <c r="E69" s="1248" t="str">
        <f t="shared" si="15"/>
        <v>390</v>
      </c>
      <c r="F69" s="1249" t="s">
        <v>338</v>
      </c>
      <c r="G69" s="4330">
        <v>0</v>
      </c>
      <c r="H69" s="1245">
        <v>1</v>
      </c>
      <c r="I69" s="1628">
        <f t="shared" si="16"/>
        <v>0</v>
      </c>
      <c r="J69" s="1628">
        <v>0</v>
      </c>
      <c r="K69" s="1245">
        <v>1</v>
      </c>
      <c r="L69" s="1629">
        <f t="shared" si="17"/>
        <v>0</v>
      </c>
      <c r="M69" s="1243">
        <f t="shared" si="18"/>
        <v>0</v>
      </c>
    </row>
    <row r="70" spans="1:13" hidden="1">
      <c r="A70" s="411"/>
      <c r="B70" s="29"/>
      <c r="C70" s="236"/>
      <c r="D70" s="1247">
        <v>390140</v>
      </c>
      <c r="E70" s="1248" t="str">
        <f t="shared" si="15"/>
        <v>390</v>
      </c>
      <c r="F70" s="1249" t="s">
        <v>339</v>
      </c>
      <c r="G70" s="4330">
        <v>0</v>
      </c>
      <c r="H70" s="1245">
        <v>1</v>
      </c>
      <c r="I70" s="1628">
        <f t="shared" si="16"/>
        <v>0</v>
      </c>
      <c r="J70" s="1628">
        <v>0</v>
      </c>
      <c r="K70" s="1245">
        <v>1</v>
      </c>
      <c r="L70" s="1629">
        <f t="shared" si="17"/>
        <v>0</v>
      </c>
      <c r="M70" s="1243">
        <f t="shared" si="18"/>
        <v>0</v>
      </c>
    </row>
    <row r="71" spans="1:13" hidden="1">
      <c r="A71" s="411"/>
      <c r="B71" s="29"/>
      <c r="C71" s="236"/>
      <c r="D71" s="1247">
        <v>390150</v>
      </c>
      <c r="E71" s="1248" t="str">
        <f t="shared" si="15"/>
        <v>390</v>
      </c>
      <c r="F71" s="1249" t="s">
        <v>340</v>
      </c>
      <c r="G71" s="4330">
        <v>0</v>
      </c>
      <c r="H71" s="1245">
        <v>1</v>
      </c>
      <c r="I71" s="1628">
        <f t="shared" si="16"/>
        <v>0</v>
      </c>
      <c r="J71" s="1628">
        <v>0</v>
      </c>
      <c r="K71" s="1245">
        <v>1</v>
      </c>
      <c r="L71" s="1629">
        <f t="shared" si="17"/>
        <v>0</v>
      </c>
      <c r="M71" s="1243">
        <f t="shared" si="18"/>
        <v>0</v>
      </c>
    </row>
    <row r="72" spans="1:13" hidden="1">
      <c r="A72" s="411"/>
      <c r="B72" s="29"/>
      <c r="C72" s="236"/>
      <c r="D72" s="1247">
        <v>390160</v>
      </c>
      <c r="E72" s="1248" t="str">
        <f t="shared" si="15"/>
        <v>390</v>
      </c>
      <c r="F72" s="1249" t="s">
        <v>341</v>
      </c>
      <c r="G72" s="4330">
        <v>0</v>
      </c>
      <c r="H72" s="1245">
        <v>1</v>
      </c>
      <c r="I72" s="1628">
        <f t="shared" si="16"/>
        <v>0</v>
      </c>
      <c r="J72" s="1628">
        <v>0</v>
      </c>
      <c r="K72" s="1245">
        <v>1</v>
      </c>
      <c r="L72" s="1629">
        <f t="shared" si="17"/>
        <v>0</v>
      </c>
      <c r="M72" s="1243">
        <f t="shared" si="18"/>
        <v>0</v>
      </c>
    </row>
    <row r="73" spans="1:13" hidden="1">
      <c r="A73" s="411"/>
      <c r="B73" s="29"/>
      <c r="C73" s="236"/>
      <c r="D73" s="1247">
        <v>390210</v>
      </c>
      <c r="E73" s="1248" t="str">
        <f t="shared" si="15"/>
        <v>390</v>
      </c>
      <c r="F73" s="1249" t="s">
        <v>342</v>
      </c>
      <c r="G73" s="4330">
        <v>0</v>
      </c>
      <c r="H73" s="1245">
        <v>1</v>
      </c>
      <c r="I73" s="1628">
        <f t="shared" si="16"/>
        <v>0</v>
      </c>
      <c r="J73" s="1628">
        <v>0</v>
      </c>
      <c r="K73" s="1245">
        <v>1</v>
      </c>
      <c r="L73" s="1629">
        <f t="shared" si="17"/>
        <v>0</v>
      </c>
      <c r="M73" s="1243">
        <f t="shared" si="18"/>
        <v>0</v>
      </c>
    </row>
    <row r="74" spans="1:13" hidden="1">
      <c r="A74" s="411"/>
      <c r="B74" s="29"/>
      <c r="C74" s="236"/>
      <c r="D74" s="1247">
        <v>390220</v>
      </c>
      <c r="E74" s="1248" t="str">
        <f t="shared" si="15"/>
        <v>390</v>
      </c>
      <c r="F74" s="1249" t="s">
        <v>343</v>
      </c>
      <c r="G74" s="4330">
        <v>0</v>
      </c>
      <c r="H74" s="1245">
        <v>1</v>
      </c>
      <c r="I74" s="1628">
        <f t="shared" si="16"/>
        <v>0</v>
      </c>
      <c r="J74" s="1628">
        <v>0</v>
      </c>
      <c r="K74" s="1245">
        <v>1</v>
      </c>
      <c r="L74" s="1629">
        <f t="shared" si="17"/>
        <v>0</v>
      </c>
      <c r="M74" s="1243">
        <f t="shared" si="18"/>
        <v>0</v>
      </c>
    </row>
    <row r="75" spans="1:13" hidden="1">
      <c r="A75" s="411"/>
      <c r="B75" s="29"/>
      <c r="C75" s="236"/>
      <c r="D75" s="1247">
        <v>390230</v>
      </c>
      <c r="E75" s="1248" t="str">
        <f t="shared" si="15"/>
        <v>390</v>
      </c>
      <c r="F75" s="1249" t="s">
        <v>344</v>
      </c>
      <c r="G75" s="4330">
        <v>0</v>
      </c>
      <c r="H75" s="1245">
        <v>1</v>
      </c>
      <c r="I75" s="1628">
        <f t="shared" si="16"/>
        <v>0</v>
      </c>
      <c r="J75" s="1628">
        <v>0</v>
      </c>
      <c r="K75" s="1245">
        <v>1</v>
      </c>
      <c r="L75" s="1629">
        <f t="shared" si="17"/>
        <v>0</v>
      </c>
      <c r="M75" s="1243">
        <f t="shared" si="18"/>
        <v>0</v>
      </c>
    </row>
    <row r="76" spans="1:13" hidden="1">
      <c r="A76" s="411"/>
      <c r="B76" s="29"/>
      <c r="C76" s="236"/>
      <c r="D76" s="1247">
        <v>390260</v>
      </c>
      <c r="E76" s="1248" t="str">
        <f t="shared" si="15"/>
        <v>390</v>
      </c>
      <c r="F76" s="1249" t="s">
        <v>345</v>
      </c>
      <c r="G76" s="4330">
        <v>0</v>
      </c>
      <c r="H76" s="1245">
        <v>1</v>
      </c>
      <c r="I76" s="1628">
        <f t="shared" si="16"/>
        <v>0</v>
      </c>
      <c r="J76" s="1628">
        <v>0</v>
      </c>
      <c r="K76" s="1245">
        <v>1</v>
      </c>
      <c r="L76" s="1629">
        <f t="shared" si="17"/>
        <v>0</v>
      </c>
      <c r="M76" s="1243">
        <f t="shared" si="18"/>
        <v>0</v>
      </c>
    </row>
    <row r="77" spans="1:13" hidden="1">
      <c r="A77" s="411"/>
      <c r="B77" s="29"/>
      <c r="C77" s="236"/>
      <c r="D77" s="1247">
        <v>390310</v>
      </c>
      <c r="E77" s="1248" t="str">
        <f t="shared" si="15"/>
        <v>390</v>
      </c>
      <c r="F77" s="1249" t="s">
        <v>346</v>
      </c>
      <c r="G77" s="4330">
        <v>0</v>
      </c>
      <c r="H77" s="1245">
        <v>1</v>
      </c>
      <c r="I77" s="1628">
        <f t="shared" si="16"/>
        <v>0</v>
      </c>
      <c r="J77" s="1628">
        <v>0</v>
      </c>
      <c r="K77" s="1245">
        <v>1</v>
      </c>
      <c r="L77" s="1629">
        <f t="shared" si="17"/>
        <v>0</v>
      </c>
      <c r="M77" s="1243">
        <f t="shared" si="18"/>
        <v>0</v>
      </c>
    </row>
    <row r="78" spans="1:13" hidden="1">
      <c r="A78" s="411"/>
      <c r="B78" s="29"/>
      <c r="C78" s="236"/>
      <c r="D78" s="1247">
        <v>390320</v>
      </c>
      <c r="E78" s="1248" t="str">
        <f t="shared" si="15"/>
        <v>390</v>
      </c>
      <c r="F78" s="1249" t="s">
        <v>347</v>
      </c>
      <c r="G78" s="4330">
        <v>0</v>
      </c>
      <c r="H78" s="1245">
        <v>1</v>
      </c>
      <c r="I78" s="1628">
        <f t="shared" si="16"/>
        <v>0</v>
      </c>
      <c r="J78" s="1628">
        <v>0</v>
      </c>
      <c r="K78" s="1245">
        <v>1</v>
      </c>
      <c r="L78" s="1629">
        <f t="shared" si="17"/>
        <v>0</v>
      </c>
      <c r="M78" s="1243">
        <f t="shared" si="18"/>
        <v>0</v>
      </c>
    </row>
    <row r="79" spans="1:13" hidden="1">
      <c r="A79" s="411"/>
      <c r="B79" s="29"/>
      <c r="C79" s="236"/>
      <c r="D79" s="1247">
        <v>390420</v>
      </c>
      <c r="E79" s="1248" t="str">
        <f t="shared" si="15"/>
        <v>390</v>
      </c>
      <c r="F79" s="1249" t="s">
        <v>348</v>
      </c>
      <c r="G79" s="4330">
        <v>0</v>
      </c>
      <c r="H79" s="1245">
        <v>1</v>
      </c>
      <c r="I79" s="1628">
        <f t="shared" si="16"/>
        <v>0</v>
      </c>
      <c r="J79" s="1628">
        <v>0</v>
      </c>
      <c r="K79" s="1245">
        <v>1</v>
      </c>
      <c r="L79" s="1629">
        <f t="shared" si="17"/>
        <v>0</v>
      </c>
      <c r="M79" s="1243">
        <f t="shared" si="18"/>
        <v>0</v>
      </c>
    </row>
    <row r="80" spans="1:13" hidden="1">
      <c r="A80" s="411"/>
      <c r="B80" s="29"/>
      <c r="C80" s="236"/>
      <c r="D80" s="1247">
        <v>390510</v>
      </c>
      <c r="E80" s="1248" t="str">
        <f t="shared" si="15"/>
        <v>390</v>
      </c>
      <c r="F80" s="1249" t="s">
        <v>349</v>
      </c>
      <c r="G80" s="4330">
        <v>0</v>
      </c>
      <c r="H80" s="1245">
        <v>1</v>
      </c>
      <c r="I80" s="1628">
        <f t="shared" si="16"/>
        <v>0</v>
      </c>
      <c r="J80" s="1628">
        <v>0</v>
      </c>
      <c r="K80" s="1245">
        <v>1</v>
      </c>
      <c r="L80" s="1629">
        <f t="shared" si="17"/>
        <v>0</v>
      </c>
      <c r="M80" s="1243">
        <f t="shared" si="18"/>
        <v>0</v>
      </c>
    </row>
    <row r="81" spans="1:13" hidden="1">
      <c r="A81" s="411"/>
      <c r="B81" s="29"/>
      <c r="C81" s="236"/>
      <c r="D81" s="1247">
        <v>390511</v>
      </c>
      <c r="E81" s="1248" t="str">
        <f t="shared" si="15"/>
        <v>390</v>
      </c>
      <c r="F81" s="1249" t="s">
        <v>350</v>
      </c>
      <c r="G81" s="4330">
        <v>0</v>
      </c>
      <c r="H81" s="1245">
        <v>1</v>
      </c>
      <c r="I81" s="1628">
        <f t="shared" si="16"/>
        <v>0</v>
      </c>
      <c r="J81" s="1628">
        <v>0</v>
      </c>
      <c r="K81" s="1245">
        <v>1</v>
      </c>
      <c r="L81" s="1629">
        <f t="shared" si="17"/>
        <v>0</v>
      </c>
      <c r="M81" s="1243">
        <f t="shared" si="18"/>
        <v>0</v>
      </c>
    </row>
    <row r="82" spans="1:13" hidden="1">
      <c r="A82" s="411"/>
      <c r="B82" s="29"/>
      <c r="C82" s="236"/>
      <c r="D82" s="1247">
        <v>390910</v>
      </c>
      <c r="E82" s="1248" t="str">
        <f t="shared" si="15"/>
        <v>390</v>
      </c>
      <c r="F82" s="1249" t="s">
        <v>351</v>
      </c>
      <c r="G82" s="4330">
        <v>0</v>
      </c>
      <c r="H82" s="1245">
        <v>1</v>
      </c>
      <c r="I82" s="1628">
        <f t="shared" si="16"/>
        <v>0</v>
      </c>
      <c r="J82" s="1628">
        <v>0</v>
      </c>
      <c r="K82" s="1245">
        <v>1</v>
      </c>
      <c r="L82" s="1629">
        <f t="shared" si="17"/>
        <v>0</v>
      </c>
      <c r="M82" s="1243">
        <f t="shared" si="18"/>
        <v>0</v>
      </c>
    </row>
    <row r="83" spans="1:13" hidden="1">
      <c r="A83" s="411"/>
      <c r="B83" s="29"/>
      <c r="C83" s="236"/>
      <c r="D83" s="1247">
        <v>390920</v>
      </c>
      <c r="E83" s="1248" t="str">
        <f t="shared" si="15"/>
        <v>390</v>
      </c>
      <c r="F83" s="1249" t="s">
        <v>915</v>
      </c>
      <c r="G83" s="4330">
        <v>0</v>
      </c>
      <c r="H83" s="1245">
        <v>1</v>
      </c>
      <c r="I83" s="1628">
        <f t="shared" si="16"/>
        <v>0</v>
      </c>
      <c r="J83" s="1628">
        <v>0</v>
      </c>
      <c r="K83" s="1245">
        <v>1</v>
      </c>
      <c r="L83" s="1629">
        <f t="shared" si="17"/>
        <v>0</v>
      </c>
      <c r="M83" s="1243">
        <f t="shared" si="18"/>
        <v>0</v>
      </c>
    </row>
    <row r="84" spans="1:13">
      <c r="A84" s="411"/>
      <c r="B84" s="29"/>
      <c r="C84" s="236">
        <f>+MAX(C$10:C83)+1</f>
        <v>35</v>
      </c>
      <c r="D84" s="1239">
        <v>391000</v>
      </c>
      <c r="E84" s="1240" t="str">
        <f t="shared" si="15"/>
        <v>391</v>
      </c>
      <c r="F84" s="1241" t="s">
        <v>102</v>
      </c>
      <c r="G84" s="4330">
        <v>24391546.970000003</v>
      </c>
      <c r="H84" s="1245">
        <v>1</v>
      </c>
      <c r="I84" s="1628">
        <f t="shared" si="16"/>
        <v>24391546.970000003</v>
      </c>
      <c r="J84" s="1628">
        <v>24337578.640000001</v>
      </c>
      <c r="K84" s="1245">
        <v>1</v>
      </c>
      <c r="L84" s="1629">
        <f t="shared" si="17"/>
        <v>53968.330000001937</v>
      </c>
      <c r="M84" s="1243">
        <f t="shared" si="18"/>
        <v>53968.330000001937</v>
      </c>
    </row>
    <row r="85" spans="1:13" hidden="1">
      <c r="A85" s="411"/>
      <c r="B85" s="29"/>
      <c r="C85" s="236"/>
      <c r="D85" s="1247">
        <v>391110</v>
      </c>
      <c r="E85" s="1248" t="str">
        <f t="shared" si="15"/>
        <v>391</v>
      </c>
      <c r="F85" s="1249" t="s">
        <v>916</v>
      </c>
      <c r="G85" s="4330">
        <v>0</v>
      </c>
      <c r="H85" s="1245">
        <v>1</v>
      </c>
      <c r="I85" s="1628">
        <f t="shared" si="16"/>
        <v>0</v>
      </c>
      <c r="J85" s="1628">
        <v>0</v>
      </c>
      <c r="K85" s="1245">
        <v>1</v>
      </c>
      <c r="L85" s="1629">
        <f t="shared" si="17"/>
        <v>0</v>
      </c>
      <c r="M85" s="1243">
        <f t="shared" si="18"/>
        <v>0</v>
      </c>
    </row>
    <row r="86" spans="1:13" hidden="1">
      <c r="A86" s="411"/>
      <c r="B86" s="29"/>
      <c r="C86" s="236"/>
      <c r="D86" s="1247">
        <v>391120</v>
      </c>
      <c r="E86" s="1248" t="str">
        <f t="shared" si="15"/>
        <v>391</v>
      </c>
      <c r="F86" s="1249" t="s">
        <v>917</v>
      </c>
      <c r="G86" s="4330">
        <v>0</v>
      </c>
      <c r="H86" s="1245">
        <v>1</v>
      </c>
      <c r="I86" s="1628">
        <f t="shared" si="16"/>
        <v>0</v>
      </c>
      <c r="J86" s="1628">
        <v>0</v>
      </c>
      <c r="K86" s="1245">
        <v>1</v>
      </c>
      <c r="L86" s="1629">
        <f t="shared" si="17"/>
        <v>0</v>
      </c>
      <c r="M86" s="1243">
        <f t="shared" si="18"/>
        <v>0</v>
      </c>
    </row>
    <row r="87" spans="1:13" hidden="1">
      <c r="A87" s="411"/>
      <c r="B87" s="29"/>
      <c r="C87" s="236"/>
      <c r="D87" s="1247">
        <v>391140</v>
      </c>
      <c r="E87" s="1248" t="str">
        <f t="shared" si="15"/>
        <v>391</v>
      </c>
      <c r="F87" s="1249" t="s">
        <v>918</v>
      </c>
      <c r="G87" s="4330">
        <v>0</v>
      </c>
      <c r="H87" s="1245">
        <v>1</v>
      </c>
      <c r="I87" s="1628">
        <f t="shared" si="16"/>
        <v>0</v>
      </c>
      <c r="J87" s="1628">
        <v>0</v>
      </c>
      <c r="K87" s="1245">
        <v>1</v>
      </c>
      <c r="L87" s="1629">
        <f t="shared" si="17"/>
        <v>0</v>
      </c>
      <c r="M87" s="1243">
        <f t="shared" si="18"/>
        <v>0</v>
      </c>
    </row>
    <row r="88" spans="1:13" hidden="1">
      <c r="A88" s="411"/>
      <c r="B88" s="29"/>
      <c r="C88" s="236"/>
      <c r="D88" s="1247">
        <v>391150</v>
      </c>
      <c r="E88" s="1248" t="str">
        <f t="shared" si="15"/>
        <v>391</v>
      </c>
      <c r="F88" s="1249" t="s">
        <v>919</v>
      </c>
      <c r="G88" s="4330">
        <v>0</v>
      </c>
      <c r="H88" s="1245">
        <v>1</v>
      </c>
      <c r="I88" s="1628">
        <f t="shared" si="16"/>
        <v>0</v>
      </c>
      <c r="J88" s="1628">
        <v>0</v>
      </c>
      <c r="K88" s="1245">
        <v>1</v>
      </c>
      <c r="L88" s="1629">
        <f t="shared" si="17"/>
        <v>0</v>
      </c>
      <c r="M88" s="1243">
        <f t="shared" si="18"/>
        <v>0</v>
      </c>
    </row>
    <row r="89" spans="1:13" hidden="1">
      <c r="A89" s="411"/>
      <c r="B89" s="29"/>
      <c r="C89" s="236"/>
      <c r="D89" s="1247">
        <v>391160</v>
      </c>
      <c r="E89" s="1248" t="str">
        <f t="shared" si="15"/>
        <v>391</v>
      </c>
      <c r="F89" s="1249" t="s">
        <v>920</v>
      </c>
      <c r="G89" s="4330">
        <v>0</v>
      </c>
      <c r="H89" s="1245">
        <v>1</v>
      </c>
      <c r="I89" s="1628">
        <f t="shared" si="16"/>
        <v>0</v>
      </c>
      <c r="J89" s="1628">
        <v>0</v>
      </c>
      <c r="K89" s="1245">
        <v>1</v>
      </c>
      <c r="L89" s="1629">
        <f t="shared" si="17"/>
        <v>0</v>
      </c>
      <c r="M89" s="1243">
        <f t="shared" si="18"/>
        <v>0</v>
      </c>
    </row>
    <row r="90" spans="1:13" hidden="1">
      <c r="A90" s="411"/>
      <c r="B90" s="29"/>
      <c r="C90" s="236"/>
      <c r="D90" s="1247">
        <v>391210</v>
      </c>
      <c r="E90" s="1248" t="str">
        <f t="shared" si="15"/>
        <v>391</v>
      </c>
      <c r="F90" s="1249" t="s">
        <v>921</v>
      </c>
      <c r="G90" s="4330">
        <v>0</v>
      </c>
      <c r="H90" s="1245">
        <v>1</v>
      </c>
      <c r="I90" s="1628">
        <f t="shared" si="16"/>
        <v>0</v>
      </c>
      <c r="J90" s="1628">
        <v>0</v>
      </c>
      <c r="K90" s="1245">
        <v>1</v>
      </c>
      <c r="L90" s="1629">
        <f t="shared" si="17"/>
        <v>0</v>
      </c>
      <c r="M90" s="1243">
        <f t="shared" si="18"/>
        <v>0</v>
      </c>
    </row>
    <row r="91" spans="1:13" hidden="1">
      <c r="A91" s="411"/>
      <c r="B91" s="29"/>
      <c r="C91" s="236"/>
      <c r="D91" s="1247">
        <v>391240</v>
      </c>
      <c r="E91" s="1248" t="str">
        <f t="shared" si="15"/>
        <v>391</v>
      </c>
      <c r="F91" s="1249" t="s">
        <v>922</v>
      </c>
      <c r="G91" s="4330">
        <v>0</v>
      </c>
      <c r="H91" s="1245">
        <v>1</v>
      </c>
      <c r="I91" s="1628">
        <f t="shared" si="16"/>
        <v>0</v>
      </c>
      <c r="J91" s="1628">
        <v>0</v>
      </c>
      <c r="K91" s="1245">
        <v>1</v>
      </c>
      <c r="L91" s="1629">
        <f t="shared" si="17"/>
        <v>0</v>
      </c>
      <c r="M91" s="1243">
        <f t="shared" si="18"/>
        <v>0</v>
      </c>
    </row>
    <row r="92" spans="1:13" hidden="1">
      <c r="A92" s="411"/>
      <c r="B92" s="29"/>
      <c r="C92" s="236"/>
      <c r="D92" s="1247">
        <v>391310</v>
      </c>
      <c r="E92" s="1248" t="str">
        <f t="shared" si="15"/>
        <v>391</v>
      </c>
      <c r="F92" s="1249" t="s">
        <v>923</v>
      </c>
      <c r="G92" s="4330">
        <v>0</v>
      </c>
      <c r="H92" s="1245">
        <v>1</v>
      </c>
      <c r="I92" s="1628">
        <f t="shared" si="16"/>
        <v>0</v>
      </c>
      <c r="J92" s="1628">
        <v>0</v>
      </c>
      <c r="K92" s="1245">
        <v>1</v>
      </c>
      <c r="L92" s="1629">
        <f t="shared" si="17"/>
        <v>0</v>
      </c>
      <c r="M92" s="1243">
        <f t="shared" si="18"/>
        <v>0</v>
      </c>
    </row>
    <row r="93" spans="1:13" hidden="1">
      <c r="A93" s="411"/>
      <c r="B93" s="29"/>
      <c r="C93" s="236"/>
      <c r="D93" s="1247">
        <v>391510</v>
      </c>
      <c r="E93" s="1248" t="str">
        <f t="shared" si="15"/>
        <v>391</v>
      </c>
      <c r="F93" s="1249" t="s">
        <v>924</v>
      </c>
      <c r="G93" s="4330">
        <v>0</v>
      </c>
      <c r="H93" s="1245">
        <v>1</v>
      </c>
      <c r="I93" s="1628">
        <f t="shared" si="16"/>
        <v>0</v>
      </c>
      <c r="J93" s="1628">
        <v>0</v>
      </c>
      <c r="K93" s="1245">
        <v>1</v>
      </c>
      <c r="L93" s="1629">
        <f t="shared" si="17"/>
        <v>0</v>
      </c>
      <c r="M93" s="1243">
        <f t="shared" si="18"/>
        <v>0</v>
      </c>
    </row>
    <row r="94" spans="1:13" hidden="1">
      <c r="A94" s="411"/>
      <c r="B94" s="29"/>
      <c r="C94" s="236"/>
      <c r="D94" s="1247">
        <v>391540</v>
      </c>
      <c r="E94" s="1248" t="str">
        <f t="shared" si="15"/>
        <v>391</v>
      </c>
      <c r="F94" s="1249" t="s">
        <v>925</v>
      </c>
      <c r="G94" s="4330">
        <v>0</v>
      </c>
      <c r="H94" s="1245">
        <v>1</v>
      </c>
      <c r="I94" s="1628">
        <f t="shared" si="16"/>
        <v>0</v>
      </c>
      <c r="J94" s="1628">
        <v>0</v>
      </c>
      <c r="K94" s="1245">
        <v>1</v>
      </c>
      <c r="L94" s="1629">
        <f t="shared" si="17"/>
        <v>0</v>
      </c>
      <c r="M94" s="1243">
        <f t="shared" si="18"/>
        <v>0</v>
      </c>
    </row>
    <row r="95" spans="1:13">
      <c r="A95" s="411"/>
      <c r="B95" s="29"/>
      <c r="C95" s="236">
        <f>+MAX(C$10:C94)+1</f>
        <v>36</v>
      </c>
      <c r="D95" s="1239">
        <v>391801</v>
      </c>
      <c r="E95" s="1240" t="str">
        <f t="shared" si="15"/>
        <v>391</v>
      </c>
      <c r="F95" s="1241" t="s">
        <v>515</v>
      </c>
      <c r="G95" s="4330">
        <v>54646.68</v>
      </c>
      <c r="H95" s="1245">
        <v>1</v>
      </c>
      <c r="I95" s="1628">
        <f t="shared" si="16"/>
        <v>54646.68</v>
      </c>
      <c r="J95" s="1628">
        <v>54646.68</v>
      </c>
      <c r="K95" s="1245">
        <v>1</v>
      </c>
      <c r="L95" s="1629">
        <f t="shared" si="17"/>
        <v>0</v>
      </c>
      <c r="M95" s="1243">
        <f t="shared" si="18"/>
        <v>0</v>
      </c>
    </row>
    <row r="96" spans="1:13" hidden="1">
      <c r="A96" s="411"/>
      <c r="B96" s="29"/>
      <c r="C96" s="236"/>
      <c r="D96" s="1247">
        <v>391910</v>
      </c>
      <c r="E96" s="1248" t="str">
        <f t="shared" si="15"/>
        <v>391</v>
      </c>
      <c r="F96" s="1249" t="s">
        <v>926</v>
      </c>
      <c r="G96" s="4330">
        <v>0</v>
      </c>
      <c r="H96" s="1245">
        <v>1</v>
      </c>
      <c r="I96" s="1628">
        <f t="shared" si="16"/>
        <v>0</v>
      </c>
      <c r="J96" s="1628">
        <v>0</v>
      </c>
      <c r="K96" s="1245">
        <v>1</v>
      </c>
      <c r="L96" s="1629">
        <f t="shared" si="17"/>
        <v>0</v>
      </c>
      <c r="M96" s="1243">
        <f t="shared" si="18"/>
        <v>0</v>
      </c>
    </row>
    <row r="97" spans="1:13">
      <c r="A97" s="411"/>
      <c r="B97" s="29"/>
      <c r="C97" s="236">
        <f>+MAX(C$10:C96)+1</f>
        <v>37</v>
      </c>
      <c r="D97" s="1239">
        <v>392000</v>
      </c>
      <c r="E97" s="1240" t="str">
        <f t="shared" si="15"/>
        <v>392</v>
      </c>
      <c r="F97" s="1241" t="s">
        <v>423</v>
      </c>
      <c r="G97" s="4330">
        <v>18239460.589999992</v>
      </c>
      <c r="H97" s="1245">
        <v>1</v>
      </c>
      <c r="I97" s="1628">
        <f t="shared" si="16"/>
        <v>18239460.589999992</v>
      </c>
      <c r="J97" s="1628">
        <v>15462764.760000002</v>
      </c>
      <c r="K97" s="1245">
        <v>1</v>
      </c>
      <c r="L97" s="1629">
        <f t="shared" si="17"/>
        <v>2776695.8299999908</v>
      </c>
      <c r="M97" s="1243">
        <f t="shared" si="18"/>
        <v>2776695.8299999908</v>
      </c>
    </row>
    <row r="98" spans="1:13">
      <c r="A98" s="411"/>
      <c r="B98" s="29"/>
      <c r="C98" s="236">
        <f>+MAX(C$10:C97)+1</f>
        <v>38</v>
      </c>
      <c r="D98" s="1239">
        <v>393000</v>
      </c>
      <c r="E98" s="1240" t="str">
        <f t="shared" si="15"/>
        <v>393</v>
      </c>
      <c r="F98" s="1241" t="s">
        <v>101</v>
      </c>
      <c r="G98" s="4330">
        <v>210943.86</v>
      </c>
      <c r="H98" s="1245">
        <v>1</v>
      </c>
      <c r="I98" s="1628">
        <f t="shared" si="16"/>
        <v>210943.86</v>
      </c>
      <c r="J98" s="1628">
        <v>210943.86</v>
      </c>
      <c r="K98" s="1245">
        <v>1</v>
      </c>
      <c r="L98" s="1629">
        <f t="shared" si="17"/>
        <v>0</v>
      </c>
      <c r="M98" s="1243">
        <f t="shared" si="18"/>
        <v>0</v>
      </c>
    </row>
    <row r="99" spans="1:13" hidden="1">
      <c r="A99" s="411"/>
      <c r="B99" s="29"/>
      <c r="C99" s="236"/>
      <c r="D99" s="1247">
        <v>393120</v>
      </c>
      <c r="E99" s="1248" t="str">
        <f t="shared" si="15"/>
        <v>393</v>
      </c>
      <c r="F99" s="1249" t="s">
        <v>927</v>
      </c>
      <c r="G99" s="4330">
        <v>0</v>
      </c>
      <c r="H99" s="1245">
        <v>1</v>
      </c>
      <c r="I99" s="1628">
        <f t="shared" si="16"/>
        <v>0</v>
      </c>
      <c r="J99" s="1628">
        <v>0</v>
      </c>
      <c r="K99" s="1245">
        <v>1</v>
      </c>
      <c r="L99" s="1629">
        <f t="shared" si="17"/>
        <v>0</v>
      </c>
      <c r="M99" s="1243">
        <f t="shared" si="18"/>
        <v>0</v>
      </c>
    </row>
    <row r="100" spans="1:13" hidden="1">
      <c r="A100" s="411"/>
      <c r="B100" s="29"/>
      <c r="C100" s="236"/>
      <c r="D100" s="1247">
        <v>393210</v>
      </c>
      <c r="E100" s="1248" t="str">
        <f t="shared" si="15"/>
        <v>393</v>
      </c>
      <c r="F100" s="1249" t="s">
        <v>928</v>
      </c>
      <c r="G100" s="4330">
        <v>0</v>
      </c>
      <c r="H100" s="1245">
        <v>1</v>
      </c>
      <c r="I100" s="1628">
        <f t="shared" si="16"/>
        <v>0</v>
      </c>
      <c r="J100" s="1628">
        <v>0</v>
      </c>
      <c r="K100" s="1245">
        <v>1</v>
      </c>
      <c r="L100" s="1629">
        <f t="shared" si="17"/>
        <v>0</v>
      </c>
      <c r="M100" s="1243">
        <f t="shared" si="18"/>
        <v>0</v>
      </c>
    </row>
    <row r="101" spans="1:13" hidden="1">
      <c r="A101" s="411"/>
      <c r="B101" s="29"/>
      <c r="C101" s="236"/>
      <c r="D101" s="1247">
        <v>393310</v>
      </c>
      <c r="E101" s="1248" t="str">
        <f t="shared" si="15"/>
        <v>393</v>
      </c>
      <c r="F101" s="1249" t="s">
        <v>929</v>
      </c>
      <c r="G101" s="4330">
        <v>0</v>
      </c>
      <c r="H101" s="1245">
        <v>1</v>
      </c>
      <c r="I101" s="1628">
        <f t="shared" si="16"/>
        <v>0</v>
      </c>
      <c r="J101" s="1628">
        <v>0</v>
      </c>
      <c r="K101" s="1245">
        <v>1</v>
      </c>
      <c r="L101" s="1629">
        <f t="shared" si="17"/>
        <v>0</v>
      </c>
      <c r="M101" s="1243">
        <f t="shared" si="18"/>
        <v>0</v>
      </c>
    </row>
    <row r="102" spans="1:13" hidden="1">
      <c r="A102" s="411"/>
      <c r="B102" s="29"/>
      <c r="C102" s="236"/>
      <c r="D102" s="1247">
        <v>393360</v>
      </c>
      <c r="E102" s="1248" t="str">
        <f t="shared" si="15"/>
        <v>393</v>
      </c>
      <c r="F102" s="1249" t="s">
        <v>930</v>
      </c>
      <c r="G102" s="4330">
        <v>0</v>
      </c>
      <c r="H102" s="1245">
        <v>1</v>
      </c>
      <c r="I102" s="1628">
        <f t="shared" si="16"/>
        <v>0</v>
      </c>
      <c r="J102" s="1628">
        <v>0</v>
      </c>
      <c r="K102" s="1245">
        <v>1</v>
      </c>
      <c r="L102" s="1629">
        <f t="shared" si="17"/>
        <v>0</v>
      </c>
      <c r="M102" s="1243">
        <f t="shared" si="18"/>
        <v>0</v>
      </c>
    </row>
    <row r="103" spans="1:13" hidden="1">
      <c r="A103" s="411"/>
      <c r="B103" s="29"/>
      <c r="C103" s="236"/>
      <c r="D103" s="1247">
        <v>393510</v>
      </c>
      <c r="E103" s="1248" t="str">
        <f t="shared" si="15"/>
        <v>393</v>
      </c>
      <c r="F103" s="1249" t="s">
        <v>931</v>
      </c>
      <c r="G103" s="4330">
        <v>0</v>
      </c>
      <c r="H103" s="1245">
        <v>1</v>
      </c>
      <c r="I103" s="1628">
        <f t="shared" si="16"/>
        <v>0</v>
      </c>
      <c r="J103" s="1628">
        <v>0</v>
      </c>
      <c r="K103" s="1245">
        <v>1</v>
      </c>
      <c r="L103" s="1629">
        <f t="shared" si="17"/>
        <v>0</v>
      </c>
      <c r="M103" s="1243">
        <f t="shared" si="18"/>
        <v>0</v>
      </c>
    </row>
    <row r="104" spans="1:13" hidden="1">
      <c r="A104" s="411"/>
      <c r="B104" s="29"/>
      <c r="C104" s="236"/>
      <c r="D104" s="1247">
        <v>393910</v>
      </c>
      <c r="E104" s="1248" t="str">
        <f t="shared" si="15"/>
        <v>393</v>
      </c>
      <c r="F104" s="1249" t="s">
        <v>932</v>
      </c>
      <c r="G104" s="4330">
        <v>0</v>
      </c>
      <c r="H104" s="1245">
        <v>1</v>
      </c>
      <c r="I104" s="1628">
        <f t="shared" si="16"/>
        <v>0</v>
      </c>
      <c r="J104" s="1628">
        <v>0</v>
      </c>
      <c r="K104" s="1245">
        <v>1</v>
      </c>
      <c r="L104" s="1629">
        <f t="shared" si="17"/>
        <v>0</v>
      </c>
      <c r="M104" s="1243">
        <f t="shared" si="18"/>
        <v>0</v>
      </c>
    </row>
    <row r="105" spans="1:13">
      <c r="A105" s="411"/>
      <c r="B105" s="29"/>
      <c r="C105" s="236">
        <f>+MAX(C$10:C104)+1</f>
        <v>39</v>
      </c>
      <c r="D105" s="1239">
        <v>394000</v>
      </c>
      <c r="E105" s="1240" t="str">
        <f t="shared" si="15"/>
        <v>394</v>
      </c>
      <c r="F105" s="1241" t="s">
        <v>100</v>
      </c>
      <c r="G105" s="4330">
        <v>4606749.4000000004</v>
      </c>
      <c r="H105" s="1245">
        <v>1</v>
      </c>
      <c r="I105" s="1628">
        <f t="shared" si="16"/>
        <v>4606749.4000000004</v>
      </c>
      <c r="J105" s="1628">
        <v>2419923.67</v>
      </c>
      <c r="K105" s="1245">
        <v>1</v>
      </c>
      <c r="L105" s="1629">
        <f t="shared" si="17"/>
        <v>2186825.7300000004</v>
      </c>
      <c r="M105" s="1243">
        <f t="shared" si="18"/>
        <v>2186825.7300000004</v>
      </c>
    </row>
    <row r="106" spans="1:13" hidden="1">
      <c r="A106" s="411"/>
      <c r="B106" s="29"/>
      <c r="C106" s="236"/>
      <c r="D106" s="1247">
        <v>394110</v>
      </c>
      <c r="E106" s="1248" t="str">
        <f t="shared" si="15"/>
        <v>394</v>
      </c>
      <c r="F106" s="1249" t="s">
        <v>933</v>
      </c>
      <c r="G106" s="4330">
        <v>0</v>
      </c>
      <c r="H106" s="1245">
        <v>1</v>
      </c>
      <c r="I106" s="1628">
        <f t="shared" si="16"/>
        <v>0</v>
      </c>
      <c r="J106" s="1628">
        <v>0</v>
      </c>
      <c r="K106" s="1245">
        <v>1</v>
      </c>
      <c r="L106" s="1629">
        <f t="shared" si="17"/>
        <v>0</v>
      </c>
      <c r="M106" s="1243">
        <f t="shared" si="18"/>
        <v>0</v>
      </c>
    </row>
    <row r="107" spans="1:13" hidden="1">
      <c r="A107" s="411"/>
      <c r="B107" s="29"/>
      <c r="C107" s="236"/>
      <c r="D107" s="1247">
        <v>394130</v>
      </c>
      <c r="E107" s="1248" t="str">
        <f t="shared" si="15"/>
        <v>394</v>
      </c>
      <c r="F107" s="1249" t="s">
        <v>934</v>
      </c>
      <c r="G107" s="4330">
        <v>0</v>
      </c>
      <c r="H107" s="1245">
        <v>1</v>
      </c>
      <c r="I107" s="1628">
        <f t="shared" si="16"/>
        <v>0</v>
      </c>
      <c r="J107" s="1628">
        <v>0</v>
      </c>
      <c r="K107" s="1245">
        <v>1</v>
      </c>
      <c r="L107" s="1629">
        <f t="shared" si="17"/>
        <v>0</v>
      </c>
      <c r="M107" s="1243">
        <f t="shared" si="18"/>
        <v>0</v>
      </c>
    </row>
    <row r="108" spans="1:13" hidden="1">
      <c r="A108" s="411"/>
      <c r="B108" s="29"/>
      <c r="C108" s="236"/>
      <c r="D108" s="1247">
        <v>394140</v>
      </c>
      <c r="E108" s="1248" t="str">
        <f t="shared" si="15"/>
        <v>394</v>
      </c>
      <c r="F108" s="1249" t="s">
        <v>935</v>
      </c>
      <c r="G108" s="4330">
        <v>0</v>
      </c>
      <c r="H108" s="1245">
        <v>1</v>
      </c>
      <c r="I108" s="1628">
        <f t="shared" si="16"/>
        <v>0</v>
      </c>
      <c r="J108" s="1628">
        <v>0</v>
      </c>
      <c r="K108" s="1245">
        <v>1</v>
      </c>
      <c r="L108" s="1629">
        <f t="shared" si="17"/>
        <v>0</v>
      </c>
      <c r="M108" s="1243">
        <f t="shared" si="18"/>
        <v>0</v>
      </c>
    </row>
    <row r="109" spans="1:13" hidden="1">
      <c r="A109" s="411"/>
      <c r="B109" s="29"/>
      <c r="C109" s="236"/>
      <c r="D109" s="1247">
        <v>394150</v>
      </c>
      <c r="E109" s="1248" t="str">
        <f t="shared" si="15"/>
        <v>394</v>
      </c>
      <c r="F109" s="1249" t="s">
        <v>936</v>
      </c>
      <c r="G109" s="4330">
        <v>0</v>
      </c>
      <c r="H109" s="1245">
        <v>1</v>
      </c>
      <c r="I109" s="1628">
        <f t="shared" si="16"/>
        <v>0</v>
      </c>
      <c r="J109" s="1628">
        <v>0</v>
      </c>
      <c r="K109" s="1245">
        <v>1</v>
      </c>
      <c r="L109" s="1629">
        <f t="shared" si="17"/>
        <v>0</v>
      </c>
      <c r="M109" s="1243">
        <f t="shared" si="18"/>
        <v>0</v>
      </c>
    </row>
    <row r="110" spans="1:13" hidden="1">
      <c r="A110" s="411"/>
      <c r="B110" s="29"/>
      <c r="C110" s="236"/>
      <c r="D110" s="1247">
        <v>394210</v>
      </c>
      <c r="E110" s="1248" t="str">
        <f t="shared" si="15"/>
        <v>394</v>
      </c>
      <c r="F110" s="1249" t="s">
        <v>937</v>
      </c>
      <c r="G110" s="4330">
        <v>0</v>
      </c>
      <c r="H110" s="1245">
        <v>1</v>
      </c>
      <c r="I110" s="1628">
        <f t="shared" si="16"/>
        <v>0</v>
      </c>
      <c r="J110" s="1628">
        <v>0</v>
      </c>
      <c r="K110" s="1245">
        <v>1</v>
      </c>
      <c r="L110" s="1629">
        <f t="shared" si="17"/>
        <v>0</v>
      </c>
      <c r="M110" s="1243">
        <f t="shared" si="18"/>
        <v>0</v>
      </c>
    </row>
    <row r="111" spans="1:13" hidden="1">
      <c r="A111" s="411"/>
      <c r="B111" s="29"/>
      <c r="C111" s="236"/>
      <c r="D111" s="1247">
        <v>394310</v>
      </c>
      <c r="E111" s="1248" t="str">
        <f t="shared" si="15"/>
        <v>394</v>
      </c>
      <c r="F111" s="1249" t="s">
        <v>938</v>
      </c>
      <c r="G111" s="4330">
        <v>0</v>
      </c>
      <c r="H111" s="1245">
        <v>1</v>
      </c>
      <c r="I111" s="1628">
        <f t="shared" si="16"/>
        <v>0</v>
      </c>
      <c r="J111" s="1628">
        <v>0</v>
      </c>
      <c r="K111" s="1245">
        <v>1</v>
      </c>
      <c r="L111" s="1629">
        <f t="shared" si="17"/>
        <v>0</v>
      </c>
      <c r="M111" s="1243">
        <f t="shared" si="18"/>
        <v>0</v>
      </c>
    </row>
    <row r="112" spans="1:13" hidden="1">
      <c r="A112" s="411"/>
      <c r="B112" s="29"/>
      <c r="C112" s="236"/>
      <c r="D112" s="1247">
        <v>394420</v>
      </c>
      <c r="E112" s="1248" t="str">
        <f t="shared" si="15"/>
        <v>394</v>
      </c>
      <c r="F112" s="1249" t="s">
        <v>939</v>
      </c>
      <c r="G112" s="4330">
        <v>0</v>
      </c>
      <c r="H112" s="1245">
        <v>1</v>
      </c>
      <c r="I112" s="1628">
        <f t="shared" si="16"/>
        <v>0</v>
      </c>
      <c r="J112" s="1628">
        <v>0</v>
      </c>
      <c r="K112" s="1245">
        <v>1</v>
      </c>
      <c r="L112" s="1629">
        <f t="shared" si="17"/>
        <v>0</v>
      </c>
      <c r="M112" s="1243">
        <f t="shared" si="18"/>
        <v>0</v>
      </c>
    </row>
    <row r="113" spans="1:13" hidden="1">
      <c r="A113" s="411"/>
      <c r="B113" s="29"/>
      <c r="C113" s="236"/>
      <c r="D113" s="1247">
        <v>394540</v>
      </c>
      <c r="E113" s="1248" t="str">
        <f t="shared" si="15"/>
        <v>394</v>
      </c>
      <c r="F113" s="1249" t="s">
        <v>940</v>
      </c>
      <c r="G113" s="4330">
        <v>0</v>
      </c>
      <c r="H113" s="1245">
        <v>1</v>
      </c>
      <c r="I113" s="1628">
        <f t="shared" si="16"/>
        <v>0</v>
      </c>
      <c r="J113" s="1628">
        <v>0</v>
      </c>
      <c r="K113" s="1245">
        <v>1</v>
      </c>
      <c r="L113" s="1629">
        <f t="shared" si="17"/>
        <v>0</v>
      </c>
      <c r="M113" s="1243">
        <f t="shared" si="18"/>
        <v>0</v>
      </c>
    </row>
    <row r="114" spans="1:13" hidden="1">
      <c r="A114" s="411"/>
      <c r="B114" s="29"/>
      <c r="C114" s="236"/>
      <c r="D114" s="1247">
        <v>394910</v>
      </c>
      <c r="E114" s="1248" t="str">
        <f t="shared" si="15"/>
        <v>394</v>
      </c>
      <c r="F114" s="1249" t="s">
        <v>941</v>
      </c>
      <c r="G114" s="4330">
        <v>0</v>
      </c>
      <c r="H114" s="1245">
        <v>1</v>
      </c>
      <c r="I114" s="1628">
        <f t="shared" si="16"/>
        <v>0</v>
      </c>
      <c r="J114" s="1628">
        <v>0</v>
      </c>
      <c r="K114" s="1245">
        <v>1</v>
      </c>
      <c r="L114" s="1629">
        <f t="shared" si="17"/>
        <v>0</v>
      </c>
      <c r="M114" s="1243">
        <f t="shared" si="18"/>
        <v>0</v>
      </c>
    </row>
    <row r="115" spans="1:13">
      <c r="A115" s="411"/>
      <c r="B115" s="29"/>
      <c r="C115" s="236">
        <f>+MAX(C$10:C114)+1</f>
        <v>40</v>
      </c>
      <c r="D115" s="1239">
        <v>395000</v>
      </c>
      <c r="E115" s="1240" t="str">
        <f t="shared" si="15"/>
        <v>395</v>
      </c>
      <c r="F115" s="1241" t="s">
        <v>2098</v>
      </c>
      <c r="G115" s="4330">
        <v>493371.12</v>
      </c>
      <c r="H115" s="1245">
        <v>1</v>
      </c>
      <c r="I115" s="1628">
        <f t="shared" si="16"/>
        <v>493371.12</v>
      </c>
      <c r="J115" s="1628">
        <v>483781.06</v>
      </c>
      <c r="K115" s="1245">
        <v>1</v>
      </c>
      <c r="L115" s="1629">
        <f t="shared" si="17"/>
        <v>9590.0599999999977</v>
      </c>
      <c r="M115" s="1243">
        <f t="shared" si="18"/>
        <v>9590.0599999999977</v>
      </c>
    </row>
    <row r="116" spans="1:13" hidden="1">
      <c r="A116" s="411"/>
      <c r="B116" s="29"/>
      <c r="C116" s="236"/>
      <c r="D116" s="1247">
        <v>395150</v>
      </c>
      <c r="E116" s="1248" t="str">
        <f t="shared" si="15"/>
        <v>395</v>
      </c>
      <c r="F116" s="1249" t="s">
        <v>942</v>
      </c>
      <c r="G116" s="4330">
        <v>0</v>
      </c>
      <c r="H116" s="1245">
        <v>1</v>
      </c>
      <c r="I116" s="1628">
        <f t="shared" si="16"/>
        <v>0</v>
      </c>
      <c r="J116" s="1628">
        <v>0</v>
      </c>
      <c r="K116" s="1245">
        <v>1</v>
      </c>
      <c r="L116" s="1629">
        <f t="shared" si="17"/>
        <v>0</v>
      </c>
      <c r="M116" s="1243">
        <f t="shared" si="18"/>
        <v>0</v>
      </c>
    </row>
    <row r="117" spans="1:13">
      <c r="A117" s="411"/>
      <c r="B117" s="29"/>
      <c r="C117" s="236">
        <f>+MAX(C$10:C116)+1</f>
        <v>41</v>
      </c>
      <c r="D117" s="1239">
        <v>396000</v>
      </c>
      <c r="E117" s="1240" t="str">
        <f t="shared" si="15"/>
        <v>396</v>
      </c>
      <c r="F117" s="1241" t="s">
        <v>424</v>
      </c>
      <c r="G117" s="4330">
        <v>368133.91</v>
      </c>
      <c r="H117" s="1245">
        <v>1</v>
      </c>
      <c r="I117" s="1628">
        <f t="shared" si="16"/>
        <v>368133.91</v>
      </c>
      <c r="J117" s="1628">
        <v>368133.91</v>
      </c>
      <c r="K117" s="1245">
        <v>1</v>
      </c>
      <c r="L117" s="1629">
        <f t="shared" si="17"/>
        <v>0</v>
      </c>
      <c r="M117" s="1243">
        <f t="shared" si="18"/>
        <v>0</v>
      </c>
    </row>
    <row r="118" spans="1:13">
      <c r="A118" s="411"/>
      <c r="B118" s="29"/>
      <c r="C118" s="236">
        <f>+MAX(C$10:C117)+1</f>
        <v>42</v>
      </c>
      <c r="D118" s="1239">
        <v>397000</v>
      </c>
      <c r="E118" s="1240" t="str">
        <f t="shared" si="15"/>
        <v>397</v>
      </c>
      <c r="F118" s="1241" t="s">
        <v>2096</v>
      </c>
      <c r="G118" s="4330">
        <v>27377057.370000005</v>
      </c>
      <c r="H118" s="1245">
        <v>1</v>
      </c>
      <c r="I118" s="1628">
        <f t="shared" ref="I118:I156" si="19">G118*H118</f>
        <v>27377057.370000005</v>
      </c>
      <c r="J118" s="1628">
        <v>20311767.300000001</v>
      </c>
      <c r="K118" s="1245">
        <v>1</v>
      </c>
      <c r="L118" s="1629">
        <f t="shared" ref="L118:L158" si="20">G118-J118</f>
        <v>7065290.070000004</v>
      </c>
      <c r="M118" s="1243">
        <f t="shared" ref="M118:M158" si="21">L118</f>
        <v>7065290.070000004</v>
      </c>
    </row>
    <row r="119" spans="1:13" hidden="1">
      <c r="A119" s="411"/>
      <c r="B119" s="29"/>
      <c r="C119" s="236"/>
      <c r="D119" s="1247">
        <v>397120</v>
      </c>
      <c r="E119" s="1248" t="str">
        <f t="shared" si="15"/>
        <v>397</v>
      </c>
      <c r="F119" s="1249" t="s">
        <v>947</v>
      </c>
      <c r="G119" s="4330">
        <v>0</v>
      </c>
      <c r="H119" s="1245">
        <v>1</v>
      </c>
      <c r="I119" s="1628">
        <f t="shared" si="19"/>
        <v>0</v>
      </c>
      <c r="J119" s="1628">
        <v>0</v>
      </c>
      <c r="K119" s="1245">
        <v>1</v>
      </c>
      <c r="L119" s="1629">
        <f t="shared" si="20"/>
        <v>0</v>
      </c>
      <c r="M119" s="1243">
        <f t="shared" si="21"/>
        <v>0</v>
      </c>
    </row>
    <row r="120" spans="1:13" hidden="1">
      <c r="A120" s="411"/>
      <c r="B120" s="29"/>
      <c r="C120" s="236"/>
      <c r="D120" s="1247">
        <v>397140</v>
      </c>
      <c r="E120" s="1248" t="str">
        <f t="shared" si="15"/>
        <v>397</v>
      </c>
      <c r="F120" s="1249" t="s">
        <v>948</v>
      </c>
      <c r="G120" s="4330">
        <v>0</v>
      </c>
      <c r="H120" s="1245">
        <v>1</v>
      </c>
      <c r="I120" s="1628">
        <f t="shared" si="19"/>
        <v>0</v>
      </c>
      <c r="J120" s="1628">
        <v>0</v>
      </c>
      <c r="K120" s="1245">
        <v>1</v>
      </c>
      <c r="L120" s="1629">
        <f t="shared" si="20"/>
        <v>0</v>
      </c>
      <c r="M120" s="1243">
        <f t="shared" si="21"/>
        <v>0</v>
      </c>
    </row>
    <row r="121" spans="1:13" hidden="1">
      <c r="A121" s="411"/>
      <c r="B121" s="29"/>
      <c r="C121" s="236"/>
      <c r="D121" s="1247">
        <v>397151</v>
      </c>
      <c r="E121" s="1248" t="str">
        <f t="shared" si="15"/>
        <v>397</v>
      </c>
      <c r="F121" s="1249" t="s">
        <v>949</v>
      </c>
      <c r="G121" s="4330">
        <v>0</v>
      </c>
      <c r="H121" s="1245">
        <v>1</v>
      </c>
      <c r="I121" s="1628">
        <f t="shared" si="19"/>
        <v>0</v>
      </c>
      <c r="J121" s="1628">
        <v>0</v>
      </c>
      <c r="K121" s="1245">
        <v>1</v>
      </c>
      <c r="L121" s="1629">
        <f t="shared" si="20"/>
        <v>0</v>
      </c>
      <c r="M121" s="1243">
        <f t="shared" si="21"/>
        <v>0</v>
      </c>
    </row>
    <row r="122" spans="1:13" hidden="1">
      <c r="A122" s="411"/>
      <c r="B122" s="29"/>
      <c r="C122" s="236"/>
      <c r="D122" s="1247">
        <v>397160</v>
      </c>
      <c r="E122" s="1248" t="str">
        <f t="shared" si="15"/>
        <v>397</v>
      </c>
      <c r="F122" s="1249" t="s">
        <v>950</v>
      </c>
      <c r="G122" s="4330">
        <v>0</v>
      </c>
      <c r="H122" s="1245">
        <v>1</v>
      </c>
      <c r="I122" s="1628">
        <f t="shared" si="19"/>
        <v>0</v>
      </c>
      <c r="J122" s="1628">
        <v>0</v>
      </c>
      <c r="K122" s="1245">
        <v>1</v>
      </c>
      <c r="L122" s="1629">
        <f t="shared" si="20"/>
        <v>0</v>
      </c>
      <c r="M122" s="1243">
        <f t="shared" si="21"/>
        <v>0</v>
      </c>
    </row>
    <row r="123" spans="1:13" hidden="1">
      <c r="A123" s="411"/>
      <c r="B123" s="29"/>
      <c r="C123" s="236"/>
      <c r="D123" s="1247">
        <v>397210</v>
      </c>
      <c r="E123" s="1248" t="str">
        <f t="shared" si="15"/>
        <v>397</v>
      </c>
      <c r="F123" s="1249" t="s">
        <v>951</v>
      </c>
      <c r="G123" s="4330">
        <v>0</v>
      </c>
      <c r="H123" s="1245">
        <v>1</v>
      </c>
      <c r="I123" s="1628">
        <f t="shared" si="19"/>
        <v>0</v>
      </c>
      <c r="J123" s="1628">
        <v>0</v>
      </c>
      <c r="K123" s="1245">
        <v>1</v>
      </c>
      <c r="L123" s="1629">
        <f t="shared" si="20"/>
        <v>0</v>
      </c>
      <c r="M123" s="1243">
        <f t="shared" si="21"/>
        <v>0</v>
      </c>
    </row>
    <row r="124" spans="1:13" hidden="1">
      <c r="A124" s="411"/>
      <c r="B124" s="29"/>
      <c r="C124" s="236"/>
      <c r="D124" s="1247">
        <v>397240</v>
      </c>
      <c r="E124" s="1248" t="str">
        <f t="shared" si="15"/>
        <v>397</v>
      </c>
      <c r="F124" s="1249" t="s">
        <v>952</v>
      </c>
      <c r="G124" s="4330">
        <v>0</v>
      </c>
      <c r="H124" s="1245">
        <v>1</v>
      </c>
      <c r="I124" s="1628">
        <f t="shared" si="19"/>
        <v>0</v>
      </c>
      <c r="J124" s="1628">
        <v>0</v>
      </c>
      <c r="K124" s="1245">
        <v>1</v>
      </c>
      <c r="L124" s="1629">
        <f t="shared" si="20"/>
        <v>0</v>
      </c>
      <c r="M124" s="1243">
        <f t="shared" si="21"/>
        <v>0</v>
      </c>
    </row>
    <row r="125" spans="1:13" hidden="1">
      <c r="A125" s="411"/>
      <c r="B125" s="29"/>
      <c r="C125" s="236"/>
      <c r="D125" s="1247">
        <v>397251</v>
      </c>
      <c r="E125" s="1248" t="str">
        <f t="shared" ref="E125:E158" si="22">MID(D125,1,3)</f>
        <v>397</v>
      </c>
      <c r="F125" s="1249" t="s">
        <v>953</v>
      </c>
      <c r="G125" s="4330">
        <v>0</v>
      </c>
      <c r="H125" s="1245">
        <v>1</v>
      </c>
      <c r="I125" s="1628">
        <f t="shared" si="19"/>
        <v>0</v>
      </c>
      <c r="J125" s="1628">
        <v>0</v>
      </c>
      <c r="K125" s="1245">
        <v>1</v>
      </c>
      <c r="L125" s="1629">
        <f t="shared" si="20"/>
        <v>0</v>
      </c>
      <c r="M125" s="1243">
        <f t="shared" si="21"/>
        <v>0</v>
      </c>
    </row>
    <row r="126" spans="1:13" hidden="1">
      <c r="A126" s="411"/>
      <c r="B126" s="29"/>
      <c r="C126" s="236"/>
      <c r="D126" s="1247">
        <v>397261</v>
      </c>
      <c r="E126" s="1248" t="str">
        <f t="shared" si="22"/>
        <v>397</v>
      </c>
      <c r="F126" s="1249" t="s">
        <v>954</v>
      </c>
      <c r="G126" s="4330">
        <v>0</v>
      </c>
      <c r="H126" s="1245">
        <v>1</v>
      </c>
      <c r="I126" s="1628">
        <f t="shared" si="19"/>
        <v>0</v>
      </c>
      <c r="J126" s="1628">
        <v>0</v>
      </c>
      <c r="K126" s="1245">
        <v>1</v>
      </c>
      <c r="L126" s="1629">
        <f t="shared" si="20"/>
        <v>0</v>
      </c>
      <c r="M126" s="1243">
        <f t="shared" si="21"/>
        <v>0</v>
      </c>
    </row>
    <row r="127" spans="1:13" hidden="1">
      <c r="A127" s="411"/>
      <c r="B127" s="29"/>
      <c r="C127" s="236"/>
      <c r="D127" s="1247">
        <v>397310</v>
      </c>
      <c r="E127" s="1248" t="str">
        <f t="shared" si="22"/>
        <v>397</v>
      </c>
      <c r="F127" s="1249" t="s">
        <v>955</v>
      </c>
      <c r="G127" s="4330">
        <v>0</v>
      </c>
      <c r="H127" s="1245">
        <v>1</v>
      </c>
      <c r="I127" s="1628">
        <f t="shared" si="19"/>
        <v>0</v>
      </c>
      <c r="J127" s="1628">
        <v>0</v>
      </c>
      <c r="K127" s="1245">
        <v>1</v>
      </c>
      <c r="L127" s="1629">
        <f t="shared" si="20"/>
        <v>0</v>
      </c>
      <c r="M127" s="1243">
        <f t="shared" si="21"/>
        <v>0</v>
      </c>
    </row>
    <row r="128" spans="1:13" hidden="1">
      <c r="A128" s="411"/>
      <c r="B128" s="29"/>
      <c r="C128" s="236"/>
      <c r="D128" s="1247">
        <v>397340</v>
      </c>
      <c r="E128" s="1248" t="str">
        <f t="shared" si="22"/>
        <v>397</v>
      </c>
      <c r="F128" s="1249" t="s">
        <v>956</v>
      </c>
      <c r="G128" s="4330">
        <v>0</v>
      </c>
      <c r="H128" s="1245">
        <v>1</v>
      </c>
      <c r="I128" s="1628">
        <f t="shared" si="19"/>
        <v>0</v>
      </c>
      <c r="J128" s="1628">
        <v>0</v>
      </c>
      <c r="K128" s="1245">
        <v>1</v>
      </c>
      <c r="L128" s="1629">
        <f t="shared" si="20"/>
        <v>0</v>
      </c>
      <c r="M128" s="1243">
        <f t="shared" si="21"/>
        <v>0</v>
      </c>
    </row>
    <row r="129" spans="1:13" hidden="1">
      <c r="A129" s="411"/>
      <c r="B129" s="29"/>
      <c r="C129" s="236"/>
      <c r="D129" s="1247">
        <v>397341</v>
      </c>
      <c r="E129" s="1248" t="str">
        <f t="shared" si="22"/>
        <v>397</v>
      </c>
      <c r="F129" s="1249" t="s">
        <v>957</v>
      </c>
      <c r="G129" s="4330">
        <v>0</v>
      </c>
      <c r="H129" s="1245">
        <v>1</v>
      </c>
      <c r="I129" s="1628">
        <f t="shared" si="19"/>
        <v>0</v>
      </c>
      <c r="J129" s="1628">
        <v>0</v>
      </c>
      <c r="K129" s="1245">
        <v>1</v>
      </c>
      <c r="L129" s="1629">
        <f t="shared" si="20"/>
        <v>0</v>
      </c>
      <c r="M129" s="1243">
        <f t="shared" si="21"/>
        <v>0</v>
      </c>
    </row>
    <row r="130" spans="1:13" hidden="1">
      <c r="A130" s="411"/>
      <c r="B130" s="29"/>
      <c r="C130" s="236"/>
      <c r="D130" s="1247">
        <v>397351</v>
      </c>
      <c r="E130" s="1248" t="str">
        <f t="shared" si="22"/>
        <v>397</v>
      </c>
      <c r="F130" s="1249" t="s">
        <v>958</v>
      </c>
      <c r="G130" s="4330">
        <v>0</v>
      </c>
      <c r="H130" s="1245">
        <v>1</v>
      </c>
      <c r="I130" s="1628">
        <f t="shared" si="19"/>
        <v>0</v>
      </c>
      <c r="J130" s="1628">
        <v>0</v>
      </c>
      <c r="K130" s="1245">
        <v>1</v>
      </c>
      <c r="L130" s="1629">
        <f t="shared" si="20"/>
        <v>0</v>
      </c>
      <c r="M130" s="1243">
        <f t="shared" si="21"/>
        <v>0</v>
      </c>
    </row>
    <row r="131" spans="1:13" hidden="1">
      <c r="A131" s="411"/>
      <c r="B131" s="29"/>
      <c r="C131" s="236"/>
      <c r="D131" s="1247">
        <v>397361</v>
      </c>
      <c r="E131" s="1248" t="str">
        <f t="shared" si="22"/>
        <v>397</v>
      </c>
      <c r="F131" s="1249" t="s">
        <v>959</v>
      </c>
      <c r="G131" s="4330">
        <v>0</v>
      </c>
      <c r="H131" s="1245">
        <v>1</v>
      </c>
      <c r="I131" s="1628">
        <f t="shared" si="19"/>
        <v>0</v>
      </c>
      <c r="J131" s="1628">
        <v>0</v>
      </c>
      <c r="K131" s="1245">
        <v>1</v>
      </c>
      <c r="L131" s="1629">
        <f t="shared" si="20"/>
        <v>0</v>
      </c>
      <c r="M131" s="1243">
        <f t="shared" si="21"/>
        <v>0</v>
      </c>
    </row>
    <row r="132" spans="1:13" hidden="1">
      <c r="A132" s="411"/>
      <c r="B132" s="29"/>
      <c r="C132" s="236"/>
      <c r="D132" s="1247">
        <v>397410</v>
      </c>
      <c r="E132" s="1248" t="str">
        <f t="shared" si="22"/>
        <v>397</v>
      </c>
      <c r="F132" s="1249" t="s">
        <v>960</v>
      </c>
      <c r="G132" s="4330">
        <v>0</v>
      </c>
      <c r="H132" s="1245">
        <v>1</v>
      </c>
      <c r="I132" s="1628">
        <f t="shared" si="19"/>
        <v>0</v>
      </c>
      <c r="J132" s="1628">
        <v>0</v>
      </c>
      <c r="K132" s="1245">
        <v>1</v>
      </c>
      <c r="L132" s="1629">
        <f t="shared" si="20"/>
        <v>0</v>
      </c>
      <c r="M132" s="1243">
        <f t="shared" si="21"/>
        <v>0</v>
      </c>
    </row>
    <row r="133" spans="1:13" hidden="1">
      <c r="A133" s="411"/>
      <c r="B133" s="29"/>
      <c r="C133" s="236"/>
      <c r="D133" s="1247">
        <v>397430</v>
      </c>
      <c r="E133" s="1248" t="str">
        <f t="shared" si="22"/>
        <v>397</v>
      </c>
      <c r="F133" s="1249" t="s">
        <v>961</v>
      </c>
      <c r="G133" s="4330">
        <v>0</v>
      </c>
      <c r="H133" s="1245">
        <v>1</v>
      </c>
      <c r="I133" s="1628">
        <f t="shared" si="19"/>
        <v>0</v>
      </c>
      <c r="J133" s="1628">
        <v>0</v>
      </c>
      <c r="K133" s="1245">
        <v>1</v>
      </c>
      <c r="L133" s="1629">
        <f t="shared" si="20"/>
        <v>0</v>
      </c>
      <c r="M133" s="1243">
        <f t="shared" si="21"/>
        <v>0</v>
      </c>
    </row>
    <row r="134" spans="1:13" hidden="1">
      <c r="A134" s="411"/>
      <c r="B134" s="29"/>
      <c r="C134" s="236"/>
      <c r="D134" s="1247">
        <v>397440</v>
      </c>
      <c r="E134" s="1248" t="str">
        <f t="shared" si="22"/>
        <v>397</v>
      </c>
      <c r="F134" s="1249" t="s">
        <v>962</v>
      </c>
      <c r="G134" s="4330">
        <v>0</v>
      </c>
      <c r="H134" s="1245">
        <v>1</v>
      </c>
      <c r="I134" s="1628">
        <f t="shared" si="19"/>
        <v>0</v>
      </c>
      <c r="J134" s="1628">
        <v>0</v>
      </c>
      <c r="K134" s="1245">
        <v>1</v>
      </c>
      <c r="L134" s="1629">
        <f t="shared" si="20"/>
        <v>0</v>
      </c>
      <c r="M134" s="1243">
        <f t="shared" si="21"/>
        <v>0</v>
      </c>
    </row>
    <row r="135" spans="1:13" hidden="1">
      <c r="A135" s="411"/>
      <c r="B135" s="29"/>
      <c r="C135" s="236"/>
      <c r="D135" s="1247">
        <v>397450</v>
      </c>
      <c r="E135" s="1248" t="str">
        <f t="shared" si="22"/>
        <v>397</v>
      </c>
      <c r="F135" s="1249" t="s">
        <v>963</v>
      </c>
      <c r="G135" s="4330">
        <v>0</v>
      </c>
      <c r="H135" s="1245">
        <v>1</v>
      </c>
      <c r="I135" s="1628">
        <f t="shared" si="19"/>
        <v>0</v>
      </c>
      <c r="J135" s="1628">
        <v>0</v>
      </c>
      <c r="K135" s="1245">
        <v>1</v>
      </c>
      <c r="L135" s="1629">
        <f t="shared" si="20"/>
        <v>0</v>
      </c>
      <c r="M135" s="1243">
        <f t="shared" si="21"/>
        <v>0</v>
      </c>
    </row>
    <row r="136" spans="1:13" hidden="1">
      <c r="A136" s="411"/>
      <c r="B136" s="29"/>
      <c r="C136" s="236"/>
      <c r="D136" s="1247">
        <v>397470</v>
      </c>
      <c r="E136" s="1248" t="str">
        <f t="shared" si="22"/>
        <v>397</v>
      </c>
      <c r="F136" s="1249" t="s">
        <v>964</v>
      </c>
      <c r="G136" s="4330">
        <v>0</v>
      </c>
      <c r="H136" s="1245">
        <v>1</v>
      </c>
      <c r="I136" s="1628">
        <f t="shared" si="19"/>
        <v>0</v>
      </c>
      <c r="J136" s="1628">
        <v>0</v>
      </c>
      <c r="K136" s="1245">
        <v>1</v>
      </c>
      <c r="L136" s="1629">
        <f t="shared" si="20"/>
        <v>0</v>
      </c>
      <c r="M136" s="1243">
        <f t="shared" si="21"/>
        <v>0</v>
      </c>
    </row>
    <row r="137" spans="1:13" hidden="1">
      <c r="A137" s="411"/>
      <c r="B137" s="29"/>
      <c r="C137" s="236"/>
      <c r="D137" s="1247">
        <v>397520</v>
      </c>
      <c r="E137" s="1248" t="str">
        <f t="shared" si="22"/>
        <v>397</v>
      </c>
      <c r="F137" s="1249" t="s">
        <v>965</v>
      </c>
      <c r="G137" s="4330">
        <v>0</v>
      </c>
      <c r="H137" s="1245">
        <v>1</v>
      </c>
      <c r="I137" s="1628">
        <f t="shared" si="19"/>
        <v>0</v>
      </c>
      <c r="J137" s="1628">
        <v>0</v>
      </c>
      <c r="K137" s="1245">
        <v>1</v>
      </c>
      <c r="L137" s="1629">
        <f t="shared" si="20"/>
        <v>0</v>
      </c>
      <c r="M137" s="1243">
        <f t="shared" si="21"/>
        <v>0</v>
      </c>
    </row>
    <row r="138" spans="1:13" hidden="1">
      <c r="A138" s="411"/>
      <c r="B138" s="29"/>
      <c r="C138" s="236"/>
      <c r="D138" s="1247">
        <v>397530</v>
      </c>
      <c r="E138" s="1248" t="str">
        <f t="shared" si="22"/>
        <v>397</v>
      </c>
      <c r="F138" s="1249" t="s">
        <v>966</v>
      </c>
      <c r="G138" s="4330">
        <v>0</v>
      </c>
      <c r="H138" s="1245">
        <v>1</v>
      </c>
      <c r="I138" s="1628">
        <f t="shared" si="19"/>
        <v>0</v>
      </c>
      <c r="J138" s="1628">
        <v>0</v>
      </c>
      <c r="K138" s="1245">
        <v>1</v>
      </c>
      <c r="L138" s="1629">
        <f t="shared" si="20"/>
        <v>0</v>
      </c>
      <c r="M138" s="1243">
        <f t="shared" si="21"/>
        <v>0</v>
      </c>
    </row>
    <row r="139" spans="1:13" hidden="1">
      <c r="A139" s="411"/>
      <c r="B139" s="29"/>
      <c r="C139" s="236"/>
      <c r="D139" s="1247">
        <v>397540</v>
      </c>
      <c r="E139" s="1248" t="str">
        <f t="shared" si="22"/>
        <v>397</v>
      </c>
      <c r="F139" s="1249" t="s">
        <v>967</v>
      </c>
      <c r="G139" s="4330">
        <v>0</v>
      </c>
      <c r="H139" s="1245">
        <v>1</v>
      </c>
      <c r="I139" s="1628">
        <f t="shared" si="19"/>
        <v>0</v>
      </c>
      <c r="J139" s="1628">
        <v>0</v>
      </c>
      <c r="K139" s="1245">
        <v>1</v>
      </c>
      <c r="L139" s="1629">
        <f t="shared" si="20"/>
        <v>0</v>
      </c>
      <c r="M139" s="1243">
        <f t="shared" si="21"/>
        <v>0</v>
      </c>
    </row>
    <row r="140" spans="1:13" hidden="1">
      <c r="A140" s="411"/>
      <c r="B140" s="29"/>
      <c r="C140" s="236"/>
      <c r="D140" s="1247">
        <v>397610</v>
      </c>
      <c r="E140" s="1248" t="str">
        <f t="shared" si="22"/>
        <v>397</v>
      </c>
      <c r="F140" s="1249" t="s">
        <v>968</v>
      </c>
      <c r="G140" s="4330">
        <v>0</v>
      </c>
      <c r="H140" s="1245">
        <v>1</v>
      </c>
      <c r="I140" s="1628">
        <f t="shared" si="19"/>
        <v>0</v>
      </c>
      <c r="J140" s="1628">
        <v>0</v>
      </c>
      <c r="K140" s="1245">
        <v>1</v>
      </c>
      <c r="L140" s="1629">
        <f t="shared" si="20"/>
        <v>0</v>
      </c>
      <c r="M140" s="1243">
        <f t="shared" si="21"/>
        <v>0</v>
      </c>
    </row>
    <row r="141" spans="1:13" hidden="1">
      <c r="A141" s="411"/>
      <c r="B141" s="29"/>
      <c r="C141" s="236"/>
      <c r="D141" s="1247">
        <v>397650</v>
      </c>
      <c r="E141" s="1248" t="str">
        <f t="shared" si="22"/>
        <v>397</v>
      </c>
      <c r="F141" s="1249" t="s">
        <v>969</v>
      </c>
      <c r="G141" s="4330">
        <v>0</v>
      </c>
      <c r="H141" s="1245">
        <v>1</v>
      </c>
      <c r="I141" s="1628">
        <f t="shared" si="19"/>
        <v>0</v>
      </c>
      <c r="J141" s="1628">
        <v>0</v>
      </c>
      <c r="K141" s="1245">
        <v>1</v>
      </c>
      <c r="L141" s="1629">
        <f t="shared" si="20"/>
        <v>0</v>
      </c>
      <c r="M141" s="1243">
        <f t="shared" si="21"/>
        <v>0</v>
      </c>
    </row>
    <row r="142" spans="1:13" hidden="1">
      <c r="A142" s="411"/>
      <c r="B142" s="29"/>
      <c r="C142" s="236"/>
      <c r="D142" s="1247">
        <v>397700</v>
      </c>
      <c r="E142" s="1248" t="str">
        <f t="shared" si="22"/>
        <v>397</v>
      </c>
      <c r="F142" s="1249" t="s">
        <v>970</v>
      </c>
      <c r="G142" s="4330">
        <v>0</v>
      </c>
      <c r="H142" s="1245">
        <v>1</v>
      </c>
      <c r="I142" s="1628">
        <f t="shared" si="19"/>
        <v>0</v>
      </c>
      <c r="J142" s="1628">
        <v>0</v>
      </c>
      <c r="K142" s="1245">
        <v>1</v>
      </c>
      <c r="L142" s="1629">
        <f t="shared" si="20"/>
        <v>0</v>
      </c>
      <c r="M142" s="1243">
        <f t="shared" si="21"/>
        <v>0</v>
      </c>
    </row>
    <row r="143" spans="1:13" hidden="1">
      <c r="A143" s="411"/>
      <c r="B143" s="29"/>
      <c r="C143" s="236"/>
      <c r="D143" s="1247">
        <v>397720</v>
      </c>
      <c r="E143" s="1248" t="str">
        <f t="shared" si="22"/>
        <v>397</v>
      </c>
      <c r="F143" s="1249" t="s">
        <v>971</v>
      </c>
      <c r="G143" s="4330">
        <v>0</v>
      </c>
      <c r="H143" s="1245">
        <v>1</v>
      </c>
      <c r="I143" s="1628">
        <f t="shared" si="19"/>
        <v>0</v>
      </c>
      <c r="J143" s="1628">
        <v>0</v>
      </c>
      <c r="K143" s="1245">
        <v>1</v>
      </c>
      <c r="L143" s="1629">
        <f t="shared" si="20"/>
        <v>0</v>
      </c>
      <c r="M143" s="1243">
        <f t="shared" si="21"/>
        <v>0</v>
      </c>
    </row>
    <row r="144" spans="1:13">
      <c r="A144" s="411"/>
      <c r="B144" s="29"/>
      <c r="C144" s="236">
        <f>+MAX(C$10:C143)+1</f>
        <v>43</v>
      </c>
      <c r="D144" s="1239">
        <v>397801</v>
      </c>
      <c r="E144" s="1240" t="str">
        <f t="shared" si="22"/>
        <v>397</v>
      </c>
      <c r="F144" s="1241" t="s">
        <v>406</v>
      </c>
      <c r="G144" s="4330">
        <v>129581.5</v>
      </c>
      <c r="H144" s="1245">
        <v>1</v>
      </c>
      <c r="I144" s="1628">
        <f t="shared" si="19"/>
        <v>129581.5</v>
      </c>
      <c r="J144" s="1628">
        <v>129581.5</v>
      </c>
      <c r="K144" s="1245">
        <v>1</v>
      </c>
      <c r="L144" s="1629">
        <f t="shared" si="20"/>
        <v>0</v>
      </c>
      <c r="M144" s="1243">
        <f t="shared" si="21"/>
        <v>0</v>
      </c>
    </row>
    <row r="145" spans="1:13">
      <c r="A145" s="411"/>
      <c r="B145" s="29"/>
      <c r="C145" s="236">
        <f>+MAX(C$10:C144)+1</f>
        <v>44</v>
      </c>
      <c r="D145" s="1239">
        <v>397802</v>
      </c>
      <c r="E145" s="1240" t="str">
        <f t="shared" si="22"/>
        <v>397</v>
      </c>
      <c r="F145" s="1241" t="s">
        <v>407</v>
      </c>
      <c r="G145" s="4330">
        <v>18516599.719999999</v>
      </c>
      <c r="H145" s="1245">
        <v>1</v>
      </c>
      <c r="I145" s="1628">
        <f t="shared" si="19"/>
        <v>18516599.719999999</v>
      </c>
      <c r="J145" s="1628">
        <v>14612027.200000001</v>
      </c>
      <c r="K145" s="1245">
        <v>1</v>
      </c>
      <c r="L145" s="1629">
        <f t="shared" si="20"/>
        <v>3904572.5199999977</v>
      </c>
      <c r="M145" s="1243">
        <f t="shared" si="21"/>
        <v>3904572.5199999977</v>
      </c>
    </row>
    <row r="146" spans="1:13">
      <c r="A146" s="411"/>
      <c r="B146" s="29"/>
      <c r="C146" s="236">
        <f>+MAX(C$10:C145)+1</f>
        <v>45</v>
      </c>
      <c r="D146" s="1239">
        <v>397803</v>
      </c>
      <c r="E146" s="1240" t="str">
        <f t="shared" si="22"/>
        <v>397</v>
      </c>
      <c r="F146" s="1241" t="s">
        <v>408</v>
      </c>
      <c r="G146" s="4330">
        <v>7200873.5999999996</v>
      </c>
      <c r="H146" s="1245">
        <v>1</v>
      </c>
      <c r="I146" s="1628">
        <f t="shared" si="19"/>
        <v>7200873.5999999996</v>
      </c>
      <c r="J146" s="1628">
        <v>7034734.0999999996</v>
      </c>
      <c r="K146" s="1245">
        <v>1</v>
      </c>
      <c r="L146" s="1629">
        <f t="shared" si="20"/>
        <v>166139.5</v>
      </c>
      <c r="M146" s="1243">
        <f t="shared" si="21"/>
        <v>166139.5</v>
      </c>
    </row>
    <row r="147" spans="1:13">
      <c r="A147" s="411"/>
      <c r="B147" s="29"/>
      <c r="C147" s="236">
        <f>+MAX(C$10:C146)+1</f>
        <v>46</v>
      </c>
      <c r="D147" s="1239">
        <v>397804</v>
      </c>
      <c r="E147" s="1240" t="str">
        <f t="shared" si="22"/>
        <v>397</v>
      </c>
      <c r="F147" s="1241" t="s">
        <v>409</v>
      </c>
      <c r="G147" s="4330">
        <v>12433951.259999998</v>
      </c>
      <c r="H147" s="1245">
        <v>1</v>
      </c>
      <c r="I147" s="1628">
        <f t="shared" si="19"/>
        <v>12433951.259999998</v>
      </c>
      <c r="J147" s="1628">
        <v>5440124.7299999995</v>
      </c>
      <c r="K147" s="1245">
        <v>1</v>
      </c>
      <c r="L147" s="1629">
        <f t="shared" si="20"/>
        <v>6993826.5299999984</v>
      </c>
      <c r="M147" s="1243">
        <f t="shared" si="21"/>
        <v>6993826.5299999984</v>
      </c>
    </row>
    <row r="148" spans="1:13">
      <c r="A148" s="411"/>
      <c r="B148" s="29"/>
      <c r="C148" s="236">
        <f>+MAX(C$10:C147)+1</f>
        <v>47</v>
      </c>
      <c r="D148" s="1239">
        <v>397805</v>
      </c>
      <c r="E148" s="1240" t="str">
        <f t="shared" si="22"/>
        <v>397</v>
      </c>
      <c r="F148" s="1241" t="s">
        <v>410</v>
      </c>
      <c r="G148" s="4330">
        <v>28412438.889999993</v>
      </c>
      <c r="H148" s="1245">
        <v>1</v>
      </c>
      <c r="I148" s="1628">
        <f t="shared" si="19"/>
        <v>28412438.889999993</v>
      </c>
      <c r="J148" s="1628">
        <v>9985892.9599999972</v>
      </c>
      <c r="K148" s="1245">
        <v>1</v>
      </c>
      <c r="L148" s="1629">
        <f t="shared" si="20"/>
        <v>18426545.929999996</v>
      </c>
      <c r="M148" s="1243">
        <f t="shared" si="21"/>
        <v>18426545.929999996</v>
      </c>
    </row>
    <row r="149" spans="1:13">
      <c r="A149" s="411"/>
      <c r="B149" s="29"/>
      <c r="C149" s="236">
        <f>+MAX(C$10:C148)+1</f>
        <v>48</v>
      </c>
      <c r="D149" s="1239">
        <v>397806</v>
      </c>
      <c r="E149" s="1240" t="str">
        <f t="shared" si="22"/>
        <v>397</v>
      </c>
      <c r="F149" s="1241" t="s">
        <v>411</v>
      </c>
      <c r="G149" s="4330">
        <v>35717911.859999992</v>
      </c>
      <c r="H149" s="1245">
        <v>1</v>
      </c>
      <c r="I149" s="1628">
        <f t="shared" si="19"/>
        <v>35717911.859999992</v>
      </c>
      <c r="J149" s="1628">
        <v>19583369.649999995</v>
      </c>
      <c r="K149" s="1245">
        <v>1</v>
      </c>
      <c r="L149" s="1629">
        <f t="shared" si="20"/>
        <v>16134542.209999997</v>
      </c>
      <c r="M149" s="1243">
        <f t="shared" si="21"/>
        <v>16134542.209999997</v>
      </c>
    </row>
    <row r="150" spans="1:13">
      <c r="A150" s="411"/>
      <c r="B150" s="29"/>
      <c r="C150" s="236">
        <f>+MAX(C$10:C149)+1</f>
        <v>49</v>
      </c>
      <c r="D150" s="1239">
        <v>397807</v>
      </c>
      <c r="E150" s="1240" t="str">
        <f t="shared" si="22"/>
        <v>397</v>
      </c>
      <c r="F150" s="1241" t="s">
        <v>412</v>
      </c>
      <c r="G150" s="4330">
        <v>53109602.830000006</v>
      </c>
      <c r="H150" s="1245">
        <v>1</v>
      </c>
      <c r="I150" s="1628">
        <f t="shared" si="19"/>
        <v>53109602.830000006</v>
      </c>
      <c r="J150" s="1628">
        <v>18763938.130000003</v>
      </c>
      <c r="K150" s="1245">
        <v>1</v>
      </c>
      <c r="L150" s="1629">
        <f t="shared" si="20"/>
        <v>34345664.700000003</v>
      </c>
      <c r="M150" s="1243">
        <f t="shared" si="21"/>
        <v>34345664.700000003</v>
      </c>
    </row>
    <row r="151" spans="1:13" hidden="1">
      <c r="A151" s="411"/>
      <c r="B151" s="29"/>
      <c r="C151" s="236"/>
      <c r="D151" s="1247">
        <v>397810</v>
      </c>
      <c r="E151" s="1248" t="str">
        <f t="shared" si="22"/>
        <v>397</v>
      </c>
      <c r="F151" s="1249" t="s">
        <v>943</v>
      </c>
      <c r="G151" s="4330">
        <v>0</v>
      </c>
      <c r="H151" s="1245">
        <v>1</v>
      </c>
      <c r="I151" s="1628">
        <f t="shared" si="19"/>
        <v>0</v>
      </c>
      <c r="J151" s="1628">
        <v>0</v>
      </c>
      <c r="K151" s="1245">
        <v>1</v>
      </c>
      <c r="L151" s="1629">
        <f t="shared" si="20"/>
        <v>0</v>
      </c>
      <c r="M151" s="1243">
        <f t="shared" si="21"/>
        <v>0</v>
      </c>
    </row>
    <row r="152" spans="1:13" hidden="1">
      <c r="A152" s="411"/>
      <c r="B152" s="29"/>
      <c r="C152" s="236"/>
      <c r="D152" s="1247">
        <v>397840</v>
      </c>
      <c r="E152" s="1248" t="str">
        <f t="shared" si="22"/>
        <v>397</v>
      </c>
      <c r="F152" s="1249" t="s">
        <v>944</v>
      </c>
      <c r="G152" s="4330">
        <v>0</v>
      </c>
      <c r="H152" s="1245">
        <v>1</v>
      </c>
      <c r="I152" s="1628">
        <f t="shared" si="19"/>
        <v>0</v>
      </c>
      <c r="J152" s="1628">
        <v>0</v>
      </c>
      <c r="K152" s="1245">
        <v>1</v>
      </c>
      <c r="L152" s="1629">
        <f t="shared" si="20"/>
        <v>0</v>
      </c>
      <c r="M152" s="1243">
        <f t="shared" si="21"/>
        <v>0</v>
      </c>
    </row>
    <row r="153" spans="1:13" hidden="1">
      <c r="A153" s="411"/>
      <c r="B153" s="29"/>
      <c r="C153" s="236"/>
      <c r="D153" s="1247">
        <v>397920</v>
      </c>
      <c r="E153" s="1248" t="str">
        <f t="shared" si="22"/>
        <v>397</v>
      </c>
      <c r="F153" s="1249" t="s">
        <v>945</v>
      </c>
      <c r="G153" s="4330">
        <v>0</v>
      </c>
      <c r="H153" s="1245">
        <v>1</v>
      </c>
      <c r="I153" s="1628">
        <f t="shared" si="19"/>
        <v>0</v>
      </c>
      <c r="J153" s="1628">
        <v>0</v>
      </c>
      <c r="K153" s="1245">
        <v>1</v>
      </c>
      <c r="L153" s="1629">
        <f t="shared" si="20"/>
        <v>0</v>
      </c>
      <c r="M153" s="1243">
        <f t="shared" si="21"/>
        <v>0</v>
      </c>
    </row>
    <row r="154" spans="1:13" hidden="1">
      <c r="A154" s="411"/>
      <c r="B154" s="29"/>
      <c r="C154" s="236"/>
      <c r="D154" s="1247">
        <v>397940</v>
      </c>
      <c r="E154" s="1248" t="str">
        <f t="shared" si="22"/>
        <v>397</v>
      </c>
      <c r="F154" s="1249" t="s">
        <v>946</v>
      </c>
      <c r="G154" s="4330">
        <v>0</v>
      </c>
      <c r="H154" s="1245">
        <v>1</v>
      </c>
      <c r="I154" s="1628">
        <f t="shared" si="19"/>
        <v>0</v>
      </c>
      <c r="J154" s="1628">
        <v>0</v>
      </c>
      <c r="K154" s="1245">
        <v>1</v>
      </c>
      <c r="L154" s="1629">
        <f t="shared" si="20"/>
        <v>0</v>
      </c>
      <c r="M154" s="1243">
        <f t="shared" si="21"/>
        <v>0</v>
      </c>
    </row>
    <row r="155" spans="1:13" ht="16.5" thickBot="1">
      <c r="A155" s="411"/>
      <c r="B155" s="29"/>
      <c r="C155" s="236">
        <f>+MAX(C$10:C154)+1</f>
        <v>50</v>
      </c>
      <c r="D155" s="1239">
        <v>398000</v>
      </c>
      <c r="E155" s="1240" t="str">
        <f t="shared" si="22"/>
        <v>398</v>
      </c>
      <c r="F155" s="1241" t="s">
        <v>2097</v>
      </c>
      <c r="G155" s="4331">
        <v>1485886.68</v>
      </c>
      <c r="H155" s="4332">
        <v>1</v>
      </c>
      <c r="I155" s="4333">
        <f t="shared" si="19"/>
        <v>1485886.68</v>
      </c>
      <c r="J155" s="4333">
        <v>1368955.9499999997</v>
      </c>
      <c r="K155" s="4332">
        <v>1</v>
      </c>
      <c r="L155" s="1631">
        <f t="shared" si="20"/>
        <v>116930.73000000021</v>
      </c>
      <c r="M155" s="1243">
        <f t="shared" si="21"/>
        <v>116930.73000000021</v>
      </c>
    </row>
    <row r="156" spans="1:13" hidden="1">
      <c r="A156" s="411"/>
      <c r="B156" s="29"/>
      <c r="C156" s="236"/>
      <c r="D156" s="1247">
        <v>398010</v>
      </c>
      <c r="E156" s="1248" t="str">
        <f t="shared" si="22"/>
        <v>398</v>
      </c>
      <c r="F156" s="1249" t="s">
        <v>972</v>
      </c>
      <c r="G156" s="1244">
        <v>0</v>
      </c>
      <c r="H156" s="1245">
        <v>1</v>
      </c>
      <c r="I156" s="1628">
        <f t="shared" si="19"/>
        <v>0</v>
      </c>
      <c r="J156" s="1246">
        <v>0</v>
      </c>
      <c r="K156" s="1245">
        <v>1</v>
      </c>
      <c r="L156" s="1629">
        <f t="shared" si="20"/>
        <v>0</v>
      </c>
      <c r="M156" s="1243">
        <f t="shared" si="21"/>
        <v>0</v>
      </c>
    </row>
    <row r="157" spans="1:13" hidden="1">
      <c r="A157" s="411"/>
      <c r="B157" s="29"/>
      <c r="C157" s="236"/>
      <c r="D157" s="1247">
        <v>398020</v>
      </c>
      <c r="E157" s="1248" t="str">
        <f t="shared" si="22"/>
        <v>398</v>
      </c>
      <c r="F157" s="1249" t="s">
        <v>973</v>
      </c>
      <c r="G157" s="1244">
        <v>0</v>
      </c>
      <c r="H157" s="1245">
        <v>1</v>
      </c>
      <c r="I157" s="1628">
        <f>G157*H157</f>
        <v>0</v>
      </c>
      <c r="J157" s="1246">
        <v>0</v>
      </c>
      <c r="K157" s="1245">
        <v>1</v>
      </c>
      <c r="L157" s="1629">
        <f t="shared" si="20"/>
        <v>0</v>
      </c>
      <c r="M157" s="1243">
        <f t="shared" si="21"/>
        <v>0</v>
      </c>
    </row>
    <row r="158" spans="1:13" ht="16.5" hidden="1" thickBot="1">
      <c r="A158" s="411"/>
      <c r="B158" s="29"/>
      <c r="C158" s="236"/>
      <c r="D158" s="1247">
        <v>398740</v>
      </c>
      <c r="E158" s="1248" t="str">
        <f t="shared" si="22"/>
        <v>398</v>
      </c>
      <c r="F158" s="1249" t="s">
        <v>974</v>
      </c>
      <c r="G158" s="1250">
        <v>0</v>
      </c>
      <c r="H158" s="1251">
        <v>1</v>
      </c>
      <c r="I158" s="1630">
        <f>G158*H158</f>
        <v>0</v>
      </c>
      <c r="J158" s="1252">
        <v>0</v>
      </c>
      <c r="K158" s="1251">
        <v>1</v>
      </c>
      <c r="L158" s="1631">
        <f t="shared" si="20"/>
        <v>0</v>
      </c>
      <c r="M158" s="1243">
        <f t="shared" si="21"/>
        <v>0</v>
      </c>
    </row>
    <row r="159" spans="1:13" ht="3" customHeight="1">
      <c r="A159" s="411"/>
      <c r="B159" s="29"/>
      <c r="C159" s="236"/>
      <c r="D159" s="1240"/>
      <c r="E159" s="1253"/>
      <c r="F159" s="1253"/>
      <c r="G159" s="1254"/>
      <c r="H159" s="1254"/>
      <c r="I159" s="1254"/>
      <c r="J159" s="1254"/>
      <c r="K159" s="1254"/>
      <c r="L159" s="1254"/>
      <c r="M159" s="1255"/>
    </row>
    <row r="160" spans="1:13">
      <c r="A160" s="411"/>
      <c r="B160" s="29"/>
      <c r="C160" s="236">
        <f>+MAX(C$10:C159)+1</f>
        <v>51</v>
      </c>
      <c r="D160" s="1240"/>
      <c r="E160" s="1240"/>
      <c r="F160" s="1256" t="s">
        <v>426</v>
      </c>
      <c r="G160" s="1257">
        <f>SUM(G54:G158)</f>
        <v>258595291.54999998</v>
      </c>
      <c r="H160" s="1257"/>
      <c r="I160" s="1257">
        <f>SUM(I54:I158)</f>
        <v>258595291.54999998</v>
      </c>
      <c r="J160" s="1257">
        <f>SUM(J54:J158)</f>
        <v>153248956.43999997</v>
      </c>
      <c r="K160" s="1257"/>
      <c r="L160" s="1257">
        <f>SUM(L54:L158)</f>
        <v>105346335.10999998</v>
      </c>
      <c r="M160" s="1257">
        <f>SUM(M54:M158)</f>
        <v>105346335.10999998</v>
      </c>
    </row>
    <row r="161" spans="1:14" ht="6" customHeight="1">
      <c r="A161" s="411"/>
      <c r="B161" s="29"/>
      <c r="C161" s="236"/>
      <c r="D161" s="236"/>
      <c r="E161" s="4"/>
      <c r="F161" s="4"/>
      <c r="G161" s="1253"/>
      <c r="H161" s="4"/>
      <c r="I161" s="4"/>
      <c r="J161" s="1253"/>
      <c r="K161" s="4"/>
      <c r="L161" s="4"/>
      <c r="M161" s="4"/>
    </row>
    <row r="162" spans="1:14">
      <c r="A162" s="411"/>
      <c r="B162" s="29"/>
      <c r="C162" s="236">
        <f>+MAX(C$10:C161)+1</f>
        <v>52</v>
      </c>
      <c r="D162" s="236"/>
      <c r="E162" s="236"/>
      <c r="F162" s="40" t="s">
        <v>109</v>
      </c>
      <c r="G162" s="1263">
        <f>SUM(G18,G32,G51,G160)</f>
        <v>991984464.48999977</v>
      </c>
      <c r="H162" s="44"/>
      <c r="I162" s="44">
        <f>SUM(I18,I32,I51,I160)</f>
        <v>991984464.48999977</v>
      </c>
      <c r="J162" s="1263">
        <f>SUM(J18,J32,J51,J160)</f>
        <v>491613007.78999996</v>
      </c>
      <c r="K162" s="44"/>
      <c r="L162" s="44">
        <f>SUM(L18,L32,L51,L160)</f>
        <v>500371456.69999981</v>
      </c>
      <c r="M162" s="44">
        <f>SUM(M18,M32,M51,M160)</f>
        <v>500371456.69999981</v>
      </c>
      <c r="N162" s="32"/>
    </row>
    <row r="163" spans="1:14" ht="6" customHeight="1">
      <c r="A163" s="411"/>
      <c r="C163" s="236"/>
      <c r="G163" s="1265"/>
      <c r="J163" s="1265"/>
      <c r="M163" s="108"/>
    </row>
    <row r="164" spans="1:14">
      <c r="A164" s="411"/>
      <c r="C164" s="236">
        <f>+MAX(C$10:C163)+1</f>
        <v>53</v>
      </c>
      <c r="F164" s="40" t="s">
        <v>976</v>
      </c>
      <c r="G164" s="2949">
        <f>SUM('Lead Sheet 2015'!C214:C225)</f>
        <v>83774684.209999979</v>
      </c>
      <c r="I164" s="499">
        <f>G164</f>
        <v>83774684.209999979</v>
      </c>
      <c r="J164" s="106"/>
      <c r="K164" s="106"/>
      <c r="L164" s="499">
        <f>I164</f>
        <v>83774684.209999979</v>
      </c>
      <c r="M164" s="499">
        <f>L164</f>
        <v>83774684.209999979</v>
      </c>
    </row>
    <row r="165" spans="1:14" ht="6" customHeight="1">
      <c r="A165" s="411"/>
      <c r="I165" s="106"/>
      <c r="J165" s="106"/>
      <c r="K165" s="106"/>
      <c r="L165" s="106"/>
      <c r="M165" s="106"/>
    </row>
    <row r="166" spans="1:14">
      <c r="A166" s="411"/>
      <c r="C166" s="236">
        <f>+MAX(C$10:C165)+1</f>
        <v>54</v>
      </c>
      <c r="F166" s="40" t="s">
        <v>977</v>
      </c>
      <c r="G166" s="44">
        <f>SUM(G162:G164)</f>
        <v>1075759148.6999998</v>
      </c>
      <c r="I166" s="499">
        <f>SUM(I162:I164)</f>
        <v>1075759148.6999998</v>
      </c>
      <c r="J166" s="106"/>
      <c r="K166" s="106"/>
      <c r="L166" s="499">
        <f>SUM(L162:L164)</f>
        <v>584146140.90999985</v>
      </c>
      <c r="M166" s="499">
        <f>SUM(M162:M164)</f>
        <v>584146140.90999985</v>
      </c>
    </row>
    <row r="167" spans="1:14">
      <c r="A167" s="411"/>
      <c r="J167" s="1253"/>
    </row>
    <row r="168" spans="1:14">
      <c r="A168" s="411"/>
      <c r="J168" s="1253"/>
    </row>
    <row r="169" spans="1:14">
      <c r="A169" s="411"/>
      <c r="J169" s="1253"/>
    </row>
    <row r="170" spans="1:14">
      <c r="A170" s="411"/>
      <c r="J170" s="1253"/>
    </row>
    <row r="171" spans="1:14">
      <c r="A171" s="411"/>
      <c r="J171" s="1253"/>
    </row>
    <row r="172" spans="1:14">
      <c r="A172" s="411"/>
      <c r="J172" s="1253"/>
    </row>
    <row r="173" spans="1:14">
      <c r="A173" s="411"/>
      <c r="J173" s="1253"/>
    </row>
    <row r="174" spans="1:14">
      <c r="A174" s="411"/>
      <c r="J174" s="1253"/>
    </row>
    <row r="175" spans="1:14">
      <c r="A175" s="411"/>
      <c r="J175" s="1253"/>
    </row>
    <row r="176" spans="1:14">
      <c r="A176" s="411"/>
      <c r="J176" s="1253"/>
    </row>
    <row r="177" spans="1:10" ht="6" customHeight="1">
      <c r="A177" s="411"/>
      <c r="J177" s="1253"/>
    </row>
    <row r="178" spans="1:10">
      <c r="A178" s="411"/>
      <c r="J178" s="1253"/>
    </row>
    <row r="179" spans="1:10">
      <c r="A179" s="411"/>
      <c r="J179" s="1253"/>
    </row>
    <row r="180" spans="1:10" hidden="1">
      <c r="A180" s="411"/>
      <c r="J180" s="1253"/>
    </row>
    <row r="181" spans="1:10" hidden="1">
      <c r="A181" s="411"/>
      <c r="J181" s="1253"/>
    </row>
    <row r="182" spans="1:10" hidden="1">
      <c r="J182" s="1253"/>
    </row>
    <row r="183" spans="1:10" hidden="1">
      <c r="J183" s="1253"/>
    </row>
    <row r="184" spans="1:10" hidden="1">
      <c r="J184" s="1253"/>
    </row>
    <row r="185" spans="1:10" hidden="1">
      <c r="J185" s="1253"/>
    </row>
    <row r="186" spans="1:10" hidden="1">
      <c r="J186" s="1253"/>
    </row>
    <row r="187" spans="1:10" hidden="1"/>
    <row r="188" spans="1:10" hidden="1"/>
    <row r="189" spans="1:10" hidden="1"/>
    <row r="190" spans="1:10" hidden="1"/>
    <row r="191" spans="1:10" hidden="1"/>
    <row r="192" spans="1:10"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t="15.75" hidden="1" customHeight="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sheetData>
  <mergeCells count="3">
    <mergeCell ref="F1:M1"/>
    <mergeCell ref="F2:M2"/>
    <mergeCell ref="F3:M3"/>
  </mergeCells>
  <phoneticPr fontId="8" type="noConversion"/>
  <printOptions horizontalCentered="1"/>
  <pageMargins left="0.25" right="0.25" top="0.5" bottom="0.5" header="0.25" footer="0.25"/>
  <pageSetup scale="58" orientation="landscape" r:id="rId1"/>
  <headerFooter alignWithMargins="0">
    <oddFooter>&amp;L&amp;"Times New Roman,Bold Italic"Black &amp; Veatch Corporation&amp;C&amp;"Times New Roman,Bold Italic"Date: &amp;D&amp;R&amp;"Times New Roman,Bold Italic"Page: &amp;P of&amp;N</oddFooter>
  </headerFooter>
  <rowBreaks count="1" manualBreakCount="1">
    <brk id="90" max="13" man="1"/>
  </rowBreaks>
  <ignoredErrors>
    <ignoredError sqref="G164" formulaRange="1"/>
  </ignoredError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008000"/>
    <pageSetUpPr fitToPage="1"/>
  </sheetPr>
  <dimension ref="A1:AH510"/>
  <sheetViews>
    <sheetView showGridLines="0" zoomScale="70" zoomScaleNormal="70" workbookViewId="0">
      <pane xSplit="6" ySplit="10" topLeftCell="G287" activePane="bottomRight" state="frozen"/>
      <selection activeCell="D11" sqref="D11"/>
      <selection pane="topRight" activeCell="D11" sqref="D11"/>
      <selection pane="bottomLeft" activeCell="D11" sqref="D11"/>
      <selection pane="bottomRight" activeCell="C6" sqref="C6"/>
    </sheetView>
  </sheetViews>
  <sheetFormatPr defaultColWidth="0" defaultRowHeight="15.75" zeroHeight="1"/>
  <cols>
    <col min="1" max="1" width="22.5" customWidth="1"/>
    <col min="2" max="2" width="1.5" customWidth="1"/>
    <col min="3" max="3" width="5.75" customWidth="1"/>
    <col min="4" max="4" width="6.25" bestFit="1" customWidth="1"/>
    <col min="5" max="5" width="36.75" customWidth="1"/>
    <col min="6" max="6" width="19.25" style="20" bestFit="1" customWidth="1"/>
    <col min="7" max="7" width="26.25" style="910" bestFit="1" customWidth="1"/>
    <col min="8" max="8" width="9.625" style="20" bestFit="1" customWidth="1"/>
    <col min="9" max="10" width="14.625" style="20" bestFit="1" customWidth="1"/>
    <col min="11" max="11" width="19.75" style="20" customWidth="1"/>
    <col min="12" max="12" width="13.375" style="20" bestFit="1" customWidth="1"/>
    <col min="13" max="14" width="8.125" style="20" bestFit="1" customWidth="1"/>
    <col min="15" max="15" width="13.75" style="20" bestFit="1" customWidth="1"/>
    <col min="16" max="16" width="13.375" style="20" bestFit="1" customWidth="1"/>
    <col min="17" max="17" width="14.625" style="20" bestFit="1" customWidth="1"/>
    <col min="18" max="23" width="13.375" style="20" bestFit="1" customWidth="1"/>
    <col min="24" max="24" width="12.25" style="20" bestFit="1" customWidth="1"/>
    <col min="25" max="25" width="9.25" style="20" bestFit="1" customWidth="1"/>
    <col min="26" max="26" width="14.625" style="562" bestFit="1" customWidth="1"/>
    <col min="27" max="27" width="9.625" bestFit="1" customWidth="1"/>
    <col min="28" max="28" width="2.625" customWidth="1"/>
    <col min="29" max="29" width="0" hidden="1" customWidth="1"/>
    <col min="30" max="30" width="11.5" hidden="1" customWidth="1"/>
    <col min="32" max="34" width="11.5" hidden="1"/>
  </cols>
  <sheetData>
    <row r="1" spans="1:31" ht="22.5">
      <c r="A1" s="411"/>
      <c r="B1" s="1"/>
      <c r="C1" s="167" t="s">
        <v>167</v>
      </c>
      <c r="D1" s="109"/>
      <c r="E1" s="109"/>
      <c r="F1" s="167"/>
      <c r="G1" s="18"/>
      <c r="H1" s="167"/>
      <c r="I1" s="167"/>
      <c r="J1" s="167"/>
      <c r="N1" s="3143"/>
      <c r="O1" s="3143"/>
      <c r="P1" s="3143"/>
      <c r="Q1" s="3143"/>
      <c r="R1" s="3143"/>
      <c r="S1" s="3143"/>
      <c r="T1" s="3143"/>
      <c r="U1" s="3143"/>
      <c r="V1" s="3143"/>
      <c r="W1" s="3143"/>
      <c r="X1" s="3143"/>
      <c r="Y1" s="3143"/>
      <c r="Z1" s="3143"/>
      <c r="AA1" s="3143"/>
      <c r="AB1" s="3143"/>
    </row>
    <row r="2" spans="1:31" ht="22.5">
      <c r="A2" s="411"/>
      <c r="C2" s="167" t="str">
        <f>Client</f>
        <v>Grant County Public Utility District</v>
      </c>
      <c r="D2" s="109"/>
      <c r="E2" s="109"/>
      <c r="F2" s="167"/>
      <c r="G2"/>
      <c r="J2" s="167"/>
      <c r="N2" s="167"/>
      <c r="O2" s="167"/>
      <c r="P2" s="167"/>
      <c r="Q2" s="167"/>
      <c r="R2" s="167"/>
      <c r="S2" s="167"/>
      <c r="T2" s="167"/>
      <c r="U2" s="167"/>
      <c r="V2" s="167"/>
      <c r="W2" s="167"/>
      <c r="X2" s="167"/>
      <c r="Y2" s="167"/>
      <c r="Z2"/>
    </row>
    <row r="3" spans="1:31" ht="22.5">
      <c r="A3" s="411"/>
      <c r="C3" s="167" t="s">
        <v>987</v>
      </c>
      <c r="D3" s="109"/>
      <c r="E3" s="109"/>
      <c r="F3" s="167"/>
      <c r="G3"/>
      <c r="J3" s="167"/>
      <c r="N3" s="167"/>
      <c r="O3" s="167"/>
      <c r="P3" s="167"/>
      <c r="Q3" s="167"/>
      <c r="R3" s="167"/>
      <c r="S3" s="167"/>
      <c r="T3" s="167"/>
      <c r="U3" s="167"/>
      <c r="V3" s="167"/>
      <c r="W3" s="167"/>
      <c r="X3" s="167"/>
      <c r="Y3" s="167"/>
      <c r="Z3"/>
    </row>
    <row r="4" spans="1:31" s="3094" customFormat="1" ht="22.5">
      <c r="A4" s="411"/>
      <c r="C4" s="167"/>
      <c r="D4" s="109"/>
      <c r="E4" s="109"/>
      <c r="F4" s="167"/>
      <c r="H4" s="20"/>
      <c r="I4" s="20"/>
      <c r="J4" s="167"/>
      <c r="K4" s="20"/>
      <c r="L4" s="20"/>
      <c r="M4" s="20"/>
      <c r="N4" s="167"/>
      <c r="O4" s="167"/>
      <c r="P4" s="167"/>
      <c r="Q4" s="167"/>
      <c r="R4" s="167"/>
      <c r="S4" s="167"/>
      <c r="T4" s="167"/>
      <c r="U4" s="167"/>
      <c r="V4" s="167"/>
      <c r="W4" s="167"/>
      <c r="X4" s="167"/>
      <c r="Y4" s="167"/>
    </row>
    <row r="5" spans="1:31">
      <c r="A5" s="411"/>
      <c r="C5" s="3143" t="s">
        <v>3513</v>
      </c>
      <c r="F5" s="3143" t="s">
        <v>3502</v>
      </c>
      <c r="G5" s="18"/>
      <c r="H5"/>
      <c r="I5"/>
      <c r="J5"/>
      <c r="K5"/>
      <c r="L5"/>
      <c r="M5"/>
      <c r="N5"/>
      <c r="O5"/>
      <c r="P5"/>
      <c r="Q5"/>
      <c r="R5"/>
      <c r="S5"/>
      <c r="T5"/>
      <c r="U5"/>
      <c r="V5"/>
      <c r="W5"/>
      <c r="X5"/>
      <c r="Y5"/>
      <c r="Z5"/>
    </row>
    <row r="6" spans="1:31">
      <c r="A6" s="411"/>
      <c r="C6" s="3143" t="s">
        <v>4037</v>
      </c>
      <c r="F6" s="3143" t="s">
        <v>3511</v>
      </c>
      <c r="G6" s="18"/>
      <c r="H6"/>
      <c r="I6"/>
      <c r="J6"/>
      <c r="K6"/>
      <c r="L6"/>
      <c r="M6"/>
      <c r="N6"/>
      <c r="O6"/>
      <c r="P6"/>
      <c r="Q6"/>
      <c r="R6"/>
      <c r="S6"/>
      <c r="T6"/>
      <c r="U6"/>
      <c r="V6"/>
      <c r="W6"/>
      <c r="X6"/>
      <c r="Y6"/>
      <c r="Z6"/>
    </row>
    <row r="7" spans="1:31">
      <c r="A7" s="411"/>
      <c r="C7" s="3143" t="s">
        <v>4038</v>
      </c>
      <c r="F7" s="3143" t="s">
        <v>3512</v>
      </c>
      <c r="G7" s="18"/>
      <c r="H7" s="4445" t="s">
        <v>900</v>
      </c>
      <c r="I7" s="4446"/>
      <c r="J7" s="4412" t="s">
        <v>600</v>
      </c>
      <c r="K7" s="4439" t="s">
        <v>601</v>
      </c>
      <c r="L7" s="4440"/>
      <c r="M7" s="4440"/>
      <c r="N7" s="4440"/>
      <c r="O7" s="4440"/>
      <c r="P7" s="4440"/>
      <c r="Q7" s="4441"/>
      <c r="R7" s="49"/>
      <c r="S7" s="49"/>
      <c r="T7" s="49"/>
      <c r="U7" s="49"/>
      <c r="V7" s="129" t="s">
        <v>608</v>
      </c>
      <c r="W7" s="5"/>
      <c r="X7" s="5"/>
      <c r="Y7" s="5"/>
      <c r="Z7"/>
    </row>
    <row r="8" spans="1:31">
      <c r="A8" s="411"/>
      <c r="C8" s="18"/>
      <c r="D8" s="18"/>
      <c r="E8" s="5"/>
      <c r="F8" s="5"/>
      <c r="G8" s="18"/>
      <c r="H8" s="4447"/>
      <c r="I8" s="4448"/>
      <c r="J8" s="4404"/>
      <c r="K8" s="4442" t="s">
        <v>168</v>
      </c>
      <c r="L8" s="4443"/>
      <c r="M8" s="4443"/>
      <c r="N8" s="4443"/>
      <c r="O8" s="4443"/>
      <c r="P8" s="4443"/>
      <c r="Q8" s="4444"/>
      <c r="R8" s="4437" t="s">
        <v>606</v>
      </c>
      <c r="S8" s="4438"/>
      <c r="T8" s="4438"/>
      <c r="U8" s="4438"/>
      <c r="V8" s="143" t="s">
        <v>169</v>
      </c>
      <c r="W8" s="202"/>
      <c r="X8" s="5"/>
      <c r="Y8" s="5"/>
      <c r="Z8"/>
    </row>
    <row r="9" spans="1:31" ht="16.5" thickBot="1">
      <c r="A9" s="411"/>
      <c r="C9" s="140"/>
      <c r="D9" s="140"/>
      <c r="E9" s="129"/>
      <c r="F9" s="129"/>
      <c r="G9" s="561" t="s">
        <v>469</v>
      </c>
      <c r="H9" s="4433" t="s">
        <v>605</v>
      </c>
      <c r="I9" s="4449" t="s">
        <v>168</v>
      </c>
      <c r="J9" s="4449" t="s">
        <v>168</v>
      </c>
      <c r="K9" s="4453" t="s">
        <v>170</v>
      </c>
      <c r="L9" s="1777" t="s">
        <v>486</v>
      </c>
      <c r="M9" s="1777" t="s">
        <v>2988</v>
      </c>
      <c r="N9" s="1777" t="s">
        <v>2989</v>
      </c>
      <c r="O9" s="1745" t="s">
        <v>867</v>
      </c>
      <c r="P9" s="4435" t="s">
        <v>857</v>
      </c>
      <c r="Q9" s="4436"/>
      <c r="R9" s="4454" t="s">
        <v>858</v>
      </c>
      <c r="S9" s="4455"/>
      <c r="T9" s="4449" t="s">
        <v>171</v>
      </c>
      <c r="U9" s="4449" t="s">
        <v>172</v>
      </c>
      <c r="V9" s="143" t="s">
        <v>173</v>
      </c>
      <c r="W9" s="4451" t="s">
        <v>468</v>
      </c>
      <c r="X9" s="129" t="s">
        <v>175</v>
      </c>
      <c r="Y9" s="149" t="s">
        <v>176</v>
      </c>
      <c r="Z9" s="599"/>
    </row>
    <row r="10" spans="1:31" ht="16.5" thickBot="1">
      <c r="A10" s="411"/>
      <c r="C10" s="234" t="s">
        <v>867</v>
      </c>
      <c r="D10" s="234" t="s">
        <v>701</v>
      </c>
      <c r="E10" s="143" t="s">
        <v>399</v>
      </c>
      <c r="F10" s="143" t="s">
        <v>602</v>
      </c>
      <c r="G10" s="561" t="s">
        <v>470</v>
      </c>
      <c r="H10" s="4434"/>
      <c r="I10" s="4450"/>
      <c r="J10" s="4450"/>
      <c r="K10" s="4453"/>
      <c r="L10" s="1777" t="s">
        <v>175</v>
      </c>
      <c r="M10" s="1777" t="s">
        <v>175</v>
      </c>
      <c r="N10" s="1777" t="s">
        <v>175</v>
      </c>
      <c r="O10" s="1746" t="s">
        <v>856</v>
      </c>
      <c r="P10" s="1755" t="s">
        <v>985</v>
      </c>
      <c r="Q10" s="1755" t="s">
        <v>986</v>
      </c>
      <c r="R10" s="1744" t="s">
        <v>985</v>
      </c>
      <c r="S10" s="1745" t="s">
        <v>986</v>
      </c>
      <c r="T10" s="4450"/>
      <c r="U10" s="4450"/>
      <c r="V10" s="226" t="s">
        <v>603</v>
      </c>
      <c r="W10" s="4452"/>
      <c r="X10" s="226" t="s">
        <v>860</v>
      </c>
      <c r="Y10" s="224" t="s">
        <v>861</v>
      </c>
      <c r="Z10" s="600" t="s">
        <v>703</v>
      </c>
      <c r="AA10" s="596" t="s">
        <v>611</v>
      </c>
    </row>
    <row r="11" spans="1:31" s="1" customFormat="1">
      <c r="A11" s="411"/>
      <c r="C11" s="316"/>
      <c r="D11" s="317"/>
      <c r="E11" s="318"/>
      <c r="F11" s="318"/>
      <c r="G11" s="64"/>
      <c r="H11" s="319"/>
      <c r="I11" s="320"/>
      <c r="J11" s="320"/>
      <c r="K11" s="321"/>
      <c r="L11" s="321"/>
      <c r="M11" s="321"/>
      <c r="N11" s="321"/>
      <c r="O11" s="321"/>
      <c r="P11" s="321"/>
      <c r="Q11" s="321"/>
      <c r="R11" s="321"/>
      <c r="S11" s="321"/>
      <c r="T11" s="320"/>
      <c r="U11" s="320"/>
      <c r="V11" s="318"/>
      <c r="W11" s="318"/>
      <c r="X11" s="318"/>
      <c r="Y11" s="318"/>
      <c r="Z11" s="601"/>
      <c r="AA11" s="597">
        <v>0</v>
      </c>
    </row>
    <row r="12" spans="1:31" ht="16.5" thickBot="1">
      <c r="A12" s="411"/>
      <c r="C12" s="322"/>
      <c r="D12" s="17"/>
      <c r="E12" s="207" t="s">
        <v>364</v>
      </c>
      <c r="F12" s="17"/>
      <c r="G12" s="90"/>
      <c r="H12" s="17"/>
      <c r="I12" s="17"/>
      <c r="J12" s="17"/>
      <c r="K12" s="1756"/>
      <c r="L12" s="1756"/>
      <c r="M12" s="1756"/>
      <c r="N12" s="1756"/>
      <c r="O12" s="19"/>
      <c r="P12" s="1759"/>
      <c r="Q12" s="1759"/>
      <c r="R12" s="1759"/>
      <c r="S12" s="1759"/>
      <c r="T12" s="19"/>
      <c r="U12" s="19"/>
      <c r="V12" s="19"/>
      <c r="W12" s="19"/>
      <c r="X12" s="19"/>
      <c r="Y12" s="19"/>
      <c r="Z12" s="602"/>
      <c r="AA12" s="598">
        <v>4</v>
      </c>
      <c r="AB12" s="86"/>
      <c r="AC12" s="86"/>
      <c r="AE12" s="86"/>
    </row>
    <row r="13" spans="1:31">
      <c r="A13" s="411"/>
      <c r="C13" s="322"/>
      <c r="D13" s="17"/>
      <c r="E13" s="17"/>
      <c r="F13" s="17"/>
      <c r="G13" s="165"/>
      <c r="H13" s="326"/>
      <c r="I13" s="17"/>
      <c r="J13" s="17"/>
      <c r="K13" s="1756"/>
      <c r="L13" s="1756"/>
      <c r="M13" s="1756"/>
      <c r="N13" s="1756"/>
      <c r="O13" s="19"/>
      <c r="P13" s="1759"/>
      <c r="Q13" s="1759"/>
      <c r="R13" s="1759"/>
      <c r="S13" s="1759"/>
      <c r="T13" s="19"/>
      <c r="U13" s="19"/>
      <c r="V13" s="19"/>
      <c r="W13" s="19"/>
      <c r="X13" s="19"/>
      <c r="Y13" s="19"/>
      <c r="Z13" s="602"/>
      <c r="AA13" s="86"/>
      <c r="AB13" s="86"/>
      <c r="AC13" s="86"/>
      <c r="AD13" s="86"/>
      <c r="AE13" s="86"/>
    </row>
    <row r="14" spans="1:31" ht="16.5" thickBot="1">
      <c r="A14" s="411"/>
      <c r="C14" s="322"/>
      <c r="D14" s="17"/>
      <c r="E14" s="206" t="str">
        <f>Asset_Sum!F9</f>
        <v>Intangible Plant</v>
      </c>
      <c r="F14" s="17"/>
      <c r="G14" s="165"/>
      <c r="H14" s="326"/>
      <c r="I14" s="326"/>
      <c r="J14" s="326"/>
      <c r="K14" s="1757"/>
      <c r="L14" s="1757"/>
      <c r="M14" s="1757"/>
      <c r="N14" s="1757"/>
      <c r="O14" s="19"/>
      <c r="P14" s="1759"/>
      <c r="Q14" s="1759"/>
      <c r="R14" s="1759"/>
      <c r="S14" s="1759"/>
      <c r="T14" s="19"/>
      <c r="U14" s="19"/>
      <c r="V14" s="19"/>
      <c r="W14" s="19"/>
      <c r="X14" s="19"/>
      <c r="Y14" s="19"/>
      <c r="Z14" s="602"/>
      <c r="AA14" s="86"/>
      <c r="AB14" s="86"/>
      <c r="AC14" s="86"/>
      <c r="AD14" s="86"/>
      <c r="AE14" s="86"/>
    </row>
    <row r="15" spans="1:31">
      <c r="A15" s="411"/>
      <c r="C15" s="336">
        <f>MAX($C$8:C14)+1</f>
        <v>1</v>
      </c>
      <c r="D15" s="165" t="str">
        <f>Asset_Sum!E10</f>
        <v>301</v>
      </c>
      <c r="E15" s="247" t="str">
        <f>Asset_Sum!F10</f>
        <v>ORGANIZATION</v>
      </c>
      <c r="F15" s="279">
        <f>Asset_Sum!G10</f>
        <v>30373</v>
      </c>
      <c r="G15" s="905" t="s">
        <v>1067</v>
      </c>
      <c r="H15" s="279">
        <f t="shared" ref="H15:Q21" si="0">$F15*SUMIF($E$338:$E$359,$G15,H$338:H$359)</f>
        <v>0</v>
      </c>
      <c r="I15" s="279">
        <f t="shared" si="0"/>
        <v>699.84564433913715</v>
      </c>
      <c r="J15" s="279">
        <f t="shared" si="0"/>
        <v>3171.2175612317178</v>
      </c>
      <c r="K15" s="279">
        <f t="shared" si="0"/>
        <v>4802.6975075996725</v>
      </c>
      <c r="L15" s="279">
        <f t="shared" si="0"/>
        <v>893.84658617421462</v>
      </c>
      <c r="M15" s="279">
        <f t="shared" si="0"/>
        <v>0</v>
      </c>
      <c r="N15" s="279">
        <f t="shared" si="0"/>
        <v>0</v>
      </c>
      <c r="O15" s="279">
        <f t="shared" si="0"/>
        <v>1461.4472871031287</v>
      </c>
      <c r="P15" s="1759">
        <f t="shared" si="0"/>
        <v>905.37422409047394</v>
      </c>
      <c r="Q15" s="1759">
        <f t="shared" si="0"/>
        <v>5697.583288434721</v>
      </c>
      <c r="R15" s="1759">
        <f t="shared" ref="R15:Y21" si="1">$F15*SUMIF($E$338:$E$359,$G15,R$338:R$359)</f>
        <v>672.80245899566535</v>
      </c>
      <c r="S15" s="1759">
        <f t="shared" si="1"/>
        <v>1770.540893330402</v>
      </c>
      <c r="T15" s="19">
        <f t="shared" si="1"/>
        <v>400.36830013408797</v>
      </c>
      <c r="U15" s="19">
        <f t="shared" si="1"/>
        <v>3299.6657327203916</v>
      </c>
      <c r="V15" s="19">
        <f t="shared" si="1"/>
        <v>6131.0541268428606</v>
      </c>
      <c r="W15" s="19">
        <f t="shared" si="1"/>
        <v>133.7257958019126</v>
      </c>
      <c r="X15" s="19">
        <f t="shared" si="1"/>
        <v>332.83098444657134</v>
      </c>
      <c r="Y15" s="19">
        <f t="shared" si="1"/>
        <v>0</v>
      </c>
      <c r="Z15" s="602">
        <f t="shared" ref="Z15:Z83" si="2">SUM(H15:Y15)-F15</f>
        <v>3.9124495378928259E-4</v>
      </c>
      <c r="AA15" s="86"/>
      <c r="AB15" s="86"/>
      <c r="AC15" s="86"/>
      <c r="AD15" s="86"/>
      <c r="AE15" s="86"/>
    </row>
    <row r="16" spans="1:31">
      <c r="A16" s="411"/>
      <c r="C16" s="336">
        <f>MAX($C$8:C15)+1</f>
        <v>2</v>
      </c>
      <c r="D16" s="165" t="str">
        <f>Asset_Sum!E11</f>
        <v>302</v>
      </c>
      <c r="E16" s="247" t="str">
        <f>Asset_Sum!F11</f>
        <v>FRANCHISES &amp; CONSENTS</v>
      </c>
      <c r="F16" s="19">
        <f>Asset_Sum!G11</f>
        <v>3364</v>
      </c>
      <c r="G16" s="906" t="s">
        <v>1067</v>
      </c>
      <c r="H16" s="19">
        <f t="shared" si="0"/>
        <v>0</v>
      </c>
      <c r="I16" s="19">
        <f t="shared" si="0"/>
        <v>77.512288794549676</v>
      </c>
      <c r="J16" s="19">
        <f t="shared" si="0"/>
        <v>351.23220873748062</v>
      </c>
      <c r="K16" s="19">
        <f t="shared" si="0"/>
        <v>531.92883204047337</v>
      </c>
      <c r="L16" s="19">
        <f t="shared" si="0"/>
        <v>98.999108283345677</v>
      </c>
      <c r="M16" s="19">
        <f t="shared" si="0"/>
        <v>0</v>
      </c>
      <c r="N16" s="19">
        <f t="shared" si="0"/>
        <v>0</v>
      </c>
      <c r="O16" s="19">
        <f t="shared" si="0"/>
        <v>161.86444124106688</v>
      </c>
      <c r="P16" s="1759">
        <f t="shared" si="0"/>
        <v>100.27586638923894</v>
      </c>
      <c r="Q16" s="1759">
        <f t="shared" si="0"/>
        <v>631.04303764180031</v>
      </c>
      <c r="R16" s="1759">
        <f t="shared" si="1"/>
        <v>74.517086625009654</v>
      </c>
      <c r="S16" s="1759">
        <f t="shared" si="1"/>
        <v>196.09849422722391</v>
      </c>
      <c r="T16" s="19">
        <f t="shared" si="1"/>
        <v>44.343297061570205</v>
      </c>
      <c r="U16" s="19">
        <f t="shared" si="1"/>
        <v>365.45864830182717</v>
      </c>
      <c r="V16" s="19">
        <f t="shared" si="1"/>
        <v>679.05264816446788</v>
      </c>
      <c r="W16" s="19">
        <f t="shared" si="1"/>
        <v>14.810969514951898</v>
      </c>
      <c r="X16" s="19">
        <f t="shared" si="1"/>
        <v>36.86311630982339</v>
      </c>
      <c r="Y16" s="19">
        <f t="shared" si="1"/>
        <v>0</v>
      </c>
      <c r="Z16" s="602">
        <f t="shared" si="2"/>
        <v>4.3332830045983428E-5</v>
      </c>
      <c r="AA16" s="86"/>
      <c r="AB16" s="86"/>
      <c r="AC16" s="86"/>
      <c r="AD16" s="86"/>
      <c r="AE16" s="86"/>
    </row>
    <row r="17" spans="1:31">
      <c r="A17" s="411"/>
      <c r="C17" s="336">
        <f>MAX($C$8:C16)+1</f>
        <v>3</v>
      </c>
      <c r="D17" s="165" t="str">
        <f>Asset_Sum!E12</f>
        <v>303</v>
      </c>
      <c r="E17" s="247" t="str">
        <f>Asset_Sum!F12</f>
        <v>QUINCY CHUTE POWER RIGHTS</v>
      </c>
      <c r="F17" s="987">
        <f>Asset_Sum!G12</f>
        <v>17770821.740000002</v>
      </c>
      <c r="G17" s="906" t="s">
        <v>2764</v>
      </c>
      <c r="H17" s="19">
        <f t="shared" si="0"/>
        <v>0</v>
      </c>
      <c r="I17" s="19">
        <f t="shared" si="0"/>
        <v>17770821.740000002</v>
      </c>
      <c r="J17" s="19">
        <f t="shared" si="0"/>
        <v>0</v>
      </c>
      <c r="K17" s="19">
        <f t="shared" si="0"/>
        <v>0</v>
      </c>
      <c r="L17" s="19">
        <f t="shared" si="0"/>
        <v>0</v>
      </c>
      <c r="M17" s="19">
        <f t="shared" si="0"/>
        <v>0</v>
      </c>
      <c r="N17" s="19">
        <f t="shared" si="0"/>
        <v>0</v>
      </c>
      <c r="O17" s="19">
        <f t="shared" si="0"/>
        <v>0</v>
      </c>
      <c r="P17" s="1759">
        <f t="shared" si="0"/>
        <v>0</v>
      </c>
      <c r="Q17" s="1759">
        <f t="shared" si="0"/>
        <v>0</v>
      </c>
      <c r="R17" s="1759">
        <f t="shared" si="1"/>
        <v>0</v>
      </c>
      <c r="S17" s="1759">
        <f t="shared" si="1"/>
        <v>0</v>
      </c>
      <c r="T17" s="19">
        <f t="shared" si="1"/>
        <v>0</v>
      </c>
      <c r="U17" s="19">
        <f t="shared" si="1"/>
        <v>0</v>
      </c>
      <c r="V17" s="19">
        <f t="shared" si="1"/>
        <v>0</v>
      </c>
      <c r="W17" s="19">
        <f t="shared" si="1"/>
        <v>0</v>
      </c>
      <c r="X17" s="19">
        <f t="shared" si="1"/>
        <v>0</v>
      </c>
      <c r="Y17" s="19">
        <f t="shared" si="1"/>
        <v>0</v>
      </c>
      <c r="Z17" s="602">
        <f t="shared" si="2"/>
        <v>0</v>
      </c>
      <c r="AA17" s="86"/>
      <c r="AB17" s="86"/>
      <c r="AC17" s="86"/>
      <c r="AD17" s="86"/>
      <c r="AE17" s="86"/>
    </row>
    <row r="18" spans="1:31">
      <c r="A18" s="411"/>
      <c r="C18" s="336">
        <f>MAX($C$8:C17)+1</f>
        <v>4</v>
      </c>
      <c r="D18" s="165" t="str">
        <f>Asset_Sum!E13</f>
        <v>303</v>
      </c>
      <c r="E18" s="247" t="str">
        <f>Asset_Sum!F13</f>
        <v>PEC POWER RIGHTS</v>
      </c>
      <c r="F18" s="987">
        <f>Asset_Sum!G13</f>
        <v>16450622.41</v>
      </c>
      <c r="G18" s="906" t="s">
        <v>2764</v>
      </c>
      <c r="H18" s="19">
        <f t="shared" si="0"/>
        <v>0</v>
      </c>
      <c r="I18" s="19">
        <f t="shared" si="0"/>
        <v>16450622.41</v>
      </c>
      <c r="J18" s="19">
        <f t="shared" si="0"/>
        <v>0</v>
      </c>
      <c r="K18" s="19">
        <f t="shared" si="0"/>
        <v>0</v>
      </c>
      <c r="L18" s="19">
        <f t="shared" si="0"/>
        <v>0</v>
      </c>
      <c r="M18" s="19">
        <f t="shared" si="0"/>
        <v>0</v>
      </c>
      <c r="N18" s="19">
        <f t="shared" si="0"/>
        <v>0</v>
      </c>
      <c r="O18" s="19">
        <f t="shared" si="0"/>
        <v>0</v>
      </c>
      <c r="P18" s="1759">
        <f t="shared" si="0"/>
        <v>0</v>
      </c>
      <c r="Q18" s="1759">
        <f t="shared" si="0"/>
        <v>0</v>
      </c>
      <c r="R18" s="1759">
        <f t="shared" si="1"/>
        <v>0</v>
      </c>
      <c r="S18" s="1759">
        <f t="shared" si="1"/>
        <v>0</v>
      </c>
      <c r="T18" s="19">
        <f t="shared" si="1"/>
        <v>0</v>
      </c>
      <c r="U18" s="19">
        <f t="shared" si="1"/>
        <v>0</v>
      </c>
      <c r="V18" s="19">
        <f t="shared" si="1"/>
        <v>0</v>
      </c>
      <c r="W18" s="19">
        <f t="shared" si="1"/>
        <v>0</v>
      </c>
      <c r="X18" s="19">
        <f t="shared" si="1"/>
        <v>0</v>
      </c>
      <c r="Y18" s="19">
        <f t="shared" si="1"/>
        <v>0</v>
      </c>
      <c r="Z18" s="602">
        <f t="shared" si="2"/>
        <v>0</v>
      </c>
      <c r="AA18" s="86"/>
      <c r="AB18" s="86"/>
      <c r="AC18" s="86"/>
      <c r="AD18" s="86"/>
      <c r="AE18" s="86"/>
    </row>
    <row r="19" spans="1:31">
      <c r="A19" s="411"/>
      <c r="C19" s="336">
        <f>MAX($C$8:C18)+1</f>
        <v>5</v>
      </c>
      <c r="D19" s="165" t="str">
        <f>Asset_Sum!E14</f>
        <v>303</v>
      </c>
      <c r="E19" s="247" t="str">
        <f>Asset_Sum!F14</f>
        <v>QUINCY CHUTE ORIG POWER RIGHTS</v>
      </c>
      <c r="F19" s="987">
        <f>Asset_Sum!G14</f>
        <v>0</v>
      </c>
      <c r="G19" s="906" t="s">
        <v>2764</v>
      </c>
      <c r="H19" s="19">
        <f t="shared" si="0"/>
        <v>0</v>
      </c>
      <c r="I19" s="19">
        <f t="shared" si="0"/>
        <v>0</v>
      </c>
      <c r="J19" s="19">
        <f t="shared" si="0"/>
        <v>0</v>
      </c>
      <c r="K19" s="19">
        <f t="shared" si="0"/>
        <v>0</v>
      </c>
      <c r="L19" s="19">
        <f t="shared" si="0"/>
        <v>0</v>
      </c>
      <c r="M19" s="19">
        <f t="shared" si="0"/>
        <v>0</v>
      </c>
      <c r="N19" s="19">
        <f t="shared" si="0"/>
        <v>0</v>
      </c>
      <c r="O19" s="19">
        <f t="shared" si="0"/>
        <v>0</v>
      </c>
      <c r="P19" s="1759">
        <f t="shared" si="0"/>
        <v>0</v>
      </c>
      <c r="Q19" s="1759">
        <f t="shared" si="0"/>
        <v>0</v>
      </c>
      <c r="R19" s="1759">
        <f t="shared" si="1"/>
        <v>0</v>
      </c>
      <c r="S19" s="1759">
        <f t="shared" si="1"/>
        <v>0</v>
      </c>
      <c r="T19" s="19">
        <f t="shared" si="1"/>
        <v>0</v>
      </c>
      <c r="U19" s="19">
        <f t="shared" si="1"/>
        <v>0</v>
      </c>
      <c r="V19" s="19">
        <f t="shared" si="1"/>
        <v>0</v>
      </c>
      <c r="W19" s="19">
        <f t="shared" si="1"/>
        <v>0</v>
      </c>
      <c r="X19" s="19">
        <f t="shared" si="1"/>
        <v>0</v>
      </c>
      <c r="Y19" s="19">
        <f t="shared" si="1"/>
        <v>0</v>
      </c>
      <c r="Z19" s="602">
        <f t="shared" si="2"/>
        <v>0</v>
      </c>
      <c r="AA19" s="86"/>
      <c r="AB19" s="86"/>
      <c r="AC19" s="86"/>
      <c r="AD19" s="86"/>
      <c r="AE19" s="86"/>
    </row>
    <row r="20" spans="1:31">
      <c r="A20" s="411"/>
      <c r="C20" s="336">
        <f>MAX($C$8:C19)+1</f>
        <v>6</v>
      </c>
      <c r="D20" s="165" t="str">
        <f>Asset_Sum!E15</f>
        <v>303</v>
      </c>
      <c r="E20" s="247" t="str">
        <f>Asset_Sum!F15</f>
        <v>SOFTWARE INTANGIBLE</v>
      </c>
      <c r="F20" s="987">
        <f>Asset_Sum!G15</f>
        <v>5191593.91</v>
      </c>
      <c r="G20" s="906" t="s">
        <v>1067</v>
      </c>
      <c r="H20" s="19">
        <f t="shared" si="0"/>
        <v>0</v>
      </c>
      <c r="I20" s="19">
        <f t="shared" si="0"/>
        <v>119623.1648204356</v>
      </c>
      <c r="J20" s="19">
        <f t="shared" si="0"/>
        <v>542049.64205628808</v>
      </c>
      <c r="K20" s="19">
        <f t="shared" si="0"/>
        <v>820915.12633018265</v>
      </c>
      <c r="L20" s="19">
        <f t="shared" si="0"/>
        <v>152783.34353723185</v>
      </c>
      <c r="M20" s="19">
        <f t="shared" si="0"/>
        <v>0</v>
      </c>
      <c r="N20" s="19">
        <f t="shared" si="0"/>
        <v>0</v>
      </c>
      <c r="O20" s="19">
        <f t="shared" si="0"/>
        <v>249802.15439734713</v>
      </c>
      <c r="P20" s="1759">
        <f t="shared" si="0"/>
        <v>154753.73878309946</v>
      </c>
      <c r="Q20" s="1759">
        <f t="shared" si="0"/>
        <v>973876.09725596651</v>
      </c>
      <c r="R20" s="1759">
        <f t="shared" si="1"/>
        <v>115000.72922513157</v>
      </c>
      <c r="S20" s="1759">
        <f t="shared" si="1"/>
        <v>302634.88358805765</v>
      </c>
      <c r="T20" s="19">
        <f t="shared" si="1"/>
        <v>68434.1233573629</v>
      </c>
      <c r="U20" s="19">
        <f t="shared" si="1"/>
        <v>564005.02166486264</v>
      </c>
      <c r="V20" s="19">
        <f t="shared" si="1"/>
        <v>1047968.368840673</v>
      </c>
      <c r="W20" s="19">
        <f t="shared" si="1"/>
        <v>22857.472989007114</v>
      </c>
      <c r="X20" s="19">
        <f t="shared" si="1"/>
        <v>56890.110029043048</v>
      </c>
      <c r="Y20" s="19">
        <f t="shared" si="1"/>
        <v>0</v>
      </c>
      <c r="Z20" s="602">
        <f>SUM(H20:Y20)-F20</f>
        <v>6.6874688491225243E-2</v>
      </c>
      <c r="AA20" s="86"/>
      <c r="AB20" s="86"/>
      <c r="AC20" s="86"/>
      <c r="AD20" s="86"/>
      <c r="AE20" s="86"/>
    </row>
    <row r="21" spans="1:31" ht="16.5" thickBot="1">
      <c r="A21" s="411"/>
      <c r="C21" s="336">
        <f>MAX($C$8:C20)+1</f>
        <v>7</v>
      </c>
      <c r="D21" s="165" t="str">
        <f>Asset_Sum!E16</f>
        <v>346</v>
      </c>
      <c r="E21" s="247" t="str">
        <f>Asset_Sum!F16</f>
        <v>WIND TOWERS</v>
      </c>
      <c r="F21" s="19">
        <f>Asset_Sum!G16</f>
        <v>29655.78</v>
      </c>
      <c r="G21" s="907" t="s">
        <v>2764</v>
      </c>
      <c r="H21" s="19">
        <f t="shared" si="0"/>
        <v>0</v>
      </c>
      <c r="I21" s="19">
        <f t="shared" si="0"/>
        <v>29655.78</v>
      </c>
      <c r="J21" s="19">
        <f t="shared" si="0"/>
        <v>0</v>
      </c>
      <c r="K21" s="19">
        <f t="shared" si="0"/>
        <v>0</v>
      </c>
      <c r="L21" s="19">
        <f t="shared" si="0"/>
        <v>0</v>
      </c>
      <c r="M21" s="19">
        <f t="shared" si="0"/>
        <v>0</v>
      </c>
      <c r="N21" s="19">
        <f t="shared" si="0"/>
        <v>0</v>
      </c>
      <c r="O21" s="19">
        <f t="shared" si="0"/>
        <v>0</v>
      </c>
      <c r="P21" s="1759">
        <f t="shared" si="0"/>
        <v>0</v>
      </c>
      <c r="Q21" s="1759">
        <f t="shared" si="0"/>
        <v>0</v>
      </c>
      <c r="R21" s="1759">
        <f t="shared" si="1"/>
        <v>0</v>
      </c>
      <c r="S21" s="1759">
        <f t="shared" si="1"/>
        <v>0</v>
      </c>
      <c r="T21" s="19">
        <f t="shared" si="1"/>
        <v>0</v>
      </c>
      <c r="U21" s="19">
        <f t="shared" si="1"/>
        <v>0</v>
      </c>
      <c r="V21" s="19">
        <f t="shared" si="1"/>
        <v>0</v>
      </c>
      <c r="W21" s="19">
        <f t="shared" si="1"/>
        <v>0</v>
      </c>
      <c r="X21" s="19">
        <f t="shared" si="1"/>
        <v>0</v>
      </c>
      <c r="Y21" s="19">
        <f t="shared" si="1"/>
        <v>0</v>
      </c>
      <c r="Z21" s="602">
        <f t="shared" si="2"/>
        <v>0</v>
      </c>
      <c r="AA21" s="86"/>
      <c r="AB21" s="86"/>
      <c r="AC21" s="86"/>
      <c r="AD21" s="86"/>
      <c r="AE21" s="86"/>
    </row>
    <row r="22" spans="1:31">
      <c r="A22" s="411"/>
      <c r="C22" s="336">
        <f>MAX($C$8:C21)+1</f>
        <v>8</v>
      </c>
      <c r="D22" s="165"/>
      <c r="E22" s="248" t="str">
        <f>Asset_Sum!F18</f>
        <v>Total Intangible Plant</v>
      </c>
      <c r="F22" s="324">
        <f>SUM(F15:F21)</f>
        <v>39476430.840000004</v>
      </c>
      <c r="G22" s="165"/>
      <c r="H22" s="324">
        <f t="shared" ref="H22:O22" si="3">SUM(H15:H21)</f>
        <v>0</v>
      </c>
      <c r="I22" s="324">
        <f t="shared" si="3"/>
        <v>34371500.452753574</v>
      </c>
      <c r="J22" s="324">
        <f t="shared" si="3"/>
        <v>545572.0918262573</v>
      </c>
      <c r="K22" s="324">
        <f t="shared" si="3"/>
        <v>826249.75266982277</v>
      </c>
      <c r="L22" s="324">
        <f t="shared" si="3"/>
        <v>153776.18923168941</v>
      </c>
      <c r="M22" s="324">
        <f t="shared" si="3"/>
        <v>0</v>
      </c>
      <c r="N22" s="324">
        <f t="shared" si="3"/>
        <v>0</v>
      </c>
      <c r="O22" s="324">
        <f t="shared" si="3"/>
        <v>251425.46612569131</v>
      </c>
      <c r="P22" s="1760">
        <f t="shared" ref="P22:U22" si="4">SUM(P15:P21)</f>
        <v>155759.38887357916</v>
      </c>
      <c r="Q22" s="1760">
        <f t="shared" si="4"/>
        <v>980204.72358204308</v>
      </c>
      <c r="R22" s="1760">
        <f t="shared" si="4"/>
        <v>115748.04877075224</v>
      </c>
      <c r="S22" s="1760">
        <f t="shared" si="4"/>
        <v>304601.52297561528</v>
      </c>
      <c r="T22" s="324">
        <f t="shared" si="4"/>
        <v>68878.834954558552</v>
      </c>
      <c r="U22" s="324">
        <f t="shared" si="4"/>
        <v>567670.14604588482</v>
      </c>
      <c r="V22" s="324">
        <f>SUM(V15:V21)</f>
        <v>1054778.4756156805</v>
      </c>
      <c r="W22" s="324">
        <f>SUM(W15:W21)</f>
        <v>23006.009754323979</v>
      </c>
      <c r="X22" s="324">
        <f>SUM(X15:X21)</f>
        <v>57259.804129799442</v>
      </c>
      <c r="Y22" s="324">
        <f>SUM(Y15:Y21)</f>
        <v>0</v>
      </c>
      <c r="Z22" s="602">
        <f t="shared" si="2"/>
        <v>6.7309275269508362E-2</v>
      </c>
      <c r="AA22" s="86"/>
      <c r="AB22" s="86"/>
      <c r="AC22" s="86"/>
      <c r="AD22" s="86"/>
      <c r="AE22" s="86"/>
    </row>
    <row r="23" spans="1:31" s="3094" customFormat="1">
      <c r="A23" s="411"/>
      <c r="C23" s="336">
        <f>MAX($C$8:C22)+1</f>
        <v>9</v>
      </c>
      <c r="D23" s="165"/>
      <c r="E23" s="3150" t="str">
        <f>E22&amp;" less Labor"</f>
        <v>Total Intangible Plant less Labor</v>
      </c>
      <c r="F23" s="3151">
        <f>SUM(F17:F19,F21)</f>
        <v>34251099.930000007</v>
      </c>
      <c r="G23" s="3152"/>
      <c r="H23" s="3151">
        <f t="shared" ref="H23:Y23" si="5">SUM(H17:H19,H21)</f>
        <v>0</v>
      </c>
      <c r="I23" s="3151">
        <f t="shared" si="5"/>
        <v>34251099.930000007</v>
      </c>
      <c r="J23" s="3151">
        <f t="shared" si="5"/>
        <v>0</v>
      </c>
      <c r="K23" s="3151">
        <f t="shared" si="5"/>
        <v>0</v>
      </c>
      <c r="L23" s="3151">
        <f t="shared" si="5"/>
        <v>0</v>
      </c>
      <c r="M23" s="3151">
        <f t="shared" si="5"/>
        <v>0</v>
      </c>
      <c r="N23" s="3151">
        <f t="shared" si="5"/>
        <v>0</v>
      </c>
      <c r="O23" s="3151">
        <f t="shared" si="5"/>
        <v>0</v>
      </c>
      <c r="P23" s="3151">
        <f t="shared" si="5"/>
        <v>0</v>
      </c>
      <c r="Q23" s="3151">
        <f t="shared" si="5"/>
        <v>0</v>
      </c>
      <c r="R23" s="3151">
        <f t="shared" si="5"/>
        <v>0</v>
      </c>
      <c r="S23" s="3151">
        <f t="shared" si="5"/>
        <v>0</v>
      </c>
      <c r="T23" s="3151">
        <f t="shared" si="5"/>
        <v>0</v>
      </c>
      <c r="U23" s="3151">
        <f t="shared" si="5"/>
        <v>0</v>
      </c>
      <c r="V23" s="3151">
        <f t="shared" si="5"/>
        <v>0</v>
      </c>
      <c r="W23" s="3151">
        <f t="shared" si="5"/>
        <v>0</v>
      </c>
      <c r="X23" s="3151">
        <f t="shared" si="5"/>
        <v>0</v>
      </c>
      <c r="Y23" s="3151">
        <f t="shared" si="5"/>
        <v>0</v>
      </c>
      <c r="Z23" s="602"/>
      <c r="AA23" s="86"/>
      <c r="AB23" s="86"/>
      <c r="AC23" s="86"/>
      <c r="AD23" s="86"/>
      <c r="AE23" s="86"/>
    </row>
    <row r="24" spans="1:31">
      <c r="A24" s="411"/>
      <c r="C24" s="336"/>
      <c r="D24" s="165"/>
      <c r="E24" s="206"/>
      <c r="F24" s="313"/>
      <c r="G24" s="165"/>
      <c r="H24" s="313"/>
      <c r="I24" s="313"/>
      <c r="J24" s="313"/>
      <c r="K24" s="313"/>
      <c r="L24" s="313"/>
      <c r="M24" s="313"/>
      <c r="N24" s="313"/>
      <c r="O24" s="313"/>
      <c r="P24" s="1761"/>
      <c r="Q24" s="1761"/>
      <c r="R24" s="1761"/>
      <c r="S24" s="1761"/>
      <c r="T24" s="313"/>
      <c r="U24" s="313"/>
      <c r="V24" s="313"/>
      <c r="W24" s="313"/>
      <c r="X24" s="313"/>
      <c r="Y24" s="313"/>
      <c r="Z24" s="602">
        <f t="shared" si="2"/>
        <v>0</v>
      </c>
      <c r="AA24" s="86"/>
      <c r="AB24" s="86"/>
      <c r="AC24" s="86"/>
      <c r="AD24" s="86"/>
      <c r="AE24" s="86"/>
    </row>
    <row r="25" spans="1:31" ht="16.5" thickBot="1">
      <c r="A25" s="411"/>
      <c r="C25" s="336">
        <f>MAX(C22:C24)+1</f>
        <v>10</v>
      </c>
      <c r="D25" s="165"/>
      <c r="E25" s="206" t="str">
        <f>Asset_Sum!F20</f>
        <v>Transmission:</v>
      </c>
      <c r="F25" s="313"/>
      <c r="G25" s="165"/>
      <c r="H25" s="313"/>
      <c r="I25" s="313"/>
      <c r="J25" s="313"/>
      <c r="K25" s="313"/>
      <c r="L25" s="313"/>
      <c r="M25" s="313"/>
      <c r="N25" s="313"/>
      <c r="O25" s="313"/>
      <c r="P25" s="1761"/>
      <c r="Q25" s="1761"/>
      <c r="R25" s="1761"/>
      <c r="S25" s="1761"/>
      <c r="T25" s="313"/>
      <c r="U25" s="313"/>
      <c r="V25" s="313"/>
      <c r="W25" s="313"/>
      <c r="X25" s="313"/>
      <c r="Y25" s="313"/>
      <c r="Z25" s="602">
        <f t="shared" si="2"/>
        <v>0</v>
      </c>
      <c r="AA25" s="86"/>
      <c r="AB25" s="86"/>
      <c r="AC25" s="86"/>
      <c r="AD25" s="86"/>
      <c r="AE25" s="86"/>
    </row>
    <row r="26" spans="1:31">
      <c r="A26" s="411"/>
      <c r="C26" s="336">
        <f>MAX(C22:C25)+1</f>
        <v>11</v>
      </c>
      <c r="D26" s="165" t="str">
        <f>Asset_Sum!E21</f>
        <v>350</v>
      </c>
      <c r="E26" s="247" t="str">
        <f>Asset_Sum!F21</f>
        <v>LAND &amp; LAND RIGHTS</v>
      </c>
      <c r="F26" s="279">
        <f>Asset_Sum!G21</f>
        <v>1667921.41</v>
      </c>
      <c r="G26" s="905" t="s">
        <v>2765</v>
      </c>
      <c r="H26" s="19">
        <f t="shared" ref="H26:Q35" si="6">$F26*SUMIF($E$338:$E$359,$G26,H$338:H$359)</f>
        <v>0</v>
      </c>
      <c r="I26" s="19">
        <f t="shared" si="6"/>
        <v>0</v>
      </c>
      <c r="J26" s="19">
        <f t="shared" si="6"/>
        <v>1667921.41</v>
      </c>
      <c r="K26" s="19">
        <f t="shared" si="6"/>
        <v>0</v>
      </c>
      <c r="L26" s="19">
        <f t="shared" si="6"/>
        <v>0</v>
      </c>
      <c r="M26" s="19">
        <f t="shared" si="6"/>
        <v>0</v>
      </c>
      <c r="N26" s="19">
        <f t="shared" si="6"/>
        <v>0</v>
      </c>
      <c r="O26" s="19">
        <f t="shared" si="6"/>
        <v>0</v>
      </c>
      <c r="P26" s="1759">
        <f t="shared" si="6"/>
        <v>0</v>
      </c>
      <c r="Q26" s="1759">
        <f t="shared" si="6"/>
        <v>0</v>
      </c>
      <c r="R26" s="1759">
        <f t="shared" ref="R26:Y35" si="7">$F26*SUMIF($E$338:$E$359,$G26,R$338:R$359)</f>
        <v>0</v>
      </c>
      <c r="S26" s="1759">
        <f t="shared" si="7"/>
        <v>0</v>
      </c>
      <c r="T26" s="19">
        <f t="shared" si="7"/>
        <v>0</v>
      </c>
      <c r="U26" s="19">
        <f t="shared" si="7"/>
        <v>0</v>
      </c>
      <c r="V26" s="19">
        <f t="shared" si="7"/>
        <v>0</v>
      </c>
      <c r="W26" s="19">
        <f t="shared" si="7"/>
        <v>0</v>
      </c>
      <c r="X26" s="19">
        <f t="shared" si="7"/>
        <v>0</v>
      </c>
      <c r="Y26" s="19">
        <f t="shared" si="7"/>
        <v>0</v>
      </c>
      <c r="Z26" s="602">
        <f t="shared" si="2"/>
        <v>0</v>
      </c>
      <c r="AA26" s="86"/>
      <c r="AB26" s="86"/>
      <c r="AC26" s="86"/>
      <c r="AD26" s="86"/>
      <c r="AE26" s="86"/>
    </row>
    <row r="27" spans="1:31">
      <c r="A27" s="411"/>
      <c r="C27" s="336">
        <f>MAX(C22:C26)+1</f>
        <v>12</v>
      </c>
      <c r="D27" s="165" t="str">
        <f>Asset_Sum!E22</f>
        <v>352</v>
      </c>
      <c r="E27" s="247" t="str">
        <f>Asset_Sum!F22</f>
        <v>STRUCTURES &amp; IMPR</v>
      </c>
      <c r="F27" s="19">
        <f>Asset_Sum!G22</f>
        <v>569928.36</v>
      </c>
      <c r="G27" s="906" t="s">
        <v>2765</v>
      </c>
      <c r="H27" s="19">
        <f t="shared" si="6"/>
        <v>0</v>
      </c>
      <c r="I27" s="19">
        <f t="shared" si="6"/>
        <v>0</v>
      </c>
      <c r="J27" s="19">
        <f t="shared" si="6"/>
        <v>569928.36</v>
      </c>
      <c r="K27" s="19">
        <f t="shared" si="6"/>
        <v>0</v>
      </c>
      <c r="L27" s="19">
        <f t="shared" si="6"/>
        <v>0</v>
      </c>
      <c r="M27" s="19">
        <f t="shared" si="6"/>
        <v>0</v>
      </c>
      <c r="N27" s="19">
        <f t="shared" si="6"/>
        <v>0</v>
      </c>
      <c r="O27" s="19">
        <f t="shared" si="6"/>
        <v>0</v>
      </c>
      <c r="P27" s="1759">
        <f t="shared" si="6"/>
        <v>0</v>
      </c>
      <c r="Q27" s="1759">
        <f t="shared" si="6"/>
        <v>0</v>
      </c>
      <c r="R27" s="1759">
        <f t="shared" si="7"/>
        <v>0</v>
      </c>
      <c r="S27" s="1759">
        <f t="shared" si="7"/>
        <v>0</v>
      </c>
      <c r="T27" s="19">
        <f t="shared" si="7"/>
        <v>0</v>
      </c>
      <c r="U27" s="19">
        <f t="shared" si="7"/>
        <v>0</v>
      </c>
      <c r="V27" s="19">
        <f t="shared" si="7"/>
        <v>0</v>
      </c>
      <c r="W27" s="19">
        <f t="shared" si="7"/>
        <v>0</v>
      </c>
      <c r="X27" s="19">
        <f t="shared" si="7"/>
        <v>0</v>
      </c>
      <c r="Y27" s="19">
        <f t="shared" si="7"/>
        <v>0</v>
      </c>
      <c r="Z27" s="602">
        <f t="shared" si="2"/>
        <v>0</v>
      </c>
      <c r="AA27" s="86"/>
      <c r="AB27" s="86"/>
      <c r="AC27" s="86"/>
      <c r="AD27" s="86"/>
      <c r="AE27" s="86"/>
    </row>
    <row r="28" spans="1:31">
      <c r="A28" s="411"/>
      <c r="C28" s="336">
        <f t="shared" ref="C28:C33" si="8">MAX(C23:C27)+1</f>
        <v>13</v>
      </c>
      <c r="D28" s="165" t="str">
        <f>Asset_Sum!E23</f>
        <v>353</v>
      </c>
      <c r="E28" s="247" t="str">
        <f>Asset_Sum!F22</f>
        <v>STRUCTURES &amp; IMPR</v>
      </c>
      <c r="F28" s="19">
        <f>Asset_Sum!G23</f>
        <v>46024484.879999988</v>
      </c>
      <c r="G28" s="906" t="s">
        <v>2765</v>
      </c>
      <c r="H28" s="19">
        <f t="shared" si="6"/>
        <v>0</v>
      </c>
      <c r="I28" s="19">
        <f t="shared" si="6"/>
        <v>0</v>
      </c>
      <c r="J28" s="19">
        <f t="shared" si="6"/>
        <v>46024484.879999988</v>
      </c>
      <c r="K28" s="19">
        <f t="shared" si="6"/>
        <v>0</v>
      </c>
      <c r="L28" s="19">
        <f t="shared" si="6"/>
        <v>0</v>
      </c>
      <c r="M28" s="19">
        <f t="shared" si="6"/>
        <v>0</v>
      </c>
      <c r="N28" s="19">
        <f t="shared" si="6"/>
        <v>0</v>
      </c>
      <c r="O28" s="19">
        <f t="shared" si="6"/>
        <v>0</v>
      </c>
      <c r="P28" s="1759">
        <f t="shared" si="6"/>
        <v>0</v>
      </c>
      <c r="Q28" s="1759">
        <f t="shared" si="6"/>
        <v>0</v>
      </c>
      <c r="R28" s="1759">
        <f t="shared" si="7"/>
        <v>0</v>
      </c>
      <c r="S28" s="1759">
        <f t="shared" si="7"/>
        <v>0</v>
      </c>
      <c r="T28" s="19">
        <f t="shared" si="7"/>
        <v>0</v>
      </c>
      <c r="U28" s="19">
        <f t="shared" si="7"/>
        <v>0</v>
      </c>
      <c r="V28" s="19">
        <f t="shared" si="7"/>
        <v>0</v>
      </c>
      <c r="W28" s="19">
        <f t="shared" si="7"/>
        <v>0</v>
      </c>
      <c r="X28" s="19">
        <f t="shared" si="7"/>
        <v>0</v>
      </c>
      <c r="Y28" s="19">
        <f t="shared" si="7"/>
        <v>0</v>
      </c>
      <c r="Z28" s="602">
        <f t="shared" si="2"/>
        <v>0</v>
      </c>
      <c r="AA28" s="86"/>
      <c r="AB28" s="86"/>
      <c r="AC28" s="86"/>
      <c r="AD28" s="86"/>
      <c r="AE28" s="86"/>
    </row>
    <row r="29" spans="1:31" hidden="1">
      <c r="A29" s="411"/>
      <c r="C29" s="336">
        <f t="shared" si="8"/>
        <v>14</v>
      </c>
      <c r="D29" s="165" t="str">
        <f>Asset_Sum!E24</f>
        <v>353</v>
      </c>
      <c r="E29" s="247" t="str">
        <f>Asset_Sum!F23</f>
        <v>STATION EQUIPMENT</v>
      </c>
      <c r="F29" s="19">
        <f>Asset_Sum!G24</f>
        <v>0</v>
      </c>
      <c r="G29" s="906" t="s">
        <v>2765</v>
      </c>
      <c r="H29" s="19">
        <f t="shared" si="6"/>
        <v>0</v>
      </c>
      <c r="I29" s="19">
        <f t="shared" si="6"/>
        <v>0</v>
      </c>
      <c r="J29" s="19">
        <f t="shared" si="6"/>
        <v>0</v>
      </c>
      <c r="K29" s="19">
        <f t="shared" si="6"/>
        <v>0</v>
      </c>
      <c r="L29" s="19">
        <f t="shared" si="6"/>
        <v>0</v>
      </c>
      <c r="M29" s="19">
        <f t="shared" si="6"/>
        <v>0</v>
      </c>
      <c r="N29" s="19">
        <f t="shared" si="6"/>
        <v>0</v>
      </c>
      <c r="O29" s="19">
        <f t="shared" si="6"/>
        <v>0</v>
      </c>
      <c r="P29" s="1759">
        <f t="shared" si="6"/>
        <v>0</v>
      </c>
      <c r="Q29" s="1759">
        <f t="shared" si="6"/>
        <v>0</v>
      </c>
      <c r="R29" s="1759">
        <f t="shared" si="7"/>
        <v>0</v>
      </c>
      <c r="S29" s="1759">
        <f t="shared" si="7"/>
        <v>0</v>
      </c>
      <c r="T29" s="19">
        <f t="shared" si="7"/>
        <v>0</v>
      </c>
      <c r="U29" s="19">
        <f t="shared" si="7"/>
        <v>0</v>
      </c>
      <c r="V29" s="19">
        <f t="shared" si="7"/>
        <v>0</v>
      </c>
      <c r="W29" s="19">
        <f t="shared" si="7"/>
        <v>0</v>
      </c>
      <c r="X29" s="19">
        <f t="shared" si="7"/>
        <v>0</v>
      </c>
      <c r="Y29" s="19">
        <f t="shared" si="7"/>
        <v>0</v>
      </c>
      <c r="Z29" s="602">
        <f t="shared" si="2"/>
        <v>0</v>
      </c>
      <c r="AA29" s="86"/>
      <c r="AB29" s="86"/>
      <c r="AC29" s="86"/>
      <c r="AD29" s="86"/>
      <c r="AE29" s="86"/>
    </row>
    <row r="30" spans="1:31" hidden="1">
      <c r="A30" s="411"/>
      <c r="C30" s="336">
        <f t="shared" si="8"/>
        <v>15</v>
      </c>
      <c r="D30" s="165" t="str">
        <f>Asset_Sum!E25</f>
        <v>353</v>
      </c>
      <c r="E30" s="247" t="str">
        <f>Asset_Sum!F24</f>
        <v>SUBSTATION METERS</v>
      </c>
      <c r="F30" s="19">
        <f>Asset_Sum!G25</f>
        <v>0</v>
      </c>
      <c r="G30" s="906" t="s">
        <v>2765</v>
      </c>
      <c r="H30" s="19">
        <f t="shared" si="6"/>
        <v>0</v>
      </c>
      <c r="I30" s="19">
        <f t="shared" si="6"/>
        <v>0</v>
      </c>
      <c r="J30" s="19">
        <f t="shared" si="6"/>
        <v>0</v>
      </c>
      <c r="K30" s="19">
        <f t="shared" si="6"/>
        <v>0</v>
      </c>
      <c r="L30" s="19">
        <f t="shared" si="6"/>
        <v>0</v>
      </c>
      <c r="M30" s="19">
        <f t="shared" si="6"/>
        <v>0</v>
      </c>
      <c r="N30" s="19">
        <f t="shared" si="6"/>
        <v>0</v>
      </c>
      <c r="O30" s="19">
        <f t="shared" si="6"/>
        <v>0</v>
      </c>
      <c r="P30" s="1759">
        <f t="shared" si="6"/>
        <v>0</v>
      </c>
      <c r="Q30" s="1759">
        <f t="shared" si="6"/>
        <v>0</v>
      </c>
      <c r="R30" s="1759">
        <f t="shared" si="7"/>
        <v>0</v>
      </c>
      <c r="S30" s="1759">
        <f t="shared" si="7"/>
        <v>0</v>
      </c>
      <c r="T30" s="19">
        <f t="shared" si="7"/>
        <v>0</v>
      </c>
      <c r="U30" s="19">
        <f t="shared" si="7"/>
        <v>0</v>
      </c>
      <c r="V30" s="19">
        <f t="shared" si="7"/>
        <v>0</v>
      </c>
      <c r="W30" s="19">
        <f t="shared" si="7"/>
        <v>0</v>
      </c>
      <c r="X30" s="19">
        <f t="shared" si="7"/>
        <v>0</v>
      </c>
      <c r="Y30" s="19">
        <f t="shared" si="7"/>
        <v>0</v>
      </c>
      <c r="Z30" s="602">
        <f t="shared" si="2"/>
        <v>0</v>
      </c>
      <c r="AA30" s="86"/>
      <c r="AB30" s="86"/>
      <c r="AC30" s="86"/>
      <c r="AD30" s="86"/>
      <c r="AE30" s="86"/>
    </row>
    <row r="31" spans="1:31" hidden="1">
      <c r="A31" s="411"/>
      <c r="C31" s="336">
        <f t="shared" si="8"/>
        <v>16</v>
      </c>
      <c r="D31" s="165" t="str">
        <f>Asset_Sum!E26</f>
        <v>353</v>
      </c>
      <c r="E31" s="247" t="str">
        <f>Asset_Sum!F25</f>
        <v>STA EQUIP-SWITCHYARD</v>
      </c>
      <c r="F31" s="19">
        <f>Asset_Sum!G26</f>
        <v>0</v>
      </c>
      <c r="G31" s="906" t="s">
        <v>2765</v>
      </c>
      <c r="H31" s="19">
        <f t="shared" si="6"/>
        <v>0</v>
      </c>
      <c r="I31" s="19">
        <f t="shared" si="6"/>
        <v>0</v>
      </c>
      <c r="J31" s="19">
        <f t="shared" si="6"/>
        <v>0</v>
      </c>
      <c r="K31" s="19">
        <f t="shared" si="6"/>
        <v>0</v>
      </c>
      <c r="L31" s="19">
        <f t="shared" si="6"/>
        <v>0</v>
      </c>
      <c r="M31" s="19">
        <f t="shared" si="6"/>
        <v>0</v>
      </c>
      <c r="N31" s="19">
        <f t="shared" si="6"/>
        <v>0</v>
      </c>
      <c r="O31" s="19">
        <f t="shared" si="6"/>
        <v>0</v>
      </c>
      <c r="P31" s="1759">
        <f t="shared" si="6"/>
        <v>0</v>
      </c>
      <c r="Q31" s="1759">
        <f t="shared" si="6"/>
        <v>0</v>
      </c>
      <c r="R31" s="1759">
        <f t="shared" si="7"/>
        <v>0</v>
      </c>
      <c r="S31" s="1759">
        <f t="shared" si="7"/>
        <v>0</v>
      </c>
      <c r="T31" s="19">
        <f t="shared" si="7"/>
        <v>0</v>
      </c>
      <c r="U31" s="19">
        <f t="shared" si="7"/>
        <v>0</v>
      </c>
      <c r="V31" s="19">
        <f t="shared" si="7"/>
        <v>0</v>
      </c>
      <c r="W31" s="19">
        <f t="shared" si="7"/>
        <v>0</v>
      </c>
      <c r="X31" s="19">
        <f t="shared" si="7"/>
        <v>0</v>
      </c>
      <c r="Y31" s="19">
        <f t="shared" si="7"/>
        <v>0</v>
      </c>
      <c r="Z31" s="602">
        <f t="shared" si="2"/>
        <v>0</v>
      </c>
      <c r="AA31" s="86"/>
      <c r="AB31" s="86"/>
      <c r="AC31" s="86"/>
      <c r="AD31" s="86"/>
      <c r="AE31" s="86"/>
    </row>
    <row r="32" spans="1:31">
      <c r="A32" s="411"/>
      <c r="C32" s="336">
        <f t="shared" si="8"/>
        <v>17</v>
      </c>
      <c r="D32" s="165" t="str">
        <f>Asset_Sum!E27</f>
        <v>354</v>
      </c>
      <c r="E32" s="247" t="str">
        <f>Asset_Sum!F26</f>
        <v>STA EQ-CENT DISP-JOINT</v>
      </c>
      <c r="F32" s="19">
        <f>Asset_Sum!G27</f>
        <v>4208752.21</v>
      </c>
      <c r="G32" s="906" t="s">
        <v>2765</v>
      </c>
      <c r="H32" s="19">
        <f t="shared" si="6"/>
        <v>0</v>
      </c>
      <c r="I32" s="19">
        <f t="shared" si="6"/>
        <v>0</v>
      </c>
      <c r="J32" s="19">
        <f t="shared" si="6"/>
        <v>4208752.21</v>
      </c>
      <c r="K32" s="19">
        <f t="shared" si="6"/>
        <v>0</v>
      </c>
      <c r="L32" s="19">
        <f t="shared" si="6"/>
        <v>0</v>
      </c>
      <c r="M32" s="19">
        <f t="shared" si="6"/>
        <v>0</v>
      </c>
      <c r="N32" s="19">
        <f t="shared" si="6"/>
        <v>0</v>
      </c>
      <c r="O32" s="19">
        <f t="shared" si="6"/>
        <v>0</v>
      </c>
      <c r="P32" s="1759">
        <f t="shared" si="6"/>
        <v>0</v>
      </c>
      <c r="Q32" s="1759">
        <f t="shared" si="6"/>
        <v>0</v>
      </c>
      <c r="R32" s="1759">
        <f t="shared" si="7"/>
        <v>0</v>
      </c>
      <c r="S32" s="1759">
        <f t="shared" si="7"/>
        <v>0</v>
      </c>
      <c r="T32" s="19">
        <f t="shared" si="7"/>
        <v>0</v>
      </c>
      <c r="U32" s="19">
        <f t="shared" si="7"/>
        <v>0</v>
      </c>
      <c r="V32" s="19">
        <f t="shared" si="7"/>
        <v>0</v>
      </c>
      <c r="W32" s="19">
        <f t="shared" si="7"/>
        <v>0</v>
      </c>
      <c r="X32" s="19">
        <f t="shared" si="7"/>
        <v>0</v>
      </c>
      <c r="Y32" s="19">
        <f t="shared" si="7"/>
        <v>0</v>
      </c>
      <c r="Z32" s="602">
        <f t="shared" si="2"/>
        <v>0</v>
      </c>
      <c r="AA32" s="86"/>
      <c r="AB32" s="86"/>
      <c r="AC32" s="86"/>
      <c r="AD32" s="86"/>
      <c r="AE32" s="86"/>
    </row>
    <row r="33" spans="1:31">
      <c r="A33" s="411"/>
      <c r="C33" s="336">
        <f t="shared" si="8"/>
        <v>18</v>
      </c>
      <c r="D33" s="165" t="str">
        <f>Asset_Sum!E28</f>
        <v>355</v>
      </c>
      <c r="E33" s="247" t="str">
        <f>Asset_Sum!F27</f>
        <v>TOWERS &amp; FIXTURES</v>
      </c>
      <c r="F33" s="19">
        <f>Asset_Sum!G28</f>
        <v>83616236.019999996</v>
      </c>
      <c r="G33" s="906" t="s">
        <v>2765</v>
      </c>
      <c r="H33" s="19">
        <f t="shared" si="6"/>
        <v>0</v>
      </c>
      <c r="I33" s="19">
        <f t="shared" si="6"/>
        <v>0</v>
      </c>
      <c r="J33" s="19">
        <f t="shared" si="6"/>
        <v>83616236.019999996</v>
      </c>
      <c r="K33" s="19">
        <f t="shared" si="6"/>
        <v>0</v>
      </c>
      <c r="L33" s="19">
        <f t="shared" si="6"/>
        <v>0</v>
      </c>
      <c r="M33" s="19">
        <f t="shared" si="6"/>
        <v>0</v>
      </c>
      <c r="N33" s="19">
        <f t="shared" si="6"/>
        <v>0</v>
      </c>
      <c r="O33" s="19">
        <f t="shared" si="6"/>
        <v>0</v>
      </c>
      <c r="P33" s="1759">
        <f t="shared" si="6"/>
        <v>0</v>
      </c>
      <c r="Q33" s="1759">
        <f t="shared" si="6"/>
        <v>0</v>
      </c>
      <c r="R33" s="1759">
        <f t="shared" si="7"/>
        <v>0</v>
      </c>
      <c r="S33" s="1759">
        <f t="shared" si="7"/>
        <v>0</v>
      </c>
      <c r="T33" s="19">
        <f t="shared" si="7"/>
        <v>0</v>
      </c>
      <c r="U33" s="19">
        <f t="shared" si="7"/>
        <v>0</v>
      </c>
      <c r="V33" s="19">
        <f t="shared" si="7"/>
        <v>0</v>
      </c>
      <c r="W33" s="19">
        <f t="shared" si="7"/>
        <v>0</v>
      </c>
      <c r="X33" s="19">
        <f t="shared" si="7"/>
        <v>0</v>
      </c>
      <c r="Y33" s="19">
        <f t="shared" si="7"/>
        <v>0</v>
      </c>
      <c r="Z33" s="602">
        <f t="shared" si="2"/>
        <v>0</v>
      </c>
      <c r="AA33" s="86"/>
      <c r="AB33" s="86"/>
      <c r="AC33" s="86"/>
      <c r="AD33" s="86"/>
      <c r="AE33" s="86"/>
    </row>
    <row r="34" spans="1:31">
      <c r="A34" s="411"/>
      <c r="C34" s="336">
        <f>MAX(C29:C33)+1</f>
        <v>19</v>
      </c>
      <c r="D34" s="165" t="str">
        <f>Asset_Sum!E29</f>
        <v>356</v>
      </c>
      <c r="E34" s="247" t="str">
        <f>Asset_Sum!F28</f>
        <v>POLES &amp; FIXTURES</v>
      </c>
      <c r="F34" s="19">
        <f>Asset_Sum!G29</f>
        <v>54935909.289999999</v>
      </c>
      <c r="G34" s="906" t="s">
        <v>2765</v>
      </c>
      <c r="H34" s="19">
        <f t="shared" si="6"/>
        <v>0</v>
      </c>
      <c r="I34" s="19">
        <f t="shared" si="6"/>
        <v>0</v>
      </c>
      <c r="J34" s="19">
        <f t="shared" si="6"/>
        <v>54935909.289999999</v>
      </c>
      <c r="K34" s="19">
        <f t="shared" si="6"/>
        <v>0</v>
      </c>
      <c r="L34" s="19">
        <f t="shared" si="6"/>
        <v>0</v>
      </c>
      <c r="M34" s="19">
        <f t="shared" si="6"/>
        <v>0</v>
      </c>
      <c r="N34" s="19">
        <f t="shared" si="6"/>
        <v>0</v>
      </c>
      <c r="O34" s="19">
        <f t="shared" si="6"/>
        <v>0</v>
      </c>
      <c r="P34" s="1759">
        <f t="shared" si="6"/>
        <v>0</v>
      </c>
      <c r="Q34" s="1759">
        <f t="shared" si="6"/>
        <v>0</v>
      </c>
      <c r="R34" s="1759">
        <f t="shared" si="7"/>
        <v>0</v>
      </c>
      <c r="S34" s="1759">
        <f t="shared" si="7"/>
        <v>0</v>
      </c>
      <c r="T34" s="19">
        <f t="shared" si="7"/>
        <v>0</v>
      </c>
      <c r="U34" s="19">
        <f t="shared" si="7"/>
        <v>0</v>
      </c>
      <c r="V34" s="19">
        <f t="shared" si="7"/>
        <v>0</v>
      </c>
      <c r="W34" s="19">
        <f t="shared" si="7"/>
        <v>0</v>
      </c>
      <c r="X34" s="19">
        <f t="shared" si="7"/>
        <v>0</v>
      </c>
      <c r="Y34" s="19">
        <f t="shared" si="7"/>
        <v>0</v>
      </c>
      <c r="Z34" s="602">
        <f t="shared" si="2"/>
        <v>0</v>
      </c>
      <c r="AA34" s="86"/>
      <c r="AB34" s="86"/>
      <c r="AC34" s="86"/>
      <c r="AD34" s="86"/>
      <c r="AE34" s="86"/>
    </row>
    <row r="35" spans="1:31" ht="16.5" thickBot="1">
      <c r="A35" s="411"/>
      <c r="C35" s="336">
        <f>MAX(C30:C34)+1</f>
        <v>20</v>
      </c>
      <c r="D35" s="165" t="str">
        <f>Asset_Sum!E30</f>
        <v>359</v>
      </c>
      <c r="E35" s="247" t="str">
        <f>Asset_Sum!F29</f>
        <v>OVERHEAD COND &amp; DEV</v>
      </c>
      <c r="F35" s="19">
        <f>Asset_Sum!G30</f>
        <v>19039.04</v>
      </c>
      <c r="G35" s="907" t="s">
        <v>2765</v>
      </c>
      <c r="H35" s="19">
        <f t="shared" si="6"/>
        <v>0</v>
      </c>
      <c r="I35" s="19">
        <f t="shared" si="6"/>
        <v>0</v>
      </c>
      <c r="J35" s="19">
        <f t="shared" si="6"/>
        <v>19039.04</v>
      </c>
      <c r="K35" s="19">
        <f t="shared" si="6"/>
        <v>0</v>
      </c>
      <c r="L35" s="19">
        <f t="shared" si="6"/>
        <v>0</v>
      </c>
      <c r="M35" s="19">
        <f t="shared" si="6"/>
        <v>0</v>
      </c>
      <c r="N35" s="19">
        <f t="shared" si="6"/>
        <v>0</v>
      </c>
      <c r="O35" s="19">
        <f t="shared" si="6"/>
        <v>0</v>
      </c>
      <c r="P35" s="1759">
        <f t="shared" si="6"/>
        <v>0</v>
      </c>
      <c r="Q35" s="1759">
        <f t="shared" si="6"/>
        <v>0</v>
      </c>
      <c r="R35" s="1759">
        <f t="shared" si="7"/>
        <v>0</v>
      </c>
      <c r="S35" s="1759">
        <f t="shared" si="7"/>
        <v>0</v>
      </c>
      <c r="T35" s="19">
        <f t="shared" si="7"/>
        <v>0</v>
      </c>
      <c r="U35" s="19">
        <f t="shared" si="7"/>
        <v>0</v>
      </c>
      <c r="V35" s="19">
        <f t="shared" si="7"/>
        <v>0</v>
      </c>
      <c r="W35" s="19">
        <f t="shared" si="7"/>
        <v>0</v>
      </c>
      <c r="X35" s="19">
        <f t="shared" si="7"/>
        <v>0</v>
      </c>
      <c r="Y35" s="19">
        <f t="shared" si="7"/>
        <v>0</v>
      </c>
      <c r="Z35" s="602">
        <f t="shared" si="2"/>
        <v>0</v>
      </c>
      <c r="AA35" s="86"/>
      <c r="AB35" s="86"/>
      <c r="AC35" s="86"/>
      <c r="AD35" s="86"/>
      <c r="AE35" s="86"/>
    </row>
    <row r="36" spans="1:31">
      <c r="A36" s="411"/>
      <c r="C36" s="336">
        <f>MAX(C31:C35)+1</f>
        <v>21</v>
      </c>
      <c r="D36" s="165"/>
      <c r="E36" s="248" t="str">
        <f>Asset_Sum!F32</f>
        <v>Total Transmission Assets</v>
      </c>
      <c r="F36" s="324">
        <f>SUM(F26:F35)</f>
        <v>191042271.20999998</v>
      </c>
      <c r="G36" s="165"/>
      <c r="H36" s="324">
        <f t="shared" ref="H36:O36" si="9">SUM(H26:H35)</f>
        <v>0</v>
      </c>
      <c r="I36" s="324">
        <f t="shared" si="9"/>
        <v>0</v>
      </c>
      <c r="J36" s="324">
        <f t="shared" si="9"/>
        <v>191042271.20999998</v>
      </c>
      <c r="K36" s="324">
        <f t="shared" si="9"/>
        <v>0</v>
      </c>
      <c r="L36" s="324">
        <f t="shared" si="9"/>
        <v>0</v>
      </c>
      <c r="M36" s="324">
        <f t="shared" si="9"/>
        <v>0</v>
      </c>
      <c r="N36" s="324">
        <f t="shared" si="9"/>
        <v>0</v>
      </c>
      <c r="O36" s="324">
        <f t="shared" si="9"/>
        <v>0</v>
      </c>
      <c r="P36" s="1760">
        <f t="shared" ref="P36:W36" si="10">SUM(P26:P35)</f>
        <v>0</v>
      </c>
      <c r="Q36" s="1760">
        <f t="shared" si="10"/>
        <v>0</v>
      </c>
      <c r="R36" s="1760">
        <f t="shared" si="10"/>
        <v>0</v>
      </c>
      <c r="S36" s="1760">
        <f t="shared" si="10"/>
        <v>0</v>
      </c>
      <c r="T36" s="324">
        <f t="shared" si="10"/>
        <v>0</v>
      </c>
      <c r="U36" s="324">
        <f t="shared" si="10"/>
        <v>0</v>
      </c>
      <c r="V36" s="324">
        <f t="shared" si="10"/>
        <v>0</v>
      </c>
      <c r="W36" s="324">
        <f t="shared" si="10"/>
        <v>0</v>
      </c>
      <c r="X36" s="324">
        <f>SUM(X26:X35)</f>
        <v>0</v>
      </c>
      <c r="Y36" s="324">
        <f>SUM(Y26:Y35)</f>
        <v>0</v>
      </c>
      <c r="Z36" s="602">
        <f t="shared" si="2"/>
        <v>0</v>
      </c>
      <c r="AA36" s="86"/>
      <c r="AB36" s="86"/>
      <c r="AC36" s="86"/>
      <c r="AD36" s="86"/>
      <c r="AE36" s="86"/>
    </row>
    <row r="37" spans="1:31" s="3094" customFormat="1">
      <c r="A37" s="411"/>
      <c r="C37" s="336">
        <f>MAX(C32:C36)+1</f>
        <v>22</v>
      </c>
      <c r="D37" s="165"/>
      <c r="E37" s="3150" t="str">
        <f>E36&amp;" less Labor"</f>
        <v>Total Transmission Assets less Labor</v>
      </c>
      <c r="F37" s="3151">
        <f>SUM(F26:F35)</f>
        <v>191042271.20999998</v>
      </c>
      <c r="G37" s="3152"/>
      <c r="H37" s="3151">
        <f t="shared" ref="H37:Y37" si="11">SUM(H26:H35)</f>
        <v>0</v>
      </c>
      <c r="I37" s="3151">
        <f t="shared" si="11"/>
        <v>0</v>
      </c>
      <c r="J37" s="3151">
        <f t="shared" si="11"/>
        <v>191042271.20999998</v>
      </c>
      <c r="K37" s="3151">
        <f t="shared" si="11"/>
        <v>0</v>
      </c>
      <c r="L37" s="3151">
        <f t="shared" si="11"/>
        <v>0</v>
      </c>
      <c r="M37" s="3151">
        <f t="shared" si="11"/>
        <v>0</v>
      </c>
      <c r="N37" s="3151">
        <f t="shared" si="11"/>
        <v>0</v>
      </c>
      <c r="O37" s="3151">
        <f t="shared" si="11"/>
        <v>0</v>
      </c>
      <c r="P37" s="3151">
        <f t="shared" si="11"/>
        <v>0</v>
      </c>
      <c r="Q37" s="3151">
        <f t="shared" si="11"/>
        <v>0</v>
      </c>
      <c r="R37" s="3151">
        <f t="shared" si="11"/>
        <v>0</v>
      </c>
      <c r="S37" s="3151">
        <f t="shared" si="11"/>
        <v>0</v>
      </c>
      <c r="T37" s="3151">
        <f t="shared" si="11"/>
        <v>0</v>
      </c>
      <c r="U37" s="3151">
        <f t="shared" si="11"/>
        <v>0</v>
      </c>
      <c r="V37" s="3151">
        <f t="shared" si="11"/>
        <v>0</v>
      </c>
      <c r="W37" s="3151">
        <f t="shared" si="11"/>
        <v>0</v>
      </c>
      <c r="X37" s="3151">
        <f t="shared" si="11"/>
        <v>0</v>
      </c>
      <c r="Y37" s="3151">
        <f t="shared" si="11"/>
        <v>0</v>
      </c>
      <c r="Z37" s="602"/>
      <c r="AA37" s="86"/>
      <c r="AB37" s="86"/>
      <c r="AC37" s="86"/>
      <c r="AD37" s="86"/>
      <c r="AE37" s="86"/>
    </row>
    <row r="38" spans="1:31">
      <c r="A38" s="411"/>
      <c r="C38" s="336"/>
      <c r="D38" s="165"/>
      <c r="E38" s="206"/>
      <c r="F38" s="313"/>
      <c r="G38" s="165"/>
      <c r="H38" s="313"/>
      <c r="I38" s="313"/>
      <c r="J38" s="313"/>
      <c r="K38" s="313"/>
      <c r="L38" s="313"/>
      <c r="M38" s="313"/>
      <c r="N38" s="313"/>
      <c r="O38" s="313"/>
      <c r="P38" s="1761"/>
      <c r="Q38" s="1761"/>
      <c r="R38" s="1761"/>
      <c r="S38" s="1761"/>
      <c r="T38" s="313"/>
      <c r="U38" s="313"/>
      <c r="V38" s="313"/>
      <c r="W38" s="313"/>
      <c r="X38" s="313"/>
      <c r="Y38" s="313"/>
      <c r="Z38" s="602">
        <f t="shared" si="2"/>
        <v>0</v>
      </c>
      <c r="AA38" s="86"/>
      <c r="AB38" s="86"/>
      <c r="AC38" s="86"/>
      <c r="AD38" s="86"/>
      <c r="AE38" s="86"/>
    </row>
    <row r="39" spans="1:31" ht="16.5" thickBot="1">
      <c r="A39" s="411"/>
      <c r="C39" s="336">
        <f>MAX(C36:C38)+1</f>
        <v>23</v>
      </c>
      <c r="D39" s="165"/>
      <c r="E39" s="206" t="str">
        <f>Asset_Sum!F34</f>
        <v>Distribution:</v>
      </c>
      <c r="F39" s="313"/>
      <c r="G39" s="165"/>
      <c r="H39" s="313"/>
      <c r="I39" s="313"/>
      <c r="J39" s="313"/>
      <c r="K39" s="313"/>
      <c r="L39" s="313"/>
      <c r="M39" s="313"/>
      <c r="N39" s="313"/>
      <c r="O39" s="313"/>
      <c r="P39" s="1761"/>
      <c r="Q39" s="1761"/>
      <c r="R39" s="1761"/>
      <c r="S39" s="1761"/>
      <c r="T39" s="313"/>
      <c r="U39" s="313"/>
      <c r="V39" s="313"/>
      <c r="W39" s="313"/>
      <c r="X39" s="313"/>
      <c r="Y39" s="313"/>
      <c r="Z39" s="602">
        <f t="shared" si="2"/>
        <v>0</v>
      </c>
      <c r="AA39" s="86"/>
      <c r="AB39" s="86"/>
      <c r="AC39" s="86"/>
      <c r="AD39" s="86"/>
      <c r="AE39" s="86"/>
    </row>
    <row r="40" spans="1:31">
      <c r="A40" s="411"/>
      <c r="C40" s="336">
        <f>MAX(C36:C39)+1</f>
        <v>24</v>
      </c>
      <c r="D40" s="165" t="str">
        <f>Asset_Sum!E35</f>
        <v>360</v>
      </c>
      <c r="E40" s="247" t="str">
        <f>Asset_Sum!F35</f>
        <v>LAND &amp; LAND RIGHTS</v>
      </c>
      <c r="F40" s="279">
        <f>Asset_Sum!G35</f>
        <v>853208.64</v>
      </c>
      <c r="G40" s="905" t="s">
        <v>2645</v>
      </c>
      <c r="H40" s="19">
        <f t="shared" ref="H40:Q53" si="12">$F40*SUMIF($E$338:$E$359,$G40,H$338:H$359)</f>
        <v>0</v>
      </c>
      <c r="I40" s="19">
        <f t="shared" si="12"/>
        <v>0</v>
      </c>
      <c r="J40" s="19">
        <f t="shared" si="12"/>
        <v>0</v>
      </c>
      <c r="K40" s="19">
        <f t="shared" si="12"/>
        <v>536093.83420504513</v>
      </c>
      <c r="L40" s="19">
        <f t="shared" si="12"/>
        <v>317114.80579495488</v>
      </c>
      <c r="M40" s="19">
        <f t="shared" si="12"/>
        <v>0</v>
      </c>
      <c r="N40" s="19">
        <f t="shared" si="12"/>
        <v>0</v>
      </c>
      <c r="O40" s="19">
        <f t="shared" si="12"/>
        <v>0</v>
      </c>
      <c r="P40" s="19">
        <f t="shared" si="12"/>
        <v>0</v>
      </c>
      <c r="Q40" s="1759">
        <f t="shared" si="12"/>
        <v>0</v>
      </c>
      <c r="R40" s="1759">
        <f t="shared" ref="R40:Y53" si="13">$F40*SUMIF($E$338:$E$359,$G40,R$338:R$359)</f>
        <v>0</v>
      </c>
      <c r="S40" s="1759">
        <f t="shared" si="13"/>
        <v>0</v>
      </c>
      <c r="T40" s="19">
        <f t="shared" si="13"/>
        <v>0</v>
      </c>
      <c r="U40" s="19">
        <f t="shared" si="13"/>
        <v>0</v>
      </c>
      <c r="V40" s="19">
        <f t="shared" si="13"/>
        <v>0</v>
      </c>
      <c r="W40" s="19">
        <f t="shared" si="13"/>
        <v>0</v>
      </c>
      <c r="X40" s="19">
        <f t="shared" si="13"/>
        <v>0</v>
      </c>
      <c r="Y40" s="19">
        <f t="shared" si="13"/>
        <v>0</v>
      </c>
      <c r="Z40" s="602">
        <f t="shared" si="2"/>
        <v>0</v>
      </c>
      <c r="AA40" s="86"/>
      <c r="AB40" s="86"/>
      <c r="AC40" s="86"/>
      <c r="AD40" s="86"/>
      <c r="AE40" s="86"/>
    </row>
    <row r="41" spans="1:31">
      <c r="A41" s="411"/>
      <c r="C41" s="336">
        <f>MAX(C37:C40)+1</f>
        <v>25</v>
      </c>
      <c r="D41" s="165" t="str">
        <f>Asset_Sum!E36</f>
        <v>361</v>
      </c>
      <c r="E41" s="247" t="str">
        <f>Asset_Sum!F36</f>
        <v>STRUCTURES &amp; IMPR</v>
      </c>
      <c r="F41" s="19">
        <f>Asset_Sum!G36</f>
        <v>1052383.6300000001</v>
      </c>
      <c r="G41" s="906" t="s">
        <v>2645</v>
      </c>
      <c r="H41" s="19">
        <f t="shared" si="12"/>
        <v>0</v>
      </c>
      <c r="I41" s="19">
        <f t="shared" si="12"/>
        <v>0</v>
      </c>
      <c r="J41" s="19">
        <f t="shared" si="12"/>
        <v>0</v>
      </c>
      <c r="K41" s="19">
        <f t="shared" si="12"/>
        <v>661240.81357324705</v>
      </c>
      <c r="L41" s="19">
        <f t="shared" si="12"/>
        <v>391142.81642675307</v>
      </c>
      <c r="M41" s="19">
        <f t="shared" si="12"/>
        <v>0</v>
      </c>
      <c r="N41" s="19">
        <f t="shared" si="12"/>
        <v>0</v>
      </c>
      <c r="O41" s="19">
        <f t="shared" si="12"/>
        <v>0</v>
      </c>
      <c r="P41" s="19">
        <f t="shared" si="12"/>
        <v>0</v>
      </c>
      <c r="Q41" s="1759">
        <f t="shared" si="12"/>
        <v>0</v>
      </c>
      <c r="R41" s="1759">
        <f t="shared" si="13"/>
        <v>0</v>
      </c>
      <c r="S41" s="1759">
        <f t="shared" si="13"/>
        <v>0</v>
      </c>
      <c r="T41" s="19">
        <f t="shared" si="13"/>
        <v>0</v>
      </c>
      <c r="U41" s="19">
        <f t="shared" si="13"/>
        <v>0</v>
      </c>
      <c r="V41" s="19">
        <f t="shared" si="13"/>
        <v>0</v>
      </c>
      <c r="W41" s="19">
        <f t="shared" si="13"/>
        <v>0</v>
      </c>
      <c r="X41" s="19">
        <f t="shared" si="13"/>
        <v>0</v>
      </c>
      <c r="Y41" s="19">
        <f t="shared" si="13"/>
        <v>0</v>
      </c>
      <c r="Z41" s="602">
        <f t="shared" si="2"/>
        <v>0</v>
      </c>
      <c r="AA41" s="86"/>
      <c r="AB41" s="86"/>
      <c r="AC41" s="86"/>
      <c r="AD41" s="86"/>
      <c r="AE41" s="86"/>
    </row>
    <row r="42" spans="1:31">
      <c r="A42" s="411"/>
      <c r="C42" s="336">
        <f>MAX(C38:C41)+1</f>
        <v>26</v>
      </c>
      <c r="D42" s="165" t="str">
        <f>Asset_Sum!E37</f>
        <v>362</v>
      </c>
      <c r="E42" s="247" t="str">
        <f>Asset_Sum!F37</f>
        <v>STATION EQUIPMENT</v>
      </c>
      <c r="F42" s="19">
        <f>Asset_Sum!G37</f>
        <v>126220784.69999996</v>
      </c>
      <c r="G42" s="906" t="s">
        <v>2645</v>
      </c>
      <c r="H42" s="19">
        <f t="shared" si="12"/>
        <v>0</v>
      </c>
      <c r="I42" s="19">
        <f t="shared" si="12"/>
        <v>0</v>
      </c>
      <c r="J42" s="19">
        <f t="shared" si="12"/>
        <v>0</v>
      </c>
      <c r="K42" s="19">
        <f t="shared" si="12"/>
        <v>79307898.741147861</v>
      </c>
      <c r="L42" s="19">
        <f t="shared" si="12"/>
        <v>46912885.958852097</v>
      </c>
      <c r="M42" s="19">
        <f t="shared" si="12"/>
        <v>0</v>
      </c>
      <c r="N42" s="19">
        <f t="shared" si="12"/>
        <v>0</v>
      </c>
      <c r="O42" s="19">
        <f t="shared" si="12"/>
        <v>0</v>
      </c>
      <c r="P42" s="19">
        <f t="shared" si="12"/>
        <v>0</v>
      </c>
      <c r="Q42" s="1759">
        <f t="shared" si="12"/>
        <v>0</v>
      </c>
      <c r="R42" s="1759">
        <f t="shared" si="13"/>
        <v>0</v>
      </c>
      <c r="S42" s="1759">
        <f t="shared" si="13"/>
        <v>0</v>
      </c>
      <c r="T42" s="19">
        <f t="shared" si="13"/>
        <v>0</v>
      </c>
      <c r="U42" s="19">
        <f t="shared" si="13"/>
        <v>0</v>
      </c>
      <c r="V42" s="19">
        <f t="shared" si="13"/>
        <v>0</v>
      </c>
      <c r="W42" s="19">
        <f t="shared" si="13"/>
        <v>0</v>
      </c>
      <c r="X42" s="19">
        <f t="shared" si="13"/>
        <v>0</v>
      </c>
      <c r="Y42" s="19">
        <f t="shared" si="13"/>
        <v>0</v>
      </c>
      <c r="Z42" s="602">
        <f t="shared" si="2"/>
        <v>0</v>
      </c>
      <c r="AA42" s="86"/>
      <c r="AB42" s="86"/>
      <c r="AC42" s="86"/>
      <c r="AD42" s="86"/>
      <c r="AE42" s="86"/>
    </row>
    <row r="43" spans="1:31">
      <c r="A43" s="411"/>
      <c r="C43" s="336">
        <f>MAX(C39:C42)+1</f>
        <v>27</v>
      </c>
      <c r="D43" s="165" t="str">
        <f>Asset_Sum!E38</f>
        <v>364</v>
      </c>
      <c r="E43" s="247" t="str">
        <f>Asset_Sum!F38</f>
        <v>POLES, TOWERS, &amp; FIX</v>
      </c>
      <c r="F43" s="1805">
        <f>Asset_Sum!G38</f>
        <v>74906093.939999983</v>
      </c>
      <c r="G43" s="906" t="s">
        <v>0</v>
      </c>
      <c r="H43" s="19">
        <f t="shared" si="12"/>
        <v>0</v>
      </c>
      <c r="I43" s="19">
        <f t="shared" si="12"/>
        <v>0</v>
      </c>
      <c r="J43" s="19">
        <f t="shared" si="12"/>
        <v>0</v>
      </c>
      <c r="K43" s="19">
        <f t="shared" si="12"/>
        <v>0</v>
      </c>
      <c r="L43" s="19">
        <f t="shared" si="12"/>
        <v>0</v>
      </c>
      <c r="M43" s="19">
        <f t="shared" si="12"/>
        <v>0</v>
      </c>
      <c r="N43" s="19">
        <f t="shared" si="12"/>
        <v>0</v>
      </c>
      <c r="O43" s="19">
        <f t="shared" si="12"/>
        <v>0</v>
      </c>
      <c r="P43" s="19">
        <f t="shared" si="12"/>
        <v>6736528.2769298125</v>
      </c>
      <c r="Q43" s="1759">
        <f t="shared" si="12"/>
        <v>55490109.798442349</v>
      </c>
      <c r="R43" s="1759">
        <f t="shared" si="13"/>
        <v>2887083.5472556339</v>
      </c>
      <c r="S43" s="1759">
        <f t="shared" si="13"/>
        <v>9792372.3173721805</v>
      </c>
      <c r="T43" s="19">
        <f t="shared" si="13"/>
        <v>0</v>
      </c>
      <c r="U43" s="19">
        <f t="shared" si="13"/>
        <v>0</v>
      </c>
      <c r="V43" s="19">
        <f t="shared" si="13"/>
        <v>0</v>
      </c>
      <c r="W43" s="19">
        <f t="shared" si="13"/>
        <v>0</v>
      </c>
      <c r="X43" s="19">
        <f t="shared" si="13"/>
        <v>0</v>
      </c>
      <c r="Y43" s="19">
        <f t="shared" si="13"/>
        <v>0</v>
      </c>
      <c r="Z43" s="602">
        <f t="shared" si="2"/>
        <v>0</v>
      </c>
      <c r="AA43" s="86"/>
      <c r="AB43" s="86"/>
      <c r="AC43" s="86"/>
      <c r="AD43" s="86"/>
      <c r="AE43" s="86"/>
    </row>
    <row r="44" spans="1:31">
      <c r="A44" s="411"/>
      <c r="C44" s="336">
        <f t="shared" ref="C44:C56" si="14">MAX(C39:C43)+1</f>
        <v>28</v>
      </c>
      <c r="D44" s="165" t="str">
        <f>Asset_Sum!E39</f>
        <v>365</v>
      </c>
      <c r="E44" s="247" t="str">
        <f>Asset_Sum!F39</f>
        <v>OVERHEAD COND &amp; DEV</v>
      </c>
      <c r="F44" s="1805">
        <f>Asset_Sum!G39</f>
        <v>79450114.670000121</v>
      </c>
      <c r="G44" s="906" t="s">
        <v>0</v>
      </c>
      <c r="H44" s="19">
        <f t="shared" si="12"/>
        <v>0</v>
      </c>
      <c r="I44" s="19">
        <f t="shared" si="12"/>
        <v>0</v>
      </c>
      <c r="J44" s="19">
        <f t="shared" si="12"/>
        <v>0</v>
      </c>
      <c r="K44" s="19">
        <f t="shared" si="12"/>
        <v>0</v>
      </c>
      <c r="L44" s="19">
        <f t="shared" si="12"/>
        <v>0</v>
      </c>
      <c r="M44" s="19">
        <f t="shared" si="12"/>
        <v>0</v>
      </c>
      <c r="N44" s="19">
        <f t="shared" si="12"/>
        <v>0</v>
      </c>
      <c r="O44" s="19">
        <f t="shared" si="12"/>
        <v>0</v>
      </c>
      <c r="P44" s="19">
        <f t="shared" si="12"/>
        <v>7145185.6041042963</v>
      </c>
      <c r="Q44" s="1759">
        <f t="shared" si="12"/>
        <v>58856300.664516307</v>
      </c>
      <c r="R44" s="1759">
        <f t="shared" si="13"/>
        <v>3062222.4017589842</v>
      </c>
      <c r="S44" s="1759">
        <f t="shared" si="13"/>
        <v>10386405.999620525</v>
      </c>
      <c r="T44" s="19">
        <f t="shared" si="13"/>
        <v>0</v>
      </c>
      <c r="U44" s="19">
        <f t="shared" si="13"/>
        <v>0</v>
      </c>
      <c r="V44" s="19">
        <f t="shared" si="13"/>
        <v>0</v>
      </c>
      <c r="W44" s="19">
        <f t="shared" si="13"/>
        <v>0</v>
      </c>
      <c r="X44" s="19">
        <f t="shared" si="13"/>
        <v>0</v>
      </c>
      <c r="Y44" s="19">
        <f t="shared" si="13"/>
        <v>0</v>
      </c>
      <c r="Z44" s="602">
        <f t="shared" si="2"/>
        <v>0</v>
      </c>
      <c r="AA44" s="86"/>
      <c r="AB44" s="86"/>
      <c r="AC44" s="86"/>
      <c r="AD44" s="86"/>
      <c r="AE44" s="86"/>
    </row>
    <row r="45" spans="1:31">
      <c r="A45" s="411"/>
      <c r="C45" s="336">
        <f t="shared" si="14"/>
        <v>29</v>
      </c>
      <c r="D45" s="165" t="str">
        <f>Asset_Sum!E40</f>
        <v>366</v>
      </c>
      <c r="E45" s="247" t="str">
        <f>Asset_Sum!F40</f>
        <v>UNDERGROUND CONDUIT</v>
      </c>
      <c r="F45" s="1805">
        <f>Asset_Sum!G40</f>
        <v>18865207.040000007</v>
      </c>
      <c r="G45" s="906" t="s">
        <v>1</v>
      </c>
      <c r="H45" s="19">
        <f t="shared" si="12"/>
        <v>0</v>
      </c>
      <c r="I45" s="19">
        <f t="shared" si="12"/>
        <v>0</v>
      </c>
      <c r="J45" s="19">
        <f t="shared" si="12"/>
        <v>0</v>
      </c>
      <c r="K45" s="19">
        <f t="shared" si="12"/>
        <v>0</v>
      </c>
      <c r="L45" s="19">
        <f t="shared" si="12"/>
        <v>0</v>
      </c>
      <c r="M45" s="19">
        <f t="shared" si="12"/>
        <v>0</v>
      </c>
      <c r="N45" s="19">
        <f t="shared" si="12"/>
        <v>0</v>
      </c>
      <c r="O45" s="19">
        <f t="shared" si="12"/>
        <v>0</v>
      </c>
      <c r="P45" s="19">
        <f t="shared" si="12"/>
        <v>2281640.8050513398</v>
      </c>
      <c r="Q45" s="1759">
        <f t="shared" si="12"/>
        <v>7587191.7769372538</v>
      </c>
      <c r="R45" s="1759">
        <f t="shared" si="13"/>
        <v>2788672.095062749</v>
      </c>
      <c r="S45" s="1759">
        <f t="shared" si="13"/>
        <v>6207702.3629486617</v>
      </c>
      <c r="T45" s="19">
        <f t="shared" si="13"/>
        <v>0</v>
      </c>
      <c r="U45" s="19">
        <f t="shared" si="13"/>
        <v>0</v>
      </c>
      <c r="V45" s="19">
        <f t="shared" si="13"/>
        <v>0</v>
      </c>
      <c r="W45" s="19">
        <f t="shared" si="13"/>
        <v>0</v>
      </c>
      <c r="X45" s="19">
        <f t="shared" si="13"/>
        <v>0</v>
      </c>
      <c r="Y45" s="19">
        <f t="shared" si="13"/>
        <v>0</v>
      </c>
      <c r="Z45" s="602">
        <f t="shared" si="2"/>
        <v>0</v>
      </c>
      <c r="AA45" s="86"/>
      <c r="AB45" s="86"/>
      <c r="AC45" s="86"/>
      <c r="AD45" s="86"/>
      <c r="AE45" s="86"/>
    </row>
    <row r="46" spans="1:31">
      <c r="A46" s="411"/>
      <c r="C46" s="336">
        <f t="shared" si="14"/>
        <v>30</v>
      </c>
      <c r="D46" s="165" t="str">
        <f>Asset_Sum!E41</f>
        <v>367</v>
      </c>
      <c r="E46" s="247" t="str">
        <f>Asset_Sum!F41</f>
        <v>UNDRGD COND &amp; DEV</v>
      </c>
      <c r="F46" s="1805">
        <f>Asset_Sum!G41</f>
        <v>84429162.459999844</v>
      </c>
      <c r="G46" s="906" t="s">
        <v>1</v>
      </c>
      <c r="H46" s="19">
        <f t="shared" si="12"/>
        <v>0</v>
      </c>
      <c r="I46" s="19">
        <f t="shared" si="12"/>
        <v>0</v>
      </c>
      <c r="J46" s="19">
        <f t="shared" si="12"/>
        <v>0</v>
      </c>
      <c r="K46" s="19">
        <f t="shared" si="12"/>
        <v>0</v>
      </c>
      <c r="L46" s="19">
        <f t="shared" si="12"/>
        <v>0</v>
      </c>
      <c r="M46" s="19">
        <f t="shared" si="12"/>
        <v>0</v>
      </c>
      <c r="N46" s="19">
        <f t="shared" si="12"/>
        <v>0</v>
      </c>
      <c r="O46" s="19">
        <f t="shared" si="12"/>
        <v>0</v>
      </c>
      <c r="P46" s="19">
        <f t="shared" si="12"/>
        <v>10211232.868878409</v>
      </c>
      <c r="Q46" s="1759">
        <f t="shared" si="12"/>
        <v>33955643.624370746</v>
      </c>
      <c r="R46" s="1759">
        <f t="shared" si="13"/>
        <v>12480395.728629166</v>
      </c>
      <c r="S46" s="1759">
        <f t="shared" si="13"/>
        <v>27781890.238121517</v>
      </c>
      <c r="T46" s="19">
        <f t="shared" si="13"/>
        <v>0</v>
      </c>
      <c r="U46" s="19">
        <f t="shared" si="13"/>
        <v>0</v>
      </c>
      <c r="V46" s="19">
        <f t="shared" si="13"/>
        <v>0</v>
      </c>
      <c r="W46" s="19">
        <f t="shared" si="13"/>
        <v>0</v>
      </c>
      <c r="X46" s="19">
        <f t="shared" si="13"/>
        <v>0</v>
      </c>
      <c r="Y46" s="19">
        <f t="shared" si="13"/>
        <v>0</v>
      </c>
      <c r="Z46" s="602">
        <f t="shared" si="2"/>
        <v>0</v>
      </c>
      <c r="AA46" s="86"/>
      <c r="AB46" s="86"/>
      <c r="AC46" s="86"/>
      <c r="AD46" s="86"/>
      <c r="AE46" s="86"/>
    </row>
    <row r="47" spans="1:31">
      <c r="A47" s="411"/>
      <c r="C47" s="336">
        <f t="shared" si="14"/>
        <v>31</v>
      </c>
      <c r="D47" s="165" t="str">
        <f>Asset_Sum!E42</f>
        <v>368</v>
      </c>
      <c r="E47" s="247" t="str">
        <f>Asset_Sum!F42</f>
        <v>LINE TRANSFORMERS</v>
      </c>
      <c r="F47" s="19">
        <f>Asset_Sum!G42</f>
        <v>71751310.809999958</v>
      </c>
      <c r="G47" s="906" t="s">
        <v>2</v>
      </c>
      <c r="H47" s="19">
        <f t="shared" si="12"/>
        <v>0</v>
      </c>
      <c r="I47" s="19">
        <f t="shared" si="12"/>
        <v>0</v>
      </c>
      <c r="J47" s="19">
        <f t="shared" si="12"/>
        <v>0</v>
      </c>
      <c r="K47" s="19">
        <f t="shared" si="12"/>
        <v>0</v>
      </c>
      <c r="L47" s="19">
        <f t="shared" si="12"/>
        <v>0</v>
      </c>
      <c r="M47" s="19">
        <f t="shared" si="12"/>
        <v>0</v>
      </c>
      <c r="N47" s="19">
        <f t="shared" si="12"/>
        <v>0</v>
      </c>
      <c r="O47" s="19">
        <f t="shared" si="12"/>
        <v>71751310.809999958</v>
      </c>
      <c r="P47" s="19">
        <f t="shared" si="12"/>
        <v>0</v>
      </c>
      <c r="Q47" s="1759">
        <f t="shared" si="12"/>
        <v>0</v>
      </c>
      <c r="R47" s="1759">
        <f t="shared" si="13"/>
        <v>0</v>
      </c>
      <c r="S47" s="1759">
        <f t="shared" si="13"/>
        <v>0</v>
      </c>
      <c r="T47" s="19">
        <f t="shared" si="13"/>
        <v>0</v>
      </c>
      <c r="U47" s="19">
        <f t="shared" si="13"/>
        <v>0</v>
      </c>
      <c r="V47" s="19">
        <f t="shared" si="13"/>
        <v>0</v>
      </c>
      <c r="W47" s="19">
        <f t="shared" si="13"/>
        <v>0</v>
      </c>
      <c r="X47" s="19">
        <f t="shared" si="13"/>
        <v>0</v>
      </c>
      <c r="Y47" s="19">
        <f t="shared" si="13"/>
        <v>0</v>
      </c>
      <c r="Z47" s="602">
        <f t="shared" si="2"/>
        <v>0</v>
      </c>
      <c r="AA47" s="86"/>
      <c r="AB47" s="86"/>
      <c r="AC47" s="86"/>
      <c r="AD47" s="86"/>
      <c r="AE47" s="86"/>
    </row>
    <row r="48" spans="1:31">
      <c r="A48" s="411"/>
      <c r="C48" s="336">
        <f t="shared" si="14"/>
        <v>32</v>
      </c>
      <c r="D48" s="165" t="str">
        <f>Asset_Sum!E43</f>
        <v>369</v>
      </c>
      <c r="E48" s="247" t="str">
        <f>Asset_Sum!F43</f>
        <v>SERVICES</v>
      </c>
      <c r="F48" s="19">
        <f>Asset_Sum!G43</f>
        <v>19664549.539999995</v>
      </c>
      <c r="G48" s="906" t="s">
        <v>171</v>
      </c>
      <c r="H48" s="19">
        <f t="shared" si="12"/>
        <v>0</v>
      </c>
      <c r="I48" s="19">
        <f t="shared" si="12"/>
        <v>0</v>
      </c>
      <c r="J48" s="19">
        <f t="shared" si="12"/>
        <v>0</v>
      </c>
      <c r="K48" s="19">
        <f t="shared" si="12"/>
        <v>0</v>
      </c>
      <c r="L48" s="19">
        <f t="shared" si="12"/>
        <v>0</v>
      </c>
      <c r="M48" s="19">
        <f t="shared" si="12"/>
        <v>0</v>
      </c>
      <c r="N48" s="19">
        <f t="shared" si="12"/>
        <v>0</v>
      </c>
      <c r="O48" s="19">
        <f t="shared" si="12"/>
        <v>0</v>
      </c>
      <c r="P48" s="19">
        <f t="shared" si="12"/>
        <v>0</v>
      </c>
      <c r="Q48" s="1759">
        <f t="shared" si="12"/>
        <v>0</v>
      </c>
      <c r="R48" s="1759">
        <f t="shared" si="13"/>
        <v>0</v>
      </c>
      <c r="S48" s="1759">
        <f t="shared" si="13"/>
        <v>0</v>
      </c>
      <c r="T48" s="19">
        <f t="shared" si="13"/>
        <v>19664549.539999995</v>
      </c>
      <c r="U48" s="19">
        <f t="shared" si="13"/>
        <v>0</v>
      </c>
      <c r="V48" s="19">
        <f t="shared" si="13"/>
        <v>0</v>
      </c>
      <c r="W48" s="19">
        <f t="shared" si="13"/>
        <v>0</v>
      </c>
      <c r="X48" s="19">
        <f t="shared" si="13"/>
        <v>0</v>
      </c>
      <c r="Y48" s="19">
        <f t="shared" si="13"/>
        <v>0</v>
      </c>
      <c r="Z48" s="602">
        <f t="shared" si="2"/>
        <v>0</v>
      </c>
      <c r="AA48" s="86"/>
      <c r="AB48" s="86"/>
      <c r="AC48" s="86"/>
      <c r="AD48" s="86"/>
      <c r="AE48" s="86"/>
    </row>
    <row r="49" spans="1:31" hidden="1">
      <c r="A49" s="411"/>
      <c r="C49" s="336">
        <f>MAX(C43:C47)+1</f>
        <v>32</v>
      </c>
      <c r="D49" s="165" t="str">
        <f>Asset_Sum!E44</f>
        <v>369</v>
      </c>
      <c r="E49" s="247" t="str">
        <f>Asset_Sum!F44</f>
        <v>SERVICES OVERHEAD</v>
      </c>
      <c r="F49" s="19">
        <f>Asset_Sum!G44</f>
        <v>0</v>
      </c>
      <c r="G49" s="906" t="s">
        <v>171</v>
      </c>
      <c r="H49" s="19">
        <f t="shared" si="12"/>
        <v>0</v>
      </c>
      <c r="I49" s="19">
        <f t="shared" si="12"/>
        <v>0</v>
      </c>
      <c r="J49" s="19">
        <f t="shared" si="12"/>
        <v>0</v>
      </c>
      <c r="K49" s="19">
        <f t="shared" si="12"/>
        <v>0</v>
      </c>
      <c r="L49" s="19">
        <f t="shared" si="12"/>
        <v>0</v>
      </c>
      <c r="M49" s="19">
        <f t="shared" si="12"/>
        <v>0</v>
      </c>
      <c r="N49" s="19">
        <f t="shared" si="12"/>
        <v>0</v>
      </c>
      <c r="O49" s="19">
        <f t="shared" si="12"/>
        <v>0</v>
      </c>
      <c r="P49" s="19">
        <f t="shared" si="12"/>
        <v>0</v>
      </c>
      <c r="Q49" s="1759">
        <f t="shared" si="12"/>
        <v>0</v>
      </c>
      <c r="R49" s="1759">
        <f t="shared" si="13"/>
        <v>0</v>
      </c>
      <c r="S49" s="1759">
        <f t="shared" si="13"/>
        <v>0</v>
      </c>
      <c r="T49" s="19">
        <f t="shared" si="13"/>
        <v>0</v>
      </c>
      <c r="U49" s="19">
        <f t="shared" si="13"/>
        <v>0</v>
      </c>
      <c r="V49" s="19">
        <f t="shared" si="13"/>
        <v>0</v>
      </c>
      <c r="W49" s="19">
        <f t="shared" si="13"/>
        <v>0</v>
      </c>
      <c r="X49" s="19">
        <f t="shared" si="13"/>
        <v>0</v>
      </c>
      <c r="Y49" s="19">
        <f t="shared" si="13"/>
        <v>0</v>
      </c>
      <c r="Z49" s="602">
        <f t="shared" si="2"/>
        <v>0</v>
      </c>
      <c r="AA49" s="86"/>
      <c r="AB49" s="86"/>
      <c r="AC49" s="86"/>
      <c r="AD49" s="86"/>
      <c r="AE49" s="86"/>
    </row>
    <row r="50" spans="1:31" hidden="1">
      <c r="A50" s="411"/>
      <c r="C50" s="336">
        <f>MAX(C44:C49)+1</f>
        <v>33</v>
      </c>
      <c r="D50" s="165" t="str">
        <f>Asset_Sum!E45</f>
        <v>369</v>
      </c>
      <c r="E50" s="247" t="str">
        <f>Asset_Sum!F45</f>
        <v>SERVICES UNDERGROUND</v>
      </c>
      <c r="F50" s="19">
        <f>Asset_Sum!G45</f>
        <v>0</v>
      </c>
      <c r="G50" s="906" t="s">
        <v>171</v>
      </c>
      <c r="H50" s="19">
        <f t="shared" si="12"/>
        <v>0</v>
      </c>
      <c r="I50" s="19">
        <f t="shared" si="12"/>
        <v>0</v>
      </c>
      <c r="J50" s="19">
        <f t="shared" si="12"/>
        <v>0</v>
      </c>
      <c r="K50" s="19">
        <f t="shared" si="12"/>
        <v>0</v>
      </c>
      <c r="L50" s="19">
        <f t="shared" si="12"/>
        <v>0</v>
      </c>
      <c r="M50" s="19">
        <f t="shared" si="12"/>
        <v>0</v>
      </c>
      <c r="N50" s="19">
        <f t="shared" si="12"/>
        <v>0</v>
      </c>
      <c r="O50" s="19">
        <f t="shared" si="12"/>
        <v>0</v>
      </c>
      <c r="P50" s="19">
        <f t="shared" si="12"/>
        <v>0</v>
      </c>
      <c r="Q50" s="1759">
        <f t="shared" si="12"/>
        <v>0</v>
      </c>
      <c r="R50" s="1759">
        <f t="shared" si="13"/>
        <v>0</v>
      </c>
      <c r="S50" s="1759">
        <f t="shared" si="13"/>
        <v>0</v>
      </c>
      <c r="T50" s="19">
        <f t="shared" si="13"/>
        <v>0</v>
      </c>
      <c r="U50" s="19">
        <f t="shared" si="13"/>
        <v>0</v>
      </c>
      <c r="V50" s="19">
        <f t="shared" si="13"/>
        <v>0</v>
      </c>
      <c r="W50" s="19">
        <f t="shared" si="13"/>
        <v>0</v>
      </c>
      <c r="X50" s="19">
        <f t="shared" si="13"/>
        <v>0</v>
      </c>
      <c r="Y50" s="19">
        <f t="shared" si="13"/>
        <v>0</v>
      </c>
      <c r="Z50" s="602">
        <f t="shared" si="2"/>
        <v>0</v>
      </c>
      <c r="AA50" s="86"/>
      <c r="AB50" s="86"/>
      <c r="AC50" s="86"/>
      <c r="AD50" s="86"/>
      <c r="AE50" s="86"/>
    </row>
    <row r="51" spans="1:31">
      <c r="A51" s="411"/>
      <c r="C51" s="336">
        <f>MAX(C45:C50)+1</f>
        <v>34</v>
      </c>
      <c r="D51" s="165" t="str">
        <f>Asset_Sum!E46</f>
        <v>370</v>
      </c>
      <c r="E51" s="247" t="str">
        <f>Asset_Sum!F46</f>
        <v>METERS</v>
      </c>
      <c r="F51" s="19">
        <f>Asset_Sum!G46</f>
        <v>13712709.589999998</v>
      </c>
      <c r="G51" s="906" t="s">
        <v>172</v>
      </c>
      <c r="H51" s="19">
        <f t="shared" si="12"/>
        <v>0</v>
      </c>
      <c r="I51" s="19">
        <f t="shared" si="12"/>
        <v>0</v>
      </c>
      <c r="J51" s="19">
        <f t="shared" si="12"/>
        <v>0</v>
      </c>
      <c r="K51" s="19">
        <f t="shared" si="12"/>
        <v>0</v>
      </c>
      <c r="L51" s="19">
        <f t="shared" si="12"/>
        <v>0</v>
      </c>
      <c r="M51" s="19">
        <f t="shared" si="12"/>
        <v>0</v>
      </c>
      <c r="N51" s="19">
        <f t="shared" si="12"/>
        <v>0</v>
      </c>
      <c r="O51" s="19">
        <f t="shared" si="12"/>
        <v>0</v>
      </c>
      <c r="P51" s="19">
        <f t="shared" si="12"/>
        <v>0</v>
      </c>
      <c r="Q51" s="1759">
        <f t="shared" si="12"/>
        <v>0</v>
      </c>
      <c r="R51" s="1759">
        <f t="shared" si="13"/>
        <v>0</v>
      </c>
      <c r="S51" s="1759">
        <f t="shared" si="13"/>
        <v>0</v>
      </c>
      <c r="T51" s="19">
        <f t="shared" si="13"/>
        <v>0</v>
      </c>
      <c r="U51" s="19">
        <f t="shared" si="13"/>
        <v>13712709.589999998</v>
      </c>
      <c r="V51" s="19">
        <f t="shared" si="13"/>
        <v>0</v>
      </c>
      <c r="W51" s="19">
        <f t="shared" si="13"/>
        <v>0</v>
      </c>
      <c r="X51" s="19">
        <f t="shared" si="13"/>
        <v>0</v>
      </c>
      <c r="Y51" s="19">
        <f t="shared" si="13"/>
        <v>0</v>
      </c>
      <c r="Z51" s="602">
        <f t="shared" si="2"/>
        <v>0</v>
      </c>
      <c r="AA51" s="86"/>
      <c r="AB51" s="86"/>
      <c r="AC51" s="86"/>
      <c r="AD51" s="86"/>
      <c r="AE51" s="86"/>
    </row>
    <row r="52" spans="1:31" hidden="1">
      <c r="A52" s="411"/>
      <c r="C52" s="336">
        <f>MAX(C46:C51)+1</f>
        <v>35</v>
      </c>
      <c r="D52" s="165" t="str">
        <f>Asset_Sum!E47</f>
        <v>370</v>
      </c>
      <c r="E52" s="247" t="str">
        <f>Asset_Sum!F47</f>
        <v>METER INVENTORY</v>
      </c>
      <c r="F52" s="19">
        <f>Asset_Sum!G47</f>
        <v>0</v>
      </c>
      <c r="G52" s="906" t="s">
        <v>172</v>
      </c>
      <c r="H52" s="19">
        <f t="shared" si="12"/>
        <v>0</v>
      </c>
      <c r="I52" s="19">
        <f t="shared" si="12"/>
        <v>0</v>
      </c>
      <c r="J52" s="19">
        <f t="shared" si="12"/>
        <v>0</v>
      </c>
      <c r="K52" s="19">
        <f t="shared" si="12"/>
        <v>0</v>
      </c>
      <c r="L52" s="19">
        <f t="shared" si="12"/>
        <v>0</v>
      </c>
      <c r="M52" s="19">
        <f t="shared" si="12"/>
        <v>0</v>
      </c>
      <c r="N52" s="19">
        <f t="shared" si="12"/>
        <v>0</v>
      </c>
      <c r="O52" s="19">
        <f t="shared" si="12"/>
        <v>0</v>
      </c>
      <c r="P52" s="19">
        <f t="shared" si="12"/>
        <v>0</v>
      </c>
      <c r="Q52" s="1759">
        <f t="shared" si="12"/>
        <v>0</v>
      </c>
      <c r="R52" s="1759">
        <f t="shared" si="13"/>
        <v>0</v>
      </c>
      <c r="S52" s="1759">
        <f t="shared" si="13"/>
        <v>0</v>
      </c>
      <c r="T52" s="19">
        <f t="shared" si="13"/>
        <v>0</v>
      </c>
      <c r="U52" s="19">
        <f t="shared" si="13"/>
        <v>0</v>
      </c>
      <c r="V52" s="19">
        <f t="shared" si="13"/>
        <v>0</v>
      </c>
      <c r="W52" s="19">
        <f t="shared" si="13"/>
        <v>0</v>
      </c>
      <c r="X52" s="19">
        <f t="shared" si="13"/>
        <v>0</v>
      </c>
      <c r="Y52" s="19">
        <f t="shared" si="13"/>
        <v>0</v>
      </c>
      <c r="Z52" s="602">
        <f t="shared" si="2"/>
        <v>0</v>
      </c>
      <c r="AA52" s="86"/>
      <c r="AB52" s="86"/>
      <c r="AC52" s="86"/>
      <c r="AD52" s="86"/>
      <c r="AE52" s="86"/>
    </row>
    <row r="53" spans="1:31">
      <c r="A53" s="411"/>
      <c r="C53" s="336">
        <f>MAX(C47:C52)+1</f>
        <v>36</v>
      </c>
      <c r="D53" s="165" t="str">
        <f>Asset_Sum!E48</f>
        <v>370</v>
      </c>
      <c r="E53" s="247" t="str">
        <f>Asset_Sum!F48</f>
        <v>NOC SOFTWARE/ HARDWARE</v>
      </c>
      <c r="F53" s="19">
        <f>Asset_Sum!G48</f>
        <v>5412282.4400000004</v>
      </c>
      <c r="G53" s="906" t="s">
        <v>1067</v>
      </c>
      <c r="H53" s="19">
        <f t="shared" si="12"/>
        <v>0</v>
      </c>
      <c r="I53" s="19">
        <f t="shared" si="12"/>
        <v>124708.20437780918</v>
      </c>
      <c r="J53" s="19">
        <f t="shared" si="12"/>
        <v>565091.53261363879</v>
      </c>
      <c r="K53" s="19">
        <f t="shared" si="12"/>
        <v>855811.25950724236</v>
      </c>
      <c r="L53" s="19">
        <f t="shared" si="12"/>
        <v>159277.98315624564</v>
      </c>
      <c r="M53" s="19">
        <f t="shared" si="12"/>
        <v>0</v>
      </c>
      <c r="N53" s="19">
        <f t="shared" si="12"/>
        <v>0</v>
      </c>
      <c r="O53" s="19">
        <f t="shared" si="12"/>
        <v>260420.94916451792</v>
      </c>
      <c r="P53" s="1759">
        <f t="shared" si="12"/>
        <v>161332.13757855652</v>
      </c>
      <c r="Q53" s="1759">
        <f t="shared" si="12"/>
        <v>1015274.4207826918</v>
      </c>
      <c r="R53" s="1759">
        <f t="shared" si="13"/>
        <v>119889.27450074276</v>
      </c>
      <c r="S53" s="1759">
        <f t="shared" si="13"/>
        <v>315499.53531998972</v>
      </c>
      <c r="T53" s="19">
        <f t="shared" si="13"/>
        <v>71343.177175398348</v>
      </c>
      <c r="U53" s="19">
        <f t="shared" si="13"/>
        <v>587980.20949765609</v>
      </c>
      <c r="V53" s="19">
        <f t="shared" si="13"/>
        <v>1092516.2673888372</v>
      </c>
      <c r="W53" s="19">
        <f t="shared" si="13"/>
        <v>23829.117189402343</v>
      </c>
      <c r="X53" s="19">
        <f t="shared" si="13"/>
        <v>59308.441464724958</v>
      </c>
      <c r="Y53" s="19">
        <f t="shared" si="13"/>
        <v>0</v>
      </c>
      <c r="Z53" s="602">
        <f>SUM(H53:Y53)-F53</f>
        <v>6.9717453792691231E-2</v>
      </c>
      <c r="AA53" s="86"/>
      <c r="AB53" s="86"/>
      <c r="AC53" s="86"/>
      <c r="AD53" s="86"/>
      <c r="AE53" s="86"/>
    </row>
    <row r="54" spans="1:31" ht="16.5" thickBot="1">
      <c r="A54" s="411"/>
      <c r="C54" s="336">
        <f t="shared" si="14"/>
        <v>37</v>
      </c>
      <c r="D54" s="165" t="str">
        <f>Asset_Sum!E49</f>
        <v>373</v>
      </c>
      <c r="E54" s="247" t="str">
        <f>Asset_Sum!F49</f>
        <v>ST LIGHT &amp; SIGNAL SYS</v>
      </c>
      <c r="F54" s="19">
        <f>Asset_Sum!G49</f>
        <v>6552663.4299999997</v>
      </c>
      <c r="G54" s="907" t="s">
        <v>468</v>
      </c>
      <c r="H54" s="19">
        <f t="shared" ref="H54:Y54" si="15">$F54*SUMIF($E$338:$E$359,$G54,H$338:H$359)</f>
        <v>0</v>
      </c>
      <c r="I54" s="19">
        <f t="shared" si="15"/>
        <v>0</v>
      </c>
      <c r="J54" s="19">
        <f t="shared" si="15"/>
        <v>0</v>
      </c>
      <c r="K54" s="19">
        <f t="shared" si="15"/>
        <v>0</v>
      </c>
      <c r="L54" s="19">
        <f t="shared" si="15"/>
        <v>0</v>
      </c>
      <c r="M54" s="19">
        <f t="shared" si="15"/>
        <v>0</v>
      </c>
      <c r="N54" s="19">
        <f t="shared" si="15"/>
        <v>0</v>
      </c>
      <c r="O54" s="19">
        <f t="shared" si="15"/>
        <v>0</v>
      </c>
      <c r="P54" s="19">
        <f t="shared" si="15"/>
        <v>0</v>
      </c>
      <c r="Q54" s="1759">
        <f t="shared" si="15"/>
        <v>0</v>
      </c>
      <c r="R54" s="1759">
        <f t="shared" si="15"/>
        <v>0</v>
      </c>
      <c r="S54" s="1759">
        <f t="shared" si="15"/>
        <v>0</v>
      </c>
      <c r="T54" s="19">
        <f t="shared" si="15"/>
        <v>0</v>
      </c>
      <c r="U54" s="19">
        <f t="shared" si="15"/>
        <v>0</v>
      </c>
      <c r="V54" s="19">
        <f t="shared" si="15"/>
        <v>0</v>
      </c>
      <c r="W54" s="19">
        <f t="shared" si="15"/>
        <v>6552663.4299999997</v>
      </c>
      <c r="X54" s="19">
        <f t="shared" si="15"/>
        <v>0</v>
      </c>
      <c r="Y54" s="19">
        <f t="shared" si="15"/>
        <v>0</v>
      </c>
      <c r="Z54" s="602">
        <f t="shared" si="2"/>
        <v>0</v>
      </c>
      <c r="AA54" s="86"/>
      <c r="AB54" s="86"/>
      <c r="AC54" s="86"/>
      <c r="AD54" s="86"/>
      <c r="AE54" s="86"/>
    </row>
    <row r="55" spans="1:31">
      <c r="A55" s="411"/>
      <c r="C55" s="336">
        <f t="shared" si="14"/>
        <v>38</v>
      </c>
      <c r="D55" s="165"/>
      <c r="E55" s="248" t="str">
        <f>Asset_Sum!F51</f>
        <v>Total Distribution</v>
      </c>
      <c r="F55" s="324">
        <f>SUM(F40:F54)</f>
        <v>502870470.88999987</v>
      </c>
      <c r="G55" s="165"/>
      <c r="H55" s="324">
        <f t="shared" ref="H55:P55" si="16">SUM(H40:H54)</f>
        <v>0</v>
      </c>
      <c r="I55" s="324">
        <f t="shared" si="16"/>
        <v>124708.20437780918</v>
      </c>
      <c r="J55" s="324">
        <f t="shared" si="16"/>
        <v>565091.53261363879</v>
      </c>
      <c r="K55" s="324">
        <f>SUM(K40:K54)</f>
        <v>81361044.648433387</v>
      </c>
      <c r="L55" s="324">
        <f t="shared" si="16"/>
        <v>47780421.564230055</v>
      </c>
      <c r="M55" s="324">
        <f>SUM(M40:M54)</f>
        <v>0</v>
      </c>
      <c r="N55" s="324">
        <f>SUM(N40:N54)</f>
        <v>0</v>
      </c>
      <c r="O55" s="324">
        <f>SUM(O40:O54)</f>
        <v>72011731.759164482</v>
      </c>
      <c r="P55" s="324">
        <f t="shared" si="16"/>
        <v>26535919.692542415</v>
      </c>
      <c r="Q55" s="1760">
        <f t="shared" ref="Q55:Y55" si="17">SUM(Q40:Q54)</f>
        <v>156904520.28504935</v>
      </c>
      <c r="R55" s="1760">
        <f t="shared" si="17"/>
        <v>21338263.047207274</v>
      </c>
      <c r="S55" s="1760">
        <f t="shared" si="17"/>
        <v>54483870.453382879</v>
      </c>
      <c r="T55" s="324">
        <f t="shared" si="17"/>
        <v>19735892.717175394</v>
      </c>
      <c r="U55" s="324">
        <f t="shared" si="17"/>
        <v>14300689.799497655</v>
      </c>
      <c r="V55" s="324">
        <f t="shared" si="17"/>
        <v>1092516.2673888372</v>
      </c>
      <c r="W55" s="324">
        <f t="shared" si="17"/>
        <v>6576492.5471894024</v>
      </c>
      <c r="X55" s="324">
        <f t="shared" si="17"/>
        <v>59308.441464724958</v>
      </c>
      <c r="Y55" s="324">
        <f t="shared" si="17"/>
        <v>0</v>
      </c>
      <c r="Z55" s="602">
        <f t="shared" si="2"/>
        <v>6.9717466831207275E-2</v>
      </c>
      <c r="AA55" s="86"/>
      <c r="AB55" s="86"/>
      <c r="AC55" s="86"/>
      <c r="AD55" s="86"/>
      <c r="AE55" s="86"/>
    </row>
    <row r="56" spans="1:31" s="3094" customFormat="1">
      <c r="A56" s="411"/>
      <c r="C56" s="336">
        <f t="shared" si="14"/>
        <v>39</v>
      </c>
      <c r="D56" s="165"/>
      <c r="E56" s="3150" t="str">
        <f>E55&amp;" less Labor"</f>
        <v>Total Distribution less Labor</v>
      </c>
      <c r="F56" s="3151">
        <f>SUM(F40:F51,F54)</f>
        <v>497458188.44999987</v>
      </c>
      <c r="G56" s="3152"/>
      <c r="H56" s="3151">
        <f t="shared" ref="H56:Y56" si="18">SUM(H40:H51,H54)</f>
        <v>0</v>
      </c>
      <c r="I56" s="3151">
        <f t="shared" si="18"/>
        <v>0</v>
      </c>
      <c r="J56" s="3151">
        <f t="shared" si="18"/>
        <v>0</v>
      </c>
      <c r="K56" s="3151">
        <f t="shared" si="18"/>
        <v>80505233.388926148</v>
      </c>
      <c r="L56" s="3151">
        <f t="shared" si="18"/>
        <v>47621143.581073806</v>
      </c>
      <c r="M56" s="3151">
        <f t="shared" si="18"/>
        <v>0</v>
      </c>
      <c r="N56" s="3151">
        <f t="shared" si="18"/>
        <v>0</v>
      </c>
      <c r="O56" s="3151">
        <f t="shared" si="18"/>
        <v>71751310.809999958</v>
      </c>
      <c r="P56" s="3151">
        <f t="shared" si="18"/>
        <v>26374587.554963857</v>
      </c>
      <c r="Q56" s="3151">
        <f t="shared" si="18"/>
        <v>155889245.86426666</v>
      </c>
      <c r="R56" s="3151">
        <f t="shared" si="18"/>
        <v>21218373.772706531</v>
      </c>
      <c r="S56" s="3151">
        <f t="shared" si="18"/>
        <v>54168370.918062888</v>
      </c>
      <c r="T56" s="3151">
        <f t="shared" si="18"/>
        <v>19664549.539999995</v>
      </c>
      <c r="U56" s="3151">
        <f t="shared" si="18"/>
        <v>13712709.589999998</v>
      </c>
      <c r="V56" s="3151">
        <f t="shared" si="18"/>
        <v>0</v>
      </c>
      <c r="W56" s="3151">
        <f t="shared" si="18"/>
        <v>6552663.4299999997</v>
      </c>
      <c r="X56" s="3151">
        <f t="shared" si="18"/>
        <v>0</v>
      </c>
      <c r="Y56" s="3151">
        <f t="shared" si="18"/>
        <v>0</v>
      </c>
      <c r="Z56" s="3153">
        <f t="shared" si="2"/>
        <v>0</v>
      </c>
      <c r="AA56" s="86"/>
      <c r="AB56" s="86"/>
      <c r="AC56" s="86"/>
      <c r="AD56" s="86"/>
      <c r="AE56" s="86"/>
    </row>
    <row r="57" spans="1:31">
      <c r="A57" s="411"/>
      <c r="C57" s="336"/>
      <c r="D57" s="165"/>
      <c r="E57" s="248"/>
      <c r="F57" s="279"/>
      <c r="G57" s="165"/>
      <c r="H57" s="279"/>
      <c r="I57" s="279"/>
      <c r="J57" s="279"/>
      <c r="K57" s="279"/>
      <c r="L57" s="279"/>
      <c r="M57" s="279"/>
      <c r="N57" s="279"/>
      <c r="O57" s="279"/>
      <c r="P57" s="279"/>
      <c r="Q57" s="1758"/>
      <c r="R57" s="1758"/>
      <c r="S57" s="1758"/>
      <c r="T57" s="279"/>
      <c r="U57" s="279"/>
      <c r="V57" s="279"/>
      <c r="W57" s="279"/>
      <c r="X57" s="279"/>
      <c r="Y57" s="279"/>
      <c r="Z57" s="602">
        <f t="shared" si="2"/>
        <v>0</v>
      </c>
      <c r="AA57" s="86"/>
      <c r="AB57" s="86"/>
      <c r="AC57" s="86"/>
      <c r="AD57" s="86"/>
      <c r="AE57" s="86"/>
    </row>
    <row r="58" spans="1:31">
      <c r="A58" s="411"/>
      <c r="C58" s="336">
        <f>MAX(C55:C57)+1</f>
        <v>40</v>
      </c>
      <c r="D58" s="165"/>
      <c r="E58" s="206" t="s">
        <v>722</v>
      </c>
      <c r="F58" s="256">
        <f>SUM(F22,F36,F55)</f>
        <v>733389172.93999982</v>
      </c>
      <c r="G58" s="165"/>
      <c r="H58" s="256">
        <f t="shared" ref="H58:Y58" si="19">SUM(H22,H36,H55)</f>
        <v>0</v>
      </c>
      <c r="I58" s="256">
        <f t="shared" si="19"/>
        <v>34496208.657131381</v>
      </c>
      <c r="J58" s="256">
        <f t="shared" si="19"/>
        <v>192152934.83443987</v>
      </c>
      <c r="K58" s="256">
        <f t="shared" si="19"/>
        <v>82187294.401103213</v>
      </c>
      <c r="L58" s="256">
        <f t="shared" si="19"/>
        <v>47934197.753461741</v>
      </c>
      <c r="M58" s="256">
        <f t="shared" si="19"/>
        <v>0</v>
      </c>
      <c r="N58" s="256">
        <f t="shared" si="19"/>
        <v>0</v>
      </c>
      <c r="O58" s="256">
        <f t="shared" si="19"/>
        <v>72263157.225290179</v>
      </c>
      <c r="P58" s="256">
        <f t="shared" si="19"/>
        <v>26691679.081415996</v>
      </c>
      <c r="Q58" s="256">
        <f t="shared" si="19"/>
        <v>157884725.00863138</v>
      </c>
      <c r="R58" s="256">
        <f t="shared" si="19"/>
        <v>21454011.095978025</v>
      </c>
      <c r="S58" s="256">
        <f t="shared" si="19"/>
        <v>54788471.976358496</v>
      </c>
      <c r="T58" s="256">
        <f t="shared" si="19"/>
        <v>19804771.552129954</v>
      </c>
      <c r="U58" s="256">
        <f t="shared" si="19"/>
        <v>14868359.945543539</v>
      </c>
      <c r="V58" s="256">
        <f t="shared" si="19"/>
        <v>2147294.7430045176</v>
      </c>
      <c r="W58" s="256">
        <f t="shared" si="19"/>
        <v>6599498.5569437267</v>
      </c>
      <c r="X58" s="256">
        <f t="shared" si="19"/>
        <v>116568.2455945244</v>
      </c>
      <c r="Y58" s="256">
        <f t="shared" si="19"/>
        <v>0</v>
      </c>
      <c r="Z58" s="602">
        <f>SUM(H58:Y58)-F$58</f>
        <v>0.13702678680419922</v>
      </c>
      <c r="AA58" s="86"/>
      <c r="AB58" s="86"/>
      <c r="AC58" s="86"/>
      <c r="AD58" s="86"/>
      <c r="AE58" s="86"/>
    </row>
    <row r="59" spans="1:31" ht="31.5">
      <c r="A59" s="411"/>
      <c r="C59" s="336"/>
      <c r="D59" s="165"/>
      <c r="E59" s="3138" t="str">
        <f>E58&amp;" less Labor"</f>
        <v>Total Plant Before General Plant less Labor</v>
      </c>
      <c r="F59" s="256">
        <f>SUM(F23,F37,F56)</f>
        <v>722751559.58999991</v>
      </c>
      <c r="G59" s="165"/>
      <c r="H59" s="256">
        <f t="shared" ref="H59:Y59" si="20">SUM(H23,H37,H56)</f>
        <v>0</v>
      </c>
      <c r="I59" s="256">
        <f t="shared" si="20"/>
        <v>34251099.930000007</v>
      </c>
      <c r="J59" s="256">
        <f t="shared" si="20"/>
        <v>191042271.20999998</v>
      </c>
      <c r="K59" s="256">
        <f t="shared" si="20"/>
        <v>80505233.388926148</v>
      </c>
      <c r="L59" s="256">
        <f t="shared" si="20"/>
        <v>47621143.581073806</v>
      </c>
      <c r="M59" s="256">
        <f t="shared" si="20"/>
        <v>0</v>
      </c>
      <c r="N59" s="256">
        <f t="shared" si="20"/>
        <v>0</v>
      </c>
      <c r="O59" s="256">
        <f t="shared" si="20"/>
        <v>71751310.809999958</v>
      </c>
      <c r="P59" s="256">
        <f t="shared" si="20"/>
        <v>26374587.554963857</v>
      </c>
      <c r="Q59" s="256">
        <f t="shared" si="20"/>
        <v>155889245.86426666</v>
      </c>
      <c r="R59" s="256">
        <f t="shared" si="20"/>
        <v>21218373.772706531</v>
      </c>
      <c r="S59" s="256">
        <f t="shared" si="20"/>
        <v>54168370.918062888</v>
      </c>
      <c r="T59" s="256">
        <f t="shared" si="20"/>
        <v>19664549.539999995</v>
      </c>
      <c r="U59" s="256">
        <f t="shared" si="20"/>
        <v>13712709.589999998</v>
      </c>
      <c r="V59" s="256">
        <f t="shared" si="20"/>
        <v>0</v>
      </c>
      <c r="W59" s="256">
        <f t="shared" si="20"/>
        <v>6552663.4299999997</v>
      </c>
      <c r="X59" s="256">
        <f t="shared" si="20"/>
        <v>0</v>
      </c>
      <c r="Y59" s="256">
        <f t="shared" si="20"/>
        <v>0</v>
      </c>
      <c r="Z59" s="602">
        <f t="shared" si="2"/>
        <v>0</v>
      </c>
      <c r="AA59" s="86"/>
      <c r="AB59" s="86"/>
      <c r="AC59" s="86"/>
      <c r="AD59" s="86"/>
      <c r="AE59" s="86"/>
    </row>
    <row r="60" spans="1:31" s="3094" customFormat="1">
      <c r="A60" s="411"/>
      <c r="C60" s="336"/>
      <c r="D60" s="165"/>
      <c r="E60" s="206"/>
      <c r="F60" s="313"/>
      <c r="G60" s="165"/>
      <c r="H60" s="313"/>
      <c r="I60" s="313"/>
      <c r="J60" s="313"/>
      <c r="K60" s="313"/>
      <c r="L60" s="313"/>
      <c r="M60" s="313"/>
      <c r="N60" s="313"/>
      <c r="O60" s="313"/>
      <c r="P60" s="313"/>
      <c r="Q60" s="1761"/>
      <c r="R60" s="1761"/>
      <c r="S60" s="1761"/>
      <c r="T60" s="313"/>
      <c r="U60" s="313"/>
      <c r="V60" s="313"/>
      <c r="W60" s="313"/>
      <c r="X60" s="313"/>
      <c r="Y60" s="313"/>
      <c r="Z60" s="602"/>
      <c r="AA60" s="86"/>
      <c r="AB60" s="86"/>
      <c r="AC60" s="86"/>
      <c r="AD60" s="86"/>
      <c r="AE60" s="86"/>
    </row>
    <row r="61" spans="1:31" ht="16.5" thickBot="1">
      <c r="A61" s="411"/>
      <c r="C61" s="336">
        <f>MAX(C55:C59)+1</f>
        <v>41</v>
      </c>
      <c r="D61" s="165"/>
      <c r="E61" s="206" t="str">
        <f>Asset_Sum!F53</f>
        <v>Electric General Plant:</v>
      </c>
      <c r="F61" s="313"/>
      <c r="G61" s="165"/>
      <c r="H61" s="313"/>
      <c r="I61" s="313"/>
      <c r="J61" s="313"/>
      <c r="K61" s="313"/>
      <c r="L61" s="313"/>
      <c r="M61" s="313"/>
      <c r="N61" s="313"/>
      <c r="O61" s="313"/>
      <c r="P61" s="313"/>
      <c r="Q61" s="1761"/>
      <c r="R61" s="1761"/>
      <c r="S61" s="1761"/>
      <c r="T61" s="313"/>
      <c r="U61" s="313"/>
      <c r="V61" s="313"/>
      <c r="W61" s="313"/>
      <c r="X61" s="313"/>
      <c r="Y61" s="313"/>
      <c r="Z61" s="602">
        <f t="shared" si="2"/>
        <v>0</v>
      </c>
      <c r="AA61" s="86"/>
      <c r="AB61" s="86"/>
      <c r="AC61" s="86"/>
      <c r="AD61" s="86"/>
      <c r="AE61" s="86"/>
    </row>
    <row r="62" spans="1:31">
      <c r="A62" s="411"/>
      <c r="C62" s="336">
        <f>MAX(C57:C61)+1</f>
        <v>42</v>
      </c>
      <c r="D62" s="165" t="str">
        <f>Asset_Sum!E54</f>
        <v>389</v>
      </c>
      <c r="E62" s="247" t="str">
        <f>Asset_Sum!F54</f>
        <v>LAND</v>
      </c>
      <c r="F62" s="279">
        <f>Asset_Sum!G54</f>
        <v>1068236.8500000001</v>
      </c>
      <c r="G62" s="905" t="s">
        <v>1067</v>
      </c>
      <c r="H62" s="279">
        <f t="shared" ref="H62:Q71" si="21">$F62*SUMIF($E$338:$E$359,$G62,H$338:H$359)</f>
        <v>0</v>
      </c>
      <c r="I62" s="279">
        <f t="shared" si="21"/>
        <v>24613.996200410242</v>
      </c>
      <c r="J62" s="279">
        <f t="shared" si="21"/>
        <v>111533.64693230345</v>
      </c>
      <c r="K62" s="279">
        <f t="shared" si="21"/>
        <v>168913.7871471743</v>
      </c>
      <c r="L62" s="279">
        <f t="shared" si="21"/>
        <v>31437.127106245571</v>
      </c>
      <c r="M62" s="279">
        <f t="shared" si="21"/>
        <v>0</v>
      </c>
      <c r="N62" s="279">
        <f t="shared" si="21"/>
        <v>0</v>
      </c>
      <c r="O62" s="279">
        <f t="shared" si="21"/>
        <v>51399.988358611001</v>
      </c>
      <c r="P62" s="279">
        <f t="shared" si="21"/>
        <v>31842.561130398779</v>
      </c>
      <c r="Q62" s="1758">
        <f t="shared" si="21"/>
        <v>200387.46336055535</v>
      </c>
      <c r="R62" s="1758">
        <f t="shared" ref="R62:Y71" si="22">$F62*SUMIF($E$338:$E$359,$G62,R$338:R$359)</f>
        <v>23662.870953471298</v>
      </c>
      <c r="S62" s="1758">
        <f t="shared" si="22"/>
        <v>62270.998145966965</v>
      </c>
      <c r="T62" s="279">
        <f t="shared" si="22"/>
        <v>14081.19618658324</v>
      </c>
      <c r="U62" s="279">
        <f t="shared" si="22"/>
        <v>116051.24710677817</v>
      </c>
      <c r="V62" s="279">
        <f t="shared" si="22"/>
        <v>215632.89591538926</v>
      </c>
      <c r="W62" s="279">
        <f t="shared" si="22"/>
        <v>4703.2174257129145</v>
      </c>
      <c r="X62" s="279">
        <f t="shared" si="22"/>
        <v>11705.867790722166</v>
      </c>
      <c r="Y62" s="279">
        <f t="shared" si="22"/>
        <v>0</v>
      </c>
      <c r="Z62" s="602">
        <f t="shared" si="2"/>
        <v>1.3760322472080588E-2</v>
      </c>
      <c r="AA62" s="86"/>
      <c r="AB62" s="86"/>
      <c r="AC62" s="86"/>
      <c r="AD62" s="86"/>
      <c r="AE62" s="86"/>
    </row>
    <row r="63" spans="1:31" hidden="1">
      <c r="A63" s="411"/>
      <c r="C63" s="336">
        <f>MAX(C55:C61)+1</f>
        <v>42</v>
      </c>
      <c r="D63" s="165" t="str">
        <f>Asset_Sum!E55</f>
        <v>389</v>
      </c>
      <c r="E63" s="247" t="str">
        <f>Asset_Sum!F55</f>
        <v>LAND, EPHRATA OFFICE SITE</v>
      </c>
      <c r="F63" s="574">
        <f>Asset_Sum!G55</f>
        <v>0</v>
      </c>
      <c r="G63" s="906" t="s">
        <v>1067</v>
      </c>
      <c r="H63" s="19">
        <f t="shared" si="21"/>
        <v>0</v>
      </c>
      <c r="I63" s="19">
        <f t="shared" si="21"/>
        <v>0</v>
      </c>
      <c r="J63" s="19">
        <f t="shared" si="21"/>
        <v>0</v>
      </c>
      <c r="K63" s="19">
        <f t="shared" si="21"/>
        <v>0</v>
      </c>
      <c r="L63" s="19">
        <f t="shared" si="21"/>
        <v>0</v>
      </c>
      <c r="M63" s="19">
        <f t="shared" si="21"/>
        <v>0</v>
      </c>
      <c r="N63" s="19">
        <f t="shared" si="21"/>
        <v>0</v>
      </c>
      <c r="O63" s="19">
        <f t="shared" si="21"/>
        <v>0</v>
      </c>
      <c r="P63" s="19">
        <f t="shared" si="21"/>
        <v>0</v>
      </c>
      <c r="Q63" s="1759">
        <f t="shared" si="21"/>
        <v>0</v>
      </c>
      <c r="R63" s="1759">
        <f t="shared" si="22"/>
        <v>0</v>
      </c>
      <c r="S63" s="1759">
        <f t="shared" si="22"/>
        <v>0</v>
      </c>
      <c r="T63" s="19">
        <f t="shared" si="22"/>
        <v>0</v>
      </c>
      <c r="U63" s="19">
        <f t="shared" si="22"/>
        <v>0</v>
      </c>
      <c r="V63" s="19">
        <f t="shared" si="22"/>
        <v>0</v>
      </c>
      <c r="W63" s="19">
        <f t="shared" si="22"/>
        <v>0</v>
      </c>
      <c r="X63" s="19">
        <f t="shared" si="22"/>
        <v>0</v>
      </c>
      <c r="Y63" s="19">
        <f t="shared" si="22"/>
        <v>0</v>
      </c>
      <c r="Z63" s="602">
        <f t="shared" si="2"/>
        <v>0</v>
      </c>
      <c r="AA63" s="86"/>
      <c r="AB63" s="86"/>
      <c r="AC63" s="86"/>
      <c r="AD63" s="86"/>
      <c r="AE63" s="86"/>
    </row>
    <row r="64" spans="1:31" hidden="1">
      <c r="A64" s="411"/>
      <c r="C64" s="336">
        <f>MAX(C57:C63)+1</f>
        <v>43</v>
      </c>
      <c r="D64" s="165" t="str">
        <f>Asset_Sum!E56</f>
        <v>389</v>
      </c>
      <c r="E64" s="247" t="str">
        <f>Asset_Sum!F56</f>
        <v>LAND, EPHRATA WHSE SITE</v>
      </c>
      <c r="F64" s="574">
        <f>Asset_Sum!G56</f>
        <v>0</v>
      </c>
      <c r="G64" s="906" t="s">
        <v>1038</v>
      </c>
      <c r="H64" s="19">
        <f t="shared" si="21"/>
        <v>0</v>
      </c>
      <c r="I64" s="19">
        <f t="shared" si="21"/>
        <v>0</v>
      </c>
      <c r="J64" s="19">
        <f t="shared" si="21"/>
        <v>0</v>
      </c>
      <c r="K64" s="19">
        <f t="shared" si="21"/>
        <v>0</v>
      </c>
      <c r="L64" s="19">
        <f t="shared" si="21"/>
        <v>0</v>
      </c>
      <c r="M64" s="19">
        <f t="shared" si="21"/>
        <v>0</v>
      </c>
      <c r="N64" s="19">
        <f t="shared" si="21"/>
        <v>0</v>
      </c>
      <c r="O64" s="19">
        <f t="shared" si="21"/>
        <v>0</v>
      </c>
      <c r="P64" s="19">
        <f t="shared" si="21"/>
        <v>0</v>
      </c>
      <c r="Q64" s="1759">
        <f t="shared" si="21"/>
        <v>0</v>
      </c>
      <c r="R64" s="1759">
        <f t="shared" si="22"/>
        <v>0</v>
      </c>
      <c r="S64" s="1759">
        <f t="shared" si="22"/>
        <v>0</v>
      </c>
      <c r="T64" s="19">
        <f t="shared" si="22"/>
        <v>0</v>
      </c>
      <c r="U64" s="19">
        <f t="shared" si="22"/>
        <v>0</v>
      </c>
      <c r="V64" s="19">
        <f t="shared" si="22"/>
        <v>0</v>
      </c>
      <c r="W64" s="19">
        <f t="shared" si="22"/>
        <v>0</v>
      </c>
      <c r="X64" s="19">
        <f t="shared" si="22"/>
        <v>0</v>
      </c>
      <c r="Y64" s="19">
        <f t="shared" si="22"/>
        <v>0</v>
      </c>
      <c r="Z64" s="602">
        <f t="shared" si="2"/>
        <v>0</v>
      </c>
      <c r="AA64" s="86"/>
      <c r="AB64" s="86"/>
      <c r="AC64" s="86"/>
      <c r="AD64" s="86"/>
      <c r="AE64" s="86"/>
    </row>
    <row r="65" spans="1:31" hidden="1">
      <c r="A65" s="411"/>
      <c r="C65" s="336">
        <f>MAX(C58:C64)+1</f>
        <v>44</v>
      </c>
      <c r="D65" s="165" t="str">
        <f>Asset_Sum!E57</f>
        <v>389</v>
      </c>
      <c r="E65" s="247" t="str">
        <f>Asset_Sum!F57</f>
        <v>LAND, EPHRATA SVC CENTER</v>
      </c>
      <c r="F65" s="574">
        <f>Asset_Sum!G57</f>
        <v>0</v>
      </c>
      <c r="G65" s="906" t="s">
        <v>1038</v>
      </c>
      <c r="H65" s="19">
        <f t="shared" si="21"/>
        <v>0</v>
      </c>
      <c r="I65" s="19">
        <f t="shared" si="21"/>
        <v>0</v>
      </c>
      <c r="J65" s="19">
        <f t="shared" si="21"/>
        <v>0</v>
      </c>
      <c r="K65" s="19">
        <f t="shared" si="21"/>
        <v>0</v>
      </c>
      <c r="L65" s="19">
        <f t="shared" si="21"/>
        <v>0</v>
      </c>
      <c r="M65" s="19">
        <f t="shared" si="21"/>
        <v>0</v>
      </c>
      <c r="N65" s="19">
        <f t="shared" si="21"/>
        <v>0</v>
      </c>
      <c r="O65" s="19">
        <f t="shared" si="21"/>
        <v>0</v>
      </c>
      <c r="P65" s="19">
        <f t="shared" si="21"/>
        <v>0</v>
      </c>
      <c r="Q65" s="1759">
        <f t="shared" si="21"/>
        <v>0</v>
      </c>
      <c r="R65" s="1759">
        <f t="shared" si="22"/>
        <v>0</v>
      </c>
      <c r="S65" s="1759">
        <f t="shared" si="22"/>
        <v>0</v>
      </c>
      <c r="T65" s="19">
        <f t="shared" si="22"/>
        <v>0</v>
      </c>
      <c r="U65" s="19">
        <f t="shared" si="22"/>
        <v>0</v>
      </c>
      <c r="V65" s="19">
        <f t="shared" si="22"/>
        <v>0</v>
      </c>
      <c r="W65" s="19">
        <f t="shared" si="22"/>
        <v>0</v>
      </c>
      <c r="X65" s="19">
        <f t="shared" si="22"/>
        <v>0</v>
      </c>
      <c r="Y65" s="19">
        <f t="shared" si="22"/>
        <v>0</v>
      </c>
      <c r="Z65" s="602">
        <f t="shared" si="2"/>
        <v>0</v>
      </c>
      <c r="AA65" s="86"/>
      <c r="AB65" s="86"/>
      <c r="AC65" s="86"/>
      <c r="AD65" s="86"/>
      <c r="AE65" s="86"/>
    </row>
    <row r="66" spans="1:31" hidden="1">
      <c r="A66" s="411"/>
      <c r="C66" s="336">
        <f>MAX(C59:C65)+1</f>
        <v>45</v>
      </c>
      <c r="D66" s="165" t="str">
        <f>Asset_Sum!E58</f>
        <v>389</v>
      </c>
      <c r="E66" s="247" t="str">
        <f>Asset_Sum!F58</f>
        <v>LAND, MOSES LAKE OFFICE SITE</v>
      </c>
      <c r="F66" s="574">
        <f>Asset_Sum!G58</f>
        <v>0</v>
      </c>
      <c r="G66" s="906" t="s">
        <v>1067</v>
      </c>
      <c r="H66" s="19">
        <f t="shared" si="21"/>
        <v>0</v>
      </c>
      <c r="I66" s="19">
        <f t="shared" si="21"/>
        <v>0</v>
      </c>
      <c r="J66" s="19">
        <f t="shared" si="21"/>
        <v>0</v>
      </c>
      <c r="K66" s="19">
        <f t="shared" si="21"/>
        <v>0</v>
      </c>
      <c r="L66" s="19">
        <f t="shared" si="21"/>
        <v>0</v>
      </c>
      <c r="M66" s="19">
        <f t="shared" si="21"/>
        <v>0</v>
      </c>
      <c r="N66" s="19">
        <f t="shared" si="21"/>
        <v>0</v>
      </c>
      <c r="O66" s="19">
        <f t="shared" si="21"/>
        <v>0</v>
      </c>
      <c r="P66" s="19">
        <f t="shared" si="21"/>
        <v>0</v>
      </c>
      <c r="Q66" s="1759">
        <f t="shared" si="21"/>
        <v>0</v>
      </c>
      <c r="R66" s="1759">
        <f t="shared" si="22"/>
        <v>0</v>
      </c>
      <c r="S66" s="1759">
        <f t="shared" si="22"/>
        <v>0</v>
      </c>
      <c r="T66" s="19">
        <f t="shared" si="22"/>
        <v>0</v>
      </c>
      <c r="U66" s="19">
        <f t="shared" si="22"/>
        <v>0</v>
      </c>
      <c r="V66" s="19">
        <f t="shared" si="22"/>
        <v>0</v>
      </c>
      <c r="W66" s="19">
        <f t="shared" si="22"/>
        <v>0</v>
      </c>
      <c r="X66" s="19">
        <f t="shared" si="22"/>
        <v>0</v>
      </c>
      <c r="Y66" s="19">
        <f t="shared" si="22"/>
        <v>0</v>
      </c>
      <c r="Z66" s="602">
        <f t="shared" si="2"/>
        <v>0</v>
      </c>
      <c r="AA66" s="86"/>
      <c r="AB66" s="86"/>
      <c r="AC66" s="86"/>
      <c r="AD66" s="86"/>
      <c r="AE66" s="86"/>
    </row>
    <row r="67" spans="1:31" hidden="1">
      <c r="A67" s="411"/>
      <c r="C67" s="336">
        <f>MAX(C61:C66)+1</f>
        <v>46</v>
      </c>
      <c r="D67" s="165" t="str">
        <f>Asset_Sum!E59</f>
        <v>389</v>
      </c>
      <c r="E67" s="247" t="str">
        <f>Asset_Sum!F59</f>
        <v>LAND, MOSE LAKE WHSE SITE</v>
      </c>
      <c r="F67" s="574">
        <f>Asset_Sum!G59</f>
        <v>0</v>
      </c>
      <c r="G67" s="906" t="s">
        <v>1038</v>
      </c>
      <c r="H67" s="19">
        <f t="shared" si="21"/>
        <v>0</v>
      </c>
      <c r="I67" s="19">
        <f t="shared" si="21"/>
        <v>0</v>
      </c>
      <c r="J67" s="19">
        <f t="shared" si="21"/>
        <v>0</v>
      </c>
      <c r="K67" s="19">
        <f t="shared" si="21"/>
        <v>0</v>
      </c>
      <c r="L67" s="19">
        <f t="shared" si="21"/>
        <v>0</v>
      </c>
      <c r="M67" s="19">
        <f t="shared" si="21"/>
        <v>0</v>
      </c>
      <c r="N67" s="19">
        <f t="shared" si="21"/>
        <v>0</v>
      </c>
      <c r="O67" s="19">
        <f t="shared" si="21"/>
        <v>0</v>
      </c>
      <c r="P67" s="19">
        <f t="shared" si="21"/>
        <v>0</v>
      </c>
      <c r="Q67" s="1759">
        <f t="shared" si="21"/>
        <v>0</v>
      </c>
      <c r="R67" s="1759">
        <f t="shared" si="22"/>
        <v>0</v>
      </c>
      <c r="S67" s="1759">
        <f t="shared" si="22"/>
        <v>0</v>
      </c>
      <c r="T67" s="19">
        <f t="shared" si="22"/>
        <v>0</v>
      </c>
      <c r="U67" s="19">
        <f t="shared" si="22"/>
        <v>0</v>
      </c>
      <c r="V67" s="19">
        <f t="shared" si="22"/>
        <v>0</v>
      </c>
      <c r="W67" s="19">
        <f t="shared" si="22"/>
        <v>0</v>
      </c>
      <c r="X67" s="19">
        <f t="shared" si="22"/>
        <v>0</v>
      </c>
      <c r="Y67" s="19">
        <f t="shared" si="22"/>
        <v>0</v>
      </c>
      <c r="Z67" s="602">
        <f t="shared" si="2"/>
        <v>0</v>
      </c>
      <c r="AA67" s="86"/>
      <c r="AB67" s="86"/>
      <c r="AC67" s="86"/>
      <c r="AD67" s="86"/>
      <c r="AE67" s="86"/>
    </row>
    <row r="68" spans="1:31" hidden="1">
      <c r="A68" s="411"/>
      <c r="C68" s="336">
        <f t="shared" ref="C68:C133" si="23">MAX(C63:C67)+1</f>
        <v>47</v>
      </c>
      <c r="D68" s="165" t="str">
        <f>Asset_Sum!E60</f>
        <v>389</v>
      </c>
      <c r="E68" s="247" t="str">
        <f>Asset_Sum!F60</f>
        <v>LAND, QUINCY OFFICE SITE</v>
      </c>
      <c r="F68" s="574">
        <f>Asset_Sum!G60</f>
        <v>0</v>
      </c>
      <c r="G68" s="906" t="s">
        <v>1067</v>
      </c>
      <c r="H68" s="19">
        <f t="shared" si="21"/>
        <v>0</v>
      </c>
      <c r="I68" s="19">
        <f t="shared" si="21"/>
        <v>0</v>
      </c>
      <c r="J68" s="19">
        <f t="shared" si="21"/>
        <v>0</v>
      </c>
      <c r="K68" s="19">
        <f t="shared" si="21"/>
        <v>0</v>
      </c>
      <c r="L68" s="19">
        <f t="shared" si="21"/>
        <v>0</v>
      </c>
      <c r="M68" s="19">
        <f t="shared" si="21"/>
        <v>0</v>
      </c>
      <c r="N68" s="19">
        <f t="shared" si="21"/>
        <v>0</v>
      </c>
      <c r="O68" s="19">
        <f t="shared" si="21"/>
        <v>0</v>
      </c>
      <c r="P68" s="19">
        <f t="shared" si="21"/>
        <v>0</v>
      </c>
      <c r="Q68" s="1759">
        <f t="shared" si="21"/>
        <v>0</v>
      </c>
      <c r="R68" s="1759">
        <f t="shared" si="22"/>
        <v>0</v>
      </c>
      <c r="S68" s="1759">
        <f t="shared" si="22"/>
        <v>0</v>
      </c>
      <c r="T68" s="19">
        <f t="shared" si="22"/>
        <v>0</v>
      </c>
      <c r="U68" s="19">
        <f t="shared" si="22"/>
        <v>0</v>
      </c>
      <c r="V68" s="19">
        <f t="shared" si="22"/>
        <v>0</v>
      </c>
      <c r="W68" s="19">
        <f t="shared" si="22"/>
        <v>0</v>
      </c>
      <c r="X68" s="19">
        <f t="shared" si="22"/>
        <v>0</v>
      </c>
      <c r="Y68" s="19">
        <f t="shared" si="22"/>
        <v>0</v>
      </c>
      <c r="Z68" s="602">
        <f t="shared" si="2"/>
        <v>0</v>
      </c>
      <c r="AA68" s="86"/>
      <c r="AB68" s="86"/>
      <c r="AC68" s="86"/>
      <c r="AD68" s="86"/>
      <c r="AE68" s="86"/>
    </row>
    <row r="69" spans="1:31" hidden="1">
      <c r="A69" s="411"/>
      <c r="C69" s="336">
        <f t="shared" si="23"/>
        <v>48</v>
      </c>
      <c r="D69" s="165" t="str">
        <f>Asset_Sum!E61</f>
        <v>389</v>
      </c>
      <c r="E69" s="247" t="str">
        <f>Asset_Sum!F61</f>
        <v>LAND, GRD COULEE WHSE SITE</v>
      </c>
      <c r="F69" s="574">
        <f>Asset_Sum!G61</f>
        <v>0</v>
      </c>
      <c r="G69" s="906" t="s">
        <v>1038</v>
      </c>
      <c r="H69" s="19">
        <f t="shared" si="21"/>
        <v>0</v>
      </c>
      <c r="I69" s="19">
        <f t="shared" si="21"/>
        <v>0</v>
      </c>
      <c r="J69" s="19">
        <f t="shared" si="21"/>
        <v>0</v>
      </c>
      <c r="K69" s="19">
        <f t="shared" si="21"/>
        <v>0</v>
      </c>
      <c r="L69" s="19">
        <f t="shared" si="21"/>
        <v>0</v>
      </c>
      <c r="M69" s="19">
        <f t="shared" si="21"/>
        <v>0</v>
      </c>
      <c r="N69" s="19">
        <f t="shared" si="21"/>
        <v>0</v>
      </c>
      <c r="O69" s="19">
        <f t="shared" si="21"/>
        <v>0</v>
      </c>
      <c r="P69" s="19">
        <f t="shared" si="21"/>
        <v>0</v>
      </c>
      <c r="Q69" s="1759">
        <f t="shared" si="21"/>
        <v>0</v>
      </c>
      <c r="R69" s="1759">
        <f t="shared" si="22"/>
        <v>0</v>
      </c>
      <c r="S69" s="1759">
        <f t="shared" si="22"/>
        <v>0</v>
      </c>
      <c r="T69" s="19">
        <f t="shared" si="22"/>
        <v>0</v>
      </c>
      <c r="U69" s="19">
        <f t="shared" si="22"/>
        <v>0</v>
      </c>
      <c r="V69" s="19">
        <f t="shared" si="22"/>
        <v>0</v>
      </c>
      <c r="W69" s="19">
        <f t="shared" si="22"/>
        <v>0</v>
      </c>
      <c r="X69" s="19">
        <f t="shared" si="22"/>
        <v>0</v>
      </c>
      <c r="Y69" s="19">
        <f t="shared" si="22"/>
        <v>0</v>
      </c>
      <c r="Z69" s="602">
        <f t="shared" si="2"/>
        <v>0</v>
      </c>
      <c r="AA69" s="86"/>
      <c r="AB69" s="86"/>
      <c r="AC69" s="86"/>
      <c r="AD69" s="86"/>
      <c r="AE69" s="86"/>
    </row>
    <row r="70" spans="1:31" hidden="1">
      <c r="A70" s="411"/>
      <c r="C70" s="336">
        <f t="shared" si="23"/>
        <v>49</v>
      </c>
      <c r="D70" s="165" t="str">
        <f>Asset_Sum!E62</f>
        <v>389</v>
      </c>
      <c r="E70" s="247" t="str">
        <f>Asset_Sum!F62</f>
        <v>LAND, GRD COULEE OFFICE SITE</v>
      </c>
      <c r="F70" s="574">
        <f>Asset_Sum!G62</f>
        <v>0</v>
      </c>
      <c r="G70" s="906" t="s">
        <v>1067</v>
      </c>
      <c r="H70" s="19">
        <f t="shared" si="21"/>
        <v>0</v>
      </c>
      <c r="I70" s="19">
        <f t="shared" si="21"/>
        <v>0</v>
      </c>
      <c r="J70" s="19">
        <f t="shared" si="21"/>
        <v>0</v>
      </c>
      <c r="K70" s="19">
        <f t="shared" si="21"/>
        <v>0</v>
      </c>
      <c r="L70" s="19">
        <f t="shared" si="21"/>
        <v>0</v>
      </c>
      <c r="M70" s="19">
        <f t="shared" si="21"/>
        <v>0</v>
      </c>
      <c r="N70" s="19">
        <f t="shared" si="21"/>
        <v>0</v>
      </c>
      <c r="O70" s="19">
        <f t="shared" si="21"/>
        <v>0</v>
      </c>
      <c r="P70" s="19">
        <f t="shared" si="21"/>
        <v>0</v>
      </c>
      <c r="Q70" s="1759">
        <f t="shared" si="21"/>
        <v>0</v>
      </c>
      <c r="R70" s="1759">
        <f t="shared" si="22"/>
        <v>0</v>
      </c>
      <c r="S70" s="1759">
        <f t="shared" si="22"/>
        <v>0</v>
      </c>
      <c r="T70" s="19">
        <f t="shared" si="22"/>
        <v>0</v>
      </c>
      <c r="U70" s="19">
        <f t="shared" si="22"/>
        <v>0</v>
      </c>
      <c r="V70" s="19">
        <f t="shared" si="22"/>
        <v>0</v>
      </c>
      <c r="W70" s="19">
        <f t="shared" si="22"/>
        <v>0</v>
      </c>
      <c r="X70" s="19">
        <f t="shared" si="22"/>
        <v>0</v>
      </c>
      <c r="Y70" s="19">
        <f t="shared" si="22"/>
        <v>0</v>
      </c>
      <c r="Z70" s="602">
        <f t="shared" si="2"/>
        <v>0</v>
      </c>
      <c r="AA70" s="86"/>
      <c r="AB70" s="86"/>
      <c r="AC70" s="86"/>
      <c r="AD70" s="86"/>
      <c r="AE70" s="86"/>
    </row>
    <row r="71" spans="1:31" hidden="1">
      <c r="A71" s="411"/>
      <c r="C71" s="336">
        <f t="shared" si="23"/>
        <v>50</v>
      </c>
      <c r="D71" s="165" t="str">
        <f>Asset_Sum!E63</f>
        <v>389</v>
      </c>
      <c r="E71" s="247" t="str">
        <f>Asset_Sum!F63</f>
        <v>LAND, R CITY OFF &amp; WHSE SITE</v>
      </c>
      <c r="F71" s="574">
        <f>Asset_Sum!G63</f>
        <v>0</v>
      </c>
      <c r="G71" s="906" t="s">
        <v>1038</v>
      </c>
      <c r="H71" s="19">
        <f t="shared" si="21"/>
        <v>0</v>
      </c>
      <c r="I71" s="19">
        <f t="shared" si="21"/>
        <v>0</v>
      </c>
      <c r="J71" s="19">
        <f t="shared" si="21"/>
        <v>0</v>
      </c>
      <c r="K71" s="19">
        <f t="shared" si="21"/>
        <v>0</v>
      </c>
      <c r="L71" s="19">
        <f t="shared" si="21"/>
        <v>0</v>
      </c>
      <c r="M71" s="19">
        <f t="shared" si="21"/>
        <v>0</v>
      </c>
      <c r="N71" s="19">
        <f t="shared" si="21"/>
        <v>0</v>
      </c>
      <c r="O71" s="19">
        <f t="shared" si="21"/>
        <v>0</v>
      </c>
      <c r="P71" s="19">
        <f t="shared" si="21"/>
        <v>0</v>
      </c>
      <c r="Q71" s="1759">
        <f t="shared" si="21"/>
        <v>0</v>
      </c>
      <c r="R71" s="1759">
        <f t="shared" si="22"/>
        <v>0</v>
      </c>
      <c r="S71" s="1759">
        <f t="shared" si="22"/>
        <v>0</v>
      </c>
      <c r="T71" s="19">
        <f t="shared" si="22"/>
        <v>0</v>
      </c>
      <c r="U71" s="19">
        <f t="shared" si="22"/>
        <v>0</v>
      </c>
      <c r="V71" s="19">
        <f t="shared" si="22"/>
        <v>0</v>
      </c>
      <c r="W71" s="19">
        <f t="shared" si="22"/>
        <v>0</v>
      </c>
      <c r="X71" s="19">
        <f t="shared" si="22"/>
        <v>0</v>
      </c>
      <c r="Y71" s="19">
        <f t="shared" si="22"/>
        <v>0</v>
      </c>
      <c r="Z71" s="602">
        <f t="shared" si="2"/>
        <v>0</v>
      </c>
      <c r="AA71" s="86"/>
      <c r="AB71" s="86"/>
      <c r="AC71" s="86"/>
      <c r="AD71" s="86"/>
      <c r="AE71" s="86"/>
    </row>
    <row r="72" spans="1:31" hidden="1">
      <c r="A72" s="411"/>
      <c r="C72" s="336">
        <f t="shared" si="23"/>
        <v>51</v>
      </c>
      <c r="D72" s="165" t="str">
        <f>Asset_Sum!E64</f>
        <v>389</v>
      </c>
      <c r="E72" s="247" t="str">
        <f>Asset_Sum!F64</f>
        <v>LAND, SCHAWANA SITE</v>
      </c>
      <c r="F72" s="574">
        <f>Asset_Sum!G64</f>
        <v>0</v>
      </c>
      <c r="G72" s="906" t="s">
        <v>1038</v>
      </c>
      <c r="H72" s="19">
        <f t="shared" ref="H72:Q81" si="24">$F72*SUMIF($E$338:$E$359,$G72,H$338:H$359)</f>
        <v>0</v>
      </c>
      <c r="I72" s="19">
        <f t="shared" si="24"/>
        <v>0</v>
      </c>
      <c r="J72" s="19">
        <f t="shared" si="24"/>
        <v>0</v>
      </c>
      <c r="K72" s="19">
        <f t="shared" si="24"/>
        <v>0</v>
      </c>
      <c r="L72" s="19">
        <f t="shared" si="24"/>
        <v>0</v>
      </c>
      <c r="M72" s="19">
        <f t="shared" si="24"/>
        <v>0</v>
      </c>
      <c r="N72" s="19">
        <f t="shared" si="24"/>
        <v>0</v>
      </c>
      <c r="O72" s="19">
        <f t="shared" si="24"/>
        <v>0</v>
      </c>
      <c r="P72" s="19">
        <f t="shared" si="24"/>
        <v>0</v>
      </c>
      <c r="Q72" s="1759">
        <f t="shared" si="24"/>
        <v>0</v>
      </c>
      <c r="R72" s="1759">
        <f t="shared" ref="R72:Y81" si="25">$F72*SUMIF($E$338:$E$359,$G72,R$338:R$359)</f>
        <v>0</v>
      </c>
      <c r="S72" s="1759">
        <f t="shared" si="25"/>
        <v>0</v>
      </c>
      <c r="T72" s="19">
        <f t="shared" si="25"/>
        <v>0</v>
      </c>
      <c r="U72" s="19">
        <f t="shared" si="25"/>
        <v>0</v>
      </c>
      <c r="V72" s="19">
        <f t="shared" si="25"/>
        <v>0</v>
      </c>
      <c r="W72" s="19">
        <f t="shared" si="25"/>
        <v>0</v>
      </c>
      <c r="X72" s="19">
        <f t="shared" si="25"/>
        <v>0</v>
      </c>
      <c r="Y72" s="19">
        <f t="shared" si="25"/>
        <v>0</v>
      </c>
      <c r="Z72" s="602">
        <f t="shared" si="2"/>
        <v>0</v>
      </c>
      <c r="AA72" s="86"/>
      <c r="AB72" s="86"/>
      <c r="AC72" s="86"/>
      <c r="AD72" s="86"/>
      <c r="AE72" s="86"/>
    </row>
    <row r="73" spans="1:31" hidden="1">
      <c r="A73" s="411"/>
      <c r="C73" s="336">
        <f t="shared" si="23"/>
        <v>52</v>
      </c>
      <c r="D73" s="165" t="str">
        <f>Asset_Sum!E65</f>
        <v>389</v>
      </c>
      <c r="E73" s="247" t="str">
        <f>Asset_Sum!F65</f>
        <v>LAND-JOINT</v>
      </c>
      <c r="F73" s="574">
        <f>Asset_Sum!G65</f>
        <v>0</v>
      </c>
      <c r="G73" s="906" t="s">
        <v>1038</v>
      </c>
      <c r="H73" s="19">
        <f t="shared" si="24"/>
        <v>0</v>
      </c>
      <c r="I73" s="19">
        <f t="shared" si="24"/>
        <v>0</v>
      </c>
      <c r="J73" s="19">
        <f t="shared" si="24"/>
        <v>0</v>
      </c>
      <c r="K73" s="19">
        <f t="shared" si="24"/>
        <v>0</v>
      </c>
      <c r="L73" s="19">
        <f t="shared" si="24"/>
        <v>0</v>
      </c>
      <c r="M73" s="19">
        <f t="shared" si="24"/>
        <v>0</v>
      </c>
      <c r="N73" s="19">
        <f t="shared" si="24"/>
        <v>0</v>
      </c>
      <c r="O73" s="19">
        <f t="shared" si="24"/>
        <v>0</v>
      </c>
      <c r="P73" s="19">
        <f t="shared" si="24"/>
        <v>0</v>
      </c>
      <c r="Q73" s="1759">
        <f t="shared" si="24"/>
        <v>0</v>
      </c>
      <c r="R73" s="1759">
        <f t="shared" si="25"/>
        <v>0</v>
      </c>
      <c r="S73" s="1759">
        <f t="shared" si="25"/>
        <v>0</v>
      </c>
      <c r="T73" s="19">
        <f t="shared" si="25"/>
        <v>0</v>
      </c>
      <c r="U73" s="19">
        <f t="shared" si="25"/>
        <v>0</v>
      </c>
      <c r="V73" s="19">
        <f t="shared" si="25"/>
        <v>0</v>
      </c>
      <c r="W73" s="19">
        <f t="shared" si="25"/>
        <v>0</v>
      </c>
      <c r="X73" s="19">
        <f t="shared" si="25"/>
        <v>0</v>
      </c>
      <c r="Y73" s="19">
        <f t="shared" si="25"/>
        <v>0</v>
      </c>
      <c r="Z73" s="602">
        <f t="shared" si="2"/>
        <v>0</v>
      </c>
      <c r="AA73" s="86"/>
      <c r="AB73" s="86"/>
      <c r="AC73" s="86"/>
      <c r="AD73" s="86"/>
      <c r="AE73" s="86"/>
    </row>
    <row r="74" spans="1:31">
      <c r="A74" s="411"/>
      <c r="C74" s="336">
        <f t="shared" si="23"/>
        <v>53</v>
      </c>
      <c r="D74" s="165" t="str">
        <f>Asset_Sum!E66</f>
        <v>390</v>
      </c>
      <c r="E74" s="247" t="str">
        <f>Asset_Sum!F66</f>
        <v>STRUC &amp; IMP</v>
      </c>
      <c r="F74" s="574">
        <f>Asset_Sum!G66</f>
        <v>24778298.460000001</v>
      </c>
      <c r="G74" s="906" t="s">
        <v>1067</v>
      </c>
      <c r="H74" s="19">
        <f t="shared" si="24"/>
        <v>0</v>
      </c>
      <c r="I74" s="19">
        <f t="shared" si="24"/>
        <v>570934.19324288517</v>
      </c>
      <c r="J74" s="19">
        <f t="shared" si="24"/>
        <v>2587079.8147628759</v>
      </c>
      <c r="K74" s="19">
        <f t="shared" si="24"/>
        <v>3918041.4268067954</v>
      </c>
      <c r="L74" s="19">
        <f t="shared" si="24"/>
        <v>729200.19391159259</v>
      </c>
      <c r="M74" s="19">
        <f t="shared" si="24"/>
        <v>0</v>
      </c>
      <c r="N74" s="19">
        <f t="shared" si="24"/>
        <v>0</v>
      </c>
      <c r="O74" s="19">
        <f t="shared" si="24"/>
        <v>1192248.9402890275</v>
      </c>
      <c r="P74" s="19">
        <f t="shared" si="24"/>
        <v>738604.44284412754</v>
      </c>
      <c r="Q74" s="1759">
        <f t="shared" si="24"/>
        <v>4648089.395895821</v>
      </c>
      <c r="R74" s="1759">
        <f t="shared" si="25"/>
        <v>548872.35813441244</v>
      </c>
      <c r="S74" s="1759">
        <f t="shared" si="25"/>
        <v>1444407.5557427888</v>
      </c>
      <c r="T74" s="19">
        <f t="shared" si="25"/>
        <v>326620.52594887861</v>
      </c>
      <c r="U74" s="19">
        <f t="shared" si="25"/>
        <v>2691867.8544622017</v>
      </c>
      <c r="V74" s="19">
        <f t="shared" si="25"/>
        <v>5001714.9780834001</v>
      </c>
      <c r="W74" s="19">
        <f t="shared" si="25"/>
        <v>109093.52649329357</v>
      </c>
      <c r="X74" s="19">
        <f t="shared" si="25"/>
        <v>271523.57255960105</v>
      </c>
      <c r="Y74" s="19">
        <f t="shared" si="25"/>
        <v>0</v>
      </c>
      <c r="Z74" s="602">
        <f t="shared" si="2"/>
        <v>0.31917769834399223</v>
      </c>
      <c r="AA74" s="86"/>
      <c r="AB74" s="86"/>
      <c r="AC74" s="86"/>
      <c r="AD74" s="86"/>
      <c r="AE74" s="86"/>
    </row>
    <row r="75" spans="1:31" hidden="1">
      <c r="A75" s="411"/>
      <c r="C75" s="336">
        <f>MAX(C69:C73)+1</f>
        <v>53</v>
      </c>
      <c r="D75" s="165" t="str">
        <f>Asset_Sum!E67</f>
        <v>390</v>
      </c>
      <c r="E75" s="247" t="str">
        <f>Asset_Sum!F67</f>
        <v>STRUC &amp; IMP, EPH OFFICE</v>
      </c>
      <c r="F75" s="19">
        <f>Asset_Sum!G67</f>
        <v>0</v>
      </c>
      <c r="G75" s="906" t="s">
        <v>1067</v>
      </c>
      <c r="H75" s="19">
        <f t="shared" si="24"/>
        <v>0</v>
      </c>
      <c r="I75" s="19">
        <f t="shared" si="24"/>
        <v>0</v>
      </c>
      <c r="J75" s="19">
        <f t="shared" si="24"/>
        <v>0</v>
      </c>
      <c r="K75" s="19">
        <f t="shared" si="24"/>
        <v>0</v>
      </c>
      <c r="L75" s="19">
        <f t="shared" si="24"/>
        <v>0</v>
      </c>
      <c r="M75" s="19">
        <f t="shared" si="24"/>
        <v>0</v>
      </c>
      <c r="N75" s="19">
        <f t="shared" si="24"/>
        <v>0</v>
      </c>
      <c r="O75" s="19">
        <f t="shared" si="24"/>
        <v>0</v>
      </c>
      <c r="P75" s="19">
        <f t="shared" si="24"/>
        <v>0</v>
      </c>
      <c r="Q75" s="1759">
        <f t="shared" si="24"/>
        <v>0</v>
      </c>
      <c r="R75" s="1759">
        <f t="shared" si="25"/>
        <v>0</v>
      </c>
      <c r="S75" s="1759">
        <f t="shared" si="25"/>
        <v>0</v>
      </c>
      <c r="T75" s="19">
        <f t="shared" si="25"/>
        <v>0</v>
      </c>
      <c r="U75" s="19">
        <f t="shared" si="25"/>
        <v>0</v>
      </c>
      <c r="V75" s="19">
        <f t="shared" si="25"/>
        <v>0</v>
      </c>
      <c r="W75" s="19">
        <f t="shared" si="25"/>
        <v>0</v>
      </c>
      <c r="X75" s="19">
        <f t="shared" si="25"/>
        <v>0</v>
      </c>
      <c r="Y75" s="19">
        <f t="shared" si="25"/>
        <v>0</v>
      </c>
      <c r="Z75" s="602">
        <f t="shared" si="2"/>
        <v>0</v>
      </c>
      <c r="AA75" s="86"/>
      <c r="AB75" s="86"/>
      <c r="AC75" s="86"/>
      <c r="AD75" s="86"/>
      <c r="AE75" s="86"/>
    </row>
    <row r="76" spans="1:31" hidden="1">
      <c r="A76" s="411"/>
      <c r="C76" s="336">
        <f>MAX(C70:C75)+1</f>
        <v>54</v>
      </c>
      <c r="D76" s="165" t="str">
        <f>Asset_Sum!E68</f>
        <v>390</v>
      </c>
      <c r="E76" s="247" t="str">
        <f>Asset_Sum!F68</f>
        <v>STRUC &amp; IMP, EPH WHSE</v>
      </c>
      <c r="F76" s="19">
        <f>Asset_Sum!G68</f>
        <v>0</v>
      </c>
      <c r="G76" s="906" t="s">
        <v>1067</v>
      </c>
      <c r="H76" s="19">
        <f t="shared" si="24"/>
        <v>0</v>
      </c>
      <c r="I76" s="19">
        <f t="shared" si="24"/>
        <v>0</v>
      </c>
      <c r="J76" s="19">
        <f t="shared" si="24"/>
        <v>0</v>
      </c>
      <c r="K76" s="19">
        <f t="shared" si="24"/>
        <v>0</v>
      </c>
      <c r="L76" s="19">
        <f t="shared" si="24"/>
        <v>0</v>
      </c>
      <c r="M76" s="19">
        <f t="shared" si="24"/>
        <v>0</v>
      </c>
      <c r="N76" s="19">
        <f t="shared" si="24"/>
        <v>0</v>
      </c>
      <c r="O76" s="19">
        <f t="shared" si="24"/>
        <v>0</v>
      </c>
      <c r="P76" s="19">
        <f t="shared" si="24"/>
        <v>0</v>
      </c>
      <c r="Q76" s="1759">
        <f t="shared" si="24"/>
        <v>0</v>
      </c>
      <c r="R76" s="1759">
        <f t="shared" si="25"/>
        <v>0</v>
      </c>
      <c r="S76" s="1759">
        <f t="shared" si="25"/>
        <v>0</v>
      </c>
      <c r="T76" s="19">
        <f t="shared" si="25"/>
        <v>0</v>
      </c>
      <c r="U76" s="19">
        <f t="shared" si="25"/>
        <v>0</v>
      </c>
      <c r="V76" s="19">
        <f t="shared" si="25"/>
        <v>0</v>
      </c>
      <c r="W76" s="19">
        <f t="shared" si="25"/>
        <v>0</v>
      </c>
      <c r="X76" s="19">
        <f t="shared" si="25"/>
        <v>0</v>
      </c>
      <c r="Y76" s="19">
        <f t="shared" si="25"/>
        <v>0</v>
      </c>
      <c r="Z76" s="602">
        <f t="shared" si="2"/>
        <v>0</v>
      </c>
      <c r="AA76" s="86"/>
      <c r="AB76" s="86"/>
      <c r="AC76" s="86"/>
      <c r="AD76" s="86"/>
      <c r="AE76" s="86"/>
    </row>
    <row r="77" spans="1:31" hidden="1">
      <c r="A77" s="411"/>
      <c r="C77" s="336">
        <f>MAX(C71:C76)+1</f>
        <v>55</v>
      </c>
      <c r="D77" s="165" t="str">
        <f>Asset_Sum!E69</f>
        <v>390</v>
      </c>
      <c r="E77" s="247" t="str">
        <f>Asset_Sum!F69</f>
        <v>STRUC &amp; IMP EPH TRANS REPAIR</v>
      </c>
      <c r="F77" s="574">
        <f>Asset_Sum!G69</f>
        <v>0</v>
      </c>
      <c r="G77" s="906" t="s">
        <v>1067</v>
      </c>
      <c r="H77" s="19">
        <f t="shared" si="24"/>
        <v>0</v>
      </c>
      <c r="I77" s="19">
        <f t="shared" si="24"/>
        <v>0</v>
      </c>
      <c r="J77" s="19">
        <f t="shared" si="24"/>
        <v>0</v>
      </c>
      <c r="K77" s="19">
        <f t="shared" si="24"/>
        <v>0</v>
      </c>
      <c r="L77" s="19">
        <f t="shared" si="24"/>
        <v>0</v>
      </c>
      <c r="M77" s="19">
        <f t="shared" si="24"/>
        <v>0</v>
      </c>
      <c r="N77" s="19">
        <f t="shared" si="24"/>
        <v>0</v>
      </c>
      <c r="O77" s="19">
        <f t="shared" si="24"/>
        <v>0</v>
      </c>
      <c r="P77" s="19">
        <f t="shared" si="24"/>
        <v>0</v>
      </c>
      <c r="Q77" s="1759">
        <f t="shared" si="24"/>
        <v>0</v>
      </c>
      <c r="R77" s="1759">
        <f t="shared" si="25"/>
        <v>0</v>
      </c>
      <c r="S77" s="1759">
        <f t="shared" si="25"/>
        <v>0</v>
      </c>
      <c r="T77" s="19">
        <f t="shared" si="25"/>
        <v>0</v>
      </c>
      <c r="U77" s="19">
        <f t="shared" si="25"/>
        <v>0</v>
      </c>
      <c r="V77" s="19">
        <f t="shared" si="25"/>
        <v>0</v>
      </c>
      <c r="W77" s="19">
        <f t="shared" si="25"/>
        <v>0</v>
      </c>
      <c r="X77" s="19">
        <f t="shared" si="25"/>
        <v>0</v>
      </c>
      <c r="Y77" s="19">
        <f t="shared" si="25"/>
        <v>0</v>
      </c>
      <c r="Z77" s="602">
        <f t="shared" si="2"/>
        <v>0</v>
      </c>
      <c r="AA77" s="86"/>
      <c r="AB77" s="86"/>
      <c r="AC77" s="86"/>
      <c r="AD77" s="86"/>
      <c r="AE77" s="86"/>
    </row>
    <row r="78" spans="1:31" hidden="1">
      <c r="A78" s="411"/>
      <c r="C78" s="336">
        <f>MAX(C72:C77)+1</f>
        <v>56</v>
      </c>
      <c r="D78" s="165" t="str">
        <f>Asset_Sum!E70</f>
        <v>390</v>
      </c>
      <c r="E78" s="247" t="str">
        <f>Asset_Sum!F70</f>
        <v>STRUC &amp; IMP, EPH LINE</v>
      </c>
      <c r="F78" s="574">
        <f>Asset_Sum!G70</f>
        <v>0</v>
      </c>
      <c r="G78" s="906" t="s">
        <v>1067</v>
      </c>
      <c r="H78" s="19">
        <f t="shared" si="24"/>
        <v>0</v>
      </c>
      <c r="I78" s="19">
        <f t="shared" si="24"/>
        <v>0</v>
      </c>
      <c r="J78" s="19">
        <f t="shared" si="24"/>
        <v>0</v>
      </c>
      <c r="K78" s="19">
        <f t="shared" si="24"/>
        <v>0</v>
      </c>
      <c r="L78" s="19">
        <f t="shared" si="24"/>
        <v>0</v>
      </c>
      <c r="M78" s="19">
        <f t="shared" si="24"/>
        <v>0</v>
      </c>
      <c r="N78" s="19">
        <f t="shared" si="24"/>
        <v>0</v>
      </c>
      <c r="O78" s="19">
        <f t="shared" si="24"/>
        <v>0</v>
      </c>
      <c r="P78" s="19">
        <f t="shared" si="24"/>
        <v>0</v>
      </c>
      <c r="Q78" s="1759">
        <f t="shared" si="24"/>
        <v>0</v>
      </c>
      <c r="R78" s="1759">
        <f t="shared" si="25"/>
        <v>0</v>
      </c>
      <c r="S78" s="1759">
        <f t="shared" si="25"/>
        <v>0</v>
      </c>
      <c r="T78" s="19">
        <f t="shared" si="25"/>
        <v>0</v>
      </c>
      <c r="U78" s="19">
        <f t="shared" si="25"/>
        <v>0</v>
      </c>
      <c r="V78" s="19">
        <f t="shared" si="25"/>
        <v>0</v>
      </c>
      <c r="W78" s="19">
        <f t="shared" si="25"/>
        <v>0</v>
      </c>
      <c r="X78" s="19">
        <f t="shared" si="25"/>
        <v>0</v>
      </c>
      <c r="Y78" s="19">
        <f t="shared" si="25"/>
        <v>0</v>
      </c>
      <c r="Z78" s="602">
        <f t="shared" si="2"/>
        <v>0</v>
      </c>
      <c r="AA78" s="86"/>
      <c r="AB78" s="86"/>
      <c r="AC78" s="86"/>
      <c r="AD78" s="86"/>
      <c r="AE78" s="86"/>
    </row>
    <row r="79" spans="1:31" hidden="1">
      <c r="A79" s="411"/>
      <c r="C79" s="336">
        <f>MAX(C73:C78)+1</f>
        <v>57</v>
      </c>
      <c r="D79" s="165" t="str">
        <f>Asset_Sum!E71</f>
        <v>390</v>
      </c>
      <c r="E79" s="247" t="str">
        <f>Asset_Sum!F71</f>
        <v>STRUC &amp; IMP, EPH METER SHOP</v>
      </c>
      <c r="F79" s="19">
        <f>Asset_Sum!G71</f>
        <v>0</v>
      </c>
      <c r="G79" s="906" t="s">
        <v>1067</v>
      </c>
      <c r="H79" s="19">
        <f t="shared" si="24"/>
        <v>0</v>
      </c>
      <c r="I79" s="19">
        <f t="shared" si="24"/>
        <v>0</v>
      </c>
      <c r="J79" s="19">
        <f t="shared" si="24"/>
        <v>0</v>
      </c>
      <c r="K79" s="19">
        <f t="shared" si="24"/>
        <v>0</v>
      </c>
      <c r="L79" s="19">
        <f t="shared" si="24"/>
        <v>0</v>
      </c>
      <c r="M79" s="19">
        <f t="shared" si="24"/>
        <v>0</v>
      </c>
      <c r="N79" s="19">
        <f t="shared" si="24"/>
        <v>0</v>
      </c>
      <c r="O79" s="19">
        <f t="shared" si="24"/>
        <v>0</v>
      </c>
      <c r="P79" s="19">
        <f t="shared" si="24"/>
        <v>0</v>
      </c>
      <c r="Q79" s="1759">
        <f t="shared" si="24"/>
        <v>0</v>
      </c>
      <c r="R79" s="1759">
        <f t="shared" si="25"/>
        <v>0</v>
      </c>
      <c r="S79" s="1759">
        <f t="shared" si="25"/>
        <v>0</v>
      </c>
      <c r="T79" s="19">
        <f t="shared" si="25"/>
        <v>0</v>
      </c>
      <c r="U79" s="19">
        <f t="shared" si="25"/>
        <v>0</v>
      </c>
      <c r="V79" s="19">
        <f t="shared" si="25"/>
        <v>0</v>
      </c>
      <c r="W79" s="19">
        <f t="shared" si="25"/>
        <v>0</v>
      </c>
      <c r="X79" s="19">
        <f t="shared" si="25"/>
        <v>0</v>
      </c>
      <c r="Y79" s="19">
        <f t="shared" si="25"/>
        <v>0</v>
      </c>
      <c r="Z79" s="602">
        <f t="shared" si="2"/>
        <v>0</v>
      </c>
      <c r="AA79" s="86"/>
      <c r="AB79" s="86"/>
      <c r="AC79" s="86"/>
      <c r="AD79" s="86"/>
      <c r="AE79" s="86"/>
    </row>
    <row r="80" spans="1:31" hidden="1">
      <c r="A80" s="411"/>
      <c r="C80" s="336">
        <f t="shared" si="23"/>
        <v>58</v>
      </c>
      <c r="D80" s="165" t="str">
        <f>Asset_Sum!E72</f>
        <v>390</v>
      </c>
      <c r="E80" s="247" t="str">
        <f>Asset_Sum!F72</f>
        <v>STRUC &amp; IMP, EPH SERV CENTER</v>
      </c>
      <c r="F80" s="19">
        <f>Asset_Sum!G72</f>
        <v>0</v>
      </c>
      <c r="G80" s="906" t="s">
        <v>1067</v>
      </c>
      <c r="H80" s="19">
        <f t="shared" si="24"/>
        <v>0</v>
      </c>
      <c r="I80" s="19">
        <f t="shared" si="24"/>
        <v>0</v>
      </c>
      <c r="J80" s="19">
        <f t="shared" si="24"/>
        <v>0</v>
      </c>
      <c r="K80" s="19">
        <f t="shared" si="24"/>
        <v>0</v>
      </c>
      <c r="L80" s="19">
        <f t="shared" si="24"/>
        <v>0</v>
      </c>
      <c r="M80" s="19">
        <f t="shared" si="24"/>
        <v>0</v>
      </c>
      <c r="N80" s="19">
        <f t="shared" si="24"/>
        <v>0</v>
      </c>
      <c r="O80" s="19">
        <f t="shared" si="24"/>
        <v>0</v>
      </c>
      <c r="P80" s="19">
        <f t="shared" si="24"/>
        <v>0</v>
      </c>
      <c r="Q80" s="1759">
        <f t="shared" si="24"/>
        <v>0</v>
      </c>
      <c r="R80" s="1759">
        <f t="shared" si="25"/>
        <v>0</v>
      </c>
      <c r="S80" s="1759">
        <f t="shared" si="25"/>
        <v>0</v>
      </c>
      <c r="T80" s="19">
        <f t="shared" si="25"/>
        <v>0</v>
      </c>
      <c r="U80" s="19">
        <f t="shared" si="25"/>
        <v>0</v>
      </c>
      <c r="V80" s="19">
        <f t="shared" si="25"/>
        <v>0</v>
      </c>
      <c r="W80" s="19">
        <f t="shared" si="25"/>
        <v>0</v>
      </c>
      <c r="X80" s="19">
        <f t="shared" si="25"/>
        <v>0</v>
      </c>
      <c r="Y80" s="19">
        <f t="shared" si="25"/>
        <v>0</v>
      </c>
      <c r="Z80" s="602">
        <f t="shared" si="2"/>
        <v>0</v>
      </c>
      <c r="AA80" s="86"/>
      <c r="AB80" s="86"/>
      <c r="AC80" s="86"/>
      <c r="AD80" s="86"/>
      <c r="AE80" s="86"/>
    </row>
    <row r="81" spans="1:31" hidden="1">
      <c r="A81" s="411"/>
      <c r="C81" s="336">
        <f t="shared" si="23"/>
        <v>59</v>
      </c>
      <c r="D81" s="165" t="str">
        <f>Asset_Sum!E73</f>
        <v>390</v>
      </c>
      <c r="E81" s="247" t="str">
        <f>Asset_Sum!F73</f>
        <v>STRUC &amp; IMP, ML OFFICE</v>
      </c>
      <c r="F81" s="19">
        <f>Asset_Sum!G73</f>
        <v>0</v>
      </c>
      <c r="G81" s="906" t="s">
        <v>1067</v>
      </c>
      <c r="H81" s="19">
        <f t="shared" si="24"/>
        <v>0</v>
      </c>
      <c r="I81" s="19">
        <f t="shared" si="24"/>
        <v>0</v>
      </c>
      <c r="J81" s="19">
        <f t="shared" si="24"/>
        <v>0</v>
      </c>
      <c r="K81" s="19">
        <f t="shared" si="24"/>
        <v>0</v>
      </c>
      <c r="L81" s="19">
        <f t="shared" si="24"/>
        <v>0</v>
      </c>
      <c r="M81" s="19">
        <f t="shared" si="24"/>
        <v>0</v>
      </c>
      <c r="N81" s="19">
        <f t="shared" si="24"/>
        <v>0</v>
      </c>
      <c r="O81" s="19">
        <f t="shared" si="24"/>
        <v>0</v>
      </c>
      <c r="P81" s="19">
        <f t="shared" si="24"/>
        <v>0</v>
      </c>
      <c r="Q81" s="1759">
        <f t="shared" si="24"/>
        <v>0</v>
      </c>
      <c r="R81" s="1759">
        <f t="shared" si="25"/>
        <v>0</v>
      </c>
      <c r="S81" s="1759">
        <f t="shared" si="25"/>
        <v>0</v>
      </c>
      <c r="T81" s="19">
        <f t="shared" si="25"/>
        <v>0</v>
      </c>
      <c r="U81" s="19">
        <f t="shared" si="25"/>
        <v>0</v>
      </c>
      <c r="V81" s="19">
        <f t="shared" si="25"/>
        <v>0</v>
      </c>
      <c r="W81" s="19">
        <f t="shared" si="25"/>
        <v>0</v>
      </c>
      <c r="X81" s="19">
        <f t="shared" si="25"/>
        <v>0</v>
      </c>
      <c r="Y81" s="19">
        <f t="shared" si="25"/>
        <v>0</v>
      </c>
      <c r="Z81" s="602">
        <f t="shared" si="2"/>
        <v>0</v>
      </c>
      <c r="AA81" s="86"/>
      <c r="AB81" s="86"/>
      <c r="AC81" s="86"/>
      <c r="AD81" s="86"/>
      <c r="AE81" s="86"/>
    </row>
    <row r="82" spans="1:31" hidden="1">
      <c r="A82" s="411"/>
      <c r="C82" s="336">
        <f t="shared" si="23"/>
        <v>60</v>
      </c>
      <c r="D82" s="165" t="str">
        <f>Asset_Sum!E74</f>
        <v>390</v>
      </c>
      <c r="E82" s="247" t="str">
        <f>Asset_Sum!F74</f>
        <v>STRUC &amp; IMP, ML WHSE</v>
      </c>
      <c r="F82" s="19">
        <f>Asset_Sum!G74</f>
        <v>0</v>
      </c>
      <c r="G82" s="906" t="s">
        <v>1067</v>
      </c>
      <c r="H82" s="19">
        <f t="shared" ref="H82:Q91" si="26">$F82*SUMIF($E$338:$E$359,$G82,H$338:H$359)</f>
        <v>0</v>
      </c>
      <c r="I82" s="19">
        <f t="shared" si="26"/>
        <v>0</v>
      </c>
      <c r="J82" s="19">
        <f t="shared" si="26"/>
        <v>0</v>
      </c>
      <c r="K82" s="19">
        <f t="shared" si="26"/>
        <v>0</v>
      </c>
      <c r="L82" s="19">
        <f t="shared" si="26"/>
        <v>0</v>
      </c>
      <c r="M82" s="19">
        <f t="shared" si="26"/>
        <v>0</v>
      </c>
      <c r="N82" s="19">
        <f t="shared" si="26"/>
        <v>0</v>
      </c>
      <c r="O82" s="19">
        <f t="shared" si="26"/>
        <v>0</v>
      </c>
      <c r="P82" s="19">
        <f t="shared" si="26"/>
        <v>0</v>
      </c>
      <c r="Q82" s="1759">
        <f t="shared" si="26"/>
        <v>0</v>
      </c>
      <c r="R82" s="1759">
        <f t="shared" ref="R82:Y91" si="27">$F82*SUMIF($E$338:$E$359,$G82,R$338:R$359)</f>
        <v>0</v>
      </c>
      <c r="S82" s="1759">
        <f t="shared" si="27"/>
        <v>0</v>
      </c>
      <c r="T82" s="19">
        <f t="shared" si="27"/>
        <v>0</v>
      </c>
      <c r="U82" s="19">
        <f t="shared" si="27"/>
        <v>0</v>
      </c>
      <c r="V82" s="19">
        <f t="shared" si="27"/>
        <v>0</v>
      </c>
      <c r="W82" s="19">
        <f t="shared" si="27"/>
        <v>0</v>
      </c>
      <c r="X82" s="19">
        <f t="shared" si="27"/>
        <v>0</v>
      </c>
      <c r="Y82" s="19">
        <f t="shared" si="27"/>
        <v>0</v>
      </c>
      <c r="Z82" s="602">
        <f t="shared" si="2"/>
        <v>0</v>
      </c>
      <c r="AA82" s="86"/>
      <c r="AB82" s="86"/>
      <c r="AC82" s="86"/>
      <c r="AD82" s="86"/>
      <c r="AE82" s="86"/>
    </row>
    <row r="83" spans="1:31" hidden="1">
      <c r="A83" s="411"/>
      <c r="C83" s="336">
        <f t="shared" si="23"/>
        <v>61</v>
      </c>
      <c r="D83" s="165" t="str">
        <f>Asset_Sum!E75</f>
        <v>390</v>
      </c>
      <c r="E83" s="247" t="str">
        <f>Asset_Sum!F75</f>
        <v>STRUC &amp; IMP ML EMS CTR BACKU</v>
      </c>
      <c r="F83" s="19">
        <f>Asset_Sum!G75</f>
        <v>0</v>
      </c>
      <c r="G83" s="906" t="s">
        <v>1067</v>
      </c>
      <c r="H83" s="19">
        <f t="shared" si="26"/>
        <v>0</v>
      </c>
      <c r="I83" s="19">
        <f t="shared" si="26"/>
        <v>0</v>
      </c>
      <c r="J83" s="19">
        <f t="shared" si="26"/>
        <v>0</v>
      </c>
      <c r="K83" s="19">
        <f t="shared" si="26"/>
        <v>0</v>
      </c>
      <c r="L83" s="19">
        <f t="shared" si="26"/>
        <v>0</v>
      </c>
      <c r="M83" s="19">
        <f t="shared" si="26"/>
        <v>0</v>
      </c>
      <c r="N83" s="19">
        <f t="shared" si="26"/>
        <v>0</v>
      </c>
      <c r="O83" s="19">
        <f t="shared" si="26"/>
        <v>0</v>
      </c>
      <c r="P83" s="19">
        <f t="shared" si="26"/>
        <v>0</v>
      </c>
      <c r="Q83" s="1759">
        <f t="shared" si="26"/>
        <v>0</v>
      </c>
      <c r="R83" s="1759">
        <f t="shared" si="27"/>
        <v>0</v>
      </c>
      <c r="S83" s="1759">
        <f t="shared" si="27"/>
        <v>0</v>
      </c>
      <c r="T83" s="19">
        <f t="shared" si="27"/>
        <v>0</v>
      </c>
      <c r="U83" s="19">
        <f t="shared" si="27"/>
        <v>0</v>
      </c>
      <c r="V83" s="19">
        <f t="shared" si="27"/>
        <v>0</v>
      </c>
      <c r="W83" s="19">
        <f t="shared" si="27"/>
        <v>0</v>
      </c>
      <c r="X83" s="19">
        <f t="shared" si="27"/>
        <v>0</v>
      </c>
      <c r="Y83" s="19">
        <f t="shared" si="27"/>
        <v>0</v>
      </c>
      <c r="Z83" s="602">
        <f t="shared" si="2"/>
        <v>0</v>
      </c>
      <c r="AA83" s="86"/>
      <c r="AB83" s="86"/>
      <c r="AC83" s="86"/>
      <c r="AD83" s="86"/>
      <c r="AE83" s="86"/>
    </row>
    <row r="84" spans="1:31" hidden="1">
      <c r="A84" s="411"/>
      <c r="C84" s="336">
        <f t="shared" si="23"/>
        <v>62</v>
      </c>
      <c r="D84" s="165" t="str">
        <f>Asset_Sum!E76</f>
        <v>390</v>
      </c>
      <c r="E84" s="247" t="str">
        <f>Asset_Sum!F76</f>
        <v>STRUC &amp; IMP, ML STOR YD</v>
      </c>
      <c r="F84" s="19">
        <f>Asset_Sum!G76</f>
        <v>0</v>
      </c>
      <c r="G84" s="906" t="s">
        <v>1067</v>
      </c>
      <c r="H84" s="19">
        <f t="shared" si="26"/>
        <v>0</v>
      </c>
      <c r="I84" s="19">
        <f t="shared" si="26"/>
        <v>0</v>
      </c>
      <c r="J84" s="19">
        <f t="shared" si="26"/>
        <v>0</v>
      </c>
      <c r="K84" s="19">
        <f t="shared" si="26"/>
        <v>0</v>
      </c>
      <c r="L84" s="19">
        <f t="shared" si="26"/>
        <v>0</v>
      </c>
      <c r="M84" s="19">
        <f t="shared" si="26"/>
        <v>0</v>
      </c>
      <c r="N84" s="19">
        <f t="shared" si="26"/>
        <v>0</v>
      </c>
      <c r="O84" s="19">
        <f t="shared" si="26"/>
        <v>0</v>
      </c>
      <c r="P84" s="19">
        <f t="shared" si="26"/>
        <v>0</v>
      </c>
      <c r="Q84" s="1759">
        <f t="shared" si="26"/>
        <v>0</v>
      </c>
      <c r="R84" s="1759">
        <f t="shared" si="27"/>
        <v>0</v>
      </c>
      <c r="S84" s="1759">
        <f t="shared" si="27"/>
        <v>0</v>
      </c>
      <c r="T84" s="19">
        <f t="shared" si="27"/>
        <v>0</v>
      </c>
      <c r="U84" s="19">
        <f t="shared" si="27"/>
        <v>0</v>
      </c>
      <c r="V84" s="19">
        <f t="shared" si="27"/>
        <v>0</v>
      </c>
      <c r="W84" s="19">
        <f t="shared" si="27"/>
        <v>0</v>
      </c>
      <c r="X84" s="19">
        <f t="shared" si="27"/>
        <v>0</v>
      </c>
      <c r="Y84" s="19">
        <f t="shared" si="27"/>
        <v>0</v>
      </c>
      <c r="Z84" s="602">
        <f t="shared" ref="Z84:Z147" si="28">SUM(H84:Y84)-F84</f>
        <v>0</v>
      </c>
      <c r="AA84" s="86"/>
      <c r="AB84" s="86"/>
      <c r="AC84" s="86"/>
      <c r="AD84" s="86"/>
      <c r="AE84" s="86"/>
    </row>
    <row r="85" spans="1:31" hidden="1">
      <c r="A85" s="411"/>
      <c r="C85" s="336">
        <f t="shared" si="23"/>
        <v>63</v>
      </c>
      <c r="D85" s="165" t="str">
        <f>Asset_Sum!E77</f>
        <v>390</v>
      </c>
      <c r="E85" s="247" t="str">
        <f>Asset_Sum!F77</f>
        <v>STRUC &amp; IMP, QUINCY OFFICE</v>
      </c>
      <c r="F85" s="19">
        <f>Asset_Sum!G77</f>
        <v>0</v>
      </c>
      <c r="G85" s="906" t="s">
        <v>1067</v>
      </c>
      <c r="H85" s="19">
        <f t="shared" si="26"/>
        <v>0</v>
      </c>
      <c r="I85" s="19">
        <f t="shared" si="26"/>
        <v>0</v>
      </c>
      <c r="J85" s="19">
        <f t="shared" si="26"/>
        <v>0</v>
      </c>
      <c r="K85" s="19">
        <f t="shared" si="26"/>
        <v>0</v>
      </c>
      <c r="L85" s="19">
        <f t="shared" si="26"/>
        <v>0</v>
      </c>
      <c r="M85" s="19">
        <f t="shared" si="26"/>
        <v>0</v>
      </c>
      <c r="N85" s="19">
        <f t="shared" si="26"/>
        <v>0</v>
      </c>
      <c r="O85" s="19">
        <f t="shared" si="26"/>
        <v>0</v>
      </c>
      <c r="P85" s="19">
        <f t="shared" si="26"/>
        <v>0</v>
      </c>
      <c r="Q85" s="1759">
        <f t="shared" si="26"/>
        <v>0</v>
      </c>
      <c r="R85" s="1759">
        <f t="shared" si="27"/>
        <v>0</v>
      </c>
      <c r="S85" s="1759">
        <f t="shared" si="27"/>
        <v>0</v>
      </c>
      <c r="T85" s="19">
        <f t="shared" si="27"/>
        <v>0</v>
      </c>
      <c r="U85" s="19">
        <f t="shared" si="27"/>
        <v>0</v>
      </c>
      <c r="V85" s="19">
        <f t="shared" si="27"/>
        <v>0</v>
      </c>
      <c r="W85" s="19">
        <f t="shared" si="27"/>
        <v>0</v>
      </c>
      <c r="X85" s="19">
        <f t="shared" si="27"/>
        <v>0</v>
      </c>
      <c r="Y85" s="19">
        <f t="shared" si="27"/>
        <v>0</v>
      </c>
      <c r="Z85" s="602">
        <f t="shared" si="28"/>
        <v>0</v>
      </c>
      <c r="AA85" s="86"/>
      <c r="AB85" s="86"/>
      <c r="AC85" s="86"/>
      <c r="AD85" s="86"/>
      <c r="AE85" s="86"/>
    </row>
    <row r="86" spans="1:31" hidden="1">
      <c r="A86" s="411"/>
      <c r="C86" s="336">
        <f t="shared" si="23"/>
        <v>64</v>
      </c>
      <c r="D86" s="165" t="str">
        <f>Asset_Sum!E78</f>
        <v>390</v>
      </c>
      <c r="E86" s="247" t="str">
        <f>Asset_Sum!F78</f>
        <v>STRUC &amp; IMP, QUINCY YARD</v>
      </c>
      <c r="F86" s="19">
        <f>Asset_Sum!G78</f>
        <v>0</v>
      </c>
      <c r="G86" s="906" t="s">
        <v>1067</v>
      </c>
      <c r="H86" s="19">
        <f t="shared" si="26"/>
        <v>0</v>
      </c>
      <c r="I86" s="19">
        <f t="shared" si="26"/>
        <v>0</v>
      </c>
      <c r="J86" s="19">
        <f t="shared" si="26"/>
        <v>0</v>
      </c>
      <c r="K86" s="19">
        <f t="shared" si="26"/>
        <v>0</v>
      </c>
      <c r="L86" s="19">
        <f t="shared" si="26"/>
        <v>0</v>
      </c>
      <c r="M86" s="19">
        <f t="shared" si="26"/>
        <v>0</v>
      </c>
      <c r="N86" s="19">
        <f t="shared" si="26"/>
        <v>0</v>
      </c>
      <c r="O86" s="19">
        <f t="shared" si="26"/>
        <v>0</v>
      </c>
      <c r="P86" s="19">
        <f t="shared" si="26"/>
        <v>0</v>
      </c>
      <c r="Q86" s="1759">
        <f t="shared" si="26"/>
        <v>0</v>
      </c>
      <c r="R86" s="1759">
        <f t="shared" si="27"/>
        <v>0</v>
      </c>
      <c r="S86" s="1759">
        <f t="shared" si="27"/>
        <v>0</v>
      </c>
      <c r="T86" s="19">
        <f t="shared" si="27"/>
        <v>0</v>
      </c>
      <c r="U86" s="19">
        <f t="shared" si="27"/>
        <v>0</v>
      </c>
      <c r="V86" s="19">
        <f t="shared" si="27"/>
        <v>0</v>
      </c>
      <c r="W86" s="19">
        <f t="shared" si="27"/>
        <v>0</v>
      </c>
      <c r="X86" s="19">
        <f t="shared" si="27"/>
        <v>0</v>
      </c>
      <c r="Y86" s="19">
        <f t="shared" si="27"/>
        <v>0</v>
      </c>
      <c r="Z86" s="602">
        <f t="shared" si="28"/>
        <v>0</v>
      </c>
      <c r="AA86" s="86"/>
      <c r="AB86" s="86"/>
      <c r="AC86" s="86"/>
      <c r="AD86" s="86"/>
      <c r="AE86" s="86"/>
    </row>
    <row r="87" spans="1:31" hidden="1">
      <c r="A87" s="411"/>
      <c r="C87" s="336">
        <f t="shared" si="23"/>
        <v>65</v>
      </c>
      <c r="D87" s="165" t="str">
        <f>Asset_Sum!E79</f>
        <v>390</v>
      </c>
      <c r="E87" s="247" t="str">
        <f>Asset_Sum!F79</f>
        <v>STRUC &amp; IMP, GC WHSE</v>
      </c>
      <c r="F87" s="19">
        <f>Asset_Sum!G79</f>
        <v>0</v>
      </c>
      <c r="G87" s="906" t="s">
        <v>1067</v>
      </c>
      <c r="H87" s="19">
        <f t="shared" si="26"/>
        <v>0</v>
      </c>
      <c r="I87" s="19">
        <f t="shared" si="26"/>
        <v>0</v>
      </c>
      <c r="J87" s="19">
        <f t="shared" si="26"/>
        <v>0</v>
      </c>
      <c r="K87" s="19">
        <f t="shared" si="26"/>
        <v>0</v>
      </c>
      <c r="L87" s="19">
        <f t="shared" si="26"/>
        <v>0</v>
      </c>
      <c r="M87" s="19">
        <f t="shared" si="26"/>
        <v>0</v>
      </c>
      <c r="N87" s="19">
        <f t="shared" si="26"/>
        <v>0</v>
      </c>
      <c r="O87" s="19">
        <f t="shared" si="26"/>
        <v>0</v>
      </c>
      <c r="P87" s="19">
        <f t="shared" si="26"/>
        <v>0</v>
      </c>
      <c r="Q87" s="1759">
        <f t="shared" si="26"/>
        <v>0</v>
      </c>
      <c r="R87" s="1759">
        <f t="shared" si="27"/>
        <v>0</v>
      </c>
      <c r="S87" s="1759">
        <f t="shared" si="27"/>
        <v>0</v>
      </c>
      <c r="T87" s="19">
        <f t="shared" si="27"/>
        <v>0</v>
      </c>
      <c r="U87" s="19">
        <f t="shared" si="27"/>
        <v>0</v>
      </c>
      <c r="V87" s="19">
        <f t="shared" si="27"/>
        <v>0</v>
      </c>
      <c r="W87" s="19">
        <f t="shared" si="27"/>
        <v>0</v>
      </c>
      <c r="X87" s="19">
        <f t="shared" si="27"/>
        <v>0</v>
      </c>
      <c r="Y87" s="19">
        <f t="shared" si="27"/>
        <v>0</v>
      </c>
      <c r="Z87" s="602">
        <f t="shared" si="28"/>
        <v>0</v>
      </c>
      <c r="AA87" s="86"/>
      <c r="AB87" s="86"/>
      <c r="AC87" s="86"/>
      <c r="AD87" s="86"/>
      <c r="AE87" s="86"/>
    </row>
    <row r="88" spans="1:31" hidden="1">
      <c r="A88" s="411"/>
      <c r="C88" s="336">
        <f t="shared" si="23"/>
        <v>66</v>
      </c>
      <c r="D88" s="165" t="str">
        <f>Asset_Sum!E80</f>
        <v>390</v>
      </c>
      <c r="E88" s="247" t="str">
        <f>Asset_Sum!F80</f>
        <v>STRUC &amp; IMP, GC OFFICE</v>
      </c>
      <c r="F88" s="19">
        <f>Asset_Sum!G80</f>
        <v>0</v>
      </c>
      <c r="G88" s="906" t="s">
        <v>1067</v>
      </c>
      <c r="H88" s="19">
        <f t="shared" si="26"/>
        <v>0</v>
      </c>
      <c r="I88" s="19">
        <f t="shared" si="26"/>
        <v>0</v>
      </c>
      <c r="J88" s="19">
        <f t="shared" si="26"/>
        <v>0</v>
      </c>
      <c r="K88" s="19">
        <f t="shared" si="26"/>
        <v>0</v>
      </c>
      <c r="L88" s="19">
        <f t="shared" si="26"/>
        <v>0</v>
      </c>
      <c r="M88" s="19">
        <f t="shared" si="26"/>
        <v>0</v>
      </c>
      <c r="N88" s="19">
        <f t="shared" si="26"/>
        <v>0</v>
      </c>
      <c r="O88" s="19">
        <f t="shared" si="26"/>
        <v>0</v>
      </c>
      <c r="P88" s="19">
        <f t="shared" si="26"/>
        <v>0</v>
      </c>
      <c r="Q88" s="1759">
        <f t="shared" si="26"/>
        <v>0</v>
      </c>
      <c r="R88" s="1759">
        <f t="shared" si="27"/>
        <v>0</v>
      </c>
      <c r="S88" s="1759">
        <f t="shared" si="27"/>
        <v>0</v>
      </c>
      <c r="T88" s="19">
        <f t="shared" si="27"/>
        <v>0</v>
      </c>
      <c r="U88" s="19">
        <f t="shared" si="27"/>
        <v>0</v>
      </c>
      <c r="V88" s="19">
        <f t="shared" si="27"/>
        <v>0</v>
      </c>
      <c r="W88" s="19">
        <f t="shared" si="27"/>
        <v>0</v>
      </c>
      <c r="X88" s="19">
        <f t="shared" si="27"/>
        <v>0</v>
      </c>
      <c r="Y88" s="19">
        <f t="shared" si="27"/>
        <v>0</v>
      </c>
      <c r="Z88" s="602">
        <f t="shared" si="28"/>
        <v>0</v>
      </c>
      <c r="AA88" s="86"/>
      <c r="AB88" s="86"/>
      <c r="AC88" s="86"/>
      <c r="AD88" s="86"/>
      <c r="AE88" s="86"/>
    </row>
    <row r="89" spans="1:31" hidden="1">
      <c r="A89" s="411"/>
      <c r="C89" s="336">
        <f t="shared" si="23"/>
        <v>67</v>
      </c>
      <c r="D89" s="165" t="str">
        <f>Asset_Sum!E81</f>
        <v>390</v>
      </c>
      <c r="E89" s="247" t="str">
        <f>Asset_Sum!F81</f>
        <v>STRUC &amp; IMP, GC SERVICE CENT</v>
      </c>
      <c r="F89" s="19">
        <f>Asset_Sum!G81</f>
        <v>0</v>
      </c>
      <c r="G89" s="906" t="s">
        <v>1067</v>
      </c>
      <c r="H89" s="19">
        <f t="shared" si="26"/>
        <v>0</v>
      </c>
      <c r="I89" s="19">
        <f t="shared" si="26"/>
        <v>0</v>
      </c>
      <c r="J89" s="19">
        <f t="shared" si="26"/>
        <v>0</v>
      </c>
      <c r="K89" s="19">
        <f t="shared" si="26"/>
        <v>0</v>
      </c>
      <c r="L89" s="19">
        <f t="shared" si="26"/>
        <v>0</v>
      </c>
      <c r="M89" s="19">
        <f t="shared" si="26"/>
        <v>0</v>
      </c>
      <c r="N89" s="19">
        <f t="shared" si="26"/>
        <v>0</v>
      </c>
      <c r="O89" s="19">
        <f t="shared" si="26"/>
        <v>0</v>
      </c>
      <c r="P89" s="19">
        <f t="shared" si="26"/>
        <v>0</v>
      </c>
      <c r="Q89" s="1759">
        <f t="shared" si="26"/>
        <v>0</v>
      </c>
      <c r="R89" s="1759">
        <f t="shared" si="27"/>
        <v>0</v>
      </c>
      <c r="S89" s="1759">
        <f t="shared" si="27"/>
        <v>0</v>
      </c>
      <c r="T89" s="19">
        <f t="shared" si="27"/>
        <v>0</v>
      </c>
      <c r="U89" s="19">
        <f t="shared" si="27"/>
        <v>0</v>
      </c>
      <c r="V89" s="19">
        <f t="shared" si="27"/>
        <v>0</v>
      </c>
      <c r="W89" s="19">
        <f t="shared" si="27"/>
        <v>0</v>
      </c>
      <c r="X89" s="19">
        <f t="shared" si="27"/>
        <v>0</v>
      </c>
      <c r="Y89" s="19">
        <f t="shared" si="27"/>
        <v>0</v>
      </c>
      <c r="Z89" s="602">
        <f t="shared" si="28"/>
        <v>0</v>
      </c>
      <c r="AA89" s="86"/>
      <c r="AB89" s="86"/>
      <c r="AC89" s="86"/>
      <c r="AD89" s="86"/>
      <c r="AE89" s="86"/>
    </row>
    <row r="90" spans="1:31" hidden="1">
      <c r="A90" s="411"/>
      <c r="C90" s="336">
        <f t="shared" si="23"/>
        <v>68</v>
      </c>
      <c r="D90" s="165" t="str">
        <f>Asset_Sum!E82</f>
        <v>390</v>
      </c>
      <c r="E90" s="247" t="str">
        <f>Asset_Sum!F82</f>
        <v>STRUC &amp; IMP, RC WHSE</v>
      </c>
      <c r="F90" s="19">
        <f>Asset_Sum!G82</f>
        <v>0</v>
      </c>
      <c r="G90" s="906" t="s">
        <v>1067</v>
      </c>
      <c r="H90" s="19">
        <f t="shared" si="26"/>
        <v>0</v>
      </c>
      <c r="I90" s="19">
        <f t="shared" si="26"/>
        <v>0</v>
      </c>
      <c r="J90" s="19">
        <f t="shared" si="26"/>
        <v>0</v>
      </c>
      <c r="K90" s="19">
        <f t="shared" si="26"/>
        <v>0</v>
      </c>
      <c r="L90" s="19">
        <f t="shared" si="26"/>
        <v>0</v>
      </c>
      <c r="M90" s="19">
        <f t="shared" si="26"/>
        <v>0</v>
      </c>
      <c r="N90" s="19">
        <f t="shared" si="26"/>
        <v>0</v>
      </c>
      <c r="O90" s="19">
        <f t="shared" si="26"/>
        <v>0</v>
      </c>
      <c r="P90" s="19">
        <f t="shared" si="26"/>
        <v>0</v>
      </c>
      <c r="Q90" s="1759">
        <f t="shared" si="26"/>
        <v>0</v>
      </c>
      <c r="R90" s="1759">
        <f t="shared" si="27"/>
        <v>0</v>
      </c>
      <c r="S90" s="1759">
        <f t="shared" si="27"/>
        <v>0</v>
      </c>
      <c r="T90" s="19">
        <f t="shared" si="27"/>
        <v>0</v>
      </c>
      <c r="U90" s="19">
        <f t="shared" si="27"/>
        <v>0</v>
      </c>
      <c r="V90" s="19">
        <f t="shared" si="27"/>
        <v>0</v>
      </c>
      <c r="W90" s="19">
        <f t="shared" si="27"/>
        <v>0</v>
      </c>
      <c r="X90" s="19">
        <f t="shared" si="27"/>
        <v>0</v>
      </c>
      <c r="Y90" s="19">
        <f t="shared" si="27"/>
        <v>0</v>
      </c>
      <c r="Z90" s="602">
        <f t="shared" si="28"/>
        <v>0</v>
      </c>
      <c r="AA90" s="86"/>
      <c r="AB90" s="86"/>
      <c r="AC90" s="86"/>
      <c r="AD90" s="86"/>
      <c r="AE90" s="86"/>
    </row>
    <row r="91" spans="1:31" hidden="1">
      <c r="A91" s="411"/>
      <c r="C91" s="336">
        <f t="shared" si="23"/>
        <v>69</v>
      </c>
      <c r="D91" s="165" t="str">
        <f>Asset_Sum!E83</f>
        <v>390</v>
      </c>
      <c r="E91" s="247" t="str">
        <f>Asset_Sum!F83</f>
        <v>STRUC &amp; IMP, RC OFFICE</v>
      </c>
      <c r="F91" s="19">
        <f>Asset_Sum!G83</f>
        <v>0</v>
      </c>
      <c r="G91" s="906" t="s">
        <v>1067</v>
      </c>
      <c r="H91" s="19">
        <f t="shared" si="26"/>
        <v>0</v>
      </c>
      <c r="I91" s="19">
        <f t="shared" si="26"/>
        <v>0</v>
      </c>
      <c r="J91" s="19">
        <f t="shared" si="26"/>
        <v>0</v>
      </c>
      <c r="K91" s="19">
        <f t="shared" si="26"/>
        <v>0</v>
      </c>
      <c r="L91" s="19">
        <f t="shared" si="26"/>
        <v>0</v>
      </c>
      <c r="M91" s="19">
        <f t="shared" si="26"/>
        <v>0</v>
      </c>
      <c r="N91" s="19">
        <f t="shared" si="26"/>
        <v>0</v>
      </c>
      <c r="O91" s="19">
        <f t="shared" si="26"/>
        <v>0</v>
      </c>
      <c r="P91" s="19">
        <f t="shared" si="26"/>
        <v>0</v>
      </c>
      <c r="Q91" s="1759">
        <f t="shared" si="26"/>
        <v>0</v>
      </c>
      <c r="R91" s="1759">
        <f t="shared" si="27"/>
        <v>0</v>
      </c>
      <c r="S91" s="1759">
        <f t="shared" si="27"/>
        <v>0</v>
      </c>
      <c r="T91" s="19">
        <f t="shared" si="27"/>
        <v>0</v>
      </c>
      <c r="U91" s="19">
        <f t="shared" si="27"/>
        <v>0</v>
      </c>
      <c r="V91" s="19">
        <f t="shared" si="27"/>
        <v>0</v>
      </c>
      <c r="W91" s="19">
        <f t="shared" si="27"/>
        <v>0</v>
      </c>
      <c r="X91" s="19">
        <f t="shared" si="27"/>
        <v>0</v>
      </c>
      <c r="Y91" s="19">
        <f t="shared" si="27"/>
        <v>0</v>
      </c>
      <c r="Z91" s="602">
        <f t="shared" si="28"/>
        <v>0</v>
      </c>
      <c r="AA91" s="86"/>
      <c r="AB91" s="86"/>
      <c r="AC91" s="86"/>
      <c r="AD91" s="86"/>
      <c r="AE91" s="86"/>
    </row>
    <row r="92" spans="1:31">
      <c r="A92" s="411"/>
      <c r="C92" s="336">
        <f t="shared" si="23"/>
        <v>70</v>
      </c>
      <c r="D92" s="165" t="str">
        <f>Asset_Sum!E84</f>
        <v>391</v>
      </c>
      <c r="E92" s="247" t="str">
        <f>Asset_Sum!F84</f>
        <v>OFFICE F&amp;E</v>
      </c>
      <c r="F92" s="574">
        <f>Asset_Sum!G84</f>
        <v>24391546.970000003</v>
      </c>
      <c r="G92" s="906" t="s">
        <v>1067</v>
      </c>
      <c r="H92" s="19">
        <f t="shared" ref="H92:Q101" si="29">$F92*SUMIF($E$338:$E$359,$G92,H$338:H$359)</f>
        <v>0</v>
      </c>
      <c r="I92" s="19">
        <f t="shared" si="29"/>
        <v>562022.7802867014</v>
      </c>
      <c r="J92" s="19">
        <f t="shared" si="29"/>
        <v>2546699.4401893886</v>
      </c>
      <c r="K92" s="19">
        <f t="shared" si="29"/>
        <v>3856886.7691475768</v>
      </c>
      <c r="L92" s="19">
        <f t="shared" si="29"/>
        <v>717818.48979825876</v>
      </c>
      <c r="M92" s="19">
        <f t="shared" si="29"/>
        <v>0</v>
      </c>
      <c r="N92" s="19">
        <f t="shared" si="29"/>
        <v>0</v>
      </c>
      <c r="O92" s="19">
        <f t="shared" si="29"/>
        <v>1173639.7506849847</v>
      </c>
      <c r="P92" s="19">
        <f t="shared" si="29"/>
        <v>727075.95273203519</v>
      </c>
      <c r="Q92" s="1759">
        <f t="shared" si="29"/>
        <v>4575539.8016443076</v>
      </c>
      <c r="R92" s="1759">
        <f t="shared" ref="R92:Y101" si="30">$F92*SUMIF($E$338:$E$359,$G92,R$338:R$359)</f>
        <v>540305.29681375797</v>
      </c>
      <c r="S92" s="1759">
        <f t="shared" si="30"/>
        <v>1421862.5543072552</v>
      </c>
      <c r="T92" s="19">
        <f t="shared" si="30"/>
        <v>321522.47713494435</v>
      </c>
      <c r="U92" s="19">
        <f t="shared" si="30"/>
        <v>2649851.8982303003</v>
      </c>
      <c r="V92" s="19">
        <f t="shared" si="30"/>
        <v>4923645.8272314221</v>
      </c>
      <c r="W92" s="19">
        <f t="shared" si="30"/>
        <v>107390.74274529946</v>
      </c>
      <c r="X92" s="19">
        <f t="shared" si="30"/>
        <v>267285.5032495929</v>
      </c>
      <c r="Y92" s="19">
        <f t="shared" si="30"/>
        <v>0</v>
      </c>
      <c r="Z92" s="602">
        <f t="shared" si="28"/>
        <v>0.31419582292437553</v>
      </c>
      <c r="AA92" s="86"/>
      <c r="AB92" s="86"/>
      <c r="AC92" s="86"/>
      <c r="AD92" s="86"/>
      <c r="AE92" s="86"/>
    </row>
    <row r="93" spans="1:31" hidden="1">
      <c r="A93" s="411"/>
      <c r="C93" s="336">
        <f>MAX(C87:C91)+1</f>
        <v>70</v>
      </c>
      <c r="D93" s="165" t="str">
        <f>Asset_Sum!E85</f>
        <v>391</v>
      </c>
      <c r="E93" s="247" t="str">
        <f>Asset_Sum!F85</f>
        <v>OFFICE F&amp;E, EPH OFFICE</v>
      </c>
      <c r="F93" s="19">
        <f>Asset_Sum!G85</f>
        <v>0</v>
      </c>
      <c r="G93" s="906" t="s">
        <v>1067</v>
      </c>
      <c r="H93" s="19">
        <f t="shared" si="29"/>
        <v>0</v>
      </c>
      <c r="I93" s="19">
        <f t="shared" si="29"/>
        <v>0</v>
      </c>
      <c r="J93" s="19">
        <f t="shared" si="29"/>
        <v>0</v>
      </c>
      <c r="K93" s="19">
        <f t="shared" si="29"/>
        <v>0</v>
      </c>
      <c r="L93" s="19">
        <f t="shared" si="29"/>
        <v>0</v>
      </c>
      <c r="M93" s="19">
        <f t="shared" si="29"/>
        <v>0</v>
      </c>
      <c r="N93" s="19">
        <f t="shared" si="29"/>
        <v>0</v>
      </c>
      <c r="O93" s="19">
        <f t="shared" si="29"/>
        <v>0</v>
      </c>
      <c r="P93" s="19">
        <f t="shared" si="29"/>
        <v>0</v>
      </c>
      <c r="Q93" s="1759">
        <f t="shared" si="29"/>
        <v>0</v>
      </c>
      <c r="R93" s="1759">
        <f t="shared" si="30"/>
        <v>0</v>
      </c>
      <c r="S93" s="1759">
        <f t="shared" si="30"/>
        <v>0</v>
      </c>
      <c r="T93" s="19">
        <f t="shared" si="30"/>
        <v>0</v>
      </c>
      <c r="U93" s="19">
        <f t="shared" si="30"/>
        <v>0</v>
      </c>
      <c r="V93" s="19">
        <f t="shared" si="30"/>
        <v>0</v>
      </c>
      <c r="W93" s="19">
        <f t="shared" si="30"/>
        <v>0</v>
      </c>
      <c r="X93" s="19">
        <f t="shared" si="30"/>
        <v>0</v>
      </c>
      <c r="Y93" s="19">
        <f t="shared" si="30"/>
        <v>0</v>
      </c>
      <c r="Z93" s="602">
        <f t="shared" si="28"/>
        <v>0</v>
      </c>
      <c r="AA93" s="86"/>
      <c r="AB93" s="86"/>
      <c r="AC93" s="86"/>
      <c r="AD93" s="86"/>
      <c r="AE93" s="86"/>
    </row>
    <row r="94" spans="1:31" hidden="1">
      <c r="A94" s="411"/>
      <c r="C94" s="336">
        <f>MAX(C88:C93)+1</f>
        <v>71</v>
      </c>
      <c r="D94" s="165" t="str">
        <f>Asset_Sum!E86</f>
        <v>391</v>
      </c>
      <c r="E94" s="247" t="str">
        <f>Asset_Sum!F86</f>
        <v>OFFICE F&amp;E, EPH WHSE</v>
      </c>
      <c r="F94" s="19">
        <f>Asset_Sum!G86</f>
        <v>0</v>
      </c>
      <c r="G94" s="906" t="s">
        <v>1067</v>
      </c>
      <c r="H94" s="19">
        <f t="shared" si="29"/>
        <v>0</v>
      </c>
      <c r="I94" s="19">
        <f t="shared" si="29"/>
        <v>0</v>
      </c>
      <c r="J94" s="19">
        <f t="shared" si="29"/>
        <v>0</v>
      </c>
      <c r="K94" s="19">
        <f t="shared" si="29"/>
        <v>0</v>
      </c>
      <c r="L94" s="19">
        <f t="shared" si="29"/>
        <v>0</v>
      </c>
      <c r="M94" s="19">
        <f t="shared" si="29"/>
        <v>0</v>
      </c>
      <c r="N94" s="19">
        <f t="shared" si="29"/>
        <v>0</v>
      </c>
      <c r="O94" s="19">
        <f t="shared" si="29"/>
        <v>0</v>
      </c>
      <c r="P94" s="19">
        <f t="shared" si="29"/>
        <v>0</v>
      </c>
      <c r="Q94" s="1759">
        <f t="shared" si="29"/>
        <v>0</v>
      </c>
      <c r="R94" s="1759">
        <f t="shared" si="30"/>
        <v>0</v>
      </c>
      <c r="S94" s="1759">
        <f t="shared" si="30"/>
        <v>0</v>
      </c>
      <c r="T94" s="19">
        <f t="shared" si="30"/>
        <v>0</v>
      </c>
      <c r="U94" s="19">
        <f t="shared" si="30"/>
        <v>0</v>
      </c>
      <c r="V94" s="19">
        <f t="shared" si="30"/>
        <v>0</v>
      </c>
      <c r="W94" s="19">
        <f t="shared" si="30"/>
        <v>0</v>
      </c>
      <c r="X94" s="19">
        <f t="shared" si="30"/>
        <v>0</v>
      </c>
      <c r="Y94" s="19">
        <f t="shared" si="30"/>
        <v>0</v>
      </c>
      <c r="Z94" s="602">
        <f t="shared" si="28"/>
        <v>0</v>
      </c>
      <c r="AA94" s="86"/>
      <c r="AB94" s="86"/>
      <c r="AC94" s="86"/>
      <c r="AD94" s="86"/>
      <c r="AE94" s="86"/>
    </row>
    <row r="95" spans="1:31" hidden="1">
      <c r="A95" s="411"/>
      <c r="C95" s="336">
        <f>MAX(C89:C94)+1</f>
        <v>72</v>
      </c>
      <c r="D95" s="165" t="str">
        <f>Asset_Sum!E87</f>
        <v>391</v>
      </c>
      <c r="E95" s="247" t="str">
        <f>Asset_Sum!F87</f>
        <v>OFFICE F&amp;E, EPH LINE</v>
      </c>
      <c r="F95" s="19">
        <f>Asset_Sum!G87</f>
        <v>0</v>
      </c>
      <c r="G95" s="906" t="s">
        <v>1067</v>
      </c>
      <c r="H95" s="19">
        <f t="shared" si="29"/>
        <v>0</v>
      </c>
      <c r="I95" s="19">
        <f t="shared" si="29"/>
        <v>0</v>
      </c>
      <c r="J95" s="19">
        <f t="shared" si="29"/>
        <v>0</v>
      </c>
      <c r="K95" s="19">
        <f t="shared" si="29"/>
        <v>0</v>
      </c>
      <c r="L95" s="19">
        <f t="shared" si="29"/>
        <v>0</v>
      </c>
      <c r="M95" s="19">
        <f t="shared" si="29"/>
        <v>0</v>
      </c>
      <c r="N95" s="19">
        <f t="shared" si="29"/>
        <v>0</v>
      </c>
      <c r="O95" s="19">
        <f t="shared" si="29"/>
        <v>0</v>
      </c>
      <c r="P95" s="19">
        <f t="shared" si="29"/>
        <v>0</v>
      </c>
      <c r="Q95" s="1759">
        <f t="shared" si="29"/>
        <v>0</v>
      </c>
      <c r="R95" s="1759">
        <f t="shared" si="30"/>
        <v>0</v>
      </c>
      <c r="S95" s="1759">
        <f t="shared" si="30"/>
        <v>0</v>
      </c>
      <c r="T95" s="19">
        <f t="shared" si="30"/>
        <v>0</v>
      </c>
      <c r="U95" s="19">
        <f t="shared" si="30"/>
        <v>0</v>
      </c>
      <c r="V95" s="19">
        <f t="shared" si="30"/>
        <v>0</v>
      </c>
      <c r="W95" s="19">
        <f t="shared" si="30"/>
        <v>0</v>
      </c>
      <c r="X95" s="19">
        <f t="shared" si="30"/>
        <v>0</v>
      </c>
      <c r="Y95" s="19">
        <f t="shared" si="30"/>
        <v>0</v>
      </c>
      <c r="Z95" s="602">
        <f t="shared" si="28"/>
        <v>0</v>
      </c>
      <c r="AA95" s="86"/>
      <c r="AB95" s="86"/>
      <c r="AC95" s="86"/>
      <c r="AD95" s="86"/>
      <c r="AE95" s="86"/>
    </row>
    <row r="96" spans="1:31" hidden="1">
      <c r="A96" s="411"/>
      <c r="C96" s="336">
        <f>MAX(C90:C95)+1</f>
        <v>73</v>
      </c>
      <c r="D96" s="165" t="str">
        <f>Asset_Sum!E88</f>
        <v>391</v>
      </c>
      <c r="E96" s="247" t="str">
        <f>Asset_Sum!F88</f>
        <v>OFFICE F&amp;E, EPH METER SHOP</v>
      </c>
      <c r="F96" s="19">
        <f>Asset_Sum!G88</f>
        <v>0</v>
      </c>
      <c r="G96" s="906" t="s">
        <v>1067</v>
      </c>
      <c r="H96" s="19">
        <f t="shared" si="29"/>
        <v>0</v>
      </c>
      <c r="I96" s="19">
        <f t="shared" si="29"/>
        <v>0</v>
      </c>
      <c r="J96" s="19">
        <f t="shared" si="29"/>
        <v>0</v>
      </c>
      <c r="K96" s="19">
        <f t="shared" si="29"/>
        <v>0</v>
      </c>
      <c r="L96" s="19">
        <f t="shared" si="29"/>
        <v>0</v>
      </c>
      <c r="M96" s="19">
        <f t="shared" si="29"/>
        <v>0</v>
      </c>
      <c r="N96" s="19">
        <f t="shared" si="29"/>
        <v>0</v>
      </c>
      <c r="O96" s="19">
        <f t="shared" si="29"/>
        <v>0</v>
      </c>
      <c r="P96" s="19">
        <f t="shared" si="29"/>
        <v>0</v>
      </c>
      <c r="Q96" s="1759">
        <f t="shared" si="29"/>
        <v>0</v>
      </c>
      <c r="R96" s="1759">
        <f t="shared" si="30"/>
        <v>0</v>
      </c>
      <c r="S96" s="1759">
        <f t="shared" si="30"/>
        <v>0</v>
      </c>
      <c r="T96" s="19">
        <f t="shared" si="30"/>
        <v>0</v>
      </c>
      <c r="U96" s="19">
        <f t="shared" si="30"/>
        <v>0</v>
      </c>
      <c r="V96" s="19">
        <f t="shared" si="30"/>
        <v>0</v>
      </c>
      <c r="W96" s="19">
        <f t="shared" si="30"/>
        <v>0</v>
      </c>
      <c r="X96" s="19">
        <f t="shared" si="30"/>
        <v>0</v>
      </c>
      <c r="Y96" s="19">
        <f t="shared" si="30"/>
        <v>0</v>
      </c>
      <c r="Z96" s="602">
        <f t="shared" si="28"/>
        <v>0</v>
      </c>
      <c r="AA96" s="86"/>
      <c r="AB96" s="86"/>
      <c r="AC96" s="86"/>
      <c r="AD96" s="86"/>
      <c r="AE96" s="86"/>
    </row>
    <row r="97" spans="1:31" hidden="1">
      <c r="A97" s="411"/>
      <c r="C97" s="336">
        <f>MAX(C91:C96)+1</f>
        <v>74</v>
      </c>
      <c r="D97" s="165" t="str">
        <f>Asset_Sum!E89</f>
        <v>391</v>
      </c>
      <c r="E97" s="247" t="str">
        <f>Asset_Sum!F89</f>
        <v>OFFICE F&amp;E, EPH GARAGE</v>
      </c>
      <c r="F97" s="19">
        <f>Asset_Sum!G89</f>
        <v>0</v>
      </c>
      <c r="G97" s="906" t="s">
        <v>1067</v>
      </c>
      <c r="H97" s="19">
        <f t="shared" si="29"/>
        <v>0</v>
      </c>
      <c r="I97" s="19">
        <f t="shared" si="29"/>
        <v>0</v>
      </c>
      <c r="J97" s="19">
        <f t="shared" si="29"/>
        <v>0</v>
      </c>
      <c r="K97" s="19">
        <f t="shared" si="29"/>
        <v>0</v>
      </c>
      <c r="L97" s="19">
        <f t="shared" si="29"/>
        <v>0</v>
      </c>
      <c r="M97" s="19">
        <f t="shared" si="29"/>
        <v>0</v>
      </c>
      <c r="N97" s="19">
        <f t="shared" si="29"/>
        <v>0</v>
      </c>
      <c r="O97" s="19">
        <f t="shared" si="29"/>
        <v>0</v>
      </c>
      <c r="P97" s="19">
        <f t="shared" si="29"/>
        <v>0</v>
      </c>
      <c r="Q97" s="1759">
        <f t="shared" si="29"/>
        <v>0</v>
      </c>
      <c r="R97" s="1759">
        <f t="shared" si="30"/>
        <v>0</v>
      </c>
      <c r="S97" s="1759">
        <f t="shared" si="30"/>
        <v>0</v>
      </c>
      <c r="T97" s="19">
        <f t="shared" si="30"/>
        <v>0</v>
      </c>
      <c r="U97" s="19">
        <f t="shared" si="30"/>
        <v>0</v>
      </c>
      <c r="V97" s="19">
        <f t="shared" si="30"/>
        <v>0</v>
      </c>
      <c r="W97" s="19">
        <f t="shared" si="30"/>
        <v>0</v>
      </c>
      <c r="X97" s="19">
        <f t="shared" si="30"/>
        <v>0</v>
      </c>
      <c r="Y97" s="19">
        <f t="shared" si="30"/>
        <v>0</v>
      </c>
      <c r="Z97" s="602">
        <f t="shared" si="28"/>
        <v>0</v>
      </c>
      <c r="AA97" s="86"/>
      <c r="AB97" s="86"/>
      <c r="AC97" s="86"/>
      <c r="AD97" s="86"/>
      <c r="AE97" s="86"/>
    </row>
    <row r="98" spans="1:31" hidden="1">
      <c r="A98" s="411"/>
      <c r="C98" s="336">
        <f t="shared" si="23"/>
        <v>75</v>
      </c>
      <c r="D98" s="165" t="str">
        <f>Asset_Sum!E90</f>
        <v>391</v>
      </c>
      <c r="E98" s="247" t="str">
        <f>Asset_Sum!F90</f>
        <v>OFFICE F&amp;E, ML OFFICE</v>
      </c>
      <c r="F98" s="19">
        <f>Asset_Sum!G90</f>
        <v>0</v>
      </c>
      <c r="G98" s="906" t="s">
        <v>1067</v>
      </c>
      <c r="H98" s="19">
        <f t="shared" si="29"/>
        <v>0</v>
      </c>
      <c r="I98" s="19">
        <f t="shared" si="29"/>
        <v>0</v>
      </c>
      <c r="J98" s="19">
        <f t="shared" si="29"/>
        <v>0</v>
      </c>
      <c r="K98" s="19">
        <f t="shared" si="29"/>
        <v>0</v>
      </c>
      <c r="L98" s="19">
        <f t="shared" si="29"/>
        <v>0</v>
      </c>
      <c r="M98" s="19">
        <f t="shared" si="29"/>
        <v>0</v>
      </c>
      <c r="N98" s="19">
        <f t="shared" si="29"/>
        <v>0</v>
      </c>
      <c r="O98" s="19">
        <f t="shared" si="29"/>
        <v>0</v>
      </c>
      <c r="P98" s="19">
        <f t="shared" si="29"/>
        <v>0</v>
      </c>
      <c r="Q98" s="1759">
        <f t="shared" si="29"/>
        <v>0</v>
      </c>
      <c r="R98" s="1759">
        <f t="shared" si="30"/>
        <v>0</v>
      </c>
      <c r="S98" s="1759">
        <f t="shared" si="30"/>
        <v>0</v>
      </c>
      <c r="T98" s="19">
        <f t="shared" si="30"/>
        <v>0</v>
      </c>
      <c r="U98" s="19">
        <f t="shared" si="30"/>
        <v>0</v>
      </c>
      <c r="V98" s="19">
        <f t="shared" si="30"/>
        <v>0</v>
      </c>
      <c r="W98" s="19">
        <f t="shared" si="30"/>
        <v>0</v>
      </c>
      <c r="X98" s="19">
        <f t="shared" si="30"/>
        <v>0</v>
      </c>
      <c r="Y98" s="19">
        <f t="shared" si="30"/>
        <v>0</v>
      </c>
      <c r="Z98" s="602">
        <f t="shared" si="28"/>
        <v>0</v>
      </c>
      <c r="AA98" s="86"/>
      <c r="AB98" s="86"/>
      <c r="AC98" s="86"/>
      <c r="AD98" s="86"/>
      <c r="AE98" s="86"/>
    </row>
    <row r="99" spans="1:31" hidden="1">
      <c r="A99" s="411"/>
      <c r="C99" s="336">
        <f t="shared" si="23"/>
        <v>76</v>
      </c>
      <c r="D99" s="165" t="str">
        <f>Asset_Sum!E91</f>
        <v>391</v>
      </c>
      <c r="E99" s="247" t="str">
        <f>Asset_Sum!F91</f>
        <v>OFFICE F&amp;E, JOINT</v>
      </c>
      <c r="F99" s="19">
        <f>Asset_Sum!G91</f>
        <v>0</v>
      </c>
      <c r="G99" s="906" t="s">
        <v>1067</v>
      </c>
      <c r="H99" s="19">
        <f t="shared" si="29"/>
        <v>0</v>
      </c>
      <c r="I99" s="19">
        <f t="shared" si="29"/>
        <v>0</v>
      </c>
      <c r="J99" s="19">
        <f t="shared" si="29"/>
        <v>0</v>
      </c>
      <c r="K99" s="19">
        <f t="shared" si="29"/>
        <v>0</v>
      </c>
      <c r="L99" s="19">
        <f t="shared" si="29"/>
        <v>0</v>
      </c>
      <c r="M99" s="19">
        <f t="shared" si="29"/>
        <v>0</v>
      </c>
      <c r="N99" s="19">
        <f t="shared" si="29"/>
        <v>0</v>
      </c>
      <c r="O99" s="19">
        <f t="shared" si="29"/>
        <v>0</v>
      </c>
      <c r="P99" s="19">
        <f t="shared" si="29"/>
        <v>0</v>
      </c>
      <c r="Q99" s="1759">
        <f t="shared" si="29"/>
        <v>0</v>
      </c>
      <c r="R99" s="1759">
        <f t="shared" si="30"/>
        <v>0</v>
      </c>
      <c r="S99" s="1759">
        <f t="shared" si="30"/>
        <v>0</v>
      </c>
      <c r="T99" s="19">
        <f t="shared" si="30"/>
        <v>0</v>
      </c>
      <c r="U99" s="19">
        <f t="shared" si="30"/>
        <v>0</v>
      </c>
      <c r="V99" s="19">
        <f t="shared" si="30"/>
        <v>0</v>
      </c>
      <c r="W99" s="19">
        <f t="shared" si="30"/>
        <v>0</v>
      </c>
      <c r="X99" s="19">
        <f t="shared" si="30"/>
        <v>0</v>
      </c>
      <c r="Y99" s="19">
        <f t="shared" si="30"/>
        <v>0</v>
      </c>
      <c r="Z99" s="602">
        <f t="shared" si="28"/>
        <v>0</v>
      </c>
      <c r="AA99" s="86"/>
      <c r="AB99" s="86"/>
      <c r="AC99" s="86"/>
      <c r="AD99" s="86"/>
      <c r="AE99" s="86"/>
    </row>
    <row r="100" spans="1:31" hidden="1">
      <c r="A100" s="411"/>
      <c r="C100" s="336">
        <f t="shared" si="23"/>
        <v>77</v>
      </c>
      <c r="D100" s="165" t="str">
        <f>Asset_Sum!E92</f>
        <v>391</v>
      </c>
      <c r="E100" s="247" t="str">
        <f>Asset_Sum!F92</f>
        <v>OFFICE F&amp;E, QUINCY OFFICE</v>
      </c>
      <c r="F100" s="19">
        <f>Asset_Sum!G92</f>
        <v>0</v>
      </c>
      <c r="G100" s="906" t="s">
        <v>1067</v>
      </c>
      <c r="H100" s="19">
        <f t="shared" si="29"/>
        <v>0</v>
      </c>
      <c r="I100" s="19">
        <f t="shared" si="29"/>
        <v>0</v>
      </c>
      <c r="J100" s="19">
        <f t="shared" si="29"/>
        <v>0</v>
      </c>
      <c r="K100" s="19">
        <f t="shared" si="29"/>
        <v>0</v>
      </c>
      <c r="L100" s="19">
        <f t="shared" si="29"/>
        <v>0</v>
      </c>
      <c r="M100" s="19">
        <f t="shared" si="29"/>
        <v>0</v>
      </c>
      <c r="N100" s="19">
        <f t="shared" si="29"/>
        <v>0</v>
      </c>
      <c r="O100" s="19">
        <f t="shared" si="29"/>
        <v>0</v>
      </c>
      <c r="P100" s="19">
        <f t="shared" si="29"/>
        <v>0</v>
      </c>
      <c r="Q100" s="1759">
        <f t="shared" si="29"/>
        <v>0</v>
      </c>
      <c r="R100" s="1759">
        <f t="shared" si="30"/>
        <v>0</v>
      </c>
      <c r="S100" s="1759">
        <f t="shared" si="30"/>
        <v>0</v>
      </c>
      <c r="T100" s="19">
        <f t="shared" si="30"/>
        <v>0</v>
      </c>
      <c r="U100" s="19">
        <f t="shared" si="30"/>
        <v>0</v>
      </c>
      <c r="V100" s="19">
        <f t="shared" si="30"/>
        <v>0</v>
      </c>
      <c r="W100" s="19">
        <f t="shared" si="30"/>
        <v>0</v>
      </c>
      <c r="X100" s="19">
        <f t="shared" si="30"/>
        <v>0</v>
      </c>
      <c r="Y100" s="19">
        <f t="shared" si="30"/>
        <v>0</v>
      </c>
      <c r="Z100" s="602">
        <f t="shared" si="28"/>
        <v>0</v>
      </c>
      <c r="AA100" s="86"/>
      <c r="AB100" s="86"/>
      <c r="AC100" s="86"/>
      <c r="AD100" s="86"/>
      <c r="AE100" s="86"/>
    </row>
    <row r="101" spans="1:31" hidden="1">
      <c r="A101" s="411"/>
      <c r="C101" s="336">
        <f t="shared" si="23"/>
        <v>78</v>
      </c>
      <c r="D101" s="165" t="str">
        <f>Asset_Sum!E93</f>
        <v>391</v>
      </c>
      <c r="E101" s="247" t="str">
        <f>Asset_Sum!F93</f>
        <v>OFFICE F&amp;E, COULEE OFFICE</v>
      </c>
      <c r="F101" s="19">
        <f>Asset_Sum!G93</f>
        <v>0</v>
      </c>
      <c r="G101" s="906" t="s">
        <v>1067</v>
      </c>
      <c r="H101" s="19">
        <f t="shared" si="29"/>
        <v>0</v>
      </c>
      <c r="I101" s="19">
        <f t="shared" si="29"/>
        <v>0</v>
      </c>
      <c r="J101" s="19">
        <f t="shared" si="29"/>
        <v>0</v>
      </c>
      <c r="K101" s="19">
        <f t="shared" si="29"/>
        <v>0</v>
      </c>
      <c r="L101" s="19">
        <f t="shared" si="29"/>
        <v>0</v>
      </c>
      <c r="M101" s="19">
        <f t="shared" si="29"/>
        <v>0</v>
      </c>
      <c r="N101" s="19">
        <f t="shared" si="29"/>
        <v>0</v>
      </c>
      <c r="O101" s="19">
        <f t="shared" si="29"/>
        <v>0</v>
      </c>
      <c r="P101" s="19">
        <f t="shared" si="29"/>
        <v>0</v>
      </c>
      <c r="Q101" s="1759">
        <f t="shared" si="29"/>
        <v>0</v>
      </c>
      <c r="R101" s="1759">
        <f t="shared" si="30"/>
        <v>0</v>
      </c>
      <c r="S101" s="1759">
        <f t="shared" si="30"/>
        <v>0</v>
      </c>
      <c r="T101" s="19">
        <f t="shared" si="30"/>
        <v>0</v>
      </c>
      <c r="U101" s="19">
        <f t="shared" si="30"/>
        <v>0</v>
      </c>
      <c r="V101" s="19">
        <f t="shared" si="30"/>
        <v>0</v>
      </c>
      <c r="W101" s="19">
        <f t="shared" si="30"/>
        <v>0</v>
      </c>
      <c r="X101" s="19">
        <f t="shared" si="30"/>
        <v>0</v>
      </c>
      <c r="Y101" s="19">
        <f t="shared" si="30"/>
        <v>0</v>
      </c>
      <c r="Z101" s="602">
        <f t="shared" si="28"/>
        <v>0</v>
      </c>
      <c r="AA101" s="86"/>
      <c r="AB101" s="86"/>
      <c r="AC101" s="86"/>
      <c r="AD101" s="86"/>
      <c r="AE101" s="86"/>
    </row>
    <row r="102" spans="1:31" hidden="1">
      <c r="A102" s="411"/>
      <c r="C102" s="336">
        <f t="shared" si="23"/>
        <v>79</v>
      </c>
      <c r="D102" s="165" t="str">
        <f>Asset_Sum!E94</f>
        <v>391</v>
      </c>
      <c r="E102" s="247" t="str">
        <f>Asset_Sum!F94</f>
        <v>OFFICE F&amp;E, EDP JOINT</v>
      </c>
      <c r="F102" s="19">
        <f>Asset_Sum!G94</f>
        <v>0</v>
      </c>
      <c r="G102" s="906" t="s">
        <v>1067</v>
      </c>
      <c r="H102" s="19">
        <f t="shared" ref="H102:Q111" si="31">$F102*SUMIF($E$338:$E$359,$G102,H$338:H$359)</f>
        <v>0</v>
      </c>
      <c r="I102" s="19">
        <f t="shared" si="31"/>
        <v>0</v>
      </c>
      <c r="J102" s="19">
        <f t="shared" si="31"/>
        <v>0</v>
      </c>
      <c r="K102" s="19">
        <f t="shared" si="31"/>
        <v>0</v>
      </c>
      <c r="L102" s="19">
        <f t="shared" si="31"/>
        <v>0</v>
      </c>
      <c r="M102" s="19">
        <f t="shared" si="31"/>
        <v>0</v>
      </c>
      <c r="N102" s="19">
        <f t="shared" si="31"/>
        <v>0</v>
      </c>
      <c r="O102" s="19">
        <f t="shared" si="31"/>
        <v>0</v>
      </c>
      <c r="P102" s="19">
        <f t="shared" si="31"/>
        <v>0</v>
      </c>
      <c r="Q102" s="1759">
        <f t="shared" si="31"/>
        <v>0</v>
      </c>
      <c r="R102" s="1759">
        <f t="shared" ref="R102:Y111" si="32">$F102*SUMIF($E$338:$E$359,$G102,R$338:R$359)</f>
        <v>0</v>
      </c>
      <c r="S102" s="1759">
        <f t="shared" si="32"/>
        <v>0</v>
      </c>
      <c r="T102" s="19">
        <f t="shared" si="32"/>
        <v>0</v>
      </c>
      <c r="U102" s="19">
        <f t="shared" si="32"/>
        <v>0</v>
      </c>
      <c r="V102" s="19">
        <f t="shared" si="32"/>
        <v>0</v>
      </c>
      <c r="W102" s="19">
        <f t="shared" si="32"/>
        <v>0</v>
      </c>
      <c r="X102" s="19">
        <f t="shared" si="32"/>
        <v>0</v>
      </c>
      <c r="Y102" s="19">
        <f t="shared" si="32"/>
        <v>0</v>
      </c>
      <c r="Z102" s="602">
        <f t="shared" si="28"/>
        <v>0</v>
      </c>
      <c r="AA102" s="86"/>
      <c r="AB102" s="86"/>
      <c r="AC102" s="86"/>
      <c r="AD102" s="86"/>
      <c r="AE102" s="86"/>
    </row>
    <row r="103" spans="1:31">
      <c r="A103" s="411"/>
      <c r="C103" s="336">
        <f t="shared" si="23"/>
        <v>80</v>
      </c>
      <c r="D103" s="165" t="str">
        <f>Asset_Sum!E95</f>
        <v>391</v>
      </c>
      <c r="E103" s="247" t="str">
        <f>Asset_Sum!F95</f>
        <v>WFON-G/OFFICE F&amp;E, EDP JOINT</v>
      </c>
      <c r="F103" s="19">
        <f>Asset_Sum!G95</f>
        <v>54646.68</v>
      </c>
      <c r="G103" s="906" t="s">
        <v>1067</v>
      </c>
      <c r="H103" s="19">
        <f t="shared" si="31"/>
        <v>0</v>
      </c>
      <c r="I103" s="19">
        <f t="shared" si="31"/>
        <v>1259.1525689130031</v>
      </c>
      <c r="J103" s="19">
        <f t="shared" si="31"/>
        <v>5705.6106172920054</v>
      </c>
      <c r="K103" s="19">
        <f t="shared" si="31"/>
        <v>8640.9466906330235</v>
      </c>
      <c r="L103" s="19">
        <f t="shared" si="31"/>
        <v>1608.1963705842272</v>
      </c>
      <c r="M103" s="19">
        <f t="shared" si="31"/>
        <v>0</v>
      </c>
      <c r="N103" s="19">
        <f t="shared" si="31"/>
        <v>0</v>
      </c>
      <c r="O103" s="19">
        <f t="shared" si="31"/>
        <v>2629.4156729724691</v>
      </c>
      <c r="P103" s="19">
        <f t="shared" si="31"/>
        <v>1628.9367367109085</v>
      </c>
      <c r="Q103" s="1759">
        <f t="shared" si="31"/>
        <v>10251.012765826224</v>
      </c>
      <c r="R103" s="1759">
        <f t="shared" si="32"/>
        <v>1210.4968452227058</v>
      </c>
      <c r="S103" s="1759">
        <f t="shared" si="32"/>
        <v>3185.5325988457053</v>
      </c>
      <c r="T103" s="19">
        <f t="shared" si="32"/>
        <v>720.33708818922935</v>
      </c>
      <c r="U103" s="19">
        <f t="shared" si="32"/>
        <v>5936.7127844775541</v>
      </c>
      <c r="V103" s="19">
        <f t="shared" si="32"/>
        <v>11030.90748139009</v>
      </c>
      <c r="W103" s="19">
        <f t="shared" si="32"/>
        <v>240.59759559254803</v>
      </c>
      <c r="X103" s="19">
        <f t="shared" si="32"/>
        <v>598.8248872728002</v>
      </c>
      <c r="Y103" s="19">
        <f t="shared" si="32"/>
        <v>0</v>
      </c>
      <c r="Z103" s="602">
        <f t="shared" si="28"/>
        <v>7.0392248744610697E-4</v>
      </c>
      <c r="AA103" s="86"/>
      <c r="AB103" s="86"/>
      <c r="AC103" s="86"/>
      <c r="AD103" s="86"/>
      <c r="AE103" s="86"/>
    </row>
    <row r="104" spans="1:31" hidden="1">
      <c r="A104" s="411"/>
      <c r="C104" s="336">
        <f t="shared" si="23"/>
        <v>81</v>
      </c>
      <c r="D104" s="165" t="str">
        <f>Asset_Sum!E96</f>
        <v>391</v>
      </c>
      <c r="E104" s="247" t="str">
        <f>Asset_Sum!F96</f>
        <v>OFFICE F&amp;E, RC OFFICE</v>
      </c>
      <c r="F104" s="19">
        <f>Asset_Sum!G96</f>
        <v>0</v>
      </c>
      <c r="G104" s="906" t="s">
        <v>1067</v>
      </c>
      <c r="H104" s="19">
        <f t="shared" si="31"/>
        <v>0</v>
      </c>
      <c r="I104" s="19">
        <f t="shared" si="31"/>
        <v>0</v>
      </c>
      <c r="J104" s="19">
        <f t="shared" si="31"/>
        <v>0</v>
      </c>
      <c r="K104" s="19">
        <f t="shared" si="31"/>
        <v>0</v>
      </c>
      <c r="L104" s="19">
        <f t="shared" si="31"/>
        <v>0</v>
      </c>
      <c r="M104" s="19">
        <f t="shared" si="31"/>
        <v>0</v>
      </c>
      <c r="N104" s="19">
        <f t="shared" si="31"/>
        <v>0</v>
      </c>
      <c r="O104" s="19">
        <f t="shared" si="31"/>
        <v>0</v>
      </c>
      <c r="P104" s="19">
        <f t="shared" si="31"/>
        <v>0</v>
      </c>
      <c r="Q104" s="1759">
        <f t="shared" si="31"/>
        <v>0</v>
      </c>
      <c r="R104" s="1759">
        <f t="shared" si="32"/>
        <v>0</v>
      </c>
      <c r="S104" s="1759">
        <f t="shared" si="32"/>
        <v>0</v>
      </c>
      <c r="T104" s="19">
        <f t="shared" si="32"/>
        <v>0</v>
      </c>
      <c r="U104" s="19">
        <f t="shared" si="32"/>
        <v>0</v>
      </c>
      <c r="V104" s="19">
        <f t="shared" si="32"/>
        <v>0</v>
      </c>
      <c r="W104" s="19">
        <f t="shared" si="32"/>
        <v>0</v>
      </c>
      <c r="X104" s="19">
        <f t="shared" si="32"/>
        <v>0</v>
      </c>
      <c r="Y104" s="19">
        <f t="shared" si="32"/>
        <v>0</v>
      </c>
      <c r="Z104" s="602">
        <f t="shared" si="28"/>
        <v>0</v>
      </c>
      <c r="AA104" s="86"/>
      <c r="AB104" s="86"/>
      <c r="AC104" s="86"/>
      <c r="AD104" s="86"/>
      <c r="AE104" s="86"/>
    </row>
    <row r="105" spans="1:31">
      <c r="A105" s="411"/>
      <c r="C105" s="336">
        <f t="shared" si="23"/>
        <v>82</v>
      </c>
      <c r="D105" s="165" t="str">
        <f>Asset_Sum!E97</f>
        <v>392</v>
      </c>
      <c r="E105" s="247" t="str">
        <f>Asset_Sum!F97</f>
        <v>TRANSPORTATION EQUIP</v>
      </c>
      <c r="F105" s="19">
        <f>Asset_Sum!G97</f>
        <v>18239460.589999992</v>
      </c>
      <c r="G105" s="906" t="s">
        <v>1067</v>
      </c>
      <c r="H105" s="19">
        <f t="shared" si="31"/>
        <v>0</v>
      </c>
      <c r="I105" s="19">
        <f t="shared" si="31"/>
        <v>420268.23326661327</v>
      </c>
      <c r="J105" s="19">
        <f t="shared" si="31"/>
        <v>1904365.6448293487</v>
      </c>
      <c r="K105" s="19">
        <f t="shared" si="31"/>
        <v>2884094.8182779248</v>
      </c>
      <c r="L105" s="19">
        <f t="shared" si="31"/>
        <v>536768.82698550099</v>
      </c>
      <c r="M105" s="19">
        <f t="shared" si="31"/>
        <v>0</v>
      </c>
      <c r="N105" s="19">
        <f t="shared" si="31"/>
        <v>0</v>
      </c>
      <c r="O105" s="19">
        <f t="shared" si="31"/>
        <v>877621.90753234515</v>
      </c>
      <c r="P105" s="19">
        <f t="shared" si="31"/>
        <v>543691.35348829627</v>
      </c>
      <c r="Q105" s="1759">
        <f t="shared" si="31"/>
        <v>3421487.6978779724</v>
      </c>
      <c r="R105" s="1759">
        <f t="shared" si="32"/>
        <v>404028.37835269887</v>
      </c>
      <c r="S105" s="1759">
        <f t="shared" si="32"/>
        <v>1063237.4426919713</v>
      </c>
      <c r="T105" s="19">
        <f t="shared" si="32"/>
        <v>240427.41355088353</v>
      </c>
      <c r="U105" s="19">
        <f t="shared" si="32"/>
        <v>1981500.7767466838</v>
      </c>
      <c r="V105" s="19">
        <f t="shared" si="32"/>
        <v>3681793.702357593</v>
      </c>
      <c r="W105" s="19">
        <f t="shared" si="32"/>
        <v>80304.427695498351</v>
      </c>
      <c r="X105" s="19">
        <f t="shared" si="32"/>
        <v>199870.20129536555</v>
      </c>
      <c r="Y105" s="19">
        <f t="shared" si="32"/>
        <v>0</v>
      </c>
      <c r="Z105" s="602">
        <f t="shared" si="28"/>
        <v>0.23494870215654373</v>
      </c>
      <c r="AA105" s="86"/>
      <c r="AB105" s="86"/>
      <c r="AC105" s="86"/>
      <c r="AD105" s="86"/>
      <c r="AE105" s="86"/>
    </row>
    <row r="106" spans="1:31">
      <c r="A106" s="411"/>
      <c r="C106" s="336">
        <f t="shared" si="23"/>
        <v>83</v>
      </c>
      <c r="D106" s="165" t="str">
        <f>Asset_Sum!E98</f>
        <v>393</v>
      </c>
      <c r="E106" s="247" t="str">
        <f>Asset_Sum!F98</f>
        <v>STORES EQUIP</v>
      </c>
      <c r="F106" s="19">
        <f>Asset_Sum!G98</f>
        <v>210943.86</v>
      </c>
      <c r="G106" s="906" t="s">
        <v>1067</v>
      </c>
      <c r="H106" s="19">
        <f t="shared" si="31"/>
        <v>0</v>
      </c>
      <c r="I106" s="19">
        <f t="shared" si="31"/>
        <v>4860.5057656828349</v>
      </c>
      <c r="J106" s="19">
        <f t="shared" si="31"/>
        <v>22024.458343463106</v>
      </c>
      <c r="K106" s="19">
        <f t="shared" si="31"/>
        <v>33355.26785847477</v>
      </c>
      <c r="L106" s="19">
        <f t="shared" si="31"/>
        <v>6207.8638638070479</v>
      </c>
      <c r="M106" s="19">
        <f t="shared" si="31"/>
        <v>0</v>
      </c>
      <c r="N106" s="19">
        <f t="shared" si="31"/>
        <v>0</v>
      </c>
      <c r="O106" s="19">
        <f t="shared" si="31"/>
        <v>10149.913802655719</v>
      </c>
      <c r="P106" s="19">
        <f t="shared" si="31"/>
        <v>6287.9245900684673</v>
      </c>
      <c r="Q106" s="1759">
        <f t="shared" si="31"/>
        <v>39570.349044674986</v>
      </c>
      <c r="R106" s="1759">
        <f t="shared" si="32"/>
        <v>4672.6878384761912</v>
      </c>
      <c r="S106" s="1759">
        <f t="shared" si="32"/>
        <v>12296.603243899623</v>
      </c>
      <c r="T106" s="19">
        <f t="shared" si="32"/>
        <v>2780.6023327271928</v>
      </c>
      <c r="U106" s="19">
        <f t="shared" si="32"/>
        <v>22916.545167410779</v>
      </c>
      <c r="V106" s="19">
        <f t="shared" si="32"/>
        <v>42580.852184017465</v>
      </c>
      <c r="W106" s="19">
        <f t="shared" si="32"/>
        <v>928.74051124443542</v>
      </c>
      <c r="X106" s="19">
        <f t="shared" si="32"/>
        <v>2311.5481706370697</v>
      </c>
      <c r="Y106" s="19">
        <f t="shared" si="32"/>
        <v>0</v>
      </c>
      <c r="Z106" s="602">
        <f t="shared" si="28"/>
        <v>2.7172397240065038E-3</v>
      </c>
      <c r="AA106" s="86"/>
      <c r="AB106" s="86"/>
      <c r="AC106" s="86"/>
      <c r="AD106" s="86"/>
      <c r="AE106" s="86"/>
    </row>
    <row r="107" spans="1:31" hidden="1">
      <c r="A107" s="411"/>
      <c r="C107" s="336">
        <f t="shared" si="23"/>
        <v>84</v>
      </c>
      <c r="D107" s="165" t="str">
        <f>Asset_Sum!E99</f>
        <v>393</v>
      </c>
      <c r="E107" s="247" t="str">
        <f>Asset_Sum!F99</f>
        <v>STORES EQUIP, EPH WHSE</v>
      </c>
      <c r="F107" s="19">
        <f>Asset_Sum!G99</f>
        <v>0</v>
      </c>
      <c r="G107" s="906" t="s">
        <v>1067</v>
      </c>
      <c r="H107" s="19">
        <f t="shared" si="31"/>
        <v>0</v>
      </c>
      <c r="I107" s="19">
        <f t="shared" si="31"/>
        <v>0</v>
      </c>
      <c r="J107" s="19">
        <f t="shared" si="31"/>
        <v>0</v>
      </c>
      <c r="K107" s="19">
        <f t="shared" si="31"/>
        <v>0</v>
      </c>
      <c r="L107" s="19">
        <f t="shared" si="31"/>
        <v>0</v>
      </c>
      <c r="M107" s="19">
        <f t="shared" si="31"/>
        <v>0</v>
      </c>
      <c r="N107" s="19">
        <f t="shared" si="31"/>
        <v>0</v>
      </c>
      <c r="O107" s="19">
        <f t="shared" si="31"/>
        <v>0</v>
      </c>
      <c r="P107" s="19">
        <f t="shared" si="31"/>
        <v>0</v>
      </c>
      <c r="Q107" s="1759">
        <f t="shared" si="31"/>
        <v>0</v>
      </c>
      <c r="R107" s="1759">
        <f t="shared" si="32"/>
        <v>0</v>
      </c>
      <c r="S107" s="1759">
        <f t="shared" si="32"/>
        <v>0</v>
      </c>
      <c r="T107" s="19">
        <f t="shared" si="32"/>
        <v>0</v>
      </c>
      <c r="U107" s="19">
        <f t="shared" si="32"/>
        <v>0</v>
      </c>
      <c r="V107" s="19">
        <f t="shared" si="32"/>
        <v>0</v>
      </c>
      <c r="W107" s="19">
        <f t="shared" si="32"/>
        <v>0</v>
      </c>
      <c r="X107" s="19">
        <f t="shared" si="32"/>
        <v>0</v>
      </c>
      <c r="Y107" s="19">
        <f t="shared" si="32"/>
        <v>0</v>
      </c>
      <c r="Z107" s="602">
        <f t="shared" si="28"/>
        <v>0</v>
      </c>
      <c r="AA107" s="86"/>
      <c r="AB107" s="86"/>
      <c r="AC107" s="86"/>
      <c r="AD107" s="86"/>
      <c r="AE107" s="86"/>
    </row>
    <row r="108" spans="1:31" hidden="1">
      <c r="A108" s="411"/>
      <c r="C108" s="336">
        <f t="shared" si="23"/>
        <v>85</v>
      </c>
      <c r="D108" s="165" t="str">
        <f>Asset_Sum!E100</f>
        <v>393</v>
      </c>
      <c r="E108" s="247" t="str">
        <f>Asset_Sum!F100</f>
        <v>STORES EQUIP, ML WHSE</v>
      </c>
      <c r="F108" s="19">
        <f>Asset_Sum!G100</f>
        <v>0</v>
      </c>
      <c r="G108" s="906" t="s">
        <v>1067</v>
      </c>
      <c r="H108" s="19">
        <f t="shared" si="31"/>
        <v>0</v>
      </c>
      <c r="I108" s="19">
        <f t="shared" si="31"/>
        <v>0</v>
      </c>
      <c r="J108" s="19">
        <f t="shared" si="31"/>
        <v>0</v>
      </c>
      <c r="K108" s="19">
        <f t="shared" si="31"/>
        <v>0</v>
      </c>
      <c r="L108" s="19">
        <f t="shared" si="31"/>
        <v>0</v>
      </c>
      <c r="M108" s="19">
        <f t="shared" si="31"/>
        <v>0</v>
      </c>
      <c r="N108" s="19">
        <f t="shared" si="31"/>
        <v>0</v>
      </c>
      <c r="O108" s="19">
        <f t="shared" si="31"/>
        <v>0</v>
      </c>
      <c r="P108" s="19">
        <f t="shared" si="31"/>
        <v>0</v>
      </c>
      <c r="Q108" s="1759">
        <f t="shared" si="31"/>
        <v>0</v>
      </c>
      <c r="R108" s="1759">
        <f t="shared" si="32"/>
        <v>0</v>
      </c>
      <c r="S108" s="1759">
        <f t="shared" si="32"/>
        <v>0</v>
      </c>
      <c r="T108" s="19">
        <f t="shared" si="32"/>
        <v>0</v>
      </c>
      <c r="U108" s="19">
        <f t="shared" si="32"/>
        <v>0</v>
      </c>
      <c r="V108" s="19">
        <f t="shared" si="32"/>
        <v>0</v>
      </c>
      <c r="W108" s="19">
        <f t="shared" si="32"/>
        <v>0</v>
      </c>
      <c r="X108" s="19">
        <f t="shared" si="32"/>
        <v>0</v>
      </c>
      <c r="Y108" s="19">
        <f t="shared" si="32"/>
        <v>0</v>
      </c>
      <c r="Z108" s="602">
        <f t="shared" si="28"/>
        <v>0</v>
      </c>
      <c r="AA108" s="86"/>
      <c r="AB108" s="86"/>
      <c r="AC108" s="86"/>
      <c r="AD108" s="86"/>
      <c r="AE108" s="86"/>
    </row>
    <row r="109" spans="1:31" hidden="1">
      <c r="A109" s="411"/>
      <c r="C109" s="336">
        <f t="shared" si="23"/>
        <v>86</v>
      </c>
      <c r="D109" s="165" t="str">
        <f>Asset_Sum!E101</f>
        <v>393</v>
      </c>
      <c r="E109" s="247" t="str">
        <f>Asset_Sum!F101</f>
        <v>STORES EQUIP, QUINCY WHSE</v>
      </c>
      <c r="F109" s="19">
        <f>Asset_Sum!G101</f>
        <v>0</v>
      </c>
      <c r="G109" s="906" t="s">
        <v>1067</v>
      </c>
      <c r="H109" s="19">
        <f t="shared" si="31"/>
        <v>0</v>
      </c>
      <c r="I109" s="19">
        <f t="shared" si="31"/>
        <v>0</v>
      </c>
      <c r="J109" s="19">
        <f t="shared" si="31"/>
        <v>0</v>
      </c>
      <c r="K109" s="19">
        <f t="shared" si="31"/>
        <v>0</v>
      </c>
      <c r="L109" s="19">
        <f t="shared" si="31"/>
        <v>0</v>
      </c>
      <c r="M109" s="19">
        <f t="shared" si="31"/>
        <v>0</v>
      </c>
      <c r="N109" s="19">
        <f t="shared" si="31"/>
        <v>0</v>
      </c>
      <c r="O109" s="19">
        <f t="shared" si="31"/>
        <v>0</v>
      </c>
      <c r="P109" s="19">
        <f t="shared" si="31"/>
        <v>0</v>
      </c>
      <c r="Q109" s="1759">
        <f t="shared" si="31"/>
        <v>0</v>
      </c>
      <c r="R109" s="1759">
        <f t="shared" si="32"/>
        <v>0</v>
      </c>
      <c r="S109" s="1759">
        <f t="shared" si="32"/>
        <v>0</v>
      </c>
      <c r="T109" s="19">
        <f t="shared" si="32"/>
        <v>0</v>
      </c>
      <c r="U109" s="19">
        <f t="shared" si="32"/>
        <v>0</v>
      </c>
      <c r="V109" s="19">
        <f t="shared" si="32"/>
        <v>0</v>
      </c>
      <c r="W109" s="19">
        <f t="shared" si="32"/>
        <v>0</v>
      </c>
      <c r="X109" s="19">
        <f t="shared" si="32"/>
        <v>0</v>
      </c>
      <c r="Y109" s="19">
        <f t="shared" si="32"/>
        <v>0</v>
      </c>
      <c r="Z109" s="602">
        <f t="shared" si="28"/>
        <v>0</v>
      </c>
      <c r="AA109" s="86"/>
      <c r="AB109" s="86"/>
      <c r="AC109" s="86"/>
      <c r="AD109" s="86"/>
      <c r="AE109" s="86"/>
    </row>
    <row r="110" spans="1:31" hidden="1">
      <c r="A110" s="411"/>
      <c r="C110" s="336">
        <f t="shared" si="23"/>
        <v>87</v>
      </c>
      <c r="D110" s="165" t="str">
        <f>Asset_Sum!E102</f>
        <v>393</v>
      </c>
      <c r="E110" s="247" t="str">
        <f>Asset_Sum!F102</f>
        <v>STORES EQUIP, QUINCY YARD</v>
      </c>
      <c r="F110" s="19">
        <f>Asset_Sum!G102</f>
        <v>0</v>
      </c>
      <c r="G110" s="906" t="s">
        <v>1067</v>
      </c>
      <c r="H110" s="19">
        <f t="shared" si="31"/>
        <v>0</v>
      </c>
      <c r="I110" s="19">
        <f t="shared" si="31"/>
        <v>0</v>
      </c>
      <c r="J110" s="19">
        <f t="shared" si="31"/>
        <v>0</v>
      </c>
      <c r="K110" s="19">
        <f t="shared" si="31"/>
        <v>0</v>
      </c>
      <c r="L110" s="19">
        <f t="shared" si="31"/>
        <v>0</v>
      </c>
      <c r="M110" s="19">
        <f t="shared" si="31"/>
        <v>0</v>
      </c>
      <c r="N110" s="19">
        <f t="shared" si="31"/>
        <v>0</v>
      </c>
      <c r="O110" s="19">
        <f t="shared" si="31"/>
        <v>0</v>
      </c>
      <c r="P110" s="19">
        <f t="shared" si="31"/>
        <v>0</v>
      </c>
      <c r="Q110" s="1759">
        <f t="shared" si="31"/>
        <v>0</v>
      </c>
      <c r="R110" s="1759">
        <f t="shared" si="32"/>
        <v>0</v>
      </c>
      <c r="S110" s="1759">
        <f t="shared" si="32"/>
        <v>0</v>
      </c>
      <c r="T110" s="19">
        <f t="shared" si="32"/>
        <v>0</v>
      </c>
      <c r="U110" s="19">
        <f t="shared" si="32"/>
        <v>0</v>
      </c>
      <c r="V110" s="19">
        <f t="shared" si="32"/>
        <v>0</v>
      </c>
      <c r="W110" s="19">
        <f t="shared" si="32"/>
        <v>0</v>
      </c>
      <c r="X110" s="19">
        <f t="shared" si="32"/>
        <v>0</v>
      </c>
      <c r="Y110" s="19">
        <f t="shared" si="32"/>
        <v>0</v>
      </c>
      <c r="Z110" s="602">
        <f t="shared" si="28"/>
        <v>0</v>
      </c>
      <c r="AA110" s="86"/>
      <c r="AB110" s="86"/>
      <c r="AC110" s="86"/>
      <c r="AD110" s="86"/>
      <c r="AE110" s="86"/>
    </row>
    <row r="111" spans="1:31" hidden="1">
      <c r="A111" s="411"/>
      <c r="C111" s="336">
        <f t="shared" si="23"/>
        <v>88</v>
      </c>
      <c r="D111" s="165" t="str">
        <f>Asset_Sum!E103</f>
        <v>393</v>
      </c>
      <c r="E111" s="247" t="str">
        <f>Asset_Sum!F103</f>
        <v>STORES EQUIP, GC OFFICE</v>
      </c>
      <c r="F111" s="19">
        <f>Asset_Sum!G103</f>
        <v>0</v>
      </c>
      <c r="G111" s="906" t="s">
        <v>1067</v>
      </c>
      <c r="H111" s="19">
        <f t="shared" si="31"/>
        <v>0</v>
      </c>
      <c r="I111" s="19">
        <f t="shared" si="31"/>
        <v>0</v>
      </c>
      <c r="J111" s="19">
        <f t="shared" si="31"/>
        <v>0</v>
      </c>
      <c r="K111" s="19">
        <f t="shared" si="31"/>
        <v>0</v>
      </c>
      <c r="L111" s="19">
        <f t="shared" si="31"/>
        <v>0</v>
      </c>
      <c r="M111" s="19">
        <f t="shared" si="31"/>
        <v>0</v>
      </c>
      <c r="N111" s="19">
        <f t="shared" si="31"/>
        <v>0</v>
      </c>
      <c r="O111" s="19">
        <f t="shared" si="31"/>
        <v>0</v>
      </c>
      <c r="P111" s="19">
        <f t="shared" si="31"/>
        <v>0</v>
      </c>
      <c r="Q111" s="1759">
        <f t="shared" si="31"/>
        <v>0</v>
      </c>
      <c r="R111" s="1759">
        <f t="shared" si="32"/>
        <v>0</v>
      </c>
      <c r="S111" s="1759">
        <f t="shared" si="32"/>
        <v>0</v>
      </c>
      <c r="T111" s="19">
        <f t="shared" si="32"/>
        <v>0</v>
      </c>
      <c r="U111" s="19">
        <f t="shared" si="32"/>
        <v>0</v>
      </c>
      <c r="V111" s="19">
        <f t="shared" si="32"/>
        <v>0</v>
      </c>
      <c r="W111" s="19">
        <f t="shared" si="32"/>
        <v>0</v>
      </c>
      <c r="X111" s="19">
        <f t="shared" si="32"/>
        <v>0</v>
      </c>
      <c r="Y111" s="19">
        <f t="shared" si="32"/>
        <v>0</v>
      </c>
      <c r="Z111" s="602">
        <f t="shared" si="28"/>
        <v>0</v>
      </c>
      <c r="AA111" s="86"/>
      <c r="AB111" s="86"/>
      <c r="AC111" s="86"/>
      <c r="AD111" s="86"/>
      <c r="AE111" s="86"/>
    </row>
    <row r="112" spans="1:31" hidden="1">
      <c r="A112" s="411"/>
      <c r="C112" s="336">
        <f t="shared" si="23"/>
        <v>89</v>
      </c>
      <c r="D112" s="165" t="str">
        <f>Asset_Sum!E104</f>
        <v>393</v>
      </c>
      <c r="E112" s="247" t="str">
        <f>Asset_Sum!F104</f>
        <v>STORES EQUIP, RC WHSE</v>
      </c>
      <c r="F112" s="19">
        <f>Asset_Sum!G104</f>
        <v>0</v>
      </c>
      <c r="G112" s="906" t="s">
        <v>1067</v>
      </c>
      <c r="H112" s="19">
        <f t="shared" ref="H112:Q121" si="33">$F112*SUMIF($E$338:$E$359,$G112,H$338:H$359)</f>
        <v>0</v>
      </c>
      <c r="I112" s="19">
        <f t="shared" si="33"/>
        <v>0</v>
      </c>
      <c r="J112" s="19">
        <f t="shared" si="33"/>
        <v>0</v>
      </c>
      <c r="K112" s="19">
        <f t="shared" si="33"/>
        <v>0</v>
      </c>
      <c r="L112" s="19">
        <f t="shared" si="33"/>
        <v>0</v>
      </c>
      <c r="M112" s="19">
        <f t="shared" si="33"/>
        <v>0</v>
      </c>
      <c r="N112" s="19">
        <f t="shared" si="33"/>
        <v>0</v>
      </c>
      <c r="O112" s="19">
        <f t="shared" si="33"/>
        <v>0</v>
      </c>
      <c r="P112" s="19">
        <f t="shared" si="33"/>
        <v>0</v>
      </c>
      <c r="Q112" s="1759">
        <f t="shared" si="33"/>
        <v>0</v>
      </c>
      <c r="R112" s="1759">
        <f t="shared" ref="R112:Y121" si="34">$F112*SUMIF($E$338:$E$359,$G112,R$338:R$359)</f>
        <v>0</v>
      </c>
      <c r="S112" s="1759">
        <f t="shared" si="34"/>
        <v>0</v>
      </c>
      <c r="T112" s="19">
        <f t="shared" si="34"/>
        <v>0</v>
      </c>
      <c r="U112" s="19">
        <f t="shared" si="34"/>
        <v>0</v>
      </c>
      <c r="V112" s="19">
        <f t="shared" si="34"/>
        <v>0</v>
      </c>
      <c r="W112" s="19">
        <f t="shared" si="34"/>
        <v>0</v>
      </c>
      <c r="X112" s="19">
        <f t="shared" si="34"/>
        <v>0</v>
      </c>
      <c r="Y112" s="19">
        <f t="shared" si="34"/>
        <v>0</v>
      </c>
      <c r="Z112" s="602">
        <f t="shared" si="28"/>
        <v>0</v>
      </c>
      <c r="AA112" s="86"/>
      <c r="AB112" s="86"/>
      <c r="AC112" s="86"/>
      <c r="AD112" s="86"/>
      <c r="AE112" s="86"/>
    </row>
    <row r="113" spans="1:31">
      <c r="A113" s="411"/>
      <c r="C113" s="336">
        <f>MAX(C107:C111)+1</f>
        <v>89</v>
      </c>
      <c r="D113" s="165" t="str">
        <f>Asset_Sum!E105</f>
        <v>394</v>
      </c>
      <c r="E113" s="247" t="str">
        <f>Asset_Sum!F105</f>
        <v>TOOLS</v>
      </c>
      <c r="F113" s="19">
        <f>Asset_Sum!G105</f>
        <v>4606749.4000000004</v>
      </c>
      <c r="G113" s="906" t="s">
        <v>1067</v>
      </c>
      <c r="H113" s="19">
        <f t="shared" si="33"/>
        <v>0</v>
      </c>
      <c r="I113" s="19">
        <f t="shared" si="33"/>
        <v>106147.3513367772</v>
      </c>
      <c r="J113" s="19">
        <f t="shared" si="33"/>
        <v>480986.55376399041</v>
      </c>
      <c r="K113" s="19">
        <f t="shared" si="33"/>
        <v>728437.22587549093</v>
      </c>
      <c r="L113" s="19">
        <f t="shared" si="33"/>
        <v>135571.96274816818</v>
      </c>
      <c r="M113" s="19">
        <f t="shared" si="33"/>
        <v>0</v>
      </c>
      <c r="N113" s="19">
        <f t="shared" si="33"/>
        <v>0</v>
      </c>
      <c r="O113" s="19">
        <f t="shared" si="33"/>
        <v>221661.39047818675</v>
      </c>
      <c r="P113" s="19">
        <f t="shared" si="33"/>
        <v>137320.38862161318</v>
      </c>
      <c r="Q113" s="1759">
        <f t="shared" si="33"/>
        <v>864166.80589492898</v>
      </c>
      <c r="R113" s="1759">
        <f t="shared" si="34"/>
        <v>102045.6433113886</v>
      </c>
      <c r="S113" s="1759">
        <f t="shared" si="34"/>
        <v>268542.39614214248</v>
      </c>
      <c r="T113" s="19">
        <f t="shared" si="34"/>
        <v>60724.868350894867</v>
      </c>
      <c r="U113" s="19">
        <f t="shared" si="34"/>
        <v>500468.61141178763</v>
      </c>
      <c r="V113" s="19">
        <f t="shared" si="34"/>
        <v>929912.41958979599</v>
      </c>
      <c r="W113" s="19">
        <f t="shared" si="34"/>
        <v>20282.528218318355</v>
      </c>
      <c r="X113" s="19">
        <f t="shared" si="34"/>
        <v>50481.313597624598</v>
      </c>
      <c r="Y113" s="19">
        <f t="shared" si="34"/>
        <v>0</v>
      </c>
      <c r="Z113" s="602">
        <f t="shared" si="28"/>
        <v>5.9341107495129108E-2</v>
      </c>
      <c r="AA113" s="86"/>
      <c r="AB113" s="86"/>
      <c r="AC113" s="86"/>
      <c r="AD113" s="86"/>
      <c r="AE113" s="86"/>
    </row>
    <row r="114" spans="1:31" hidden="1">
      <c r="A114" s="411"/>
      <c r="C114" s="336">
        <f>MAX(C108:C112)+1</f>
        <v>90</v>
      </c>
      <c r="D114" s="165" t="str">
        <f>Asset_Sum!E106</f>
        <v>394</v>
      </c>
      <c r="E114" s="247" t="str">
        <f>Asset_Sum!F106</f>
        <v>TOOLS, EHP OFFICE</v>
      </c>
      <c r="F114" s="19">
        <f>Asset_Sum!G106</f>
        <v>0</v>
      </c>
      <c r="G114" s="906" t="s">
        <v>1067</v>
      </c>
      <c r="H114" s="19">
        <f t="shared" si="33"/>
        <v>0</v>
      </c>
      <c r="I114" s="19">
        <f t="shared" si="33"/>
        <v>0</v>
      </c>
      <c r="J114" s="19">
        <f t="shared" si="33"/>
        <v>0</v>
      </c>
      <c r="K114" s="19">
        <f t="shared" si="33"/>
        <v>0</v>
      </c>
      <c r="L114" s="19">
        <f t="shared" si="33"/>
        <v>0</v>
      </c>
      <c r="M114" s="19">
        <f t="shared" si="33"/>
        <v>0</v>
      </c>
      <c r="N114" s="19">
        <f t="shared" si="33"/>
        <v>0</v>
      </c>
      <c r="O114" s="19">
        <f t="shared" si="33"/>
        <v>0</v>
      </c>
      <c r="P114" s="19">
        <f t="shared" si="33"/>
        <v>0</v>
      </c>
      <c r="Q114" s="1759">
        <f t="shared" si="33"/>
        <v>0</v>
      </c>
      <c r="R114" s="1759">
        <f t="shared" si="34"/>
        <v>0</v>
      </c>
      <c r="S114" s="1759">
        <f t="shared" si="34"/>
        <v>0</v>
      </c>
      <c r="T114" s="19">
        <f t="shared" si="34"/>
        <v>0</v>
      </c>
      <c r="U114" s="19">
        <f t="shared" si="34"/>
        <v>0</v>
      </c>
      <c r="V114" s="19">
        <f t="shared" si="34"/>
        <v>0</v>
      </c>
      <c r="W114" s="19">
        <f t="shared" si="34"/>
        <v>0</v>
      </c>
      <c r="X114" s="19">
        <f t="shared" si="34"/>
        <v>0</v>
      </c>
      <c r="Y114" s="19">
        <f t="shared" si="34"/>
        <v>0</v>
      </c>
      <c r="Z114" s="602">
        <f t="shared" si="28"/>
        <v>0</v>
      </c>
      <c r="AA114" s="86"/>
      <c r="AB114" s="86"/>
      <c r="AC114" s="86"/>
      <c r="AD114" s="86"/>
      <c r="AE114" s="86"/>
    </row>
    <row r="115" spans="1:31" hidden="1">
      <c r="A115" s="411"/>
      <c r="C115" s="336">
        <f>MAX(C109:C114)+1</f>
        <v>91</v>
      </c>
      <c r="D115" s="165" t="str">
        <f>Asset_Sum!E107</f>
        <v>394</v>
      </c>
      <c r="E115" s="247" t="str">
        <f>Asset_Sum!F107</f>
        <v>TOOLS, EHP GARAGE</v>
      </c>
      <c r="F115" s="19">
        <f>Asset_Sum!G107</f>
        <v>0</v>
      </c>
      <c r="G115" s="906" t="s">
        <v>1067</v>
      </c>
      <c r="H115" s="19">
        <f t="shared" si="33"/>
        <v>0</v>
      </c>
      <c r="I115" s="19">
        <f t="shared" si="33"/>
        <v>0</v>
      </c>
      <c r="J115" s="19">
        <f t="shared" si="33"/>
        <v>0</v>
      </c>
      <c r="K115" s="19">
        <f t="shared" si="33"/>
        <v>0</v>
      </c>
      <c r="L115" s="19">
        <f t="shared" si="33"/>
        <v>0</v>
      </c>
      <c r="M115" s="19">
        <f t="shared" si="33"/>
        <v>0</v>
      </c>
      <c r="N115" s="19">
        <f t="shared" si="33"/>
        <v>0</v>
      </c>
      <c r="O115" s="19">
        <f t="shared" si="33"/>
        <v>0</v>
      </c>
      <c r="P115" s="19">
        <f t="shared" si="33"/>
        <v>0</v>
      </c>
      <c r="Q115" s="1759">
        <f t="shared" si="33"/>
        <v>0</v>
      </c>
      <c r="R115" s="1759">
        <f t="shared" si="34"/>
        <v>0</v>
      </c>
      <c r="S115" s="1759">
        <f t="shared" si="34"/>
        <v>0</v>
      </c>
      <c r="T115" s="19">
        <f t="shared" si="34"/>
        <v>0</v>
      </c>
      <c r="U115" s="19">
        <f t="shared" si="34"/>
        <v>0</v>
      </c>
      <c r="V115" s="19">
        <f t="shared" si="34"/>
        <v>0</v>
      </c>
      <c r="W115" s="19">
        <f t="shared" si="34"/>
        <v>0</v>
      </c>
      <c r="X115" s="19">
        <f t="shared" si="34"/>
        <v>0</v>
      </c>
      <c r="Y115" s="19">
        <f t="shared" si="34"/>
        <v>0</v>
      </c>
      <c r="Z115" s="602">
        <f t="shared" si="28"/>
        <v>0</v>
      </c>
      <c r="AA115" s="86"/>
      <c r="AB115" s="86"/>
      <c r="AC115" s="86"/>
      <c r="AD115" s="86"/>
      <c r="AE115" s="86"/>
    </row>
    <row r="116" spans="1:31" hidden="1">
      <c r="A116" s="411"/>
      <c r="C116" s="336">
        <f>MAX(C110:C115)+1</f>
        <v>92</v>
      </c>
      <c r="D116" s="165" t="str">
        <f>Asset_Sum!E108</f>
        <v>394</v>
      </c>
      <c r="E116" s="247" t="str">
        <f>Asset_Sum!F108</f>
        <v>TOOLS, EHP LINE OFFICE</v>
      </c>
      <c r="F116" s="19">
        <f>Asset_Sum!G108</f>
        <v>0</v>
      </c>
      <c r="G116" s="906" t="s">
        <v>1067</v>
      </c>
      <c r="H116" s="19">
        <f t="shared" si="33"/>
        <v>0</v>
      </c>
      <c r="I116" s="19">
        <f t="shared" si="33"/>
        <v>0</v>
      </c>
      <c r="J116" s="19">
        <f t="shared" si="33"/>
        <v>0</v>
      </c>
      <c r="K116" s="19">
        <f t="shared" si="33"/>
        <v>0</v>
      </c>
      <c r="L116" s="19">
        <f t="shared" si="33"/>
        <v>0</v>
      </c>
      <c r="M116" s="19">
        <f t="shared" si="33"/>
        <v>0</v>
      </c>
      <c r="N116" s="19">
        <f t="shared" si="33"/>
        <v>0</v>
      </c>
      <c r="O116" s="19">
        <f t="shared" si="33"/>
        <v>0</v>
      </c>
      <c r="P116" s="19">
        <f t="shared" si="33"/>
        <v>0</v>
      </c>
      <c r="Q116" s="1759">
        <f t="shared" si="33"/>
        <v>0</v>
      </c>
      <c r="R116" s="1759">
        <f t="shared" si="34"/>
        <v>0</v>
      </c>
      <c r="S116" s="1759">
        <f t="shared" si="34"/>
        <v>0</v>
      </c>
      <c r="T116" s="19">
        <f t="shared" si="34"/>
        <v>0</v>
      </c>
      <c r="U116" s="19">
        <f t="shared" si="34"/>
        <v>0</v>
      </c>
      <c r="V116" s="19">
        <f t="shared" si="34"/>
        <v>0</v>
      </c>
      <c r="W116" s="19">
        <f t="shared" si="34"/>
        <v>0</v>
      </c>
      <c r="X116" s="19">
        <f t="shared" si="34"/>
        <v>0</v>
      </c>
      <c r="Y116" s="19">
        <f t="shared" si="34"/>
        <v>0</v>
      </c>
      <c r="Z116" s="602">
        <f t="shared" si="28"/>
        <v>0</v>
      </c>
      <c r="AA116" s="86"/>
      <c r="AB116" s="86"/>
      <c r="AC116" s="86"/>
      <c r="AD116" s="86"/>
      <c r="AE116" s="86"/>
    </row>
    <row r="117" spans="1:31" hidden="1">
      <c r="A117" s="411"/>
      <c r="C117" s="336">
        <f>MAX(C111:C116)+1</f>
        <v>93</v>
      </c>
      <c r="D117" s="165" t="str">
        <f>Asset_Sum!E109</f>
        <v>394</v>
      </c>
      <c r="E117" s="247" t="str">
        <f>Asset_Sum!F109</f>
        <v>TOOLS, EHP METER SHOP</v>
      </c>
      <c r="F117" s="19">
        <f>Asset_Sum!G109</f>
        <v>0</v>
      </c>
      <c r="G117" s="906" t="s">
        <v>1067</v>
      </c>
      <c r="H117" s="19">
        <f t="shared" si="33"/>
        <v>0</v>
      </c>
      <c r="I117" s="19">
        <f t="shared" si="33"/>
        <v>0</v>
      </c>
      <c r="J117" s="19">
        <f t="shared" si="33"/>
        <v>0</v>
      </c>
      <c r="K117" s="19">
        <f t="shared" si="33"/>
        <v>0</v>
      </c>
      <c r="L117" s="19">
        <f t="shared" si="33"/>
        <v>0</v>
      </c>
      <c r="M117" s="19">
        <f t="shared" si="33"/>
        <v>0</v>
      </c>
      <c r="N117" s="19">
        <f t="shared" si="33"/>
        <v>0</v>
      </c>
      <c r="O117" s="19">
        <f t="shared" si="33"/>
        <v>0</v>
      </c>
      <c r="P117" s="19">
        <f t="shared" si="33"/>
        <v>0</v>
      </c>
      <c r="Q117" s="1759">
        <f t="shared" si="33"/>
        <v>0</v>
      </c>
      <c r="R117" s="1759">
        <f t="shared" si="34"/>
        <v>0</v>
      </c>
      <c r="S117" s="1759">
        <f t="shared" si="34"/>
        <v>0</v>
      </c>
      <c r="T117" s="19">
        <f t="shared" si="34"/>
        <v>0</v>
      </c>
      <c r="U117" s="19">
        <f t="shared" si="34"/>
        <v>0</v>
      </c>
      <c r="V117" s="19">
        <f t="shared" si="34"/>
        <v>0</v>
      </c>
      <c r="W117" s="19">
        <f t="shared" si="34"/>
        <v>0</v>
      </c>
      <c r="X117" s="19">
        <f t="shared" si="34"/>
        <v>0</v>
      </c>
      <c r="Y117" s="19">
        <f t="shared" si="34"/>
        <v>0</v>
      </c>
      <c r="Z117" s="602">
        <f t="shared" si="28"/>
        <v>0</v>
      </c>
      <c r="AA117" s="86"/>
      <c r="AB117" s="86"/>
      <c r="AC117" s="86"/>
      <c r="AD117" s="86"/>
      <c r="AE117" s="86"/>
    </row>
    <row r="118" spans="1:31" hidden="1">
      <c r="A118" s="411"/>
      <c r="C118" s="336">
        <f>MAX(C112:C117)+1</f>
        <v>94</v>
      </c>
      <c r="D118" s="165" t="str">
        <f>Asset_Sum!E110</f>
        <v>394</v>
      </c>
      <c r="E118" s="247" t="str">
        <f>Asset_Sum!F110</f>
        <v>TOOLS, MOSES LAKE</v>
      </c>
      <c r="F118" s="19">
        <f>Asset_Sum!G110</f>
        <v>0</v>
      </c>
      <c r="G118" s="906" t="s">
        <v>1067</v>
      </c>
      <c r="H118" s="19">
        <f t="shared" si="33"/>
        <v>0</v>
      </c>
      <c r="I118" s="19">
        <f t="shared" si="33"/>
        <v>0</v>
      </c>
      <c r="J118" s="19">
        <f t="shared" si="33"/>
        <v>0</v>
      </c>
      <c r="K118" s="19">
        <f t="shared" si="33"/>
        <v>0</v>
      </c>
      <c r="L118" s="19">
        <f t="shared" si="33"/>
        <v>0</v>
      </c>
      <c r="M118" s="19">
        <f t="shared" si="33"/>
        <v>0</v>
      </c>
      <c r="N118" s="19">
        <f t="shared" si="33"/>
        <v>0</v>
      </c>
      <c r="O118" s="19">
        <f t="shared" si="33"/>
        <v>0</v>
      </c>
      <c r="P118" s="19">
        <f t="shared" si="33"/>
        <v>0</v>
      </c>
      <c r="Q118" s="1759">
        <f t="shared" si="33"/>
        <v>0</v>
      </c>
      <c r="R118" s="1759">
        <f t="shared" si="34"/>
        <v>0</v>
      </c>
      <c r="S118" s="1759">
        <f t="shared" si="34"/>
        <v>0</v>
      </c>
      <c r="T118" s="19">
        <f t="shared" si="34"/>
        <v>0</v>
      </c>
      <c r="U118" s="19">
        <f t="shared" si="34"/>
        <v>0</v>
      </c>
      <c r="V118" s="19">
        <f t="shared" si="34"/>
        <v>0</v>
      </c>
      <c r="W118" s="19">
        <f t="shared" si="34"/>
        <v>0</v>
      </c>
      <c r="X118" s="19">
        <f t="shared" si="34"/>
        <v>0</v>
      </c>
      <c r="Y118" s="19">
        <f t="shared" si="34"/>
        <v>0</v>
      </c>
      <c r="Z118" s="602">
        <f t="shared" si="28"/>
        <v>0</v>
      </c>
      <c r="AA118" s="86"/>
      <c r="AB118" s="86"/>
      <c r="AC118" s="86"/>
      <c r="AD118" s="86"/>
      <c r="AE118" s="86"/>
    </row>
    <row r="119" spans="1:31" hidden="1">
      <c r="A119" s="411"/>
      <c r="C119" s="336">
        <f t="shared" ref="C119:C130" si="35">MAX(C113:C118)+1</f>
        <v>95</v>
      </c>
      <c r="D119" s="165" t="str">
        <f>Asset_Sum!E111</f>
        <v>394</v>
      </c>
      <c r="E119" s="247" t="str">
        <f>Asset_Sum!F111</f>
        <v>TOOLS, QUINCY</v>
      </c>
      <c r="F119" s="19">
        <f>Asset_Sum!G111</f>
        <v>0</v>
      </c>
      <c r="G119" s="906" t="s">
        <v>1067</v>
      </c>
      <c r="H119" s="19">
        <f t="shared" si="33"/>
        <v>0</v>
      </c>
      <c r="I119" s="19">
        <f t="shared" si="33"/>
        <v>0</v>
      </c>
      <c r="J119" s="19">
        <f t="shared" si="33"/>
        <v>0</v>
      </c>
      <c r="K119" s="19">
        <f t="shared" si="33"/>
        <v>0</v>
      </c>
      <c r="L119" s="19">
        <f t="shared" si="33"/>
        <v>0</v>
      </c>
      <c r="M119" s="19">
        <f t="shared" si="33"/>
        <v>0</v>
      </c>
      <c r="N119" s="19">
        <f t="shared" si="33"/>
        <v>0</v>
      </c>
      <c r="O119" s="19">
        <f t="shared" si="33"/>
        <v>0</v>
      </c>
      <c r="P119" s="19">
        <f t="shared" si="33"/>
        <v>0</v>
      </c>
      <c r="Q119" s="1759">
        <f t="shared" si="33"/>
        <v>0</v>
      </c>
      <c r="R119" s="1759">
        <f t="shared" si="34"/>
        <v>0</v>
      </c>
      <c r="S119" s="1759">
        <f t="shared" si="34"/>
        <v>0</v>
      </c>
      <c r="T119" s="19">
        <f t="shared" si="34"/>
        <v>0</v>
      </c>
      <c r="U119" s="19">
        <f t="shared" si="34"/>
        <v>0</v>
      </c>
      <c r="V119" s="19">
        <f t="shared" si="34"/>
        <v>0</v>
      </c>
      <c r="W119" s="19">
        <f t="shared" si="34"/>
        <v>0</v>
      </c>
      <c r="X119" s="19">
        <f t="shared" si="34"/>
        <v>0</v>
      </c>
      <c r="Y119" s="19">
        <f t="shared" si="34"/>
        <v>0</v>
      </c>
      <c r="Z119" s="602">
        <f t="shared" si="28"/>
        <v>0</v>
      </c>
      <c r="AA119" s="86"/>
      <c r="AB119" s="86"/>
      <c r="AC119" s="86"/>
      <c r="AD119" s="86"/>
      <c r="AE119" s="86"/>
    </row>
    <row r="120" spans="1:31" hidden="1">
      <c r="A120" s="411"/>
      <c r="C120" s="336">
        <f t="shared" si="35"/>
        <v>96</v>
      </c>
      <c r="D120" s="165" t="str">
        <f>Asset_Sum!E112</f>
        <v>394</v>
      </c>
      <c r="E120" s="247" t="str">
        <f>Asset_Sum!F112</f>
        <v>TOOLS, GC WHSE</v>
      </c>
      <c r="F120" s="19">
        <f>Asset_Sum!G112</f>
        <v>0</v>
      </c>
      <c r="G120" s="906" t="s">
        <v>1067</v>
      </c>
      <c r="H120" s="19">
        <f t="shared" si="33"/>
        <v>0</v>
      </c>
      <c r="I120" s="19">
        <f t="shared" si="33"/>
        <v>0</v>
      </c>
      <c r="J120" s="19">
        <f t="shared" si="33"/>
        <v>0</v>
      </c>
      <c r="K120" s="19">
        <f t="shared" si="33"/>
        <v>0</v>
      </c>
      <c r="L120" s="19">
        <f t="shared" si="33"/>
        <v>0</v>
      </c>
      <c r="M120" s="19">
        <f t="shared" si="33"/>
        <v>0</v>
      </c>
      <c r="N120" s="19">
        <f t="shared" si="33"/>
        <v>0</v>
      </c>
      <c r="O120" s="19">
        <f t="shared" si="33"/>
        <v>0</v>
      </c>
      <c r="P120" s="19">
        <f t="shared" si="33"/>
        <v>0</v>
      </c>
      <c r="Q120" s="1759">
        <f t="shared" si="33"/>
        <v>0</v>
      </c>
      <c r="R120" s="1759">
        <f t="shared" si="34"/>
        <v>0</v>
      </c>
      <c r="S120" s="1759">
        <f t="shared" si="34"/>
        <v>0</v>
      </c>
      <c r="T120" s="19">
        <f t="shared" si="34"/>
        <v>0</v>
      </c>
      <c r="U120" s="19">
        <f t="shared" si="34"/>
        <v>0</v>
      </c>
      <c r="V120" s="19">
        <f t="shared" si="34"/>
        <v>0</v>
      </c>
      <c r="W120" s="19">
        <f t="shared" si="34"/>
        <v>0</v>
      </c>
      <c r="X120" s="19">
        <f t="shared" si="34"/>
        <v>0</v>
      </c>
      <c r="Y120" s="19">
        <f t="shared" si="34"/>
        <v>0</v>
      </c>
      <c r="Z120" s="602">
        <f t="shared" si="28"/>
        <v>0</v>
      </c>
      <c r="AA120" s="86"/>
      <c r="AB120" s="86"/>
      <c r="AC120" s="86"/>
      <c r="AD120" s="86"/>
      <c r="AE120" s="86"/>
    </row>
    <row r="121" spans="1:31" hidden="1">
      <c r="A121" s="411"/>
      <c r="C121" s="336">
        <f t="shared" si="35"/>
        <v>97</v>
      </c>
      <c r="D121" s="165" t="str">
        <f>Asset_Sum!E113</f>
        <v>394</v>
      </c>
      <c r="E121" s="247" t="str">
        <f>Asset_Sum!F113</f>
        <v>TOOLS, JOINT</v>
      </c>
      <c r="F121" s="19">
        <f>Asset_Sum!G113</f>
        <v>0</v>
      </c>
      <c r="G121" s="906" t="s">
        <v>1067</v>
      </c>
      <c r="H121" s="19">
        <f t="shared" si="33"/>
        <v>0</v>
      </c>
      <c r="I121" s="19">
        <f t="shared" si="33"/>
        <v>0</v>
      </c>
      <c r="J121" s="19">
        <f t="shared" si="33"/>
        <v>0</v>
      </c>
      <c r="K121" s="19">
        <f t="shared" si="33"/>
        <v>0</v>
      </c>
      <c r="L121" s="19">
        <f t="shared" si="33"/>
        <v>0</v>
      </c>
      <c r="M121" s="19">
        <f t="shared" si="33"/>
        <v>0</v>
      </c>
      <c r="N121" s="19">
        <f t="shared" si="33"/>
        <v>0</v>
      </c>
      <c r="O121" s="19">
        <f t="shared" si="33"/>
        <v>0</v>
      </c>
      <c r="P121" s="19">
        <f t="shared" si="33"/>
        <v>0</v>
      </c>
      <c r="Q121" s="1759">
        <f t="shared" si="33"/>
        <v>0</v>
      </c>
      <c r="R121" s="1759">
        <f t="shared" si="34"/>
        <v>0</v>
      </c>
      <c r="S121" s="1759">
        <f t="shared" si="34"/>
        <v>0</v>
      </c>
      <c r="T121" s="19">
        <f t="shared" si="34"/>
        <v>0</v>
      </c>
      <c r="U121" s="19">
        <f t="shared" si="34"/>
        <v>0</v>
      </c>
      <c r="V121" s="19">
        <f t="shared" si="34"/>
        <v>0</v>
      </c>
      <c r="W121" s="19">
        <f t="shared" si="34"/>
        <v>0</v>
      </c>
      <c r="X121" s="19">
        <f t="shared" si="34"/>
        <v>0</v>
      </c>
      <c r="Y121" s="19">
        <f t="shared" si="34"/>
        <v>0</v>
      </c>
      <c r="Z121" s="602">
        <f t="shared" si="28"/>
        <v>0</v>
      </c>
      <c r="AA121" s="86"/>
      <c r="AB121" s="86"/>
      <c r="AC121" s="86"/>
      <c r="AD121" s="86"/>
      <c r="AE121" s="86"/>
    </row>
    <row r="122" spans="1:31" hidden="1">
      <c r="A122" s="411"/>
      <c r="C122" s="336">
        <f t="shared" si="35"/>
        <v>98</v>
      </c>
      <c r="D122" s="165" t="str">
        <f>Asset_Sum!E114</f>
        <v>394</v>
      </c>
      <c r="E122" s="247" t="str">
        <f>Asset_Sum!F114</f>
        <v>TOOLS, RC WHSE</v>
      </c>
      <c r="F122" s="19">
        <f>Asset_Sum!G114</f>
        <v>0</v>
      </c>
      <c r="G122" s="906" t="s">
        <v>1067</v>
      </c>
      <c r="H122" s="19">
        <f t="shared" ref="H122:Q131" si="36">$F122*SUMIF($E$338:$E$359,$G122,H$338:H$359)</f>
        <v>0</v>
      </c>
      <c r="I122" s="19">
        <f t="shared" si="36"/>
        <v>0</v>
      </c>
      <c r="J122" s="19">
        <f t="shared" si="36"/>
        <v>0</v>
      </c>
      <c r="K122" s="19">
        <f t="shared" si="36"/>
        <v>0</v>
      </c>
      <c r="L122" s="19">
        <f t="shared" si="36"/>
        <v>0</v>
      </c>
      <c r="M122" s="19">
        <f t="shared" si="36"/>
        <v>0</v>
      </c>
      <c r="N122" s="19">
        <f t="shared" si="36"/>
        <v>0</v>
      </c>
      <c r="O122" s="19">
        <f t="shared" si="36"/>
        <v>0</v>
      </c>
      <c r="P122" s="19">
        <f t="shared" si="36"/>
        <v>0</v>
      </c>
      <c r="Q122" s="1759">
        <f t="shared" si="36"/>
        <v>0</v>
      </c>
      <c r="R122" s="1759">
        <f t="shared" ref="R122:Y131" si="37">$F122*SUMIF($E$338:$E$359,$G122,R$338:R$359)</f>
        <v>0</v>
      </c>
      <c r="S122" s="1759">
        <f t="shared" si="37"/>
        <v>0</v>
      </c>
      <c r="T122" s="19">
        <f t="shared" si="37"/>
        <v>0</v>
      </c>
      <c r="U122" s="19">
        <f t="shared" si="37"/>
        <v>0</v>
      </c>
      <c r="V122" s="19">
        <f t="shared" si="37"/>
        <v>0</v>
      </c>
      <c r="W122" s="19">
        <f t="shared" si="37"/>
        <v>0</v>
      </c>
      <c r="X122" s="19">
        <f t="shared" si="37"/>
        <v>0</v>
      </c>
      <c r="Y122" s="19">
        <f t="shared" si="37"/>
        <v>0</v>
      </c>
      <c r="Z122" s="602">
        <f t="shared" si="28"/>
        <v>0</v>
      </c>
      <c r="AA122" s="86"/>
      <c r="AB122" s="86"/>
      <c r="AC122" s="86"/>
      <c r="AD122" s="86"/>
      <c r="AE122" s="86"/>
    </row>
    <row r="123" spans="1:31">
      <c r="A123" s="411"/>
      <c r="C123" s="336">
        <f t="shared" si="35"/>
        <v>99</v>
      </c>
      <c r="D123" s="165" t="str">
        <f>Asset_Sum!E115</f>
        <v>395</v>
      </c>
      <c r="E123" s="247" t="str">
        <f>Asset_Sum!F115</f>
        <v>LAB EQUIP</v>
      </c>
      <c r="F123" s="19">
        <f>Asset_Sum!G115</f>
        <v>493371.12</v>
      </c>
      <c r="G123" s="906" t="s">
        <v>1067</v>
      </c>
      <c r="H123" s="19">
        <f t="shared" si="36"/>
        <v>0</v>
      </c>
      <c r="I123" s="19">
        <f t="shared" si="36"/>
        <v>11368.110801525097</v>
      </c>
      <c r="J123" s="19">
        <f t="shared" si="36"/>
        <v>51512.434068039416</v>
      </c>
      <c r="K123" s="19">
        <f t="shared" si="36"/>
        <v>78013.770399554167</v>
      </c>
      <c r="L123" s="19">
        <f t="shared" si="36"/>
        <v>14519.411692257887</v>
      </c>
      <c r="M123" s="19">
        <f t="shared" si="36"/>
        <v>0</v>
      </c>
      <c r="N123" s="19">
        <f t="shared" si="36"/>
        <v>0</v>
      </c>
      <c r="O123" s="19">
        <f t="shared" si="36"/>
        <v>23739.369995029538</v>
      </c>
      <c r="P123" s="19">
        <f t="shared" si="36"/>
        <v>14706.663647273832</v>
      </c>
      <c r="Q123" s="1759">
        <f t="shared" si="36"/>
        <v>92550.062499862412</v>
      </c>
      <c r="R123" s="1759">
        <f t="shared" si="37"/>
        <v>10928.82832559989</v>
      </c>
      <c r="S123" s="1759">
        <f t="shared" si="37"/>
        <v>28760.206220927168</v>
      </c>
      <c r="T123" s="19">
        <f t="shared" si="37"/>
        <v>6503.4786372650424</v>
      </c>
      <c r="U123" s="19">
        <f t="shared" si="37"/>
        <v>53598.912790237388</v>
      </c>
      <c r="V123" s="19">
        <f t="shared" si="37"/>
        <v>99591.250167618738</v>
      </c>
      <c r="W123" s="19">
        <f t="shared" si="37"/>
        <v>2172.2070802252301</v>
      </c>
      <c r="X123" s="19">
        <f t="shared" si="37"/>
        <v>5406.4200298655869</v>
      </c>
      <c r="Y123" s="19">
        <f t="shared" si="37"/>
        <v>0</v>
      </c>
      <c r="Z123" s="602">
        <f t="shared" si="28"/>
        <v>6.3552813953720033E-3</v>
      </c>
      <c r="AA123" s="86"/>
      <c r="AB123" s="86"/>
      <c r="AC123" s="86"/>
      <c r="AD123" s="86"/>
      <c r="AE123" s="86"/>
    </row>
    <row r="124" spans="1:31" hidden="1">
      <c r="A124" s="411"/>
      <c r="C124" s="336">
        <f t="shared" si="35"/>
        <v>100</v>
      </c>
      <c r="D124" s="165" t="str">
        <f>Asset_Sum!E116</f>
        <v>395</v>
      </c>
      <c r="E124" s="247" t="str">
        <f>Asset_Sum!F116</f>
        <v>LAB EQUIP, EHP METER SHOP</v>
      </c>
      <c r="F124" s="19">
        <f>Asset_Sum!G116</f>
        <v>0</v>
      </c>
      <c r="G124" s="906" t="s">
        <v>1067</v>
      </c>
      <c r="H124" s="19">
        <f t="shared" si="36"/>
        <v>0</v>
      </c>
      <c r="I124" s="19">
        <f t="shared" si="36"/>
        <v>0</v>
      </c>
      <c r="J124" s="19">
        <f t="shared" si="36"/>
        <v>0</v>
      </c>
      <c r="K124" s="19">
        <f t="shared" si="36"/>
        <v>0</v>
      </c>
      <c r="L124" s="19">
        <f t="shared" si="36"/>
        <v>0</v>
      </c>
      <c r="M124" s="19">
        <f t="shared" si="36"/>
        <v>0</v>
      </c>
      <c r="N124" s="19">
        <f t="shared" si="36"/>
        <v>0</v>
      </c>
      <c r="O124" s="19">
        <f t="shared" si="36"/>
        <v>0</v>
      </c>
      <c r="P124" s="19">
        <f t="shared" si="36"/>
        <v>0</v>
      </c>
      <c r="Q124" s="1759">
        <f t="shared" si="36"/>
        <v>0</v>
      </c>
      <c r="R124" s="1759">
        <f t="shared" si="37"/>
        <v>0</v>
      </c>
      <c r="S124" s="1759">
        <f t="shared" si="37"/>
        <v>0</v>
      </c>
      <c r="T124" s="19">
        <f t="shared" si="37"/>
        <v>0</v>
      </c>
      <c r="U124" s="19">
        <f t="shared" si="37"/>
        <v>0</v>
      </c>
      <c r="V124" s="19">
        <f t="shared" si="37"/>
        <v>0</v>
      </c>
      <c r="W124" s="19">
        <f t="shared" si="37"/>
        <v>0</v>
      </c>
      <c r="X124" s="19">
        <f t="shared" si="37"/>
        <v>0</v>
      </c>
      <c r="Y124" s="19">
        <f t="shared" si="37"/>
        <v>0</v>
      </c>
      <c r="Z124" s="602">
        <f t="shared" si="28"/>
        <v>0</v>
      </c>
      <c r="AA124" s="86"/>
      <c r="AB124" s="86"/>
      <c r="AC124" s="86"/>
      <c r="AD124" s="86"/>
      <c r="AE124" s="86"/>
    </row>
    <row r="125" spans="1:31">
      <c r="A125" s="411"/>
      <c r="C125" s="336">
        <f t="shared" si="35"/>
        <v>101</v>
      </c>
      <c r="D125" s="165" t="str">
        <f>Asset_Sum!E117</f>
        <v>396</v>
      </c>
      <c r="E125" s="247" t="str">
        <f>Asset_Sum!F117</f>
        <v>POWER OPERATED EQUIP</v>
      </c>
      <c r="F125" s="19">
        <f>Asset_Sum!G117</f>
        <v>368133.91</v>
      </c>
      <c r="G125" s="906" t="s">
        <v>1067</v>
      </c>
      <c r="H125" s="19">
        <f t="shared" si="36"/>
        <v>0</v>
      </c>
      <c r="I125" s="19">
        <f t="shared" si="36"/>
        <v>8482.4322077844117</v>
      </c>
      <c r="J125" s="19">
        <f t="shared" si="36"/>
        <v>38436.529821779099</v>
      </c>
      <c r="K125" s="19">
        <f t="shared" si="36"/>
        <v>58210.773121519829</v>
      </c>
      <c r="L125" s="19">
        <f t="shared" si="36"/>
        <v>10833.807615594955</v>
      </c>
      <c r="M125" s="19">
        <f t="shared" si="36"/>
        <v>0</v>
      </c>
      <c r="N125" s="19">
        <f t="shared" si="36"/>
        <v>0</v>
      </c>
      <c r="O125" s="19">
        <f t="shared" si="36"/>
        <v>17713.373853757195</v>
      </c>
      <c r="P125" s="19">
        <f t="shared" si="36"/>
        <v>10973.527578034516</v>
      </c>
      <c r="Q125" s="1759">
        <f t="shared" si="36"/>
        <v>69057.176226323762</v>
      </c>
      <c r="R125" s="1759">
        <f t="shared" si="37"/>
        <v>8154.6570930658454</v>
      </c>
      <c r="S125" s="1759">
        <f t="shared" si="37"/>
        <v>21459.722183406768</v>
      </c>
      <c r="T125" s="19">
        <f t="shared" si="37"/>
        <v>4852.637137207892</v>
      </c>
      <c r="U125" s="19">
        <f t="shared" si="37"/>
        <v>39993.377271898484</v>
      </c>
      <c r="V125" s="19">
        <f t="shared" si="37"/>
        <v>74311.03045916761</v>
      </c>
      <c r="W125" s="19">
        <f t="shared" si="37"/>
        <v>1620.81454174496</v>
      </c>
      <c r="X125" s="19">
        <f t="shared" si="37"/>
        <v>4034.0556307729062</v>
      </c>
      <c r="Y125" s="19">
        <f t="shared" si="37"/>
        <v>0</v>
      </c>
      <c r="Z125" s="602">
        <f t="shared" si="28"/>
        <v>4.7420582268387079E-3</v>
      </c>
      <c r="AA125" s="86"/>
      <c r="AB125" s="86"/>
      <c r="AC125" s="86"/>
      <c r="AD125" s="86"/>
      <c r="AE125" s="86"/>
    </row>
    <row r="126" spans="1:31">
      <c r="A126" s="411"/>
      <c r="C126" s="336">
        <f t="shared" si="35"/>
        <v>102</v>
      </c>
      <c r="D126" s="165" t="str">
        <f>Asset_Sum!E118</f>
        <v>397</v>
      </c>
      <c r="E126" s="247" t="str">
        <f>Asset_Sum!F118</f>
        <v>COMM EQUIP</v>
      </c>
      <c r="F126" s="19">
        <f>Asset_Sum!G118</f>
        <v>27377057.370000005</v>
      </c>
      <c r="G126" s="906" t="s">
        <v>1067</v>
      </c>
      <c r="H126" s="19">
        <f t="shared" si="36"/>
        <v>0</v>
      </c>
      <c r="I126" s="19">
        <f t="shared" si="36"/>
        <v>630814.02414042666</v>
      </c>
      <c r="J126" s="19">
        <f t="shared" si="36"/>
        <v>2858413.8908435861</v>
      </c>
      <c r="K126" s="19">
        <f t="shared" si="36"/>
        <v>4328967.3458766751</v>
      </c>
      <c r="L126" s="19">
        <f t="shared" si="36"/>
        <v>805679.03301188978</v>
      </c>
      <c r="M126" s="19">
        <f t="shared" si="36"/>
        <v>0</v>
      </c>
      <c r="N126" s="19">
        <f t="shared" si="36"/>
        <v>0</v>
      </c>
      <c r="O126" s="19">
        <f t="shared" si="36"/>
        <v>1317292.536866731</v>
      </c>
      <c r="P126" s="19">
        <f t="shared" si="36"/>
        <v>816069.60373503261</v>
      </c>
      <c r="Q126" s="1759">
        <f t="shared" si="36"/>
        <v>5135583.0691018552</v>
      </c>
      <c r="R126" s="1759">
        <f t="shared" si="37"/>
        <v>606438.33400063892</v>
      </c>
      <c r="S126" s="1759">
        <f t="shared" si="37"/>
        <v>1595897.6595212021</v>
      </c>
      <c r="T126" s="19">
        <f t="shared" si="37"/>
        <v>360876.63128108211</v>
      </c>
      <c r="U126" s="19">
        <f t="shared" si="37"/>
        <v>2974192.1465284713</v>
      </c>
      <c r="V126" s="19">
        <f t="shared" si="37"/>
        <v>5526297.0588730872</v>
      </c>
      <c r="W126" s="19">
        <f t="shared" si="37"/>
        <v>120535.30383952415</v>
      </c>
      <c r="X126" s="19">
        <f t="shared" si="37"/>
        <v>300001.08503300173</v>
      </c>
      <c r="Y126" s="19">
        <f t="shared" si="37"/>
        <v>0</v>
      </c>
      <c r="Z126" s="602">
        <f t="shared" si="28"/>
        <v>0.35265320166945457</v>
      </c>
      <c r="AA126" s="86"/>
      <c r="AB126" s="86"/>
      <c r="AC126" s="86"/>
      <c r="AD126" s="86"/>
      <c r="AE126" s="86"/>
    </row>
    <row r="127" spans="1:31" hidden="1">
      <c r="A127" s="411"/>
      <c r="C127" s="336">
        <f t="shared" si="35"/>
        <v>103</v>
      </c>
      <c r="D127" s="165" t="str">
        <f>Asset_Sum!E119</f>
        <v>397</v>
      </c>
      <c r="E127" s="247" t="str">
        <f>Asset_Sum!F119</f>
        <v>COMM EQUIP-EPH WHSE</v>
      </c>
      <c r="F127" s="19">
        <f>Asset_Sum!G119</f>
        <v>0</v>
      </c>
      <c r="G127" s="906" t="s">
        <v>1067</v>
      </c>
      <c r="H127" s="19">
        <f t="shared" si="36"/>
        <v>0</v>
      </c>
      <c r="I127" s="19">
        <f t="shared" si="36"/>
        <v>0</v>
      </c>
      <c r="J127" s="19">
        <f t="shared" si="36"/>
        <v>0</v>
      </c>
      <c r="K127" s="19">
        <f t="shared" si="36"/>
        <v>0</v>
      </c>
      <c r="L127" s="19">
        <f t="shared" si="36"/>
        <v>0</v>
      </c>
      <c r="M127" s="19">
        <f t="shared" si="36"/>
        <v>0</v>
      </c>
      <c r="N127" s="19">
        <f t="shared" si="36"/>
        <v>0</v>
      </c>
      <c r="O127" s="19">
        <f t="shared" si="36"/>
        <v>0</v>
      </c>
      <c r="P127" s="19">
        <f t="shared" si="36"/>
        <v>0</v>
      </c>
      <c r="Q127" s="1759">
        <f t="shared" si="36"/>
        <v>0</v>
      </c>
      <c r="R127" s="1759">
        <f t="shared" si="37"/>
        <v>0</v>
      </c>
      <c r="S127" s="1759">
        <f t="shared" si="37"/>
        <v>0</v>
      </c>
      <c r="T127" s="19">
        <f t="shared" si="37"/>
        <v>0</v>
      </c>
      <c r="U127" s="19">
        <f t="shared" si="37"/>
        <v>0</v>
      </c>
      <c r="V127" s="19">
        <f t="shared" si="37"/>
        <v>0</v>
      </c>
      <c r="W127" s="19">
        <f t="shared" si="37"/>
        <v>0</v>
      </c>
      <c r="X127" s="19">
        <f t="shared" si="37"/>
        <v>0</v>
      </c>
      <c r="Y127" s="19">
        <f t="shared" si="37"/>
        <v>0</v>
      </c>
      <c r="Z127" s="602">
        <f t="shared" si="28"/>
        <v>0</v>
      </c>
      <c r="AA127" s="86"/>
      <c r="AB127" s="86"/>
      <c r="AC127" s="86"/>
      <c r="AD127" s="86"/>
      <c r="AE127" s="86"/>
    </row>
    <row r="128" spans="1:31" hidden="1">
      <c r="A128" s="411"/>
      <c r="C128" s="336">
        <f t="shared" si="35"/>
        <v>104</v>
      </c>
      <c r="D128" s="165" t="str">
        <f>Asset_Sum!E120</f>
        <v>397</v>
      </c>
      <c r="E128" s="247" t="str">
        <f>Asset_Sum!F120</f>
        <v>COMM EQUIP-MICROWAVE JOINT</v>
      </c>
      <c r="F128" s="19">
        <f>Asset_Sum!G120</f>
        <v>0</v>
      </c>
      <c r="G128" s="906" t="s">
        <v>1067</v>
      </c>
      <c r="H128" s="19">
        <f t="shared" si="36"/>
        <v>0</v>
      </c>
      <c r="I128" s="19">
        <f t="shared" si="36"/>
        <v>0</v>
      </c>
      <c r="J128" s="19">
        <f t="shared" si="36"/>
        <v>0</v>
      </c>
      <c r="K128" s="19">
        <f t="shared" si="36"/>
        <v>0</v>
      </c>
      <c r="L128" s="19">
        <f t="shared" si="36"/>
        <v>0</v>
      </c>
      <c r="M128" s="19">
        <f t="shared" si="36"/>
        <v>0</v>
      </c>
      <c r="N128" s="19">
        <f t="shared" si="36"/>
        <v>0</v>
      </c>
      <c r="O128" s="19">
        <f t="shared" si="36"/>
        <v>0</v>
      </c>
      <c r="P128" s="19">
        <f t="shared" si="36"/>
        <v>0</v>
      </c>
      <c r="Q128" s="1759">
        <f t="shared" si="36"/>
        <v>0</v>
      </c>
      <c r="R128" s="1759">
        <f t="shared" si="37"/>
        <v>0</v>
      </c>
      <c r="S128" s="1759">
        <f t="shared" si="37"/>
        <v>0</v>
      </c>
      <c r="T128" s="19">
        <f t="shared" si="37"/>
        <v>0</v>
      </c>
      <c r="U128" s="19">
        <f t="shared" si="37"/>
        <v>0</v>
      </c>
      <c r="V128" s="19">
        <f t="shared" si="37"/>
        <v>0</v>
      </c>
      <c r="W128" s="19">
        <f t="shared" si="37"/>
        <v>0</v>
      </c>
      <c r="X128" s="19">
        <f t="shared" si="37"/>
        <v>0</v>
      </c>
      <c r="Y128" s="19">
        <f t="shared" si="37"/>
        <v>0</v>
      </c>
      <c r="Z128" s="602">
        <f t="shared" si="28"/>
        <v>0</v>
      </c>
      <c r="AA128" s="86"/>
      <c r="AB128" s="86"/>
      <c r="AC128" s="86"/>
      <c r="AD128" s="86"/>
      <c r="AE128" s="86"/>
    </row>
    <row r="129" spans="1:31" hidden="1">
      <c r="A129" s="411"/>
      <c r="C129" s="336">
        <f t="shared" si="35"/>
        <v>105</v>
      </c>
      <c r="D129" s="165" t="str">
        <f>Asset_Sum!E121</f>
        <v>397</v>
      </c>
      <c r="E129" s="247" t="str">
        <f>Asset_Sum!F121</f>
        <v>COMM EQUIP-EPH TRANSMITTER</v>
      </c>
      <c r="F129" s="19">
        <f>Asset_Sum!G121</f>
        <v>0</v>
      </c>
      <c r="G129" s="906" t="s">
        <v>1067</v>
      </c>
      <c r="H129" s="19">
        <f t="shared" si="36"/>
        <v>0</v>
      </c>
      <c r="I129" s="19">
        <f t="shared" si="36"/>
        <v>0</v>
      </c>
      <c r="J129" s="19">
        <f t="shared" si="36"/>
        <v>0</v>
      </c>
      <c r="K129" s="19">
        <f t="shared" si="36"/>
        <v>0</v>
      </c>
      <c r="L129" s="19">
        <f t="shared" si="36"/>
        <v>0</v>
      </c>
      <c r="M129" s="19">
        <f t="shared" si="36"/>
        <v>0</v>
      </c>
      <c r="N129" s="19">
        <f t="shared" si="36"/>
        <v>0</v>
      </c>
      <c r="O129" s="19">
        <f t="shared" si="36"/>
        <v>0</v>
      </c>
      <c r="P129" s="19">
        <f t="shared" si="36"/>
        <v>0</v>
      </c>
      <c r="Q129" s="1759">
        <f t="shared" si="36"/>
        <v>0</v>
      </c>
      <c r="R129" s="1759">
        <f t="shared" si="37"/>
        <v>0</v>
      </c>
      <c r="S129" s="1759">
        <f t="shared" si="37"/>
        <v>0</v>
      </c>
      <c r="T129" s="19">
        <f t="shared" si="37"/>
        <v>0</v>
      </c>
      <c r="U129" s="19">
        <f t="shared" si="37"/>
        <v>0</v>
      </c>
      <c r="V129" s="19">
        <f t="shared" si="37"/>
        <v>0</v>
      </c>
      <c r="W129" s="19">
        <f t="shared" si="37"/>
        <v>0</v>
      </c>
      <c r="X129" s="19">
        <f t="shared" si="37"/>
        <v>0</v>
      </c>
      <c r="Y129" s="19">
        <f t="shared" si="37"/>
        <v>0</v>
      </c>
      <c r="Z129" s="602">
        <f t="shared" si="28"/>
        <v>0</v>
      </c>
      <c r="AA129" s="86"/>
      <c r="AB129" s="86"/>
      <c r="AC129" s="86"/>
      <c r="AD129" s="86"/>
      <c r="AE129" s="86"/>
    </row>
    <row r="130" spans="1:31" hidden="1">
      <c r="A130" s="411"/>
      <c r="C130" s="336">
        <f t="shared" si="35"/>
        <v>106</v>
      </c>
      <c r="D130" s="165" t="str">
        <f>Asset_Sum!E122</f>
        <v>397</v>
      </c>
      <c r="E130" s="247" t="str">
        <f>Asset_Sum!F122</f>
        <v>COMM EQUIP-MOBILE</v>
      </c>
      <c r="F130" s="19">
        <f>Asset_Sum!G122</f>
        <v>0</v>
      </c>
      <c r="G130" s="906" t="s">
        <v>1067</v>
      </c>
      <c r="H130" s="19">
        <f t="shared" si="36"/>
        <v>0</v>
      </c>
      <c r="I130" s="19">
        <f t="shared" si="36"/>
        <v>0</v>
      </c>
      <c r="J130" s="19">
        <f t="shared" si="36"/>
        <v>0</v>
      </c>
      <c r="K130" s="19">
        <f t="shared" si="36"/>
        <v>0</v>
      </c>
      <c r="L130" s="19">
        <f t="shared" si="36"/>
        <v>0</v>
      </c>
      <c r="M130" s="19">
        <f t="shared" si="36"/>
        <v>0</v>
      </c>
      <c r="N130" s="19">
        <f t="shared" si="36"/>
        <v>0</v>
      </c>
      <c r="O130" s="19">
        <f t="shared" si="36"/>
        <v>0</v>
      </c>
      <c r="P130" s="19">
        <f t="shared" si="36"/>
        <v>0</v>
      </c>
      <c r="Q130" s="1759">
        <f t="shared" si="36"/>
        <v>0</v>
      </c>
      <c r="R130" s="1759">
        <f t="shared" si="37"/>
        <v>0</v>
      </c>
      <c r="S130" s="1759">
        <f t="shared" si="37"/>
        <v>0</v>
      </c>
      <c r="T130" s="19">
        <f t="shared" si="37"/>
        <v>0</v>
      </c>
      <c r="U130" s="19">
        <f t="shared" si="37"/>
        <v>0</v>
      </c>
      <c r="V130" s="19">
        <f t="shared" si="37"/>
        <v>0</v>
      </c>
      <c r="W130" s="19">
        <f t="shared" si="37"/>
        <v>0</v>
      </c>
      <c r="X130" s="19">
        <f t="shared" si="37"/>
        <v>0</v>
      </c>
      <c r="Y130" s="19">
        <f t="shared" si="37"/>
        <v>0</v>
      </c>
      <c r="Z130" s="602">
        <f t="shared" si="28"/>
        <v>0</v>
      </c>
      <c r="AA130" s="86"/>
      <c r="AB130" s="86"/>
      <c r="AC130" s="86"/>
      <c r="AD130" s="86"/>
      <c r="AE130" s="86"/>
    </row>
    <row r="131" spans="1:31" hidden="1">
      <c r="A131" s="411"/>
      <c r="C131" s="336">
        <f>MAX(C125:C130)+1</f>
        <v>107</v>
      </c>
      <c r="D131" s="165" t="str">
        <f>Asset_Sum!E123</f>
        <v>397</v>
      </c>
      <c r="E131" s="247" t="str">
        <f>Asset_Sum!F123</f>
        <v>COMM EQUIP-ML OFFICE</v>
      </c>
      <c r="F131" s="19">
        <f>Asset_Sum!G123</f>
        <v>0</v>
      </c>
      <c r="G131" s="906" t="s">
        <v>1067</v>
      </c>
      <c r="H131" s="19">
        <f t="shared" si="36"/>
        <v>0</v>
      </c>
      <c r="I131" s="19">
        <f t="shared" si="36"/>
        <v>0</v>
      </c>
      <c r="J131" s="19">
        <f t="shared" si="36"/>
        <v>0</v>
      </c>
      <c r="K131" s="19">
        <f t="shared" si="36"/>
        <v>0</v>
      </c>
      <c r="L131" s="19">
        <f t="shared" si="36"/>
        <v>0</v>
      </c>
      <c r="M131" s="19">
        <f t="shared" si="36"/>
        <v>0</v>
      </c>
      <c r="N131" s="19">
        <f t="shared" si="36"/>
        <v>0</v>
      </c>
      <c r="O131" s="19">
        <f t="shared" si="36"/>
        <v>0</v>
      </c>
      <c r="P131" s="19">
        <f t="shared" si="36"/>
        <v>0</v>
      </c>
      <c r="Q131" s="1759">
        <f t="shared" si="36"/>
        <v>0</v>
      </c>
      <c r="R131" s="1759">
        <f t="shared" si="37"/>
        <v>0</v>
      </c>
      <c r="S131" s="1759">
        <f t="shared" si="37"/>
        <v>0</v>
      </c>
      <c r="T131" s="19">
        <f t="shared" si="37"/>
        <v>0</v>
      </c>
      <c r="U131" s="19">
        <f t="shared" si="37"/>
        <v>0</v>
      </c>
      <c r="V131" s="19">
        <f t="shared" si="37"/>
        <v>0</v>
      </c>
      <c r="W131" s="19">
        <f t="shared" si="37"/>
        <v>0</v>
      </c>
      <c r="X131" s="19">
        <f t="shared" si="37"/>
        <v>0</v>
      </c>
      <c r="Y131" s="19">
        <f t="shared" si="37"/>
        <v>0</v>
      </c>
      <c r="Z131" s="602">
        <f t="shared" si="28"/>
        <v>0</v>
      </c>
      <c r="AA131" s="86"/>
      <c r="AB131" s="86"/>
      <c r="AC131" s="86"/>
      <c r="AD131" s="86"/>
      <c r="AE131" s="86"/>
    </row>
    <row r="132" spans="1:31" hidden="1">
      <c r="A132" s="411"/>
      <c r="C132" s="336">
        <f t="shared" si="23"/>
        <v>108</v>
      </c>
      <c r="D132" s="165" t="str">
        <f>Asset_Sum!E124</f>
        <v>397</v>
      </c>
      <c r="E132" s="247" t="str">
        <f>Asset_Sum!F124</f>
        <v>ANALOG TELEM-JOINT</v>
      </c>
      <c r="F132" s="19">
        <f>Asset_Sum!G124</f>
        <v>0</v>
      </c>
      <c r="G132" s="906" t="s">
        <v>1067</v>
      </c>
      <c r="H132" s="19">
        <f t="shared" ref="H132:Q141" si="38">$F132*SUMIF($E$338:$E$359,$G132,H$338:H$359)</f>
        <v>0</v>
      </c>
      <c r="I132" s="19">
        <f t="shared" si="38"/>
        <v>0</v>
      </c>
      <c r="J132" s="19">
        <f t="shared" si="38"/>
        <v>0</v>
      </c>
      <c r="K132" s="19">
        <f t="shared" si="38"/>
        <v>0</v>
      </c>
      <c r="L132" s="19">
        <f t="shared" si="38"/>
        <v>0</v>
      </c>
      <c r="M132" s="19">
        <f t="shared" si="38"/>
        <v>0</v>
      </c>
      <c r="N132" s="19">
        <f t="shared" si="38"/>
        <v>0</v>
      </c>
      <c r="O132" s="19">
        <f t="shared" si="38"/>
        <v>0</v>
      </c>
      <c r="P132" s="19">
        <f t="shared" si="38"/>
        <v>0</v>
      </c>
      <c r="Q132" s="1759">
        <f t="shared" si="38"/>
        <v>0</v>
      </c>
      <c r="R132" s="1759">
        <f t="shared" ref="R132:Y141" si="39">$F132*SUMIF($E$338:$E$359,$G132,R$338:R$359)</f>
        <v>0</v>
      </c>
      <c r="S132" s="1759">
        <f t="shared" si="39"/>
        <v>0</v>
      </c>
      <c r="T132" s="19">
        <f t="shared" si="39"/>
        <v>0</v>
      </c>
      <c r="U132" s="19">
        <f t="shared" si="39"/>
        <v>0</v>
      </c>
      <c r="V132" s="19">
        <f t="shared" si="39"/>
        <v>0</v>
      </c>
      <c r="W132" s="19">
        <f t="shared" si="39"/>
        <v>0</v>
      </c>
      <c r="X132" s="19">
        <f t="shared" si="39"/>
        <v>0</v>
      </c>
      <c r="Y132" s="19">
        <f t="shared" si="39"/>
        <v>0</v>
      </c>
      <c r="Z132" s="602">
        <f t="shared" si="28"/>
        <v>0</v>
      </c>
      <c r="AA132" s="86"/>
      <c r="AB132" s="86"/>
      <c r="AC132" s="86"/>
      <c r="AD132" s="86"/>
      <c r="AE132" s="86"/>
    </row>
    <row r="133" spans="1:31" hidden="1">
      <c r="A133" s="411"/>
      <c r="C133" s="336">
        <f t="shared" si="23"/>
        <v>109</v>
      </c>
      <c r="D133" s="165" t="str">
        <f>Asset_Sum!E125</f>
        <v>397</v>
      </c>
      <c r="E133" s="247" t="str">
        <f>Asset_Sum!F125</f>
        <v>COMM EQUIP-ML TRANSMITTER</v>
      </c>
      <c r="F133" s="19">
        <f>Asset_Sum!G125</f>
        <v>0</v>
      </c>
      <c r="G133" s="906" t="s">
        <v>1067</v>
      </c>
      <c r="H133" s="19">
        <f t="shared" si="38"/>
        <v>0</v>
      </c>
      <c r="I133" s="19">
        <f t="shared" si="38"/>
        <v>0</v>
      </c>
      <c r="J133" s="19">
        <f t="shared" si="38"/>
        <v>0</v>
      </c>
      <c r="K133" s="19">
        <f t="shared" si="38"/>
        <v>0</v>
      </c>
      <c r="L133" s="19">
        <f t="shared" si="38"/>
        <v>0</v>
      </c>
      <c r="M133" s="19">
        <f t="shared" si="38"/>
        <v>0</v>
      </c>
      <c r="N133" s="19">
        <f t="shared" si="38"/>
        <v>0</v>
      </c>
      <c r="O133" s="19">
        <f t="shared" si="38"/>
        <v>0</v>
      </c>
      <c r="P133" s="19">
        <f t="shared" si="38"/>
        <v>0</v>
      </c>
      <c r="Q133" s="1759">
        <f t="shared" si="38"/>
        <v>0</v>
      </c>
      <c r="R133" s="1759">
        <f t="shared" si="39"/>
        <v>0</v>
      </c>
      <c r="S133" s="1759">
        <f t="shared" si="39"/>
        <v>0</v>
      </c>
      <c r="T133" s="19">
        <f t="shared" si="39"/>
        <v>0</v>
      </c>
      <c r="U133" s="19">
        <f t="shared" si="39"/>
        <v>0</v>
      </c>
      <c r="V133" s="19">
        <f t="shared" si="39"/>
        <v>0</v>
      </c>
      <c r="W133" s="19">
        <f t="shared" si="39"/>
        <v>0</v>
      </c>
      <c r="X133" s="19">
        <f t="shared" si="39"/>
        <v>0</v>
      </c>
      <c r="Y133" s="19">
        <f t="shared" si="39"/>
        <v>0</v>
      </c>
      <c r="Z133" s="602">
        <f t="shared" si="28"/>
        <v>0</v>
      </c>
      <c r="AA133" s="86"/>
      <c r="AB133" s="86"/>
      <c r="AC133" s="86"/>
      <c r="AD133" s="86"/>
      <c r="AE133" s="86"/>
    </row>
    <row r="134" spans="1:31" hidden="1">
      <c r="A134" s="411"/>
      <c r="C134" s="336">
        <f t="shared" ref="C134:C168" si="40">MAX(C129:C133)+1</f>
        <v>110</v>
      </c>
      <c r="D134" s="165" t="str">
        <f>Asset_Sum!E126</f>
        <v>397</v>
      </c>
      <c r="E134" s="247" t="str">
        <f>Asset_Sum!F126</f>
        <v>COMM EQUIP-ML SERV CENTER</v>
      </c>
      <c r="F134" s="19">
        <f>Asset_Sum!G126</f>
        <v>0</v>
      </c>
      <c r="G134" s="906" t="s">
        <v>1067</v>
      </c>
      <c r="H134" s="19">
        <f t="shared" si="38"/>
        <v>0</v>
      </c>
      <c r="I134" s="19">
        <f t="shared" si="38"/>
        <v>0</v>
      </c>
      <c r="J134" s="19">
        <f t="shared" si="38"/>
        <v>0</v>
      </c>
      <c r="K134" s="19">
        <f t="shared" si="38"/>
        <v>0</v>
      </c>
      <c r="L134" s="19">
        <f t="shared" si="38"/>
        <v>0</v>
      </c>
      <c r="M134" s="19">
        <f t="shared" si="38"/>
        <v>0</v>
      </c>
      <c r="N134" s="19">
        <f t="shared" si="38"/>
        <v>0</v>
      </c>
      <c r="O134" s="19">
        <f t="shared" si="38"/>
        <v>0</v>
      </c>
      <c r="P134" s="19">
        <f t="shared" si="38"/>
        <v>0</v>
      </c>
      <c r="Q134" s="1759">
        <f t="shared" si="38"/>
        <v>0</v>
      </c>
      <c r="R134" s="1759">
        <f t="shared" si="39"/>
        <v>0</v>
      </c>
      <c r="S134" s="1759">
        <f t="shared" si="39"/>
        <v>0</v>
      </c>
      <c r="T134" s="19">
        <f t="shared" si="39"/>
        <v>0</v>
      </c>
      <c r="U134" s="19">
        <f t="shared" si="39"/>
        <v>0</v>
      </c>
      <c r="V134" s="19">
        <f t="shared" si="39"/>
        <v>0</v>
      </c>
      <c r="W134" s="19">
        <f t="shared" si="39"/>
        <v>0</v>
      </c>
      <c r="X134" s="19">
        <f t="shared" si="39"/>
        <v>0</v>
      </c>
      <c r="Y134" s="19">
        <f t="shared" si="39"/>
        <v>0</v>
      </c>
      <c r="Z134" s="602">
        <f t="shared" si="28"/>
        <v>0</v>
      </c>
      <c r="AA134" s="86"/>
      <c r="AB134" s="86"/>
      <c r="AC134" s="86"/>
      <c r="AD134" s="86"/>
      <c r="AE134" s="86"/>
    </row>
    <row r="135" spans="1:31" hidden="1">
      <c r="A135" s="411"/>
      <c r="C135" s="336">
        <f t="shared" si="40"/>
        <v>111</v>
      </c>
      <c r="D135" s="165" t="str">
        <f>Asset_Sum!E127</f>
        <v>397</v>
      </c>
      <c r="E135" s="247" t="str">
        <f>Asset_Sum!F127</f>
        <v>COMM EQUIP-QUINCY OFFICE</v>
      </c>
      <c r="F135" s="19">
        <f>Asset_Sum!G127</f>
        <v>0</v>
      </c>
      <c r="G135" s="906" t="s">
        <v>1067</v>
      </c>
      <c r="H135" s="19">
        <f t="shared" si="38"/>
        <v>0</v>
      </c>
      <c r="I135" s="19">
        <f t="shared" si="38"/>
        <v>0</v>
      </c>
      <c r="J135" s="19">
        <f t="shared" si="38"/>
        <v>0</v>
      </c>
      <c r="K135" s="19">
        <f t="shared" si="38"/>
        <v>0</v>
      </c>
      <c r="L135" s="19">
        <f t="shared" si="38"/>
        <v>0</v>
      </c>
      <c r="M135" s="19">
        <f t="shared" si="38"/>
        <v>0</v>
      </c>
      <c r="N135" s="19">
        <f t="shared" si="38"/>
        <v>0</v>
      </c>
      <c r="O135" s="19">
        <f t="shared" si="38"/>
        <v>0</v>
      </c>
      <c r="P135" s="19">
        <f t="shared" si="38"/>
        <v>0</v>
      </c>
      <c r="Q135" s="1759">
        <f t="shared" si="38"/>
        <v>0</v>
      </c>
      <c r="R135" s="1759">
        <f t="shared" si="39"/>
        <v>0</v>
      </c>
      <c r="S135" s="1759">
        <f t="shared" si="39"/>
        <v>0</v>
      </c>
      <c r="T135" s="19">
        <f t="shared" si="39"/>
        <v>0</v>
      </c>
      <c r="U135" s="19">
        <f t="shared" si="39"/>
        <v>0</v>
      </c>
      <c r="V135" s="19">
        <f t="shared" si="39"/>
        <v>0</v>
      </c>
      <c r="W135" s="19">
        <f t="shared" si="39"/>
        <v>0</v>
      </c>
      <c r="X135" s="19">
        <f t="shared" si="39"/>
        <v>0</v>
      </c>
      <c r="Y135" s="19">
        <f t="shared" si="39"/>
        <v>0</v>
      </c>
      <c r="Z135" s="602">
        <f t="shared" si="28"/>
        <v>0</v>
      </c>
      <c r="AA135" s="86"/>
      <c r="AB135" s="86"/>
      <c r="AC135" s="86"/>
      <c r="AD135" s="86"/>
      <c r="AE135" s="86"/>
    </row>
    <row r="136" spans="1:31" hidden="1">
      <c r="A136" s="411"/>
      <c r="C136" s="336">
        <f t="shared" si="40"/>
        <v>112</v>
      </c>
      <c r="D136" s="165" t="str">
        <f>Asset_Sum!E128</f>
        <v>397</v>
      </c>
      <c r="E136" s="247" t="str">
        <f>Asset_Sum!F128</f>
        <v>DIG TELEM-JOINT</v>
      </c>
      <c r="F136" s="19">
        <f>Asset_Sum!G128</f>
        <v>0</v>
      </c>
      <c r="G136" s="906" t="s">
        <v>1067</v>
      </c>
      <c r="H136" s="19">
        <f t="shared" si="38"/>
        <v>0</v>
      </c>
      <c r="I136" s="19">
        <f t="shared" si="38"/>
        <v>0</v>
      </c>
      <c r="J136" s="19">
        <f t="shared" si="38"/>
        <v>0</v>
      </c>
      <c r="K136" s="19">
        <f t="shared" si="38"/>
        <v>0</v>
      </c>
      <c r="L136" s="19">
        <f t="shared" si="38"/>
        <v>0</v>
      </c>
      <c r="M136" s="19">
        <f t="shared" si="38"/>
        <v>0</v>
      </c>
      <c r="N136" s="19">
        <f t="shared" si="38"/>
        <v>0</v>
      </c>
      <c r="O136" s="19">
        <f t="shared" si="38"/>
        <v>0</v>
      </c>
      <c r="P136" s="19">
        <f t="shared" si="38"/>
        <v>0</v>
      </c>
      <c r="Q136" s="1759">
        <f t="shared" si="38"/>
        <v>0</v>
      </c>
      <c r="R136" s="1759">
        <f t="shared" si="39"/>
        <v>0</v>
      </c>
      <c r="S136" s="1759">
        <f t="shared" si="39"/>
        <v>0</v>
      </c>
      <c r="T136" s="19">
        <f t="shared" si="39"/>
        <v>0</v>
      </c>
      <c r="U136" s="19">
        <f t="shared" si="39"/>
        <v>0</v>
      </c>
      <c r="V136" s="19">
        <f t="shared" si="39"/>
        <v>0</v>
      </c>
      <c r="W136" s="19">
        <f t="shared" si="39"/>
        <v>0</v>
      </c>
      <c r="X136" s="19">
        <f t="shared" si="39"/>
        <v>0</v>
      </c>
      <c r="Y136" s="19">
        <f t="shared" si="39"/>
        <v>0</v>
      </c>
      <c r="Z136" s="602">
        <f t="shared" si="28"/>
        <v>0</v>
      </c>
      <c r="AA136" s="86"/>
      <c r="AB136" s="86"/>
      <c r="AC136" s="86"/>
      <c r="AD136" s="86"/>
      <c r="AE136" s="86"/>
    </row>
    <row r="137" spans="1:31" hidden="1">
      <c r="A137" s="411"/>
      <c r="C137" s="336">
        <f t="shared" si="40"/>
        <v>113</v>
      </c>
      <c r="D137" s="165" t="str">
        <f>Asset_Sum!E129</f>
        <v>397</v>
      </c>
      <c r="E137" s="247" t="str">
        <f>Asset_Sum!F129</f>
        <v>FIBER BACKBONE</v>
      </c>
      <c r="F137" s="19">
        <f>Asset_Sum!G129</f>
        <v>0</v>
      </c>
      <c r="G137" s="906" t="s">
        <v>1067</v>
      </c>
      <c r="H137" s="19">
        <f t="shared" si="38"/>
        <v>0</v>
      </c>
      <c r="I137" s="19">
        <f t="shared" si="38"/>
        <v>0</v>
      </c>
      <c r="J137" s="19">
        <f t="shared" si="38"/>
        <v>0</v>
      </c>
      <c r="K137" s="19">
        <f t="shared" si="38"/>
        <v>0</v>
      </c>
      <c r="L137" s="19">
        <f t="shared" si="38"/>
        <v>0</v>
      </c>
      <c r="M137" s="19">
        <f t="shared" si="38"/>
        <v>0</v>
      </c>
      <c r="N137" s="19">
        <f t="shared" si="38"/>
        <v>0</v>
      </c>
      <c r="O137" s="19">
        <f t="shared" si="38"/>
        <v>0</v>
      </c>
      <c r="P137" s="19">
        <f t="shared" si="38"/>
        <v>0</v>
      </c>
      <c r="Q137" s="1759">
        <f t="shared" si="38"/>
        <v>0</v>
      </c>
      <c r="R137" s="1759">
        <f t="shared" si="39"/>
        <v>0</v>
      </c>
      <c r="S137" s="1759">
        <f t="shared" si="39"/>
        <v>0</v>
      </c>
      <c r="T137" s="19">
        <f t="shared" si="39"/>
        <v>0</v>
      </c>
      <c r="U137" s="19">
        <f t="shared" si="39"/>
        <v>0</v>
      </c>
      <c r="V137" s="19">
        <f t="shared" si="39"/>
        <v>0</v>
      </c>
      <c r="W137" s="19">
        <f t="shared" si="39"/>
        <v>0</v>
      </c>
      <c r="X137" s="19">
        <f t="shared" si="39"/>
        <v>0</v>
      </c>
      <c r="Y137" s="19">
        <f t="shared" si="39"/>
        <v>0</v>
      </c>
      <c r="Z137" s="602">
        <f t="shared" si="28"/>
        <v>0</v>
      </c>
      <c r="AA137" s="86"/>
      <c r="AB137" s="86"/>
      <c r="AC137" s="86"/>
      <c r="AD137" s="86"/>
      <c r="AE137" s="86"/>
    </row>
    <row r="138" spans="1:31" hidden="1">
      <c r="A138" s="411"/>
      <c r="C138" s="336">
        <f t="shared" si="40"/>
        <v>114</v>
      </c>
      <c r="D138" s="165" t="str">
        <f>Asset_Sum!E130</f>
        <v>397</v>
      </c>
      <c r="E138" s="247" t="str">
        <f>Asset_Sum!F130</f>
        <v>COMM EQUIP-GRAND COULEE</v>
      </c>
      <c r="F138" s="19">
        <f>Asset_Sum!G130</f>
        <v>0</v>
      </c>
      <c r="G138" s="906" t="s">
        <v>1067</v>
      </c>
      <c r="H138" s="19">
        <f t="shared" si="38"/>
        <v>0</v>
      </c>
      <c r="I138" s="19">
        <f t="shared" si="38"/>
        <v>0</v>
      </c>
      <c r="J138" s="19">
        <f t="shared" si="38"/>
        <v>0</v>
      </c>
      <c r="K138" s="19">
        <f t="shared" si="38"/>
        <v>0</v>
      </c>
      <c r="L138" s="19">
        <f t="shared" si="38"/>
        <v>0</v>
      </c>
      <c r="M138" s="19">
        <f t="shared" si="38"/>
        <v>0</v>
      </c>
      <c r="N138" s="19">
        <f t="shared" si="38"/>
        <v>0</v>
      </c>
      <c r="O138" s="19">
        <f t="shared" si="38"/>
        <v>0</v>
      </c>
      <c r="P138" s="19">
        <f t="shared" si="38"/>
        <v>0</v>
      </c>
      <c r="Q138" s="1759">
        <f t="shared" si="38"/>
        <v>0</v>
      </c>
      <c r="R138" s="1759">
        <f t="shared" si="39"/>
        <v>0</v>
      </c>
      <c r="S138" s="1759">
        <f t="shared" si="39"/>
        <v>0</v>
      </c>
      <c r="T138" s="19">
        <f t="shared" si="39"/>
        <v>0</v>
      </c>
      <c r="U138" s="19">
        <f t="shared" si="39"/>
        <v>0</v>
      </c>
      <c r="V138" s="19">
        <f t="shared" si="39"/>
        <v>0</v>
      </c>
      <c r="W138" s="19">
        <f t="shared" si="39"/>
        <v>0</v>
      </c>
      <c r="X138" s="19">
        <f t="shared" si="39"/>
        <v>0</v>
      </c>
      <c r="Y138" s="19">
        <f t="shared" si="39"/>
        <v>0</v>
      </c>
      <c r="Z138" s="602">
        <f t="shared" si="28"/>
        <v>0</v>
      </c>
      <c r="AA138" s="86"/>
      <c r="AB138" s="86"/>
      <c r="AC138" s="86"/>
      <c r="AD138" s="86"/>
      <c r="AE138" s="86"/>
    </row>
    <row r="139" spans="1:31" hidden="1">
      <c r="A139" s="411"/>
      <c r="C139" s="336">
        <f t="shared" si="40"/>
        <v>115</v>
      </c>
      <c r="D139" s="165" t="str">
        <f>Asset_Sum!E131</f>
        <v>397</v>
      </c>
      <c r="E139" s="247" t="str">
        <f>Asset_Sum!F131</f>
        <v>COMM EQUIP-RC SENT-450MHZ</v>
      </c>
      <c r="F139" s="19">
        <f>Asset_Sum!G131</f>
        <v>0</v>
      </c>
      <c r="G139" s="906" t="s">
        <v>1067</v>
      </c>
      <c r="H139" s="19">
        <f t="shared" si="38"/>
        <v>0</v>
      </c>
      <c r="I139" s="19">
        <f t="shared" si="38"/>
        <v>0</v>
      </c>
      <c r="J139" s="19">
        <f t="shared" si="38"/>
        <v>0</v>
      </c>
      <c r="K139" s="19">
        <f t="shared" si="38"/>
        <v>0</v>
      </c>
      <c r="L139" s="19">
        <f t="shared" si="38"/>
        <v>0</v>
      </c>
      <c r="M139" s="19">
        <f t="shared" si="38"/>
        <v>0</v>
      </c>
      <c r="N139" s="19">
        <f t="shared" si="38"/>
        <v>0</v>
      </c>
      <c r="O139" s="19">
        <f t="shared" si="38"/>
        <v>0</v>
      </c>
      <c r="P139" s="19">
        <f t="shared" si="38"/>
        <v>0</v>
      </c>
      <c r="Q139" s="1759">
        <f t="shared" si="38"/>
        <v>0</v>
      </c>
      <c r="R139" s="1759">
        <f t="shared" si="39"/>
        <v>0</v>
      </c>
      <c r="S139" s="1759">
        <f t="shared" si="39"/>
        <v>0</v>
      </c>
      <c r="T139" s="19">
        <f t="shared" si="39"/>
        <v>0</v>
      </c>
      <c r="U139" s="19">
        <f t="shared" si="39"/>
        <v>0</v>
      </c>
      <c r="V139" s="19">
        <f t="shared" si="39"/>
        <v>0</v>
      </c>
      <c r="W139" s="19">
        <f t="shared" si="39"/>
        <v>0</v>
      </c>
      <c r="X139" s="19">
        <f t="shared" si="39"/>
        <v>0</v>
      </c>
      <c r="Y139" s="19">
        <f t="shared" si="39"/>
        <v>0</v>
      </c>
      <c r="Z139" s="602">
        <f t="shared" si="28"/>
        <v>0</v>
      </c>
      <c r="AA139" s="86"/>
      <c r="AB139" s="86"/>
      <c r="AC139" s="86"/>
      <c r="AD139" s="86"/>
      <c r="AE139" s="86"/>
    </row>
    <row r="140" spans="1:31" hidden="1">
      <c r="A140" s="411"/>
      <c r="C140" s="336">
        <f t="shared" si="40"/>
        <v>116</v>
      </c>
      <c r="D140" s="165" t="str">
        <f>Asset_Sum!E132</f>
        <v>397</v>
      </c>
      <c r="E140" s="247" t="str">
        <f>Asset_Sum!F132</f>
        <v>COMM EQUIP-EPH-960MC</v>
      </c>
      <c r="F140" s="19">
        <f>Asset_Sum!G132</f>
        <v>0</v>
      </c>
      <c r="G140" s="906" t="s">
        <v>1067</v>
      </c>
      <c r="H140" s="19">
        <f t="shared" si="38"/>
        <v>0</v>
      </c>
      <c r="I140" s="19">
        <f t="shared" si="38"/>
        <v>0</v>
      </c>
      <c r="J140" s="19">
        <f t="shared" si="38"/>
        <v>0</v>
      </c>
      <c r="K140" s="19">
        <f t="shared" si="38"/>
        <v>0</v>
      </c>
      <c r="L140" s="19">
        <f t="shared" si="38"/>
        <v>0</v>
      </c>
      <c r="M140" s="19">
        <f t="shared" si="38"/>
        <v>0</v>
      </c>
      <c r="N140" s="19">
        <f t="shared" si="38"/>
        <v>0</v>
      </c>
      <c r="O140" s="19">
        <f t="shared" si="38"/>
        <v>0</v>
      </c>
      <c r="P140" s="19">
        <f t="shared" si="38"/>
        <v>0</v>
      </c>
      <c r="Q140" s="1759">
        <f t="shared" si="38"/>
        <v>0</v>
      </c>
      <c r="R140" s="1759">
        <f t="shared" si="39"/>
        <v>0</v>
      </c>
      <c r="S140" s="1759">
        <f t="shared" si="39"/>
        <v>0</v>
      </c>
      <c r="T140" s="19">
        <f t="shared" si="39"/>
        <v>0</v>
      </c>
      <c r="U140" s="19">
        <f t="shared" si="39"/>
        <v>0</v>
      </c>
      <c r="V140" s="19">
        <f t="shared" si="39"/>
        <v>0</v>
      </c>
      <c r="W140" s="19">
        <f t="shared" si="39"/>
        <v>0</v>
      </c>
      <c r="X140" s="19">
        <f t="shared" si="39"/>
        <v>0</v>
      </c>
      <c r="Y140" s="19">
        <f t="shared" si="39"/>
        <v>0</v>
      </c>
      <c r="Z140" s="602">
        <f t="shared" si="28"/>
        <v>0</v>
      </c>
      <c r="AA140" s="86"/>
      <c r="AB140" s="86"/>
      <c r="AC140" s="86"/>
      <c r="AD140" s="86"/>
      <c r="AE140" s="86"/>
    </row>
    <row r="141" spans="1:31" hidden="1">
      <c r="A141" s="411"/>
      <c r="C141" s="336">
        <f t="shared" si="40"/>
        <v>117</v>
      </c>
      <c r="D141" s="165" t="str">
        <f>Asset_Sum!E133</f>
        <v>397</v>
      </c>
      <c r="E141" s="247" t="str">
        <f>Asset_Sum!F133</f>
        <v>COMM EQUIP-QUINCY-960MC</v>
      </c>
      <c r="F141" s="19">
        <f>Asset_Sum!G133</f>
        <v>0</v>
      </c>
      <c r="G141" s="906" t="s">
        <v>1067</v>
      </c>
      <c r="H141" s="19">
        <f t="shared" si="38"/>
        <v>0</v>
      </c>
      <c r="I141" s="19">
        <f t="shared" si="38"/>
        <v>0</v>
      </c>
      <c r="J141" s="19">
        <f t="shared" si="38"/>
        <v>0</v>
      </c>
      <c r="K141" s="19">
        <f t="shared" si="38"/>
        <v>0</v>
      </c>
      <c r="L141" s="19">
        <f t="shared" si="38"/>
        <v>0</v>
      </c>
      <c r="M141" s="19">
        <f t="shared" si="38"/>
        <v>0</v>
      </c>
      <c r="N141" s="19">
        <f t="shared" si="38"/>
        <v>0</v>
      </c>
      <c r="O141" s="19">
        <f t="shared" si="38"/>
        <v>0</v>
      </c>
      <c r="P141" s="19">
        <f t="shared" si="38"/>
        <v>0</v>
      </c>
      <c r="Q141" s="1759">
        <f t="shared" si="38"/>
        <v>0</v>
      </c>
      <c r="R141" s="1759">
        <f t="shared" si="39"/>
        <v>0</v>
      </c>
      <c r="S141" s="1759">
        <f t="shared" si="39"/>
        <v>0</v>
      </c>
      <c r="T141" s="19">
        <f t="shared" si="39"/>
        <v>0</v>
      </c>
      <c r="U141" s="19">
        <f t="shared" si="39"/>
        <v>0</v>
      </c>
      <c r="V141" s="19">
        <f t="shared" si="39"/>
        <v>0</v>
      </c>
      <c r="W141" s="19">
        <f t="shared" si="39"/>
        <v>0</v>
      </c>
      <c r="X141" s="19">
        <f t="shared" si="39"/>
        <v>0</v>
      </c>
      <c r="Y141" s="19">
        <f t="shared" si="39"/>
        <v>0</v>
      </c>
      <c r="Z141" s="602">
        <f t="shared" si="28"/>
        <v>0</v>
      </c>
      <c r="AA141" s="86"/>
      <c r="AB141" s="86"/>
      <c r="AC141" s="86"/>
      <c r="AD141" s="86"/>
      <c r="AE141" s="86"/>
    </row>
    <row r="142" spans="1:31" hidden="1">
      <c r="A142" s="411"/>
      <c r="C142" s="336">
        <f t="shared" si="40"/>
        <v>118</v>
      </c>
      <c r="D142" s="165" t="str">
        <f>Asset_Sum!E134</f>
        <v>397</v>
      </c>
      <c r="E142" s="247" t="str">
        <f>Asset_Sum!F134</f>
        <v>COMM EQUIP-MC SENT-960MC</v>
      </c>
      <c r="F142" s="19">
        <f>Asset_Sum!G134</f>
        <v>0</v>
      </c>
      <c r="G142" s="906" t="s">
        <v>1067</v>
      </c>
      <c r="H142" s="19">
        <f t="shared" ref="H142:Q151" si="41">$F142*SUMIF($E$338:$E$359,$G142,H$338:H$359)</f>
        <v>0</v>
      </c>
      <c r="I142" s="19">
        <f t="shared" si="41"/>
        <v>0</v>
      </c>
      <c r="J142" s="19">
        <f t="shared" si="41"/>
        <v>0</v>
      </c>
      <c r="K142" s="19">
        <f t="shared" si="41"/>
        <v>0</v>
      </c>
      <c r="L142" s="19">
        <f t="shared" si="41"/>
        <v>0</v>
      </c>
      <c r="M142" s="19">
        <f t="shared" si="41"/>
        <v>0</v>
      </c>
      <c r="N142" s="19">
        <f t="shared" si="41"/>
        <v>0</v>
      </c>
      <c r="O142" s="19">
        <f t="shared" si="41"/>
        <v>0</v>
      </c>
      <c r="P142" s="19">
        <f t="shared" si="41"/>
        <v>0</v>
      </c>
      <c r="Q142" s="1759">
        <f t="shared" si="41"/>
        <v>0</v>
      </c>
      <c r="R142" s="1759">
        <f t="shared" ref="R142:Y151" si="42">$F142*SUMIF($E$338:$E$359,$G142,R$338:R$359)</f>
        <v>0</v>
      </c>
      <c r="S142" s="1759">
        <f t="shared" si="42"/>
        <v>0</v>
      </c>
      <c r="T142" s="19">
        <f t="shared" si="42"/>
        <v>0</v>
      </c>
      <c r="U142" s="19">
        <f t="shared" si="42"/>
        <v>0</v>
      </c>
      <c r="V142" s="19">
        <f t="shared" si="42"/>
        <v>0</v>
      </c>
      <c r="W142" s="19">
        <f t="shared" si="42"/>
        <v>0</v>
      </c>
      <c r="X142" s="19">
        <f t="shared" si="42"/>
        <v>0</v>
      </c>
      <c r="Y142" s="19">
        <f t="shared" si="42"/>
        <v>0</v>
      </c>
      <c r="Z142" s="602">
        <f t="shared" si="28"/>
        <v>0</v>
      </c>
      <c r="AA142" s="86"/>
      <c r="AB142" s="86"/>
      <c r="AC142" s="86"/>
      <c r="AD142" s="86"/>
      <c r="AE142" s="86"/>
    </row>
    <row r="143" spans="1:31" hidden="1">
      <c r="A143" s="411"/>
      <c r="C143" s="336">
        <f t="shared" si="40"/>
        <v>119</v>
      </c>
      <c r="D143" s="165" t="str">
        <f>Asset_Sum!E135</f>
        <v>397</v>
      </c>
      <c r="E143" s="247" t="str">
        <f>Asset_Sum!F135</f>
        <v>COMM EQUIP-MC POTHOLE-960MC</v>
      </c>
      <c r="F143" s="19">
        <f>Asset_Sum!G135</f>
        <v>0</v>
      </c>
      <c r="G143" s="906" t="s">
        <v>1067</v>
      </c>
      <c r="H143" s="19">
        <f t="shared" si="41"/>
        <v>0</v>
      </c>
      <c r="I143" s="19">
        <f t="shared" si="41"/>
        <v>0</v>
      </c>
      <c r="J143" s="19">
        <f t="shared" si="41"/>
        <v>0</v>
      </c>
      <c r="K143" s="19">
        <f t="shared" si="41"/>
        <v>0</v>
      </c>
      <c r="L143" s="19">
        <f t="shared" si="41"/>
        <v>0</v>
      </c>
      <c r="M143" s="19">
        <f t="shared" si="41"/>
        <v>0</v>
      </c>
      <c r="N143" s="19">
        <f t="shared" si="41"/>
        <v>0</v>
      </c>
      <c r="O143" s="19">
        <f t="shared" si="41"/>
        <v>0</v>
      </c>
      <c r="P143" s="19">
        <f t="shared" si="41"/>
        <v>0</v>
      </c>
      <c r="Q143" s="1759">
        <f t="shared" si="41"/>
        <v>0</v>
      </c>
      <c r="R143" s="1759">
        <f t="shared" si="42"/>
        <v>0</v>
      </c>
      <c r="S143" s="1759">
        <f t="shared" si="42"/>
        <v>0</v>
      </c>
      <c r="T143" s="19">
        <f t="shared" si="42"/>
        <v>0</v>
      </c>
      <c r="U143" s="19">
        <f t="shared" si="42"/>
        <v>0</v>
      </c>
      <c r="V143" s="19">
        <f t="shared" si="42"/>
        <v>0</v>
      </c>
      <c r="W143" s="19">
        <f t="shared" si="42"/>
        <v>0</v>
      </c>
      <c r="X143" s="19">
        <f t="shared" si="42"/>
        <v>0</v>
      </c>
      <c r="Y143" s="19">
        <f t="shared" si="42"/>
        <v>0</v>
      </c>
      <c r="Z143" s="602">
        <f t="shared" si="28"/>
        <v>0</v>
      </c>
      <c r="AA143" s="86"/>
      <c r="AB143" s="86"/>
      <c r="AC143" s="86"/>
      <c r="AD143" s="86"/>
      <c r="AE143" s="86"/>
    </row>
    <row r="144" spans="1:31" hidden="1">
      <c r="A144" s="411"/>
      <c r="C144" s="336">
        <f t="shared" si="40"/>
        <v>120</v>
      </c>
      <c r="D144" s="165" t="str">
        <f>Asset_Sum!E136</f>
        <v>397</v>
      </c>
      <c r="E144" s="247" t="str">
        <f>Asset_Sum!F136</f>
        <v>COMM EQUIP-SUBSTATION</v>
      </c>
      <c r="F144" s="19">
        <f>Asset_Sum!G136</f>
        <v>0</v>
      </c>
      <c r="G144" s="906" t="s">
        <v>1067</v>
      </c>
      <c r="H144" s="19">
        <f t="shared" si="41"/>
        <v>0</v>
      </c>
      <c r="I144" s="19">
        <f t="shared" si="41"/>
        <v>0</v>
      </c>
      <c r="J144" s="19">
        <f t="shared" si="41"/>
        <v>0</v>
      </c>
      <c r="K144" s="19">
        <f t="shared" si="41"/>
        <v>0</v>
      </c>
      <c r="L144" s="19">
        <f t="shared" si="41"/>
        <v>0</v>
      </c>
      <c r="M144" s="19">
        <f t="shared" si="41"/>
        <v>0</v>
      </c>
      <c r="N144" s="19">
        <f t="shared" si="41"/>
        <v>0</v>
      </c>
      <c r="O144" s="19">
        <f t="shared" si="41"/>
        <v>0</v>
      </c>
      <c r="P144" s="19">
        <f t="shared" si="41"/>
        <v>0</v>
      </c>
      <c r="Q144" s="1759">
        <f t="shared" si="41"/>
        <v>0</v>
      </c>
      <c r="R144" s="1759">
        <f t="shared" si="42"/>
        <v>0</v>
      </c>
      <c r="S144" s="1759">
        <f t="shared" si="42"/>
        <v>0</v>
      </c>
      <c r="T144" s="19">
        <f t="shared" si="42"/>
        <v>0</v>
      </c>
      <c r="U144" s="19">
        <f t="shared" si="42"/>
        <v>0</v>
      </c>
      <c r="V144" s="19">
        <f t="shared" si="42"/>
        <v>0</v>
      </c>
      <c r="W144" s="19">
        <f t="shared" si="42"/>
        <v>0</v>
      </c>
      <c r="X144" s="19">
        <f t="shared" si="42"/>
        <v>0</v>
      </c>
      <c r="Y144" s="19">
        <f t="shared" si="42"/>
        <v>0</v>
      </c>
      <c r="Z144" s="602">
        <f t="shared" si="28"/>
        <v>0</v>
      </c>
      <c r="AA144" s="86"/>
      <c r="AB144" s="86"/>
      <c r="AC144" s="86"/>
      <c r="AD144" s="86"/>
      <c r="AE144" s="86"/>
    </row>
    <row r="145" spans="1:31" hidden="1">
      <c r="A145" s="411"/>
      <c r="C145" s="336">
        <f t="shared" si="40"/>
        <v>121</v>
      </c>
      <c r="D145" s="165" t="str">
        <f>Asset_Sum!E137</f>
        <v>397</v>
      </c>
      <c r="E145" s="247" t="str">
        <f>Asset_Sum!F137</f>
        <v>COMM EQUIP-DATA CO-ML</v>
      </c>
      <c r="F145" s="19">
        <f>Asset_Sum!G137</f>
        <v>0</v>
      </c>
      <c r="G145" s="906" t="s">
        <v>1067</v>
      </c>
      <c r="H145" s="19">
        <f t="shared" si="41"/>
        <v>0</v>
      </c>
      <c r="I145" s="19">
        <f t="shared" si="41"/>
        <v>0</v>
      </c>
      <c r="J145" s="19">
        <f t="shared" si="41"/>
        <v>0</v>
      </c>
      <c r="K145" s="19">
        <f t="shared" si="41"/>
        <v>0</v>
      </c>
      <c r="L145" s="19">
        <f t="shared" si="41"/>
        <v>0</v>
      </c>
      <c r="M145" s="19">
        <f t="shared" si="41"/>
        <v>0</v>
      </c>
      <c r="N145" s="19">
        <f t="shared" si="41"/>
        <v>0</v>
      </c>
      <c r="O145" s="19">
        <f t="shared" si="41"/>
        <v>0</v>
      </c>
      <c r="P145" s="19">
        <f t="shared" si="41"/>
        <v>0</v>
      </c>
      <c r="Q145" s="1759">
        <f t="shared" si="41"/>
        <v>0</v>
      </c>
      <c r="R145" s="1759">
        <f t="shared" si="42"/>
        <v>0</v>
      </c>
      <c r="S145" s="1759">
        <f t="shared" si="42"/>
        <v>0</v>
      </c>
      <c r="T145" s="19">
        <f t="shared" si="42"/>
        <v>0</v>
      </c>
      <c r="U145" s="19">
        <f t="shared" si="42"/>
        <v>0</v>
      </c>
      <c r="V145" s="19">
        <f t="shared" si="42"/>
        <v>0</v>
      </c>
      <c r="W145" s="19">
        <f t="shared" si="42"/>
        <v>0</v>
      </c>
      <c r="X145" s="19">
        <f t="shared" si="42"/>
        <v>0</v>
      </c>
      <c r="Y145" s="19">
        <f t="shared" si="42"/>
        <v>0</v>
      </c>
      <c r="Z145" s="602">
        <f t="shared" si="28"/>
        <v>0</v>
      </c>
      <c r="AA145" s="86"/>
      <c r="AB145" s="86"/>
      <c r="AC145" s="86"/>
      <c r="AD145" s="86"/>
      <c r="AE145" s="86"/>
    </row>
    <row r="146" spans="1:31" hidden="1">
      <c r="A146" s="411"/>
      <c r="C146" s="336">
        <f t="shared" si="40"/>
        <v>122</v>
      </c>
      <c r="D146" s="165" t="str">
        <f>Asset_Sum!E138</f>
        <v>397</v>
      </c>
      <c r="E146" s="247" t="str">
        <f>Asset_Sum!F138</f>
        <v>COMM EQUIP-DATA CO-QUINCY</v>
      </c>
      <c r="F146" s="19">
        <f>Asset_Sum!G138</f>
        <v>0</v>
      </c>
      <c r="G146" s="906" t="s">
        <v>1067</v>
      </c>
      <c r="H146" s="19">
        <f t="shared" si="41"/>
        <v>0</v>
      </c>
      <c r="I146" s="19">
        <f t="shared" si="41"/>
        <v>0</v>
      </c>
      <c r="J146" s="19">
        <f t="shared" si="41"/>
        <v>0</v>
      </c>
      <c r="K146" s="19">
        <f t="shared" si="41"/>
        <v>0</v>
      </c>
      <c r="L146" s="19">
        <f t="shared" si="41"/>
        <v>0</v>
      </c>
      <c r="M146" s="19">
        <f t="shared" si="41"/>
        <v>0</v>
      </c>
      <c r="N146" s="19">
        <f t="shared" si="41"/>
        <v>0</v>
      </c>
      <c r="O146" s="19">
        <f t="shared" si="41"/>
        <v>0</v>
      </c>
      <c r="P146" s="19">
        <f t="shared" si="41"/>
        <v>0</v>
      </c>
      <c r="Q146" s="1759">
        <f t="shared" si="41"/>
        <v>0</v>
      </c>
      <c r="R146" s="1759">
        <f t="shared" si="42"/>
        <v>0</v>
      </c>
      <c r="S146" s="1759">
        <f t="shared" si="42"/>
        <v>0</v>
      </c>
      <c r="T146" s="19">
        <f t="shared" si="42"/>
        <v>0</v>
      </c>
      <c r="U146" s="19">
        <f t="shared" si="42"/>
        <v>0</v>
      </c>
      <c r="V146" s="19">
        <f t="shared" si="42"/>
        <v>0</v>
      </c>
      <c r="W146" s="19">
        <f t="shared" si="42"/>
        <v>0</v>
      </c>
      <c r="X146" s="19">
        <f t="shared" si="42"/>
        <v>0</v>
      </c>
      <c r="Y146" s="19">
        <f t="shared" si="42"/>
        <v>0</v>
      </c>
      <c r="Z146" s="602">
        <f t="shared" si="28"/>
        <v>0</v>
      </c>
      <c r="AA146" s="86"/>
      <c r="AB146" s="86"/>
      <c r="AC146" s="86"/>
      <c r="AD146" s="86"/>
      <c r="AE146" s="86"/>
    </row>
    <row r="147" spans="1:31" hidden="1">
      <c r="A147" s="411"/>
      <c r="C147" s="336">
        <f t="shared" si="40"/>
        <v>123</v>
      </c>
      <c r="D147" s="165" t="str">
        <f>Asset_Sum!E139</f>
        <v>397</v>
      </c>
      <c r="E147" s="247" t="str">
        <f>Asset_Sum!F139</f>
        <v>COMM EQUIP-DATA CO-POTHOLE</v>
      </c>
      <c r="F147" s="19">
        <f>Asset_Sum!G139</f>
        <v>0</v>
      </c>
      <c r="G147" s="906" t="s">
        <v>1067</v>
      </c>
      <c r="H147" s="19">
        <f t="shared" si="41"/>
        <v>0</v>
      </c>
      <c r="I147" s="19">
        <f t="shared" si="41"/>
        <v>0</v>
      </c>
      <c r="J147" s="19">
        <f t="shared" si="41"/>
        <v>0</v>
      </c>
      <c r="K147" s="19">
        <f t="shared" si="41"/>
        <v>0</v>
      </c>
      <c r="L147" s="19">
        <f t="shared" si="41"/>
        <v>0</v>
      </c>
      <c r="M147" s="19">
        <f t="shared" si="41"/>
        <v>0</v>
      </c>
      <c r="N147" s="19">
        <f t="shared" si="41"/>
        <v>0</v>
      </c>
      <c r="O147" s="19">
        <f t="shared" si="41"/>
        <v>0</v>
      </c>
      <c r="P147" s="19">
        <f t="shared" si="41"/>
        <v>0</v>
      </c>
      <c r="Q147" s="1759">
        <f t="shared" si="41"/>
        <v>0</v>
      </c>
      <c r="R147" s="1759">
        <f t="shared" si="42"/>
        <v>0</v>
      </c>
      <c r="S147" s="1759">
        <f t="shared" si="42"/>
        <v>0</v>
      </c>
      <c r="T147" s="19">
        <f t="shared" si="42"/>
        <v>0</v>
      </c>
      <c r="U147" s="19">
        <f t="shared" si="42"/>
        <v>0</v>
      </c>
      <c r="V147" s="19">
        <f t="shared" si="42"/>
        <v>0</v>
      </c>
      <c r="W147" s="19">
        <f t="shared" si="42"/>
        <v>0</v>
      </c>
      <c r="X147" s="19">
        <f t="shared" si="42"/>
        <v>0</v>
      </c>
      <c r="Y147" s="19">
        <f t="shared" si="42"/>
        <v>0</v>
      </c>
      <c r="Z147" s="602">
        <f t="shared" si="28"/>
        <v>0</v>
      </c>
      <c r="AA147" s="86"/>
      <c r="AB147" s="86"/>
      <c r="AC147" s="86"/>
      <c r="AD147" s="86"/>
      <c r="AE147" s="86"/>
    </row>
    <row r="148" spans="1:31" hidden="1">
      <c r="A148" s="411"/>
      <c r="C148" s="336">
        <f t="shared" si="40"/>
        <v>124</v>
      </c>
      <c r="D148" s="165" t="str">
        <f>Asset_Sum!E140</f>
        <v>397</v>
      </c>
      <c r="E148" s="247" t="str">
        <f>Asset_Sum!F140</f>
        <v>COMM EQUIP-ML TELEPHONE</v>
      </c>
      <c r="F148" s="19">
        <f>Asset_Sum!G140</f>
        <v>0</v>
      </c>
      <c r="G148" s="906" t="s">
        <v>1067</v>
      </c>
      <c r="H148" s="19">
        <f t="shared" si="41"/>
        <v>0</v>
      </c>
      <c r="I148" s="19">
        <f t="shared" si="41"/>
        <v>0</v>
      </c>
      <c r="J148" s="19">
        <f t="shared" si="41"/>
        <v>0</v>
      </c>
      <c r="K148" s="19">
        <f t="shared" si="41"/>
        <v>0</v>
      </c>
      <c r="L148" s="19">
        <f t="shared" si="41"/>
        <v>0</v>
      </c>
      <c r="M148" s="19">
        <f t="shared" si="41"/>
        <v>0</v>
      </c>
      <c r="N148" s="19">
        <f t="shared" si="41"/>
        <v>0</v>
      </c>
      <c r="O148" s="19">
        <f t="shared" si="41"/>
        <v>0</v>
      </c>
      <c r="P148" s="19">
        <f t="shared" si="41"/>
        <v>0</v>
      </c>
      <c r="Q148" s="1759">
        <f t="shared" si="41"/>
        <v>0</v>
      </c>
      <c r="R148" s="1759">
        <f t="shared" si="42"/>
        <v>0</v>
      </c>
      <c r="S148" s="1759">
        <f t="shared" si="42"/>
        <v>0</v>
      </c>
      <c r="T148" s="19">
        <f t="shared" si="42"/>
        <v>0</v>
      </c>
      <c r="U148" s="19">
        <f t="shared" si="42"/>
        <v>0</v>
      </c>
      <c r="V148" s="19">
        <f t="shared" si="42"/>
        <v>0</v>
      </c>
      <c r="W148" s="19">
        <f t="shared" si="42"/>
        <v>0</v>
      </c>
      <c r="X148" s="19">
        <f t="shared" si="42"/>
        <v>0</v>
      </c>
      <c r="Y148" s="19">
        <f t="shared" si="42"/>
        <v>0</v>
      </c>
      <c r="Z148" s="602">
        <f t="shared" ref="Z148:Z219" si="43">SUM(H148:Y148)-F148</f>
        <v>0</v>
      </c>
      <c r="AA148" s="86"/>
      <c r="AB148" s="86"/>
      <c r="AC148" s="86"/>
      <c r="AD148" s="86"/>
      <c r="AE148" s="86"/>
    </row>
    <row r="149" spans="1:31" hidden="1">
      <c r="A149" s="411"/>
      <c r="C149" s="336">
        <f t="shared" si="40"/>
        <v>125</v>
      </c>
      <c r="D149" s="165" t="str">
        <f>Asset_Sum!E141</f>
        <v>397</v>
      </c>
      <c r="E149" s="247" t="str">
        <f>Asset_Sum!F141</f>
        <v>COMM EQUIP-GC TELEPHONE</v>
      </c>
      <c r="F149" s="19">
        <f>Asset_Sum!G141</f>
        <v>0</v>
      </c>
      <c r="G149" s="906" t="s">
        <v>1067</v>
      </c>
      <c r="H149" s="19">
        <f t="shared" si="41"/>
        <v>0</v>
      </c>
      <c r="I149" s="19">
        <f t="shared" si="41"/>
        <v>0</v>
      </c>
      <c r="J149" s="19">
        <f t="shared" si="41"/>
        <v>0</v>
      </c>
      <c r="K149" s="19">
        <f t="shared" si="41"/>
        <v>0</v>
      </c>
      <c r="L149" s="19">
        <f t="shared" si="41"/>
        <v>0</v>
      </c>
      <c r="M149" s="19">
        <f t="shared" si="41"/>
        <v>0</v>
      </c>
      <c r="N149" s="19">
        <f t="shared" si="41"/>
        <v>0</v>
      </c>
      <c r="O149" s="19">
        <f t="shared" si="41"/>
        <v>0</v>
      </c>
      <c r="P149" s="19">
        <f t="shared" si="41"/>
        <v>0</v>
      </c>
      <c r="Q149" s="1759">
        <f t="shared" si="41"/>
        <v>0</v>
      </c>
      <c r="R149" s="1759">
        <f t="shared" si="42"/>
        <v>0</v>
      </c>
      <c r="S149" s="1759">
        <f t="shared" si="42"/>
        <v>0</v>
      </c>
      <c r="T149" s="19">
        <f t="shared" si="42"/>
        <v>0</v>
      </c>
      <c r="U149" s="19">
        <f t="shared" si="42"/>
        <v>0</v>
      </c>
      <c r="V149" s="19">
        <f t="shared" si="42"/>
        <v>0</v>
      </c>
      <c r="W149" s="19">
        <f t="shared" si="42"/>
        <v>0</v>
      </c>
      <c r="X149" s="19">
        <f t="shared" si="42"/>
        <v>0</v>
      </c>
      <c r="Y149" s="19">
        <f t="shared" si="42"/>
        <v>0</v>
      </c>
      <c r="Z149" s="602">
        <f t="shared" si="43"/>
        <v>0</v>
      </c>
      <c r="AA149" s="86"/>
      <c r="AB149" s="86"/>
      <c r="AC149" s="86"/>
      <c r="AD149" s="86"/>
      <c r="AE149" s="86"/>
    </row>
    <row r="150" spans="1:31" hidden="1">
      <c r="A150" s="411"/>
      <c r="C150" s="336">
        <f t="shared" si="40"/>
        <v>126</v>
      </c>
      <c r="D150" s="165" t="str">
        <f>Asset_Sum!E142</f>
        <v>397</v>
      </c>
      <c r="E150" s="247" t="str">
        <f>Asset_Sum!F142</f>
        <v>COMM EQUIP-ANALOG TELEMTR</v>
      </c>
      <c r="F150" s="19">
        <f>Asset_Sum!G142</f>
        <v>0</v>
      </c>
      <c r="G150" s="906" t="s">
        <v>1067</v>
      </c>
      <c r="H150" s="19">
        <f t="shared" si="41"/>
        <v>0</v>
      </c>
      <c r="I150" s="19">
        <f t="shared" si="41"/>
        <v>0</v>
      </c>
      <c r="J150" s="19">
        <f t="shared" si="41"/>
        <v>0</v>
      </c>
      <c r="K150" s="19">
        <f t="shared" si="41"/>
        <v>0</v>
      </c>
      <c r="L150" s="19">
        <f t="shared" si="41"/>
        <v>0</v>
      </c>
      <c r="M150" s="19">
        <f t="shared" si="41"/>
        <v>0</v>
      </c>
      <c r="N150" s="19">
        <f t="shared" si="41"/>
        <v>0</v>
      </c>
      <c r="O150" s="19">
        <f t="shared" si="41"/>
        <v>0</v>
      </c>
      <c r="P150" s="19">
        <f t="shared" si="41"/>
        <v>0</v>
      </c>
      <c r="Q150" s="1759">
        <f t="shared" si="41"/>
        <v>0</v>
      </c>
      <c r="R150" s="1759">
        <f t="shared" si="42"/>
        <v>0</v>
      </c>
      <c r="S150" s="1759">
        <f t="shared" si="42"/>
        <v>0</v>
      </c>
      <c r="T150" s="19">
        <f t="shared" si="42"/>
        <v>0</v>
      </c>
      <c r="U150" s="19">
        <f t="shared" si="42"/>
        <v>0</v>
      </c>
      <c r="V150" s="19">
        <f t="shared" si="42"/>
        <v>0</v>
      </c>
      <c r="W150" s="19">
        <f t="shared" si="42"/>
        <v>0</v>
      </c>
      <c r="X150" s="19">
        <f t="shared" si="42"/>
        <v>0</v>
      </c>
      <c r="Y150" s="19">
        <f t="shared" si="42"/>
        <v>0</v>
      </c>
      <c r="Z150" s="602">
        <f t="shared" si="43"/>
        <v>0</v>
      </c>
      <c r="AA150" s="86"/>
      <c r="AB150" s="86"/>
      <c r="AC150" s="86"/>
      <c r="AD150" s="86"/>
      <c r="AE150" s="86"/>
    </row>
    <row r="151" spans="1:31" hidden="1">
      <c r="A151" s="411"/>
      <c r="C151" s="336">
        <f t="shared" si="40"/>
        <v>127</v>
      </c>
      <c r="D151" s="165" t="str">
        <f>Asset_Sum!E143</f>
        <v>397</v>
      </c>
      <c r="E151" s="247" t="str">
        <f>Asset_Sum!F143</f>
        <v>COMM SCADA-JOINT</v>
      </c>
      <c r="F151" s="19">
        <f>Asset_Sum!G143</f>
        <v>0</v>
      </c>
      <c r="G151" s="906" t="s">
        <v>1067</v>
      </c>
      <c r="H151" s="19">
        <f t="shared" si="41"/>
        <v>0</v>
      </c>
      <c r="I151" s="19">
        <f t="shared" si="41"/>
        <v>0</v>
      </c>
      <c r="J151" s="19">
        <f t="shared" si="41"/>
        <v>0</v>
      </c>
      <c r="K151" s="19">
        <f t="shared" si="41"/>
        <v>0</v>
      </c>
      <c r="L151" s="19">
        <f t="shared" si="41"/>
        <v>0</v>
      </c>
      <c r="M151" s="19">
        <f t="shared" si="41"/>
        <v>0</v>
      </c>
      <c r="N151" s="19">
        <f t="shared" si="41"/>
        <v>0</v>
      </c>
      <c r="O151" s="19">
        <f t="shared" si="41"/>
        <v>0</v>
      </c>
      <c r="P151" s="19">
        <f t="shared" si="41"/>
        <v>0</v>
      </c>
      <c r="Q151" s="1759">
        <f t="shared" si="41"/>
        <v>0</v>
      </c>
      <c r="R151" s="1759">
        <f t="shared" si="42"/>
        <v>0</v>
      </c>
      <c r="S151" s="1759">
        <f t="shared" si="42"/>
        <v>0</v>
      </c>
      <c r="T151" s="19">
        <f t="shared" si="42"/>
        <v>0</v>
      </c>
      <c r="U151" s="19">
        <f t="shared" si="42"/>
        <v>0</v>
      </c>
      <c r="V151" s="19">
        <f t="shared" si="42"/>
        <v>0</v>
      </c>
      <c r="W151" s="19">
        <f t="shared" si="42"/>
        <v>0</v>
      </c>
      <c r="X151" s="19">
        <f t="shared" si="42"/>
        <v>0</v>
      </c>
      <c r="Y151" s="19">
        <f t="shared" si="42"/>
        <v>0</v>
      </c>
      <c r="Z151" s="602">
        <f t="shared" si="43"/>
        <v>0</v>
      </c>
      <c r="AA151" s="86"/>
      <c r="AB151" s="86"/>
      <c r="AC151" s="86"/>
      <c r="AD151" s="86"/>
      <c r="AE151" s="86"/>
    </row>
    <row r="152" spans="1:31">
      <c r="A152" s="411"/>
      <c r="C152" s="336">
        <f t="shared" si="40"/>
        <v>128</v>
      </c>
      <c r="D152" s="165" t="str">
        <f>Asset_Sum!E144</f>
        <v>397</v>
      </c>
      <c r="E152" s="247" t="str">
        <f>Asset_Sum!F144</f>
        <v>WFON-D/VIDEO HEAD END EQUIP</v>
      </c>
      <c r="F152" s="19">
        <f>Asset_Sum!G144</f>
        <v>129581.5</v>
      </c>
      <c r="G152" s="906" t="s">
        <v>1053</v>
      </c>
      <c r="H152" s="19">
        <f t="shared" ref="H152:Q166" si="44">$F152*SUMIF($E$338:$E$359,$G152,H$338:H$359)</f>
        <v>0</v>
      </c>
      <c r="I152" s="19">
        <f t="shared" si="44"/>
        <v>6569.7820500000007</v>
      </c>
      <c r="J152" s="19">
        <f t="shared" si="44"/>
        <v>36684.522649999999</v>
      </c>
      <c r="K152" s="19">
        <f t="shared" si="44"/>
        <v>15446.114799999999</v>
      </c>
      <c r="L152" s="19">
        <f t="shared" si="44"/>
        <v>0</v>
      </c>
      <c r="M152" s="19">
        <f t="shared" si="44"/>
        <v>0</v>
      </c>
      <c r="N152" s="19">
        <f t="shared" si="44"/>
        <v>0</v>
      </c>
      <c r="O152" s="19">
        <f t="shared" si="44"/>
        <v>13774.51345</v>
      </c>
      <c r="P152" s="19">
        <f t="shared" si="44"/>
        <v>5066.6366500000004</v>
      </c>
      <c r="Q152" s="1759">
        <f t="shared" si="44"/>
        <v>29920.368350000001</v>
      </c>
      <c r="R152" s="1759">
        <f t="shared" ref="R152:Y166" si="45">$F152*SUMIF($E$338:$E$359,$G152,R$338:R$359)</f>
        <v>4068.8590999999997</v>
      </c>
      <c r="S152" s="1759">
        <f t="shared" si="45"/>
        <v>10392.436299999999</v>
      </c>
      <c r="T152" s="19">
        <f t="shared" si="45"/>
        <v>3770.8216500000003</v>
      </c>
      <c r="U152" s="19">
        <f t="shared" si="45"/>
        <v>2630.5044499999999</v>
      </c>
      <c r="V152" s="19">
        <f t="shared" si="45"/>
        <v>0</v>
      </c>
      <c r="W152" s="19">
        <f t="shared" si="45"/>
        <v>1256.94055</v>
      </c>
      <c r="X152" s="19">
        <f t="shared" si="45"/>
        <v>0</v>
      </c>
      <c r="Y152" s="19">
        <f t="shared" si="45"/>
        <v>0</v>
      </c>
      <c r="Z152" s="602">
        <f t="shared" si="43"/>
        <v>0</v>
      </c>
      <c r="AA152" s="86"/>
      <c r="AB152" s="86"/>
      <c r="AC152" s="86"/>
      <c r="AD152" s="86"/>
      <c r="AE152" s="86"/>
    </row>
    <row r="153" spans="1:31">
      <c r="A153" s="411"/>
      <c r="C153" s="336">
        <f t="shared" si="40"/>
        <v>129</v>
      </c>
      <c r="D153" s="165" t="str">
        <f>Asset_Sum!E145</f>
        <v>397</v>
      </c>
      <c r="E153" s="247" t="str">
        <f>Asset_Sum!F145</f>
        <v>WFON-HUB ELECTRONICS CIRCUIT</v>
      </c>
      <c r="F153" s="19">
        <f>Asset_Sum!G145</f>
        <v>18516599.719999999</v>
      </c>
      <c r="G153" s="906" t="s">
        <v>1053</v>
      </c>
      <c r="H153" s="19">
        <f t="shared" si="44"/>
        <v>0</v>
      </c>
      <c r="I153" s="19">
        <f t="shared" si="44"/>
        <v>938791.60580399993</v>
      </c>
      <c r="J153" s="19">
        <f t="shared" si="44"/>
        <v>5242049.3807319999</v>
      </c>
      <c r="K153" s="19">
        <f t="shared" si="44"/>
        <v>2207178.6866239998</v>
      </c>
      <c r="L153" s="19">
        <f t="shared" si="44"/>
        <v>0</v>
      </c>
      <c r="M153" s="19">
        <f t="shared" si="44"/>
        <v>0</v>
      </c>
      <c r="N153" s="19">
        <f t="shared" si="44"/>
        <v>0</v>
      </c>
      <c r="O153" s="19">
        <f t="shared" si="44"/>
        <v>1968314.550236</v>
      </c>
      <c r="P153" s="19">
        <f t="shared" si="44"/>
        <v>723999.04905200005</v>
      </c>
      <c r="Q153" s="1759">
        <f t="shared" si="44"/>
        <v>4275482.8753479999</v>
      </c>
      <c r="R153" s="1759">
        <f t="shared" si="45"/>
        <v>581421.23120799987</v>
      </c>
      <c r="S153" s="1759">
        <f t="shared" si="45"/>
        <v>1485031.2975439997</v>
      </c>
      <c r="T153" s="19">
        <f t="shared" si="45"/>
        <v>538833.05185199995</v>
      </c>
      <c r="U153" s="19">
        <f t="shared" si="45"/>
        <v>375886.97431599995</v>
      </c>
      <c r="V153" s="19">
        <f t="shared" si="45"/>
        <v>0</v>
      </c>
      <c r="W153" s="19">
        <f t="shared" si="45"/>
        <v>179611.017284</v>
      </c>
      <c r="X153" s="19">
        <f t="shared" si="45"/>
        <v>0</v>
      </c>
      <c r="Y153" s="19">
        <f t="shared" si="45"/>
        <v>0</v>
      </c>
      <c r="Z153" s="602">
        <f t="shared" si="43"/>
        <v>0</v>
      </c>
      <c r="AA153" s="86"/>
      <c r="AB153" s="86"/>
      <c r="AC153" s="86"/>
      <c r="AD153" s="86"/>
      <c r="AE153" s="86"/>
    </row>
    <row r="154" spans="1:31">
      <c r="A154" s="411"/>
      <c r="C154" s="336">
        <f t="shared" si="40"/>
        <v>130</v>
      </c>
      <c r="D154" s="165" t="str">
        <f>Asset_Sum!E146</f>
        <v>397</v>
      </c>
      <c r="E154" s="247" t="str">
        <f>Asset_Sum!F146</f>
        <v>WFON-FIBER GATEWAYS</v>
      </c>
      <c r="F154" s="19">
        <f>Asset_Sum!G146</f>
        <v>7200873.5999999996</v>
      </c>
      <c r="G154" s="906" t="s">
        <v>1053</v>
      </c>
      <c r="H154" s="19">
        <f t="shared" si="44"/>
        <v>0</v>
      </c>
      <c r="I154" s="19">
        <f t="shared" si="44"/>
        <v>365084.29151999997</v>
      </c>
      <c r="J154" s="19">
        <f t="shared" si="44"/>
        <v>2038567.3161599999</v>
      </c>
      <c r="K154" s="19">
        <f t="shared" si="44"/>
        <v>858344.13312000001</v>
      </c>
      <c r="L154" s="19">
        <f t="shared" si="44"/>
        <v>0</v>
      </c>
      <c r="M154" s="19">
        <f t="shared" si="44"/>
        <v>0</v>
      </c>
      <c r="N154" s="19">
        <f t="shared" si="44"/>
        <v>0</v>
      </c>
      <c r="O154" s="19">
        <f t="shared" si="44"/>
        <v>765452.86367999995</v>
      </c>
      <c r="P154" s="19">
        <f t="shared" si="44"/>
        <v>281554.15776000003</v>
      </c>
      <c r="Q154" s="1759">
        <f t="shared" si="44"/>
        <v>1662681.7142399999</v>
      </c>
      <c r="R154" s="1759">
        <f t="shared" si="45"/>
        <v>226107.43103999997</v>
      </c>
      <c r="S154" s="1759">
        <f t="shared" si="45"/>
        <v>577510.06271999993</v>
      </c>
      <c r="T154" s="19">
        <f t="shared" si="45"/>
        <v>209545.42176</v>
      </c>
      <c r="U154" s="19">
        <f t="shared" si="45"/>
        <v>146177.73407999999</v>
      </c>
      <c r="V154" s="19">
        <f t="shared" si="45"/>
        <v>0</v>
      </c>
      <c r="W154" s="19">
        <f t="shared" si="45"/>
        <v>69848.473920000004</v>
      </c>
      <c r="X154" s="19">
        <f t="shared" si="45"/>
        <v>0</v>
      </c>
      <c r="Y154" s="19">
        <f t="shared" si="45"/>
        <v>0</v>
      </c>
      <c r="Z154" s="602">
        <f t="shared" si="43"/>
        <v>0</v>
      </c>
      <c r="AA154" s="86"/>
      <c r="AB154" s="86"/>
      <c r="AC154" s="86"/>
      <c r="AD154" s="86"/>
      <c r="AE154" s="86"/>
    </row>
    <row r="155" spans="1:31">
      <c r="A155" s="411"/>
      <c r="C155" s="336">
        <f t="shared" si="40"/>
        <v>131</v>
      </c>
      <c r="D155" s="165" t="str">
        <f>Asset_Sum!E147</f>
        <v>397</v>
      </c>
      <c r="E155" s="247" t="str">
        <f>Asset_Sum!F147</f>
        <v>WFON-HUB CABINET</v>
      </c>
      <c r="F155" s="19">
        <f>Asset_Sum!G147</f>
        <v>12433951.259999998</v>
      </c>
      <c r="G155" s="906" t="s">
        <v>1053</v>
      </c>
      <c r="H155" s="19">
        <f t="shared" si="44"/>
        <v>0</v>
      </c>
      <c r="I155" s="19">
        <f t="shared" si="44"/>
        <v>630401.32888199994</v>
      </c>
      <c r="J155" s="19">
        <f t="shared" si="44"/>
        <v>3520051.6017059996</v>
      </c>
      <c r="K155" s="19">
        <f t="shared" si="44"/>
        <v>1482126.9901919998</v>
      </c>
      <c r="L155" s="19">
        <f t="shared" si="44"/>
        <v>0</v>
      </c>
      <c r="M155" s="19">
        <f t="shared" si="44"/>
        <v>0</v>
      </c>
      <c r="N155" s="19">
        <f t="shared" si="44"/>
        <v>0</v>
      </c>
      <c r="O155" s="19">
        <f t="shared" si="44"/>
        <v>1321729.0189379998</v>
      </c>
      <c r="P155" s="19">
        <f t="shared" si="44"/>
        <v>486167.49426599994</v>
      </c>
      <c r="Q155" s="1759">
        <f t="shared" si="44"/>
        <v>2870999.3459339994</v>
      </c>
      <c r="R155" s="1759">
        <f t="shared" si="45"/>
        <v>390426.06956399989</v>
      </c>
      <c r="S155" s="1759">
        <f t="shared" si="45"/>
        <v>997202.89105199976</v>
      </c>
      <c r="T155" s="19">
        <f t="shared" si="45"/>
        <v>361827.98166599998</v>
      </c>
      <c r="U155" s="19">
        <f t="shared" si="45"/>
        <v>252409.21057799994</v>
      </c>
      <c r="V155" s="19">
        <f t="shared" si="45"/>
        <v>0</v>
      </c>
      <c r="W155" s="19">
        <f t="shared" si="45"/>
        <v>120609.32722199998</v>
      </c>
      <c r="X155" s="19">
        <f t="shared" si="45"/>
        <v>0</v>
      </c>
      <c r="Y155" s="19">
        <f t="shared" si="45"/>
        <v>0</v>
      </c>
      <c r="Z155" s="602">
        <f t="shared" si="43"/>
        <v>0</v>
      </c>
      <c r="AA155" s="86"/>
      <c r="AB155" s="86"/>
      <c r="AC155" s="86"/>
      <c r="AD155" s="86"/>
      <c r="AE155" s="86"/>
    </row>
    <row r="156" spans="1:31">
      <c r="A156" s="411"/>
      <c r="C156" s="336">
        <f t="shared" si="40"/>
        <v>132</v>
      </c>
      <c r="D156" s="165" t="str">
        <f>Asset_Sum!E148</f>
        <v>397</v>
      </c>
      <c r="E156" s="247" t="str">
        <f>Asset_Sum!F148</f>
        <v>WFON-DEMARCATION</v>
      </c>
      <c r="F156" s="19">
        <f>Asset_Sum!G148</f>
        <v>28412438.889999993</v>
      </c>
      <c r="G156" s="906" t="s">
        <v>1053</v>
      </c>
      <c r="H156" s="19">
        <f t="shared" si="44"/>
        <v>0</v>
      </c>
      <c r="I156" s="19">
        <f t="shared" si="44"/>
        <v>1440510.6517229998</v>
      </c>
      <c r="J156" s="19">
        <f t="shared" si="44"/>
        <v>8043561.4497589981</v>
      </c>
      <c r="K156" s="19">
        <f t="shared" si="44"/>
        <v>3386762.715687999</v>
      </c>
      <c r="L156" s="19">
        <f t="shared" si="44"/>
        <v>0</v>
      </c>
      <c r="M156" s="19">
        <f t="shared" si="44"/>
        <v>0</v>
      </c>
      <c r="N156" s="19">
        <f t="shared" si="44"/>
        <v>0</v>
      </c>
      <c r="O156" s="19">
        <f t="shared" si="44"/>
        <v>3020242.2540069995</v>
      </c>
      <c r="P156" s="19">
        <f t="shared" si="44"/>
        <v>1110926.3605989998</v>
      </c>
      <c r="Q156" s="1759">
        <f t="shared" si="44"/>
        <v>6560432.1397009986</v>
      </c>
      <c r="R156" s="1759">
        <f t="shared" si="45"/>
        <v>892150.58114599972</v>
      </c>
      <c r="S156" s="1759">
        <f t="shared" si="45"/>
        <v>2278677.5989779993</v>
      </c>
      <c r="T156" s="19">
        <f t="shared" si="45"/>
        <v>826801.97169899987</v>
      </c>
      <c r="U156" s="19">
        <f t="shared" si="45"/>
        <v>576772.50946699979</v>
      </c>
      <c r="V156" s="19">
        <f t="shared" si="45"/>
        <v>0</v>
      </c>
      <c r="W156" s="19">
        <f t="shared" si="45"/>
        <v>275600.65723299992</v>
      </c>
      <c r="X156" s="19">
        <f t="shared" si="45"/>
        <v>0</v>
      </c>
      <c r="Y156" s="19">
        <f t="shared" si="45"/>
        <v>0</v>
      </c>
      <c r="Z156" s="602">
        <f t="shared" si="43"/>
        <v>0</v>
      </c>
      <c r="AA156" s="86"/>
      <c r="AB156" s="86"/>
      <c r="AC156" s="86"/>
      <c r="AD156" s="86"/>
      <c r="AE156" s="86"/>
    </row>
    <row r="157" spans="1:31">
      <c r="A157" s="411"/>
      <c r="C157" s="336">
        <f t="shared" si="40"/>
        <v>133</v>
      </c>
      <c r="D157" s="165" t="str">
        <f>Asset_Sum!E149</f>
        <v>397</v>
      </c>
      <c r="E157" s="247" t="str">
        <f>Asset_Sum!F149</f>
        <v>WFON-AERIAL CABLE</v>
      </c>
      <c r="F157" s="19">
        <f>Asset_Sum!G149</f>
        <v>35717911.859999992</v>
      </c>
      <c r="G157" s="906" t="s">
        <v>1053</v>
      </c>
      <c r="H157" s="19">
        <f t="shared" si="44"/>
        <v>0</v>
      </c>
      <c r="I157" s="19">
        <f t="shared" si="44"/>
        <v>1810898.1313019996</v>
      </c>
      <c r="J157" s="19">
        <f t="shared" si="44"/>
        <v>10111740.847565999</v>
      </c>
      <c r="K157" s="19">
        <f t="shared" si="44"/>
        <v>4257575.0937119992</v>
      </c>
      <c r="L157" s="19">
        <f t="shared" si="44"/>
        <v>0</v>
      </c>
      <c r="M157" s="19">
        <f t="shared" si="44"/>
        <v>0</v>
      </c>
      <c r="N157" s="19">
        <f t="shared" si="44"/>
        <v>0</v>
      </c>
      <c r="O157" s="19">
        <f t="shared" si="44"/>
        <v>3796814.0307179992</v>
      </c>
      <c r="P157" s="19">
        <f t="shared" si="44"/>
        <v>1396570.3537259998</v>
      </c>
      <c r="Q157" s="1759">
        <f t="shared" si="44"/>
        <v>8247265.8484739978</v>
      </c>
      <c r="R157" s="1759">
        <f t="shared" si="45"/>
        <v>1121542.4324039996</v>
      </c>
      <c r="S157" s="1759">
        <f t="shared" si="45"/>
        <v>2864576.5311719989</v>
      </c>
      <c r="T157" s="19">
        <f t="shared" si="45"/>
        <v>1039391.2351259998</v>
      </c>
      <c r="U157" s="19">
        <f t="shared" si="45"/>
        <v>725073.61075799982</v>
      </c>
      <c r="V157" s="19">
        <f t="shared" si="45"/>
        <v>0</v>
      </c>
      <c r="W157" s="19">
        <f t="shared" si="45"/>
        <v>346463.74504199991</v>
      </c>
      <c r="X157" s="19">
        <f t="shared" si="45"/>
        <v>0</v>
      </c>
      <c r="Y157" s="19">
        <f t="shared" si="45"/>
        <v>0</v>
      </c>
      <c r="Z157" s="602">
        <f t="shared" si="43"/>
        <v>0</v>
      </c>
      <c r="AA157" s="86"/>
      <c r="AB157" s="86"/>
      <c r="AC157" s="86"/>
      <c r="AD157" s="86"/>
      <c r="AE157" s="86"/>
    </row>
    <row r="158" spans="1:31">
      <c r="A158" s="411"/>
      <c r="C158" s="336">
        <f t="shared" si="40"/>
        <v>134</v>
      </c>
      <c r="D158" s="165" t="str">
        <f>Asset_Sum!E150</f>
        <v>397</v>
      </c>
      <c r="E158" s="247" t="str">
        <f>Asset_Sum!F150</f>
        <v>WFON-UNDERGROUND CABLE</v>
      </c>
      <c r="F158" s="19">
        <f>Asset_Sum!G150</f>
        <v>53109602.830000006</v>
      </c>
      <c r="G158" s="906" t="s">
        <v>1053</v>
      </c>
      <c r="H158" s="19">
        <f t="shared" si="44"/>
        <v>0</v>
      </c>
      <c r="I158" s="19">
        <f t="shared" si="44"/>
        <v>2692656.8634810005</v>
      </c>
      <c r="J158" s="19">
        <f t="shared" si="44"/>
        <v>15035328.561173003</v>
      </c>
      <c r="K158" s="19">
        <f t="shared" si="44"/>
        <v>6330664.6573360004</v>
      </c>
      <c r="L158" s="19">
        <f t="shared" si="44"/>
        <v>0</v>
      </c>
      <c r="M158" s="19">
        <f t="shared" si="44"/>
        <v>0</v>
      </c>
      <c r="N158" s="19">
        <f t="shared" si="44"/>
        <v>0</v>
      </c>
      <c r="O158" s="19">
        <f t="shared" si="44"/>
        <v>5645550.7808290012</v>
      </c>
      <c r="P158" s="19">
        <f t="shared" si="44"/>
        <v>2076585.4706530003</v>
      </c>
      <c r="Q158" s="1759">
        <f t="shared" si="44"/>
        <v>12263007.293447001</v>
      </c>
      <c r="R158" s="1759">
        <f t="shared" si="45"/>
        <v>1667641.528862</v>
      </c>
      <c r="S158" s="1759">
        <f t="shared" si="45"/>
        <v>4259390.1469660001</v>
      </c>
      <c r="T158" s="19">
        <f t="shared" si="45"/>
        <v>1545489.4423530002</v>
      </c>
      <c r="U158" s="19">
        <f t="shared" si="45"/>
        <v>1078124.9374490001</v>
      </c>
      <c r="V158" s="19">
        <f t="shared" si="45"/>
        <v>0</v>
      </c>
      <c r="W158" s="19">
        <f t="shared" si="45"/>
        <v>515163.14745100006</v>
      </c>
      <c r="X158" s="19">
        <f t="shared" si="45"/>
        <v>0</v>
      </c>
      <c r="Y158" s="19">
        <f t="shared" si="45"/>
        <v>0</v>
      </c>
      <c r="Z158" s="602">
        <f t="shared" si="43"/>
        <v>0</v>
      </c>
      <c r="AA158" s="86"/>
      <c r="AB158" s="86"/>
      <c r="AC158" s="86"/>
      <c r="AD158" s="86"/>
      <c r="AE158" s="86"/>
    </row>
    <row r="159" spans="1:31" hidden="1">
      <c r="A159" s="411"/>
      <c r="C159" s="336">
        <f t="shared" si="40"/>
        <v>135</v>
      </c>
      <c r="D159" s="165" t="str">
        <f>Asset_Sum!E151</f>
        <v>397</v>
      </c>
      <c r="E159" s="247" t="str">
        <f>Asset_Sum!F151</f>
        <v>TELEPHONE SYS-RC</v>
      </c>
      <c r="F159" s="19">
        <f>Asset_Sum!G151</f>
        <v>0</v>
      </c>
      <c r="G159" s="906" t="s">
        <v>1067</v>
      </c>
      <c r="H159" s="19">
        <f t="shared" si="44"/>
        <v>0</v>
      </c>
      <c r="I159" s="19">
        <f t="shared" si="44"/>
        <v>0</v>
      </c>
      <c r="J159" s="19">
        <f t="shared" si="44"/>
        <v>0</v>
      </c>
      <c r="K159" s="19">
        <f t="shared" si="44"/>
        <v>0</v>
      </c>
      <c r="L159" s="19">
        <f t="shared" si="44"/>
        <v>0</v>
      </c>
      <c r="M159" s="19">
        <f t="shared" si="44"/>
        <v>0</v>
      </c>
      <c r="N159" s="19">
        <f t="shared" si="44"/>
        <v>0</v>
      </c>
      <c r="O159" s="19">
        <f t="shared" si="44"/>
        <v>0</v>
      </c>
      <c r="P159" s="19">
        <f t="shared" si="44"/>
        <v>0</v>
      </c>
      <c r="Q159" s="1759">
        <f t="shared" si="44"/>
        <v>0</v>
      </c>
      <c r="R159" s="1759">
        <f t="shared" si="45"/>
        <v>0</v>
      </c>
      <c r="S159" s="1759">
        <f t="shared" si="45"/>
        <v>0</v>
      </c>
      <c r="T159" s="19">
        <f t="shared" si="45"/>
        <v>0</v>
      </c>
      <c r="U159" s="19">
        <f t="shared" si="45"/>
        <v>0</v>
      </c>
      <c r="V159" s="19">
        <f t="shared" si="45"/>
        <v>0</v>
      </c>
      <c r="W159" s="19">
        <f t="shared" si="45"/>
        <v>0</v>
      </c>
      <c r="X159" s="19">
        <f t="shared" si="45"/>
        <v>0</v>
      </c>
      <c r="Y159" s="19">
        <f t="shared" si="45"/>
        <v>0</v>
      </c>
      <c r="Z159" s="602">
        <f t="shared" si="43"/>
        <v>0</v>
      </c>
      <c r="AA159" s="86"/>
      <c r="AB159" s="86"/>
      <c r="AC159" s="86"/>
      <c r="AD159" s="86"/>
      <c r="AE159" s="86"/>
    </row>
    <row r="160" spans="1:31" hidden="1">
      <c r="A160" s="411"/>
      <c r="C160" s="336">
        <f t="shared" si="40"/>
        <v>136</v>
      </c>
      <c r="D160" s="165" t="str">
        <f>Asset_Sum!E152</f>
        <v>397</v>
      </c>
      <c r="E160" s="247" t="str">
        <f>Asset_Sum!F152</f>
        <v>TELEPHONE SYSTEM-JOINT</v>
      </c>
      <c r="F160" s="19">
        <f>Asset_Sum!G152</f>
        <v>0</v>
      </c>
      <c r="G160" s="906" t="s">
        <v>1067</v>
      </c>
      <c r="H160" s="19">
        <f t="shared" si="44"/>
        <v>0</v>
      </c>
      <c r="I160" s="19">
        <f t="shared" si="44"/>
        <v>0</v>
      </c>
      <c r="J160" s="19">
        <f t="shared" si="44"/>
        <v>0</v>
      </c>
      <c r="K160" s="19">
        <f t="shared" si="44"/>
        <v>0</v>
      </c>
      <c r="L160" s="19">
        <f t="shared" si="44"/>
        <v>0</v>
      </c>
      <c r="M160" s="19">
        <f t="shared" si="44"/>
        <v>0</v>
      </c>
      <c r="N160" s="19">
        <f t="shared" si="44"/>
        <v>0</v>
      </c>
      <c r="O160" s="19">
        <f t="shared" si="44"/>
        <v>0</v>
      </c>
      <c r="P160" s="19">
        <f t="shared" si="44"/>
        <v>0</v>
      </c>
      <c r="Q160" s="1759">
        <f t="shared" si="44"/>
        <v>0</v>
      </c>
      <c r="R160" s="1759">
        <f t="shared" si="45"/>
        <v>0</v>
      </c>
      <c r="S160" s="1759">
        <f t="shared" si="45"/>
        <v>0</v>
      </c>
      <c r="T160" s="19">
        <f t="shared" si="45"/>
        <v>0</v>
      </c>
      <c r="U160" s="19">
        <f t="shared" si="45"/>
        <v>0</v>
      </c>
      <c r="V160" s="19">
        <f t="shared" si="45"/>
        <v>0</v>
      </c>
      <c r="W160" s="19">
        <f t="shared" si="45"/>
        <v>0</v>
      </c>
      <c r="X160" s="19">
        <f t="shared" si="45"/>
        <v>0</v>
      </c>
      <c r="Y160" s="19">
        <f t="shared" si="45"/>
        <v>0</v>
      </c>
      <c r="Z160" s="602">
        <f t="shared" si="43"/>
        <v>0</v>
      </c>
      <c r="AA160" s="86"/>
      <c r="AB160" s="86"/>
      <c r="AC160" s="86"/>
      <c r="AD160" s="86"/>
      <c r="AE160" s="86"/>
    </row>
    <row r="161" spans="1:31" hidden="1">
      <c r="A161" s="411"/>
      <c r="C161" s="336">
        <f t="shared" si="40"/>
        <v>137</v>
      </c>
      <c r="D161" s="165" t="str">
        <f>Asset_Sum!E153</f>
        <v>397</v>
      </c>
      <c r="E161" s="247" t="str">
        <f>Asset_Sum!F153</f>
        <v>COMM EQUIP-SENTINEL RADIO</v>
      </c>
      <c r="F161" s="19">
        <f>Asset_Sum!G153</f>
        <v>0</v>
      </c>
      <c r="G161" s="906" t="s">
        <v>1067</v>
      </c>
      <c r="H161" s="19">
        <f t="shared" si="44"/>
        <v>0</v>
      </c>
      <c r="I161" s="19">
        <f t="shared" si="44"/>
        <v>0</v>
      </c>
      <c r="J161" s="19">
        <f t="shared" si="44"/>
        <v>0</v>
      </c>
      <c r="K161" s="19">
        <f t="shared" si="44"/>
        <v>0</v>
      </c>
      <c r="L161" s="19">
        <f t="shared" si="44"/>
        <v>0</v>
      </c>
      <c r="M161" s="19">
        <f t="shared" si="44"/>
        <v>0</v>
      </c>
      <c r="N161" s="19">
        <f t="shared" si="44"/>
        <v>0</v>
      </c>
      <c r="O161" s="19">
        <f t="shared" si="44"/>
        <v>0</v>
      </c>
      <c r="P161" s="19">
        <f t="shared" si="44"/>
        <v>0</v>
      </c>
      <c r="Q161" s="1759">
        <f t="shared" si="44"/>
        <v>0</v>
      </c>
      <c r="R161" s="1759">
        <f t="shared" si="45"/>
        <v>0</v>
      </c>
      <c r="S161" s="1759">
        <f t="shared" si="45"/>
        <v>0</v>
      </c>
      <c r="T161" s="19">
        <f t="shared" si="45"/>
        <v>0</v>
      </c>
      <c r="U161" s="19">
        <f t="shared" si="45"/>
        <v>0</v>
      </c>
      <c r="V161" s="19">
        <f t="shared" si="45"/>
        <v>0</v>
      </c>
      <c r="W161" s="19">
        <f t="shared" si="45"/>
        <v>0</v>
      </c>
      <c r="X161" s="19">
        <f t="shared" si="45"/>
        <v>0</v>
      </c>
      <c r="Y161" s="19">
        <f t="shared" si="45"/>
        <v>0</v>
      </c>
      <c r="Z161" s="602">
        <f t="shared" si="43"/>
        <v>0</v>
      </c>
      <c r="AA161" s="86"/>
      <c r="AB161" s="86"/>
      <c r="AC161" s="86"/>
      <c r="AD161" s="86"/>
      <c r="AE161" s="86"/>
    </row>
    <row r="162" spans="1:31" hidden="1">
      <c r="A162" s="411"/>
      <c r="C162" s="336">
        <f t="shared" si="40"/>
        <v>138</v>
      </c>
      <c r="D162" s="165" t="str">
        <f>Asset_Sum!E154</f>
        <v>397</v>
      </c>
      <c r="E162" s="247" t="str">
        <f>Asset_Sum!F154</f>
        <v>COMM EQUIP-TEST EQUIP-JOINT</v>
      </c>
      <c r="F162" s="19">
        <f>Asset_Sum!G154</f>
        <v>0</v>
      </c>
      <c r="G162" s="906" t="s">
        <v>1067</v>
      </c>
      <c r="H162" s="19">
        <f t="shared" si="44"/>
        <v>0</v>
      </c>
      <c r="I162" s="19">
        <f t="shared" si="44"/>
        <v>0</v>
      </c>
      <c r="J162" s="19">
        <f t="shared" si="44"/>
        <v>0</v>
      </c>
      <c r="K162" s="19">
        <f t="shared" si="44"/>
        <v>0</v>
      </c>
      <c r="L162" s="19">
        <f t="shared" si="44"/>
        <v>0</v>
      </c>
      <c r="M162" s="19">
        <f t="shared" si="44"/>
        <v>0</v>
      </c>
      <c r="N162" s="19">
        <f t="shared" si="44"/>
        <v>0</v>
      </c>
      <c r="O162" s="19">
        <f t="shared" si="44"/>
        <v>0</v>
      </c>
      <c r="P162" s="19">
        <f t="shared" si="44"/>
        <v>0</v>
      </c>
      <c r="Q162" s="1759">
        <f t="shared" si="44"/>
        <v>0</v>
      </c>
      <c r="R162" s="1759">
        <f t="shared" si="45"/>
        <v>0</v>
      </c>
      <c r="S162" s="1759">
        <f t="shared" si="45"/>
        <v>0</v>
      </c>
      <c r="T162" s="19">
        <f t="shared" si="45"/>
        <v>0</v>
      </c>
      <c r="U162" s="19">
        <f t="shared" si="45"/>
        <v>0</v>
      </c>
      <c r="V162" s="19">
        <f t="shared" si="45"/>
        <v>0</v>
      </c>
      <c r="W162" s="19">
        <f t="shared" si="45"/>
        <v>0</v>
      </c>
      <c r="X162" s="19">
        <f t="shared" si="45"/>
        <v>0</v>
      </c>
      <c r="Y162" s="19">
        <f t="shared" si="45"/>
        <v>0</v>
      </c>
      <c r="Z162" s="602">
        <f t="shared" si="43"/>
        <v>0</v>
      </c>
      <c r="AA162" s="86"/>
      <c r="AB162" s="86"/>
      <c r="AC162" s="86"/>
      <c r="AD162" s="86"/>
      <c r="AE162" s="86"/>
    </row>
    <row r="163" spans="1:31" ht="16.5" thickBot="1">
      <c r="A163" s="411"/>
      <c r="C163" s="336">
        <f t="shared" si="40"/>
        <v>139</v>
      </c>
      <c r="D163" s="165" t="str">
        <f>Asset_Sum!E155</f>
        <v>398</v>
      </c>
      <c r="E163" s="247" t="str">
        <f>Asset_Sum!F155</f>
        <v>MISC EQUIP</v>
      </c>
      <c r="F163" s="19">
        <f>Asset_Sum!G155</f>
        <v>1485886.68</v>
      </c>
      <c r="G163" s="907" t="s">
        <v>1067</v>
      </c>
      <c r="H163" s="19">
        <f t="shared" si="44"/>
        <v>0</v>
      </c>
      <c r="I163" s="19">
        <f t="shared" si="44"/>
        <v>34237.359529172005</v>
      </c>
      <c r="J163" s="19">
        <f t="shared" si="44"/>
        <v>155140.08934304459</v>
      </c>
      <c r="K163" s="19">
        <f t="shared" si="44"/>
        <v>234954.21112868507</v>
      </c>
      <c r="L163" s="19">
        <f t="shared" si="44"/>
        <v>43728.138029162008</v>
      </c>
      <c r="M163" s="19">
        <f t="shared" si="44"/>
        <v>0</v>
      </c>
      <c r="N163" s="19">
        <f t="shared" si="44"/>
        <v>0</v>
      </c>
      <c r="O163" s="19">
        <f t="shared" si="44"/>
        <v>71495.902855453023</v>
      </c>
      <c r="P163" s="19">
        <f t="shared" si="44"/>
        <v>44292.085075276409</v>
      </c>
      <c r="Q163" s="1759">
        <f t="shared" si="44"/>
        <v>278733.18791280908</v>
      </c>
      <c r="R163" s="1759">
        <f t="shared" si="45"/>
        <v>32914.371714776455</v>
      </c>
      <c r="S163" s="1759">
        <f t="shared" si="45"/>
        <v>86617.164250977672</v>
      </c>
      <c r="T163" s="19">
        <f t="shared" si="45"/>
        <v>19586.538184028035</v>
      </c>
      <c r="U163" s="19">
        <f t="shared" si="45"/>
        <v>161423.94102333221</v>
      </c>
      <c r="V163" s="19">
        <f t="shared" si="45"/>
        <v>299939.14534075779</v>
      </c>
      <c r="W163" s="19">
        <f t="shared" si="45"/>
        <v>6542.0399287018681</v>
      </c>
      <c r="X163" s="19">
        <f t="shared" si="45"/>
        <v>16282.524824036067</v>
      </c>
      <c r="Y163" s="19">
        <f t="shared" si="45"/>
        <v>0</v>
      </c>
      <c r="Z163" s="602">
        <f t="shared" si="43"/>
        <v>1.9140212563797832E-2</v>
      </c>
      <c r="AA163" s="86"/>
      <c r="AB163" s="86"/>
      <c r="AC163" s="86"/>
      <c r="AD163" s="86"/>
      <c r="AE163" s="86"/>
    </row>
    <row r="164" spans="1:31" hidden="1">
      <c r="A164" s="411"/>
      <c r="C164" s="336">
        <f t="shared" si="40"/>
        <v>140</v>
      </c>
      <c r="D164" s="165" t="str">
        <f>Asset_Sum!E156</f>
        <v>398</v>
      </c>
      <c r="E164" s="247" t="str">
        <f>Asset_Sum!F156</f>
        <v>MISC EQUIP-EPHRATA</v>
      </c>
      <c r="F164" s="19">
        <f>Asset_Sum!G156</f>
        <v>0</v>
      </c>
      <c r="G164" s="906" t="s">
        <v>1067</v>
      </c>
      <c r="H164" s="19">
        <f t="shared" si="44"/>
        <v>0</v>
      </c>
      <c r="I164" s="19">
        <f t="shared" si="44"/>
        <v>0</v>
      </c>
      <c r="J164" s="19">
        <f t="shared" si="44"/>
        <v>0</v>
      </c>
      <c r="K164" s="19">
        <f t="shared" si="44"/>
        <v>0</v>
      </c>
      <c r="L164" s="19">
        <f t="shared" si="44"/>
        <v>0</v>
      </c>
      <c r="M164" s="19">
        <f t="shared" si="44"/>
        <v>0</v>
      </c>
      <c r="N164" s="19">
        <f t="shared" si="44"/>
        <v>0</v>
      </c>
      <c r="O164" s="19">
        <f t="shared" si="44"/>
        <v>0</v>
      </c>
      <c r="P164" s="19">
        <f t="shared" si="44"/>
        <v>0</v>
      </c>
      <c r="Q164" s="1759">
        <f t="shared" si="44"/>
        <v>0</v>
      </c>
      <c r="R164" s="1759">
        <f t="shared" si="45"/>
        <v>0</v>
      </c>
      <c r="S164" s="1759">
        <f t="shared" si="45"/>
        <v>0</v>
      </c>
      <c r="T164" s="19">
        <f t="shared" si="45"/>
        <v>0</v>
      </c>
      <c r="U164" s="19">
        <f t="shared" si="45"/>
        <v>0</v>
      </c>
      <c r="V164" s="19">
        <f t="shared" si="45"/>
        <v>0</v>
      </c>
      <c r="W164" s="19">
        <f t="shared" si="45"/>
        <v>0</v>
      </c>
      <c r="X164" s="19">
        <f t="shared" si="45"/>
        <v>0</v>
      </c>
      <c r="Y164" s="19">
        <f t="shared" si="45"/>
        <v>0</v>
      </c>
      <c r="Z164" s="602">
        <f t="shared" si="43"/>
        <v>0</v>
      </c>
      <c r="AA164" s="86"/>
      <c r="AB164" s="86"/>
      <c r="AC164" s="86"/>
      <c r="AD164" s="86"/>
      <c r="AE164" s="86"/>
    </row>
    <row r="165" spans="1:31" hidden="1">
      <c r="A165" s="411"/>
      <c r="C165" s="336">
        <f t="shared" si="40"/>
        <v>141</v>
      </c>
      <c r="D165" s="165" t="str">
        <f>Asset_Sum!E157</f>
        <v>398</v>
      </c>
      <c r="E165" s="247" t="str">
        <f>Asset_Sum!F157</f>
        <v>MISC EQUIP-MOSES LAKE</v>
      </c>
      <c r="F165" s="19">
        <f>Asset_Sum!G157</f>
        <v>0</v>
      </c>
      <c r="G165" s="906" t="s">
        <v>1067</v>
      </c>
      <c r="H165" s="19">
        <f t="shared" si="44"/>
        <v>0</v>
      </c>
      <c r="I165" s="19">
        <f t="shared" si="44"/>
        <v>0</v>
      </c>
      <c r="J165" s="19">
        <f t="shared" si="44"/>
        <v>0</v>
      </c>
      <c r="K165" s="19">
        <f t="shared" si="44"/>
        <v>0</v>
      </c>
      <c r="L165" s="19">
        <f t="shared" si="44"/>
        <v>0</v>
      </c>
      <c r="M165" s="19">
        <f t="shared" si="44"/>
        <v>0</v>
      </c>
      <c r="N165" s="19">
        <f t="shared" si="44"/>
        <v>0</v>
      </c>
      <c r="O165" s="19">
        <f t="shared" si="44"/>
        <v>0</v>
      </c>
      <c r="P165" s="19">
        <f t="shared" si="44"/>
        <v>0</v>
      </c>
      <c r="Q165" s="1759">
        <f t="shared" si="44"/>
        <v>0</v>
      </c>
      <c r="R165" s="1759">
        <f t="shared" si="45"/>
        <v>0</v>
      </c>
      <c r="S165" s="1759">
        <f t="shared" si="45"/>
        <v>0</v>
      </c>
      <c r="T165" s="19">
        <f t="shared" si="45"/>
        <v>0</v>
      </c>
      <c r="U165" s="19">
        <f t="shared" si="45"/>
        <v>0</v>
      </c>
      <c r="V165" s="19">
        <f t="shared" si="45"/>
        <v>0</v>
      </c>
      <c r="W165" s="19">
        <f t="shared" si="45"/>
        <v>0</v>
      </c>
      <c r="X165" s="19">
        <f t="shared" si="45"/>
        <v>0</v>
      </c>
      <c r="Y165" s="19">
        <f t="shared" si="45"/>
        <v>0</v>
      </c>
      <c r="Z165" s="602">
        <f t="shared" si="43"/>
        <v>0</v>
      </c>
      <c r="AA165" s="86"/>
      <c r="AB165" s="86"/>
      <c r="AC165" s="86"/>
      <c r="AD165" s="86"/>
      <c r="AE165" s="86"/>
    </row>
    <row r="166" spans="1:31" ht="16.5" hidden="1" thickBot="1">
      <c r="A166" s="411"/>
      <c r="C166" s="336">
        <f t="shared" si="40"/>
        <v>142</v>
      </c>
      <c r="D166" s="165" t="str">
        <f>Asset_Sum!E158</f>
        <v>398</v>
      </c>
      <c r="E166" s="247" t="str">
        <f>Asset_Sum!F158</f>
        <v>MISC EQUIP-JOINT</v>
      </c>
      <c r="F166" s="19">
        <f>Asset_Sum!G158</f>
        <v>0</v>
      </c>
      <c r="G166" s="907" t="s">
        <v>1067</v>
      </c>
      <c r="H166" s="19">
        <f t="shared" si="44"/>
        <v>0</v>
      </c>
      <c r="I166" s="19">
        <f t="shared" si="44"/>
        <v>0</v>
      </c>
      <c r="J166" s="19">
        <f t="shared" si="44"/>
        <v>0</v>
      </c>
      <c r="K166" s="19">
        <f t="shared" si="44"/>
        <v>0</v>
      </c>
      <c r="L166" s="19">
        <f t="shared" si="44"/>
        <v>0</v>
      </c>
      <c r="M166" s="19">
        <f t="shared" si="44"/>
        <v>0</v>
      </c>
      <c r="N166" s="19">
        <f t="shared" si="44"/>
        <v>0</v>
      </c>
      <c r="O166" s="19">
        <f t="shared" si="44"/>
        <v>0</v>
      </c>
      <c r="P166" s="19">
        <f t="shared" si="44"/>
        <v>0</v>
      </c>
      <c r="Q166" s="1759">
        <f t="shared" si="44"/>
        <v>0</v>
      </c>
      <c r="R166" s="1759">
        <f t="shared" si="45"/>
        <v>0</v>
      </c>
      <c r="S166" s="1759">
        <f t="shared" si="45"/>
        <v>0</v>
      </c>
      <c r="T166" s="19">
        <f t="shared" si="45"/>
        <v>0</v>
      </c>
      <c r="U166" s="19">
        <f t="shared" si="45"/>
        <v>0</v>
      </c>
      <c r="V166" s="19">
        <f t="shared" si="45"/>
        <v>0</v>
      </c>
      <c r="W166" s="19">
        <f t="shared" si="45"/>
        <v>0</v>
      </c>
      <c r="X166" s="19">
        <f t="shared" si="45"/>
        <v>0</v>
      </c>
      <c r="Y166" s="19">
        <f t="shared" si="45"/>
        <v>0</v>
      </c>
      <c r="Z166" s="602">
        <f t="shared" si="43"/>
        <v>0</v>
      </c>
      <c r="AA166" s="86"/>
      <c r="AB166" s="86"/>
      <c r="AC166" s="86"/>
      <c r="AD166" s="86"/>
      <c r="AE166" s="86"/>
    </row>
    <row r="167" spans="1:31">
      <c r="A167" s="411"/>
      <c r="C167" s="336">
        <f t="shared" si="40"/>
        <v>143</v>
      </c>
      <c r="D167" s="165"/>
      <c r="E167" s="248" t="str">
        <f>Asset_Sum!F160</f>
        <v>Total Electric General Plant</v>
      </c>
      <c r="F167" s="324">
        <f>SUM(F62:F166)</f>
        <v>258595291.54999998</v>
      </c>
      <c r="G167" s="165"/>
      <c r="H167" s="324">
        <f t="shared" ref="H167:P167" si="46">SUM(H62:H166)</f>
        <v>0</v>
      </c>
      <c r="I167" s="324">
        <f t="shared" si="46"/>
        <v>10259920.794108888</v>
      </c>
      <c r="J167" s="324">
        <f t="shared" si="46"/>
        <v>54789881.793261111</v>
      </c>
      <c r="K167" s="324">
        <f t="shared" si="46"/>
        <v>34836614.733802497</v>
      </c>
      <c r="L167" s="324">
        <f t="shared" si="46"/>
        <v>3033373.0511330618</v>
      </c>
      <c r="M167" s="324">
        <f>SUM(M62:M166)</f>
        <v>0</v>
      </c>
      <c r="N167" s="324">
        <f>SUM(N62:N166)</f>
        <v>0</v>
      </c>
      <c r="O167" s="324">
        <f>SUM(O62:O166)</f>
        <v>21491470.502247751</v>
      </c>
      <c r="P167" s="324">
        <f t="shared" si="46"/>
        <v>9153362.9628848676</v>
      </c>
      <c r="Q167" s="1760">
        <f t="shared" ref="Q167:Y167" si="47">SUM(Q62:Q166)</f>
        <v>55245205.60771893</v>
      </c>
      <c r="R167" s="1760">
        <f t="shared" si="47"/>
        <v>7166592.056707507</v>
      </c>
      <c r="S167" s="1760">
        <f t="shared" si="47"/>
        <v>18481318.799781382</v>
      </c>
      <c r="T167" s="324">
        <f t="shared" si="47"/>
        <v>5884356.6319386838</v>
      </c>
      <c r="U167" s="324">
        <f t="shared" si="47"/>
        <v>14354877.504621578</v>
      </c>
      <c r="V167" s="324">
        <f t="shared" si="47"/>
        <v>20806450.067683641</v>
      </c>
      <c r="W167" s="324">
        <f t="shared" si="47"/>
        <v>1962367.454777156</v>
      </c>
      <c r="X167" s="324">
        <f t="shared" si="47"/>
        <v>1129500.9170684924</v>
      </c>
      <c r="Y167" s="324">
        <f t="shared" si="47"/>
        <v>0</v>
      </c>
      <c r="Z167" s="602">
        <f t="shared" si="43"/>
        <v>1.3277355432510376</v>
      </c>
      <c r="AA167" s="86"/>
      <c r="AB167" s="86"/>
      <c r="AC167" s="86"/>
      <c r="AD167" s="86"/>
      <c r="AE167" s="86"/>
    </row>
    <row r="168" spans="1:31" s="3094" customFormat="1">
      <c r="A168" s="411"/>
      <c r="C168" s="336">
        <f t="shared" si="40"/>
        <v>144</v>
      </c>
      <c r="D168" s="165"/>
      <c r="E168" s="3154" t="str">
        <f>E167&amp;" less Labor"</f>
        <v>Total Electric General Plant less Labor</v>
      </c>
      <c r="F168" s="3151">
        <f>SUM(F152:F158,F64:F65,F67,F69,F71:F73)</f>
        <v>155520959.66</v>
      </c>
      <c r="G168" s="3152"/>
      <c r="H168" s="3151">
        <f t="shared" ref="H168:Y168" si="48">SUM(H152:H158,H64:H65,H67,H69,H71:H73)</f>
        <v>0</v>
      </c>
      <c r="I168" s="3151">
        <f t="shared" si="48"/>
        <v>7884912.6547619998</v>
      </c>
      <c r="J168" s="3151">
        <f t="shared" si="48"/>
        <v>44027983.679746002</v>
      </c>
      <c r="K168" s="3151">
        <f t="shared" si="48"/>
        <v>18538098.391471997</v>
      </c>
      <c r="L168" s="3151">
        <f t="shared" si="48"/>
        <v>0</v>
      </c>
      <c r="M168" s="3151">
        <f t="shared" si="48"/>
        <v>0</v>
      </c>
      <c r="N168" s="3151">
        <f t="shared" si="48"/>
        <v>0</v>
      </c>
      <c r="O168" s="3151">
        <f t="shared" si="48"/>
        <v>16531878.011857999</v>
      </c>
      <c r="P168" s="3151">
        <f t="shared" si="48"/>
        <v>6080869.5227060001</v>
      </c>
      <c r="Q168" s="3151">
        <f t="shared" si="48"/>
        <v>35909789.585493997</v>
      </c>
      <c r="R168" s="3151">
        <f t="shared" si="48"/>
        <v>4883358.1333239991</v>
      </c>
      <c r="S168" s="3151">
        <f t="shared" si="48"/>
        <v>12472780.964731999</v>
      </c>
      <c r="T168" s="3151">
        <f t="shared" si="48"/>
        <v>4525659.9261060003</v>
      </c>
      <c r="U168" s="3151">
        <f t="shared" si="48"/>
        <v>3157075.4810979995</v>
      </c>
      <c r="V168" s="3151">
        <f t="shared" si="48"/>
        <v>0</v>
      </c>
      <c r="W168" s="3151">
        <f t="shared" si="48"/>
        <v>1508553.308702</v>
      </c>
      <c r="X168" s="3151">
        <f t="shared" si="48"/>
        <v>0</v>
      </c>
      <c r="Y168" s="3151">
        <f t="shared" si="48"/>
        <v>0</v>
      </c>
      <c r="Z168" s="602"/>
      <c r="AA168" s="86"/>
      <c r="AB168" s="86"/>
      <c r="AC168" s="86"/>
      <c r="AD168" s="86"/>
      <c r="AE168" s="86"/>
    </row>
    <row r="169" spans="1:31">
      <c r="A169" s="411"/>
      <c r="C169" s="336"/>
      <c r="D169" s="17"/>
      <c r="E169" s="206"/>
      <c r="F169" s="313"/>
      <c r="G169" s="165"/>
      <c r="H169" s="313"/>
      <c r="I169" s="313"/>
      <c r="J169" s="313"/>
      <c r="K169" s="313"/>
      <c r="L169" s="313"/>
      <c r="M169" s="313"/>
      <c r="N169" s="313"/>
      <c r="O169" s="313"/>
      <c r="P169" s="313"/>
      <c r="Q169" s="1761"/>
      <c r="R169" s="1761"/>
      <c r="S169" s="1761"/>
      <c r="T169" s="313"/>
      <c r="U169" s="313"/>
      <c r="V169" s="313"/>
      <c r="W169" s="313"/>
      <c r="X169" s="313"/>
      <c r="Y169" s="313"/>
      <c r="Z169" s="602">
        <f t="shared" si="43"/>
        <v>0</v>
      </c>
      <c r="AA169" s="86"/>
      <c r="AB169" s="86"/>
      <c r="AC169" s="86"/>
      <c r="AD169" s="86"/>
      <c r="AE169" s="86"/>
    </row>
    <row r="170" spans="1:31">
      <c r="A170" s="411"/>
      <c r="C170" s="336">
        <f>MAX(C167:C169)+1</f>
        <v>145</v>
      </c>
      <c r="D170" s="17"/>
      <c r="E170" s="206" t="str">
        <f>Asset_Sum!F162</f>
        <v>Total Original Cost</v>
      </c>
      <c r="F170" s="256">
        <f>SUM(F22,F36,F55,F167)</f>
        <v>991984464.48999977</v>
      </c>
      <c r="G170" s="165"/>
      <c r="H170" s="279">
        <f t="shared" ref="H170:Y170" si="49">SUM(H22,H36,H55,H167)</f>
        <v>0</v>
      </c>
      <c r="I170" s="279">
        <f t="shared" ref="I170:P170" si="50">SUM(I22,I36,I55,I167)</f>
        <v>44756129.451240271</v>
      </c>
      <c r="J170" s="279">
        <f t="shared" si="50"/>
        <v>246942816.62770098</v>
      </c>
      <c r="K170" s="279">
        <f t="shared" si="50"/>
        <v>117023909.13490571</v>
      </c>
      <c r="L170" s="279">
        <f t="shared" si="50"/>
        <v>50967570.8045948</v>
      </c>
      <c r="M170" s="279">
        <f>SUM(M22,M36,M55,M167)</f>
        <v>0</v>
      </c>
      <c r="N170" s="279">
        <f>SUM(N22,N36,N55,N167)</f>
        <v>0</v>
      </c>
      <c r="O170" s="279">
        <f>SUM(O22,O36,O55,O167)</f>
        <v>93754627.72753793</v>
      </c>
      <c r="P170" s="279">
        <f t="shared" si="50"/>
        <v>35845042.044300862</v>
      </c>
      <c r="Q170" s="1758">
        <f t="shared" si="49"/>
        <v>213129930.61635029</v>
      </c>
      <c r="R170" s="1758">
        <f t="shared" si="49"/>
        <v>28620603.15268553</v>
      </c>
      <c r="S170" s="1758">
        <f t="shared" si="49"/>
        <v>73269790.776139885</v>
      </c>
      <c r="T170" s="279">
        <f t="shared" si="49"/>
        <v>25689128.184068639</v>
      </c>
      <c r="U170" s="279">
        <f t="shared" si="49"/>
        <v>29223237.450165115</v>
      </c>
      <c r="V170" s="279">
        <f t="shared" si="49"/>
        <v>22953744.81068816</v>
      </c>
      <c r="W170" s="279">
        <f t="shared" si="49"/>
        <v>8561866.0117208827</v>
      </c>
      <c r="X170" s="279">
        <f t="shared" si="49"/>
        <v>1246069.1626630167</v>
      </c>
      <c r="Y170" s="279">
        <f t="shared" si="49"/>
        <v>0</v>
      </c>
      <c r="Z170" s="602">
        <f t="shared" si="43"/>
        <v>1.4647623300552368</v>
      </c>
      <c r="AA170" s="86"/>
      <c r="AB170" s="86"/>
      <c r="AC170" s="86"/>
      <c r="AD170" s="86"/>
      <c r="AE170" s="86"/>
    </row>
    <row r="171" spans="1:31" s="3094" customFormat="1">
      <c r="A171" s="411"/>
      <c r="C171" s="336"/>
      <c r="D171" s="17"/>
      <c r="E171" s="3138" t="str">
        <f>E170&amp;" less Labor"</f>
        <v>Total Original Cost less Labor</v>
      </c>
      <c r="F171" s="256">
        <f>SUM(F23,F37,F56,F168)</f>
        <v>878272519.24999988</v>
      </c>
      <c r="G171" s="3139"/>
      <c r="H171" s="256">
        <f t="shared" ref="H171:Y171" si="51">SUM(H23,H37,H56,H168)</f>
        <v>0</v>
      </c>
      <c r="I171" s="256">
        <f t="shared" si="51"/>
        <v>42136012.584762007</v>
      </c>
      <c r="J171" s="256">
        <f t="shared" si="51"/>
        <v>235070254.88974598</v>
      </c>
      <c r="K171" s="256">
        <f t="shared" si="51"/>
        <v>99043331.780398145</v>
      </c>
      <c r="L171" s="256">
        <f t="shared" si="51"/>
        <v>47621143.581073806</v>
      </c>
      <c r="M171" s="256">
        <f t="shared" si="51"/>
        <v>0</v>
      </c>
      <c r="N171" s="256">
        <f t="shared" si="51"/>
        <v>0</v>
      </c>
      <c r="O171" s="256">
        <f t="shared" si="51"/>
        <v>88283188.821857959</v>
      </c>
      <c r="P171" s="256">
        <f t="shared" si="51"/>
        <v>32455457.077669859</v>
      </c>
      <c r="Q171" s="256">
        <f t="shared" si="51"/>
        <v>191799035.44976068</v>
      </c>
      <c r="R171" s="256">
        <f t="shared" si="51"/>
        <v>26101731.906030528</v>
      </c>
      <c r="S171" s="256">
        <f t="shared" si="51"/>
        <v>66641151.882794887</v>
      </c>
      <c r="T171" s="256">
        <f t="shared" si="51"/>
        <v>24190209.466105998</v>
      </c>
      <c r="U171" s="256">
        <f t="shared" si="51"/>
        <v>16869785.071097996</v>
      </c>
      <c r="V171" s="256">
        <f t="shared" si="51"/>
        <v>0</v>
      </c>
      <c r="W171" s="256">
        <f t="shared" si="51"/>
        <v>8061216.7387019992</v>
      </c>
      <c r="X171" s="256">
        <f t="shared" si="51"/>
        <v>0</v>
      </c>
      <c r="Y171" s="256">
        <f t="shared" si="51"/>
        <v>0</v>
      </c>
      <c r="Z171" s="602"/>
      <c r="AA171" s="86"/>
      <c r="AB171" s="86"/>
      <c r="AC171" s="86"/>
      <c r="AD171" s="86"/>
      <c r="AE171" s="86"/>
    </row>
    <row r="172" spans="1:31">
      <c r="A172" s="411"/>
      <c r="C172" s="336"/>
      <c r="D172" s="17"/>
      <c r="E172" s="206" t="s">
        <v>2768</v>
      </c>
      <c r="F172" s="311">
        <f>F170-SUM(F$152:F$158)</f>
        <v>836463504.8299998</v>
      </c>
      <c r="G172" s="165"/>
      <c r="H172" s="311">
        <f t="shared" ref="H172:Y172" si="52">H170-SUM(H152:H158)</f>
        <v>0</v>
      </c>
      <c r="I172" s="311">
        <f t="shared" si="52"/>
        <v>36871216.796478271</v>
      </c>
      <c r="J172" s="311">
        <f t="shared" si="52"/>
        <v>202914832.94795498</v>
      </c>
      <c r="K172" s="311">
        <f t="shared" si="52"/>
        <v>98485810.743433714</v>
      </c>
      <c r="L172" s="311">
        <f t="shared" si="52"/>
        <v>50967570.8045948</v>
      </c>
      <c r="M172" s="311">
        <f>M170-SUM(M152:M158)</f>
        <v>0</v>
      </c>
      <c r="N172" s="311">
        <f>N170-SUM(N152:N158)</f>
        <v>0</v>
      </c>
      <c r="O172" s="311">
        <f>O170-SUM(O152:O158)</f>
        <v>77222749.715679929</v>
      </c>
      <c r="P172" s="311">
        <f t="shared" si="52"/>
        <v>29764172.52159486</v>
      </c>
      <c r="Q172" s="311">
        <f t="shared" si="52"/>
        <v>177220141.03085631</v>
      </c>
      <c r="R172" s="311">
        <f t="shared" si="52"/>
        <v>23737245.019361533</v>
      </c>
      <c r="S172" s="311">
        <f t="shared" si="52"/>
        <v>60797009.811407886</v>
      </c>
      <c r="T172" s="311">
        <f t="shared" si="52"/>
        <v>21163468.257962637</v>
      </c>
      <c r="U172" s="311">
        <f t="shared" si="52"/>
        <v>26066161.969067115</v>
      </c>
      <c r="V172" s="311">
        <f t="shared" si="52"/>
        <v>22953744.81068816</v>
      </c>
      <c r="W172" s="311">
        <f t="shared" si="52"/>
        <v>7053312.7030188832</v>
      </c>
      <c r="X172" s="311">
        <f t="shared" si="52"/>
        <v>1246069.1626630167</v>
      </c>
      <c r="Y172" s="311">
        <f t="shared" si="52"/>
        <v>0</v>
      </c>
      <c r="Z172" s="602">
        <f t="shared" si="43"/>
        <v>1.4647622108459473</v>
      </c>
      <c r="AA172" s="86"/>
      <c r="AB172" s="86"/>
      <c r="AC172" s="86"/>
      <c r="AD172" s="86"/>
      <c r="AE172" s="86"/>
    </row>
    <row r="173" spans="1:31" s="3094" customFormat="1" ht="31.5">
      <c r="A173" s="411"/>
      <c r="C173" s="336"/>
      <c r="D173" s="17"/>
      <c r="E173" s="3138" t="str">
        <f>E172&amp;" less Labor"</f>
        <v>Total Original Cost less FON less Labor</v>
      </c>
      <c r="F173" s="311">
        <f>F171-SUM(F$152:F$158)</f>
        <v>722751559.58999991</v>
      </c>
      <c r="G173" s="3139"/>
      <c r="H173" s="311">
        <f t="shared" ref="H173:Y173" si="53">H171-SUM(H$152:H$158)</f>
        <v>0</v>
      </c>
      <c r="I173" s="311">
        <f t="shared" si="53"/>
        <v>34251099.930000007</v>
      </c>
      <c r="J173" s="311">
        <f t="shared" si="53"/>
        <v>191042271.20999998</v>
      </c>
      <c r="K173" s="311">
        <f t="shared" si="53"/>
        <v>80505233.388926148</v>
      </c>
      <c r="L173" s="311">
        <f t="shared" si="53"/>
        <v>47621143.581073806</v>
      </c>
      <c r="M173" s="311">
        <f t="shared" si="53"/>
        <v>0</v>
      </c>
      <c r="N173" s="311">
        <f t="shared" si="53"/>
        <v>0</v>
      </c>
      <c r="O173" s="311">
        <f t="shared" si="53"/>
        <v>71751310.809999958</v>
      </c>
      <c r="P173" s="311">
        <f t="shared" si="53"/>
        <v>26374587.554963857</v>
      </c>
      <c r="Q173" s="311">
        <f t="shared" si="53"/>
        <v>155889245.86426669</v>
      </c>
      <c r="R173" s="311">
        <f t="shared" si="53"/>
        <v>21218373.772706531</v>
      </c>
      <c r="S173" s="311">
        <f t="shared" si="53"/>
        <v>54168370.918062888</v>
      </c>
      <c r="T173" s="311">
        <f t="shared" si="53"/>
        <v>19664549.539999999</v>
      </c>
      <c r="U173" s="311">
        <f t="shared" si="53"/>
        <v>13712709.589999996</v>
      </c>
      <c r="V173" s="311">
        <f t="shared" si="53"/>
        <v>0</v>
      </c>
      <c r="W173" s="311">
        <f t="shared" si="53"/>
        <v>6552663.4299999997</v>
      </c>
      <c r="X173" s="311">
        <f t="shared" si="53"/>
        <v>0</v>
      </c>
      <c r="Y173" s="311">
        <f t="shared" si="53"/>
        <v>0</v>
      </c>
      <c r="Z173" s="602"/>
      <c r="AA173" s="86"/>
      <c r="AB173" s="86"/>
      <c r="AC173" s="86"/>
      <c r="AD173" s="86"/>
      <c r="AE173" s="86"/>
    </row>
    <row r="174" spans="1:31">
      <c r="A174" s="411"/>
      <c r="C174" s="336"/>
      <c r="D174" s="17"/>
      <c r="E174" s="2951" t="s">
        <v>1031</v>
      </c>
      <c r="F174" s="2952">
        <f>F170-Asset_Sum!G162</f>
        <v>0</v>
      </c>
      <c r="G174" s="165"/>
      <c r="H174" s="311"/>
      <c r="I174" s="311"/>
      <c r="J174" s="311"/>
      <c r="K174" s="311"/>
      <c r="L174" s="311"/>
      <c r="M174" s="311"/>
      <c r="N174" s="311"/>
      <c r="O174" s="311"/>
      <c r="P174" s="311"/>
      <c r="Q174" s="311"/>
      <c r="R174" s="311"/>
      <c r="S174" s="311"/>
      <c r="T174" s="311"/>
      <c r="U174" s="311"/>
      <c r="V174" s="311"/>
      <c r="W174" s="311"/>
      <c r="X174" s="311"/>
      <c r="Y174" s="311"/>
      <c r="Z174" s="602"/>
      <c r="AA174" s="86"/>
      <c r="AB174" s="86"/>
      <c r="AC174" s="86"/>
      <c r="AD174" s="86"/>
      <c r="AE174" s="86"/>
    </row>
    <row r="175" spans="1:31">
      <c r="A175" s="411"/>
      <c r="C175" s="336"/>
      <c r="D175" s="17"/>
      <c r="E175" s="2950"/>
      <c r="F175" s="2950"/>
      <c r="G175" s="165"/>
      <c r="H175" s="311"/>
      <c r="I175" s="311"/>
      <c r="J175" s="311"/>
      <c r="K175" s="311"/>
      <c r="L175" s="311"/>
      <c r="M175" s="311"/>
      <c r="N175" s="311"/>
      <c r="O175" s="311"/>
      <c r="P175" s="311"/>
      <c r="Q175" s="311"/>
      <c r="R175" s="311"/>
      <c r="S175" s="311"/>
      <c r="T175" s="311"/>
      <c r="U175" s="311"/>
      <c r="V175" s="311"/>
      <c r="W175" s="311"/>
      <c r="X175" s="311"/>
      <c r="Y175" s="311"/>
      <c r="Z175" s="602"/>
      <c r="AA175" s="86"/>
      <c r="AB175" s="86"/>
      <c r="AC175" s="86"/>
      <c r="AD175" s="86"/>
      <c r="AE175" s="86"/>
    </row>
    <row r="176" spans="1:31" s="22" customFormat="1">
      <c r="A176" s="411"/>
      <c r="C176" s="336"/>
      <c r="D176" s="17"/>
      <c r="E176" s="130" t="s">
        <v>366</v>
      </c>
      <c r="F176" s="144"/>
      <c r="G176" s="165"/>
      <c r="H176" s="330"/>
      <c r="I176" s="330"/>
      <c r="J176" s="330"/>
      <c r="K176" s="330"/>
      <c r="L176" s="330"/>
      <c r="M176" s="330"/>
      <c r="N176" s="330"/>
      <c r="O176" s="330"/>
      <c r="P176" s="330"/>
      <c r="Q176" s="1762"/>
      <c r="R176" s="1762"/>
      <c r="S176" s="1762"/>
      <c r="T176" s="330"/>
      <c r="U176" s="330"/>
      <c r="V176" s="330"/>
      <c r="W176" s="17"/>
      <c r="X176" s="330"/>
      <c r="Y176" s="881"/>
      <c r="Z176" s="602">
        <f t="shared" si="43"/>
        <v>0</v>
      </c>
      <c r="AA176" s="106"/>
      <c r="AB176" s="106"/>
      <c r="AC176" s="106"/>
      <c r="AD176" s="106"/>
      <c r="AE176" s="106"/>
    </row>
    <row r="177" spans="1:31">
      <c r="A177" s="411"/>
      <c r="C177" s="336"/>
      <c r="D177" s="17"/>
      <c r="E177" s="17"/>
      <c r="F177" s="17"/>
      <c r="G177" s="165"/>
      <c r="H177" s="17"/>
      <c r="I177" s="17"/>
      <c r="J177" s="17"/>
      <c r="K177" s="17"/>
      <c r="L177" s="17"/>
      <c r="M177" s="17"/>
      <c r="N177" s="17"/>
      <c r="O177" s="17"/>
      <c r="P177" s="17"/>
      <c r="Q177" s="1756"/>
      <c r="R177" s="1756"/>
      <c r="S177" s="1756"/>
      <c r="T177" s="17"/>
      <c r="U177" s="17"/>
      <c r="V177" s="17"/>
      <c r="W177" s="17"/>
      <c r="X177" s="17"/>
      <c r="Y177" s="17"/>
      <c r="Z177" s="602">
        <f t="shared" si="43"/>
        <v>0</v>
      </c>
    </row>
    <row r="178" spans="1:31" ht="16.5" thickBot="1">
      <c r="A178" s="411"/>
      <c r="C178" s="336">
        <f>MAX(C170:C177)+1</f>
        <v>146</v>
      </c>
      <c r="D178" s="17"/>
      <c r="E178" s="206" t="str">
        <f t="shared" ref="E178:E186" si="54">E14</f>
        <v>Intangible Plant</v>
      </c>
      <c r="F178" s="17"/>
      <c r="G178" s="165"/>
      <c r="H178" s="288"/>
      <c r="I178" s="288"/>
      <c r="J178" s="288"/>
      <c r="K178" s="288"/>
      <c r="L178" s="288"/>
      <c r="M178" s="288"/>
      <c r="N178" s="288"/>
      <c r="O178" s="288"/>
      <c r="P178" s="288"/>
      <c r="Q178" s="1756"/>
      <c r="R178" s="1756"/>
      <c r="S178" s="1756"/>
      <c r="T178" s="17"/>
      <c r="U178" s="17"/>
      <c r="V178" s="17"/>
      <c r="W178" s="17"/>
      <c r="X178" s="17"/>
      <c r="Y178" s="17"/>
      <c r="Z178" s="602">
        <f t="shared" si="43"/>
        <v>0</v>
      </c>
    </row>
    <row r="179" spans="1:31">
      <c r="A179" s="411"/>
      <c r="C179" s="336">
        <f>MAX(C172:C178)+1</f>
        <v>147</v>
      </c>
      <c r="D179" s="165" t="str">
        <f t="shared" ref="D179:D185" si="55">D15</f>
        <v>301</v>
      </c>
      <c r="E179" s="247" t="str">
        <f t="shared" si="54"/>
        <v>ORGANIZATION</v>
      </c>
      <c r="F179" s="323">
        <f>Asset_Sum!M10</f>
        <v>30373</v>
      </c>
      <c r="G179" s="3133" t="str">
        <f t="shared" ref="G179:G185" si="56">G15</f>
        <v>Supervised O&amp;M</v>
      </c>
      <c r="H179" s="279">
        <f t="shared" ref="H179:Q185" si="57">$F179*SUMIF($E$338:$E$359,$G179,H$338:H$359)</f>
        <v>0</v>
      </c>
      <c r="I179" s="279">
        <f t="shared" si="57"/>
        <v>699.84564433913715</v>
      </c>
      <c r="J179" s="279">
        <f t="shared" si="57"/>
        <v>3171.2175612317178</v>
      </c>
      <c r="K179" s="279">
        <f t="shared" si="57"/>
        <v>4802.6975075996725</v>
      </c>
      <c r="L179" s="279">
        <f t="shared" si="57"/>
        <v>893.84658617421462</v>
      </c>
      <c r="M179" s="279">
        <f t="shared" si="57"/>
        <v>0</v>
      </c>
      <c r="N179" s="279">
        <f t="shared" si="57"/>
        <v>0</v>
      </c>
      <c r="O179" s="279">
        <f t="shared" si="57"/>
        <v>1461.4472871031287</v>
      </c>
      <c r="P179" s="279">
        <f t="shared" si="57"/>
        <v>905.37422409047394</v>
      </c>
      <c r="Q179" s="1758">
        <f t="shared" si="57"/>
        <v>5697.583288434721</v>
      </c>
      <c r="R179" s="1758">
        <f t="shared" ref="R179:Y185" si="58">$F179*SUMIF($E$338:$E$359,$G179,R$338:R$359)</f>
        <v>672.80245899566535</v>
      </c>
      <c r="S179" s="1758">
        <f t="shared" si="58"/>
        <v>1770.540893330402</v>
      </c>
      <c r="T179" s="279">
        <f t="shared" si="58"/>
        <v>400.36830013408797</v>
      </c>
      <c r="U179" s="279">
        <f t="shared" si="58"/>
        <v>3299.6657327203916</v>
      </c>
      <c r="V179" s="279">
        <f t="shared" si="58"/>
        <v>6131.0541268428606</v>
      </c>
      <c r="W179" s="279">
        <f t="shared" si="58"/>
        <v>133.7257958019126</v>
      </c>
      <c r="X179" s="279">
        <f t="shared" si="58"/>
        <v>332.83098444657134</v>
      </c>
      <c r="Y179" s="279">
        <f t="shared" si="58"/>
        <v>0</v>
      </c>
      <c r="Z179" s="602">
        <f t="shared" si="43"/>
        <v>3.9124495378928259E-4</v>
      </c>
    </row>
    <row r="180" spans="1:31">
      <c r="A180" s="411"/>
      <c r="C180" s="336">
        <f>MAX(C176:C179)+1</f>
        <v>148</v>
      </c>
      <c r="D180" s="165" t="str">
        <f t="shared" si="55"/>
        <v>302</v>
      </c>
      <c r="E180" s="247" t="str">
        <f t="shared" si="54"/>
        <v>FRANCHISES &amp; CONSENTS</v>
      </c>
      <c r="F180" s="19">
        <f>Asset_Sum!M11</f>
        <v>3364</v>
      </c>
      <c r="G180" s="3134" t="str">
        <f t="shared" si="56"/>
        <v>Supervised O&amp;M</v>
      </c>
      <c r="H180" s="19">
        <f t="shared" si="57"/>
        <v>0</v>
      </c>
      <c r="I180" s="19">
        <f t="shared" si="57"/>
        <v>77.512288794549676</v>
      </c>
      <c r="J180" s="19">
        <f t="shared" si="57"/>
        <v>351.23220873748062</v>
      </c>
      <c r="K180" s="19">
        <f t="shared" si="57"/>
        <v>531.92883204047337</v>
      </c>
      <c r="L180" s="19">
        <f t="shared" si="57"/>
        <v>98.999108283345677</v>
      </c>
      <c r="M180" s="19">
        <f t="shared" si="57"/>
        <v>0</v>
      </c>
      <c r="N180" s="19">
        <f t="shared" si="57"/>
        <v>0</v>
      </c>
      <c r="O180" s="19">
        <f t="shared" si="57"/>
        <v>161.86444124106688</v>
      </c>
      <c r="P180" s="19">
        <f t="shared" si="57"/>
        <v>100.27586638923894</v>
      </c>
      <c r="Q180" s="1759">
        <f t="shared" si="57"/>
        <v>631.04303764180031</v>
      </c>
      <c r="R180" s="1759">
        <f t="shared" si="58"/>
        <v>74.517086625009654</v>
      </c>
      <c r="S180" s="1759">
        <f t="shared" si="58"/>
        <v>196.09849422722391</v>
      </c>
      <c r="T180" s="19">
        <f t="shared" si="58"/>
        <v>44.343297061570205</v>
      </c>
      <c r="U180" s="19">
        <f t="shared" si="58"/>
        <v>365.45864830182717</v>
      </c>
      <c r="V180" s="19">
        <f t="shared" si="58"/>
        <v>679.05264816446788</v>
      </c>
      <c r="W180" s="19">
        <f t="shared" si="58"/>
        <v>14.810969514951898</v>
      </c>
      <c r="X180" s="19">
        <f t="shared" si="58"/>
        <v>36.86311630982339</v>
      </c>
      <c r="Y180" s="19">
        <f t="shared" si="58"/>
        <v>0</v>
      </c>
      <c r="Z180" s="602">
        <f t="shared" si="43"/>
        <v>4.3332830045983428E-5</v>
      </c>
    </row>
    <row r="181" spans="1:31">
      <c r="A181" s="411"/>
      <c r="C181" s="336">
        <f>MAX(C177:C180)+1</f>
        <v>149</v>
      </c>
      <c r="D181" s="165" t="str">
        <f t="shared" si="55"/>
        <v>303</v>
      </c>
      <c r="E181" s="247" t="str">
        <f t="shared" si="54"/>
        <v>QUINCY CHUTE POWER RIGHTS</v>
      </c>
      <c r="F181" s="987">
        <f>Asset_Sum!M12</f>
        <v>4916076.4800000023</v>
      </c>
      <c r="G181" s="3134" t="str">
        <f t="shared" si="56"/>
        <v>Power - Capacity</v>
      </c>
      <c r="H181" s="19">
        <f t="shared" si="57"/>
        <v>0</v>
      </c>
      <c r="I181" s="19">
        <f t="shared" si="57"/>
        <v>4916076.4800000023</v>
      </c>
      <c r="J181" s="19">
        <f t="shared" si="57"/>
        <v>0</v>
      </c>
      <c r="K181" s="19">
        <f t="shared" si="57"/>
        <v>0</v>
      </c>
      <c r="L181" s="19">
        <f t="shared" si="57"/>
        <v>0</v>
      </c>
      <c r="M181" s="19">
        <f t="shared" si="57"/>
        <v>0</v>
      </c>
      <c r="N181" s="19">
        <f t="shared" si="57"/>
        <v>0</v>
      </c>
      <c r="O181" s="19">
        <f t="shared" si="57"/>
        <v>0</v>
      </c>
      <c r="P181" s="19">
        <f t="shared" si="57"/>
        <v>0</v>
      </c>
      <c r="Q181" s="1759">
        <f t="shared" si="57"/>
        <v>0</v>
      </c>
      <c r="R181" s="1759">
        <f t="shared" si="58"/>
        <v>0</v>
      </c>
      <c r="S181" s="1759">
        <f t="shared" si="58"/>
        <v>0</v>
      </c>
      <c r="T181" s="19">
        <f t="shared" si="58"/>
        <v>0</v>
      </c>
      <c r="U181" s="19">
        <f t="shared" si="58"/>
        <v>0</v>
      </c>
      <c r="V181" s="19">
        <f t="shared" si="58"/>
        <v>0</v>
      </c>
      <c r="W181" s="19">
        <f t="shared" si="58"/>
        <v>0</v>
      </c>
      <c r="X181" s="19">
        <f t="shared" si="58"/>
        <v>0</v>
      </c>
      <c r="Y181" s="19">
        <f t="shared" si="58"/>
        <v>0</v>
      </c>
      <c r="Z181" s="602">
        <f t="shared" si="43"/>
        <v>0</v>
      </c>
    </row>
    <row r="182" spans="1:31">
      <c r="A182" s="411"/>
      <c r="C182" s="336">
        <f>MAX(C178:C181)+1</f>
        <v>150</v>
      </c>
      <c r="D182" s="165" t="str">
        <f t="shared" si="55"/>
        <v>303</v>
      </c>
      <c r="E182" s="247" t="str">
        <f t="shared" si="54"/>
        <v>PEC POWER RIGHTS</v>
      </c>
      <c r="F182" s="987">
        <f>Asset_Sum!M13</f>
        <v>6210228.2400000002</v>
      </c>
      <c r="G182" s="3134" t="str">
        <f t="shared" si="56"/>
        <v>Power - Capacity</v>
      </c>
      <c r="H182" s="19">
        <f t="shared" si="57"/>
        <v>0</v>
      </c>
      <c r="I182" s="19">
        <f t="shared" si="57"/>
        <v>6210228.2400000002</v>
      </c>
      <c r="J182" s="19">
        <f t="shared" si="57"/>
        <v>0</v>
      </c>
      <c r="K182" s="19">
        <f t="shared" si="57"/>
        <v>0</v>
      </c>
      <c r="L182" s="19">
        <f t="shared" si="57"/>
        <v>0</v>
      </c>
      <c r="M182" s="19">
        <f t="shared" si="57"/>
        <v>0</v>
      </c>
      <c r="N182" s="19">
        <f t="shared" si="57"/>
        <v>0</v>
      </c>
      <c r="O182" s="19">
        <f t="shared" si="57"/>
        <v>0</v>
      </c>
      <c r="P182" s="19">
        <f t="shared" si="57"/>
        <v>0</v>
      </c>
      <c r="Q182" s="1759">
        <f t="shared" si="57"/>
        <v>0</v>
      </c>
      <c r="R182" s="1759">
        <f t="shared" si="58"/>
        <v>0</v>
      </c>
      <c r="S182" s="1759">
        <f t="shared" si="58"/>
        <v>0</v>
      </c>
      <c r="T182" s="19">
        <f t="shared" si="58"/>
        <v>0</v>
      </c>
      <c r="U182" s="19">
        <f t="shared" si="58"/>
        <v>0</v>
      </c>
      <c r="V182" s="19">
        <f t="shared" si="58"/>
        <v>0</v>
      </c>
      <c r="W182" s="19">
        <f t="shared" si="58"/>
        <v>0</v>
      </c>
      <c r="X182" s="19">
        <f t="shared" si="58"/>
        <v>0</v>
      </c>
      <c r="Y182" s="19">
        <f t="shared" si="58"/>
        <v>0</v>
      </c>
      <c r="Z182" s="602">
        <f t="shared" si="43"/>
        <v>0</v>
      </c>
    </row>
    <row r="183" spans="1:31">
      <c r="A183" s="411"/>
      <c r="C183" s="336">
        <f>MAX(C179:C182)+1</f>
        <v>151</v>
      </c>
      <c r="D183" s="165" t="str">
        <f t="shared" si="55"/>
        <v>303</v>
      </c>
      <c r="E183" s="247" t="str">
        <f t="shared" si="54"/>
        <v>QUINCY CHUTE ORIG POWER RIGHTS</v>
      </c>
      <c r="F183" s="987">
        <f>Asset_Sum!M14</f>
        <v>0</v>
      </c>
      <c r="G183" s="3134" t="str">
        <f t="shared" si="56"/>
        <v>Power - Capacity</v>
      </c>
      <c r="H183" s="19">
        <f t="shared" si="57"/>
        <v>0</v>
      </c>
      <c r="I183" s="19">
        <f t="shared" si="57"/>
        <v>0</v>
      </c>
      <c r="J183" s="19">
        <f t="shared" si="57"/>
        <v>0</v>
      </c>
      <c r="K183" s="19">
        <f t="shared" si="57"/>
        <v>0</v>
      </c>
      <c r="L183" s="19">
        <f t="shared" si="57"/>
        <v>0</v>
      </c>
      <c r="M183" s="19">
        <f t="shared" si="57"/>
        <v>0</v>
      </c>
      <c r="N183" s="19">
        <f t="shared" si="57"/>
        <v>0</v>
      </c>
      <c r="O183" s="19">
        <f t="shared" si="57"/>
        <v>0</v>
      </c>
      <c r="P183" s="19">
        <f t="shared" si="57"/>
        <v>0</v>
      </c>
      <c r="Q183" s="1759">
        <f t="shared" si="57"/>
        <v>0</v>
      </c>
      <c r="R183" s="1759">
        <f t="shared" si="58"/>
        <v>0</v>
      </c>
      <c r="S183" s="1759">
        <f t="shared" si="58"/>
        <v>0</v>
      </c>
      <c r="T183" s="19">
        <f t="shared" si="58"/>
        <v>0</v>
      </c>
      <c r="U183" s="19">
        <f t="shared" si="58"/>
        <v>0</v>
      </c>
      <c r="V183" s="19">
        <f t="shared" si="58"/>
        <v>0</v>
      </c>
      <c r="W183" s="19">
        <f t="shared" si="58"/>
        <v>0</v>
      </c>
      <c r="X183" s="19">
        <f t="shared" si="58"/>
        <v>0</v>
      </c>
      <c r="Y183" s="19">
        <f t="shared" si="58"/>
        <v>0</v>
      </c>
      <c r="Z183" s="602">
        <f t="shared" si="43"/>
        <v>0</v>
      </c>
    </row>
    <row r="184" spans="1:31">
      <c r="A184" s="411"/>
      <c r="C184" s="336">
        <f>MAX(C180:C183)+1</f>
        <v>152</v>
      </c>
      <c r="D184" s="165" t="str">
        <f t="shared" si="55"/>
        <v>303</v>
      </c>
      <c r="E184" s="247" t="str">
        <f t="shared" si="54"/>
        <v>SOFTWARE INTANGIBLE</v>
      </c>
      <c r="F184" s="19">
        <f>Asset_Sum!M15</f>
        <v>3435546.7700000005</v>
      </c>
      <c r="G184" s="3134" t="str">
        <f t="shared" si="56"/>
        <v>Supervised O&amp;M</v>
      </c>
      <c r="H184" s="19">
        <f t="shared" si="57"/>
        <v>0</v>
      </c>
      <c r="I184" s="19">
        <f t="shared" si="57"/>
        <v>79160.848217426392</v>
      </c>
      <c r="J184" s="19">
        <f t="shared" si="57"/>
        <v>358702.34252319188</v>
      </c>
      <c r="K184" s="19">
        <f t="shared" si="57"/>
        <v>543242.08703523211</v>
      </c>
      <c r="L184" s="19">
        <f t="shared" si="57"/>
        <v>101104.6571628206</v>
      </c>
      <c r="M184" s="19">
        <f t="shared" si="57"/>
        <v>0</v>
      </c>
      <c r="N184" s="19">
        <f t="shared" si="57"/>
        <v>0</v>
      </c>
      <c r="O184" s="19">
        <f t="shared" si="57"/>
        <v>165307.03278347274</v>
      </c>
      <c r="P184" s="19">
        <f t="shared" si="57"/>
        <v>102408.5698223845</v>
      </c>
      <c r="Q184" s="1759">
        <f t="shared" si="57"/>
        <v>644464.28944746603</v>
      </c>
      <c r="R184" s="1759">
        <f t="shared" si="58"/>
        <v>76101.943003674838</v>
      </c>
      <c r="S184" s="1759">
        <f t="shared" si="58"/>
        <v>200269.1880036275</v>
      </c>
      <c r="T184" s="19">
        <f t="shared" si="58"/>
        <v>45286.406358807384</v>
      </c>
      <c r="U184" s="19">
        <f t="shared" si="58"/>
        <v>373231.35515514523</v>
      </c>
      <c r="V184" s="19">
        <f t="shared" si="58"/>
        <v>693494.98574951966</v>
      </c>
      <c r="W184" s="19">
        <f t="shared" si="58"/>
        <v>15125.974577188308</v>
      </c>
      <c r="X184" s="19">
        <f t="shared" si="58"/>
        <v>37647.134414491113</v>
      </c>
      <c r="Y184" s="19">
        <f t="shared" si="58"/>
        <v>0</v>
      </c>
      <c r="Z184" s="602">
        <f>SUM(H184:Y184)-F184</f>
        <v>4.4254448264837265E-2</v>
      </c>
    </row>
    <row r="185" spans="1:31" ht="16.5" thickBot="1">
      <c r="A185" s="411"/>
      <c r="C185" s="336">
        <f>MAX(C180:C183)+1</f>
        <v>152</v>
      </c>
      <c r="D185" s="165" t="str">
        <f t="shared" si="55"/>
        <v>346</v>
      </c>
      <c r="E185" s="247" t="str">
        <f t="shared" si="54"/>
        <v>WIND TOWERS</v>
      </c>
      <c r="F185" s="19">
        <f>Asset_Sum!M16</f>
        <v>13345.089999999998</v>
      </c>
      <c r="G185" s="3135" t="str">
        <f t="shared" si="56"/>
        <v>Power - Capacity</v>
      </c>
      <c r="H185" s="19">
        <f t="shared" si="57"/>
        <v>0</v>
      </c>
      <c r="I185" s="19">
        <f t="shared" si="57"/>
        <v>13345.089999999998</v>
      </c>
      <c r="J185" s="19">
        <f t="shared" si="57"/>
        <v>0</v>
      </c>
      <c r="K185" s="19">
        <f t="shared" si="57"/>
        <v>0</v>
      </c>
      <c r="L185" s="19">
        <f t="shared" si="57"/>
        <v>0</v>
      </c>
      <c r="M185" s="19">
        <f t="shared" si="57"/>
        <v>0</v>
      </c>
      <c r="N185" s="19">
        <f t="shared" si="57"/>
        <v>0</v>
      </c>
      <c r="O185" s="19">
        <f t="shared" si="57"/>
        <v>0</v>
      </c>
      <c r="P185" s="19">
        <f t="shared" si="57"/>
        <v>0</v>
      </c>
      <c r="Q185" s="1759">
        <f t="shared" si="57"/>
        <v>0</v>
      </c>
      <c r="R185" s="1759">
        <f t="shared" si="58"/>
        <v>0</v>
      </c>
      <c r="S185" s="1759">
        <f t="shared" si="58"/>
        <v>0</v>
      </c>
      <c r="T185" s="19">
        <f t="shared" si="58"/>
        <v>0</v>
      </c>
      <c r="U185" s="19">
        <f t="shared" si="58"/>
        <v>0</v>
      </c>
      <c r="V185" s="19">
        <f t="shared" si="58"/>
        <v>0</v>
      </c>
      <c r="W185" s="19">
        <f t="shared" si="58"/>
        <v>0</v>
      </c>
      <c r="X185" s="19">
        <f t="shared" si="58"/>
        <v>0</v>
      </c>
      <c r="Y185" s="19">
        <f t="shared" si="58"/>
        <v>0</v>
      </c>
      <c r="Z185" s="602">
        <f t="shared" si="43"/>
        <v>0</v>
      </c>
    </row>
    <row r="186" spans="1:31">
      <c r="A186" s="411"/>
      <c r="C186" s="336">
        <f>MAX(C181:C185)+1</f>
        <v>153</v>
      </c>
      <c r="D186" s="165"/>
      <c r="E186" s="248" t="str">
        <f t="shared" si="54"/>
        <v>Total Intangible Plant</v>
      </c>
      <c r="F186" s="324">
        <f>SUM(F179:F185)</f>
        <v>14608933.580000002</v>
      </c>
      <c r="G186" s="165"/>
      <c r="H186" s="324">
        <f t="shared" ref="H186:Y186" si="59">SUM(H179:H185)</f>
        <v>0</v>
      </c>
      <c r="I186" s="324">
        <f t="shared" ref="I186:P186" si="60">SUM(I179:I185)</f>
        <v>11219588.016150562</v>
      </c>
      <c r="J186" s="324">
        <f t="shared" si="60"/>
        <v>362224.7922931611</v>
      </c>
      <c r="K186" s="324">
        <f t="shared" si="60"/>
        <v>548576.71337487223</v>
      </c>
      <c r="L186" s="324">
        <f t="shared" si="60"/>
        <v>102097.50285727816</v>
      </c>
      <c r="M186" s="324">
        <f>SUM(M179:M185)</f>
        <v>0</v>
      </c>
      <c r="N186" s="324">
        <f>SUM(N179:N185)</f>
        <v>0</v>
      </c>
      <c r="O186" s="324">
        <f>SUM(O179:O185)</f>
        <v>166930.34451181692</v>
      </c>
      <c r="P186" s="324">
        <f t="shared" si="60"/>
        <v>103414.21991286421</v>
      </c>
      <c r="Q186" s="1760">
        <f t="shared" si="59"/>
        <v>650792.9157735426</v>
      </c>
      <c r="R186" s="1760">
        <f t="shared" si="59"/>
        <v>76849.262549295512</v>
      </c>
      <c r="S186" s="1760">
        <f t="shared" si="59"/>
        <v>202235.82739118513</v>
      </c>
      <c r="T186" s="324">
        <f t="shared" si="59"/>
        <v>45731.117956003043</v>
      </c>
      <c r="U186" s="324">
        <f t="shared" si="59"/>
        <v>376896.47953616746</v>
      </c>
      <c r="V186" s="324">
        <f t="shared" si="59"/>
        <v>700305.09252452699</v>
      </c>
      <c r="W186" s="324">
        <f t="shared" si="59"/>
        <v>15274.511342505173</v>
      </c>
      <c r="X186" s="324">
        <f t="shared" si="59"/>
        <v>38016.828515247507</v>
      </c>
      <c r="Y186" s="324">
        <f t="shared" si="59"/>
        <v>0</v>
      </c>
      <c r="Z186" s="602">
        <f t="shared" si="43"/>
        <v>4.4689027592539787E-2</v>
      </c>
    </row>
    <row r="187" spans="1:31" s="3094" customFormat="1">
      <c r="A187" s="411"/>
      <c r="C187" s="336">
        <f>MAX($C$8:C186)+1</f>
        <v>154</v>
      </c>
      <c r="D187" s="165"/>
      <c r="E187" s="3150" t="str">
        <f>E186&amp;" less Labor"</f>
        <v>Total Intangible Plant less Labor</v>
      </c>
      <c r="F187" s="3151">
        <f>SUM(F181:F183,F185)</f>
        <v>11139649.810000002</v>
      </c>
      <c r="G187" s="3152"/>
      <c r="H187" s="3151">
        <f t="shared" ref="H187:Y187" si="61">SUM(H181:H183,H185)</f>
        <v>0</v>
      </c>
      <c r="I187" s="3151">
        <f t="shared" si="61"/>
        <v>11139649.810000002</v>
      </c>
      <c r="J187" s="3151">
        <f t="shared" si="61"/>
        <v>0</v>
      </c>
      <c r="K187" s="3151">
        <f t="shared" si="61"/>
        <v>0</v>
      </c>
      <c r="L187" s="3151">
        <f t="shared" si="61"/>
        <v>0</v>
      </c>
      <c r="M187" s="3151">
        <f t="shared" si="61"/>
        <v>0</v>
      </c>
      <c r="N187" s="3151">
        <f t="shared" si="61"/>
        <v>0</v>
      </c>
      <c r="O187" s="3151">
        <f t="shared" si="61"/>
        <v>0</v>
      </c>
      <c r="P187" s="3151">
        <f t="shared" si="61"/>
        <v>0</v>
      </c>
      <c r="Q187" s="3151">
        <f t="shared" si="61"/>
        <v>0</v>
      </c>
      <c r="R187" s="3151">
        <f t="shared" si="61"/>
        <v>0</v>
      </c>
      <c r="S187" s="3151">
        <f t="shared" si="61"/>
        <v>0</v>
      </c>
      <c r="T187" s="3151">
        <f t="shared" si="61"/>
        <v>0</v>
      </c>
      <c r="U187" s="3151">
        <f t="shared" si="61"/>
        <v>0</v>
      </c>
      <c r="V187" s="3151">
        <f t="shared" si="61"/>
        <v>0</v>
      </c>
      <c r="W187" s="3151">
        <f t="shared" si="61"/>
        <v>0</v>
      </c>
      <c r="X187" s="3151">
        <f t="shared" si="61"/>
        <v>0</v>
      </c>
      <c r="Y187" s="3151">
        <f t="shared" si="61"/>
        <v>0</v>
      </c>
      <c r="Z187" s="602"/>
      <c r="AA187" s="86"/>
      <c r="AB187" s="86"/>
      <c r="AC187" s="86"/>
      <c r="AD187" s="86"/>
      <c r="AE187" s="86"/>
    </row>
    <row r="188" spans="1:31">
      <c r="A188" s="411"/>
      <c r="C188" s="336"/>
      <c r="D188" s="165"/>
      <c r="E188" s="206"/>
      <c r="F188" s="313"/>
      <c r="G188" s="165"/>
      <c r="H188" s="313"/>
      <c r="I188" s="313"/>
      <c r="J188" s="313"/>
      <c r="K188" s="313"/>
      <c r="L188" s="313"/>
      <c r="M188" s="313"/>
      <c r="N188" s="313"/>
      <c r="O188" s="313"/>
      <c r="P188" s="313"/>
      <c r="Q188" s="1761"/>
      <c r="R188" s="1761"/>
      <c r="S188" s="1761"/>
      <c r="T188" s="313"/>
      <c r="U188" s="313"/>
      <c r="V188" s="313"/>
      <c r="W188" s="313"/>
      <c r="X188" s="313"/>
      <c r="Y188" s="17"/>
      <c r="Z188" s="602">
        <f t="shared" si="43"/>
        <v>0</v>
      </c>
    </row>
    <row r="189" spans="1:31" ht="16.5" thickBot="1">
      <c r="A189" s="411"/>
      <c r="C189" s="336">
        <f>MAX(C186:C188)+1</f>
        <v>155</v>
      </c>
      <c r="D189" s="165"/>
      <c r="E189" s="206" t="str">
        <f t="shared" ref="E189:E200" si="62">E25</f>
        <v>Transmission:</v>
      </c>
      <c r="F189" s="313"/>
      <c r="G189" s="165"/>
      <c r="H189" s="313"/>
      <c r="I189" s="313"/>
      <c r="J189" s="313"/>
      <c r="K189" s="313"/>
      <c r="L189" s="313"/>
      <c r="M189" s="313"/>
      <c r="N189" s="313"/>
      <c r="O189" s="313"/>
      <c r="P189" s="313"/>
      <c r="Q189" s="1761"/>
      <c r="R189" s="1761"/>
      <c r="S189" s="1761"/>
      <c r="T189" s="313"/>
      <c r="U189" s="313"/>
      <c r="V189" s="313"/>
      <c r="W189" s="313"/>
      <c r="X189" s="313"/>
      <c r="Y189" s="17"/>
      <c r="Z189" s="602">
        <f t="shared" si="43"/>
        <v>0</v>
      </c>
    </row>
    <row r="190" spans="1:31">
      <c r="A190" s="411"/>
      <c r="C190" s="336">
        <f>MAX(C186:C189)+1</f>
        <v>156</v>
      </c>
      <c r="D190" s="165" t="str">
        <f t="shared" ref="D190:D199" si="63">D26</f>
        <v>350</v>
      </c>
      <c r="E190" s="247" t="str">
        <f t="shared" si="62"/>
        <v>LAND &amp; LAND RIGHTS</v>
      </c>
      <c r="F190" s="331">
        <f>Asset_Sum!M21</f>
        <v>1667921.41</v>
      </c>
      <c r="G190" s="3133" t="str">
        <f t="shared" ref="G190:G199" si="64">G26</f>
        <v>Trans - Capacity</v>
      </c>
      <c r="H190" s="279">
        <f t="shared" ref="H190:Q199" si="65">$F190*SUMIF($E$338:$E$359,$G190,H$338:H$359)</f>
        <v>0</v>
      </c>
      <c r="I190" s="279">
        <f t="shared" si="65"/>
        <v>0</v>
      </c>
      <c r="J190" s="279">
        <f t="shared" si="65"/>
        <v>1667921.41</v>
      </c>
      <c r="K190" s="279">
        <f t="shared" si="65"/>
        <v>0</v>
      </c>
      <c r="L190" s="279">
        <f t="shared" si="65"/>
        <v>0</v>
      </c>
      <c r="M190" s="279">
        <f t="shared" si="65"/>
        <v>0</v>
      </c>
      <c r="N190" s="279">
        <f t="shared" si="65"/>
        <v>0</v>
      </c>
      <c r="O190" s="279">
        <f t="shared" si="65"/>
        <v>0</v>
      </c>
      <c r="P190" s="279">
        <f t="shared" si="65"/>
        <v>0</v>
      </c>
      <c r="Q190" s="1758">
        <f t="shared" si="65"/>
        <v>0</v>
      </c>
      <c r="R190" s="1758">
        <f t="shared" ref="R190:Y199" si="66">$F190*SUMIF($E$338:$E$359,$G190,R$338:R$359)</f>
        <v>0</v>
      </c>
      <c r="S190" s="1758">
        <f t="shared" si="66"/>
        <v>0</v>
      </c>
      <c r="T190" s="279">
        <f t="shared" si="66"/>
        <v>0</v>
      </c>
      <c r="U190" s="279">
        <f t="shared" si="66"/>
        <v>0</v>
      </c>
      <c r="V190" s="279">
        <f t="shared" si="66"/>
        <v>0</v>
      </c>
      <c r="W190" s="279">
        <f t="shared" si="66"/>
        <v>0</v>
      </c>
      <c r="X190" s="279">
        <f t="shared" si="66"/>
        <v>0</v>
      </c>
      <c r="Y190" s="279">
        <f t="shared" si="66"/>
        <v>0</v>
      </c>
      <c r="Z190" s="602">
        <f t="shared" si="43"/>
        <v>0</v>
      </c>
    </row>
    <row r="191" spans="1:31">
      <c r="A191" s="411"/>
      <c r="C191" s="336">
        <f>MAX(C186:C190)+1</f>
        <v>157</v>
      </c>
      <c r="D191" s="165" t="str">
        <f t="shared" si="63"/>
        <v>352</v>
      </c>
      <c r="E191" s="247" t="str">
        <f t="shared" si="62"/>
        <v>STRUCTURES &amp; IMPR</v>
      </c>
      <c r="F191" s="19">
        <f>Asset_Sum!M22</f>
        <v>272273.75</v>
      </c>
      <c r="G191" s="3134" t="str">
        <f t="shared" si="64"/>
        <v>Trans - Capacity</v>
      </c>
      <c r="H191" s="19">
        <f t="shared" si="65"/>
        <v>0</v>
      </c>
      <c r="I191" s="19">
        <f t="shared" si="65"/>
        <v>0</v>
      </c>
      <c r="J191" s="19">
        <f t="shared" si="65"/>
        <v>272273.75</v>
      </c>
      <c r="K191" s="19">
        <f t="shared" si="65"/>
        <v>0</v>
      </c>
      <c r="L191" s="19">
        <f t="shared" si="65"/>
        <v>0</v>
      </c>
      <c r="M191" s="19">
        <f t="shared" si="65"/>
        <v>0</v>
      </c>
      <c r="N191" s="19">
        <f t="shared" si="65"/>
        <v>0</v>
      </c>
      <c r="O191" s="19">
        <f t="shared" si="65"/>
        <v>0</v>
      </c>
      <c r="P191" s="19">
        <f t="shared" si="65"/>
        <v>0</v>
      </c>
      <c r="Q191" s="1759">
        <f t="shared" si="65"/>
        <v>0</v>
      </c>
      <c r="R191" s="1759">
        <f t="shared" si="66"/>
        <v>0</v>
      </c>
      <c r="S191" s="1759">
        <f t="shared" si="66"/>
        <v>0</v>
      </c>
      <c r="T191" s="19">
        <f t="shared" si="66"/>
        <v>0</v>
      </c>
      <c r="U191" s="19">
        <f t="shared" si="66"/>
        <v>0</v>
      </c>
      <c r="V191" s="19">
        <f t="shared" si="66"/>
        <v>0</v>
      </c>
      <c r="W191" s="19">
        <f t="shared" si="66"/>
        <v>0</v>
      </c>
      <c r="X191" s="19">
        <f t="shared" si="66"/>
        <v>0</v>
      </c>
      <c r="Y191" s="19">
        <f t="shared" si="66"/>
        <v>0</v>
      </c>
      <c r="Z191" s="602">
        <f t="shared" si="43"/>
        <v>0</v>
      </c>
    </row>
    <row r="192" spans="1:31">
      <c r="A192" s="411"/>
      <c r="C192" s="336">
        <f>MAX(C186:C191)+1</f>
        <v>158</v>
      </c>
      <c r="D192" s="165" t="str">
        <f t="shared" si="63"/>
        <v>353</v>
      </c>
      <c r="E192" s="247" t="str">
        <f t="shared" si="62"/>
        <v>STRUCTURES &amp; IMPR</v>
      </c>
      <c r="F192" s="19">
        <f>Asset_Sum!M23</f>
        <v>24165587.169999987</v>
      </c>
      <c r="G192" s="3134" t="str">
        <f t="shared" si="64"/>
        <v>Trans - Capacity</v>
      </c>
      <c r="H192" s="19">
        <f t="shared" si="65"/>
        <v>0</v>
      </c>
      <c r="I192" s="19">
        <f t="shared" si="65"/>
        <v>0</v>
      </c>
      <c r="J192" s="19">
        <f t="shared" si="65"/>
        <v>24165587.169999987</v>
      </c>
      <c r="K192" s="19">
        <f t="shared" si="65"/>
        <v>0</v>
      </c>
      <c r="L192" s="19">
        <f t="shared" si="65"/>
        <v>0</v>
      </c>
      <c r="M192" s="19">
        <f t="shared" si="65"/>
        <v>0</v>
      </c>
      <c r="N192" s="19">
        <f t="shared" si="65"/>
        <v>0</v>
      </c>
      <c r="O192" s="19">
        <f t="shared" si="65"/>
        <v>0</v>
      </c>
      <c r="P192" s="19">
        <f t="shared" si="65"/>
        <v>0</v>
      </c>
      <c r="Q192" s="1759">
        <f t="shared" si="65"/>
        <v>0</v>
      </c>
      <c r="R192" s="1759">
        <f t="shared" si="66"/>
        <v>0</v>
      </c>
      <c r="S192" s="1759">
        <f t="shared" si="66"/>
        <v>0</v>
      </c>
      <c r="T192" s="19">
        <f t="shared" si="66"/>
        <v>0</v>
      </c>
      <c r="U192" s="19">
        <f t="shared" si="66"/>
        <v>0</v>
      </c>
      <c r="V192" s="19">
        <f t="shared" si="66"/>
        <v>0</v>
      </c>
      <c r="W192" s="19">
        <f t="shared" si="66"/>
        <v>0</v>
      </c>
      <c r="X192" s="19">
        <f t="shared" si="66"/>
        <v>0</v>
      </c>
      <c r="Y192" s="19">
        <f t="shared" si="66"/>
        <v>0</v>
      </c>
      <c r="Z192" s="602">
        <f t="shared" si="43"/>
        <v>0</v>
      </c>
    </row>
    <row r="193" spans="1:31" hidden="1">
      <c r="A193" s="411"/>
      <c r="C193" s="336">
        <f t="shared" ref="C193:C201" si="67">MAX(C188:C192)+1</f>
        <v>159</v>
      </c>
      <c r="D193" s="165" t="str">
        <f t="shared" si="63"/>
        <v>353</v>
      </c>
      <c r="E193" s="247" t="str">
        <f t="shared" si="62"/>
        <v>STATION EQUIPMENT</v>
      </c>
      <c r="F193" s="19">
        <f>Asset_Sum!M24</f>
        <v>0</v>
      </c>
      <c r="G193" s="3134" t="str">
        <f t="shared" si="64"/>
        <v>Trans - Capacity</v>
      </c>
      <c r="H193" s="19">
        <f t="shared" si="65"/>
        <v>0</v>
      </c>
      <c r="I193" s="19">
        <f t="shared" si="65"/>
        <v>0</v>
      </c>
      <c r="J193" s="19">
        <f t="shared" si="65"/>
        <v>0</v>
      </c>
      <c r="K193" s="19">
        <f t="shared" si="65"/>
        <v>0</v>
      </c>
      <c r="L193" s="19">
        <f t="shared" si="65"/>
        <v>0</v>
      </c>
      <c r="M193" s="19">
        <f t="shared" si="65"/>
        <v>0</v>
      </c>
      <c r="N193" s="19">
        <f t="shared" si="65"/>
        <v>0</v>
      </c>
      <c r="O193" s="19">
        <f t="shared" si="65"/>
        <v>0</v>
      </c>
      <c r="P193" s="19">
        <f t="shared" si="65"/>
        <v>0</v>
      </c>
      <c r="Q193" s="1759">
        <f t="shared" si="65"/>
        <v>0</v>
      </c>
      <c r="R193" s="1759">
        <f t="shared" si="66"/>
        <v>0</v>
      </c>
      <c r="S193" s="1759">
        <f t="shared" si="66"/>
        <v>0</v>
      </c>
      <c r="T193" s="19">
        <f t="shared" si="66"/>
        <v>0</v>
      </c>
      <c r="U193" s="19">
        <f t="shared" si="66"/>
        <v>0</v>
      </c>
      <c r="V193" s="19">
        <f t="shared" si="66"/>
        <v>0</v>
      </c>
      <c r="W193" s="19">
        <f t="shared" si="66"/>
        <v>0</v>
      </c>
      <c r="X193" s="19">
        <f t="shared" si="66"/>
        <v>0</v>
      </c>
      <c r="Y193" s="19">
        <f t="shared" si="66"/>
        <v>0</v>
      </c>
      <c r="Z193" s="602">
        <f t="shared" si="43"/>
        <v>0</v>
      </c>
    </row>
    <row r="194" spans="1:31" hidden="1">
      <c r="A194" s="411"/>
      <c r="C194" s="336">
        <f t="shared" si="67"/>
        <v>160</v>
      </c>
      <c r="D194" s="165" t="str">
        <f t="shared" si="63"/>
        <v>353</v>
      </c>
      <c r="E194" s="247" t="str">
        <f t="shared" si="62"/>
        <v>SUBSTATION METERS</v>
      </c>
      <c r="F194" s="19">
        <f>Asset_Sum!M25</f>
        <v>0</v>
      </c>
      <c r="G194" s="3134" t="str">
        <f t="shared" si="64"/>
        <v>Trans - Capacity</v>
      </c>
      <c r="H194" s="19">
        <f t="shared" si="65"/>
        <v>0</v>
      </c>
      <c r="I194" s="19">
        <f t="shared" si="65"/>
        <v>0</v>
      </c>
      <c r="J194" s="19">
        <f t="shared" si="65"/>
        <v>0</v>
      </c>
      <c r="K194" s="19">
        <f t="shared" si="65"/>
        <v>0</v>
      </c>
      <c r="L194" s="19">
        <f t="shared" si="65"/>
        <v>0</v>
      </c>
      <c r="M194" s="19">
        <f t="shared" si="65"/>
        <v>0</v>
      </c>
      <c r="N194" s="19">
        <f t="shared" si="65"/>
        <v>0</v>
      </c>
      <c r="O194" s="19">
        <f t="shared" si="65"/>
        <v>0</v>
      </c>
      <c r="P194" s="19">
        <f t="shared" si="65"/>
        <v>0</v>
      </c>
      <c r="Q194" s="1759">
        <f t="shared" si="65"/>
        <v>0</v>
      </c>
      <c r="R194" s="1759">
        <f t="shared" si="66"/>
        <v>0</v>
      </c>
      <c r="S194" s="1759">
        <f t="shared" si="66"/>
        <v>0</v>
      </c>
      <c r="T194" s="19">
        <f t="shared" si="66"/>
        <v>0</v>
      </c>
      <c r="U194" s="19">
        <f t="shared" si="66"/>
        <v>0</v>
      </c>
      <c r="V194" s="19">
        <f t="shared" si="66"/>
        <v>0</v>
      </c>
      <c r="W194" s="19">
        <f t="shared" si="66"/>
        <v>0</v>
      </c>
      <c r="X194" s="19">
        <f t="shared" si="66"/>
        <v>0</v>
      </c>
      <c r="Y194" s="19">
        <f t="shared" si="66"/>
        <v>0</v>
      </c>
      <c r="Z194" s="602">
        <f t="shared" si="43"/>
        <v>0</v>
      </c>
      <c r="AA194" s="86"/>
      <c r="AB194" s="86"/>
      <c r="AC194" s="86"/>
      <c r="AD194" s="86"/>
      <c r="AE194" s="86"/>
    </row>
    <row r="195" spans="1:31" hidden="1">
      <c r="A195" s="411"/>
      <c r="C195" s="336">
        <f t="shared" si="67"/>
        <v>161</v>
      </c>
      <c r="D195" s="165" t="str">
        <f t="shared" si="63"/>
        <v>353</v>
      </c>
      <c r="E195" s="247" t="str">
        <f t="shared" si="62"/>
        <v>STA EQUIP-SWITCHYARD</v>
      </c>
      <c r="F195" s="19">
        <f>Asset_Sum!M26</f>
        <v>0</v>
      </c>
      <c r="G195" s="3134" t="str">
        <f t="shared" si="64"/>
        <v>Trans - Capacity</v>
      </c>
      <c r="H195" s="19">
        <f t="shared" si="65"/>
        <v>0</v>
      </c>
      <c r="I195" s="19">
        <f t="shared" si="65"/>
        <v>0</v>
      </c>
      <c r="J195" s="19">
        <f t="shared" si="65"/>
        <v>0</v>
      </c>
      <c r="K195" s="19">
        <f t="shared" si="65"/>
        <v>0</v>
      </c>
      <c r="L195" s="19">
        <f t="shared" si="65"/>
        <v>0</v>
      </c>
      <c r="M195" s="19">
        <f t="shared" si="65"/>
        <v>0</v>
      </c>
      <c r="N195" s="19">
        <f t="shared" si="65"/>
        <v>0</v>
      </c>
      <c r="O195" s="19">
        <f t="shared" si="65"/>
        <v>0</v>
      </c>
      <c r="P195" s="19">
        <f t="shared" si="65"/>
        <v>0</v>
      </c>
      <c r="Q195" s="1759">
        <f t="shared" si="65"/>
        <v>0</v>
      </c>
      <c r="R195" s="1759">
        <f t="shared" si="66"/>
        <v>0</v>
      </c>
      <c r="S195" s="1759">
        <f t="shared" si="66"/>
        <v>0</v>
      </c>
      <c r="T195" s="19">
        <f t="shared" si="66"/>
        <v>0</v>
      </c>
      <c r="U195" s="19">
        <f t="shared" si="66"/>
        <v>0</v>
      </c>
      <c r="V195" s="19">
        <f t="shared" si="66"/>
        <v>0</v>
      </c>
      <c r="W195" s="19">
        <f t="shared" si="66"/>
        <v>0</v>
      </c>
      <c r="X195" s="19">
        <f t="shared" si="66"/>
        <v>0</v>
      </c>
      <c r="Y195" s="19">
        <f t="shared" si="66"/>
        <v>0</v>
      </c>
      <c r="Z195" s="602">
        <f t="shared" si="43"/>
        <v>0</v>
      </c>
      <c r="AA195" s="86"/>
      <c r="AB195" s="86"/>
      <c r="AC195" s="86"/>
      <c r="AD195" s="86"/>
      <c r="AE195" s="86"/>
    </row>
    <row r="196" spans="1:31">
      <c r="A196" s="411"/>
      <c r="C196" s="336">
        <f t="shared" si="67"/>
        <v>162</v>
      </c>
      <c r="D196" s="165" t="str">
        <f t="shared" si="63"/>
        <v>354</v>
      </c>
      <c r="E196" s="247" t="str">
        <f t="shared" si="62"/>
        <v>STA EQ-CENT DISP-JOINT</v>
      </c>
      <c r="F196" s="19">
        <f>Asset_Sum!M27</f>
        <v>2487523.1100000003</v>
      </c>
      <c r="G196" s="3134" t="str">
        <f t="shared" si="64"/>
        <v>Trans - Capacity</v>
      </c>
      <c r="H196" s="19">
        <f t="shared" si="65"/>
        <v>0</v>
      </c>
      <c r="I196" s="19">
        <f t="shared" si="65"/>
        <v>0</v>
      </c>
      <c r="J196" s="19">
        <f t="shared" si="65"/>
        <v>2487523.1100000003</v>
      </c>
      <c r="K196" s="19">
        <f t="shared" si="65"/>
        <v>0</v>
      </c>
      <c r="L196" s="19">
        <f t="shared" si="65"/>
        <v>0</v>
      </c>
      <c r="M196" s="19">
        <f t="shared" si="65"/>
        <v>0</v>
      </c>
      <c r="N196" s="19">
        <f t="shared" si="65"/>
        <v>0</v>
      </c>
      <c r="O196" s="19">
        <f t="shared" si="65"/>
        <v>0</v>
      </c>
      <c r="P196" s="19">
        <f t="shared" si="65"/>
        <v>0</v>
      </c>
      <c r="Q196" s="1759">
        <f t="shared" si="65"/>
        <v>0</v>
      </c>
      <c r="R196" s="1759">
        <f t="shared" si="66"/>
        <v>0</v>
      </c>
      <c r="S196" s="1759">
        <f t="shared" si="66"/>
        <v>0</v>
      </c>
      <c r="T196" s="19">
        <f t="shared" si="66"/>
        <v>0</v>
      </c>
      <c r="U196" s="19">
        <f t="shared" si="66"/>
        <v>0</v>
      </c>
      <c r="V196" s="19">
        <f t="shared" si="66"/>
        <v>0</v>
      </c>
      <c r="W196" s="19">
        <f t="shared" si="66"/>
        <v>0</v>
      </c>
      <c r="X196" s="19">
        <f t="shared" si="66"/>
        <v>0</v>
      </c>
      <c r="Y196" s="19">
        <f t="shared" si="66"/>
        <v>0</v>
      </c>
      <c r="Z196" s="602">
        <f t="shared" si="43"/>
        <v>0</v>
      </c>
      <c r="AA196" s="86"/>
      <c r="AB196" s="86"/>
      <c r="AC196" s="86"/>
      <c r="AD196" s="86"/>
      <c r="AE196" s="86"/>
    </row>
    <row r="197" spans="1:31">
      <c r="A197" s="411"/>
      <c r="C197" s="336">
        <f t="shared" si="67"/>
        <v>163</v>
      </c>
      <c r="D197" s="165" t="str">
        <f t="shared" si="63"/>
        <v>355</v>
      </c>
      <c r="E197" s="247" t="str">
        <f t="shared" si="62"/>
        <v>TOWERS &amp; FIXTURES</v>
      </c>
      <c r="F197" s="19">
        <f>Asset_Sum!M28</f>
        <v>57377291.709999993</v>
      </c>
      <c r="G197" s="3134" t="str">
        <f t="shared" si="64"/>
        <v>Trans - Capacity</v>
      </c>
      <c r="H197" s="19">
        <f t="shared" si="65"/>
        <v>0</v>
      </c>
      <c r="I197" s="19">
        <f t="shared" si="65"/>
        <v>0</v>
      </c>
      <c r="J197" s="19">
        <f t="shared" si="65"/>
        <v>57377291.709999993</v>
      </c>
      <c r="K197" s="19">
        <f t="shared" si="65"/>
        <v>0</v>
      </c>
      <c r="L197" s="19">
        <f t="shared" si="65"/>
        <v>0</v>
      </c>
      <c r="M197" s="19">
        <f t="shared" si="65"/>
        <v>0</v>
      </c>
      <c r="N197" s="19">
        <f t="shared" si="65"/>
        <v>0</v>
      </c>
      <c r="O197" s="19">
        <f t="shared" si="65"/>
        <v>0</v>
      </c>
      <c r="P197" s="19">
        <f t="shared" si="65"/>
        <v>0</v>
      </c>
      <c r="Q197" s="1759">
        <f t="shared" si="65"/>
        <v>0</v>
      </c>
      <c r="R197" s="1759">
        <f t="shared" si="66"/>
        <v>0</v>
      </c>
      <c r="S197" s="1759">
        <f t="shared" si="66"/>
        <v>0</v>
      </c>
      <c r="T197" s="19">
        <f t="shared" si="66"/>
        <v>0</v>
      </c>
      <c r="U197" s="19">
        <f t="shared" si="66"/>
        <v>0</v>
      </c>
      <c r="V197" s="19">
        <f t="shared" si="66"/>
        <v>0</v>
      </c>
      <c r="W197" s="19">
        <f t="shared" si="66"/>
        <v>0</v>
      </c>
      <c r="X197" s="19">
        <f t="shared" si="66"/>
        <v>0</v>
      </c>
      <c r="Y197" s="19">
        <f t="shared" si="66"/>
        <v>0</v>
      </c>
      <c r="Z197" s="602">
        <f t="shared" si="43"/>
        <v>0</v>
      </c>
      <c r="AA197" s="86"/>
      <c r="AB197" s="86"/>
      <c r="AC197" s="86"/>
      <c r="AD197" s="86"/>
      <c r="AE197" s="86"/>
    </row>
    <row r="198" spans="1:31">
      <c r="A198" s="411"/>
      <c r="C198" s="336">
        <f t="shared" si="67"/>
        <v>164</v>
      </c>
      <c r="D198" s="165" t="str">
        <f t="shared" si="63"/>
        <v>356</v>
      </c>
      <c r="E198" s="247" t="str">
        <f t="shared" si="62"/>
        <v>POLES &amp; FIXTURES</v>
      </c>
      <c r="F198" s="19">
        <f>Asset_Sum!M29</f>
        <v>42471083.759999998</v>
      </c>
      <c r="G198" s="3134" t="str">
        <f t="shared" si="64"/>
        <v>Trans - Capacity</v>
      </c>
      <c r="H198" s="19">
        <f t="shared" si="65"/>
        <v>0</v>
      </c>
      <c r="I198" s="19">
        <f t="shared" si="65"/>
        <v>0</v>
      </c>
      <c r="J198" s="19">
        <f t="shared" si="65"/>
        <v>42471083.759999998</v>
      </c>
      <c r="K198" s="19">
        <f t="shared" si="65"/>
        <v>0</v>
      </c>
      <c r="L198" s="19">
        <f t="shared" si="65"/>
        <v>0</v>
      </c>
      <c r="M198" s="19">
        <f t="shared" si="65"/>
        <v>0</v>
      </c>
      <c r="N198" s="19">
        <f t="shared" si="65"/>
        <v>0</v>
      </c>
      <c r="O198" s="19">
        <f t="shared" si="65"/>
        <v>0</v>
      </c>
      <c r="P198" s="19">
        <f t="shared" si="65"/>
        <v>0</v>
      </c>
      <c r="Q198" s="1759">
        <f t="shared" si="65"/>
        <v>0</v>
      </c>
      <c r="R198" s="1759">
        <f t="shared" si="66"/>
        <v>0</v>
      </c>
      <c r="S198" s="1759">
        <f t="shared" si="66"/>
        <v>0</v>
      </c>
      <c r="T198" s="19">
        <f t="shared" si="66"/>
        <v>0</v>
      </c>
      <c r="U198" s="19">
        <f t="shared" si="66"/>
        <v>0</v>
      </c>
      <c r="V198" s="19">
        <f t="shared" si="66"/>
        <v>0</v>
      </c>
      <c r="W198" s="19">
        <f t="shared" si="66"/>
        <v>0</v>
      </c>
      <c r="X198" s="19">
        <f t="shared" si="66"/>
        <v>0</v>
      </c>
      <c r="Y198" s="19">
        <f t="shared" si="66"/>
        <v>0</v>
      </c>
      <c r="Z198" s="602">
        <f t="shared" si="43"/>
        <v>0</v>
      </c>
      <c r="AA198" s="86"/>
      <c r="AB198" s="86"/>
      <c r="AC198" s="86"/>
      <c r="AD198" s="86"/>
      <c r="AE198" s="86"/>
    </row>
    <row r="199" spans="1:31" ht="16.5" thickBot="1">
      <c r="A199" s="411"/>
      <c r="C199" s="336">
        <f t="shared" si="67"/>
        <v>165</v>
      </c>
      <c r="D199" s="165" t="str">
        <f t="shared" si="63"/>
        <v>359</v>
      </c>
      <c r="E199" s="247" t="str">
        <f t="shared" si="62"/>
        <v>OVERHEAD COND &amp; DEV</v>
      </c>
      <c r="F199" s="19">
        <f>Asset_Sum!M30</f>
        <v>4641.4500000000007</v>
      </c>
      <c r="G199" s="3135" t="str">
        <f t="shared" si="64"/>
        <v>Trans - Capacity</v>
      </c>
      <c r="H199" s="19">
        <f t="shared" si="65"/>
        <v>0</v>
      </c>
      <c r="I199" s="19">
        <f t="shared" si="65"/>
        <v>0</v>
      </c>
      <c r="J199" s="19">
        <f t="shared" si="65"/>
        <v>4641.4500000000007</v>
      </c>
      <c r="K199" s="19">
        <f t="shared" si="65"/>
        <v>0</v>
      </c>
      <c r="L199" s="19">
        <f t="shared" si="65"/>
        <v>0</v>
      </c>
      <c r="M199" s="19">
        <f t="shared" si="65"/>
        <v>0</v>
      </c>
      <c r="N199" s="19">
        <f t="shared" si="65"/>
        <v>0</v>
      </c>
      <c r="O199" s="19">
        <f t="shared" si="65"/>
        <v>0</v>
      </c>
      <c r="P199" s="19">
        <f t="shared" si="65"/>
        <v>0</v>
      </c>
      <c r="Q199" s="1759">
        <f t="shared" si="65"/>
        <v>0</v>
      </c>
      <c r="R199" s="1759">
        <f t="shared" si="66"/>
        <v>0</v>
      </c>
      <c r="S199" s="1759">
        <f t="shared" si="66"/>
        <v>0</v>
      </c>
      <c r="T199" s="19">
        <f t="shared" si="66"/>
        <v>0</v>
      </c>
      <c r="U199" s="19">
        <f t="shared" si="66"/>
        <v>0</v>
      </c>
      <c r="V199" s="19">
        <f t="shared" si="66"/>
        <v>0</v>
      </c>
      <c r="W199" s="19">
        <f t="shared" si="66"/>
        <v>0</v>
      </c>
      <c r="X199" s="19">
        <f t="shared" si="66"/>
        <v>0</v>
      </c>
      <c r="Y199" s="19">
        <f t="shared" si="66"/>
        <v>0</v>
      </c>
      <c r="Z199" s="602">
        <f t="shared" si="43"/>
        <v>0</v>
      </c>
      <c r="AA199" s="86"/>
      <c r="AB199" s="86"/>
      <c r="AC199" s="86"/>
      <c r="AD199" s="86"/>
      <c r="AE199" s="86"/>
    </row>
    <row r="200" spans="1:31">
      <c r="A200" s="411"/>
      <c r="C200" s="336">
        <f t="shared" si="67"/>
        <v>166</v>
      </c>
      <c r="D200" s="165"/>
      <c r="E200" s="248" t="str">
        <f t="shared" si="62"/>
        <v>Total Transmission Assets</v>
      </c>
      <c r="F200" s="324">
        <f>SUM(F190:F199)</f>
        <v>128446322.35999997</v>
      </c>
      <c r="G200" s="165"/>
      <c r="H200" s="324">
        <f t="shared" ref="H200:P200" si="68">SUM(H190:H199)</f>
        <v>0</v>
      </c>
      <c r="I200" s="324">
        <f t="shared" si="68"/>
        <v>0</v>
      </c>
      <c r="J200" s="324">
        <f t="shared" si="68"/>
        <v>128446322.35999997</v>
      </c>
      <c r="K200" s="324">
        <f t="shared" si="68"/>
        <v>0</v>
      </c>
      <c r="L200" s="324">
        <f t="shared" si="68"/>
        <v>0</v>
      </c>
      <c r="M200" s="324">
        <f>SUM(M190:M199)</f>
        <v>0</v>
      </c>
      <c r="N200" s="324">
        <f>SUM(N190:N199)</f>
        <v>0</v>
      </c>
      <c r="O200" s="324">
        <f>SUM(O190:O199)</f>
        <v>0</v>
      </c>
      <c r="P200" s="324">
        <f t="shared" si="68"/>
        <v>0</v>
      </c>
      <c r="Q200" s="1760">
        <f t="shared" ref="Q200:Y200" si="69">SUM(Q190:Q199)</f>
        <v>0</v>
      </c>
      <c r="R200" s="1760">
        <f t="shared" si="69"/>
        <v>0</v>
      </c>
      <c r="S200" s="1760">
        <f t="shared" si="69"/>
        <v>0</v>
      </c>
      <c r="T200" s="324">
        <f t="shared" si="69"/>
        <v>0</v>
      </c>
      <c r="U200" s="324">
        <f t="shared" si="69"/>
        <v>0</v>
      </c>
      <c r="V200" s="324">
        <f t="shared" si="69"/>
        <v>0</v>
      </c>
      <c r="W200" s="324">
        <f t="shared" si="69"/>
        <v>0</v>
      </c>
      <c r="X200" s="324">
        <f t="shared" si="69"/>
        <v>0</v>
      </c>
      <c r="Y200" s="324">
        <f t="shared" si="69"/>
        <v>0</v>
      </c>
      <c r="Z200" s="602">
        <f t="shared" si="43"/>
        <v>0</v>
      </c>
    </row>
    <row r="201" spans="1:31" s="3094" customFormat="1">
      <c r="A201" s="411"/>
      <c r="C201" s="336">
        <f t="shared" si="67"/>
        <v>167</v>
      </c>
      <c r="D201" s="165"/>
      <c r="E201" s="3150" t="str">
        <f>E200&amp;" less Labor"</f>
        <v>Total Transmission Assets less Labor</v>
      </c>
      <c r="F201" s="3151">
        <f>SUM(F190:F199)</f>
        <v>128446322.35999997</v>
      </c>
      <c r="G201" s="3152"/>
      <c r="H201" s="3151">
        <f t="shared" ref="H201:Y201" si="70">SUM(H190:H199)</f>
        <v>0</v>
      </c>
      <c r="I201" s="3151">
        <f t="shared" si="70"/>
        <v>0</v>
      </c>
      <c r="J201" s="3151">
        <f t="shared" si="70"/>
        <v>128446322.35999997</v>
      </c>
      <c r="K201" s="3151">
        <f t="shared" si="70"/>
        <v>0</v>
      </c>
      <c r="L201" s="3151">
        <f t="shared" si="70"/>
        <v>0</v>
      </c>
      <c r="M201" s="3151">
        <f t="shared" si="70"/>
        <v>0</v>
      </c>
      <c r="N201" s="3151">
        <f t="shared" si="70"/>
        <v>0</v>
      </c>
      <c r="O201" s="3151">
        <f t="shared" si="70"/>
        <v>0</v>
      </c>
      <c r="P201" s="3151">
        <f t="shared" si="70"/>
        <v>0</v>
      </c>
      <c r="Q201" s="3151">
        <f t="shared" si="70"/>
        <v>0</v>
      </c>
      <c r="R201" s="3151">
        <f t="shared" si="70"/>
        <v>0</v>
      </c>
      <c r="S201" s="3151">
        <f t="shared" si="70"/>
        <v>0</v>
      </c>
      <c r="T201" s="3151">
        <f t="shared" si="70"/>
        <v>0</v>
      </c>
      <c r="U201" s="3151">
        <f t="shared" si="70"/>
        <v>0</v>
      </c>
      <c r="V201" s="3151">
        <f t="shared" si="70"/>
        <v>0</v>
      </c>
      <c r="W201" s="3151">
        <f t="shared" si="70"/>
        <v>0</v>
      </c>
      <c r="X201" s="3151">
        <f t="shared" si="70"/>
        <v>0</v>
      </c>
      <c r="Y201" s="3151">
        <f t="shared" si="70"/>
        <v>0</v>
      </c>
      <c r="Z201" s="602"/>
      <c r="AA201" s="86"/>
      <c r="AB201" s="86"/>
      <c r="AC201" s="86"/>
      <c r="AD201" s="86"/>
      <c r="AE201" s="86"/>
    </row>
    <row r="202" spans="1:31">
      <c r="A202" s="411"/>
      <c r="C202" s="336"/>
      <c r="D202" s="165"/>
      <c r="E202" s="206"/>
      <c r="F202" s="313"/>
      <c r="G202" s="165"/>
      <c r="H202" s="313"/>
      <c r="I202" s="313"/>
      <c r="J202" s="313"/>
      <c r="K202" s="313"/>
      <c r="L202" s="313"/>
      <c r="M202" s="313"/>
      <c r="N202" s="313"/>
      <c r="O202" s="313"/>
      <c r="P202" s="313"/>
      <c r="Q202" s="1761"/>
      <c r="R202" s="1761"/>
      <c r="S202" s="1761"/>
      <c r="T202" s="313"/>
      <c r="U202" s="313"/>
      <c r="V202" s="313"/>
      <c r="W202" s="313"/>
      <c r="X202" s="313"/>
      <c r="Y202" s="17"/>
      <c r="Z202" s="602">
        <f t="shared" si="43"/>
        <v>0</v>
      </c>
    </row>
    <row r="203" spans="1:31" ht="16.5" thickBot="1">
      <c r="A203" s="411"/>
      <c r="C203" s="336">
        <f>MAX(C200:C202)+1</f>
        <v>168</v>
      </c>
      <c r="D203" s="165"/>
      <c r="E203" s="206" t="str">
        <f t="shared" ref="E203:E219" si="71">E39</f>
        <v>Distribution:</v>
      </c>
      <c r="F203" s="313"/>
      <c r="G203" s="165"/>
      <c r="H203" s="313"/>
      <c r="I203" s="313"/>
      <c r="J203" s="313"/>
      <c r="K203" s="313"/>
      <c r="L203" s="313"/>
      <c r="M203" s="313"/>
      <c r="N203" s="313"/>
      <c r="O203" s="313"/>
      <c r="P203" s="313"/>
      <c r="Q203" s="1761"/>
      <c r="R203" s="1761"/>
      <c r="S203" s="1761"/>
      <c r="T203" s="313"/>
      <c r="U203" s="313"/>
      <c r="V203" s="313"/>
      <c r="W203" s="313"/>
      <c r="X203" s="313"/>
      <c r="Y203" s="17"/>
      <c r="Z203" s="602">
        <f t="shared" si="43"/>
        <v>0</v>
      </c>
    </row>
    <row r="204" spans="1:31">
      <c r="A204" s="411"/>
      <c r="C204" s="336">
        <f>MAX(C200:C203)+1</f>
        <v>169</v>
      </c>
      <c r="D204" s="165" t="str">
        <f t="shared" ref="D204:D218" si="72">D40</f>
        <v>360</v>
      </c>
      <c r="E204" s="247" t="str">
        <f t="shared" si="71"/>
        <v>LAND &amp; LAND RIGHTS</v>
      </c>
      <c r="F204" s="331">
        <f>Asset_Sum!M35</f>
        <v>853208.64</v>
      </c>
      <c r="G204" s="3133" t="str">
        <f t="shared" ref="G204:G218" si="73">G40</f>
        <v>Substations Direct</v>
      </c>
      <c r="H204" s="279">
        <f t="shared" ref="H204:Q218" si="74">$F204*SUMIF($E$338:$E$359,$G204,H$338:H$359)</f>
        <v>0</v>
      </c>
      <c r="I204" s="279">
        <f t="shared" si="74"/>
        <v>0</v>
      </c>
      <c r="J204" s="279">
        <f t="shared" si="74"/>
        <v>0</v>
      </c>
      <c r="K204" s="279">
        <f t="shared" si="74"/>
        <v>536093.83420504513</v>
      </c>
      <c r="L204" s="279">
        <f t="shared" si="74"/>
        <v>317114.80579495488</v>
      </c>
      <c r="M204" s="279">
        <f t="shared" si="74"/>
        <v>0</v>
      </c>
      <c r="N204" s="279">
        <f t="shared" si="74"/>
        <v>0</v>
      </c>
      <c r="O204" s="279">
        <f t="shared" si="74"/>
        <v>0</v>
      </c>
      <c r="P204" s="279">
        <f t="shared" si="74"/>
        <v>0</v>
      </c>
      <c r="Q204" s="1758">
        <f t="shared" si="74"/>
        <v>0</v>
      </c>
      <c r="R204" s="1758">
        <f t="shared" ref="R204:Y218" si="75">$F204*SUMIF($E$338:$E$359,$G204,R$338:R$359)</f>
        <v>0</v>
      </c>
      <c r="S204" s="1758">
        <f t="shared" si="75"/>
        <v>0</v>
      </c>
      <c r="T204" s="279">
        <f t="shared" si="75"/>
        <v>0</v>
      </c>
      <c r="U204" s="279">
        <f t="shared" si="75"/>
        <v>0</v>
      </c>
      <c r="V204" s="279">
        <f t="shared" si="75"/>
        <v>0</v>
      </c>
      <c r="W204" s="279">
        <f t="shared" si="75"/>
        <v>0</v>
      </c>
      <c r="X204" s="279">
        <f t="shared" si="75"/>
        <v>0</v>
      </c>
      <c r="Y204" s="279">
        <f t="shared" si="75"/>
        <v>0</v>
      </c>
      <c r="Z204" s="602">
        <f t="shared" si="43"/>
        <v>0</v>
      </c>
    </row>
    <row r="205" spans="1:31">
      <c r="A205" s="411"/>
      <c r="C205" s="336">
        <f t="shared" ref="C205:C211" si="76">MAX(C200:C204)+1</f>
        <v>170</v>
      </c>
      <c r="D205" s="165" t="str">
        <f t="shared" si="72"/>
        <v>361</v>
      </c>
      <c r="E205" s="247" t="str">
        <f t="shared" si="71"/>
        <v>STRUCTURES &amp; IMPR</v>
      </c>
      <c r="F205" s="19">
        <f>Asset_Sum!M36</f>
        <v>296563.94999999995</v>
      </c>
      <c r="G205" s="3134" t="str">
        <f t="shared" si="73"/>
        <v>Substations Direct</v>
      </c>
      <c r="H205" s="19">
        <f t="shared" si="74"/>
        <v>0</v>
      </c>
      <c r="I205" s="19">
        <f t="shared" si="74"/>
        <v>0</v>
      </c>
      <c r="J205" s="19">
        <f t="shared" si="74"/>
        <v>0</v>
      </c>
      <c r="K205" s="19">
        <f t="shared" si="74"/>
        <v>186339.07064336957</v>
      </c>
      <c r="L205" s="19">
        <f t="shared" si="74"/>
        <v>110224.87935663039</v>
      </c>
      <c r="M205" s="19">
        <f t="shared" si="74"/>
        <v>0</v>
      </c>
      <c r="N205" s="19">
        <f t="shared" si="74"/>
        <v>0</v>
      </c>
      <c r="O205" s="19">
        <f t="shared" si="74"/>
        <v>0</v>
      </c>
      <c r="P205" s="19">
        <f t="shared" si="74"/>
        <v>0</v>
      </c>
      <c r="Q205" s="1759">
        <f t="shared" si="74"/>
        <v>0</v>
      </c>
      <c r="R205" s="1759">
        <f t="shared" si="75"/>
        <v>0</v>
      </c>
      <c r="S205" s="1759">
        <f t="shared" si="75"/>
        <v>0</v>
      </c>
      <c r="T205" s="19">
        <f t="shared" si="75"/>
        <v>0</v>
      </c>
      <c r="U205" s="19">
        <f t="shared" si="75"/>
        <v>0</v>
      </c>
      <c r="V205" s="19">
        <f t="shared" si="75"/>
        <v>0</v>
      </c>
      <c r="W205" s="19">
        <f t="shared" si="75"/>
        <v>0</v>
      </c>
      <c r="X205" s="19">
        <f t="shared" si="75"/>
        <v>0</v>
      </c>
      <c r="Y205" s="19">
        <f t="shared" si="75"/>
        <v>0</v>
      </c>
      <c r="Z205" s="602">
        <f t="shared" si="43"/>
        <v>0</v>
      </c>
    </row>
    <row r="206" spans="1:31">
      <c r="A206" s="411"/>
      <c r="C206" s="336">
        <f t="shared" si="76"/>
        <v>171</v>
      </c>
      <c r="D206" s="165" t="str">
        <f t="shared" si="72"/>
        <v>362</v>
      </c>
      <c r="E206" s="247" t="str">
        <f t="shared" si="71"/>
        <v>STATION EQUIPMENT</v>
      </c>
      <c r="F206" s="19">
        <f>Asset_Sum!M37</f>
        <v>74450498.519999951</v>
      </c>
      <c r="G206" s="3134" t="str">
        <f t="shared" si="73"/>
        <v>Substations Direct</v>
      </c>
      <c r="H206" s="19">
        <f t="shared" si="74"/>
        <v>0</v>
      </c>
      <c r="I206" s="19">
        <f t="shared" si="74"/>
        <v>0</v>
      </c>
      <c r="J206" s="19">
        <f t="shared" si="74"/>
        <v>0</v>
      </c>
      <c r="K206" s="19">
        <f t="shared" si="74"/>
        <v>46779241.722240195</v>
      </c>
      <c r="L206" s="19">
        <f t="shared" si="74"/>
        <v>27671256.79775976</v>
      </c>
      <c r="M206" s="19">
        <f t="shared" si="74"/>
        <v>0</v>
      </c>
      <c r="N206" s="19">
        <f t="shared" si="74"/>
        <v>0</v>
      </c>
      <c r="O206" s="19">
        <f t="shared" si="74"/>
        <v>0</v>
      </c>
      <c r="P206" s="19">
        <f t="shared" si="74"/>
        <v>0</v>
      </c>
      <c r="Q206" s="1759">
        <f t="shared" si="74"/>
        <v>0</v>
      </c>
      <c r="R206" s="1759">
        <f t="shared" si="75"/>
        <v>0</v>
      </c>
      <c r="S206" s="1759">
        <f t="shared" si="75"/>
        <v>0</v>
      </c>
      <c r="T206" s="19">
        <f t="shared" si="75"/>
        <v>0</v>
      </c>
      <c r="U206" s="19">
        <f t="shared" si="75"/>
        <v>0</v>
      </c>
      <c r="V206" s="19">
        <f t="shared" si="75"/>
        <v>0</v>
      </c>
      <c r="W206" s="19">
        <f t="shared" si="75"/>
        <v>0</v>
      </c>
      <c r="X206" s="19">
        <f t="shared" si="75"/>
        <v>0</v>
      </c>
      <c r="Y206" s="19">
        <f t="shared" si="75"/>
        <v>0</v>
      </c>
      <c r="Z206" s="602">
        <f t="shared" si="43"/>
        <v>0</v>
      </c>
    </row>
    <row r="207" spans="1:31">
      <c r="A207" s="411"/>
      <c r="C207" s="336">
        <f t="shared" si="76"/>
        <v>172</v>
      </c>
      <c r="D207" s="165" t="str">
        <f t="shared" si="72"/>
        <v>364</v>
      </c>
      <c r="E207" s="247" t="str">
        <f t="shared" si="71"/>
        <v>POLES, TOWERS, &amp; FIX</v>
      </c>
      <c r="F207" s="1805">
        <f>Asset_Sum!M38</f>
        <v>26442943.479999974</v>
      </c>
      <c r="G207" s="3134" t="str">
        <f t="shared" si="73"/>
        <v>Overhead Plant</v>
      </c>
      <c r="H207" s="19">
        <f t="shared" si="74"/>
        <v>0</v>
      </c>
      <c r="I207" s="19">
        <f t="shared" si="74"/>
        <v>0</v>
      </c>
      <c r="J207" s="19">
        <f t="shared" si="74"/>
        <v>0</v>
      </c>
      <c r="K207" s="19">
        <f t="shared" si="74"/>
        <v>0</v>
      </c>
      <c r="L207" s="19">
        <f t="shared" si="74"/>
        <v>0</v>
      </c>
      <c r="M207" s="19">
        <f t="shared" si="74"/>
        <v>0</v>
      </c>
      <c r="N207" s="19">
        <f t="shared" si="74"/>
        <v>0</v>
      </c>
      <c r="O207" s="19">
        <f t="shared" si="74"/>
        <v>0</v>
      </c>
      <c r="P207" s="19">
        <f t="shared" si="74"/>
        <v>2378092.7172756097</v>
      </c>
      <c r="Q207" s="1759">
        <f t="shared" si="74"/>
        <v>19588817.944165308</v>
      </c>
      <c r="R207" s="1759">
        <f t="shared" si="75"/>
        <v>1019182.5931181186</v>
      </c>
      <c r="S207" s="1759">
        <f t="shared" si="75"/>
        <v>3456850.2254409366</v>
      </c>
      <c r="T207" s="19">
        <f t="shared" si="75"/>
        <v>0</v>
      </c>
      <c r="U207" s="19">
        <f t="shared" si="75"/>
        <v>0</v>
      </c>
      <c r="V207" s="19">
        <f t="shared" si="75"/>
        <v>0</v>
      </c>
      <c r="W207" s="19">
        <f t="shared" si="75"/>
        <v>0</v>
      </c>
      <c r="X207" s="19">
        <f t="shared" si="75"/>
        <v>0</v>
      </c>
      <c r="Y207" s="19">
        <f t="shared" si="75"/>
        <v>0</v>
      </c>
      <c r="Z207" s="602">
        <f t="shared" si="43"/>
        <v>0</v>
      </c>
      <c r="AA207" s="86"/>
      <c r="AB207" s="86"/>
      <c r="AC207" s="86"/>
      <c r="AD207" s="86"/>
      <c r="AE207" s="86"/>
    </row>
    <row r="208" spans="1:31">
      <c r="A208" s="411"/>
      <c r="C208" s="336">
        <f t="shared" si="76"/>
        <v>173</v>
      </c>
      <c r="D208" s="165" t="str">
        <f t="shared" si="72"/>
        <v>365</v>
      </c>
      <c r="E208" s="247" t="str">
        <f t="shared" si="71"/>
        <v>OVERHEAD COND &amp; DEV</v>
      </c>
      <c r="F208" s="1805">
        <f>Asset_Sum!M39</f>
        <v>46347141.580000117</v>
      </c>
      <c r="G208" s="3134" t="str">
        <f t="shared" si="73"/>
        <v>Overhead Plant</v>
      </c>
      <c r="H208" s="19">
        <f t="shared" si="74"/>
        <v>0</v>
      </c>
      <c r="I208" s="19">
        <f t="shared" si="74"/>
        <v>0</v>
      </c>
      <c r="J208" s="19">
        <f t="shared" si="74"/>
        <v>0</v>
      </c>
      <c r="K208" s="19">
        <f t="shared" si="74"/>
        <v>0</v>
      </c>
      <c r="L208" s="19">
        <f t="shared" si="74"/>
        <v>0</v>
      </c>
      <c r="M208" s="19">
        <f t="shared" si="74"/>
        <v>0</v>
      </c>
      <c r="N208" s="19">
        <f t="shared" si="74"/>
        <v>0</v>
      </c>
      <c r="O208" s="19">
        <f t="shared" si="74"/>
        <v>0</v>
      </c>
      <c r="P208" s="19">
        <f t="shared" si="74"/>
        <v>4168136.5745573188</v>
      </c>
      <c r="Q208" s="1759">
        <f t="shared" si="74"/>
        <v>34333761.645323351</v>
      </c>
      <c r="R208" s="1759">
        <f t="shared" si="75"/>
        <v>1786344.246238851</v>
      </c>
      <c r="S208" s="1759">
        <f t="shared" si="75"/>
        <v>6058899.1138805915</v>
      </c>
      <c r="T208" s="19">
        <f t="shared" si="75"/>
        <v>0</v>
      </c>
      <c r="U208" s="19">
        <f t="shared" si="75"/>
        <v>0</v>
      </c>
      <c r="V208" s="19">
        <f t="shared" si="75"/>
        <v>0</v>
      </c>
      <c r="W208" s="19">
        <f t="shared" si="75"/>
        <v>0</v>
      </c>
      <c r="X208" s="19">
        <f t="shared" si="75"/>
        <v>0</v>
      </c>
      <c r="Y208" s="19">
        <f t="shared" si="75"/>
        <v>0</v>
      </c>
      <c r="Z208" s="602">
        <f t="shared" si="43"/>
        <v>0</v>
      </c>
      <c r="AA208" s="86"/>
      <c r="AB208" s="86"/>
      <c r="AC208" s="86"/>
      <c r="AD208" s="86"/>
      <c r="AE208" s="86"/>
    </row>
    <row r="209" spans="1:31">
      <c r="A209" s="411"/>
      <c r="C209" s="336">
        <f t="shared" si="76"/>
        <v>174</v>
      </c>
      <c r="D209" s="165" t="str">
        <f t="shared" si="72"/>
        <v>366</v>
      </c>
      <c r="E209" s="247" t="str">
        <f t="shared" si="71"/>
        <v>UNDERGROUND CONDUIT</v>
      </c>
      <c r="F209" s="1805">
        <f>Asset_Sum!M40</f>
        <v>14780698.550000006</v>
      </c>
      <c r="G209" s="3134" t="str">
        <f t="shared" si="73"/>
        <v>Underground Plant</v>
      </c>
      <c r="H209" s="19">
        <f t="shared" si="74"/>
        <v>0</v>
      </c>
      <c r="I209" s="19">
        <f t="shared" si="74"/>
        <v>0</v>
      </c>
      <c r="J209" s="19">
        <f t="shared" si="74"/>
        <v>0</v>
      </c>
      <c r="K209" s="19">
        <f t="shared" si="74"/>
        <v>0</v>
      </c>
      <c r="L209" s="19">
        <f t="shared" si="74"/>
        <v>0</v>
      </c>
      <c r="M209" s="19">
        <f t="shared" si="74"/>
        <v>0</v>
      </c>
      <c r="N209" s="19">
        <f t="shared" si="74"/>
        <v>0</v>
      </c>
      <c r="O209" s="19">
        <f t="shared" si="74"/>
        <v>0</v>
      </c>
      <c r="P209" s="19">
        <f t="shared" si="74"/>
        <v>1787642.450323364</v>
      </c>
      <c r="Q209" s="1759">
        <f t="shared" si="74"/>
        <v>5944487.8743270021</v>
      </c>
      <c r="R209" s="1759">
        <f t="shared" si="75"/>
        <v>2184896.3281730004</v>
      </c>
      <c r="S209" s="1759">
        <f t="shared" si="75"/>
        <v>4863671.8971766382</v>
      </c>
      <c r="T209" s="19">
        <f t="shared" si="75"/>
        <v>0</v>
      </c>
      <c r="U209" s="19">
        <f t="shared" si="75"/>
        <v>0</v>
      </c>
      <c r="V209" s="19">
        <f t="shared" si="75"/>
        <v>0</v>
      </c>
      <c r="W209" s="19">
        <f t="shared" si="75"/>
        <v>0</v>
      </c>
      <c r="X209" s="19">
        <f t="shared" si="75"/>
        <v>0</v>
      </c>
      <c r="Y209" s="19">
        <f t="shared" si="75"/>
        <v>0</v>
      </c>
      <c r="Z209" s="602">
        <f t="shared" si="43"/>
        <v>0</v>
      </c>
      <c r="AA209" s="86"/>
      <c r="AB209" s="86"/>
      <c r="AC209" s="86"/>
      <c r="AD209" s="86"/>
      <c r="AE209" s="86"/>
    </row>
    <row r="210" spans="1:31">
      <c r="A210" s="411"/>
      <c r="C210" s="336">
        <f t="shared" si="76"/>
        <v>175</v>
      </c>
      <c r="D210" s="165" t="str">
        <f t="shared" si="72"/>
        <v>367</v>
      </c>
      <c r="E210" s="247" t="str">
        <f t="shared" si="71"/>
        <v>UNDRGD COND &amp; DEV</v>
      </c>
      <c r="F210" s="1805">
        <f>Asset_Sum!M41</f>
        <v>56427361.419999853</v>
      </c>
      <c r="G210" s="3134" t="str">
        <f t="shared" si="73"/>
        <v>Underground Plant</v>
      </c>
      <c r="H210" s="19">
        <f t="shared" si="74"/>
        <v>0</v>
      </c>
      <c r="I210" s="19">
        <f t="shared" si="74"/>
        <v>0</v>
      </c>
      <c r="J210" s="19">
        <f t="shared" si="74"/>
        <v>0</v>
      </c>
      <c r="K210" s="19">
        <f t="shared" si="74"/>
        <v>0</v>
      </c>
      <c r="L210" s="19">
        <f t="shared" si="74"/>
        <v>0</v>
      </c>
      <c r="M210" s="19">
        <f t="shared" si="74"/>
        <v>0</v>
      </c>
      <c r="N210" s="19">
        <f t="shared" si="74"/>
        <v>0</v>
      </c>
      <c r="O210" s="19">
        <f t="shared" si="74"/>
        <v>0</v>
      </c>
      <c r="P210" s="19">
        <f t="shared" si="74"/>
        <v>6824572.3497371878</v>
      </c>
      <c r="Q210" s="1759">
        <f t="shared" si="74"/>
        <v>22693904.797987796</v>
      </c>
      <c r="R210" s="1759">
        <f t="shared" si="75"/>
        <v>8341143.9830121184</v>
      </c>
      <c r="S210" s="1759">
        <f t="shared" si="75"/>
        <v>18567740.289262742</v>
      </c>
      <c r="T210" s="19">
        <f t="shared" si="75"/>
        <v>0</v>
      </c>
      <c r="U210" s="19">
        <f t="shared" si="75"/>
        <v>0</v>
      </c>
      <c r="V210" s="19">
        <f t="shared" si="75"/>
        <v>0</v>
      </c>
      <c r="W210" s="19">
        <f t="shared" si="75"/>
        <v>0</v>
      </c>
      <c r="X210" s="19">
        <f t="shared" si="75"/>
        <v>0</v>
      </c>
      <c r="Y210" s="19">
        <f t="shared" si="75"/>
        <v>0</v>
      </c>
      <c r="Z210" s="602">
        <f t="shared" si="43"/>
        <v>0</v>
      </c>
      <c r="AA210" s="86"/>
      <c r="AB210" s="86"/>
      <c r="AC210" s="86"/>
      <c r="AD210" s="86"/>
      <c r="AE210" s="86"/>
    </row>
    <row r="211" spans="1:31">
      <c r="A211" s="411"/>
      <c r="C211" s="336">
        <f t="shared" si="76"/>
        <v>176</v>
      </c>
      <c r="D211" s="165" t="str">
        <f t="shared" si="72"/>
        <v>368</v>
      </c>
      <c r="E211" s="247" t="str">
        <f t="shared" si="71"/>
        <v>LINE TRANSFORMERS</v>
      </c>
      <c r="F211" s="19">
        <f>Asset_Sum!M42</f>
        <v>24037835.219999932</v>
      </c>
      <c r="G211" s="3134" t="str">
        <f t="shared" si="73"/>
        <v>Line Transformers</v>
      </c>
      <c r="H211" s="19">
        <f t="shared" si="74"/>
        <v>0</v>
      </c>
      <c r="I211" s="19">
        <f t="shared" si="74"/>
        <v>0</v>
      </c>
      <c r="J211" s="19">
        <f t="shared" si="74"/>
        <v>0</v>
      </c>
      <c r="K211" s="19">
        <f t="shared" si="74"/>
        <v>0</v>
      </c>
      <c r="L211" s="19">
        <f t="shared" si="74"/>
        <v>0</v>
      </c>
      <c r="M211" s="19">
        <f t="shared" si="74"/>
        <v>0</v>
      </c>
      <c r="N211" s="19">
        <f t="shared" si="74"/>
        <v>0</v>
      </c>
      <c r="O211" s="19">
        <f t="shared" si="74"/>
        <v>24037835.219999932</v>
      </c>
      <c r="P211" s="19">
        <f t="shared" si="74"/>
        <v>0</v>
      </c>
      <c r="Q211" s="1759">
        <f t="shared" si="74"/>
        <v>0</v>
      </c>
      <c r="R211" s="1759">
        <f t="shared" si="75"/>
        <v>0</v>
      </c>
      <c r="S211" s="1759">
        <f t="shared" si="75"/>
        <v>0</v>
      </c>
      <c r="T211" s="19">
        <f t="shared" si="75"/>
        <v>0</v>
      </c>
      <c r="U211" s="19">
        <f t="shared" si="75"/>
        <v>0</v>
      </c>
      <c r="V211" s="19">
        <f t="shared" si="75"/>
        <v>0</v>
      </c>
      <c r="W211" s="19">
        <f t="shared" si="75"/>
        <v>0</v>
      </c>
      <c r="X211" s="19">
        <f t="shared" si="75"/>
        <v>0</v>
      </c>
      <c r="Y211" s="19">
        <f t="shared" si="75"/>
        <v>0</v>
      </c>
      <c r="Z211" s="602">
        <f t="shared" si="43"/>
        <v>0</v>
      </c>
      <c r="AA211" s="86"/>
      <c r="AB211" s="86"/>
      <c r="AC211" s="86"/>
      <c r="AD211" s="86"/>
      <c r="AE211" s="86"/>
    </row>
    <row r="212" spans="1:31">
      <c r="A212" s="411"/>
      <c r="C212" s="336">
        <f>MAX(C206:C210)+1</f>
        <v>176</v>
      </c>
      <c r="D212" s="165" t="str">
        <f t="shared" si="72"/>
        <v>369</v>
      </c>
      <c r="E212" s="247" t="str">
        <f t="shared" si="71"/>
        <v>SERVICES</v>
      </c>
      <c r="F212" s="19">
        <f>Asset_Sum!M43</f>
        <v>3444282.2299999967</v>
      </c>
      <c r="G212" s="3134" t="str">
        <f t="shared" si="73"/>
        <v>Services</v>
      </c>
      <c r="H212" s="19">
        <f t="shared" si="74"/>
        <v>0</v>
      </c>
      <c r="I212" s="19">
        <f t="shared" si="74"/>
        <v>0</v>
      </c>
      <c r="J212" s="19">
        <f t="shared" si="74"/>
        <v>0</v>
      </c>
      <c r="K212" s="19">
        <f t="shared" si="74"/>
        <v>0</v>
      </c>
      <c r="L212" s="19">
        <f t="shared" si="74"/>
        <v>0</v>
      </c>
      <c r="M212" s="19">
        <f t="shared" si="74"/>
        <v>0</v>
      </c>
      <c r="N212" s="19">
        <f t="shared" si="74"/>
        <v>0</v>
      </c>
      <c r="O212" s="19">
        <f t="shared" si="74"/>
        <v>0</v>
      </c>
      <c r="P212" s="19">
        <f t="shared" si="74"/>
        <v>0</v>
      </c>
      <c r="Q212" s="1759">
        <f t="shared" si="74"/>
        <v>0</v>
      </c>
      <c r="R212" s="1759">
        <f t="shared" si="75"/>
        <v>0</v>
      </c>
      <c r="S212" s="1759">
        <f t="shared" si="75"/>
        <v>0</v>
      </c>
      <c r="T212" s="19">
        <f t="shared" si="75"/>
        <v>3444282.2299999967</v>
      </c>
      <c r="U212" s="19">
        <f t="shared" si="75"/>
        <v>0</v>
      </c>
      <c r="V212" s="19">
        <f t="shared" si="75"/>
        <v>0</v>
      </c>
      <c r="W212" s="19">
        <f t="shared" si="75"/>
        <v>0</v>
      </c>
      <c r="X212" s="19">
        <f t="shared" si="75"/>
        <v>0</v>
      </c>
      <c r="Y212" s="19">
        <f t="shared" si="75"/>
        <v>0</v>
      </c>
      <c r="Z212" s="602">
        <f t="shared" si="43"/>
        <v>0</v>
      </c>
      <c r="AA212" s="86"/>
      <c r="AB212" s="86"/>
      <c r="AC212" s="86"/>
      <c r="AD212" s="86"/>
      <c r="AE212" s="86"/>
    </row>
    <row r="213" spans="1:31" hidden="1">
      <c r="A213" s="411"/>
      <c r="C213" s="336">
        <f>MAX(C207:C211)+1</f>
        <v>177</v>
      </c>
      <c r="D213" s="165" t="str">
        <f t="shared" si="72"/>
        <v>369</v>
      </c>
      <c r="E213" s="247" t="str">
        <f t="shared" si="71"/>
        <v>SERVICES OVERHEAD</v>
      </c>
      <c r="F213" s="19">
        <f>Asset_Sum!M44</f>
        <v>0</v>
      </c>
      <c r="G213" s="3134" t="str">
        <f t="shared" si="73"/>
        <v>Services</v>
      </c>
      <c r="H213" s="19">
        <f t="shared" si="74"/>
        <v>0</v>
      </c>
      <c r="I213" s="19">
        <f t="shared" si="74"/>
        <v>0</v>
      </c>
      <c r="J213" s="19">
        <f t="shared" si="74"/>
        <v>0</v>
      </c>
      <c r="K213" s="19">
        <f t="shared" si="74"/>
        <v>0</v>
      </c>
      <c r="L213" s="19">
        <f t="shared" si="74"/>
        <v>0</v>
      </c>
      <c r="M213" s="19">
        <f t="shared" si="74"/>
        <v>0</v>
      </c>
      <c r="N213" s="19">
        <f t="shared" si="74"/>
        <v>0</v>
      </c>
      <c r="O213" s="19">
        <f t="shared" si="74"/>
        <v>0</v>
      </c>
      <c r="P213" s="19">
        <f t="shared" si="74"/>
        <v>0</v>
      </c>
      <c r="Q213" s="1759">
        <f t="shared" si="74"/>
        <v>0</v>
      </c>
      <c r="R213" s="1759">
        <f t="shared" si="75"/>
        <v>0</v>
      </c>
      <c r="S213" s="1759">
        <f t="shared" si="75"/>
        <v>0</v>
      </c>
      <c r="T213" s="19">
        <f t="shared" si="75"/>
        <v>0</v>
      </c>
      <c r="U213" s="19">
        <f t="shared" si="75"/>
        <v>0</v>
      </c>
      <c r="V213" s="19">
        <f t="shared" si="75"/>
        <v>0</v>
      </c>
      <c r="W213" s="19">
        <f t="shared" si="75"/>
        <v>0</v>
      </c>
      <c r="X213" s="19">
        <f t="shared" si="75"/>
        <v>0</v>
      </c>
      <c r="Y213" s="19">
        <f t="shared" si="75"/>
        <v>0</v>
      </c>
      <c r="Z213" s="602">
        <f t="shared" si="43"/>
        <v>0</v>
      </c>
      <c r="AA213" s="86"/>
      <c r="AB213" s="86"/>
      <c r="AC213" s="86"/>
      <c r="AD213" s="86"/>
      <c r="AE213" s="86"/>
    </row>
    <row r="214" spans="1:31" hidden="1">
      <c r="A214" s="411"/>
      <c r="C214" s="336">
        <f>MAX(C208:C213)+1</f>
        <v>178</v>
      </c>
      <c r="D214" s="165" t="str">
        <f t="shared" si="72"/>
        <v>369</v>
      </c>
      <c r="E214" s="247" t="str">
        <f t="shared" si="71"/>
        <v>SERVICES UNDERGROUND</v>
      </c>
      <c r="F214" s="19">
        <f>Asset_Sum!M45</f>
        <v>0</v>
      </c>
      <c r="G214" s="3134" t="str">
        <f t="shared" si="73"/>
        <v>Services</v>
      </c>
      <c r="H214" s="19">
        <f t="shared" si="74"/>
        <v>0</v>
      </c>
      <c r="I214" s="19">
        <f t="shared" si="74"/>
        <v>0</v>
      </c>
      <c r="J214" s="19">
        <f t="shared" si="74"/>
        <v>0</v>
      </c>
      <c r="K214" s="19">
        <f t="shared" si="74"/>
        <v>0</v>
      </c>
      <c r="L214" s="19">
        <f t="shared" si="74"/>
        <v>0</v>
      </c>
      <c r="M214" s="19">
        <f t="shared" si="74"/>
        <v>0</v>
      </c>
      <c r="N214" s="19">
        <f t="shared" si="74"/>
        <v>0</v>
      </c>
      <c r="O214" s="19">
        <f t="shared" si="74"/>
        <v>0</v>
      </c>
      <c r="P214" s="19">
        <f t="shared" si="74"/>
        <v>0</v>
      </c>
      <c r="Q214" s="1759">
        <f t="shared" si="74"/>
        <v>0</v>
      </c>
      <c r="R214" s="1759">
        <f t="shared" si="75"/>
        <v>0</v>
      </c>
      <c r="S214" s="1759">
        <f t="shared" si="75"/>
        <v>0</v>
      </c>
      <c r="T214" s="19">
        <f t="shared" si="75"/>
        <v>0</v>
      </c>
      <c r="U214" s="19">
        <f t="shared" si="75"/>
        <v>0</v>
      </c>
      <c r="V214" s="19">
        <f t="shared" si="75"/>
        <v>0</v>
      </c>
      <c r="W214" s="19">
        <f t="shared" si="75"/>
        <v>0</v>
      </c>
      <c r="X214" s="19">
        <f t="shared" si="75"/>
        <v>0</v>
      </c>
      <c r="Y214" s="19">
        <f t="shared" si="75"/>
        <v>0</v>
      </c>
      <c r="Z214" s="602">
        <f t="shared" si="43"/>
        <v>0</v>
      </c>
      <c r="AA214" s="86"/>
      <c r="AB214" s="86"/>
      <c r="AC214" s="86"/>
      <c r="AD214" s="86"/>
      <c r="AE214" s="86"/>
    </row>
    <row r="215" spans="1:31">
      <c r="A215" s="411"/>
      <c r="C215" s="336">
        <f>MAX(C209:C214)+1</f>
        <v>179</v>
      </c>
      <c r="D215" s="165" t="str">
        <f t="shared" si="72"/>
        <v>370</v>
      </c>
      <c r="E215" s="247" t="str">
        <f t="shared" si="71"/>
        <v>METERS</v>
      </c>
      <c r="F215" s="19">
        <f>Asset_Sum!M46</f>
        <v>3006936.0199999977</v>
      </c>
      <c r="G215" s="3134" t="str">
        <f t="shared" si="73"/>
        <v>Meters</v>
      </c>
      <c r="H215" s="19">
        <f t="shared" si="74"/>
        <v>0</v>
      </c>
      <c r="I215" s="19">
        <f t="shared" si="74"/>
        <v>0</v>
      </c>
      <c r="J215" s="19">
        <f t="shared" si="74"/>
        <v>0</v>
      </c>
      <c r="K215" s="19">
        <f t="shared" si="74"/>
        <v>0</v>
      </c>
      <c r="L215" s="19">
        <f t="shared" si="74"/>
        <v>0</v>
      </c>
      <c r="M215" s="19">
        <f t="shared" si="74"/>
        <v>0</v>
      </c>
      <c r="N215" s="19">
        <f t="shared" si="74"/>
        <v>0</v>
      </c>
      <c r="O215" s="19">
        <f t="shared" si="74"/>
        <v>0</v>
      </c>
      <c r="P215" s="19">
        <f t="shared" si="74"/>
        <v>0</v>
      </c>
      <c r="Q215" s="1759">
        <f t="shared" si="74"/>
        <v>0</v>
      </c>
      <c r="R215" s="1759">
        <f t="shared" si="75"/>
        <v>0</v>
      </c>
      <c r="S215" s="1759">
        <f t="shared" si="75"/>
        <v>0</v>
      </c>
      <c r="T215" s="19">
        <f t="shared" si="75"/>
        <v>0</v>
      </c>
      <c r="U215" s="19">
        <f t="shared" si="75"/>
        <v>3006936.0199999977</v>
      </c>
      <c r="V215" s="19">
        <f t="shared" si="75"/>
        <v>0</v>
      </c>
      <c r="W215" s="19">
        <f t="shared" si="75"/>
        <v>0</v>
      </c>
      <c r="X215" s="19">
        <f t="shared" si="75"/>
        <v>0</v>
      </c>
      <c r="Y215" s="19">
        <f t="shared" si="75"/>
        <v>0</v>
      </c>
      <c r="Z215" s="602">
        <f t="shared" si="43"/>
        <v>0</v>
      </c>
      <c r="AA215" s="86"/>
      <c r="AB215" s="86"/>
      <c r="AC215" s="86"/>
      <c r="AD215" s="86"/>
      <c r="AE215" s="86"/>
    </row>
    <row r="216" spans="1:31" hidden="1">
      <c r="A216" s="411"/>
      <c r="C216" s="336">
        <f>MAX(C210:C215)+1</f>
        <v>180</v>
      </c>
      <c r="D216" s="165" t="str">
        <f t="shared" si="72"/>
        <v>370</v>
      </c>
      <c r="E216" s="247" t="str">
        <f t="shared" si="71"/>
        <v>METER INVENTORY</v>
      </c>
      <c r="F216" s="19">
        <f>Asset_Sum!M47</f>
        <v>0</v>
      </c>
      <c r="G216" s="3134" t="str">
        <f t="shared" si="73"/>
        <v>Meters</v>
      </c>
      <c r="H216" s="19">
        <f t="shared" si="74"/>
        <v>0</v>
      </c>
      <c r="I216" s="19">
        <f t="shared" si="74"/>
        <v>0</v>
      </c>
      <c r="J216" s="19">
        <f t="shared" si="74"/>
        <v>0</v>
      </c>
      <c r="K216" s="19">
        <f t="shared" si="74"/>
        <v>0</v>
      </c>
      <c r="L216" s="19">
        <f t="shared" si="74"/>
        <v>0</v>
      </c>
      <c r="M216" s="19">
        <f t="shared" si="74"/>
        <v>0</v>
      </c>
      <c r="N216" s="19">
        <f t="shared" si="74"/>
        <v>0</v>
      </c>
      <c r="O216" s="19">
        <f t="shared" si="74"/>
        <v>0</v>
      </c>
      <c r="P216" s="19">
        <f t="shared" si="74"/>
        <v>0</v>
      </c>
      <c r="Q216" s="1759">
        <f t="shared" si="74"/>
        <v>0</v>
      </c>
      <c r="R216" s="1759">
        <f t="shared" si="75"/>
        <v>0</v>
      </c>
      <c r="S216" s="1759">
        <f t="shared" si="75"/>
        <v>0</v>
      </c>
      <c r="T216" s="19">
        <f t="shared" si="75"/>
        <v>0</v>
      </c>
      <c r="U216" s="19">
        <f t="shared" si="75"/>
        <v>0</v>
      </c>
      <c r="V216" s="19">
        <f t="shared" si="75"/>
        <v>0</v>
      </c>
      <c r="W216" s="19">
        <f t="shared" si="75"/>
        <v>0</v>
      </c>
      <c r="X216" s="19">
        <f t="shared" si="75"/>
        <v>0</v>
      </c>
      <c r="Y216" s="19">
        <f t="shared" si="75"/>
        <v>0</v>
      </c>
      <c r="Z216" s="602">
        <f t="shared" si="43"/>
        <v>0</v>
      </c>
      <c r="AA216" s="86"/>
      <c r="AB216" s="86"/>
      <c r="AC216" s="86"/>
      <c r="AD216" s="86"/>
      <c r="AE216" s="86"/>
    </row>
    <row r="217" spans="1:31">
      <c r="A217" s="411"/>
      <c r="C217" s="336">
        <f>MAX(C211:C216)+1</f>
        <v>181</v>
      </c>
      <c r="D217" s="165" t="str">
        <f t="shared" si="72"/>
        <v>370</v>
      </c>
      <c r="E217" s="247" t="str">
        <f t="shared" si="71"/>
        <v>NOC SOFTWARE/ HARDWARE</v>
      </c>
      <c r="F217">
        <f>Asset_Sum!M48</f>
        <v>0</v>
      </c>
      <c r="G217" s="3134" t="str">
        <f t="shared" si="73"/>
        <v>Supervised O&amp;M</v>
      </c>
      <c r="H217" s="19">
        <f t="shared" si="74"/>
        <v>0</v>
      </c>
      <c r="I217" s="19">
        <f t="shared" si="74"/>
        <v>0</v>
      </c>
      <c r="J217" s="19">
        <f t="shared" si="74"/>
        <v>0</v>
      </c>
      <c r="K217" s="19">
        <f t="shared" si="74"/>
        <v>0</v>
      </c>
      <c r="L217" s="19">
        <f t="shared" si="74"/>
        <v>0</v>
      </c>
      <c r="M217" s="19">
        <f t="shared" si="74"/>
        <v>0</v>
      </c>
      <c r="N217" s="19">
        <f t="shared" si="74"/>
        <v>0</v>
      </c>
      <c r="O217" s="19">
        <f t="shared" si="74"/>
        <v>0</v>
      </c>
      <c r="P217" s="19">
        <f t="shared" si="74"/>
        <v>0</v>
      </c>
      <c r="Q217" s="1759">
        <f t="shared" si="74"/>
        <v>0</v>
      </c>
      <c r="R217" s="1759">
        <f t="shared" si="75"/>
        <v>0</v>
      </c>
      <c r="S217" s="1759">
        <f t="shared" si="75"/>
        <v>0</v>
      </c>
      <c r="T217" s="19">
        <f t="shared" si="75"/>
        <v>0</v>
      </c>
      <c r="U217" s="19">
        <f t="shared" si="75"/>
        <v>0</v>
      </c>
      <c r="V217" s="19">
        <f t="shared" si="75"/>
        <v>0</v>
      </c>
      <c r="W217" s="19">
        <f t="shared" si="75"/>
        <v>0</v>
      </c>
      <c r="X217" s="19">
        <f t="shared" si="75"/>
        <v>0</v>
      </c>
      <c r="Y217" s="19">
        <f t="shared" si="75"/>
        <v>0</v>
      </c>
      <c r="Z217" s="602">
        <f t="shared" si="43"/>
        <v>0</v>
      </c>
      <c r="AA217" s="86"/>
      <c r="AB217" s="86"/>
      <c r="AC217" s="86"/>
      <c r="AD217" s="86"/>
      <c r="AE217" s="86"/>
    </row>
    <row r="218" spans="1:31" ht="16.5" thickBot="1">
      <c r="A218" s="411"/>
      <c r="C218" s="336">
        <f>MAX(C213:C217)+1</f>
        <v>182</v>
      </c>
      <c r="D218" s="165" t="str">
        <f t="shared" si="72"/>
        <v>373</v>
      </c>
      <c r="E218" s="247" t="str">
        <f t="shared" si="71"/>
        <v>ST LIGHT &amp; SIGNAL SYS</v>
      </c>
      <c r="F218" s="19">
        <f>Asset_Sum!M49</f>
        <v>1882396.040000001</v>
      </c>
      <c r="G218" s="3135" t="str">
        <f t="shared" si="73"/>
        <v>Street Lights</v>
      </c>
      <c r="H218" s="19">
        <f t="shared" si="74"/>
        <v>0</v>
      </c>
      <c r="I218" s="19">
        <f t="shared" si="74"/>
        <v>0</v>
      </c>
      <c r="J218" s="19">
        <f t="shared" si="74"/>
        <v>0</v>
      </c>
      <c r="K218" s="19">
        <f t="shared" si="74"/>
        <v>0</v>
      </c>
      <c r="L218" s="19">
        <f t="shared" si="74"/>
        <v>0</v>
      </c>
      <c r="M218" s="19">
        <f t="shared" si="74"/>
        <v>0</v>
      </c>
      <c r="N218" s="19">
        <f t="shared" si="74"/>
        <v>0</v>
      </c>
      <c r="O218" s="19">
        <f t="shared" si="74"/>
        <v>0</v>
      </c>
      <c r="P218" s="19">
        <f t="shared" si="74"/>
        <v>0</v>
      </c>
      <c r="Q218" s="1759">
        <f t="shared" si="74"/>
        <v>0</v>
      </c>
      <c r="R218" s="1759">
        <f t="shared" si="75"/>
        <v>0</v>
      </c>
      <c r="S218" s="1759">
        <f t="shared" si="75"/>
        <v>0</v>
      </c>
      <c r="T218" s="19">
        <f t="shared" si="75"/>
        <v>0</v>
      </c>
      <c r="U218" s="19">
        <f t="shared" si="75"/>
        <v>0</v>
      </c>
      <c r="V218" s="19">
        <f t="shared" si="75"/>
        <v>0</v>
      </c>
      <c r="W218" s="19">
        <f t="shared" si="75"/>
        <v>1882396.040000001</v>
      </c>
      <c r="X218" s="19">
        <f t="shared" si="75"/>
        <v>0</v>
      </c>
      <c r="Y218" s="19">
        <f t="shared" si="75"/>
        <v>0</v>
      </c>
      <c r="Z218" s="602">
        <f t="shared" si="43"/>
        <v>0</v>
      </c>
      <c r="AA218" s="86"/>
      <c r="AB218" s="86"/>
      <c r="AC218" s="86"/>
      <c r="AD218" s="86"/>
      <c r="AE218" s="86"/>
    </row>
    <row r="219" spans="1:31">
      <c r="A219" s="411"/>
      <c r="C219" s="336">
        <f>MAX(C214:C218)+1</f>
        <v>183</v>
      </c>
      <c r="D219" s="165"/>
      <c r="E219" s="248" t="str">
        <f t="shared" si="71"/>
        <v>Total Distribution</v>
      </c>
      <c r="F219" s="324">
        <f>SUM(F204:F218)</f>
        <v>251969865.64999986</v>
      </c>
      <c r="G219" s="165"/>
      <c r="H219" s="324">
        <f t="shared" ref="H219:P219" si="77">SUM(H204:H218)</f>
        <v>0</v>
      </c>
      <c r="I219" s="324">
        <f t="shared" si="77"/>
        <v>0</v>
      </c>
      <c r="J219" s="324">
        <f t="shared" si="77"/>
        <v>0</v>
      </c>
      <c r="K219" s="324">
        <f t="shared" si="77"/>
        <v>47501674.627088606</v>
      </c>
      <c r="L219" s="324">
        <f t="shared" si="77"/>
        <v>28098596.482911345</v>
      </c>
      <c r="M219" s="324">
        <f>SUM(M204:M218)</f>
        <v>0</v>
      </c>
      <c r="N219" s="324">
        <f>SUM(N204:N218)</f>
        <v>0</v>
      </c>
      <c r="O219" s="324">
        <f>SUM(O204:O218)</f>
        <v>24037835.219999932</v>
      </c>
      <c r="P219" s="324">
        <f t="shared" si="77"/>
        <v>15158444.091893479</v>
      </c>
      <c r="Q219" s="1760">
        <f t="shared" ref="Q219:Y219" si="78">SUM(Q204:Q218)</f>
        <v>82560972.261803448</v>
      </c>
      <c r="R219" s="1760">
        <f t="shared" si="78"/>
        <v>13331567.150542088</v>
      </c>
      <c r="S219" s="1760">
        <f t="shared" si="78"/>
        <v>32947161.525760908</v>
      </c>
      <c r="T219" s="324">
        <f t="shared" si="78"/>
        <v>3444282.2299999967</v>
      </c>
      <c r="U219" s="324">
        <f t="shared" si="78"/>
        <v>3006936.0199999977</v>
      </c>
      <c r="V219" s="324">
        <f t="shared" si="78"/>
        <v>0</v>
      </c>
      <c r="W219" s="324">
        <f t="shared" si="78"/>
        <v>1882396.040000001</v>
      </c>
      <c r="X219" s="324">
        <f t="shared" si="78"/>
        <v>0</v>
      </c>
      <c r="Y219" s="324">
        <f t="shared" si="78"/>
        <v>0</v>
      </c>
      <c r="Z219" s="602">
        <f t="shared" si="43"/>
        <v>0</v>
      </c>
    </row>
    <row r="220" spans="1:31" s="3094" customFormat="1">
      <c r="A220" s="411"/>
      <c r="C220" s="336">
        <f>MAX(C215:C219)+1</f>
        <v>184</v>
      </c>
      <c r="D220" s="165"/>
      <c r="E220" s="3150" t="str">
        <f>E219&amp;" less Labor"</f>
        <v>Total Distribution less Labor</v>
      </c>
      <c r="F220" s="3151">
        <f>SUM(F204:F215,F218)</f>
        <v>251969865.64999986</v>
      </c>
      <c r="G220" s="3152"/>
      <c r="H220" s="3151">
        <f t="shared" ref="H220:Y220" si="79">SUM(H204:H215,H218)</f>
        <v>0</v>
      </c>
      <c r="I220" s="3151">
        <f t="shared" si="79"/>
        <v>0</v>
      </c>
      <c r="J220" s="3151">
        <f t="shared" si="79"/>
        <v>0</v>
      </c>
      <c r="K220" s="3151">
        <f t="shared" si="79"/>
        <v>47501674.627088606</v>
      </c>
      <c r="L220" s="3151">
        <f t="shared" si="79"/>
        <v>28098596.482911345</v>
      </c>
      <c r="M220" s="3151">
        <f t="shared" si="79"/>
        <v>0</v>
      </c>
      <c r="N220" s="3151">
        <f t="shared" si="79"/>
        <v>0</v>
      </c>
      <c r="O220" s="3151">
        <f t="shared" si="79"/>
        <v>24037835.219999932</v>
      </c>
      <c r="P220" s="3151">
        <f t="shared" si="79"/>
        <v>15158444.091893479</v>
      </c>
      <c r="Q220" s="3151">
        <f t="shared" si="79"/>
        <v>82560972.261803448</v>
      </c>
      <c r="R220" s="3151">
        <f t="shared" si="79"/>
        <v>13331567.150542088</v>
      </c>
      <c r="S220" s="3151">
        <f t="shared" si="79"/>
        <v>32947161.525760908</v>
      </c>
      <c r="T220" s="3151">
        <f t="shared" si="79"/>
        <v>3444282.2299999967</v>
      </c>
      <c r="U220" s="3151">
        <f t="shared" si="79"/>
        <v>3006936.0199999977</v>
      </c>
      <c r="V220" s="3151">
        <f t="shared" si="79"/>
        <v>0</v>
      </c>
      <c r="W220" s="3151">
        <f t="shared" si="79"/>
        <v>1882396.040000001</v>
      </c>
      <c r="X220" s="3151">
        <f t="shared" si="79"/>
        <v>0</v>
      </c>
      <c r="Y220" s="3151">
        <f t="shared" si="79"/>
        <v>0</v>
      </c>
      <c r="Z220" s="602">
        <f>SUM(H220:Y220)-F220</f>
        <v>0</v>
      </c>
      <c r="AA220" s="86"/>
      <c r="AB220" s="86"/>
      <c r="AC220" s="86"/>
      <c r="AD220" s="86"/>
      <c r="AE220" s="86"/>
    </row>
    <row r="221" spans="1:31">
      <c r="A221" s="411"/>
      <c r="C221" s="336"/>
      <c r="D221" s="165"/>
      <c r="E221" s="206"/>
      <c r="F221" s="313"/>
      <c r="G221" s="165"/>
      <c r="H221" s="313"/>
      <c r="I221" s="313"/>
      <c r="J221" s="313"/>
      <c r="K221" s="313"/>
      <c r="L221" s="313"/>
      <c r="M221" s="313"/>
      <c r="N221" s="313"/>
      <c r="O221" s="313"/>
      <c r="P221" s="313"/>
      <c r="Q221" s="1761"/>
      <c r="R221" s="1761"/>
      <c r="S221" s="1761"/>
      <c r="T221" s="313"/>
      <c r="U221" s="313"/>
      <c r="V221" s="313"/>
      <c r="W221" s="313"/>
      <c r="X221" s="313"/>
      <c r="Y221" s="17"/>
      <c r="Z221" s="602">
        <f t="shared" ref="Z221:Z284" si="80">SUM(H221:Y221)-F221</f>
        <v>0</v>
      </c>
    </row>
    <row r="222" spans="1:31" ht="16.5" thickBot="1">
      <c r="A222" s="411"/>
      <c r="C222" s="336">
        <f>MAX(C219:C221)+1</f>
        <v>185</v>
      </c>
      <c r="D222" s="165"/>
      <c r="E222" s="206" t="str">
        <f t="shared" ref="E222:E253" si="81">E61</f>
        <v>Electric General Plant:</v>
      </c>
      <c r="F222" s="313"/>
      <c r="G222" s="165"/>
      <c r="H222" s="313"/>
      <c r="I222" s="313"/>
      <c r="J222" s="313"/>
      <c r="K222" s="313"/>
      <c r="L222" s="313"/>
      <c r="M222" s="313"/>
      <c r="N222" s="313"/>
      <c r="O222" s="313"/>
      <c r="P222" s="313"/>
      <c r="Q222" s="1761"/>
      <c r="R222" s="1761"/>
      <c r="S222" s="1761"/>
      <c r="T222" s="313"/>
      <c r="U222" s="313"/>
      <c r="V222" s="313"/>
      <c r="W222" s="313"/>
      <c r="X222" s="313"/>
      <c r="Y222" s="17"/>
      <c r="Z222" s="602">
        <f t="shared" si="80"/>
        <v>0</v>
      </c>
    </row>
    <row r="223" spans="1:31">
      <c r="A223" s="411"/>
      <c r="C223" s="336">
        <f>MAX(C218:C221)+1</f>
        <v>185</v>
      </c>
      <c r="D223" s="165" t="str">
        <f t="shared" ref="D223:D254" si="82">D62</f>
        <v>389</v>
      </c>
      <c r="E223" s="247" t="str">
        <f t="shared" si="81"/>
        <v>LAND</v>
      </c>
      <c r="F223" s="279">
        <f>Asset_Sum!M54</f>
        <v>1068236.8500000001</v>
      </c>
      <c r="G223" s="3133" t="str">
        <f>G62</f>
        <v>Supervised O&amp;M</v>
      </c>
      <c r="H223" s="279">
        <f t="shared" ref="H223:Q232" si="83">$F223*SUMIF($E$338:$E$359,$G223,H$338:H$359)</f>
        <v>0</v>
      </c>
      <c r="I223" s="279">
        <f t="shared" si="83"/>
        <v>24613.996200410242</v>
      </c>
      <c r="J223" s="279">
        <f t="shared" si="83"/>
        <v>111533.64693230345</v>
      </c>
      <c r="K223" s="279">
        <f t="shared" si="83"/>
        <v>168913.7871471743</v>
      </c>
      <c r="L223" s="279">
        <f t="shared" si="83"/>
        <v>31437.127106245571</v>
      </c>
      <c r="M223" s="279">
        <f t="shared" si="83"/>
        <v>0</v>
      </c>
      <c r="N223" s="279">
        <f t="shared" si="83"/>
        <v>0</v>
      </c>
      <c r="O223" s="279">
        <f t="shared" si="83"/>
        <v>51399.988358611001</v>
      </c>
      <c r="P223" s="279">
        <f t="shared" si="83"/>
        <v>31842.561130398779</v>
      </c>
      <c r="Q223" s="1758">
        <f t="shared" si="83"/>
        <v>200387.46336055535</v>
      </c>
      <c r="R223" s="1758">
        <f t="shared" ref="R223:Y232" si="84">$F223*SUMIF($E$338:$E$359,$G223,R$338:R$359)</f>
        <v>23662.870953471298</v>
      </c>
      <c r="S223" s="1758">
        <f t="shared" si="84"/>
        <v>62270.998145966965</v>
      </c>
      <c r="T223" s="279">
        <f t="shared" si="84"/>
        <v>14081.19618658324</v>
      </c>
      <c r="U223" s="279">
        <f t="shared" si="84"/>
        <v>116051.24710677817</v>
      </c>
      <c r="V223" s="279">
        <f t="shared" si="84"/>
        <v>215632.89591538926</v>
      </c>
      <c r="W223" s="279">
        <f t="shared" si="84"/>
        <v>4703.2174257129145</v>
      </c>
      <c r="X223" s="279">
        <f t="shared" si="84"/>
        <v>11705.867790722166</v>
      </c>
      <c r="Y223" s="279">
        <f t="shared" si="84"/>
        <v>0</v>
      </c>
      <c r="Z223" s="602">
        <f t="shared" si="80"/>
        <v>1.3760322472080588E-2</v>
      </c>
    </row>
    <row r="224" spans="1:31" hidden="1">
      <c r="A224" s="411"/>
      <c r="C224" s="336">
        <f>MAX(C219:C222)+1</f>
        <v>186</v>
      </c>
      <c r="D224" s="165" t="str">
        <f t="shared" si="82"/>
        <v>389</v>
      </c>
      <c r="E224" s="247" t="str">
        <f t="shared" si="81"/>
        <v>LAND, EPHRATA OFFICE SITE</v>
      </c>
      <c r="F224" s="574">
        <f>Asset_Sum!M55</f>
        <v>0</v>
      </c>
      <c r="G224" s="3134">
        <f t="shared" ref="G224:G234" si="85">G61</f>
        <v>0</v>
      </c>
      <c r="H224" s="19">
        <f t="shared" si="83"/>
        <v>0</v>
      </c>
      <c r="I224" s="19">
        <f t="shared" si="83"/>
        <v>0</v>
      </c>
      <c r="J224" s="19">
        <f t="shared" si="83"/>
        <v>0</v>
      </c>
      <c r="K224" s="19">
        <f t="shared" si="83"/>
        <v>0</v>
      </c>
      <c r="L224" s="19">
        <f t="shared" si="83"/>
        <v>0</v>
      </c>
      <c r="M224" s="19">
        <f t="shared" si="83"/>
        <v>0</v>
      </c>
      <c r="N224" s="19">
        <f t="shared" si="83"/>
        <v>0</v>
      </c>
      <c r="O224" s="19">
        <f t="shared" si="83"/>
        <v>0</v>
      </c>
      <c r="P224" s="19">
        <f t="shared" si="83"/>
        <v>0</v>
      </c>
      <c r="Q224" s="1759">
        <f t="shared" si="83"/>
        <v>0</v>
      </c>
      <c r="R224" s="1759">
        <f t="shared" si="84"/>
        <v>0</v>
      </c>
      <c r="S224" s="1759">
        <f t="shared" si="84"/>
        <v>0</v>
      </c>
      <c r="T224" s="19">
        <f t="shared" si="84"/>
        <v>0</v>
      </c>
      <c r="U224" s="19">
        <f t="shared" si="84"/>
        <v>0</v>
      </c>
      <c r="V224" s="19">
        <f t="shared" si="84"/>
        <v>0</v>
      </c>
      <c r="W224" s="19">
        <f t="shared" si="84"/>
        <v>0</v>
      </c>
      <c r="X224" s="19">
        <f t="shared" si="84"/>
        <v>0</v>
      </c>
      <c r="Y224" s="19">
        <f t="shared" si="84"/>
        <v>0</v>
      </c>
      <c r="Z224" s="602">
        <f t="shared" si="80"/>
        <v>0</v>
      </c>
    </row>
    <row r="225" spans="1:26" hidden="1">
      <c r="A225" s="411"/>
      <c r="C225" s="336">
        <f>MAX(C221:C224)+1</f>
        <v>187</v>
      </c>
      <c r="D225" s="165" t="str">
        <f t="shared" si="82"/>
        <v>389</v>
      </c>
      <c r="E225" s="247" t="str">
        <f t="shared" si="81"/>
        <v>LAND, EPHRATA WHSE SITE</v>
      </c>
      <c r="F225" s="574">
        <f>Asset_Sum!M56</f>
        <v>0</v>
      </c>
      <c r="G225" s="3134" t="str">
        <f t="shared" si="85"/>
        <v>Supervised O&amp;M</v>
      </c>
      <c r="H225" s="19">
        <f t="shared" si="83"/>
        <v>0</v>
      </c>
      <c r="I225" s="19">
        <f t="shared" si="83"/>
        <v>0</v>
      </c>
      <c r="J225" s="19">
        <f t="shared" si="83"/>
        <v>0</v>
      </c>
      <c r="K225" s="19">
        <f t="shared" si="83"/>
        <v>0</v>
      </c>
      <c r="L225" s="19">
        <f t="shared" si="83"/>
        <v>0</v>
      </c>
      <c r="M225" s="19">
        <f t="shared" si="83"/>
        <v>0</v>
      </c>
      <c r="N225" s="19">
        <f t="shared" si="83"/>
        <v>0</v>
      </c>
      <c r="O225" s="19">
        <f t="shared" si="83"/>
        <v>0</v>
      </c>
      <c r="P225" s="19">
        <f t="shared" si="83"/>
        <v>0</v>
      </c>
      <c r="Q225" s="1759">
        <f t="shared" si="83"/>
        <v>0</v>
      </c>
      <c r="R225" s="1759">
        <f t="shared" si="84"/>
        <v>0</v>
      </c>
      <c r="S225" s="1759">
        <f t="shared" si="84"/>
        <v>0</v>
      </c>
      <c r="T225" s="19">
        <f t="shared" si="84"/>
        <v>0</v>
      </c>
      <c r="U225" s="19">
        <f t="shared" si="84"/>
        <v>0</v>
      </c>
      <c r="V225" s="19">
        <f t="shared" si="84"/>
        <v>0</v>
      </c>
      <c r="W225" s="19">
        <f t="shared" si="84"/>
        <v>0</v>
      </c>
      <c r="X225" s="19">
        <f t="shared" si="84"/>
        <v>0</v>
      </c>
      <c r="Y225" s="19">
        <f t="shared" si="84"/>
        <v>0</v>
      </c>
      <c r="Z225" s="602">
        <f t="shared" si="80"/>
        <v>0</v>
      </c>
    </row>
    <row r="226" spans="1:26" hidden="1">
      <c r="A226" s="411"/>
      <c r="C226" s="336">
        <f>MAX(C222:C225)+1</f>
        <v>188</v>
      </c>
      <c r="D226" s="165" t="str">
        <f t="shared" si="82"/>
        <v>389</v>
      </c>
      <c r="E226" s="247" t="str">
        <f t="shared" si="81"/>
        <v>LAND, EPHRATA SVC CENTER</v>
      </c>
      <c r="F226" s="574">
        <f>Asset_Sum!M57</f>
        <v>0</v>
      </c>
      <c r="G226" s="3134" t="str">
        <f t="shared" si="85"/>
        <v>Supervised O&amp;M</v>
      </c>
      <c r="H226" s="19">
        <f t="shared" si="83"/>
        <v>0</v>
      </c>
      <c r="I226" s="19">
        <f t="shared" si="83"/>
        <v>0</v>
      </c>
      <c r="J226" s="19">
        <f t="shared" si="83"/>
        <v>0</v>
      </c>
      <c r="K226" s="19">
        <f t="shared" si="83"/>
        <v>0</v>
      </c>
      <c r="L226" s="19">
        <f t="shared" si="83"/>
        <v>0</v>
      </c>
      <c r="M226" s="19">
        <f t="shared" si="83"/>
        <v>0</v>
      </c>
      <c r="N226" s="19">
        <f t="shared" si="83"/>
        <v>0</v>
      </c>
      <c r="O226" s="19">
        <f t="shared" si="83"/>
        <v>0</v>
      </c>
      <c r="P226" s="19">
        <f t="shared" si="83"/>
        <v>0</v>
      </c>
      <c r="Q226" s="1759">
        <f t="shared" si="83"/>
        <v>0</v>
      </c>
      <c r="R226" s="1759">
        <f t="shared" si="84"/>
        <v>0</v>
      </c>
      <c r="S226" s="1759">
        <f t="shared" si="84"/>
        <v>0</v>
      </c>
      <c r="T226" s="19">
        <f t="shared" si="84"/>
        <v>0</v>
      </c>
      <c r="U226" s="19">
        <f t="shared" si="84"/>
        <v>0</v>
      </c>
      <c r="V226" s="19">
        <f t="shared" si="84"/>
        <v>0</v>
      </c>
      <c r="W226" s="19">
        <f t="shared" si="84"/>
        <v>0</v>
      </c>
      <c r="X226" s="19">
        <f t="shared" si="84"/>
        <v>0</v>
      </c>
      <c r="Y226" s="19">
        <f t="shared" si="84"/>
        <v>0</v>
      </c>
      <c r="Z226" s="602">
        <f t="shared" si="80"/>
        <v>0</v>
      </c>
    </row>
    <row r="227" spans="1:26" hidden="1">
      <c r="A227" s="411"/>
      <c r="C227" s="336">
        <f t="shared" ref="C227:C294" si="86">MAX(C224:C226)+1</f>
        <v>189</v>
      </c>
      <c r="D227" s="165" t="str">
        <f t="shared" si="82"/>
        <v>389</v>
      </c>
      <c r="E227" s="247" t="str">
        <f t="shared" si="81"/>
        <v>LAND, MOSES LAKE OFFICE SITE</v>
      </c>
      <c r="F227" s="574">
        <f>Asset_Sum!M58</f>
        <v>0</v>
      </c>
      <c r="G227" s="3134" t="str">
        <f t="shared" si="85"/>
        <v>Trans &amp; Dist OC</v>
      </c>
      <c r="H227" s="19">
        <f t="shared" si="83"/>
        <v>0</v>
      </c>
      <c r="I227" s="19">
        <f t="shared" si="83"/>
        <v>0</v>
      </c>
      <c r="J227" s="19">
        <f t="shared" si="83"/>
        <v>0</v>
      </c>
      <c r="K227" s="19">
        <f t="shared" si="83"/>
        <v>0</v>
      </c>
      <c r="L227" s="19">
        <f t="shared" si="83"/>
        <v>0</v>
      </c>
      <c r="M227" s="19">
        <f t="shared" si="83"/>
        <v>0</v>
      </c>
      <c r="N227" s="19">
        <f t="shared" si="83"/>
        <v>0</v>
      </c>
      <c r="O227" s="19">
        <f t="shared" si="83"/>
        <v>0</v>
      </c>
      <c r="P227" s="19">
        <f t="shared" si="83"/>
        <v>0</v>
      </c>
      <c r="Q227" s="1759">
        <f t="shared" si="83"/>
        <v>0</v>
      </c>
      <c r="R227" s="1759">
        <f t="shared" si="84"/>
        <v>0</v>
      </c>
      <c r="S227" s="1759">
        <f t="shared" si="84"/>
        <v>0</v>
      </c>
      <c r="T227" s="19">
        <f t="shared" si="84"/>
        <v>0</v>
      </c>
      <c r="U227" s="19">
        <f t="shared" si="84"/>
        <v>0</v>
      </c>
      <c r="V227" s="19">
        <f t="shared" si="84"/>
        <v>0</v>
      </c>
      <c r="W227" s="19">
        <f t="shared" si="84"/>
        <v>0</v>
      </c>
      <c r="X227" s="19">
        <f t="shared" si="84"/>
        <v>0</v>
      </c>
      <c r="Y227" s="19">
        <f t="shared" si="84"/>
        <v>0</v>
      </c>
      <c r="Z227" s="602">
        <f t="shared" si="80"/>
        <v>0</v>
      </c>
    </row>
    <row r="228" spans="1:26" hidden="1">
      <c r="A228" s="411"/>
      <c r="C228" s="336">
        <f t="shared" si="86"/>
        <v>190</v>
      </c>
      <c r="D228" s="165" t="str">
        <f t="shared" si="82"/>
        <v>389</v>
      </c>
      <c r="E228" s="247" t="str">
        <f t="shared" si="81"/>
        <v>LAND, MOSE LAKE WHSE SITE</v>
      </c>
      <c r="F228" s="574">
        <f>Asset_Sum!M59</f>
        <v>0</v>
      </c>
      <c r="G228" s="3134" t="str">
        <f t="shared" si="85"/>
        <v>Trans &amp; Dist OC</v>
      </c>
      <c r="H228" s="19">
        <f t="shared" si="83"/>
        <v>0</v>
      </c>
      <c r="I228" s="19">
        <f t="shared" si="83"/>
        <v>0</v>
      </c>
      <c r="J228" s="19">
        <f t="shared" si="83"/>
        <v>0</v>
      </c>
      <c r="K228" s="19">
        <f t="shared" si="83"/>
        <v>0</v>
      </c>
      <c r="L228" s="19">
        <f t="shared" si="83"/>
        <v>0</v>
      </c>
      <c r="M228" s="19">
        <f t="shared" si="83"/>
        <v>0</v>
      </c>
      <c r="N228" s="19">
        <f t="shared" si="83"/>
        <v>0</v>
      </c>
      <c r="O228" s="19">
        <f t="shared" si="83"/>
        <v>0</v>
      </c>
      <c r="P228" s="19">
        <f t="shared" si="83"/>
        <v>0</v>
      </c>
      <c r="Q228" s="1759">
        <f t="shared" si="83"/>
        <v>0</v>
      </c>
      <c r="R228" s="1759">
        <f t="shared" si="84"/>
        <v>0</v>
      </c>
      <c r="S228" s="1759">
        <f t="shared" si="84"/>
        <v>0</v>
      </c>
      <c r="T228" s="19">
        <f t="shared" si="84"/>
        <v>0</v>
      </c>
      <c r="U228" s="19">
        <f t="shared" si="84"/>
        <v>0</v>
      </c>
      <c r="V228" s="19">
        <f t="shared" si="84"/>
        <v>0</v>
      </c>
      <c r="W228" s="19">
        <f t="shared" si="84"/>
        <v>0</v>
      </c>
      <c r="X228" s="19">
        <f t="shared" si="84"/>
        <v>0</v>
      </c>
      <c r="Y228" s="19">
        <f t="shared" si="84"/>
        <v>0</v>
      </c>
      <c r="Z228" s="602">
        <f t="shared" si="80"/>
        <v>0</v>
      </c>
    </row>
    <row r="229" spans="1:26" hidden="1">
      <c r="A229" s="411"/>
      <c r="C229" s="336">
        <f t="shared" si="86"/>
        <v>191</v>
      </c>
      <c r="D229" s="165" t="str">
        <f t="shared" si="82"/>
        <v>389</v>
      </c>
      <c r="E229" s="247" t="str">
        <f t="shared" si="81"/>
        <v>LAND, QUINCY OFFICE SITE</v>
      </c>
      <c r="F229" s="574">
        <f>Asset_Sum!M60</f>
        <v>0</v>
      </c>
      <c r="G229" s="3134" t="str">
        <f t="shared" si="85"/>
        <v>Supervised O&amp;M</v>
      </c>
      <c r="H229" s="19">
        <f t="shared" si="83"/>
        <v>0</v>
      </c>
      <c r="I229" s="19">
        <f t="shared" si="83"/>
        <v>0</v>
      </c>
      <c r="J229" s="19">
        <f t="shared" si="83"/>
        <v>0</v>
      </c>
      <c r="K229" s="19">
        <f t="shared" si="83"/>
        <v>0</v>
      </c>
      <c r="L229" s="19">
        <f t="shared" si="83"/>
        <v>0</v>
      </c>
      <c r="M229" s="19">
        <f t="shared" si="83"/>
        <v>0</v>
      </c>
      <c r="N229" s="19">
        <f t="shared" si="83"/>
        <v>0</v>
      </c>
      <c r="O229" s="19">
        <f t="shared" si="83"/>
        <v>0</v>
      </c>
      <c r="P229" s="19">
        <f t="shared" si="83"/>
        <v>0</v>
      </c>
      <c r="Q229" s="1759">
        <f t="shared" si="83"/>
        <v>0</v>
      </c>
      <c r="R229" s="1759">
        <f t="shared" si="84"/>
        <v>0</v>
      </c>
      <c r="S229" s="1759">
        <f t="shared" si="84"/>
        <v>0</v>
      </c>
      <c r="T229" s="19">
        <f t="shared" si="84"/>
        <v>0</v>
      </c>
      <c r="U229" s="19">
        <f t="shared" si="84"/>
        <v>0</v>
      </c>
      <c r="V229" s="19">
        <f t="shared" si="84"/>
        <v>0</v>
      </c>
      <c r="W229" s="19">
        <f t="shared" si="84"/>
        <v>0</v>
      </c>
      <c r="X229" s="19">
        <f t="shared" si="84"/>
        <v>0</v>
      </c>
      <c r="Y229" s="19">
        <f t="shared" si="84"/>
        <v>0</v>
      </c>
      <c r="Z229" s="602">
        <f t="shared" si="80"/>
        <v>0</v>
      </c>
    </row>
    <row r="230" spans="1:26" hidden="1">
      <c r="A230" s="411"/>
      <c r="C230" s="336">
        <f t="shared" si="86"/>
        <v>192</v>
      </c>
      <c r="D230" s="165" t="str">
        <f t="shared" si="82"/>
        <v>389</v>
      </c>
      <c r="E230" s="247" t="str">
        <f t="shared" si="81"/>
        <v>LAND, GRD COULEE WHSE SITE</v>
      </c>
      <c r="F230" s="574">
        <f>Asset_Sum!M61</f>
        <v>0</v>
      </c>
      <c r="G230" s="3134" t="str">
        <f t="shared" si="85"/>
        <v>Trans &amp; Dist OC</v>
      </c>
      <c r="H230" s="19">
        <f t="shared" si="83"/>
        <v>0</v>
      </c>
      <c r="I230" s="19">
        <f t="shared" si="83"/>
        <v>0</v>
      </c>
      <c r="J230" s="19">
        <f t="shared" si="83"/>
        <v>0</v>
      </c>
      <c r="K230" s="19">
        <f t="shared" si="83"/>
        <v>0</v>
      </c>
      <c r="L230" s="19">
        <f t="shared" si="83"/>
        <v>0</v>
      </c>
      <c r="M230" s="19">
        <f t="shared" si="83"/>
        <v>0</v>
      </c>
      <c r="N230" s="19">
        <f t="shared" si="83"/>
        <v>0</v>
      </c>
      <c r="O230" s="19">
        <f t="shared" si="83"/>
        <v>0</v>
      </c>
      <c r="P230" s="19">
        <f t="shared" si="83"/>
        <v>0</v>
      </c>
      <c r="Q230" s="1759">
        <f t="shared" si="83"/>
        <v>0</v>
      </c>
      <c r="R230" s="1759">
        <f t="shared" si="84"/>
        <v>0</v>
      </c>
      <c r="S230" s="1759">
        <f t="shared" si="84"/>
        <v>0</v>
      </c>
      <c r="T230" s="19">
        <f t="shared" si="84"/>
        <v>0</v>
      </c>
      <c r="U230" s="19">
        <f t="shared" si="84"/>
        <v>0</v>
      </c>
      <c r="V230" s="19">
        <f t="shared" si="84"/>
        <v>0</v>
      </c>
      <c r="W230" s="19">
        <f t="shared" si="84"/>
        <v>0</v>
      </c>
      <c r="X230" s="19">
        <f t="shared" si="84"/>
        <v>0</v>
      </c>
      <c r="Y230" s="19">
        <f t="shared" si="84"/>
        <v>0</v>
      </c>
      <c r="Z230" s="602">
        <f t="shared" si="80"/>
        <v>0</v>
      </c>
    </row>
    <row r="231" spans="1:26" hidden="1">
      <c r="A231" s="411"/>
      <c r="C231" s="336">
        <f t="shared" si="86"/>
        <v>193</v>
      </c>
      <c r="D231" s="165" t="str">
        <f t="shared" si="82"/>
        <v>389</v>
      </c>
      <c r="E231" s="247" t="str">
        <f t="shared" si="81"/>
        <v>LAND, GRD COULEE OFFICE SITE</v>
      </c>
      <c r="F231" s="574">
        <f>Asset_Sum!M62</f>
        <v>0</v>
      </c>
      <c r="G231" s="3134" t="str">
        <f t="shared" si="85"/>
        <v>Supervised O&amp;M</v>
      </c>
      <c r="H231" s="19">
        <f t="shared" si="83"/>
        <v>0</v>
      </c>
      <c r="I231" s="19">
        <f t="shared" si="83"/>
        <v>0</v>
      </c>
      <c r="J231" s="19">
        <f t="shared" si="83"/>
        <v>0</v>
      </c>
      <c r="K231" s="19">
        <f t="shared" si="83"/>
        <v>0</v>
      </c>
      <c r="L231" s="19">
        <f t="shared" si="83"/>
        <v>0</v>
      </c>
      <c r="M231" s="19">
        <f t="shared" si="83"/>
        <v>0</v>
      </c>
      <c r="N231" s="19">
        <f t="shared" si="83"/>
        <v>0</v>
      </c>
      <c r="O231" s="19">
        <f t="shared" si="83"/>
        <v>0</v>
      </c>
      <c r="P231" s="19">
        <f t="shared" si="83"/>
        <v>0</v>
      </c>
      <c r="Q231" s="1759">
        <f t="shared" si="83"/>
        <v>0</v>
      </c>
      <c r="R231" s="1759">
        <f t="shared" si="84"/>
        <v>0</v>
      </c>
      <c r="S231" s="1759">
        <f t="shared" si="84"/>
        <v>0</v>
      </c>
      <c r="T231" s="19">
        <f t="shared" si="84"/>
        <v>0</v>
      </c>
      <c r="U231" s="19">
        <f t="shared" si="84"/>
        <v>0</v>
      </c>
      <c r="V231" s="19">
        <f t="shared" si="84"/>
        <v>0</v>
      </c>
      <c r="W231" s="19">
        <f t="shared" si="84"/>
        <v>0</v>
      </c>
      <c r="X231" s="19">
        <f t="shared" si="84"/>
        <v>0</v>
      </c>
      <c r="Y231" s="19">
        <f t="shared" si="84"/>
        <v>0</v>
      </c>
      <c r="Z231" s="602">
        <f t="shared" si="80"/>
        <v>0</v>
      </c>
    </row>
    <row r="232" spans="1:26" hidden="1">
      <c r="A232" s="411"/>
      <c r="C232" s="336">
        <f t="shared" si="86"/>
        <v>194</v>
      </c>
      <c r="D232" s="165" t="str">
        <f t="shared" si="82"/>
        <v>389</v>
      </c>
      <c r="E232" s="247" t="str">
        <f t="shared" si="81"/>
        <v>LAND, R CITY OFF &amp; WHSE SITE</v>
      </c>
      <c r="F232" s="574">
        <f>Asset_Sum!M63</f>
        <v>0</v>
      </c>
      <c r="G232" s="3134" t="str">
        <f t="shared" si="85"/>
        <v>Trans &amp; Dist OC</v>
      </c>
      <c r="H232" s="19">
        <f t="shared" si="83"/>
        <v>0</v>
      </c>
      <c r="I232" s="19">
        <f t="shared" si="83"/>
        <v>0</v>
      </c>
      <c r="J232" s="19">
        <f t="shared" si="83"/>
        <v>0</v>
      </c>
      <c r="K232" s="19">
        <f t="shared" si="83"/>
        <v>0</v>
      </c>
      <c r="L232" s="19">
        <f t="shared" si="83"/>
        <v>0</v>
      </c>
      <c r="M232" s="19">
        <f t="shared" si="83"/>
        <v>0</v>
      </c>
      <c r="N232" s="19">
        <f t="shared" si="83"/>
        <v>0</v>
      </c>
      <c r="O232" s="19">
        <f t="shared" si="83"/>
        <v>0</v>
      </c>
      <c r="P232" s="19">
        <f t="shared" si="83"/>
        <v>0</v>
      </c>
      <c r="Q232" s="1759">
        <f t="shared" si="83"/>
        <v>0</v>
      </c>
      <c r="R232" s="1759">
        <f t="shared" si="84"/>
        <v>0</v>
      </c>
      <c r="S232" s="1759">
        <f t="shared" si="84"/>
        <v>0</v>
      </c>
      <c r="T232" s="19">
        <f t="shared" si="84"/>
        <v>0</v>
      </c>
      <c r="U232" s="19">
        <f t="shared" si="84"/>
        <v>0</v>
      </c>
      <c r="V232" s="19">
        <f t="shared" si="84"/>
        <v>0</v>
      </c>
      <c r="W232" s="19">
        <f t="shared" si="84"/>
        <v>0</v>
      </c>
      <c r="X232" s="19">
        <f t="shared" si="84"/>
        <v>0</v>
      </c>
      <c r="Y232" s="19">
        <f t="shared" si="84"/>
        <v>0</v>
      </c>
      <c r="Z232" s="602">
        <f t="shared" si="80"/>
        <v>0</v>
      </c>
    </row>
    <row r="233" spans="1:26" hidden="1">
      <c r="A233" s="411"/>
      <c r="C233" s="336">
        <f t="shared" si="86"/>
        <v>195</v>
      </c>
      <c r="D233" s="165" t="str">
        <f t="shared" si="82"/>
        <v>389</v>
      </c>
      <c r="E233" s="247" t="str">
        <f t="shared" si="81"/>
        <v>LAND, SCHAWANA SITE</v>
      </c>
      <c r="F233" s="574">
        <f>Asset_Sum!M64</f>
        <v>0</v>
      </c>
      <c r="G233" s="3134" t="str">
        <f t="shared" si="85"/>
        <v>Supervised O&amp;M</v>
      </c>
      <c r="H233" s="19">
        <f t="shared" ref="H233:Q242" si="87">$F233*SUMIF($E$338:$E$359,$G233,H$338:H$359)</f>
        <v>0</v>
      </c>
      <c r="I233" s="19">
        <f t="shared" si="87"/>
        <v>0</v>
      </c>
      <c r="J233" s="19">
        <f t="shared" si="87"/>
        <v>0</v>
      </c>
      <c r="K233" s="19">
        <f t="shared" si="87"/>
        <v>0</v>
      </c>
      <c r="L233" s="19">
        <f t="shared" si="87"/>
        <v>0</v>
      </c>
      <c r="M233" s="19">
        <f t="shared" si="87"/>
        <v>0</v>
      </c>
      <c r="N233" s="19">
        <f t="shared" si="87"/>
        <v>0</v>
      </c>
      <c r="O233" s="19">
        <f t="shared" si="87"/>
        <v>0</v>
      </c>
      <c r="P233" s="19">
        <f t="shared" si="87"/>
        <v>0</v>
      </c>
      <c r="Q233" s="1759">
        <f t="shared" si="87"/>
        <v>0</v>
      </c>
      <c r="R233" s="1759">
        <f t="shared" ref="R233:Y242" si="88">$F233*SUMIF($E$338:$E$359,$G233,R$338:R$359)</f>
        <v>0</v>
      </c>
      <c r="S233" s="1759">
        <f t="shared" si="88"/>
        <v>0</v>
      </c>
      <c r="T233" s="19">
        <f t="shared" si="88"/>
        <v>0</v>
      </c>
      <c r="U233" s="19">
        <f t="shared" si="88"/>
        <v>0</v>
      </c>
      <c r="V233" s="19">
        <f t="shared" si="88"/>
        <v>0</v>
      </c>
      <c r="W233" s="19">
        <f t="shared" si="88"/>
        <v>0</v>
      </c>
      <c r="X233" s="19">
        <f t="shared" si="88"/>
        <v>0</v>
      </c>
      <c r="Y233" s="19">
        <f t="shared" si="88"/>
        <v>0</v>
      </c>
      <c r="Z233" s="602">
        <f t="shared" si="80"/>
        <v>0</v>
      </c>
    </row>
    <row r="234" spans="1:26" hidden="1">
      <c r="A234" s="411"/>
      <c r="C234" s="336">
        <f t="shared" si="86"/>
        <v>196</v>
      </c>
      <c r="D234" s="165" t="str">
        <f t="shared" si="82"/>
        <v>389</v>
      </c>
      <c r="E234" s="247" t="str">
        <f t="shared" si="81"/>
        <v>LAND-JOINT</v>
      </c>
      <c r="F234" s="574">
        <f>Asset_Sum!M65</f>
        <v>0</v>
      </c>
      <c r="G234" s="3134" t="str">
        <f t="shared" si="85"/>
        <v>Trans &amp; Dist OC</v>
      </c>
      <c r="H234" s="19">
        <f t="shared" si="87"/>
        <v>0</v>
      </c>
      <c r="I234" s="19">
        <f t="shared" si="87"/>
        <v>0</v>
      </c>
      <c r="J234" s="19">
        <f t="shared" si="87"/>
        <v>0</v>
      </c>
      <c r="K234" s="19">
        <f t="shared" si="87"/>
        <v>0</v>
      </c>
      <c r="L234" s="19">
        <f t="shared" si="87"/>
        <v>0</v>
      </c>
      <c r="M234" s="19">
        <f t="shared" si="87"/>
        <v>0</v>
      </c>
      <c r="N234" s="19">
        <f t="shared" si="87"/>
        <v>0</v>
      </c>
      <c r="O234" s="19">
        <f t="shared" si="87"/>
        <v>0</v>
      </c>
      <c r="P234" s="19">
        <f t="shared" si="87"/>
        <v>0</v>
      </c>
      <c r="Q234" s="1759">
        <f t="shared" si="87"/>
        <v>0</v>
      </c>
      <c r="R234" s="1759">
        <f t="shared" si="88"/>
        <v>0</v>
      </c>
      <c r="S234" s="1759">
        <f t="shared" si="88"/>
        <v>0</v>
      </c>
      <c r="T234" s="19">
        <f t="shared" si="88"/>
        <v>0</v>
      </c>
      <c r="U234" s="19">
        <f t="shared" si="88"/>
        <v>0</v>
      </c>
      <c r="V234" s="19">
        <f t="shared" si="88"/>
        <v>0</v>
      </c>
      <c r="W234" s="19">
        <f t="shared" si="88"/>
        <v>0</v>
      </c>
      <c r="X234" s="19">
        <f t="shared" si="88"/>
        <v>0</v>
      </c>
      <c r="Y234" s="19">
        <f t="shared" si="88"/>
        <v>0</v>
      </c>
      <c r="Z234" s="602">
        <f t="shared" si="80"/>
        <v>0</v>
      </c>
    </row>
    <row r="235" spans="1:26">
      <c r="A235" s="411"/>
      <c r="C235" s="336">
        <f>MAX(C231:C233)+1</f>
        <v>196</v>
      </c>
      <c r="D235" s="165" t="str">
        <f t="shared" si="82"/>
        <v>390</v>
      </c>
      <c r="E235" s="247" t="str">
        <f t="shared" si="81"/>
        <v>STRUC &amp; IMP</v>
      </c>
      <c r="F235" s="19">
        <f>Asset_Sum!M66</f>
        <v>12097506.120000001</v>
      </c>
      <c r="G235" s="3134" t="str">
        <f t="shared" ref="G235:G266" si="89">G74</f>
        <v>Supervised O&amp;M</v>
      </c>
      <c r="H235" s="19">
        <f t="shared" si="87"/>
        <v>0</v>
      </c>
      <c r="I235" s="19">
        <f t="shared" si="87"/>
        <v>278747.14270727476</v>
      </c>
      <c r="J235" s="19">
        <f t="shared" si="87"/>
        <v>1263089.7130626603</v>
      </c>
      <c r="K235" s="19">
        <f t="shared" si="87"/>
        <v>1912904.964629631</v>
      </c>
      <c r="L235" s="19">
        <f t="shared" si="87"/>
        <v>356017.33600841765</v>
      </c>
      <c r="M235" s="19">
        <f t="shared" si="87"/>
        <v>0</v>
      </c>
      <c r="N235" s="19">
        <f t="shared" si="87"/>
        <v>0</v>
      </c>
      <c r="O235" s="19">
        <f t="shared" si="87"/>
        <v>582091.57803929469</v>
      </c>
      <c r="P235" s="19">
        <f t="shared" si="87"/>
        <v>360608.77150181943</v>
      </c>
      <c r="Q235" s="1759">
        <f t="shared" si="87"/>
        <v>2269336.2098261206</v>
      </c>
      <c r="R235" s="1759">
        <f t="shared" si="88"/>
        <v>267975.89521124389</v>
      </c>
      <c r="S235" s="1759">
        <f t="shared" si="88"/>
        <v>705202.95304299239</v>
      </c>
      <c r="T235" s="19">
        <f t="shared" si="88"/>
        <v>159465.9059403459</v>
      </c>
      <c r="U235" s="19">
        <f t="shared" si="88"/>
        <v>1314250.366955494</v>
      </c>
      <c r="V235" s="19">
        <f t="shared" si="88"/>
        <v>2441986.7916087569</v>
      </c>
      <c r="W235" s="19">
        <f t="shared" si="88"/>
        <v>53262.721269400725</v>
      </c>
      <c r="X235" s="19">
        <f t="shared" si="88"/>
        <v>132565.92602864458</v>
      </c>
      <c r="Y235" s="19">
        <f t="shared" si="88"/>
        <v>0</v>
      </c>
      <c r="Z235" s="602">
        <f t="shared" si="80"/>
        <v>0.15583209693431854</v>
      </c>
    </row>
    <row r="236" spans="1:26" hidden="1">
      <c r="A236" s="411"/>
      <c r="C236" s="336">
        <f>MAX(C232:C234)+1</f>
        <v>197</v>
      </c>
      <c r="D236" s="165" t="str">
        <f t="shared" si="82"/>
        <v>390</v>
      </c>
      <c r="E236" s="247" t="str">
        <f t="shared" si="81"/>
        <v>STRUC &amp; IMP, EPH OFFICE</v>
      </c>
      <c r="F236" s="19">
        <f>Asset_Sum!M67</f>
        <v>0</v>
      </c>
      <c r="G236" s="3134" t="str">
        <f t="shared" si="89"/>
        <v>Supervised O&amp;M</v>
      </c>
      <c r="H236" s="19">
        <f t="shared" si="87"/>
        <v>0</v>
      </c>
      <c r="I236" s="19">
        <f t="shared" si="87"/>
        <v>0</v>
      </c>
      <c r="J236" s="19">
        <f t="shared" si="87"/>
        <v>0</v>
      </c>
      <c r="K236" s="19">
        <f t="shared" si="87"/>
        <v>0</v>
      </c>
      <c r="L236" s="19">
        <f t="shared" si="87"/>
        <v>0</v>
      </c>
      <c r="M236" s="19">
        <f t="shared" si="87"/>
        <v>0</v>
      </c>
      <c r="N236" s="19">
        <f t="shared" si="87"/>
        <v>0</v>
      </c>
      <c r="O236" s="19">
        <f t="shared" si="87"/>
        <v>0</v>
      </c>
      <c r="P236" s="19">
        <f t="shared" si="87"/>
        <v>0</v>
      </c>
      <c r="Q236" s="1759">
        <f t="shared" si="87"/>
        <v>0</v>
      </c>
      <c r="R236" s="1759">
        <f t="shared" si="88"/>
        <v>0</v>
      </c>
      <c r="S236" s="1759">
        <f t="shared" si="88"/>
        <v>0</v>
      </c>
      <c r="T236" s="19">
        <f t="shared" si="88"/>
        <v>0</v>
      </c>
      <c r="U236" s="19">
        <f t="shared" si="88"/>
        <v>0</v>
      </c>
      <c r="V236" s="19">
        <f t="shared" si="88"/>
        <v>0</v>
      </c>
      <c r="W236" s="19">
        <f t="shared" si="88"/>
        <v>0</v>
      </c>
      <c r="X236" s="19">
        <f t="shared" si="88"/>
        <v>0</v>
      </c>
      <c r="Y236" s="19">
        <f t="shared" si="88"/>
        <v>0</v>
      </c>
      <c r="Z236" s="602">
        <f t="shared" si="80"/>
        <v>0</v>
      </c>
    </row>
    <row r="237" spans="1:26" hidden="1">
      <c r="A237" s="411"/>
      <c r="C237" s="336">
        <f>MAX(C233:C236)+1</f>
        <v>198</v>
      </c>
      <c r="D237" s="165" t="str">
        <f t="shared" si="82"/>
        <v>390</v>
      </c>
      <c r="E237" s="247" t="str">
        <f t="shared" si="81"/>
        <v>STRUC &amp; IMP, EPH WHSE</v>
      </c>
      <c r="F237" s="19">
        <f>Asset_Sum!M68</f>
        <v>0</v>
      </c>
      <c r="G237" s="3134" t="str">
        <f t="shared" si="89"/>
        <v>Supervised O&amp;M</v>
      </c>
      <c r="H237" s="19">
        <f t="shared" si="87"/>
        <v>0</v>
      </c>
      <c r="I237" s="19">
        <f t="shared" si="87"/>
        <v>0</v>
      </c>
      <c r="J237" s="19">
        <f t="shared" si="87"/>
        <v>0</v>
      </c>
      <c r="K237" s="19">
        <f t="shared" si="87"/>
        <v>0</v>
      </c>
      <c r="L237" s="19">
        <f t="shared" si="87"/>
        <v>0</v>
      </c>
      <c r="M237" s="19">
        <f t="shared" si="87"/>
        <v>0</v>
      </c>
      <c r="N237" s="19">
        <f t="shared" si="87"/>
        <v>0</v>
      </c>
      <c r="O237" s="19">
        <f t="shared" si="87"/>
        <v>0</v>
      </c>
      <c r="P237" s="19">
        <f t="shared" si="87"/>
        <v>0</v>
      </c>
      <c r="Q237" s="1759">
        <f t="shared" si="87"/>
        <v>0</v>
      </c>
      <c r="R237" s="1759">
        <f t="shared" si="88"/>
        <v>0</v>
      </c>
      <c r="S237" s="1759">
        <f t="shared" si="88"/>
        <v>0</v>
      </c>
      <c r="T237" s="19">
        <f t="shared" si="88"/>
        <v>0</v>
      </c>
      <c r="U237" s="19">
        <f t="shared" si="88"/>
        <v>0</v>
      </c>
      <c r="V237" s="19">
        <f t="shared" si="88"/>
        <v>0</v>
      </c>
      <c r="W237" s="19">
        <f t="shared" si="88"/>
        <v>0</v>
      </c>
      <c r="X237" s="19">
        <f t="shared" si="88"/>
        <v>0</v>
      </c>
      <c r="Y237" s="19">
        <f t="shared" si="88"/>
        <v>0</v>
      </c>
      <c r="Z237" s="602">
        <f t="shared" si="80"/>
        <v>0</v>
      </c>
    </row>
    <row r="238" spans="1:26" hidden="1">
      <c r="A238" s="411"/>
      <c r="C238" s="336">
        <f>MAX(C234:C237)+1</f>
        <v>199</v>
      </c>
      <c r="D238" s="165" t="str">
        <f t="shared" si="82"/>
        <v>390</v>
      </c>
      <c r="E238" s="247" t="str">
        <f t="shared" si="81"/>
        <v>STRUC &amp; IMP EPH TRANS REPAIR</v>
      </c>
      <c r="F238" s="19">
        <f>Asset_Sum!M69</f>
        <v>0</v>
      </c>
      <c r="G238" s="3134" t="str">
        <f t="shared" si="89"/>
        <v>Supervised O&amp;M</v>
      </c>
      <c r="H238" s="19">
        <f t="shared" si="87"/>
        <v>0</v>
      </c>
      <c r="I238" s="19">
        <f t="shared" si="87"/>
        <v>0</v>
      </c>
      <c r="J238" s="19">
        <f t="shared" si="87"/>
        <v>0</v>
      </c>
      <c r="K238" s="19">
        <f t="shared" si="87"/>
        <v>0</v>
      </c>
      <c r="L238" s="19">
        <f t="shared" si="87"/>
        <v>0</v>
      </c>
      <c r="M238" s="19">
        <f t="shared" si="87"/>
        <v>0</v>
      </c>
      <c r="N238" s="19">
        <f t="shared" si="87"/>
        <v>0</v>
      </c>
      <c r="O238" s="19">
        <f t="shared" si="87"/>
        <v>0</v>
      </c>
      <c r="P238" s="19">
        <f t="shared" si="87"/>
        <v>0</v>
      </c>
      <c r="Q238" s="1759">
        <f t="shared" si="87"/>
        <v>0</v>
      </c>
      <c r="R238" s="1759">
        <f t="shared" si="88"/>
        <v>0</v>
      </c>
      <c r="S238" s="1759">
        <f t="shared" si="88"/>
        <v>0</v>
      </c>
      <c r="T238" s="19">
        <f t="shared" si="88"/>
        <v>0</v>
      </c>
      <c r="U238" s="19">
        <f t="shared" si="88"/>
        <v>0</v>
      </c>
      <c r="V238" s="19">
        <f t="shared" si="88"/>
        <v>0</v>
      </c>
      <c r="W238" s="19">
        <f t="shared" si="88"/>
        <v>0</v>
      </c>
      <c r="X238" s="19">
        <f t="shared" si="88"/>
        <v>0</v>
      </c>
      <c r="Y238" s="19">
        <f t="shared" si="88"/>
        <v>0</v>
      </c>
      <c r="Z238" s="602">
        <f t="shared" si="80"/>
        <v>0</v>
      </c>
    </row>
    <row r="239" spans="1:26" hidden="1">
      <c r="A239" s="411"/>
      <c r="C239" s="336">
        <f t="shared" si="86"/>
        <v>200</v>
      </c>
      <c r="D239" s="165" t="str">
        <f t="shared" si="82"/>
        <v>390</v>
      </c>
      <c r="E239" s="247" t="str">
        <f t="shared" si="81"/>
        <v>STRUC &amp; IMP, EPH LINE</v>
      </c>
      <c r="F239" s="19">
        <f>Asset_Sum!M70</f>
        <v>0</v>
      </c>
      <c r="G239" s="3134" t="str">
        <f t="shared" si="89"/>
        <v>Supervised O&amp;M</v>
      </c>
      <c r="H239" s="19">
        <f t="shared" si="87"/>
        <v>0</v>
      </c>
      <c r="I239" s="19">
        <f t="shared" si="87"/>
        <v>0</v>
      </c>
      <c r="J239" s="19">
        <f t="shared" si="87"/>
        <v>0</v>
      </c>
      <c r="K239" s="19">
        <f t="shared" si="87"/>
        <v>0</v>
      </c>
      <c r="L239" s="19">
        <f t="shared" si="87"/>
        <v>0</v>
      </c>
      <c r="M239" s="19">
        <f t="shared" si="87"/>
        <v>0</v>
      </c>
      <c r="N239" s="19">
        <f t="shared" si="87"/>
        <v>0</v>
      </c>
      <c r="O239" s="19">
        <f t="shared" si="87"/>
        <v>0</v>
      </c>
      <c r="P239" s="19">
        <f t="shared" si="87"/>
        <v>0</v>
      </c>
      <c r="Q239" s="1759">
        <f t="shared" si="87"/>
        <v>0</v>
      </c>
      <c r="R239" s="1759">
        <f t="shared" si="88"/>
        <v>0</v>
      </c>
      <c r="S239" s="1759">
        <f t="shared" si="88"/>
        <v>0</v>
      </c>
      <c r="T239" s="19">
        <f t="shared" si="88"/>
        <v>0</v>
      </c>
      <c r="U239" s="19">
        <f t="shared" si="88"/>
        <v>0</v>
      </c>
      <c r="V239" s="19">
        <f t="shared" si="88"/>
        <v>0</v>
      </c>
      <c r="W239" s="19">
        <f t="shared" si="88"/>
        <v>0</v>
      </c>
      <c r="X239" s="19">
        <f t="shared" si="88"/>
        <v>0</v>
      </c>
      <c r="Y239" s="19">
        <f t="shared" si="88"/>
        <v>0</v>
      </c>
      <c r="Z239" s="602">
        <f t="shared" si="80"/>
        <v>0</v>
      </c>
    </row>
    <row r="240" spans="1:26" hidden="1">
      <c r="A240" s="411"/>
      <c r="C240" s="336">
        <f t="shared" si="86"/>
        <v>201</v>
      </c>
      <c r="D240" s="165" t="str">
        <f t="shared" si="82"/>
        <v>390</v>
      </c>
      <c r="E240" s="247" t="str">
        <f t="shared" si="81"/>
        <v>STRUC &amp; IMP, EPH METER SHOP</v>
      </c>
      <c r="F240" s="19">
        <f>Asset_Sum!M71</f>
        <v>0</v>
      </c>
      <c r="G240" s="3134" t="str">
        <f t="shared" si="89"/>
        <v>Supervised O&amp;M</v>
      </c>
      <c r="H240" s="19">
        <f t="shared" si="87"/>
        <v>0</v>
      </c>
      <c r="I240" s="19">
        <f t="shared" si="87"/>
        <v>0</v>
      </c>
      <c r="J240" s="19">
        <f t="shared" si="87"/>
        <v>0</v>
      </c>
      <c r="K240" s="19">
        <f t="shared" si="87"/>
        <v>0</v>
      </c>
      <c r="L240" s="19">
        <f t="shared" si="87"/>
        <v>0</v>
      </c>
      <c r="M240" s="19">
        <f t="shared" si="87"/>
        <v>0</v>
      </c>
      <c r="N240" s="19">
        <f t="shared" si="87"/>
        <v>0</v>
      </c>
      <c r="O240" s="19">
        <f t="shared" si="87"/>
        <v>0</v>
      </c>
      <c r="P240" s="19">
        <f t="shared" si="87"/>
        <v>0</v>
      </c>
      <c r="Q240" s="1759">
        <f t="shared" si="87"/>
        <v>0</v>
      </c>
      <c r="R240" s="1759">
        <f t="shared" si="88"/>
        <v>0</v>
      </c>
      <c r="S240" s="1759">
        <f t="shared" si="88"/>
        <v>0</v>
      </c>
      <c r="T240" s="19">
        <f t="shared" si="88"/>
        <v>0</v>
      </c>
      <c r="U240" s="19">
        <f t="shared" si="88"/>
        <v>0</v>
      </c>
      <c r="V240" s="19">
        <f t="shared" si="88"/>
        <v>0</v>
      </c>
      <c r="W240" s="19">
        <f t="shared" si="88"/>
        <v>0</v>
      </c>
      <c r="X240" s="19">
        <f t="shared" si="88"/>
        <v>0</v>
      </c>
      <c r="Y240" s="19">
        <f t="shared" si="88"/>
        <v>0</v>
      </c>
      <c r="Z240" s="602">
        <f t="shared" si="80"/>
        <v>0</v>
      </c>
    </row>
    <row r="241" spans="1:26" hidden="1">
      <c r="A241" s="411"/>
      <c r="C241" s="336">
        <f t="shared" si="86"/>
        <v>202</v>
      </c>
      <c r="D241" s="165" t="str">
        <f t="shared" si="82"/>
        <v>390</v>
      </c>
      <c r="E241" s="247" t="str">
        <f t="shared" si="81"/>
        <v>STRUC &amp; IMP, EPH SERV CENTER</v>
      </c>
      <c r="F241" s="19">
        <f>Asset_Sum!M72</f>
        <v>0</v>
      </c>
      <c r="G241" s="3134" t="str">
        <f t="shared" si="89"/>
        <v>Supervised O&amp;M</v>
      </c>
      <c r="H241" s="19">
        <f t="shared" si="87"/>
        <v>0</v>
      </c>
      <c r="I241" s="19">
        <f t="shared" si="87"/>
        <v>0</v>
      </c>
      <c r="J241" s="19">
        <f t="shared" si="87"/>
        <v>0</v>
      </c>
      <c r="K241" s="19">
        <f t="shared" si="87"/>
        <v>0</v>
      </c>
      <c r="L241" s="19">
        <f t="shared" si="87"/>
        <v>0</v>
      </c>
      <c r="M241" s="19">
        <f t="shared" si="87"/>
        <v>0</v>
      </c>
      <c r="N241" s="19">
        <f t="shared" si="87"/>
        <v>0</v>
      </c>
      <c r="O241" s="19">
        <f t="shared" si="87"/>
        <v>0</v>
      </c>
      <c r="P241" s="19">
        <f t="shared" si="87"/>
        <v>0</v>
      </c>
      <c r="Q241" s="1759">
        <f t="shared" si="87"/>
        <v>0</v>
      </c>
      <c r="R241" s="1759">
        <f t="shared" si="88"/>
        <v>0</v>
      </c>
      <c r="S241" s="1759">
        <f t="shared" si="88"/>
        <v>0</v>
      </c>
      <c r="T241" s="19">
        <f t="shared" si="88"/>
        <v>0</v>
      </c>
      <c r="U241" s="19">
        <f t="shared" si="88"/>
        <v>0</v>
      </c>
      <c r="V241" s="19">
        <f t="shared" si="88"/>
        <v>0</v>
      </c>
      <c r="W241" s="19">
        <f t="shared" si="88"/>
        <v>0</v>
      </c>
      <c r="X241" s="19">
        <f t="shared" si="88"/>
        <v>0</v>
      </c>
      <c r="Y241" s="19">
        <f t="shared" si="88"/>
        <v>0</v>
      </c>
      <c r="Z241" s="602">
        <f t="shared" si="80"/>
        <v>0</v>
      </c>
    </row>
    <row r="242" spans="1:26" hidden="1">
      <c r="A242" s="411"/>
      <c r="C242" s="336">
        <f t="shared" si="86"/>
        <v>203</v>
      </c>
      <c r="D242" s="165" t="str">
        <f t="shared" si="82"/>
        <v>390</v>
      </c>
      <c r="E242" s="247" t="str">
        <f t="shared" si="81"/>
        <v>STRUC &amp; IMP, ML OFFICE</v>
      </c>
      <c r="F242" s="19">
        <f>Asset_Sum!M73</f>
        <v>0</v>
      </c>
      <c r="G242" s="3134" t="str">
        <f t="shared" si="89"/>
        <v>Supervised O&amp;M</v>
      </c>
      <c r="H242" s="19">
        <f t="shared" si="87"/>
        <v>0</v>
      </c>
      <c r="I242" s="19">
        <f t="shared" si="87"/>
        <v>0</v>
      </c>
      <c r="J242" s="19">
        <f t="shared" si="87"/>
        <v>0</v>
      </c>
      <c r="K242" s="19">
        <f t="shared" si="87"/>
        <v>0</v>
      </c>
      <c r="L242" s="19">
        <f t="shared" si="87"/>
        <v>0</v>
      </c>
      <c r="M242" s="19">
        <f t="shared" si="87"/>
        <v>0</v>
      </c>
      <c r="N242" s="19">
        <f t="shared" si="87"/>
        <v>0</v>
      </c>
      <c r="O242" s="19">
        <f t="shared" si="87"/>
        <v>0</v>
      </c>
      <c r="P242" s="19">
        <f t="shared" si="87"/>
        <v>0</v>
      </c>
      <c r="Q242" s="1759">
        <f t="shared" si="87"/>
        <v>0</v>
      </c>
      <c r="R242" s="1759">
        <f t="shared" si="88"/>
        <v>0</v>
      </c>
      <c r="S242" s="1759">
        <f t="shared" si="88"/>
        <v>0</v>
      </c>
      <c r="T242" s="19">
        <f t="shared" si="88"/>
        <v>0</v>
      </c>
      <c r="U242" s="19">
        <f t="shared" si="88"/>
        <v>0</v>
      </c>
      <c r="V242" s="19">
        <f t="shared" si="88"/>
        <v>0</v>
      </c>
      <c r="W242" s="19">
        <f t="shared" si="88"/>
        <v>0</v>
      </c>
      <c r="X242" s="19">
        <f t="shared" si="88"/>
        <v>0</v>
      </c>
      <c r="Y242" s="19">
        <f t="shared" si="88"/>
        <v>0</v>
      </c>
      <c r="Z242" s="602">
        <f t="shared" si="80"/>
        <v>0</v>
      </c>
    </row>
    <row r="243" spans="1:26" hidden="1">
      <c r="A243" s="411"/>
      <c r="C243" s="336">
        <f t="shared" si="86"/>
        <v>204</v>
      </c>
      <c r="D243" s="165" t="str">
        <f t="shared" si="82"/>
        <v>390</v>
      </c>
      <c r="E243" s="247" t="str">
        <f t="shared" si="81"/>
        <v>STRUC &amp; IMP, ML WHSE</v>
      </c>
      <c r="F243" s="19">
        <f>Asset_Sum!M74</f>
        <v>0</v>
      </c>
      <c r="G243" s="3134" t="str">
        <f t="shared" si="89"/>
        <v>Supervised O&amp;M</v>
      </c>
      <c r="H243" s="19">
        <f t="shared" ref="H243:Q256" si="90">$F243*SUMIF($E$338:$E$359,$G243,H$338:H$359)</f>
        <v>0</v>
      </c>
      <c r="I243" s="19">
        <f t="shared" si="90"/>
        <v>0</v>
      </c>
      <c r="J243" s="19">
        <f t="shared" si="90"/>
        <v>0</v>
      </c>
      <c r="K243" s="19">
        <f t="shared" si="90"/>
        <v>0</v>
      </c>
      <c r="L243" s="19">
        <f t="shared" si="90"/>
        <v>0</v>
      </c>
      <c r="M243" s="19">
        <f t="shared" si="90"/>
        <v>0</v>
      </c>
      <c r="N243" s="19">
        <f t="shared" si="90"/>
        <v>0</v>
      </c>
      <c r="O243" s="19">
        <f t="shared" si="90"/>
        <v>0</v>
      </c>
      <c r="P243" s="19">
        <f t="shared" si="90"/>
        <v>0</v>
      </c>
      <c r="Q243" s="1759">
        <f t="shared" si="90"/>
        <v>0</v>
      </c>
      <c r="R243" s="1759">
        <f t="shared" ref="R243:Y256" si="91">$F243*SUMIF($E$338:$E$359,$G243,R$338:R$359)</f>
        <v>0</v>
      </c>
      <c r="S243" s="1759">
        <f t="shared" si="91"/>
        <v>0</v>
      </c>
      <c r="T243" s="19">
        <f t="shared" si="91"/>
        <v>0</v>
      </c>
      <c r="U243" s="19">
        <f t="shared" si="91"/>
        <v>0</v>
      </c>
      <c r="V243" s="19">
        <f t="shared" si="91"/>
        <v>0</v>
      </c>
      <c r="W243" s="19">
        <f t="shared" si="91"/>
        <v>0</v>
      </c>
      <c r="X243" s="19">
        <f t="shared" si="91"/>
        <v>0</v>
      </c>
      <c r="Y243" s="19">
        <f t="shared" si="91"/>
        <v>0</v>
      </c>
      <c r="Z243" s="602">
        <f t="shared" si="80"/>
        <v>0</v>
      </c>
    </row>
    <row r="244" spans="1:26" hidden="1">
      <c r="A244" s="411"/>
      <c r="C244" s="336">
        <f t="shared" si="86"/>
        <v>205</v>
      </c>
      <c r="D244" s="165" t="str">
        <f t="shared" si="82"/>
        <v>390</v>
      </c>
      <c r="E244" s="247" t="str">
        <f t="shared" si="81"/>
        <v>STRUC &amp; IMP ML EMS CTR BACKU</v>
      </c>
      <c r="F244" s="19">
        <f>Asset_Sum!M75</f>
        <v>0</v>
      </c>
      <c r="G244" s="3134" t="str">
        <f t="shared" si="89"/>
        <v>Supervised O&amp;M</v>
      </c>
      <c r="H244" s="19">
        <f t="shared" si="90"/>
        <v>0</v>
      </c>
      <c r="I244" s="19">
        <f t="shared" si="90"/>
        <v>0</v>
      </c>
      <c r="J244" s="19">
        <f t="shared" si="90"/>
        <v>0</v>
      </c>
      <c r="K244" s="19">
        <f t="shared" si="90"/>
        <v>0</v>
      </c>
      <c r="L244" s="19">
        <f t="shared" si="90"/>
        <v>0</v>
      </c>
      <c r="M244" s="19">
        <f t="shared" si="90"/>
        <v>0</v>
      </c>
      <c r="N244" s="19">
        <f t="shared" si="90"/>
        <v>0</v>
      </c>
      <c r="O244" s="19">
        <f t="shared" si="90"/>
        <v>0</v>
      </c>
      <c r="P244" s="19">
        <f t="shared" si="90"/>
        <v>0</v>
      </c>
      <c r="Q244" s="1759">
        <f t="shared" si="90"/>
        <v>0</v>
      </c>
      <c r="R244" s="1759">
        <f t="shared" si="91"/>
        <v>0</v>
      </c>
      <c r="S244" s="1759">
        <f t="shared" si="91"/>
        <v>0</v>
      </c>
      <c r="T244" s="19">
        <f t="shared" si="91"/>
        <v>0</v>
      </c>
      <c r="U244" s="19">
        <f t="shared" si="91"/>
        <v>0</v>
      </c>
      <c r="V244" s="19">
        <f t="shared" si="91"/>
        <v>0</v>
      </c>
      <c r="W244" s="19">
        <f t="shared" si="91"/>
        <v>0</v>
      </c>
      <c r="X244" s="19">
        <f t="shared" si="91"/>
        <v>0</v>
      </c>
      <c r="Y244" s="19">
        <f t="shared" si="91"/>
        <v>0</v>
      </c>
      <c r="Z244" s="602">
        <f t="shared" si="80"/>
        <v>0</v>
      </c>
    </row>
    <row r="245" spans="1:26" hidden="1">
      <c r="A245" s="411"/>
      <c r="C245" s="336">
        <f t="shared" si="86"/>
        <v>206</v>
      </c>
      <c r="D245" s="165" t="str">
        <f t="shared" si="82"/>
        <v>390</v>
      </c>
      <c r="E245" s="247" t="str">
        <f t="shared" si="81"/>
        <v>STRUC &amp; IMP, ML STOR YD</v>
      </c>
      <c r="F245" s="19">
        <f>Asset_Sum!M76</f>
        <v>0</v>
      </c>
      <c r="G245" s="3134" t="str">
        <f t="shared" si="89"/>
        <v>Supervised O&amp;M</v>
      </c>
      <c r="H245" s="19">
        <f t="shared" si="90"/>
        <v>0</v>
      </c>
      <c r="I245" s="19">
        <f t="shared" si="90"/>
        <v>0</v>
      </c>
      <c r="J245" s="19">
        <f t="shared" si="90"/>
        <v>0</v>
      </c>
      <c r="K245" s="19">
        <f t="shared" si="90"/>
        <v>0</v>
      </c>
      <c r="L245" s="19">
        <f t="shared" si="90"/>
        <v>0</v>
      </c>
      <c r="M245" s="19">
        <f t="shared" si="90"/>
        <v>0</v>
      </c>
      <c r="N245" s="19">
        <f t="shared" si="90"/>
        <v>0</v>
      </c>
      <c r="O245" s="19">
        <f t="shared" si="90"/>
        <v>0</v>
      </c>
      <c r="P245" s="19">
        <f t="shared" si="90"/>
        <v>0</v>
      </c>
      <c r="Q245" s="1759">
        <f t="shared" si="90"/>
        <v>0</v>
      </c>
      <c r="R245" s="1759">
        <f t="shared" si="91"/>
        <v>0</v>
      </c>
      <c r="S245" s="1759">
        <f t="shared" si="91"/>
        <v>0</v>
      </c>
      <c r="T245" s="19">
        <f t="shared" si="91"/>
        <v>0</v>
      </c>
      <c r="U245" s="19">
        <f t="shared" si="91"/>
        <v>0</v>
      </c>
      <c r="V245" s="19">
        <f t="shared" si="91"/>
        <v>0</v>
      </c>
      <c r="W245" s="19">
        <f t="shared" si="91"/>
        <v>0</v>
      </c>
      <c r="X245" s="19">
        <f t="shared" si="91"/>
        <v>0</v>
      </c>
      <c r="Y245" s="19">
        <f t="shared" si="91"/>
        <v>0</v>
      </c>
      <c r="Z245" s="602">
        <f t="shared" si="80"/>
        <v>0</v>
      </c>
    </row>
    <row r="246" spans="1:26" hidden="1">
      <c r="A246" s="411"/>
      <c r="C246" s="336">
        <f t="shared" si="86"/>
        <v>207</v>
      </c>
      <c r="D246" s="165" t="str">
        <f t="shared" si="82"/>
        <v>390</v>
      </c>
      <c r="E246" s="247" t="str">
        <f t="shared" si="81"/>
        <v>STRUC &amp; IMP, QUINCY OFFICE</v>
      </c>
      <c r="F246" s="19">
        <f>Asset_Sum!M77</f>
        <v>0</v>
      </c>
      <c r="G246" s="3134" t="str">
        <f t="shared" si="89"/>
        <v>Supervised O&amp;M</v>
      </c>
      <c r="H246" s="19">
        <f t="shared" si="90"/>
        <v>0</v>
      </c>
      <c r="I246" s="19">
        <f t="shared" si="90"/>
        <v>0</v>
      </c>
      <c r="J246" s="19">
        <f t="shared" si="90"/>
        <v>0</v>
      </c>
      <c r="K246" s="19">
        <f t="shared" si="90"/>
        <v>0</v>
      </c>
      <c r="L246" s="19">
        <f t="shared" si="90"/>
        <v>0</v>
      </c>
      <c r="M246" s="19">
        <f t="shared" si="90"/>
        <v>0</v>
      </c>
      <c r="N246" s="19">
        <f t="shared" si="90"/>
        <v>0</v>
      </c>
      <c r="O246" s="19">
        <f t="shared" si="90"/>
        <v>0</v>
      </c>
      <c r="P246" s="19">
        <f t="shared" si="90"/>
        <v>0</v>
      </c>
      <c r="Q246" s="1759">
        <f t="shared" si="90"/>
        <v>0</v>
      </c>
      <c r="R246" s="1759">
        <f t="shared" si="91"/>
        <v>0</v>
      </c>
      <c r="S246" s="1759">
        <f t="shared" si="91"/>
        <v>0</v>
      </c>
      <c r="T246" s="19">
        <f t="shared" si="91"/>
        <v>0</v>
      </c>
      <c r="U246" s="19">
        <f t="shared" si="91"/>
        <v>0</v>
      </c>
      <c r="V246" s="19">
        <f t="shared" si="91"/>
        <v>0</v>
      </c>
      <c r="W246" s="19">
        <f t="shared" si="91"/>
        <v>0</v>
      </c>
      <c r="X246" s="19">
        <f t="shared" si="91"/>
        <v>0</v>
      </c>
      <c r="Y246" s="19">
        <f t="shared" si="91"/>
        <v>0</v>
      </c>
      <c r="Z246" s="602">
        <f t="shared" si="80"/>
        <v>0</v>
      </c>
    </row>
    <row r="247" spans="1:26" hidden="1">
      <c r="A247" s="411"/>
      <c r="C247" s="336">
        <f t="shared" si="86"/>
        <v>208</v>
      </c>
      <c r="D247" s="165" t="str">
        <f t="shared" si="82"/>
        <v>390</v>
      </c>
      <c r="E247" s="247" t="str">
        <f t="shared" si="81"/>
        <v>STRUC &amp; IMP, QUINCY YARD</v>
      </c>
      <c r="F247" s="19">
        <f>Asset_Sum!M78</f>
        <v>0</v>
      </c>
      <c r="G247" s="3134" t="str">
        <f t="shared" si="89"/>
        <v>Supervised O&amp;M</v>
      </c>
      <c r="H247" s="19">
        <f t="shared" si="90"/>
        <v>0</v>
      </c>
      <c r="I247" s="19">
        <f t="shared" si="90"/>
        <v>0</v>
      </c>
      <c r="J247" s="19">
        <f t="shared" si="90"/>
        <v>0</v>
      </c>
      <c r="K247" s="19">
        <f t="shared" si="90"/>
        <v>0</v>
      </c>
      <c r="L247" s="19">
        <f t="shared" si="90"/>
        <v>0</v>
      </c>
      <c r="M247" s="19">
        <f t="shared" si="90"/>
        <v>0</v>
      </c>
      <c r="N247" s="19">
        <f t="shared" si="90"/>
        <v>0</v>
      </c>
      <c r="O247" s="19">
        <f t="shared" si="90"/>
        <v>0</v>
      </c>
      <c r="P247" s="19">
        <f t="shared" si="90"/>
        <v>0</v>
      </c>
      <c r="Q247" s="1759">
        <f t="shared" si="90"/>
        <v>0</v>
      </c>
      <c r="R247" s="1759">
        <f t="shared" si="91"/>
        <v>0</v>
      </c>
      <c r="S247" s="1759">
        <f t="shared" si="91"/>
        <v>0</v>
      </c>
      <c r="T247" s="19">
        <f t="shared" si="91"/>
        <v>0</v>
      </c>
      <c r="U247" s="19">
        <f t="shared" si="91"/>
        <v>0</v>
      </c>
      <c r="V247" s="19">
        <f t="shared" si="91"/>
        <v>0</v>
      </c>
      <c r="W247" s="19">
        <f t="shared" si="91"/>
        <v>0</v>
      </c>
      <c r="X247" s="19">
        <f t="shared" si="91"/>
        <v>0</v>
      </c>
      <c r="Y247" s="19">
        <f t="shared" si="91"/>
        <v>0</v>
      </c>
      <c r="Z247" s="602">
        <f t="shared" si="80"/>
        <v>0</v>
      </c>
    </row>
    <row r="248" spans="1:26" hidden="1">
      <c r="A248" s="411"/>
      <c r="C248" s="336">
        <f t="shared" si="86"/>
        <v>209</v>
      </c>
      <c r="D248" s="165" t="str">
        <f t="shared" si="82"/>
        <v>390</v>
      </c>
      <c r="E248" s="247" t="str">
        <f t="shared" si="81"/>
        <v>STRUC &amp; IMP, GC WHSE</v>
      </c>
      <c r="F248" s="19">
        <f>Asset_Sum!M79</f>
        <v>0</v>
      </c>
      <c r="G248" s="3134" t="str">
        <f t="shared" si="89"/>
        <v>Supervised O&amp;M</v>
      </c>
      <c r="H248" s="19">
        <f t="shared" si="90"/>
        <v>0</v>
      </c>
      <c r="I248" s="19">
        <f t="shared" si="90"/>
        <v>0</v>
      </c>
      <c r="J248" s="19">
        <f t="shared" si="90"/>
        <v>0</v>
      </c>
      <c r="K248" s="19">
        <f t="shared" si="90"/>
        <v>0</v>
      </c>
      <c r="L248" s="19">
        <f t="shared" si="90"/>
        <v>0</v>
      </c>
      <c r="M248" s="19">
        <f t="shared" si="90"/>
        <v>0</v>
      </c>
      <c r="N248" s="19">
        <f t="shared" si="90"/>
        <v>0</v>
      </c>
      <c r="O248" s="19">
        <f t="shared" si="90"/>
        <v>0</v>
      </c>
      <c r="P248" s="19">
        <f t="shared" si="90"/>
        <v>0</v>
      </c>
      <c r="Q248" s="1759">
        <f t="shared" si="90"/>
        <v>0</v>
      </c>
      <c r="R248" s="1759">
        <f t="shared" si="91"/>
        <v>0</v>
      </c>
      <c r="S248" s="1759">
        <f t="shared" si="91"/>
        <v>0</v>
      </c>
      <c r="T248" s="19">
        <f t="shared" si="91"/>
        <v>0</v>
      </c>
      <c r="U248" s="19">
        <f t="shared" si="91"/>
        <v>0</v>
      </c>
      <c r="V248" s="19">
        <f t="shared" si="91"/>
        <v>0</v>
      </c>
      <c r="W248" s="19">
        <f t="shared" si="91"/>
        <v>0</v>
      </c>
      <c r="X248" s="19">
        <f t="shared" si="91"/>
        <v>0</v>
      </c>
      <c r="Y248" s="19">
        <f t="shared" si="91"/>
        <v>0</v>
      </c>
      <c r="Z248" s="602">
        <f t="shared" si="80"/>
        <v>0</v>
      </c>
    </row>
    <row r="249" spans="1:26" hidden="1">
      <c r="A249" s="411"/>
      <c r="C249" s="336">
        <f t="shared" si="86"/>
        <v>210</v>
      </c>
      <c r="D249" s="165" t="str">
        <f t="shared" si="82"/>
        <v>390</v>
      </c>
      <c r="E249" s="247" t="str">
        <f t="shared" si="81"/>
        <v>STRUC &amp; IMP, GC OFFICE</v>
      </c>
      <c r="F249" s="19">
        <f>Asset_Sum!M80</f>
        <v>0</v>
      </c>
      <c r="G249" s="3134" t="str">
        <f t="shared" si="89"/>
        <v>Supervised O&amp;M</v>
      </c>
      <c r="H249" s="19">
        <f t="shared" si="90"/>
        <v>0</v>
      </c>
      <c r="I249" s="19">
        <f t="shared" si="90"/>
        <v>0</v>
      </c>
      <c r="J249" s="19">
        <f t="shared" si="90"/>
        <v>0</v>
      </c>
      <c r="K249" s="19">
        <f t="shared" si="90"/>
        <v>0</v>
      </c>
      <c r="L249" s="19">
        <f t="shared" si="90"/>
        <v>0</v>
      </c>
      <c r="M249" s="19">
        <f t="shared" si="90"/>
        <v>0</v>
      </c>
      <c r="N249" s="19">
        <f t="shared" si="90"/>
        <v>0</v>
      </c>
      <c r="O249" s="19">
        <f t="shared" si="90"/>
        <v>0</v>
      </c>
      <c r="P249" s="19">
        <f t="shared" si="90"/>
        <v>0</v>
      </c>
      <c r="Q249" s="1759">
        <f t="shared" si="90"/>
        <v>0</v>
      </c>
      <c r="R249" s="1759">
        <f t="shared" si="91"/>
        <v>0</v>
      </c>
      <c r="S249" s="1759">
        <f t="shared" si="91"/>
        <v>0</v>
      </c>
      <c r="T249" s="19">
        <f t="shared" si="91"/>
        <v>0</v>
      </c>
      <c r="U249" s="19">
        <f t="shared" si="91"/>
        <v>0</v>
      </c>
      <c r="V249" s="19">
        <f t="shared" si="91"/>
        <v>0</v>
      </c>
      <c r="W249" s="19">
        <f t="shared" si="91"/>
        <v>0</v>
      </c>
      <c r="X249" s="19">
        <f t="shared" si="91"/>
        <v>0</v>
      </c>
      <c r="Y249" s="19">
        <f t="shared" si="91"/>
        <v>0</v>
      </c>
      <c r="Z249" s="602">
        <f t="shared" si="80"/>
        <v>0</v>
      </c>
    </row>
    <row r="250" spans="1:26" hidden="1">
      <c r="A250" s="411"/>
      <c r="C250" s="336">
        <f t="shared" si="86"/>
        <v>211</v>
      </c>
      <c r="D250" s="165" t="str">
        <f t="shared" si="82"/>
        <v>390</v>
      </c>
      <c r="E250" s="247" t="str">
        <f t="shared" si="81"/>
        <v>STRUC &amp; IMP, GC SERVICE CENT</v>
      </c>
      <c r="F250" s="19">
        <f>Asset_Sum!M81</f>
        <v>0</v>
      </c>
      <c r="G250" s="3134" t="str">
        <f t="shared" si="89"/>
        <v>Supervised O&amp;M</v>
      </c>
      <c r="H250" s="19">
        <f t="shared" si="90"/>
        <v>0</v>
      </c>
      <c r="I250" s="19">
        <f t="shared" si="90"/>
        <v>0</v>
      </c>
      <c r="J250" s="19">
        <f t="shared" si="90"/>
        <v>0</v>
      </c>
      <c r="K250" s="19">
        <f t="shared" si="90"/>
        <v>0</v>
      </c>
      <c r="L250" s="19">
        <f t="shared" si="90"/>
        <v>0</v>
      </c>
      <c r="M250" s="19">
        <f t="shared" si="90"/>
        <v>0</v>
      </c>
      <c r="N250" s="19">
        <f t="shared" si="90"/>
        <v>0</v>
      </c>
      <c r="O250" s="19">
        <f t="shared" si="90"/>
        <v>0</v>
      </c>
      <c r="P250" s="19">
        <f t="shared" si="90"/>
        <v>0</v>
      </c>
      <c r="Q250" s="1759">
        <f t="shared" si="90"/>
        <v>0</v>
      </c>
      <c r="R250" s="1759">
        <f t="shared" si="91"/>
        <v>0</v>
      </c>
      <c r="S250" s="1759">
        <f t="shared" si="91"/>
        <v>0</v>
      </c>
      <c r="T250" s="19">
        <f t="shared" si="91"/>
        <v>0</v>
      </c>
      <c r="U250" s="19">
        <f t="shared" si="91"/>
        <v>0</v>
      </c>
      <c r="V250" s="19">
        <f t="shared" si="91"/>
        <v>0</v>
      </c>
      <c r="W250" s="19">
        <f t="shared" si="91"/>
        <v>0</v>
      </c>
      <c r="X250" s="19">
        <f t="shared" si="91"/>
        <v>0</v>
      </c>
      <c r="Y250" s="19">
        <f t="shared" si="91"/>
        <v>0</v>
      </c>
      <c r="Z250" s="602">
        <f t="shared" si="80"/>
        <v>0</v>
      </c>
    </row>
    <row r="251" spans="1:26" hidden="1">
      <c r="A251" s="411"/>
      <c r="C251" s="336">
        <f t="shared" si="86"/>
        <v>212</v>
      </c>
      <c r="D251" s="165" t="str">
        <f t="shared" si="82"/>
        <v>390</v>
      </c>
      <c r="E251" s="247" t="str">
        <f t="shared" si="81"/>
        <v>STRUC &amp; IMP, RC WHSE</v>
      </c>
      <c r="F251" s="19">
        <f>Asset_Sum!M82</f>
        <v>0</v>
      </c>
      <c r="G251" s="3134" t="str">
        <f t="shared" si="89"/>
        <v>Supervised O&amp;M</v>
      </c>
      <c r="H251" s="19">
        <f t="shared" si="90"/>
        <v>0</v>
      </c>
      <c r="I251" s="19">
        <f t="shared" si="90"/>
        <v>0</v>
      </c>
      <c r="J251" s="19">
        <f t="shared" si="90"/>
        <v>0</v>
      </c>
      <c r="K251" s="19">
        <f t="shared" si="90"/>
        <v>0</v>
      </c>
      <c r="L251" s="19">
        <f t="shared" si="90"/>
        <v>0</v>
      </c>
      <c r="M251" s="19">
        <f t="shared" si="90"/>
        <v>0</v>
      </c>
      <c r="N251" s="19">
        <f t="shared" si="90"/>
        <v>0</v>
      </c>
      <c r="O251" s="19">
        <f t="shared" si="90"/>
        <v>0</v>
      </c>
      <c r="P251" s="19">
        <f t="shared" si="90"/>
        <v>0</v>
      </c>
      <c r="Q251" s="1759">
        <f t="shared" si="90"/>
        <v>0</v>
      </c>
      <c r="R251" s="1759">
        <f t="shared" si="91"/>
        <v>0</v>
      </c>
      <c r="S251" s="1759">
        <f t="shared" si="91"/>
        <v>0</v>
      </c>
      <c r="T251" s="19">
        <f t="shared" si="91"/>
        <v>0</v>
      </c>
      <c r="U251" s="19">
        <f t="shared" si="91"/>
        <v>0</v>
      </c>
      <c r="V251" s="19">
        <f t="shared" si="91"/>
        <v>0</v>
      </c>
      <c r="W251" s="19">
        <f t="shared" si="91"/>
        <v>0</v>
      </c>
      <c r="X251" s="19">
        <f t="shared" si="91"/>
        <v>0</v>
      </c>
      <c r="Y251" s="19">
        <f t="shared" si="91"/>
        <v>0</v>
      </c>
      <c r="Z251" s="602">
        <f t="shared" si="80"/>
        <v>0</v>
      </c>
    </row>
    <row r="252" spans="1:26" hidden="1">
      <c r="A252" s="411"/>
      <c r="C252" s="336">
        <f t="shared" si="86"/>
        <v>213</v>
      </c>
      <c r="D252" s="165" t="str">
        <f t="shared" si="82"/>
        <v>390</v>
      </c>
      <c r="E252" s="247" t="str">
        <f t="shared" si="81"/>
        <v>STRUC &amp; IMP, RC OFFICE</v>
      </c>
      <c r="F252" s="19">
        <f>Asset_Sum!M83</f>
        <v>0</v>
      </c>
      <c r="G252" s="3134" t="str">
        <f t="shared" si="89"/>
        <v>Supervised O&amp;M</v>
      </c>
      <c r="H252" s="19">
        <f t="shared" si="90"/>
        <v>0</v>
      </c>
      <c r="I252" s="19">
        <f t="shared" si="90"/>
        <v>0</v>
      </c>
      <c r="J252" s="19">
        <f t="shared" si="90"/>
        <v>0</v>
      </c>
      <c r="K252" s="19">
        <f t="shared" si="90"/>
        <v>0</v>
      </c>
      <c r="L252" s="19">
        <f t="shared" si="90"/>
        <v>0</v>
      </c>
      <c r="M252" s="19">
        <f t="shared" si="90"/>
        <v>0</v>
      </c>
      <c r="N252" s="19">
        <f t="shared" si="90"/>
        <v>0</v>
      </c>
      <c r="O252" s="19">
        <f t="shared" si="90"/>
        <v>0</v>
      </c>
      <c r="P252" s="19">
        <f t="shared" si="90"/>
        <v>0</v>
      </c>
      <c r="Q252" s="1759">
        <f t="shared" si="90"/>
        <v>0</v>
      </c>
      <c r="R252" s="1759">
        <f t="shared" si="91"/>
        <v>0</v>
      </c>
      <c r="S252" s="1759">
        <f t="shared" si="91"/>
        <v>0</v>
      </c>
      <c r="T252" s="19">
        <f t="shared" si="91"/>
        <v>0</v>
      </c>
      <c r="U252" s="19">
        <f t="shared" si="91"/>
        <v>0</v>
      </c>
      <c r="V252" s="19">
        <f t="shared" si="91"/>
        <v>0</v>
      </c>
      <c r="W252" s="19">
        <f t="shared" si="91"/>
        <v>0</v>
      </c>
      <c r="X252" s="19">
        <f t="shared" si="91"/>
        <v>0</v>
      </c>
      <c r="Y252" s="19">
        <f t="shared" si="91"/>
        <v>0</v>
      </c>
      <c r="Z252" s="602">
        <f t="shared" si="80"/>
        <v>0</v>
      </c>
    </row>
    <row r="253" spans="1:26">
      <c r="A253" s="411"/>
      <c r="C253" s="336">
        <f>MAX(C249:C251)+1</f>
        <v>213</v>
      </c>
      <c r="D253" s="165" t="str">
        <f t="shared" si="82"/>
        <v>391</v>
      </c>
      <c r="E253" s="247" t="str">
        <f t="shared" si="81"/>
        <v>OFFICE F&amp;E</v>
      </c>
      <c r="F253" s="19">
        <f>Asset_Sum!M84</f>
        <v>53968.330000001937</v>
      </c>
      <c r="G253" s="3134" t="str">
        <f t="shared" si="89"/>
        <v>Supervised O&amp;M</v>
      </c>
      <c r="H253" s="19">
        <f t="shared" si="90"/>
        <v>0</v>
      </c>
      <c r="I253" s="19">
        <f t="shared" si="90"/>
        <v>1243.5222297026485</v>
      </c>
      <c r="J253" s="19">
        <f t="shared" si="90"/>
        <v>5634.784705045754</v>
      </c>
      <c r="K253" s="19">
        <f t="shared" si="90"/>
        <v>8533.6833365267157</v>
      </c>
      <c r="L253" s="19">
        <f t="shared" si="90"/>
        <v>1588.233218056339</v>
      </c>
      <c r="M253" s="19">
        <f t="shared" si="90"/>
        <v>0</v>
      </c>
      <c r="N253" s="19">
        <f t="shared" si="90"/>
        <v>0</v>
      </c>
      <c r="O253" s="19">
        <f t="shared" si="90"/>
        <v>2596.7757372662963</v>
      </c>
      <c r="P253" s="19">
        <f t="shared" si="90"/>
        <v>1608.7161261386891</v>
      </c>
      <c r="Q253" s="1759">
        <f t="shared" si="90"/>
        <v>10123.763049838384</v>
      </c>
      <c r="R253" s="1759">
        <f t="shared" si="91"/>
        <v>1195.4704879956157</v>
      </c>
      <c r="S253" s="1759">
        <f t="shared" si="91"/>
        <v>3145.9893724608487</v>
      </c>
      <c r="T253" s="19">
        <f t="shared" si="91"/>
        <v>711.39527024581957</v>
      </c>
      <c r="U253" s="19">
        <f t="shared" si="91"/>
        <v>5863.0181132305761</v>
      </c>
      <c r="V253" s="19">
        <f t="shared" si="91"/>
        <v>10893.976636003334</v>
      </c>
      <c r="W253" s="19">
        <f t="shared" si="91"/>
        <v>237.61096623153765</v>
      </c>
      <c r="X253" s="19">
        <f t="shared" si="91"/>
        <v>591.39144644381759</v>
      </c>
      <c r="Y253" s="19">
        <f t="shared" si="91"/>
        <v>0</v>
      </c>
      <c r="Z253" s="602">
        <f t="shared" si="80"/>
        <v>6.95184433425311E-4</v>
      </c>
    </row>
    <row r="254" spans="1:26" hidden="1">
      <c r="A254" s="411"/>
      <c r="C254" s="336">
        <f>MAX(C250:C252)+1</f>
        <v>214</v>
      </c>
      <c r="D254" s="165" t="str">
        <f t="shared" si="82"/>
        <v>391</v>
      </c>
      <c r="E254" s="247" t="str">
        <f t="shared" ref="E254:E285" si="92">E93</f>
        <v>OFFICE F&amp;E, EPH OFFICE</v>
      </c>
      <c r="F254" s="19">
        <f>Asset_Sum!M85</f>
        <v>0</v>
      </c>
      <c r="G254" s="3134" t="str">
        <f t="shared" si="89"/>
        <v>Supervised O&amp;M</v>
      </c>
      <c r="H254" s="19">
        <f t="shared" si="90"/>
        <v>0</v>
      </c>
      <c r="I254" s="19">
        <f t="shared" si="90"/>
        <v>0</v>
      </c>
      <c r="J254" s="19">
        <f t="shared" si="90"/>
        <v>0</v>
      </c>
      <c r="K254" s="19">
        <f t="shared" si="90"/>
        <v>0</v>
      </c>
      <c r="L254" s="19">
        <f t="shared" si="90"/>
        <v>0</v>
      </c>
      <c r="M254" s="19">
        <f t="shared" si="90"/>
        <v>0</v>
      </c>
      <c r="N254" s="19">
        <f t="shared" si="90"/>
        <v>0</v>
      </c>
      <c r="O254" s="19">
        <f t="shared" si="90"/>
        <v>0</v>
      </c>
      <c r="P254" s="19">
        <f t="shared" si="90"/>
        <v>0</v>
      </c>
      <c r="Q254" s="1759">
        <f t="shared" si="90"/>
        <v>0</v>
      </c>
      <c r="R254" s="1759">
        <f t="shared" si="91"/>
        <v>0</v>
      </c>
      <c r="S254" s="1759">
        <f t="shared" si="91"/>
        <v>0</v>
      </c>
      <c r="T254" s="19">
        <f t="shared" si="91"/>
        <v>0</v>
      </c>
      <c r="U254" s="19">
        <f t="shared" si="91"/>
        <v>0</v>
      </c>
      <c r="V254" s="19">
        <f t="shared" si="91"/>
        <v>0</v>
      </c>
      <c r="W254" s="19">
        <f t="shared" si="91"/>
        <v>0</v>
      </c>
      <c r="X254" s="19">
        <f t="shared" si="91"/>
        <v>0</v>
      </c>
      <c r="Y254" s="19">
        <f t="shared" si="91"/>
        <v>0</v>
      </c>
      <c r="Z254" s="602">
        <f t="shared" si="80"/>
        <v>0</v>
      </c>
    </row>
    <row r="255" spans="1:26" hidden="1">
      <c r="A255" s="411"/>
      <c r="C255" s="336">
        <f>MAX(C251:C254)+1</f>
        <v>215</v>
      </c>
      <c r="D255" s="165" t="str">
        <f t="shared" ref="D255:D286" si="93">D94</f>
        <v>391</v>
      </c>
      <c r="E255" s="247" t="str">
        <f t="shared" si="92"/>
        <v>OFFICE F&amp;E, EPH WHSE</v>
      </c>
      <c r="F255" s="19">
        <f>Asset_Sum!M86</f>
        <v>0</v>
      </c>
      <c r="G255" s="3134" t="str">
        <f t="shared" si="89"/>
        <v>Supervised O&amp;M</v>
      </c>
      <c r="H255" s="19">
        <f t="shared" si="90"/>
        <v>0</v>
      </c>
      <c r="I255" s="19">
        <f t="shared" si="90"/>
        <v>0</v>
      </c>
      <c r="J255" s="19">
        <f t="shared" si="90"/>
        <v>0</v>
      </c>
      <c r="K255" s="19">
        <f t="shared" si="90"/>
        <v>0</v>
      </c>
      <c r="L255" s="19">
        <f t="shared" si="90"/>
        <v>0</v>
      </c>
      <c r="M255" s="19">
        <f t="shared" si="90"/>
        <v>0</v>
      </c>
      <c r="N255" s="19">
        <f t="shared" si="90"/>
        <v>0</v>
      </c>
      <c r="O255" s="19">
        <f t="shared" si="90"/>
        <v>0</v>
      </c>
      <c r="P255" s="19">
        <f t="shared" si="90"/>
        <v>0</v>
      </c>
      <c r="Q255" s="1759">
        <f t="shared" si="90"/>
        <v>0</v>
      </c>
      <c r="R255" s="1759">
        <f t="shared" si="91"/>
        <v>0</v>
      </c>
      <c r="S255" s="1759">
        <f t="shared" si="91"/>
        <v>0</v>
      </c>
      <c r="T255" s="19">
        <f t="shared" si="91"/>
        <v>0</v>
      </c>
      <c r="U255" s="19">
        <f t="shared" si="91"/>
        <v>0</v>
      </c>
      <c r="V255" s="19">
        <f t="shared" si="91"/>
        <v>0</v>
      </c>
      <c r="W255" s="19">
        <f t="shared" si="91"/>
        <v>0</v>
      </c>
      <c r="X255" s="19">
        <f t="shared" si="91"/>
        <v>0</v>
      </c>
      <c r="Y255" s="19">
        <f t="shared" si="91"/>
        <v>0</v>
      </c>
      <c r="Z255" s="602">
        <f t="shared" si="80"/>
        <v>0</v>
      </c>
    </row>
    <row r="256" spans="1:26" hidden="1">
      <c r="A256" s="411"/>
      <c r="C256" s="336">
        <f>MAX(C252:C255)+1</f>
        <v>216</v>
      </c>
      <c r="D256" s="165" t="str">
        <f t="shared" si="93"/>
        <v>391</v>
      </c>
      <c r="E256" s="247" t="str">
        <f t="shared" si="92"/>
        <v>OFFICE F&amp;E, EPH LINE</v>
      </c>
      <c r="F256" s="19">
        <f>Asset_Sum!M87</f>
        <v>0</v>
      </c>
      <c r="G256" s="3134" t="str">
        <f t="shared" si="89"/>
        <v>Supervised O&amp;M</v>
      </c>
      <c r="H256" s="19">
        <f t="shared" si="90"/>
        <v>0</v>
      </c>
      <c r="I256" s="19">
        <f t="shared" si="90"/>
        <v>0</v>
      </c>
      <c r="J256" s="19">
        <f t="shared" si="90"/>
        <v>0</v>
      </c>
      <c r="K256" s="19">
        <f t="shared" si="90"/>
        <v>0</v>
      </c>
      <c r="L256" s="19">
        <f t="shared" si="90"/>
        <v>0</v>
      </c>
      <c r="M256" s="19">
        <f t="shared" si="90"/>
        <v>0</v>
      </c>
      <c r="N256" s="19">
        <f t="shared" si="90"/>
        <v>0</v>
      </c>
      <c r="O256" s="19">
        <f t="shared" si="90"/>
        <v>0</v>
      </c>
      <c r="P256" s="19">
        <f t="shared" si="90"/>
        <v>0</v>
      </c>
      <c r="Q256" s="1759">
        <f t="shared" si="90"/>
        <v>0</v>
      </c>
      <c r="R256" s="1759">
        <f t="shared" si="91"/>
        <v>0</v>
      </c>
      <c r="S256" s="1759">
        <f t="shared" si="91"/>
        <v>0</v>
      </c>
      <c r="T256" s="19">
        <f t="shared" si="91"/>
        <v>0</v>
      </c>
      <c r="U256" s="19">
        <f t="shared" si="91"/>
        <v>0</v>
      </c>
      <c r="V256" s="19">
        <f t="shared" si="91"/>
        <v>0</v>
      </c>
      <c r="W256" s="19">
        <f t="shared" si="91"/>
        <v>0</v>
      </c>
      <c r="X256" s="19">
        <f t="shared" si="91"/>
        <v>0</v>
      </c>
      <c r="Y256" s="19">
        <f t="shared" si="91"/>
        <v>0</v>
      </c>
      <c r="Z256" s="602">
        <f t="shared" si="80"/>
        <v>0</v>
      </c>
    </row>
    <row r="257" spans="1:26" hidden="1">
      <c r="A257" s="411"/>
      <c r="C257" s="336">
        <f t="shared" si="86"/>
        <v>217</v>
      </c>
      <c r="D257" s="165" t="str">
        <f t="shared" si="93"/>
        <v>391</v>
      </c>
      <c r="E257" s="247" t="str">
        <f t="shared" si="92"/>
        <v>OFFICE F&amp;E, EPH METER SHOP</v>
      </c>
      <c r="F257" s="19">
        <f>Asset_Sum!M88</f>
        <v>0</v>
      </c>
      <c r="G257" s="3134" t="str">
        <f t="shared" si="89"/>
        <v>Supervised O&amp;M</v>
      </c>
      <c r="H257" s="19">
        <f t="shared" ref="H257:T266" si="94">$F257*SUMIF($E$338:$E$359,$G257,H$338:H$359)</f>
        <v>0</v>
      </c>
      <c r="I257" s="19">
        <f t="shared" si="94"/>
        <v>0</v>
      </c>
      <c r="J257" s="19">
        <f t="shared" si="94"/>
        <v>0</v>
      </c>
      <c r="K257" s="19">
        <f t="shared" si="94"/>
        <v>0</v>
      </c>
      <c r="L257" s="19">
        <f t="shared" si="94"/>
        <v>0</v>
      </c>
      <c r="M257" s="19">
        <f t="shared" si="94"/>
        <v>0</v>
      </c>
      <c r="N257" s="19">
        <f t="shared" si="94"/>
        <v>0</v>
      </c>
      <c r="O257" s="19">
        <f t="shared" si="94"/>
        <v>0</v>
      </c>
      <c r="P257" s="19">
        <f t="shared" si="94"/>
        <v>0</v>
      </c>
      <c r="Q257" s="1759">
        <f t="shared" si="94"/>
        <v>0</v>
      </c>
      <c r="R257" s="1759">
        <f t="shared" si="94"/>
        <v>0</v>
      </c>
      <c r="S257" s="1759">
        <f t="shared" si="94"/>
        <v>0</v>
      </c>
      <c r="T257" s="19">
        <f t="shared" si="94"/>
        <v>0</v>
      </c>
      <c r="U257" s="19">
        <f>F257</f>
        <v>0</v>
      </c>
      <c r="V257" s="19">
        <f t="shared" ref="V257:Y276" si="95">$F257*SUMIF($E$338:$E$359,$G257,V$338:V$359)</f>
        <v>0</v>
      </c>
      <c r="W257" s="19">
        <f t="shared" si="95"/>
        <v>0</v>
      </c>
      <c r="X257" s="19">
        <f t="shared" si="95"/>
        <v>0</v>
      </c>
      <c r="Y257" s="19">
        <f t="shared" si="95"/>
        <v>0</v>
      </c>
      <c r="Z257" s="602">
        <f t="shared" si="80"/>
        <v>0</v>
      </c>
    </row>
    <row r="258" spans="1:26" hidden="1">
      <c r="A258" s="411"/>
      <c r="C258" s="336">
        <f t="shared" si="86"/>
        <v>218</v>
      </c>
      <c r="D258" s="165" t="str">
        <f t="shared" si="93"/>
        <v>391</v>
      </c>
      <c r="E258" s="247" t="str">
        <f t="shared" si="92"/>
        <v>OFFICE F&amp;E, EPH GARAGE</v>
      </c>
      <c r="F258" s="19">
        <f>Asset_Sum!M89</f>
        <v>0</v>
      </c>
      <c r="G258" s="3134" t="str">
        <f t="shared" si="89"/>
        <v>Supervised O&amp;M</v>
      </c>
      <c r="H258" s="19">
        <f t="shared" si="94"/>
        <v>0</v>
      </c>
      <c r="I258" s="19">
        <f t="shared" si="94"/>
        <v>0</v>
      </c>
      <c r="J258" s="19">
        <f t="shared" si="94"/>
        <v>0</v>
      </c>
      <c r="K258" s="19">
        <f t="shared" si="94"/>
        <v>0</v>
      </c>
      <c r="L258" s="19">
        <f t="shared" si="94"/>
        <v>0</v>
      </c>
      <c r="M258" s="19">
        <f t="shared" si="94"/>
        <v>0</v>
      </c>
      <c r="N258" s="19">
        <f t="shared" si="94"/>
        <v>0</v>
      </c>
      <c r="O258" s="19">
        <f t="shared" si="94"/>
        <v>0</v>
      </c>
      <c r="P258" s="19">
        <f t="shared" si="94"/>
        <v>0</v>
      </c>
      <c r="Q258" s="1759">
        <f t="shared" si="94"/>
        <v>0</v>
      </c>
      <c r="R258" s="1759">
        <f t="shared" si="94"/>
        <v>0</v>
      </c>
      <c r="S258" s="1759">
        <f t="shared" si="94"/>
        <v>0</v>
      </c>
      <c r="T258" s="19">
        <f t="shared" si="94"/>
        <v>0</v>
      </c>
      <c r="U258" s="19">
        <f t="shared" ref="U258:U277" si="96">$F258*SUMIF($E$338:$E$359,$G258,U$338:U$359)</f>
        <v>0</v>
      </c>
      <c r="V258" s="19">
        <f t="shared" si="95"/>
        <v>0</v>
      </c>
      <c r="W258" s="19">
        <f t="shared" si="95"/>
        <v>0</v>
      </c>
      <c r="X258" s="19">
        <f t="shared" si="95"/>
        <v>0</v>
      </c>
      <c r="Y258" s="19">
        <f t="shared" si="95"/>
        <v>0</v>
      </c>
      <c r="Z258" s="602">
        <f t="shared" si="80"/>
        <v>0</v>
      </c>
    </row>
    <row r="259" spans="1:26" hidden="1">
      <c r="A259" s="411"/>
      <c r="C259" s="336">
        <f t="shared" si="86"/>
        <v>219</v>
      </c>
      <c r="D259" s="165" t="str">
        <f t="shared" si="93"/>
        <v>391</v>
      </c>
      <c r="E259" s="247" t="str">
        <f t="shared" si="92"/>
        <v>OFFICE F&amp;E, ML OFFICE</v>
      </c>
      <c r="F259" s="19">
        <f>Asset_Sum!M90</f>
        <v>0</v>
      </c>
      <c r="G259" s="3134" t="str">
        <f t="shared" si="89"/>
        <v>Supervised O&amp;M</v>
      </c>
      <c r="H259" s="19">
        <f t="shared" si="94"/>
        <v>0</v>
      </c>
      <c r="I259" s="19">
        <f t="shared" si="94"/>
        <v>0</v>
      </c>
      <c r="J259" s="19">
        <f t="shared" si="94"/>
        <v>0</v>
      </c>
      <c r="K259" s="19">
        <f t="shared" si="94"/>
        <v>0</v>
      </c>
      <c r="L259" s="19">
        <f t="shared" si="94"/>
        <v>0</v>
      </c>
      <c r="M259" s="19">
        <f t="shared" si="94"/>
        <v>0</v>
      </c>
      <c r="N259" s="19">
        <f t="shared" si="94"/>
        <v>0</v>
      </c>
      <c r="O259" s="19">
        <f t="shared" si="94"/>
        <v>0</v>
      </c>
      <c r="P259" s="19">
        <f t="shared" si="94"/>
        <v>0</v>
      </c>
      <c r="Q259" s="1759">
        <f t="shared" si="94"/>
        <v>0</v>
      </c>
      <c r="R259" s="1759">
        <f t="shared" si="94"/>
        <v>0</v>
      </c>
      <c r="S259" s="1759">
        <f t="shared" si="94"/>
        <v>0</v>
      </c>
      <c r="T259" s="19">
        <f t="shared" si="94"/>
        <v>0</v>
      </c>
      <c r="U259" s="19">
        <f t="shared" si="96"/>
        <v>0</v>
      </c>
      <c r="V259" s="19">
        <f t="shared" si="95"/>
        <v>0</v>
      </c>
      <c r="W259" s="19">
        <f t="shared" si="95"/>
        <v>0</v>
      </c>
      <c r="X259" s="19">
        <f t="shared" si="95"/>
        <v>0</v>
      </c>
      <c r="Y259" s="19">
        <f t="shared" si="95"/>
        <v>0</v>
      </c>
      <c r="Z259" s="602">
        <f t="shared" si="80"/>
        <v>0</v>
      </c>
    </row>
    <row r="260" spans="1:26" hidden="1">
      <c r="A260" s="411"/>
      <c r="C260" s="336">
        <f t="shared" si="86"/>
        <v>220</v>
      </c>
      <c r="D260" s="165" t="str">
        <f t="shared" si="93"/>
        <v>391</v>
      </c>
      <c r="E260" s="247" t="str">
        <f t="shared" si="92"/>
        <v>OFFICE F&amp;E, JOINT</v>
      </c>
      <c r="F260" s="19">
        <f>Asset_Sum!M91</f>
        <v>0</v>
      </c>
      <c r="G260" s="3134" t="str">
        <f t="shared" si="89"/>
        <v>Supervised O&amp;M</v>
      </c>
      <c r="H260" s="19">
        <f t="shared" si="94"/>
        <v>0</v>
      </c>
      <c r="I260" s="19">
        <f t="shared" si="94"/>
        <v>0</v>
      </c>
      <c r="J260" s="19">
        <f t="shared" si="94"/>
        <v>0</v>
      </c>
      <c r="K260" s="19">
        <f t="shared" si="94"/>
        <v>0</v>
      </c>
      <c r="L260" s="19">
        <f t="shared" si="94"/>
        <v>0</v>
      </c>
      <c r="M260" s="19">
        <f t="shared" si="94"/>
        <v>0</v>
      </c>
      <c r="N260" s="19">
        <f t="shared" si="94"/>
        <v>0</v>
      </c>
      <c r="O260" s="19">
        <f t="shared" si="94"/>
        <v>0</v>
      </c>
      <c r="P260" s="19">
        <f t="shared" si="94"/>
        <v>0</v>
      </c>
      <c r="Q260" s="1759">
        <f t="shared" si="94"/>
        <v>0</v>
      </c>
      <c r="R260" s="1759">
        <f t="shared" si="94"/>
        <v>0</v>
      </c>
      <c r="S260" s="1759">
        <f t="shared" si="94"/>
        <v>0</v>
      </c>
      <c r="T260" s="19">
        <f t="shared" si="94"/>
        <v>0</v>
      </c>
      <c r="U260" s="19">
        <f t="shared" si="96"/>
        <v>0</v>
      </c>
      <c r="V260" s="19">
        <f t="shared" si="95"/>
        <v>0</v>
      </c>
      <c r="W260" s="19">
        <f t="shared" si="95"/>
        <v>0</v>
      </c>
      <c r="X260" s="19">
        <f t="shared" si="95"/>
        <v>0</v>
      </c>
      <c r="Y260" s="19">
        <f t="shared" si="95"/>
        <v>0</v>
      </c>
      <c r="Z260" s="602">
        <f t="shared" si="80"/>
        <v>0</v>
      </c>
    </row>
    <row r="261" spans="1:26" hidden="1">
      <c r="A261" s="411"/>
      <c r="C261" s="336">
        <f t="shared" si="86"/>
        <v>221</v>
      </c>
      <c r="D261" s="165" t="str">
        <f t="shared" si="93"/>
        <v>391</v>
      </c>
      <c r="E261" s="247" t="str">
        <f t="shared" si="92"/>
        <v>OFFICE F&amp;E, QUINCY OFFICE</v>
      </c>
      <c r="F261" s="19">
        <f>Asset_Sum!M92</f>
        <v>0</v>
      </c>
      <c r="G261" s="3134" t="str">
        <f t="shared" si="89"/>
        <v>Supervised O&amp;M</v>
      </c>
      <c r="H261" s="19">
        <f t="shared" si="94"/>
        <v>0</v>
      </c>
      <c r="I261" s="19">
        <f t="shared" si="94"/>
        <v>0</v>
      </c>
      <c r="J261" s="19">
        <f t="shared" si="94"/>
        <v>0</v>
      </c>
      <c r="K261" s="19">
        <f t="shared" si="94"/>
        <v>0</v>
      </c>
      <c r="L261" s="19">
        <f t="shared" si="94"/>
        <v>0</v>
      </c>
      <c r="M261" s="19">
        <f t="shared" si="94"/>
        <v>0</v>
      </c>
      <c r="N261" s="19">
        <f t="shared" si="94"/>
        <v>0</v>
      </c>
      <c r="O261" s="19">
        <f t="shared" si="94"/>
        <v>0</v>
      </c>
      <c r="P261" s="19">
        <f t="shared" si="94"/>
        <v>0</v>
      </c>
      <c r="Q261" s="1759">
        <f t="shared" si="94"/>
        <v>0</v>
      </c>
      <c r="R261" s="1759">
        <f t="shared" si="94"/>
        <v>0</v>
      </c>
      <c r="S261" s="1759">
        <f t="shared" si="94"/>
        <v>0</v>
      </c>
      <c r="T261" s="19">
        <f t="shared" si="94"/>
        <v>0</v>
      </c>
      <c r="U261" s="19">
        <f t="shared" si="96"/>
        <v>0</v>
      </c>
      <c r="V261" s="19">
        <f t="shared" si="95"/>
        <v>0</v>
      </c>
      <c r="W261" s="19">
        <f t="shared" si="95"/>
        <v>0</v>
      </c>
      <c r="X261" s="19">
        <f t="shared" si="95"/>
        <v>0</v>
      </c>
      <c r="Y261" s="19">
        <f t="shared" si="95"/>
        <v>0</v>
      </c>
      <c r="Z261" s="602">
        <f t="shared" si="80"/>
        <v>0</v>
      </c>
    </row>
    <row r="262" spans="1:26" hidden="1">
      <c r="A262" s="411"/>
      <c r="C262" s="336">
        <f t="shared" si="86"/>
        <v>222</v>
      </c>
      <c r="D262" s="165" t="str">
        <f t="shared" si="93"/>
        <v>391</v>
      </c>
      <c r="E262" s="247" t="str">
        <f t="shared" si="92"/>
        <v>OFFICE F&amp;E, COULEE OFFICE</v>
      </c>
      <c r="F262" s="19">
        <f>Asset_Sum!M93</f>
        <v>0</v>
      </c>
      <c r="G262" s="3134" t="str">
        <f t="shared" si="89"/>
        <v>Supervised O&amp;M</v>
      </c>
      <c r="H262" s="19">
        <f t="shared" si="94"/>
        <v>0</v>
      </c>
      <c r="I262" s="19">
        <f t="shared" si="94"/>
        <v>0</v>
      </c>
      <c r="J262" s="19">
        <f t="shared" si="94"/>
        <v>0</v>
      </c>
      <c r="K262" s="19">
        <f t="shared" si="94"/>
        <v>0</v>
      </c>
      <c r="L262" s="19">
        <f t="shared" si="94"/>
        <v>0</v>
      </c>
      <c r="M262" s="19">
        <f t="shared" si="94"/>
        <v>0</v>
      </c>
      <c r="N262" s="19">
        <f t="shared" si="94"/>
        <v>0</v>
      </c>
      <c r="O262" s="19">
        <f t="shared" si="94"/>
        <v>0</v>
      </c>
      <c r="P262" s="19">
        <f t="shared" si="94"/>
        <v>0</v>
      </c>
      <c r="Q262" s="1759">
        <f t="shared" si="94"/>
        <v>0</v>
      </c>
      <c r="R262" s="1759">
        <f t="shared" si="94"/>
        <v>0</v>
      </c>
      <c r="S262" s="1759">
        <f t="shared" si="94"/>
        <v>0</v>
      </c>
      <c r="T262" s="19">
        <f t="shared" si="94"/>
        <v>0</v>
      </c>
      <c r="U262" s="19">
        <f t="shared" si="96"/>
        <v>0</v>
      </c>
      <c r="V262" s="19">
        <f t="shared" si="95"/>
        <v>0</v>
      </c>
      <c r="W262" s="19">
        <f t="shared" si="95"/>
        <v>0</v>
      </c>
      <c r="X262" s="19">
        <f t="shared" si="95"/>
        <v>0</v>
      </c>
      <c r="Y262" s="19">
        <f t="shared" si="95"/>
        <v>0</v>
      </c>
      <c r="Z262" s="602">
        <f t="shared" si="80"/>
        <v>0</v>
      </c>
    </row>
    <row r="263" spans="1:26" hidden="1">
      <c r="A263" s="411"/>
      <c r="C263" s="336">
        <f t="shared" si="86"/>
        <v>223</v>
      </c>
      <c r="D263" s="165" t="str">
        <f t="shared" si="93"/>
        <v>391</v>
      </c>
      <c r="E263" s="247" t="str">
        <f t="shared" si="92"/>
        <v>OFFICE F&amp;E, EDP JOINT</v>
      </c>
      <c r="F263" s="19">
        <f>Asset_Sum!M94</f>
        <v>0</v>
      </c>
      <c r="G263" s="3134" t="str">
        <f t="shared" si="89"/>
        <v>Supervised O&amp;M</v>
      </c>
      <c r="H263" s="19">
        <f t="shared" si="94"/>
        <v>0</v>
      </c>
      <c r="I263" s="19">
        <f t="shared" si="94"/>
        <v>0</v>
      </c>
      <c r="J263" s="19">
        <f t="shared" si="94"/>
        <v>0</v>
      </c>
      <c r="K263" s="19">
        <f t="shared" si="94"/>
        <v>0</v>
      </c>
      <c r="L263" s="19">
        <f t="shared" si="94"/>
        <v>0</v>
      </c>
      <c r="M263" s="19">
        <f t="shared" si="94"/>
        <v>0</v>
      </c>
      <c r="N263" s="19">
        <f t="shared" si="94"/>
        <v>0</v>
      </c>
      <c r="O263" s="19">
        <f t="shared" si="94"/>
        <v>0</v>
      </c>
      <c r="P263" s="19">
        <f t="shared" si="94"/>
        <v>0</v>
      </c>
      <c r="Q263" s="1759">
        <f t="shared" si="94"/>
        <v>0</v>
      </c>
      <c r="R263" s="1759">
        <f t="shared" si="94"/>
        <v>0</v>
      </c>
      <c r="S263" s="1759">
        <f t="shared" si="94"/>
        <v>0</v>
      </c>
      <c r="T263" s="19">
        <f t="shared" si="94"/>
        <v>0</v>
      </c>
      <c r="U263" s="19">
        <f t="shared" si="96"/>
        <v>0</v>
      </c>
      <c r="V263" s="19">
        <f t="shared" si="95"/>
        <v>0</v>
      </c>
      <c r="W263" s="19">
        <f t="shared" si="95"/>
        <v>0</v>
      </c>
      <c r="X263" s="19">
        <f t="shared" si="95"/>
        <v>0</v>
      </c>
      <c r="Y263" s="19">
        <f t="shared" si="95"/>
        <v>0</v>
      </c>
      <c r="Z263" s="602">
        <f t="shared" si="80"/>
        <v>0</v>
      </c>
    </row>
    <row r="264" spans="1:26">
      <c r="A264" s="411"/>
      <c r="C264" s="336">
        <f t="shared" si="86"/>
        <v>224</v>
      </c>
      <c r="D264" s="165" t="str">
        <f t="shared" si="93"/>
        <v>391</v>
      </c>
      <c r="E264" s="247" t="str">
        <f t="shared" si="92"/>
        <v>WFON-G/OFFICE F&amp;E, EDP JOINT</v>
      </c>
      <c r="F264" s="19">
        <f>Asset_Sum!M95</f>
        <v>0</v>
      </c>
      <c r="G264" s="3134" t="str">
        <f t="shared" si="89"/>
        <v>Supervised O&amp;M</v>
      </c>
      <c r="H264" s="19">
        <f t="shared" si="94"/>
        <v>0</v>
      </c>
      <c r="I264" s="19">
        <f t="shared" si="94"/>
        <v>0</v>
      </c>
      <c r="J264" s="19">
        <f t="shared" si="94"/>
        <v>0</v>
      </c>
      <c r="K264" s="19">
        <f t="shared" si="94"/>
        <v>0</v>
      </c>
      <c r="L264" s="19">
        <f t="shared" si="94"/>
        <v>0</v>
      </c>
      <c r="M264" s="19">
        <f t="shared" si="94"/>
        <v>0</v>
      </c>
      <c r="N264" s="19">
        <f t="shared" si="94"/>
        <v>0</v>
      </c>
      <c r="O264" s="19">
        <f t="shared" si="94"/>
        <v>0</v>
      </c>
      <c r="P264" s="19">
        <f t="shared" si="94"/>
        <v>0</v>
      </c>
      <c r="Q264" s="1759">
        <f t="shared" si="94"/>
        <v>0</v>
      </c>
      <c r="R264" s="1759">
        <f t="shared" si="94"/>
        <v>0</v>
      </c>
      <c r="S264" s="1759">
        <f t="shared" si="94"/>
        <v>0</v>
      </c>
      <c r="T264" s="19">
        <f t="shared" si="94"/>
        <v>0</v>
      </c>
      <c r="U264" s="19">
        <f t="shared" si="96"/>
        <v>0</v>
      </c>
      <c r="V264" s="19">
        <f t="shared" si="95"/>
        <v>0</v>
      </c>
      <c r="W264" s="19">
        <f t="shared" si="95"/>
        <v>0</v>
      </c>
      <c r="X264" s="19">
        <f t="shared" si="95"/>
        <v>0</v>
      </c>
      <c r="Y264" s="19">
        <f t="shared" si="95"/>
        <v>0</v>
      </c>
      <c r="Z264" s="602">
        <f t="shared" si="80"/>
        <v>0</v>
      </c>
    </row>
    <row r="265" spans="1:26" hidden="1">
      <c r="A265" s="411"/>
      <c r="C265" s="336">
        <f t="shared" si="86"/>
        <v>225</v>
      </c>
      <c r="D265" s="165" t="str">
        <f t="shared" si="93"/>
        <v>391</v>
      </c>
      <c r="E265" s="247" t="str">
        <f t="shared" si="92"/>
        <v>OFFICE F&amp;E, RC OFFICE</v>
      </c>
      <c r="F265" s="19">
        <f>Asset_Sum!M96</f>
        <v>0</v>
      </c>
      <c r="G265" s="3134" t="str">
        <f t="shared" si="89"/>
        <v>Supervised O&amp;M</v>
      </c>
      <c r="H265" s="19">
        <f t="shared" si="94"/>
        <v>0</v>
      </c>
      <c r="I265" s="19">
        <f t="shared" si="94"/>
        <v>0</v>
      </c>
      <c r="J265" s="19">
        <f t="shared" si="94"/>
        <v>0</v>
      </c>
      <c r="K265" s="19">
        <f t="shared" si="94"/>
        <v>0</v>
      </c>
      <c r="L265" s="19">
        <f t="shared" si="94"/>
        <v>0</v>
      </c>
      <c r="M265" s="19">
        <f t="shared" si="94"/>
        <v>0</v>
      </c>
      <c r="N265" s="19">
        <f t="shared" si="94"/>
        <v>0</v>
      </c>
      <c r="O265" s="19">
        <f t="shared" si="94"/>
        <v>0</v>
      </c>
      <c r="P265" s="19">
        <f t="shared" si="94"/>
        <v>0</v>
      </c>
      <c r="Q265" s="1759">
        <f t="shared" si="94"/>
        <v>0</v>
      </c>
      <c r="R265" s="1759">
        <f t="shared" si="94"/>
        <v>0</v>
      </c>
      <c r="S265" s="1759">
        <f t="shared" si="94"/>
        <v>0</v>
      </c>
      <c r="T265" s="19">
        <f t="shared" si="94"/>
        <v>0</v>
      </c>
      <c r="U265" s="19">
        <f t="shared" si="96"/>
        <v>0</v>
      </c>
      <c r="V265" s="19">
        <f t="shared" si="95"/>
        <v>0</v>
      </c>
      <c r="W265" s="19">
        <f t="shared" si="95"/>
        <v>0</v>
      </c>
      <c r="X265" s="19">
        <f t="shared" si="95"/>
        <v>0</v>
      </c>
      <c r="Y265" s="19">
        <f t="shared" si="95"/>
        <v>0</v>
      </c>
      <c r="Z265" s="602">
        <f t="shared" si="80"/>
        <v>0</v>
      </c>
    </row>
    <row r="266" spans="1:26">
      <c r="A266" s="411"/>
      <c r="C266" s="336">
        <f>MAX(C263:C265)+1</f>
        <v>226</v>
      </c>
      <c r="D266" s="165" t="str">
        <f t="shared" si="93"/>
        <v>392</v>
      </c>
      <c r="E266" s="247" t="str">
        <f t="shared" si="92"/>
        <v>TRANSPORTATION EQUIP</v>
      </c>
      <c r="F266" s="19">
        <f>Asset_Sum!M97</f>
        <v>2776695.8299999908</v>
      </c>
      <c r="G266" s="3134" t="str">
        <f t="shared" si="89"/>
        <v>Supervised O&amp;M</v>
      </c>
      <c r="H266" s="19">
        <f t="shared" si="94"/>
        <v>0</v>
      </c>
      <c r="I266" s="19">
        <f t="shared" si="94"/>
        <v>63979.800555761329</v>
      </c>
      <c r="J266" s="19">
        <f t="shared" si="94"/>
        <v>289912.30956095387</v>
      </c>
      <c r="K266" s="19">
        <f t="shared" si="94"/>
        <v>439062.00053018663</v>
      </c>
      <c r="L266" s="19">
        <f t="shared" si="94"/>
        <v>81715.342195030753</v>
      </c>
      <c r="M266" s="19">
        <f t="shared" si="94"/>
        <v>0</v>
      </c>
      <c r="N266" s="19">
        <f t="shared" si="94"/>
        <v>0</v>
      </c>
      <c r="O266" s="19">
        <f t="shared" si="94"/>
        <v>133605.32670016319</v>
      </c>
      <c r="P266" s="19">
        <f t="shared" si="94"/>
        <v>82769.197399713434</v>
      </c>
      <c r="Q266" s="1759">
        <f t="shared" si="94"/>
        <v>520872.34577006957</v>
      </c>
      <c r="R266" s="1759">
        <f t="shared" si="94"/>
        <v>61507.515961775382</v>
      </c>
      <c r="S266" s="1759">
        <f t="shared" si="94"/>
        <v>161862.62520511591</v>
      </c>
      <c r="T266" s="19">
        <f t="shared" si="94"/>
        <v>36601.619512280864</v>
      </c>
      <c r="U266" s="19">
        <f t="shared" si="96"/>
        <v>301655.02520128322</v>
      </c>
      <c r="V266" s="19">
        <f t="shared" si="95"/>
        <v>560500.19515717262</v>
      </c>
      <c r="W266" s="19">
        <f t="shared" si="95"/>
        <v>12225.195389543376</v>
      </c>
      <c r="X266" s="19">
        <f t="shared" si="95"/>
        <v>30427.366628505129</v>
      </c>
      <c r="Y266" s="19">
        <f t="shared" si="95"/>
        <v>0</v>
      </c>
      <c r="Z266" s="602">
        <f t="shared" si="80"/>
        <v>3.5767564550042152E-2</v>
      </c>
    </row>
    <row r="267" spans="1:26" hidden="1">
      <c r="A267" s="411"/>
      <c r="C267" s="336">
        <f>MAX(C263:C265)+1</f>
        <v>226</v>
      </c>
      <c r="D267" s="165" t="str">
        <f t="shared" si="93"/>
        <v>393</v>
      </c>
      <c r="E267" s="247" t="str">
        <f t="shared" si="92"/>
        <v>STORES EQUIP</v>
      </c>
      <c r="F267" s="19">
        <f>Asset_Sum!M98</f>
        <v>0</v>
      </c>
      <c r="G267" s="3134" t="str">
        <f t="shared" ref="G267:G298" si="97">G106</f>
        <v>Supervised O&amp;M</v>
      </c>
      <c r="H267" s="19">
        <f t="shared" ref="H267:T276" si="98">$F267*SUMIF($E$338:$E$359,$G267,H$338:H$359)</f>
        <v>0</v>
      </c>
      <c r="I267" s="19">
        <f t="shared" si="98"/>
        <v>0</v>
      </c>
      <c r="J267" s="19">
        <f t="shared" si="98"/>
        <v>0</v>
      </c>
      <c r="K267" s="19">
        <f t="shared" si="98"/>
        <v>0</v>
      </c>
      <c r="L267" s="19">
        <f t="shared" si="98"/>
        <v>0</v>
      </c>
      <c r="M267" s="19">
        <f t="shared" si="98"/>
        <v>0</v>
      </c>
      <c r="N267" s="19">
        <f t="shared" si="98"/>
        <v>0</v>
      </c>
      <c r="O267" s="19">
        <f t="shared" si="98"/>
        <v>0</v>
      </c>
      <c r="P267" s="19">
        <f t="shared" si="98"/>
        <v>0</v>
      </c>
      <c r="Q267" s="1759">
        <f t="shared" si="98"/>
        <v>0</v>
      </c>
      <c r="R267" s="1759">
        <f t="shared" si="98"/>
        <v>0</v>
      </c>
      <c r="S267" s="1759">
        <f t="shared" si="98"/>
        <v>0</v>
      </c>
      <c r="T267" s="19">
        <f t="shared" si="98"/>
        <v>0</v>
      </c>
      <c r="U267" s="19">
        <f t="shared" si="96"/>
        <v>0</v>
      </c>
      <c r="V267" s="19">
        <f t="shared" si="95"/>
        <v>0</v>
      </c>
      <c r="W267" s="19">
        <f t="shared" si="95"/>
        <v>0</v>
      </c>
      <c r="X267" s="19">
        <f t="shared" si="95"/>
        <v>0</v>
      </c>
      <c r="Y267" s="19">
        <f t="shared" si="95"/>
        <v>0</v>
      </c>
      <c r="Z267" s="602">
        <f t="shared" si="80"/>
        <v>0</v>
      </c>
    </row>
    <row r="268" spans="1:26" hidden="1">
      <c r="A268" s="411"/>
      <c r="C268" s="336">
        <f>MAX(C264:C266)+1</f>
        <v>227</v>
      </c>
      <c r="D268" s="165" t="str">
        <f t="shared" si="93"/>
        <v>393</v>
      </c>
      <c r="E268" s="247" t="str">
        <f t="shared" si="92"/>
        <v>STORES EQUIP, EPH WHSE</v>
      </c>
      <c r="F268" s="19">
        <f>Asset_Sum!M99</f>
        <v>0</v>
      </c>
      <c r="G268" s="3134" t="str">
        <f t="shared" si="97"/>
        <v>Supervised O&amp;M</v>
      </c>
      <c r="H268" s="19">
        <f t="shared" si="98"/>
        <v>0</v>
      </c>
      <c r="I268" s="19">
        <f t="shared" si="98"/>
        <v>0</v>
      </c>
      <c r="J268" s="19">
        <f t="shared" si="98"/>
        <v>0</v>
      </c>
      <c r="K268" s="19">
        <f t="shared" si="98"/>
        <v>0</v>
      </c>
      <c r="L268" s="19">
        <f t="shared" si="98"/>
        <v>0</v>
      </c>
      <c r="M268" s="19">
        <f t="shared" si="98"/>
        <v>0</v>
      </c>
      <c r="N268" s="19">
        <f t="shared" si="98"/>
        <v>0</v>
      </c>
      <c r="O268" s="19">
        <f t="shared" si="98"/>
        <v>0</v>
      </c>
      <c r="P268" s="19">
        <f t="shared" si="98"/>
        <v>0</v>
      </c>
      <c r="Q268" s="1759">
        <f t="shared" si="98"/>
        <v>0</v>
      </c>
      <c r="R268" s="1759">
        <f t="shared" si="98"/>
        <v>0</v>
      </c>
      <c r="S268" s="1759">
        <f t="shared" si="98"/>
        <v>0</v>
      </c>
      <c r="T268" s="19">
        <f t="shared" si="98"/>
        <v>0</v>
      </c>
      <c r="U268" s="19">
        <f t="shared" si="96"/>
        <v>0</v>
      </c>
      <c r="V268" s="19">
        <f t="shared" si="95"/>
        <v>0</v>
      </c>
      <c r="W268" s="19">
        <f t="shared" si="95"/>
        <v>0</v>
      </c>
      <c r="X268" s="19">
        <f t="shared" si="95"/>
        <v>0</v>
      </c>
      <c r="Y268" s="19">
        <f t="shared" si="95"/>
        <v>0</v>
      </c>
      <c r="Z268" s="602">
        <f t="shared" si="80"/>
        <v>0</v>
      </c>
    </row>
    <row r="269" spans="1:26" hidden="1">
      <c r="A269" s="411"/>
      <c r="C269" s="336">
        <f>MAX(C265:C268)+1</f>
        <v>228</v>
      </c>
      <c r="D269" s="165" t="str">
        <f t="shared" si="93"/>
        <v>393</v>
      </c>
      <c r="E269" s="247" t="str">
        <f t="shared" si="92"/>
        <v>STORES EQUIP, ML WHSE</v>
      </c>
      <c r="F269" s="19">
        <f>Asset_Sum!M100</f>
        <v>0</v>
      </c>
      <c r="G269" s="3134" t="str">
        <f t="shared" si="97"/>
        <v>Supervised O&amp;M</v>
      </c>
      <c r="H269" s="19">
        <f t="shared" si="98"/>
        <v>0</v>
      </c>
      <c r="I269" s="19">
        <f t="shared" si="98"/>
        <v>0</v>
      </c>
      <c r="J269" s="19">
        <f t="shared" si="98"/>
        <v>0</v>
      </c>
      <c r="K269" s="19">
        <f t="shared" si="98"/>
        <v>0</v>
      </c>
      <c r="L269" s="19">
        <f t="shared" si="98"/>
        <v>0</v>
      </c>
      <c r="M269" s="19">
        <f t="shared" si="98"/>
        <v>0</v>
      </c>
      <c r="N269" s="19">
        <f t="shared" si="98"/>
        <v>0</v>
      </c>
      <c r="O269" s="19">
        <f t="shared" si="98"/>
        <v>0</v>
      </c>
      <c r="P269" s="19">
        <f t="shared" si="98"/>
        <v>0</v>
      </c>
      <c r="Q269" s="1759">
        <f t="shared" si="98"/>
        <v>0</v>
      </c>
      <c r="R269" s="1759">
        <f t="shared" si="98"/>
        <v>0</v>
      </c>
      <c r="S269" s="1759">
        <f t="shared" si="98"/>
        <v>0</v>
      </c>
      <c r="T269" s="19">
        <f t="shared" si="98"/>
        <v>0</v>
      </c>
      <c r="U269" s="19">
        <f t="shared" si="96"/>
        <v>0</v>
      </c>
      <c r="V269" s="19">
        <f t="shared" si="95"/>
        <v>0</v>
      </c>
      <c r="W269" s="19">
        <f t="shared" si="95"/>
        <v>0</v>
      </c>
      <c r="X269" s="19">
        <f t="shared" si="95"/>
        <v>0</v>
      </c>
      <c r="Y269" s="19">
        <f t="shared" si="95"/>
        <v>0</v>
      </c>
      <c r="Z269" s="602">
        <f t="shared" si="80"/>
        <v>0</v>
      </c>
    </row>
    <row r="270" spans="1:26" hidden="1">
      <c r="A270" s="411"/>
      <c r="C270" s="336">
        <f>MAX(C266:C269)+1</f>
        <v>229</v>
      </c>
      <c r="D270" s="165" t="str">
        <f t="shared" si="93"/>
        <v>393</v>
      </c>
      <c r="E270" s="247" t="str">
        <f t="shared" si="92"/>
        <v>STORES EQUIP, QUINCY WHSE</v>
      </c>
      <c r="F270" s="19">
        <f>Asset_Sum!M101</f>
        <v>0</v>
      </c>
      <c r="G270" s="3134" t="str">
        <f t="shared" si="97"/>
        <v>Supervised O&amp;M</v>
      </c>
      <c r="H270" s="19">
        <f t="shared" si="98"/>
        <v>0</v>
      </c>
      <c r="I270" s="19">
        <f t="shared" si="98"/>
        <v>0</v>
      </c>
      <c r="J270" s="19">
        <f t="shared" si="98"/>
        <v>0</v>
      </c>
      <c r="K270" s="19">
        <f t="shared" si="98"/>
        <v>0</v>
      </c>
      <c r="L270" s="19">
        <f t="shared" si="98"/>
        <v>0</v>
      </c>
      <c r="M270" s="19">
        <f t="shared" si="98"/>
        <v>0</v>
      </c>
      <c r="N270" s="19">
        <f t="shared" si="98"/>
        <v>0</v>
      </c>
      <c r="O270" s="19">
        <f t="shared" si="98"/>
        <v>0</v>
      </c>
      <c r="P270" s="19">
        <f t="shared" si="98"/>
        <v>0</v>
      </c>
      <c r="Q270" s="1759">
        <f t="shared" si="98"/>
        <v>0</v>
      </c>
      <c r="R270" s="1759">
        <f t="shared" si="98"/>
        <v>0</v>
      </c>
      <c r="S270" s="1759">
        <f t="shared" si="98"/>
        <v>0</v>
      </c>
      <c r="T270" s="19">
        <f t="shared" si="98"/>
        <v>0</v>
      </c>
      <c r="U270" s="19">
        <f t="shared" si="96"/>
        <v>0</v>
      </c>
      <c r="V270" s="19">
        <f t="shared" si="95"/>
        <v>0</v>
      </c>
      <c r="W270" s="19">
        <f t="shared" si="95"/>
        <v>0</v>
      </c>
      <c r="X270" s="19">
        <f t="shared" si="95"/>
        <v>0</v>
      </c>
      <c r="Y270" s="19">
        <f t="shared" si="95"/>
        <v>0</v>
      </c>
      <c r="Z270" s="602">
        <f t="shared" si="80"/>
        <v>0</v>
      </c>
    </row>
    <row r="271" spans="1:26" hidden="1">
      <c r="A271" s="411"/>
      <c r="C271" s="336">
        <f t="shared" si="86"/>
        <v>230</v>
      </c>
      <c r="D271" s="165" t="str">
        <f t="shared" si="93"/>
        <v>393</v>
      </c>
      <c r="E271" s="247" t="str">
        <f t="shared" si="92"/>
        <v>STORES EQUIP, QUINCY YARD</v>
      </c>
      <c r="F271" s="19">
        <f>Asset_Sum!M102</f>
        <v>0</v>
      </c>
      <c r="G271" s="3134" t="str">
        <f t="shared" si="97"/>
        <v>Supervised O&amp;M</v>
      </c>
      <c r="H271" s="19">
        <f t="shared" si="98"/>
        <v>0</v>
      </c>
      <c r="I271" s="19">
        <f t="shared" si="98"/>
        <v>0</v>
      </c>
      <c r="J271" s="19">
        <f t="shared" si="98"/>
        <v>0</v>
      </c>
      <c r="K271" s="19">
        <f t="shared" si="98"/>
        <v>0</v>
      </c>
      <c r="L271" s="19">
        <f t="shared" si="98"/>
        <v>0</v>
      </c>
      <c r="M271" s="19">
        <f t="shared" si="98"/>
        <v>0</v>
      </c>
      <c r="N271" s="19">
        <f t="shared" si="98"/>
        <v>0</v>
      </c>
      <c r="O271" s="19">
        <f t="shared" si="98"/>
        <v>0</v>
      </c>
      <c r="P271" s="19">
        <f t="shared" si="98"/>
        <v>0</v>
      </c>
      <c r="Q271" s="1759">
        <f t="shared" si="98"/>
        <v>0</v>
      </c>
      <c r="R271" s="1759">
        <f t="shared" si="98"/>
        <v>0</v>
      </c>
      <c r="S271" s="1759">
        <f t="shared" si="98"/>
        <v>0</v>
      </c>
      <c r="T271" s="19">
        <f t="shared" si="98"/>
        <v>0</v>
      </c>
      <c r="U271" s="19">
        <f t="shared" si="96"/>
        <v>0</v>
      </c>
      <c r="V271" s="19">
        <f t="shared" si="95"/>
        <v>0</v>
      </c>
      <c r="W271" s="19">
        <f t="shared" si="95"/>
        <v>0</v>
      </c>
      <c r="X271" s="19">
        <f t="shared" si="95"/>
        <v>0</v>
      </c>
      <c r="Y271" s="19">
        <f t="shared" si="95"/>
        <v>0</v>
      </c>
      <c r="Z271" s="602">
        <f t="shared" si="80"/>
        <v>0</v>
      </c>
    </row>
    <row r="272" spans="1:26" hidden="1">
      <c r="A272" s="411"/>
      <c r="C272" s="336">
        <f t="shared" si="86"/>
        <v>231</v>
      </c>
      <c r="D272" s="165" t="str">
        <f t="shared" si="93"/>
        <v>393</v>
      </c>
      <c r="E272" s="247" t="str">
        <f t="shared" si="92"/>
        <v>STORES EQUIP, GC OFFICE</v>
      </c>
      <c r="F272" s="19">
        <f>Asset_Sum!M103</f>
        <v>0</v>
      </c>
      <c r="G272" s="3134" t="str">
        <f t="shared" si="97"/>
        <v>Supervised O&amp;M</v>
      </c>
      <c r="H272" s="19">
        <f t="shared" si="98"/>
        <v>0</v>
      </c>
      <c r="I272" s="19">
        <f t="shared" si="98"/>
        <v>0</v>
      </c>
      <c r="J272" s="19">
        <f t="shared" si="98"/>
        <v>0</v>
      </c>
      <c r="K272" s="19">
        <f t="shared" si="98"/>
        <v>0</v>
      </c>
      <c r="L272" s="19">
        <f t="shared" si="98"/>
        <v>0</v>
      </c>
      <c r="M272" s="19">
        <f t="shared" si="98"/>
        <v>0</v>
      </c>
      <c r="N272" s="19">
        <f t="shared" si="98"/>
        <v>0</v>
      </c>
      <c r="O272" s="19">
        <f t="shared" si="98"/>
        <v>0</v>
      </c>
      <c r="P272" s="19">
        <f t="shared" si="98"/>
        <v>0</v>
      </c>
      <c r="Q272" s="1759">
        <f t="shared" si="98"/>
        <v>0</v>
      </c>
      <c r="R272" s="1759">
        <f t="shared" si="98"/>
        <v>0</v>
      </c>
      <c r="S272" s="1759">
        <f t="shared" si="98"/>
        <v>0</v>
      </c>
      <c r="T272" s="19">
        <f t="shared" si="98"/>
        <v>0</v>
      </c>
      <c r="U272" s="19">
        <f t="shared" si="96"/>
        <v>0</v>
      </c>
      <c r="V272" s="19">
        <f t="shared" si="95"/>
        <v>0</v>
      </c>
      <c r="W272" s="19">
        <f t="shared" si="95"/>
        <v>0</v>
      </c>
      <c r="X272" s="19">
        <f t="shared" si="95"/>
        <v>0</v>
      </c>
      <c r="Y272" s="19">
        <f t="shared" si="95"/>
        <v>0</v>
      </c>
      <c r="Z272" s="602">
        <f t="shared" si="80"/>
        <v>0</v>
      </c>
    </row>
    <row r="273" spans="1:26" hidden="1">
      <c r="A273" s="411"/>
      <c r="C273" s="336">
        <f t="shared" si="86"/>
        <v>232</v>
      </c>
      <c r="D273" s="165" t="str">
        <f t="shared" si="93"/>
        <v>393</v>
      </c>
      <c r="E273" s="247" t="str">
        <f t="shared" si="92"/>
        <v>STORES EQUIP, RC WHSE</v>
      </c>
      <c r="F273" s="19">
        <f>Asset_Sum!M104</f>
        <v>0</v>
      </c>
      <c r="G273" s="3134" t="str">
        <f t="shared" si="97"/>
        <v>Supervised O&amp;M</v>
      </c>
      <c r="H273" s="19">
        <f t="shared" si="98"/>
        <v>0</v>
      </c>
      <c r="I273" s="19">
        <f t="shared" si="98"/>
        <v>0</v>
      </c>
      <c r="J273" s="19">
        <f t="shared" si="98"/>
        <v>0</v>
      </c>
      <c r="K273" s="19">
        <f t="shared" si="98"/>
        <v>0</v>
      </c>
      <c r="L273" s="19">
        <f t="shared" si="98"/>
        <v>0</v>
      </c>
      <c r="M273" s="19">
        <f t="shared" si="98"/>
        <v>0</v>
      </c>
      <c r="N273" s="19">
        <f t="shared" si="98"/>
        <v>0</v>
      </c>
      <c r="O273" s="19">
        <f t="shared" si="98"/>
        <v>0</v>
      </c>
      <c r="P273" s="19">
        <f t="shared" si="98"/>
        <v>0</v>
      </c>
      <c r="Q273" s="1759">
        <f t="shared" si="98"/>
        <v>0</v>
      </c>
      <c r="R273" s="1759">
        <f t="shared" si="98"/>
        <v>0</v>
      </c>
      <c r="S273" s="1759">
        <f t="shared" si="98"/>
        <v>0</v>
      </c>
      <c r="T273" s="19">
        <f t="shared" si="98"/>
        <v>0</v>
      </c>
      <c r="U273" s="19">
        <f t="shared" si="96"/>
        <v>0</v>
      </c>
      <c r="V273" s="19">
        <f t="shared" si="95"/>
        <v>0</v>
      </c>
      <c r="W273" s="19">
        <f t="shared" si="95"/>
        <v>0</v>
      </c>
      <c r="X273" s="19">
        <f t="shared" si="95"/>
        <v>0</v>
      </c>
      <c r="Y273" s="19">
        <f t="shared" si="95"/>
        <v>0</v>
      </c>
      <c r="Z273" s="602">
        <f t="shared" si="80"/>
        <v>0</v>
      </c>
    </row>
    <row r="274" spans="1:26">
      <c r="A274" s="411"/>
      <c r="C274" s="336">
        <f>MAX(C270:C272)+1</f>
        <v>232</v>
      </c>
      <c r="D274" s="165" t="str">
        <f t="shared" si="93"/>
        <v>394</v>
      </c>
      <c r="E274" s="247" t="str">
        <f t="shared" si="92"/>
        <v>TOOLS</v>
      </c>
      <c r="F274" s="19">
        <f>Asset_Sum!M105</f>
        <v>2186825.7300000004</v>
      </c>
      <c r="G274" s="3134" t="str">
        <f t="shared" si="97"/>
        <v>Supervised O&amp;M</v>
      </c>
      <c r="H274" s="19">
        <f t="shared" si="98"/>
        <v>0</v>
      </c>
      <c r="I274" s="19">
        <f t="shared" si="98"/>
        <v>50388.188920068955</v>
      </c>
      <c r="J274" s="19">
        <f t="shared" si="98"/>
        <v>228324.5039452597</v>
      </c>
      <c r="K274" s="19">
        <f t="shared" si="98"/>
        <v>345789.43413643155</v>
      </c>
      <c r="L274" s="19">
        <f t="shared" si="98"/>
        <v>64356.06338914283</v>
      </c>
      <c r="M274" s="19">
        <f t="shared" si="98"/>
        <v>0</v>
      </c>
      <c r="N274" s="19">
        <f t="shared" si="98"/>
        <v>0</v>
      </c>
      <c r="O274" s="19">
        <f t="shared" si="98"/>
        <v>105222.74818015407</v>
      </c>
      <c r="P274" s="19">
        <f t="shared" si="98"/>
        <v>65186.041830567767</v>
      </c>
      <c r="Q274" s="1759">
        <f t="shared" si="98"/>
        <v>410220.31850548385</v>
      </c>
      <c r="R274" s="1759">
        <f t="shared" si="98"/>
        <v>48441.106526816293</v>
      </c>
      <c r="S274" s="1759">
        <f t="shared" si="98"/>
        <v>127477.17978310042</v>
      </c>
      <c r="T274" s="19">
        <f t="shared" si="98"/>
        <v>28826.118599071087</v>
      </c>
      <c r="U274" s="19">
        <f t="shared" si="96"/>
        <v>237572.64427986226</v>
      </c>
      <c r="V274" s="19">
        <f t="shared" si="95"/>
        <v>441429.78687000473</v>
      </c>
      <c r="W274" s="19">
        <f t="shared" si="95"/>
        <v>9628.1240254287859</v>
      </c>
      <c r="X274" s="19">
        <f t="shared" si="95"/>
        <v>23963.499177855072</v>
      </c>
      <c r="Y274" s="19">
        <f t="shared" si="95"/>
        <v>0</v>
      </c>
      <c r="Z274" s="602">
        <f t="shared" si="80"/>
        <v>2.8169246856123209E-2</v>
      </c>
    </row>
    <row r="275" spans="1:26" hidden="1">
      <c r="A275" s="411"/>
      <c r="C275" s="336">
        <f>MAX(C271:C273)+1</f>
        <v>233</v>
      </c>
      <c r="D275" s="165" t="str">
        <f t="shared" si="93"/>
        <v>394</v>
      </c>
      <c r="E275" s="247" t="str">
        <f t="shared" si="92"/>
        <v>TOOLS, EHP OFFICE</v>
      </c>
      <c r="F275" s="19">
        <f>Asset_Sum!M106</f>
        <v>0</v>
      </c>
      <c r="G275" s="3134" t="str">
        <f t="shared" si="97"/>
        <v>Supervised O&amp;M</v>
      </c>
      <c r="H275" s="19">
        <f t="shared" si="98"/>
        <v>0</v>
      </c>
      <c r="I275" s="19">
        <f t="shared" si="98"/>
        <v>0</v>
      </c>
      <c r="J275" s="19">
        <f t="shared" si="98"/>
        <v>0</v>
      </c>
      <c r="K275" s="19">
        <f t="shared" si="98"/>
        <v>0</v>
      </c>
      <c r="L275" s="19">
        <f t="shared" si="98"/>
        <v>0</v>
      </c>
      <c r="M275" s="19">
        <f t="shared" si="98"/>
        <v>0</v>
      </c>
      <c r="N275" s="19">
        <f t="shared" si="98"/>
        <v>0</v>
      </c>
      <c r="O275" s="19">
        <f t="shared" si="98"/>
        <v>0</v>
      </c>
      <c r="P275" s="19">
        <f t="shared" si="98"/>
        <v>0</v>
      </c>
      <c r="Q275" s="1759">
        <f t="shared" si="98"/>
        <v>0</v>
      </c>
      <c r="R275" s="1759">
        <f t="shared" si="98"/>
        <v>0</v>
      </c>
      <c r="S275" s="1759">
        <f t="shared" si="98"/>
        <v>0</v>
      </c>
      <c r="T275" s="19">
        <f t="shared" si="98"/>
        <v>0</v>
      </c>
      <c r="U275" s="19">
        <f t="shared" si="96"/>
        <v>0</v>
      </c>
      <c r="V275" s="19">
        <f t="shared" si="95"/>
        <v>0</v>
      </c>
      <c r="W275" s="19">
        <f t="shared" si="95"/>
        <v>0</v>
      </c>
      <c r="X275" s="19">
        <f t="shared" si="95"/>
        <v>0</v>
      </c>
      <c r="Y275" s="19">
        <f t="shared" si="95"/>
        <v>0</v>
      </c>
      <c r="Z275" s="602">
        <f t="shared" si="80"/>
        <v>0</v>
      </c>
    </row>
    <row r="276" spans="1:26" hidden="1">
      <c r="A276" s="411"/>
      <c r="C276" s="336">
        <f>MAX(C272:C275)+1</f>
        <v>234</v>
      </c>
      <c r="D276" s="165" t="str">
        <f t="shared" si="93"/>
        <v>394</v>
      </c>
      <c r="E276" s="247" t="str">
        <f t="shared" si="92"/>
        <v>TOOLS, EHP GARAGE</v>
      </c>
      <c r="F276" s="19">
        <f>Asset_Sum!M107</f>
        <v>0</v>
      </c>
      <c r="G276" s="3134" t="str">
        <f t="shared" si="97"/>
        <v>Supervised O&amp;M</v>
      </c>
      <c r="H276" s="19">
        <f t="shared" si="98"/>
        <v>0</v>
      </c>
      <c r="I276" s="19">
        <f t="shared" si="98"/>
        <v>0</v>
      </c>
      <c r="J276" s="19">
        <f t="shared" si="98"/>
        <v>0</v>
      </c>
      <c r="K276" s="19">
        <f t="shared" si="98"/>
        <v>0</v>
      </c>
      <c r="L276" s="19">
        <f t="shared" si="98"/>
        <v>0</v>
      </c>
      <c r="M276" s="19">
        <f t="shared" si="98"/>
        <v>0</v>
      </c>
      <c r="N276" s="19">
        <f t="shared" si="98"/>
        <v>0</v>
      </c>
      <c r="O276" s="19">
        <f t="shared" si="98"/>
        <v>0</v>
      </c>
      <c r="P276" s="19">
        <f t="shared" si="98"/>
        <v>0</v>
      </c>
      <c r="Q276" s="1759">
        <f t="shared" si="98"/>
        <v>0</v>
      </c>
      <c r="R276" s="1759">
        <f t="shared" si="98"/>
        <v>0</v>
      </c>
      <c r="S276" s="1759">
        <f t="shared" si="98"/>
        <v>0</v>
      </c>
      <c r="T276" s="19">
        <f t="shared" si="98"/>
        <v>0</v>
      </c>
      <c r="U276" s="19">
        <f t="shared" si="96"/>
        <v>0</v>
      </c>
      <c r="V276" s="19">
        <f t="shared" si="95"/>
        <v>0</v>
      </c>
      <c r="W276" s="19">
        <f t="shared" si="95"/>
        <v>0</v>
      </c>
      <c r="X276" s="19">
        <f t="shared" si="95"/>
        <v>0</v>
      </c>
      <c r="Y276" s="19">
        <f t="shared" si="95"/>
        <v>0</v>
      </c>
      <c r="Z276" s="602">
        <f t="shared" si="80"/>
        <v>0</v>
      </c>
    </row>
    <row r="277" spans="1:26" hidden="1">
      <c r="A277" s="411"/>
      <c r="C277" s="336">
        <f>MAX(C273:C276)+1</f>
        <v>235</v>
      </c>
      <c r="D277" s="165" t="str">
        <f t="shared" si="93"/>
        <v>394</v>
      </c>
      <c r="E277" s="247" t="str">
        <f t="shared" si="92"/>
        <v>TOOLS, EHP LINE OFFICE</v>
      </c>
      <c r="F277" s="19">
        <f>Asset_Sum!M108</f>
        <v>0</v>
      </c>
      <c r="G277" s="3134" t="str">
        <f t="shared" si="97"/>
        <v>Supervised O&amp;M</v>
      </c>
      <c r="H277" s="19">
        <f t="shared" ref="H277:T286" si="99">$F277*SUMIF($E$338:$E$359,$G277,H$338:H$359)</f>
        <v>0</v>
      </c>
      <c r="I277" s="19">
        <f t="shared" si="99"/>
        <v>0</v>
      </c>
      <c r="J277" s="19">
        <f t="shared" si="99"/>
        <v>0</v>
      </c>
      <c r="K277" s="19">
        <f t="shared" si="99"/>
        <v>0</v>
      </c>
      <c r="L277" s="19">
        <f t="shared" si="99"/>
        <v>0</v>
      </c>
      <c r="M277" s="19">
        <f t="shared" si="99"/>
        <v>0</v>
      </c>
      <c r="N277" s="19">
        <f t="shared" si="99"/>
        <v>0</v>
      </c>
      <c r="O277" s="19">
        <f t="shared" si="99"/>
        <v>0</v>
      </c>
      <c r="P277" s="19">
        <f t="shared" si="99"/>
        <v>0</v>
      </c>
      <c r="Q277" s="1759">
        <f t="shared" si="99"/>
        <v>0</v>
      </c>
      <c r="R277" s="1759">
        <f t="shared" si="99"/>
        <v>0</v>
      </c>
      <c r="S277" s="1759">
        <f t="shared" si="99"/>
        <v>0</v>
      </c>
      <c r="T277" s="19">
        <f t="shared" si="99"/>
        <v>0</v>
      </c>
      <c r="U277" s="19">
        <f t="shared" si="96"/>
        <v>0</v>
      </c>
      <c r="V277" s="19">
        <f t="shared" ref="V277:Y296" si="100">$F277*SUMIF($E$338:$E$359,$G277,V$338:V$359)</f>
        <v>0</v>
      </c>
      <c r="W277" s="19">
        <f t="shared" si="100"/>
        <v>0</v>
      </c>
      <c r="X277" s="19">
        <f t="shared" si="100"/>
        <v>0</v>
      </c>
      <c r="Y277" s="19">
        <f t="shared" si="100"/>
        <v>0</v>
      </c>
      <c r="Z277" s="602">
        <f t="shared" si="80"/>
        <v>0</v>
      </c>
    </row>
    <row r="278" spans="1:26" hidden="1">
      <c r="A278" s="411"/>
      <c r="C278" s="336">
        <f t="shared" si="86"/>
        <v>236</v>
      </c>
      <c r="D278" s="165" t="str">
        <f t="shared" si="93"/>
        <v>394</v>
      </c>
      <c r="E278" s="247" t="str">
        <f t="shared" si="92"/>
        <v>TOOLS, EHP METER SHOP</v>
      </c>
      <c r="F278" s="19">
        <f>Asset_Sum!M109</f>
        <v>0</v>
      </c>
      <c r="G278" s="3134" t="str">
        <f t="shared" si="97"/>
        <v>Supervised O&amp;M</v>
      </c>
      <c r="H278" s="19">
        <f t="shared" si="99"/>
        <v>0</v>
      </c>
      <c r="I278" s="19">
        <f t="shared" si="99"/>
        <v>0</v>
      </c>
      <c r="J278" s="19">
        <f t="shared" si="99"/>
        <v>0</v>
      </c>
      <c r="K278" s="19">
        <f t="shared" si="99"/>
        <v>0</v>
      </c>
      <c r="L278" s="19">
        <f t="shared" si="99"/>
        <v>0</v>
      </c>
      <c r="M278" s="19">
        <f t="shared" si="99"/>
        <v>0</v>
      </c>
      <c r="N278" s="19">
        <f t="shared" si="99"/>
        <v>0</v>
      </c>
      <c r="O278" s="19">
        <f t="shared" si="99"/>
        <v>0</v>
      </c>
      <c r="P278" s="19">
        <f t="shared" si="99"/>
        <v>0</v>
      </c>
      <c r="Q278" s="1759">
        <f t="shared" si="99"/>
        <v>0</v>
      </c>
      <c r="R278" s="1759">
        <f t="shared" si="99"/>
        <v>0</v>
      </c>
      <c r="S278" s="1759">
        <f t="shared" si="99"/>
        <v>0</v>
      </c>
      <c r="T278" s="19">
        <f t="shared" si="99"/>
        <v>0</v>
      </c>
      <c r="U278" s="19">
        <f>F278</f>
        <v>0</v>
      </c>
      <c r="V278" s="19">
        <f t="shared" si="100"/>
        <v>0</v>
      </c>
      <c r="W278" s="19">
        <f t="shared" si="100"/>
        <v>0</v>
      </c>
      <c r="X278" s="19">
        <f t="shared" si="100"/>
        <v>0</v>
      </c>
      <c r="Y278" s="19">
        <f t="shared" si="100"/>
        <v>0</v>
      </c>
      <c r="Z278" s="602">
        <f t="shared" si="80"/>
        <v>0</v>
      </c>
    </row>
    <row r="279" spans="1:26" hidden="1">
      <c r="A279" s="411"/>
      <c r="C279" s="336">
        <f t="shared" si="86"/>
        <v>237</v>
      </c>
      <c r="D279" s="165" t="str">
        <f t="shared" si="93"/>
        <v>394</v>
      </c>
      <c r="E279" s="247" t="str">
        <f t="shared" si="92"/>
        <v>TOOLS, MOSES LAKE</v>
      </c>
      <c r="F279" s="19">
        <f>Asset_Sum!M110</f>
        <v>0</v>
      </c>
      <c r="G279" s="3134" t="str">
        <f t="shared" si="97"/>
        <v>Supervised O&amp;M</v>
      </c>
      <c r="H279" s="19">
        <f t="shared" si="99"/>
        <v>0</v>
      </c>
      <c r="I279" s="19">
        <f t="shared" si="99"/>
        <v>0</v>
      </c>
      <c r="J279" s="19">
        <f t="shared" si="99"/>
        <v>0</v>
      </c>
      <c r="K279" s="19">
        <f t="shared" si="99"/>
        <v>0</v>
      </c>
      <c r="L279" s="19">
        <f t="shared" si="99"/>
        <v>0</v>
      </c>
      <c r="M279" s="19">
        <f t="shared" si="99"/>
        <v>0</v>
      </c>
      <c r="N279" s="19">
        <f t="shared" si="99"/>
        <v>0</v>
      </c>
      <c r="O279" s="19">
        <f t="shared" si="99"/>
        <v>0</v>
      </c>
      <c r="P279" s="19">
        <f t="shared" si="99"/>
        <v>0</v>
      </c>
      <c r="Q279" s="1759">
        <f t="shared" si="99"/>
        <v>0</v>
      </c>
      <c r="R279" s="1759">
        <f t="shared" si="99"/>
        <v>0</v>
      </c>
      <c r="S279" s="1759">
        <f t="shared" si="99"/>
        <v>0</v>
      </c>
      <c r="T279" s="19">
        <f t="shared" si="99"/>
        <v>0</v>
      </c>
      <c r="U279" s="19">
        <f t="shared" ref="U279:U284" si="101">$F279*SUMIF($E$338:$E$359,$G279,U$338:U$359)</f>
        <v>0</v>
      </c>
      <c r="V279" s="19">
        <f t="shared" si="100"/>
        <v>0</v>
      </c>
      <c r="W279" s="19">
        <f t="shared" si="100"/>
        <v>0</v>
      </c>
      <c r="X279" s="19">
        <f t="shared" si="100"/>
        <v>0</v>
      </c>
      <c r="Y279" s="19">
        <f t="shared" si="100"/>
        <v>0</v>
      </c>
      <c r="Z279" s="602">
        <f t="shared" si="80"/>
        <v>0</v>
      </c>
    </row>
    <row r="280" spans="1:26" hidden="1">
      <c r="A280" s="411"/>
      <c r="C280" s="336">
        <f t="shared" si="86"/>
        <v>238</v>
      </c>
      <c r="D280" s="165" t="str">
        <f t="shared" si="93"/>
        <v>394</v>
      </c>
      <c r="E280" s="247" t="str">
        <f t="shared" si="92"/>
        <v>TOOLS, QUINCY</v>
      </c>
      <c r="F280" s="19">
        <f>Asset_Sum!M111</f>
        <v>0</v>
      </c>
      <c r="G280" s="3134" t="str">
        <f t="shared" si="97"/>
        <v>Supervised O&amp;M</v>
      </c>
      <c r="H280" s="19">
        <f t="shared" si="99"/>
        <v>0</v>
      </c>
      <c r="I280" s="19">
        <f t="shared" si="99"/>
        <v>0</v>
      </c>
      <c r="J280" s="19">
        <f t="shared" si="99"/>
        <v>0</v>
      </c>
      <c r="K280" s="19">
        <f t="shared" si="99"/>
        <v>0</v>
      </c>
      <c r="L280" s="19">
        <f t="shared" si="99"/>
        <v>0</v>
      </c>
      <c r="M280" s="19">
        <f t="shared" si="99"/>
        <v>0</v>
      </c>
      <c r="N280" s="19">
        <f t="shared" si="99"/>
        <v>0</v>
      </c>
      <c r="O280" s="19">
        <f t="shared" si="99"/>
        <v>0</v>
      </c>
      <c r="P280" s="19">
        <f t="shared" si="99"/>
        <v>0</v>
      </c>
      <c r="Q280" s="1759">
        <f t="shared" si="99"/>
        <v>0</v>
      </c>
      <c r="R280" s="1759">
        <f t="shared" si="99"/>
        <v>0</v>
      </c>
      <c r="S280" s="1759">
        <f t="shared" si="99"/>
        <v>0</v>
      </c>
      <c r="T280" s="19">
        <f t="shared" si="99"/>
        <v>0</v>
      </c>
      <c r="U280" s="19">
        <f t="shared" si="101"/>
        <v>0</v>
      </c>
      <c r="V280" s="19">
        <f t="shared" si="100"/>
        <v>0</v>
      </c>
      <c r="W280" s="19">
        <f t="shared" si="100"/>
        <v>0</v>
      </c>
      <c r="X280" s="19">
        <f t="shared" si="100"/>
        <v>0</v>
      </c>
      <c r="Y280" s="19">
        <f t="shared" si="100"/>
        <v>0</v>
      </c>
      <c r="Z280" s="602">
        <f t="shared" si="80"/>
        <v>0</v>
      </c>
    </row>
    <row r="281" spans="1:26" hidden="1">
      <c r="A281" s="411"/>
      <c r="C281" s="336">
        <f t="shared" si="86"/>
        <v>239</v>
      </c>
      <c r="D281" s="165" t="str">
        <f t="shared" si="93"/>
        <v>394</v>
      </c>
      <c r="E281" s="247" t="str">
        <f t="shared" si="92"/>
        <v>TOOLS, GC WHSE</v>
      </c>
      <c r="F281" s="19">
        <f>Asset_Sum!M112</f>
        <v>0</v>
      </c>
      <c r="G281" s="3134" t="str">
        <f t="shared" si="97"/>
        <v>Supervised O&amp;M</v>
      </c>
      <c r="H281" s="19">
        <f t="shared" si="99"/>
        <v>0</v>
      </c>
      <c r="I281" s="19">
        <f t="shared" si="99"/>
        <v>0</v>
      </c>
      <c r="J281" s="19">
        <f t="shared" si="99"/>
        <v>0</v>
      </c>
      <c r="K281" s="19">
        <f t="shared" si="99"/>
        <v>0</v>
      </c>
      <c r="L281" s="19">
        <f t="shared" si="99"/>
        <v>0</v>
      </c>
      <c r="M281" s="19">
        <f t="shared" si="99"/>
        <v>0</v>
      </c>
      <c r="N281" s="19">
        <f t="shared" si="99"/>
        <v>0</v>
      </c>
      <c r="O281" s="19">
        <f t="shared" si="99"/>
        <v>0</v>
      </c>
      <c r="P281" s="19">
        <f t="shared" si="99"/>
        <v>0</v>
      </c>
      <c r="Q281" s="1759">
        <f t="shared" si="99"/>
        <v>0</v>
      </c>
      <c r="R281" s="1759">
        <f t="shared" si="99"/>
        <v>0</v>
      </c>
      <c r="S281" s="1759">
        <f t="shared" si="99"/>
        <v>0</v>
      </c>
      <c r="T281" s="19">
        <f t="shared" si="99"/>
        <v>0</v>
      </c>
      <c r="U281" s="19">
        <f t="shared" si="101"/>
        <v>0</v>
      </c>
      <c r="V281" s="19">
        <f t="shared" si="100"/>
        <v>0</v>
      </c>
      <c r="W281" s="19">
        <f t="shared" si="100"/>
        <v>0</v>
      </c>
      <c r="X281" s="19">
        <f t="shared" si="100"/>
        <v>0</v>
      </c>
      <c r="Y281" s="19">
        <f t="shared" si="100"/>
        <v>0</v>
      </c>
      <c r="Z281" s="602">
        <f t="shared" si="80"/>
        <v>0</v>
      </c>
    </row>
    <row r="282" spans="1:26" hidden="1">
      <c r="A282" s="411"/>
      <c r="C282" s="336">
        <f t="shared" si="86"/>
        <v>240</v>
      </c>
      <c r="D282" s="165" t="str">
        <f t="shared" si="93"/>
        <v>394</v>
      </c>
      <c r="E282" s="247" t="str">
        <f t="shared" si="92"/>
        <v>TOOLS, JOINT</v>
      </c>
      <c r="F282" s="19">
        <f>Asset_Sum!M113</f>
        <v>0</v>
      </c>
      <c r="G282" s="3134" t="str">
        <f t="shared" si="97"/>
        <v>Supervised O&amp;M</v>
      </c>
      <c r="H282" s="19">
        <f t="shared" si="99"/>
        <v>0</v>
      </c>
      <c r="I282" s="19">
        <f t="shared" si="99"/>
        <v>0</v>
      </c>
      <c r="J282" s="19">
        <f t="shared" si="99"/>
        <v>0</v>
      </c>
      <c r="K282" s="19">
        <f t="shared" si="99"/>
        <v>0</v>
      </c>
      <c r="L282" s="19">
        <f t="shared" si="99"/>
        <v>0</v>
      </c>
      <c r="M282" s="19">
        <f t="shared" si="99"/>
        <v>0</v>
      </c>
      <c r="N282" s="19">
        <f t="shared" si="99"/>
        <v>0</v>
      </c>
      <c r="O282" s="19">
        <f t="shared" si="99"/>
        <v>0</v>
      </c>
      <c r="P282" s="19">
        <f t="shared" si="99"/>
        <v>0</v>
      </c>
      <c r="Q282" s="1759">
        <f t="shared" si="99"/>
        <v>0</v>
      </c>
      <c r="R282" s="1759">
        <f t="shared" si="99"/>
        <v>0</v>
      </c>
      <c r="S282" s="1759">
        <f t="shared" si="99"/>
        <v>0</v>
      </c>
      <c r="T282" s="19">
        <f t="shared" si="99"/>
        <v>0</v>
      </c>
      <c r="U282" s="19">
        <f t="shared" si="101"/>
        <v>0</v>
      </c>
      <c r="V282" s="19">
        <f t="shared" si="100"/>
        <v>0</v>
      </c>
      <c r="W282" s="19">
        <f t="shared" si="100"/>
        <v>0</v>
      </c>
      <c r="X282" s="19">
        <f t="shared" si="100"/>
        <v>0</v>
      </c>
      <c r="Y282" s="19">
        <f t="shared" si="100"/>
        <v>0</v>
      </c>
      <c r="Z282" s="602">
        <f t="shared" si="80"/>
        <v>0</v>
      </c>
    </row>
    <row r="283" spans="1:26" hidden="1">
      <c r="A283" s="411"/>
      <c r="C283" s="336">
        <f t="shared" si="86"/>
        <v>241</v>
      </c>
      <c r="D283" s="165" t="str">
        <f t="shared" si="93"/>
        <v>394</v>
      </c>
      <c r="E283" s="247" t="str">
        <f t="shared" si="92"/>
        <v>TOOLS, RC WHSE</v>
      </c>
      <c r="F283" s="19">
        <f>Asset_Sum!M114</f>
        <v>0</v>
      </c>
      <c r="G283" s="3134" t="str">
        <f t="shared" si="97"/>
        <v>Supervised O&amp;M</v>
      </c>
      <c r="H283" s="19">
        <f t="shared" si="99"/>
        <v>0</v>
      </c>
      <c r="I283" s="19">
        <f t="shared" si="99"/>
        <v>0</v>
      </c>
      <c r="J283" s="19">
        <f t="shared" si="99"/>
        <v>0</v>
      </c>
      <c r="K283" s="19">
        <f t="shared" si="99"/>
        <v>0</v>
      </c>
      <c r="L283" s="19">
        <f t="shared" si="99"/>
        <v>0</v>
      </c>
      <c r="M283" s="19">
        <f t="shared" si="99"/>
        <v>0</v>
      </c>
      <c r="N283" s="19">
        <f t="shared" si="99"/>
        <v>0</v>
      </c>
      <c r="O283" s="19">
        <f t="shared" si="99"/>
        <v>0</v>
      </c>
      <c r="P283" s="19">
        <f t="shared" si="99"/>
        <v>0</v>
      </c>
      <c r="Q283" s="1759">
        <f t="shared" si="99"/>
        <v>0</v>
      </c>
      <c r="R283" s="1759">
        <f t="shared" si="99"/>
        <v>0</v>
      </c>
      <c r="S283" s="1759">
        <f t="shared" si="99"/>
        <v>0</v>
      </c>
      <c r="T283" s="19">
        <f t="shared" si="99"/>
        <v>0</v>
      </c>
      <c r="U283" s="19">
        <f t="shared" si="101"/>
        <v>0</v>
      </c>
      <c r="V283" s="19">
        <f t="shared" si="100"/>
        <v>0</v>
      </c>
      <c r="W283" s="19">
        <f t="shared" si="100"/>
        <v>0</v>
      </c>
      <c r="X283" s="19">
        <f t="shared" si="100"/>
        <v>0</v>
      </c>
      <c r="Y283" s="19">
        <f t="shared" si="100"/>
        <v>0</v>
      </c>
      <c r="Z283" s="602">
        <f t="shared" si="80"/>
        <v>0</v>
      </c>
    </row>
    <row r="284" spans="1:26">
      <c r="A284" s="411"/>
      <c r="C284" s="336">
        <f>MAX(C280:C282)+1</f>
        <v>241</v>
      </c>
      <c r="D284" s="165" t="str">
        <f t="shared" si="93"/>
        <v>395</v>
      </c>
      <c r="E284" s="247" t="str">
        <f t="shared" si="92"/>
        <v>LAB EQUIP</v>
      </c>
      <c r="F284" s="19">
        <f>Asset_Sum!M115</f>
        <v>9590.0599999999977</v>
      </c>
      <c r="G284" s="3134" t="str">
        <f t="shared" si="97"/>
        <v>Supervised O&amp;M</v>
      </c>
      <c r="H284" s="19">
        <f t="shared" si="99"/>
        <v>0</v>
      </c>
      <c r="I284" s="19">
        <f t="shared" si="99"/>
        <v>220.9713139943695</v>
      </c>
      <c r="J284" s="19">
        <f t="shared" si="99"/>
        <v>1001.2895231049234</v>
      </c>
      <c r="K284" s="19">
        <f t="shared" si="99"/>
        <v>1516.4177809150001</v>
      </c>
      <c r="L284" s="19">
        <f t="shared" si="99"/>
        <v>282.22573970980432</v>
      </c>
      <c r="M284" s="19">
        <f t="shared" si="99"/>
        <v>0</v>
      </c>
      <c r="N284" s="19">
        <f t="shared" si="99"/>
        <v>0</v>
      </c>
      <c r="O284" s="19">
        <f t="shared" si="99"/>
        <v>461.44164785026919</v>
      </c>
      <c r="P284" s="19">
        <f t="shared" si="99"/>
        <v>285.86550987657091</v>
      </c>
      <c r="Q284" s="1759">
        <f t="shared" si="99"/>
        <v>1798.9716389914156</v>
      </c>
      <c r="R284" s="1759">
        <f t="shared" si="99"/>
        <v>212.43261942896549</v>
      </c>
      <c r="S284" s="1759">
        <f t="shared" si="99"/>
        <v>559.03576859355849</v>
      </c>
      <c r="T284" s="19">
        <f t="shared" si="99"/>
        <v>126.41345999354395</v>
      </c>
      <c r="U284" s="19">
        <f t="shared" si="101"/>
        <v>1041.8461250693877</v>
      </c>
      <c r="V284" s="19">
        <f t="shared" si="100"/>
        <v>1935.8369913959973</v>
      </c>
      <c r="W284" s="19">
        <f t="shared" si="100"/>
        <v>42.222974526325672</v>
      </c>
      <c r="X284" s="19">
        <f t="shared" si="100"/>
        <v>105.08903008269466</v>
      </c>
      <c r="Y284" s="19">
        <f t="shared" si="100"/>
        <v>0</v>
      </c>
      <c r="Z284" s="602">
        <f t="shared" si="80"/>
        <v>1.2353282727417536E-4</v>
      </c>
    </row>
    <row r="285" spans="1:26" hidden="1">
      <c r="A285" s="411"/>
      <c r="C285" s="336">
        <f>MAX(C281:C283)+1</f>
        <v>242</v>
      </c>
      <c r="D285" s="165" t="str">
        <f t="shared" si="93"/>
        <v>395</v>
      </c>
      <c r="E285" s="247" t="str">
        <f t="shared" si="92"/>
        <v>LAB EQUIP, EHP METER SHOP</v>
      </c>
      <c r="F285" s="19">
        <f>Asset_Sum!M116</f>
        <v>0</v>
      </c>
      <c r="G285" s="3134" t="str">
        <f t="shared" si="97"/>
        <v>Supervised O&amp;M</v>
      </c>
      <c r="H285" s="19">
        <f t="shared" si="99"/>
        <v>0</v>
      </c>
      <c r="I285" s="19">
        <f t="shared" si="99"/>
        <v>0</v>
      </c>
      <c r="J285" s="19">
        <f t="shared" si="99"/>
        <v>0</v>
      </c>
      <c r="K285" s="19">
        <f t="shared" si="99"/>
        <v>0</v>
      </c>
      <c r="L285" s="19">
        <f t="shared" si="99"/>
        <v>0</v>
      </c>
      <c r="M285" s="19">
        <f t="shared" si="99"/>
        <v>0</v>
      </c>
      <c r="N285" s="19">
        <f t="shared" si="99"/>
        <v>0</v>
      </c>
      <c r="O285" s="19">
        <f t="shared" si="99"/>
        <v>0</v>
      </c>
      <c r="P285" s="19">
        <f t="shared" si="99"/>
        <v>0</v>
      </c>
      <c r="Q285" s="1759">
        <f t="shared" si="99"/>
        <v>0</v>
      </c>
      <c r="R285" s="1759">
        <f t="shared" si="99"/>
        <v>0</v>
      </c>
      <c r="S285" s="1759">
        <f t="shared" si="99"/>
        <v>0</v>
      </c>
      <c r="T285" s="19">
        <f t="shared" si="99"/>
        <v>0</v>
      </c>
      <c r="U285" s="19">
        <f>F285</f>
        <v>0</v>
      </c>
      <c r="V285" s="19">
        <f t="shared" si="100"/>
        <v>0</v>
      </c>
      <c r="W285" s="19">
        <f t="shared" si="100"/>
        <v>0</v>
      </c>
      <c r="X285" s="19">
        <f t="shared" si="100"/>
        <v>0</v>
      </c>
      <c r="Y285" s="19">
        <f t="shared" si="100"/>
        <v>0</v>
      </c>
      <c r="Z285" s="602">
        <f t="shared" ref="Z285:Z331" si="102">SUM(H285:Y285)-F285</f>
        <v>0</v>
      </c>
    </row>
    <row r="286" spans="1:26" hidden="1">
      <c r="A286" s="411"/>
      <c r="C286" s="336">
        <f>MAX(C282:C285)+1</f>
        <v>243</v>
      </c>
      <c r="D286" s="165" t="str">
        <f t="shared" si="93"/>
        <v>396</v>
      </c>
      <c r="E286" s="247" t="str">
        <f t="shared" ref="E286:E317" si="103">E125</f>
        <v>POWER OPERATED EQUIP</v>
      </c>
      <c r="F286" s="19">
        <f>Asset_Sum!M117</f>
        <v>0</v>
      </c>
      <c r="G286" s="3134" t="str">
        <f t="shared" si="97"/>
        <v>Supervised O&amp;M</v>
      </c>
      <c r="H286" s="19">
        <f t="shared" si="99"/>
        <v>0</v>
      </c>
      <c r="I286" s="19">
        <f t="shared" si="99"/>
        <v>0</v>
      </c>
      <c r="J286" s="19">
        <f t="shared" si="99"/>
        <v>0</v>
      </c>
      <c r="K286" s="19">
        <f t="shared" si="99"/>
        <v>0</v>
      </c>
      <c r="L286" s="19">
        <f t="shared" si="99"/>
        <v>0</v>
      </c>
      <c r="M286" s="19">
        <f t="shared" si="99"/>
        <v>0</v>
      </c>
      <c r="N286" s="19">
        <f t="shared" si="99"/>
        <v>0</v>
      </c>
      <c r="O286" s="19">
        <f t="shared" si="99"/>
        <v>0</v>
      </c>
      <c r="P286" s="19">
        <f t="shared" si="99"/>
        <v>0</v>
      </c>
      <c r="Q286" s="1759">
        <f t="shared" si="99"/>
        <v>0</v>
      </c>
      <c r="R286" s="1759">
        <f t="shared" si="99"/>
        <v>0</v>
      </c>
      <c r="S286" s="1759">
        <f t="shared" si="99"/>
        <v>0</v>
      </c>
      <c r="T286" s="19">
        <f t="shared" si="99"/>
        <v>0</v>
      </c>
      <c r="U286" s="19">
        <f t="shared" ref="U286:U327" si="104">$F286*SUMIF($E$338:$E$359,$G286,U$338:U$359)</f>
        <v>0</v>
      </c>
      <c r="V286" s="19">
        <f t="shared" si="100"/>
        <v>0</v>
      </c>
      <c r="W286" s="19">
        <f t="shared" si="100"/>
        <v>0</v>
      </c>
      <c r="X286" s="19">
        <f t="shared" si="100"/>
        <v>0</v>
      </c>
      <c r="Y286" s="19">
        <f t="shared" si="100"/>
        <v>0</v>
      </c>
      <c r="Z286" s="602">
        <f t="shared" si="102"/>
        <v>0</v>
      </c>
    </row>
    <row r="287" spans="1:26">
      <c r="A287" s="411"/>
      <c r="C287" s="336">
        <f>MAX(C282:C285)+1</f>
        <v>243</v>
      </c>
      <c r="D287" s="165" t="str">
        <f t="shared" ref="D287:D318" si="105">D126</f>
        <v>397</v>
      </c>
      <c r="E287" s="247" t="str">
        <f t="shared" si="103"/>
        <v>COMM EQUIP</v>
      </c>
      <c r="F287" s="19">
        <f>Asset_Sum!M118</f>
        <v>7065290.070000004</v>
      </c>
      <c r="G287" s="3134" t="str">
        <f t="shared" si="97"/>
        <v>Supervised O&amp;M</v>
      </c>
      <c r="H287" s="19">
        <f t="shared" ref="H287:T296" si="106">$F287*SUMIF($E$338:$E$359,$G287,H$338:H$359)</f>
        <v>0</v>
      </c>
      <c r="I287" s="19">
        <f t="shared" si="106"/>
        <v>162796.31519711786</v>
      </c>
      <c r="J287" s="19">
        <f t="shared" si="106"/>
        <v>737680.5697553776</v>
      </c>
      <c r="K287" s="19">
        <f t="shared" si="106"/>
        <v>1117191.2886332511</v>
      </c>
      <c r="L287" s="19">
        <f t="shared" si="106"/>
        <v>207924.32125243082</v>
      </c>
      <c r="M287" s="19">
        <f t="shared" si="106"/>
        <v>0</v>
      </c>
      <c r="N287" s="19">
        <f t="shared" si="106"/>
        <v>0</v>
      </c>
      <c r="O287" s="19">
        <f t="shared" si="106"/>
        <v>339958.15380101342</v>
      </c>
      <c r="P287" s="19">
        <f t="shared" si="106"/>
        <v>210605.85108815014</v>
      </c>
      <c r="Q287" s="1759">
        <f t="shared" si="106"/>
        <v>1325357.3447066736</v>
      </c>
      <c r="R287" s="1759">
        <f t="shared" si="106"/>
        <v>156505.59815012212</v>
      </c>
      <c r="S287" s="1759">
        <f t="shared" si="106"/>
        <v>411858.72295052267</v>
      </c>
      <c r="T287" s="19">
        <f t="shared" si="106"/>
        <v>93132.656480431731</v>
      </c>
      <c r="U287" s="19">
        <f t="shared" si="104"/>
        <v>767559.85696864547</v>
      </c>
      <c r="V287" s="19">
        <f t="shared" si="100"/>
        <v>1426190.2295135616</v>
      </c>
      <c r="W287" s="19">
        <f t="shared" si="100"/>
        <v>31106.954768448995</v>
      </c>
      <c r="X287" s="19">
        <f t="shared" si="100"/>
        <v>77422.297744664218</v>
      </c>
      <c r="Y287" s="19">
        <f t="shared" si="100"/>
        <v>0</v>
      </c>
      <c r="Z287" s="602">
        <f t="shared" si="102"/>
        <v>9.1010407544672489E-2</v>
      </c>
    </row>
    <row r="288" spans="1:26" hidden="1">
      <c r="A288" s="411"/>
      <c r="C288" s="336">
        <f>MAX(C283:C286)+1</f>
        <v>244</v>
      </c>
      <c r="D288" s="165" t="str">
        <f t="shared" si="105"/>
        <v>397</v>
      </c>
      <c r="E288" s="247" t="str">
        <f t="shared" si="103"/>
        <v>COMM EQUIP-EPH WHSE</v>
      </c>
      <c r="F288" s="19">
        <f>Asset_Sum!M119</f>
        <v>0</v>
      </c>
      <c r="G288" s="3134" t="str">
        <f t="shared" si="97"/>
        <v>Supervised O&amp;M</v>
      </c>
      <c r="H288" s="19">
        <f t="shared" si="106"/>
        <v>0</v>
      </c>
      <c r="I288" s="19">
        <f t="shared" si="106"/>
        <v>0</v>
      </c>
      <c r="J288" s="19">
        <f t="shared" si="106"/>
        <v>0</v>
      </c>
      <c r="K288" s="19">
        <f t="shared" si="106"/>
        <v>0</v>
      </c>
      <c r="L288" s="19">
        <f t="shared" si="106"/>
        <v>0</v>
      </c>
      <c r="M288" s="19">
        <f t="shared" si="106"/>
        <v>0</v>
      </c>
      <c r="N288" s="19">
        <f t="shared" si="106"/>
        <v>0</v>
      </c>
      <c r="O288" s="19">
        <f t="shared" si="106"/>
        <v>0</v>
      </c>
      <c r="P288" s="19">
        <f t="shared" si="106"/>
        <v>0</v>
      </c>
      <c r="Q288" s="1759">
        <f t="shared" si="106"/>
        <v>0</v>
      </c>
      <c r="R288" s="1759">
        <f t="shared" si="106"/>
        <v>0</v>
      </c>
      <c r="S288" s="1759">
        <f t="shared" si="106"/>
        <v>0</v>
      </c>
      <c r="T288" s="19">
        <f t="shared" si="106"/>
        <v>0</v>
      </c>
      <c r="U288" s="19">
        <f t="shared" si="104"/>
        <v>0</v>
      </c>
      <c r="V288" s="19">
        <f t="shared" si="100"/>
        <v>0</v>
      </c>
      <c r="W288" s="19">
        <f t="shared" si="100"/>
        <v>0</v>
      </c>
      <c r="X288" s="19">
        <f t="shared" si="100"/>
        <v>0</v>
      </c>
      <c r="Y288" s="19">
        <f t="shared" si="100"/>
        <v>0</v>
      </c>
      <c r="Z288" s="602">
        <f t="shared" si="102"/>
        <v>0</v>
      </c>
    </row>
    <row r="289" spans="1:26" hidden="1">
      <c r="A289" s="411"/>
      <c r="C289" s="336">
        <f>MAX(C285:C288)+1</f>
        <v>245</v>
      </c>
      <c r="D289" s="165" t="str">
        <f t="shared" si="105"/>
        <v>397</v>
      </c>
      <c r="E289" s="247" t="str">
        <f t="shared" si="103"/>
        <v>COMM EQUIP-MICROWAVE JOINT</v>
      </c>
      <c r="F289" s="19">
        <f>Asset_Sum!M120</f>
        <v>0</v>
      </c>
      <c r="G289" s="3134" t="str">
        <f t="shared" si="97"/>
        <v>Supervised O&amp;M</v>
      </c>
      <c r="H289" s="19">
        <f t="shared" si="106"/>
        <v>0</v>
      </c>
      <c r="I289" s="19">
        <f t="shared" si="106"/>
        <v>0</v>
      </c>
      <c r="J289" s="19">
        <f t="shared" si="106"/>
        <v>0</v>
      </c>
      <c r="K289" s="19">
        <f t="shared" si="106"/>
        <v>0</v>
      </c>
      <c r="L289" s="19">
        <f t="shared" si="106"/>
        <v>0</v>
      </c>
      <c r="M289" s="19">
        <f t="shared" si="106"/>
        <v>0</v>
      </c>
      <c r="N289" s="19">
        <f t="shared" si="106"/>
        <v>0</v>
      </c>
      <c r="O289" s="19">
        <f t="shared" si="106"/>
        <v>0</v>
      </c>
      <c r="P289" s="19">
        <f t="shared" si="106"/>
        <v>0</v>
      </c>
      <c r="Q289" s="1759">
        <f t="shared" si="106"/>
        <v>0</v>
      </c>
      <c r="R289" s="1759">
        <f t="shared" si="106"/>
        <v>0</v>
      </c>
      <c r="S289" s="1759">
        <f t="shared" si="106"/>
        <v>0</v>
      </c>
      <c r="T289" s="19">
        <f t="shared" si="106"/>
        <v>0</v>
      </c>
      <c r="U289" s="19">
        <f t="shared" si="104"/>
        <v>0</v>
      </c>
      <c r="V289" s="19">
        <f t="shared" si="100"/>
        <v>0</v>
      </c>
      <c r="W289" s="19">
        <f t="shared" si="100"/>
        <v>0</v>
      </c>
      <c r="X289" s="19">
        <f t="shared" si="100"/>
        <v>0</v>
      </c>
      <c r="Y289" s="19">
        <f t="shared" si="100"/>
        <v>0</v>
      </c>
      <c r="Z289" s="602">
        <f t="shared" si="102"/>
        <v>0</v>
      </c>
    </row>
    <row r="290" spans="1:26" hidden="1">
      <c r="A290" s="411"/>
      <c r="C290" s="336">
        <f>MAX(C286:C289)+1</f>
        <v>246</v>
      </c>
      <c r="D290" s="165" t="str">
        <f t="shared" si="105"/>
        <v>397</v>
      </c>
      <c r="E290" s="247" t="str">
        <f t="shared" si="103"/>
        <v>COMM EQUIP-EPH TRANSMITTER</v>
      </c>
      <c r="F290" s="19">
        <f>Asset_Sum!M121</f>
        <v>0</v>
      </c>
      <c r="G290" s="3134" t="str">
        <f t="shared" si="97"/>
        <v>Supervised O&amp;M</v>
      </c>
      <c r="H290" s="19">
        <f t="shared" si="106"/>
        <v>0</v>
      </c>
      <c r="I290" s="19">
        <f t="shared" si="106"/>
        <v>0</v>
      </c>
      <c r="J290" s="19">
        <f t="shared" si="106"/>
        <v>0</v>
      </c>
      <c r="K290" s="19">
        <f t="shared" si="106"/>
        <v>0</v>
      </c>
      <c r="L290" s="19">
        <f t="shared" si="106"/>
        <v>0</v>
      </c>
      <c r="M290" s="19">
        <f t="shared" si="106"/>
        <v>0</v>
      </c>
      <c r="N290" s="19">
        <f t="shared" si="106"/>
        <v>0</v>
      </c>
      <c r="O290" s="19">
        <f t="shared" si="106"/>
        <v>0</v>
      </c>
      <c r="P290" s="19">
        <f t="shared" si="106"/>
        <v>0</v>
      </c>
      <c r="Q290" s="1759">
        <f t="shared" si="106"/>
        <v>0</v>
      </c>
      <c r="R290" s="1759">
        <f t="shared" si="106"/>
        <v>0</v>
      </c>
      <c r="S290" s="1759">
        <f t="shared" si="106"/>
        <v>0</v>
      </c>
      <c r="T290" s="19">
        <f t="shared" si="106"/>
        <v>0</v>
      </c>
      <c r="U290" s="19">
        <f t="shared" si="104"/>
        <v>0</v>
      </c>
      <c r="V290" s="19">
        <f t="shared" si="100"/>
        <v>0</v>
      </c>
      <c r="W290" s="19">
        <f t="shared" si="100"/>
        <v>0</v>
      </c>
      <c r="X290" s="19">
        <f t="shared" si="100"/>
        <v>0</v>
      </c>
      <c r="Y290" s="19">
        <f t="shared" si="100"/>
        <v>0</v>
      </c>
      <c r="Z290" s="602">
        <f t="shared" si="102"/>
        <v>0</v>
      </c>
    </row>
    <row r="291" spans="1:26" hidden="1">
      <c r="A291" s="411"/>
      <c r="C291" s="336">
        <f t="shared" si="86"/>
        <v>247</v>
      </c>
      <c r="D291" s="165" t="str">
        <f t="shared" si="105"/>
        <v>397</v>
      </c>
      <c r="E291" s="247" t="str">
        <f t="shared" si="103"/>
        <v>COMM EQUIP-MOBILE</v>
      </c>
      <c r="F291" s="19">
        <f>Asset_Sum!M122</f>
        <v>0</v>
      </c>
      <c r="G291" s="3134" t="str">
        <f t="shared" si="97"/>
        <v>Supervised O&amp;M</v>
      </c>
      <c r="H291" s="19">
        <f t="shared" si="106"/>
        <v>0</v>
      </c>
      <c r="I291" s="19">
        <f t="shared" si="106"/>
        <v>0</v>
      </c>
      <c r="J291" s="19">
        <f t="shared" si="106"/>
        <v>0</v>
      </c>
      <c r="K291" s="19">
        <f t="shared" si="106"/>
        <v>0</v>
      </c>
      <c r="L291" s="19">
        <f t="shared" si="106"/>
        <v>0</v>
      </c>
      <c r="M291" s="19">
        <f t="shared" si="106"/>
        <v>0</v>
      </c>
      <c r="N291" s="19">
        <f t="shared" si="106"/>
        <v>0</v>
      </c>
      <c r="O291" s="19">
        <f t="shared" si="106"/>
        <v>0</v>
      </c>
      <c r="P291" s="19">
        <f t="shared" si="106"/>
        <v>0</v>
      </c>
      <c r="Q291" s="1759">
        <f t="shared" si="106"/>
        <v>0</v>
      </c>
      <c r="R291" s="1759">
        <f t="shared" si="106"/>
        <v>0</v>
      </c>
      <c r="S291" s="1759">
        <f t="shared" si="106"/>
        <v>0</v>
      </c>
      <c r="T291" s="19">
        <f t="shared" si="106"/>
        <v>0</v>
      </c>
      <c r="U291" s="19">
        <f t="shared" si="104"/>
        <v>0</v>
      </c>
      <c r="V291" s="19">
        <f t="shared" si="100"/>
        <v>0</v>
      </c>
      <c r="W291" s="19">
        <f t="shared" si="100"/>
        <v>0</v>
      </c>
      <c r="X291" s="19">
        <f t="shared" si="100"/>
        <v>0</v>
      </c>
      <c r="Y291" s="19">
        <f t="shared" si="100"/>
        <v>0</v>
      </c>
      <c r="Z291" s="602">
        <f t="shared" si="102"/>
        <v>0</v>
      </c>
    </row>
    <row r="292" spans="1:26" hidden="1">
      <c r="A292" s="411"/>
      <c r="C292" s="336">
        <f t="shared" si="86"/>
        <v>248</v>
      </c>
      <c r="D292" s="165" t="str">
        <f t="shared" si="105"/>
        <v>397</v>
      </c>
      <c r="E292" s="247" t="str">
        <f t="shared" si="103"/>
        <v>COMM EQUIP-ML OFFICE</v>
      </c>
      <c r="F292" s="19">
        <f>Asset_Sum!M123</f>
        <v>0</v>
      </c>
      <c r="G292" s="3134" t="str">
        <f t="shared" si="97"/>
        <v>Supervised O&amp;M</v>
      </c>
      <c r="H292" s="19">
        <f t="shared" si="106"/>
        <v>0</v>
      </c>
      <c r="I292" s="19">
        <f t="shared" si="106"/>
        <v>0</v>
      </c>
      <c r="J292" s="19">
        <f t="shared" si="106"/>
        <v>0</v>
      </c>
      <c r="K292" s="19">
        <f t="shared" si="106"/>
        <v>0</v>
      </c>
      <c r="L292" s="19">
        <f t="shared" si="106"/>
        <v>0</v>
      </c>
      <c r="M292" s="19">
        <f t="shared" si="106"/>
        <v>0</v>
      </c>
      <c r="N292" s="19">
        <f t="shared" si="106"/>
        <v>0</v>
      </c>
      <c r="O292" s="19">
        <f t="shared" si="106"/>
        <v>0</v>
      </c>
      <c r="P292" s="19">
        <f t="shared" si="106"/>
        <v>0</v>
      </c>
      <c r="Q292" s="1759">
        <f t="shared" si="106"/>
        <v>0</v>
      </c>
      <c r="R292" s="1759">
        <f t="shared" si="106"/>
        <v>0</v>
      </c>
      <c r="S292" s="1759">
        <f t="shared" si="106"/>
        <v>0</v>
      </c>
      <c r="T292" s="19">
        <f t="shared" si="106"/>
        <v>0</v>
      </c>
      <c r="U292" s="19">
        <f t="shared" si="104"/>
        <v>0</v>
      </c>
      <c r="V292" s="19">
        <f t="shared" si="100"/>
        <v>0</v>
      </c>
      <c r="W292" s="19">
        <f t="shared" si="100"/>
        <v>0</v>
      </c>
      <c r="X292" s="19">
        <f t="shared" si="100"/>
        <v>0</v>
      </c>
      <c r="Y292" s="19">
        <f t="shared" si="100"/>
        <v>0</v>
      </c>
      <c r="Z292" s="602">
        <f t="shared" si="102"/>
        <v>0</v>
      </c>
    </row>
    <row r="293" spans="1:26" hidden="1">
      <c r="A293" s="411"/>
      <c r="C293" s="336">
        <f t="shared" si="86"/>
        <v>249</v>
      </c>
      <c r="D293" s="165" t="str">
        <f t="shared" si="105"/>
        <v>397</v>
      </c>
      <c r="E293" s="247" t="str">
        <f t="shared" si="103"/>
        <v>ANALOG TELEM-JOINT</v>
      </c>
      <c r="F293" s="19">
        <f>Asset_Sum!M124</f>
        <v>0</v>
      </c>
      <c r="G293" s="3134" t="str">
        <f t="shared" si="97"/>
        <v>Supervised O&amp;M</v>
      </c>
      <c r="H293" s="19">
        <f t="shared" si="106"/>
        <v>0</v>
      </c>
      <c r="I293" s="19">
        <f t="shared" si="106"/>
        <v>0</v>
      </c>
      <c r="J293" s="19">
        <f t="shared" si="106"/>
        <v>0</v>
      </c>
      <c r="K293" s="19">
        <f t="shared" si="106"/>
        <v>0</v>
      </c>
      <c r="L293" s="19">
        <f t="shared" si="106"/>
        <v>0</v>
      </c>
      <c r="M293" s="19">
        <f t="shared" si="106"/>
        <v>0</v>
      </c>
      <c r="N293" s="19">
        <f t="shared" si="106"/>
        <v>0</v>
      </c>
      <c r="O293" s="19">
        <f t="shared" si="106"/>
        <v>0</v>
      </c>
      <c r="P293" s="19">
        <f t="shared" si="106"/>
        <v>0</v>
      </c>
      <c r="Q293" s="1759">
        <f t="shared" si="106"/>
        <v>0</v>
      </c>
      <c r="R293" s="1759">
        <f t="shared" si="106"/>
        <v>0</v>
      </c>
      <c r="S293" s="1759">
        <f t="shared" si="106"/>
        <v>0</v>
      </c>
      <c r="T293" s="19">
        <f t="shared" si="106"/>
        <v>0</v>
      </c>
      <c r="U293" s="19">
        <f t="shared" si="104"/>
        <v>0</v>
      </c>
      <c r="V293" s="19">
        <f t="shared" si="100"/>
        <v>0</v>
      </c>
      <c r="W293" s="19">
        <f t="shared" si="100"/>
        <v>0</v>
      </c>
      <c r="X293" s="19">
        <f t="shared" si="100"/>
        <v>0</v>
      </c>
      <c r="Y293" s="19">
        <f t="shared" si="100"/>
        <v>0</v>
      </c>
      <c r="Z293" s="602">
        <f t="shared" si="102"/>
        <v>0</v>
      </c>
    </row>
    <row r="294" spans="1:26" hidden="1">
      <c r="A294" s="411"/>
      <c r="C294" s="336">
        <f t="shared" si="86"/>
        <v>250</v>
      </c>
      <c r="D294" s="165" t="str">
        <f t="shared" si="105"/>
        <v>397</v>
      </c>
      <c r="E294" s="247" t="str">
        <f t="shared" si="103"/>
        <v>COMM EQUIP-ML TRANSMITTER</v>
      </c>
      <c r="F294" s="19">
        <f>Asset_Sum!M125</f>
        <v>0</v>
      </c>
      <c r="G294" s="3134" t="str">
        <f t="shared" si="97"/>
        <v>Supervised O&amp;M</v>
      </c>
      <c r="H294" s="19">
        <f t="shared" si="106"/>
        <v>0</v>
      </c>
      <c r="I294" s="19">
        <f t="shared" si="106"/>
        <v>0</v>
      </c>
      <c r="J294" s="19">
        <f t="shared" si="106"/>
        <v>0</v>
      </c>
      <c r="K294" s="19">
        <f t="shared" si="106"/>
        <v>0</v>
      </c>
      <c r="L294" s="19">
        <f t="shared" si="106"/>
        <v>0</v>
      </c>
      <c r="M294" s="19">
        <f t="shared" si="106"/>
        <v>0</v>
      </c>
      <c r="N294" s="19">
        <f t="shared" si="106"/>
        <v>0</v>
      </c>
      <c r="O294" s="19">
        <f t="shared" si="106"/>
        <v>0</v>
      </c>
      <c r="P294" s="19">
        <f t="shared" si="106"/>
        <v>0</v>
      </c>
      <c r="Q294" s="1759">
        <f t="shared" si="106"/>
        <v>0</v>
      </c>
      <c r="R294" s="1759">
        <f t="shared" si="106"/>
        <v>0</v>
      </c>
      <c r="S294" s="1759">
        <f t="shared" si="106"/>
        <v>0</v>
      </c>
      <c r="T294" s="19">
        <f t="shared" si="106"/>
        <v>0</v>
      </c>
      <c r="U294" s="19">
        <f t="shared" si="104"/>
        <v>0</v>
      </c>
      <c r="V294" s="19">
        <f t="shared" si="100"/>
        <v>0</v>
      </c>
      <c r="W294" s="19">
        <f t="shared" si="100"/>
        <v>0</v>
      </c>
      <c r="X294" s="19">
        <f t="shared" si="100"/>
        <v>0</v>
      </c>
      <c r="Y294" s="19">
        <f t="shared" si="100"/>
        <v>0</v>
      </c>
      <c r="Z294" s="602">
        <f t="shared" si="102"/>
        <v>0</v>
      </c>
    </row>
    <row r="295" spans="1:26" hidden="1">
      <c r="A295" s="411"/>
      <c r="C295" s="336">
        <f t="shared" ref="C295:C323" si="107">MAX(C292:C294)+1</f>
        <v>251</v>
      </c>
      <c r="D295" s="165" t="str">
        <f t="shared" si="105"/>
        <v>397</v>
      </c>
      <c r="E295" s="247" t="str">
        <f t="shared" si="103"/>
        <v>COMM EQUIP-ML SERV CENTER</v>
      </c>
      <c r="F295" s="19">
        <f>Asset_Sum!M126</f>
        <v>0</v>
      </c>
      <c r="G295" s="3134" t="str">
        <f t="shared" si="97"/>
        <v>Supervised O&amp;M</v>
      </c>
      <c r="H295" s="19">
        <f t="shared" si="106"/>
        <v>0</v>
      </c>
      <c r="I295" s="19">
        <f t="shared" si="106"/>
        <v>0</v>
      </c>
      <c r="J295" s="19">
        <f t="shared" si="106"/>
        <v>0</v>
      </c>
      <c r="K295" s="19">
        <f t="shared" si="106"/>
        <v>0</v>
      </c>
      <c r="L295" s="19">
        <f t="shared" si="106"/>
        <v>0</v>
      </c>
      <c r="M295" s="19">
        <f t="shared" si="106"/>
        <v>0</v>
      </c>
      <c r="N295" s="19">
        <f t="shared" si="106"/>
        <v>0</v>
      </c>
      <c r="O295" s="19">
        <f t="shared" si="106"/>
        <v>0</v>
      </c>
      <c r="P295" s="19">
        <f t="shared" si="106"/>
        <v>0</v>
      </c>
      <c r="Q295" s="1759">
        <f t="shared" si="106"/>
        <v>0</v>
      </c>
      <c r="R295" s="1759">
        <f t="shared" si="106"/>
        <v>0</v>
      </c>
      <c r="S295" s="1759">
        <f t="shared" si="106"/>
        <v>0</v>
      </c>
      <c r="T295" s="19">
        <f t="shared" si="106"/>
        <v>0</v>
      </c>
      <c r="U295" s="19">
        <f t="shared" si="104"/>
        <v>0</v>
      </c>
      <c r="V295" s="19">
        <f t="shared" si="100"/>
        <v>0</v>
      </c>
      <c r="W295" s="19">
        <f t="shared" si="100"/>
        <v>0</v>
      </c>
      <c r="X295" s="19">
        <f t="shared" si="100"/>
        <v>0</v>
      </c>
      <c r="Y295" s="19">
        <f t="shared" si="100"/>
        <v>0</v>
      </c>
      <c r="Z295" s="602">
        <f t="shared" si="102"/>
        <v>0</v>
      </c>
    </row>
    <row r="296" spans="1:26" hidden="1">
      <c r="A296" s="411"/>
      <c r="C296" s="336">
        <f t="shared" si="107"/>
        <v>252</v>
      </c>
      <c r="D296" s="165" t="str">
        <f t="shared" si="105"/>
        <v>397</v>
      </c>
      <c r="E296" s="247" t="str">
        <f t="shared" si="103"/>
        <v>COMM EQUIP-QUINCY OFFICE</v>
      </c>
      <c r="F296" s="19">
        <f>Asset_Sum!M127</f>
        <v>0</v>
      </c>
      <c r="G296" s="3134" t="str">
        <f t="shared" si="97"/>
        <v>Supervised O&amp;M</v>
      </c>
      <c r="H296" s="19">
        <f t="shared" si="106"/>
        <v>0</v>
      </c>
      <c r="I296" s="19">
        <f t="shared" si="106"/>
        <v>0</v>
      </c>
      <c r="J296" s="19">
        <f t="shared" si="106"/>
        <v>0</v>
      </c>
      <c r="K296" s="19">
        <f t="shared" si="106"/>
        <v>0</v>
      </c>
      <c r="L296" s="19">
        <f t="shared" si="106"/>
        <v>0</v>
      </c>
      <c r="M296" s="19">
        <f t="shared" si="106"/>
        <v>0</v>
      </c>
      <c r="N296" s="19">
        <f t="shared" si="106"/>
        <v>0</v>
      </c>
      <c r="O296" s="19">
        <f t="shared" si="106"/>
        <v>0</v>
      </c>
      <c r="P296" s="19">
        <f t="shared" si="106"/>
        <v>0</v>
      </c>
      <c r="Q296" s="1759">
        <f t="shared" si="106"/>
        <v>0</v>
      </c>
      <c r="R296" s="1759">
        <f t="shared" si="106"/>
        <v>0</v>
      </c>
      <c r="S296" s="1759">
        <f t="shared" si="106"/>
        <v>0</v>
      </c>
      <c r="T296" s="19">
        <f t="shared" si="106"/>
        <v>0</v>
      </c>
      <c r="U296" s="19">
        <f t="shared" si="104"/>
        <v>0</v>
      </c>
      <c r="V296" s="19">
        <f t="shared" si="100"/>
        <v>0</v>
      </c>
      <c r="W296" s="19">
        <f t="shared" si="100"/>
        <v>0</v>
      </c>
      <c r="X296" s="19">
        <f t="shared" si="100"/>
        <v>0</v>
      </c>
      <c r="Y296" s="19">
        <f t="shared" si="100"/>
        <v>0</v>
      </c>
      <c r="Z296" s="602">
        <f t="shared" si="102"/>
        <v>0</v>
      </c>
    </row>
    <row r="297" spans="1:26" hidden="1">
      <c r="A297" s="411"/>
      <c r="C297" s="336">
        <f t="shared" si="107"/>
        <v>253</v>
      </c>
      <c r="D297" s="165" t="str">
        <f t="shared" si="105"/>
        <v>397</v>
      </c>
      <c r="E297" s="247" t="str">
        <f t="shared" si="103"/>
        <v>DIG TELEM-JOINT</v>
      </c>
      <c r="F297" s="19">
        <f>Asset_Sum!M128</f>
        <v>0</v>
      </c>
      <c r="G297" s="3134" t="str">
        <f t="shared" si="97"/>
        <v>Supervised O&amp;M</v>
      </c>
      <c r="H297" s="19">
        <f t="shared" ref="H297:T306" si="108">$F297*SUMIF($E$338:$E$359,$G297,H$338:H$359)</f>
        <v>0</v>
      </c>
      <c r="I297" s="19">
        <f t="shared" si="108"/>
        <v>0</v>
      </c>
      <c r="J297" s="19">
        <f t="shared" si="108"/>
        <v>0</v>
      </c>
      <c r="K297" s="19">
        <f t="shared" si="108"/>
        <v>0</v>
      </c>
      <c r="L297" s="19">
        <f t="shared" si="108"/>
        <v>0</v>
      </c>
      <c r="M297" s="19">
        <f t="shared" si="108"/>
        <v>0</v>
      </c>
      <c r="N297" s="19">
        <f t="shared" si="108"/>
        <v>0</v>
      </c>
      <c r="O297" s="19">
        <f t="shared" si="108"/>
        <v>0</v>
      </c>
      <c r="P297" s="19">
        <f t="shared" si="108"/>
        <v>0</v>
      </c>
      <c r="Q297" s="1759">
        <f t="shared" si="108"/>
        <v>0</v>
      </c>
      <c r="R297" s="1759">
        <f t="shared" si="108"/>
        <v>0</v>
      </c>
      <c r="S297" s="1759">
        <f t="shared" si="108"/>
        <v>0</v>
      </c>
      <c r="T297" s="19">
        <f t="shared" si="108"/>
        <v>0</v>
      </c>
      <c r="U297" s="19">
        <f t="shared" si="104"/>
        <v>0</v>
      </c>
      <c r="V297" s="19">
        <f t="shared" ref="V297:Y316" si="109">$F297*SUMIF($E$338:$E$359,$G297,V$338:V$359)</f>
        <v>0</v>
      </c>
      <c r="W297" s="19">
        <f t="shared" si="109"/>
        <v>0</v>
      </c>
      <c r="X297" s="19">
        <f t="shared" si="109"/>
        <v>0</v>
      </c>
      <c r="Y297" s="19">
        <f t="shared" si="109"/>
        <v>0</v>
      </c>
      <c r="Z297" s="602">
        <f t="shared" si="102"/>
        <v>0</v>
      </c>
    </row>
    <row r="298" spans="1:26" hidden="1">
      <c r="A298" s="411"/>
      <c r="C298" s="336">
        <f t="shared" si="107"/>
        <v>254</v>
      </c>
      <c r="D298" s="165" t="str">
        <f t="shared" si="105"/>
        <v>397</v>
      </c>
      <c r="E298" s="247" t="str">
        <f t="shared" si="103"/>
        <v>FIBER BACKBONE</v>
      </c>
      <c r="F298" s="19">
        <f>Asset_Sum!M129</f>
        <v>0</v>
      </c>
      <c r="G298" s="3134" t="str">
        <f t="shared" si="97"/>
        <v>Supervised O&amp;M</v>
      </c>
      <c r="H298" s="19">
        <f t="shared" si="108"/>
        <v>0</v>
      </c>
      <c r="I298" s="19">
        <f t="shared" si="108"/>
        <v>0</v>
      </c>
      <c r="J298" s="19">
        <f t="shared" si="108"/>
        <v>0</v>
      </c>
      <c r="K298" s="19">
        <f t="shared" si="108"/>
        <v>0</v>
      </c>
      <c r="L298" s="19">
        <f t="shared" si="108"/>
        <v>0</v>
      </c>
      <c r="M298" s="19">
        <f t="shared" si="108"/>
        <v>0</v>
      </c>
      <c r="N298" s="19">
        <f t="shared" si="108"/>
        <v>0</v>
      </c>
      <c r="O298" s="19">
        <f t="shared" si="108"/>
        <v>0</v>
      </c>
      <c r="P298" s="19">
        <f t="shared" si="108"/>
        <v>0</v>
      </c>
      <c r="Q298" s="1759">
        <f t="shared" si="108"/>
        <v>0</v>
      </c>
      <c r="R298" s="1759">
        <f t="shared" si="108"/>
        <v>0</v>
      </c>
      <c r="S298" s="1759">
        <f t="shared" si="108"/>
        <v>0</v>
      </c>
      <c r="T298" s="19">
        <f t="shared" si="108"/>
        <v>0</v>
      </c>
      <c r="U298" s="19">
        <f t="shared" si="104"/>
        <v>0</v>
      </c>
      <c r="V298" s="19">
        <f t="shared" si="109"/>
        <v>0</v>
      </c>
      <c r="W298" s="19">
        <f t="shared" si="109"/>
        <v>0</v>
      </c>
      <c r="X298" s="19">
        <f t="shared" si="109"/>
        <v>0</v>
      </c>
      <c r="Y298" s="19">
        <f t="shared" si="109"/>
        <v>0</v>
      </c>
      <c r="Z298" s="602">
        <f t="shared" si="102"/>
        <v>0</v>
      </c>
    </row>
    <row r="299" spans="1:26" hidden="1">
      <c r="A299" s="411"/>
      <c r="C299" s="336">
        <f t="shared" si="107"/>
        <v>255</v>
      </c>
      <c r="D299" s="165" t="str">
        <f t="shared" si="105"/>
        <v>397</v>
      </c>
      <c r="E299" s="247" t="str">
        <f t="shared" si="103"/>
        <v>COMM EQUIP-GRAND COULEE</v>
      </c>
      <c r="F299" s="19">
        <f>Asset_Sum!M130</f>
        <v>0</v>
      </c>
      <c r="G299" s="3134" t="str">
        <f t="shared" ref="G299:G319" si="110">G138</f>
        <v>Supervised O&amp;M</v>
      </c>
      <c r="H299" s="19">
        <f t="shared" si="108"/>
        <v>0</v>
      </c>
      <c r="I299" s="19">
        <f t="shared" si="108"/>
        <v>0</v>
      </c>
      <c r="J299" s="19">
        <f t="shared" si="108"/>
        <v>0</v>
      </c>
      <c r="K299" s="19">
        <f t="shared" si="108"/>
        <v>0</v>
      </c>
      <c r="L299" s="19">
        <f t="shared" si="108"/>
        <v>0</v>
      </c>
      <c r="M299" s="19">
        <f t="shared" si="108"/>
        <v>0</v>
      </c>
      <c r="N299" s="19">
        <f t="shared" si="108"/>
        <v>0</v>
      </c>
      <c r="O299" s="19">
        <f t="shared" si="108"/>
        <v>0</v>
      </c>
      <c r="P299" s="19">
        <f t="shared" si="108"/>
        <v>0</v>
      </c>
      <c r="Q299" s="1759">
        <f t="shared" si="108"/>
        <v>0</v>
      </c>
      <c r="R299" s="1759">
        <f t="shared" si="108"/>
        <v>0</v>
      </c>
      <c r="S299" s="1759">
        <f t="shared" si="108"/>
        <v>0</v>
      </c>
      <c r="T299" s="19">
        <f t="shared" si="108"/>
        <v>0</v>
      </c>
      <c r="U299" s="19">
        <f t="shared" si="104"/>
        <v>0</v>
      </c>
      <c r="V299" s="19">
        <f t="shared" si="109"/>
        <v>0</v>
      </c>
      <c r="W299" s="19">
        <f t="shared" si="109"/>
        <v>0</v>
      </c>
      <c r="X299" s="19">
        <f t="shared" si="109"/>
        <v>0</v>
      </c>
      <c r="Y299" s="19">
        <f t="shared" si="109"/>
        <v>0</v>
      </c>
      <c r="Z299" s="602">
        <f t="shared" si="102"/>
        <v>0</v>
      </c>
    </row>
    <row r="300" spans="1:26" hidden="1">
      <c r="A300" s="411"/>
      <c r="C300" s="336">
        <f t="shared" si="107"/>
        <v>256</v>
      </c>
      <c r="D300" s="165" t="str">
        <f t="shared" si="105"/>
        <v>397</v>
      </c>
      <c r="E300" s="247" t="str">
        <f t="shared" si="103"/>
        <v>COMM EQUIP-RC SENT-450MHZ</v>
      </c>
      <c r="F300" s="19">
        <f>Asset_Sum!M131</f>
        <v>0</v>
      </c>
      <c r="G300" s="3134" t="str">
        <f t="shared" si="110"/>
        <v>Supervised O&amp;M</v>
      </c>
      <c r="H300" s="19">
        <f t="shared" si="108"/>
        <v>0</v>
      </c>
      <c r="I300" s="19">
        <f t="shared" si="108"/>
        <v>0</v>
      </c>
      <c r="J300" s="19">
        <f t="shared" si="108"/>
        <v>0</v>
      </c>
      <c r="K300" s="19">
        <f t="shared" si="108"/>
        <v>0</v>
      </c>
      <c r="L300" s="19">
        <f t="shared" si="108"/>
        <v>0</v>
      </c>
      <c r="M300" s="19">
        <f t="shared" si="108"/>
        <v>0</v>
      </c>
      <c r="N300" s="19">
        <f t="shared" si="108"/>
        <v>0</v>
      </c>
      <c r="O300" s="19">
        <f t="shared" si="108"/>
        <v>0</v>
      </c>
      <c r="P300" s="19">
        <f t="shared" si="108"/>
        <v>0</v>
      </c>
      <c r="Q300" s="1759">
        <f t="shared" si="108"/>
        <v>0</v>
      </c>
      <c r="R300" s="1759">
        <f t="shared" si="108"/>
        <v>0</v>
      </c>
      <c r="S300" s="1759">
        <f t="shared" si="108"/>
        <v>0</v>
      </c>
      <c r="T300" s="19">
        <f t="shared" si="108"/>
        <v>0</v>
      </c>
      <c r="U300" s="19">
        <f t="shared" si="104"/>
        <v>0</v>
      </c>
      <c r="V300" s="19">
        <f t="shared" si="109"/>
        <v>0</v>
      </c>
      <c r="W300" s="19">
        <f t="shared" si="109"/>
        <v>0</v>
      </c>
      <c r="X300" s="19">
        <f t="shared" si="109"/>
        <v>0</v>
      </c>
      <c r="Y300" s="19">
        <f t="shared" si="109"/>
        <v>0</v>
      </c>
      <c r="Z300" s="602">
        <f t="shared" si="102"/>
        <v>0</v>
      </c>
    </row>
    <row r="301" spans="1:26" hidden="1">
      <c r="A301" s="411"/>
      <c r="C301" s="336">
        <f t="shared" si="107"/>
        <v>257</v>
      </c>
      <c r="D301" s="165" t="str">
        <f t="shared" si="105"/>
        <v>397</v>
      </c>
      <c r="E301" s="247" t="str">
        <f t="shared" si="103"/>
        <v>COMM EQUIP-EPH-960MC</v>
      </c>
      <c r="F301" s="19">
        <f>Asset_Sum!M132</f>
        <v>0</v>
      </c>
      <c r="G301" s="3134" t="str">
        <f t="shared" si="110"/>
        <v>Supervised O&amp;M</v>
      </c>
      <c r="H301" s="19">
        <f t="shared" si="108"/>
        <v>0</v>
      </c>
      <c r="I301" s="19">
        <f t="shared" si="108"/>
        <v>0</v>
      </c>
      <c r="J301" s="19">
        <f t="shared" si="108"/>
        <v>0</v>
      </c>
      <c r="K301" s="19">
        <f t="shared" si="108"/>
        <v>0</v>
      </c>
      <c r="L301" s="19">
        <f t="shared" si="108"/>
        <v>0</v>
      </c>
      <c r="M301" s="19">
        <f t="shared" si="108"/>
        <v>0</v>
      </c>
      <c r="N301" s="19">
        <f t="shared" si="108"/>
        <v>0</v>
      </c>
      <c r="O301" s="19">
        <f t="shared" si="108"/>
        <v>0</v>
      </c>
      <c r="P301" s="19">
        <f t="shared" si="108"/>
        <v>0</v>
      </c>
      <c r="Q301" s="1759">
        <f t="shared" si="108"/>
        <v>0</v>
      </c>
      <c r="R301" s="1759">
        <f t="shared" si="108"/>
        <v>0</v>
      </c>
      <c r="S301" s="1759">
        <f t="shared" si="108"/>
        <v>0</v>
      </c>
      <c r="T301" s="19">
        <f t="shared" si="108"/>
        <v>0</v>
      </c>
      <c r="U301" s="19">
        <f t="shared" si="104"/>
        <v>0</v>
      </c>
      <c r="V301" s="19">
        <f t="shared" si="109"/>
        <v>0</v>
      </c>
      <c r="W301" s="19">
        <f t="shared" si="109"/>
        <v>0</v>
      </c>
      <c r="X301" s="19">
        <f t="shared" si="109"/>
        <v>0</v>
      </c>
      <c r="Y301" s="19">
        <f t="shared" si="109"/>
        <v>0</v>
      </c>
      <c r="Z301" s="602">
        <f t="shared" si="102"/>
        <v>0</v>
      </c>
    </row>
    <row r="302" spans="1:26" hidden="1">
      <c r="A302" s="411"/>
      <c r="C302" s="336">
        <f t="shared" si="107"/>
        <v>258</v>
      </c>
      <c r="D302" s="165" t="str">
        <f t="shared" si="105"/>
        <v>397</v>
      </c>
      <c r="E302" s="247" t="str">
        <f t="shared" si="103"/>
        <v>COMM EQUIP-QUINCY-960MC</v>
      </c>
      <c r="F302" s="19">
        <f>Asset_Sum!M133</f>
        <v>0</v>
      </c>
      <c r="G302" s="3134" t="str">
        <f t="shared" si="110"/>
        <v>Supervised O&amp;M</v>
      </c>
      <c r="H302" s="19">
        <f t="shared" si="108"/>
        <v>0</v>
      </c>
      <c r="I302" s="19">
        <f t="shared" si="108"/>
        <v>0</v>
      </c>
      <c r="J302" s="19">
        <f t="shared" si="108"/>
        <v>0</v>
      </c>
      <c r="K302" s="19">
        <f t="shared" si="108"/>
        <v>0</v>
      </c>
      <c r="L302" s="19">
        <f t="shared" si="108"/>
        <v>0</v>
      </c>
      <c r="M302" s="19">
        <f t="shared" si="108"/>
        <v>0</v>
      </c>
      <c r="N302" s="19">
        <f t="shared" si="108"/>
        <v>0</v>
      </c>
      <c r="O302" s="19">
        <f t="shared" si="108"/>
        <v>0</v>
      </c>
      <c r="P302" s="19">
        <f t="shared" si="108"/>
        <v>0</v>
      </c>
      <c r="Q302" s="1759">
        <f t="shared" si="108"/>
        <v>0</v>
      </c>
      <c r="R302" s="1759">
        <f t="shared" si="108"/>
        <v>0</v>
      </c>
      <c r="S302" s="1759">
        <f t="shared" si="108"/>
        <v>0</v>
      </c>
      <c r="T302" s="19">
        <f t="shared" si="108"/>
        <v>0</v>
      </c>
      <c r="U302" s="19">
        <f t="shared" si="104"/>
        <v>0</v>
      </c>
      <c r="V302" s="19">
        <f t="shared" si="109"/>
        <v>0</v>
      </c>
      <c r="W302" s="19">
        <f t="shared" si="109"/>
        <v>0</v>
      </c>
      <c r="X302" s="19">
        <f t="shared" si="109"/>
        <v>0</v>
      </c>
      <c r="Y302" s="19">
        <f t="shared" si="109"/>
        <v>0</v>
      </c>
      <c r="Z302" s="602">
        <f t="shared" si="102"/>
        <v>0</v>
      </c>
    </row>
    <row r="303" spans="1:26" hidden="1">
      <c r="A303" s="411"/>
      <c r="C303" s="336">
        <f t="shared" si="107"/>
        <v>259</v>
      </c>
      <c r="D303" s="165" t="str">
        <f t="shared" si="105"/>
        <v>397</v>
      </c>
      <c r="E303" s="247" t="str">
        <f t="shared" si="103"/>
        <v>COMM EQUIP-MC SENT-960MC</v>
      </c>
      <c r="F303" s="19">
        <f>Asset_Sum!M134</f>
        <v>0</v>
      </c>
      <c r="G303" s="3134" t="str">
        <f t="shared" si="110"/>
        <v>Supervised O&amp;M</v>
      </c>
      <c r="H303" s="19">
        <f t="shared" si="108"/>
        <v>0</v>
      </c>
      <c r="I303" s="19">
        <f t="shared" si="108"/>
        <v>0</v>
      </c>
      <c r="J303" s="19">
        <f t="shared" si="108"/>
        <v>0</v>
      </c>
      <c r="K303" s="19">
        <f t="shared" si="108"/>
        <v>0</v>
      </c>
      <c r="L303" s="19">
        <f t="shared" si="108"/>
        <v>0</v>
      </c>
      <c r="M303" s="19">
        <f t="shared" si="108"/>
        <v>0</v>
      </c>
      <c r="N303" s="19">
        <f t="shared" si="108"/>
        <v>0</v>
      </c>
      <c r="O303" s="19">
        <f t="shared" si="108"/>
        <v>0</v>
      </c>
      <c r="P303" s="19">
        <f t="shared" si="108"/>
        <v>0</v>
      </c>
      <c r="Q303" s="1759">
        <f t="shared" si="108"/>
        <v>0</v>
      </c>
      <c r="R303" s="1759">
        <f t="shared" si="108"/>
        <v>0</v>
      </c>
      <c r="S303" s="1759">
        <f t="shared" si="108"/>
        <v>0</v>
      </c>
      <c r="T303" s="19">
        <f t="shared" si="108"/>
        <v>0</v>
      </c>
      <c r="U303" s="19">
        <f t="shared" si="104"/>
        <v>0</v>
      </c>
      <c r="V303" s="19">
        <f t="shared" si="109"/>
        <v>0</v>
      </c>
      <c r="W303" s="19">
        <f t="shared" si="109"/>
        <v>0</v>
      </c>
      <c r="X303" s="19">
        <f t="shared" si="109"/>
        <v>0</v>
      </c>
      <c r="Y303" s="19">
        <f t="shared" si="109"/>
        <v>0</v>
      </c>
      <c r="Z303" s="602">
        <f t="shared" si="102"/>
        <v>0</v>
      </c>
    </row>
    <row r="304" spans="1:26" hidden="1">
      <c r="A304" s="411"/>
      <c r="C304" s="336">
        <f t="shared" si="107"/>
        <v>260</v>
      </c>
      <c r="D304" s="165" t="str">
        <f t="shared" si="105"/>
        <v>397</v>
      </c>
      <c r="E304" s="247" t="str">
        <f t="shared" si="103"/>
        <v>COMM EQUIP-MC POTHOLE-960MC</v>
      </c>
      <c r="F304" s="19">
        <f>Asset_Sum!M135</f>
        <v>0</v>
      </c>
      <c r="G304" s="3134" t="str">
        <f t="shared" si="110"/>
        <v>Supervised O&amp;M</v>
      </c>
      <c r="H304" s="19">
        <f t="shared" si="108"/>
        <v>0</v>
      </c>
      <c r="I304" s="19">
        <f t="shared" si="108"/>
        <v>0</v>
      </c>
      <c r="J304" s="19">
        <f t="shared" si="108"/>
        <v>0</v>
      </c>
      <c r="K304" s="19">
        <f t="shared" si="108"/>
        <v>0</v>
      </c>
      <c r="L304" s="19">
        <f t="shared" si="108"/>
        <v>0</v>
      </c>
      <c r="M304" s="19">
        <f t="shared" si="108"/>
        <v>0</v>
      </c>
      <c r="N304" s="19">
        <f t="shared" si="108"/>
        <v>0</v>
      </c>
      <c r="O304" s="19">
        <f t="shared" si="108"/>
        <v>0</v>
      </c>
      <c r="P304" s="19">
        <f t="shared" si="108"/>
        <v>0</v>
      </c>
      <c r="Q304" s="1759">
        <f t="shared" si="108"/>
        <v>0</v>
      </c>
      <c r="R304" s="1759">
        <f t="shared" si="108"/>
        <v>0</v>
      </c>
      <c r="S304" s="1759">
        <f t="shared" si="108"/>
        <v>0</v>
      </c>
      <c r="T304" s="19">
        <f t="shared" si="108"/>
        <v>0</v>
      </c>
      <c r="U304" s="19">
        <f t="shared" si="104"/>
        <v>0</v>
      </c>
      <c r="V304" s="19">
        <f t="shared" si="109"/>
        <v>0</v>
      </c>
      <c r="W304" s="19">
        <f t="shared" si="109"/>
        <v>0</v>
      </c>
      <c r="X304" s="19">
        <f t="shared" si="109"/>
        <v>0</v>
      </c>
      <c r="Y304" s="19">
        <f t="shared" si="109"/>
        <v>0</v>
      </c>
      <c r="Z304" s="602">
        <f t="shared" si="102"/>
        <v>0</v>
      </c>
    </row>
    <row r="305" spans="1:30" hidden="1">
      <c r="A305" s="411"/>
      <c r="C305" s="336">
        <f t="shared" si="107"/>
        <v>261</v>
      </c>
      <c r="D305" s="165" t="str">
        <f t="shared" si="105"/>
        <v>397</v>
      </c>
      <c r="E305" s="247" t="str">
        <f t="shared" si="103"/>
        <v>COMM EQUIP-SUBSTATION</v>
      </c>
      <c r="F305" s="19">
        <f>Asset_Sum!M136</f>
        <v>0</v>
      </c>
      <c r="G305" s="3134" t="str">
        <f t="shared" si="110"/>
        <v>Supervised O&amp;M</v>
      </c>
      <c r="H305" s="19">
        <f t="shared" si="108"/>
        <v>0</v>
      </c>
      <c r="I305" s="19">
        <f t="shared" si="108"/>
        <v>0</v>
      </c>
      <c r="J305" s="19">
        <f t="shared" si="108"/>
        <v>0</v>
      </c>
      <c r="K305" s="19">
        <f t="shared" si="108"/>
        <v>0</v>
      </c>
      <c r="L305" s="19">
        <f t="shared" si="108"/>
        <v>0</v>
      </c>
      <c r="M305" s="19">
        <f t="shared" si="108"/>
        <v>0</v>
      </c>
      <c r="N305" s="19">
        <f t="shared" si="108"/>
        <v>0</v>
      </c>
      <c r="O305" s="19">
        <f t="shared" si="108"/>
        <v>0</v>
      </c>
      <c r="P305" s="19">
        <f t="shared" si="108"/>
        <v>0</v>
      </c>
      <c r="Q305" s="1759">
        <f t="shared" si="108"/>
        <v>0</v>
      </c>
      <c r="R305" s="1759">
        <f t="shared" si="108"/>
        <v>0</v>
      </c>
      <c r="S305" s="1759">
        <f t="shared" si="108"/>
        <v>0</v>
      </c>
      <c r="T305" s="19">
        <f t="shared" si="108"/>
        <v>0</v>
      </c>
      <c r="U305" s="19">
        <f t="shared" si="104"/>
        <v>0</v>
      </c>
      <c r="V305" s="19">
        <f t="shared" si="109"/>
        <v>0</v>
      </c>
      <c r="W305" s="19">
        <f t="shared" si="109"/>
        <v>0</v>
      </c>
      <c r="X305" s="19">
        <f t="shared" si="109"/>
        <v>0</v>
      </c>
      <c r="Y305" s="19">
        <f t="shared" si="109"/>
        <v>0</v>
      </c>
      <c r="Z305" s="602">
        <f t="shared" si="102"/>
        <v>0</v>
      </c>
      <c r="AD305" s="588">
        <v>221755672</v>
      </c>
    </row>
    <row r="306" spans="1:30" hidden="1">
      <c r="A306" s="411"/>
      <c r="C306" s="336">
        <f t="shared" si="107"/>
        <v>262</v>
      </c>
      <c r="D306" s="165" t="str">
        <f t="shared" si="105"/>
        <v>397</v>
      </c>
      <c r="E306" s="247" t="str">
        <f t="shared" si="103"/>
        <v>COMM EQUIP-DATA CO-ML</v>
      </c>
      <c r="F306" s="19">
        <f>Asset_Sum!M137</f>
        <v>0</v>
      </c>
      <c r="G306" s="3134" t="str">
        <f t="shared" si="110"/>
        <v>Supervised O&amp;M</v>
      </c>
      <c r="H306" s="19">
        <f t="shared" si="108"/>
        <v>0</v>
      </c>
      <c r="I306" s="19">
        <f t="shared" si="108"/>
        <v>0</v>
      </c>
      <c r="J306" s="19">
        <f t="shared" si="108"/>
        <v>0</v>
      </c>
      <c r="K306" s="19">
        <f t="shared" si="108"/>
        <v>0</v>
      </c>
      <c r="L306" s="19">
        <f t="shared" si="108"/>
        <v>0</v>
      </c>
      <c r="M306" s="19">
        <f t="shared" si="108"/>
        <v>0</v>
      </c>
      <c r="N306" s="19">
        <f t="shared" si="108"/>
        <v>0</v>
      </c>
      <c r="O306" s="19">
        <f t="shared" si="108"/>
        <v>0</v>
      </c>
      <c r="P306" s="19">
        <f t="shared" si="108"/>
        <v>0</v>
      </c>
      <c r="Q306" s="1759">
        <f t="shared" si="108"/>
        <v>0</v>
      </c>
      <c r="R306" s="1759">
        <f t="shared" si="108"/>
        <v>0</v>
      </c>
      <c r="S306" s="1759">
        <f t="shared" si="108"/>
        <v>0</v>
      </c>
      <c r="T306" s="19">
        <f t="shared" si="108"/>
        <v>0</v>
      </c>
      <c r="U306" s="19">
        <f t="shared" si="104"/>
        <v>0</v>
      </c>
      <c r="V306" s="19">
        <f t="shared" si="109"/>
        <v>0</v>
      </c>
      <c r="W306" s="19">
        <f t="shared" si="109"/>
        <v>0</v>
      </c>
      <c r="X306" s="19">
        <f t="shared" si="109"/>
        <v>0</v>
      </c>
      <c r="Y306" s="19">
        <f t="shared" si="109"/>
        <v>0</v>
      </c>
      <c r="Z306" s="602">
        <f t="shared" si="102"/>
        <v>0</v>
      </c>
      <c r="AD306" s="588">
        <v>84404351</v>
      </c>
    </row>
    <row r="307" spans="1:30" hidden="1">
      <c r="A307" s="411"/>
      <c r="C307" s="336">
        <f t="shared" si="107"/>
        <v>263</v>
      </c>
      <c r="D307" s="165" t="str">
        <f t="shared" si="105"/>
        <v>397</v>
      </c>
      <c r="E307" s="247" t="str">
        <f t="shared" si="103"/>
        <v>COMM EQUIP-DATA CO-QUINCY</v>
      </c>
      <c r="F307" s="19">
        <f>Asset_Sum!M138</f>
        <v>0</v>
      </c>
      <c r="G307" s="3134" t="str">
        <f t="shared" si="110"/>
        <v>Supervised O&amp;M</v>
      </c>
      <c r="H307" s="19">
        <f t="shared" ref="H307:T316" si="111">$F307*SUMIF($E$338:$E$359,$G307,H$338:H$359)</f>
        <v>0</v>
      </c>
      <c r="I307" s="19">
        <f t="shared" si="111"/>
        <v>0</v>
      </c>
      <c r="J307" s="19">
        <f t="shared" si="111"/>
        <v>0</v>
      </c>
      <c r="K307" s="19">
        <f t="shared" si="111"/>
        <v>0</v>
      </c>
      <c r="L307" s="19">
        <f t="shared" si="111"/>
        <v>0</v>
      </c>
      <c r="M307" s="19">
        <f t="shared" si="111"/>
        <v>0</v>
      </c>
      <c r="N307" s="19">
        <f t="shared" si="111"/>
        <v>0</v>
      </c>
      <c r="O307" s="19">
        <f t="shared" si="111"/>
        <v>0</v>
      </c>
      <c r="P307" s="19">
        <f t="shared" si="111"/>
        <v>0</v>
      </c>
      <c r="Q307" s="1759">
        <f t="shared" si="111"/>
        <v>0</v>
      </c>
      <c r="R307" s="1759">
        <f t="shared" si="111"/>
        <v>0</v>
      </c>
      <c r="S307" s="1759">
        <f t="shared" si="111"/>
        <v>0</v>
      </c>
      <c r="T307" s="19">
        <f t="shared" si="111"/>
        <v>0</v>
      </c>
      <c r="U307" s="19">
        <f t="shared" si="104"/>
        <v>0</v>
      </c>
      <c r="V307" s="19">
        <f t="shared" si="109"/>
        <v>0</v>
      </c>
      <c r="W307" s="19">
        <f t="shared" si="109"/>
        <v>0</v>
      </c>
      <c r="X307" s="19">
        <f t="shared" si="109"/>
        <v>0</v>
      </c>
      <c r="Y307" s="19">
        <f t="shared" si="109"/>
        <v>0</v>
      </c>
      <c r="Z307" s="602">
        <f t="shared" si="102"/>
        <v>0</v>
      </c>
      <c r="AD307" s="588">
        <f>AD305-AD306</f>
        <v>137351321</v>
      </c>
    </row>
    <row r="308" spans="1:30" hidden="1">
      <c r="A308" s="411"/>
      <c r="C308" s="336">
        <f t="shared" si="107"/>
        <v>264</v>
      </c>
      <c r="D308" s="165" t="str">
        <f t="shared" si="105"/>
        <v>397</v>
      </c>
      <c r="E308" s="247" t="str">
        <f t="shared" si="103"/>
        <v>COMM EQUIP-DATA CO-POTHOLE</v>
      </c>
      <c r="F308" s="19">
        <f>Asset_Sum!M139</f>
        <v>0</v>
      </c>
      <c r="G308" s="3134" t="str">
        <f t="shared" si="110"/>
        <v>Supervised O&amp;M</v>
      </c>
      <c r="H308" s="19">
        <f t="shared" si="111"/>
        <v>0</v>
      </c>
      <c r="I308" s="19">
        <f t="shared" si="111"/>
        <v>0</v>
      </c>
      <c r="J308" s="19">
        <f t="shared" si="111"/>
        <v>0</v>
      </c>
      <c r="K308" s="19">
        <f t="shared" si="111"/>
        <v>0</v>
      </c>
      <c r="L308" s="19">
        <f t="shared" si="111"/>
        <v>0</v>
      </c>
      <c r="M308" s="19">
        <f t="shared" si="111"/>
        <v>0</v>
      </c>
      <c r="N308" s="19">
        <f t="shared" si="111"/>
        <v>0</v>
      </c>
      <c r="O308" s="19">
        <f t="shared" si="111"/>
        <v>0</v>
      </c>
      <c r="P308" s="19">
        <f t="shared" si="111"/>
        <v>0</v>
      </c>
      <c r="Q308" s="1759">
        <f t="shared" si="111"/>
        <v>0</v>
      </c>
      <c r="R308" s="1759">
        <f t="shared" si="111"/>
        <v>0</v>
      </c>
      <c r="S308" s="1759">
        <f t="shared" si="111"/>
        <v>0</v>
      </c>
      <c r="T308" s="19">
        <f t="shared" si="111"/>
        <v>0</v>
      </c>
      <c r="U308" s="19">
        <f t="shared" si="104"/>
        <v>0</v>
      </c>
      <c r="V308" s="19">
        <f t="shared" si="109"/>
        <v>0</v>
      </c>
      <c r="W308" s="19">
        <f t="shared" si="109"/>
        <v>0</v>
      </c>
      <c r="X308" s="19">
        <f t="shared" si="109"/>
        <v>0</v>
      </c>
      <c r="Y308" s="19">
        <f t="shared" si="109"/>
        <v>0</v>
      </c>
      <c r="Z308" s="602">
        <f t="shared" si="102"/>
        <v>0</v>
      </c>
    </row>
    <row r="309" spans="1:30" hidden="1">
      <c r="A309" s="411"/>
      <c r="C309" s="336">
        <f t="shared" si="107"/>
        <v>265</v>
      </c>
      <c r="D309" s="165" t="str">
        <f t="shared" si="105"/>
        <v>397</v>
      </c>
      <c r="E309" s="247" t="str">
        <f t="shared" si="103"/>
        <v>COMM EQUIP-ML TELEPHONE</v>
      </c>
      <c r="F309" s="19">
        <f>Asset_Sum!M140</f>
        <v>0</v>
      </c>
      <c r="G309" s="3134" t="str">
        <f t="shared" si="110"/>
        <v>Supervised O&amp;M</v>
      </c>
      <c r="H309" s="19">
        <f t="shared" si="111"/>
        <v>0</v>
      </c>
      <c r="I309" s="19">
        <f t="shared" si="111"/>
        <v>0</v>
      </c>
      <c r="J309" s="19">
        <f t="shared" si="111"/>
        <v>0</v>
      </c>
      <c r="K309" s="19">
        <f t="shared" si="111"/>
        <v>0</v>
      </c>
      <c r="L309" s="19">
        <f t="shared" si="111"/>
        <v>0</v>
      </c>
      <c r="M309" s="19">
        <f t="shared" si="111"/>
        <v>0</v>
      </c>
      <c r="N309" s="19">
        <f t="shared" si="111"/>
        <v>0</v>
      </c>
      <c r="O309" s="19">
        <f t="shared" si="111"/>
        <v>0</v>
      </c>
      <c r="P309" s="19">
        <f t="shared" si="111"/>
        <v>0</v>
      </c>
      <c r="Q309" s="1759">
        <f t="shared" si="111"/>
        <v>0</v>
      </c>
      <c r="R309" s="1759">
        <f t="shared" si="111"/>
        <v>0</v>
      </c>
      <c r="S309" s="1759">
        <f t="shared" si="111"/>
        <v>0</v>
      </c>
      <c r="T309" s="19">
        <f t="shared" si="111"/>
        <v>0</v>
      </c>
      <c r="U309" s="19">
        <f t="shared" si="104"/>
        <v>0</v>
      </c>
      <c r="V309" s="19">
        <f t="shared" si="109"/>
        <v>0</v>
      </c>
      <c r="W309" s="19">
        <f t="shared" si="109"/>
        <v>0</v>
      </c>
      <c r="X309" s="19">
        <f t="shared" si="109"/>
        <v>0</v>
      </c>
      <c r="Y309" s="19">
        <f t="shared" si="109"/>
        <v>0</v>
      </c>
      <c r="Z309" s="602">
        <f t="shared" si="102"/>
        <v>0</v>
      </c>
    </row>
    <row r="310" spans="1:30" hidden="1">
      <c r="A310" s="411"/>
      <c r="C310" s="336">
        <f t="shared" si="107"/>
        <v>266</v>
      </c>
      <c r="D310" s="165" t="str">
        <f t="shared" si="105"/>
        <v>397</v>
      </c>
      <c r="E310" s="247" t="str">
        <f t="shared" si="103"/>
        <v>COMM EQUIP-GC TELEPHONE</v>
      </c>
      <c r="F310" s="19">
        <f>Asset_Sum!M141</f>
        <v>0</v>
      </c>
      <c r="G310" s="3134" t="str">
        <f t="shared" si="110"/>
        <v>Supervised O&amp;M</v>
      </c>
      <c r="H310" s="19">
        <f t="shared" si="111"/>
        <v>0</v>
      </c>
      <c r="I310" s="19">
        <f t="shared" si="111"/>
        <v>0</v>
      </c>
      <c r="J310" s="19">
        <f t="shared" si="111"/>
        <v>0</v>
      </c>
      <c r="K310" s="19">
        <f t="shared" si="111"/>
        <v>0</v>
      </c>
      <c r="L310" s="19">
        <f t="shared" si="111"/>
        <v>0</v>
      </c>
      <c r="M310" s="19">
        <f t="shared" si="111"/>
        <v>0</v>
      </c>
      <c r="N310" s="19">
        <f t="shared" si="111"/>
        <v>0</v>
      </c>
      <c r="O310" s="19">
        <f t="shared" si="111"/>
        <v>0</v>
      </c>
      <c r="P310" s="19">
        <f t="shared" si="111"/>
        <v>0</v>
      </c>
      <c r="Q310" s="1759">
        <f t="shared" si="111"/>
        <v>0</v>
      </c>
      <c r="R310" s="1759">
        <f t="shared" si="111"/>
        <v>0</v>
      </c>
      <c r="S310" s="1759">
        <f t="shared" si="111"/>
        <v>0</v>
      </c>
      <c r="T310" s="19">
        <f t="shared" si="111"/>
        <v>0</v>
      </c>
      <c r="U310" s="19">
        <f t="shared" si="104"/>
        <v>0</v>
      </c>
      <c r="V310" s="19">
        <f t="shared" si="109"/>
        <v>0</v>
      </c>
      <c r="W310" s="19">
        <f t="shared" si="109"/>
        <v>0</v>
      </c>
      <c r="X310" s="19">
        <f t="shared" si="109"/>
        <v>0</v>
      </c>
      <c r="Y310" s="19">
        <f t="shared" si="109"/>
        <v>0</v>
      </c>
      <c r="Z310" s="602">
        <f t="shared" si="102"/>
        <v>0</v>
      </c>
    </row>
    <row r="311" spans="1:30" hidden="1">
      <c r="A311" s="411"/>
      <c r="C311" s="336">
        <f t="shared" si="107"/>
        <v>267</v>
      </c>
      <c r="D311" s="165" t="str">
        <f t="shared" si="105"/>
        <v>397</v>
      </c>
      <c r="E311" s="247" t="str">
        <f t="shared" si="103"/>
        <v>COMM EQUIP-ANALOG TELEMTR</v>
      </c>
      <c r="F311" s="19">
        <f>Asset_Sum!M142</f>
        <v>0</v>
      </c>
      <c r="G311" s="3134" t="str">
        <f t="shared" si="110"/>
        <v>Supervised O&amp;M</v>
      </c>
      <c r="H311" s="19">
        <f t="shared" si="111"/>
        <v>0</v>
      </c>
      <c r="I311" s="19">
        <f t="shared" si="111"/>
        <v>0</v>
      </c>
      <c r="J311" s="19">
        <f t="shared" si="111"/>
        <v>0</v>
      </c>
      <c r="K311" s="19">
        <f t="shared" si="111"/>
        <v>0</v>
      </c>
      <c r="L311" s="19">
        <f t="shared" si="111"/>
        <v>0</v>
      </c>
      <c r="M311" s="19">
        <f t="shared" si="111"/>
        <v>0</v>
      </c>
      <c r="N311" s="19">
        <f t="shared" si="111"/>
        <v>0</v>
      </c>
      <c r="O311" s="19">
        <f t="shared" si="111"/>
        <v>0</v>
      </c>
      <c r="P311" s="19">
        <f t="shared" si="111"/>
        <v>0</v>
      </c>
      <c r="Q311" s="1759">
        <f t="shared" si="111"/>
        <v>0</v>
      </c>
      <c r="R311" s="1759">
        <f t="shared" si="111"/>
        <v>0</v>
      </c>
      <c r="S311" s="1759">
        <f t="shared" si="111"/>
        <v>0</v>
      </c>
      <c r="T311" s="19">
        <f t="shared" si="111"/>
        <v>0</v>
      </c>
      <c r="U311" s="19">
        <f t="shared" si="104"/>
        <v>0</v>
      </c>
      <c r="V311" s="19">
        <f t="shared" si="109"/>
        <v>0</v>
      </c>
      <c r="W311" s="19">
        <f t="shared" si="109"/>
        <v>0</v>
      </c>
      <c r="X311" s="19">
        <f t="shared" si="109"/>
        <v>0</v>
      </c>
      <c r="Y311" s="19">
        <f t="shared" si="109"/>
        <v>0</v>
      </c>
      <c r="Z311" s="602">
        <f t="shared" si="102"/>
        <v>0</v>
      </c>
    </row>
    <row r="312" spans="1:30" hidden="1">
      <c r="A312" s="411"/>
      <c r="C312" s="336">
        <f t="shared" si="107"/>
        <v>268</v>
      </c>
      <c r="D312" s="165" t="str">
        <f t="shared" si="105"/>
        <v>397</v>
      </c>
      <c r="E312" s="247" t="str">
        <f t="shared" si="103"/>
        <v>COMM SCADA-JOINT</v>
      </c>
      <c r="F312" s="19">
        <f>Asset_Sum!M143</f>
        <v>0</v>
      </c>
      <c r="G312" s="3134" t="str">
        <f t="shared" si="110"/>
        <v>Supervised O&amp;M</v>
      </c>
      <c r="H312" s="19">
        <f t="shared" si="111"/>
        <v>0</v>
      </c>
      <c r="I312" s="19">
        <f t="shared" si="111"/>
        <v>0</v>
      </c>
      <c r="J312" s="19">
        <f t="shared" si="111"/>
        <v>0</v>
      </c>
      <c r="K312" s="19">
        <f t="shared" si="111"/>
        <v>0</v>
      </c>
      <c r="L312" s="19">
        <f t="shared" si="111"/>
        <v>0</v>
      </c>
      <c r="M312" s="19">
        <f t="shared" si="111"/>
        <v>0</v>
      </c>
      <c r="N312" s="19">
        <f t="shared" si="111"/>
        <v>0</v>
      </c>
      <c r="O312" s="19">
        <f t="shared" si="111"/>
        <v>0</v>
      </c>
      <c r="P312" s="19">
        <f t="shared" si="111"/>
        <v>0</v>
      </c>
      <c r="Q312" s="1759">
        <f t="shared" si="111"/>
        <v>0</v>
      </c>
      <c r="R312" s="1759">
        <f t="shared" si="111"/>
        <v>0</v>
      </c>
      <c r="S312" s="1759">
        <f t="shared" si="111"/>
        <v>0</v>
      </c>
      <c r="T312" s="19">
        <f t="shared" si="111"/>
        <v>0</v>
      </c>
      <c r="U312" s="19">
        <f t="shared" si="104"/>
        <v>0</v>
      </c>
      <c r="V312" s="19">
        <f t="shared" si="109"/>
        <v>0</v>
      </c>
      <c r="W312" s="19">
        <f t="shared" si="109"/>
        <v>0</v>
      </c>
      <c r="X312" s="19">
        <f t="shared" si="109"/>
        <v>0</v>
      </c>
      <c r="Y312" s="19">
        <f t="shared" si="109"/>
        <v>0</v>
      </c>
      <c r="Z312" s="602">
        <f t="shared" si="102"/>
        <v>0</v>
      </c>
    </row>
    <row r="313" spans="1:30" hidden="1">
      <c r="A313" s="411"/>
      <c r="C313" s="336">
        <f t="shared" si="107"/>
        <v>269</v>
      </c>
      <c r="D313" s="165" t="str">
        <f t="shared" si="105"/>
        <v>397</v>
      </c>
      <c r="E313" s="247" t="str">
        <f t="shared" si="103"/>
        <v>WFON-D/VIDEO HEAD END EQUIP</v>
      </c>
      <c r="F313" s="19">
        <f>Asset_Sum!M144</f>
        <v>0</v>
      </c>
      <c r="G313" s="3134" t="str">
        <f t="shared" si="110"/>
        <v>Total Plant Before Gen Plant</v>
      </c>
      <c r="H313" s="19">
        <f t="shared" si="111"/>
        <v>0</v>
      </c>
      <c r="I313" s="19">
        <f t="shared" si="111"/>
        <v>0</v>
      </c>
      <c r="J313" s="19">
        <f t="shared" si="111"/>
        <v>0</v>
      </c>
      <c r="K313" s="19">
        <f t="shared" si="111"/>
        <v>0</v>
      </c>
      <c r="L313" s="19">
        <f t="shared" si="111"/>
        <v>0</v>
      </c>
      <c r="M313" s="19">
        <f t="shared" si="111"/>
        <v>0</v>
      </c>
      <c r="N313" s="19">
        <f t="shared" si="111"/>
        <v>0</v>
      </c>
      <c r="O313" s="19">
        <f t="shared" si="111"/>
        <v>0</v>
      </c>
      <c r="P313" s="19">
        <f t="shared" si="111"/>
        <v>0</v>
      </c>
      <c r="Q313" s="1759">
        <f t="shared" si="111"/>
        <v>0</v>
      </c>
      <c r="R313" s="1759">
        <f t="shared" si="111"/>
        <v>0</v>
      </c>
      <c r="S313" s="1759">
        <f t="shared" si="111"/>
        <v>0</v>
      </c>
      <c r="T313" s="19">
        <f t="shared" si="111"/>
        <v>0</v>
      </c>
      <c r="U313" s="19">
        <f t="shared" si="104"/>
        <v>0</v>
      </c>
      <c r="V313" s="19">
        <f t="shared" si="109"/>
        <v>0</v>
      </c>
      <c r="W313" s="19">
        <f t="shared" si="109"/>
        <v>0</v>
      </c>
      <c r="X313" s="19">
        <f t="shared" si="109"/>
        <v>0</v>
      </c>
      <c r="Y313" s="19">
        <f t="shared" si="109"/>
        <v>0</v>
      </c>
      <c r="Z313" s="602">
        <f t="shared" si="102"/>
        <v>0</v>
      </c>
    </row>
    <row r="314" spans="1:30">
      <c r="A314" s="411"/>
      <c r="C314" s="336">
        <f t="shared" si="107"/>
        <v>270</v>
      </c>
      <c r="D314" s="165" t="str">
        <f t="shared" si="105"/>
        <v>397</v>
      </c>
      <c r="E314" s="247" t="str">
        <f t="shared" si="103"/>
        <v>WFON-HUB ELECTRONICS CIRCUIT</v>
      </c>
      <c r="F314" s="19">
        <f>Asset_Sum!M145</f>
        <v>3904572.5199999977</v>
      </c>
      <c r="G314" s="3134" t="str">
        <f t="shared" si="110"/>
        <v>Total Plant Before Gen Plant</v>
      </c>
      <c r="H314" s="19">
        <f t="shared" si="111"/>
        <v>0</v>
      </c>
      <c r="I314" s="19">
        <f t="shared" si="111"/>
        <v>197961.82676399988</v>
      </c>
      <c r="J314" s="19">
        <f t="shared" si="111"/>
        <v>1105384.4804119994</v>
      </c>
      <c r="K314" s="19">
        <f t="shared" si="111"/>
        <v>465425.04438399972</v>
      </c>
      <c r="L314" s="19">
        <f t="shared" si="111"/>
        <v>0</v>
      </c>
      <c r="M314" s="19">
        <f t="shared" si="111"/>
        <v>0</v>
      </c>
      <c r="N314" s="19">
        <f t="shared" si="111"/>
        <v>0</v>
      </c>
      <c r="O314" s="19">
        <f t="shared" si="111"/>
        <v>415056.05887599976</v>
      </c>
      <c r="P314" s="19">
        <f t="shared" si="111"/>
        <v>152668.78553199992</v>
      </c>
      <c r="Q314" s="1759">
        <f t="shared" si="111"/>
        <v>901565.79486799939</v>
      </c>
      <c r="R314" s="1759">
        <f t="shared" si="111"/>
        <v>122603.57712799992</v>
      </c>
      <c r="S314" s="1759">
        <f t="shared" si="111"/>
        <v>313146.71610399982</v>
      </c>
      <c r="T314" s="19">
        <f t="shared" si="111"/>
        <v>113623.06033199994</v>
      </c>
      <c r="U314" s="19">
        <f t="shared" si="104"/>
        <v>79262.822155999951</v>
      </c>
      <c r="V314" s="19">
        <f t="shared" si="109"/>
        <v>0</v>
      </c>
      <c r="W314" s="19">
        <f t="shared" si="109"/>
        <v>37874.353443999978</v>
      </c>
      <c r="X314" s="19">
        <f t="shared" si="109"/>
        <v>0</v>
      </c>
      <c r="Y314" s="19">
        <f t="shared" si="109"/>
        <v>0</v>
      </c>
      <c r="Z314" s="602">
        <f t="shared" si="102"/>
        <v>0</v>
      </c>
    </row>
    <row r="315" spans="1:30">
      <c r="A315" s="411"/>
      <c r="C315" s="336">
        <f t="shared" si="107"/>
        <v>271</v>
      </c>
      <c r="D315" s="165" t="str">
        <f t="shared" si="105"/>
        <v>397</v>
      </c>
      <c r="E315" s="247" t="str">
        <f t="shared" si="103"/>
        <v>WFON-FIBER GATEWAYS</v>
      </c>
      <c r="F315" s="19">
        <f>Asset_Sum!M146</f>
        <v>166139.5</v>
      </c>
      <c r="G315" s="3134" t="str">
        <f t="shared" si="110"/>
        <v>Total Plant Before Gen Plant</v>
      </c>
      <c r="H315" s="19">
        <f t="shared" si="111"/>
        <v>0</v>
      </c>
      <c r="I315" s="19">
        <f t="shared" si="111"/>
        <v>8423.2726500000008</v>
      </c>
      <c r="J315" s="19">
        <f t="shared" si="111"/>
        <v>47034.092450000004</v>
      </c>
      <c r="K315" s="19">
        <f t="shared" si="111"/>
        <v>19803.828399999999</v>
      </c>
      <c r="L315" s="19">
        <f t="shared" si="111"/>
        <v>0</v>
      </c>
      <c r="M315" s="19">
        <f t="shared" si="111"/>
        <v>0</v>
      </c>
      <c r="N315" s="19">
        <f t="shared" si="111"/>
        <v>0</v>
      </c>
      <c r="O315" s="19">
        <f t="shared" si="111"/>
        <v>17660.628850000001</v>
      </c>
      <c r="P315" s="19">
        <f t="shared" si="111"/>
        <v>6496.0544500000005</v>
      </c>
      <c r="Q315" s="19">
        <f t="shared" si="111"/>
        <v>38361.610549999998</v>
      </c>
      <c r="R315" s="19">
        <f t="shared" si="111"/>
        <v>5216.7802999999994</v>
      </c>
      <c r="S315" s="19">
        <f t="shared" si="111"/>
        <v>13324.3879</v>
      </c>
      <c r="T315" s="19">
        <f t="shared" si="111"/>
        <v>4834.6594500000001</v>
      </c>
      <c r="U315" s="19">
        <f t="shared" si="104"/>
        <v>3372.6318499999998</v>
      </c>
      <c r="V315" s="19">
        <f t="shared" si="109"/>
        <v>0</v>
      </c>
      <c r="W315" s="19">
        <f t="shared" si="109"/>
        <v>1611.55315</v>
      </c>
      <c r="X315" s="19">
        <f t="shared" si="109"/>
        <v>0</v>
      </c>
      <c r="Y315" s="19">
        <f t="shared" si="109"/>
        <v>0</v>
      </c>
      <c r="Z315" s="602">
        <f t="shared" si="102"/>
        <v>0</v>
      </c>
    </row>
    <row r="316" spans="1:30">
      <c r="A316" s="411"/>
      <c r="C316" s="336">
        <f t="shared" si="107"/>
        <v>272</v>
      </c>
      <c r="D316" s="165" t="str">
        <f t="shared" si="105"/>
        <v>397</v>
      </c>
      <c r="E316" s="247" t="str">
        <f t="shared" si="103"/>
        <v>WFON-HUB CABINET</v>
      </c>
      <c r="F316" s="19">
        <f>Asset_Sum!M147</f>
        <v>6993826.5299999984</v>
      </c>
      <c r="G316" s="3134" t="str">
        <f t="shared" si="110"/>
        <v>Total Plant Before Gen Plant</v>
      </c>
      <c r="H316" s="19">
        <f t="shared" si="111"/>
        <v>0</v>
      </c>
      <c r="I316" s="19">
        <f t="shared" si="111"/>
        <v>354587.00507099991</v>
      </c>
      <c r="J316" s="19">
        <f t="shared" si="111"/>
        <v>1979952.2906429996</v>
      </c>
      <c r="K316" s="19">
        <f t="shared" si="111"/>
        <v>833664.12237599981</v>
      </c>
      <c r="L316" s="19">
        <f t="shared" si="111"/>
        <v>0</v>
      </c>
      <c r="M316" s="19">
        <f t="shared" si="111"/>
        <v>0</v>
      </c>
      <c r="N316" s="19">
        <f t="shared" si="111"/>
        <v>0</v>
      </c>
      <c r="O316" s="19">
        <f t="shared" si="111"/>
        <v>743443.7601389999</v>
      </c>
      <c r="P316" s="19">
        <f t="shared" si="111"/>
        <v>273458.61732299998</v>
      </c>
      <c r="Q316" s="19">
        <f t="shared" si="111"/>
        <v>1614874.5457769996</v>
      </c>
      <c r="R316" s="19">
        <f t="shared" si="111"/>
        <v>219606.15304199993</v>
      </c>
      <c r="S316" s="19">
        <f t="shared" si="111"/>
        <v>560904.88770599978</v>
      </c>
      <c r="T316" s="19">
        <f t="shared" si="111"/>
        <v>203520.35202299996</v>
      </c>
      <c r="U316" s="19">
        <f t="shared" si="104"/>
        <v>141974.67855899996</v>
      </c>
      <c r="V316" s="19">
        <f t="shared" si="109"/>
        <v>0</v>
      </c>
      <c r="W316" s="19">
        <f t="shared" si="109"/>
        <v>67840.11734099999</v>
      </c>
      <c r="X316" s="19">
        <f t="shared" si="109"/>
        <v>0</v>
      </c>
      <c r="Y316" s="19">
        <f t="shared" si="109"/>
        <v>0</v>
      </c>
      <c r="Z316" s="602">
        <f t="shared" si="102"/>
        <v>0</v>
      </c>
    </row>
    <row r="317" spans="1:30">
      <c r="A317" s="411"/>
      <c r="C317" s="336">
        <f t="shared" si="107"/>
        <v>273</v>
      </c>
      <c r="D317" s="165" t="str">
        <f t="shared" si="105"/>
        <v>397</v>
      </c>
      <c r="E317" s="247" t="str">
        <f t="shared" si="103"/>
        <v>WFON-DEMARCATION</v>
      </c>
      <c r="F317" s="19">
        <f>Asset_Sum!M148</f>
        <v>18426545.929999996</v>
      </c>
      <c r="G317" s="3134" t="str">
        <f t="shared" si="110"/>
        <v>Total Plant Before Gen Plant</v>
      </c>
      <c r="H317" s="19">
        <f t="shared" ref="H317:T327" si="112">$F317*SUMIF($E$338:$E$359,$G317,H$338:H$359)</f>
        <v>0</v>
      </c>
      <c r="I317" s="19">
        <f t="shared" si="112"/>
        <v>934225.87865099986</v>
      </c>
      <c r="J317" s="19">
        <f t="shared" si="112"/>
        <v>5216555.152782999</v>
      </c>
      <c r="K317" s="19">
        <f t="shared" si="112"/>
        <v>2196444.2748559997</v>
      </c>
      <c r="L317" s="19">
        <f t="shared" si="112"/>
        <v>0</v>
      </c>
      <c r="M317" s="19">
        <f t="shared" si="112"/>
        <v>0</v>
      </c>
      <c r="N317" s="19">
        <f t="shared" si="112"/>
        <v>0</v>
      </c>
      <c r="O317" s="19">
        <f t="shared" si="112"/>
        <v>1958741.8323589996</v>
      </c>
      <c r="P317" s="19">
        <f t="shared" si="112"/>
        <v>720477.94586299988</v>
      </c>
      <c r="Q317" s="19">
        <f t="shared" si="112"/>
        <v>4254689.4552369993</v>
      </c>
      <c r="R317" s="19">
        <f t="shared" si="112"/>
        <v>578593.54220199981</v>
      </c>
      <c r="S317" s="19">
        <f t="shared" si="112"/>
        <v>1477808.9835859996</v>
      </c>
      <c r="T317" s="19">
        <f t="shared" si="112"/>
        <v>536212.4865629999</v>
      </c>
      <c r="U317" s="19">
        <f t="shared" si="104"/>
        <v>374058.8823789999</v>
      </c>
      <c r="V317" s="19">
        <f t="shared" ref="V317:Y327" si="113">$F317*SUMIF($E$338:$E$359,$G317,V$338:V$359)</f>
        <v>0</v>
      </c>
      <c r="W317" s="19">
        <f t="shared" si="113"/>
        <v>178737.49552099998</v>
      </c>
      <c r="X317" s="19">
        <f t="shared" si="113"/>
        <v>0</v>
      </c>
      <c r="Y317" s="19">
        <f t="shared" si="113"/>
        <v>0</v>
      </c>
      <c r="Z317" s="602">
        <f t="shared" si="102"/>
        <v>0</v>
      </c>
    </row>
    <row r="318" spans="1:30">
      <c r="A318" s="411"/>
      <c r="C318" s="336">
        <f t="shared" si="107"/>
        <v>274</v>
      </c>
      <c r="D318" s="165" t="str">
        <f t="shared" si="105"/>
        <v>397</v>
      </c>
      <c r="E318" s="247" t="str">
        <f t="shared" ref="E318:E328" si="114">E157</f>
        <v>WFON-AERIAL CABLE</v>
      </c>
      <c r="F318" s="19">
        <f>Asset_Sum!M149</f>
        <v>16134542.209999997</v>
      </c>
      <c r="G318" s="3134" t="str">
        <f t="shared" si="110"/>
        <v>Total Plant Before Gen Plant</v>
      </c>
      <c r="H318" s="19">
        <f t="shared" si="112"/>
        <v>0</v>
      </c>
      <c r="I318" s="19">
        <f t="shared" si="112"/>
        <v>818021.29004699993</v>
      </c>
      <c r="J318" s="19">
        <f t="shared" si="112"/>
        <v>4567688.8996509993</v>
      </c>
      <c r="K318" s="19">
        <f t="shared" si="112"/>
        <v>1923237.4314319997</v>
      </c>
      <c r="L318" s="19">
        <f t="shared" si="112"/>
        <v>0</v>
      </c>
      <c r="M318" s="19">
        <f t="shared" si="112"/>
        <v>0</v>
      </c>
      <c r="N318" s="19">
        <f t="shared" si="112"/>
        <v>0</v>
      </c>
      <c r="O318" s="19">
        <f t="shared" si="112"/>
        <v>1715101.8369229997</v>
      </c>
      <c r="P318" s="19">
        <f t="shared" si="112"/>
        <v>630860.60041099996</v>
      </c>
      <c r="Q318" s="19">
        <f t="shared" si="112"/>
        <v>3725465.7962889993</v>
      </c>
      <c r="R318" s="19">
        <f t="shared" si="112"/>
        <v>506624.62539399986</v>
      </c>
      <c r="S318" s="19">
        <f t="shared" si="112"/>
        <v>1293990.2852419997</v>
      </c>
      <c r="T318" s="19">
        <f t="shared" si="112"/>
        <v>469515.17831099994</v>
      </c>
      <c r="U318" s="19">
        <f t="shared" si="104"/>
        <v>327531.20686299994</v>
      </c>
      <c r="V318" s="19">
        <f t="shared" si="113"/>
        <v>0</v>
      </c>
      <c r="W318" s="19">
        <f t="shared" si="113"/>
        <v>156505.05943699999</v>
      </c>
      <c r="X318" s="19">
        <f t="shared" si="113"/>
        <v>0</v>
      </c>
      <c r="Y318" s="19">
        <f t="shared" si="113"/>
        <v>0</v>
      </c>
      <c r="Z318" s="602">
        <f t="shared" si="102"/>
        <v>0</v>
      </c>
    </row>
    <row r="319" spans="1:30">
      <c r="A319" s="411"/>
      <c r="C319" s="336">
        <f t="shared" si="107"/>
        <v>275</v>
      </c>
      <c r="D319" s="165" t="str">
        <f t="shared" ref="D319:D327" si="115">D158</f>
        <v>397</v>
      </c>
      <c r="E319" s="247" t="str">
        <f t="shared" si="114"/>
        <v>WFON-UNDERGROUND CABLE</v>
      </c>
      <c r="F319" s="19">
        <f>Asset_Sum!M150</f>
        <v>34345664.700000003</v>
      </c>
      <c r="G319" s="3134" t="str">
        <f t="shared" si="110"/>
        <v>Total Plant Before Gen Plant</v>
      </c>
      <c r="H319" s="19">
        <f t="shared" si="112"/>
        <v>0</v>
      </c>
      <c r="I319" s="19">
        <f t="shared" si="112"/>
        <v>1741325.2002900003</v>
      </c>
      <c r="J319" s="19">
        <f t="shared" si="112"/>
        <v>9723257.676570002</v>
      </c>
      <c r="K319" s="19">
        <f t="shared" si="112"/>
        <v>4094003.2322400003</v>
      </c>
      <c r="L319" s="19">
        <f t="shared" si="112"/>
        <v>0</v>
      </c>
      <c r="M319" s="19">
        <f t="shared" si="112"/>
        <v>0</v>
      </c>
      <c r="N319" s="19">
        <f t="shared" si="112"/>
        <v>0</v>
      </c>
      <c r="O319" s="19">
        <f t="shared" si="112"/>
        <v>3650944.1576100006</v>
      </c>
      <c r="P319" s="19">
        <f t="shared" si="112"/>
        <v>1342915.4897700001</v>
      </c>
      <c r="Q319" s="19">
        <f t="shared" si="112"/>
        <v>7930413.9792300006</v>
      </c>
      <c r="R319" s="19">
        <f t="shared" si="112"/>
        <v>1078453.87158</v>
      </c>
      <c r="S319" s="19">
        <f t="shared" si="112"/>
        <v>2754522.3089399999</v>
      </c>
      <c r="T319" s="19">
        <f t="shared" si="112"/>
        <v>999458.8427700001</v>
      </c>
      <c r="U319" s="19">
        <f t="shared" si="104"/>
        <v>697216.99341</v>
      </c>
      <c r="V319" s="19">
        <f t="shared" si="113"/>
        <v>0</v>
      </c>
      <c r="W319" s="19">
        <f t="shared" si="113"/>
        <v>333152.94759000005</v>
      </c>
      <c r="X319" s="19">
        <f t="shared" si="113"/>
        <v>0</v>
      </c>
      <c r="Y319" s="19">
        <f t="shared" si="113"/>
        <v>0</v>
      </c>
      <c r="Z319" s="602">
        <f t="shared" si="102"/>
        <v>0</v>
      </c>
    </row>
    <row r="320" spans="1:30" hidden="1">
      <c r="A320" s="411"/>
      <c r="C320" s="336">
        <f t="shared" si="107"/>
        <v>276</v>
      </c>
      <c r="D320" s="165" t="str">
        <f t="shared" si="115"/>
        <v>397</v>
      </c>
      <c r="E320" s="247" t="str">
        <f t="shared" si="114"/>
        <v>TELEPHONE SYS-RC</v>
      </c>
      <c r="F320" s="19">
        <f>Asset_Sum!M151</f>
        <v>0</v>
      </c>
      <c r="G320" s="3134" t="str">
        <f>G157</f>
        <v>Total Plant Before Gen Plant</v>
      </c>
      <c r="H320" s="19">
        <f t="shared" si="112"/>
        <v>0</v>
      </c>
      <c r="I320" s="19">
        <f t="shared" si="112"/>
        <v>0</v>
      </c>
      <c r="J320" s="19">
        <f t="shared" si="112"/>
        <v>0</v>
      </c>
      <c r="K320" s="19">
        <f t="shared" si="112"/>
        <v>0</v>
      </c>
      <c r="L320" s="19">
        <f t="shared" si="112"/>
        <v>0</v>
      </c>
      <c r="M320" s="19">
        <f t="shared" si="112"/>
        <v>0</v>
      </c>
      <c r="N320" s="19">
        <f t="shared" si="112"/>
        <v>0</v>
      </c>
      <c r="O320" s="19">
        <f t="shared" si="112"/>
        <v>0</v>
      </c>
      <c r="P320" s="19">
        <f t="shared" si="112"/>
        <v>0</v>
      </c>
      <c r="Q320" s="19">
        <f t="shared" si="112"/>
        <v>0</v>
      </c>
      <c r="R320" s="19">
        <f t="shared" si="112"/>
        <v>0</v>
      </c>
      <c r="S320" s="19">
        <f t="shared" si="112"/>
        <v>0</v>
      </c>
      <c r="T320" s="19">
        <f t="shared" si="112"/>
        <v>0</v>
      </c>
      <c r="U320" s="19">
        <f t="shared" si="104"/>
        <v>0</v>
      </c>
      <c r="V320" s="19">
        <f t="shared" si="113"/>
        <v>0</v>
      </c>
      <c r="W320" s="19">
        <f t="shared" si="113"/>
        <v>0</v>
      </c>
      <c r="X320" s="19">
        <f t="shared" si="113"/>
        <v>0</v>
      </c>
      <c r="Y320" s="19">
        <f t="shared" si="113"/>
        <v>0</v>
      </c>
      <c r="Z320" s="602">
        <f t="shared" si="102"/>
        <v>0</v>
      </c>
    </row>
    <row r="321" spans="1:31" hidden="1">
      <c r="A321" s="411"/>
      <c r="C321" s="336">
        <f t="shared" si="107"/>
        <v>277</v>
      </c>
      <c r="D321" s="165" t="str">
        <f t="shared" si="115"/>
        <v>397</v>
      </c>
      <c r="E321" s="247" t="str">
        <f t="shared" si="114"/>
        <v>TELEPHONE SYSTEM-JOINT</v>
      </c>
      <c r="F321" s="19">
        <f>Asset_Sum!M152</f>
        <v>0</v>
      </c>
      <c r="G321" s="3134" t="str">
        <f>G158</f>
        <v>Total Plant Before Gen Plant</v>
      </c>
      <c r="H321" s="19">
        <f t="shared" si="112"/>
        <v>0</v>
      </c>
      <c r="I321" s="19">
        <f t="shared" si="112"/>
        <v>0</v>
      </c>
      <c r="J321" s="19">
        <f t="shared" si="112"/>
        <v>0</v>
      </c>
      <c r="K321" s="19">
        <f t="shared" si="112"/>
        <v>0</v>
      </c>
      <c r="L321" s="19">
        <f t="shared" si="112"/>
        <v>0</v>
      </c>
      <c r="M321" s="19">
        <f t="shared" si="112"/>
        <v>0</v>
      </c>
      <c r="N321" s="19">
        <f t="shared" si="112"/>
        <v>0</v>
      </c>
      <c r="O321" s="19">
        <f t="shared" si="112"/>
        <v>0</v>
      </c>
      <c r="P321" s="19">
        <f t="shared" si="112"/>
        <v>0</v>
      </c>
      <c r="Q321" s="19">
        <f t="shared" si="112"/>
        <v>0</v>
      </c>
      <c r="R321" s="19">
        <f t="shared" si="112"/>
        <v>0</v>
      </c>
      <c r="S321" s="19">
        <f t="shared" si="112"/>
        <v>0</v>
      </c>
      <c r="T321" s="19">
        <f t="shared" si="112"/>
        <v>0</v>
      </c>
      <c r="U321" s="19">
        <f t="shared" si="104"/>
        <v>0</v>
      </c>
      <c r="V321" s="19">
        <f t="shared" si="113"/>
        <v>0</v>
      </c>
      <c r="W321" s="19">
        <f t="shared" si="113"/>
        <v>0</v>
      </c>
      <c r="X321" s="19">
        <f t="shared" si="113"/>
        <v>0</v>
      </c>
      <c r="Y321" s="19">
        <f t="shared" si="113"/>
        <v>0</v>
      </c>
      <c r="Z321" s="602">
        <f t="shared" si="102"/>
        <v>0</v>
      </c>
    </row>
    <row r="322" spans="1:31" hidden="1">
      <c r="A322" s="411"/>
      <c r="C322" s="336">
        <f t="shared" si="107"/>
        <v>278</v>
      </c>
      <c r="D322" s="165" t="str">
        <f t="shared" si="115"/>
        <v>397</v>
      </c>
      <c r="E322" s="247" t="str">
        <f t="shared" si="114"/>
        <v>COMM EQUIP-SENTINEL RADIO</v>
      </c>
      <c r="F322" s="19">
        <f>Asset_Sum!M153</f>
        <v>0</v>
      </c>
      <c r="G322" s="3134" t="str">
        <f>G159</f>
        <v>Supervised O&amp;M</v>
      </c>
      <c r="H322" s="19">
        <f t="shared" si="112"/>
        <v>0</v>
      </c>
      <c r="I322" s="19">
        <f t="shared" si="112"/>
        <v>0</v>
      </c>
      <c r="J322" s="19">
        <f t="shared" si="112"/>
        <v>0</v>
      </c>
      <c r="K322" s="19">
        <f t="shared" si="112"/>
        <v>0</v>
      </c>
      <c r="L322" s="19">
        <f t="shared" si="112"/>
        <v>0</v>
      </c>
      <c r="M322" s="19">
        <f t="shared" si="112"/>
        <v>0</v>
      </c>
      <c r="N322" s="19">
        <f t="shared" si="112"/>
        <v>0</v>
      </c>
      <c r="O322" s="19">
        <f t="shared" si="112"/>
        <v>0</v>
      </c>
      <c r="P322" s="19">
        <f t="shared" si="112"/>
        <v>0</v>
      </c>
      <c r="Q322" s="19">
        <f t="shared" si="112"/>
        <v>0</v>
      </c>
      <c r="R322" s="19">
        <f t="shared" si="112"/>
        <v>0</v>
      </c>
      <c r="S322" s="19">
        <f t="shared" si="112"/>
        <v>0</v>
      </c>
      <c r="T322" s="19">
        <f t="shared" si="112"/>
        <v>0</v>
      </c>
      <c r="U322" s="19">
        <f t="shared" si="104"/>
        <v>0</v>
      </c>
      <c r="V322" s="19">
        <f t="shared" si="113"/>
        <v>0</v>
      </c>
      <c r="W322" s="19">
        <f t="shared" si="113"/>
        <v>0</v>
      </c>
      <c r="X322" s="19">
        <f t="shared" si="113"/>
        <v>0</v>
      </c>
      <c r="Y322" s="19">
        <f t="shared" si="113"/>
        <v>0</v>
      </c>
      <c r="Z322" s="602">
        <f t="shared" si="102"/>
        <v>0</v>
      </c>
    </row>
    <row r="323" spans="1:31" hidden="1">
      <c r="A323" s="411"/>
      <c r="C323" s="336">
        <f t="shared" si="107"/>
        <v>279</v>
      </c>
      <c r="D323" s="165" t="str">
        <f t="shared" si="115"/>
        <v>397</v>
      </c>
      <c r="E323" s="247" t="str">
        <f t="shared" si="114"/>
        <v>COMM EQUIP-TEST EQUIP-JOINT</v>
      </c>
      <c r="F323" s="19">
        <f>Asset_Sum!M154</f>
        <v>0</v>
      </c>
      <c r="G323" s="3134" t="str">
        <f>G160</f>
        <v>Supervised O&amp;M</v>
      </c>
      <c r="H323" s="19">
        <f t="shared" si="112"/>
        <v>0</v>
      </c>
      <c r="I323" s="19">
        <f t="shared" si="112"/>
        <v>0</v>
      </c>
      <c r="J323" s="19">
        <f t="shared" si="112"/>
        <v>0</v>
      </c>
      <c r="K323" s="19">
        <f t="shared" si="112"/>
        <v>0</v>
      </c>
      <c r="L323" s="19">
        <f t="shared" si="112"/>
        <v>0</v>
      </c>
      <c r="M323" s="19">
        <f t="shared" si="112"/>
        <v>0</v>
      </c>
      <c r="N323" s="19">
        <f t="shared" si="112"/>
        <v>0</v>
      </c>
      <c r="O323" s="19">
        <f t="shared" si="112"/>
        <v>0</v>
      </c>
      <c r="P323" s="19">
        <f t="shared" si="112"/>
        <v>0</v>
      </c>
      <c r="Q323" s="19">
        <f t="shared" si="112"/>
        <v>0</v>
      </c>
      <c r="R323" s="19">
        <f t="shared" si="112"/>
        <v>0</v>
      </c>
      <c r="S323" s="19">
        <f t="shared" si="112"/>
        <v>0</v>
      </c>
      <c r="T323" s="19">
        <f t="shared" si="112"/>
        <v>0</v>
      </c>
      <c r="U323" s="19">
        <f t="shared" si="104"/>
        <v>0</v>
      </c>
      <c r="V323" s="19">
        <f t="shared" si="113"/>
        <v>0</v>
      </c>
      <c r="W323" s="19">
        <f t="shared" si="113"/>
        <v>0</v>
      </c>
      <c r="X323" s="19">
        <f t="shared" si="113"/>
        <v>0</v>
      </c>
      <c r="Y323" s="19">
        <f t="shared" si="113"/>
        <v>0</v>
      </c>
      <c r="Z323" s="602">
        <f t="shared" si="102"/>
        <v>0</v>
      </c>
    </row>
    <row r="324" spans="1:31" ht="16.5" thickBot="1">
      <c r="A324" s="411"/>
      <c r="C324" s="336">
        <f>MAX(C320:C322)+1</f>
        <v>279</v>
      </c>
      <c r="D324" s="165" t="str">
        <f t="shared" si="115"/>
        <v>398</v>
      </c>
      <c r="E324" s="247" t="str">
        <f t="shared" si="114"/>
        <v>MISC EQUIP</v>
      </c>
      <c r="F324" s="19">
        <f>Asset_Sum!M155</f>
        <v>116930.73000000021</v>
      </c>
      <c r="G324" s="3135" t="str">
        <f>G161</f>
        <v>Supervised O&amp;M</v>
      </c>
      <c r="H324" s="19">
        <f t="shared" si="112"/>
        <v>0</v>
      </c>
      <c r="I324" s="19">
        <f t="shared" si="112"/>
        <v>2694.2831488458773</v>
      </c>
      <c r="J324" s="19">
        <f t="shared" si="112"/>
        <v>12208.632154335928</v>
      </c>
      <c r="K324" s="19">
        <f t="shared" si="112"/>
        <v>18489.544185059469</v>
      </c>
      <c r="L324" s="19">
        <f t="shared" si="112"/>
        <v>3441.1527945661942</v>
      </c>
      <c r="M324" s="19">
        <f t="shared" si="112"/>
        <v>0</v>
      </c>
      <c r="N324" s="19">
        <f t="shared" si="112"/>
        <v>0</v>
      </c>
      <c r="O324" s="19">
        <f t="shared" si="112"/>
        <v>5626.3160747205984</v>
      </c>
      <c r="P324" s="19">
        <f t="shared" si="112"/>
        <v>3485.532181413851</v>
      </c>
      <c r="Q324" s="19">
        <f t="shared" si="112"/>
        <v>21934.697697049145</v>
      </c>
      <c r="R324" s="19">
        <f t="shared" si="112"/>
        <v>2590.1716220379403</v>
      </c>
      <c r="S324" s="19">
        <f t="shared" si="112"/>
        <v>6816.2723192301191</v>
      </c>
      <c r="T324" s="19">
        <f t="shared" si="112"/>
        <v>1541.3478287801036</v>
      </c>
      <c r="U324" s="19">
        <f t="shared" si="104"/>
        <v>12703.13511615517</v>
      </c>
      <c r="V324" s="19">
        <f t="shared" si="113"/>
        <v>23603.484500090526</v>
      </c>
      <c r="W324" s="19">
        <f t="shared" si="113"/>
        <v>514.82089101993893</v>
      </c>
      <c r="X324" s="19">
        <f t="shared" si="113"/>
        <v>1281.3409929199058</v>
      </c>
      <c r="Y324" s="19">
        <f t="shared" si="113"/>
        <v>0</v>
      </c>
      <c r="Z324" s="602">
        <f t="shared" si="102"/>
        <v>1.5062245656736195E-3</v>
      </c>
    </row>
    <row r="325" spans="1:31" hidden="1">
      <c r="A325" s="411"/>
      <c r="C325" s="336">
        <f>MAX(C321:C323)+1</f>
        <v>280</v>
      </c>
      <c r="D325" s="165" t="str">
        <f t="shared" si="115"/>
        <v>398</v>
      </c>
      <c r="E325" s="247" t="str">
        <f t="shared" si="114"/>
        <v>MISC EQUIP-EPHRATA</v>
      </c>
      <c r="F325" s="19">
        <f>Asset_Sum!M156</f>
        <v>0</v>
      </c>
      <c r="G325" s="906" t="s">
        <v>1067</v>
      </c>
      <c r="H325" s="19">
        <f t="shared" si="112"/>
        <v>0</v>
      </c>
      <c r="I325" s="19">
        <f t="shared" si="112"/>
        <v>0</v>
      </c>
      <c r="J325" s="19">
        <f t="shared" si="112"/>
        <v>0</v>
      </c>
      <c r="K325" s="19">
        <f t="shared" si="112"/>
        <v>0</v>
      </c>
      <c r="L325" s="19">
        <f t="shared" si="112"/>
        <v>0</v>
      </c>
      <c r="M325" s="19">
        <f t="shared" si="112"/>
        <v>0</v>
      </c>
      <c r="N325" s="19">
        <f t="shared" si="112"/>
        <v>0</v>
      </c>
      <c r="O325" s="19">
        <f t="shared" si="112"/>
        <v>0</v>
      </c>
      <c r="P325" s="19">
        <f t="shared" si="112"/>
        <v>0</v>
      </c>
      <c r="Q325" s="19">
        <f t="shared" si="112"/>
        <v>0</v>
      </c>
      <c r="R325" s="19">
        <f t="shared" si="112"/>
        <v>0</v>
      </c>
      <c r="S325" s="19">
        <f t="shared" si="112"/>
        <v>0</v>
      </c>
      <c r="T325" s="19">
        <f t="shared" si="112"/>
        <v>0</v>
      </c>
      <c r="U325" s="19">
        <f t="shared" si="104"/>
        <v>0</v>
      </c>
      <c r="V325" s="19">
        <f t="shared" si="113"/>
        <v>0</v>
      </c>
      <c r="W325" s="19">
        <f t="shared" si="113"/>
        <v>0</v>
      </c>
      <c r="X325" s="19">
        <f t="shared" si="113"/>
        <v>0</v>
      </c>
      <c r="Y325" s="19">
        <f t="shared" si="113"/>
        <v>0</v>
      </c>
      <c r="Z325" s="602">
        <f t="shared" si="102"/>
        <v>0</v>
      </c>
    </row>
    <row r="326" spans="1:31" hidden="1">
      <c r="A326" s="411"/>
      <c r="C326" s="336">
        <f>MAX(C322:C325)+1</f>
        <v>281</v>
      </c>
      <c r="D326" s="165" t="str">
        <f t="shared" si="115"/>
        <v>398</v>
      </c>
      <c r="E326" s="247" t="str">
        <f t="shared" si="114"/>
        <v>MISC EQUIP-MOSES LAKE</v>
      </c>
      <c r="F326" s="19">
        <f>Asset_Sum!M157</f>
        <v>0</v>
      </c>
      <c r="G326" s="906" t="s">
        <v>1067</v>
      </c>
      <c r="H326" s="19">
        <f t="shared" si="112"/>
        <v>0</v>
      </c>
      <c r="I326" s="19">
        <f t="shared" si="112"/>
        <v>0</v>
      </c>
      <c r="J326" s="19">
        <f t="shared" si="112"/>
        <v>0</v>
      </c>
      <c r="K326" s="19">
        <f t="shared" si="112"/>
        <v>0</v>
      </c>
      <c r="L326" s="19">
        <f t="shared" si="112"/>
        <v>0</v>
      </c>
      <c r="M326" s="19">
        <f t="shared" si="112"/>
        <v>0</v>
      </c>
      <c r="N326" s="19">
        <f t="shared" si="112"/>
        <v>0</v>
      </c>
      <c r="O326" s="19">
        <f t="shared" si="112"/>
        <v>0</v>
      </c>
      <c r="P326" s="19">
        <f t="shared" si="112"/>
        <v>0</v>
      </c>
      <c r="Q326" s="19">
        <f t="shared" si="112"/>
        <v>0</v>
      </c>
      <c r="R326" s="19">
        <f t="shared" si="112"/>
        <v>0</v>
      </c>
      <c r="S326" s="19">
        <f t="shared" si="112"/>
        <v>0</v>
      </c>
      <c r="T326" s="19">
        <f t="shared" si="112"/>
        <v>0</v>
      </c>
      <c r="U326" s="19">
        <f t="shared" si="104"/>
        <v>0</v>
      </c>
      <c r="V326" s="19">
        <f t="shared" si="113"/>
        <v>0</v>
      </c>
      <c r="W326" s="19">
        <f t="shared" si="113"/>
        <v>0</v>
      </c>
      <c r="X326" s="19">
        <f t="shared" si="113"/>
        <v>0</v>
      </c>
      <c r="Y326" s="19">
        <f t="shared" si="113"/>
        <v>0</v>
      </c>
      <c r="Z326" s="602">
        <f t="shared" si="102"/>
        <v>0</v>
      </c>
    </row>
    <row r="327" spans="1:31" ht="16.5" hidden="1" thickBot="1">
      <c r="A327" s="411"/>
      <c r="C327" s="336">
        <f>MAX(C323:C326)+1</f>
        <v>282</v>
      </c>
      <c r="D327" s="165" t="str">
        <f t="shared" si="115"/>
        <v>398</v>
      </c>
      <c r="E327" s="247" t="str">
        <f t="shared" si="114"/>
        <v>MISC EQUIP-JOINT</v>
      </c>
      <c r="F327" s="19">
        <f>Asset_Sum!M158</f>
        <v>0</v>
      </c>
      <c r="G327" s="907" t="s">
        <v>1067</v>
      </c>
      <c r="H327" s="19">
        <f t="shared" si="112"/>
        <v>0</v>
      </c>
      <c r="I327" s="19">
        <f t="shared" si="112"/>
        <v>0</v>
      </c>
      <c r="J327" s="19">
        <f t="shared" si="112"/>
        <v>0</v>
      </c>
      <c r="K327" s="19">
        <f t="shared" si="112"/>
        <v>0</v>
      </c>
      <c r="L327" s="19">
        <f t="shared" si="112"/>
        <v>0</v>
      </c>
      <c r="M327" s="19">
        <f t="shared" si="112"/>
        <v>0</v>
      </c>
      <c r="N327" s="19">
        <f t="shared" si="112"/>
        <v>0</v>
      </c>
      <c r="O327" s="19">
        <f t="shared" si="112"/>
        <v>0</v>
      </c>
      <c r="P327" s="19">
        <f t="shared" si="112"/>
        <v>0</v>
      </c>
      <c r="Q327" s="19">
        <f t="shared" si="112"/>
        <v>0</v>
      </c>
      <c r="R327" s="19">
        <f t="shared" si="112"/>
        <v>0</v>
      </c>
      <c r="S327" s="19">
        <f t="shared" si="112"/>
        <v>0</v>
      </c>
      <c r="T327" s="19">
        <f t="shared" si="112"/>
        <v>0</v>
      </c>
      <c r="U327" s="19">
        <f t="shared" si="104"/>
        <v>0</v>
      </c>
      <c r="V327" s="19">
        <f t="shared" si="113"/>
        <v>0</v>
      </c>
      <c r="W327" s="19">
        <f t="shared" si="113"/>
        <v>0</v>
      </c>
      <c r="X327" s="19">
        <f t="shared" si="113"/>
        <v>0</v>
      </c>
      <c r="Y327" s="19">
        <f t="shared" si="113"/>
        <v>0</v>
      </c>
      <c r="Z327" s="602">
        <f t="shared" si="102"/>
        <v>0</v>
      </c>
    </row>
    <row r="328" spans="1:31">
      <c r="A328" s="411"/>
      <c r="C328" s="336">
        <f>MAX(C322:C327)+1</f>
        <v>283</v>
      </c>
      <c r="D328" s="165"/>
      <c r="E328" s="248" t="str">
        <f t="shared" si="114"/>
        <v>Total Electric General Plant</v>
      </c>
      <c r="F328" s="324">
        <f>SUM(F223:F327)</f>
        <v>105346335.10999998</v>
      </c>
      <c r="G328" s="165"/>
      <c r="H328" s="324">
        <f t="shared" ref="H328:Y328" si="116">SUM(H223:H327)</f>
        <v>0</v>
      </c>
      <c r="I328" s="324">
        <f t="shared" ref="I328:P328" si="117">SUM(I223:I327)</f>
        <v>4639228.6937461756</v>
      </c>
      <c r="J328" s="324">
        <f t="shared" si="117"/>
        <v>25289258.042148039</v>
      </c>
      <c r="K328" s="324">
        <f t="shared" si="117"/>
        <v>13544979.054067174</v>
      </c>
      <c r="L328" s="324">
        <f t="shared" si="117"/>
        <v>746761.80170359998</v>
      </c>
      <c r="M328" s="324">
        <f>SUM(M223:M327)</f>
        <v>0</v>
      </c>
      <c r="N328" s="324">
        <f>SUM(N223:N327)</f>
        <v>0</v>
      </c>
      <c r="O328" s="324">
        <f>SUM(O223:O327)</f>
        <v>9721910.603296075</v>
      </c>
      <c r="P328" s="324">
        <f t="shared" si="117"/>
        <v>3883270.0301170787</v>
      </c>
      <c r="Q328" s="324">
        <f t="shared" si="116"/>
        <v>23225402.296505783</v>
      </c>
      <c r="R328" s="324">
        <f t="shared" si="116"/>
        <v>3073189.6111788908</v>
      </c>
      <c r="S328" s="324">
        <f t="shared" si="116"/>
        <v>7892891.3460659822</v>
      </c>
      <c r="T328" s="324">
        <f t="shared" si="116"/>
        <v>2661651.2327267323</v>
      </c>
      <c r="U328" s="324">
        <f t="shared" si="116"/>
        <v>4380114.3550835187</v>
      </c>
      <c r="V328" s="324">
        <f t="shared" si="116"/>
        <v>5122173.1971923746</v>
      </c>
      <c r="W328" s="324">
        <f t="shared" si="116"/>
        <v>887442.39419331262</v>
      </c>
      <c r="X328" s="324">
        <f t="shared" si="116"/>
        <v>278062.77883983759</v>
      </c>
      <c r="Y328" s="324">
        <f t="shared" si="116"/>
        <v>0</v>
      </c>
      <c r="Z328" s="602">
        <f t="shared" si="102"/>
        <v>0.32686460018157959</v>
      </c>
    </row>
    <row r="329" spans="1:31" s="3094" customFormat="1">
      <c r="A329" s="411"/>
      <c r="C329" s="336">
        <f>MAX(C324:C328)+1</f>
        <v>284</v>
      </c>
      <c r="D329" s="165"/>
      <c r="E329" s="3154" t="str">
        <f>E328&amp;" less Labor"</f>
        <v>Total Electric General Plant less Labor</v>
      </c>
      <c r="F329" s="3151">
        <f>SUM(F313:F319,F225:F226,F228,F230,F232:F234)</f>
        <v>79971291.389999986</v>
      </c>
      <c r="G329" s="3152"/>
      <c r="H329" s="3151">
        <f t="shared" ref="H329:Y329" si="118">SUM(H313:H319,H225:H226,H228,H230,H232:H234)</f>
        <v>0</v>
      </c>
      <c r="I329" s="3151">
        <f t="shared" si="118"/>
        <v>4054544.4734729994</v>
      </c>
      <c r="J329" s="3151">
        <f t="shared" si="118"/>
        <v>22639872.592509001</v>
      </c>
      <c r="K329" s="3151">
        <f t="shared" si="118"/>
        <v>9532577.9336879998</v>
      </c>
      <c r="L329" s="3151">
        <f t="shared" si="118"/>
        <v>0</v>
      </c>
      <c r="M329" s="3151">
        <f t="shared" si="118"/>
        <v>0</v>
      </c>
      <c r="N329" s="3151">
        <f t="shared" si="118"/>
        <v>0</v>
      </c>
      <c r="O329" s="3151">
        <f t="shared" si="118"/>
        <v>8500948.2747569997</v>
      </c>
      <c r="P329" s="3151">
        <f t="shared" si="118"/>
        <v>3126877.4933489999</v>
      </c>
      <c r="Q329" s="3151">
        <f t="shared" si="118"/>
        <v>18465371.181950998</v>
      </c>
      <c r="R329" s="3151">
        <f t="shared" si="118"/>
        <v>2511098.5496459994</v>
      </c>
      <c r="S329" s="3151">
        <f t="shared" si="118"/>
        <v>6413697.5694779987</v>
      </c>
      <c r="T329" s="3151">
        <f t="shared" si="118"/>
        <v>2327164.5794489998</v>
      </c>
      <c r="U329" s="3151">
        <f t="shared" si="118"/>
        <v>1623417.2152169999</v>
      </c>
      <c r="V329" s="3151">
        <f t="shared" si="118"/>
        <v>0</v>
      </c>
      <c r="W329" s="3151">
        <f t="shared" si="118"/>
        <v>775721.52648300002</v>
      </c>
      <c r="X329" s="3151">
        <f t="shared" si="118"/>
        <v>0</v>
      </c>
      <c r="Y329" s="3151">
        <f t="shared" si="118"/>
        <v>0</v>
      </c>
      <c r="Z329" s="602"/>
      <c r="AA329" s="86"/>
      <c r="AB329" s="86"/>
      <c r="AC329" s="86"/>
      <c r="AD329" s="86"/>
      <c r="AE329" s="86"/>
    </row>
    <row r="330" spans="1:31">
      <c r="A330" s="411"/>
      <c r="C330" s="336"/>
      <c r="D330" s="17"/>
      <c r="E330" s="206"/>
      <c r="F330" s="17"/>
      <c r="G330" s="165"/>
      <c r="H330" s="17"/>
      <c r="I330" s="17"/>
      <c r="J330" s="17"/>
      <c r="K330" s="17"/>
      <c r="L330" s="17"/>
      <c r="M330" s="17"/>
      <c r="N330" s="17"/>
      <c r="O330" s="17"/>
      <c r="P330" s="17"/>
      <c r="Q330" s="17"/>
      <c r="R330" s="17"/>
      <c r="S330" s="17"/>
      <c r="T330" s="17"/>
      <c r="U330" s="17"/>
      <c r="V330" s="17"/>
      <c r="W330" s="17"/>
      <c r="X330" s="17"/>
      <c r="Y330" s="17"/>
      <c r="Z330" s="602">
        <f t="shared" si="102"/>
        <v>0</v>
      </c>
    </row>
    <row r="331" spans="1:31">
      <c r="A331" s="411"/>
      <c r="C331" s="336">
        <f>MAX(C325:C330)+1</f>
        <v>285</v>
      </c>
      <c r="D331" s="17"/>
      <c r="E331" s="206" t="s">
        <v>977</v>
      </c>
      <c r="F331" s="332">
        <f>SUM(F186,F200,F219,F328)</f>
        <v>500371456.69999981</v>
      </c>
      <c r="G331" s="165"/>
      <c r="H331" s="332">
        <f t="shared" ref="H331:Y332" si="119">SUM(H186,H200,H219,H328)</f>
        <v>0</v>
      </c>
      <c r="I331" s="332">
        <f t="shared" ref="I331:P332" si="120">SUM(I186,I200,I219,I328)</f>
        <v>15858816.709896738</v>
      </c>
      <c r="J331" s="332">
        <f t="shared" si="120"/>
        <v>154097805.19444117</v>
      </c>
      <c r="K331" s="332">
        <f t="shared" si="120"/>
        <v>61595230.394530654</v>
      </c>
      <c r="L331" s="332">
        <f t="shared" si="120"/>
        <v>28947455.787472222</v>
      </c>
      <c r="M331" s="332">
        <f t="shared" ref="M331:O332" si="121">SUM(M186,M200,M219,M328)</f>
        <v>0</v>
      </c>
      <c r="N331" s="332">
        <f t="shared" si="121"/>
        <v>0</v>
      </c>
      <c r="O331" s="332">
        <f t="shared" si="121"/>
        <v>33926676.167807825</v>
      </c>
      <c r="P331" s="332">
        <f t="shared" si="120"/>
        <v>19145128.341923423</v>
      </c>
      <c r="Q331" s="332">
        <f t="shared" si="119"/>
        <v>106437167.47408277</v>
      </c>
      <c r="R331" s="332">
        <f t="shared" si="119"/>
        <v>16481606.024270274</v>
      </c>
      <c r="S331" s="332">
        <f t="shared" si="119"/>
        <v>41042288.699218072</v>
      </c>
      <c r="T331" s="332">
        <f t="shared" si="119"/>
        <v>6151664.5806827322</v>
      </c>
      <c r="U331" s="332">
        <f t="shared" si="119"/>
        <v>7763946.8546196837</v>
      </c>
      <c r="V331" s="332">
        <f t="shared" si="119"/>
        <v>5822478.2897169013</v>
      </c>
      <c r="W331" s="332">
        <f t="shared" si="119"/>
        <v>2785112.945535819</v>
      </c>
      <c r="X331" s="332">
        <f t="shared" si="119"/>
        <v>316079.60735508509</v>
      </c>
      <c r="Y331" s="332">
        <f t="shared" si="119"/>
        <v>0</v>
      </c>
      <c r="Z331" s="602">
        <f t="shared" si="102"/>
        <v>0.37155359983444214</v>
      </c>
    </row>
    <row r="332" spans="1:31" s="3094" customFormat="1">
      <c r="A332" s="411"/>
      <c r="C332" s="336"/>
      <c r="D332" s="17"/>
      <c r="E332" s="206" t="str">
        <f>E331&amp;" less Labor"</f>
        <v>Total Net Plant less Labor</v>
      </c>
      <c r="F332" s="332">
        <f>SUM(F187,F201,F220,F329)</f>
        <v>471527129.2099998</v>
      </c>
      <c r="G332" s="165"/>
      <c r="H332" s="332">
        <f t="shared" si="119"/>
        <v>0</v>
      </c>
      <c r="I332" s="332">
        <f t="shared" si="120"/>
        <v>15194194.283473002</v>
      </c>
      <c r="J332" s="332">
        <f t="shared" si="120"/>
        <v>151086194.95250899</v>
      </c>
      <c r="K332" s="332">
        <f t="shared" si="120"/>
        <v>57034252.560776606</v>
      </c>
      <c r="L332" s="332">
        <f t="shared" si="120"/>
        <v>28098596.482911345</v>
      </c>
      <c r="M332" s="332">
        <f t="shared" si="121"/>
        <v>0</v>
      </c>
      <c r="N332" s="332">
        <f t="shared" si="121"/>
        <v>0</v>
      </c>
      <c r="O332" s="332">
        <f t="shared" si="121"/>
        <v>32538783.49475693</v>
      </c>
      <c r="P332" s="332">
        <f t="shared" si="120"/>
        <v>18285321.58524248</v>
      </c>
      <c r="Q332" s="332">
        <f t="shared" si="119"/>
        <v>101026343.44375445</v>
      </c>
      <c r="R332" s="332">
        <f t="shared" si="119"/>
        <v>15842665.700188087</v>
      </c>
      <c r="S332" s="332">
        <f t="shared" si="119"/>
        <v>39360859.095238909</v>
      </c>
      <c r="T332" s="332">
        <f t="shared" si="119"/>
        <v>5771446.8094489966</v>
      </c>
      <c r="U332" s="332">
        <f t="shared" si="119"/>
        <v>4630353.2352169976</v>
      </c>
      <c r="V332" s="332">
        <f t="shared" si="119"/>
        <v>0</v>
      </c>
      <c r="W332" s="332">
        <f t="shared" si="119"/>
        <v>2658117.5664830012</v>
      </c>
      <c r="X332" s="332">
        <f t="shared" si="119"/>
        <v>0</v>
      </c>
      <c r="Y332" s="332">
        <f t="shared" si="119"/>
        <v>0</v>
      </c>
      <c r="Z332" s="602">
        <f>SUM(H332:Y332)-F332</f>
        <v>0</v>
      </c>
    </row>
    <row r="333" spans="1:31">
      <c r="A333" s="411"/>
      <c r="C333" s="336"/>
      <c r="D333" s="17"/>
      <c r="E333" s="2951" t="s">
        <v>1031</v>
      </c>
      <c r="F333" s="2952">
        <f>F331-Asset_Sum!M162</f>
        <v>0</v>
      </c>
      <c r="G333" s="165"/>
      <c r="H333" s="332"/>
      <c r="I333" s="332"/>
      <c r="J333" s="332"/>
      <c r="K333" s="332"/>
      <c r="L333" s="332"/>
      <c r="M333" s="332"/>
      <c r="N333" s="332"/>
      <c r="O333" s="332"/>
      <c r="P333" s="332"/>
      <c r="Q333" s="332"/>
      <c r="R333" s="332"/>
      <c r="S333" s="332"/>
      <c r="T333" s="332"/>
      <c r="U333" s="332"/>
      <c r="V333" s="332"/>
      <c r="W333" s="332"/>
      <c r="X333" s="332"/>
      <c r="Y333" s="332"/>
      <c r="Z333" s="602"/>
    </row>
    <row r="334" spans="1:31">
      <c r="A334" s="411"/>
      <c r="C334" s="336"/>
      <c r="D334" s="17"/>
      <c r="E334" s="2950"/>
      <c r="F334" s="2950"/>
      <c r="G334" s="165"/>
      <c r="H334" s="332"/>
      <c r="I334" s="332"/>
      <c r="J334" s="332"/>
      <c r="K334" s="332"/>
      <c r="L334" s="332"/>
      <c r="M334" s="332"/>
      <c r="N334" s="332"/>
      <c r="O334" s="332"/>
      <c r="P334" s="332"/>
      <c r="Q334" s="332"/>
      <c r="R334" s="332"/>
      <c r="S334" s="332"/>
      <c r="T334" s="332"/>
      <c r="U334" s="332"/>
      <c r="V334" s="332"/>
      <c r="W334" s="332"/>
      <c r="X334" s="332"/>
      <c r="Y334" s="332"/>
      <c r="Z334" s="602"/>
    </row>
    <row r="335" spans="1:31">
      <c r="A335" s="411"/>
      <c r="C335" s="336">
        <f>MAX(C327:C333)+1</f>
        <v>286</v>
      </c>
      <c r="D335" s="17"/>
      <c r="E335" s="206" t="s">
        <v>979</v>
      </c>
      <c r="F335" s="332">
        <f>Asset_Sum!G164</f>
        <v>83774684.209999979</v>
      </c>
      <c r="G335" s="165"/>
      <c r="H335" s="17"/>
      <c r="I335" s="17"/>
      <c r="J335" s="17"/>
      <c r="K335" s="17"/>
      <c r="L335" s="17"/>
      <c r="M335" s="17"/>
      <c r="N335" s="17"/>
      <c r="O335" s="17"/>
      <c r="P335" s="17"/>
      <c r="Q335" s="17"/>
      <c r="R335" s="17"/>
      <c r="S335" s="17"/>
      <c r="T335" s="17"/>
      <c r="U335" s="17"/>
      <c r="V335" s="17"/>
      <c r="W335" s="17"/>
      <c r="X335" s="17"/>
      <c r="Y335" s="17"/>
      <c r="Z335" s="602"/>
    </row>
    <row r="336" spans="1:31">
      <c r="A336" s="411"/>
      <c r="C336" s="336"/>
      <c r="D336" s="17"/>
      <c r="E336" s="2953"/>
      <c r="F336" s="2950"/>
      <c r="G336" s="165"/>
      <c r="H336" s="332"/>
      <c r="I336" s="332"/>
      <c r="J336" s="332"/>
      <c r="K336" s="332"/>
      <c r="L336" s="332"/>
      <c r="M336" s="332"/>
      <c r="N336" s="332"/>
      <c r="O336" s="332"/>
      <c r="P336" s="332"/>
      <c r="Q336" s="332"/>
      <c r="R336" s="332"/>
      <c r="S336" s="332"/>
      <c r="T336" s="332"/>
      <c r="U336" s="332"/>
      <c r="V336" s="332"/>
      <c r="W336" s="332"/>
      <c r="X336" s="332"/>
      <c r="Y336" s="332"/>
      <c r="Z336" s="252"/>
    </row>
    <row r="337" spans="1:26">
      <c r="A337" s="411"/>
      <c r="C337" s="336">
        <f>MAX(C328:C335)+1</f>
        <v>287</v>
      </c>
      <c r="D337" s="17"/>
      <c r="E337" s="337" t="s">
        <v>208</v>
      </c>
      <c r="F337" s="17"/>
      <c r="G337" s="165"/>
      <c r="H337" s="17"/>
      <c r="I337" s="17"/>
      <c r="J337" s="17"/>
      <c r="K337" s="17"/>
      <c r="L337" s="17"/>
      <c r="M337" s="17"/>
      <c r="N337" s="17"/>
      <c r="O337" s="17"/>
      <c r="P337" s="17"/>
      <c r="Q337" s="17"/>
      <c r="R337" s="17"/>
      <c r="S337" s="17"/>
      <c r="T337" s="17"/>
      <c r="U337" s="17"/>
      <c r="V337" s="17"/>
      <c r="W337" s="17"/>
      <c r="X337" s="17"/>
      <c r="Y337" s="325"/>
      <c r="Z337" s="252"/>
    </row>
    <row r="338" spans="1:26" ht="16.5" thickBot="1">
      <c r="A338" s="411"/>
      <c r="C338" s="336"/>
      <c r="D338" s="17"/>
      <c r="E338" s="17"/>
      <c r="F338" s="17"/>
      <c r="G338" s="165"/>
      <c r="H338" s="17"/>
      <c r="I338" s="17"/>
      <c r="J338" s="17"/>
      <c r="K338" s="17"/>
      <c r="L338" s="17"/>
      <c r="M338" s="17"/>
      <c r="N338" s="17"/>
      <c r="O338" s="17"/>
      <c r="P338" s="17"/>
      <c r="Q338" s="17"/>
      <c r="R338" s="17"/>
      <c r="S338" s="17"/>
      <c r="T338" s="17"/>
      <c r="U338" s="17"/>
      <c r="V338" s="17"/>
      <c r="W338" s="17"/>
      <c r="X338" s="17"/>
      <c r="Y338" s="325"/>
      <c r="Z338" s="252"/>
    </row>
    <row r="339" spans="1:26">
      <c r="A339" s="411"/>
      <c r="C339" s="336">
        <f>MAX(C336:C338)+1</f>
        <v>288</v>
      </c>
      <c r="D339" s="17"/>
      <c r="E339" s="3140" t="s">
        <v>3106</v>
      </c>
      <c r="F339" s="894">
        <f t="shared" ref="F339:F358" si="122">SUM(H339:Y339)</f>
        <v>1</v>
      </c>
      <c r="G339" s="908"/>
      <c r="H339" s="895">
        <f>+ROUND(H23/$F$23,$AA$12)</f>
        <v>0</v>
      </c>
      <c r="I339" s="1752">
        <f>1-SUM(H339:H339,J339:Y339)</f>
        <v>1</v>
      </c>
      <c r="J339" s="895">
        <f t="shared" ref="J339:Y339" si="123">+ROUND(J23/$F$23,$AA$12)</f>
        <v>0</v>
      </c>
      <c r="K339" s="895">
        <f t="shared" si="123"/>
        <v>0</v>
      </c>
      <c r="L339" s="895">
        <f t="shared" si="123"/>
        <v>0</v>
      </c>
      <c r="M339" s="895">
        <f t="shared" si="123"/>
        <v>0</v>
      </c>
      <c r="N339" s="895">
        <f t="shared" si="123"/>
        <v>0</v>
      </c>
      <c r="O339" s="895">
        <f t="shared" si="123"/>
        <v>0</v>
      </c>
      <c r="P339" s="895">
        <f t="shared" si="123"/>
        <v>0</v>
      </c>
      <c r="Q339" s="895">
        <f t="shared" si="123"/>
        <v>0</v>
      </c>
      <c r="R339" s="895">
        <f t="shared" si="123"/>
        <v>0</v>
      </c>
      <c r="S339" s="895">
        <f t="shared" si="123"/>
        <v>0</v>
      </c>
      <c r="T339" s="895">
        <f t="shared" si="123"/>
        <v>0</v>
      </c>
      <c r="U339" s="895">
        <f t="shared" si="123"/>
        <v>0</v>
      </c>
      <c r="V339" s="895">
        <f t="shared" si="123"/>
        <v>0</v>
      </c>
      <c r="W339" s="895">
        <f t="shared" si="123"/>
        <v>0</v>
      </c>
      <c r="X339" s="895">
        <f t="shared" si="123"/>
        <v>0</v>
      </c>
      <c r="Y339" s="896">
        <f t="shared" si="123"/>
        <v>0</v>
      </c>
      <c r="Z339" s="252"/>
    </row>
    <row r="340" spans="1:26" ht="16.5" thickBot="1">
      <c r="A340" s="411"/>
      <c r="C340" s="336">
        <f t="shared" ref="C340:C346" si="124">MAX(C337:C339)+1</f>
        <v>289</v>
      </c>
      <c r="D340" s="17"/>
      <c r="E340" s="3141" t="s">
        <v>1065</v>
      </c>
      <c r="F340" s="882">
        <f t="shared" si="122"/>
        <v>1</v>
      </c>
      <c r="G340" s="165"/>
      <c r="H340" s="333">
        <f t="shared" ref="H340:Y340" si="125">+ROUND(H37/$F$37,$AA$12)</f>
        <v>0</v>
      </c>
      <c r="I340" s="333">
        <f t="shared" si="125"/>
        <v>0</v>
      </c>
      <c r="J340" s="333">
        <f t="shared" si="125"/>
        <v>1</v>
      </c>
      <c r="K340" s="333">
        <f t="shared" si="125"/>
        <v>0</v>
      </c>
      <c r="L340" s="333">
        <f t="shared" si="125"/>
        <v>0</v>
      </c>
      <c r="M340" s="333">
        <f t="shared" si="125"/>
        <v>0</v>
      </c>
      <c r="N340" s="333">
        <f t="shared" si="125"/>
        <v>0</v>
      </c>
      <c r="O340" s="333">
        <f t="shared" si="125"/>
        <v>0</v>
      </c>
      <c r="P340" s="333">
        <f t="shared" si="125"/>
        <v>0</v>
      </c>
      <c r="Q340" s="333">
        <f t="shared" si="125"/>
        <v>0</v>
      </c>
      <c r="R340" s="333">
        <f t="shared" si="125"/>
        <v>0</v>
      </c>
      <c r="S340" s="333">
        <f t="shared" si="125"/>
        <v>0</v>
      </c>
      <c r="T340" s="333">
        <f t="shared" si="125"/>
        <v>0</v>
      </c>
      <c r="U340" s="333">
        <f t="shared" si="125"/>
        <v>0</v>
      </c>
      <c r="V340" s="333">
        <f t="shared" si="125"/>
        <v>0</v>
      </c>
      <c r="W340" s="333">
        <f t="shared" si="125"/>
        <v>0</v>
      </c>
      <c r="X340" s="333">
        <f t="shared" si="125"/>
        <v>0</v>
      </c>
      <c r="Y340" s="888">
        <f t="shared" si="125"/>
        <v>0</v>
      </c>
      <c r="Z340" s="252"/>
    </row>
    <row r="341" spans="1:26">
      <c r="A341" s="411"/>
      <c r="C341" s="336">
        <f t="shared" si="124"/>
        <v>290</v>
      </c>
      <c r="D341" s="17"/>
      <c r="E341" s="3141" t="s">
        <v>1066</v>
      </c>
      <c r="F341" s="882">
        <f>SUM(H341:Y341)</f>
        <v>0.99999999999999989</v>
      </c>
      <c r="G341" s="165"/>
      <c r="H341" s="333">
        <f>+ROUND((H56)/($F$56-$L56-$M56-$N56),$AA$12)</f>
        <v>0</v>
      </c>
      <c r="I341" s="333">
        <f>+ROUND((I56)/($F$56-$L56-$M56-$N56),$AA$12)</f>
        <v>0</v>
      </c>
      <c r="J341" s="333">
        <f>+ROUND((J56)/($F$56-$L56-$M56-$N56),$AA$12)</f>
        <v>0</v>
      </c>
      <c r="K341" s="595">
        <f>1-SUM(H341:J341,L341:Y341)</f>
        <v>0.17900000000000016</v>
      </c>
      <c r="L341" s="2954">
        <v>0</v>
      </c>
      <c r="M341" s="2955">
        <v>0</v>
      </c>
      <c r="N341" s="2956">
        <v>0</v>
      </c>
      <c r="O341" s="333">
        <f t="shared" ref="O341:Y341" si="126">+ROUND((O56)/($F$56-$L56-$M56-$N56),$AA$12)</f>
        <v>0.1595</v>
      </c>
      <c r="P341" s="333">
        <f t="shared" si="126"/>
        <v>5.8599999999999999E-2</v>
      </c>
      <c r="Q341" s="333">
        <f t="shared" si="126"/>
        <v>0.34649999999999997</v>
      </c>
      <c r="R341" s="333">
        <f t="shared" si="126"/>
        <v>4.7199999999999999E-2</v>
      </c>
      <c r="S341" s="333">
        <f t="shared" si="126"/>
        <v>0.12039999999999999</v>
      </c>
      <c r="T341" s="333">
        <f t="shared" si="126"/>
        <v>4.3700000000000003E-2</v>
      </c>
      <c r="U341" s="333">
        <f t="shared" si="126"/>
        <v>3.0499999999999999E-2</v>
      </c>
      <c r="V341" s="333">
        <f t="shared" si="126"/>
        <v>0</v>
      </c>
      <c r="W341" s="333">
        <f t="shared" si="126"/>
        <v>1.46E-2</v>
      </c>
      <c r="X341" s="333">
        <f t="shared" si="126"/>
        <v>0</v>
      </c>
      <c r="Y341" s="888">
        <f t="shared" si="126"/>
        <v>0</v>
      </c>
      <c r="Z341" s="252"/>
    </row>
    <row r="342" spans="1:26" ht="16.5" thickBot="1">
      <c r="A342" s="411"/>
      <c r="C342" s="336">
        <f t="shared" si="124"/>
        <v>291</v>
      </c>
      <c r="D342" s="17"/>
      <c r="E342" s="3136" t="s">
        <v>1038</v>
      </c>
      <c r="F342" s="882">
        <f t="shared" si="122"/>
        <v>1</v>
      </c>
      <c r="G342" s="165"/>
      <c r="H342" s="333">
        <f>ROUND((H37+H56)/($F56+$F37-$L56-$L37-$M37-$N37-$M56-$N56),$AA$12)</f>
        <v>0</v>
      </c>
      <c r="I342" s="333">
        <f>ROUND((I37+I56)/($F56+$F37-$L56-$L37-$M37-$N37-$M56-$N56),$AA$12)</f>
        <v>0</v>
      </c>
      <c r="J342" s="1753">
        <f>1-SUM(H342:I342,K342:Y342)</f>
        <v>0.29810000000000003</v>
      </c>
      <c r="K342" s="333">
        <f>ROUND((K37+K56)/($F56+$F37-$L56-$L37-$M37-$N37-$M56-$N56),$AA$12)</f>
        <v>0.12559999999999999</v>
      </c>
      <c r="L342" s="2957">
        <v>0</v>
      </c>
      <c r="M342" s="2958">
        <v>0</v>
      </c>
      <c r="N342" s="2959">
        <v>0</v>
      </c>
      <c r="O342" s="333">
        <f t="shared" ref="O342:Y342" si="127">ROUND((O37+O56)/($F56+$F37-$L56-$L37-$M37-$N37-$M56-$N56),$AA$12)</f>
        <v>0.112</v>
      </c>
      <c r="P342" s="333">
        <f t="shared" si="127"/>
        <v>4.1200000000000001E-2</v>
      </c>
      <c r="Q342" s="333">
        <f t="shared" si="127"/>
        <v>0.2432</v>
      </c>
      <c r="R342" s="333">
        <f t="shared" si="127"/>
        <v>3.3099999999999997E-2</v>
      </c>
      <c r="S342" s="333">
        <f t="shared" si="127"/>
        <v>8.4500000000000006E-2</v>
      </c>
      <c r="T342" s="333">
        <f t="shared" si="127"/>
        <v>3.0700000000000002E-2</v>
      </c>
      <c r="U342" s="333">
        <f t="shared" si="127"/>
        <v>2.1399999999999999E-2</v>
      </c>
      <c r="V342" s="333">
        <f t="shared" si="127"/>
        <v>0</v>
      </c>
      <c r="W342" s="333">
        <f t="shared" si="127"/>
        <v>1.0200000000000001E-2</v>
      </c>
      <c r="X342" s="333">
        <f t="shared" si="127"/>
        <v>0</v>
      </c>
      <c r="Y342" s="888">
        <f t="shared" si="127"/>
        <v>0</v>
      </c>
      <c r="Z342" s="252"/>
    </row>
    <row r="343" spans="1:26" ht="16.5" thickBot="1">
      <c r="A343" s="411"/>
      <c r="C343" s="336">
        <f t="shared" si="124"/>
        <v>292</v>
      </c>
      <c r="D343" s="17"/>
      <c r="E343" s="3136" t="s">
        <v>1039</v>
      </c>
      <c r="F343" s="882">
        <f t="shared" si="122"/>
        <v>1</v>
      </c>
      <c r="G343" s="165"/>
      <c r="H343" s="2960">
        <v>0</v>
      </c>
      <c r="I343" s="2961">
        <v>0</v>
      </c>
      <c r="J343" s="1753">
        <f>1-SUM(H343:I343,K343:Y343)</f>
        <v>0.70350000000000001</v>
      </c>
      <c r="K343" s="1797">
        <f>ROUND(K56/(J37+K56),$AA$12)</f>
        <v>0.29649999999999999</v>
      </c>
      <c r="L343" s="2957">
        <v>0</v>
      </c>
      <c r="M343" s="2958">
        <v>0</v>
      </c>
      <c r="N343" s="2959">
        <v>0</v>
      </c>
      <c r="O343" s="2962">
        <v>0</v>
      </c>
      <c r="P343" s="2962">
        <v>0</v>
      </c>
      <c r="Q343" s="2962">
        <v>0</v>
      </c>
      <c r="R343" s="2962">
        <v>0</v>
      </c>
      <c r="S343" s="2962">
        <v>0</v>
      </c>
      <c r="T343" s="2962">
        <v>0</v>
      </c>
      <c r="U343" s="2962">
        <v>0</v>
      </c>
      <c r="V343" s="2962">
        <v>0</v>
      </c>
      <c r="W343" s="2962">
        <v>0</v>
      </c>
      <c r="X343" s="2962">
        <v>0</v>
      </c>
      <c r="Y343" s="2961">
        <v>0</v>
      </c>
      <c r="Z343" s="252"/>
    </row>
    <row r="344" spans="1:26">
      <c r="A344" s="411"/>
      <c r="C344" s="336">
        <f t="shared" si="124"/>
        <v>293</v>
      </c>
      <c r="D344" s="17"/>
      <c r="E344" s="3136" t="s">
        <v>1053</v>
      </c>
      <c r="F344" s="882">
        <f t="shared" si="122"/>
        <v>1</v>
      </c>
      <c r="G344" s="165"/>
      <c r="H344" s="333">
        <f>+ROUND(H59/($F$59-$L$59),$AA$12)</f>
        <v>0</v>
      </c>
      <c r="I344" s="333">
        <f>+ROUND(I59/($F$59-$L$59),$AA$12)</f>
        <v>5.0700000000000002E-2</v>
      </c>
      <c r="J344" s="1749">
        <f>1-SUM(H344:I344,K344:Y344)</f>
        <v>0.28310000000000002</v>
      </c>
      <c r="K344" s="333">
        <f>+ROUND(K59/($F$59-$L$59),$AA$12)</f>
        <v>0.1192</v>
      </c>
      <c r="L344" s="2957">
        <v>0</v>
      </c>
      <c r="M344" s="2958">
        <v>0</v>
      </c>
      <c r="N344" s="2959">
        <v>0</v>
      </c>
      <c r="O344" s="333">
        <f t="shared" ref="O344:Y344" si="128">+ROUND(O59/($F$59-$L$59),$AA$12)</f>
        <v>0.10630000000000001</v>
      </c>
      <c r="P344" s="333">
        <f t="shared" si="128"/>
        <v>3.9100000000000003E-2</v>
      </c>
      <c r="Q344" s="333">
        <f t="shared" si="128"/>
        <v>0.23089999999999999</v>
      </c>
      <c r="R344" s="333">
        <f t="shared" si="128"/>
        <v>3.1399999999999997E-2</v>
      </c>
      <c r="S344" s="333">
        <f t="shared" si="128"/>
        <v>8.0199999999999994E-2</v>
      </c>
      <c r="T344" s="333">
        <f t="shared" si="128"/>
        <v>2.9100000000000001E-2</v>
      </c>
      <c r="U344" s="333">
        <f t="shared" si="128"/>
        <v>2.0299999999999999E-2</v>
      </c>
      <c r="V344" s="333">
        <f t="shared" si="128"/>
        <v>0</v>
      </c>
      <c r="W344" s="333">
        <f t="shared" si="128"/>
        <v>9.7000000000000003E-3</v>
      </c>
      <c r="X344" s="333">
        <f t="shared" si="128"/>
        <v>0</v>
      </c>
      <c r="Y344" s="888">
        <f t="shared" si="128"/>
        <v>0</v>
      </c>
      <c r="Z344" s="252"/>
    </row>
    <row r="345" spans="1:26" ht="16.5" thickBot="1">
      <c r="A345" s="411"/>
      <c r="C345" s="336">
        <f t="shared" si="124"/>
        <v>294</v>
      </c>
      <c r="D345" s="17"/>
      <c r="E345" s="3141" t="s">
        <v>978</v>
      </c>
      <c r="F345" s="882">
        <f t="shared" si="122"/>
        <v>1</v>
      </c>
      <c r="G345" s="165"/>
      <c r="H345" s="333">
        <f>+ROUND(H168/($F$168-$L$168),$AA$12)</f>
        <v>0</v>
      </c>
      <c r="I345" s="333">
        <f>+ROUND(I168/($F$168-$L$168),$AA$12)</f>
        <v>5.0700000000000002E-2</v>
      </c>
      <c r="J345" s="1749">
        <f>1-SUM(H345:I345,K345:Y345)</f>
        <v>0.28310000000000002</v>
      </c>
      <c r="K345" s="333">
        <f>+ROUND(K168/($F$168-$L$168),$AA$12)</f>
        <v>0.1192</v>
      </c>
      <c r="L345" s="2963">
        <v>0</v>
      </c>
      <c r="M345" s="2964">
        <v>0</v>
      </c>
      <c r="N345" s="2965">
        <v>0</v>
      </c>
      <c r="O345" s="333">
        <f t="shared" ref="O345:Y345" si="129">+ROUND(O168/($F$168-$L$168),$AA$12)</f>
        <v>0.10630000000000001</v>
      </c>
      <c r="P345" s="333">
        <f t="shared" si="129"/>
        <v>3.9100000000000003E-2</v>
      </c>
      <c r="Q345" s="333">
        <f t="shared" si="129"/>
        <v>0.23089999999999999</v>
      </c>
      <c r="R345" s="333">
        <f t="shared" si="129"/>
        <v>3.1399999999999997E-2</v>
      </c>
      <c r="S345" s="333">
        <f t="shared" si="129"/>
        <v>8.0199999999999994E-2</v>
      </c>
      <c r="T345" s="333">
        <f t="shared" si="129"/>
        <v>2.9100000000000001E-2</v>
      </c>
      <c r="U345" s="333">
        <f t="shared" si="129"/>
        <v>2.0299999999999999E-2</v>
      </c>
      <c r="V345" s="333">
        <f t="shared" si="129"/>
        <v>0</v>
      </c>
      <c r="W345" s="333">
        <f t="shared" si="129"/>
        <v>9.7000000000000003E-3</v>
      </c>
      <c r="X345" s="333">
        <f t="shared" si="129"/>
        <v>0</v>
      </c>
      <c r="Y345" s="888">
        <f t="shared" si="129"/>
        <v>0</v>
      </c>
      <c r="Z345" s="252"/>
    </row>
    <row r="346" spans="1:26" ht="16.5" thickBot="1">
      <c r="A346" s="411"/>
      <c r="C346" s="336">
        <f t="shared" si="124"/>
        <v>295</v>
      </c>
      <c r="D346" s="17"/>
      <c r="E346" s="898" t="s">
        <v>1067</v>
      </c>
      <c r="F346" s="882">
        <f t="shared" si="122"/>
        <v>1.0000000128813407</v>
      </c>
      <c r="G346" s="165"/>
      <c r="H346" s="335">
        <f>'COS_Supervised O&amp;M'!I123</f>
        <v>0</v>
      </c>
      <c r="I346" s="335">
        <f>'COS_Supervised O&amp;M'!J123</f>
        <v>2.3041702971031416E-2</v>
      </c>
      <c r="J346" s="335">
        <f>'COS_Supervised O&amp;M'!K123</f>
        <v>0.10440909891126059</v>
      </c>
      <c r="K346" s="335">
        <f>'COS_Supervised O&amp;M'!L123</f>
        <v>0.15812390964342252</v>
      </c>
      <c r="L346" s="335">
        <f>'COS_Supervised O&amp;M'!M123</f>
        <v>2.9428985815501092E-2</v>
      </c>
      <c r="M346" s="335">
        <f>'COS_Supervised O&amp;M'!N123</f>
        <v>0</v>
      </c>
      <c r="N346" s="335">
        <f>'COS_Supervised O&amp;M'!O123</f>
        <v>0</v>
      </c>
      <c r="O346" s="335">
        <f>'COS_Supervised O&amp;M'!P123</f>
        <v>4.811665910852167E-2</v>
      </c>
      <c r="P346" s="335">
        <f>'COS_Supervised O&amp;M'!Q123</f>
        <v>2.9808521518798734E-2</v>
      </c>
      <c r="Q346" s="335">
        <f>'COS_Supervised O&amp;M'!R123</f>
        <v>0.1875871098816291</v>
      </c>
      <c r="R346" s="335">
        <f>'COS_Supervised O&amp;M'!S123</f>
        <v>2.2151333717303701E-2</v>
      </c>
      <c r="S346" s="335">
        <f>'COS_Supervised O&amp;M'!T123</f>
        <v>5.8293250364810915E-2</v>
      </c>
      <c r="T346" s="335">
        <f>'COS_Supervised O&amp;M'!U123</f>
        <v>1.318171731913502E-2</v>
      </c>
      <c r="U346" s="335">
        <f>'COS_Supervised O&amp;M'!V123</f>
        <v>0.10863812375202948</v>
      </c>
      <c r="V346" s="335">
        <f>'COS_Supervised O&amp;M'!W123</f>
        <v>0.20185869446030555</v>
      </c>
      <c r="W346" s="335">
        <f>'COS_Supervised O&amp;M'!X123</f>
        <v>4.4027852303662003E-3</v>
      </c>
      <c r="X346" s="335">
        <f>'COS_Supervised O&amp;M'!Y123</f>
        <v>1.0958120187224552E-2</v>
      </c>
      <c r="Y346" s="886">
        <f>'COS_Supervised O&amp;M'!Z123</f>
        <v>0</v>
      </c>
      <c r="Z346" s="252"/>
    </row>
    <row r="347" spans="1:26">
      <c r="A347" s="411"/>
      <c r="C347" s="336">
        <f>MAX(C343:C346)+1</f>
        <v>296</v>
      </c>
      <c r="D347" s="17"/>
      <c r="E347" s="897" t="s">
        <v>605</v>
      </c>
      <c r="F347" s="882">
        <f t="shared" si="122"/>
        <v>1</v>
      </c>
      <c r="G347" s="165"/>
      <c r="H347" s="2954">
        <v>1</v>
      </c>
      <c r="I347" s="2955">
        <v>0</v>
      </c>
      <c r="J347" s="2955">
        <v>0</v>
      </c>
      <c r="K347" s="2955">
        <v>0</v>
      </c>
      <c r="L347" s="2955">
        <v>0</v>
      </c>
      <c r="M347" s="2955">
        <v>0</v>
      </c>
      <c r="N347" s="2955">
        <v>0</v>
      </c>
      <c r="O347" s="2955">
        <v>0</v>
      </c>
      <c r="P347" s="2955">
        <v>0</v>
      </c>
      <c r="Q347" s="2955">
        <v>0</v>
      </c>
      <c r="R347" s="2955">
        <v>0</v>
      </c>
      <c r="S347" s="2955">
        <v>0</v>
      </c>
      <c r="T347" s="2955">
        <v>0</v>
      </c>
      <c r="U347" s="2955">
        <v>0</v>
      </c>
      <c r="V347" s="2955">
        <v>0</v>
      </c>
      <c r="W347" s="2955">
        <v>0</v>
      </c>
      <c r="X347" s="2955">
        <v>0</v>
      </c>
      <c r="Y347" s="2956">
        <v>0</v>
      </c>
      <c r="Z347" s="252"/>
    </row>
    <row r="348" spans="1:26">
      <c r="A348" s="411"/>
      <c r="C348" s="336">
        <f>MAX(C344:C347)+1</f>
        <v>297</v>
      </c>
      <c r="D348" s="17"/>
      <c r="E348" s="898" t="s">
        <v>2765</v>
      </c>
      <c r="F348" s="882">
        <f t="shared" si="122"/>
        <v>1</v>
      </c>
      <c r="G348" s="165"/>
      <c r="H348" s="2957">
        <v>0</v>
      </c>
      <c r="I348" s="2958">
        <v>0</v>
      </c>
      <c r="J348" s="2958">
        <v>1</v>
      </c>
      <c r="K348" s="2958">
        <v>0</v>
      </c>
      <c r="L348" s="2958">
        <v>0</v>
      </c>
      <c r="M348" s="2958">
        <v>0</v>
      </c>
      <c r="N348" s="2958">
        <v>0</v>
      </c>
      <c r="O348" s="2958">
        <v>0</v>
      </c>
      <c r="P348" s="2958">
        <v>0</v>
      </c>
      <c r="Q348" s="2958">
        <v>0</v>
      </c>
      <c r="R348" s="2958">
        <v>0</v>
      </c>
      <c r="S348" s="2958">
        <v>0</v>
      </c>
      <c r="T348" s="2958">
        <v>0</v>
      </c>
      <c r="U348" s="2958">
        <v>0</v>
      </c>
      <c r="V348" s="2958">
        <v>0</v>
      </c>
      <c r="W348" s="2958">
        <v>0</v>
      </c>
      <c r="X348" s="2958">
        <v>0</v>
      </c>
      <c r="Y348" s="2959">
        <v>0</v>
      </c>
      <c r="Z348" s="252"/>
    </row>
    <row r="349" spans="1:26" ht="16.5" thickBot="1">
      <c r="A349" s="411"/>
      <c r="C349" s="336">
        <f>MAX(C344:C347)+1</f>
        <v>297</v>
      </c>
      <c r="D349" s="17"/>
      <c r="E349" s="897" t="s">
        <v>170</v>
      </c>
      <c r="F349" s="882">
        <f>SUM(H349:Y349)</f>
        <v>1</v>
      </c>
      <c r="G349" s="165"/>
      <c r="H349" s="2957">
        <v>0</v>
      </c>
      <c r="I349" s="2958">
        <v>0</v>
      </c>
      <c r="J349" s="2958">
        <v>0</v>
      </c>
      <c r="K349" s="2958">
        <v>1</v>
      </c>
      <c r="L349" s="2958">
        <v>0</v>
      </c>
      <c r="M349" s="2958">
        <v>0</v>
      </c>
      <c r="N349" s="2958">
        <v>0</v>
      </c>
      <c r="O349" s="2958">
        <v>0</v>
      </c>
      <c r="P349" s="2958">
        <v>0</v>
      </c>
      <c r="Q349" s="2958">
        <v>0</v>
      </c>
      <c r="R349" s="2958">
        <v>0</v>
      </c>
      <c r="S349" s="2958">
        <v>0</v>
      </c>
      <c r="T349" s="2958">
        <v>0</v>
      </c>
      <c r="U349" s="2958">
        <v>0</v>
      </c>
      <c r="V349" s="2958">
        <v>0</v>
      </c>
      <c r="W349" s="2958">
        <v>0</v>
      </c>
      <c r="X349" s="2958">
        <v>0</v>
      </c>
      <c r="Y349" s="2959">
        <v>0</v>
      </c>
      <c r="Z349" s="252"/>
    </row>
    <row r="350" spans="1:26" ht="16.5" thickBot="1">
      <c r="A350" s="411"/>
      <c r="C350" s="336">
        <f>MAX(C346:C348)+1</f>
        <v>298</v>
      </c>
      <c r="D350" s="17"/>
      <c r="E350" s="897" t="s">
        <v>2645</v>
      </c>
      <c r="F350" s="882">
        <f t="shared" si="122"/>
        <v>1</v>
      </c>
      <c r="G350" s="165"/>
      <c r="H350" s="2957">
        <v>0</v>
      </c>
      <c r="I350" s="2958">
        <v>0</v>
      </c>
      <c r="J350" s="2958">
        <v>0</v>
      </c>
      <c r="K350" s="2992">
        <f>1-L350</f>
        <v>0.62832677620921085</v>
      </c>
      <c r="L350" s="2993">
        <v>0.37167322379078915</v>
      </c>
      <c r="M350" s="2958">
        <v>0</v>
      </c>
      <c r="N350" s="2958">
        <v>0</v>
      </c>
      <c r="O350" s="2958">
        <v>0</v>
      </c>
      <c r="P350" s="2958">
        <v>0</v>
      </c>
      <c r="Q350" s="2958">
        <v>0</v>
      </c>
      <c r="R350" s="2958">
        <v>0</v>
      </c>
      <c r="S350" s="2958">
        <v>0</v>
      </c>
      <c r="T350" s="2958">
        <v>0</v>
      </c>
      <c r="U350" s="2958">
        <v>0</v>
      </c>
      <c r="V350" s="2958">
        <v>0</v>
      </c>
      <c r="W350" s="2958">
        <v>0</v>
      </c>
      <c r="X350" s="2958">
        <v>0</v>
      </c>
      <c r="Y350" s="2959">
        <v>0</v>
      </c>
      <c r="Z350" s="252"/>
    </row>
    <row r="351" spans="1:26">
      <c r="A351" s="411"/>
      <c r="C351" s="336">
        <f>MAX(C347:C350)+1</f>
        <v>299</v>
      </c>
      <c r="D351" s="17"/>
      <c r="E351" s="897" t="s">
        <v>2</v>
      </c>
      <c r="F351" s="882">
        <f t="shared" si="122"/>
        <v>1</v>
      </c>
      <c r="G351" s="165"/>
      <c r="H351" s="2957">
        <v>0</v>
      </c>
      <c r="I351" s="2958">
        <v>0</v>
      </c>
      <c r="J351" s="2958">
        <v>0</v>
      </c>
      <c r="K351" s="2958">
        <v>0</v>
      </c>
      <c r="L351" s="2958">
        <v>0</v>
      </c>
      <c r="M351" s="2958">
        <v>0</v>
      </c>
      <c r="N351" s="2958">
        <v>0</v>
      </c>
      <c r="O351" s="2958">
        <v>1</v>
      </c>
      <c r="P351" s="2958">
        <v>0</v>
      </c>
      <c r="Q351" s="2958">
        <v>0</v>
      </c>
      <c r="R351" s="2958">
        <v>0</v>
      </c>
      <c r="S351" s="2958">
        <v>0</v>
      </c>
      <c r="T351" s="2958">
        <v>0</v>
      </c>
      <c r="U351" s="2958">
        <v>0</v>
      </c>
      <c r="V351" s="2958">
        <v>0</v>
      </c>
      <c r="W351" s="2958">
        <v>0</v>
      </c>
      <c r="X351" s="2958">
        <v>0</v>
      </c>
      <c r="Y351" s="2959">
        <v>0</v>
      </c>
      <c r="Z351" s="252"/>
    </row>
    <row r="352" spans="1:26" ht="16.5" thickBot="1">
      <c r="A352" s="411"/>
      <c r="C352" s="336">
        <f>MAX(C348:C351)+1</f>
        <v>300</v>
      </c>
      <c r="D352" s="17"/>
      <c r="E352" s="898" t="s">
        <v>2764</v>
      </c>
      <c r="F352" s="882">
        <f t="shared" si="122"/>
        <v>1</v>
      </c>
      <c r="G352" s="165"/>
      <c r="H352" s="2957">
        <v>0</v>
      </c>
      <c r="I352" s="2958">
        <v>1</v>
      </c>
      <c r="J352" s="2958">
        <v>0</v>
      </c>
      <c r="K352" s="2958">
        <v>0</v>
      </c>
      <c r="L352" s="2958">
        <v>0</v>
      </c>
      <c r="M352" s="2958">
        <v>0</v>
      </c>
      <c r="N352" s="2958">
        <v>0</v>
      </c>
      <c r="O352" s="2958">
        <v>0</v>
      </c>
      <c r="P352" s="2958">
        <v>0</v>
      </c>
      <c r="Q352" s="2958">
        <v>0</v>
      </c>
      <c r="R352" s="2958">
        <v>0</v>
      </c>
      <c r="S352" s="2958">
        <v>0</v>
      </c>
      <c r="T352" s="2958">
        <v>0</v>
      </c>
      <c r="U352" s="2958">
        <v>0</v>
      </c>
      <c r="V352" s="2958">
        <v>0</v>
      </c>
      <c r="W352" s="2958">
        <v>0</v>
      </c>
      <c r="X352" s="2958">
        <v>0</v>
      </c>
      <c r="Y352" s="2959">
        <v>0</v>
      </c>
      <c r="Z352" s="252"/>
    </row>
    <row r="353" spans="1:26">
      <c r="A353" s="411"/>
      <c r="C353" s="336">
        <f>MAX(C344:C352)+1</f>
        <v>301</v>
      </c>
      <c r="D353" s="17"/>
      <c r="E353" s="897" t="s">
        <v>0</v>
      </c>
      <c r="F353" s="882">
        <f t="shared" si="122"/>
        <v>1</v>
      </c>
      <c r="G353" s="165"/>
      <c r="H353" s="2957">
        <v>0</v>
      </c>
      <c r="I353" s="2958">
        <v>0</v>
      </c>
      <c r="J353" s="2958">
        <v>0</v>
      </c>
      <c r="K353" s="2958">
        <v>0</v>
      </c>
      <c r="L353" s="2958">
        <v>0</v>
      </c>
      <c r="M353" s="2958">
        <v>0</v>
      </c>
      <c r="N353" s="2958">
        <v>0</v>
      </c>
      <c r="O353" s="2958">
        <v>0</v>
      </c>
      <c r="P353" s="2968">
        <v>8.9932980383756134E-2</v>
      </c>
      <c r="Q353" s="2969">
        <v>0.74079566667686747</v>
      </c>
      <c r="R353" s="2969">
        <v>3.854270587875263E-2</v>
      </c>
      <c r="S353" s="2970">
        <v>0.13072864706062368</v>
      </c>
      <c r="T353" s="2958">
        <v>0</v>
      </c>
      <c r="U353" s="2958">
        <v>0</v>
      </c>
      <c r="V353" s="2958">
        <v>0</v>
      </c>
      <c r="W353" s="2958">
        <v>0</v>
      </c>
      <c r="X353" s="2958">
        <v>0</v>
      </c>
      <c r="Y353" s="2959">
        <v>0</v>
      </c>
      <c r="Z353" s="252"/>
    </row>
    <row r="354" spans="1:26" ht="16.5" thickBot="1">
      <c r="A354" s="411"/>
      <c r="C354" s="336">
        <f>MAX(C346:C353)+1</f>
        <v>302</v>
      </c>
      <c r="D354" s="17"/>
      <c r="E354" s="897" t="s">
        <v>1</v>
      </c>
      <c r="F354" s="882">
        <f t="shared" si="122"/>
        <v>0.99999999999999978</v>
      </c>
      <c r="G354" s="165"/>
      <c r="H354" s="2957">
        <v>0</v>
      </c>
      <c r="I354" s="2958">
        <v>0</v>
      </c>
      <c r="J354" s="2958">
        <v>0</v>
      </c>
      <c r="K354" s="2958">
        <v>0</v>
      </c>
      <c r="L354" s="2958">
        <v>0</v>
      </c>
      <c r="M354" s="2958">
        <v>0</v>
      </c>
      <c r="N354" s="2958">
        <v>0</v>
      </c>
      <c r="O354" s="2958">
        <v>0</v>
      </c>
      <c r="P354" s="2971">
        <v>0.12094438190970096</v>
      </c>
      <c r="Q354" s="2972">
        <v>0.40217908877703212</v>
      </c>
      <c r="R354" s="2972">
        <v>0.14782091122296784</v>
      </c>
      <c r="S354" s="2973">
        <v>0.32905561809029898</v>
      </c>
      <c r="T354" s="2958">
        <v>0</v>
      </c>
      <c r="U354" s="2958">
        <v>0</v>
      </c>
      <c r="V354" s="2958">
        <v>0</v>
      </c>
      <c r="W354" s="2958">
        <v>0</v>
      </c>
      <c r="X354" s="2958">
        <v>0</v>
      </c>
      <c r="Y354" s="2959">
        <v>0</v>
      </c>
      <c r="Z354" s="252"/>
    </row>
    <row r="355" spans="1:26">
      <c r="A355" s="411"/>
      <c r="C355" s="336">
        <f>MAX(C347:C354)+1</f>
        <v>303</v>
      </c>
      <c r="D355" s="17"/>
      <c r="E355" s="897" t="s">
        <v>171</v>
      </c>
      <c r="F355" s="882">
        <f t="shared" si="122"/>
        <v>1</v>
      </c>
      <c r="G355" s="165"/>
      <c r="H355" s="2957">
        <v>0</v>
      </c>
      <c r="I355" s="2958">
        <v>0</v>
      </c>
      <c r="J355" s="2958">
        <v>0</v>
      </c>
      <c r="K355" s="2958">
        <v>0</v>
      </c>
      <c r="L355" s="2958">
        <v>0</v>
      </c>
      <c r="M355" s="2958">
        <v>0</v>
      </c>
      <c r="N355" s="2958">
        <v>0</v>
      </c>
      <c r="O355" s="2958">
        <v>0</v>
      </c>
      <c r="P355" s="2958">
        <v>0</v>
      </c>
      <c r="Q355" s="2958">
        <v>0</v>
      </c>
      <c r="R355" s="2958">
        <v>0</v>
      </c>
      <c r="S355" s="2958">
        <v>0</v>
      </c>
      <c r="T355" s="2958">
        <v>1</v>
      </c>
      <c r="U355" s="2958">
        <v>0</v>
      </c>
      <c r="V355" s="2958">
        <v>0</v>
      </c>
      <c r="W355" s="2958">
        <v>0</v>
      </c>
      <c r="X355" s="2958">
        <v>0</v>
      </c>
      <c r="Y355" s="2959">
        <v>0</v>
      </c>
      <c r="Z355" s="252"/>
    </row>
    <row r="356" spans="1:26">
      <c r="A356" s="411"/>
      <c r="C356" s="336">
        <f>MAX(C348:C355)+1</f>
        <v>304</v>
      </c>
      <c r="D356" s="17"/>
      <c r="E356" s="897" t="s">
        <v>172</v>
      </c>
      <c r="F356" s="882">
        <f t="shared" si="122"/>
        <v>1</v>
      </c>
      <c r="G356" s="165"/>
      <c r="H356" s="2957">
        <v>0</v>
      </c>
      <c r="I356" s="2958">
        <v>0</v>
      </c>
      <c r="J356" s="2958">
        <v>0</v>
      </c>
      <c r="K356" s="2958">
        <v>0</v>
      </c>
      <c r="L356" s="2958">
        <v>0</v>
      </c>
      <c r="M356" s="2958">
        <v>0</v>
      </c>
      <c r="N356" s="2958">
        <v>0</v>
      </c>
      <c r="O356" s="2958">
        <v>0</v>
      </c>
      <c r="P356" s="2958">
        <v>0</v>
      </c>
      <c r="Q356" s="2958">
        <v>0</v>
      </c>
      <c r="R356" s="2958">
        <v>0</v>
      </c>
      <c r="S356" s="2958">
        <v>0</v>
      </c>
      <c r="T356" s="2958">
        <v>0</v>
      </c>
      <c r="U356" s="2958">
        <v>1</v>
      </c>
      <c r="V356" s="2958">
        <v>0</v>
      </c>
      <c r="W356" s="2958">
        <v>0</v>
      </c>
      <c r="X356" s="2958">
        <v>0</v>
      </c>
      <c r="Y356" s="2959">
        <v>0</v>
      </c>
      <c r="Z356" s="252"/>
    </row>
    <row r="357" spans="1:26" ht="16.5" thickBot="1">
      <c r="A357" s="411"/>
      <c r="C357" s="336">
        <f>MAX(C350:C356)+1</f>
        <v>305</v>
      </c>
      <c r="D357" s="17"/>
      <c r="E357" s="897" t="s">
        <v>468</v>
      </c>
      <c r="F357" s="882">
        <f t="shared" si="122"/>
        <v>1</v>
      </c>
      <c r="G357" s="165"/>
      <c r="H357" s="2963">
        <v>0</v>
      </c>
      <c r="I357" s="2964">
        <v>0</v>
      </c>
      <c r="J357" s="2964">
        <v>0</v>
      </c>
      <c r="K357" s="2964">
        <v>0</v>
      </c>
      <c r="L357" s="2958">
        <v>0</v>
      </c>
      <c r="M357" s="2958">
        <v>0</v>
      </c>
      <c r="N357" s="2958">
        <v>0</v>
      </c>
      <c r="O357" s="2964">
        <v>0</v>
      </c>
      <c r="P357" s="2964">
        <v>0</v>
      </c>
      <c r="Q357" s="2964">
        <v>0</v>
      </c>
      <c r="R357" s="2964">
        <v>0</v>
      </c>
      <c r="S357" s="2964">
        <v>0</v>
      </c>
      <c r="T357" s="2964">
        <v>0</v>
      </c>
      <c r="U357" s="2964">
        <v>0</v>
      </c>
      <c r="V357" s="2964">
        <v>0</v>
      </c>
      <c r="W357" s="2964">
        <v>1</v>
      </c>
      <c r="X357" s="2964">
        <v>0</v>
      </c>
      <c r="Y357" s="2965">
        <v>0</v>
      </c>
      <c r="Z357" s="252"/>
    </row>
    <row r="358" spans="1:26" ht="16.5" thickBot="1">
      <c r="A358" s="411"/>
      <c r="C358" s="336">
        <f>MAX(C351:C357)+1</f>
        <v>306</v>
      </c>
      <c r="D358" s="338"/>
      <c r="E358" s="3137" t="s">
        <v>977</v>
      </c>
      <c r="F358" s="899">
        <f t="shared" si="122"/>
        <v>1</v>
      </c>
      <c r="G358" s="909"/>
      <c r="H358" s="892">
        <f>+ROUND(H332/($F$332-$L$332),$AA$12)</f>
        <v>0</v>
      </c>
      <c r="I358" s="892">
        <f>+ROUND(I332/($F$332-$L$332),$AA$12)</f>
        <v>3.4299999999999997E-2</v>
      </c>
      <c r="J358" s="1754">
        <f>1-SUM(H358:I358,K358:Y358)</f>
        <v>0.34079999999999999</v>
      </c>
      <c r="K358" s="892">
        <f>+ROUND(K332/($F$332-$L$332),$AA$12)</f>
        <v>0.12859999999999999</v>
      </c>
      <c r="L358" s="2960">
        <v>0</v>
      </c>
      <c r="M358" s="2962">
        <v>0</v>
      </c>
      <c r="N358" s="2961">
        <v>0</v>
      </c>
      <c r="O358" s="892">
        <f t="shared" ref="O358:Y358" si="130">+ROUND(O332/($F$332-$L$332),$AA$12)</f>
        <v>7.3400000000000007E-2</v>
      </c>
      <c r="P358" s="892">
        <f t="shared" si="130"/>
        <v>4.1200000000000001E-2</v>
      </c>
      <c r="Q358" s="892">
        <f t="shared" si="130"/>
        <v>0.2278</v>
      </c>
      <c r="R358" s="892">
        <f t="shared" si="130"/>
        <v>3.5700000000000003E-2</v>
      </c>
      <c r="S358" s="892">
        <f t="shared" si="130"/>
        <v>8.8800000000000004E-2</v>
      </c>
      <c r="T358" s="892">
        <f t="shared" si="130"/>
        <v>1.2999999999999999E-2</v>
      </c>
      <c r="U358" s="892">
        <f t="shared" si="130"/>
        <v>1.04E-2</v>
      </c>
      <c r="V358" s="892">
        <f t="shared" si="130"/>
        <v>0</v>
      </c>
      <c r="W358" s="892">
        <f t="shared" si="130"/>
        <v>6.0000000000000001E-3</v>
      </c>
      <c r="X358" s="892">
        <f t="shared" si="130"/>
        <v>0</v>
      </c>
      <c r="Y358" s="893">
        <f t="shared" si="130"/>
        <v>0</v>
      </c>
      <c r="Z358" s="252"/>
    </row>
    <row r="359" spans="1:26">
      <c r="A359" s="411"/>
    </row>
    <row r="360" spans="1:26" hidden="1"/>
    <row r="361" spans="1:26" hidden="1"/>
    <row r="362" spans="1:26" hidden="1"/>
    <row r="363" spans="1:26" hidden="1"/>
    <row r="364" spans="1:26" hidden="1"/>
    <row r="365" spans="1:26" hidden="1"/>
    <row r="366" spans="1:26" hidden="1"/>
    <row r="367" spans="1:26" hidden="1"/>
    <row r="368" spans="1:26"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sheetData>
  <mergeCells count="14">
    <mergeCell ref="W9:W10"/>
    <mergeCell ref="K9:K10"/>
    <mergeCell ref="T9:T10"/>
    <mergeCell ref="U9:U10"/>
    <mergeCell ref="R9:S9"/>
    <mergeCell ref="H9:H10"/>
    <mergeCell ref="P9:Q9"/>
    <mergeCell ref="R8:U8"/>
    <mergeCell ref="J7:J8"/>
    <mergeCell ref="K7:Q7"/>
    <mergeCell ref="K8:Q8"/>
    <mergeCell ref="H7:I8"/>
    <mergeCell ref="I9:I10"/>
    <mergeCell ref="J9:J10"/>
  </mergeCells>
  <phoneticPr fontId="8" type="noConversion"/>
  <conditionalFormatting sqref="F350:F358 F339:F348">
    <cfRule type="cellIs" dxfId="43" priority="3" stopIfTrue="1" operator="greaterThan">
      <formula>1</formula>
    </cfRule>
    <cfRule type="cellIs" dxfId="42" priority="4" stopIfTrue="1" operator="between">
      <formula>0.00001</formula>
      <formula>0.99999</formula>
    </cfRule>
  </conditionalFormatting>
  <conditionalFormatting sqref="F349">
    <cfRule type="cellIs" dxfId="41" priority="1" stopIfTrue="1" operator="greaterThan">
      <formula>1</formula>
    </cfRule>
    <cfRule type="cellIs" dxfId="40" priority="2" stopIfTrue="1" operator="between">
      <formula>0.00001</formula>
      <formula>0.99999</formula>
    </cfRule>
  </conditionalFormatting>
  <dataValidations count="1">
    <dataValidation type="list" allowBlank="1" showInputMessage="1" showErrorMessage="1" sqref="G62:G166 G190:G199 G223:G327 G15:G21 G179:G185 G204:G218 G26:G35 G40:G54">
      <formula1>COS_RB</formula1>
    </dataValidation>
  </dataValidations>
  <printOptions horizontalCentered="1"/>
  <pageMargins left="0.25" right="0.25" top="0.5" bottom="0.5" header="0.25" footer="0.25"/>
  <pageSetup scale="33" fitToHeight="0" orientation="landscape" r:id="rId1"/>
  <headerFooter alignWithMargins="0">
    <oddFooter>&amp;L&amp;"Times New Roman,Bold Italic"Black &amp; Veatch Corporation&amp;C&amp;"Times New Roman,Bold Italic"Date: &amp;D&amp;R&amp;"Times New Roman,Bold Italic"Page: &amp;P of&amp;N</oddFooter>
  </headerFooter>
  <rowBreaks count="4" manualBreakCount="4">
    <brk id="84" min="2" max="26" man="1"/>
    <brk id="152" min="2" max="26" man="1"/>
    <brk id="220" min="2" max="26" man="1"/>
    <brk id="296" min="2" max="26" man="1"/>
  </rowBreaks>
  <ignoredErrors>
    <ignoredError sqref="F221:F324 F179:F186 F188:F200 F202:F219" formula="1"/>
  </ignoredError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8000"/>
    <pageSetUpPr fitToPage="1"/>
  </sheetPr>
  <dimension ref="A1:AH171"/>
  <sheetViews>
    <sheetView showGridLines="0" zoomScale="55" zoomScaleNormal="55" workbookViewId="0">
      <pane xSplit="7" ySplit="10" topLeftCell="H11" activePane="bottomRight" state="frozen"/>
      <selection activeCell="K23" sqref="K23"/>
      <selection pane="topRight" activeCell="K23" sqref="K23"/>
      <selection pane="bottomLeft" activeCell="K23" sqref="K23"/>
      <selection pane="bottomRight" activeCell="F7" sqref="F7"/>
    </sheetView>
  </sheetViews>
  <sheetFormatPr defaultRowHeight="15.75" zeroHeight="1"/>
  <cols>
    <col min="1" max="1" width="22.5" style="2" customWidth="1"/>
    <col min="2" max="2" width="1.375" style="2" customWidth="1"/>
    <col min="3" max="3" width="15" style="2" bestFit="1" customWidth="1"/>
    <col min="4" max="4" width="16" style="4" customWidth="1"/>
    <col min="5" max="5" width="35.375" style="4" customWidth="1"/>
    <col min="6" max="6" width="14.875" style="4" customWidth="1"/>
    <col min="7" max="7" width="17" style="4" bestFit="1" customWidth="1"/>
    <col min="8" max="8" width="29.625" style="112" bestFit="1" customWidth="1"/>
    <col min="9" max="9" width="16.5" style="4" customWidth="1"/>
    <col min="10" max="10" width="16" style="113" customWidth="1"/>
    <col min="11" max="11" width="18.5" style="4" customWidth="1"/>
    <col min="12" max="12" width="16" style="2" bestFit="1" customWidth="1"/>
    <col min="13" max="15" width="16" style="2" customWidth="1"/>
    <col min="16" max="16" width="15.875" style="2" customWidth="1"/>
    <col min="17" max="17" width="14.625" style="11" customWidth="1"/>
    <col min="18" max="18" width="16" style="11" bestFit="1" customWidth="1"/>
    <col min="19" max="21" width="14.625" style="11" customWidth="1"/>
    <col min="22" max="22" width="16" style="11" bestFit="1" customWidth="1"/>
    <col min="23" max="23" width="16.5" style="11" bestFit="1" customWidth="1"/>
    <col min="24" max="24" width="15.75" style="2" bestFit="1" customWidth="1"/>
    <col min="25" max="25" width="10.625" style="2" bestFit="1" customWidth="1"/>
    <col min="26" max="26" width="14.5" style="2" bestFit="1" customWidth="1"/>
    <col min="27" max="27" width="2.625" style="2" customWidth="1"/>
    <col min="28" max="28" width="15.75" style="2" customWidth="1"/>
    <col min="29" max="29" width="8.625" style="2" customWidth="1"/>
    <col min="30" max="30" width="9.25" style="2" bestFit="1" customWidth="1"/>
    <col min="31" max="38" width="8.625" style="2" customWidth="1"/>
    <col min="39" max="16384" width="9" style="2"/>
  </cols>
  <sheetData>
    <row r="1" spans="1:34" ht="22.5">
      <c r="A1" s="411"/>
      <c r="B1" s="84"/>
      <c r="C1" s="4405" t="s">
        <v>167</v>
      </c>
      <c r="D1" s="4405"/>
      <c r="E1" s="4405"/>
      <c r="F1" s="4405"/>
      <c r="G1" s="4405"/>
      <c r="H1" s="4405"/>
      <c r="I1" s="4405"/>
      <c r="J1" s="4405"/>
      <c r="K1" s="4405"/>
      <c r="L1" s="4405"/>
      <c r="M1" s="4405"/>
      <c r="N1" s="4405"/>
      <c r="O1" s="4405"/>
      <c r="P1" s="4405"/>
      <c r="Q1" s="4405"/>
      <c r="R1" s="4405"/>
      <c r="S1" s="4405"/>
      <c r="T1" s="4405"/>
      <c r="U1" s="4405"/>
      <c r="V1" s="4405"/>
      <c r="W1" s="4405"/>
      <c r="X1" s="4405"/>
      <c r="Y1" s="4405"/>
      <c r="Z1" s="4405"/>
    </row>
    <row r="2" spans="1:34" ht="22.5">
      <c r="A2" s="411"/>
      <c r="B2" s="84"/>
      <c r="C2" s="4405" t="str">
        <f>Client</f>
        <v>Grant County Public Utility District</v>
      </c>
      <c r="D2" s="4405"/>
      <c r="E2" s="4405"/>
      <c r="F2" s="4405"/>
      <c r="G2" s="4405"/>
      <c r="H2" s="4405"/>
      <c r="I2" s="4405"/>
      <c r="J2" s="4405"/>
      <c r="K2" s="4405"/>
      <c r="L2" s="4405"/>
      <c r="M2" s="4405"/>
      <c r="N2" s="4405"/>
      <c r="O2" s="4405"/>
      <c r="P2" s="4405"/>
      <c r="Q2" s="4405"/>
      <c r="R2" s="4405"/>
      <c r="S2" s="4405"/>
      <c r="T2" s="4405"/>
      <c r="U2" s="4405"/>
      <c r="V2" s="4405"/>
      <c r="W2" s="4405"/>
      <c r="X2" s="4405"/>
      <c r="Y2" s="4405"/>
      <c r="Z2" s="4405"/>
    </row>
    <row r="3" spans="1:34" ht="22.5">
      <c r="A3" s="411"/>
      <c r="B3" s="84"/>
      <c r="C3" s="4405" t="s">
        <v>570</v>
      </c>
      <c r="D3" s="4405"/>
      <c r="E3" s="4405"/>
      <c r="F3" s="4405"/>
      <c r="G3" s="4405"/>
      <c r="H3" s="4405"/>
      <c r="I3" s="4405"/>
      <c r="J3" s="4405"/>
      <c r="K3" s="4405"/>
      <c r="L3" s="4405"/>
      <c r="M3" s="4405"/>
      <c r="N3" s="4405"/>
      <c r="O3" s="4405"/>
      <c r="P3" s="4405"/>
      <c r="Q3" s="4405"/>
      <c r="R3" s="4405"/>
      <c r="S3" s="4405"/>
      <c r="T3" s="4405"/>
      <c r="U3" s="4405"/>
      <c r="V3" s="4405"/>
      <c r="W3" s="4405"/>
      <c r="X3" s="4405"/>
      <c r="Y3" s="4405"/>
      <c r="Z3" s="4405"/>
    </row>
    <row r="4" spans="1:34">
      <c r="A4" s="411"/>
      <c r="B4" s="84"/>
      <c r="H4" s="4"/>
      <c r="I4" s="112"/>
      <c r="J4" s="4"/>
      <c r="K4" s="113"/>
      <c r="L4"/>
      <c r="M4"/>
      <c r="N4"/>
      <c r="O4"/>
      <c r="P4"/>
      <c r="Q4"/>
      <c r="R4"/>
      <c r="S4"/>
      <c r="T4"/>
      <c r="U4"/>
      <c r="V4" s="2"/>
      <c r="W4" s="2"/>
    </row>
    <row r="5" spans="1:34">
      <c r="A5" s="411"/>
      <c r="B5" s="84"/>
      <c r="C5"/>
      <c r="E5" s="3148" t="s">
        <v>3509</v>
      </c>
      <c r="F5" s="3149" t="s">
        <v>3502</v>
      </c>
      <c r="G5"/>
      <c r="H5"/>
      <c r="I5"/>
      <c r="J5"/>
      <c r="K5" s="113"/>
      <c r="L5"/>
      <c r="M5"/>
      <c r="N5"/>
      <c r="O5"/>
      <c r="P5"/>
      <c r="Q5"/>
      <c r="R5"/>
      <c r="S5"/>
      <c r="T5"/>
      <c r="U5"/>
      <c r="V5" s="2"/>
      <c r="W5" s="2"/>
    </row>
    <row r="6" spans="1:34">
      <c r="A6" s="411"/>
      <c r="B6" s="84"/>
      <c r="C6" s="420"/>
      <c r="D6" s="206"/>
      <c r="E6" s="3144" t="s">
        <v>3964</v>
      </c>
      <c r="F6" s="3144" t="s">
        <v>3968</v>
      </c>
      <c r="G6" s="11"/>
      <c r="H6" s="11"/>
      <c r="I6" s="119"/>
      <c r="J6" s="11"/>
      <c r="K6" s="435"/>
      <c r="L6" s="4"/>
      <c r="M6" s="4"/>
      <c r="N6" s="4"/>
      <c r="O6" s="4"/>
      <c r="P6" s="4"/>
      <c r="Q6" s="2"/>
      <c r="R6" s="2"/>
      <c r="S6" s="2"/>
      <c r="T6" s="2"/>
      <c r="U6" s="2"/>
      <c r="V6" s="2"/>
      <c r="W6" s="2"/>
    </row>
    <row r="7" spans="1:34" ht="17.25" customHeight="1">
      <c r="A7" s="411"/>
      <c r="B7" s="84"/>
      <c r="C7" s="4"/>
      <c r="E7" s="3143" t="s">
        <v>4037</v>
      </c>
      <c r="F7" s="3454" t="s">
        <v>486</v>
      </c>
      <c r="G7" s="3094"/>
      <c r="I7" s="4445" t="s">
        <v>900</v>
      </c>
      <c r="J7" s="4446"/>
      <c r="K7" s="4412" t="s">
        <v>600</v>
      </c>
      <c r="L7" s="4460" t="s">
        <v>601</v>
      </c>
      <c r="M7" s="4461"/>
      <c r="N7" s="4461"/>
      <c r="O7" s="4461"/>
      <c r="P7" s="4461"/>
      <c r="Q7" s="4461"/>
      <c r="R7" s="4461"/>
      <c r="S7" s="49"/>
      <c r="T7" s="49"/>
      <c r="U7" s="49"/>
      <c r="V7" s="49"/>
      <c r="W7" s="129" t="s">
        <v>608</v>
      </c>
      <c r="X7" s="5"/>
      <c r="Y7" s="5"/>
      <c r="Z7" s="5"/>
      <c r="AA7" s="5"/>
      <c r="AG7" s="4"/>
      <c r="AH7" s="4"/>
    </row>
    <row r="8" spans="1:34" ht="17.25" customHeight="1">
      <c r="A8" s="411"/>
      <c r="B8" s="84"/>
      <c r="C8" s="4"/>
      <c r="H8" s="4"/>
      <c r="I8" s="4447"/>
      <c r="J8" s="4448"/>
      <c r="K8" s="4404"/>
      <c r="L8" s="4442" t="s">
        <v>168</v>
      </c>
      <c r="M8" s="4443"/>
      <c r="N8" s="4443"/>
      <c r="O8" s="4443"/>
      <c r="P8" s="4443"/>
      <c r="Q8" s="4443"/>
      <c r="R8" s="4444"/>
      <c r="S8" s="4437" t="s">
        <v>606</v>
      </c>
      <c r="T8" s="4438"/>
      <c r="U8" s="4438"/>
      <c r="V8" s="4438"/>
      <c r="W8" s="143" t="s">
        <v>169</v>
      </c>
      <c r="X8" s="202"/>
      <c r="Y8" s="5"/>
      <c r="Z8" s="5"/>
      <c r="AA8"/>
    </row>
    <row r="9" spans="1:34" s="4" customFormat="1" ht="15.75" customHeight="1">
      <c r="A9" s="411"/>
      <c r="B9" s="84"/>
      <c r="C9" s="4458" t="s">
        <v>867</v>
      </c>
      <c r="D9" s="900" t="s">
        <v>701</v>
      </c>
      <c r="E9" s="4458" t="s">
        <v>876</v>
      </c>
      <c r="F9" s="3093"/>
      <c r="G9" s="603">
        <v>2016</v>
      </c>
      <c r="H9" s="149" t="s">
        <v>869</v>
      </c>
      <c r="I9" s="4433" t="s">
        <v>605</v>
      </c>
      <c r="J9" s="4449" t="s">
        <v>168</v>
      </c>
      <c r="K9" s="4449" t="s">
        <v>168</v>
      </c>
      <c r="L9" s="4465" t="s">
        <v>170</v>
      </c>
      <c r="M9" s="1745" t="s">
        <v>486</v>
      </c>
      <c r="N9" s="1745" t="s">
        <v>2988</v>
      </c>
      <c r="O9" s="1745" t="s">
        <v>2989</v>
      </c>
      <c r="P9" s="142" t="s">
        <v>867</v>
      </c>
      <c r="Q9" s="4467" t="s">
        <v>857</v>
      </c>
      <c r="R9" s="4468"/>
      <c r="S9" s="4456" t="s">
        <v>858</v>
      </c>
      <c r="T9" s="4457"/>
      <c r="U9" s="4449" t="s">
        <v>171</v>
      </c>
      <c r="V9" s="4449" t="s">
        <v>172</v>
      </c>
      <c r="W9" s="143" t="s">
        <v>173</v>
      </c>
      <c r="X9" s="4463" t="str">
        <f>COS_RB!V8</f>
        <v>Accounts</v>
      </c>
      <c r="Y9" s="129" t="s">
        <v>683</v>
      </c>
      <c r="Z9" s="149" t="s">
        <v>210</v>
      </c>
      <c r="AA9" s="609"/>
    </row>
    <row r="10" spans="1:34" s="4" customFormat="1" ht="17.25" customHeight="1" thickBot="1">
      <c r="A10" s="411"/>
      <c r="B10" s="84"/>
      <c r="C10" s="4462"/>
      <c r="D10" s="902" t="s">
        <v>868</v>
      </c>
      <c r="E10" s="4459"/>
      <c r="F10" s="607"/>
      <c r="G10" s="607" t="s">
        <v>602</v>
      </c>
      <c r="H10" s="224" t="s">
        <v>870</v>
      </c>
      <c r="I10" s="4434"/>
      <c r="J10" s="4450"/>
      <c r="K10" s="4450"/>
      <c r="L10" s="4466"/>
      <c r="M10" s="1746" t="s">
        <v>175</v>
      </c>
      <c r="N10" s="1746" t="s">
        <v>175</v>
      </c>
      <c r="O10" s="1746" t="s">
        <v>175</v>
      </c>
      <c r="P10" s="232" t="s">
        <v>856</v>
      </c>
      <c r="Q10" s="594" t="s">
        <v>985</v>
      </c>
      <c r="R10" s="594" t="s">
        <v>986</v>
      </c>
      <c r="S10" s="227" t="s">
        <v>985</v>
      </c>
      <c r="T10" s="142" t="s">
        <v>986</v>
      </c>
      <c r="U10" s="4450"/>
      <c r="V10" s="4450"/>
      <c r="W10" s="132" t="s">
        <v>603</v>
      </c>
      <c r="X10" s="4464"/>
      <c r="Y10" s="226" t="s">
        <v>606</v>
      </c>
      <c r="Z10" s="223" t="s">
        <v>861</v>
      </c>
      <c r="AA10" s="1"/>
    </row>
    <row r="11" spans="1:34" s="4" customFormat="1" ht="17.25" customHeight="1" thickTop="1">
      <c r="A11" s="411"/>
      <c r="B11" s="84"/>
      <c r="D11" s="237"/>
      <c r="G11" s="608"/>
      <c r="J11" s="112"/>
      <c r="K11" s="112"/>
      <c r="L11" s="112"/>
      <c r="M11" s="112"/>
      <c r="N11" s="112"/>
      <c r="O11" s="112"/>
      <c r="P11" s="113"/>
      <c r="Q11" s="608"/>
      <c r="R11" s="608"/>
      <c r="T11" s="608"/>
      <c r="U11" s="11"/>
      <c r="V11" s="11"/>
      <c r="W11" s="11"/>
      <c r="X11" s="11"/>
      <c r="AA11" s="1"/>
    </row>
    <row r="12" spans="1:34" s="4" customFormat="1" ht="16.5" thickBot="1">
      <c r="A12" s="411"/>
      <c r="B12" s="84"/>
      <c r="C12" s="236">
        <f>MAX(C11)+1</f>
        <v>1</v>
      </c>
      <c r="D12" s="903" t="str">
        <f>'O&amp;M_Detail - Elec'!D8</f>
        <v>PURCHASED POWER</v>
      </c>
      <c r="E12" s="120"/>
      <c r="F12" s="120"/>
      <c r="G12" s="16"/>
      <c r="J12" s="112"/>
      <c r="K12" s="112"/>
      <c r="L12" s="112"/>
      <c r="M12" s="112"/>
      <c r="N12" s="112"/>
      <c r="O12" s="112"/>
      <c r="P12" s="113"/>
      <c r="U12" s="11"/>
      <c r="V12" s="11"/>
      <c r="W12" s="11"/>
      <c r="X12" s="11"/>
      <c r="AA12" s="1"/>
    </row>
    <row r="13" spans="1:34" s="4" customFormat="1">
      <c r="A13" s="411"/>
      <c r="B13" s="84"/>
      <c r="C13" s="236">
        <f>MAX($C$7:C12)+1</f>
        <v>2</v>
      </c>
      <c r="D13" s="237">
        <f>'O&amp;M_Detail - Elec'!D9</f>
        <v>555010</v>
      </c>
      <c r="E13" s="112" t="str">
        <f>'O&amp;M_Detail - Elec'!E9</f>
        <v>PURC POWER, BPA</v>
      </c>
      <c r="F13" s="112"/>
      <c r="G13" s="3090">
        <f>SUMIFS('Labor Exp 2016'!$F$3:$F$219,'Labor Exp 2016'!$C$3:$C$219,$D13)</f>
        <v>0</v>
      </c>
      <c r="H13" s="3121" t="str">
        <f>COS_RR!H46</f>
        <v>Energy</v>
      </c>
      <c r="I13" s="605">
        <f>+ROUND($G13*SUMIF(COS_RR!$E$260:$E$302,$H13,COS_RR!J$260:J$302),COS_RR!$AD$10)</f>
        <v>0</v>
      </c>
      <c r="J13" s="605">
        <f>+ROUND($G13*SUMIF(COS_RR!$E$260:$E$302,$H13,COS_RR!K$260:K$302),COS_RR!$AD$10)</f>
        <v>0</v>
      </c>
      <c r="K13" s="605">
        <f>+ROUND($G13*SUMIF(COS_RR!$E$260:$E$302,$H13,COS_RR!L$260:L$302),COS_RR!$AD$10)</f>
        <v>0</v>
      </c>
      <c r="L13" s="605">
        <f>+ROUND($G13*SUMIF(COS_RR!$E$260:$E$302,$H13,COS_RR!M$260:M$302),COS_RR!$AD$10)</f>
        <v>0</v>
      </c>
      <c r="M13" s="605">
        <f>+ROUND($G13*SUMIF(COS_RR!$E$260:$E$302,$H13,COS_RR!N$260:N$302),COS_RR!$AD$10)</f>
        <v>0</v>
      </c>
      <c r="N13" s="605">
        <f>+ROUND($G13*SUMIF(COS_RR!$E$260:$E$302,$H13,COS_RR!O$260:O$302),COS_RR!$AD$10)</f>
        <v>0</v>
      </c>
      <c r="O13" s="605">
        <f>+ROUND($G13*SUMIF(COS_RR!$E$260:$E$302,$H13,COS_RR!P$260:P$302),COS_RR!$AD$10)</f>
        <v>0</v>
      </c>
      <c r="P13" s="605">
        <f>+ROUND($G13*SUMIF(COS_RR!$E$260:$E$302,$H13,COS_RR!Q$260:Q$302),COS_RR!$AD$10)</f>
        <v>0</v>
      </c>
      <c r="Q13" s="605">
        <f>+ROUND($G13*SUMIF(COS_RR!$E$260:$E$302,$H13,COS_RR!R$260:R$302),COS_RR!$AD$10)</f>
        <v>0</v>
      </c>
      <c r="R13" s="605">
        <f>+ROUND($G13*SUMIF(COS_RR!$E$260:$E$302,$H13,COS_RR!S$260:S$302),COS_RR!$AD$10)</f>
        <v>0</v>
      </c>
      <c r="S13" s="605">
        <f>+ROUND($G13*SUMIF(COS_RR!$E$260:$E$302,$H13,COS_RR!T$260:T$302),COS_RR!$AD$10)</f>
        <v>0</v>
      </c>
      <c r="T13" s="605">
        <f>+ROUND($G13*SUMIF(COS_RR!$E$260:$E$302,$H13,COS_RR!U$260:U$302),COS_RR!$AD$10)</f>
        <v>0</v>
      </c>
      <c r="U13" s="605">
        <f>+ROUND($G13*SUMIF(COS_RR!$E$260:$E$302,$H13,COS_RR!V$260:V$302),COS_RR!$AD$10)</f>
        <v>0</v>
      </c>
      <c r="V13" s="605">
        <f>+ROUND($G13*SUMIF(COS_RR!$E$260:$E$302,$H13,COS_RR!W$260:W$302),COS_RR!$AD$10)</f>
        <v>0</v>
      </c>
      <c r="W13" s="605">
        <f>+ROUND($G13*SUMIF(COS_RR!$E$260:$E$302,$H13,COS_RR!X$260:X$302),COS_RR!$AD$10)</f>
        <v>0</v>
      </c>
      <c r="X13" s="605">
        <f>+ROUND($G13*SUMIF(COS_RR!$E$260:$E$302,$H13,COS_RR!Y$260:Y$302),COS_RR!$AD$10)</f>
        <v>0</v>
      </c>
      <c r="Y13" s="605">
        <f>+ROUND($G13*SUMIF(COS_RR!$E$260:$E$302,$H13,COS_RR!Z$260:Z$302),COS_RR!$AD$10)</f>
        <v>0</v>
      </c>
      <c r="Z13" s="605">
        <f>+ROUND($G13*SUMIF(COS_RR!$E$260:$E$302,$H13,COS_RR!AA$260:AA$302),COS_RR!$AD$10)</f>
        <v>0</v>
      </c>
      <c r="AA13" s="1"/>
      <c r="AD13" s="193">
        <f t="shared" ref="AD13:AD33" si="0">SUM(I13:Z13)-G13</f>
        <v>0</v>
      </c>
    </row>
    <row r="14" spans="1:34" s="4" customFormat="1">
      <c r="A14" s="411"/>
      <c r="B14" s="84"/>
      <c r="C14" s="236">
        <f>MAX($C$7:C13)+1</f>
        <v>3</v>
      </c>
      <c r="D14" s="237">
        <f>'O&amp;M_Detail - Elec'!D10</f>
        <v>555000</v>
      </c>
      <c r="E14" s="112" t="str">
        <f>'O&amp;M_Detail - Elec'!E10</f>
        <v>PURC POWER</v>
      </c>
      <c r="F14" s="112"/>
      <c r="G14" s="3091">
        <f>SUMIFS('Labor Exp 2016'!$F$3:$F$219,'Labor Exp 2016'!$C$3:$C$219,$D14)</f>
        <v>0</v>
      </c>
      <c r="H14" s="3122" t="str">
        <f>COS_RR!H47</f>
        <v>Energy</v>
      </c>
      <c r="I14" s="606">
        <f>+ROUND($G14*SUMIF(COS_RR!$E$260:$E$302,$H14,COS_RR!J$260:J$302),COS_RR!$AD$10)</f>
        <v>0</v>
      </c>
      <c r="J14" s="606">
        <f>+ROUND($G14*SUMIF(COS_RR!$E$260:$E$302,$H14,COS_RR!K$260:K$302),COS_RR!$AD$10)</f>
        <v>0</v>
      </c>
      <c r="K14" s="606">
        <f>+ROUND($G14*SUMIF(COS_RR!$E$260:$E$302,$H14,COS_RR!L$260:L$302),COS_RR!$AD$10)</f>
        <v>0</v>
      </c>
      <c r="L14" s="606">
        <f>+ROUND($G14*SUMIF(COS_RR!$E$260:$E$302,$H14,COS_RR!M$260:M$302),COS_RR!$AD$10)</f>
        <v>0</v>
      </c>
      <c r="M14" s="606">
        <f>+ROUND($G14*SUMIF(COS_RR!$E$260:$E$302,$H14,COS_RR!N$260:N$302),COS_RR!$AD$10)</f>
        <v>0</v>
      </c>
      <c r="N14" s="606">
        <f>+ROUND($G14*SUMIF(COS_RR!$E$260:$E$302,$H14,COS_RR!O$260:O$302),COS_RR!$AD$10)</f>
        <v>0</v>
      </c>
      <c r="O14" s="606">
        <f>+ROUND($G14*SUMIF(COS_RR!$E$260:$E$302,$H14,COS_RR!P$260:P$302),COS_RR!$AD$10)</f>
        <v>0</v>
      </c>
      <c r="P14" s="606">
        <f>+ROUND($G14*SUMIF(COS_RR!$E$260:$E$302,$H14,COS_RR!Q$260:Q$302),COS_RR!$AD$10)</f>
        <v>0</v>
      </c>
      <c r="Q14" s="606">
        <f>+ROUND($G14*SUMIF(COS_RR!$E$260:$E$302,$H14,COS_RR!R$260:R$302),COS_RR!$AD$10)</f>
        <v>0</v>
      </c>
      <c r="R14" s="606">
        <f>+ROUND($G14*SUMIF(COS_RR!$E$260:$E$302,$H14,COS_RR!S$260:S$302),COS_RR!$AD$10)</f>
        <v>0</v>
      </c>
      <c r="S14" s="606">
        <f>+ROUND($G14*SUMIF(COS_RR!$E$260:$E$302,$H14,COS_RR!T$260:T$302),COS_RR!$AD$10)</f>
        <v>0</v>
      </c>
      <c r="T14" s="606">
        <f>+ROUND($G14*SUMIF(COS_RR!$E$260:$E$302,$H14,COS_RR!U$260:U$302),COS_RR!$AD$10)</f>
        <v>0</v>
      </c>
      <c r="U14" s="606">
        <f>+ROUND($G14*SUMIF(COS_RR!$E$260:$E$302,$H14,COS_RR!V$260:V$302),COS_RR!$AD$10)</f>
        <v>0</v>
      </c>
      <c r="V14" s="606">
        <f>+ROUND($G14*SUMIF(COS_RR!$E$260:$E$302,$H14,COS_RR!W$260:W$302),COS_RR!$AD$10)</f>
        <v>0</v>
      </c>
      <c r="W14" s="606">
        <f>+ROUND($G14*SUMIF(COS_RR!$E$260:$E$302,$H14,COS_RR!X$260:X$302),COS_RR!$AD$10)</f>
        <v>0</v>
      </c>
      <c r="X14" s="606">
        <f>+ROUND($G14*SUMIF(COS_RR!$E$260:$E$302,$H14,COS_RR!Y$260:Y$302),COS_RR!$AD$10)</f>
        <v>0</v>
      </c>
      <c r="Y14" s="606">
        <f>+ROUND($G14*SUMIF(COS_RR!$E$260:$E$302,$H14,COS_RR!Z$260:Z$302),COS_RR!$AD$10)</f>
        <v>0</v>
      </c>
      <c r="Z14" s="606">
        <f>+ROUND($G14*SUMIF(COS_RR!$E$260:$E$302,$H14,COS_RR!AA$260:AA$302),COS_RR!$AD$10)</f>
        <v>0</v>
      </c>
      <c r="AA14" s="1"/>
      <c r="AD14" s="193">
        <f t="shared" si="0"/>
        <v>0</v>
      </c>
    </row>
    <row r="15" spans="1:34" s="4" customFormat="1">
      <c r="A15" s="411"/>
      <c r="B15" s="84"/>
      <c r="C15" s="236">
        <f>MAX($C$7:C14)+1</f>
        <v>4</v>
      </c>
      <c r="D15" s="237">
        <f>'O&amp;M_Detail - Elec'!D11</f>
        <v>555020</v>
      </c>
      <c r="E15" s="112" t="str">
        <f>'O&amp;M_Detail - Elec'!E11</f>
        <v>PURC POWER, PR</v>
      </c>
      <c r="F15" s="3119">
        <f>COS_RR!F48</f>
        <v>0</v>
      </c>
      <c r="G15" s="3091">
        <f>SUMIFS('Labor Exp 2016'!$F$3:$F$219,'Labor Exp 2016'!$C$3:$C$219,$D15)*$F15</f>
        <v>0</v>
      </c>
      <c r="H15" s="3122" t="str">
        <f>COS_RR!H48</f>
        <v>Energy</v>
      </c>
      <c r="I15" s="606">
        <f>+ROUND($G15*SUMIF(COS_RR!$E$260:$E$302,$H15,COS_RR!J$260:J$302),COS_RR!$AD$10)</f>
        <v>0</v>
      </c>
      <c r="J15" s="606">
        <f>+ROUND($G15*SUMIF(COS_RR!$E$260:$E$302,$H15,COS_RR!K$260:K$302),COS_RR!$AD$10)</f>
        <v>0</v>
      </c>
      <c r="K15" s="606">
        <f>+ROUND($G15*SUMIF(COS_RR!$E$260:$E$302,$H15,COS_RR!L$260:L$302),COS_RR!$AD$10)</f>
        <v>0</v>
      </c>
      <c r="L15" s="606">
        <f>+ROUND($G15*SUMIF(COS_RR!$E$260:$E$302,$H15,COS_RR!M$260:M$302),COS_RR!$AD$10)</f>
        <v>0</v>
      </c>
      <c r="M15" s="606">
        <f>+ROUND($G15*SUMIF(COS_RR!$E$260:$E$302,$H15,COS_RR!N$260:N$302),COS_RR!$AD$10)</f>
        <v>0</v>
      </c>
      <c r="N15" s="606">
        <f>+ROUND($G15*SUMIF(COS_RR!$E$260:$E$302,$H15,COS_RR!O$260:O$302),COS_RR!$AD$10)</f>
        <v>0</v>
      </c>
      <c r="O15" s="606">
        <f>+ROUND($G15*SUMIF(COS_RR!$E$260:$E$302,$H15,COS_RR!P$260:P$302),COS_RR!$AD$10)</f>
        <v>0</v>
      </c>
      <c r="P15" s="606">
        <f>+ROUND($G15*SUMIF(COS_RR!$E$260:$E$302,$H15,COS_RR!Q$260:Q$302),COS_RR!$AD$10)</f>
        <v>0</v>
      </c>
      <c r="Q15" s="606">
        <f>+ROUND($G15*SUMIF(COS_RR!$E$260:$E$302,$H15,COS_RR!R$260:R$302),COS_RR!$AD$10)</f>
        <v>0</v>
      </c>
      <c r="R15" s="606">
        <f>+ROUND($G15*SUMIF(COS_RR!$E$260:$E$302,$H15,COS_RR!S$260:S$302),COS_RR!$AD$10)</f>
        <v>0</v>
      </c>
      <c r="S15" s="606">
        <f>+ROUND($G15*SUMIF(COS_RR!$E$260:$E$302,$H15,COS_RR!T$260:T$302),COS_RR!$AD$10)</f>
        <v>0</v>
      </c>
      <c r="T15" s="606">
        <f>+ROUND($G15*SUMIF(COS_RR!$E$260:$E$302,$H15,COS_RR!U$260:U$302),COS_RR!$AD$10)</f>
        <v>0</v>
      </c>
      <c r="U15" s="606">
        <f>+ROUND($G15*SUMIF(COS_RR!$E$260:$E$302,$H15,COS_RR!V$260:V$302),COS_RR!$AD$10)</f>
        <v>0</v>
      </c>
      <c r="V15" s="606">
        <f>+ROUND($G15*SUMIF(COS_RR!$E$260:$E$302,$H15,COS_RR!W$260:W$302),COS_RR!$AD$10)</f>
        <v>0</v>
      </c>
      <c r="W15" s="606">
        <f>+ROUND($G15*SUMIF(COS_RR!$E$260:$E$302,$H15,COS_RR!X$260:X$302),COS_RR!$AD$10)</f>
        <v>0</v>
      </c>
      <c r="X15" s="606">
        <f>+ROUND($G15*SUMIF(COS_RR!$E$260:$E$302,$H15,COS_RR!Y$260:Y$302),COS_RR!$AD$10)</f>
        <v>0</v>
      </c>
      <c r="Y15" s="606">
        <f>+ROUND($G15*SUMIF(COS_RR!$E$260:$E$302,$H15,COS_RR!Z$260:Z$302),COS_RR!$AD$10)</f>
        <v>0</v>
      </c>
      <c r="Z15" s="606">
        <f>+ROUND($G15*SUMIF(COS_RR!$E$260:$E$302,$H15,COS_RR!AA$260:AA$302),COS_RR!$AD$10)</f>
        <v>0</v>
      </c>
      <c r="AA15" s="1"/>
      <c r="AD15" s="193">
        <f t="shared" si="0"/>
        <v>0</v>
      </c>
    </row>
    <row r="16" spans="1:34" s="4" customFormat="1">
      <c r="A16" s="411"/>
      <c r="B16" s="84"/>
      <c r="C16" s="236"/>
      <c r="D16" s="237">
        <f>D15</f>
        <v>555020</v>
      </c>
      <c r="E16" s="112" t="str">
        <f>E15</f>
        <v>PURC POWER, PR</v>
      </c>
      <c r="F16" s="3120">
        <f>COS_RR!F49</f>
        <v>1</v>
      </c>
      <c r="G16" s="3091">
        <f>SUMIFS('Labor Exp 2016'!$F$3:$F$219,'Labor Exp 2016'!$C$3:$C$219,$D16)*$F16</f>
        <v>0</v>
      </c>
      <c r="H16" s="3122" t="str">
        <f>COS_RR!H49</f>
        <v>Power - Capacity</v>
      </c>
      <c r="I16" s="606"/>
      <c r="J16" s="606"/>
      <c r="K16" s="606"/>
      <c r="L16" s="606"/>
      <c r="M16" s="606"/>
      <c r="N16" s="606"/>
      <c r="O16" s="606"/>
      <c r="P16" s="606"/>
      <c r="Q16" s="606"/>
      <c r="R16" s="606"/>
      <c r="S16" s="606"/>
      <c r="T16" s="606"/>
      <c r="U16" s="606"/>
      <c r="V16" s="606"/>
      <c r="W16" s="606"/>
      <c r="X16" s="606"/>
      <c r="Y16" s="606"/>
      <c r="Z16" s="606"/>
      <c r="AA16" s="1"/>
      <c r="AD16" s="193"/>
    </row>
    <row r="17" spans="1:30" s="4" customFormat="1">
      <c r="A17" s="411"/>
      <c r="B17" s="84"/>
      <c r="C17" s="236">
        <f>MAX($C$7:C15)+1</f>
        <v>5</v>
      </c>
      <c r="D17" s="237">
        <f>'O&amp;M_Detail - Elec'!D12</f>
        <v>555020</v>
      </c>
      <c r="E17" s="112" t="str">
        <f>'O&amp;M_Detail - Elec'!E12</f>
        <v>PURC POWER, PR - EUDL</v>
      </c>
      <c r="F17" s="3119">
        <f>COS_RR!F50</f>
        <v>0</v>
      </c>
      <c r="G17" s="3091">
        <f>SUMIFS('Labor Exp 2016'!$F$3:$F$219,'Labor Exp 2016'!$C$3:$C$219,$D17)*$F17</f>
        <v>0</v>
      </c>
      <c r="H17" s="3122" t="str">
        <f>COS_RR!H50</f>
        <v>Energy</v>
      </c>
      <c r="I17" s="606">
        <f>+ROUND($G17*SUMIF(COS_RR!$E$260:$E$302,$H17,COS_RR!J$260:J$302),COS_RR!$AD$10)</f>
        <v>0</v>
      </c>
      <c r="J17" s="606">
        <f>+ROUND($G17*SUMIF(COS_RR!$E$260:$E$302,$H17,COS_RR!K$260:K$302),COS_RR!$AD$10)</f>
        <v>0</v>
      </c>
      <c r="K17" s="606">
        <f>+ROUND($G17*SUMIF(COS_RR!$E$260:$E$302,$H17,COS_RR!L$260:L$302),COS_RR!$AD$10)</f>
        <v>0</v>
      </c>
      <c r="L17" s="606">
        <f>+ROUND($G17*SUMIF(COS_RR!$E$260:$E$302,$H17,COS_RR!M$260:M$302),COS_RR!$AD$10)</f>
        <v>0</v>
      </c>
      <c r="M17" s="606">
        <f>+ROUND($G17*SUMIF(COS_RR!$E$260:$E$302,$H17,COS_RR!N$260:N$302),COS_RR!$AD$10)</f>
        <v>0</v>
      </c>
      <c r="N17" s="606">
        <f>+ROUND($G17*SUMIF(COS_RR!$E$260:$E$302,$H17,COS_RR!O$260:O$302),COS_RR!$AD$10)</f>
        <v>0</v>
      </c>
      <c r="O17" s="606">
        <f>+ROUND($G17*SUMIF(COS_RR!$E$260:$E$302,$H17,COS_RR!P$260:P$302),COS_RR!$AD$10)</f>
        <v>0</v>
      </c>
      <c r="P17" s="606">
        <f>+ROUND($G17*SUMIF(COS_RR!$E$260:$E$302,$H17,COS_RR!Q$260:Q$302),COS_RR!$AD$10)</f>
        <v>0</v>
      </c>
      <c r="Q17" s="606">
        <f>+ROUND($G17*SUMIF(COS_RR!$E$260:$E$302,$H17,COS_RR!R$260:R$302),COS_RR!$AD$10)</f>
        <v>0</v>
      </c>
      <c r="R17" s="606">
        <f>+ROUND($G17*SUMIF(COS_RR!$E$260:$E$302,$H17,COS_RR!S$260:S$302),COS_RR!$AD$10)</f>
        <v>0</v>
      </c>
      <c r="S17" s="606">
        <f>+ROUND($G17*SUMIF(COS_RR!$E$260:$E$302,$H17,COS_RR!T$260:T$302),COS_RR!$AD$10)</f>
        <v>0</v>
      </c>
      <c r="T17" s="606">
        <f>+ROUND($G17*SUMIF(COS_RR!$E$260:$E$302,$H17,COS_RR!U$260:U$302),COS_RR!$AD$10)</f>
        <v>0</v>
      </c>
      <c r="U17" s="606">
        <f>+ROUND($G17*SUMIF(COS_RR!$E$260:$E$302,$H17,COS_RR!V$260:V$302),COS_RR!$AD$10)</f>
        <v>0</v>
      </c>
      <c r="V17" s="606">
        <f>+ROUND($G17*SUMIF(COS_RR!$E$260:$E$302,$H17,COS_RR!W$260:W$302),COS_RR!$AD$10)</f>
        <v>0</v>
      </c>
      <c r="W17" s="606">
        <f>+ROUND($G17*SUMIF(COS_RR!$E$260:$E$302,$H17,COS_RR!X$260:X$302),COS_RR!$AD$10)</f>
        <v>0</v>
      </c>
      <c r="X17" s="606">
        <f>+ROUND($G17*SUMIF(COS_RR!$E$260:$E$302,$H17,COS_RR!Y$260:Y$302),COS_RR!$AD$10)</f>
        <v>0</v>
      </c>
      <c r="Y17" s="606">
        <f>+ROUND($G17*SUMIF(COS_RR!$E$260:$E$302,$H17,COS_RR!Z$260:Z$302),COS_RR!$AD$10)</f>
        <v>0</v>
      </c>
      <c r="Z17" s="606">
        <f>+ROUND($G17*SUMIF(COS_RR!$E$260:$E$302,$H17,COS_RR!AA$260:AA$302),COS_RR!$AD$10)</f>
        <v>0</v>
      </c>
      <c r="AA17" s="1"/>
      <c r="AD17" s="193">
        <f>SUM(I17:Z17)-G17</f>
        <v>0</v>
      </c>
    </row>
    <row r="18" spans="1:30" s="4" customFormat="1">
      <c r="A18" s="411"/>
      <c r="B18" s="84"/>
      <c r="C18" s="236"/>
      <c r="D18" s="237">
        <f>D17</f>
        <v>555020</v>
      </c>
      <c r="E18" s="112" t="str">
        <f>E17</f>
        <v>PURC POWER, PR - EUDL</v>
      </c>
      <c r="F18" s="3120">
        <f>COS_RR!F51</f>
        <v>1</v>
      </c>
      <c r="G18" s="3091">
        <f>SUMIFS('Labor Exp 2016'!$F$3:$F$219,'Labor Exp 2016'!$C$3:$C$219,$D18)*$F18</f>
        <v>0</v>
      </c>
      <c r="H18" s="3122" t="str">
        <f>COS_RR!H51</f>
        <v>Power - Capacity</v>
      </c>
      <c r="I18" s="606"/>
      <c r="J18" s="606"/>
      <c r="K18" s="606"/>
      <c r="L18" s="606"/>
      <c r="M18" s="606"/>
      <c r="N18" s="606"/>
      <c r="O18" s="606"/>
      <c r="P18" s="606"/>
      <c r="Q18" s="606"/>
      <c r="R18" s="606"/>
      <c r="S18" s="606"/>
      <c r="T18" s="606"/>
      <c r="U18" s="606"/>
      <c r="V18" s="606"/>
      <c r="W18" s="606"/>
      <c r="X18" s="606"/>
      <c r="Y18" s="606"/>
      <c r="Z18" s="606"/>
      <c r="AA18" s="1"/>
      <c r="AD18" s="193"/>
    </row>
    <row r="19" spans="1:30" s="4" customFormat="1">
      <c r="A19" s="411"/>
      <c r="B19" s="84"/>
      <c r="C19" s="236">
        <f>MAX($C$7:C17)+1</f>
        <v>6</v>
      </c>
      <c r="D19" s="237">
        <f>'O&amp;M_Detail - Elec'!D13</f>
        <v>555020</v>
      </c>
      <c r="E19" s="112" t="str">
        <f>'O&amp;M_Detail - Elec'!E13</f>
        <v>PURC POWER, PR - REASONABLE PORTION</v>
      </c>
      <c r="F19" s="3119">
        <f>COS_RR!F52</f>
        <v>0</v>
      </c>
      <c r="G19" s="3091">
        <f>SUMIFS('Labor Exp 2016'!$F$3:$F$219,'Labor Exp 2016'!$C$3:$C$219,$D19)*$F19</f>
        <v>0</v>
      </c>
      <c r="H19" s="3122" t="str">
        <f>COS_RR!H52</f>
        <v>Energy</v>
      </c>
      <c r="I19" s="606">
        <f>+ROUND($G19*SUMIF(COS_RR!$E$260:$E$302,$H19,COS_RR!J$260:J$302),COS_RR!$AD$10)</f>
        <v>0</v>
      </c>
      <c r="J19" s="606">
        <f>+ROUND($G19*SUMIF(COS_RR!$E$260:$E$302,$H19,COS_RR!K$260:K$302),COS_RR!$AD$10)</f>
        <v>0</v>
      </c>
      <c r="K19" s="606">
        <f>+ROUND($G19*SUMIF(COS_RR!$E$260:$E$302,$H19,COS_RR!L$260:L$302),COS_RR!$AD$10)</f>
        <v>0</v>
      </c>
      <c r="L19" s="606">
        <f>+ROUND($G19*SUMIF(COS_RR!$E$260:$E$302,$H19,COS_RR!M$260:M$302),COS_RR!$AD$10)</f>
        <v>0</v>
      </c>
      <c r="M19" s="606">
        <f>+ROUND($G19*SUMIF(COS_RR!$E$260:$E$302,$H19,COS_RR!N$260:N$302),COS_RR!$AD$10)</f>
        <v>0</v>
      </c>
      <c r="N19" s="606">
        <f>+ROUND($G19*SUMIF(COS_RR!$E$260:$E$302,$H19,COS_RR!O$260:O$302),COS_RR!$AD$10)</f>
        <v>0</v>
      </c>
      <c r="O19" s="606">
        <f>+ROUND($G19*SUMIF(COS_RR!$E$260:$E$302,$H19,COS_RR!P$260:P$302),COS_RR!$AD$10)</f>
        <v>0</v>
      </c>
      <c r="P19" s="606">
        <f>+ROUND($G19*SUMIF(COS_RR!$E$260:$E$302,$H19,COS_RR!Q$260:Q$302),COS_RR!$AD$10)</f>
        <v>0</v>
      </c>
      <c r="Q19" s="606">
        <f>+ROUND($G19*SUMIF(COS_RR!$E$260:$E$302,$H19,COS_RR!R$260:R$302),COS_RR!$AD$10)</f>
        <v>0</v>
      </c>
      <c r="R19" s="606">
        <f>+ROUND($G19*SUMIF(COS_RR!$E$260:$E$302,$H19,COS_RR!S$260:S$302),COS_RR!$AD$10)</f>
        <v>0</v>
      </c>
      <c r="S19" s="606">
        <f>+ROUND($G19*SUMIF(COS_RR!$E$260:$E$302,$H19,COS_RR!T$260:T$302),COS_RR!$AD$10)</f>
        <v>0</v>
      </c>
      <c r="T19" s="606">
        <f>+ROUND($G19*SUMIF(COS_RR!$E$260:$E$302,$H19,COS_RR!U$260:U$302),COS_RR!$AD$10)</f>
        <v>0</v>
      </c>
      <c r="U19" s="606">
        <f>+ROUND($G19*SUMIF(COS_RR!$E$260:$E$302,$H19,COS_RR!V$260:V$302),COS_RR!$AD$10)</f>
        <v>0</v>
      </c>
      <c r="V19" s="606">
        <f>+ROUND($G19*SUMIF(COS_RR!$E$260:$E$302,$H19,COS_RR!W$260:W$302),COS_RR!$AD$10)</f>
        <v>0</v>
      </c>
      <c r="W19" s="606">
        <f>+ROUND($G19*SUMIF(COS_RR!$E$260:$E$302,$H19,COS_RR!X$260:X$302),COS_RR!$AD$10)</f>
        <v>0</v>
      </c>
      <c r="X19" s="606">
        <f>+ROUND($G19*SUMIF(COS_RR!$E$260:$E$302,$H19,COS_RR!Y$260:Y$302),COS_RR!$AD$10)</f>
        <v>0</v>
      </c>
      <c r="Y19" s="606">
        <f>+ROUND($G19*SUMIF(COS_RR!$E$260:$E$302,$H19,COS_RR!Z$260:Z$302),COS_RR!$AD$10)</f>
        <v>0</v>
      </c>
      <c r="Z19" s="606">
        <f>+ROUND($G19*SUMIF(COS_RR!$E$260:$E$302,$H19,COS_RR!AA$260:AA$302),COS_RR!$AD$10)</f>
        <v>0</v>
      </c>
      <c r="AA19" s="1"/>
      <c r="AD19" s="193">
        <f>SUM(I19:Z19)-G19</f>
        <v>0</v>
      </c>
    </row>
    <row r="20" spans="1:30" s="4" customFormat="1">
      <c r="A20" s="411"/>
      <c r="B20" s="84"/>
      <c r="C20" s="236"/>
      <c r="D20" s="237">
        <f>D19</f>
        <v>555020</v>
      </c>
      <c r="E20" s="112" t="str">
        <f>E19</f>
        <v>PURC POWER, PR - REASONABLE PORTION</v>
      </c>
      <c r="F20" s="3120">
        <f>COS_RR!F53</f>
        <v>1</v>
      </c>
      <c r="G20" s="3091">
        <f>SUMIFS('Labor Exp 2016'!$F$3:$F$219,'Labor Exp 2016'!$C$3:$C$219,$D20)*$F20</f>
        <v>0</v>
      </c>
      <c r="H20" s="3122" t="str">
        <f>COS_RR!H53</f>
        <v>Power - Capacity</v>
      </c>
      <c r="I20" s="606"/>
      <c r="J20" s="606"/>
      <c r="K20" s="606"/>
      <c r="L20" s="606"/>
      <c r="M20" s="606"/>
      <c r="N20" s="606"/>
      <c r="O20" s="606"/>
      <c r="P20" s="606"/>
      <c r="Q20" s="606"/>
      <c r="R20" s="606"/>
      <c r="S20" s="606"/>
      <c r="T20" s="606"/>
      <c r="U20" s="606"/>
      <c r="V20" s="606"/>
      <c r="W20" s="606"/>
      <c r="X20" s="606"/>
      <c r="Y20" s="606"/>
      <c r="Z20" s="606"/>
      <c r="AA20" s="1"/>
      <c r="AD20" s="193"/>
    </row>
    <row r="21" spans="1:30" s="4" customFormat="1">
      <c r="A21" s="411"/>
      <c r="B21" s="84"/>
      <c r="C21" s="236">
        <f>MAX($C$7:C19)+1</f>
        <v>7</v>
      </c>
      <c r="D21" s="237">
        <f>'O&amp;M_Detail - Elec'!D14</f>
        <v>555025</v>
      </c>
      <c r="E21" s="112" t="str">
        <f>'O&amp;M_Detail - Elec'!E14</f>
        <v>MEANINGFUL PRIORITY STEP UP</v>
      </c>
      <c r="F21" s="3119">
        <f>COS_RR!F54</f>
        <v>0</v>
      </c>
      <c r="G21" s="3091">
        <f>SUMIFS('Labor Exp 2016'!$F$3:$F$219,'Labor Exp 2016'!$C$3:$C$219,$D21)*$F21</f>
        <v>0</v>
      </c>
      <c r="H21" s="3122" t="str">
        <f>COS_RR!H54</f>
        <v>Energy</v>
      </c>
      <c r="I21" s="606">
        <f>+ROUND($G21*SUMIF(COS_RR!$E$260:$E$302,$H21,COS_RR!J$260:J$302),COS_RR!$AD$10)</f>
        <v>0</v>
      </c>
      <c r="J21" s="606">
        <f>+ROUND($G21*SUMIF(COS_RR!$E$260:$E$302,$H21,COS_RR!K$260:K$302),COS_RR!$AD$10)</f>
        <v>0</v>
      </c>
      <c r="K21" s="606">
        <f>+ROUND($G21*SUMIF(COS_RR!$E$260:$E$302,$H21,COS_RR!L$260:L$302),COS_RR!$AD$10)</f>
        <v>0</v>
      </c>
      <c r="L21" s="606">
        <f>+ROUND($G21*SUMIF(COS_RR!$E$260:$E$302,$H21,COS_RR!M$260:M$302),COS_RR!$AD$10)</f>
        <v>0</v>
      </c>
      <c r="M21" s="606">
        <f>+ROUND($G21*SUMIF(COS_RR!$E$260:$E$302,$H21,COS_RR!N$260:N$302),COS_RR!$AD$10)</f>
        <v>0</v>
      </c>
      <c r="N21" s="606">
        <f>+ROUND($G21*SUMIF(COS_RR!$E$260:$E$302,$H21,COS_RR!O$260:O$302),COS_RR!$AD$10)</f>
        <v>0</v>
      </c>
      <c r="O21" s="606">
        <f>+ROUND($G21*SUMIF(COS_RR!$E$260:$E$302,$H21,COS_RR!P$260:P$302),COS_RR!$AD$10)</f>
        <v>0</v>
      </c>
      <c r="P21" s="606">
        <f>+ROUND($G21*SUMIF(COS_RR!$E$260:$E$302,$H21,COS_RR!Q$260:Q$302),COS_RR!$AD$10)</f>
        <v>0</v>
      </c>
      <c r="Q21" s="606">
        <f>+ROUND($G21*SUMIF(COS_RR!$E$260:$E$302,$H21,COS_RR!R$260:R$302),COS_RR!$AD$10)</f>
        <v>0</v>
      </c>
      <c r="R21" s="606">
        <f>+ROUND($G21*SUMIF(COS_RR!$E$260:$E$302,$H21,COS_RR!S$260:S$302),COS_RR!$AD$10)</f>
        <v>0</v>
      </c>
      <c r="S21" s="606">
        <f>+ROUND($G21*SUMIF(COS_RR!$E$260:$E$302,$H21,COS_RR!T$260:T$302),COS_RR!$AD$10)</f>
        <v>0</v>
      </c>
      <c r="T21" s="606">
        <f>+ROUND($G21*SUMIF(COS_RR!$E$260:$E$302,$H21,COS_RR!U$260:U$302),COS_RR!$AD$10)</f>
        <v>0</v>
      </c>
      <c r="U21" s="606">
        <f>+ROUND($G21*SUMIF(COS_RR!$E$260:$E$302,$H21,COS_RR!V$260:V$302),COS_RR!$AD$10)</f>
        <v>0</v>
      </c>
      <c r="V21" s="606">
        <f>+ROUND($G21*SUMIF(COS_RR!$E$260:$E$302,$H21,COS_RR!W$260:W$302),COS_RR!$AD$10)</f>
        <v>0</v>
      </c>
      <c r="W21" s="606">
        <f>+ROUND($G21*SUMIF(COS_RR!$E$260:$E$302,$H21,COS_RR!X$260:X$302),COS_RR!$AD$10)</f>
        <v>0</v>
      </c>
      <c r="X21" s="606">
        <f>+ROUND($G21*SUMIF(COS_RR!$E$260:$E$302,$H21,COS_RR!Y$260:Y$302),COS_RR!$AD$10)</f>
        <v>0</v>
      </c>
      <c r="Y21" s="606">
        <f>+ROUND($G21*SUMIF(COS_RR!$E$260:$E$302,$H21,COS_RR!Z$260:Z$302),COS_RR!$AD$10)</f>
        <v>0</v>
      </c>
      <c r="Z21" s="606">
        <f>+ROUND($G21*SUMIF(COS_RR!$E$260:$E$302,$H21,COS_RR!AA$260:AA$302),COS_RR!$AD$10)</f>
        <v>0</v>
      </c>
      <c r="AA21" s="1"/>
      <c r="AD21" s="193">
        <f>SUM(I21:Z21)-G21</f>
        <v>0</v>
      </c>
    </row>
    <row r="22" spans="1:30" s="4" customFormat="1">
      <c r="A22" s="411"/>
      <c r="B22" s="84"/>
      <c r="C22" s="236"/>
      <c r="D22" s="237">
        <f>D21</f>
        <v>555025</v>
      </c>
      <c r="E22" s="112" t="str">
        <f>E21</f>
        <v>MEANINGFUL PRIORITY STEP UP</v>
      </c>
      <c r="F22" s="3120">
        <f>COS_RR!F55</f>
        <v>1</v>
      </c>
      <c r="G22" s="3091">
        <f>SUMIFS('Labor Exp 2016'!$F$3:$F$219,'Labor Exp 2016'!$C$3:$C$219,$D22)*$F22</f>
        <v>0</v>
      </c>
      <c r="H22" s="3122" t="str">
        <f>COS_RR!H55</f>
        <v>Power - Capacity</v>
      </c>
      <c r="I22" s="606"/>
      <c r="J22" s="606"/>
      <c r="K22" s="606"/>
      <c r="L22" s="606"/>
      <c r="M22" s="606"/>
      <c r="N22" s="606"/>
      <c r="O22" s="606"/>
      <c r="P22" s="606"/>
      <c r="Q22" s="606"/>
      <c r="R22" s="606"/>
      <c r="S22" s="606"/>
      <c r="T22" s="606"/>
      <c r="U22" s="606"/>
      <c r="V22" s="606"/>
      <c r="W22" s="606"/>
      <c r="X22" s="606"/>
      <c r="Y22" s="606"/>
      <c r="Z22" s="606"/>
      <c r="AA22" s="1"/>
      <c r="AD22" s="193"/>
    </row>
    <row r="23" spans="1:30" s="4" customFormat="1">
      <c r="A23" s="411"/>
      <c r="B23" s="84"/>
      <c r="C23" s="236">
        <f>MAX($C$7:C21)+1</f>
        <v>8</v>
      </c>
      <c r="D23" s="237">
        <f>'O&amp;M_Detail - Elec'!D15</f>
        <v>555030</v>
      </c>
      <c r="E23" s="112" t="str">
        <f>'O&amp;M_Detail - Elec'!E15</f>
        <v>PURC POWER, WAN</v>
      </c>
      <c r="F23" s="3119">
        <f>COS_RR!F56</f>
        <v>0</v>
      </c>
      <c r="G23" s="3091">
        <f>SUMIFS('Labor Exp 2016'!$F$3:$F$219,'Labor Exp 2016'!$C$3:$C$219,$D23)*$F23</f>
        <v>0</v>
      </c>
      <c r="H23" s="3122" t="str">
        <f>COS_RR!H56</f>
        <v>Energy</v>
      </c>
      <c r="I23" s="606">
        <f>+ROUND($G23*SUMIF(COS_RR!$E$260:$E$302,$H23,COS_RR!J$260:J$302),COS_RR!$AD$10)</f>
        <v>0</v>
      </c>
      <c r="J23" s="606">
        <f>+ROUND($G23*SUMIF(COS_RR!$E$260:$E$302,$H23,COS_RR!K$260:K$302),COS_RR!$AD$10)</f>
        <v>0</v>
      </c>
      <c r="K23" s="606">
        <f>+ROUND($G23*SUMIF(COS_RR!$E$260:$E$302,$H23,COS_RR!L$260:L$302),COS_RR!$AD$10)</f>
        <v>0</v>
      </c>
      <c r="L23" s="606">
        <f>+ROUND($G23*SUMIF(COS_RR!$E$260:$E$302,$H23,COS_RR!M$260:M$302),COS_RR!$AD$10)</f>
        <v>0</v>
      </c>
      <c r="M23" s="606">
        <f>+ROUND($G23*SUMIF(COS_RR!$E$260:$E$302,$H23,COS_RR!N$260:N$302),COS_RR!$AD$10)</f>
        <v>0</v>
      </c>
      <c r="N23" s="606">
        <f>+ROUND($G23*SUMIF(COS_RR!$E$260:$E$302,$H23,COS_RR!O$260:O$302),COS_RR!$AD$10)</f>
        <v>0</v>
      </c>
      <c r="O23" s="606">
        <f>+ROUND($G23*SUMIF(COS_RR!$E$260:$E$302,$H23,COS_RR!P$260:P$302),COS_RR!$AD$10)</f>
        <v>0</v>
      </c>
      <c r="P23" s="606">
        <f>+ROUND($G23*SUMIF(COS_RR!$E$260:$E$302,$H23,COS_RR!Q$260:Q$302),COS_RR!$AD$10)</f>
        <v>0</v>
      </c>
      <c r="Q23" s="606">
        <f>+ROUND($G23*SUMIF(COS_RR!$E$260:$E$302,$H23,COS_RR!R$260:R$302),COS_RR!$AD$10)</f>
        <v>0</v>
      </c>
      <c r="R23" s="606">
        <f>+ROUND($G23*SUMIF(COS_RR!$E$260:$E$302,$H23,COS_RR!S$260:S$302),COS_RR!$AD$10)</f>
        <v>0</v>
      </c>
      <c r="S23" s="606">
        <f>+ROUND($G23*SUMIF(COS_RR!$E$260:$E$302,$H23,COS_RR!T$260:T$302),COS_RR!$AD$10)</f>
        <v>0</v>
      </c>
      <c r="T23" s="606">
        <f>+ROUND($G23*SUMIF(COS_RR!$E$260:$E$302,$H23,COS_RR!U$260:U$302),COS_RR!$AD$10)</f>
        <v>0</v>
      </c>
      <c r="U23" s="606">
        <f>+ROUND($G23*SUMIF(COS_RR!$E$260:$E$302,$H23,COS_RR!V$260:V$302),COS_RR!$AD$10)</f>
        <v>0</v>
      </c>
      <c r="V23" s="606">
        <f>+ROUND($G23*SUMIF(COS_RR!$E$260:$E$302,$H23,COS_RR!W$260:W$302),COS_RR!$AD$10)</f>
        <v>0</v>
      </c>
      <c r="W23" s="606">
        <f>+ROUND($G23*SUMIF(COS_RR!$E$260:$E$302,$H23,COS_RR!X$260:X$302),COS_RR!$AD$10)</f>
        <v>0</v>
      </c>
      <c r="X23" s="606">
        <f>+ROUND($G23*SUMIF(COS_RR!$E$260:$E$302,$H23,COS_RR!Y$260:Y$302),COS_RR!$AD$10)</f>
        <v>0</v>
      </c>
      <c r="Y23" s="606">
        <f>+ROUND($G23*SUMIF(COS_RR!$E$260:$E$302,$H23,COS_RR!Z$260:Z$302),COS_RR!$AD$10)</f>
        <v>0</v>
      </c>
      <c r="Z23" s="606">
        <f>+ROUND($G23*SUMIF(COS_RR!$E$260:$E$302,$H23,COS_RR!AA$260:AA$302),COS_RR!$AD$10)</f>
        <v>0</v>
      </c>
      <c r="AA23" s="1"/>
      <c r="AD23" s="193">
        <f t="shared" si="0"/>
        <v>0</v>
      </c>
    </row>
    <row r="24" spans="1:30" s="4" customFormat="1">
      <c r="A24" s="411"/>
      <c r="B24" s="84"/>
      <c r="C24" s="236"/>
      <c r="D24" s="237">
        <f>D23</f>
        <v>555030</v>
      </c>
      <c r="E24" s="112" t="str">
        <f>E23</f>
        <v>PURC POWER, WAN</v>
      </c>
      <c r="F24" s="3120">
        <f>COS_RR!F57</f>
        <v>1</v>
      </c>
      <c r="G24" s="3091">
        <f>SUMIFS('Labor Exp 2016'!$F$3:$F$219,'Labor Exp 2016'!$C$3:$C$219,$D24)*$F24</f>
        <v>0</v>
      </c>
      <c r="H24" s="3122" t="str">
        <f>COS_RR!H57</f>
        <v>Power - Capacity</v>
      </c>
      <c r="I24" s="606"/>
      <c r="J24" s="606"/>
      <c r="K24" s="606"/>
      <c r="L24" s="606"/>
      <c r="M24" s="606"/>
      <c r="N24" s="606"/>
      <c r="O24" s="606"/>
      <c r="P24" s="606"/>
      <c r="Q24" s="606"/>
      <c r="R24" s="606"/>
      <c r="S24" s="606"/>
      <c r="T24" s="606"/>
      <c r="U24" s="606"/>
      <c r="V24" s="606"/>
      <c r="W24" s="606"/>
      <c r="X24" s="606"/>
      <c r="Y24" s="606"/>
      <c r="Z24" s="606"/>
      <c r="AA24" s="1"/>
      <c r="AD24" s="193"/>
    </row>
    <row r="25" spans="1:30" s="4" customFormat="1">
      <c r="A25" s="411"/>
      <c r="B25" s="84"/>
      <c r="C25" s="236">
        <f>MAX($C$7:C23)+1</f>
        <v>9</v>
      </c>
      <c r="D25" s="237">
        <f>'O&amp;M_Detail - Elec'!D16</f>
        <v>555035</v>
      </c>
      <c r="E25" s="112" t="str">
        <f>'O&amp;M_Detail - Elec'!E16</f>
        <v>DSC PRP ADJ TO POWER COST</v>
      </c>
      <c r="F25" s="3119">
        <f>COS_RR!F58</f>
        <v>0</v>
      </c>
      <c r="G25" s="3091">
        <f>SUMIFS('Labor Exp 2016'!$F$3:$F$219,'Labor Exp 2016'!$C$3:$C$219,$D25)*$F25</f>
        <v>0</v>
      </c>
      <c r="H25" s="3122" t="str">
        <f>COS_RR!H58</f>
        <v>Energy</v>
      </c>
      <c r="I25" s="606">
        <f>+ROUND($G25*SUMIF(COS_RR!$E$260:$E$302,$H25,COS_RR!J$260:J$302),COS_RR!$AD$10)</f>
        <v>0</v>
      </c>
      <c r="J25" s="606">
        <f>+ROUND($G25*SUMIF(COS_RR!$E$260:$E$302,$H25,COS_RR!K$260:K$302),COS_RR!$AD$10)</f>
        <v>0</v>
      </c>
      <c r="K25" s="606">
        <f>+ROUND($G25*SUMIF(COS_RR!$E$260:$E$302,$H25,COS_RR!L$260:L$302),COS_RR!$AD$10)</f>
        <v>0</v>
      </c>
      <c r="L25" s="606">
        <f>+ROUND($G25*SUMIF(COS_RR!$E$260:$E$302,$H25,COS_RR!M$260:M$302),COS_RR!$AD$10)</f>
        <v>0</v>
      </c>
      <c r="M25" s="606">
        <f>+ROUND($G25*SUMIF(COS_RR!$E$260:$E$302,$H25,COS_RR!N$260:N$302),COS_RR!$AD$10)</f>
        <v>0</v>
      </c>
      <c r="N25" s="606">
        <f>+ROUND($G25*SUMIF(COS_RR!$E$260:$E$302,$H25,COS_RR!O$260:O$302),COS_RR!$AD$10)</f>
        <v>0</v>
      </c>
      <c r="O25" s="606">
        <f>+ROUND($G25*SUMIF(COS_RR!$E$260:$E$302,$H25,COS_RR!P$260:P$302),COS_RR!$AD$10)</f>
        <v>0</v>
      </c>
      <c r="P25" s="606">
        <f>+ROUND($G25*SUMIF(COS_RR!$E$260:$E$302,$H25,COS_RR!Q$260:Q$302),COS_RR!$AD$10)</f>
        <v>0</v>
      </c>
      <c r="Q25" s="606">
        <f>+ROUND($G25*SUMIF(COS_RR!$E$260:$E$302,$H25,COS_RR!R$260:R$302),COS_RR!$AD$10)</f>
        <v>0</v>
      </c>
      <c r="R25" s="606">
        <f>+ROUND($G25*SUMIF(COS_RR!$E$260:$E$302,$H25,COS_RR!S$260:S$302),COS_RR!$AD$10)</f>
        <v>0</v>
      </c>
      <c r="S25" s="606">
        <f>+ROUND($G25*SUMIF(COS_RR!$E$260:$E$302,$H25,COS_RR!T$260:T$302),COS_RR!$AD$10)</f>
        <v>0</v>
      </c>
      <c r="T25" s="606">
        <f>+ROUND($G25*SUMIF(COS_RR!$E$260:$E$302,$H25,COS_RR!U$260:U$302),COS_RR!$AD$10)</f>
        <v>0</v>
      </c>
      <c r="U25" s="606">
        <f>+ROUND($G25*SUMIF(COS_RR!$E$260:$E$302,$H25,COS_RR!V$260:V$302),COS_RR!$AD$10)</f>
        <v>0</v>
      </c>
      <c r="V25" s="606">
        <f>+ROUND($G25*SUMIF(COS_RR!$E$260:$E$302,$H25,COS_RR!W$260:W$302),COS_RR!$AD$10)</f>
        <v>0</v>
      </c>
      <c r="W25" s="606">
        <f>+ROUND($G25*SUMIF(COS_RR!$E$260:$E$302,$H25,COS_RR!X$260:X$302),COS_RR!$AD$10)</f>
        <v>0</v>
      </c>
      <c r="X25" s="606">
        <f>+ROUND($G25*SUMIF(COS_RR!$E$260:$E$302,$H25,COS_RR!Y$260:Y$302),COS_RR!$AD$10)</f>
        <v>0</v>
      </c>
      <c r="Y25" s="606">
        <f>+ROUND($G25*SUMIF(COS_RR!$E$260:$E$302,$H25,COS_RR!Z$260:Z$302),COS_RR!$AD$10)</f>
        <v>0</v>
      </c>
      <c r="Z25" s="606">
        <f>+ROUND($G25*SUMIF(COS_RR!$E$260:$E$302,$H25,COS_RR!AA$260:AA$302),COS_RR!$AD$10)</f>
        <v>0</v>
      </c>
      <c r="AA25" s="1"/>
      <c r="AD25" s="193">
        <f t="shared" si="0"/>
        <v>0</v>
      </c>
    </row>
    <row r="26" spans="1:30" s="4" customFormat="1">
      <c r="A26" s="411"/>
      <c r="B26" s="84"/>
      <c r="C26" s="236"/>
      <c r="D26" s="237">
        <f>D25</f>
        <v>555035</v>
      </c>
      <c r="E26" s="112" t="str">
        <f>E25</f>
        <v>DSC PRP ADJ TO POWER COST</v>
      </c>
      <c r="F26" s="3120">
        <f>COS_RR!F59</f>
        <v>1</v>
      </c>
      <c r="G26" s="3091">
        <f>SUMIFS('Labor Exp 2016'!$F$3:$F$219,'Labor Exp 2016'!$C$3:$C$219,$D26)*$F26</f>
        <v>0</v>
      </c>
      <c r="H26" s="3122" t="str">
        <f>COS_RR!H59</f>
        <v>Power - Capacity</v>
      </c>
      <c r="I26" s="606"/>
      <c r="J26" s="606"/>
      <c r="K26" s="606"/>
      <c r="L26" s="606"/>
      <c r="M26" s="606"/>
      <c r="N26" s="606"/>
      <c r="O26" s="606"/>
      <c r="P26" s="606"/>
      <c r="Q26" s="606"/>
      <c r="R26" s="606"/>
      <c r="S26" s="606"/>
      <c r="T26" s="606"/>
      <c r="U26" s="606"/>
      <c r="V26" s="606"/>
      <c r="W26" s="606"/>
      <c r="X26" s="606"/>
      <c r="Y26" s="606"/>
      <c r="Z26" s="606"/>
      <c r="AA26" s="1"/>
      <c r="AD26" s="193"/>
    </row>
    <row r="27" spans="1:30" s="4" customFormat="1">
      <c r="A27" s="411"/>
      <c r="B27" s="84"/>
      <c r="C27" s="236">
        <f>MAX($C$7:C25)+1</f>
        <v>10</v>
      </c>
      <c r="D27" s="237">
        <f>'O&amp;M_Detail - Elec'!D17</f>
        <v>555070</v>
      </c>
      <c r="E27" s="112" t="str">
        <f>'O&amp;M_Detail - Elec'!E17</f>
        <v>PURCHASED POWER-MARKET</v>
      </c>
      <c r="F27" s="3119">
        <f>COS_RR!F60</f>
        <v>0.15</v>
      </c>
      <c r="G27" s="3091">
        <f>SUMIFS('Labor Exp 2016'!$F$3:$F$219,'Labor Exp 2016'!$C$3:$C$219,$D27)*$F27</f>
        <v>0</v>
      </c>
      <c r="H27" s="3122" t="str">
        <f>COS_RR!H60</f>
        <v>Energy</v>
      </c>
      <c r="I27" s="606">
        <f>+ROUND($G27*SUMIF(COS_RR!$E$260:$E$302,$H27,COS_RR!J$260:J$302),COS_RR!$AD$10)</f>
        <v>0</v>
      </c>
      <c r="J27" s="606">
        <f>+ROUND($G27*SUMIF(COS_RR!$E$260:$E$302,$H27,COS_RR!K$260:K$302),COS_RR!$AD$10)</f>
        <v>0</v>
      </c>
      <c r="K27" s="606">
        <f>+ROUND($G27*SUMIF(COS_RR!$E$260:$E$302,$H27,COS_RR!L$260:L$302),COS_RR!$AD$10)</f>
        <v>0</v>
      </c>
      <c r="L27" s="606">
        <f>+ROUND($G27*SUMIF(COS_RR!$E$260:$E$302,$H27,COS_RR!M$260:M$302),COS_RR!$AD$10)</f>
        <v>0</v>
      </c>
      <c r="M27" s="606">
        <f>+ROUND($G27*SUMIF(COS_RR!$E$260:$E$302,$H27,COS_RR!N$260:N$302),COS_RR!$AD$10)</f>
        <v>0</v>
      </c>
      <c r="N27" s="606">
        <f>+ROUND($G27*SUMIF(COS_RR!$E$260:$E$302,$H27,COS_RR!O$260:O$302),COS_RR!$AD$10)</f>
        <v>0</v>
      </c>
      <c r="O27" s="606">
        <f>+ROUND($G27*SUMIF(COS_RR!$E$260:$E$302,$H27,COS_RR!P$260:P$302),COS_RR!$AD$10)</f>
        <v>0</v>
      </c>
      <c r="P27" s="606">
        <f>+ROUND($G27*SUMIF(COS_RR!$E$260:$E$302,$H27,COS_RR!Q$260:Q$302),COS_RR!$AD$10)</f>
        <v>0</v>
      </c>
      <c r="Q27" s="606">
        <f>+ROUND($G27*SUMIF(COS_RR!$E$260:$E$302,$H27,COS_RR!R$260:R$302),COS_RR!$AD$10)</f>
        <v>0</v>
      </c>
      <c r="R27" s="606">
        <f>+ROUND($G27*SUMIF(COS_RR!$E$260:$E$302,$H27,COS_RR!S$260:S$302),COS_RR!$AD$10)</f>
        <v>0</v>
      </c>
      <c r="S27" s="606">
        <f>+ROUND($G27*SUMIF(COS_RR!$E$260:$E$302,$H27,COS_RR!T$260:T$302),COS_RR!$AD$10)</f>
        <v>0</v>
      </c>
      <c r="T27" s="606">
        <f>+ROUND($G27*SUMIF(COS_RR!$E$260:$E$302,$H27,COS_RR!U$260:U$302),COS_RR!$AD$10)</f>
        <v>0</v>
      </c>
      <c r="U27" s="606">
        <f>+ROUND($G27*SUMIF(COS_RR!$E$260:$E$302,$H27,COS_RR!V$260:V$302),COS_RR!$AD$10)</f>
        <v>0</v>
      </c>
      <c r="V27" s="606">
        <f>+ROUND($G27*SUMIF(COS_RR!$E$260:$E$302,$H27,COS_RR!W$260:W$302),COS_RR!$AD$10)</f>
        <v>0</v>
      </c>
      <c r="W27" s="606">
        <f>+ROUND($G27*SUMIF(COS_RR!$E$260:$E$302,$H27,COS_RR!X$260:X$302),COS_RR!$AD$10)</f>
        <v>0</v>
      </c>
      <c r="X27" s="606">
        <f>+ROUND($G27*SUMIF(COS_RR!$E$260:$E$302,$H27,COS_RR!Y$260:Y$302),COS_RR!$AD$10)</f>
        <v>0</v>
      </c>
      <c r="Y27" s="606">
        <f>+ROUND($G27*SUMIF(COS_RR!$E$260:$E$302,$H27,COS_RR!Z$260:Z$302),COS_RR!$AD$10)</f>
        <v>0</v>
      </c>
      <c r="Z27" s="606">
        <f>+ROUND($G27*SUMIF(COS_RR!$E$260:$E$302,$H27,COS_RR!AA$260:AA$302),COS_RR!$AD$10)</f>
        <v>0</v>
      </c>
      <c r="AA27" s="1"/>
      <c r="AD27" s="193">
        <f t="shared" si="0"/>
        <v>0</v>
      </c>
    </row>
    <row r="28" spans="1:30" s="4" customFormat="1">
      <c r="A28" s="411"/>
      <c r="B28" s="84"/>
      <c r="C28" s="236"/>
      <c r="D28" s="237">
        <f>D27</f>
        <v>555070</v>
      </c>
      <c r="E28" s="112" t="str">
        <f>E27</f>
        <v>PURCHASED POWER-MARKET</v>
      </c>
      <c r="F28" s="3120">
        <f>COS_RR!F61</f>
        <v>0.85</v>
      </c>
      <c r="G28" s="3091">
        <f>SUMIFS('Labor Exp 2016'!$F$3:$F$219,'Labor Exp 2016'!$C$3:$C$219,$D28)*$F28</f>
        <v>0</v>
      </c>
      <c r="H28" s="3122" t="str">
        <f>COS_RR!H61</f>
        <v>Power - Capacity</v>
      </c>
      <c r="I28" s="606"/>
      <c r="J28" s="606"/>
      <c r="K28" s="606"/>
      <c r="L28" s="606"/>
      <c r="M28" s="606"/>
      <c r="N28" s="606"/>
      <c r="O28" s="606"/>
      <c r="P28" s="606"/>
      <c r="Q28" s="606"/>
      <c r="R28" s="606"/>
      <c r="S28" s="606"/>
      <c r="T28" s="606"/>
      <c r="U28" s="606"/>
      <c r="V28" s="606"/>
      <c r="W28" s="606"/>
      <c r="X28" s="606"/>
      <c r="Y28" s="606"/>
      <c r="Z28" s="606"/>
      <c r="AA28" s="1"/>
      <c r="AD28" s="193"/>
    </row>
    <row r="29" spans="1:30" s="4" customFormat="1">
      <c r="A29" s="411"/>
      <c r="B29" s="84"/>
      <c r="C29" s="236">
        <f>MAX($C$7:C27)+1</f>
        <v>11</v>
      </c>
      <c r="D29" s="237">
        <f>'O&amp;M_Detail - Elec'!D18</f>
        <v>555500</v>
      </c>
      <c r="E29" s="112" t="str">
        <f>'O&amp;M_Detail - Elec'!E18</f>
        <v>PURC POWER, QC</v>
      </c>
      <c r="F29" s="112"/>
      <c r="G29" s="3091">
        <f>SUMIFS('Labor Exp 2016'!$F$3:$F$219,'Labor Exp 2016'!$C$3:$C$219,$D29)</f>
        <v>0</v>
      </c>
      <c r="H29" s="3123" t="str">
        <f>COS_RR!H62</f>
        <v>Power - Capacity</v>
      </c>
      <c r="I29" s="606">
        <f>+ROUND($G29*SUMIF(COS_RR!$E$260:$E$302,$H29,COS_RR!J$260:J$302),COS_RR!$AD$10)</f>
        <v>0</v>
      </c>
      <c r="J29" s="606">
        <f>+ROUND($G29*SUMIF(COS_RR!$E$260:$E$302,$H29,COS_RR!K$260:K$302),COS_RR!$AD$10)</f>
        <v>0</v>
      </c>
      <c r="K29" s="606">
        <f>+ROUND($G29*SUMIF(COS_RR!$E$260:$E$302,$H29,COS_RR!L$260:L$302),COS_RR!$AD$10)</f>
        <v>0</v>
      </c>
      <c r="L29" s="606">
        <f>+ROUND($G29*SUMIF(COS_RR!$E$260:$E$302,$H29,COS_RR!M$260:M$302),COS_RR!$AD$10)</f>
        <v>0</v>
      </c>
      <c r="M29" s="606">
        <f>+ROUND($G29*SUMIF(COS_RR!$E$260:$E$302,$H29,COS_RR!N$260:N$302),COS_RR!$AD$10)</f>
        <v>0</v>
      </c>
      <c r="N29" s="606">
        <f>+ROUND($G29*SUMIF(COS_RR!$E$260:$E$302,$H29,COS_RR!O$260:O$302),COS_RR!$AD$10)</f>
        <v>0</v>
      </c>
      <c r="O29" s="606">
        <f>+ROUND($G29*SUMIF(COS_RR!$E$260:$E$302,$H29,COS_RR!P$260:P$302),COS_RR!$AD$10)</f>
        <v>0</v>
      </c>
      <c r="P29" s="606">
        <f>+ROUND($G29*SUMIF(COS_RR!$E$260:$E$302,$H29,COS_RR!Q$260:Q$302),COS_RR!$AD$10)</f>
        <v>0</v>
      </c>
      <c r="Q29" s="606">
        <f>+ROUND($G29*SUMIF(COS_RR!$E$260:$E$302,$H29,COS_RR!R$260:R$302),COS_RR!$AD$10)</f>
        <v>0</v>
      </c>
      <c r="R29" s="606">
        <f>+ROUND($G29*SUMIF(COS_RR!$E$260:$E$302,$H29,COS_RR!S$260:S$302),COS_RR!$AD$10)</f>
        <v>0</v>
      </c>
      <c r="S29" s="606">
        <f>+ROUND($G29*SUMIF(COS_RR!$E$260:$E$302,$H29,COS_RR!T$260:T$302),COS_RR!$AD$10)</f>
        <v>0</v>
      </c>
      <c r="T29" s="606">
        <f>+ROUND($G29*SUMIF(COS_RR!$E$260:$E$302,$H29,COS_RR!U$260:U$302),COS_RR!$AD$10)</f>
        <v>0</v>
      </c>
      <c r="U29" s="606">
        <f>+ROUND($G29*SUMIF(COS_RR!$E$260:$E$302,$H29,COS_RR!V$260:V$302),COS_RR!$AD$10)</f>
        <v>0</v>
      </c>
      <c r="V29" s="606">
        <f>+ROUND($G29*SUMIF(COS_RR!$E$260:$E$302,$H29,COS_RR!W$260:W$302),COS_RR!$AD$10)</f>
        <v>0</v>
      </c>
      <c r="W29" s="606">
        <f>+ROUND($G29*SUMIF(COS_RR!$E$260:$E$302,$H29,COS_RR!X$260:X$302),COS_RR!$AD$10)</f>
        <v>0</v>
      </c>
      <c r="X29" s="606">
        <f>+ROUND($G29*SUMIF(COS_RR!$E$260:$E$302,$H29,COS_RR!Y$260:Y$302),COS_RR!$AD$10)</f>
        <v>0</v>
      </c>
      <c r="Y29" s="606">
        <f>+ROUND($G29*SUMIF(COS_RR!$E$260:$E$302,$H29,COS_RR!Z$260:Z$302),COS_RR!$AD$10)</f>
        <v>0</v>
      </c>
      <c r="Z29" s="606">
        <f>+ROUND($G29*SUMIF(COS_RR!$E$260:$E$302,$H29,COS_RR!AA$260:AA$302),COS_RR!$AD$10)</f>
        <v>0</v>
      </c>
      <c r="AA29" s="1"/>
      <c r="AD29" s="193">
        <f t="shared" si="0"/>
        <v>0</v>
      </c>
    </row>
    <row r="30" spans="1:30" s="4" customFormat="1">
      <c r="A30" s="411"/>
      <c r="B30" s="84"/>
      <c r="C30" s="236">
        <f>MAX($C$7:C29)+1</f>
        <v>12</v>
      </c>
      <c r="D30" s="237">
        <f>'O&amp;M_Detail - Elec'!D19</f>
        <v>555666</v>
      </c>
      <c r="E30" s="112" t="str">
        <f>'O&amp;M_Detail - Elec'!E19</f>
        <v>NET BOOKOUTS - PURCHASE</v>
      </c>
      <c r="F30" s="112"/>
      <c r="G30" s="3091">
        <f>SUMIFS('Labor Exp 2016'!$F$3:$F$219,'Labor Exp 2016'!$C$3:$C$219,$D30)</f>
        <v>0</v>
      </c>
      <c r="H30" s="3123" t="str">
        <f>COS_RR!H63</f>
        <v>Energy</v>
      </c>
      <c r="I30" s="606">
        <f>+ROUND($G30*SUMIF(COS_RR!$E$260:$E$302,$H30,COS_RR!J$260:J$302),COS_RR!$AD$10)</f>
        <v>0</v>
      </c>
      <c r="J30" s="606">
        <f>+ROUND($G30*SUMIF(COS_RR!$E$260:$E$302,$H30,COS_RR!K$260:K$302),COS_RR!$AD$10)</f>
        <v>0</v>
      </c>
      <c r="K30" s="606">
        <f>+ROUND($G30*SUMIF(COS_RR!$E$260:$E$302,$H30,COS_RR!L$260:L$302),COS_RR!$AD$10)</f>
        <v>0</v>
      </c>
      <c r="L30" s="606">
        <f>+ROUND($G30*SUMIF(COS_RR!$E$260:$E$302,$H30,COS_RR!M$260:M$302),COS_RR!$AD$10)</f>
        <v>0</v>
      </c>
      <c r="M30" s="606">
        <f>+ROUND($G30*SUMIF(COS_RR!$E$260:$E$302,$H30,COS_RR!N$260:N$302),COS_RR!$AD$10)</f>
        <v>0</v>
      </c>
      <c r="N30" s="606">
        <f>+ROUND($G30*SUMIF(COS_RR!$E$260:$E$302,$H30,COS_RR!O$260:O$302),COS_RR!$AD$10)</f>
        <v>0</v>
      </c>
      <c r="O30" s="606">
        <f>+ROUND($G30*SUMIF(COS_RR!$E$260:$E$302,$H30,COS_RR!P$260:P$302),COS_RR!$AD$10)</f>
        <v>0</v>
      </c>
      <c r="P30" s="606">
        <f>+ROUND($G30*SUMIF(COS_RR!$E$260:$E$302,$H30,COS_RR!Q$260:Q$302),COS_RR!$AD$10)</f>
        <v>0</v>
      </c>
      <c r="Q30" s="606">
        <f>+ROUND($G30*SUMIF(COS_RR!$E$260:$E$302,$H30,COS_RR!R$260:R$302),COS_RR!$AD$10)</f>
        <v>0</v>
      </c>
      <c r="R30" s="606">
        <f>+ROUND($G30*SUMIF(COS_RR!$E$260:$E$302,$H30,COS_RR!S$260:S$302),COS_RR!$AD$10)</f>
        <v>0</v>
      </c>
      <c r="S30" s="606">
        <f>+ROUND($G30*SUMIF(COS_RR!$E$260:$E$302,$H30,COS_RR!T$260:T$302),COS_RR!$AD$10)</f>
        <v>0</v>
      </c>
      <c r="T30" s="606">
        <f>+ROUND($G30*SUMIF(COS_RR!$E$260:$E$302,$H30,COS_RR!U$260:U$302),COS_RR!$AD$10)</f>
        <v>0</v>
      </c>
      <c r="U30" s="606">
        <f>+ROUND($G30*SUMIF(COS_RR!$E$260:$E$302,$H30,COS_RR!V$260:V$302),COS_RR!$AD$10)</f>
        <v>0</v>
      </c>
      <c r="V30" s="606">
        <f>+ROUND($G30*SUMIF(COS_RR!$E$260:$E$302,$H30,COS_RR!W$260:W$302),COS_RR!$AD$10)</f>
        <v>0</v>
      </c>
      <c r="W30" s="606">
        <f>+ROUND($G30*SUMIF(COS_RR!$E$260:$E$302,$H30,COS_RR!X$260:X$302),COS_RR!$AD$10)</f>
        <v>0</v>
      </c>
      <c r="X30" s="606">
        <f>+ROUND($G30*SUMIF(COS_RR!$E$260:$E$302,$H30,COS_RR!Y$260:Y$302),COS_RR!$AD$10)</f>
        <v>0</v>
      </c>
      <c r="Y30" s="606">
        <f>+ROUND($G30*SUMIF(COS_RR!$E$260:$E$302,$H30,COS_RR!Z$260:Z$302),COS_RR!$AD$10)</f>
        <v>0</v>
      </c>
      <c r="Z30" s="606">
        <f>+ROUND($G30*SUMIF(COS_RR!$E$260:$E$302,$H30,COS_RR!AA$260:AA$302),COS_RR!$AD$10)</f>
        <v>0</v>
      </c>
      <c r="AA30" s="1"/>
      <c r="AD30" s="193">
        <f t="shared" si="0"/>
        <v>0</v>
      </c>
    </row>
    <row r="31" spans="1:30" s="4" customFormat="1">
      <c r="A31" s="411"/>
      <c r="B31" s="84"/>
      <c r="C31" s="236">
        <f>MAX($C$7:C30)+1</f>
        <v>13</v>
      </c>
      <c r="D31" s="237">
        <f>'O&amp;M_Detail - Elec'!D20</f>
        <v>555900</v>
      </c>
      <c r="E31" s="112" t="str">
        <f>'O&amp;M_Detail - Elec'!E20</f>
        <v>POWER PURCHASES, 9 CANYON</v>
      </c>
      <c r="F31" s="112"/>
      <c r="G31" s="3091">
        <f>SUMIFS('Labor Exp 2016'!$F$3:$F$219,'Labor Exp 2016'!$C$3:$C$219,$D31)</f>
        <v>0</v>
      </c>
      <c r="H31" s="3123" t="str">
        <f>COS_RR!H64</f>
        <v>Power - Capacity</v>
      </c>
      <c r="I31" s="606">
        <f>+ROUND($G31*SUMIF(COS_RR!$E$260:$E$302,$H31,COS_RR!J$260:J$302),COS_RR!$AD$10)</f>
        <v>0</v>
      </c>
      <c r="J31" s="606">
        <f>+ROUND($G31*SUMIF(COS_RR!$E$260:$E$302,$H31,COS_RR!K$260:K$302),COS_RR!$AD$10)</f>
        <v>0</v>
      </c>
      <c r="K31" s="606">
        <f>+ROUND($G31*SUMIF(COS_RR!$E$260:$E$302,$H31,COS_RR!L$260:L$302),COS_RR!$AD$10)</f>
        <v>0</v>
      </c>
      <c r="L31" s="606">
        <f>+ROUND($G31*SUMIF(COS_RR!$E$260:$E$302,$H31,COS_RR!M$260:M$302),COS_RR!$AD$10)</f>
        <v>0</v>
      </c>
      <c r="M31" s="606">
        <f>+ROUND($G31*SUMIF(COS_RR!$E$260:$E$302,$H31,COS_RR!N$260:N$302),COS_RR!$AD$10)</f>
        <v>0</v>
      </c>
      <c r="N31" s="606">
        <f>+ROUND($G31*SUMIF(COS_RR!$E$260:$E$302,$H31,COS_RR!O$260:O$302),COS_RR!$AD$10)</f>
        <v>0</v>
      </c>
      <c r="O31" s="606">
        <f>+ROUND($G31*SUMIF(COS_RR!$E$260:$E$302,$H31,COS_RR!P$260:P$302),COS_RR!$AD$10)</f>
        <v>0</v>
      </c>
      <c r="P31" s="606">
        <f>+ROUND($G31*SUMIF(COS_RR!$E$260:$E$302,$H31,COS_RR!Q$260:Q$302),COS_RR!$AD$10)</f>
        <v>0</v>
      </c>
      <c r="Q31" s="606">
        <f>+ROUND($G31*SUMIF(COS_RR!$E$260:$E$302,$H31,COS_RR!R$260:R$302),COS_RR!$AD$10)</f>
        <v>0</v>
      </c>
      <c r="R31" s="606">
        <f>+ROUND($G31*SUMIF(COS_RR!$E$260:$E$302,$H31,COS_RR!S$260:S$302),COS_RR!$AD$10)</f>
        <v>0</v>
      </c>
      <c r="S31" s="606">
        <f>+ROUND($G31*SUMIF(COS_RR!$E$260:$E$302,$H31,COS_RR!T$260:T$302),COS_RR!$AD$10)</f>
        <v>0</v>
      </c>
      <c r="T31" s="606">
        <f>+ROUND($G31*SUMIF(COS_RR!$E$260:$E$302,$H31,COS_RR!U$260:U$302),COS_RR!$AD$10)</f>
        <v>0</v>
      </c>
      <c r="U31" s="606">
        <f>+ROUND($G31*SUMIF(COS_RR!$E$260:$E$302,$H31,COS_RR!V$260:V$302),COS_RR!$AD$10)</f>
        <v>0</v>
      </c>
      <c r="V31" s="606">
        <f>+ROUND($G31*SUMIF(COS_RR!$E$260:$E$302,$H31,COS_RR!W$260:W$302),COS_RR!$AD$10)</f>
        <v>0</v>
      </c>
      <c r="W31" s="606">
        <f>+ROUND($G31*SUMIF(COS_RR!$E$260:$E$302,$H31,COS_RR!X$260:X$302),COS_RR!$AD$10)</f>
        <v>0</v>
      </c>
      <c r="X31" s="606">
        <f>+ROUND($G31*SUMIF(COS_RR!$E$260:$E$302,$H31,COS_RR!Y$260:Y$302),COS_RR!$AD$10)</f>
        <v>0</v>
      </c>
      <c r="Y31" s="606">
        <f>+ROUND($G31*SUMIF(COS_RR!$E$260:$E$302,$H31,COS_RR!Z$260:Z$302),COS_RR!$AD$10)</f>
        <v>0</v>
      </c>
      <c r="Z31" s="606">
        <f>+ROUND($G31*SUMIF(COS_RR!$E$260:$E$302,$H31,COS_RR!AA$260:AA$302),COS_RR!$AD$10)</f>
        <v>0</v>
      </c>
      <c r="AA31" s="1"/>
      <c r="AD31" s="193">
        <f t="shared" si="0"/>
        <v>0</v>
      </c>
    </row>
    <row r="32" spans="1:30" s="4" customFormat="1">
      <c r="A32" s="411"/>
      <c r="B32" s="84"/>
      <c r="C32" s="236">
        <f>MAX($C$7:C31)+1</f>
        <v>14</v>
      </c>
      <c r="D32" s="237">
        <f>'O&amp;M_Detail - Elec'!D21</f>
        <v>555999</v>
      </c>
      <c r="E32" s="112" t="str">
        <f>'O&amp;M_Detail - Elec'!E21</f>
        <v>POWER PURCHASES, OTHER</v>
      </c>
      <c r="F32" s="112"/>
      <c r="G32" s="3091">
        <f>SUMIFS('Labor Exp 2016'!$F$3:$F$219,'Labor Exp 2016'!$C$3:$C$219,$D32)</f>
        <v>0</v>
      </c>
      <c r="H32" s="3123" t="str">
        <f>COS_RR!H65</f>
        <v>Energy</v>
      </c>
      <c r="I32" s="606">
        <f>+ROUND($G32*SUMIF(COS_RR!$E$260:$E$302,$H32,COS_RR!J$260:J$302),COS_RR!$AD$10)</f>
        <v>0</v>
      </c>
      <c r="J32" s="606">
        <f>+ROUND($G32*SUMIF(COS_RR!$E$260:$E$302,$H32,COS_RR!K$260:K$302),COS_RR!$AD$10)</f>
        <v>0</v>
      </c>
      <c r="K32" s="606">
        <f>+ROUND($G32*SUMIF(COS_RR!$E$260:$E$302,$H32,COS_RR!L$260:L$302),COS_RR!$AD$10)</f>
        <v>0</v>
      </c>
      <c r="L32" s="606">
        <f>+ROUND($G32*SUMIF(COS_RR!$E$260:$E$302,$H32,COS_RR!M$260:M$302),COS_RR!$AD$10)</f>
        <v>0</v>
      </c>
      <c r="M32" s="606">
        <f>+ROUND($G32*SUMIF(COS_RR!$E$260:$E$302,$H32,COS_RR!N$260:N$302),COS_RR!$AD$10)</f>
        <v>0</v>
      </c>
      <c r="N32" s="606">
        <f>+ROUND($G32*SUMIF(COS_RR!$E$260:$E$302,$H32,COS_RR!O$260:O$302),COS_RR!$AD$10)</f>
        <v>0</v>
      </c>
      <c r="O32" s="606">
        <f>+ROUND($G32*SUMIF(COS_RR!$E$260:$E$302,$H32,COS_RR!P$260:P$302),COS_RR!$AD$10)</f>
        <v>0</v>
      </c>
      <c r="P32" s="606">
        <f>+ROUND($G32*SUMIF(COS_RR!$E$260:$E$302,$H32,COS_RR!Q$260:Q$302),COS_RR!$AD$10)</f>
        <v>0</v>
      </c>
      <c r="Q32" s="606">
        <f>+ROUND($G32*SUMIF(COS_RR!$E$260:$E$302,$H32,COS_RR!R$260:R$302),COS_RR!$AD$10)</f>
        <v>0</v>
      </c>
      <c r="R32" s="606">
        <f>+ROUND($G32*SUMIF(COS_RR!$E$260:$E$302,$H32,COS_RR!S$260:S$302),COS_RR!$AD$10)</f>
        <v>0</v>
      </c>
      <c r="S32" s="606">
        <f>+ROUND($G32*SUMIF(COS_RR!$E$260:$E$302,$H32,COS_RR!T$260:T$302),COS_RR!$AD$10)</f>
        <v>0</v>
      </c>
      <c r="T32" s="606">
        <f>+ROUND($G32*SUMIF(COS_RR!$E$260:$E$302,$H32,COS_RR!U$260:U$302),COS_RR!$AD$10)</f>
        <v>0</v>
      </c>
      <c r="U32" s="606">
        <f>+ROUND($G32*SUMIF(COS_RR!$E$260:$E$302,$H32,COS_RR!V$260:V$302),COS_RR!$AD$10)</f>
        <v>0</v>
      </c>
      <c r="V32" s="606">
        <f>+ROUND($G32*SUMIF(COS_RR!$E$260:$E$302,$H32,COS_RR!W$260:W$302),COS_RR!$AD$10)</f>
        <v>0</v>
      </c>
      <c r="W32" s="606">
        <f>+ROUND($G32*SUMIF(COS_RR!$E$260:$E$302,$H32,COS_RR!X$260:X$302),COS_RR!$AD$10)</f>
        <v>0</v>
      </c>
      <c r="X32" s="606">
        <f>+ROUND($G32*SUMIF(COS_RR!$E$260:$E$302,$H32,COS_RR!Y$260:Y$302),COS_RR!$AD$10)</f>
        <v>0</v>
      </c>
      <c r="Y32" s="606">
        <f>+ROUND($G32*SUMIF(COS_RR!$E$260:$E$302,$H32,COS_RR!Z$260:Z$302),COS_RR!$AD$10)</f>
        <v>0</v>
      </c>
      <c r="Z32" s="606">
        <f>+ROUND($G32*SUMIF(COS_RR!$E$260:$E$302,$H32,COS_RR!AA$260:AA$302),COS_RR!$AD$10)</f>
        <v>0</v>
      </c>
      <c r="AA32" s="1"/>
      <c r="AD32" s="193">
        <f t="shared" si="0"/>
        <v>0</v>
      </c>
    </row>
    <row r="33" spans="1:30" s="4" customFormat="1" ht="16.5" thickBot="1">
      <c r="A33" s="411"/>
      <c r="B33" s="84"/>
      <c r="C33" s="236">
        <f>MAX($C$7:C32)+1</f>
        <v>15</v>
      </c>
      <c r="D33" s="237">
        <f>'O&amp;M_Detail - Elec'!D22</f>
        <v>557050</v>
      </c>
      <c r="E33" s="112" t="str">
        <f>'O&amp;M_Detail - Elec'!E22</f>
        <v>OTH PWR EXP-MISC</v>
      </c>
      <c r="F33" s="112"/>
      <c r="G33" s="3091">
        <f>SUMIFS('Labor Exp 2016'!$F$3:$F$219,'Labor Exp 2016'!$C$3:$C$219,$D33)</f>
        <v>0</v>
      </c>
      <c r="H33" s="3124" t="str">
        <f>COS_RR!H66</f>
        <v>Energy</v>
      </c>
      <c r="I33" s="606">
        <f>+ROUND($G33*SUMIF(COS_RR!$E$260:$E$302,$H33,COS_RR!J$260:J$302),COS_RR!$AD$10)</f>
        <v>0</v>
      </c>
      <c r="J33" s="606">
        <f>+ROUND($G33*SUMIF(COS_RR!$E$260:$E$302,$H33,COS_RR!K$260:K$302),COS_RR!$AD$10)</f>
        <v>0</v>
      </c>
      <c r="K33" s="606">
        <f>+ROUND($G33*SUMIF(COS_RR!$E$260:$E$302,$H33,COS_RR!L$260:L$302),COS_RR!$AD$10)</f>
        <v>0</v>
      </c>
      <c r="L33" s="606">
        <f>+ROUND($G33*SUMIF(COS_RR!$E$260:$E$302,$H33,COS_RR!M$260:M$302),COS_RR!$AD$10)</f>
        <v>0</v>
      </c>
      <c r="M33" s="606">
        <f>+ROUND($G33*SUMIF(COS_RR!$E$260:$E$302,$H33,COS_RR!N$260:N$302),COS_RR!$AD$10)</f>
        <v>0</v>
      </c>
      <c r="N33" s="606">
        <f>+ROUND($G33*SUMIF(COS_RR!$E$260:$E$302,$H33,COS_RR!O$260:O$302),COS_RR!$AD$10)</f>
        <v>0</v>
      </c>
      <c r="O33" s="606">
        <f>+ROUND($G33*SUMIF(COS_RR!$E$260:$E$302,$H33,COS_RR!P$260:P$302),COS_RR!$AD$10)</f>
        <v>0</v>
      </c>
      <c r="P33" s="606">
        <f>+ROUND($G33*SUMIF(COS_RR!$E$260:$E$302,$H33,COS_RR!Q$260:Q$302),COS_RR!$AD$10)</f>
        <v>0</v>
      </c>
      <c r="Q33" s="606">
        <f>+ROUND($G33*SUMIF(COS_RR!$E$260:$E$302,$H33,COS_RR!R$260:R$302),COS_RR!$AD$10)</f>
        <v>0</v>
      </c>
      <c r="R33" s="606">
        <f>+ROUND($G33*SUMIF(COS_RR!$E$260:$E$302,$H33,COS_RR!S$260:S$302),COS_RR!$AD$10)</f>
        <v>0</v>
      </c>
      <c r="S33" s="606">
        <f>+ROUND($G33*SUMIF(COS_RR!$E$260:$E$302,$H33,COS_RR!T$260:T$302),COS_RR!$AD$10)</f>
        <v>0</v>
      </c>
      <c r="T33" s="606">
        <f>+ROUND($G33*SUMIF(COS_RR!$E$260:$E$302,$H33,COS_RR!U$260:U$302),COS_RR!$AD$10)</f>
        <v>0</v>
      </c>
      <c r="U33" s="606">
        <f>+ROUND($G33*SUMIF(COS_RR!$E$260:$E$302,$H33,COS_RR!V$260:V$302),COS_RR!$AD$10)</f>
        <v>0</v>
      </c>
      <c r="V33" s="606">
        <f>+ROUND($G33*SUMIF(COS_RR!$E$260:$E$302,$H33,COS_RR!W$260:W$302),COS_RR!$AD$10)</f>
        <v>0</v>
      </c>
      <c r="W33" s="606">
        <f>+ROUND($G33*SUMIF(COS_RR!$E$260:$E$302,$H33,COS_RR!X$260:X$302),COS_RR!$AD$10)</f>
        <v>0</v>
      </c>
      <c r="X33" s="606">
        <f>+ROUND($G33*SUMIF(COS_RR!$E$260:$E$302,$H33,COS_RR!Y$260:Y$302),COS_RR!$AD$10)</f>
        <v>0</v>
      </c>
      <c r="Y33" s="606">
        <f>+ROUND($G33*SUMIF(COS_RR!$E$260:$E$302,$H33,COS_RR!Z$260:Z$302),COS_RR!$AD$10)</f>
        <v>0</v>
      </c>
      <c r="Z33" s="606">
        <f>+ROUND($G33*SUMIF(COS_RR!$E$260:$E$302,$H33,COS_RR!AA$260:AA$302),COS_RR!$AD$10)</f>
        <v>0</v>
      </c>
      <c r="AA33" s="1"/>
      <c r="AD33" s="193">
        <f t="shared" si="0"/>
        <v>0</v>
      </c>
    </row>
    <row r="34" spans="1:30" s="4" customFormat="1">
      <c r="A34" s="411"/>
      <c r="B34" s="84"/>
      <c r="C34" s="236"/>
      <c r="D34" s="237"/>
      <c r="E34" s="112"/>
      <c r="F34" s="112"/>
      <c r="G34" s="340">
        <f>SUM(G13:G33)</f>
        <v>0</v>
      </c>
      <c r="H34" s="112"/>
      <c r="I34" s="340">
        <f t="shared" ref="I34:P34" si="1">SUM(I13:I33)</f>
        <v>0</v>
      </c>
      <c r="J34" s="340">
        <f t="shared" si="1"/>
        <v>0</v>
      </c>
      <c r="K34" s="340">
        <f t="shared" si="1"/>
        <v>0</v>
      </c>
      <c r="L34" s="340">
        <f t="shared" si="1"/>
        <v>0</v>
      </c>
      <c r="M34" s="340">
        <f t="shared" si="1"/>
        <v>0</v>
      </c>
      <c r="N34" s="340">
        <f t="shared" si="1"/>
        <v>0</v>
      </c>
      <c r="O34" s="340">
        <f t="shared" si="1"/>
        <v>0</v>
      </c>
      <c r="P34" s="340">
        <f t="shared" si="1"/>
        <v>0</v>
      </c>
      <c r="Q34" s="340">
        <f t="shared" ref="Q34:Z34" si="2">SUM(Q13:Q33)</f>
        <v>0</v>
      </c>
      <c r="R34" s="340">
        <f t="shared" si="2"/>
        <v>0</v>
      </c>
      <c r="S34" s="340">
        <f t="shared" si="2"/>
        <v>0</v>
      </c>
      <c r="T34" s="340">
        <f t="shared" si="2"/>
        <v>0</v>
      </c>
      <c r="U34" s="340">
        <f t="shared" si="2"/>
        <v>0</v>
      </c>
      <c r="V34" s="340">
        <f t="shared" si="2"/>
        <v>0</v>
      </c>
      <c r="W34" s="340">
        <f t="shared" si="2"/>
        <v>0</v>
      </c>
      <c r="X34" s="340">
        <f t="shared" si="2"/>
        <v>0</v>
      </c>
      <c r="Y34" s="340">
        <f t="shared" si="2"/>
        <v>0</v>
      </c>
      <c r="Z34" s="340">
        <f t="shared" si="2"/>
        <v>0</v>
      </c>
      <c r="AA34" s="1"/>
    </row>
    <row r="35" spans="1:30" s="4" customFormat="1" ht="16.5" thickBot="1">
      <c r="A35" s="411"/>
      <c r="B35" s="84"/>
      <c r="C35" s="236">
        <f>MAX($C$7:C34)+1</f>
        <v>16</v>
      </c>
      <c r="D35" s="903" t="str">
        <f>'O&amp;M_Detail - Elec'!D24</f>
        <v>GENERATION</v>
      </c>
      <c r="E35" s="112"/>
      <c r="F35" s="112"/>
      <c r="G35"/>
      <c r="H35" s="112"/>
      <c r="I35" s="311"/>
      <c r="J35" s="311"/>
      <c r="K35" s="311"/>
      <c r="L35" s="311"/>
      <c r="M35" s="311"/>
      <c r="N35" s="311"/>
      <c r="O35" s="311"/>
      <c r="P35" s="311"/>
      <c r="Q35" s="311"/>
      <c r="R35" s="311"/>
      <c r="S35" s="311"/>
      <c r="T35" s="311"/>
      <c r="U35" s="311"/>
      <c r="V35" s="311"/>
      <c r="W35" s="311"/>
      <c r="X35" s="311"/>
      <c r="Y35" s="311"/>
      <c r="Z35" s="311"/>
      <c r="AA35" s="1"/>
    </row>
    <row r="36" spans="1:30" s="4" customFormat="1">
      <c r="A36" s="411"/>
      <c r="B36" s="84"/>
      <c r="C36" s="236">
        <f>MAX($C$7:C35)+1</f>
        <v>17</v>
      </c>
      <c r="D36" s="237">
        <f>'O&amp;M_Detail - Elec'!D25</f>
        <v>535500</v>
      </c>
      <c r="E36" s="112" t="str">
        <f>'O&amp;M_Detail - Elec'!E25</f>
        <v>SUPV &amp; ENG, QC OPERATIONS</v>
      </c>
      <c r="F36" s="112"/>
      <c r="G36" s="3090">
        <f>SUMIFS('Labor Exp 2016'!$F$3:$F$219,'Labor Exp 2016'!$C$3:$C$219,$D36)</f>
        <v>0</v>
      </c>
      <c r="H36" s="3121" t="str">
        <f>COS_RR!H70</f>
        <v>Power - Capacity</v>
      </c>
      <c r="I36" s="605">
        <f>+ROUND($G36*SUMIF(COS_RR!$E$260:$E$302,$H36,COS_RR!J$260:J$302),COS_RR!$AD$10)</f>
        <v>0</v>
      </c>
      <c r="J36" s="605">
        <f>+ROUND($G36*SUMIF(COS_RR!$E$260:$E$302,$H36,COS_RR!K$260:K$302),COS_RR!$AD$10)</f>
        <v>0</v>
      </c>
      <c r="K36" s="605">
        <f>+ROUND($G36*SUMIF(COS_RR!$E$260:$E$302,$H36,COS_RR!L$260:L$302),COS_RR!$AD$10)</f>
        <v>0</v>
      </c>
      <c r="L36" s="605">
        <f>+ROUND($G36*SUMIF(COS_RR!$E$260:$E$302,$H36,COS_RR!M$260:M$302),COS_RR!$AD$10)</f>
        <v>0</v>
      </c>
      <c r="M36" s="605">
        <f>+ROUND($G36*SUMIF(COS_RR!$E$260:$E$302,$H36,COS_RR!N$260:N$302),COS_RR!$AD$10)</f>
        <v>0</v>
      </c>
      <c r="N36" s="605">
        <f>+ROUND($G36*SUMIF(COS_RR!$E$260:$E$302,$H36,COS_RR!O$260:O$302),COS_RR!$AD$10)</f>
        <v>0</v>
      </c>
      <c r="O36" s="605">
        <f>+ROUND($G36*SUMIF(COS_RR!$E$260:$E$302,$H36,COS_RR!P$260:P$302),COS_RR!$AD$10)</f>
        <v>0</v>
      </c>
      <c r="P36" s="605">
        <f>+ROUND($G36*SUMIF(COS_RR!$E$260:$E$302,$H36,COS_RR!Q$260:Q$302),COS_RR!$AD$10)</f>
        <v>0</v>
      </c>
      <c r="Q36" s="605">
        <f>+ROUND($G36*SUMIF(COS_RR!$E$260:$E$302,$H36,COS_RR!R$260:R$302),COS_RR!$AD$10)</f>
        <v>0</v>
      </c>
      <c r="R36" s="605">
        <f>+ROUND($G36*SUMIF(COS_RR!$E$260:$E$302,$H36,COS_RR!S$260:S$302),COS_RR!$AD$10)</f>
        <v>0</v>
      </c>
      <c r="S36" s="605">
        <f>+ROUND($G36*SUMIF(COS_RR!$E$260:$E$302,$H36,COS_RR!T$260:T$302),COS_RR!$AD$10)</f>
        <v>0</v>
      </c>
      <c r="T36" s="605">
        <f>+ROUND($G36*SUMIF(COS_RR!$E$260:$E$302,$H36,COS_RR!U$260:U$302),COS_RR!$AD$10)</f>
        <v>0</v>
      </c>
      <c r="U36" s="605">
        <f>+ROUND($G36*SUMIF(COS_RR!$E$260:$E$302,$H36,COS_RR!V$260:V$302),COS_RR!$AD$10)</f>
        <v>0</v>
      </c>
      <c r="V36" s="605">
        <f>+ROUND($G36*SUMIF(COS_RR!$E$260:$E$302,$H36,COS_RR!W$260:W$302),COS_RR!$AD$10)</f>
        <v>0</v>
      </c>
      <c r="W36" s="605">
        <f>+ROUND($G36*SUMIF(COS_RR!$E$260:$E$302,$H36,COS_RR!X$260:X$302),COS_RR!$AD$10)</f>
        <v>0</v>
      </c>
      <c r="X36" s="605">
        <f>+ROUND($G36*SUMIF(COS_RR!$E$260:$E$302,$H36,COS_RR!Y$260:Y$302),COS_RR!$AD$10)</f>
        <v>0</v>
      </c>
      <c r="Y36" s="605">
        <f>+ROUND($G36*SUMIF(COS_RR!$E$260:$E$302,$H36,COS_RR!Z$260:Z$302),COS_RR!$AD$10)</f>
        <v>0</v>
      </c>
      <c r="Z36" s="605">
        <f>+ROUND($G36*SUMIF(COS_RR!$E$260:$E$302,$H36,COS_RR!AA$260:AA$302),COS_RR!$AD$10)</f>
        <v>0</v>
      </c>
      <c r="AA36" s="1"/>
      <c r="AD36" s="193">
        <f t="shared" ref="AD36:AD57" si="3">SUM(I36:Z36)-G36</f>
        <v>0</v>
      </c>
    </row>
    <row r="37" spans="1:30" s="4" customFormat="1">
      <c r="A37" s="411"/>
      <c r="B37" s="84"/>
      <c r="C37" s="236">
        <f>MAX($C$7:C36)+1</f>
        <v>18</v>
      </c>
      <c r="D37" s="237">
        <f>'O&amp;M_Detail - Elec'!D26</f>
        <v>535000</v>
      </c>
      <c r="E37" s="112" t="str">
        <f>'O&amp;M_Detail - Elec'!E26</f>
        <v>DAM O&amp;M (WAN, PEC, PR, and QC)</v>
      </c>
      <c r="F37" s="112"/>
      <c r="G37" s="3091">
        <f>SUMIFS('Labor Exp 2016'!$F$3:$F$219,'Labor Exp 2016'!$C$3:$C$219,$D37)</f>
        <v>0</v>
      </c>
      <c r="H37" s="3123" t="str">
        <f>COS_RR!H71</f>
        <v>Power - Capacity</v>
      </c>
      <c r="I37" s="606">
        <f>+ROUND($G37*SUMIF(COS_RR!$E$260:$E$302,$H37,COS_RR!J$260:J$302),COS_RR!$AD$10)</f>
        <v>0</v>
      </c>
      <c r="J37" s="606">
        <f>+ROUND($G37*SUMIF(COS_RR!$E$260:$E$302,$H37,COS_RR!K$260:K$302),COS_RR!$AD$10)</f>
        <v>0</v>
      </c>
      <c r="K37" s="606">
        <f>+ROUND($G37*SUMIF(COS_RR!$E$260:$E$302,$H37,COS_RR!L$260:L$302),COS_RR!$AD$10)</f>
        <v>0</v>
      </c>
      <c r="L37" s="606">
        <f>+ROUND($G37*SUMIF(COS_RR!$E$260:$E$302,$H37,COS_RR!M$260:M$302),COS_RR!$AD$10)</f>
        <v>0</v>
      </c>
      <c r="M37" s="606">
        <f>+ROUND($G37*SUMIF(COS_RR!$E$260:$E$302,$H37,COS_RR!N$260:N$302),COS_RR!$AD$10)</f>
        <v>0</v>
      </c>
      <c r="N37" s="606">
        <f>+ROUND($G37*SUMIF(COS_RR!$E$260:$E$302,$H37,COS_RR!O$260:O$302),COS_RR!$AD$10)</f>
        <v>0</v>
      </c>
      <c r="O37" s="606">
        <f>+ROUND($G37*SUMIF(COS_RR!$E$260:$E$302,$H37,COS_RR!P$260:P$302),COS_RR!$AD$10)</f>
        <v>0</v>
      </c>
      <c r="P37" s="606">
        <f>+ROUND($G37*SUMIF(COS_RR!$E$260:$E$302,$H37,COS_RR!Q$260:Q$302),COS_RR!$AD$10)</f>
        <v>0</v>
      </c>
      <c r="Q37" s="606">
        <f>+ROUND($G37*SUMIF(COS_RR!$E$260:$E$302,$H37,COS_RR!R$260:R$302),COS_RR!$AD$10)</f>
        <v>0</v>
      </c>
      <c r="R37" s="606">
        <f>+ROUND($G37*SUMIF(COS_RR!$E$260:$E$302,$H37,COS_RR!S$260:S$302),COS_RR!$AD$10)</f>
        <v>0</v>
      </c>
      <c r="S37" s="606">
        <f>+ROUND($G37*SUMIF(COS_RR!$E$260:$E$302,$H37,COS_RR!T$260:T$302),COS_RR!$AD$10)</f>
        <v>0</v>
      </c>
      <c r="T37" s="606">
        <f>+ROUND($G37*SUMIF(COS_RR!$E$260:$E$302,$H37,COS_RR!U$260:U$302),COS_RR!$AD$10)</f>
        <v>0</v>
      </c>
      <c r="U37" s="606">
        <f>+ROUND($G37*SUMIF(COS_RR!$E$260:$E$302,$H37,COS_RR!V$260:V$302),COS_RR!$AD$10)</f>
        <v>0</v>
      </c>
      <c r="V37" s="606">
        <f>+ROUND($G37*SUMIF(COS_RR!$E$260:$E$302,$H37,COS_RR!W$260:W$302),COS_RR!$AD$10)</f>
        <v>0</v>
      </c>
      <c r="W37" s="606">
        <f>+ROUND($G37*SUMIF(COS_RR!$E$260:$E$302,$H37,COS_RR!X$260:X$302),COS_RR!$AD$10)</f>
        <v>0</v>
      </c>
      <c r="X37" s="606">
        <f>+ROUND($G37*SUMIF(COS_RR!$E$260:$E$302,$H37,COS_RR!Y$260:Y$302),COS_RR!$AD$10)</f>
        <v>0</v>
      </c>
      <c r="Y37" s="606">
        <f>+ROUND($G37*SUMIF(COS_RR!$E$260:$E$302,$H37,COS_RR!Z$260:Z$302),COS_RR!$AD$10)</f>
        <v>0</v>
      </c>
      <c r="Z37" s="606">
        <f>+ROUND($G37*SUMIF(COS_RR!$E$260:$E$302,$H37,COS_RR!AA$260:AA$302),COS_RR!$AD$10)</f>
        <v>0</v>
      </c>
      <c r="AA37" s="1"/>
      <c r="AD37" s="193">
        <f t="shared" si="3"/>
        <v>0</v>
      </c>
    </row>
    <row r="38" spans="1:30" s="4" customFormat="1">
      <c r="A38" s="411"/>
      <c r="B38" s="84"/>
      <c r="C38" s="236">
        <f>MAX($C$7:C37)+1</f>
        <v>19</v>
      </c>
      <c r="D38" s="237">
        <f>'O&amp;M_Detail - Elec'!D27</f>
        <v>535600</v>
      </c>
      <c r="E38" s="112" t="str">
        <f>'O&amp;M_Detail - Elec'!E27</f>
        <v>SUPV &amp; ENG, PEC OPERATIONS</v>
      </c>
      <c r="F38" s="112"/>
      <c r="G38" s="3091">
        <f>SUMIFS('Labor Exp 2016'!$F$3:$F$219,'Labor Exp 2016'!$C$3:$C$219,$D38)</f>
        <v>22202.909999999993</v>
      </c>
      <c r="H38" s="3123" t="str">
        <f>COS_RR!H72</f>
        <v>Power - Capacity</v>
      </c>
      <c r="I38" s="606">
        <f>+ROUND($G38*SUMIF(COS_RR!$E$260:$E$302,$H38,COS_RR!J$260:J$302),COS_RR!$AD$10)</f>
        <v>0</v>
      </c>
      <c r="J38" s="606">
        <f>+ROUND($G38*SUMIF(COS_RR!$E$260:$E$302,$H38,COS_RR!K$260:K$302),COS_RR!$AD$10)</f>
        <v>22203</v>
      </c>
      <c r="K38" s="606">
        <f>+ROUND($G38*SUMIF(COS_RR!$E$260:$E$302,$H38,COS_RR!L$260:L$302),COS_RR!$AD$10)</f>
        <v>0</v>
      </c>
      <c r="L38" s="606">
        <f>+ROUND($G38*SUMIF(COS_RR!$E$260:$E$302,$H38,COS_RR!M$260:M$302),COS_RR!$AD$10)</f>
        <v>0</v>
      </c>
      <c r="M38" s="606">
        <f>+ROUND($G38*SUMIF(COS_RR!$E$260:$E$302,$H38,COS_RR!N$260:N$302),COS_RR!$AD$10)</f>
        <v>0</v>
      </c>
      <c r="N38" s="606">
        <f>+ROUND($G38*SUMIF(COS_RR!$E$260:$E$302,$H38,COS_RR!O$260:O$302),COS_RR!$AD$10)</f>
        <v>0</v>
      </c>
      <c r="O38" s="606">
        <f>+ROUND($G38*SUMIF(COS_RR!$E$260:$E$302,$H38,COS_RR!P$260:P$302),COS_RR!$AD$10)</f>
        <v>0</v>
      </c>
      <c r="P38" s="606">
        <f>+ROUND($G38*SUMIF(COS_RR!$E$260:$E$302,$H38,COS_RR!Q$260:Q$302),COS_RR!$AD$10)</f>
        <v>0</v>
      </c>
      <c r="Q38" s="606">
        <f>+ROUND($G38*SUMIF(COS_RR!$E$260:$E$302,$H38,COS_RR!R$260:R$302),COS_RR!$AD$10)</f>
        <v>0</v>
      </c>
      <c r="R38" s="606">
        <f>+ROUND($G38*SUMIF(COS_RR!$E$260:$E$302,$H38,COS_RR!S$260:S$302),COS_RR!$AD$10)</f>
        <v>0</v>
      </c>
      <c r="S38" s="606">
        <f>+ROUND($G38*SUMIF(COS_RR!$E$260:$E$302,$H38,COS_RR!T$260:T$302),COS_RR!$AD$10)</f>
        <v>0</v>
      </c>
      <c r="T38" s="606">
        <f>+ROUND($G38*SUMIF(COS_RR!$E$260:$E$302,$H38,COS_RR!U$260:U$302),COS_RR!$AD$10)</f>
        <v>0</v>
      </c>
      <c r="U38" s="606">
        <f>+ROUND($G38*SUMIF(COS_RR!$E$260:$E$302,$H38,COS_RR!V$260:V$302),COS_RR!$AD$10)</f>
        <v>0</v>
      </c>
      <c r="V38" s="606">
        <f>+ROUND($G38*SUMIF(COS_RR!$E$260:$E$302,$H38,COS_RR!W$260:W$302),COS_RR!$AD$10)</f>
        <v>0</v>
      </c>
      <c r="W38" s="606">
        <f>+ROUND($G38*SUMIF(COS_RR!$E$260:$E$302,$H38,COS_RR!X$260:X$302),COS_RR!$AD$10)</f>
        <v>0</v>
      </c>
      <c r="X38" s="606">
        <f>+ROUND($G38*SUMIF(COS_RR!$E$260:$E$302,$H38,COS_RR!Y$260:Y$302),COS_RR!$AD$10)</f>
        <v>0</v>
      </c>
      <c r="Y38" s="606">
        <f>+ROUND($G38*SUMIF(COS_RR!$E$260:$E$302,$H38,COS_RR!Z$260:Z$302),COS_RR!$AD$10)</f>
        <v>0</v>
      </c>
      <c r="Z38" s="606">
        <f>+ROUND($G38*SUMIF(COS_RR!$E$260:$E$302,$H38,COS_RR!AA$260:AA$302),COS_RR!$AD$10)</f>
        <v>0</v>
      </c>
      <c r="AA38" s="1"/>
      <c r="AD38" s="193">
        <f t="shared" si="3"/>
        <v>9.0000000007421477E-2</v>
      </c>
    </row>
    <row r="39" spans="1:30" s="4" customFormat="1">
      <c r="A39" s="411"/>
      <c r="B39" s="84"/>
      <c r="C39" s="236">
        <f>MAX($C$7:C38)+1</f>
        <v>20</v>
      </c>
      <c r="D39" s="237">
        <f>'O&amp;M_Detail - Elec'!D28</f>
        <v>536000</v>
      </c>
      <c r="E39" s="112" t="str">
        <f>'O&amp;M_Detail - Elec'!E28</f>
        <v>WATER FOR POWER</v>
      </c>
      <c r="F39" s="112"/>
      <c r="G39" s="3091">
        <f>SUMIFS('Labor Exp 2016'!$F$3:$F$219,'Labor Exp 2016'!$C$3:$C$219,$D39)</f>
        <v>0</v>
      </c>
      <c r="H39" s="3123" t="str">
        <f>COS_RR!H73</f>
        <v>Power - Capacity</v>
      </c>
      <c r="I39" s="606">
        <f>+ROUND($G39*SUMIF(COS_RR!$E$260:$E$302,$H39,COS_RR!J$260:J$302),COS_RR!$AD$10)</f>
        <v>0</v>
      </c>
      <c r="J39" s="606">
        <f>+ROUND($G39*SUMIF(COS_RR!$E$260:$E$302,$H39,COS_RR!K$260:K$302),COS_RR!$AD$10)</f>
        <v>0</v>
      </c>
      <c r="K39" s="606">
        <f>+ROUND($G39*SUMIF(COS_RR!$E$260:$E$302,$H39,COS_RR!L$260:L$302),COS_RR!$AD$10)</f>
        <v>0</v>
      </c>
      <c r="L39" s="606">
        <f>+ROUND($G39*SUMIF(COS_RR!$E$260:$E$302,$H39,COS_RR!M$260:M$302),COS_RR!$AD$10)</f>
        <v>0</v>
      </c>
      <c r="M39" s="606">
        <f>+ROUND($G39*SUMIF(COS_RR!$E$260:$E$302,$H39,COS_RR!N$260:N$302),COS_RR!$AD$10)</f>
        <v>0</v>
      </c>
      <c r="N39" s="606">
        <f>+ROUND($G39*SUMIF(COS_RR!$E$260:$E$302,$H39,COS_RR!O$260:O$302),COS_RR!$AD$10)</f>
        <v>0</v>
      </c>
      <c r="O39" s="606">
        <f>+ROUND($G39*SUMIF(COS_RR!$E$260:$E$302,$H39,COS_RR!P$260:P$302),COS_RR!$AD$10)</f>
        <v>0</v>
      </c>
      <c r="P39" s="606">
        <f>+ROUND($G39*SUMIF(COS_RR!$E$260:$E$302,$H39,COS_RR!Q$260:Q$302),COS_RR!$AD$10)</f>
        <v>0</v>
      </c>
      <c r="Q39" s="606">
        <f>+ROUND($G39*SUMIF(COS_RR!$E$260:$E$302,$H39,COS_RR!R$260:R$302),COS_RR!$AD$10)</f>
        <v>0</v>
      </c>
      <c r="R39" s="606">
        <f>+ROUND($G39*SUMIF(COS_RR!$E$260:$E$302,$H39,COS_RR!S$260:S$302),COS_RR!$AD$10)</f>
        <v>0</v>
      </c>
      <c r="S39" s="606">
        <f>+ROUND($G39*SUMIF(COS_RR!$E$260:$E$302,$H39,COS_RR!T$260:T$302),COS_RR!$AD$10)</f>
        <v>0</v>
      </c>
      <c r="T39" s="606">
        <f>+ROUND($G39*SUMIF(COS_RR!$E$260:$E$302,$H39,COS_RR!U$260:U$302),COS_RR!$AD$10)</f>
        <v>0</v>
      </c>
      <c r="U39" s="606">
        <f>+ROUND($G39*SUMIF(COS_RR!$E$260:$E$302,$H39,COS_RR!V$260:V$302),COS_RR!$AD$10)</f>
        <v>0</v>
      </c>
      <c r="V39" s="606">
        <f>+ROUND($G39*SUMIF(COS_RR!$E$260:$E$302,$H39,COS_RR!W$260:W$302),COS_RR!$AD$10)</f>
        <v>0</v>
      </c>
      <c r="W39" s="606">
        <f>+ROUND($G39*SUMIF(COS_RR!$E$260:$E$302,$H39,COS_RR!X$260:X$302),COS_RR!$AD$10)</f>
        <v>0</v>
      </c>
      <c r="X39" s="606">
        <f>+ROUND($G39*SUMIF(COS_RR!$E$260:$E$302,$H39,COS_RR!Y$260:Y$302),COS_RR!$AD$10)</f>
        <v>0</v>
      </c>
      <c r="Y39" s="606">
        <f>+ROUND($G39*SUMIF(COS_RR!$E$260:$E$302,$H39,COS_RR!Z$260:Z$302),COS_RR!$AD$10)</f>
        <v>0</v>
      </c>
      <c r="Z39" s="606">
        <f>+ROUND($G39*SUMIF(COS_RR!$E$260:$E$302,$H39,COS_RR!AA$260:AA$302),COS_RR!$AD$10)</f>
        <v>0</v>
      </c>
      <c r="AA39" s="1"/>
      <c r="AD39" s="193">
        <f t="shared" si="3"/>
        <v>0</v>
      </c>
    </row>
    <row r="40" spans="1:30" s="4" customFormat="1">
      <c r="A40" s="411"/>
      <c r="B40" s="84"/>
      <c r="C40" s="236">
        <f>MAX($C$7:C39)+1</f>
        <v>21</v>
      </c>
      <c r="D40" s="237">
        <f>'O&amp;M_Detail - Elec'!D29</f>
        <v>537010</v>
      </c>
      <c r="E40" s="112" t="str">
        <f>'O&amp;M_Detail - Elec'!E29</f>
        <v>HYDRAULIC EXPENSES (MAJOR)</v>
      </c>
      <c r="F40" s="112"/>
      <c r="G40" s="3091">
        <f>SUMIFS('Labor Exp 2016'!$F$3:$F$219,'Labor Exp 2016'!$C$3:$C$219,$D40)</f>
        <v>0</v>
      </c>
      <c r="H40" s="3123" t="str">
        <f>COS_RR!H74</f>
        <v>Power - Capacity</v>
      </c>
      <c r="I40" s="606">
        <f>+ROUND($G40*SUMIF(COS_RR!$E$260:$E$302,$H40,COS_RR!J$260:J$302),COS_RR!$AD$10)</f>
        <v>0</v>
      </c>
      <c r="J40" s="606">
        <f>+ROUND($G40*SUMIF(COS_RR!$E$260:$E$302,$H40,COS_RR!K$260:K$302),COS_RR!$AD$10)</f>
        <v>0</v>
      </c>
      <c r="K40" s="606">
        <f>+ROUND($G40*SUMIF(COS_RR!$E$260:$E$302,$H40,COS_RR!L$260:L$302),COS_RR!$AD$10)</f>
        <v>0</v>
      </c>
      <c r="L40" s="606">
        <f>+ROUND($G40*SUMIF(COS_RR!$E$260:$E$302,$H40,COS_RR!M$260:M$302),COS_RR!$AD$10)</f>
        <v>0</v>
      </c>
      <c r="M40" s="606">
        <f>+ROUND($G40*SUMIF(COS_RR!$E$260:$E$302,$H40,COS_RR!N$260:N$302),COS_RR!$AD$10)</f>
        <v>0</v>
      </c>
      <c r="N40" s="606">
        <f>+ROUND($G40*SUMIF(COS_RR!$E$260:$E$302,$H40,COS_RR!O$260:O$302),COS_RR!$AD$10)</f>
        <v>0</v>
      </c>
      <c r="O40" s="606">
        <f>+ROUND($G40*SUMIF(COS_RR!$E$260:$E$302,$H40,COS_RR!P$260:P$302),COS_RR!$AD$10)</f>
        <v>0</v>
      </c>
      <c r="P40" s="606">
        <f>+ROUND($G40*SUMIF(COS_RR!$E$260:$E$302,$H40,COS_RR!Q$260:Q$302),COS_RR!$AD$10)</f>
        <v>0</v>
      </c>
      <c r="Q40" s="606">
        <f>+ROUND($G40*SUMIF(COS_RR!$E$260:$E$302,$H40,COS_RR!R$260:R$302),COS_RR!$AD$10)</f>
        <v>0</v>
      </c>
      <c r="R40" s="606">
        <f>+ROUND($G40*SUMIF(COS_RR!$E$260:$E$302,$H40,COS_RR!S$260:S$302),COS_RR!$AD$10)</f>
        <v>0</v>
      </c>
      <c r="S40" s="606">
        <f>+ROUND($G40*SUMIF(COS_RR!$E$260:$E$302,$H40,COS_RR!T$260:T$302),COS_RR!$AD$10)</f>
        <v>0</v>
      </c>
      <c r="T40" s="606">
        <f>+ROUND($G40*SUMIF(COS_RR!$E$260:$E$302,$H40,COS_RR!U$260:U$302),COS_RR!$AD$10)</f>
        <v>0</v>
      </c>
      <c r="U40" s="606">
        <f>+ROUND($G40*SUMIF(COS_RR!$E$260:$E$302,$H40,COS_RR!V$260:V$302),COS_RR!$AD$10)</f>
        <v>0</v>
      </c>
      <c r="V40" s="606">
        <f>+ROUND($G40*SUMIF(COS_RR!$E$260:$E$302,$H40,COS_RR!W$260:W$302),COS_RR!$AD$10)</f>
        <v>0</v>
      </c>
      <c r="W40" s="606">
        <f>+ROUND($G40*SUMIF(COS_RR!$E$260:$E$302,$H40,COS_RR!X$260:X$302),COS_RR!$AD$10)</f>
        <v>0</v>
      </c>
      <c r="X40" s="606">
        <f>+ROUND($G40*SUMIF(COS_RR!$E$260:$E$302,$H40,COS_RR!Y$260:Y$302),COS_RR!$AD$10)</f>
        <v>0</v>
      </c>
      <c r="Y40" s="606">
        <f>+ROUND($G40*SUMIF(COS_RR!$E$260:$E$302,$H40,COS_RR!Z$260:Z$302),COS_RR!$AD$10)</f>
        <v>0</v>
      </c>
      <c r="Z40" s="606">
        <f>+ROUND($G40*SUMIF(COS_RR!$E$260:$E$302,$H40,COS_RR!AA$260:AA$302),COS_RR!$AD$10)</f>
        <v>0</v>
      </c>
      <c r="AA40" s="1"/>
      <c r="AD40" s="193">
        <f t="shared" si="3"/>
        <v>0</v>
      </c>
    </row>
    <row r="41" spans="1:30" s="4" customFormat="1">
      <c r="A41" s="411"/>
      <c r="B41" s="84"/>
      <c r="C41" s="236">
        <f>MAX($C$7:C40)+1</f>
        <v>22</v>
      </c>
      <c r="D41" s="237">
        <f>'O&amp;M_Detail - Elec'!D30</f>
        <v>537500</v>
      </c>
      <c r="E41" s="112" t="str">
        <f>'O&amp;M_Detail - Elec'!E30</f>
        <v>HYDRL EXP-QC</v>
      </c>
      <c r="F41" s="112"/>
      <c r="G41" s="3091">
        <f>SUMIFS('Labor Exp 2016'!$F$3:$F$219,'Labor Exp 2016'!$C$3:$C$219,$D41)</f>
        <v>16136.890000000003</v>
      </c>
      <c r="H41" s="3123" t="str">
        <f>COS_RR!H75</f>
        <v>Power - Capacity</v>
      </c>
      <c r="I41" s="606">
        <f>+ROUND($G41*SUMIF(COS_RR!$E$260:$E$302,$H41,COS_RR!J$260:J$302),COS_RR!$AD$10)</f>
        <v>0</v>
      </c>
      <c r="J41" s="606">
        <f>+ROUND($G41*SUMIF(COS_RR!$E$260:$E$302,$H41,COS_RR!K$260:K$302),COS_RR!$AD$10)</f>
        <v>16137</v>
      </c>
      <c r="K41" s="606">
        <f>+ROUND($G41*SUMIF(COS_RR!$E$260:$E$302,$H41,COS_RR!L$260:L$302),COS_RR!$AD$10)</f>
        <v>0</v>
      </c>
      <c r="L41" s="606">
        <f>+ROUND($G41*SUMIF(COS_RR!$E$260:$E$302,$H41,COS_RR!M$260:M$302),COS_RR!$AD$10)</f>
        <v>0</v>
      </c>
      <c r="M41" s="606">
        <f>+ROUND($G41*SUMIF(COS_RR!$E$260:$E$302,$H41,COS_RR!N$260:N$302),COS_RR!$AD$10)</f>
        <v>0</v>
      </c>
      <c r="N41" s="606">
        <f>+ROUND($G41*SUMIF(COS_RR!$E$260:$E$302,$H41,COS_RR!O$260:O$302),COS_RR!$AD$10)</f>
        <v>0</v>
      </c>
      <c r="O41" s="606">
        <f>+ROUND($G41*SUMIF(COS_RR!$E$260:$E$302,$H41,COS_RR!P$260:P$302),COS_RR!$AD$10)</f>
        <v>0</v>
      </c>
      <c r="P41" s="606">
        <f>+ROUND($G41*SUMIF(COS_RR!$E$260:$E$302,$H41,COS_RR!Q$260:Q$302),COS_RR!$AD$10)</f>
        <v>0</v>
      </c>
      <c r="Q41" s="606">
        <f>+ROUND($G41*SUMIF(COS_RR!$E$260:$E$302,$H41,COS_RR!R$260:R$302),COS_RR!$AD$10)</f>
        <v>0</v>
      </c>
      <c r="R41" s="606">
        <f>+ROUND($G41*SUMIF(COS_RR!$E$260:$E$302,$H41,COS_RR!S$260:S$302),COS_RR!$AD$10)</f>
        <v>0</v>
      </c>
      <c r="S41" s="606">
        <f>+ROUND($G41*SUMIF(COS_RR!$E$260:$E$302,$H41,COS_RR!T$260:T$302),COS_RR!$AD$10)</f>
        <v>0</v>
      </c>
      <c r="T41" s="606">
        <f>+ROUND($G41*SUMIF(COS_RR!$E$260:$E$302,$H41,COS_RR!U$260:U$302),COS_RR!$AD$10)</f>
        <v>0</v>
      </c>
      <c r="U41" s="606">
        <f>+ROUND($G41*SUMIF(COS_RR!$E$260:$E$302,$H41,COS_RR!V$260:V$302),COS_RR!$AD$10)</f>
        <v>0</v>
      </c>
      <c r="V41" s="606">
        <f>+ROUND($G41*SUMIF(COS_RR!$E$260:$E$302,$H41,COS_RR!W$260:W$302),COS_RR!$AD$10)</f>
        <v>0</v>
      </c>
      <c r="W41" s="606">
        <f>+ROUND($G41*SUMIF(COS_RR!$E$260:$E$302,$H41,COS_RR!X$260:X$302),COS_RR!$AD$10)</f>
        <v>0</v>
      </c>
      <c r="X41" s="606">
        <f>+ROUND($G41*SUMIF(COS_RR!$E$260:$E$302,$H41,COS_RR!Y$260:Y$302),COS_RR!$AD$10)</f>
        <v>0</v>
      </c>
      <c r="Y41" s="606">
        <f>+ROUND($G41*SUMIF(COS_RR!$E$260:$E$302,$H41,COS_RR!Z$260:Z$302),COS_RR!$AD$10)</f>
        <v>0</v>
      </c>
      <c r="Z41" s="606">
        <f>+ROUND($G41*SUMIF(COS_RR!$E$260:$E$302,$H41,COS_RR!AA$260:AA$302),COS_RR!$AD$10)</f>
        <v>0</v>
      </c>
      <c r="AA41" s="1"/>
      <c r="AD41" s="193">
        <f t="shared" si="3"/>
        <v>0.1099999999969441</v>
      </c>
    </row>
    <row r="42" spans="1:30" s="4" customFormat="1">
      <c r="A42" s="411"/>
      <c r="B42" s="84"/>
      <c r="C42" s="236">
        <f>MAX($C$7:C41)+1</f>
        <v>23</v>
      </c>
      <c r="D42" s="237">
        <f>'O&amp;M_Detail - Elec'!D31</f>
        <v>537600</v>
      </c>
      <c r="E42" s="112" t="str">
        <f>'O&amp;M_Detail - Elec'!E31</f>
        <v>HYDRL EXP-PEC</v>
      </c>
      <c r="F42" s="112"/>
      <c r="G42" s="3091">
        <f>SUMIFS('Labor Exp 2016'!$F$3:$F$219,'Labor Exp 2016'!$C$3:$C$219,$D42)</f>
        <v>10452.779999999999</v>
      </c>
      <c r="H42" s="3123" t="str">
        <f>COS_RR!H76</f>
        <v>Power - Capacity</v>
      </c>
      <c r="I42" s="606">
        <f>+ROUND($G42*SUMIF(COS_RR!$E$260:$E$302,$H42,COS_RR!J$260:J$302),COS_RR!$AD$10)</f>
        <v>0</v>
      </c>
      <c r="J42" s="606">
        <f>+ROUND($G42*SUMIF(COS_RR!$E$260:$E$302,$H42,COS_RR!K$260:K$302),COS_RR!$AD$10)</f>
        <v>10453</v>
      </c>
      <c r="K42" s="606">
        <f>+ROUND($G42*SUMIF(COS_RR!$E$260:$E$302,$H42,COS_RR!L$260:L$302),COS_RR!$AD$10)</f>
        <v>0</v>
      </c>
      <c r="L42" s="606">
        <f>+ROUND($G42*SUMIF(COS_RR!$E$260:$E$302,$H42,COS_RR!M$260:M$302),COS_RR!$AD$10)</f>
        <v>0</v>
      </c>
      <c r="M42" s="606">
        <f>+ROUND($G42*SUMIF(COS_RR!$E$260:$E$302,$H42,COS_RR!N$260:N$302),COS_RR!$AD$10)</f>
        <v>0</v>
      </c>
      <c r="N42" s="606">
        <f>+ROUND($G42*SUMIF(COS_RR!$E$260:$E$302,$H42,COS_RR!O$260:O$302),COS_RR!$AD$10)</f>
        <v>0</v>
      </c>
      <c r="O42" s="606">
        <f>+ROUND($G42*SUMIF(COS_RR!$E$260:$E$302,$H42,COS_RR!P$260:P$302),COS_RR!$AD$10)</f>
        <v>0</v>
      </c>
      <c r="P42" s="606">
        <f>+ROUND($G42*SUMIF(COS_RR!$E$260:$E$302,$H42,COS_RR!Q$260:Q$302),COS_RR!$AD$10)</f>
        <v>0</v>
      </c>
      <c r="Q42" s="606">
        <f>+ROUND($G42*SUMIF(COS_RR!$E$260:$E$302,$H42,COS_RR!R$260:R$302),COS_RR!$AD$10)</f>
        <v>0</v>
      </c>
      <c r="R42" s="606">
        <f>+ROUND($G42*SUMIF(COS_RR!$E$260:$E$302,$H42,COS_RR!S$260:S$302),COS_RR!$AD$10)</f>
        <v>0</v>
      </c>
      <c r="S42" s="606">
        <f>+ROUND($G42*SUMIF(COS_RR!$E$260:$E$302,$H42,COS_RR!T$260:T$302),COS_RR!$AD$10)</f>
        <v>0</v>
      </c>
      <c r="T42" s="606">
        <f>+ROUND($G42*SUMIF(COS_RR!$E$260:$E$302,$H42,COS_RR!U$260:U$302),COS_RR!$AD$10)</f>
        <v>0</v>
      </c>
      <c r="U42" s="606">
        <f>+ROUND($G42*SUMIF(COS_RR!$E$260:$E$302,$H42,COS_RR!V$260:V$302),COS_RR!$AD$10)</f>
        <v>0</v>
      </c>
      <c r="V42" s="606">
        <f>+ROUND($G42*SUMIF(COS_RR!$E$260:$E$302,$H42,COS_RR!W$260:W$302),COS_RR!$AD$10)</f>
        <v>0</v>
      </c>
      <c r="W42" s="606">
        <f>+ROUND($G42*SUMIF(COS_RR!$E$260:$E$302,$H42,COS_RR!X$260:X$302),COS_RR!$AD$10)</f>
        <v>0</v>
      </c>
      <c r="X42" s="606">
        <f>+ROUND($G42*SUMIF(COS_RR!$E$260:$E$302,$H42,COS_RR!Y$260:Y$302),COS_RR!$AD$10)</f>
        <v>0</v>
      </c>
      <c r="Y42" s="606">
        <f>+ROUND($G42*SUMIF(COS_RR!$E$260:$E$302,$H42,COS_RR!Z$260:Z$302),COS_RR!$AD$10)</f>
        <v>0</v>
      </c>
      <c r="Z42" s="606">
        <f>+ROUND($G42*SUMIF(COS_RR!$E$260:$E$302,$H42,COS_RR!AA$260:AA$302),COS_RR!$AD$10)</f>
        <v>0</v>
      </c>
      <c r="AA42" s="1"/>
      <c r="AD42" s="193">
        <f t="shared" si="3"/>
        <v>0.22000000000116415</v>
      </c>
    </row>
    <row r="43" spans="1:30" s="4" customFormat="1">
      <c r="A43" s="411"/>
      <c r="B43" s="84"/>
      <c r="C43" s="236">
        <f>MAX($C$7:C42)+1</f>
        <v>24</v>
      </c>
      <c r="D43" s="237">
        <f>'O&amp;M_Detail - Elec'!D32</f>
        <v>538500</v>
      </c>
      <c r="E43" s="112" t="str">
        <f>'O&amp;M_Detail - Elec'!E32</f>
        <v>ELECTRIC EXP-QC</v>
      </c>
      <c r="F43" s="112"/>
      <c r="G43" s="3091">
        <f>SUMIFS('Labor Exp 2016'!$F$3:$F$219,'Labor Exp 2016'!$C$3:$C$219,$D43)</f>
        <v>16136.890000000003</v>
      </c>
      <c r="H43" s="3123" t="str">
        <f>COS_RR!H77</f>
        <v>Power - Capacity</v>
      </c>
      <c r="I43" s="606">
        <f>+ROUND($G43*SUMIF(COS_RR!$E$260:$E$302,$H43,COS_RR!J$260:J$302),COS_RR!$AD$10)</f>
        <v>0</v>
      </c>
      <c r="J43" s="606">
        <f>+ROUND($G43*SUMIF(COS_RR!$E$260:$E$302,$H43,COS_RR!K$260:K$302),COS_RR!$AD$10)</f>
        <v>16137</v>
      </c>
      <c r="K43" s="606">
        <f>+ROUND($G43*SUMIF(COS_RR!$E$260:$E$302,$H43,COS_RR!L$260:L$302),COS_RR!$AD$10)</f>
        <v>0</v>
      </c>
      <c r="L43" s="606">
        <f>+ROUND($G43*SUMIF(COS_RR!$E$260:$E$302,$H43,COS_RR!M$260:M$302),COS_RR!$AD$10)</f>
        <v>0</v>
      </c>
      <c r="M43" s="606">
        <f>+ROUND($G43*SUMIF(COS_RR!$E$260:$E$302,$H43,COS_RR!N$260:N$302),COS_RR!$AD$10)</f>
        <v>0</v>
      </c>
      <c r="N43" s="606">
        <f>+ROUND($G43*SUMIF(COS_RR!$E$260:$E$302,$H43,COS_RR!O$260:O$302),COS_RR!$AD$10)</f>
        <v>0</v>
      </c>
      <c r="O43" s="606">
        <f>+ROUND($G43*SUMIF(COS_RR!$E$260:$E$302,$H43,COS_RR!P$260:P$302),COS_RR!$AD$10)</f>
        <v>0</v>
      </c>
      <c r="P43" s="606">
        <f>+ROUND($G43*SUMIF(COS_RR!$E$260:$E$302,$H43,COS_RR!Q$260:Q$302),COS_RR!$AD$10)</f>
        <v>0</v>
      </c>
      <c r="Q43" s="606">
        <f>+ROUND($G43*SUMIF(COS_RR!$E$260:$E$302,$H43,COS_RR!R$260:R$302),COS_RR!$AD$10)</f>
        <v>0</v>
      </c>
      <c r="R43" s="606">
        <f>+ROUND($G43*SUMIF(COS_RR!$E$260:$E$302,$H43,COS_RR!S$260:S$302),COS_RR!$AD$10)</f>
        <v>0</v>
      </c>
      <c r="S43" s="606">
        <f>+ROUND($G43*SUMIF(COS_RR!$E$260:$E$302,$H43,COS_RR!T$260:T$302),COS_RR!$AD$10)</f>
        <v>0</v>
      </c>
      <c r="T43" s="606">
        <f>+ROUND($G43*SUMIF(COS_RR!$E$260:$E$302,$H43,COS_RR!U$260:U$302),COS_RR!$AD$10)</f>
        <v>0</v>
      </c>
      <c r="U43" s="606">
        <f>+ROUND($G43*SUMIF(COS_RR!$E$260:$E$302,$H43,COS_RR!V$260:V$302),COS_RR!$AD$10)</f>
        <v>0</v>
      </c>
      <c r="V43" s="606">
        <f>+ROUND($G43*SUMIF(COS_RR!$E$260:$E$302,$H43,COS_RR!W$260:W$302),COS_RR!$AD$10)</f>
        <v>0</v>
      </c>
      <c r="W43" s="606">
        <f>+ROUND($G43*SUMIF(COS_RR!$E$260:$E$302,$H43,COS_RR!X$260:X$302),COS_RR!$AD$10)</f>
        <v>0</v>
      </c>
      <c r="X43" s="606">
        <f>+ROUND($G43*SUMIF(COS_RR!$E$260:$E$302,$H43,COS_RR!Y$260:Y$302),COS_RR!$AD$10)</f>
        <v>0</v>
      </c>
      <c r="Y43" s="606">
        <f>+ROUND($G43*SUMIF(COS_RR!$E$260:$E$302,$H43,COS_RR!Z$260:Z$302),COS_RR!$AD$10)</f>
        <v>0</v>
      </c>
      <c r="Z43" s="606">
        <f>+ROUND($G43*SUMIF(COS_RR!$E$260:$E$302,$H43,COS_RR!AA$260:AA$302),COS_RR!$AD$10)</f>
        <v>0</v>
      </c>
      <c r="AA43" s="1"/>
      <c r="AD43" s="193">
        <f t="shared" si="3"/>
        <v>0.1099999999969441</v>
      </c>
    </row>
    <row r="44" spans="1:30" s="4" customFormat="1">
      <c r="A44" s="411"/>
      <c r="B44" s="84"/>
      <c r="C44" s="236">
        <f>MAX($C$7:C43)+1</f>
        <v>25</v>
      </c>
      <c r="D44" s="237">
        <f>'O&amp;M_Detail - Elec'!D33</f>
        <v>538600</v>
      </c>
      <c r="E44" s="112" t="str">
        <f>'O&amp;M_Detail - Elec'!E33</f>
        <v>ELECTRIC EXP-PEC</v>
      </c>
      <c r="F44" s="112"/>
      <c r="G44" s="3091">
        <f>SUMIFS('Labor Exp 2016'!$F$3:$F$219,'Labor Exp 2016'!$C$3:$C$219,$D44)</f>
        <v>10452.779999999999</v>
      </c>
      <c r="H44" s="3123" t="str">
        <f>COS_RR!H78</f>
        <v>Power - Capacity</v>
      </c>
      <c r="I44" s="606">
        <f>+ROUND($G44*SUMIF(COS_RR!$E$260:$E$302,$H44,COS_RR!J$260:J$302),COS_RR!$AD$10)</f>
        <v>0</v>
      </c>
      <c r="J44" s="606">
        <f>+ROUND($G44*SUMIF(COS_RR!$E$260:$E$302,$H44,COS_RR!K$260:K$302),COS_RR!$AD$10)</f>
        <v>10453</v>
      </c>
      <c r="K44" s="606">
        <f>+ROUND($G44*SUMIF(COS_RR!$E$260:$E$302,$H44,COS_RR!L$260:L$302),COS_RR!$AD$10)</f>
        <v>0</v>
      </c>
      <c r="L44" s="606">
        <f>+ROUND($G44*SUMIF(COS_RR!$E$260:$E$302,$H44,COS_RR!M$260:M$302),COS_RR!$AD$10)</f>
        <v>0</v>
      </c>
      <c r="M44" s="606">
        <f>+ROUND($G44*SUMIF(COS_RR!$E$260:$E$302,$H44,COS_RR!N$260:N$302),COS_RR!$AD$10)</f>
        <v>0</v>
      </c>
      <c r="N44" s="606">
        <f>+ROUND($G44*SUMIF(COS_RR!$E$260:$E$302,$H44,COS_RR!O$260:O$302),COS_RR!$AD$10)</f>
        <v>0</v>
      </c>
      <c r="O44" s="606">
        <f>+ROUND($G44*SUMIF(COS_RR!$E$260:$E$302,$H44,COS_RR!P$260:P$302),COS_RR!$AD$10)</f>
        <v>0</v>
      </c>
      <c r="P44" s="606">
        <f>+ROUND($G44*SUMIF(COS_RR!$E$260:$E$302,$H44,COS_RR!Q$260:Q$302),COS_RR!$AD$10)</f>
        <v>0</v>
      </c>
      <c r="Q44" s="606">
        <f>+ROUND($G44*SUMIF(COS_RR!$E$260:$E$302,$H44,COS_RR!R$260:R$302),COS_RR!$AD$10)</f>
        <v>0</v>
      </c>
      <c r="R44" s="606">
        <f>+ROUND($G44*SUMIF(COS_RR!$E$260:$E$302,$H44,COS_RR!S$260:S$302),COS_RR!$AD$10)</f>
        <v>0</v>
      </c>
      <c r="S44" s="606">
        <f>+ROUND($G44*SUMIF(COS_RR!$E$260:$E$302,$H44,COS_RR!T$260:T$302),COS_RR!$AD$10)</f>
        <v>0</v>
      </c>
      <c r="T44" s="606">
        <f>+ROUND($G44*SUMIF(COS_RR!$E$260:$E$302,$H44,COS_RR!U$260:U$302),COS_RR!$AD$10)</f>
        <v>0</v>
      </c>
      <c r="U44" s="606">
        <f>+ROUND($G44*SUMIF(COS_RR!$E$260:$E$302,$H44,COS_RR!V$260:V$302),COS_RR!$AD$10)</f>
        <v>0</v>
      </c>
      <c r="V44" s="606">
        <f>+ROUND($G44*SUMIF(COS_RR!$E$260:$E$302,$H44,COS_RR!W$260:W$302),COS_RR!$AD$10)</f>
        <v>0</v>
      </c>
      <c r="W44" s="606">
        <f>+ROUND($G44*SUMIF(COS_RR!$E$260:$E$302,$H44,COS_RR!X$260:X$302),COS_RR!$AD$10)</f>
        <v>0</v>
      </c>
      <c r="X44" s="606">
        <f>+ROUND($G44*SUMIF(COS_RR!$E$260:$E$302,$H44,COS_RR!Y$260:Y$302),COS_RR!$AD$10)</f>
        <v>0</v>
      </c>
      <c r="Y44" s="606">
        <f>+ROUND($G44*SUMIF(COS_RR!$E$260:$E$302,$H44,COS_RR!Z$260:Z$302),COS_RR!$AD$10)</f>
        <v>0</v>
      </c>
      <c r="Z44" s="606">
        <f>+ROUND($G44*SUMIF(COS_RR!$E$260:$E$302,$H44,COS_RR!AA$260:AA$302),COS_RR!$AD$10)</f>
        <v>0</v>
      </c>
      <c r="AA44" s="1"/>
      <c r="AD44" s="193">
        <f t="shared" si="3"/>
        <v>0.22000000000116415</v>
      </c>
    </row>
    <row r="45" spans="1:30" s="4" customFormat="1">
      <c r="A45" s="411"/>
      <c r="B45" s="84"/>
      <c r="C45" s="236">
        <f>MAX($C$7:C44)+1</f>
        <v>26</v>
      </c>
      <c r="D45" s="237">
        <f>'O&amp;M_Detail - Elec'!D34</f>
        <v>539010</v>
      </c>
      <c r="E45" s="112" t="str">
        <f>'O&amp;M_Detail - Elec'!E34</f>
        <v>MISC HYD GENR-GENERAL EXP</v>
      </c>
      <c r="F45" s="112"/>
      <c r="G45" s="3091">
        <f>SUMIFS('Labor Exp 2016'!$F$3:$F$219,'Labor Exp 2016'!$C$3:$C$219,$D45)</f>
        <v>0</v>
      </c>
      <c r="H45" s="3123" t="str">
        <f>COS_RR!H79</f>
        <v>Power - Capacity</v>
      </c>
      <c r="I45" s="606">
        <f>+ROUND($G45*SUMIF(COS_RR!$E$260:$E$302,$H45,COS_RR!J$260:J$302),COS_RR!$AD$10)</f>
        <v>0</v>
      </c>
      <c r="J45" s="606">
        <f>+ROUND($G45*SUMIF(COS_RR!$E$260:$E$302,$H45,COS_RR!K$260:K$302),COS_RR!$AD$10)</f>
        <v>0</v>
      </c>
      <c r="K45" s="606">
        <f>+ROUND($G45*SUMIF(COS_RR!$E$260:$E$302,$H45,COS_RR!L$260:L$302),COS_RR!$AD$10)</f>
        <v>0</v>
      </c>
      <c r="L45" s="606">
        <f>+ROUND($G45*SUMIF(COS_RR!$E$260:$E$302,$H45,COS_RR!M$260:M$302),COS_RR!$AD$10)</f>
        <v>0</v>
      </c>
      <c r="M45" s="606">
        <f>+ROUND($G45*SUMIF(COS_RR!$E$260:$E$302,$H45,COS_RR!N$260:N$302),COS_RR!$AD$10)</f>
        <v>0</v>
      </c>
      <c r="N45" s="606">
        <f>+ROUND($G45*SUMIF(COS_RR!$E$260:$E$302,$H45,COS_RR!O$260:O$302),COS_RR!$AD$10)</f>
        <v>0</v>
      </c>
      <c r="O45" s="606">
        <f>+ROUND($G45*SUMIF(COS_RR!$E$260:$E$302,$H45,COS_RR!P$260:P$302),COS_RR!$AD$10)</f>
        <v>0</v>
      </c>
      <c r="P45" s="606">
        <f>+ROUND($G45*SUMIF(COS_RR!$E$260:$E$302,$H45,COS_RR!Q$260:Q$302),COS_RR!$AD$10)</f>
        <v>0</v>
      </c>
      <c r="Q45" s="606">
        <f>+ROUND($G45*SUMIF(COS_RR!$E$260:$E$302,$H45,COS_RR!R$260:R$302),COS_RR!$AD$10)</f>
        <v>0</v>
      </c>
      <c r="R45" s="606">
        <f>+ROUND($G45*SUMIF(COS_RR!$E$260:$E$302,$H45,COS_RR!S$260:S$302),COS_RR!$AD$10)</f>
        <v>0</v>
      </c>
      <c r="S45" s="606">
        <f>+ROUND($G45*SUMIF(COS_RR!$E$260:$E$302,$H45,COS_RR!T$260:T$302),COS_RR!$AD$10)</f>
        <v>0</v>
      </c>
      <c r="T45" s="606">
        <f>+ROUND($G45*SUMIF(COS_RR!$E$260:$E$302,$H45,COS_RR!U$260:U$302),COS_RR!$AD$10)</f>
        <v>0</v>
      </c>
      <c r="U45" s="606">
        <f>+ROUND($G45*SUMIF(COS_RR!$E$260:$E$302,$H45,COS_RR!V$260:V$302),COS_RR!$AD$10)</f>
        <v>0</v>
      </c>
      <c r="V45" s="606">
        <f>+ROUND($G45*SUMIF(COS_RR!$E$260:$E$302,$H45,COS_RR!W$260:W$302),COS_RR!$AD$10)</f>
        <v>0</v>
      </c>
      <c r="W45" s="606">
        <f>+ROUND($G45*SUMIF(COS_RR!$E$260:$E$302,$H45,COS_RR!X$260:X$302),COS_RR!$AD$10)</f>
        <v>0</v>
      </c>
      <c r="X45" s="606">
        <f>+ROUND($G45*SUMIF(COS_RR!$E$260:$E$302,$H45,COS_RR!Y$260:Y$302),COS_RR!$AD$10)</f>
        <v>0</v>
      </c>
      <c r="Y45" s="606">
        <f>+ROUND($G45*SUMIF(COS_RR!$E$260:$E$302,$H45,COS_RR!Z$260:Z$302),COS_RR!$AD$10)</f>
        <v>0</v>
      </c>
      <c r="Z45" s="606">
        <f>+ROUND($G45*SUMIF(COS_RR!$E$260:$E$302,$H45,COS_RR!AA$260:AA$302),COS_RR!$AD$10)</f>
        <v>0</v>
      </c>
      <c r="AA45" s="1"/>
      <c r="AD45" s="193">
        <f t="shared" si="3"/>
        <v>0</v>
      </c>
    </row>
    <row r="46" spans="1:30" s="4" customFormat="1">
      <c r="A46" s="411"/>
      <c r="B46" s="84"/>
      <c r="C46" s="236">
        <f>MAX($C$7:C45)+1</f>
        <v>27</v>
      </c>
      <c r="D46" s="237">
        <f>'O&amp;M_Detail - Elec'!D35</f>
        <v>539600</v>
      </c>
      <c r="E46" s="112" t="str">
        <f>'O&amp;M_Detail - Elec'!E35</f>
        <v>MISC HYD GENR-PEC</v>
      </c>
      <c r="F46" s="112"/>
      <c r="G46" s="3091">
        <f>SUMIFS('Labor Exp 2016'!$F$3:$F$219,'Labor Exp 2016'!$C$3:$C$219,$D46)</f>
        <v>0</v>
      </c>
      <c r="H46" s="3123" t="str">
        <f>COS_RR!H80</f>
        <v>Power - Capacity</v>
      </c>
      <c r="I46" s="606">
        <f>+ROUND($G46*SUMIF(COS_RR!$E$260:$E$302,$H46,COS_RR!J$260:J$302),COS_RR!$AD$10)</f>
        <v>0</v>
      </c>
      <c r="J46" s="606">
        <f>+ROUND($G46*SUMIF(COS_RR!$E$260:$E$302,$H46,COS_RR!K$260:K$302),COS_RR!$AD$10)</f>
        <v>0</v>
      </c>
      <c r="K46" s="606">
        <f>+ROUND($G46*SUMIF(COS_RR!$E$260:$E$302,$H46,COS_RR!L$260:L$302),COS_RR!$AD$10)</f>
        <v>0</v>
      </c>
      <c r="L46" s="606">
        <f>+ROUND($G46*SUMIF(COS_RR!$E$260:$E$302,$H46,COS_RR!M$260:M$302),COS_RR!$AD$10)</f>
        <v>0</v>
      </c>
      <c r="M46" s="606">
        <f>+ROUND($G46*SUMIF(COS_RR!$E$260:$E$302,$H46,COS_RR!N$260:N$302),COS_RR!$AD$10)</f>
        <v>0</v>
      </c>
      <c r="N46" s="606">
        <f>+ROUND($G46*SUMIF(COS_RR!$E$260:$E$302,$H46,COS_RR!O$260:O$302),COS_RR!$AD$10)</f>
        <v>0</v>
      </c>
      <c r="O46" s="606">
        <f>+ROUND($G46*SUMIF(COS_RR!$E$260:$E$302,$H46,COS_RR!P$260:P$302),COS_RR!$AD$10)</f>
        <v>0</v>
      </c>
      <c r="P46" s="606">
        <f>+ROUND($G46*SUMIF(COS_RR!$E$260:$E$302,$H46,COS_RR!Q$260:Q$302),COS_RR!$AD$10)</f>
        <v>0</v>
      </c>
      <c r="Q46" s="606">
        <f>+ROUND($G46*SUMIF(COS_RR!$E$260:$E$302,$H46,COS_RR!R$260:R$302),COS_RR!$AD$10)</f>
        <v>0</v>
      </c>
      <c r="R46" s="606">
        <f>+ROUND($G46*SUMIF(COS_RR!$E$260:$E$302,$H46,COS_RR!S$260:S$302),COS_RR!$AD$10)</f>
        <v>0</v>
      </c>
      <c r="S46" s="606">
        <f>+ROUND($G46*SUMIF(COS_RR!$E$260:$E$302,$H46,COS_RR!T$260:T$302),COS_RR!$AD$10)</f>
        <v>0</v>
      </c>
      <c r="T46" s="606">
        <f>+ROUND($G46*SUMIF(COS_RR!$E$260:$E$302,$H46,COS_RR!U$260:U$302),COS_RR!$AD$10)</f>
        <v>0</v>
      </c>
      <c r="U46" s="606">
        <f>+ROUND($G46*SUMIF(COS_RR!$E$260:$E$302,$H46,COS_RR!V$260:V$302),COS_RR!$AD$10)</f>
        <v>0</v>
      </c>
      <c r="V46" s="606">
        <f>+ROUND($G46*SUMIF(COS_RR!$E$260:$E$302,$H46,COS_RR!W$260:W$302),COS_RR!$AD$10)</f>
        <v>0</v>
      </c>
      <c r="W46" s="606">
        <f>+ROUND($G46*SUMIF(COS_RR!$E$260:$E$302,$H46,COS_RR!X$260:X$302),COS_RR!$AD$10)</f>
        <v>0</v>
      </c>
      <c r="X46" s="606">
        <f>+ROUND($G46*SUMIF(COS_RR!$E$260:$E$302,$H46,COS_RR!Y$260:Y$302),COS_RR!$AD$10)</f>
        <v>0</v>
      </c>
      <c r="Y46" s="606">
        <f>+ROUND($G46*SUMIF(COS_RR!$E$260:$E$302,$H46,COS_RR!Z$260:Z$302),COS_RR!$AD$10)</f>
        <v>0</v>
      </c>
      <c r="Z46" s="606">
        <f>+ROUND($G46*SUMIF(COS_RR!$E$260:$E$302,$H46,COS_RR!AA$260:AA$302),COS_RR!$AD$10)</f>
        <v>0</v>
      </c>
      <c r="AA46" s="1"/>
      <c r="AD46" s="193">
        <f t="shared" si="3"/>
        <v>0</v>
      </c>
    </row>
    <row r="47" spans="1:30" s="4" customFormat="1">
      <c r="A47" s="411"/>
      <c r="B47" s="84"/>
      <c r="C47" s="236">
        <f>MAX($C$7:C46)+1</f>
        <v>28</v>
      </c>
      <c r="D47" s="237">
        <f>'O&amp;M_Detail - Elec'!D36</f>
        <v>541500</v>
      </c>
      <c r="E47" s="112" t="str">
        <f>'O&amp;M_Detail - Elec'!E36</f>
        <v>HYD MAINT-SUPV &amp; ENG-QC</v>
      </c>
      <c r="F47" s="112"/>
      <c r="G47" s="3091">
        <f>SUMIFS('Labor Exp 2016'!$F$3:$F$219,'Labor Exp 2016'!$C$3:$C$219,$D47)</f>
        <v>0</v>
      </c>
      <c r="H47" s="3123" t="str">
        <f>COS_RR!H81</f>
        <v>Power - Capacity</v>
      </c>
      <c r="I47" s="606">
        <f>+ROUND($G47*SUMIF(COS_RR!$E$260:$E$302,$H47,COS_RR!J$260:J$302),COS_RR!$AD$10)</f>
        <v>0</v>
      </c>
      <c r="J47" s="606">
        <f>+ROUND($G47*SUMIF(COS_RR!$E$260:$E$302,$H47,COS_RR!K$260:K$302),COS_RR!$AD$10)</f>
        <v>0</v>
      </c>
      <c r="K47" s="606">
        <f>+ROUND($G47*SUMIF(COS_RR!$E$260:$E$302,$H47,COS_RR!L$260:L$302),COS_RR!$AD$10)</f>
        <v>0</v>
      </c>
      <c r="L47" s="606">
        <f>+ROUND($G47*SUMIF(COS_RR!$E$260:$E$302,$H47,COS_RR!M$260:M$302),COS_RR!$AD$10)</f>
        <v>0</v>
      </c>
      <c r="M47" s="606">
        <f>+ROUND($G47*SUMIF(COS_RR!$E$260:$E$302,$H47,COS_RR!N$260:N$302),COS_RR!$AD$10)</f>
        <v>0</v>
      </c>
      <c r="N47" s="606">
        <f>+ROUND($G47*SUMIF(COS_RR!$E$260:$E$302,$H47,COS_RR!O$260:O$302),COS_RR!$AD$10)</f>
        <v>0</v>
      </c>
      <c r="O47" s="606">
        <f>+ROUND($G47*SUMIF(COS_RR!$E$260:$E$302,$H47,COS_RR!P$260:P$302),COS_RR!$AD$10)</f>
        <v>0</v>
      </c>
      <c r="P47" s="606">
        <f>+ROUND($G47*SUMIF(COS_RR!$E$260:$E$302,$H47,COS_RR!Q$260:Q$302),COS_RR!$AD$10)</f>
        <v>0</v>
      </c>
      <c r="Q47" s="606">
        <f>+ROUND($G47*SUMIF(COS_RR!$E$260:$E$302,$H47,COS_RR!R$260:R$302),COS_RR!$AD$10)</f>
        <v>0</v>
      </c>
      <c r="R47" s="606">
        <f>+ROUND($G47*SUMIF(COS_RR!$E$260:$E$302,$H47,COS_RR!S$260:S$302),COS_RR!$AD$10)</f>
        <v>0</v>
      </c>
      <c r="S47" s="606">
        <f>+ROUND($G47*SUMIF(COS_RR!$E$260:$E$302,$H47,COS_RR!T$260:T$302),COS_RR!$AD$10)</f>
        <v>0</v>
      </c>
      <c r="T47" s="606">
        <f>+ROUND($G47*SUMIF(COS_RR!$E$260:$E$302,$H47,COS_RR!U$260:U$302),COS_RR!$AD$10)</f>
        <v>0</v>
      </c>
      <c r="U47" s="606">
        <f>+ROUND($G47*SUMIF(COS_RR!$E$260:$E$302,$H47,COS_RR!V$260:V$302),COS_RR!$AD$10)</f>
        <v>0</v>
      </c>
      <c r="V47" s="606">
        <f>+ROUND($G47*SUMIF(COS_RR!$E$260:$E$302,$H47,COS_RR!W$260:W$302),COS_RR!$AD$10)</f>
        <v>0</v>
      </c>
      <c r="W47" s="606">
        <f>+ROUND($G47*SUMIF(COS_RR!$E$260:$E$302,$H47,COS_RR!X$260:X$302),COS_RR!$AD$10)</f>
        <v>0</v>
      </c>
      <c r="X47" s="606">
        <f>+ROUND($G47*SUMIF(COS_RR!$E$260:$E$302,$H47,COS_RR!Y$260:Y$302),COS_RR!$AD$10)</f>
        <v>0</v>
      </c>
      <c r="Y47" s="606">
        <f>+ROUND($G47*SUMIF(COS_RR!$E$260:$E$302,$H47,COS_RR!Z$260:Z$302),COS_RR!$AD$10)</f>
        <v>0</v>
      </c>
      <c r="Z47" s="606">
        <f>+ROUND($G47*SUMIF(COS_RR!$E$260:$E$302,$H47,COS_RR!AA$260:AA$302),COS_RR!$AD$10)</f>
        <v>0</v>
      </c>
      <c r="AA47" s="1"/>
      <c r="AD47" s="193">
        <f t="shared" si="3"/>
        <v>0</v>
      </c>
    </row>
    <row r="48" spans="1:30" s="4" customFormat="1">
      <c r="A48" s="411"/>
      <c r="B48" s="84"/>
      <c r="C48" s="236">
        <f>MAX($C$7:C47)+1</f>
        <v>29</v>
      </c>
      <c r="D48" s="237">
        <f>'O&amp;M_Detail - Elec'!D37</f>
        <v>541600</v>
      </c>
      <c r="E48" s="112" t="str">
        <f>'O&amp;M_Detail - Elec'!E37</f>
        <v>HYD MAINT-SUPV &amp; ENG-PEC</v>
      </c>
      <c r="F48" s="112"/>
      <c r="G48" s="3091">
        <f>SUMIFS('Labor Exp 2016'!$F$3:$F$219,'Labor Exp 2016'!$C$3:$C$219,$D48)</f>
        <v>0</v>
      </c>
      <c r="H48" s="3123" t="str">
        <f>COS_RR!H82</f>
        <v>Power - Capacity</v>
      </c>
      <c r="I48" s="606">
        <f>+ROUND($G48*SUMIF(COS_RR!$E$260:$E$302,$H48,COS_RR!J$260:J$302),COS_RR!$AD$10)</f>
        <v>0</v>
      </c>
      <c r="J48" s="606">
        <f>+ROUND($G48*SUMIF(COS_RR!$E$260:$E$302,$H48,COS_RR!K$260:K$302),COS_RR!$AD$10)</f>
        <v>0</v>
      </c>
      <c r="K48" s="606">
        <f>+ROUND($G48*SUMIF(COS_RR!$E$260:$E$302,$H48,COS_RR!L$260:L$302),COS_RR!$AD$10)</f>
        <v>0</v>
      </c>
      <c r="L48" s="606">
        <f>+ROUND($G48*SUMIF(COS_RR!$E$260:$E$302,$H48,COS_RR!M$260:M$302),COS_RR!$AD$10)</f>
        <v>0</v>
      </c>
      <c r="M48" s="606">
        <f>+ROUND($G48*SUMIF(COS_RR!$E$260:$E$302,$H48,COS_RR!N$260:N$302),COS_RR!$AD$10)</f>
        <v>0</v>
      </c>
      <c r="N48" s="606">
        <f>+ROUND($G48*SUMIF(COS_RR!$E$260:$E$302,$H48,COS_RR!O$260:O$302),COS_RR!$AD$10)</f>
        <v>0</v>
      </c>
      <c r="O48" s="606">
        <f>+ROUND($G48*SUMIF(COS_RR!$E$260:$E$302,$H48,COS_RR!P$260:P$302),COS_RR!$AD$10)</f>
        <v>0</v>
      </c>
      <c r="P48" s="606">
        <f>+ROUND($G48*SUMIF(COS_RR!$E$260:$E$302,$H48,COS_RR!Q$260:Q$302),COS_RR!$AD$10)</f>
        <v>0</v>
      </c>
      <c r="Q48" s="606">
        <f>+ROUND($G48*SUMIF(COS_RR!$E$260:$E$302,$H48,COS_RR!R$260:R$302),COS_RR!$AD$10)</f>
        <v>0</v>
      </c>
      <c r="R48" s="606">
        <f>+ROUND($G48*SUMIF(COS_RR!$E$260:$E$302,$H48,COS_RR!S$260:S$302),COS_RR!$AD$10)</f>
        <v>0</v>
      </c>
      <c r="S48" s="606">
        <f>+ROUND($G48*SUMIF(COS_RR!$E$260:$E$302,$H48,COS_RR!T$260:T$302),COS_RR!$AD$10)</f>
        <v>0</v>
      </c>
      <c r="T48" s="606">
        <f>+ROUND($G48*SUMIF(COS_RR!$E$260:$E$302,$H48,COS_RR!U$260:U$302),COS_RR!$AD$10)</f>
        <v>0</v>
      </c>
      <c r="U48" s="606">
        <f>+ROUND($G48*SUMIF(COS_RR!$E$260:$E$302,$H48,COS_RR!V$260:V$302),COS_RR!$AD$10)</f>
        <v>0</v>
      </c>
      <c r="V48" s="606">
        <f>+ROUND($G48*SUMIF(COS_RR!$E$260:$E$302,$H48,COS_RR!W$260:W$302),COS_RR!$AD$10)</f>
        <v>0</v>
      </c>
      <c r="W48" s="606">
        <f>+ROUND($G48*SUMIF(COS_RR!$E$260:$E$302,$H48,COS_RR!X$260:X$302),COS_RR!$AD$10)</f>
        <v>0</v>
      </c>
      <c r="X48" s="606">
        <f>+ROUND($G48*SUMIF(COS_RR!$E$260:$E$302,$H48,COS_RR!Y$260:Y$302),COS_RR!$AD$10)</f>
        <v>0</v>
      </c>
      <c r="Y48" s="606">
        <f>+ROUND($G48*SUMIF(COS_RR!$E$260:$E$302,$H48,COS_RR!Z$260:Z$302),COS_RR!$AD$10)</f>
        <v>0</v>
      </c>
      <c r="Z48" s="606">
        <f>+ROUND($G48*SUMIF(COS_RR!$E$260:$E$302,$H48,COS_RR!AA$260:AA$302),COS_RR!$AD$10)</f>
        <v>0</v>
      </c>
      <c r="AA48" s="1"/>
      <c r="AD48" s="193">
        <f t="shared" si="3"/>
        <v>0</v>
      </c>
    </row>
    <row r="49" spans="1:30" s="4" customFormat="1">
      <c r="A49" s="411"/>
      <c r="B49" s="84"/>
      <c r="C49" s="236">
        <f>MAX($C$7:C48)+1</f>
        <v>30</v>
      </c>
      <c r="D49" s="237">
        <f>'O&amp;M_Detail - Elec'!D38</f>
        <v>543010</v>
      </c>
      <c r="E49" s="112" t="str">
        <f>'O&amp;M_Detail - Elec'!E38</f>
        <v>HYD MAINT DAMS-GENERAL</v>
      </c>
      <c r="F49" s="112"/>
      <c r="G49" s="3091">
        <f>SUMIFS('Labor Exp 2016'!$F$3:$F$219,'Labor Exp 2016'!$C$3:$C$219,$D49)</f>
        <v>0</v>
      </c>
      <c r="H49" s="3123" t="str">
        <f>COS_RR!H83</f>
        <v>Power - Capacity</v>
      </c>
      <c r="I49" s="606">
        <f>+ROUND($G49*SUMIF(COS_RR!$E$260:$E$302,$H49,COS_RR!J$260:J$302),COS_RR!$AD$10)</f>
        <v>0</v>
      </c>
      <c r="J49" s="606">
        <f>+ROUND($G49*SUMIF(COS_RR!$E$260:$E$302,$H49,COS_RR!K$260:K$302),COS_RR!$AD$10)</f>
        <v>0</v>
      </c>
      <c r="K49" s="606">
        <f>+ROUND($G49*SUMIF(COS_RR!$E$260:$E$302,$H49,COS_RR!L$260:L$302),COS_RR!$AD$10)</f>
        <v>0</v>
      </c>
      <c r="L49" s="606">
        <f>+ROUND($G49*SUMIF(COS_RR!$E$260:$E$302,$H49,COS_RR!M$260:M$302),COS_RR!$AD$10)</f>
        <v>0</v>
      </c>
      <c r="M49" s="606">
        <f>+ROUND($G49*SUMIF(COS_RR!$E$260:$E$302,$H49,COS_RR!N$260:N$302),COS_RR!$AD$10)</f>
        <v>0</v>
      </c>
      <c r="N49" s="606">
        <f>+ROUND($G49*SUMIF(COS_RR!$E$260:$E$302,$H49,COS_RR!O$260:O$302),COS_RR!$AD$10)</f>
        <v>0</v>
      </c>
      <c r="O49" s="606">
        <f>+ROUND($G49*SUMIF(COS_RR!$E$260:$E$302,$H49,COS_RR!P$260:P$302),COS_RR!$AD$10)</f>
        <v>0</v>
      </c>
      <c r="P49" s="606">
        <f>+ROUND($G49*SUMIF(COS_RR!$E$260:$E$302,$H49,COS_RR!Q$260:Q$302),COS_RR!$AD$10)</f>
        <v>0</v>
      </c>
      <c r="Q49" s="606">
        <f>+ROUND($G49*SUMIF(COS_RR!$E$260:$E$302,$H49,COS_RR!R$260:R$302),COS_RR!$AD$10)</f>
        <v>0</v>
      </c>
      <c r="R49" s="606">
        <f>+ROUND($G49*SUMIF(COS_RR!$E$260:$E$302,$H49,COS_RR!S$260:S$302),COS_RR!$AD$10)</f>
        <v>0</v>
      </c>
      <c r="S49" s="606">
        <f>+ROUND($G49*SUMIF(COS_RR!$E$260:$E$302,$H49,COS_RR!T$260:T$302),COS_RR!$AD$10)</f>
        <v>0</v>
      </c>
      <c r="T49" s="606">
        <f>+ROUND($G49*SUMIF(COS_RR!$E$260:$E$302,$H49,COS_RR!U$260:U$302),COS_RR!$AD$10)</f>
        <v>0</v>
      </c>
      <c r="U49" s="606">
        <f>+ROUND($G49*SUMIF(COS_RR!$E$260:$E$302,$H49,COS_RR!V$260:V$302),COS_RR!$AD$10)</f>
        <v>0</v>
      </c>
      <c r="V49" s="606">
        <f>+ROUND($G49*SUMIF(COS_RR!$E$260:$E$302,$H49,COS_RR!W$260:W$302),COS_RR!$AD$10)</f>
        <v>0</v>
      </c>
      <c r="W49" s="606">
        <f>+ROUND($G49*SUMIF(COS_RR!$E$260:$E$302,$H49,COS_RR!X$260:X$302),COS_RR!$AD$10)</f>
        <v>0</v>
      </c>
      <c r="X49" s="606">
        <f>+ROUND($G49*SUMIF(COS_RR!$E$260:$E$302,$H49,COS_RR!Y$260:Y$302),COS_RR!$AD$10)</f>
        <v>0</v>
      </c>
      <c r="Y49" s="606">
        <f>+ROUND($G49*SUMIF(COS_RR!$E$260:$E$302,$H49,COS_RR!Z$260:Z$302),COS_RR!$AD$10)</f>
        <v>0</v>
      </c>
      <c r="Z49" s="606">
        <f>+ROUND($G49*SUMIF(COS_RR!$E$260:$E$302,$H49,COS_RR!AA$260:AA$302),COS_RR!$AD$10)</f>
        <v>0</v>
      </c>
      <c r="AA49" s="1"/>
      <c r="AD49" s="193">
        <f t="shared" si="3"/>
        <v>0</v>
      </c>
    </row>
    <row r="50" spans="1:30" s="4" customFormat="1">
      <c r="A50" s="411"/>
      <c r="B50" s="84"/>
      <c r="C50" s="236">
        <f>MAX($C$7:C49)+1</f>
        <v>31</v>
      </c>
      <c r="D50" s="237">
        <f>'O&amp;M_Detail - Elec'!D39</f>
        <v>544500</v>
      </c>
      <c r="E50" s="112" t="str">
        <f>'O&amp;M_Detail - Elec'!E39</f>
        <v>HYD MAINT ELEC PLT-QC</v>
      </c>
      <c r="F50" s="112"/>
      <c r="G50" s="3091">
        <f>SUMIFS('Labor Exp 2016'!$F$3:$F$219,'Labor Exp 2016'!$C$3:$C$219,$D50)</f>
        <v>150553.04000000004</v>
      </c>
      <c r="H50" s="3123" t="str">
        <f>COS_RR!H84</f>
        <v>Power - Capacity</v>
      </c>
      <c r="I50" s="606">
        <f>+ROUND($G50*SUMIF(COS_RR!$E$260:$E$302,$H50,COS_RR!J$260:J$302),COS_RR!$AD$10)</f>
        <v>0</v>
      </c>
      <c r="J50" s="606">
        <f>+ROUND($G50*SUMIF(COS_RR!$E$260:$E$302,$H50,COS_RR!K$260:K$302),COS_RR!$AD$10)</f>
        <v>150553</v>
      </c>
      <c r="K50" s="606">
        <f>+ROUND($G50*SUMIF(COS_RR!$E$260:$E$302,$H50,COS_RR!L$260:L$302),COS_RR!$AD$10)</f>
        <v>0</v>
      </c>
      <c r="L50" s="606">
        <f>+ROUND($G50*SUMIF(COS_RR!$E$260:$E$302,$H50,COS_RR!M$260:M$302),COS_RR!$AD$10)</f>
        <v>0</v>
      </c>
      <c r="M50" s="606">
        <f>+ROUND($G50*SUMIF(COS_RR!$E$260:$E$302,$H50,COS_RR!N$260:N$302),COS_RR!$AD$10)</f>
        <v>0</v>
      </c>
      <c r="N50" s="606">
        <f>+ROUND($G50*SUMIF(COS_RR!$E$260:$E$302,$H50,COS_RR!O$260:O$302),COS_RR!$AD$10)</f>
        <v>0</v>
      </c>
      <c r="O50" s="606">
        <f>+ROUND($G50*SUMIF(COS_RR!$E$260:$E$302,$H50,COS_RR!P$260:P$302),COS_RR!$AD$10)</f>
        <v>0</v>
      </c>
      <c r="P50" s="606">
        <f>+ROUND($G50*SUMIF(COS_RR!$E$260:$E$302,$H50,COS_RR!Q$260:Q$302),COS_RR!$AD$10)</f>
        <v>0</v>
      </c>
      <c r="Q50" s="606">
        <f>+ROUND($G50*SUMIF(COS_RR!$E$260:$E$302,$H50,COS_RR!R$260:R$302),COS_RR!$AD$10)</f>
        <v>0</v>
      </c>
      <c r="R50" s="606">
        <f>+ROUND($G50*SUMIF(COS_RR!$E$260:$E$302,$H50,COS_RR!S$260:S$302),COS_RR!$AD$10)</f>
        <v>0</v>
      </c>
      <c r="S50" s="606">
        <f>+ROUND($G50*SUMIF(COS_RR!$E$260:$E$302,$H50,COS_RR!T$260:T$302),COS_RR!$AD$10)</f>
        <v>0</v>
      </c>
      <c r="T50" s="606">
        <f>+ROUND($G50*SUMIF(COS_RR!$E$260:$E$302,$H50,COS_RR!U$260:U$302),COS_RR!$AD$10)</f>
        <v>0</v>
      </c>
      <c r="U50" s="606">
        <f>+ROUND($G50*SUMIF(COS_RR!$E$260:$E$302,$H50,COS_RR!V$260:V$302),COS_RR!$AD$10)</f>
        <v>0</v>
      </c>
      <c r="V50" s="606">
        <f>+ROUND($G50*SUMIF(COS_RR!$E$260:$E$302,$H50,COS_RR!W$260:W$302),COS_RR!$AD$10)</f>
        <v>0</v>
      </c>
      <c r="W50" s="606">
        <f>+ROUND($G50*SUMIF(COS_RR!$E$260:$E$302,$H50,COS_RR!X$260:X$302),COS_RR!$AD$10)</f>
        <v>0</v>
      </c>
      <c r="X50" s="606">
        <f>+ROUND($G50*SUMIF(COS_RR!$E$260:$E$302,$H50,COS_RR!Y$260:Y$302),COS_RR!$AD$10)</f>
        <v>0</v>
      </c>
      <c r="Y50" s="606">
        <f>+ROUND($G50*SUMIF(COS_RR!$E$260:$E$302,$H50,COS_RR!Z$260:Z$302),COS_RR!$AD$10)</f>
        <v>0</v>
      </c>
      <c r="Z50" s="606">
        <f>+ROUND($G50*SUMIF(COS_RR!$E$260:$E$302,$H50,COS_RR!AA$260:AA$302),COS_RR!$AD$10)</f>
        <v>0</v>
      </c>
      <c r="AA50" s="1"/>
      <c r="AD50" s="193">
        <f t="shared" si="3"/>
        <v>-4.0000000037252903E-2</v>
      </c>
    </row>
    <row r="51" spans="1:30" s="4" customFormat="1">
      <c r="A51" s="411"/>
      <c r="B51" s="84"/>
      <c r="C51" s="236">
        <f>MAX($C$7:C50)+1</f>
        <v>32</v>
      </c>
      <c r="D51" s="237">
        <f>'O&amp;M_Detail - Elec'!D40</f>
        <v>544600</v>
      </c>
      <c r="E51" s="112" t="str">
        <f>'O&amp;M_Detail - Elec'!E40</f>
        <v>HYD MAINT ELEC PLT-PEC</v>
      </c>
      <c r="F51" s="112"/>
      <c r="G51" s="3091">
        <f>SUMIFS('Labor Exp 2016'!$F$3:$F$219,'Labor Exp 2016'!$C$3:$C$219,$D51)</f>
        <v>105985.08000000007</v>
      </c>
      <c r="H51" s="3123" t="str">
        <f>COS_RR!H85</f>
        <v>Power - Capacity</v>
      </c>
      <c r="I51" s="606">
        <f>+ROUND($G51*SUMIF(COS_RR!$E$260:$E$302,$H51,COS_RR!J$260:J$302),COS_RR!$AD$10)</f>
        <v>0</v>
      </c>
      <c r="J51" s="606">
        <f>+ROUND($G51*SUMIF(COS_RR!$E$260:$E$302,$H51,COS_RR!K$260:K$302),COS_RR!$AD$10)</f>
        <v>105985</v>
      </c>
      <c r="K51" s="606">
        <f>+ROUND($G51*SUMIF(COS_RR!$E$260:$E$302,$H51,COS_RR!L$260:L$302),COS_RR!$AD$10)</f>
        <v>0</v>
      </c>
      <c r="L51" s="606">
        <f>+ROUND($G51*SUMIF(COS_RR!$E$260:$E$302,$H51,COS_RR!M$260:M$302),COS_RR!$AD$10)</f>
        <v>0</v>
      </c>
      <c r="M51" s="606">
        <f>+ROUND($G51*SUMIF(COS_RR!$E$260:$E$302,$H51,COS_RR!N$260:N$302),COS_RR!$AD$10)</f>
        <v>0</v>
      </c>
      <c r="N51" s="606">
        <f>+ROUND($G51*SUMIF(COS_RR!$E$260:$E$302,$H51,COS_RR!O$260:O$302),COS_RR!$AD$10)</f>
        <v>0</v>
      </c>
      <c r="O51" s="606">
        <f>+ROUND($G51*SUMIF(COS_RR!$E$260:$E$302,$H51,COS_RR!P$260:P$302),COS_RR!$AD$10)</f>
        <v>0</v>
      </c>
      <c r="P51" s="606">
        <f>+ROUND($G51*SUMIF(COS_RR!$E$260:$E$302,$H51,COS_RR!Q$260:Q$302),COS_RR!$AD$10)</f>
        <v>0</v>
      </c>
      <c r="Q51" s="606">
        <f>+ROUND($G51*SUMIF(COS_RR!$E$260:$E$302,$H51,COS_RR!R$260:R$302),COS_RR!$AD$10)</f>
        <v>0</v>
      </c>
      <c r="R51" s="606">
        <f>+ROUND($G51*SUMIF(COS_RR!$E$260:$E$302,$H51,COS_RR!S$260:S$302),COS_RR!$AD$10)</f>
        <v>0</v>
      </c>
      <c r="S51" s="606">
        <f>+ROUND($G51*SUMIF(COS_RR!$E$260:$E$302,$H51,COS_RR!T$260:T$302),COS_RR!$AD$10)</f>
        <v>0</v>
      </c>
      <c r="T51" s="606">
        <f>+ROUND($G51*SUMIF(COS_RR!$E$260:$E$302,$H51,COS_RR!U$260:U$302),COS_RR!$AD$10)</f>
        <v>0</v>
      </c>
      <c r="U51" s="606">
        <f>+ROUND($G51*SUMIF(COS_RR!$E$260:$E$302,$H51,COS_RR!V$260:V$302),COS_RR!$AD$10)</f>
        <v>0</v>
      </c>
      <c r="V51" s="606">
        <f>+ROUND($G51*SUMIF(COS_RR!$E$260:$E$302,$H51,COS_RR!W$260:W$302),COS_RR!$AD$10)</f>
        <v>0</v>
      </c>
      <c r="W51" s="606">
        <f>+ROUND($G51*SUMIF(COS_RR!$E$260:$E$302,$H51,COS_RR!X$260:X$302),COS_RR!$AD$10)</f>
        <v>0</v>
      </c>
      <c r="X51" s="606">
        <f>+ROUND($G51*SUMIF(COS_RR!$E$260:$E$302,$H51,COS_RR!Y$260:Y$302),COS_RR!$AD$10)</f>
        <v>0</v>
      </c>
      <c r="Y51" s="606">
        <f>+ROUND($G51*SUMIF(COS_RR!$E$260:$E$302,$H51,COS_RR!Z$260:Z$302),COS_RR!$AD$10)</f>
        <v>0</v>
      </c>
      <c r="Z51" s="606">
        <f>+ROUND($G51*SUMIF(COS_RR!$E$260:$E$302,$H51,COS_RR!AA$260:AA$302),COS_RR!$AD$10)</f>
        <v>0</v>
      </c>
      <c r="AA51" s="1"/>
      <c r="AD51" s="193">
        <f t="shared" si="3"/>
        <v>-8.0000000074505806E-2</v>
      </c>
    </row>
    <row r="52" spans="1:30" s="4" customFormat="1">
      <c r="A52" s="411"/>
      <c r="B52" s="84"/>
      <c r="C52" s="236">
        <f>MAX($C$7:C51)+1</f>
        <v>33</v>
      </c>
      <c r="D52" s="237">
        <f>'O&amp;M_Detail - Elec'!D41</f>
        <v>545010</v>
      </c>
      <c r="E52" s="112" t="str">
        <f>'O&amp;M_Detail - Elec'!E41</f>
        <v>HYD MAINT MISC-GENERAL</v>
      </c>
      <c r="F52" s="112"/>
      <c r="G52" s="3091">
        <f>SUMIFS('Labor Exp 2016'!$F$3:$F$219,'Labor Exp 2016'!$C$3:$C$219,$D52)</f>
        <v>0</v>
      </c>
      <c r="H52" s="3123" t="str">
        <f>COS_RR!H86</f>
        <v>Power - Capacity</v>
      </c>
      <c r="I52" s="606">
        <f>+ROUND($G52*SUMIF(COS_RR!$E$260:$E$302,$H52,COS_RR!J$260:J$302),COS_RR!$AD$10)</f>
        <v>0</v>
      </c>
      <c r="J52" s="606">
        <f>+ROUND($G52*SUMIF(COS_RR!$E$260:$E$302,$H52,COS_RR!K$260:K$302),COS_RR!$AD$10)</f>
        <v>0</v>
      </c>
      <c r="K52" s="606">
        <f>+ROUND($G52*SUMIF(COS_RR!$E$260:$E$302,$H52,COS_RR!L$260:L$302),COS_RR!$AD$10)</f>
        <v>0</v>
      </c>
      <c r="L52" s="606">
        <f>+ROUND($G52*SUMIF(COS_RR!$E$260:$E$302,$H52,COS_RR!M$260:M$302),COS_RR!$AD$10)</f>
        <v>0</v>
      </c>
      <c r="M52" s="606">
        <f>+ROUND($G52*SUMIF(COS_RR!$E$260:$E$302,$H52,COS_RR!N$260:N$302),COS_RR!$AD$10)</f>
        <v>0</v>
      </c>
      <c r="N52" s="606">
        <f>+ROUND($G52*SUMIF(COS_RR!$E$260:$E$302,$H52,COS_RR!O$260:O$302),COS_RR!$AD$10)</f>
        <v>0</v>
      </c>
      <c r="O52" s="606">
        <f>+ROUND($G52*SUMIF(COS_RR!$E$260:$E$302,$H52,COS_RR!P$260:P$302),COS_RR!$AD$10)</f>
        <v>0</v>
      </c>
      <c r="P52" s="606">
        <f>+ROUND($G52*SUMIF(COS_RR!$E$260:$E$302,$H52,COS_RR!Q$260:Q$302),COS_RR!$AD$10)</f>
        <v>0</v>
      </c>
      <c r="Q52" s="606">
        <f>+ROUND($G52*SUMIF(COS_RR!$E$260:$E$302,$H52,COS_RR!R$260:R$302),COS_RR!$AD$10)</f>
        <v>0</v>
      </c>
      <c r="R52" s="606">
        <f>+ROUND($G52*SUMIF(COS_RR!$E$260:$E$302,$H52,COS_RR!S$260:S$302),COS_RR!$AD$10)</f>
        <v>0</v>
      </c>
      <c r="S52" s="606">
        <f>+ROUND($G52*SUMIF(COS_RR!$E$260:$E$302,$H52,COS_RR!T$260:T$302),COS_RR!$AD$10)</f>
        <v>0</v>
      </c>
      <c r="T52" s="606">
        <f>+ROUND($G52*SUMIF(COS_RR!$E$260:$E$302,$H52,COS_RR!U$260:U$302),COS_RR!$AD$10)</f>
        <v>0</v>
      </c>
      <c r="U52" s="606">
        <f>+ROUND($G52*SUMIF(COS_RR!$E$260:$E$302,$H52,COS_RR!V$260:V$302),COS_RR!$AD$10)</f>
        <v>0</v>
      </c>
      <c r="V52" s="606">
        <f>+ROUND($G52*SUMIF(COS_RR!$E$260:$E$302,$H52,COS_RR!W$260:W$302),COS_RR!$AD$10)</f>
        <v>0</v>
      </c>
      <c r="W52" s="606">
        <f>+ROUND($G52*SUMIF(COS_RR!$E$260:$E$302,$H52,COS_RR!X$260:X$302),COS_RR!$AD$10)</f>
        <v>0</v>
      </c>
      <c r="X52" s="606">
        <f>+ROUND($G52*SUMIF(COS_RR!$E$260:$E$302,$H52,COS_RR!Y$260:Y$302),COS_RR!$AD$10)</f>
        <v>0</v>
      </c>
      <c r="Y52" s="606">
        <f>+ROUND($G52*SUMIF(COS_RR!$E$260:$E$302,$H52,COS_RR!Z$260:Z$302),COS_RR!$AD$10)</f>
        <v>0</v>
      </c>
      <c r="Z52" s="606">
        <f>+ROUND($G52*SUMIF(COS_RR!$E$260:$E$302,$H52,COS_RR!AA$260:AA$302),COS_RR!$AD$10)</f>
        <v>0</v>
      </c>
      <c r="AA52" s="1"/>
      <c r="AD52" s="193">
        <f t="shared" si="3"/>
        <v>0</v>
      </c>
    </row>
    <row r="53" spans="1:30" s="4" customFormat="1">
      <c r="A53" s="411"/>
      <c r="B53" s="84"/>
      <c r="C53" s="236">
        <f>MAX($C$7:C52)+1</f>
        <v>34</v>
      </c>
      <c r="D53" s="237">
        <f>'O&amp;M_Detail - Elec'!D42</f>
        <v>545500</v>
      </c>
      <c r="E53" s="112" t="str">
        <f>'O&amp;M_Detail - Elec'!E42</f>
        <v>HYD MAINT MISC-QC</v>
      </c>
      <c r="F53" s="112"/>
      <c r="G53" s="3091">
        <f>SUMIFS('Labor Exp 2016'!$F$3:$F$219,'Labor Exp 2016'!$C$3:$C$219,$D53)</f>
        <v>0</v>
      </c>
      <c r="H53" s="3123" t="str">
        <f>COS_RR!H87</f>
        <v>Power - Capacity</v>
      </c>
      <c r="I53" s="606">
        <f>+ROUND($G53*SUMIF(COS_RR!$E$260:$E$302,$H53,COS_RR!J$260:J$302),COS_RR!$AD$10)</f>
        <v>0</v>
      </c>
      <c r="J53" s="606">
        <f>+ROUND($G53*SUMIF(COS_RR!$E$260:$E$302,$H53,COS_RR!K$260:K$302),COS_RR!$AD$10)</f>
        <v>0</v>
      </c>
      <c r="K53" s="606">
        <f>+ROUND($G53*SUMIF(COS_RR!$E$260:$E$302,$H53,COS_RR!L$260:L$302),COS_RR!$AD$10)</f>
        <v>0</v>
      </c>
      <c r="L53" s="606">
        <f>+ROUND($G53*SUMIF(COS_RR!$E$260:$E$302,$H53,COS_RR!M$260:M$302),COS_RR!$AD$10)</f>
        <v>0</v>
      </c>
      <c r="M53" s="606">
        <f>+ROUND($G53*SUMIF(COS_RR!$E$260:$E$302,$H53,COS_RR!N$260:N$302),COS_RR!$AD$10)</f>
        <v>0</v>
      </c>
      <c r="N53" s="606">
        <f>+ROUND($G53*SUMIF(COS_RR!$E$260:$E$302,$H53,COS_RR!O$260:O$302),COS_RR!$AD$10)</f>
        <v>0</v>
      </c>
      <c r="O53" s="606">
        <f>+ROUND($G53*SUMIF(COS_RR!$E$260:$E$302,$H53,COS_RR!P$260:P$302),COS_RR!$AD$10)</f>
        <v>0</v>
      </c>
      <c r="P53" s="606">
        <f>+ROUND($G53*SUMIF(COS_RR!$E$260:$E$302,$H53,COS_RR!Q$260:Q$302),COS_RR!$AD$10)</f>
        <v>0</v>
      </c>
      <c r="Q53" s="606">
        <f>+ROUND($G53*SUMIF(COS_RR!$E$260:$E$302,$H53,COS_RR!R$260:R$302),COS_RR!$AD$10)</f>
        <v>0</v>
      </c>
      <c r="R53" s="606">
        <f>+ROUND($G53*SUMIF(COS_RR!$E$260:$E$302,$H53,COS_RR!S$260:S$302),COS_RR!$AD$10)</f>
        <v>0</v>
      </c>
      <c r="S53" s="606">
        <f>+ROUND($G53*SUMIF(COS_RR!$E$260:$E$302,$H53,COS_RR!T$260:T$302),COS_RR!$AD$10)</f>
        <v>0</v>
      </c>
      <c r="T53" s="606">
        <f>+ROUND($G53*SUMIF(COS_RR!$E$260:$E$302,$H53,COS_RR!U$260:U$302),COS_RR!$AD$10)</f>
        <v>0</v>
      </c>
      <c r="U53" s="606">
        <f>+ROUND($G53*SUMIF(COS_RR!$E$260:$E$302,$H53,COS_RR!V$260:V$302),COS_RR!$AD$10)</f>
        <v>0</v>
      </c>
      <c r="V53" s="606">
        <f>+ROUND($G53*SUMIF(COS_RR!$E$260:$E$302,$H53,COS_RR!W$260:W$302),COS_RR!$AD$10)</f>
        <v>0</v>
      </c>
      <c r="W53" s="606">
        <f>+ROUND($G53*SUMIF(COS_RR!$E$260:$E$302,$H53,COS_RR!X$260:X$302),COS_RR!$AD$10)</f>
        <v>0</v>
      </c>
      <c r="X53" s="606">
        <f>+ROUND($G53*SUMIF(COS_RR!$E$260:$E$302,$H53,COS_RR!Y$260:Y$302),COS_RR!$AD$10)</f>
        <v>0</v>
      </c>
      <c r="Y53" s="606">
        <f>+ROUND($G53*SUMIF(COS_RR!$E$260:$E$302,$H53,COS_RR!Z$260:Z$302),COS_RR!$AD$10)</f>
        <v>0</v>
      </c>
      <c r="Z53" s="606">
        <f>+ROUND($G53*SUMIF(COS_RR!$E$260:$E$302,$H53,COS_RR!AA$260:AA$302),COS_RR!$AD$10)</f>
        <v>0</v>
      </c>
      <c r="AA53" s="1"/>
      <c r="AD53" s="193">
        <f t="shared" si="3"/>
        <v>0</v>
      </c>
    </row>
    <row r="54" spans="1:30" s="4" customFormat="1">
      <c r="A54" s="411"/>
      <c r="B54" s="84"/>
      <c r="C54" s="236">
        <f>MAX($C$7:C53)+1</f>
        <v>35</v>
      </c>
      <c r="D54" s="237">
        <f>'O&amp;M_Detail - Elec'!D43</f>
        <v>547010</v>
      </c>
      <c r="E54" s="112" t="str">
        <f>'O&amp;M_Detail - Elec'!E43</f>
        <v>OTHER GENERATION - FUEL</v>
      </c>
      <c r="F54" s="112"/>
      <c r="G54" s="3091">
        <f>SUMIFS('Labor Exp 2016'!$F$3:$F$219,'Labor Exp 2016'!$C$3:$C$219,$D54)</f>
        <v>0</v>
      </c>
      <c r="H54" s="3123" t="str">
        <f>COS_RR!H88</f>
        <v>Power - Capacity</v>
      </c>
      <c r="I54" s="606">
        <f>+ROUND($G54*SUMIF(COS_RR!$E$260:$E$302,$H54,COS_RR!J$260:J$302),COS_RR!$AD$10)</f>
        <v>0</v>
      </c>
      <c r="J54" s="606">
        <f>+ROUND($G54*SUMIF(COS_RR!$E$260:$E$302,$H54,COS_RR!K$260:K$302),COS_RR!$AD$10)</f>
        <v>0</v>
      </c>
      <c r="K54" s="606">
        <f>+ROUND($G54*SUMIF(COS_RR!$E$260:$E$302,$H54,COS_RR!L$260:L$302),COS_RR!$AD$10)</f>
        <v>0</v>
      </c>
      <c r="L54" s="606">
        <f>+ROUND($G54*SUMIF(COS_RR!$E$260:$E$302,$H54,COS_RR!M$260:M$302),COS_RR!$AD$10)</f>
        <v>0</v>
      </c>
      <c r="M54" s="606">
        <f>+ROUND($G54*SUMIF(COS_RR!$E$260:$E$302,$H54,COS_RR!N$260:N$302),COS_RR!$AD$10)</f>
        <v>0</v>
      </c>
      <c r="N54" s="606">
        <f>+ROUND($G54*SUMIF(COS_RR!$E$260:$E$302,$H54,COS_RR!O$260:O$302),COS_RR!$AD$10)</f>
        <v>0</v>
      </c>
      <c r="O54" s="606">
        <f>+ROUND($G54*SUMIF(COS_RR!$E$260:$E$302,$H54,COS_RR!P$260:P$302),COS_RR!$AD$10)</f>
        <v>0</v>
      </c>
      <c r="P54" s="606">
        <f>+ROUND($G54*SUMIF(COS_RR!$E$260:$E$302,$H54,COS_RR!Q$260:Q$302),COS_RR!$AD$10)</f>
        <v>0</v>
      </c>
      <c r="Q54" s="606">
        <f>+ROUND($G54*SUMIF(COS_RR!$E$260:$E$302,$H54,COS_RR!R$260:R$302),COS_RR!$AD$10)</f>
        <v>0</v>
      </c>
      <c r="R54" s="606">
        <f>+ROUND($G54*SUMIF(COS_RR!$E$260:$E$302,$H54,COS_RR!S$260:S$302),COS_RR!$AD$10)</f>
        <v>0</v>
      </c>
      <c r="S54" s="606">
        <f>+ROUND($G54*SUMIF(COS_RR!$E$260:$E$302,$H54,COS_RR!T$260:T$302),COS_RR!$AD$10)</f>
        <v>0</v>
      </c>
      <c r="T54" s="606">
        <f>+ROUND($G54*SUMIF(COS_RR!$E$260:$E$302,$H54,COS_RR!U$260:U$302),COS_RR!$AD$10)</f>
        <v>0</v>
      </c>
      <c r="U54" s="606">
        <f>+ROUND($G54*SUMIF(COS_RR!$E$260:$E$302,$H54,COS_RR!V$260:V$302),COS_RR!$AD$10)</f>
        <v>0</v>
      </c>
      <c r="V54" s="606">
        <f>+ROUND($G54*SUMIF(COS_RR!$E$260:$E$302,$H54,COS_RR!W$260:W$302),COS_RR!$AD$10)</f>
        <v>0</v>
      </c>
      <c r="W54" s="606">
        <f>+ROUND($G54*SUMIF(COS_RR!$E$260:$E$302,$H54,COS_RR!X$260:X$302),COS_RR!$AD$10)</f>
        <v>0</v>
      </c>
      <c r="X54" s="606">
        <f>+ROUND($G54*SUMIF(COS_RR!$E$260:$E$302,$H54,COS_RR!Y$260:Y$302),COS_RR!$AD$10)</f>
        <v>0</v>
      </c>
      <c r="Y54" s="606">
        <f>+ROUND($G54*SUMIF(COS_RR!$E$260:$E$302,$H54,COS_RR!Z$260:Z$302),COS_RR!$AD$10)</f>
        <v>0</v>
      </c>
      <c r="Z54" s="606">
        <f>+ROUND($G54*SUMIF(COS_RR!$E$260:$E$302,$H54,COS_RR!AA$260:AA$302),COS_RR!$AD$10)</f>
        <v>0</v>
      </c>
      <c r="AA54" s="1"/>
      <c r="AD54" s="193">
        <f t="shared" si="3"/>
        <v>0</v>
      </c>
    </row>
    <row r="55" spans="1:30" s="4" customFormat="1">
      <c r="A55" s="411"/>
      <c r="B55" s="84"/>
      <c r="C55" s="236">
        <f>MAX($C$7:C54)+1</f>
        <v>36</v>
      </c>
      <c r="D55" s="237">
        <f>'O&amp;M_Detail - Elec'!D44</f>
        <v>548010</v>
      </c>
      <c r="E55" s="112" t="str">
        <f>'O&amp;M_Detail - Elec'!E44</f>
        <v>OTHER GENERATION - EXPENSES</v>
      </c>
      <c r="F55" s="112"/>
      <c r="G55" s="3091">
        <f>SUMIFS('Labor Exp 2016'!$F$3:$F$219,'Labor Exp 2016'!$C$3:$C$219,$D55)</f>
        <v>0</v>
      </c>
      <c r="H55" s="3123" t="str">
        <f>COS_RR!H89</f>
        <v>Power - Capacity</v>
      </c>
      <c r="I55" s="606">
        <f>+ROUND($G55*SUMIF(COS_RR!$E$260:$E$302,$H55,COS_RR!J$260:J$302),COS_RR!$AD$10)</f>
        <v>0</v>
      </c>
      <c r="J55" s="606">
        <f>+ROUND($G55*SUMIF(COS_RR!$E$260:$E$302,$H55,COS_RR!K$260:K$302),COS_RR!$AD$10)</f>
        <v>0</v>
      </c>
      <c r="K55" s="606">
        <f>+ROUND($G55*SUMIF(COS_RR!$E$260:$E$302,$H55,COS_RR!L$260:L$302),COS_RR!$AD$10)</f>
        <v>0</v>
      </c>
      <c r="L55" s="606">
        <f>+ROUND($G55*SUMIF(COS_RR!$E$260:$E$302,$H55,COS_RR!M$260:M$302),COS_RR!$AD$10)</f>
        <v>0</v>
      </c>
      <c r="M55" s="606">
        <f>+ROUND($G55*SUMIF(COS_RR!$E$260:$E$302,$H55,COS_RR!N$260:N$302),COS_RR!$AD$10)</f>
        <v>0</v>
      </c>
      <c r="N55" s="606">
        <f>+ROUND($G55*SUMIF(COS_RR!$E$260:$E$302,$H55,COS_RR!O$260:O$302),COS_RR!$AD$10)</f>
        <v>0</v>
      </c>
      <c r="O55" s="606">
        <f>+ROUND($G55*SUMIF(COS_RR!$E$260:$E$302,$H55,COS_RR!P$260:P$302),COS_RR!$AD$10)</f>
        <v>0</v>
      </c>
      <c r="P55" s="606">
        <f>+ROUND($G55*SUMIF(COS_RR!$E$260:$E$302,$H55,COS_RR!Q$260:Q$302),COS_RR!$AD$10)</f>
        <v>0</v>
      </c>
      <c r="Q55" s="606">
        <f>+ROUND($G55*SUMIF(COS_RR!$E$260:$E$302,$H55,COS_RR!R$260:R$302),COS_RR!$AD$10)</f>
        <v>0</v>
      </c>
      <c r="R55" s="606">
        <f>+ROUND($G55*SUMIF(COS_RR!$E$260:$E$302,$H55,COS_RR!S$260:S$302),COS_RR!$AD$10)</f>
        <v>0</v>
      </c>
      <c r="S55" s="606">
        <f>+ROUND($G55*SUMIF(COS_RR!$E$260:$E$302,$H55,COS_RR!T$260:T$302),COS_RR!$AD$10)</f>
        <v>0</v>
      </c>
      <c r="T55" s="606">
        <f>+ROUND($G55*SUMIF(COS_RR!$E$260:$E$302,$H55,COS_RR!U$260:U$302),COS_RR!$AD$10)</f>
        <v>0</v>
      </c>
      <c r="U55" s="606">
        <f>+ROUND($G55*SUMIF(COS_RR!$E$260:$E$302,$H55,COS_RR!V$260:V$302),COS_RR!$AD$10)</f>
        <v>0</v>
      </c>
      <c r="V55" s="606">
        <f>+ROUND($G55*SUMIF(COS_RR!$E$260:$E$302,$H55,COS_RR!W$260:W$302),COS_RR!$AD$10)</f>
        <v>0</v>
      </c>
      <c r="W55" s="606">
        <f>+ROUND($G55*SUMIF(COS_RR!$E$260:$E$302,$H55,COS_RR!X$260:X$302),COS_RR!$AD$10)</f>
        <v>0</v>
      </c>
      <c r="X55" s="606">
        <f>+ROUND($G55*SUMIF(COS_RR!$E$260:$E$302,$H55,COS_RR!Y$260:Y$302),COS_RR!$AD$10)</f>
        <v>0</v>
      </c>
      <c r="Y55" s="606">
        <f>+ROUND($G55*SUMIF(COS_RR!$E$260:$E$302,$H55,COS_RR!Z$260:Z$302),COS_RR!$AD$10)</f>
        <v>0</v>
      </c>
      <c r="Z55" s="606">
        <f>+ROUND($G55*SUMIF(COS_RR!$E$260:$E$302,$H55,COS_RR!AA$260:AA$302),COS_RR!$AD$10)</f>
        <v>0</v>
      </c>
      <c r="AA55" s="1"/>
      <c r="AD55" s="193">
        <f t="shared" si="3"/>
        <v>0</v>
      </c>
    </row>
    <row r="56" spans="1:30" s="4" customFormat="1">
      <c r="A56" s="411"/>
      <c r="B56" s="84"/>
      <c r="C56" s="236">
        <f>MAX($C$7:C55)+1</f>
        <v>37</v>
      </c>
      <c r="D56" s="237">
        <f>'O&amp;M_Detail - Elec'!D45</f>
        <v>549000</v>
      </c>
      <c r="E56" s="112" t="str">
        <f>'O&amp;M_Detail - Elec'!E45</f>
        <v>MISC OTHER POWER EXPENSE</v>
      </c>
      <c r="F56" s="112"/>
      <c r="G56" s="3091">
        <f>SUMIFS('Labor Exp 2016'!$F$3:$F$219,'Labor Exp 2016'!$C$3:$C$219,$D56)</f>
        <v>0</v>
      </c>
      <c r="H56" s="3123" t="str">
        <f>COS_RR!H90</f>
        <v>Power - Capacity</v>
      </c>
      <c r="I56" s="606">
        <f>+ROUND($G56*SUMIF(COS_RR!$E$260:$E$302,$H56,COS_RR!J$260:J$302),COS_RR!$AD$10)</f>
        <v>0</v>
      </c>
      <c r="J56" s="606">
        <f>+ROUND($G56*SUMIF(COS_RR!$E$260:$E$302,$H56,COS_RR!K$260:K$302),COS_RR!$AD$10)</f>
        <v>0</v>
      </c>
      <c r="K56" s="606">
        <f>+ROUND($G56*SUMIF(COS_RR!$E$260:$E$302,$H56,COS_RR!L$260:L$302),COS_RR!$AD$10)</f>
        <v>0</v>
      </c>
      <c r="L56" s="606">
        <f>+ROUND($G56*SUMIF(COS_RR!$E$260:$E$302,$H56,COS_RR!M$260:M$302),COS_RR!$AD$10)</f>
        <v>0</v>
      </c>
      <c r="M56" s="606">
        <f>+ROUND($G56*SUMIF(COS_RR!$E$260:$E$302,$H56,COS_RR!N$260:N$302),COS_RR!$AD$10)</f>
        <v>0</v>
      </c>
      <c r="N56" s="606">
        <f>+ROUND($G56*SUMIF(COS_RR!$E$260:$E$302,$H56,COS_RR!O$260:O$302),COS_RR!$AD$10)</f>
        <v>0</v>
      </c>
      <c r="O56" s="606">
        <f>+ROUND($G56*SUMIF(COS_RR!$E$260:$E$302,$H56,COS_RR!P$260:P$302),COS_RR!$AD$10)</f>
        <v>0</v>
      </c>
      <c r="P56" s="606">
        <f>+ROUND($G56*SUMIF(COS_RR!$E$260:$E$302,$H56,COS_RR!Q$260:Q$302),COS_RR!$AD$10)</f>
        <v>0</v>
      </c>
      <c r="Q56" s="606">
        <f>+ROUND($G56*SUMIF(COS_RR!$E$260:$E$302,$H56,COS_RR!R$260:R$302),COS_RR!$AD$10)</f>
        <v>0</v>
      </c>
      <c r="R56" s="606">
        <f>+ROUND($G56*SUMIF(COS_RR!$E$260:$E$302,$H56,COS_RR!S$260:S$302),COS_RR!$AD$10)</f>
        <v>0</v>
      </c>
      <c r="S56" s="606">
        <f>+ROUND($G56*SUMIF(COS_RR!$E$260:$E$302,$H56,COS_RR!T$260:T$302),COS_RR!$AD$10)</f>
        <v>0</v>
      </c>
      <c r="T56" s="606">
        <f>+ROUND($G56*SUMIF(COS_RR!$E$260:$E$302,$H56,COS_RR!U$260:U$302),COS_RR!$AD$10)</f>
        <v>0</v>
      </c>
      <c r="U56" s="606">
        <f>+ROUND($G56*SUMIF(COS_RR!$E$260:$E$302,$H56,COS_RR!V$260:V$302),COS_RR!$AD$10)</f>
        <v>0</v>
      </c>
      <c r="V56" s="606">
        <f>+ROUND($G56*SUMIF(COS_RR!$E$260:$E$302,$H56,COS_RR!W$260:W$302),COS_RR!$AD$10)</f>
        <v>0</v>
      </c>
      <c r="W56" s="606">
        <f>+ROUND($G56*SUMIF(COS_RR!$E$260:$E$302,$H56,COS_RR!X$260:X$302),COS_RR!$AD$10)</f>
        <v>0</v>
      </c>
      <c r="X56" s="606">
        <f>+ROUND($G56*SUMIF(COS_RR!$E$260:$E$302,$H56,COS_RR!Y$260:Y$302),COS_RR!$AD$10)</f>
        <v>0</v>
      </c>
      <c r="Y56" s="606">
        <f>+ROUND($G56*SUMIF(COS_RR!$E$260:$E$302,$H56,COS_RR!Z$260:Z$302),COS_RR!$AD$10)</f>
        <v>0</v>
      </c>
      <c r="Z56" s="606">
        <f>+ROUND($G56*SUMIF(COS_RR!$E$260:$E$302,$H56,COS_RR!AA$260:AA$302),COS_RR!$AD$10)</f>
        <v>0</v>
      </c>
      <c r="AA56" s="1"/>
      <c r="AD56" s="193">
        <f t="shared" si="3"/>
        <v>0</v>
      </c>
    </row>
    <row r="57" spans="1:30" s="4" customFormat="1" ht="16.5" thickBot="1">
      <c r="A57" s="411"/>
      <c r="B57" s="84"/>
      <c r="C57" s="236">
        <f>MAX($C$7:C56)+1</f>
        <v>38</v>
      </c>
      <c r="D57" s="237">
        <f>'O&amp;M_Detail - Elec'!D46</f>
        <v>550000</v>
      </c>
      <c r="E57" s="112" t="str">
        <f>'O&amp;M_Detail - Elec'!E46</f>
        <v>OTHER GENERATION - RENT</v>
      </c>
      <c r="F57" s="112"/>
      <c r="G57" s="3091">
        <f>SUMIFS('Labor Exp 2016'!$F$3:$F$219,'Labor Exp 2016'!$C$3:$C$219,$D57)</f>
        <v>0</v>
      </c>
      <c r="H57" s="3124" t="str">
        <f>COS_RR!H91</f>
        <v>Power - Capacity</v>
      </c>
      <c r="I57" s="606">
        <f>+ROUND($G57*SUMIF(COS_RR!$E$260:$E$302,$H57,COS_RR!J$260:J$302),COS_RR!$AD$10)</f>
        <v>0</v>
      </c>
      <c r="J57" s="606">
        <f>+ROUND($G57*SUMIF(COS_RR!$E$260:$E$302,$H57,COS_RR!K$260:K$302),COS_RR!$AD$10)</f>
        <v>0</v>
      </c>
      <c r="K57" s="606">
        <f>+ROUND($G57*SUMIF(COS_RR!$E$260:$E$302,$H57,COS_RR!L$260:L$302),COS_RR!$AD$10)</f>
        <v>0</v>
      </c>
      <c r="L57" s="606">
        <f>+ROUND($G57*SUMIF(COS_RR!$E$260:$E$302,$H57,COS_RR!M$260:M$302),COS_RR!$AD$10)</f>
        <v>0</v>
      </c>
      <c r="M57" s="606">
        <f>+ROUND($G57*SUMIF(COS_RR!$E$260:$E$302,$H57,COS_RR!N$260:N$302),COS_RR!$AD$10)</f>
        <v>0</v>
      </c>
      <c r="N57" s="606">
        <f>+ROUND($G57*SUMIF(COS_RR!$E$260:$E$302,$H57,COS_RR!O$260:O$302),COS_RR!$AD$10)</f>
        <v>0</v>
      </c>
      <c r="O57" s="606">
        <f>+ROUND($G57*SUMIF(COS_RR!$E$260:$E$302,$H57,COS_RR!P$260:P$302),COS_RR!$AD$10)</f>
        <v>0</v>
      </c>
      <c r="P57" s="606">
        <f>+ROUND($G57*SUMIF(COS_RR!$E$260:$E$302,$H57,COS_RR!Q$260:Q$302),COS_RR!$AD$10)</f>
        <v>0</v>
      </c>
      <c r="Q57" s="606">
        <f>+ROUND($G57*SUMIF(COS_RR!$E$260:$E$302,$H57,COS_RR!R$260:R$302),COS_RR!$AD$10)</f>
        <v>0</v>
      </c>
      <c r="R57" s="606">
        <f>+ROUND($G57*SUMIF(COS_RR!$E$260:$E$302,$H57,COS_RR!S$260:S$302),COS_RR!$AD$10)</f>
        <v>0</v>
      </c>
      <c r="S57" s="606">
        <f>+ROUND($G57*SUMIF(COS_RR!$E$260:$E$302,$H57,COS_RR!T$260:T$302),COS_RR!$AD$10)</f>
        <v>0</v>
      </c>
      <c r="T57" s="606">
        <f>+ROUND($G57*SUMIF(COS_RR!$E$260:$E$302,$H57,COS_RR!U$260:U$302),COS_RR!$AD$10)</f>
        <v>0</v>
      </c>
      <c r="U57" s="606">
        <f>+ROUND($G57*SUMIF(COS_RR!$E$260:$E$302,$H57,COS_RR!V$260:V$302),COS_RR!$AD$10)</f>
        <v>0</v>
      </c>
      <c r="V57" s="606">
        <f>+ROUND($G57*SUMIF(COS_RR!$E$260:$E$302,$H57,COS_RR!W$260:W$302),COS_RR!$AD$10)</f>
        <v>0</v>
      </c>
      <c r="W57" s="606">
        <f>+ROUND($G57*SUMIF(COS_RR!$E$260:$E$302,$H57,COS_RR!X$260:X$302),COS_RR!$AD$10)</f>
        <v>0</v>
      </c>
      <c r="X57" s="606">
        <f>+ROUND($G57*SUMIF(COS_RR!$E$260:$E$302,$H57,COS_RR!Y$260:Y$302),COS_RR!$AD$10)</f>
        <v>0</v>
      </c>
      <c r="Y57" s="606">
        <f>+ROUND($G57*SUMIF(COS_RR!$E$260:$E$302,$H57,COS_RR!Z$260:Z$302),COS_RR!$AD$10)</f>
        <v>0</v>
      </c>
      <c r="Z57" s="606">
        <f>+ROUND($G57*SUMIF(COS_RR!$E$260:$E$302,$H57,COS_RR!AA$260:AA$302),COS_RR!$AD$10)</f>
        <v>0</v>
      </c>
      <c r="AA57" s="1"/>
      <c r="AD57" s="193">
        <f t="shared" si="3"/>
        <v>0</v>
      </c>
    </row>
    <row r="58" spans="1:30" s="4" customFormat="1">
      <c r="A58" s="411"/>
      <c r="B58" s="84"/>
      <c r="C58" s="236"/>
      <c r="D58" s="237"/>
      <c r="E58" s="112"/>
      <c r="F58" s="112"/>
      <c r="G58" s="340">
        <f>SUM(G36:G57)</f>
        <v>331920.37000000011</v>
      </c>
      <c r="H58" s="112"/>
      <c r="I58" s="340">
        <f t="shared" ref="I58:Z58" si="4">SUM(I36:I57)</f>
        <v>0</v>
      </c>
      <c r="J58" s="340">
        <f t="shared" ref="J58:P58" si="5">SUM(J36:J57)</f>
        <v>331921</v>
      </c>
      <c r="K58" s="340">
        <f t="shared" si="5"/>
        <v>0</v>
      </c>
      <c r="L58" s="340">
        <f t="shared" si="5"/>
        <v>0</v>
      </c>
      <c r="M58" s="340">
        <f t="shared" si="5"/>
        <v>0</v>
      </c>
      <c r="N58" s="340">
        <f t="shared" si="5"/>
        <v>0</v>
      </c>
      <c r="O58" s="340">
        <f t="shared" si="5"/>
        <v>0</v>
      </c>
      <c r="P58" s="340">
        <f t="shared" si="5"/>
        <v>0</v>
      </c>
      <c r="Q58" s="340">
        <f t="shared" si="4"/>
        <v>0</v>
      </c>
      <c r="R58" s="340">
        <f t="shared" si="4"/>
        <v>0</v>
      </c>
      <c r="S58" s="340">
        <f t="shared" si="4"/>
        <v>0</v>
      </c>
      <c r="T58" s="340">
        <f t="shared" si="4"/>
        <v>0</v>
      </c>
      <c r="U58" s="340">
        <f t="shared" si="4"/>
        <v>0</v>
      </c>
      <c r="V58" s="340">
        <f t="shared" si="4"/>
        <v>0</v>
      </c>
      <c r="W58" s="340">
        <f t="shared" si="4"/>
        <v>0</v>
      </c>
      <c r="X58" s="340">
        <f t="shared" si="4"/>
        <v>0</v>
      </c>
      <c r="Y58" s="340">
        <f t="shared" si="4"/>
        <v>0</v>
      </c>
      <c r="Z58" s="340">
        <f t="shared" si="4"/>
        <v>0</v>
      </c>
      <c r="AA58" s="1"/>
    </row>
    <row r="59" spans="1:30" s="4" customFormat="1" ht="16.5" thickBot="1">
      <c r="A59" s="411"/>
      <c r="B59" s="84"/>
      <c r="C59" s="236">
        <f>MAX($C$7:C58)+1</f>
        <v>39</v>
      </c>
      <c r="D59" s="903" t="str">
        <f>'O&amp;M_Detail - Elec'!D48</f>
        <v>TRANSMISSION</v>
      </c>
      <c r="E59" s="112"/>
      <c r="F59" s="112"/>
      <c r="G59"/>
      <c r="H59" s="112"/>
      <c r="AA59" s="1"/>
    </row>
    <row r="60" spans="1:30" s="4" customFormat="1">
      <c r="A60" s="411"/>
      <c r="B60" s="84"/>
      <c r="C60" s="236">
        <f>MAX($C$7:C59)+1</f>
        <v>40</v>
      </c>
      <c r="D60" s="237">
        <f>'O&amp;M_Detail - Elec'!D49</f>
        <v>560000</v>
      </c>
      <c r="E60" s="112" t="str">
        <f>'O&amp;M_Detail - Elec'!E49</f>
        <v>T/OPERS-SUPV &amp; ENG</v>
      </c>
      <c r="F60" s="112"/>
      <c r="G60" s="3090">
        <f>SUMIFS('Labor Exp 2016'!$F$3:$F$219,'Labor Exp 2016'!$C$3:$C$219,$D60)</f>
        <v>104809.538</v>
      </c>
      <c r="H60" s="3121" t="str">
        <f>COS_RR!H95</f>
        <v>Trans - Capacity</v>
      </c>
      <c r="I60" s="605">
        <f>+ROUND($G60*SUMIF(COS_RR!$E$260:$E$302,$H60,COS_RR!J$260:J$302),COS_RR!$AD$10)</f>
        <v>0</v>
      </c>
      <c r="J60" s="605">
        <f>+ROUND($G60*SUMIF(COS_RR!$E$260:$E$302,$H60,COS_RR!K$260:K$302),COS_RR!$AD$10)</f>
        <v>0</v>
      </c>
      <c r="K60" s="605">
        <f>+ROUND($G60*SUMIF(COS_RR!$E$260:$E$302,$H60,COS_RR!L$260:L$302),COS_RR!$AD$10)</f>
        <v>104810</v>
      </c>
      <c r="L60" s="605">
        <f>+ROUND($G60*SUMIF(COS_RR!$E$260:$E$302,$H60,COS_RR!M$260:M$302),COS_RR!$AD$10)</f>
        <v>0</v>
      </c>
      <c r="M60" s="605">
        <f>+ROUND($G60*SUMIF(COS_RR!$E$260:$E$302,$H60,COS_RR!N$260:N$302),COS_RR!$AD$10)</f>
        <v>0</v>
      </c>
      <c r="N60" s="605">
        <f>+ROUND($G60*SUMIF(COS_RR!$E$260:$E$302,$H60,COS_RR!O$260:O$302),COS_RR!$AD$10)</f>
        <v>0</v>
      </c>
      <c r="O60" s="605">
        <f>+ROUND($G60*SUMIF(COS_RR!$E$260:$E$302,$H60,COS_RR!P$260:P$302),COS_RR!$AD$10)</f>
        <v>0</v>
      </c>
      <c r="P60" s="605">
        <f>+ROUND($G60*SUMIF(COS_RR!$E$260:$E$302,$H60,COS_RR!Q$260:Q$302),COS_RR!$AD$10)</f>
        <v>0</v>
      </c>
      <c r="Q60" s="605">
        <f>+ROUND($G60*SUMIF(COS_RR!$E$260:$E$302,$H60,COS_RR!R$260:R$302),COS_RR!$AD$10)</f>
        <v>0</v>
      </c>
      <c r="R60" s="605">
        <f>+ROUND($G60*SUMIF(COS_RR!$E$260:$E$302,$H60,COS_RR!S$260:S$302),COS_RR!$AD$10)</f>
        <v>0</v>
      </c>
      <c r="S60" s="605">
        <f>+ROUND($G60*SUMIF(COS_RR!$E$260:$E$302,$H60,COS_RR!T$260:T$302),COS_RR!$AD$10)</f>
        <v>0</v>
      </c>
      <c r="T60" s="605">
        <f>+ROUND($G60*SUMIF(COS_RR!$E$260:$E$302,$H60,COS_RR!U$260:U$302),COS_RR!$AD$10)</f>
        <v>0</v>
      </c>
      <c r="U60" s="605">
        <f>+ROUND($G60*SUMIF(COS_RR!$E$260:$E$302,$H60,COS_RR!V$260:V$302),COS_RR!$AD$10)</f>
        <v>0</v>
      </c>
      <c r="V60" s="605">
        <f>+ROUND($G60*SUMIF(COS_RR!$E$260:$E$302,$H60,COS_RR!W$260:W$302),COS_RR!$AD$10)</f>
        <v>0</v>
      </c>
      <c r="W60" s="605">
        <f>+ROUND($G60*SUMIF(COS_RR!$E$260:$E$302,$H60,COS_RR!X$260:X$302),COS_RR!$AD$10)</f>
        <v>0</v>
      </c>
      <c r="X60" s="605">
        <f>+ROUND($G60*SUMIF(COS_RR!$E$260:$E$302,$H60,COS_RR!Y$260:Y$302),COS_RR!$AD$10)</f>
        <v>0</v>
      </c>
      <c r="Y60" s="605">
        <f>+ROUND($G60*SUMIF(COS_RR!$E$260:$E$302,$H60,COS_RR!Z$260:Z$302),COS_RR!$AD$10)</f>
        <v>0</v>
      </c>
      <c r="Z60" s="605">
        <f>+ROUND($G60*SUMIF(COS_RR!$E$260:$E$302,$H60,COS_RR!AA$260:AA$302),COS_RR!$AD$10)</f>
        <v>0</v>
      </c>
      <c r="AA60" s="1"/>
      <c r="AD60" s="193">
        <f t="shared" ref="AD60:AD72" si="6">SUM(I60:Z60)-G60</f>
        <v>0.46199999999953434</v>
      </c>
    </row>
    <row r="61" spans="1:30" s="4" customFormat="1">
      <c r="A61" s="411"/>
      <c r="B61" s="84"/>
      <c r="C61" s="236">
        <f>MAX($C$7:C60)+1</f>
        <v>41</v>
      </c>
      <c r="D61" s="237">
        <f>'O&amp;M_Detail - Elec'!D50</f>
        <v>561000</v>
      </c>
      <c r="E61" s="112" t="str">
        <f>'O&amp;M_Detail - Elec'!E50</f>
        <v>T/OPERS-LOAD DISPATCHING</v>
      </c>
      <c r="F61" s="112"/>
      <c r="G61" s="3091">
        <f>SUMIFS('Labor Exp 2016'!$F$3:$F$219,'Labor Exp 2016'!$C$3:$C$219,$D61)</f>
        <v>126002.27420000004</v>
      </c>
      <c r="H61" s="3123" t="str">
        <f>COS_RR!H96</f>
        <v>Trans - Capacity</v>
      </c>
      <c r="I61" s="606">
        <f>+ROUND($G61*SUMIF(COS_RR!$E$260:$E$302,$H61,COS_RR!J$260:J$302),COS_RR!$AD$10)</f>
        <v>0</v>
      </c>
      <c r="J61" s="606">
        <f>+ROUND($G61*SUMIF(COS_RR!$E$260:$E$302,$H61,COS_RR!K$260:K$302),COS_RR!$AD$10)</f>
        <v>0</v>
      </c>
      <c r="K61" s="606">
        <f>+ROUND($G61*SUMIF(COS_RR!$E$260:$E$302,$H61,COS_RR!L$260:L$302),COS_RR!$AD$10)</f>
        <v>126002</v>
      </c>
      <c r="L61" s="606">
        <f>+ROUND($G61*SUMIF(COS_RR!$E$260:$E$302,$H61,COS_RR!M$260:M$302),COS_RR!$AD$10)</f>
        <v>0</v>
      </c>
      <c r="M61" s="606">
        <f>+ROUND($G61*SUMIF(COS_RR!$E$260:$E$302,$H61,COS_RR!N$260:N$302),COS_RR!$AD$10)</f>
        <v>0</v>
      </c>
      <c r="N61" s="606">
        <f>+ROUND($G61*SUMIF(COS_RR!$E$260:$E$302,$H61,COS_RR!O$260:O$302),COS_RR!$AD$10)</f>
        <v>0</v>
      </c>
      <c r="O61" s="606">
        <f>+ROUND($G61*SUMIF(COS_RR!$E$260:$E$302,$H61,COS_RR!P$260:P$302),COS_RR!$AD$10)</f>
        <v>0</v>
      </c>
      <c r="P61" s="606">
        <f>+ROUND($G61*SUMIF(COS_RR!$E$260:$E$302,$H61,COS_RR!Q$260:Q$302),COS_RR!$AD$10)</f>
        <v>0</v>
      </c>
      <c r="Q61" s="606">
        <f>+ROUND($G61*SUMIF(COS_RR!$E$260:$E$302,$H61,COS_RR!R$260:R$302),COS_RR!$AD$10)</f>
        <v>0</v>
      </c>
      <c r="R61" s="606">
        <f>+ROUND($G61*SUMIF(COS_RR!$E$260:$E$302,$H61,COS_RR!S$260:S$302),COS_RR!$AD$10)</f>
        <v>0</v>
      </c>
      <c r="S61" s="606">
        <f>+ROUND($G61*SUMIF(COS_RR!$E$260:$E$302,$H61,COS_RR!T$260:T$302),COS_RR!$AD$10)</f>
        <v>0</v>
      </c>
      <c r="T61" s="606">
        <f>+ROUND($G61*SUMIF(COS_RR!$E$260:$E$302,$H61,COS_RR!U$260:U$302),COS_RR!$AD$10)</f>
        <v>0</v>
      </c>
      <c r="U61" s="606">
        <f>+ROUND($G61*SUMIF(COS_RR!$E$260:$E$302,$H61,COS_RR!V$260:V$302),COS_RR!$AD$10)</f>
        <v>0</v>
      </c>
      <c r="V61" s="606">
        <f>+ROUND($G61*SUMIF(COS_RR!$E$260:$E$302,$H61,COS_RR!W$260:W$302),COS_RR!$AD$10)</f>
        <v>0</v>
      </c>
      <c r="W61" s="606">
        <f>+ROUND($G61*SUMIF(COS_RR!$E$260:$E$302,$H61,COS_RR!X$260:X$302),COS_RR!$AD$10)</f>
        <v>0</v>
      </c>
      <c r="X61" s="606">
        <f>+ROUND($G61*SUMIF(COS_RR!$E$260:$E$302,$H61,COS_RR!Y$260:Y$302),COS_RR!$AD$10)</f>
        <v>0</v>
      </c>
      <c r="Y61" s="606">
        <f>+ROUND($G61*SUMIF(COS_RR!$E$260:$E$302,$H61,COS_RR!Z$260:Z$302),COS_RR!$AD$10)</f>
        <v>0</v>
      </c>
      <c r="Z61" s="606">
        <f>+ROUND($G61*SUMIF(COS_RR!$E$260:$E$302,$H61,COS_RR!AA$260:AA$302),COS_RR!$AD$10)</f>
        <v>0</v>
      </c>
      <c r="AA61" s="1"/>
      <c r="AD61" s="193">
        <f t="shared" si="6"/>
        <v>-0.27420000004349276</v>
      </c>
    </row>
    <row r="62" spans="1:30" s="4" customFormat="1">
      <c r="A62" s="411"/>
      <c r="B62" s="84"/>
      <c r="C62" s="236">
        <f>MAX($C$7:C61)+1</f>
        <v>42</v>
      </c>
      <c r="D62" s="237">
        <f>'O&amp;M_Detail - Elec'!D51</f>
        <v>561010</v>
      </c>
      <c r="E62" s="112" t="str">
        <f>'O&amp;M_Detail - Elec'!E51</f>
        <v>T/OPERS-LOAD DISPATCH-GEN</v>
      </c>
      <c r="F62" s="112"/>
      <c r="G62" s="3091">
        <f>SUMIFS('Labor Exp 2016'!$F$3:$F$219,'Labor Exp 2016'!$C$3:$C$219,$D62)</f>
        <v>744248.56256400002</v>
      </c>
      <c r="H62" s="3123" t="str">
        <f>COS_RR!H97</f>
        <v>Trans - Capacity</v>
      </c>
      <c r="I62" s="606">
        <f>+ROUND($G62*SUMIF(COS_RR!$E$260:$E$302,$H62,COS_RR!J$260:J$302),COS_RR!$AD$10)</f>
        <v>0</v>
      </c>
      <c r="J62" s="606">
        <f>+ROUND($G62*SUMIF(COS_RR!$E$260:$E$302,$H62,COS_RR!K$260:K$302),COS_RR!$AD$10)</f>
        <v>0</v>
      </c>
      <c r="K62" s="606">
        <f>+ROUND($G62*SUMIF(COS_RR!$E$260:$E$302,$H62,COS_RR!L$260:L$302),COS_RR!$AD$10)</f>
        <v>744249</v>
      </c>
      <c r="L62" s="606">
        <f>+ROUND($G62*SUMIF(COS_RR!$E$260:$E$302,$H62,COS_RR!M$260:M$302),COS_RR!$AD$10)</f>
        <v>0</v>
      </c>
      <c r="M62" s="606">
        <f>+ROUND($G62*SUMIF(COS_RR!$E$260:$E$302,$H62,COS_RR!N$260:N$302),COS_RR!$AD$10)</f>
        <v>0</v>
      </c>
      <c r="N62" s="606">
        <f>+ROUND($G62*SUMIF(COS_RR!$E$260:$E$302,$H62,COS_RR!O$260:O$302),COS_RR!$AD$10)</f>
        <v>0</v>
      </c>
      <c r="O62" s="606">
        <f>+ROUND($G62*SUMIF(COS_RR!$E$260:$E$302,$H62,COS_RR!P$260:P$302),COS_RR!$AD$10)</f>
        <v>0</v>
      </c>
      <c r="P62" s="606">
        <f>+ROUND($G62*SUMIF(COS_RR!$E$260:$E$302,$H62,COS_RR!Q$260:Q$302),COS_RR!$AD$10)</f>
        <v>0</v>
      </c>
      <c r="Q62" s="606">
        <f>+ROUND($G62*SUMIF(COS_RR!$E$260:$E$302,$H62,COS_RR!R$260:R$302),COS_RR!$AD$10)</f>
        <v>0</v>
      </c>
      <c r="R62" s="606">
        <f>+ROUND($G62*SUMIF(COS_RR!$E$260:$E$302,$H62,COS_RR!S$260:S$302),COS_RR!$AD$10)</f>
        <v>0</v>
      </c>
      <c r="S62" s="606">
        <f>+ROUND($G62*SUMIF(COS_RR!$E$260:$E$302,$H62,COS_RR!T$260:T$302),COS_RR!$AD$10)</f>
        <v>0</v>
      </c>
      <c r="T62" s="606">
        <f>+ROUND($G62*SUMIF(COS_RR!$E$260:$E$302,$H62,COS_RR!U$260:U$302),COS_RR!$AD$10)</f>
        <v>0</v>
      </c>
      <c r="U62" s="606">
        <f>+ROUND($G62*SUMIF(COS_RR!$E$260:$E$302,$H62,COS_RR!V$260:V$302),COS_RR!$AD$10)</f>
        <v>0</v>
      </c>
      <c r="V62" s="606">
        <f>+ROUND($G62*SUMIF(COS_RR!$E$260:$E$302,$H62,COS_RR!W$260:W$302),COS_RR!$AD$10)</f>
        <v>0</v>
      </c>
      <c r="W62" s="606">
        <f>+ROUND($G62*SUMIF(COS_RR!$E$260:$E$302,$H62,COS_RR!X$260:X$302),COS_RR!$AD$10)</f>
        <v>0</v>
      </c>
      <c r="X62" s="606">
        <f>+ROUND($G62*SUMIF(COS_RR!$E$260:$E$302,$H62,COS_RR!Y$260:Y$302),COS_RR!$AD$10)</f>
        <v>0</v>
      </c>
      <c r="Y62" s="606">
        <f>+ROUND($G62*SUMIF(COS_RR!$E$260:$E$302,$H62,COS_RR!Z$260:Z$302),COS_RR!$AD$10)</f>
        <v>0</v>
      </c>
      <c r="Z62" s="606">
        <f>+ROUND($G62*SUMIF(COS_RR!$E$260:$E$302,$H62,COS_RR!AA$260:AA$302),COS_RR!$AD$10)</f>
        <v>0</v>
      </c>
      <c r="AA62" s="1"/>
      <c r="AD62" s="193">
        <f t="shared" si="6"/>
        <v>0.43743599997833371</v>
      </c>
    </row>
    <row r="63" spans="1:30" s="4" customFormat="1">
      <c r="A63" s="411"/>
      <c r="B63" s="84"/>
      <c r="C63" s="236">
        <f>MAX($C$7:C62)+1</f>
        <v>43</v>
      </c>
      <c r="D63" s="237">
        <f>'O&amp;M_Detail - Elec'!D52</f>
        <v>561500</v>
      </c>
      <c r="E63" s="112" t="str">
        <f>'O&amp;M_Detail - Elec'!E52</f>
        <v>T/OPERS-LOAD DISPATCH, QC</v>
      </c>
      <c r="F63" s="112"/>
      <c r="G63" s="3091">
        <f>SUMIFS('Labor Exp 2016'!$F$3:$F$219,'Labor Exp 2016'!$C$3:$C$219,$D63)</f>
        <v>0</v>
      </c>
      <c r="H63" s="3123" t="str">
        <f>COS_RR!H98</f>
        <v>Trans - Capacity</v>
      </c>
      <c r="I63" s="606">
        <f>+ROUND($G63*SUMIF(COS_RR!$E$260:$E$302,$H63,COS_RR!J$260:J$302),COS_RR!$AD$10)</f>
        <v>0</v>
      </c>
      <c r="J63" s="606">
        <f>+ROUND($G63*SUMIF(COS_RR!$E$260:$E$302,$H63,COS_RR!K$260:K$302),COS_RR!$AD$10)</f>
        <v>0</v>
      </c>
      <c r="K63" s="606">
        <f>+ROUND($G63*SUMIF(COS_RR!$E$260:$E$302,$H63,COS_RR!L$260:L$302),COS_RR!$AD$10)</f>
        <v>0</v>
      </c>
      <c r="L63" s="606">
        <f>+ROUND($G63*SUMIF(COS_RR!$E$260:$E$302,$H63,COS_RR!M$260:M$302),COS_RR!$AD$10)</f>
        <v>0</v>
      </c>
      <c r="M63" s="606">
        <f>+ROUND($G63*SUMIF(COS_RR!$E$260:$E$302,$H63,COS_RR!N$260:N$302),COS_RR!$AD$10)</f>
        <v>0</v>
      </c>
      <c r="N63" s="606">
        <f>+ROUND($G63*SUMIF(COS_RR!$E$260:$E$302,$H63,COS_RR!O$260:O$302),COS_RR!$AD$10)</f>
        <v>0</v>
      </c>
      <c r="O63" s="606">
        <f>+ROUND($G63*SUMIF(COS_RR!$E$260:$E$302,$H63,COS_RR!P$260:P$302),COS_RR!$AD$10)</f>
        <v>0</v>
      </c>
      <c r="P63" s="606">
        <f>+ROUND($G63*SUMIF(COS_RR!$E$260:$E$302,$H63,COS_RR!Q$260:Q$302),COS_RR!$AD$10)</f>
        <v>0</v>
      </c>
      <c r="Q63" s="606">
        <f>+ROUND($G63*SUMIF(COS_RR!$E$260:$E$302,$H63,COS_RR!R$260:R$302),COS_RR!$AD$10)</f>
        <v>0</v>
      </c>
      <c r="R63" s="606">
        <f>+ROUND($G63*SUMIF(COS_RR!$E$260:$E$302,$H63,COS_RR!S$260:S$302),COS_RR!$AD$10)</f>
        <v>0</v>
      </c>
      <c r="S63" s="606">
        <f>+ROUND($G63*SUMIF(COS_RR!$E$260:$E$302,$H63,COS_RR!T$260:T$302),COS_RR!$AD$10)</f>
        <v>0</v>
      </c>
      <c r="T63" s="606">
        <f>+ROUND($G63*SUMIF(COS_RR!$E$260:$E$302,$H63,COS_RR!U$260:U$302),COS_RR!$AD$10)</f>
        <v>0</v>
      </c>
      <c r="U63" s="606">
        <f>+ROUND($G63*SUMIF(COS_RR!$E$260:$E$302,$H63,COS_RR!V$260:V$302),COS_RR!$AD$10)</f>
        <v>0</v>
      </c>
      <c r="V63" s="606">
        <f>+ROUND($G63*SUMIF(COS_RR!$E$260:$E$302,$H63,COS_RR!W$260:W$302),COS_RR!$AD$10)</f>
        <v>0</v>
      </c>
      <c r="W63" s="606">
        <f>+ROUND($G63*SUMIF(COS_RR!$E$260:$E$302,$H63,COS_RR!X$260:X$302),COS_RR!$AD$10)</f>
        <v>0</v>
      </c>
      <c r="X63" s="606">
        <f>+ROUND($G63*SUMIF(COS_RR!$E$260:$E$302,$H63,COS_RR!Y$260:Y$302),COS_RR!$AD$10)</f>
        <v>0</v>
      </c>
      <c r="Y63" s="606">
        <f>+ROUND($G63*SUMIF(COS_RR!$E$260:$E$302,$H63,COS_RR!Z$260:Z$302),COS_RR!$AD$10)</f>
        <v>0</v>
      </c>
      <c r="Z63" s="606">
        <f>+ROUND($G63*SUMIF(COS_RR!$E$260:$E$302,$H63,COS_RR!AA$260:AA$302),COS_RR!$AD$10)</f>
        <v>0</v>
      </c>
      <c r="AA63" s="1"/>
      <c r="AD63" s="193">
        <f t="shared" si="6"/>
        <v>0</v>
      </c>
    </row>
    <row r="64" spans="1:30" s="4" customFormat="1">
      <c r="A64" s="411"/>
      <c r="B64" s="84"/>
      <c r="C64" s="236">
        <f>MAX($C$7:C63)+1</f>
        <v>44</v>
      </c>
      <c r="D64" s="237">
        <f>'O&amp;M_Detail - Elec'!D53</f>
        <v>561600</v>
      </c>
      <c r="E64" s="112" t="str">
        <f>'O&amp;M_Detail - Elec'!E53</f>
        <v>T/OPERS-LOAD DISPATCH, PEC</v>
      </c>
      <c r="F64" s="112"/>
      <c r="G64" s="3091">
        <f>SUMIFS('Labor Exp 2016'!$F$3:$F$219,'Labor Exp 2016'!$C$3:$C$219,$D64)</f>
        <v>0</v>
      </c>
      <c r="H64" s="3123" t="str">
        <f>COS_RR!H99</f>
        <v>Trans - Capacity</v>
      </c>
      <c r="I64" s="606">
        <f>+ROUND($G64*SUMIF(COS_RR!$E$260:$E$302,$H64,COS_RR!J$260:J$302),COS_RR!$AD$10)</f>
        <v>0</v>
      </c>
      <c r="J64" s="606">
        <f>+ROUND($G64*SUMIF(COS_RR!$E$260:$E$302,$H64,COS_RR!K$260:K$302),COS_RR!$AD$10)</f>
        <v>0</v>
      </c>
      <c r="K64" s="606">
        <f>+ROUND($G64*SUMIF(COS_RR!$E$260:$E$302,$H64,COS_RR!L$260:L$302),COS_RR!$AD$10)</f>
        <v>0</v>
      </c>
      <c r="L64" s="606">
        <f>+ROUND($G64*SUMIF(COS_RR!$E$260:$E$302,$H64,COS_RR!M$260:M$302),COS_RR!$AD$10)</f>
        <v>0</v>
      </c>
      <c r="M64" s="606">
        <f>+ROUND($G64*SUMIF(COS_RR!$E$260:$E$302,$H64,COS_RR!N$260:N$302),COS_RR!$AD$10)</f>
        <v>0</v>
      </c>
      <c r="N64" s="606">
        <f>+ROUND($G64*SUMIF(COS_RR!$E$260:$E$302,$H64,COS_RR!O$260:O$302),COS_RR!$AD$10)</f>
        <v>0</v>
      </c>
      <c r="O64" s="606">
        <f>+ROUND($G64*SUMIF(COS_RR!$E$260:$E$302,$H64,COS_RR!P$260:P$302),COS_RR!$AD$10)</f>
        <v>0</v>
      </c>
      <c r="P64" s="606">
        <f>+ROUND($G64*SUMIF(COS_RR!$E$260:$E$302,$H64,COS_RR!Q$260:Q$302),COS_RR!$AD$10)</f>
        <v>0</v>
      </c>
      <c r="Q64" s="606">
        <f>+ROUND($G64*SUMIF(COS_RR!$E$260:$E$302,$H64,COS_RR!R$260:R$302),COS_RR!$AD$10)</f>
        <v>0</v>
      </c>
      <c r="R64" s="606">
        <f>+ROUND($G64*SUMIF(COS_RR!$E$260:$E$302,$H64,COS_RR!S$260:S$302),COS_RR!$AD$10)</f>
        <v>0</v>
      </c>
      <c r="S64" s="606">
        <f>+ROUND($G64*SUMIF(COS_RR!$E$260:$E$302,$H64,COS_RR!T$260:T$302),COS_RR!$AD$10)</f>
        <v>0</v>
      </c>
      <c r="T64" s="606">
        <f>+ROUND($G64*SUMIF(COS_RR!$E$260:$E$302,$H64,COS_RR!U$260:U$302),COS_RR!$AD$10)</f>
        <v>0</v>
      </c>
      <c r="U64" s="606">
        <f>+ROUND($G64*SUMIF(COS_RR!$E$260:$E$302,$H64,COS_RR!V$260:V$302),COS_RR!$AD$10)</f>
        <v>0</v>
      </c>
      <c r="V64" s="606">
        <f>+ROUND($G64*SUMIF(COS_RR!$E$260:$E$302,$H64,COS_RR!W$260:W$302),COS_RR!$AD$10)</f>
        <v>0</v>
      </c>
      <c r="W64" s="606">
        <f>+ROUND($G64*SUMIF(COS_RR!$E$260:$E$302,$H64,COS_RR!X$260:X$302),COS_RR!$AD$10)</f>
        <v>0</v>
      </c>
      <c r="X64" s="606">
        <f>+ROUND($G64*SUMIF(COS_RR!$E$260:$E$302,$H64,COS_RR!Y$260:Y$302),COS_RR!$AD$10)</f>
        <v>0</v>
      </c>
      <c r="Y64" s="606">
        <f>+ROUND($G64*SUMIF(COS_RR!$E$260:$E$302,$H64,COS_RR!Z$260:Z$302),COS_RR!$AD$10)</f>
        <v>0</v>
      </c>
      <c r="Z64" s="606">
        <f>+ROUND($G64*SUMIF(COS_RR!$E$260:$E$302,$H64,COS_RR!AA$260:AA$302),COS_RR!$AD$10)</f>
        <v>0</v>
      </c>
      <c r="AA64" s="1"/>
      <c r="AD64" s="193">
        <f t="shared" si="6"/>
        <v>0</v>
      </c>
    </row>
    <row r="65" spans="1:30" s="4" customFormat="1">
      <c r="A65" s="411"/>
      <c r="B65" s="84"/>
      <c r="C65" s="236">
        <f>MAX($C$7:C64)+1</f>
        <v>45</v>
      </c>
      <c r="D65" s="237">
        <f>'O&amp;M_Detail - Elec'!D54</f>
        <v>562000</v>
      </c>
      <c r="E65" s="112" t="str">
        <f>'O&amp;M_Detail - Elec'!E54</f>
        <v>T/OPERS-STATION EXP</v>
      </c>
      <c r="F65" s="112"/>
      <c r="G65" s="3091">
        <f>SUMIFS('Labor Exp 2016'!$F$3:$F$219,'Labor Exp 2016'!$C$3:$C$219,$D65)</f>
        <v>6146.4524000000019</v>
      </c>
      <c r="H65" s="3123" t="str">
        <f>COS_RR!H100</f>
        <v>Trans - Capacity</v>
      </c>
      <c r="I65" s="606">
        <f>+ROUND($G65*SUMIF(COS_RR!$E$260:$E$302,$H65,COS_RR!J$260:J$302),COS_RR!$AD$10)</f>
        <v>0</v>
      </c>
      <c r="J65" s="606">
        <f>+ROUND($G65*SUMIF(COS_RR!$E$260:$E$302,$H65,COS_RR!K$260:K$302),COS_RR!$AD$10)</f>
        <v>0</v>
      </c>
      <c r="K65" s="606">
        <f>+ROUND($G65*SUMIF(COS_RR!$E$260:$E$302,$H65,COS_RR!L$260:L$302),COS_RR!$AD$10)</f>
        <v>6146</v>
      </c>
      <c r="L65" s="606">
        <f>+ROUND($G65*SUMIF(COS_RR!$E$260:$E$302,$H65,COS_RR!M$260:M$302),COS_RR!$AD$10)</f>
        <v>0</v>
      </c>
      <c r="M65" s="606">
        <f>+ROUND($G65*SUMIF(COS_RR!$E$260:$E$302,$H65,COS_RR!N$260:N$302),COS_RR!$AD$10)</f>
        <v>0</v>
      </c>
      <c r="N65" s="606">
        <f>+ROUND($G65*SUMIF(COS_RR!$E$260:$E$302,$H65,COS_RR!O$260:O$302),COS_RR!$AD$10)</f>
        <v>0</v>
      </c>
      <c r="O65" s="606">
        <f>+ROUND($G65*SUMIF(COS_RR!$E$260:$E$302,$H65,COS_RR!P$260:P$302),COS_RR!$AD$10)</f>
        <v>0</v>
      </c>
      <c r="P65" s="606">
        <f>+ROUND($G65*SUMIF(COS_RR!$E$260:$E$302,$H65,COS_RR!Q$260:Q$302),COS_RR!$AD$10)</f>
        <v>0</v>
      </c>
      <c r="Q65" s="606">
        <f>+ROUND($G65*SUMIF(COS_RR!$E$260:$E$302,$H65,COS_RR!R$260:R$302),COS_RR!$AD$10)</f>
        <v>0</v>
      </c>
      <c r="R65" s="606">
        <f>+ROUND($G65*SUMIF(COS_RR!$E$260:$E$302,$H65,COS_RR!S$260:S$302),COS_RR!$AD$10)</f>
        <v>0</v>
      </c>
      <c r="S65" s="606">
        <f>+ROUND($G65*SUMIF(COS_RR!$E$260:$E$302,$H65,COS_RR!T$260:T$302),COS_RR!$AD$10)</f>
        <v>0</v>
      </c>
      <c r="T65" s="606">
        <f>+ROUND($G65*SUMIF(COS_RR!$E$260:$E$302,$H65,COS_RR!U$260:U$302),COS_RR!$AD$10)</f>
        <v>0</v>
      </c>
      <c r="U65" s="606">
        <f>+ROUND($G65*SUMIF(COS_RR!$E$260:$E$302,$H65,COS_RR!V$260:V$302),COS_RR!$AD$10)</f>
        <v>0</v>
      </c>
      <c r="V65" s="606">
        <f>+ROUND($G65*SUMIF(COS_RR!$E$260:$E$302,$H65,COS_RR!W$260:W$302),COS_RR!$AD$10)</f>
        <v>0</v>
      </c>
      <c r="W65" s="606">
        <f>+ROUND($G65*SUMIF(COS_RR!$E$260:$E$302,$H65,COS_RR!X$260:X$302),COS_RR!$AD$10)</f>
        <v>0</v>
      </c>
      <c r="X65" s="606">
        <f>+ROUND($G65*SUMIF(COS_RR!$E$260:$E$302,$H65,COS_RR!Y$260:Y$302),COS_RR!$AD$10)</f>
        <v>0</v>
      </c>
      <c r="Y65" s="606">
        <f>+ROUND($G65*SUMIF(COS_RR!$E$260:$E$302,$H65,COS_RR!Z$260:Z$302),COS_RR!$AD$10)</f>
        <v>0</v>
      </c>
      <c r="Z65" s="606">
        <f>+ROUND($G65*SUMIF(COS_RR!$E$260:$E$302,$H65,COS_RR!AA$260:AA$302),COS_RR!$AD$10)</f>
        <v>0</v>
      </c>
      <c r="AA65" s="1"/>
      <c r="AD65" s="193">
        <f t="shared" si="6"/>
        <v>-0.45240000000194414</v>
      </c>
    </row>
    <row r="66" spans="1:30" s="4" customFormat="1">
      <c r="A66" s="411"/>
      <c r="B66" s="84"/>
      <c r="C66" s="236">
        <f>MAX($C$7:C65)+1</f>
        <v>46</v>
      </c>
      <c r="D66" s="237">
        <f>'O&amp;M_Detail - Elec'!D55</f>
        <v>563000</v>
      </c>
      <c r="E66" s="112" t="str">
        <f>'O&amp;M_Detail - Elec'!E55</f>
        <v>T/OPERS-OVERHEAD LINE EXP</v>
      </c>
      <c r="F66" s="112"/>
      <c r="G66" s="3091">
        <f>SUMIFS('Labor Exp 2016'!$F$3:$F$219,'Labor Exp 2016'!$C$3:$C$219,$D66)</f>
        <v>15366.131000000003</v>
      </c>
      <c r="H66" s="3123" t="str">
        <f>COS_RR!H101</f>
        <v>Trans - Capacity</v>
      </c>
      <c r="I66" s="606">
        <f>+ROUND($G66*SUMIF(COS_RR!$E$260:$E$302,$H66,COS_RR!J$260:J$302),COS_RR!$AD$10)</f>
        <v>0</v>
      </c>
      <c r="J66" s="606">
        <f>+ROUND($G66*SUMIF(COS_RR!$E$260:$E$302,$H66,COS_RR!K$260:K$302),COS_RR!$AD$10)</f>
        <v>0</v>
      </c>
      <c r="K66" s="606">
        <f>+ROUND($G66*SUMIF(COS_RR!$E$260:$E$302,$H66,COS_RR!L$260:L$302),COS_RR!$AD$10)</f>
        <v>15366</v>
      </c>
      <c r="L66" s="606">
        <f>+ROUND($G66*SUMIF(COS_RR!$E$260:$E$302,$H66,COS_RR!M$260:M$302),COS_RR!$AD$10)</f>
        <v>0</v>
      </c>
      <c r="M66" s="606">
        <f>+ROUND($G66*SUMIF(COS_RR!$E$260:$E$302,$H66,COS_RR!N$260:N$302),COS_RR!$AD$10)</f>
        <v>0</v>
      </c>
      <c r="N66" s="606">
        <f>+ROUND($G66*SUMIF(COS_RR!$E$260:$E$302,$H66,COS_RR!O$260:O$302),COS_RR!$AD$10)</f>
        <v>0</v>
      </c>
      <c r="O66" s="606">
        <f>+ROUND($G66*SUMIF(COS_RR!$E$260:$E$302,$H66,COS_RR!P$260:P$302),COS_RR!$AD$10)</f>
        <v>0</v>
      </c>
      <c r="P66" s="606">
        <f>+ROUND($G66*SUMIF(COS_RR!$E$260:$E$302,$H66,COS_RR!Q$260:Q$302),COS_RR!$AD$10)</f>
        <v>0</v>
      </c>
      <c r="Q66" s="606">
        <f>+ROUND($G66*SUMIF(COS_RR!$E$260:$E$302,$H66,COS_RR!R$260:R$302),COS_RR!$AD$10)</f>
        <v>0</v>
      </c>
      <c r="R66" s="606">
        <f>+ROUND($G66*SUMIF(COS_RR!$E$260:$E$302,$H66,COS_RR!S$260:S$302),COS_RR!$AD$10)</f>
        <v>0</v>
      </c>
      <c r="S66" s="606">
        <f>+ROUND($G66*SUMIF(COS_RR!$E$260:$E$302,$H66,COS_RR!T$260:T$302),COS_RR!$AD$10)</f>
        <v>0</v>
      </c>
      <c r="T66" s="606">
        <f>+ROUND($G66*SUMIF(COS_RR!$E$260:$E$302,$H66,COS_RR!U$260:U$302),COS_RR!$AD$10)</f>
        <v>0</v>
      </c>
      <c r="U66" s="606">
        <f>+ROUND($G66*SUMIF(COS_RR!$E$260:$E$302,$H66,COS_RR!V$260:V$302),COS_RR!$AD$10)</f>
        <v>0</v>
      </c>
      <c r="V66" s="606">
        <f>+ROUND($G66*SUMIF(COS_RR!$E$260:$E$302,$H66,COS_RR!W$260:W$302),COS_RR!$AD$10)</f>
        <v>0</v>
      </c>
      <c r="W66" s="606">
        <f>+ROUND($G66*SUMIF(COS_RR!$E$260:$E$302,$H66,COS_RR!X$260:X$302),COS_RR!$AD$10)</f>
        <v>0</v>
      </c>
      <c r="X66" s="606">
        <f>+ROUND($G66*SUMIF(COS_RR!$E$260:$E$302,$H66,COS_RR!Y$260:Y$302),COS_RR!$AD$10)</f>
        <v>0</v>
      </c>
      <c r="Y66" s="606">
        <f>+ROUND($G66*SUMIF(COS_RR!$E$260:$E$302,$H66,COS_RR!Z$260:Z$302),COS_RR!$AD$10)</f>
        <v>0</v>
      </c>
      <c r="Z66" s="606">
        <f>+ROUND($G66*SUMIF(COS_RR!$E$260:$E$302,$H66,COS_RR!AA$260:AA$302),COS_RR!$AD$10)</f>
        <v>0</v>
      </c>
      <c r="AA66" s="1"/>
      <c r="AD66" s="193">
        <f t="shared" si="6"/>
        <v>-0.13100000000304135</v>
      </c>
    </row>
    <row r="67" spans="1:30" s="4" customFormat="1">
      <c r="A67" s="411"/>
      <c r="B67" s="2"/>
      <c r="C67" s="236">
        <f>MAX($C$7:C66)+1</f>
        <v>47</v>
      </c>
      <c r="D67" s="237">
        <f>'O&amp;M_Detail - Elec'!D56</f>
        <v>565010</v>
      </c>
      <c r="E67" s="112" t="str">
        <f>'O&amp;M_Detail - Elec'!E56</f>
        <v>T/TRANSMISSION BY OTHERS</v>
      </c>
      <c r="F67" s="112"/>
      <c r="G67" s="3091">
        <f>SUMIFS('Labor Exp 2016'!$F$3:$F$219,'Labor Exp 2016'!$C$3:$C$219,$D67)</f>
        <v>0</v>
      </c>
      <c r="H67" s="3123" t="str">
        <f>COS_RR!H102</f>
        <v>Trans - Capacity</v>
      </c>
      <c r="I67" s="606">
        <f>+ROUND($G67*SUMIF(COS_RR!$E$260:$E$302,$H67,COS_RR!J$260:J$302),COS_RR!$AD$10)</f>
        <v>0</v>
      </c>
      <c r="J67" s="606">
        <f>+ROUND($G67*SUMIF(COS_RR!$E$260:$E$302,$H67,COS_RR!K$260:K$302),COS_RR!$AD$10)</f>
        <v>0</v>
      </c>
      <c r="K67" s="606">
        <f>+ROUND($G67*SUMIF(COS_RR!$E$260:$E$302,$H67,COS_RR!L$260:L$302),COS_RR!$AD$10)</f>
        <v>0</v>
      </c>
      <c r="L67" s="606">
        <f>+ROUND($G67*SUMIF(COS_RR!$E$260:$E$302,$H67,COS_RR!M$260:M$302),COS_RR!$AD$10)</f>
        <v>0</v>
      </c>
      <c r="M67" s="606">
        <f>+ROUND($G67*SUMIF(COS_RR!$E$260:$E$302,$H67,COS_RR!N$260:N$302),COS_RR!$AD$10)</f>
        <v>0</v>
      </c>
      <c r="N67" s="606">
        <f>+ROUND($G67*SUMIF(COS_RR!$E$260:$E$302,$H67,COS_RR!O$260:O$302),COS_RR!$AD$10)</f>
        <v>0</v>
      </c>
      <c r="O67" s="606">
        <f>+ROUND($G67*SUMIF(COS_RR!$E$260:$E$302,$H67,COS_RR!P$260:P$302),COS_RR!$AD$10)</f>
        <v>0</v>
      </c>
      <c r="P67" s="606">
        <f>+ROUND($G67*SUMIF(COS_RR!$E$260:$E$302,$H67,COS_RR!Q$260:Q$302),COS_RR!$AD$10)</f>
        <v>0</v>
      </c>
      <c r="Q67" s="606">
        <f>+ROUND($G67*SUMIF(COS_RR!$E$260:$E$302,$H67,COS_RR!R$260:R$302),COS_RR!$AD$10)</f>
        <v>0</v>
      </c>
      <c r="R67" s="606">
        <f>+ROUND($G67*SUMIF(COS_RR!$E$260:$E$302,$H67,COS_RR!S$260:S$302),COS_RR!$AD$10)</f>
        <v>0</v>
      </c>
      <c r="S67" s="606">
        <f>+ROUND($G67*SUMIF(COS_RR!$E$260:$E$302,$H67,COS_RR!T$260:T$302),COS_RR!$AD$10)</f>
        <v>0</v>
      </c>
      <c r="T67" s="606">
        <f>+ROUND($G67*SUMIF(COS_RR!$E$260:$E$302,$H67,COS_RR!U$260:U$302),COS_RR!$AD$10)</f>
        <v>0</v>
      </c>
      <c r="U67" s="606">
        <f>+ROUND($G67*SUMIF(COS_RR!$E$260:$E$302,$H67,COS_RR!V$260:V$302),COS_RR!$AD$10)</f>
        <v>0</v>
      </c>
      <c r="V67" s="606">
        <f>+ROUND($G67*SUMIF(COS_RR!$E$260:$E$302,$H67,COS_RR!W$260:W$302),COS_RR!$AD$10)</f>
        <v>0</v>
      </c>
      <c r="W67" s="606">
        <f>+ROUND($G67*SUMIF(COS_RR!$E$260:$E$302,$H67,COS_RR!X$260:X$302),COS_RR!$AD$10)</f>
        <v>0</v>
      </c>
      <c r="X67" s="606">
        <f>+ROUND($G67*SUMIF(COS_RR!$E$260:$E$302,$H67,COS_RR!Y$260:Y$302),COS_RR!$AD$10)</f>
        <v>0</v>
      </c>
      <c r="Y67" s="606">
        <f>+ROUND($G67*SUMIF(COS_RR!$E$260:$E$302,$H67,COS_RR!Z$260:Z$302),COS_RR!$AD$10)</f>
        <v>0</v>
      </c>
      <c r="Z67" s="606">
        <f>+ROUND($G67*SUMIF(COS_RR!$E$260:$E$302,$H67,COS_RR!AA$260:AA$302),COS_RR!$AD$10)</f>
        <v>0</v>
      </c>
      <c r="AA67" s="1"/>
      <c r="AD67" s="193">
        <f t="shared" si="6"/>
        <v>0</v>
      </c>
    </row>
    <row r="68" spans="1:30" s="4" customFormat="1">
      <c r="A68" s="411"/>
      <c r="B68" s="2"/>
      <c r="C68" s="236">
        <f>MAX($C$7:C67)+1</f>
        <v>48</v>
      </c>
      <c r="D68" s="237">
        <f>'O&amp;M_Detail - Elec'!D57</f>
        <v>566000</v>
      </c>
      <c r="E68" s="112" t="str">
        <f>'O&amp;M_Detail - Elec'!E57</f>
        <v>T/OPERS-MISC EXP</v>
      </c>
      <c r="F68" s="112"/>
      <c r="G68" s="3091">
        <f>SUMIFS('Labor Exp 2016'!$F$3:$F$219,'Labor Exp 2016'!$C$3:$C$219,$D68)</f>
        <v>178734.52040000004</v>
      </c>
      <c r="H68" s="3123" t="str">
        <f>COS_RR!H103</f>
        <v>Trans - Capacity</v>
      </c>
      <c r="I68" s="606">
        <f>+ROUND($G68*SUMIF(COS_RR!$E$260:$E$302,$H68,COS_RR!J$260:J$302),COS_RR!$AD$10)</f>
        <v>0</v>
      </c>
      <c r="J68" s="606">
        <f>+ROUND($G68*SUMIF(COS_RR!$E$260:$E$302,$H68,COS_RR!K$260:K$302),COS_RR!$AD$10)</f>
        <v>0</v>
      </c>
      <c r="K68" s="606">
        <f>+ROUND($G68*SUMIF(COS_RR!$E$260:$E$302,$H68,COS_RR!L$260:L$302),COS_RR!$AD$10)</f>
        <v>178735</v>
      </c>
      <c r="L68" s="606">
        <f>+ROUND($G68*SUMIF(COS_RR!$E$260:$E$302,$H68,COS_RR!M$260:M$302),COS_RR!$AD$10)</f>
        <v>0</v>
      </c>
      <c r="M68" s="606">
        <f>+ROUND($G68*SUMIF(COS_RR!$E$260:$E$302,$H68,COS_RR!N$260:N$302),COS_RR!$AD$10)</f>
        <v>0</v>
      </c>
      <c r="N68" s="606">
        <f>+ROUND($G68*SUMIF(COS_RR!$E$260:$E$302,$H68,COS_RR!O$260:O$302),COS_RR!$AD$10)</f>
        <v>0</v>
      </c>
      <c r="O68" s="606">
        <f>+ROUND($G68*SUMIF(COS_RR!$E$260:$E$302,$H68,COS_RR!P$260:P$302),COS_RR!$AD$10)</f>
        <v>0</v>
      </c>
      <c r="P68" s="606">
        <f>+ROUND($G68*SUMIF(COS_RR!$E$260:$E$302,$H68,COS_RR!Q$260:Q$302),COS_RR!$AD$10)</f>
        <v>0</v>
      </c>
      <c r="Q68" s="606">
        <f>+ROUND($G68*SUMIF(COS_RR!$E$260:$E$302,$H68,COS_RR!R$260:R$302),COS_RR!$AD$10)</f>
        <v>0</v>
      </c>
      <c r="R68" s="606">
        <f>+ROUND($G68*SUMIF(COS_RR!$E$260:$E$302,$H68,COS_RR!S$260:S$302),COS_RR!$AD$10)</f>
        <v>0</v>
      </c>
      <c r="S68" s="606">
        <f>+ROUND($G68*SUMIF(COS_RR!$E$260:$E$302,$H68,COS_RR!T$260:T$302),COS_RR!$AD$10)</f>
        <v>0</v>
      </c>
      <c r="T68" s="606">
        <f>+ROUND($G68*SUMIF(COS_RR!$E$260:$E$302,$H68,COS_RR!U$260:U$302),COS_RR!$AD$10)</f>
        <v>0</v>
      </c>
      <c r="U68" s="606">
        <f>+ROUND($G68*SUMIF(COS_RR!$E$260:$E$302,$H68,COS_RR!V$260:V$302),COS_RR!$AD$10)</f>
        <v>0</v>
      </c>
      <c r="V68" s="606">
        <f>+ROUND($G68*SUMIF(COS_RR!$E$260:$E$302,$H68,COS_RR!W$260:W$302),COS_RR!$AD$10)</f>
        <v>0</v>
      </c>
      <c r="W68" s="606">
        <f>+ROUND($G68*SUMIF(COS_RR!$E$260:$E$302,$H68,COS_RR!X$260:X$302),COS_RR!$AD$10)</f>
        <v>0</v>
      </c>
      <c r="X68" s="606">
        <f>+ROUND($G68*SUMIF(COS_RR!$E$260:$E$302,$H68,COS_RR!Y$260:Y$302),COS_RR!$AD$10)</f>
        <v>0</v>
      </c>
      <c r="Y68" s="606">
        <f>+ROUND($G68*SUMIF(COS_RR!$E$260:$E$302,$H68,COS_RR!Z$260:Z$302),COS_RR!$AD$10)</f>
        <v>0</v>
      </c>
      <c r="Z68" s="606">
        <f>+ROUND($G68*SUMIF(COS_RR!$E$260:$E$302,$H68,COS_RR!AA$260:AA$302),COS_RR!$AD$10)</f>
        <v>0</v>
      </c>
      <c r="AD68" s="193">
        <f t="shared" si="6"/>
        <v>0.47959999996237457</v>
      </c>
    </row>
    <row r="69" spans="1:30" s="4" customFormat="1">
      <c r="A69" s="411"/>
      <c r="B69" s="2"/>
      <c r="C69" s="236">
        <f>MAX($C$7:C68)+1</f>
        <v>49</v>
      </c>
      <c r="D69" s="237">
        <f>'O&amp;M_Detail - Elec'!D58</f>
        <v>567000</v>
      </c>
      <c r="E69" s="112" t="str">
        <f>'O&amp;M_Detail - Elec'!E58</f>
        <v>T/RENTS</v>
      </c>
      <c r="F69" s="112"/>
      <c r="G69" s="3091">
        <f>SUMIFS('Labor Exp 2016'!$F$3:$F$219,'Labor Exp 2016'!$C$3:$C$219,$D69)</f>
        <v>0</v>
      </c>
      <c r="H69" s="3123" t="str">
        <f>COS_RR!H104</f>
        <v>Trans - Capacity</v>
      </c>
      <c r="I69" s="606">
        <f>+ROUND($G69*SUMIF(COS_RR!$E$260:$E$302,$H69,COS_RR!J$260:J$302),COS_RR!$AD$10)</f>
        <v>0</v>
      </c>
      <c r="J69" s="606">
        <f>+ROUND($G69*SUMIF(COS_RR!$E$260:$E$302,$H69,COS_RR!K$260:K$302),COS_RR!$AD$10)</f>
        <v>0</v>
      </c>
      <c r="K69" s="606">
        <f>+ROUND($G69*SUMIF(COS_RR!$E$260:$E$302,$H69,COS_RR!L$260:L$302),COS_RR!$AD$10)</f>
        <v>0</v>
      </c>
      <c r="L69" s="606">
        <f>+ROUND($G69*SUMIF(COS_RR!$E$260:$E$302,$H69,COS_RR!M$260:M$302),COS_RR!$AD$10)</f>
        <v>0</v>
      </c>
      <c r="M69" s="606">
        <f>+ROUND($G69*SUMIF(COS_RR!$E$260:$E$302,$H69,COS_RR!N$260:N$302),COS_RR!$AD$10)</f>
        <v>0</v>
      </c>
      <c r="N69" s="606">
        <f>+ROUND($G69*SUMIF(COS_RR!$E$260:$E$302,$H69,COS_RR!O$260:O$302),COS_RR!$AD$10)</f>
        <v>0</v>
      </c>
      <c r="O69" s="606">
        <f>+ROUND($G69*SUMIF(COS_RR!$E$260:$E$302,$H69,COS_RR!P$260:P$302),COS_RR!$AD$10)</f>
        <v>0</v>
      </c>
      <c r="P69" s="606">
        <f>+ROUND($G69*SUMIF(COS_RR!$E$260:$E$302,$H69,COS_RR!Q$260:Q$302),COS_RR!$AD$10)</f>
        <v>0</v>
      </c>
      <c r="Q69" s="606">
        <f>+ROUND($G69*SUMIF(COS_RR!$E$260:$E$302,$H69,COS_RR!R$260:R$302),COS_RR!$AD$10)</f>
        <v>0</v>
      </c>
      <c r="R69" s="606">
        <f>+ROUND($G69*SUMIF(COS_RR!$E$260:$E$302,$H69,COS_RR!S$260:S$302),COS_RR!$AD$10)</f>
        <v>0</v>
      </c>
      <c r="S69" s="606">
        <f>+ROUND($G69*SUMIF(COS_RR!$E$260:$E$302,$H69,COS_RR!T$260:T$302),COS_RR!$AD$10)</f>
        <v>0</v>
      </c>
      <c r="T69" s="606">
        <f>+ROUND($G69*SUMIF(COS_RR!$E$260:$E$302,$H69,COS_RR!U$260:U$302),COS_RR!$AD$10)</f>
        <v>0</v>
      </c>
      <c r="U69" s="606">
        <f>+ROUND($G69*SUMIF(COS_RR!$E$260:$E$302,$H69,COS_RR!V$260:V$302),COS_RR!$AD$10)</f>
        <v>0</v>
      </c>
      <c r="V69" s="606">
        <f>+ROUND($G69*SUMIF(COS_RR!$E$260:$E$302,$H69,COS_RR!W$260:W$302),COS_RR!$AD$10)</f>
        <v>0</v>
      </c>
      <c r="W69" s="606">
        <f>+ROUND($G69*SUMIF(COS_RR!$E$260:$E$302,$H69,COS_RR!X$260:X$302),COS_RR!$AD$10)</f>
        <v>0</v>
      </c>
      <c r="X69" s="606">
        <f>+ROUND($G69*SUMIF(COS_RR!$E$260:$E$302,$H69,COS_RR!Y$260:Y$302),COS_RR!$AD$10)</f>
        <v>0</v>
      </c>
      <c r="Y69" s="606">
        <f>+ROUND($G69*SUMIF(COS_RR!$E$260:$E$302,$H69,COS_RR!Z$260:Z$302),COS_RR!$AD$10)</f>
        <v>0</v>
      </c>
      <c r="Z69" s="606">
        <f>+ROUND($G69*SUMIF(COS_RR!$E$260:$E$302,$H69,COS_RR!AA$260:AA$302),COS_RR!$AD$10)</f>
        <v>0</v>
      </c>
      <c r="AD69" s="193">
        <f t="shared" si="6"/>
        <v>0</v>
      </c>
    </row>
    <row r="70" spans="1:30" s="4" customFormat="1">
      <c r="A70" s="411"/>
      <c r="B70" s="2"/>
      <c r="C70" s="236">
        <f>MAX($C$7:C69)+1</f>
        <v>50</v>
      </c>
      <c r="D70" s="237">
        <f>'O&amp;M_Detail - Elec'!D59</f>
        <v>568000</v>
      </c>
      <c r="E70" s="112" t="str">
        <f>'O&amp;M_Detail - Elec'!E59</f>
        <v>T/MAINT-SUPR &amp; ENG</v>
      </c>
      <c r="F70" s="112"/>
      <c r="G70" s="3091">
        <f>SUMIFS('Labor Exp 2016'!$F$3:$F$219,'Labor Exp 2016'!$C$3:$C$219,$D70)</f>
        <v>54718.470000000023</v>
      </c>
      <c r="H70" s="3123" t="str">
        <f>COS_RR!H105</f>
        <v>Trans - Capacity</v>
      </c>
      <c r="I70" s="606">
        <f>+ROUND($G70*SUMIF(COS_RR!$E$260:$E$302,$H70,COS_RR!J$260:J$302),COS_RR!$AD$10)</f>
        <v>0</v>
      </c>
      <c r="J70" s="606">
        <f>+ROUND($G70*SUMIF(COS_RR!$E$260:$E$302,$H70,COS_RR!K$260:K$302),COS_RR!$AD$10)</f>
        <v>0</v>
      </c>
      <c r="K70" s="606">
        <f>+ROUND($G70*SUMIF(COS_RR!$E$260:$E$302,$H70,COS_RR!L$260:L$302),COS_RR!$AD$10)</f>
        <v>54718</v>
      </c>
      <c r="L70" s="606">
        <f>+ROUND($G70*SUMIF(COS_RR!$E$260:$E$302,$H70,COS_RR!M$260:M$302),COS_RR!$AD$10)</f>
        <v>0</v>
      </c>
      <c r="M70" s="606">
        <f>+ROUND($G70*SUMIF(COS_RR!$E$260:$E$302,$H70,COS_RR!N$260:N$302),COS_RR!$AD$10)</f>
        <v>0</v>
      </c>
      <c r="N70" s="606">
        <f>+ROUND($G70*SUMIF(COS_RR!$E$260:$E$302,$H70,COS_RR!O$260:O$302),COS_RR!$AD$10)</f>
        <v>0</v>
      </c>
      <c r="O70" s="606">
        <f>+ROUND($G70*SUMIF(COS_RR!$E$260:$E$302,$H70,COS_RR!P$260:P$302),COS_RR!$AD$10)</f>
        <v>0</v>
      </c>
      <c r="P70" s="606">
        <f>+ROUND($G70*SUMIF(COS_RR!$E$260:$E$302,$H70,COS_RR!Q$260:Q$302),COS_RR!$AD$10)</f>
        <v>0</v>
      </c>
      <c r="Q70" s="606">
        <f>+ROUND($G70*SUMIF(COS_RR!$E$260:$E$302,$H70,COS_RR!R$260:R$302),COS_RR!$AD$10)</f>
        <v>0</v>
      </c>
      <c r="R70" s="606">
        <f>+ROUND($G70*SUMIF(COS_RR!$E$260:$E$302,$H70,COS_RR!S$260:S$302),COS_RR!$AD$10)</f>
        <v>0</v>
      </c>
      <c r="S70" s="606">
        <f>+ROUND($G70*SUMIF(COS_RR!$E$260:$E$302,$H70,COS_RR!T$260:T$302),COS_RR!$AD$10)</f>
        <v>0</v>
      </c>
      <c r="T70" s="606">
        <f>+ROUND($G70*SUMIF(COS_RR!$E$260:$E$302,$H70,COS_RR!U$260:U$302),COS_RR!$AD$10)</f>
        <v>0</v>
      </c>
      <c r="U70" s="606">
        <f>+ROUND($G70*SUMIF(COS_RR!$E$260:$E$302,$H70,COS_RR!V$260:V$302),COS_RR!$AD$10)</f>
        <v>0</v>
      </c>
      <c r="V70" s="606">
        <f>+ROUND($G70*SUMIF(COS_RR!$E$260:$E$302,$H70,COS_RR!W$260:W$302),COS_RR!$AD$10)</f>
        <v>0</v>
      </c>
      <c r="W70" s="606">
        <f>+ROUND($G70*SUMIF(COS_RR!$E$260:$E$302,$H70,COS_RR!X$260:X$302),COS_RR!$AD$10)</f>
        <v>0</v>
      </c>
      <c r="X70" s="606">
        <f>+ROUND($G70*SUMIF(COS_RR!$E$260:$E$302,$H70,COS_RR!Y$260:Y$302),COS_RR!$AD$10)</f>
        <v>0</v>
      </c>
      <c r="Y70" s="606">
        <f>+ROUND($G70*SUMIF(COS_RR!$E$260:$E$302,$H70,COS_RR!Z$260:Z$302),COS_RR!$AD$10)</f>
        <v>0</v>
      </c>
      <c r="Z70" s="606">
        <f>+ROUND($G70*SUMIF(COS_RR!$E$260:$E$302,$H70,COS_RR!AA$260:AA$302),COS_RR!$AD$10)</f>
        <v>0</v>
      </c>
      <c r="AD70" s="193">
        <f t="shared" si="6"/>
        <v>-0.47000000002299203</v>
      </c>
    </row>
    <row r="71" spans="1:30" s="4" customFormat="1">
      <c r="A71" s="411"/>
      <c r="B71" s="2"/>
      <c r="C71" s="236">
        <f>MAX($C$7:C70)+1</f>
        <v>51</v>
      </c>
      <c r="D71" s="237">
        <f>'O&amp;M_Detail - Elec'!D60</f>
        <v>570000</v>
      </c>
      <c r="E71" s="112" t="str">
        <f>'O&amp;M_Detail - Elec'!E60</f>
        <v>T/MAINT-STA EQUIP</v>
      </c>
      <c r="F71" s="112"/>
      <c r="G71" s="3091">
        <f>SUMIFS('Labor Exp 2016'!$F$3:$F$219,'Labor Exp 2016'!$C$3:$C$219,$D71)</f>
        <v>225551.6</v>
      </c>
      <c r="H71" s="3123" t="str">
        <f>COS_RR!H106</f>
        <v>Trans - Capacity</v>
      </c>
      <c r="I71" s="606">
        <f>+ROUND($G71*SUMIF(COS_RR!$E$260:$E$302,$H71,COS_RR!J$260:J$302),COS_RR!$AD$10)</f>
        <v>0</v>
      </c>
      <c r="J71" s="606">
        <f>+ROUND($G71*SUMIF(COS_RR!$E$260:$E$302,$H71,COS_RR!K$260:K$302),COS_RR!$AD$10)</f>
        <v>0</v>
      </c>
      <c r="K71" s="606">
        <f>+ROUND($G71*SUMIF(COS_RR!$E$260:$E$302,$H71,COS_RR!L$260:L$302),COS_RR!$AD$10)</f>
        <v>225552</v>
      </c>
      <c r="L71" s="606">
        <f>+ROUND($G71*SUMIF(COS_RR!$E$260:$E$302,$H71,COS_RR!M$260:M$302),COS_RR!$AD$10)</f>
        <v>0</v>
      </c>
      <c r="M71" s="606">
        <f>+ROUND($G71*SUMIF(COS_RR!$E$260:$E$302,$H71,COS_RR!N$260:N$302),COS_RR!$AD$10)</f>
        <v>0</v>
      </c>
      <c r="N71" s="606">
        <f>+ROUND($G71*SUMIF(COS_RR!$E$260:$E$302,$H71,COS_RR!O$260:O$302),COS_RR!$AD$10)</f>
        <v>0</v>
      </c>
      <c r="O71" s="606">
        <f>+ROUND($G71*SUMIF(COS_RR!$E$260:$E$302,$H71,COS_RR!P$260:P$302),COS_RR!$AD$10)</f>
        <v>0</v>
      </c>
      <c r="P71" s="606">
        <f>+ROUND($G71*SUMIF(COS_RR!$E$260:$E$302,$H71,COS_RR!Q$260:Q$302),COS_RR!$AD$10)</f>
        <v>0</v>
      </c>
      <c r="Q71" s="606">
        <f>+ROUND($G71*SUMIF(COS_RR!$E$260:$E$302,$H71,COS_RR!R$260:R$302),COS_RR!$AD$10)</f>
        <v>0</v>
      </c>
      <c r="R71" s="606">
        <f>+ROUND($G71*SUMIF(COS_RR!$E$260:$E$302,$H71,COS_RR!S$260:S$302),COS_RR!$AD$10)</f>
        <v>0</v>
      </c>
      <c r="S71" s="606">
        <f>+ROUND($G71*SUMIF(COS_RR!$E$260:$E$302,$H71,COS_RR!T$260:T$302),COS_RR!$AD$10)</f>
        <v>0</v>
      </c>
      <c r="T71" s="606">
        <f>+ROUND($G71*SUMIF(COS_RR!$E$260:$E$302,$H71,COS_RR!U$260:U$302),COS_RR!$AD$10)</f>
        <v>0</v>
      </c>
      <c r="U71" s="606">
        <f>+ROUND($G71*SUMIF(COS_RR!$E$260:$E$302,$H71,COS_RR!V$260:V$302),COS_RR!$AD$10)</f>
        <v>0</v>
      </c>
      <c r="V71" s="606">
        <f>+ROUND($G71*SUMIF(COS_RR!$E$260:$E$302,$H71,COS_RR!W$260:W$302),COS_RR!$AD$10)</f>
        <v>0</v>
      </c>
      <c r="W71" s="606">
        <f>+ROUND($G71*SUMIF(COS_RR!$E$260:$E$302,$H71,COS_RR!X$260:X$302),COS_RR!$AD$10)</f>
        <v>0</v>
      </c>
      <c r="X71" s="606">
        <f>+ROUND($G71*SUMIF(COS_RR!$E$260:$E$302,$H71,COS_RR!Y$260:Y$302),COS_RR!$AD$10)</f>
        <v>0</v>
      </c>
      <c r="Y71" s="606">
        <f>+ROUND($G71*SUMIF(COS_RR!$E$260:$E$302,$H71,COS_RR!Z$260:Z$302),COS_RR!$AD$10)</f>
        <v>0</v>
      </c>
      <c r="Z71" s="606">
        <f>+ROUND($G71*SUMIF(COS_RR!$E$260:$E$302,$H71,COS_RR!AA$260:AA$302),COS_RR!$AD$10)</f>
        <v>0</v>
      </c>
      <c r="AD71" s="193">
        <f t="shared" si="6"/>
        <v>0.39999999999417923</v>
      </c>
    </row>
    <row r="72" spans="1:30" s="4" customFormat="1" ht="16.5" thickBot="1">
      <c r="A72" s="411"/>
      <c r="B72" s="2"/>
      <c r="C72" s="236">
        <f>MAX($C$7:C71)+1</f>
        <v>52</v>
      </c>
      <c r="D72" s="237">
        <f>'O&amp;M_Detail - Elec'!D61</f>
        <v>571050</v>
      </c>
      <c r="E72" s="112" t="str">
        <f>'O&amp;M_Detail - Elec'!E61</f>
        <v>T/MAINT-OVERHEAD LINES</v>
      </c>
      <c r="F72" s="112"/>
      <c r="G72" s="3091">
        <f>SUMIFS('Labor Exp 2016'!$F$3:$F$219,'Labor Exp 2016'!$C$3:$C$219,$D72)</f>
        <v>876.81</v>
      </c>
      <c r="H72" s="3124" t="str">
        <f>COS_RR!H107</f>
        <v>Trans - Capacity</v>
      </c>
      <c r="I72" s="606">
        <f>+ROUND($G72*SUMIF(COS_RR!$E$260:$E$302,$H72,COS_RR!J$260:J$302),COS_RR!$AD$10)</f>
        <v>0</v>
      </c>
      <c r="J72" s="606">
        <f>+ROUND($G72*SUMIF(COS_RR!$E$260:$E$302,$H72,COS_RR!K$260:K$302),COS_RR!$AD$10)</f>
        <v>0</v>
      </c>
      <c r="K72" s="606">
        <f>+ROUND($G72*SUMIF(COS_RR!$E$260:$E$302,$H72,COS_RR!L$260:L$302),COS_RR!$AD$10)</f>
        <v>877</v>
      </c>
      <c r="L72" s="606">
        <f>+ROUND($G72*SUMIF(COS_RR!$E$260:$E$302,$H72,COS_RR!M$260:M$302),COS_RR!$AD$10)</f>
        <v>0</v>
      </c>
      <c r="M72" s="606">
        <f>+ROUND($G72*SUMIF(COS_RR!$E$260:$E$302,$H72,COS_RR!N$260:N$302),COS_RR!$AD$10)</f>
        <v>0</v>
      </c>
      <c r="N72" s="606">
        <f>+ROUND($G72*SUMIF(COS_RR!$E$260:$E$302,$H72,COS_RR!O$260:O$302),COS_RR!$AD$10)</f>
        <v>0</v>
      </c>
      <c r="O72" s="606">
        <f>+ROUND($G72*SUMIF(COS_RR!$E$260:$E$302,$H72,COS_RR!P$260:P$302),COS_RR!$AD$10)</f>
        <v>0</v>
      </c>
      <c r="P72" s="606">
        <f>+ROUND($G72*SUMIF(COS_RR!$E$260:$E$302,$H72,COS_RR!Q$260:Q$302),COS_RR!$AD$10)</f>
        <v>0</v>
      </c>
      <c r="Q72" s="606">
        <f>+ROUND($G72*SUMIF(COS_RR!$E$260:$E$302,$H72,COS_RR!R$260:R$302),COS_RR!$AD$10)</f>
        <v>0</v>
      </c>
      <c r="R72" s="606">
        <f>+ROUND($G72*SUMIF(COS_RR!$E$260:$E$302,$H72,COS_RR!S$260:S$302),COS_RR!$AD$10)</f>
        <v>0</v>
      </c>
      <c r="S72" s="606">
        <f>+ROUND($G72*SUMIF(COS_RR!$E$260:$E$302,$H72,COS_RR!T$260:T$302),COS_RR!$AD$10)</f>
        <v>0</v>
      </c>
      <c r="T72" s="606">
        <f>+ROUND($G72*SUMIF(COS_RR!$E$260:$E$302,$H72,COS_RR!U$260:U$302),COS_RR!$AD$10)</f>
        <v>0</v>
      </c>
      <c r="U72" s="606">
        <f>+ROUND($G72*SUMIF(COS_RR!$E$260:$E$302,$H72,COS_RR!V$260:V$302),COS_RR!$AD$10)</f>
        <v>0</v>
      </c>
      <c r="V72" s="606">
        <f>+ROUND($G72*SUMIF(COS_RR!$E$260:$E$302,$H72,COS_RR!W$260:W$302),COS_RR!$AD$10)</f>
        <v>0</v>
      </c>
      <c r="W72" s="606">
        <f>+ROUND($G72*SUMIF(COS_RR!$E$260:$E$302,$H72,COS_RR!X$260:X$302),COS_RR!$AD$10)</f>
        <v>0</v>
      </c>
      <c r="X72" s="606">
        <f>+ROUND($G72*SUMIF(COS_RR!$E$260:$E$302,$H72,COS_RR!Y$260:Y$302),COS_RR!$AD$10)</f>
        <v>0</v>
      </c>
      <c r="Y72" s="606">
        <f>+ROUND($G72*SUMIF(COS_RR!$E$260:$E$302,$H72,COS_RR!Z$260:Z$302),COS_RR!$AD$10)</f>
        <v>0</v>
      </c>
      <c r="Z72" s="606">
        <f>+ROUND($G72*SUMIF(COS_RR!$E$260:$E$302,$H72,COS_RR!AA$260:AA$302),COS_RR!$AD$10)</f>
        <v>0</v>
      </c>
      <c r="AD72" s="193">
        <f t="shared" si="6"/>
        <v>0.19000000000005457</v>
      </c>
    </row>
    <row r="73" spans="1:30">
      <c r="A73" s="411"/>
      <c r="C73" s="236"/>
      <c r="D73" s="237"/>
      <c r="E73" s="112"/>
      <c r="F73" s="112"/>
      <c r="G73" s="340">
        <f>SUM(G60:G72)</f>
        <v>1456454.3585640003</v>
      </c>
      <c r="I73" s="340">
        <f t="shared" ref="I73:P73" si="7">SUM(I60:I72)</f>
        <v>0</v>
      </c>
      <c r="J73" s="340">
        <f t="shared" si="7"/>
        <v>0</v>
      </c>
      <c r="K73" s="340">
        <f t="shared" si="7"/>
        <v>1456455</v>
      </c>
      <c r="L73" s="340">
        <f t="shared" si="7"/>
        <v>0</v>
      </c>
      <c r="M73" s="340">
        <f t="shared" si="7"/>
        <v>0</v>
      </c>
      <c r="N73" s="340">
        <f t="shared" si="7"/>
        <v>0</v>
      </c>
      <c r="O73" s="340">
        <f t="shared" si="7"/>
        <v>0</v>
      </c>
      <c r="P73" s="340">
        <f t="shared" si="7"/>
        <v>0</v>
      </c>
      <c r="Q73" s="340">
        <f t="shared" ref="Q73:Z73" si="8">SUM(Q60:Q72)</f>
        <v>0</v>
      </c>
      <c r="R73" s="340">
        <f t="shared" si="8"/>
        <v>0</v>
      </c>
      <c r="S73" s="340">
        <f t="shared" si="8"/>
        <v>0</v>
      </c>
      <c r="T73" s="340">
        <f t="shared" si="8"/>
        <v>0</v>
      </c>
      <c r="U73" s="340">
        <f t="shared" si="8"/>
        <v>0</v>
      </c>
      <c r="V73" s="340">
        <f t="shared" si="8"/>
        <v>0</v>
      </c>
      <c r="W73" s="340">
        <f t="shared" si="8"/>
        <v>0</v>
      </c>
      <c r="X73" s="340">
        <f t="shared" si="8"/>
        <v>0</v>
      </c>
      <c r="Y73" s="340">
        <f t="shared" si="8"/>
        <v>0</v>
      </c>
      <c r="Z73" s="340">
        <f t="shared" si="8"/>
        <v>0</v>
      </c>
      <c r="AA73" s="84"/>
    </row>
    <row r="74" spans="1:30" ht="16.5" thickBot="1">
      <c r="A74" s="411"/>
      <c r="C74" s="236">
        <f>MAX($C$7:C73)+1</f>
        <v>53</v>
      </c>
      <c r="D74" s="903" t="str">
        <f>'O&amp;M_Detail - Elec'!D63</f>
        <v>DISTRIBUTION ELECTRICAL</v>
      </c>
      <c r="E74" s="112"/>
      <c r="F74" s="112"/>
      <c r="G74"/>
      <c r="J74" s="4"/>
      <c r="L74" s="4"/>
      <c r="M74" s="4"/>
      <c r="N74" s="4"/>
      <c r="O74" s="4"/>
      <c r="P74" s="4"/>
      <c r="Q74" s="4"/>
      <c r="R74" s="4"/>
      <c r="S74" s="4"/>
      <c r="T74" s="4"/>
      <c r="U74" s="4"/>
      <c r="V74" s="4"/>
      <c r="W74" s="4"/>
      <c r="X74" s="4"/>
      <c r="Y74" s="4"/>
      <c r="Z74" s="4"/>
      <c r="AA74" s="84"/>
    </row>
    <row r="75" spans="1:30">
      <c r="A75" s="411"/>
      <c r="C75" s="236">
        <f>MAX($C$7:C74)+1</f>
        <v>54</v>
      </c>
      <c r="D75" s="237">
        <f>'O&amp;M_Detail - Elec'!D64</f>
        <v>580000</v>
      </c>
      <c r="E75" s="112" t="str">
        <f>'O&amp;M_Detail - Elec'!E64</f>
        <v>D/OPERS-SUPV &amp; ENG</v>
      </c>
      <c r="F75" s="112"/>
      <c r="G75" s="3090">
        <f>SUMIFS('Labor Exp 2016'!$F$3:$F$219,'Labor Exp 2016'!$C$3:$C$219,$D75)</f>
        <v>131620.96200000015</v>
      </c>
      <c r="H75" s="3125" t="str">
        <f>COS_RR!H111</f>
        <v>Dist OC</v>
      </c>
      <c r="I75" s="605">
        <f>+ROUND($G75*SUMIF(COS_RR!$E$260:$E$302,$H75,COS_RR!J$260:J$302),COS_RR!$AD$10)</f>
        <v>0</v>
      </c>
      <c r="J75" s="605">
        <f>+ROUND($G75*SUMIF(COS_RR!$E$260:$E$302,$H75,COS_RR!K$260:K$302),COS_RR!$AD$10)</f>
        <v>0</v>
      </c>
      <c r="K75" s="605">
        <f>+ROUND($G75*SUMIF(COS_RR!$E$260:$E$302,$H75,COS_RR!L$260:L$302),COS_RR!$AD$10)</f>
        <v>0</v>
      </c>
      <c r="L75" s="605">
        <f>+ROUND($G75*SUMIF(COS_RR!$E$260:$E$302,$H75,COS_RR!M$260:M$302),COS_RR!$AD$10)</f>
        <v>23560</v>
      </c>
      <c r="M75" s="605">
        <f>+ROUND($G75*SUMIF(COS_RR!$E$260:$E$302,$H75,COS_RR!N$260:N$302),COS_RR!$AD$10)</f>
        <v>0</v>
      </c>
      <c r="N75" s="605">
        <f>+ROUND($G75*SUMIF(COS_RR!$E$260:$E$302,$H75,COS_RR!O$260:O$302),COS_RR!$AD$10)</f>
        <v>0</v>
      </c>
      <c r="O75" s="605">
        <f>+ROUND($G75*SUMIF(COS_RR!$E$260:$E$302,$H75,COS_RR!P$260:P$302),COS_RR!$AD$10)</f>
        <v>0</v>
      </c>
      <c r="P75" s="605">
        <f>+ROUND($G75*SUMIF(COS_RR!$E$260:$E$302,$H75,COS_RR!Q$260:Q$302),COS_RR!$AD$10)</f>
        <v>20994</v>
      </c>
      <c r="Q75" s="605">
        <f>+ROUND($G75*SUMIF(COS_RR!$E$260:$E$302,$H75,COS_RR!R$260:R$302),COS_RR!$AD$10)</f>
        <v>7713</v>
      </c>
      <c r="R75" s="605">
        <f>+ROUND($G75*SUMIF(COS_RR!$E$260:$E$302,$H75,COS_RR!S$260:S$302),COS_RR!$AD$10)</f>
        <v>45607</v>
      </c>
      <c r="S75" s="605">
        <f>+ROUND($G75*SUMIF(COS_RR!$E$260:$E$302,$H75,COS_RR!T$260:T$302),COS_RR!$AD$10)</f>
        <v>6213</v>
      </c>
      <c r="T75" s="605">
        <f>+ROUND($G75*SUMIF(COS_RR!$E$260:$E$302,$H75,COS_RR!U$260:U$302),COS_RR!$AD$10)</f>
        <v>15847</v>
      </c>
      <c r="U75" s="605">
        <f>+ROUND($G75*SUMIF(COS_RR!$E$260:$E$302,$H75,COS_RR!V$260:V$302),COS_RR!$AD$10)</f>
        <v>5752</v>
      </c>
      <c r="V75" s="605">
        <f>+ROUND($G75*SUMIF(COS_RR!$E$260:$E$302,$H75,COS_RR!W$260:W$302),COS_RR!$AD$10)</f>
        <v>4014</v>
      </c>
      <c r="W75" s="605">
        <f>+ROUND($G75*SUMIF(COS_RR!$E$260:$E$302,$H75,COS_RR!X$260:X$302),COS_RR!$AD$10)</f>
        <v>0</v>
      </c>
      <c r="X75" s="605">
        <f>+ROUND($G75*SUMIF(COS_RR!$E$260:$E$302,$H75,COS_RR!Y$260:Y$302),COS_RR!$AD$10)</f>
        <v>1922</v>
      </c>
      <c r="Y75" s="605">
        <f>+ROUND($G75*SUMIF(COS_RR!$E$260:$E$302,$H75,COS_RR!Z$260:Z$302),COS_RR!$AD$10)</f>
        <v>0</v>
      </c>
      <c r="Z75" s="605">
        <f>+ROUND($G75*SUMIF(COS_RR!$E$260:$E$302,$H75,COS_RR!AA$260:AA$302),COS_RR!$AD$10)</f>
        <v>0</v>
      </c>
      <c r="AA75" s="84"/>
      <c r="AD75" s="193">
        <f t="shared" ref="AD75:AD93" si="9">SUM(I75:Z75)-G75</f>
        <v>1.0379999998549465</v>
      </c>
    </row>
    <row r="76" spans="1:30">
      <c r="A76" s="411"/>
      <c r="C76" s="236">
        <f>MAX($C$7:C75)+1</f>
        <v>55</v>
      </c>
      <c r="D76" s="237">
        <f>'O&amp;M_Detail - Elec'!D65</f>
        <v>581010</v>
      </c>
      <c r="E76" s="112" t="str">
        <f>'O&amp;M_Detail - Elec'!E65</f>
        <v>D/OPERS-LOAD DISPATCHING</v>
      </c>
      <c r="F76" s="112"/>
      <c r="G76" s="3091">
        <f>SUMIFS('Labor Exp 2016'!$F$3:$F$219,'Labor Exp 2016'!$C$3:$C$219,$D76)</f>
        <v>1109042.4335999996</v>
      </c>
      <c r="H76" s="3126" t="str">
        <f>COS_RR!H112</f>
        <v>Substation and Lines</v>
      </c>
      <c r="I76" s="606">
        <f>+ROUND($G76*SUMIF(COS_RR!$E$260:$E$302,$H76,COS_RR!J$260:J$302),COS_RR!$AD$10)</f>
        <v>0</v>
      </c>
      <c r="J76" s="606">
        <f>+ROUND($G76*SUMIF(COS_RR!$E$260:$E$302,$H76,COS_RR!K$260:K$302),COS_RR!$AD$10)</f>
        <v>0</v>
      </c>
      <c r="K76" s="606">
        <f>+ROUND($G76*SUMIF(COS_RR!$E$260:$E$302,$H76,COS_RR!L$260:L$302),COS_RR!$AD$10)</f>
        <v>0</v>
      </c>
      <c r="L76" s="606">
        <f>+ROUND($G76*SUMIF(COS_RR!$E$260:$E$302,$H76,COS_RR!M$260:M$302),COS_RR!$AD$10)</f>
        <v>264063</v>
      </c>
      <c r="M76" s="606">
        <f>+ROUND($G76*SUMIF(COS_RR!$E$260:$E$302,$H76,COS_RR!N$260:N$302),COS_RR!$AD$10)</f>
        <v>0</v>
      </c>
      <c r="N76" s="606">
        <f>+ROUND($G76*SUMIF(COS_RR!$E$260:$E$302,$H76,COS_RR!O$260:O$302),COS_RR!$AD$10)</f>
        <v>0</v>
      </c>
      <c r="O76" s="606">
        <f>+ROUND($G76*SUMIF(COS_RR!$E$260:$E$302,$H76,COS_RR!P$260:P$302),COS_RR!$AD$10)</f>
        <v>0</v>
      </c>
      <c r="P76" s="606">
        <f>+ROUND($G76*SUMIF(COS_RR!$E$260:$E$302,$H76,COS_RR!Q$260:Q$302),COS_RR!$AD$10)</f>
        <v>0</v>
      </c>
      <c r="Q76" s="606">
        <f>+ROUND($G76*SUMIF(COS_RR!$E$260:$E$302,$H76,COS_RR!R$260:R$302),COS_RR!$AD$10)</f>
        <v>86505</v>
      </c>
      <c r="R76" s="606">
        <f>+ROUND($G76*SUMIF(COS_RR!$E$260:$E$302,$H76,COS_RR!S$260:S$302),COS_RR!$AD$10)</f>
        <v>511269</v>
      </c>
      <c r="S76" s="606">
        <f>+ROUND($G76*SUMIF(COS_RR!$E$260:$E$302,$H76,COS_RR!T$260:T$302),COS_RR!$AD$10)</f>
        <v>69537</v>
      </c>
      <c r="T76" s="606">
        <f>+ROUND($G76*SUMIF(COS_RR!$E$260:$E$302,$H76,COS_RR!U$260:U$302),COS_RR!$AD$10)</f>
        <v>177669</v>
      </c>
      <c r="U76" s="606">
        <f>+ROUND($G76*SUMIF(COS_RR!$E$260:$E$302,$H76,COS_RR!V$260:V$302),COS_RR!$AD$10)</f>
        <v>0</v>
      </c>
      <c r="V76" s="606">
        <f>+ROUND($G76*SUMIF(COS_RR!$E$260:$E$302,$H76,COS_RR!W$260:W$302),COS_RR!$AD$10)</f>
        <v>0</v>
      </c>
      <c r="W76" s="606">
        <f>+ROUND($G76*SUMIF(COS_RR!$E$260:$E$302,$H76,COS_RR!X$260:X$302),COS_RR!$AD$10)</f>
        <v>0</v>
      </c>
      <c r="X76" s="606">
        <f>+ROUND($G76*SUMIF(COS_RR!$E$260:$E$302,$H76,COS_RR!Y$260:Y$302),COS_RR!$AD$10)</f>
        <v>0</v>
      </c>
      <c r="Y76" s="606">
        <f>+ROUND($G76*SUMIF(COS_RR!$E$260:$E$302,$H76,COS_RR!Z$260:Z$302),COS_RR!$AD$10)</f>
        <v>0</v>
      </c>
      <c r="Z76" s="606">
        <f>+ROUND($G76*SUMIF(COS_RR!$E$260:$E$302,$H76,COS_RR!AA$260:AA$302),COS_RR!$AD$10)</f>
        <v>0</v>
      </c>
      <c r="AA76" s="84"/>
      <c r="AD76" s="193">
        <f t="shared" si="9"/>
        <v>0.56640000035986304</v>
      </c>
    </row>
    <row r="77" spans="1:30">
      <c r="A77" s="411"/>
      <c r="C77" s="236">
        <f>MAX($C$7:C76)+1</f>
        <v>56</v>
      </c>
      <c r="D77" s="237">
        <f>'O&amp;M_Detail - Elec'!D66</f>
        <v>582000</v>
      </c>
      <c r="E77" s="112" t="str">
        <f>'O&amp;M_Detail - Elec'!E66</f>
        <v>D/OPERS-STATION EXPENSE</v>
      </c>
      <c r="F77" s="112"/>
      <c r="G77" s="3091">
        <f>SUMIFS('Labor Exp 2016'!$F$3:$F$219,'Labor Exp 2016'!$C$3:$C$219,$D77)</f>
        <v>625979.86700000032</v>
      </c>
      <c r="H77" s="3126" t="str">
        <f>COS_RR!H113</f>
        <v>Substations</v>
      </c>
      <c r="I77" s="606">
        <f>+ROUND($G77*SUMIF(COS_RR!$E$260:$E$302,$H77,COS_RR!J$260:J$302),COS_RR!$AD$10)</f>
        <v>0</v>
      </c>
      <c r="J77" s="606">
        <f>+ROUND($G77*SUMIF(COS_RR!$E$260:$E$302,$H77,COS_RR!K$260:K$302),COS_RR!$AD$10)</f>
        <v>0</v>
      </c>
      <c r="K77" s="606">
        <f>+ROUND($G77*SUMIF(COS_RR!$E$260:$E$302,$H77,COS_RR!L$260:L$302),COS_RR!$AD$10)</f>
        <v>0</v>
      </c>
      <c r="L77" s="606">
        <f>+ROUND($G77*SUMIF(COS_RR!$E$260:$E$302,$H77,COS_RR!M$260:M$302),COS_RR!$AD$10)</f>
        <v>625980</v>
      </c>
      <c r="M77" s="606">
        <f>+ROUND($G77*SUMIF(COS_RR!$E$260:$E$302,$H77,COS_RR!N$260:N$302),COS_RR!$AD$10)</f>
        <v>0</v>
      </c>
      <c r="N77" s="606">
        <f>+ROUND($G77*SUMIF(COS_RR!$E$260:$E$302,$H77,COS_RR!O$260:O$302),COS_RR!$AD$10)</f>
        <v>0</v>
      </c>
      <c r="O77" s="606">
        <f>+ROUND($G77*SUMIF(COS_RR!$E$260:$E$302,$H77,COS_RR!P$260:P$302),COS_RR!$AD$10)</f>
        <v>0</v>
      </c>
      <c r="P77" s="606">
        <f>+ROUND($G77*SUMIF(COS_RR!$E$260:$E$302,$H77,COS_RR!Q$260:Q$302),COS_RR!$AD$10)</f>
        <v>0</v>
      </c>
      <c r="Q77" s="606">
        <f>+ROUND($G77*SUMIF(COS_RR!$E$260:$E$302,$H77,COS_RR!R$260:R$302),COS_RR!$AD$10)</f>
        <v>0</v>
      </c>
      <c r="R77" s="606">
        <f>+ROUND($G77*SUMIF(COS_RR!$E$260:$E$302,$H77,COS_RR!S$260:S$302),COS_RR!$AD$10)</f>
        <v>0</v>
      </c>
      <c r="S77" s="606">
        <f>+ROUND($G77*SUMIF(COS_RR!$E$260:$E$302,$H77,COS_RR!T$260:T$302),COS_RR!$AD$10)</f>
        <v>0</v>
      </c>
      <c r="T77" s="606">
        <f>+ROUND($G77*SUMIF(COS_RR!$E$260:$E$302,$H77,COS_RR!U$260:U$302),COS_RR!$AD$10)</f>
        <v>0</v>
      </c>
      <c r="U77" s="606">
        <f>+ROUND($G77*SUMIF(COS_RR!$E$260:$E$302,$H77,COS_RR!V$260:V$302),COS_RR!$AD$10)</f>
        <v>0</v>
      </c>
      <c r="V77" s="606">
        <f>+ROUND($G77*SUMIF(COS_RR!$E$260:$E$302,$H77,COS_RR!W$260:W$302),COS_RR!$AD$10)</f>
        <v>0</v>
      </c>
      <c r="W77" s="606">
        <f>+ROUND($G77*SUMIF(COS_RR!$E$260:$E$302,$H77,COS_RR!X$260:X$302),COS_RR!$AD$10)</f>
        <v>0</v>
      </c>
      <c r="X77" s="606">
        <f>+ROUND($G77*SUMIF(COS_RR!$E$260:$E$302,$H77,COS_RR!Y$260:Y$302),COS_RR!$AD$10)</f>
        <v>0</v>
      </c>
      <c r="Y77" s="606">
        <f>+ROUND($G77*SUMIF(COS_RR!$E$260:$E$302,$H77,COS_RR!Z$260:Z$302),COS_RR!$AD$10)</f>
        <v>0</v>
      </c>
      <c r="Z77" s="606">
        <f>+ROUND($G77*SUMIF(COS_RR!$E$260:$E$302,$H77,COS_RR!AA$260:AA$302),COS_RR!$AD$10)</f>
        <v>0</v>
      </c>
      <c r="AA77" s="84"/>
      <c r="AD77" s="193">
        <f t="shared" si="9"/>
        <v>0.13299999968148768</v>
      </c>
    </row>
    <row r="78" spans="1:30">
      <c r="A78" s="411"/>
      <c r="C78" s="236">
        <f>MAX($C$7:C77)+1</f>
        <v>57</v>
      </c>
      <c r="D78" s="237">
        <f>'O&amp;M_Detail - Elec'!D67</f>
        <v>583000</v>
      </c>
      <c r="E78" s="112" t="str">
        <f>'O&amp;M_Detail - Elec'!E67</f>
        <v>D/OPERS-OVERHEAD LINES</v>
      </c>
      <c r="F78" s="112"/>
      <c r="G78" s="3091">
        <f>SUMIFS('Labor Exp 2016'!$F$3:$F$219,'Labor Exp 2016'!$C$3:$C$219,$D78)</f>
        <v>1064165.7738999994</v>
      </c>
      <c r="H78" s="3126" t="str">
        <f>COS_RR!H114</f>
        <v>Overhead Plant</v>
      </c>
      <c r="I78" s="606">
        <f>+ROUND($G78*SUMIF(COS_RR!$E$260:$E$302,$H78,COS_RR!J$260:J$302),COS_RR!$AD$10)</f>
        <v>0</v>
      </c>
      <c r="J78" s="606">
        <f>+ROUND($G78*SUMIF(COS_RR!$E$260:$E$302,$H78,COS_RR!K$260:K$302),COS_RR!$AD$10)</f>
        <v>0</v>
      </c>
      <c r="K78" s="606">
        <f>+ROUND($G78*SUMIF(COS_RR!$E$260:$E$302,$H78,COS_RR!L$260:L$302),COS_RR!$AD$10)</f>
        <v>0</v>
      </c>
      <c r="L78" s="606">
        <f>+ROUND($G78*SUMIF(COS_RR!$E$260:$E$302,$H78,COS_RR!M$260:M$302),COS_RR!$AD$10)</f>
        <v>0</v>
      </c>
      <c r="M78" s="606">
        <f>+ROUND($G78*SUMIF(COS_RR!$E$260:$E$302,$H78,COS_RR!N$260:N$302),COS_RR!$AD$10)</f>
        <v>0</v>
      </c>
      <c r="N78" s="606">
        <f>+ROUND($G78*SUMIF(COS_RR!$E$260:$E$302,$H78,COS_RR!O$260:O$302),COS_RR!$AD$10)</f>
        <v>0</v>
      </c>
      <c r="O78" s="606">
        <f>+ROUND($G78*SUMIF(COS_RR!$E$260:$E$302,$H78,COS_RR!P$260:P$302),COS_RR!$AD$10)</f>
        <v>0</v>
      </c>
      <c r="P78" s="606">
        <f>+ROUND($G78*SUMIF(COS_RR!$E$260:$E$302,$H78,COS_RR!Q$260:Q$302),COS_RR!$AD$10)</f>
        <v>0</v>
      </c>
      <c r="Q78" s="606">
        <f>+ROUND($G78*SUMIF(COS_RR!$E$260:$E$302,$H78,COS_RR!R$260:R$302),COS_RR!$AD$10)</f>
        <v>95704</v>
      </c>
      <c r="R78" s="606">
        <f>+ROUND($G78*SUMIF(COS_RR!$E$260:$E$302,$H78,COS_RR!S$260:S$302),COS_RR!$AD$10)</f>
        <v>788329</v>
      </c>
      <c r="S78" s="606">
        <f>+ROUND($G78*SUMIF(COS_RR!$E$260:$E$302,$H78,COS_RR!T$260:T$302),COS_RR!$AD$10)</f>
        <v>41016</v>
      </c>
      <c r="T78" s="606">
        <f>+ROUND($G78*SUMIF(COS_RR!$E$260:$E$302,$H78,COS_RR!U$260:U$302),COS_RR!$AD$10)</f>
        <v>139117</v>
      </c>
      <c r="U78" s="606">
        <f>+ROUND($G78*SUMIF(COS_RR!$E$260:$E$302,$H78,COS_RR!V$260:V$302),COS_RR!$AD$10)</f>
        <v>0</v>
      </c>
      <c r="V78" s="606">
        <f>+ROUND($G78*SUMIF(COS_RR!$E$260:$E$302,$H78,COS_RR!W$260:W$302),COS_RR!$AD$10)</f>
        <v>0</v>
      </c>
      <c r="W78" s="606">
        <f>+ROUND($G78*SUMIF(COS_RR!$E$260:$E$302,$H78,COS_RR!X$260:X$302),COS_RR!$AD$10)</f>
        <v>0</v>
      </c>
      <c r="X78" s="606">
        <f>+ROUND($G78*SUMIF(COS_RR!$E$260:$E$302,$H78,COS_RR!Y$260:Y$302),COS_RR!$AD$10)</f>
        <v>0</v>
      </c>
      <c r="Y78" s="606">
        <f>+ROUND($G78*SUMIF(COS_RR!$E$260:$E$302,$H78,COS_RR!Z$260:Z$302),COS_RR!$AD$10)</f>
        <v>0</v>
      </c>
      <c r="Z78" s="606">
        <f>+ROUND($G78*SUMIF(COS_RR!$E$260:$E$302,$H78,COS_RR!AA$260:AA$302),COS_RR!$AD$10)</f>
        <v>0</v>
      </c>
      <c r="AA78" s="84"/>
      <c r="AD78" s="193">
        <f t="shared" si="9"/>
        <v>0.22610000055283308</v>
      </c>
    </row>
    <row r="79" spans="1:30">
      <c r="A79" s="411"/>
      <c r="C79" s="236">
        <f>MAX($C$7:C76)+1</f>
        <v>56</v>
      </c>
      <c r="D79" s="237">
        <f>'O&amp;M_Detail - Elec'!D68</f>
        <v>584000</v>
      </c>
      <c r="E79" s="112" t="str">
        <f>'O&amp;M_Detail - Elec'!E68</f>
        <v>D/UNDERGROUND LINE EXPENSE</v>
      </c>
      <c r="F79" s="112"/>
      <c r="G79" s="3091">
        <f>SUMIFS('Labor Exp 2016'!$F$3:$F$219,'Labor Exp 2016'!$C$3:$C$219,$D79)</f>
        <v>0</v>
      </c>
      <c r="H79" s="3126" t="str">
        <f>COS_RR!H115</f>
        <v>Underground Plant</v>
      </c>
      <c r="I79" s="606">
        <f>+ROUND($G79*SUMIF(COS_RR!$E$260:$E$302,$H79,COS_RR!J$260:J$302),COS_RR!$AD$10)</f>
        <v>0</v>
      </c>
      <c r="J79" s="606">
        <f>+ROUND($G79*SUMIF(COS_RR!$E$260:$E$302,$H79,COS_RR!K$260:K$302),COS_RR!$AD$10)</f>
        <v>0</v>
      </c>
      <c r="K79" s="606">
        <f>+ROUND($G79*SUMIF(COS_RR!$E$260:$E$302,$H79,COS_RR!L$260:L$302),COS_RR!$AD$10)</f>
        <v>0</v>
      </c>
      <c r="L79" s="606">
        <f>+ROUND($G79*SUMIF(COS_RR!$E$260:$E$302,$H79,COS_RR!M$260:M$302),COS_RR!$AD$10)</f>
        <v>0</v>
      </c>
      <c r="M79" s="606">
        <f>+ROUND($G79*SUMIF(COS_RR!$E$260:$E$302,$H79,COS_RR!N$260:N$302),COS_RR!$AD$10)</f>
        <v>0</v>
      </c>
      <c r="N79" s="606">
        <f>+ROUND($G79*SUMIF(COS_RR!$E$260:$E$302,$H79,COS_RR!O$260:O$302),COS_RR!$AD$10)</f>
        <v>0</v>
      </c>
      <c r="O79" s="606">
        <f>+ROUND($G79*SUMIF(COS_RR!$E$260:$E$302,$H79,COS_RR!P$260:P$302),COS_RR!$AD$10)</f>
        <v>0</v>
      </c>
      <c r="P79" s="606">
        <f>+ROUND($G79*SUMIF(COS_RR!$E$260:$E$302,$H79,COS_RR!Q$260:Q$302),COS_RR!$AD$10)</f>
        <v>0</v>
      </c>
      <c r="Q79" s="606">
        <f>+ROUND($G79*SUMIF(COS_RR!$E$260:$E$302,$H79,COS_RR!R$260:R$302),COS_RR!$AD$10)</f>
        <v>0</v>
      </c>
      <c r="R79" s="606">
        <f>+ROUND($G79*SUMIF(COS_RR!$E$260:$E$302,$H79,COS_RR!S$260:S$302),COS_RR!$AD$10)</f>
        <v>0</v>
      </c>
      <c r="S79" s="606">
        <f>+ROUND($G79*SUMIF(COS_RR!$E$260:$E$302,$H79,COS_RR!T$260:T$302),COS_RR!$AD$10)</f>
        <v>0</v>
      </c>
      <c r="T79" s="606">
        <f>+ROUND($G79*SUMIF(COS_RR!$E$260:$E$302,$H79,COS_RR!U$260:U$302),COS_RR!$AD$10)</f>
        <v>0</v>
      </c>
      <c r="U79" s="606">
        <f>+ROUND($G79*SUMIF(COS_RR!$E$260:$E$302,$H79,COS_RR!V$260:V$302),COS_RR!$AD$10)</f>
        <v>0</v>
      </c>
      <c r="V79" s="606">
        <f>+ROUND($G79*SUMIF(COS_RR!$E$260:$E$302,$H79,COS_RR!W$260:W$302),COS_RR!$AD$10)</f>
        <v>0</v>
      </c>
      <c r="W79" s="606">
        <f>+ROUND($G79*SUMIF(COS_RR!$E$260:$E$302,$H79,COS_RR!X$260:X$302),COS_RR!$AD$10)</f>
        <v>0</v>
      </c>
      <c r="X79" s="606">
        <f>+ROUND($G79*SUMIF(COS_RR!$E$260:$E$302,$H79,COS_RR!Y$260:Y$302),COS_RR!$AD$10)</f>
        <v>0</v>
      </c>
      <c r="Y79" s="606">
        <f>+ROUND($G79*SUMIF(COS_RR!$E$260:$E$302,$H79,COS_RR!Z$260:Z$302),COS_RR!$AD$10)</f>
        <v>0</v>
      </c>
      <c r="Z79" s="606">
        <f>+ROUND($G79*SUMIF(COS_RR!$E$260:$E$302,$H79,COS_RR!AA$260:AA$302),COS_RR!$AD$10)</f>
        <v>0</v>
      </c>
      <c r="AA79" s="84"/>
      <c r="AD79" s="193">
        <f t="shared" si="9"/>
        <v>0</v>
      </c>
    </row>
    <row r="80" spans="1:30">
      <c r="A80" s="411"/>
      <c r="C80" s="236">
        <f>MAX($C$7:C77)+1</f>
        <v>57</v>
      </c>
      <c r="D80" s="237">
        <f>'O&amp;M_Detail - Elec'!D69</f>
        <v>586000</v>
      </c>
      <c r="E80" s="112" t="str">
        <f>'O&amp;M_Detail - Elec'!E69</f>
        <v>D/METER EXPENSE</v>
      </c>
      <c r="F80" s="112"/>
      <c r="G80" s="3091">
        <f>SUMIFS('Labor Exp 2016'!$F$3:$F$219,'Labor Exp 2016'!$C$3:$C$219,$D80)</f>
        <v>0</v>
      </c>
      <c r="H80" s="3126" t="str">
        <f>COS_RR!H116</f>
        <v>Meters</v>
      </c>
      <c r="I80" s="606">
        <f>+ROUND($G80*SUMIF(COS_RR!$E$260:$E$302,$H80,COS_RR!J$260:J$302),COS_RR!$AD$10)</f>
        <v>0</v>
      </c>
      <c r="J80" s="606">
        <f>+ROUND($G80*SUMIF(COS_RR!$E$260:$E$302,$H80,COS_RR!K$260:K$302),COS_RR!$AD$10)</f>
        <v>0</v>
      </c>
      <c r="K80" s="606">
        <f>+ROUND($G80*SUMIF(COS_RR!$E$260:$E$302,$H80,COS_RR!L$260:L$302),COS_RR!$AD$10)</f>
        <v>0</v>
      </c>
      <c r="L80" s="606">
        <f>+ROUND($G80*SUMIF(COS_RR!$E$260:$E$302,$H80,COS_RR!M$260:M$302),COS_RR!$AD$10)</f>
        <v>0</v>
      </c>
      <c r="M80" s="606">
        <f>+ROUND($G80*SUMIF(COS_RR!$E$260:$E$302,$H80,COS_RR!N$260:N$302),COS_RR!$AD$10)</f>
        <v>0</v>
      </c>
      <c r="N80" s="606">
        <f>+ROUND($G80*SUMIF(COS_RR!$E$260:$E$302,$H80,COS_RR!O$260:O$302),COS_RR!$AD$10)</f>
        <v>0</v>
      </c>
      <c r="O80" s="606">
        <f>+ROUND($G80*SUMIF(COS_RR!$E$260:$E$302,$H80,COS_RR!P$260:P$302),COS_RR!$AD$10)</f>
        <v>0</v>
      </c>
      <c r="P80" s="606">
        <f>+ROUND($G80*SUMIF(COS_RR!$E$260:$E$302,$H80,COS_RR!Q$260:Q$302),COS_RR!$AD$10)</f>
        <v>0</v>
      </c>
      <c r="Q80" s="606">
        <f>+ROUND($G80*SUMIF(COS_RR!$E$260:$E$302,$H80,COS_RR!R$260:R$302),COS_RR!$AD$10)</f>
        <v>0</v>
      </c>
      <c r="R80" s="606">
        <f>+ROUND($G80*SUMIF(COS_RR!$E$260:$E$302,$H80,COS_RR!S$260:S$302),COS_RR!$AD$10)</f>
        <v>0</v>
      </c>
      <c r="S80" s="606">
        <f>+ROUND($G80*SUMIF(COS_RR!$E$260:$E$302,$H80,COS_RR!T$260:T$302),COS_RR!$AD$10)</f>
        <v>0</v>
      </c>
      <c r="T80" s="606">
        <f>+ROUND($G80*SUMIF(COS_RR!$E$260:$E$302,$H80,COS_RR!U$260:U$302),COS_RR!$AD$10)</f>
        <v>0</v>
      </c>
      <c r="U80" s="606">
        <f>+ROUND($G80*SUMIF(COS_RR!$E$260:$E$302,$H80,COS_RR!V$260:V$302),COS_RR!$AD$10)</f>
        <v>0</v>
      </c>
      <c r="V80" s="606">
        <f>+ROUND($G80*SUMIF(COS_RR!$E$260:$E$302,$H80,COS_RR!W$260:W$302),COS_RR!$AD$10)</f>
        <v>0</v>
      </c>
      <c r="W80" s="606">
        <f>+ROUND($G80*SUMIF(COS_RR!$E$260:$E$302,$H80,COS_RR!X$260:X$302),COS_RR!$AD$10)</f>
        <v>0</v>
      </c>
      <c r="X80" s="606">
        <f>+ROUND($G80*SUMIF(COS_RR!$E$260:$E$302,$H80,COS_RR!Y$260:Y$302),COS_RR!$AD$10)</f>
        <v>0</v>
      </c>
      <c r="Y80" s="606">
        <f>+ROUND($G80*SUMIF(COS_RR!$E$260:$E$302,$H80,COS_RR!Z$260:Z$302),COS_RR!$AD$10)</f>
        <v>0</v>
      </c>
      <c r="Z80" s="606">
        <f>+ROUND($G80*SUMIF(COS_RR!$E$260:$E$302,$H80,COS_RR!AA$260:AA$302),COS_RR!$AD$10)</f>
        <v>0</v>
      </c>
      <c r="AA80" s="84"/>
      <c r="AD80" s="193">
        <f t="shared" si="9"/>
        <v>0</v>
      </c>
    </row>
    <row r="81" spans="1:30">
      <c r="A81" s="411"/>
      <c r="C81" s="236">
        <f>MAX($C$7:C78)+1</f>
        <v>58</v>
      </c>
      <c r="D81" s="237">
        <f>'O&amp;M_Detail - Elec'!D70</f>
        <v>584010</v>
      </c>
      <c r="E81" s="112" t="str">
        <f>'O&amp;M_Detail - Elec'!E70</f>
        <v>D/OPERS-UNDERGRD, PRIM &amp; S</v>
      </c>
      <c r="F81" s="112"/>
      <c r="G81" s="3091">
        <f>SUMIFS('Labor Exp 2016'!$F$3:$F$219,'Labor Exp 2016'!$C$3:$C$219,$D81)</f>
        <v>125195.97339999989</v>
      </c>
      <c r="H81" s="3126" t="str">
        <f>COS_RR!H117</f>
        <v>Underground Plant</v>
      </c>
      <c r="I81" s="606">
        <f>+ROUND($G81*SUMIF(COS_RR!$E$260:$E$302,$H81,COS_RR!J$260:J$302),COS_RR!$AD$10)</f>
        <v>0</v>
      </c>
      <c r="J81" s="606">
        <f>+ROUND($G81*SUMIF(COS_RR!$E$260:$E$302,$H81,COS_RR!K$260:K$302),COS_RR!$AD$10)</f>
        <v>0</v>
      </c>
      <c r="K81" s="606">
        <f>+ROUND($G81*SUMIF(COS_RR!$E$260:$E$302,$H81,COS_RR!L$260:L$302),COS_RR!$AD$10)</f>
        <v>0</v>
      </c>
      <c r="L81" s="606">
        <f>+ROUND($G81*SUMIF(COS_RR!$E$260:$E$302,$H81,COS_RR!M$260:M$302),COS_RR!$AD$10)</f>
        <v>0</v>
      </c>
      <c r="M81" s="606">
        <f>+ROUND($G81*SUMIF(COS_RR!$E$260:$E$302,$H81,COS_RR!N$260:N$302),COS_RR!$AD$10)</f>
        <v>0</v>
      </c>
      <c r="N81" s="606">
        <f>+ROUND($G81*SUMIF(COS_RR!$E$260:$E$302,$H81,COS_RR!O$260:O$302),COS_RR!$AD$10)</f>
        <v>0</v>
      </c>
      <c r="O81" s="606">
        <f>+ROUND($G81*SUMIF(COS_RR!$E$260:$E$302,$H81,COS_RR!P$260:P$302),COS_RR!$AD$10)</f>
        <v>0</v>
      </c>
      <c r="P81" s="606">
        <f>+ROUND($G81*SUMIF(COS_RR!$E$260:$E$302,$H81,COS_RR!Q$260:Q$302),COS_RR!$AD$10)</f>
        <v>0</v>
      </c>
      <c r="Q81" s="606">
        <f>+ROUND($G81*SUMIF(COS_RR!$E$260:$E$302,$H81,COS_RR!R$260:R$302),COS_RR!$AD$10)</f>
        <v>15142</v>
      </c>
      <c r="R81" s="606">
        <f>+ROUND($G81*SUMIF(COS_RR!$E$260:$E$302,$H81,COS_RR!S$260:S$302),COS_RR!$AD$10)</f>
        <v>50351</v>
      </c>
      <c r="S81" s="606">
        <f>+ROUND($G81*SUMIF(COS_RR!$E$260:$E$302,$H81,COS_RR!T$260:T$302),COS_RR!$AD$10)</f>
        <v>18507</v>
      </c>
      <c r="T81" s="606">
        <f>+ROUND($G81*SUMIF(COS_RR!$E$260:$E$302,$H81,COS_RR!U$260:U$302),COS_RR!$AD$10)</f>
        <v>41196</v>
      </c>
      <c r="U81" s="606">
        <f>+ROUND($G81*SUMIF(COS_RR!$E$260:$E$302,$H81,COS_RR!V$260:V$302),COS_RR!$AD$10)</f>
        <v>0</v>
      </c>
      <c r="V81" s="606">
        <f>+ROUND($G81*SUMIF(COS_RR!$E$260:$E$302,$H81,COS_RR!W$260:W$302),COS_RR!$AD$10)</f>
        <v>0</v>
      </c>
      <c r="W81" s="606">
        <f>+ROUND($G81*SUMIF(COS_RR!$E$260:$E$302,$H81,COS_RR!X$260:X$302),COS_RR!$AD$10)</f>
        <v>0</v>
      </c>
      <c r="X81" s="606">
        <f>+ROUND($G81*SUMIF(COS_RR!$E$260:$E$302,$H81,COS_RR!Y$260:Y$302),COS_RR!$AD$10)</f>
        <v>0</v>
      </c>
      <c r="Y81" s="606">
        <f>+ROUND($G81*SUMIF(COS_RR!$E$260:$E$302,$H81,COS_RR!Z$260:Z$302),COS_RR!$AD$10)</f>
        <v>0</v>
      </c>
      <c r="Z81" s="606">
        <f>+ROUND($G81*SUMIF(COS_RR!$E$260:$E$302,$H81,COS_RR!AA$260:AA$302),COS_RR!$AD$10)</f>
        <v>0</v>
      </c>
      <c r="AA81" s="84"/>
      <c r="AD81" s="193">
        <f t="shared" si="9"/>
        <v>2.6600000113830902E-2</v>
      </c>
    </row>
    <row r="82" spans="1:30">
      <c r="A82" s="411"/>
      <c r="C82" s="236">
        <f>MAX($C$7:C81)+1</f>
        <v>59</v>
      </c>
      <c r="D82" s="237">
        <f>'O&amp;M_Detail - Elec'!D71</f>
        <v>586010</v>
      </c>
      <c r="E82" s="112" t="str">
        <f>'O&amp;M_Detail - Elec'!E71</f>
        <v>D/OPERS-METER INSTALL EXP</v>
      </c>
      <c r="F82" s="112"/>
      <c r="G82" s="3091">
        <f>SUMIFS('Labor Exp 2016'!$F$3:$F$219,'Labor Exp 2016'!$C$3:$C$219,$D82)</f>
        <v>1627547.6542000032</v>
      </c>
      <c r="H82" s="3126" t="str">
        <f>COS_RR!H118</f>
        <v>Meters</v>
      </c>
      <c r="I82" s="606">
        <f>+ROUND($G82*SUMIF(COS_RR!$E$260:$E$302,$H82,COS_RR!J$260:J$302),COS_RR!$AD$10)</f>
        <v>0</v>
      </c>
      <c r="J82" s="606">
        <f>+ROUND($G82*SUMIF(COS_RR!$E$260:$E$302,$H82,COS_RR!K$260:K$302),COS_RR!$AD$10)</f>
        <v>0</v>
      </c>
      <c r="K82" s="606">
        <f>+ROUND($G82*SUMIF(COS_RR!$E$260:$E$302,$H82,COS_RR!L$260:L$302),COS_RR!$AD$10)</f>
        <v>0</v>
      </c>
      <c r="L82" s="606">
        <f>+ROUND($G82*SUMIF(COS_RR!$E$260:$E$302,$H82,COS_RR!M$260:M$302),COS_RR!$AD$10)</f>
        <v>0</v>
      </c>
      <c r="M82" s="606">
        <f>+ROUND($G82*SUMIF(COS_RR!$E$260:$E$302,$H82,COS_RR!N$260:N$302),COS_RR!$AD$10)</f>
        <v>0</v>
      </c>
      <c r="N82" s="606">
        <f>+ROUND($G82*SUMIF(COS_RR!$E$260:$E$302,$H82,COS_RR!O$260:O$302),COS_RR!$AD$10)</f>
        <v>0</v>
      </c>
      <c r="O82" s="606">
        <f>+ROUND($G82*SUMIF(COS_RR!$E$260:$E$302,$H82,COS_RR!P$260:P$302),COS_RR!$AD$10)</f>
        <v>0</v>
      </c>
      <c r="P82" s="606">
        <f>+ROUND($G82*SUMIF(COS_RR!$E$260:$E$302,$H82,COS_RR!Q$260:Q$302),COS_RR!$AD$10)</f>
        <v>0</v>
      </c>
      <c r="Q82" s="606">
        <f>+ROUND($G82*SUMIF(COS_RR!$E$260:$E$302,$H82,COS_RR!R$260:R$302),COS_RR!$AD$10)</f>
        <v>0</v>
      </c>
      <c r="R82" s="606">
        <f>+ROUND($G82*SUMIF(COS_RR!$E$260:$E$302,$H82,COS_RR!S$260:S$302),COS_RR!$AD$10)</f>
        <v>0</v>
      </c>
      <c r="S82" s="606">
        <f>+ROUND($G82*SUMIF(COS_RR!$E$260:$E$302,$H82,COS_RR!T$260:T$302),COS_RR!$AD$10)</f>
        <v>0</v>
      </c>
      <c r="T82" s="606">
        <f>+ROUND($G82*SUMIF(COS_RR!$E$260:$E$302,$H82,COS_RR!U$260:U$302),COS_RR!$AD$10)</f>
        <v>0</v>
      </c>
      <c r="U82" s="606">
        <f>+ROUND($G82*SUMIF(COS_RR!$E$260:$E$302,$H82,COS_RR!V$260:V$302),COS_RR!$AD$10)</f>
        <v>0</v>
      </c>
      <c r="V82" s="606">
        <f>+ROUND($G82*SUMIF(COS_RR!$E$260:$E$302,$H82,COS_RR!W$260:W$302),COS_RR!$AD$10)</f>
        <v>1627548</v>
      </c>
      <c r="W82" s="606">
        <f>+ROUND($G82*SUMIF(COS_RR!$E$260:$E$302,$H82,COS_RR!X$260:X$302),COS_RR!$AD$10)</f>
        <v>0</v>
      </c>
      <c r="X82" s="606">
        <f>+ROUND($G82*SUMIF(COS_RR!$E$260:$E$302,$H82,COS_RR!Y$260:Y$302),COS_RR!$AD$10)</f>
        <v>0</v>
      </c>
      <c r="Y82" s="606">
        <f>+ROUND($G82*SUMIF(COS_RR!$E$260:$E$302,$H82,COS_RR!Z$260:Z$302),COS_RR!$AD$10)</f>
        <v>0</v>
      </c>
      <c r="Z82" s="606">
        <f>+ROUND($G82*SUMIF(COS_RR!$E$260:$E$302,$H82,COS_RR!AA$260:AA$302),COS_RR!$AD$10)</f>
        <v>0</v>
      </c>
      <c r="AD82" s="193">
        <f t="shared" si="9"/>
        <v>0.34579999675042927</v>
      </c>
    </row>
    <row r="83" spans="1:30">
      <c r="A83" s="411"/>
      <c r="C83" s="236">
        <f>MAX($C$7:C82)+1</f>
        <v>60</v>
      </c>
      <c r="D83" s="237">
        <f>'O&amp;M_Detail - Elec'!D72</f>
        <v>587000</v>
      </c>
      <c r="E83" s="112" t="str">
        <f>'O&amp;M_Detail - Elec'!E72</f>
        <v>D/OPERS-CUST INSTALL EXP</v>
      </c>
      <c r="F83" s="112"/>
      <c r="G83" s="3091">
        <f>SUMIFS('Labor Exp 2016'!$F$3:$F$219,'Labor Exp 2016'!$C$3:$C$219,$D83)</f>
        <v>58233.070000000029</v>
      </c>
      <c r="H83" s="3126" t="str">
        <f>COS_RR!H119</f>
        <v>Dist OC</v>
      </c>
      <c r="I83" s="606">
        <f>+ROUND($G83*SUMIF(COS_RR!$E$260:$E$302,$H83,COS_RR!J$260:J$302),COS_RR!$AD$10)</f>
        <v>0</v>
      </c>
      <c r="J83" s="606">
        <f>+ROUND($G83*SUMIF(COS_RR!$E$260:$E$302,$H83,COS_RR!K$260:K$302),COS_RR!$AD$10)</f>
        <v>0</v>
      </c>
      <c r="K83" s="606">
        <f>+ROUND($G83*SUMIF(COS_RR!$E$260:$E$302,$H83,COS_RR!L$260:L$302),COS_RR!$AD$10)</f>
        <v>0</v>
      </c>
      <c r="L83" s="606">
        <f>+ROUND($G83*SUMIF(COS_RR!$E$260:$E$302,$H83,COS_RR!M$260:M$302),COS_RR!$AD$10)</f>
        <v>10424</v>
      </c>
      <c r="M83" s="606">
        <f>+ROUND($G83*SUMIF(COS_RR!$E$260:$E$302,$H83,COS_RR!N$260:N$302),COS_RR!$AD$10)</f>
        <v>0</v>
      </c>
      <c r="N83" s="606">
        <f>+ROUND($G83*SUMIF(COS_RR!$E$260:$E$302,$H83,COS_RR!O$260:O$302),COS_RR!$AD$10)</f>
        <v>0</v>
      </c>
      <c r="O83" s="606">
        <f>+ROUND($G83*SUMIF(COS_RR!$E$260:$E$302,$H83,COS_RR!P$260:P$302),COS_RR!$AD$10)</f>
        <v>0</v>
      </c>
      <c r="P83" s="606">
        <f>+ROUND($G83*SUMIF(COS_RR!$E$260:$E$302,$H83,COS_RR!Q$260:Q$302),COS_RR!$AD$10)</f>
        <v>9288</v>
      </c>
      <c r="Q83" s="606">
        <f>+ROUND($G83*SUMIF(COS_RR!$E$260:$E$302,$H83,COS_RR!R$260:R$302),COS_RR!$AD$10)</f>
        <v>3412</v>
      </c>
      <c r="R83" s="606">
        <f>+ROUND($G83*SUMIF(COS_RR!$E$260:$E$302,$H83,COS_RR!S$260:S$302),COS_RR!$AD$10)</f>
        <v>20178</v>
      </c>
      <c r="S83" s="606">
        <f>+ROUND($G83*SUMIF(COS_RR!$E$260:$E$302,$H83,COS_RR!T$260:T$302),COS_RR!$AD$10)</f>
        <v>2749</v>
      </c>
      <c r="T83" s="606">
        <f>+ROUND($G83*SUMIF(COS_RR!$E$260:$E$302,$H83,COS_RR!U$260:U$302),COS_RR!$AD$10)</f>
        <v>7011</v>
      </c>
      <c r="U83" s="606">
        <f>+ROUND($G83*SUMIF(COS_RR!$E$260:$E$302,$H83,COS_RR!V$260:V$302),COS_RR!$AD$10)</f>
        <v>2545</v>
      </c>
      <c r="V83" s="606">
        <f>+ROUND($G83*SUMIF(COS_RR!$E$260:$E$302,$H83,COS_RR!W$260:W$302),COS_RR!$AD$10)</f>
        <v>1776</v>
      </c>
      <c r="W83" s="606">
        <f>+ROUND($G83*SUMIF(COS_RR!$E$260:$E$302,$H83,COS_RR!X$260:X$302),COS_RR!$AD$10)</f>
        <v>0</v>
      </c>
      <c r="X83" s="606">
        <f>+ROUND($G83*SUMIF(COS_RR!$E$260:$E$302,$H83,COS_RR!Y$260:Y$302),COS_RR!$AD$10)</f>
        <v>850</v>
      </c>
      <c r="Y83" s="606">
        <f>+ROUND($G83*SUMIF(COS_RR!$E$260:$E$302,$H83,COS_RR!Z$260:Z$302),COS_RR!$AD$10)</f>
        <v>0</v>
      </c>
      <c r="Z83" s="606">
        <f>+ROUND($G83*SUMIF(COS_RR!$E$260:$E$302,$H83,COS_RR!AA$260:AA$302),COS_RR!$AD$10)</f>
        <v>0</v>
      </c>
      <c r="AD83" s="193">
        <f t="shared" si="9"/>
        <v>-7.0000000028812792E-2</v>
      </c>
    </row>
    <row r="84" spans="1:30">
      <c r="A84" s="411"/>
      <c r="C84" s="236">
        <f>MAX($C$7:C83)+1</f>
        <v>61</v>
      </c>
      <c r="D84" s="237">
        <f>'O&amp;M_Detail - Elec'!D73</f>
        <v>588000</v>
      </c>
      <c r="E84" s="112" t="str">
        <f>'O&amp;M_Detail - Elec'!E73</f>
        <v>D/OPERS-MISC GEN EXP</v>
      </c>
      <c r="F84" s="112"/>
      <c r="G84" s="3091">
        <f>SUMIFS('Labor Exp 2016'!$F$3:$F$219,'Labor Exp 2016'!$C$3:$C$219,$D84)</f>
        <v>3802578.4189000065</v>
      </c>
      <c r="H84" s="3126" t="str">
        <f>COS_RR!H120</f>
        <v>Dist OC</v>
      </c>
      <c r="I84" s="606">
        <f>+ROUND($G84*SUMIF(COS_RR!$E$260:$E$302,$H84,COS_RR!J$260:J$302),COS_RR!$AD$10)</f>
        <v>0</v>
      </c>
      <c r="J84" s="606">
        <f>+ROUND($G84*SUMIF(COS_RR!$E$260:$E$302,$H84,COS_RR!K$260:K$302),COS_RR!$AD$10)</f>
        <v>0</v>
      </c>
      <c r="K84" s="606">
        <f>+ROUND($G84*SUMIF(COS_RR!$E$260:$E$302,$H84,COS_RR!L$260:L$302),COS_RR!$AD$10)</f>
        <v>0</v>
      </c>
      <c r="L84" s="606">
        <f>+ROUND($G84*SUMIF(COS_RR!$E$260:$E$302,$H84,COS_RR!M$260:M$302),COS_RR!$AD$10)</f>
        <v>680662</v>
      </c>
      <c r="M84" s="606">
        <f>+ROUND($G84*SUMIF(COS_RR!$E$260:$E$302,$H84,COS_RR!N$260:N$302),COS_RR!$AD$10)</f>
        <v>0</v>
      </c>
      <c r="N84" s="606">
        <f>+ROUND($G84*SUMIF(COS_RR!$E$260:$E$302,$H84,COS_RR!O$260:O$302),COS_RR!$AD$10)</f>
        <v>0</v>
      </c>
      <c r="O84" s="606">
        <f>+ROUND($G84*SUMIF(COS_RR!$E$260:$E$302,$H84,COS_RR!P$260:P$302),COS_RR!$AD$10)</f>
        <v>0</v>
      </c>
      <c r="P84" s="606">
        <f>+ROUND($G84*SUMIF(COS_RR!$E$260:$E$302,$H84,COS_RR!Q$260:Q$302),COS_RR!$AD$10)</f>
        <v>606511</v>
      </c>
      <c r="Q84" s="606">
        <f>+ROUND($G84*SUMIF(COS_RR!$E$260:$E$302,$H84,COS_RR!R$260:R$302),COS_RR!$AD$10)</f>
        <v>222831</v>
      </c>
      <c r="R84" s="606">
        <f>+ROUND($G84*SUMIF(COS_RR!$E$260:$E$302,$H84,COS_RR!S$260:S$302),COS_RR!$AD$10)</f>
        <v>1317593</v>
      </c>
      <c r="S84" s="606">
        <f>+ROUND($G84*SUMIF(COS_RR!$E$260:$E$302,$H84,COS_RR!T$260:T$302),COS_RR!$AD$10)</f>
        <v>179482</v>
      </c>
      <c r="T84" s="606">
        <f>+ROUND($G84*SUMIF(COS_RR!$E$260:$E$302,$H84,COS_RR!U$260:U$302),COS_RR!$AD$10)</f>
        <v>457830</v>
      </c>
      <c r="U84" s="606">
        <f>+ROUND($G84*SUMIF(COS_RR!$E$260:$E$302,$H84,COS_RR!V$260:V$302),COS_RR!$AD$10)</f>
        <v>166173</v>
      </c>
      <c r="V84" s="606">
        <f>+ROUND($G84*SUMIF(COS_RR!$E$260:$E$302,$H84,COS_RR!W$260:W$302),COS_RR!$AD$10)</f>
        <v>115979</v>
      </c>
      <c r="W84" s="606">
        <f>+ROUND($G84*SUMIF(COS_RR!$E$260:$E$302,$H84,COS_RR!X$260:X$302),COS_RR!$AD$10)</f>
        <v>0</v>
      </c>
      <c r="X84" s="606">
        <f>+ROUND($G84*SUMIF(COS_RR!$E$260:$E$302,$H84,COS_RR!Y$260:Y$302),COS_RR!$AD$10)</f>
        <v>55518</v>
      </c>
      <c r="Y84" s="606">
        <f>+ROUND($G84*SUMIF(COS_RR!$E$260:$E$302,$H84,COS_RR!Z$260:Z$302),COS_RR!$AD$10)</f>
        <v>0</v>
      </c>
      <c r="Z84" s="606">
        <f>+ROUND($G84*SUMIF(COS_RR!$E$260:$E$302,$H84,COS_RR!AA$260:AA$302),COS_RR!$AD$10)</f>
        <v>0</v>
      </c>
      <c r="AD84" s="193">
        <f t="shared" si="9"/>
        <v>0.58109999354928732</v>
      </c>
    </row>
    <row r="85" spans="1:30">
      <c r="A85" s="411"/>
      <c r="C85" s="236">
        <f>MAX($C$7:C84)+1</f>
        <v>62</v>
      </c>
      <c r="D85" s="237">
        <f>'O&amp;M_Detail - Elec'!D74</f>
        <v>588030</v>
      </c>
      <c r="E85" s="112" t="str">
        <f>'O&amp;M_Detail - Elec'!E74</f>
        <v>D/OPERS-MISC-EDP</v>
      </c>
      <c r="F85" s="112"/>
      <c r="G85" s="3091">
        <f>SUMIFS('Labor Exp 2016'!$F$3:$F$219,'Labor Exp 2016'!$C$3:$C$219,$D85)</f>
        <v>15040.063137000001</v>
      </c>
      <c r="H85" s="3126" t="str">
        <f>COS_RR!H121</f>
        <v>Dist OC</v>
      </c>
      <c r="I85" s="606">
        <f>+ROUND($G85*SUMIF(COS_RR!$E$260:$E$302,$H85,COS_RR!J$260:J$302),COS_RR!$AD$10)</f>
        <v>0</v>
      </c>
      <c r="J85" s="606">
        <f>+ROUND($G85*SUMIF(COS_RR!$E$260:$E$302,$H85,COS_RR!K$260:K$302),COS_RR!$AD$10)</f>
        <v>0</v>
      </c>
      <c r="K85" s="606">
        <f>+ROUND($G85*SUMIF(COS_RR!$E$260:$E$302,$H85,COS_RR!L$260:L$302),COS_RR!$AD$10)</f>
        <v>0</v>
      </c>
      <c r="L85" s="606">
        <f>+ROUND($G85*SUMIF(COS_RR!$E$260:$E$302,$H85,COS_RR!M$260:M$302),COS_RR!$AD$10)</f>
        <v>2692</v>
      </c>
      <c r="M85" s="606">
        <f>+ROUND($G85*SUMIF(COS_RR!$E$260:$E$302,$H85,COS_RR!N$260:N$302),COS_RR!$AD$10)</f>
        <v>0</v>
      </c>
      <c r="N85" s="606">
        <f>+ROUND($G85*SUMIF(COS_RR!$E$260:$E$302,$H85,COS_RR!O$260:O$302),COS_RR!$AD$10)</f>
        <v>0</v>
      </c>
      <c r="O85" s="606">
        <f>+ROUND($G85*SUMIF(COS_RR!$E$260:$E$302,$H85,COS_RR!P$260:P$302),COS_RR!$AD$10)</f>
        <v>0</v>
      </c>
      <c r="P85" s="606">
        <f>+ROUND($G85*SUMIF(COS_RR!$E$260:$E$302,$H85,COS_RR!Q$260:Q$302),COS_RR!$AD$10)</f>
        <v>2399</v>
      </c>
      <c r="Q85" s="606">
        <f>+ROUND($G85*SUMIF(COS_RR!$E$260:$E$302,$H85,COS_RR!R$260:R$302),COS_RR!$AD$10)</f>
        <v>881</v>
      </c>
      <c r="R85" s="606">
        <f>+ROUND($G85*SUMIF(COS_RR!$E$260:$E$302,$H85,COS_RR!S$260:S$302),COS_RR!$AD$10)</f>
        <v>5211</v>
      </c>
      <c r="S85" s="606">
        <f>+ROUND($G85*SUMIF(COS_RR!$E$260:$E$302,$H85,COS_RR!T$260:T$302),COS_RR!$AD$10)</f>
        <v>710</v>
      </c>
      <c r="T85" s="606">
        <f>+ROUND($G85*SUMIF(COS_RR!$E$260:$E$302,$H85,COS_RR!U$260:U$302),COS_RR!$AD$10)</f>
        <v>1811</v>
      </c>
      <c r="U85" s="606">
        <f>+ROUND($G85*SUMIF(COS_RR!$E$260:$E$302,$H85,COS_RR!V$260:V$302),COS_RR!$AD$10)</f>
        <v>657</v>
      </c>
      <c r="V85" s="606">
        <f>+ROUND($G85*SUMIF(COS_RR!$E$260:$E$302,$H85,COS_RR!W$260:W$302),COS_RR!$AD$10)</f>
        <v>459</v>
      </c>
      <c r="W85" s="606">
        <f>+ROUND($G85*SUMIF(COS_RR!$E$260:$E$302,$H85,COS_RR!X$260:X$302),COS_RR!$AD$10)</f>
        <v>0</v>
      </c>
      <c r="X85" s="606">
        <f>+ROUND($G85*SUMIF(COS_RR!$E$260:$E$302,$H85,COS_RR!Y$260:Y$302),COS_RR!$AD$10)</f>
        <v>220</v>
      </c>
      <c r="Y85" s="606">
        <f>+ROUND($G85*SUMIF(COS_RR!$E$260:$E$302,$H85,COS_RR!Z$260:Z$302),COS_RR!$AD$10)</f>
        <v>0</v>
      </c>
      <c r="Z85" s="606">
        <f>+ROUND($G85*SUMIF(COS_RR!$E$260:$E$302,$H85,COS_RR!AA$260:AA$302),COS_RR!$AD$10)</f>
        <v>0</v>
      </c>
      <c r="AD85" s="193">
        <f t="shared" si="9"/>
        <v>-6.3137000001006527E-2</v>
      </c>
    </row>
    <row r="86" spans="1:30">
      <c r="A86" s="411"/>
      <c r="C86" s="236">
        <f>MAX($C$7:C85)+1</f>
        <v>63</v>
      </c>
      <c r="D86" s="237">
        <f>'O&amp;M_Detail - Elec'!D75</f>
        <v>590000</v>
      </c>
      <c r="E86" s="112" t="str">
        <f>'O&amp;M_Detail - Elec'!E75</f>
        <v>D/MAINT-SUPV &amp; ENG</v>
      </c>
      <c r="F86" s="112"/>
      <c r="G86" s="3091">
        <f>SUMIFS('Labor Exp 2016'!$F$3:$F$219,'Labor Exp 2016'!$C$3:$C$219,$D86)</f>
        <v>335806.91199999995</v>
      </c>
      <c r="H86" s="3126" t="str">
        <f>COS_RR!H122</f>
        <v>Dist OC</v>
      </c>
      <c r="I86" s="606">
        <f>+ROUND($G86*SUMIF(COS_RR!$E$260:$E$302,$H86,COS_RR!J$260:J$302),COS_RR!$AD$10)</f>
        <v>0</v>
      </c>
      <c r="J86" s="606">
        <f>+ROUND($G86*SUMIF(COS_RR!$E$260:$E$302,$H86,COS_RR!K$260:K$302),COS_RR!$AD$10)</f>
        <v>0</v>
      </c>
      <c r="K86" s="606">
        <f>+ROUND($G86*SUMIF(COS_RR!$E$260:$E$302,$H86,COS_RR!L$260:L$302),COS_RR!$AD$10)</f>
        <v>0</v>
      </c>
      <c r="L86" s="606">
        <f>+ROUND($G86*SUMIF(COS_RR!$E$260:$E$302,$H86,COS_RR!M$260:M$302),COS_RR!$AD$10)</f>
        <v>60109</v>
      </c>
      <c r="M86" s="606">
        <f>+ROUND($G86*SUMIF(COS_RR!$E$260:$E$302,$H86,COS_RR!N$260:N$302),COS_RR!$AD$10)</f>
        <v>0</v>
      </c>
      <c r="N86" s="606">
        <f>+ROUND($G86*SUMIF(COS_RR!$E$260:$E$302,$H86,COS_RR!O$260:O$302),COS_RR!$AD$10)</f>
        <v>0</v>
      </c>
      <c r="O86" s="606">
        <f>+ROUND($G86*SUMIF(COS_RR!$E$260:$E$302,$H86,COS_RR!P$260:P$302),COS_RR!$AD$10)</f>
        <v>0</v>
      </c>
      <c r="P86" s="606">
        <f>+ROUND($G86*SUMIF(COS_RR!$E$260:$E$302,$H86,COS_RR!Q$260:Q$302),COS_RR!$AD$10)</f>
        <v>53561</v>
      </c>
      <c r="Q86" s="606">
        <f>+ROUND($G86*SUMIF(COS_RR!$E$260:$E$302,$H86,COS_RR!R$260:R$302),COS_RR!$AD$10)</f>
        <v>19678</v>
      </c>
      <c r="R86" s="606">
        <f>+ROUND($G86*SUMIF(COS_RR!$E$260:$E$302,$H86,COS_RR!S$260:S$302),COS_RR!$AD$10)</f>
        <v>116357</v>
      </c>
      <c r="S86" s="606">
        <f>+ROUND($G86*SUMIF(COS_RR!$E$260:$E$302,$H86,COS_RR!T$260:T$302),COS_RR!$AD$10)</f>
        <v>15850</v>
      </c>
      <c r="T86" s="606">
        <f>+ROUND($G86*SUMIF(COS_RR!$E$260:$E$302,$H86,COS_RR!U$260:U$302),COS_RR!$AD$10)</f>
        <v>40431</v>
      </c>
      <c r="U86" s="606">
        <f>+ROUND($G86*SUMIF(COS_RR!$E$260:$E$302,$H86,COS_RR!V$260:V$302),COS_RR!$AD$10)</f>
        <v>14675</v>
      </c>
      <c r="V86" s="606">
        <f>+ROUND($G86*SUMIF(COS_RR!$E$260:$E$302,$H86,COS_RR!W$260:W$302),COS_RR!$AD$10)</f>
        <v>10242</v>
      </c>
      <c r="W86" s="606">
        <f>+ROUND($G86*SUMIF(COS_RR!$E$260:$E$302,$H86,COS_RR!X$260:X$302),COS_RR!$AD$10)</f>
        <v>0</v>
      </c>
      <c r="X86" s="606">
        <f>+ROUND($G86*SUMIF(COS_RR!$E$260:$E$302,$H86,COS_RR!Y$260:Y$302),COS_RR!$AD$10)</f>
        <v>4903</v>
      </c>
      <c r="Y86" s="606">
        <f>+ROUND($G86*SUMIF(COS_RR!$E$260:$E$302,$H86,COS_RR!Z$260:Z$302),COS_RR!$AD$10)</f>
        <v>0</v>
      </c>
      <c r="Z86" s="606">
        <f>+ROUND($G86*SUMIF(COS_RR!$E$260:$E$302,$H86,COS_RR!AA$260:AA$302),COS_RR!$AD$10)</f>
        <v>0</v>
      </c>
      <c r="AD86" s="193">
        <f t="shared" si="9"/>
        <v>-0.91199999995296821</v>
      </c>
    </row>
    <row r="87" spans="1:30">
      <c r="A87" s="411"/>
      <c r="C87" s="236">
        <f>MAX($C$7:C86)+1</f>
        <v>64</v>
      </c>
      <c r="D87" s="237">
        <f>'O&amp;M_Detail - Elec'!D76</f>
        <v>592000</v>
      </c>
      <c r="E87" s="112" t="str">
        <f>'O&amp;M_Detail - Elec'!E76</f>
        <v>D/MAINT-STATION EQUIPMT</v>
      </c>
      <c r="F87" s="112"/>
      <c r="G87" s="3091">
        <f>SUMIFS('Labor Exp 2016'!$F$3:$F$219,'Labor Exp 2016'!$C$3:$C$219,$D87)</f>
        <v>1295964.7899999984</v>
      </c>
      <c r="H87" s="3126" t="str">
        <f>COS_RR!H123</f>
        <v>Substations Direct</v>
      </c>
      <c r="I87" s="606">
        <f>+ROUND($G87*SUMIF(COS_RR!$E$260:$E$302,$H87,COS_RR!J$260:J$302),COS_RR!$AD$10)</f>
        <v>0</v>
      </c>
      <c r="J87" s="606">
        <f>+ROUND($G87*SUMIF(COS_RR!$E$260:$E$302,$H87,COS_RR!K$260:K$302),COS_RR!$AD$10)</f>
        <v>0</v>
      </c>
      <c r="K87" s="606">
        <f>+ROUND($G87*SUMIF(COS_RR!$E$260:$E$302,$H87,COS_RR!L$260:L$302),COS_RR!$AD$10)</f>
        <v>0</v>
      </c>
      <c r="L87" s="606">
        <f>+ROUND($G87*SUMIF(COS_RR!$E$260:$E$302,$H87,COS_RR!M$260:M$302),COS_RR!$AD$10)</f>
        <v>814289</v>
      </c>
      <c r="M87" s="606">
        <f>+ROUND($G87*SUMIF(COS_RR!$E$260:$E$302,$H87,COS_RR!N$260:N$302),COS_RR!$AD$10)</f>
        <v>481675</v>
      </c>
      <c r="N87" s="606">
        <f>+ROUND($G87*SUMIF(COS_RR!$E$260:$E$302,$H87,COS_RR!O$260:O$302),COS_RR!$AD$10)</f>
        <v>0</v>
      </c>
      <c r="O87" s="606">
        <f>+ROUND($G87*SUMIF(COS_RR!$E$260:$E$302,$H87,COS_RR!P$260:P$302),COS_RR!$AD$10)</f>
        <v>0</v>
      </c>
      <c r="P87" s="606">
        <f>+ROUND($G87*SUMIF(COS_RR!$E$260:$E$302,$H87,COS_RR!Q$260:Q$302),COS_RR!$AD$10)</f>
        <v>0</v>
      </c>
      <c r="Q87" s="606">
        <f>+ROUND($G87*SUMIF(COS_RR!$E$260:$E$302,$H87,COS_RR!R$260:R$302),COS_RR!$AD$10)</f>
        <v>0</v>
      </c>
      <c r="R87" s="606">
        <f>+ROUND($G87*SUMIF(COS_RR!$E$260:$E$302,$H87,COS_RR!S$260:S$302),COS_RR!$AD$10)</f>
        <v>0</v>
      </c>
      <c r="S87" s="606">
        <f>+ROUND($G87*SUMIF(COS_RR!$E$260:$E$302,$H87,COS_RR!T$260:T$302),COS_RR!$AD$10)</f>
        <v>0</v>
      </c>
      <c r="T87" s="606">
        <f>+ROUND($G87*SUMIF(COS_RR!$E$260:$E$302,$H87,COS_RR!U$260:U$302),COS_RR!$AD$10)</f>
        <v>0</v>
      </c>
      <c r="U87" s="606">
        <f>+ROUND($G87*SUMIF(COS_RR!$E$260:$E$302,$H87,COS_RR!V$260:V$302),COS_RR!$AD$10)</f>
        <v>0</v>
      </c>
      <c r="V87" s="606">
        <f>+ROUND($G87*SUMIF(COS_RR!$E$260:$E$302,$H87,COS_RR!W$260:W$302),COS_RR!$AD$10)</f>
        <v>0</v>
      </c>
      <c r="W87" s="606">
        <f>+ROUND($G87*SUMIF(COS_RR!$E$260:$E$302,$H87,COS_RR!X$260:X$302),COS_RR!$AD$10)</f>
        <v>0</v>
      </c>
      <c r="X87" s="606">
        <f>+ROUND($G87*SUMIF(COS_RR!$E$260:$E$302,$H87,COS_RR!Y$260:Y$302),COS_RR!$AD$10)</f>
        <v>0</v>
      </c>
      <c r="Y87" s="606">
        <f>+ROUND($G87*SUMIF(COS_RR!$E$260:$E$302,$H87,COS_RR!Z$260:Z$302),COS_RR!$AD$10)</f>
        <v>0</v>
      </c>
      <c r="Z87" s="606">
        <f>+ROUND($G87*SUMIF(COS_RR!$E$260:$E$302,$H87,COS_RR!AA$260:AA$302),COS_RR!$AD$10)</f>
        <v>0</v>
      </c>
      <c r="AD87" s="193">
        <f t="shared" si="9"/>
        <v>-0.7899999984074384</v>
      </c>
    </row>
    <row r="88" spans="1:30">
      <c r="A88" s="411"/>
      <c r="C88" s="236">
        <f>MAX($C$7:C87)+1</f>
        <v>65</v>
      </c>
      <c r="D88" s="237">
        <f>'O&amp;M_Detail - Elec'!D77</f>
        <v>593000</v>
      </c>
      <c r="E88" s="112" t="str">
        <f>'O&amp;M_Detail - Elec'!E77</f>
        <v>D/MAINT-OH LINE, FIBER O&amp;M</v>
      </c>
      <c r="F88" s="112"/>
      <c r="G88" s="3091">
        <f>SUMIFS('Labor Exp 2016'!$F$3:$F$219,'Labor Exp 2016'!$C$3:$C$219,$D88)</f>
        <v>0</v>
      </c>
      <c r="H88" s="3126" t="str">
        <f>COS_RR!H124</f>
        <v>Overhead Plant</v>
      </c>
      <c r="I88" s="606">
        <f>+ROUND($G88*SUMIF(COS_RR!$E$260:$E$302,$H88,COS_RR!J$260:J$302),COS_RR!$AD$10)</f>
        <v>0</v>
      </c>
      <c r="J88" s="606">
        <f>+ROUND($G88*SUMIF(COS_RR!$E$260:$E$302,$H88,COS_RR!K$260:K$302),COS_RR!$AD$10)</f>
        <v>0</v>
      </c>
      <c r="K88" s="606">
        <f>+ROUND($G88*SUMIF(COS_RR!$E$260:$E$302,$H88,COS_RR!L$260:L$302),COS_RR!$AD$10)</f>
        <v>0</v>
      </c>
      <c r="L88" s="606">
        <f>+ROUND($G88*SUMIF(COS_RR!$E$260:$E$302,$H88,COS_RR!M$260:M$302),COS_RR!$AD$10)</f>
        <v>0</v>
      </c>
      <c r="M88" s="606">
        <f>+ROUND($G88*SUMIF(COS_RR!$E$260:$E$302,$H88,COS_RR!N$260:N$302),COS_RR!$AD$10)</f>
        <v>0</v>
      </c>
      <c r="N88" s="606">
        <f>+ROUND($G88*SUMIF(COS_RR!$E$260:$E$302,$H88,COS_RR!O$260:O$302),COS_RR!$AD$10)</f>
        <v>0</v>
      </c>
      <c r="O88" s="606">
        <f>+ROUND($G88*SUMIF(COS_RR!$E$260:$E$302,$H88,COS_RR!P$260:P$302),COS_RR!$AD$10)</f>
        <v>0</v>
      </c>
      <c r="P88" s="606">
        <f>+ROUND($G88*SUMIF(COS_RR!$E$260:$E$302,$H88,COS_RR!Q$260:Q$302),COS_RR!$AD$10)</f>
        <v>0</v>
      </c>
      <c r="Q88" s="606">
        <f>+ROUND($G88*SUMIF(COS_RR!$E$260:$E$302,$H88,COS_RR!R$260:R$302),COS_RR!$AD$10)</f>
        <v>0</v>
      </c>
      <c r="R88" s="606">
        <f>+ROUND($G88*SUMIF(COS_RR!$E$260:$E$302,$H88,COS_RR!S$260:S$302),COS_RR!$AD$10)</f>
        <v>0</v>
      </c>
      <c r="S88" s="606">
        <f>+ROUND($G88*SUMIF(COS_RR!$E$260:$E$302,$H88,COS_RR!T$260:T$302),COS_RR!$AD$10)</f>
        <v>0</v>
      </c>
      <c r="T88" s="606">
        <f>+ROUND($G88*SUMIF(COS_RR!$E$260:$E$302,$H88,COS_RR!U$260:U$302),COS_RR!$AD$10)</f>
        <v>0</v>
      </c>
      <c r="U88" s="606">
        <f>+ROUND($G88*SUMIF(COS_RR!$E$260:$E$302,$H88,COS_RR!V$260:V$302),COS_RR!$AD$10)</f>
        <v>0</v>
      </c>
      <c r="V88" s="606">
        <f>+ROUND($G88*SUMIF(COS_RR!$E$260:$E$302,$H88,COS_RR!W$260:W$302),COS_RR!$AD$10)</f>
        <v>0</v>
      </c>
      <c r="W88" s="606">
        <f>+ROUND($G88*SUMIF(COS_RR!$E$260:$E$302,$H88,COS_RR!X$260:X$302),COS_RR!$AD$10)</f>
        <v>0</v>
      </c>
      <c r="X88" s="606">
        <f>+ROUND($G88*SUMIF(COS_RR!$E$260:$E$302,$H88,COS_RR!Y$260:Y$302),COS_RR!$AD$10)</f>
        <v>0</v>
      </c>
      <c r="Y88" s="606">
        <f>+ROUND($G88*SUMIF(COS_RR!$E$260:$E$302,$H88,COS_RR!Z$260:Z$302),COS_RR!$AD$10)</f>
        <v>0</v>
      </c>
      <c r="Z88" s="606">
        <f>+ROUND($G88*SUMIF(COS_RR!$E$260:$E$302,$H88,COS_RR!AA$260:AA$302),COS_RR!$AD$10)</f>
        <v>0</v>
      </c>
      <c r="AD88" s="193">
        <f t="shared" si="9"/>
        <v>0</v>
      </c>
    </row>
    <row r="89" spans="1:30">
      <c r="A89" s="411"/>
      <c r="C89" s="236">
        <f>MAX($C$7:C88)+1</f>
        <v>66</v>
      </c>
      <c r="D89" s="237">
        <f>'O&amp;M_Detail - Elec'!D78</f>
        <v>593010</v>
      </c>
      <c r="E89" s="112" t="str">
        <f>'O&amp;M_Detail - Elec'!E78</f>
        <v>D/MAINT-OH LINE, GEN</v>
      </c>
      <c r="F89" s="112"/>
      <c r="G89" s="3091">
        <f>SUMIFS('Labor Exp 2016'!$F$3:$F$219,'Labor Exp 2016'!$C$3:$C$219,$D89)</f>
        <v>12842.08</v>
      </c>
      <c r="H89" s="3126" t="str">
        <f>COS_RR!H125</f>
        <v>Overhead Plant</v>
      </c>
      <c r="I89" s="606">
        <f>+ROUND($G89*SUMIF(COS_RR!$E$260:$E$302,$H89,COS_RR!J$260:J$302),COS_RR!$AD$10)</f>
        <v>0</v>
      </c>
      <c r="J89" s="606">
        <f>+ROUND($G89*SUMIF(COS_RR!$E$260:$E$302,$H89,COS_RR!K$260:K$302),COS_RR!$AD$10)</f>
        <v>0</v>
      </c>
      <c r="K89" s="606">
        <f>+ROUND($G89*SUMIF(COS_RR!$E$260:$E$302,$H89,COS_RR!L$260:L$302),COS_RR!$AD$10)</f>
        <v>0</v>
      </c>
      <c r="L89" s="606">
        <f>+ROUND($G89*SUMIF(COS_RR!$E$260:$E$302,$H89,COS_RR!M$260:M$302),COS_RR!$AD$10)</f>
        <v>0</v>
      </c>
      <c r="M89" s="606">
        <f>+ROUND($G89*SUMIF(COS_RR!$E$260:$E$302,$H89,COS_RR!N$260:N$302),COS_RR!$AD$10)</f>
        <v>0</v>
      </c>
      <c r="N89" s="606">
        <f>+ROUND($G89*SUMIF(COS_RR!$E$260:$E$302,$H89,COS_RR!O$260:O$302),COS_RR!$AD$10)</f>
        <v>0</v>
      </c>
      <c r="O89" s="606">
        <f>+ROUND($G89*SUMIF(COS_RR!$E$260:$E$302,$H89,COS_RR!P$260:P$302),COS_RR!$AD$10)</f>
        <v>0</v>
      </c>
      <c r="P89" s="606">
        <f>+ROUND($G89*SUMIF(COS_RR!$E$260:$E$302,$H89,COS_RR!Q$260:Q$302),COS_RR!$AD$10)</f>
        <v>0</v>
      </c>
      <c r="Q89" s="606">
        <f>+ROUND($G89*SUMIF(COS_RR!$E$260:$E$302,$H89,COS_RR!R$260:R$302),COS_RR!$AD$10)</f>
        <v>1155</v>
      </c>
      <c r="R89" s="606">
        <f>+ROUND($G89*SUMIF(COS_RR!$E$260:$E$302,$H89,COS_RR!S$260:S$302),COS_RR!$AD$10)</f>
        <v>9513</v>
      </c>
      <c r="S89" s="606">
        <f>+ROUND($G89*SUMIF(COS_RR!$E$260:$E$302,$H89,COS_RR!T$260:T$302),COS_RR!$AD$10)</f>
        <v>495</v>
      </c>
      <c r="T89" s="606">
        <f>+ROUND($G89*SUMIF(COS_RR!$E$260:$E$302,$H89,COS_RR!U$260:U$302),COS_RR!$AD$10)</f>
        <v>1679</v>
      </c>
      <c r="U89" s="606">
        <f>+ROUND($G89*SUMIF(COS_RR!$E$260:$E$302,$H89,COS_RR!V$260:V$302),COS_RR!$AD$10)</f>
        <v>0</v>
      </c>
      <c r="V89" s="606">
        <f>+ROUND($G89*SUMIF(COS_RR!$E$260:$E$302,$H89,COS_RR!W$260:W$302),COS_RR!$AD$10)</f>
        <v>0</v>
      </c>
      <c r="W89" s="606">
        <f>+ROUND($G89*SUMIF(COS_RR!$E$260:$E$302,$H89,COS_RR!X$260:X$302),COS_RR!$AD$10)</f>
        <v>0</v>
      </c>
      <c r="X89" s="606">
        <f>+ROUND($G89*SUMIF(COS_RR!$E$260:$E$302,$H89,COS_RR!Y$260:Y$302),COS_RR!$AD$10)</f>
        <v>0</v>
      </c>
      <c r="Y89" s="606">
        <f>+ROUND($G89*SUMIF(COS_RR!$E$260:$E$302,$H89,COS_RR!Z$260:Z$302),COS_RR!$AD$10)</f>
        <v>0</v>
      </c>
      <c r="Z89" s="606">
        <f>+ROUND($G89*SUMIF(COS_RR!$E$260:$E$302,$H89,COS_RR!AA$260:AA$302),COS_RR!$AD$10)</f>
        <v>0</v>
      </c>
      <c r="AD89" s="193">
        <f t="shared" si="9"/>
        <v>-7.999999999992724E-2</v>
      </c>
    </row>
    <row r="90" spans="1:30">
      <c r="A90" s="411"/>
      <c r="C90" s="236">
        <f>MAX($C$7:C89)+1</f>
        <v>67</v>
      </c>
      <c r="D90" s="237">
        <f>'O&amp;M_Detail - Elec'!D79</f>
        <v>594010</v>
      </c>
      <c r="E90" s="112" t="str">
        <f>'O&amp;M_Detail - Elec'!E79</f>
        <v>D/MAINT-UNDERGRD, PRIM &amp; SEC</v>
      </c>
      <c r="F90" s="112"/>
      <c r="G90" s="3091">
        <f>SUMIFS('Labor Exp 2016'!$F$3:$F$219,'Labor Exp 2016'!$C$3:$C$219,$D90)</f>
        <v>0</v>
      </c>
      <c r="H90" s="3126" t="str">
        <f>COS_RR!H126</f>
        <v>Underground Plant</v>
      </c>
      <c r="I90" s="606">
        <f>+ROUND($G90*SUMIF(COS_RR!$E$260:$E$302,$H90,COS_RR!J$260:J$302),COS_RR!$AD$10)</f>
        <v>0</v>
      </c>
      <c r="J90" s="606">
        <f>+ROUND($G90*SUMIF(COS_RR!$E$260:$E$302,$H90,COS_RR!K$260:K$302),COS_RR!$AD$10)</f>
        <v>0</v>
      </c>
      <c r="K90" s="606">
        <f>+ROUND($G90*SUMIF(COS_RR!$E$260:$E$302,$H90,COS_RR!L$260:L$302),COS_RR!$AD$10)</f>
        <v>0</v>
      </c>
      <c r="L90" s="606">
        <f>+ROUND($G90*SUMIF(COS_RR!$E$260:$E$302,$H90,COS_RR!M$260:M$302),COS_RR!$AD$10)</f>
        <v>0</v>
      </c>
      <c r="M90" s="606">
        <f>+ROUND($G90*SUMIF(COS_RR!$E$260:$E$302,$H90,COS_RR!N$260:N$302),COS_RR!$AD$10)</f>
        <v>0</v>
      </c>
      <c r="N90" s="606">
        <f>+ROUND($G90*SUMIF(COS_RR!$E$260:$E$302,$H90,COS_RR!O$260:O$302),COS_RR!$AD$10)</f>
        <v>0</v>
      </c>
      <c r="O90" s="606">
        <f>+ROUND($G90*SUMIF(COS_RR!$E$260:$E$302,$H90,COS_RR!P$260:P$302),COS_RR!$AD$10)</f>
        <v>0</v>
      </c>
      <c r="P90" s="606">
        <f>+ROUND($G90*SUMIF(COS_RR!$E$260:$E$302,$H90,COS_RR!Q$260:Q$302),COS_RR!$AD$10)</f>
        <v>0</v>
      </c>
      <c r="Q90" s="606">
        <f>+ROUND($G90*SUMIF(COS_RR!$E$260:$E$302,$H90,COS_RR!R$260:R$302),COS_RR!$AD$10)</f>
        <v>0</v>
      </c>
      <c r="R90" s="606">
        <f>+ROUND($G90*SUMIF(COS_RR!$E$260:$E$302,$H90,COS_RR!S$260:S$302),COS_RR!$AD$10)</f>
        <v>0</v>
      </c>
      <c r="S90" s="606">
        <f>+ROUND($G90*SUMIF(COS_RR!$E$260:$E$302,$H90,COS_RR!T$260:T$302),COS_RR!$AD$10)</f>
        <v>0</v>
      </c>
      <c r="T90" s="606">
        <f>+ROUND($G90*SUMIF(COS_RR!$E$260:$E$302,$H90,COS_RR!U$260:U$302),COS_RR!$AD$10)</f>
        <v>0</v>
      </c>
      <c r="U90" s="606">
        <f>+ROUND($G90*SUMIF(COS_RR!$E$260:$E$302,$H90,COS_RR!V$260:V$302),COS_RR!$AD$10)</f>
        <v>0</v>
      </c>
      <c r="V90" s="606">
        <f>+ROUND($G90*SUMIF(COS_RR!$E$260:$E$302,$H90,COS_RR!W$260:W$302),COS_RR!$AD$10)</f>
        <v>0</v>
      </c>
      <c r="W90" s="606">
        <f>+ROUND($G90*SUMIF(COS_RR!$E$260:$E$302,$H90,COS_RR!X$260:X$302),COS_RR!$AD$10)</f>
        <v>0</v>
      </c>
      <c r="X90" s="606">
        <f>+ROUND($G90*SUMIF(COS_RR!$E$260:$E$302,$H90,COS_RR!Y$260:Y$302),COS_RR!$AD$10)</f>
        <v>0</v>
      </c>
      <c r="Y90" s="606">
        <f>+ROUND($G90*SUMIF(COS_RR!$E$260:$E$302,$H90,COS_RR!Z$260:Z$302),COS_RR!$AD$10)</f>
        <v>0</v>
      </c>
      <c r="Z90" s="606">
        <f>+ROUND($G90*SUMIF(COS_RR!$E$260:$E$302,$H90,COS_RR!AA$260:AA$302),COS_RR!$AD$10)</f>
        <v>0</v>
      </c>
      <c r="AD90" s="193">
        <f t="shared" si="9"/>
        <v>0</v>
      </c>
    </row>
    <row r="91" spans="1:30">
      <c r="A91" s="411"/>
      <c r="C91" s="236">
        <f>MAX($C$7:C90)+1</f>
        <v>68</v>
      </c>
      <c r="D91" s="237">
        <f>'O&amp;M_Detail - Elec'!D80</f>
        <v>595000</v>
      </c>
      <c r="E91" s="112" t="str">
        <f>'O&amp;M_Detail - Elec'!E80</f>
        <v>D/MAINT-LINE TRANSFORMERS</v>
      </c>
      <c r="F91" s="112"/>
      <c r="G91" s="3091">
        <f>SUMIFS('Labor Exp 2016'!$F$3:$F$219,'Labor Exp 2016'!$C$3:$C$219,$D91)</f>
        <v>0</v>
      </c>
      <c r="H91" s="3126" t="str">
        <f>COS_RR!H127</f>
        <v>Line Transformers</v>
      </c>
      <c r="I91" s="606">
        <f>+ROUND($G91*SUMIF(COS_RR!$E$260:$E$302,$H91,COS_RR!J$260:J$302),COS_RR!$AD$10)</f>
        <v>0</v>
      </c>
      <c r="J91" s="606">
        <f>+ROUND($G91*SUMIF(COS_RR!$E$260:$E$302,$H91,COS_RR!K$260:K$302),COS_RR!$AD$10)</f>
        <v>0</v>
      </c>
      <c r="K91" s="606">
        <f>+ROUND($G91*SUMIF(COS_RR!$E$260:$E$302,$H91,COS_RR!L$260:L$302),COS_RR!$AD$10)</f>
        <v>0</v>
      </c>
      <c r="L91" s="606">
        <f>+ROUND($G91*SUMIF(COS_RR!$E$260:$E$302,$H91,COS_RR!M$260:M$302),COS_RR!$AD$10)</f>
        <v>0</v>
      </c>
      <c r="M91" s="606">
        <f>+ROUND($G91*SUMIF(COS_RR!$E$260:$E$302,$H91,COS_RR!N$260:N$302),COS_RR!$AD$10)</f>
        <v>0</v>
      </c>
      <c r="N91" s="606">
        <f>+ROUND($G91*SUMIF(COS_RR!$E$260:$E$302,$H91,COS_RR!O$260:O$302),COS_RR!$AD$10)</f>
        <v>0</v>
      </c>
      <c r="O91" s="606">
        <f>+ROUND($G91*SUMIF(COS_RR!$E$260:$E$302,$H91,COS_RR!P$260:P$302),COS_RR!$AD$10)</f>
        <v>0</v>
      </c>
      <c r="P91" s="606">
        <f>+ROUND($G91*SUMIF(COS_RR!$E$260:$E$302,$H91,COS_RR!Q$260:Q$302),COS_RR!$AD$10)</f>
        <v>0</v>
      </c>
      <c r="Q91" s="606">
        <f>+ROUND($G91*SUMIF(COS_RR!$E$260:$E$302,$H91,COS_RR!R$260:R$302),COS_RR!$AD$10)</f>
        <v>0</v>
      </c>
      <c r="R91" s="606">
        <f>+ROUND($G91*SUMIF(COS_RR!$E$260:$E$302,$H91,COS_RR!S$260:S$302),COS_RR!$AD$10)</f>
        <v>0</v>
      </c>
      <c r="S91" s="606">
        <f>+ROUND($G91*SUMIF(COS_RR!$E$260:$E$302,$H91,COS_RR!T$260:T$302),COS_RR!$AD$10)</f>
        <v>0</v>
      </c>
      <c r="T91" s="606">
        <f>+ROUND($G91*SUMIF(COS_RR!$E$260:$E$302,$H91,COS_RR!U$260:U$302),COS_RR!$AD$10)</f>
        <v>0</v>
      </c>
      <c r="U91" s="606">
        <f>+ROUND($G91*SUMIF(COS_RR!$E$260:$E$302,$H91,COS_RR!V$260:V$302),COS_RR!$AD$10)</f>
        <v>0</v>
      </c>
      <c r="V91" s="606">
        <f>+ROUND($G91*SUMIF(COS_RR!$E$260:$E$302,$H91,COS_RR!W$260:W$302),COS_RR!$AD$10)</f>
        <v>0</v>
      </c>
      <c r="W91" s="606">
        <f>+ROUND($G91*SUMIF(COS_RR!$E$260:$E$302,$H91,COS_RR!X$260:X$302),COS_RR!$AD$10)</f>
        <v>0</v>
      </c>
      <c r="X91" s="606">
        <f>+ROUND($G91*SUMIF(COS_RR!$E$260:$E$302,$H91,COS_RR!Y$260:Y$302),COS_RR!$AD$10)</f>
        <v>0</v>
      </c>
      <c r="Y91" s="606">
        <f>+ROUND($G91*SUMIF(COS_RR!$E$260:$E$302,$H91,COS_RR!Z$260:Z$302),COS_RR!$AD$10)</f>
        <v>0</v>
      </c>
      <c r="Z91" s="606">
        <f>+ROUND($G91*SUMIF(COS_RR!$E$260:$E$302,$H91,COS_RR!AA$260:AA$302),COS_RR!$AD$10)</f>
        <v>0</v>
      </c>
      <c r="AD91" s="193">
        <f t="shared" si="9"/>
        <v>0</v>
      </c>
    </row>
    <row r="92" spans="1:30">
      <c r="A92" s="411"/>
      <c r="C92" s="236">
        <f>MAX($C$7:C91)+1</f>
        <v>69</v>
      </c>
      <c r="D92" s="237">
        <f>'O&amp;M_Detail - Elec'!D81</f>
        <v>596010</v>
      </c>
      <c r="E92" s="112" t="str">
        <f>'O&amp;M_Detail - Elec'!E81</f>
        <v>D/MAINT-OVERHD STREET LIGHTING</v>
      </c>
      <c r="F92" s="112"/>
      <c r="G92" s="3091">
        <f>SUMIFS('Labor Exp 2016'!$F$3:$F$219,'Labor Exp 2016'!$C$3:$C$219,$D92)</f>
        <v>0</v>
      </c>
      <c r="H92" s="3126" t="str">
        <f>COS_RR!H128</f>
        <v>Street Lights</v>
      </c>
      <c r="I92" s="606">
        <f>+ROUND($G92*SUMIF(COS_RR!$E$260:$E$302,$H92,COS_RR!J$260:J$302),COS_RR!$AD$10)</f>
        <v>0</v>
      </c>
      <c r="J92" s="606">
        <f>+ROUND($G92*SUMIF(COS_RR!$E$260:$E$302,$H92,COS_RR!K$260:K$302),COS_RR!$AD$10)</f>
        <v>0</v>
      </c>
      <c r="K92" s="606">
        <f>+ROUND($G92*SUMIF(COS_RR!$E$260:$E$302,$H92,COS_RR!L$260:L$302),COS_RR!$AD$10)</f>
        <v>0</v>
      </c>
      <c r="L92" s="606">
        <f>+ROUND($G92*SUMIF(COS_RR!$E$260:$E$302,$H92,COS_RR!M$260:M$302),COS_RR!$AD$10)</f>
        <v>0</v>
      </c>
      <c r="M92" s="606">
        <f>+ROUND($G92*SUMIF(COS_RR!$E$260:$E$302,$H92,COS_RR!N$260:N$302),COS_RR!$AD$10)</f>
        <v>0</v>
      </c>
      <c r="N92" s="606">
        <f>+ROUND($G92*SUMIF(COS_RR!$E$260:$E$302,$H92,COS_RR!O$260:O$302),COS_RR!$AD$10)</f>
        <v>0</v>
      </c>
      <c r="O92" s="606">
        <f>+ROUND($G92*SUMIF(COS_RR!$E$260:$E$302,$H92,COS_RR!P$260:P$302),COS_RR!$AD$10)</f>
        <v>0</v>
      </c>
      <c r="P92" s="606">
        <f>+ROUND($G92*SUMIF(COS_RR!$E$260:$E$302,$H92,COS_RR!Q$260:Q$302),COS_RR!$AD$10)</f>
        <v>0</v>
      </c>
      <c r="Q92" s="606">
        <f>+ROUND($G92*SUMIF(COS_RR!$E$260:$E$302,$H92,COS_RR!R$260:R$302),COS_RR!$AD$10)</f>
        <v>0</v>
      </c>
      <c r="R92" s="606">
        <f>+ROUND($G92*SUMIF(COS_RR!$E$260:$E$302,$H92,COS_RR!S$260:S$302),COS_RR!$AD$10)</f>
        <v>0</v>
      </c>
      <c r="S92" s="606">
        <f>+ROUND($G92*SUMIF(COS_RR!$E$260:$E$302,$H92,COS_RR!T$260:T$302),COS_RR!$AD$10)</f>
        <v>0</v>
      </c>
      <c r="T92" s="606">
        <f>+ROUND($G92*SUMIF(COS_RR!$E$260:$E$302,$H92,COS_RR!U$260:U$302),COS_RR!$AD$10)</f>
        <v>0</v>
      </c>
      <c r="U92" s="606">
        <f>+ROUND($G92*SUMIF(COS_RR!$E$260:$E$302,$H92,COS_RR!V$260:V$302),COS_RR!$AD$10)</f>
        <v>0</v>
      </c>
      <c r="V92" s="606">
        <f>+ROUND($G92*SUMIF(COS_RR!$E$260:$E$302,$H92,COS_RR!W$260:W$302),COS_RR!$AD$10)</f>
        <v>0</v>
      </c>
      <c r="W92" s="606">
        <f>+ROUND($G92*SUMIF(COS_RR!$E$260:$E$302,$H92,COS_RR!X$260:X$302),COS_RR!$AD$10)</f>
        <v>0</v>
      </c>
      <c r="X92" s="606">
        <f>+ROUND($G92*SUMIF(COS_RR!$E$260:$E$302,$H92,COS_RR!Y$260:Y$302),COS_RR!$AD$10)</f>
        <v>0</v>
      </c>
      <c r="Y92" s="606">
        <f>+ROUND($G92*SUMIF(COS_RR!$E$260:$E$302,$H92,COS_RR!Z$260:Z$302),COS_RR!$AD$10)</f>
        <v>0</v>
      </c>
      <c r="Z92" s="606">
        <f>+ROUND($G92*SUMIF(COS_RR!$E$260:$E$302,$H92,COS_RR!AA$260:AA$302),COS_RR!$AD$10)</f>
        <v>0</v>
      </c>
      <c r="AD92" s="193">
        <f t="shared" si="9"/>
        <v>0</v>
      </c>
    </row>
    <row r="93" spans="1:30" ht="16.5" thickBot="1">
      <c r="A93" s="411"/>
      <c r="C93" s="236">
        <f>MAX($C$7:C92)+1</f>
        <v>70</v>
      </c>
      <c r="D93" s="237">
        <f>'O&amp;M_Detail - Elec'!D82</f>
        <v>597000</v>
      </c>
      <c r="E93" s="112" t="str">
        <f>'O&amp;M_Detail - Elec'!E82</f>
        <v>D/MAINT-METERS</v>
      </c>
      <c r="F93" s="112"/>
      <c r="G93" s="3091">
        <f>SUMIFS('Labor Exp 2016'!$F$3:$F$219,'Labor Exp 2016'!$C$3:$C$219,$D93)</f>
        <v>0</v>
      </c>
      <c r="H93" s="3127" t="str">
        <f>COS_RR!H129</f>
        <v>Meters</v>
      </c>
      <c r="I93" s="606">
        <f>+ROUND($G93*SUMIF(COS_RR!$E$260:$E$302,$H93,COS_RR!J$260:J$302),COS_RR!$AD$10)</f>
        <v>0</v>
      </c>
      <c r="J93" s="606">
        <f>+ROUND($G93*SUMIF(COS_RR!$E$260:$E$302,$H93,COS_RR!K$260:K$302),COS_RR!$AD$10)</f>
        <v>0</v>
      </c>
      <c r="K93" s="606">
        <f>+ROUND($G93*SUMIF(COS_RR!$E$260:$E$302,$H93,COS_RR!L$260:L$302),COS_RR!$AD$10)</f>
        <v>0</v>
      </c>
      <c r="L93" s="606">
        <f>+ROUND($G93*SUMIF(COS_RR!$E$260:$E$302,$H93,COS_RR!M$260:M$302),COS_RR!$AD$10)</f>
        <v>0</v>
      </c>
      <c r="M93" s="606">
        <f>+ROUND($G93*SUMIF(COS_RR!$E$260:$E$302,$H93,COS_RR!N$260:N$302),COS_RR!$AD$10)</f>
        <v>0</v>
      </c>
      <c r="N93" s="606">
        <f>+ROUND($G93*SUMIF(COS_RR!$E$260:$E$302,$H93,COS_RR!O$260:O$302),COS_RR!$AD$10)</f>
        <v>0</v>
      </c>
      <c r="O93" s="606">
        <f>+ROUND($G93*SUMIF(COS_RR!$E$260:$E$302,$H93,COS_RR!P$260:P$302),COS_RR!$AD$10)</f>
        <v>0</v>
      </c>
      <c r="P93" s="606">
        <f>+ROUND($G93*SUMIF(COS_RR!$E$260:$E$302,$H93,COS_RR!Q$260:Q$302),COS_RR!$AD$10)</f>
        <v>0</v>
      </c>
      <c r="Q93" s="606">
        <f>+ROUND($G93*SUMIF(COS_RR!$E$260:$E$302,$H93,COS_RR!R$260:R$302),COS_RR!$AD$10)</f>
        <v>0</v>
      </c>
      <c r="R93" s="606">
        <f>+ROUND($G93*SUMIF(COS_RR!$E$260:$E$302,$H93,COS_RR!S$260:S$302),COS_RR!$AD$10)</f>
        <v>0</v>
      </c>
      <c r="S93" s="606">
        <f>+ROUND($G93*SUMIF(COS_RR!$E$260:$E$302,$H93,COS_RR!T$260:T$302),COS_RR!$AD$10)</f>
        <v>0</v>
      </c>
      <c r="T93" s="606">
        <f>+ROUND($G93*SUMIF(COS_RR!$E$260:$E$302,$H93,COS_RR!U$260:U$302),COS_RR!$AD$10)</f>
        <v>0</v>
      </c>
      <c r="U93" s="606">
        <f>+ROUND($G93*SUMIF(COS_RR!$E$260:$E$302,$H93,COS_RR!V$260:V$302),COS_RR!$AD$10)</f>
        <v>0</v>
      </c>
      <c r="V93" s="606">
        <f>+ROUND($G93*SUMIF(COS_RR!$E$260:$E$302,$H93,COS_RR!W$260:W$302),COS_RR!$AD$10)</f>
        <v>0</v>
      </c>
      <c r="W93" s="606">
        <f>+ROUND($G93*SUMIF(COS_RR!$E$260:$E$302,$H93,COS_RR!X$260:X$302),COS_RR!$AD$10)</f>
        <v>0</v>
      </c>
      <c r="X93" s="606">
        <f>+ROUND($G93*SUMIF(COS_RR!$E$260:$E$302,$H93,COS_RR!Y$260:Y$302),COS_RR!$AD$10)</f>
        <v>0</v>
      </c>
      <c r="Y93" s="606">
        <f>+ROUND($G93*SUMIF(COS_RR!$E$260:$E$302,$H93,COS_RR!Z$260:Z$302),COS_RR!$AD$10)</f>
        <v>0</v>
      </c>
      <c r="Z93" s="606">
        <f>+ROUND($G93*SUMIF(COS_RR!$E$260:$E$302,$H93,COS_RR!AA$260:AA$302),COS_RR!$AD$10)</f>
        <v>0</v>
      </c>
      <c r="AD93" s="193">
        <f t="shared" si="9"/>
        <v>0</v>
      </c>
    </row>
    <row r="94" spans="1:30">
      <c r="A94" s="411"/>
      <c r="C94" s="236"/>
      <c r="D94" s="237"/>
      <c r="E94" s="112"/>
      <c r="F94" s="112"/>
      <c r="G94" s="340">
        <f>SUM(G75:G93)</f>
        <v>10204017.998137008</v>
      </c>
      <c r="I94" s="340">
        <f t="shared" ref="I94:P94" si="10">SUM(I75:I93)</f>
        <v>0</v>
      </c>
      <c r="J94" s="340">
        <f t="shared" si="10"/>
        <v>0</v>
      </c>
      <c r="K94" s="340">
        <f t="shared" si="10"/>
        <v>0</v>
      </c>
      <c r="L94" s="340">
        <f t="shared" si="10"/>
        <v>2481779</v>
      </c>
      <c r="M94" s="340">
        <f t="shared" si="10"/>
        <v>481675</v>
      </c>
      <c r="N94" s="340">
        <f t="shared" si="10"/>
        <v>0</v>
      </c>
      <c r="O94" s="340">
        <f t="shared" si="10"/>
        <v>0</v>
      </c>
      <c r="P94" s="340">
        <f t="shared" si="10"/>
        <v>692753</v>
      </c>
      <c r="Q94" s="340">
        <f t="shared" ref="Q94:Z94" si="11">SUM(Q75:Q93)</f>
        <v>453021</v>
      </c>
      <c r="R94" s="340">
        <f t="shared" si="11"/>
        <v>2864408</v>
      </c>
      <c r="S94" s="340">
        <f t="shared" si="11"/>
        <v>334559</v>
      </c>
      <c r="T94" s="340">
        <f t="shared" si="11"/>
        <v>882591</v>
      </c>
      <c r="U94" s="340">
        <f t="shared" si="11"/>
        <v>189802</v>
      </c>
      <c r="V94" s="340">
        <f t="shared" si="11"/>
        <v>1760018</v>
      </c>
      <c r="W94" s="340">
        <f t="shared" si="11"/>
        <v>0</v>
      </c>
      <c r="X94" s="340">
        <f t="shared" si="11"/>
        <v>63413</v>
      </c>
      <c r="Y94" s="340">
        <f t="shared" si="11"/>
        <v>0</v>
      </c>
      <c r="Z94" s="340">
        <f t="shared" si="11"/>
        <v>0</v>
      </c>
    </row>
    <row r="95" spans="1:30" ht="16.5" thickBot="1">
      <c r="A95" s="411"/>
      <c r="C95" s="236">
        <f>MAX($C$7:C94)+1</f>
        <v>71</v>
      </c>
      <c r="D95" s="903" t="str">
        <f>'O&amp;M_Detail - Elec'!D84</f>
        <v>DISTRIBUTION FIBER OPTIC NETWORK</v>
      </c>
      <c r="E95" s="112"/>
      <c r="F95" s="112"/>
      <c r="G95"/>
      <c r="J95" s="4"/>
      <c r="L95" s="4"/>
      <c r="M95" s="4"/>
      <c r="N95" s="4"/>
      <c r="O95" s="4"/>
      <c r="P95" s="4"/>
      <c r="Q95" s="4"/>
      <c r="R95" s="4"/>
      <c r="S95" s="4"/>
      <c r="T95" s="4"/>
      <c r="U95" s="4"/>
      <c r="V95" s="4"/>
      <c r="W95" s="4"/>
      <c r="X95" s="4"/>
      <c r="Y95" s="4"/>
      <c r="Z95" s="4"/>
    </row>
    <row r="96" spans="1:30">
      <c r="A96" s="411"/>
      <c r="C96" s="236">
        <f>MAX($C$7:C95)+1</f>
        <v>72</v>
      </c>
      <c r="D96" s="237">
        <f>'O&amp;M_Detail - Elec'!D87</f>
        <v>935803</v>
      </c>
      <c r="E96" s="112" t="str">
        <f>'O&amp;M_Detail - Elec'!E87</f>
        <v>WFON-AERIAL</v>
      </c>
      <c r="F96" s="112"/>
      <c r="G96" s="3090">
        <f>SUMIFS('Labor Exp 2016'!$F$3:$F$219,'Labor Exp 2016'!$C$3:$C$219,$D96)</f>
        <v>0</v>
      </c>
      <c r="H96" s="3125" t="str">
        <f>COS_RR!H133</f>
        <v>Dist OC</v>
      </c>
      <c r="I96" s="605">
        <f>+ROUND($G96*SUMIF(COS_RR!$E$260:$E$302,$H96,COS_RR!J$260:J$302),COS_RR!$AD$10)</f>
        <v>0</v>
      </c>
      <c r="J96" s="605">
        <f>+ROUND($G96*SUMIF(COS_RR!$E$260:$E$302,$H96,COS_RR!K$260:K$302),COS_RR!$AD$10)</f>
        <v>0</v>
      </c>
      <c r="K96" s="605">
        <f>+ROUND($G96*SUMIF(COS_RR!$E$260:$E$302,$H96,COS_RR!L$260:L$302),COS_RR!$AD$10)</f>
        <v>0</v>
      </c>
      <c r="L96" s="605">
        <f>+ROUND($G96*SUMIF(COS_RR!$E$260:$E$302,$H96,COS_RR!M$260:M$302),COS_RR!$AD$10)</f>
        <v>0</v>
      </c>
      <c r="M96" s="605">
        <f>+ROUND($G96*SUMIF(COS_RR!$E$260:$E$302,$H96,COS_RR!N$260:N$302),COS_RR!$AD$10)</f>
        <v>0</v>
      </c>
      <c r="N96" s="605">
        <f>+ROUND($G96*SUMIF(COS_RR!$E$260:$E$302,$H96,COS_RR!O$260:O$302),COS_RR!$AD$10)</f>
        <v>0</v>
      </c>
      <c r="O96" s="605">
        <f>+ROUND($G96*SUMIF(COS_RR!$E$260:$E$302,$H96,COS_RR!P$260:P$302),COS_RR!$AD$10)</f>
        <v>0</v>
      </c>
      <c r="P96" s="605">
        <f>+ROUND($G96*SUMIF(COS_RR!$E$260:$E$302,$H96,COS_RR!Q$260:Q$302),COS_RR!$AD$10)</f>
        <v>0</v>
      </c>
      <c r="Q96" s="605">
        <f>+ROUND($G96*SUMIF(COS_RR!$E$260:$E$302,$H96,COS_RR!R$260:R$302),COS_RR!$AD$10)</f>
        <v>0</v>
      </c>
      <c r="R96" s="605">
        <f>+ROUND($G96*SUMIF(COS_RR!$E$260:$E$302,$H96,COS_RR!S$260:S$302),COS_RR!$AD$10)</f>
        <v>0</v>
      </c>
      <c r="S96" s="605">
        <f>+ROUND($G96*SUMIF(COS_RR!$E$260:$E$302,$H96,COS_RR!T$260:T$302),COS_RR!$AD$10)</f>
        <v>0</v>
      </c>
      <c r="T96" s="605">
        <f>+ROUND($G96*SUMIF(COS_RR!$E$260:$E$302,$H96,COS_RR!U$260:U$302),COS_RR!$AD$10)</f>
        <v>0</v>
      </c>
      <c r="U96" s="605">
        <f>+ROUND($G96*SUMIF(COS_RR!$E$260:$E$302,$H96,COS_RR!V$260:V$302),COS_RR!$AD$10)</f>
        <v>0</v>
      </c>
      <c r="V96" s="605">
        <f>+ROUND($G96*SUMIF(COS_RR!$E$260:$E$302,$H96,COS_RR!W$260:W$302),COS_RR!$AD$10)</f>
        <v>0</v>
      </c>
      <c r="W96" s="605">
        <f>+ROUND($G96*SUMIF(COS_RR!$E$260:$E$302,$H96,COS_RR!X$260:X$302),COS_RR!$AD$10)</f>
        <v>0</v>
      </c>
      <c r="X96" s="605">
        <f>+ROUND($G96*SUMIF(COS_RR!$E$260:$E$302,$H96,COS_RR!Y$260:Y$302),COS_RR!$AD$10)</f>
        <v>0</v>
      </c>
      <c r="Y96" s="605">
        <f>+ROUND($G96*SUMIF(COS_RR!$E$260:$E$302,$H96,COS_RR!Z$260:Z$302),COS_RR!$AD$10)</f>
        <v>0</v>
      </c>
      <c r="Z96" s="605">
        <f>+ROUND($G96*SUMIF(COS_RR!$E$260:$E$302,$H96,COS_RR!AA$260:AA$302),COS_RR!$AD$10)</f>
        <v>0</v>
      </c>
      <c r="AD96" s="193">
        <f>SUM(I96:Z96)-G96</f>
        <v>0</v>
      </c>
    </row>
    <row r="97" spans="1:30" ht="16.5" thickBot="1">
      <c r="A97" s="411"/>
      <c r="C97" s="236">
        <f>MAX($C$7:C96)+1</f>
        <v>73</v>
      </c>
      <c r="D97" s="237">
        <f>'O&amp;M_Detail - Elec'!D88</f>
        <v>935804</v>
      </c>
      <c r="E97" s="112" t="str">
        <f>'O&amp;M_Detail - Elec'!E88</f>
        <v>WFON-UNDERGROUND CABLE EXPENSE</v>
      </c>
      <c r="F97" s="112"/>
      <c r="G97" s="3091">
        <f>SUMIFS('Labor Exp 2016'!$F$3:$F$219,'Labor Exp 2016'!$C$3:$C$219,$D97)</f>
        <v>0</v>
      </c>
      <c r="H97" s="3128" t="str">
        <f>COS_RR!H134</f>
        <v>Dist OC</v>
      </c>
      <c r="I97" s="606">
        <f>+ROUND($G97*SUMIF(COS_RR!$E$260:$E$302,$H97,COS_RR!J$260:J$302),COS_RR!$AD$10)</f>
        <v>0</v>
      </c>
      <c r="J97" s="606">
        <f>+ROUND($G97*SUMIF(COS_RR!$E$260:$E$302,$H97,COS_RR!K$260:K$302),COS_RR!$AD$10)</f>
        <v>0</v>
      </c>
      <c r="K97" s="606">
        <f>+ROUND($G97*SUMIF(COS_RR!$E$260:$E$302,$H97,COS_RR!L$260:L$302),COS_RR!$AD$10)</f>
        <v>0</v>
      </c>
      <c r="L97" s="606">
        <f>+ROUND($G97*SUMIF(COS_RR!$E$260:$E$302,$H97,COS_RR!M$260:M$302),COS_RR!$AD$10)</f>
        <v>0</v>
      </c>
      <c r="M97" s="606">
        <f>+ROUND($G97*SUMIF(COS_RR!$E$260:$E$302,$H97,COS_RR!N$260:N$302),COS_RR!$AD$10)</f>
        <v>0</v>
      </c>
      <c r="N97" s="606">
        <f>+ROUND($G97*SUMIF(COS_RR!$E$260:$E$302,$H97,COS_RR!O$260:O$302),COS_RR!$AD$10)</f>
        <v>0</v>
      </c>
      <c r="O97" s="606">
        <f>+ROUND($G97*SUMIF(COS_RR!$E$260:$E$302,$H97,COS_RR!P$260:P$302),COS_RR!$AD$10)</f>
        <v>0</v>
      </c>
      <c r="P97" s="606">
        <f>+ROUND($G97*SUMIF(COS_RR!$E$260:$E$302,$H97,COS_RR!Q$260:Q$302),COS_RR!$AD$10)</f>
        <v>0</v>
      </c>
      <c r="Q97" s="606">
        <f>+ROUND($G97*SUMIF(COS_RR!$E$260:$E$302,$H97,COS_RR!R$260:R$302),COS_RR!$AD$10)</f>
        <v>0</v>
      </c>
      <c r="R97" s="606">
        <f>+ROUND($G97*SUMIF(COS_RR!$E$260:$E$302,$H97,COS_RR!S$260:S$302),COS_RR!$AD$10)</f>
        <v>0</v>
      </c>
      <c r="S97" s="606">
        <f>+ROUND($G97*SUMIF(COS_RR!$E$260:$E$302,$H97,COS_RR!T$260:T$302),COS_RR!$AD$10)</f>
        <v>0</v>
      </c>
      <c r="T97" s="606">
        <f>+ROUND($G97*SUMIF(COS_RR!$E$260:$E$302,$H97,COS_RR!U$260:U$302),COS_RR!$AD$10)</f>
        <v>0</v>
      </c>
      <c r="U97" s="606">
        <f>+ROUND($G97*SUMIF(COS_RR!$E$260:$E$302,$H97,COS_RR!V$260:V$302),COS_RR!$AD$10)</f>
        <v>0</v>
      </c>
      <c r="V97" s="606">
        <f>+ROUND($G97*SUMIF(COS_RR!$E$260:$E$302,$H97,COS_RR!W$260:W$302),COS_RR!$AD$10)</f>
        <v>0</v>
      </c>
      <c r="W97" s="606">
        <f>+ROUND($G97*SUMIF(COS_RR!$E$260:$E$302,$H97,COS_RR!X$260:X$302),COS_RR!$AD$10)</f>
        <v>0</v>
      </c>
      <c r="X97" s="606">
        <f>+ROUND($G97*SUMIF(COS_RR!$E$260:$E$302,$H97,COS_RR!Y$260:Y$302),COS_RR!$AD$10)</f>
        <v>0</v>
      </c>
      <c r="Y97" s="606">
        <f>+ROUND($G97*SUMIF(COS_RR!$E$260:$E$302,$H97,COS_RR!Z$260:Z$302),COS_RR!$AD$10)</f>
        <v>0</v>
      </c>
      <c r="Z97" s="606">
        <f>+ROUND($G97*SUMIF(COS_RR!$E$260:$E$302,$H97,COS_RR!AA$260:AA$302),COS_RR!$AD$10)</f>
        <v>0</v>
      </c>
      <c r="AD97" s="193">
        <f>SUM(I97:Z97)-G97</f>
        <v>0</v>
      </c>
    </row>
    <row r="98" spans="1:30">
      <c r="A98" s="411"/>
      <c r="C98" s="236"/>
      <c r="D98" s="237"/>
      <c r="E98" s="112"/>
      <c r="F98" s="112"/>
      <c r="G98" s="340">
        <f>SUM(G96:G97)</f>
        <v>0</v>
      </c>
      <c r="I98" s="340">
        <f t="shared" ref="I98:Z98" si="12">SUM(I96:I97)</f>
        <v>0</v>
      </c>
      <c r="J98" s="340">
        <f t="shared" si="12"/>
        <v>0</v>
      </c>
      <c r="K98" s="340">
        <f t="shared" si="12"/>
        <v>0</v>
      </c>
      <c r="L98" s="340">
        <f t="shared" si="12"/>
        <v>0</v>
      </c>
      <c r="M98" s="340">
        <f t="shared" si="12"/>
        <v>0</v>
      </c>
      <c r="N98" s="340">
        <f t="shared" si="12"/>
        <v>0</v>
      </c>
      <c r="O98" s="340">
        <f t="shared" si="12"/>
        <v>0</v>
      </c>
      <c r="P98" s="340">
        <f t="shared" si="12"/>
        <v>0</v>
      </c>
      <c r="Q98" s="340">
        <f t="shared" si="12"/>
        <v>0</v>
      </c>
      <c r="R98" s="340">
        <f t="shared" si="12"/>
        <v>0</v>
      </c>
      <c r="S98" s="340">
        <f t="shared" si="12"/>
        <v>0</v>
      </c>
      <c r="T98" s="340">
        <f t="shared" si="12"/>
        <v>0</v>
      </c>
      <c r="U98" s="340">
        <f t="shared" si="12"/>
        <v>0</v>
      </c>
      <c r="V98" s="340">
        <f t="shared" si="12"/>
        <v>0</v>
      </c>
      <c r="W98" s="340">
        <f t="shared" si="12"/>
        <v>0</v>
      </c>
      <c r="X98" s="340">
        <f t="shared" si="12"/>
        <v>0</v>
      </c>
      <c r="Y98" s="340">
        <f t="shared" si="12"/>
        <v>0</v>
      </c>
      <c r="Z98" s="340">
        <f t="shared" si="12"/>
        <v>0</v>
      </c>
    </row>
    <row r="99" spans="1:30" ht="16.5" thickBot="1">
      <c r="A99" s="411"/>
      <c r="C99" s="236">
        <f>MAX($C$7:C98)+1</f>
        <v>74</v>
      </c>
      <c r="D99" s="903" t="str">
        <f>'O&amp;M_Detail - Elec'!D90</f>
        <v>CUSTOMER</v>
      </c>
      <c r="E99" s="112"/>
      <c r="F99" s="112"/>
      <c r="G99"/>
      <c r="J99" s="4"/>
      <c r="L99" s="4"/>
      <c r="M99" s="4"/>
      <c r="N99" s="4"/>
      <c r="O99" s="4"/>
      <c r="P99" s="4"/>
      <c r="Q99" s="4"/>
      <c r="R99" s="4"/>
      <c r="S99" s="4"/>
      <c r="T99" s="4"/>
      <c r="U99" s="4"/>
      <c r="V99" s="4"/>
      <c r="W99" s="4"/>
      <c r="X99" s="4"/>
      <c r="Y99" s="4"/>
      <c r="Z99" s="4"/>
    </row>
    <row r="100" spans="1:30" ht="16.5" thickBot="1">
      <c r="A100" s="411"/>
      <c r="C100" s="236">
        <f>MAX($C$7:C99)+1</f>
        <v>75</v>
      </c>
      <c r="D100" s="237">
        <f>'O&amp;M_Detail - Elec'!D91</f>
        <v>901000</v>
      </c>
      <c r="E100" s="112" t="str">
        <f>'O&amp;M_Detail - Elec'!E91</f>
        <v>CUST ACCTS-SUPV</v>
      </c>
      <c r="F100" s="112"/>
      <c r="G100" s="3090">
        <f>SUMIFS('Labor Exp 2016'!$F$3:$F$219,'Labor Exp 2016'!$C$3:$C$219,$D100)</f>
        <v>513247.85000000009</v>
      </c>
      <c r="H100" s="1885" t="s">
        <v>2279</v>
      </c>
      <c r="I100" s="3028">
        <f t="shared" ref="I100:P100" si="13">SUM(I101:I110)/SUM($G$101:$G$110)*$G$100</f>
        <v>0</v>
      </c>
      <c r="J100" s="3028">
        <f t="shared" si="13"/>
        <v>0</v>
      </c>
      <c r="K100" s="3028">
        <f t="shared" si="13"/>
        <v>0</v>
      </c>
      <c r="L100" s="3028">
        <f t="shared" si="13"/>
        <v>0</v>
      </c>
      <c r="M100" s="3028">
        <f t="shared" si="13"/>
        <v>0</v>
      </c>
      <c r="N100" s="3028">
        <f t="shared" si="13"/>
        <v>0</v>
      </c>
      <c r="O100" s="3028">
        <f t="shared" si="13"/>
        <v>0</v>
      </c>
      <c r="P100" s="3028">
        <f t="shared" si="13"/>
        <v>0</v>
      </c>
      <c r="Q100" s="3028">
        <f t="shared" ref="Q100:Z100" si="14">SUM(Q101:Q110)/SUM($G$101:$G$110)*$G$100</f>
        <v>0</v>
      </c>
      <c r="R100" s="3028">
        <f t="shared" si="14"/>
        <v>0</v>
      </c>
      <c r="S100" s="3028">
        <f t="shared" si="14"/>
        <v>0</v>
      </c>
      <c r="T100" s="3028">
        <f t="shared" si="14"/>
        <v>0</v>
      </c>
      <c r="U100" s="3028">
        <f t="shared" si="14"/>
        <v>0</v>
      </c>
      <c r="V100" s="3028">
        <f t="shared" si="14"/>
        <v>0</v>
      </c>
      <c r="W100" s="3028">
        <f>SUM(W101:W110)/SUM($G$101:$G$110)*$G$100</f>
        <v>486820.25700045325</v>
      </c>
      <c r="X100" s="3028">
        <f t="shared" si="14"/>
        <v>0</v>
      </c>
      <c r="Y100" s="3028">
        <f t="shared" si="14"/>
        <v>26427.570534176517</v>
      </c>
      <c r="Z100" s="3028">
        <f t="shared" si="14"/>
        <v>0</v>
      </c>
      <c r="AD100" s="193">
        <f t="shared" ref="AD100:AD110" si="15">SUM(I100:Z100)-G100</f>
        <v>-2.2465370304416865E-2</v>
      </c>
    </row>
    <row r="101" spans="1:30">
      <c r="A101" s="411"/>
      <c r="C101" s="236">
        <f>MAX($C$7:C100)+1</f>
        <v>76</v>
      </c>
      <c r="D101" s="237">
        <f>'O&amp;M_Detail - Elec'!D92</f>
        <v>902000</v>
      </c>
      <c r="E101" s="112" t="str">
        <f>'O&amp;M_Detail - Elec'!E92</f>
        <v>CUST ACCTS-METER READING EXP</v>
      </c>
      <c r="F101" s="112"/>
      <c r="G101" s="3091">
        <f>SUMIFS('Labor Exp 2016'!$F$3:$F$219,'Labor Exp 2016'!$C$3:$C$219,$D101)</f>
        <v>826226.11999999976</v>
      </c>
      <c r="H101" s="3121" t="str">
        <f>COS_RR!H140</f>
        <v>Accts &amp; Services</v>
      </c>
      <c r="I101" s="606">
        <f>+ROUND($G101*SUMIF(COS_RR!$E$260:$E$302,$H101,COS_RR!J$260:J$302),COS_RR!$AD$10)</f>
        <v>0</v>
      </c>
      <c r="J101" s="606">
        <f>+ROUND($G101*SUMIF(COS_RR!$E$260:$E$302,$H101,COS_RR!K$260:K$302),COS_RR!$AD$10)</f>
        <v>0</v>
      </c>
      <c r="K101" s="606">
        <f>+ROUND($G101*SUMIF(COS_RR!$E$260:$E$302,$H101,COS_RR!L$260:L$302),COS_RR!$AD$10)</f>
        <v>0</v>
      </c>
      <c r="L101" s="606">
        <f>+ROUND($G101*SUMIF(COS_RR!$E$260:$E$302,$H101,COS_RR!M$260:M$302),COS_RR!$AD$10)</f>
        <v>0</v>
      </c>
      <c r="M101" s="606">
        <f>+ROUND($G101*SUMIF(COS_RR!$E$260:$E$302,$H101,COS_RR!N$260:N$302),COS_RR!$AD$10)</f>
        <v>0</v>
      </c>
      <c r="N101" s="606">
        <f>+ROUND($G101*SUMIF(COS_RR!$E$260:$E$302,$H101,COS_RR!O$260:O$302),COS_RR!$AD$10)</f>
        <v>0</v>
      </c>
      <c r="O101" s="606">
        <f>+ROUND($G101*SUMIF(COS_RR!$E$260:$E$302,$H101,COS_RR!P$260:P$302),COS_RR!$AD$10)</f>
        <v>0</v>
      </c>
      <c r="P101" s="606">
        <f>+ROUND($G101*SUMIF(COS_RR!$E$260:$E$302,$H101,COS_RR!Q$260:Q$302),COS_RR!$AD$10)</f>
        <v>0</v>
      </c>
      <c r="Q101" s="606">
        <f>+ROUND($G101*SUMIF(COS_RR!$E$260:$E$302,$H101,COS_RR!R$260:R$302),COS_RR!$AD$10)</f>
        <v>0</v>
      </c>
      <c r="R101" s="606">
        <f>+ROUND($G101*SUMIF(COS_RR!$E$260:$E$302,$H101,COS_RR!S$260:S$302),COS_RR!$AD$10)</f>
        <v>0</v>
      </c>
      <c r="S101" s="606">
        <f>+ROUND($G101*SUMIF(COS_RR!$E$260:$E$302,$H101,COS_RR!T$260:T$302),COS_RR!$AD$10)</f>
        <v>0</v>
      </c>
      <c r="T101" s="606">
        <f>+ROUND($G101*SUMIF(COS_RR!$E$260:$E$302,$H101,COS_RR!U$260:U$302),COS_RR!$AD$10)</f>
        <v>0</v>
      </c>
      <c r="U101" s="606">
        <f>+ROUND($G101*SUMIF(COS_RR!$E$260:$E$302,$H101,COS_RR!V$260:V$302),COS_RR!$AD$10)</f>
        <v>0</v>
      </c>
      <c r="V101" s="606">
        <f>+ROUND($G101*SUMIF(COS_RR!$E$260:$E$302,$H101,COS_RR!W$260:W$302),COS_RR!$AD$10)</f>
        <v>0</v>
      </c>
      <c r="W101" s="606">
        <f>+ROUND($G101*SUMIF(COS_RR!$E$260:$E$302,$H101,COS_RR!X$260:X$302),COS_RR!$AD$10)</f>
        <v>826226</v>
      </c>
      <c r="X101" s="606">
        <f>+ROUND($G101*SUMIF(COS_RR!$E$260:$E$302,$H101,COS_RR!Y$260:Y$302),COS_RR!$AD$10)</f>
        <v>0</v>
      </c>
      <c r="Y101" s="606">
        <f>+ROUND($G101*SUMIF(COS_RR!$E$260:$E$302,$H101,COS_RR!Z$260:Z$302),COS_RR!$AD$10)</f>
        <v>0</v>
      </c>
      <c r="Z101" s="606">
        <f>+ROUND($G101*SUMIF(COS_RR!$E$260:$E$302,$H101,COS_RR!AA$260:AA$302),COS_RR!$AD$10)</f>
        <v>0</v>
      </c>
      <c r="AD101" s="193">
        <f t="shared" si="15"/>
        <v>-0.11999999976251274</v>
      </c>
    </row>
    <row r="102" spans="1:30">
      <c r="A102" s="411"/>
      <c r="C102" s="236">
        <f>MAX($C$7:C101)+1</f>
        <v>77</v>
      </c>
      <c r="D102" s="237">
        <f>'O&amp;M_Detail - Elec'!D93</f>
        <v>903000</v>
      </c>
      <c r="E102" s="112" t="str">
        <f>'O&amp;M_Detail - Elec'!E93</f>
        <v>CUST ACCTS-REC &amp; COLL EXP</v>
      </c>
      <c r="F102" s="112"/>
      <c r="G102" s="3091">
        <f>SUMIFS('Labor Exp 2016'!$F$3:$F$219,'Labor Exp 2016'!$C$3:$C$219,$D102)</f>
        <v>1889553.9199999997</v>
      </c>
      <c r="H102" s="3123" t="str">
        <f>COS_RR!H141</f>
        <v>Accts &amp; Services</v>
      </c>
      <c r="I102" s="606">
        <f>+ROUND($G102*SUMIF(COS_RR!$E$260:$E$302,$H102,COS_RR!J$260:J$302),COS_RR!$AD$10)</f>
        <v>0</v>
      </c>
      <c r="J102" s="606">
        <f>+ROUND($G102*SUMIF(COS_RR!$E$260:$E$302,$H102,COS_RR!K$260:K$302),COS_RR!$AD$10)</f>
        <v>0</v>
      </c>
      <c r="K102" s="606">
        <f>+ROUND($G102*SUMIF(COS_RR!$E$260:$E$302,$H102,COS_RR!L$260:L$302),COS_RR!$AD$10)</f>
        <v>0</v>
      </c>
      <c r="L102" s="606">
        <f>+ROUND($G102*SUMIF(COS_RR!$E$260:$E$302,$H102,COS_RR!M$260:M$302),COS_RR!$AD$10)</f>
        <v>0</v>
      </c>
      <c r="M102" s="606">
        <f>+ROUND($G102*SUMIF(COS_RR!$E$260:$E$302,$H102,COS_RR!N$260:N$302),COS_RR!$AD$10)</f>
        <v>0</v>
      </c>
      <c r="N102" s="606">
        <f>+ROUND($G102*SUMIF(COS_RR!$E$260:$E$302,$H102,COS_RR!O$260:O$302),COS_RR!$AD$10)</f>
        <v>0</v>
      </c>
      <c r="O102" s="606">
        <f>+ROUND($G102*SUMIF(COS_RR!$E$260:$E$302,$H102,COS_RR!P$260:P$302),COS_RR!$AD$10)</f>
        <v>0</v>
      </c>
      <c r="P102" s="606">
        <f>+ROUND($G102*SUMIF(COS_RR!$E$260:$E$302,$H102,COS_RR!Q$260:Q$302),COS_RR!$AD$10)</f>
        <v>0</v>
      </c>
      <c r="Q102" s="606">
        <f>+ROUND($G102*SUMIF(COS_RR!$E$260:$E$302,$H102,COS_RR!R$260:R$302),COS_RR!$AD$10)</f>
        <v>0</v>
      </c>
      <c r="R102" s="606">
        <f>+ROUND($G102*SUMIF(COS_RR!$E$260:$E$302,$H102,COS_RR!S$260:S$302),COS_RR!$AD$10)</f>
        <v>0</v>
      </c>
      <c r="S102" s="606">
        <f>+ROUND($G102*SUMIF(COS_RR!$E$260:$E$302,$H102,COS_RR!T$260:T$302),COS_RR!$AD$10)</f>
        <v>0</v>
      </c>
      <c r="T102" s="606">
        <f>+ROUND($G102*SUMIF(COS_RR!$E$260:$E$302,$H102,COS_RR!U$260:U$302),COS_RR!$AD$10)</f>
        <v>0</v>
      </c>
      <c r="U102" s="606">
        <f>+ROUND($G102*SUMIF(COS_RR!$E$260:$E$302,$H102,COS_RR!V$260:V$302),COS_RR!$AD$10)</f>
        <v>0</v>
      </c>
      <c r="V102" s="606">
        <f>+ROUND($G102*SUMIF(COS_RR!$E$260:$E$302,$H102,COS_RR!W$260:W$302),COS_RR!$AD$10)</f>
        <v>0</v>
      </c>
      <c r="W102" s="606">
        <f>+ROUND($G102*SUMIF(COS_RR!$E$260:$E$302,$H102,COS_RR!X$260:X$302),COS_RR!$AD$10)</f>
        <v>1889554</v>
      </c>
      <c r="X102" s="606">
        <f>+ROUND($G102*SUMIF(COS_RR!$E$260:$E$302,$H102,COS_RR!Y$260:Y$302),COS_RR!$AD$10)</f>
        <v>0</v>
      </c>
      <c r="Y102" s="606">
        <f>+ROUND($G102*SUMIF(COS_RR!$E$260:$E$302,$H102,COS_RR!Z$260:Z$302),COS_RR!$AD$10)</f>
        <v>0</v>
      </c>
      <c r="Z102" s="606">
        <f>+ROUND($G102*SUMIF(COS_RR!$E$260:$E$302,$H102,COS_RR!AA$260:AA$302),COS_RR!$AD$10)</f>
        <v>0</v>
      </c>
      <c r="AD102" s="193">
        <f t="shared" si="15"/>
        <v>8.000000030733645E-2</v>
      </c>
    </row>
    <row r="103" spans="1:30">
      <c r="A103" s="411"/>
      <c r="C103" s="236">
        <f>MAX($C$7:C102)+1</f>
        <v>78</v>
      </c>
      <c r="D103" s="237">
        <f>'O&amp;M_Detail - Elec'!D94</f>
        <v>903010</v>
      </c>
      <c r="E103" s="112" t="str">
        <f>'O&amp;M_Detail - Elec'!E94</f>
        <v>CUST ACCTS-CASH OVER/SHORT</v>
      </c>
      <c r="F103" s="112"/>
      <c r="G103" s="3091">
        <f>SUMIFS('Labor Exp 2016'!$F$3:$F$219,'Labor Exp 2016'!$C$3:$C$219,$D103)</f>
        <v>0</v>
      </c>
      <c r="H103" s="3123" t="str">
        <f>COS_RR!H142</f>
        <v>Accts &amp; Services</v>
      </c>
      <c r="I103" s="606">
        <f>+ROUND($G103*SUMIF(COS_RR!$E$260:$E$302,$H103,COS_RR!J$260:J$302),COS_RR!$AD$10)</f>
        <v>0</v>
      </c>
      <c r="J103" s="606">
        <f>+ROUND($G103*SUMIF(COS_RR!$E$260:$E$302,$H103,COS_RR!K$260:K$302),COS_RR!$AD$10)</f>
        <v>0</v>
      </c>
      <c r="K103" s="606">
        <f>+ROUND($G103*SUMIF(COS_RR!$E$260:$E$302,$H103,COS_RR!L$260:L$302),COS_RR!$AD$10)</f>
        <v>0</v>
      </c>
      <c r="L103" s="606">
        <f>+ROUND($G103*SUMIF(COS_RR!$E$260:$E$302,$H103,COS_RR!M$260:M$302),COS_RR!$AD$10)</f>
        <v>0</v>
      </c>
      <c r="M103" s="606">
        <f>+ROUND($G103*SUMIF(COS_RR!$E$260:$E$302,$H103,COS_RR!N$260:N$302),COS_RR!$AD$10)</f>
        <v>0</v>
      </c>
      <c r="N103" s="606">
        <f>+ROUND($G103*SUMIF(COS_RR!$E$260:$E$302,$H103,COS_RR!O$260:O$302),COS_RR!$AD$10)</f>
        <v>0</v>
      </c>
      <c r="O103" s="606">
        <f>+ROUND($G103*SUMIF(COS_RR!$E$260:$E$302,$H103,COS_RR!P$260:P$302),COS_RR!$AD$10)</f>
        <v>0</v>
      </c>
      <c r="P103" s="606">
        <f>+ROUND($G103*SUMIF(COS_RR!$E$260:$E$302,$H103,COS_RR!Q$260:Q$302),COS_RR!$AD$10)</f>
        <v>0</v>
      </c>
      <c r="Q103" s="606">
        <f>+ROUND($G103*SUMIF(COS_RR!$E$260:$E$302,$H103,COS_RR!R$260:R$302),COS_RR!$AD$10)</f>
        <v>0</v>
      </c>
      <c r="R103" s="606">
        <f>+ROUND($G103*SUMIF(COS_RR!$E$260:$E$302,$H103,COS_RR!S$260:S$302),COS_RR!$AD$10)</f>
        <v>0</v>
      </c>
      <c r="S103" s="606">
        <f>+ROUND($G103*SUMIF(COS_RR!$E$260:$E$302,$H103,COS_RR!T$260:T$302),COS_RR!$AD$10)</f>
        <v>0</v>
      </c>
      <c r="T103" s="606">
        <f>+ROUND($G103*SUMIF(COS_RR!$E$260:$E$302,$H103,COS_RR!U$260:U$302),COS_RR!$AD$10)</f>
        <v>0</v>
      </c>
      <c r="U103" s="606">
        <f>+ROUND($G103*SUMIF(COS_RR!$E$260:$E$302,$H103,COS_RR!V$260:V$302),COS_RR!$AD$10)</f>
        <v>0</v>
      </c>
      <c r="V103" s="606">
        <f>+ROUND($G103*SUMIF(COS_RR!$E$260:$E$302,$H103,COS_RR!W$260:W$302),COS_RR!$AD$10)</f>
        <v>0</v>
      </c>
      <c r="W103" s="606">
        <f>+ROUND($G103*SUMIF(COS_RR!$E$260:$E$302,$H103,COS_RR!X$260:X$302),COS_RR!$AD$10)</f>
        <v>0</v>
      </c>
      <c r="X103" s="606">
        <f>+ROUND($G103*SUMIF(COS_RR!$E$260:$E$302,$H103,COS_RR!Y$260:Y$302),COS_RR!$AD$10)</f>
        <v>0</v>
      </c>
      <c r="Y103" s="606">
        <f>+ROUND($G103*SUMIF(COS_RR!$E$260:$E$302,$H103,COS_RR!Z$260:Z$302),COS_RR!$AD$10)</f>
        <v>0</v>
      </c>
      <c r="Z103" s="606">
        <f>+ROUND($G103*SUMIF(COS_RR!$E$260:$E$302,$H103,COS_RR!AA$260:AA$302),COS_RR!$AD$10)</f>
        <v>0</v>
      </c>
      <c r="AD103" s="193">
        <f t="shared" si="15"/>
        <v>0</v>
      </c>
    </row>
    <row r="104" spans="1:30">
      <c r="A104" s="411"/>
      <c r="C104" s="236">
        <f>MAX($C$7:C103)+1</f>
        <v>79</v>
      </c>
      <c r="D104" s="237">
        <f>'O&amp;M_Detail - Elec'!D95</f>
        <v>903030</v>
      </c>
      <c r="E104" s="112" t="str">
        <f>'O&amp;M_Detail - Elec'!E95</f>
        <v>CUST ACCTS-EDP</v>
      </c>
      <c r="F104" s="112"/>
      <c r="G104" s="3091">
        <f>SUMIFS('Labor Exp 2016'!$F$3:$F$219,'Labor Exp 2016'!$C$3:$C$219,$D104)</f>
        <v>0</v>
      </c>
      <c r="H104" s="3123" t="str">
        <f>COS_RR!H143</f>
        <v>Accts &amp; Services</v>
      </c>
      <c r="I104" s="606">
        <f>+ROUND($G104*SUMIF(COS_RR!$E$260:$E$302,$H104,COS_RR!J$260:J$302),COS_RR!$AD$10)</f>
        <v>0</v>
      </c>
      <c r="J104" s="606">
        <f>+ROUND($G104*SUMIF(COS_RR!$E$260:$E$302,$H104,COS_RR!K$260:K$302),COS_RR!$AD$10)</f>
        <v>0</v>
      </c>
      <c r="K104" s="606">
        <f>+ROUND($G104*SUMIF(COS_RR!$E$260:$E$302,$H104,COS_RR!L$260:L$302),COS_RR!$AD$10)</f>
        <v>0</v>
      </c>
      <c r="L104" s="606">
        <f>+ROUND($G104*SUMIF(COS_RR!$E$260:$E$302,$H104,COS_RR!M$260:M$302),COS_RR!$AD$10)</f>
        <v>0</v>
      </c>
      <c r="M104" s="606">
        <f>+ROUND($G104*SUMIF(COS_RR!$E$260:$E$302,$H104,COS_RR!N$260:N$302),COS_RR!$AD$10)</f>
        <v>0</v>
      </c>
      <c r="N104" s="606">
        <f>+ROUND($G104*SUMIF(COS_RR!$E$260:$E$302,$H104,COS_RR!O$260:O$302),COS_RR!$AD$10)</f>
        <v>0</v>
      </c>
      <c r="O104" s="606">
        <f>+ROUND($G104*SUMIF(COS_RR!$E$260:$E$302,$H104,COS_RR!P$260:P$302),COS_RR!$AD$10)</f>
        <v>0</v>
      </c>
      <c r="P104" s="606">
        <f>+ROUND($G104*SUMIF(COS_RR!$E$260:$E$302,$H104,COS_RR!Q$260:Q$302),COS_RR!$AD$10)</f>
        <v>0</v>
      </c>
      <c r="Q104" s="606">
        <f>+ROUND($G104*SUMIF(COS_RR!$E$260:$E$302,$H104,COS_RR!R$260:R$302),COS_RR!$AD$10)</f>
        <v>0</v>
      </c>
      <c r="R104" s="606">
        <f>+ROUND($G104*SUMIF(COS_RR!$E$260:$E$302,$H104,COS_RR!S$260:S$302),COS_RR!$AD$10)</f>
        <v>0</v>
      </c>
      <c r="S104" s="606">
        <f>+ROUND($G104*SUMIF(COS_RR!$E$260:$E$302,$H104,COS_RR!T$260:T$302),COS_RR!$AD$10)</f>
        <v>0</v>
      </c>
      <c r="T104" s="606">
        <f>+ROUND($G104*SUMIF(COS_RR!$E$260:$E$302,$H104,COS_RR!U$260:U$302),COS_RR!$AD$10)</f>
        <v>0</v>
      </c>
      <c r="U104" s="606">
        <f>+ROUND($G104*SUMIF(COS_RR!$E$260:$E$302,$H104,COS_RR!V$260:V$302),COS_RR!$AD$10)</f>
        <v>0</v>
      </c>
      <c r="V104" s="606">
        <f>+ROUND($G104*SUMIF(COS_RR!$E$260:$E$302,$H104,COS_RR!W$260:W$302),COS_RR!$AD$10)</f>
        <v>0</v>
      </c>
      <c r="W104" s="606">
        <f>+ROUND($G104*SUMIF(COS_RR!$E$260:$E$302,$H104,COS_RR!X$260:X$302),COS_RR!$AD$10)</f>
        <v>0</v>
      </c>
      <c r="X104" s="606">
        <f>+ROUND($G104*SUMIF(COS_RR!$E$260:$E$302,$H104,COS_RR!Y$260:Y$302),COS_RR!$AD$10)</f>
        <v>0</v>
      </c>
      <c r="Y104" s="606">
        <f>+ROUND($G104*SUMIF(COS_RR!$E$260:$E$302,$H104,COS_RR!Z$260:Z$302),COS_RR!$AD$10)</f>
        <v>0</v>
      </c>
      <c r="Z104" s="606">
        <f>+ROUND($G104*SUMIF(COS_RR!$E$260:$E$302,$H104,COS_RR!AA$260:AA$302),COS_RR!$AD$10)</f>
        <v>0</v>
      </c>
      <c r="AD104" s="193">
        <f t="shared" si="15"/>
        <v>0</v>
      </c>
    </row>
    <row r="105" spans="1:30">
      <c r="A105" s="411"/>
      <c r="C105" s="236">
        <f>MAX($C$7:C104)+1</f>
        <v>80</v>
      </c>
      <c r="D105" s="237">
        <f>'O&amp;M_Detail - Elec'!D96</f>
        <v>904000</v>
      </c>
      <c r="E105" s="112" t="str">
        <f>'O&amp;M_Detail - Elec'!E96</f>
        <v>CUST ACCTS-UNCOLLECTIBLE ACCTS</v>
      </c>
      <c r="F105" s="112"/>
      <c r="G105" s="3091">
        <f>SUMIFS('Labor Exp 2016'!$F$3:$F$219,'Labor Exp 2016'!$C$3:$C$219,$D105)</f>
        <v>0</v>
      </c>
      <c r="H105" s="3123" t="str">
        <f>COS_RR!H144</f>
        <v>Accts &amp; Services</v>
      </c>
      <c r="I105" s="606">
        <f>+ROUND($G105*SUMIF(COS_RR!$E$260:$E$302,$H105,COS_RR!J$260:J$302),COS_RR!$AD$10)</f>
        <v>0</v>
      </c>
      <c r="J105" s="606">
        <f>+ROUND($G105*SUMIF(COS_RR!$E$260:$E$302,$H105,COS_RR!K$260:K$302),COS_RR!$AD$10)</f>
        <v>0</v>
      </c>
      <c r="K105" s="606">
        <f>+ROUND($G105*SUMIF(COS_RR!$E$260:$E$302,$H105,COS_RR!L$260:L$302),COS_RR!$AD$10)</f>
        <v>0</v>
      </c>
      <c r="L105" s="606">
        <f>+ROUND($G105*SUMIF(COS_RR!$E$260:$E$302,$H105,COS_RR!M$260:M$302),COS_RR!$AD$10)</f>
        <v>0</v>
      </c>
      <c r="M105" s="606">
        <f>+ROUND($G105*SUMIF(COS_RR!$E$260:$E$302,$H105,COS_RR!N$260:N$302),COS_RR!$AD$10)</f>
        <v>0</v>
      </c>
      <c r="N105" s="606">
        <f>+ROUND($G105*SUMIF(COS_RR!$E$260:$E$302,$H105,COS_RR!O$260:O$302),COS_RR!$AD$10)</f>
        <v>0</v>
      </c>
      <c r="O105" s="606">
        <f>+ROUND($G105*SUMIF(COS_RR!$E$260:$E$302,$H105,COS_RR!P$260:P$302),COS_RR!$AD$10)</f>
        <v>0</v>
      </c>
      <c r="P105" s="606">
        <f>+ROUND($G105*SUMIF(COS_RR!$E$260:$E$302,$H105,COS_RR!Q$260:Q$302),COS_RR!$AD$10)</f>
        <v>0</v>
      </c>
      <c r="Q105" s="606">
        <f>+ROUND($G105*SUMIF(COS_RR!$E$260:$E$302,$H105,COS_RR!R$260:R$302),COS_RR!$AD$10)</f>
        <v>0</v>
      </c>
      <c r="R105" s="606">
        <f>+ROUND($G105*SUMIF(COS_RR!$E$260:$E$302,$H105,COS_RR!S$260:S$302),COS_RR!$AD$10)</f>
        <v>0</v>
      </c>
      <c r="S105" s="606">
        <f>+ROUND($G105*SUMIF(COS_RR!$E$260:$E$302,$H105,COS_RR!T$260:T$302),COS_RR!$AD$10)</f>
        <v>0</v>
      </c>
      <c r="T105" s="606">
        <f>+ROUND($G105*SUMIF(COS_RR!$E$260:$E$302,$H105,COS_RR!U$260:U$302),COS_RR!$AD$10)</f>
        <v>0</v>
      </c>
      <c r="U105" s="606">
        <f>+ROUND($G105*SUMIF(COS_RR!$E$260:$E$302,$H105,COS_RR!V$260:V$302),COS_RR!$AD$10)</f>
        <v>0</v>
      </c>
      <c r="V105" s="606">
        <f>+ROUND($G105*SUMIF(COS_RR!$E$260:$E$302,$H105,COS_RR!W$260:W$302),COS_RR!$AD$10)</f>
        <v>0</v>
      </c>
      <c r="W105" s="606">
        <f>+ROUND($G105*SUMIF(COS_RR!$E$260:$E$302,$H105,COS_RR!X$260:X$302),COS_RR!$AD$10)</f>
        <v>0</v>
      </c>
      <c r="X105" s="606">
        <f>+ROUND($G105*SUMIF(COS_RR!$E$260:$E$302,$H105,COS_RR!Y$260:Y$302),COS_RR!$AD$10)</f>
        <v>0</v>
      </c>
      <c r="Y105" s="606">
        <f>+ROUND($G105*SUMIF(COS_RR!$E$260:$E$302,$H105,COS_RR!Z$260:Z$302),COS_RR!$AD$10)</f>
        <v>0</v>
      </c>
      <c r="Z105" s="606">
        <f>+ROUND($G105*SUMIF(COS_RR!$E$260:$E$302,$H105,COS_RR!AA$260:AA$302),COS_RR!$AD$10)</f>
        <v>0</v>
      </c>
      <c r="AD105" s="193">
        <f t="shared" si="15"/>
        <v>0</v>
      </c>
    </row>
    <row r="106" spans="1:30">
      <c r="A106" s="411"/>
      <c r="C106" s="236">
        <f>MAX($C$7:C104)+1</f>
        <v>80</v>
      </c>
      <c r="D106" s="237">
        <f>'O&amp;M_Detail - Elec'!D97</f>
        <v>906000</v>
      </c>
      <c r="E106" s="112" t="str">
        <f>'O&amp;M_Detail - Elec'!E97</f>
        <v>ENERGY CONSERVATION O&amp;M</v>
      </c>
      <c r="F106" s="112"/>
      <c r="G106" s="3091">
        <f>SUMIFS('Labor Exp 2016'!$F$3:$F$219,'Labor Exp 2016'!$C$3:$C$219,$D106)</f>
        <v>0</v>
      </c>
      <c r="H106" s="3123" t="str">
        <f>COS_RR!H145</f>
        <v>Accts &amp; Services</v>
      </c>
      <c r="I106" s="606">
        <f>+ROUND($G106*SUMIF(COS_RR!$E$260:$E$302,$H106,COS_RR!J$260:J$302),COS_RR!$AD$10)</f>
        <v>0</v>
      </c>
      <c r="J106" s="606">
        <f>+ROUND($G106*SUMIF(COS_RR!$E$260:$E$302,$H106,COS_RR!K$260:K$302),COS_RR!$AD$10)</f>
        <v>0</v>
      </c>
      <c r="K106" s="606">
        <f>+ROUND($G106*SUMIF(COS_RR!$E$260:$E$302,$H106,COS_RR!L$260:L$302),COS_RR!$AD$10)</f>
        <v>0</v>
      </c>
      <c r="L106" s="606">
        <f>+ROUND($G106*SUMIF(COS_RR!$E$260:$E$302,$H106,COS_RR!M$260:M$302),COS_RR!$AD$10)</f>
        <v>0</v>
      </c>
      <c r="M106" s="606">
        <f>+ROUND($G106*SUMIF(COS_RR!$E$260:$E$302,$H106,COS_RR!N$260:N$302),COS_RR!$AD$10)</f>
        <v>0</v>
      </c>
      <c r="N106" s="606">
        <f>+ROUND($G106*SUMIF(COS_RR!$E$260:$E$302,$H106,COS_RR!O$260:O$302),COS_RR!$AD$10)</f>
        <v>0</v>
      </c>
      <c r="O106" s="606">
        <f>+ROUND($G106*SUMIF(COS_RR!$E$260:$E$302,$H106,COS_RR!P$260:P$302),COS_RR!$AD$10)</f>
        <v>0</v>
      </c>
      <c r="P106" s="606">
        <f>+ROUND($G106*SUMIF(COS_RR!$E$260:$E$302,$H106,COS_RR!Q$260:Q$302),COS_RR!$AD$10)</f>
        <v>0</v>
      </c>
      <c r="Q106" s="606">
        <f>+ROUND($G106*SUMIF(COS_RR!$E$260:$E$302,$H106,COS_RR!R$260:R$302),COS_RR!$AD$10)</f>
        <v>0</v>
      </c>
      <c r="R106" s="606">
        <f>+ROUND($G106*SUMIF(COS_RR!$E$260:$E$302,$H106,COS_RR!S$260:S$302),COS_RR!$AD$10)</f>
        <v>0</v>
      </c>
      <c r="S106" s="606">
        <f>+ROUND($G106*SUMIF(COS_RR!$E$260:$E$302,$H106,COS_RR!T$260:T$302),COS_RR!$AD$10)</f>
        <v>0</v>
      </c>
      <c r="T106" s="606">
        <f>+ROUND($G106*SUMIF(COS_RR!$E$260:$E$302,$H106,COS_RR!U$260:U$302),COS_RR!$AD$10)</f>
        <v>0</v>
      </c>
      <c r="U106" s="606">
        <f>+ROUND($G106*SUMIF(COS_RR!$E$260:$E$302,$H106,COS_RR!V$260:V$302),COS_RR!$AD$10)</f>
        <v>0</v>
      </c>
      <c r="V106" s="606">
        <f>+ROUND($G106*SUMIF(COS_RR!$E$260:$E$302,$H106,COS_RR!W$260:W$302),COS_RR!$AD$10)</f>
        <v>0</v>
      </c>
      <c r="W106" s="606">
        <f>+ROUND($G106*SUMIF(COS_RR!$E$260:$E$302,$H106,COS_RR!X$260:X$302),COS_RR!$AD$10)</f>
        <v>0</v>
      </c>
      <c r="X106" s="606">
        <f>+ROUND($G106*SUMIF(COS_RR!$E$260:$E$302,$H106,COS_RR!Y$260:Y$302),COS_RR!$AD$10)</f>
        <v>0</v>
      </c>
      <c r="Y106" s="606">
        <f>+ROUND($G106*SUMIF(COS_RR!$E$260:$E$302,$H106,COS_RR!Z$260:Z$302),COS_RR!$AD$10)</f>
        <v>0</v>
      </c>
      <c r="Z106" s="606">
        <f>+ROUND($G106*SUMIF(COS_RR!$E$260:$E$302,$H106,COS_RR!AA$260:AA$302),COS_RR!$AD$10)</f>
        <v>0</v>
      </c>
      <c r="AD106" s="193">
        <f t="shared" si="15"/>
        <v>0</v>
      </c>
    </row>
    <row r="107" spans="1:30">
      <c r="A107" s="411"/>
      <c r="C107" s="236">
        <f>MAX($C$7:C105)+1</f>
        <v>81</v>
      </c>
      <c r="D107" s="237">
        <f>'O&amp;M_Detail - Elec'!D98</f>
        <v>906100</v>
      </c>
      <c r="E107" s="112" t="str">
        <f>'O&amp;M_Detail - Elec'!E98</f>
        <v>CUSTOMER INCENTIVES</v>
      </c>
      <c r="F107" s="112"/>
      <c r="G107" s="3091">
        <f>SUMIFS('Labor Exp 2016'!$F$3:$F$219,'Labor Exp 2016'!$C$3:$C$219,$D107)</f>
        <v>152927.61000000002</v>
      </c>
      <c r="H107" s="3123" t="str">
        <f>COS_RR!H146</f>
        <v># of Retail Customers</v>
      </c>
      <c r="I107" s="606">
        <f>+ROUND($G107*SUMIF(COS_RR!$E$260:$E$302,$H107,COS_RR!J$260:J$302),COS_RR!$AD$10)</f>
        <v>0</v>
      </c>
      <c r="J107" s="606">
        <f>+ROUND($G107*SUMIF(COS_RR!$E$260:$E$302,$H107,COS_RR!K$260:K$302),COS_RR!$AD$10)</f>
        <v>0</v>
      </c>
      <c r="K107" s="606">
        <f>+ROUND($G107*SUMIF(COS_RR!$E$260:$E$302,$H107,COS_RR!L$260:L$302),COS_RR!$AD$10)</f>
        <v>0</v>
      </c>
      <c r="L107" s="606">
        <f>+ROUND($G107*SUMIF(COS_RR!$E$260:$E$302,$H107,COS_RR!M$260:M$302),COS_RR!$AD$10)</f>
        <v>0</v>
      </c>
      <c r="M107" s="606">
        <f>+ROUND($G107*SUMIF(COS_RR!$E$260:$E$302,$H107,COS_RR!N$260:N$302),COS_RR!$AD$10)</f>
        <v>0</v>
      </c>
      <c r="N107" s="606">
        <f>+ROUND($G107*SUMIF(COS_RR!$E$260:$E$302,$H107,COS_RR!O$260:O$302),COS_RR!$AD$10)</f>
        <v>0</v>
      </c>
      <c r="O107" s="606">
        <f>+ROUND($G107*SUMIF(COS_RR!$E$260:$E$302,$H107,COS_RR!P$260:P$302),COS_RR!$AD$10)</f>
        <v>0</v>
      </c>
      <c r="P107" s="606">
        <f>+ROUND($G107*SUMIF(COS_RR!$E$260:$E$302,$H107,COS_RR!Q$260:Q$302),COS_RR!$AD$10)</f>
        <v>0</v>
      </c>
      <c r="Q107" s="606">
        <f>+ROUND($G107*SUMIF(COS_RR!$E$260:$E$302,$H107,COS_RR!R$260:R$302),COS_RR!$AD$10)</f>
        <v>0</v>
      </c>
      <c r="R107" s="606">
        <f>+ROUND($G107*SUMIF(COS_RR!$E$260:$E$302,$H107,COS_RR!S$260:S$302),COS_RR!$AD$10)</f>
        <v>0</v>
      </c>
      <c r="S107" s="606">
        <f>+ROUND($G107*SUMIF(COS_RR!$E$260:$E$302,$H107,COS_RR!T$260:T$302),COS_RR!$AD$10)</f>
        <v>0</v>
      </c>
      <c r="T107" s="606">
        <f>+ROUND($G107*SUMIF(COS_RR!$E$260:$E$302,$H107,COS_RR!U$260:U$302),COS_RR!$AD$10)</f>
        <v>0</v>
      </c>
      <c r="U107" s="606">
        <f>+ROUND($G107*SUMIF(COS_RR!$E$260:$E$302,$H107,COS_RR!V$260:V$302),COS_RR!$AD$10)</f>
        <v>0</v>
      </c>
      <c r="V107" s="606">
        <f>+ROUND($G107*SUMIF(COS_RR!$E$260:$E$302,$H107,COS_RR!W$260:W$302),COS_RR!$AD$10)</f>
        <v>0</v>
      </c>
      <c r="W107" s="606">
        <f>+ROUND($G107*SUMIF(COS_RR!$E$260:$E$302,$H107,COS_RR!X$260:X$302),COS_RR!$AD$10)</f>
        <v>0</v>
      </c>
      <c r="X107" s="606">
        <f>+ROUND($G107*SUMIF(COS_RR!$E$260:$E$302,$H107,COS_RR!Y$260:Y$302),COS_RR!$AD$10)</f>
        <v>0</v>
      </c>
      <c r="Y107" s="606">
        <f>+ROUND($G107*SUMIF(COS_RR!$E$260:$E$302,$H107,COS_RR!Z$260:Z$302),COS_RR!$AD$10)</f>
        <v>152928</v>
      </c>
      <c r="Z107" s="606">
        <f>+ROUND($G107*SUMIF(COS_RR!$E$260:$E$302,$H107,COS_RR!AA$260:AA$302),COS_RR!$AD$10)</f>
        <v>0</v>
      </c>
      <c r="AD107" s="193">
        <f t="shared" si="15"/>
        <v>0.38999999998486601</v>
      </c>
    </row>
    <row r="108" spans="1:30">
      <c r="A108" s="411"/>
      <c r="C108" s="236">
        <f>MAX($C$7:C107)+1</f>
        <v>82</v>
      </c>
      <c r="D108" s="237">
        <f>'O&amp;M_Detail - Elec'!D99</f>
        <v>908000</v>
      </c>
      <c r="E108" s="112" t="str">
        <f>'O&amp;M_Detail - Elec'!E99</f>
        <v>CUST OPERS-CUST ASSISTANCE</v>
      </c>
      <c r="F108" s="112"/>
      <c r="G108" s="3091">
        <f>SUMIFS('Labor Exp 2016'!$F$3:$F$219,'Labor Exp 2016'!$C$3:$C$219,$D108)</f>
        <v>101295.48000000001</v>
      </c>
      <c r="H108" s="3123" t="str">
        <f>COS_RR!H147</f>
        <v>Accts &amp; Services</v>
      </c>
      <c r="I108" s="606">
        <f>+ROUND($G108*SUMIF(COS_RR!$E$260:$E$302,$H108,COS_RR!J$260:J$302),COS_RR!$AD$10)</f>
        <v>0</v>
      </c>
      <c r="J108" s="606">
        <f>+ROUND($G108*SUMIF(COS_RR!$E$260:$E$302,$H108,COS_RR!K$260:K$302),COS_RR!$AD$10)</f>
        <v>0</v>
      </c>
      <c r="K108" s="606">
        <f>+ROUND($G108*SUMIF(COS_RR!$E$260:$E$302,$H108,COS_RR!L$260:L$302),COS_RR!$AD$10)</f>
        <v>0</v>
      </c>
      <c r="L108" s="606">
        <f>+ROUND($G108*SUMIF(COS_RR!$E$260:$E$302,$H108,COS_RR!M$260:M$302),COS_RR!$AD$10)</f>
        <v>0</v>
      </c>
      <c r="M108" s="606">
        <f>+ROUND($G108*SUMIF(COS_RR!$E$260:$E$302,$H108,COS_RR!N$260:N$302),COS_RR!$AD$10)</f>
        <v>0</v>
      </c>
      <c r="N108" s="606">
        <f>+ROUND($G108*SUMIF(COS_RR!$E$260:$E$302,$H108,COS_RR!O$260:O$302),COS_RR!$AD$10)</f>
        <v>0</v>
      </c>
      <c r="O108" s="606">
        <f>+ROUND($G108*SUMIF(COS_RR!$E$260:$E$302,$H108,COS_RR!P$260:P$302),COS_RR!$AD$10)</f>
        <v>0</v>
      </c>
      <c r="P108" s="606">
        <f>+ROUND($G108*SUMIF(COS_RR!$E$260:$E$302,$H108,COS_RR!Q$260:Q$302),COS_RR!$AD$10)</f>
        <v>0</v>
      </c>
      <c r="Q108" s="606">
        <f>+ROUND($G108*SUMIF(COS_RR!$E$260:$E$302,$H108,COS_RR!R$260:R$302),COS_RR!$AD$10)</f>
        <v>0</v>
      </c>
      <c r="R108" s="606">
        <f>+ROUND($G108*SUMIF(COS_RR!$E$260:$E$302,$H108,COS_RR!S$260:S$302),COS_RR!$AD$10)</f>
        <v>0</v>
      </c>
      <c r="S108" s="606">
        <f>+ROUND($G108*SUMIF(COS_RR!$E$260:$E$302,$H108,COS_RR!T$260:T$302),COS_RR!$AD$10)</f>
        <v>0</v>
      </c>
      <c r="T108" s="606">
        <f>+ROUND($G108*SUMIF(COS_RR!$E$260:$E$302,$H108,COS_RR!U$260:U$302),COS_RR!$AD$10)</f>
        <v>0</v>
      </c>
      <c r="U108" s="606">
        <f>+ROUND($G108*SUMIF(COS_RR!$E$260:$E$302,$H108,COS_RR!V$260:V$302),COS_RR!$AD$10)</f>
        <v>0</v>
      </c>
      <c r="V108" s="606">
        <f>+ROUND($G108*SUMIF(COS_RR!$E$260:$E$302,$H108,COS_RR!W$260:W$302),COS_RR!$AD$10)</f>
        <v>0</v>
      </c>
      <c r="W108" s="606">
        <f>+ROUND($G108*SUMIF(COS_RR!$E$260:$E$302,$H108,COS_RR!X$260:X$302),COS_RR!$AD$10)</f>
        <v>101295</v>
      </c>
      <c r="X108" s="606">
        <f>+ROUND($G108*SUMIF(COS_RR!$E$260:$E$302,$H108,COS_RR!Y$260:Y$302),COS_RR!$AD$10)</f>
        <v>0</v>
      </c>
      <c r="Y108" s="606">
        <f>+ROUND($G108*SUMIF(COS_RR!$E$260:$E$302,$H108,COS_RR!Z$260:Z$302),COS_RR!$AD$10)</f>
        <v>0</v>
      </c>
      <c r="Z108" s="606">
        <f>+ROUND($G108*SUMIF(COS_RR!$E$260:$E$302,$H108,COS_RR!AA$260:AA$302),COS_RR!$AD$10)</f>
        <v>0</v>
      </c>
      <c r="AD108" s="193">
        <f t="shared" si="15"/>
        <v>-0.48000000001047738</v>
      </c>
    </row>
    <row r="109" spans="1:30">
      <c r="A109" s="411"/>
      <c r="C109" s="236">
        <f>MAX($C$7:C108)+1</f>
        <v>83</v>
      </c>
      <c r="D109" s="237">
        <f>'O&amp;M_Detail - Elec'!D100</f>
        <v>909010</v>
      </c>
      <c r="E109" s="112" t="str">
        <f>'O&amp;M_Detail - Elec'!E100</f>
        <v>CUST OPERS-PUB REL &amp; AD EXP</v>
      </c>
      <c r="F109" s="112"/>
      <c r="G109" s="3091">
        <f>SUMIFS('Labor Exp 2016'!$F$3:$F$219,'Labor Exp 2016'!$C$3:$C$219,$D109)</f>
        <v>0</v>
      </c>
      <c r="H109" s="3123" t="str">
        <f>COS_RR!H148</f>
        <v>Accts &amp; Services</v>
      </c>
      <c r="I109" s="606">
        <f>+ROUND($G109*SUMIF(COS_RR!$E$260:$E$302,$H109,COS_RR!J$260:J$302),COS_RR!$AD$10)</f>
        <v>0</v>
      </c>
      <c r="J109" s="606">
        <f>+ROUND($G109*SUMIF(COS_RR!$E$260:$E$302,$H109,COS_RR!K$260:K$302),COS_RR!$AD$10)</f>
        <v>0</v>
      </c>
      <c r="K109" s="606">
        <f>+ROUND($G109*SUMIF(COS_RR!$E$260:$E$302,$H109,COS_RR!L$260:L$302),COS_RR!$AD$10)</f>
        <v>0</v>
      </c>
      <c r="L109" s="606">
        <f>+ROUND($G109*SUMIF(COS_RR!$E$260:$E$302,$H109,COS_RR!M$260:M$302),COS_RR!$AD$10)</f>
        <v>0</v>
      </c>
      <c r="M109" s="606">
        <f>+ROUND($G109*SUMIF(COS_RR!$E$260:$E$302,$H109,COS_RR!N$260:N$302),COS_RR!$AD$10)</f>
        <v>0</v>
      </c>
      <c r="N109" s="606">
        <f>+ROUND($G109*SUMIF(COS_RR!$E$260:$E$302,$H109,COS_RR!O$260:O$302),COS_RR!$AD$10)</f>
        <v>0</v>
      </c>
      <c r="O109" s="606">
        <f>+ROUND($G109*SUMIF(COS_RR!$E$260:$E$302,$H109,COS_RR!P$260:P$302),COS_RR!$AD$10)</f>
        <v>0</v>
      </c>
      <c r="P109" s="606">
        <f>+ROUND($G109*SUMIF(COS_RR!$E$260:$E$302,$H109,COS_RR!Q$260:Q$302),COS_RR!$AD$10)</f>
        <v>0</v>
      </c>
      <c r="Q109" s="606">
        <f>+ROUND($G109*SUMIF(COS_RR!$E$260:$E$302,$H109,COS_RR!R$260:R$302),COS_RR!$AD$10)</f>
        <v>0</v>
      </c>
      <c r="R109" s="606">
        <f>+ROUND($G109*SUMIF(COS_RR!$E$260:$E$302,$H109,COS_RR!S$260:S$302),COS_RR!$AD$10)</f>
        <v>0</v>
      </c>
      <c r="S109" s="606">
        <f>+ROUND($G109*SUMIF(COS_RR!$E$260:$E$302,$H109,COS_RR!T$260:T$302),COS_RR!$AD$10)</f>
        <v>0</v>
      </c>
      <c r="T109" s="606">
        <f>+ROUND($G109*SUMIF(COS_RR!$E$260:$E$302,$H109,COS_RR!U$260:U$302),COS_RR!$AD$10)</f>
        <v>0</v>
      </c>
      <c r="U109" s="606">
        <f>+ROUND($G109*SUMIF(COS_RR!$E$260:$E$302,$H109,COS_RR!V$260:V$302),COS_RR!$AD$10)</f>
        <v>0</v>
      </c>
      <c r="V109" s="606">
        <f>+ROUND($G109*SUMIF(COS_RR!$E$260:$E$302,$H109,COS_RR!W$260:W$302),COS_RR!$AD$10)</f>
        <v>0</v>
      </c>
      <c r="W109" s="606">
        <f>+ROUND($G109*SUMIF(COS_RR!$E$260:$E$302,$H109,COS_RR!X$260:X$302),COS_RR!$AD$10)</f>
        <v>0</v>
      </c>
      <c r="X109" s="606">
        <f>+ROUND($G109*SUMIF(COS_RR!$E$260:$E$302,$H109,COS_RR!Y$260:Y$302),COS_RR!$AD$10)</f>
        <v>0</v>
      </c>
      <c r="Y109" s="606">
        <f>+ROUND($G109*SUMIF(COS_RR!$E$260:$E$302,$H109,COS_RR!Z$260:Z$302),COS_RR!$AD$10)</f>
        <v>0</v>
      </c>
      <c r="Z109" s="606">
        <f>+ROUND($G109*SUMIF(COS_RR!$E$260:$E$302,$H109,COS_RR!AA$260:AA$302),COS_RR!$AD$10)</f>
        <v>0</v>
      </c>
      <c r="AD109" s="193">
        <f t="shared" si="15"/>
        <v>0</v>
      </c>
    </row>
    <row r="110" spans="1:30" ht="16.5" thickBot="1">
      <c r="A110" s="411"/>
      <c r="C110" s="236">
        <f>MAX($C$7:C109)+1</f>
        <v>84</v>
      </c>
      <c r="D110" s="237">
        <f>'O&amp;M_Detail - Elec'!D101</f>
        <v>910020</v>
      </c>
      <c r="E110" s="112" t="str">
        <f>'O&amp;M_Detail - Elec'!E101</f>
        <v>CUST OPERS-MISC, RATE STUDY</v>
      </c>
      <c r="F110" s="112"/>
      <c r="G110" s="3091">
        <f>SUMIFS('Labor Exp 2016'!$F$3:$F$219,'Labor Exp 2016'!$C$3:$C$219,$D110)</f>
        <v>0</v>
      </c>
      <c r="H110" s="3124" t="str">
        <f>COS_RR!H149</f>
        <v>Accts &amp; Services</v>
      </c>
      <c r="I110" s="606">
        <f>+ROUND($G110*SUMIF(COS_RR!$E$260:$E$302,$H110,COS_RR!J$260:J$302),COS_RR!$AD$10)</f>
        <v>0</v>
      </c>
      <c r="J110" s="606">
        <f>+ROUND($G110*SUMIF(COS_RR!$E$260:$E$302,$H110,COS_RR!K$260:K$302),COS_RR!$AD$10)</f>
        <v>0</v>
      </c>
      <c r="K110" s="606">
        <f>+ROUND($G110*SUMIF(COS_RR!$E$260:$E$302,$H110,COS_RR!L$260:L$302),COS_RR!$AD$10)</f>
        <v>0</v>
      </c>
      <c r="L110" s="606">
        <f>+ROUND($G110*SUMIF(COS_RR!$E$260:$E$302,$H110,COS_RR!M$260:M$302),COS_RR!$AD$10)</f>
        <v>0</v>
      </c>
      <c r="M110" s="606">
        <f>+ROUND($G110*SUMIF(COS_RR!$E$260:$E$302,$H110,COS_RR!N$260:N$302),COS_RR!$AD$10)</f>
        <v>0</v>
      </c>
      <c r="N110" s="606">
        <f>+ROUND($G110*SUMIF(COS_RR!$E$260:$E$302,$H110,COS_RR!O$260:O$302),COS_RR!$AD$10)</f>
        <v>0</v>
      </c>
      <c r="O110" s="606">
        <f>+ROUND($G110*SUMIF(COS_RR!$E$260:$E$302,$H110,COS_RR!P$260:P$302),COS_RR!$AD$10)</f>
        <v>0</v>
      </c>
      <c r="P110" s="606">
        <f>+ROUND($G110*SUMIF(COS_RR!$E$260:$E$302,$H110,COS_RR!Q$260:Q$302),COS_RR!$AD$10)</f>
        <v>0</v>
      </c>
      <c r="Q110" s="606">
        <f>+ROUND($G110*SUMIF(COS_RR!$E$260:$E$302,$H110,COS_RR!R$260:R$302),COS_RR!$AD$10)</f>
        <v>0</v>
      </c>
      <c r="R110" s="606">
        <f>+ROUND($G110*SUMIF(COS_RR!$E$260:$E$302,$H110,COS_RR!S$260:S$302),COS_RR!$AD$10)</f>
        <v>0</v>
      </c>
      <c r="S110" s="606">
        <f>+ROUND($G110*SUMIF(COS_RR!$E$260:$E$302,$H110,COS_RR!T$260:T$302),COS_RR!$AD$10)</f>
        <v>0</v>
      </c>
      <c r="T110" s="606">
        <f>+ROUND($G110*SUMIF(COS_RR!$E$260:$E$302,$H110,COS_RR!U$260:U$302),COS_RR!$AD$10)</f>
        <v>0</v>
      </c>
      <c r="U110" s="606">
        <f>+ROUND($G110*SUMIF(COS_RR!$E$260:$E$302,$H110,COS_RR!V$260:V$302),COS_RR!$AD$10)</f>
        <v>0</v>
      </c>
      <c r="V110" s="606">
        <f>+ROUND($G110*SUMIF(COS_RR!$E$260:$E$302,$H110,COS_RR!W$260:W$302),COS_RR!$AD$10)</f>
        <v>0</v>
      </c>
      <c r="W110" s="606">
        <f>+ROUND($G110*SUMIF(COS_RR!$E$260:$E$302,$H110,COS_RR!X$260:X$302),COS_RR!$AD$10)</f>
        <v>0</v>
      </c>
      <c r="X110" s="606">
        <f>+ROUND($G110*SUMIF(COS_RR!$E$260:$E$302,$H110,COS_RR!Y$260:Y$302),COS_RR!$AD$10)</f>
        <v>0</v>
      </c>
      <c r="Y110" s="606">
        <f>+ROUND($G110*SUMIF(COS_RR!$E$260:$E$302,$H110,COS_RR!Z$260:Z$302),COS_RR!$AD$10)</f>
        <v>0</v>
      </c>
      <c r="Z110" s="606">
        <f>+ROUND($G110*SUMIF(COS_RR!$E$260:$E$302,$H110,COS_RR!AA$260:AA$302),COS_RR!$AD$10)</f>
        <v>0</v>
      </c>
      <c r="AD110" s="193">
        <f t="shared" si="15"/>
        <v>0</v>
      </c>
    </row>
    <row r="111" spans="1:30">
      <c r="A111" s="411"/>
      <c r="C111" s="236"/>
      <c r="D111" s="237"/>
      <c r="E111" s="112"/>
      <c r="F111" s="112"/>
      <c r="G111" s="340">
        <f>SUM(G100:G110)</f>
        <v>3483250.9799999995</v>
      </c>
      <c r="I111" s="340">
        <f t="shared" ref="I111:P111" si="16">SUM(I100:I110)</f>
        <v>0</v>
      </c>
      <c r="J111" s="340">
        <f t="shared" si="16"/>
        <v>0</v>
      </c>
      <c r="K111" s="340">
        <f t="shared" si="16"/>
        <v>0</v>
      </c>
      <c r="L111" s="340">
        <f t="shared" si="16"/>
        <v>0</v>
      </c>
      <c r="M111" s="340">
        <f t="shared" si="16"/>
        <v>0</v>
      </c>
      <c r="N111" s="340">
        <f t="shared" si="16"/>
        <v>0</v>
      </c>
      <c r="O111" s="340">
        <f t="shared" si="16"/>
        <v>0</v>
      </c>
      <c r="P111" s="340">
        <f t="shared" si="16"/>
        <v>0</v>
      </c>
      <c r="Q111" s="340">
        <f t="shared" ref="Q111:Z111" si="17">SUM(Q100:Q110)</f>
        <v>0</v>
      </c>
      <c r="R111" s="340">
        <f t="shared" si="17"/>
        <v>0</v>
      </c>
      <c r="S111" s="340">
        <f t="shared" si="17"/>
        <v>0</v>
      </c>
      <c r="T111" s="340">
        <f t="shared" si="17"/>
        <v>0</v>
      </c>
      <c r="U111" s="340">
        <f t="shared" si="17"/>
        <v>0</v>
      </c>
      <c r="V111" s="340">
        <f t="shared" si="17"/>
        <v>0</v>
      </c>
      <c r="W111" s="340">
        <f t="shared" si="17"/>
        <v>3303895.2570004533</v>
      </c>
      <c r="X111" s="340">
        <f t="shared" si="17"/>
        <v>0</v>
      </c>
      <c r="Y111" s="340">
        <f t="shared" si="17"/>
        <v>179355.57053417651</v>
      </c>
      <c r="Z111" s="340">
        <f t="shared" si="17"/>
        <v>0</v>
      </c>
    </row>
    <row r="112" spans="1:30" ht="16.5" thickBot="1">
      <c r="A112" s="411"/>
      <c r="C112" s="236">
        <f>MAX($C$7:C111)+1</f>
        <v>85</v>
      </c>
      <c r="D112" s="903" t="str">
        <f>'O&amp;M_Detail - Elec'!D103</f>
        <v>FIBER OPTIC NETWORK OPERATIONS</v>
      </c>
      <c r="E112" s="112"/>
      <c r="F112" s="112"/>
      <c r="G112"/>
      <c r="J112" s="4"/>
      <c r="L112" s="4"/>
      <c r="M112" s="4"/>
      <c r="N112" s="4"/>
      <c r="O112" s="4"/>
      <c r="P112" s="4"/>
      <c r="Q112" s="4"/>
      <c r="R112" s="4"/>
      <c r="S112" s="4"/>
      <c r="T112" s="4"/>
      <c r="U112" s="4"/>
      <c r="V112" s="4"/>
      <c r="W112" s="4"/>
      <c r="X112" s="4"/>
      <c r="Y112" s="4"/>
      <c r="Z112" s="4"/>
    </row>
    <row r="113" spans="1:30">
      <c r="A113" s="411"/>
      <c r="C113" s="236">
        <f>MAX($C$7:C112)+1</f>
        <v>86</v>
      </c>
      <c r="D113" s="237">
        <f>'O&amp;M_Detail - Elec'!D112</f>
        <v>923801</v>
      </c>
      <c r="E113" s="112" t="str">
        <f>'O&amp;M_Detail - Elec'!E112</f>
        <v>WFON-LEGAL</v>
      </c>
      <c r="F113" s="112"/>
      <c r="G113" s="3090">
        <f>SUMIFS('Labor Exp 2016'!$F$3:$F$219,'Labor Exp 2016'!$C$3:$C$219,$D113)</f>
        <v>0</v>
      </c>
      <c r="H113" s="3125" t="str">
        <f>COS_RR!H153</f>
        <v>Total Plant Before Gen Plant</v>
      </c>
      <c r="I113" s="605">
        <f>+ROUND($G113*SUMIF(COS_RR!$E$260:$E$302,$H113,COS_RR!J$260:J$302),COS_RR!$AD$10)</f>
        <v>0</v>
      </c>
      <c r="J113" s="605">
        <f>+ROUND($G113*SUMIF(COS_RR!$E$260:$E$302,$H113,COS_RR!K$260:K$302),COS_RR!$AD$10)</f>
        <v>0</v>
      </c>
      <c r="K113" s="605">
        <f>+ROUND($G113*SUMIF(COS_RR!$E$260:$E$302,$H113,COS_RR!L$260:L$302),COS_RR!$AD$10)</f>
        <v>0</v>
      </c>
      <c r="L113" s="605">
        <f>+ROUND($G113*SUMIF(COS_RR!$E$260:$E$302,$H113,COS_RR!M$260:M$302),COS_RR!$AD$10)</f>
        <v>0</v>
      </c>
      <c r="M113" s="605">
        <f>+ROUND($G113*SUMIF(COS_RR!$E$260:$E$302,$H113,COS_RR!N$260:N$302),COS_RR!$AD$10)</f>
        <v>0</v>
      </c>
      <c r="N113" s="605">
        <f>+ROUND($G113*SUMIF(COS_RR!$E$260:$E$302,$H113,COS_RR!O$260:O$302),COS_RR!$AD$10)</f>
        <v>0</v>
      </c>
      <c r="O113" s="605">
        <f>+ROUND($G113*SUMIF(COS_RR!$E$260:$E$302,$H113,COS_RR!P$260:P$302),COS_RR!$AD$10)</f>
        <v>0</v>
      </c>
      <c r="P113" s="605">
        <f>+ROUND($G113*SUMIF(COS_RR!$E$260:$E$302,$H113,COS_RR!Q$260:Q$302),COS_RR!$AD$10)</f>
        <v>0</v>
      </c>
      <c r="Q113" s="605">
        <f>+ROUND($G113*SUMIF(COS_RR!$E$260:$E$302,$H113,COS_RR!R$260:R$302),COS_RR!$AD$10)</f>
        <v>0</v>
      </c>
      <c r="R113" s="605">
        <f>+ROUND($G113*SUMIF(COS_RR!$E$260:$E$302,$H113,COS_RR!S$260:S$302),COS_RR!$AD$10)</f>
        <v>0</v>
      </c>
      <c r="S113" s="605">
        <f>+ROUND($G113*SUMIF(COS_RR!$E$260:$E$302,$H113,COS_RR!T$260:T$302),COS_RR!$AD$10)</f>
        <v>0</v>
      </c>
      <c r="T113" s="605">
        <f>+ROUND($G113*SUMIF(COS_RR!$E$260:$E$302,$H113,COS_RR!U$260:U$302),COS_RR!$AD$10)</f>
        <v>0</v>
      </c>
      <c r="U113" s="605">
        <f>+ROUND($G113*SUMIF(COS_RR!$E$260:$E$302,$H113,COS_RR!V$260:V$302),COS_RR!$AD$10)</f>
        <v>0</v>
      </c>
      <c r="V113" s="605">
        <f>+ROUND($G113*SUMIF(COS_RR!$E$260:$E$302,$H113,COS_RR!W$260:W$302),COS_RR!$AD$10)</f>
        <v>0</v>
      </c>
      <c r="W113" s="605">
        <f>+ROUND($G113*SUMIF(COS_RR!$E$260:$E$302,$H113,COS_RR!X$260:X$302),COS_RR!$AD$10)</f>
        <v>0</v>
      </c>
      <c r="X113" s="605">
        <f>+ROUND($G113*SUMIF(COS_RR!$E$260:$E$302,$H113,COS_RR!Y$260:Y$302),COS_RR!$AD$10)</f>
        <v>0</v>
      </c>
      <c r="Y113" s="605">
        <f>+ROUND($G113*SUMIF(COS_RR!$E$260:$E$302,$H113,COS_RR!Z$260:Z$302),COS_RR!$AD$10)</f>
        <v>0</v>
      </c>
      <c r="Z113" s="605">
        <f>+ROUND($G113*SUMIF(COS_RR!$E$260:$E$302,$H113,COS_RR!AA$260:AA$302),COS_RR!$AD$10)</f>
        <v>0</v>
      </c>
      <c r="AD113" s="193">
        <f t="shared" ref="AD113:AD119" si="18">SUM(I113:Z113)-G113</f>
        <v>0</v>
      </c>
    </row>
    <row r="114" spans="1:30">
      <c r="A114" s="411"/>
      <c r="C114" s="236">
        <f>MAX($C$7:C113)+1</f>
        <v>87</v>
      </c>
      <c r="D114" s="237">
        <f>'O&amp;M_Detail - Elec'!D113</f>
        <v>930801</v>
      </c>
      <c r="E114" s="112" t="str">
        <f>'O&amp;M_Detail - Elec'!E113</f>
        <v>WFON-GENERAL AND ADMIN EXPENSE</v>
      </c>
      <c r="F114" s="112"/>
      <c r="G114" s="3091">
        <f>SUMIFS('Labor Exp 2016'!$F$3:$F$219,'Labor Exp 2016'!$C$3:$C$219,$D114)</f>
        <v>225064.1599999998</v>
      </c>
      <c r="H114" s="3123" t="str">
        <f>COS_RR!H154</f>
        <v>Total Plant Before Gen Plant</v>
      </c>
      <c r="I114" s="606">
        <f>+ROUND($G114*SUMIF(COS_RR!$E$260:$E$302,$H114,COS_RR!J$260:J$302),COS_RR!$AD$10)</f>
        <v>0</v>
      </c>
      <c r="J114" s="606">
        <f>+ROUND($G114*SUMIF(COS_RR!$E$260:$E$302,$H114,COS_RR!K$260:K$302),COS_RR!$AD$10)</f>
        <v>11411</v>
      </c>
      <c r="K114" s="606">
        <f>+ROUND($G114*SUMIF(COS_RR!$E$260:$E$302,$H114,COS_RR!L$260:L$302),COS_RR!$AD$10)</f>
        <v>63716</v>
      </c>
      <c r="L114" s="606">
        <f>+ROUND($G114*SUMIF(COS_RR!$E$260:$E$302,$H114,COS_RR!M$260:M$302),COS_RR!$AD$10)</f>
        <v>26828</v>
      </c>
      <c r="M114" s="606">
        <f>+ROUND($G114*SUMIF(COS_RR!$E$260:$E$302,$H114,COS_RR!N$260:N$302),COS_RR!$AD$10)</f>
        <v>0</v>
      </c>
      <c r="N114" s="606">
        <f>+ROUND($G114*SUMIF(COS_RR!$E$260:$E$302,$H114,COS_RR!O$260:O$302),COS_RR!$AD$10)</f>
        <v>0</v>
      </c>
      <c r="O114" s="606">
        <f>+ROUND($G114*SUMIF(COS_RR!$E$260:$E$302,$H114,COS_RR!P$260:P$302),COS_RR!$AD$10)</f>
        <v>0</v>
      </c>
      <c r="P114" s="606">
        <f>+ROUND($G114*SUMIF(COS_RR!$E$260:$E$302,$H114,COS_RR!Q$260:Q$302),COS_RR!$AD$10)</f>
        <v>23924</v>
      </c>
      <c r="Q114" s="606">
        <f>+ROUND($G114*SUMIF(COS_RR!$E$260:$E$302,$H114,COS_RR!R$260:R$302),COS_RR!$AD$10)</f>
        <v>8800</v>
      </c>
      <c r="R114" s="606">
        <f>+ROUND($G114*SUMIF(COS_RR!$E$260:$E$302,$H114,COS_RR!S$260:S$302),COS_RR!$AD$10)</f>
        <v>51967</v>
      </c>
      <c r="S114" s="606">
        <f>+ROUND($G114*SUMIF(COS_RR!$E$260:$E$302,$H114,COS_RR!T$260:T$302),COS_RR!$AD$10)</f>
        <v>7067</v>
      </c>
      <c r="T114" s="606">
        <f>+ROUND($G114*SUMIF(COS_RR!$E$260:$E$302,$H114,COS_RR!U$260:U$302),COS_RR!$AD$10)</f>
        <v>18050</v>
      </c>
      <c r="U114" s="606">
        <f>+ROUND($G114*SUMIF(COS_RR!$E$260:$E$302,$H114,COS_RR!V$260:V$302),COS_RR!$AD$10)</f>
        <v>6549</v>
      </c>
      <c r="V114" s="606">
        <f>+ROUND($G114*SUMIF(COS_RR!$E$260:$E$302,$H114,COS_RR!W$260:W$302),COS_RR!$AD$10)</f>
        <v>4569</v>
      </c>
      <c r="W114" s="606">
        <f>+ROUND($G114*SUMIF(COS_RR!$E$260:$E$302,$H114,COS_RR!X$260:X$302),COS_RR!$AD$10)</f>
        <v>0</v>
      </c>
      <c r="X114" s="606">
        <f>+ROUND($G114*SUMIF(COS_RR!$E$260:$E$302,$H114,COS_RR!Y$260:Y$302),COS_RR!$AD$10)</f>
        <v>2183</v>
      </c>
      <c r="Y114" s="606">
        <f>+ROUND($G114*SUMIF(COS_RR!$E$260:$E$302,$H114,COS_RR!Z$260:Z$302),COS_RR!$AD$10)</f>
        <v>0</v>
      </c>
      <c r="Z114" s="606">
        <f>+ROUND($G114*SUMIF(COS_RR!$E$260:$E$302,$H114,COS_RR!AA$260:AA$302),COS_RR!$AD$10)</f>
        <v>0</v>
      </c>
      <c r="AD114" s="193">
        <f t="shared" si="18"/>
        <v>-0.15999999979976565</v>
      </c>
    </row>
    <row r="115" spans="1:30">
      <c r="A115" s="411"/>
      <c r="C115" s="236">
        <f>MAX($C$7:C114)+1</f>
        <v>88</v>
      </c>
      <c r="D115" s="237">
        <f>'O&amp;M_Detail - Elec'!D114</f>
        <v>935801</v>
      </c>
      <c r="E115" s="112" t="str">
        <f>'O&amp;M_Detail - Elec'!E114</f>
        <v>WFON-GATEWAY MAIN</v>
      </c>
      <c r="F115" s="112"/>
      <c r="G115" s="3091">
        <f>SUMIFS('Labor Exp 2016'!$F$3:$F$219,'Labor Exp 2016'!$C$3:$C$219,$D115)</f>
        <v>552896.99000000022</v>
      </c>
      <c r="H115" s="3123" t="str">
        <f>COS_RR!H155</f>
        <v>Total Plant Before Gen Plant</v>
      </c>
      <c r="I115" s="606">
        <f>+ROUND($G115*SUMIF(COS_RR!$E$260:$E$302,$H115,COS_RR!J$260:J$302),COS_RR!$AD$10)</f>
        <v>0</v>
      </c>
      <c r="J115" s="606">
        <f>+ROUND($G115*SUMIF(COS_RR!$E$260:$E$302,$H115,COS_RR!K$260:K$302),COS_RR!$AD$10)</f>
        <v>28032</v>
      </c>
      <c r="K115" s="606">
        <f>+ROUND($G115*SUMIF(COS_RR!$E$260:$E$302,$H115,COS_RR!L$260:L$302),COS_RR!$AD$10)</f>
        <v>156525</v>
      </c>
      <c r="L115" s="606">
        <f>+ROUND($G115*SUMIF(COS_RR!$E$260:$E$302,$H115,COS_RR!M$260:M$302),COS_RR!$AD$10)</f>
        <v>65905</v>
      </c>
      <c r="M115" s="606">
        <f>+ROUND($G115*SUMIF(COS_RR!$E$260:$E$302,$H115,COS_RR!N$260:N$302),COS_RR!$AD$10)</f>
        <v>0</v>
      </c>
      <c r="N115" s="606">
        <f>+ROUND($G115*SUMIF(COS_RR!$E$260:$E$302,$H115,COS_RR!O$260:O$302),COS_RR!$AD$10)</f>
        <v>0</v>
      </c>
      <c r="O115" s="606">
        <f>+ROUND($G115*SUMIF(COS_RR!$E$260:$E$302,$H115,COS_RR!P$260:P$302),COS_RR!$AD$10)</f>
        <v>0</v>
      </c>
      <c r="P115" s="606">
        <f>+ROUND($G115*SUMIF(COS_RR!$E$260:$E$302,$H115,COS_RR!Q$260:Q$302),COS_RR!$AD$10)</f>
        <v>58773</v>
      </c>
      <c r="Q115" s="606">
        <f>+ROUND($G115*SUMIF(COS_RR!$E$260:$E$302,$H115,COS_RR!R$260:R$302),COS_RR!$AD$10)</f>
        <v>21618</v>
      </c>
      <c r="R115" s="606">
        <f>+ROUND($G115*SUMIF(COS_RR!$E$260:$E$302,$H115,COS_RR!S$260:S$302),COS_RR!$AD$10)</f>
        <v>127664</v>
      </c>
      <c r="S115" s="606">
        <f>+ROUND($G115*SUMIF(COS_RR!$E$260:$E$302,$H115,COS_RR!T$260:T$302),COS_RR!$AD$10)</f>
        <v>17361</v>
      </c>
      <c r="T115" s="606">
        <f>+ROUND($G115*SUMIF(COS_RR!$E$260:$E$302,$H115,COS_RR!U$260:U$302),COS_RR!$AD$10)</f>
        <v>44342</v>
      </c>
      <c r="U115" s="606">
        <f>+ROUND($G115*SUMIF(COS_RR!$E$260:$E$302,$H115,COS_RR!V$260:V$302),COS_RR!$AD$10)</f>
        <v>16089</v>
      </c>
      <c r="V115" s="606">
        <f>+ROUND($G115*SUMIF(COS_RR!$E$260:$E$302,$H115,COS_RR!W$260:W$302),COS_RR!$AD$10)</f>
        <v>11224</v>
      </c>
      <c r="W115" s="606">
        <f>+ROUND($G115*SUMIF(COS_RR!$E$260:$E$302,$H115,COS_RR!X$260:X$302),COS_RR!$AD$10)</f>
        <v>0</v>
      </c>
      <c r="X115" s="606">
        <f>+ROUND($G115*SUMIF(COS_RR!$E$260:$E$302,$H115,COS_RR!Y$260:Y$302),COS_RR!$AD$10)</f>
        <v>5363</v>
      </c>
      <c r="Y115" s="606">
        <f>+ROUND($G115*SUMIF(COS_RR!$E$260:$E$302,$H115,COS_RR!Z$260:Z$302),COS_RR!$AD$10)</f>
        <v>0</v>
      </c>
      <c r="Z115" s="606">
        <f>+ROUND($G115*SUMIF(COS_RR!$E$260:$E$302,$H115,COS_RR!AA$260:AA$302),COS_RR!$AD$10)</f>
        <v>0</v>
      </c>
      <c r="AD115" s="193">
        <f t="shared" si="18"/>
        <v>-0.99000000022351742</v>
      </c>
    </row>
    <row r="116" spans="1:30">
      <c r="A116" s="411"/>
      <c r="C116" s="236">
        <f>MAX($C$7:C115)+1</f>
        <v>89</v>
      </c>
      <c r="D116" s="237">
        <f>'O&amp;M_Detail - Elec'!D115</f>
        <v>935802</v>
      </c>
      <c r="E116" s="112" t="str">
        <f>'O&amp;M_Detail - Elec'!E115</f>
        <v>WFON-HUB CABINET EXPENSE</v>
      </c>
      <c r="F116" s="112"/>
      <c r="G116" s="3091">
        <f>SUMIFS('Labor Exp 2016'!$F$3:$F$219,'Labor Exp 2016'!$C$3:$C$219,$D116)</f>
        <v>0</v>
      </c>
      <c r="H116" s="3123" t="str">
        <f>COS_RR!H156</f>
        <v>Total Plant Before Gen Plant</v>
      </c>
      <c r="I116" s="606">
        <f>+ROUND($G116*SUMIF(COS_RR!$E$260:$E$302,$H116,COS_RR!J$260:J$302),COS_RR!$AD$10)</f>
        <v>0</v>
      </c>
      <c r="J116" s="606">
        <f>+ROUND($G116*SUMIF(COS_RR!$E$260:$E$302,$H116,COS_RR!K$260:K$302),COS_RR!$AD$10)</f>
        <v>0</v>
      </c>
      <c r="K116" s="606">
        <f>+ROUND($G116*SUMIF(COS_RR!$E$260:$E$302,$H116,COS_RR!L$260:L$302),COS_RR!$AD$10)</f>
        <v>0</v>
      </c>
      <c r="L116" s="606">
        <f>+ROUND($G116*SUMIF(COS_RR!$E$260:$E$302,$H116,COS_RR!M$260:M$302),COS_RR!$AD$10)</f>
        <v>0</v>
      </c>
      <c r="M116" s="606">
        <f>+ROUND($G116*SUMIF(COS_RR!$E$260:$E$302,$H116,COS_RR!N$260:N$302),COS_RR!$AD$10)</f>
        <v>0</v>
      </c>
      <c r="N116" s="606">
        <f>+ROUND($G116*SUMIF(COS_RR!$E$260:$E$302,$H116,COS_RR!O$260:O$302),COS_RR!$AD$10)</f>
        <v>0</v>
      </c>
      <c r="O116" s="606">
        <f>+ROUND($G116*SUMIF(COS_RR!$E$260:$E$302,$H116,COS_RR!P$260:P$302),COS_RR!$AD$10)</f>
        <v>0</v>
      </c>
      <c r="P116" s="606">
        <f>+ROUND($G116*SUMIF(COS_RR!$E$260:$E$302,$H116,COS_RR!Q$260:Q$302),COS_RR!$AD$10)</f>
        <v>0</v>
      </c>
      <c r="Q116" s="606">
        <f>+ROUND($G116*SUMIF(COS_RR!$E$260:$E$302,$H116,COS_RR!R$260:R$302),COS_RR!$AD$10)</f>
        <v>0</v>
      </c>
      <c r="R116" s="606">
        <f>+ROUND($G116*SUMIF(COS_RR!$E$260:$E$302,$H116,COS_RR!S$260:S$302),COS_RR!$AD$10)</f>
        <v>0</v>
      </c>
      <c r="S116" s="606">
        <f>+ROUND($G116*SUMIF(COS_RR!$E$260:$E$302,$H116,COS_RR!T$260:T$302),COS_RR!$AD$10)</f>
        <v>0</v>
      </c>
      <c r="T116" s="606">
        <f>+ROUND($G116*SUMIF(COS_RR!$E$260:$E$302,$H116,COS_RR!U$260:U$302),COS_RR!$AD$10)</f>
        <v>0</v>
      </c>
      <c r="U116" s="606">
        <f>+ROUND($G116*SUMIF(COS_RR!$E$260:$E$302,$H116,COS_RR!V$260:V$302),COS_RR!$AD$10)</f>
        <v>0</v>
      </c>
      <c r="V116" s="606">
        <f>+ROUND($G116*SUMIF(COS_RR!$E$260:$E$302,$H116,COS_RR!W$260:W$302),COS_RR!$AD$10)</f>
        <v>0</v>
      </c>
      <c r="W116" s="606">
        <f>+ROUND($G116*SUMIF(COS_RR!$E$260:$E$302,$H116,COS_RR!X$260:X$302),COS_RR!$AD$10)</f>
        <v>0</v>
      </c>
      <c r="X116" s="606">
        <f>+ROUND($G116*SUMIF(COS_RR!$E$260:$E$302,$H116,COS_RR!Y$260:Y$302),COS_RR!$AD$10)</f>
        <v>0</v>
      </c>
      <c r="Y116" s="606">
        <f>+ROUND($G116*SUMIF(COS_RR!$E$260:$E$302,$H116,COS_RR!Z$260:Z$302),COS_RR!$AD$10)</f>
        <v>0</v>
      </c>
      <c r="Z116" s="606">
        <f>+ROUND($G116*SUMIF(COS_RR!$E$260:$E$302,$H116,COS_RR!AA$260:AA$302),COS_RR!$AD$10)</f>
        <v>0</v>
      </c>
      <c r="AD116" s="193">
        <f t="shared" si="18"/>
        <v>0</v>
      </c>
    </row>
    <row r="117" spans="1:30">
      <c r="A117" s="411"/>
      <c r="C117" s="236">
        <f>MAX($C$7:C116)+1</f>
        <v>90</v>
      </c>
      <c r="D117" s="237">
        <f>'O&amp;M_Detail - Elec'!D116</f>
        <v>935805</v>
      </c>
      <c r="E117" s="112" t="str">
        <f>'O&amp;M_Detail - Elec'!E116</f>
        <v>WFON-MAINT GEN PLT MISC</v>
      </c>
      <c r="F117" s="112"/>
      <c r="G117" s="3091">
        <f>SUMIFS('Labor Exp 2016'!$F$3:$F$219,'Labor Exp 2016'!$C$3:$C$219,$D117)</f>
        <v>113761.76000000001</v>
      </c>
      <c r="H117" s="3123" t="str">
        <f>COS_RR!H157</f>
        <v>Total Plant Before Gen Plant</v>
      </c>
      <c r="I117" s="606">
        <f>+ROUND($G117*SUMIF(COS_RR!$E$260:$E$302,$H117,COS_RR!J$260:J$302),COS_RR!$AD$10)</f>
        <v>0</v>
      </c>
      <c r="J117" s="606">
        <f>+ROUND($G117*SUMIF(COS_RR!$E$260:$E$302,$H117,COS_RR!K$260:K$302),COS_RR!$AD$10)</f>
        <v>5768</v>
      </c>
      <c r="K117" s="606">
        <f>+ROUND($G117*SUMIF(COS_RR!$E$260:$E$302,$H117,COS_RR!L$260:L$302),COS_RR!$AD$10)</f>
        <v>32206</v>
      </c>
      <c r="L117" s="606">
        <f>+ROUND($G117*SUMIF(COS_RR!$E$260:$E$302,$H117,COS_RR!M$260:M$302),COS_RR!$AD$10)</f>
        <v>13560</v>
      </c>
      <c r="M117" s="606">
        <f>+ROUND($G117*SUMIF(COS_RR!$E$260:$E$302,$H117,COS_RR!N$260:N$302),COS_RR!$AD$10)</f>
        <v>0</v>
      </c>
      <c r="N117" s="606">
        <f>+ROUND($G117*SUMIF(COS_RR!$E$260:$E$302,$H117,COS_RR!O$260:O$302),COS_RR!$AD$10)</f>
        <v>0</v>
      </c>
      <c r="O117" s="606">
        <f>+ROUND($G117*SUMIF(COS_RR!$E$260:$E$302,$H117,COS_RR!P$260:P$302),COS_RR!$AD$10)</f>
        <v>0</v>
      </c>
      <c r="P117" s="606">
        <f>+ROUND($G117*SUMIF(COS_RR!$E$260:$E$302,$H117,COS_RR!Q$260:Q$302),COS_RR!$AD$10)</f>
        <v>12093</v>
      </c>
      <c r="Q117" s="606">
        <f>+ROUND($G117*SUMIF(COS_RR!$E$260:$E$302,$H117,COS_RR!R$260:R$302),COS_RR!$AD$10)</f>
        <v>4448</v>
      </c>
      <c r="R117" s="606">
        <f>+ROUND($G117*SUMIF(COS_RR!$E$260:$E$302,$H117,COS_RR!S$260:S$302),COS_RR!$AD$10)</f>
        <v>26268</v>
      </c>
      <c r="S117" s="606">
        <f>+ROUND($G117*SUMIF(COS_RR!$E$260:$E$302,$H117,COS_RR!T$260:T$302),COS_RR!$AD$10)</f>
        <v>3572</v>
      </c>
      <c r="T117" s="606">
        <f>+ROUND($G117*SUMIF(COS_RR!$E$260:$E$302,$H117,COS_RR!U$260:U$302),COS_RR!$AD$10)</f>
        <v>9124</v>
      </c>
      <c r="U117" s="606">
        <f>+ROUND($G117*SUMIF(COS_RR!$E$260:$E$302,$H117,COS_RR!V$260:V$302),COS_RR!$AD$10)</f>
        <v>3310</v>
      </c>
      <c r="V117" s="606">
        <f>+ROUND($G117*SUMIF(COS_RR!$E$260:$E$302,$H117,COS_RR!W$260:W$302),COS_RR!$AD$10)</f>
        <v>2309</v>
      </c>
      <c r="W117" s="606">
        <f>+ROUND($G117*SUMIF(COS_RR!$E$260:$E$302,$H117,COS_RR!X$260:X$302),COS_RR!$AD$10)</f>
        <v>0</v>
      </c>
      <c r="X117" s="606">
        <f>+ROUND($G117*SUMIF(COS_RR!$E$260:$E$302,$H117,COS_RR!Y$260:Y$302),COS_RR!$AD$10)</f>
        <v>1103</v>
      </c>
      <c r="Y117" s="606">
        <f>+ROUND($G117*SUMIF(COS_RR!$E$260:$E$302,$H117,COS_RR!Z$260:Z$302),COS_RR!$AD$10)</f>
        <v>0</v>
      </c>
      <c r="Z117" s="606">
        <f>+ROUND($G117*SUMIF(COS_RR!$E$260:$E$302,$H117,COS_RR!AA$260:AA$302),COS_RR!$AD$10)</f>
        <v>0</v>
      </c>
      <c r="AD117" s="193">
        <f t="shared" si="18"/>
        <v>-0.76000000000931323</v>
      </c>
    </row>
    <row r="118" spans="1:30">
      <c r="A118" s="411"/>
      <c r="C118" s="236">
        <f>MAX($C$7:C117)+1</f>
        <v>91</v>
      </c>
      <c r="D118" s="237">
        <f>'O&amp;M_Detail - Elec'!D117</f>
        <v>935806</v>
      </c>
      <c r="E118" s="112" t="str">
        <f>'O&amp;M_Detail - Elec'!E117</f>
        <v>WFON-NOC MONITORING EXPENSE</v>
      </c>
      <c r="F118" s="112"/>
      <c r="G118" s="3091">
        <f>SUMIFS('Labor Exp 2016'!$F$3:$F$219,'Labor Exp 2016'!$C$3:$C$219,$D118)</f>
        <v>0</v>
      </c>
      <c r="H118" s="3123" t="str">
        <f>COS_RR!H158</f>
        <v>Total Plant Before Gen Plant</v>
      </c>
      <c r="I118" s="606">
        <f>+ROUND($G118*SUMIF(COS_RR!$E$260:$E$302,$H118,COS_RR!J$260:J$302),COS_RR!$AD$10)</f>
        <v>0</v>
      </c>
      <c r="J118" s="606">
        <f>+ROUND($G118*SUMIF(COS_RR!$E$260:$E$302,$H118,COS_RR!K$260:K$302),COS_RR!$AD$10)</f>
        <v>0</v>
      </c>
      <c r="K118" s="606">
        <f>+ROUND($G118*SUMIF(COS_RR!$E$260:$E$302,$H118,COS_RR!L$260:L$302),COS_RR!$AD$10)</f>
        <v>0</v>
      </c>
      <c r="L118" s="606">
        <f>+ROUND($G118*SUMIF(COS_RR!$E$260:$E$302,$H118,COS_RR!M$260:M$302),COS_RR!$AD$10)</f>
        <v>0</v>
      </c>
      <c r="M118" s="606">
        <f>+ROUND($G118*SUMIF(COS_RR!$E$260:$E$302,$H118,COS_RR!N$260:N$302),COS_RR!$AD$10)</f>
        <v>0</v>
      </c>
      <c r="N118" s="606">
        <f>+ROUND($G118*SUMIF(COS_RR!$E$260:$E$302,$H118,COS_RR!O$260:O$302),COS_RR!$AD$10)</f>
        <v>0</v>
      </c>
      <c r="O118" s="606">
        <f>+ROUND($G118*SUMIF(COS_RR!$E$260:$E$302,$H118,COS_RR!P$260:P$302),COS_RR!$AD$10)</f>
        <v>0</v>
      </c>
      <c r="P118" s="606">
        <f>+ROUND($G118*SUMIF(COS_RR!$E$260:$E$302,$H118,COS_RR!Q$260:Q$302),COS_RR!$AD$10)</f>
        <v>0</v>
      </c>
      <c r="Q118" s="606">
        <f>+ROUND($G118*SUMIF(COS_RR!$E$260:$E$302,$H118,COS_RR!R$260:R$302),COS_RR!$AD$10)</f>
        <v>0</v>
      </c>
      <c r="R118" s="606">
        <f>+ROUND($G118*SUMIF(COS_RR!$E$260:$E$302,$H118,COS_RR!S$260:S$302),COS_RR!$AD$10)</f>
        <v>0</v>
      </c>
      <c r="S118" s="606">
        <f>+ROUND($G118*SUMIF(COS_RR!$E$260:$E$302,$H118,COS_RR!T$260:T$302),COS_RR!$AD$10)</f>
        <v>0</v>
      </c>
      <c r="T118" s="606">
        <f>+ROUND($G118*SUMIF(COS_RR!$E$260:$E$302,$H118,COS_RR!U$260:U$302),COS_RR!$AD$10)</f>
        <v>0</v>
      </c>
      <c r="U118" s="606">
        <f>+ROUND($G118*SUMIF(COS_RR!$E$260:$E$302,$H118,COS_RR!V$260:V$302),COS_RR!$AD$10)</f>
        <v>0</v>
      </c>
      <c r="V118" s="606">
        <f>+ROUND($G118*SUMIF(COS_RR!$E$260:$E$302,$H118,COS_RR!W$260:W$302),COS_RR!$AD$10)</f>
        <v>0</v>
      </c>
      <c r="W118" s="606">
        <f>+ROUND($G118*SUMIF(COS_RR!$E$260:$E$302,$H118,COS_RR!X$260:X$302),COS_RR!$AD$10)</f>
        <v>0</v>
      </c>
      <c r="X118" s="606">
        <f>+ROUND($G118*SUMIF(COS_RR!$E$260:$E$302,$H118,COS_RR!Y$260:Y$302),COS_RR!$AD$10)</f>
        <v>0</v>
      </c>
      <c r="Y118" s="606">
        <f>+ROUND($G118*SUMIF(COS_RR!$E$260:$E$302,$H118,COS_RR!Z$260:Z$302),COS_RR!$AD$10)</f>
        <v>0</v>
      </c>
      <c r="Z118" s="606">
        <f>+ROUND($G118*SUMIF(COS_RR!$E$260:$E$302,$H118,COS_RR!AA$260:AA$302),COS_RR!$AD$10)</f>
        <v>0</v>
      </c>
      <c r="AD118" s="193">
        <f t="shared" si="18"/>
        <v>0</v>
      </c>
    </row>
    <row r="119" spans="1:30" ht="16.5" thickBot="1">
      <c r="A119" s="411"/>
      <c r="C119" s="236">
        <f>MAX($C$7:C118)+1</f>
        <v>92</v>
      </c>
      <c r="D119" s="237">
        <f>'O&amp;M_Detail - Elec'!D118</f>
        <v>935807</v>
      </c>
      <c r="E119" s="112" t="str">
        <f>'O&amp;M_Detail - Elec'!E118</f>
        <v>WFON-INFORMATION MNGMT EXP</v>
      </c>
      <c r="F119" s="112"/>
      <c r="G119" s="3091">
        <f>SUMIFS('Labor Exp 2016'!$F$3:$F$219,'Labor Exp 2016'!$C$3:$C$219,$D119)</f>
        <v>0</v>
      </c>
      <c r="H119" s="3124" t="str">
        <f>COS_RR!H159</f>
        <v>Total Plant Before Gen Plant</v>
      </c>
      <c r="I119" s="606">
        <f>+ROUND($G119*SUMIF(COS_RR!$E$260:$E$302,$H119,COS_RR!J$260:J$302),COS_RR!$AD$10)</f>
        <v>0</v>
      </c>
      <c r="J119" s="606">
        <f>+ROUND($G119*SUMIF(COS_RR!$E$260:$E$302,$H119,COS_RR!K$260:K$302),COS_RR!$AD$10)</f>
        <v>0</v>
      </c>
      <c r="K119" s="606">
        <f>+ROUND($G119*SUMIF(COS_RR!$E$260:$E$302,$H119,COS_RR!L$260:L$302),COS_RR!$AD$10)</f>
        <v>0</v>
      </c>
      <c r="L119" s="606">
        <f>+ROUND($G119*SUMIF(COS_RR!$E$260:$E$302,$H119,COS_RR!M$260:M$302),COS_RR!$AD$10)</f>
        <v>0</v>
      </c>
      <c r="M119" s="606">
        <f>+ROUND($G119*SUMIF(COS_RR!$E$260:$E$302,$H119,COS_RR!N$260:N$302),COS_RR!$AD$10)</f>
        <v>0</v>
      </c>
      <c r="N119" s="606">
        <f>+ROUND($G119*SUMIF(COS_RR!$E$260:$E$302,$H119,COS_RR!O$260:O$302),COS_RR!$AD$10)</f>
        <v>0</v>
      </c>
      <c r="O119" s="606">
        <f>+ROUND($G119*SUMIF(COS_RR!$E$260:$E$302,$H119,COS_RR!P$260:P$302),COS_RR!$AD$10)</f>
        <v>0</v>
      </c>
      <c r="P119" s="606">
        <f>+ROUND($G119*SUMIF(COS_RR!$E$260:$E$302,$H119,COS_RR!Q$260:Q$302),COS_RR!$AD$10)</f>
        <v>0</v>
      </c>
      <c r="Q119" s="606">
        <f>+ROUND($G119*SUMIF(COS_RR!$E$260:$E$302,$H119,COS_RR!R$260:R$302),COS_RR!$AD$10)</f>
        <v>0</v>
      </c>
      <c r="R119" s="606">
        <f>+ROUND($G119*SUMIF(COS_RR!$E$260:$E$302,$H119,COS_RR!S$260:S$302),COS_RR!$AD$10)</f>
        <v>0</v>
      </c>
      <c r="S119" s="606">
        <f>+ROUND($G119*SUMIF(COS_RR!$E$260:$E$302,$H119,COS_RR!T$260:T$302),COS_RR!$AD$10)</f>
        <v>0</v>
      </c>
      <c r="T119" s="606">
        <f>+ROUND($G119*SUMIF(COS_RR!$E$260:$E$302,$H119,COS_RR!U$260:U$302),COS_RR!$AD$10)</f>
        <v>0</v>
      </c>
      <c r="U119" s="606">
        <f>+ROUND($G119*SUMIF(COS_RR!$E$260:$E$302,$H119,COS_RR!V$260:V$302),COS_RR!$AD$10)</f>
        <v>0</v>
      </c>
      <c r="V119" s="606">
        <f>+ROUND($G119*SUMIF(COS_RR!$E$260:$E$302,$H119,COS_RR!W$260:W$302),COS_RR!$AD$10)</f>
        <v>0</v>
      </c>
      <c r="W119" s="606">
        <f>+ROUND($G119*SUMIF(COS_RR!$E$260:$E$302,$H119,COS_RR!X$260:X$302),COS_RR!$AD$10)</f>
        <v>0</v>
      </c>
      <c r="X119" s="606">
        <f>+ROUND($G119*SUMIF(COS_RR!$E$260:$E$302,$H119,COS_RR!Y$260:Y$302),COS_RR!$AD$10)</f>
        <v>0</v>
      </c>
      <c r="Y119" s="606">
        <f>+ROUND($G119*SUMIF(COS_RR!$E$260:$E$302,$H119,COS_RR!Z$260:Z$302),COS_RR!$AD$10)</f>
        <v>0</v>
      </c>
      <c r="Z119" s="606">
        <f>+ROUND($G119*SUMIF(COS_RR!$E$260:$E$302,$H119,COS_RR!AA$260:AA$302),COS_RR!$AD$10)</f>
        <v>0</v>
      </c>
      <c r="AD119" s="193">
        <f t="shared" si="18"/>
        <v>0</v>
      </c>
    </row>
    <row r="120" spans="1:30">
      <c r="A120" s="411"/>
      <c r="C120" s="236"/>
      <c r="D120" s="237"/>
      <c r="E120" s="112"/>
      <c r="F120" s="112"/>
      <c r="G120" s="340">
        <f>SUM(G113:G119)</f>
        <v>891722.91</v>
      </c>
      <c r="I120" s="340">
        <f t="shared" ref="I120:Z120" si="19">SUM(I113:I119)</f>
        <v>0</v>
      </c>
      <c r="J120" s="340">
        <f t="shared" si="19"/>
        <v>45211</v>
      </c>
      <c r="K120" s="340">
        <f t="shared" si="19"/>
        <v>252447</v>
      </c>
      <c r="L120" s="340">
        <f t="shared" si="19"/>
        <v>106293</v>
      </c>
      <c r="M120" s="340">
        <f t="shared" si="19"/>
        <v>0</v>
      </c>
      <c r="N120" s="340">
        <f t="shared" si="19"/>
        <v>0</v>
      </c>
      <c r="O120" s="340">
        <f t="shared" si="19"/>
        <v>0</v>
      </c>
      <c r="P120" s="340">
        <f t="shared" si="19"/>
        <v>94790</v>
      </c>
      <c r="Q120" s="340">
        <f t="shared" si="19"/>
        <v>34866</v>
      </c>
      <c r="R120" s="340">
        <f t="shared" si="19"/>
        <v>205899</v>
      </c>
      <c r="S120" s="340">
        <f t="shared" si="19"/>
        <v>28000</v>
      </c>
      <c r="T120" s="340">
        <f t="shared" si="19"/>
        <v>71516</v>
      </c>
      <c r="U120" s="340">
        <f t="shared" si="19"/>
        <v>25948</v>
      </c>
      <c r="V120" s="340">
        <f t="shared" si="19"/>
        <v>18102</v>
      </c>
      <c r="W120" s="340">
        <f t="shared" si="19"/>
        <v>0</v>
      </c>
      <c r="X120" s="340">
        <f t="shared" si="19"/>
        <v>8649</v>
      </c>
      <c r="Y120" s="340">
        <f t="shared" si="19"/>
        <v>0</v>
      </c>
      <c r="Z120" s="340">
        <f t="shared" si="19"/>
        <v>0</v>
      </c>
    </row>
    <row r="121" spans="1:30">
      <c r="A121" s="411"/>
      <c r="D121" s="237"/>
      <c r="K121" s="113"/>
      <c r="L121" s="113"/>
      <c r="M121" s="113"/>
      <c r="N121" s="113"/>
      <c r="O121" s="113"/>
    </row>
    <row r="122" spans="1:30">
      <c r="A122" s="411"/>
      <c r="E122" s="241" t="s">
        <v>888</v>
      </c>
      <c r="F122" s="241"/>
      <c r="G122" s="44">
        <f>SUM(G34,G58,G73,G94,G98,G111,G120)</f>
        <v>16367366.616701007</v>
      </c>
      <c r="I122" s="44">
        <f t="shared" ref="I122:Z122" si="20">SUM(I34,I58,I73,I94,I98,I111,I120)</f>
        <v>0</v>
      </c>
      <c r="J122" s="44">
        <f t="shared" si="20"/>
        <v>377132</v>
      </c>
      <c r="K122" s="44">
        <f t="shared" si="20"/>
        <v>1708902</v>
      </c>
      <c r="L122" s="44">
        <f t="shared" si="20"/>
        <v>2588072</v>
      </c>
      <c r="M122" s="44">
        <f t="shared" si="20"/>
        <v>481675</v>
      </c>
      <c r="N122" s="44">
        <f t="shared" si="20"/>
        <v>0</v>
      </c>
      <c r="O122" s="44">
        <f t="shared" si="20"/>
        <v>0</v>
      </c>
      <c r="P122" s="44">
        <f t="shared" si="20"/>
        <v>787543</v>
      </c>
      <c r="Q122" s="44">
        <f t="shared" si="20"/>
        <v>487887</v>
      </c>
      <c r="R122" s="44">
        <f t="shared" si="20"/>
        <v>3070307</v>
      </c>
      <c r="S122" s="44">
        <f t="shared" si="20"/>
        <v>362559</v>
      </c>
      <c r="T122" s="44">
        <f t="shared" si="20"/>
        <v>954107</v>
      </c>
      <c r="U122" s="44">
        <f t="shared" si="20"/>
        <v>215750</v>
      </c>
      <c r="V122" s="44">
        <f t="shared" si="20"/>
        <v>1778120</v>
      </c>
      <c r="W122" s="44">
        <f t="shared" si="20"/>
        <v>3303895.2570004533</v>
      </c>
      <c r="X122" s="44">
        <f t="shared" si="20"/>
        <v>72062</v>
      </c>
      <c r="Y122" s="44">
        <f t="shared" si="20"/>
        <v>179355.57053417651</v>
      </c>
      <c r="Z122" s="44">
        <f t="shared" si="20"/>
        <v>0</v>
      </c>
    </row>
    <row r="123" spans="1:30">
      <c r="A123" s="411"/>
      <c r="D123" s="241"/>
      <c r="E123" s="241" t="str">
        <f>COS_RB!$E$346</f>
        <v>Supervised O&amp;M</v>
      </c>
      <c r="F123" s="241"/>
      <c r="G123" s="271">
        <f>SUM(I123:Z123)</f>
        <v>1.0000000128813407</v>
      </c>
      <c r="I123" s="631">
        <f t="shared" ref="I123:P123" si="21">I122/$G$122</f>
        <v>0</v>
      </c>
      <c r="J123" s="631">
        <f t="shared" si="21"/>
        <v>2.3041702971031416E-2</v>
      </c>
      <c r="K123" s="631">
        <f t="shared" si="21"/>
        <v>0.10440909891126059</v>
      </c>
      <c r="L123" s="631">
        <f t="shared" si="21"/>
        <v>0.15812390964342252</v>
      </c>
      <c r="M123" s="631">
        <f t="shared" si="21"/>
        <v>2.9428985815501092E-2</v>
      </c>
      <c r="N123" s="631">
        <f t="shared" si="21"/>
        <v>0</v>
      </c>
      <c r="O123" s="631">
        <f t="shared" si="21"/>
        <v>0</v>
      </c>
      <c r="P123" s="631">
        <f t="shared" si="21"/>
        <v>4.811665910852167E-2</v>
      </c>
      <c r="Q123" s="631">
        <f t="shared" ref="Q123:Z123" si="22">Q122/$G$122</f>
        <v>2.9808521518798734E-2</v>
      </c>
      <c r="R123" s="631">
        <f t="shared" si="22"/>
        <v>0.1875871098816291</v>
      </c>
      <c r="S123" s="631">
        <f t="shared" si="22"/>
        <v>2.2151333717303701E-2</v>
      </c>
      <c r="T123" s="631">
        <f t="shared" si="22"/>
        <v>5.8293250364810915E-2</v>
      </c>
      <c r="U123" s="631">
        <f t="shared" si="22"/>
        <v>1.318171731913502E-2</v>
      </c>
      <c r="V123" s="631">
        <f t="shared" si="22"/>
        <v>0.10863812375202948</v>
      </c>
      <c r="W123" s="631">
        <f t="shared" si="22"/>
        <v>0.20185869446030555</v>
      </c>
      <c r="X123" s="631">
        <f t="shared" si="22"/>
        <v>4.4027852303662003E-3</v>
      </c>
      <c r="Y123" s="631">
        <f t="shared" si="22"/>
        <v>1.0958120187224552E-2</v>
      </c>
      <c r="Z123" s="631">
        <f t="shared" si="22"/>
        <v>0</v>
      </c>
    </row>
    <row r="124" spans="1:30">
      <c r="A124" s="411"/>
    </row>
    <row r="125" spans="1:30" hidden="1">
      <c r="A125" s="411"/>
    </row>
    <row r="126" spans="1:30" hidden="1">
      <c r="A126" s="411"/>
    </row>
    <row r="127" spans="1:30">
      <c r="J127" s="429">
        <v>2.5245507711654038E-2</v>
      </c>
      <c r="K127" s="429">
        <v>0.11712813569950184</v>
      </c>
      <c r="L127" s="1887">
        <v>0.20116293069039967</v>
      </c>
      <c r="M127" s="1887">
        <v>0</v>
      </c>
      <c r="N127" s="1887">
        <v>0</v>
      </c>
      <c r="O127" s="1887">
        <v>0</v>
      </c>
      <c r="P127" s="1887">
        <v>4.5811982379687595E-2</v>
      </c>
      <c r="Q127" s="510">
        <v>2.7948900951908953E-2</v>
      </c>
      <c r="R127" s="510">
        <v>0.17489744557804388</v>
      </c>
      <c r="S127" s="510">
        <v>2.0521863446667239E-2</v>
      </c>
      <c r="T127" s="510">
        <v>5.1751940193931978E-2</v>
      </c>
      <c r="U127" s="510">
        <v>1.1138948382911622E-2</v>
      </c>
      <c r="V127" s="510">
        <v>0.11703786082952858</v>
      </c>
      <c r="W127" s="510">
        <v>0.20365787961937915</v>
      </c>
      <c r="X127" s="1887">
        <v>3.696416809960767E-3</v>
      </c>
      <c r="Y127" s="1887">
        <v>0</v>
      </c>
      <c r="Z127" s="1887">
        <v>0</v>
      </c>
    </row>
    <row r="128" spans="1:30"/>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sheetData>
  <mergeCells count="19">
    <mergeCell ref="L9:L10"/>
    <mergeCell ref="U9:U10"/>
    <mergeCell ref="Q9:R9"/>
    <mergeCell ref="J9:J10"/>
    <mergeCell ref="K9:K10"/>
    <mergeCell ref="S9:T9"/>
    <mergeCell ref="E9:E10"/>
    <mergeCell ref="C1:Z1"/>
    <mergeCell ref="K7:K8"/>
    <mergeCell ref="L7:R7"/>
    <mergeCell ref="L8:R8"/>
    <mergeCell ref="S8:V8"/>
    <mergeCell ref="I7:J8"/>
    <mergeCell ref="C3:Z3"/>
    <mergeCell ref="C2:Z2"/>
    <mergeCell ref="C9:C10"/>
    <mergeCell ref="X9:X10"/>
    <mergeCell ref="I9:I10"/>
    <mergeCell ref="V9:V10"/>
  </mergeCells>
  <phoneticPr fontId="8" type="noConversion"/>
  <dataValidations count="1">
    <dataValidation type="list" allowBlank="1" showInputMessage="1" showErrorMessage="1" sqref="H60:H72 H13:H33 H36:H57 H96:H97 H101:H110 H75:H93 H113:H119">
      <formula1>Allocation</formula1>
    </dataValidation>
  </dataValidations>
  <printOptions horizontalCentered="1"/>
  <pageMargins left="0.25" right="0.25" top="0.5" bottom="0.5" header="0.25" footer="0.25"/>
  <pageSetup scale="26" fitToHeight="0" orientation="landscape" r:id="rId1"/>
  <headerFooter alignWithMargins="0">
    <oddFooter>&amp;L&amp;"Times New Roman,Bold Italic"Black &amp; Veatch Corporation&amp;C&amp;"Times New Roman,Bold Italic"Date: &amp;D&amp;R&amp;"Times New Roman,Bold Italic"Page: &amp;P of&amp;N</oddFooter>
  </headerFooter>
  <rowBreaks count="1" manualBreakCount="1">
    <brk id="73" min="2" max="26" man="1"/>
  </rowBreaks>
  <ignoredErrors>
    <ignoredError sqref="D17:E33" formula="1"/>
  </ignoredErrors>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8000"/>
    <pageSetUpPr fitToPage="1"/>
  </sheetPr>
  <dimension ref="A1:AG705"/>
  <sheetViews>
    <sheetView showGridLines="0" zoomScale="70" zoomScaleNormal="70" workbookViewId="0">
      <pane xSplit="7" ySplit="11" topLeftCell="H242" activePane="bottomRight" state="frozen"/>
      <selection activeCell="I98" sqref="I98"/>
      <selection pane="topRight" activeCell="I98" sqref="I98"/>
      <selection pane="bottomLeft" activeCell="I98" sqref="I98"/>
      <selection pane="bottomRight" activeCell="J22" sqref="J22"/>
    </sheetView>
  </sheetViews>
  <sheetFormatPr defaultRowHeight="15.75" zeroHeight="1"/>
  <cols>
    <col min="1" max="1" width="22.5" customWidth="1"/>
    <col min="2" max="2" width="2" customWidth="1"/>
    <col min="3" max="3" width="6.125" bestFit="1" customWidth="1"/>
    <col min="4" max="4" width="8.25" bestFit="1" customWidth="1"/>
    <col min="5" max="5" width="42.125" customWidth="1"/>
    <col min="6" max="6" width="14" bestFit="1" customWidth="1"/>
    <col min="7" max="7" width="18.75" bestFit="1" customWidth="1"/>
    <col min="8" max="8" width="26.25" style="165" bestFit="1" customWidth="1"/>
    <col min="9" max="9" width="2.5" style="165" customWidth="1"/>
    <col min="10" max="10" width="13.375" bestFit="1" customWidth="1"/>
    <col min="11" max="11" width="14.25" bestFit="1" customWidth="1"/>
    <col min="12" max="12" width="13.75" bestFit="1" customWidth="1"/>
    <col min="13" max="13" width="13.375" bestFit="1" customWidth="1"/>
    <col min="14" max="14" width="12.25" bestFit="1" customWidth="1"/>
    <col min="15" max="15" width="13" bestFit="1" customWidth="1"/>
    <col min="16" max="16" width="14.25" bestFit="1" customWidth="1"/>
    <col min="17" max="17" width="13.75" bestFit="1" customWidth="1"/>
    <col min="18" max="18" width="12.25" bestFit="1" customWidth="1"/>
    <col min="19" max="19" width="13.375" bestFit="1" customWidth="1"/>
    <col min="20" max="24" width="12.25" bestFit="1" customWidth="1"/>
    <col min="25" max="25" width="13.375" bestFit="1" customWidth="1"/>
    <col min="26" max="26" width="12.25" bestFit="1" customWidth="1"/>
    <col min="27" max="27" width="10" bestFit="1" customWidth="1"/>
    <col min="28" max="28" width="2.125" style="86" customWidth="1"/>
    <col min="29" max="29" width="13.125" bestFit="1" customWidth="1"/>
    <col min="30" max="48" width="16.625" customWidth="1"/>
  </cols>
  <sheetData>
    <row r="1" spans="1:33" ht="22.5">
      <c r="A1" s="411"/>
      <c r="C1" s="14"/>
      <c r="D1" s="14"/>
      <c r="E1" s="4405" t="s">
        <v>167</v>
      </c>
      <c r="F1" s="4405"/>
      <c r="G1" s="4405"/>
      <c r="H1" s="4405"/>
      <c r="I1" s="4405"/>
      <c r="J1" s="4405"/>
      <c r="K1" s="4405"/>
      <c r="L1" s="4405"/>
      <c r="M1" s="4405"/>
      <c r="N1" s="4405"/>
      <c r="O1" s="4405"/>
      <c r="P1" s="4405"/>
      <c r="Q1" s="4405"/>
      <c r="R1" s="4405"/>
      <c r="S1" s="4405"/>
      <c r="T1" s="4405"/>
      <c r="U1" s="4405"/>
      <c r="V1" s="4405"/>
      <c r="W1" s="4405"/>
      <c r="X1" s="4405"/>
      <c r="Y1" s="4405"/>
      <c r="Z1" s="4405"/>
      <c r="AA1" s="4405"/>
      <c r="AB1" s="214"/>
    </row>
    <row r="2" spans="1:33" ht="22.5">
      <c r="A2" s="411"/>
      <c r="C2" s="14"/>
      <c r="D2" s="14"/>
      <c r="E2" s="4405" t="str">
        <f>Client</f>
        <v>Grant County Public Utility District</v>
      </c>
      <c r="F2" s="4405"/>
      <c r="G2" s="4405"/>
      <c r="H2" s="4405"/>
      <c r="I2" s="4405"/>
      <c r="J2" s="4405"/>
      <c r="K2" s="4405"/>
      <c r="L2" s="4405"/>
      <c r="M2" s="4405"/>
      <c r="N2" s="4405"/>
      <c r="O2" s="4405"/>
      <c r="P2" s="4405"/>
      <c r="Q2" s="4405"/>
      <c r="R2" s="4405"/>
      <c r="S2" s="4405"/>
      <c r="T2" s="4405"/>
      <c r="U2" s="4405"/>
      <c r="V2" s="4405"/>
      <c r="W2" s="4405"/>
      <c r="X2" s="4405"/>
      <c r="Y2" s="4405"/>
      <c r="Z2" s="4405"/>
      <c r="AA2" s="4405"/>
      <c r="AB2" s="214"/>
    </row>
    <row r="3" spans="1:33" ht="22.5">
      <c r="A3" s="411"/>
      <c r="C3" s="14"/>
      <c r="D3" s="14"/>
      <c r="E3" s="4405" t="s">
        <v>116</v>
      </c>
      <c r="F3" s="4405"/>
      <c r="G3" s="4405"/>
      <c r="H3" s="4405"/>
      <c r="I3" s="4405"/>
      <c r="J3" s="4405"/>
      <c r="K3" s="4405"/>
      <c r="L3" s="4405"/>
      <c r="M3" s="4405"/>
      <c r="N3" s="4405"/>
      <c r="O3" s="4405"/>
      <c r="P3" s="4405"/>
      <c r="Q3" s="4405"/>
      <c r="R3" s="4405"/>
      <c r="S3" s="4405"/>
      <c r="T3" s="4405"/>
      <c r="U3" s="4405"/>
      <c r="V3" s="4405"/>
      <c r="W3" s="4405"/>
      <c r="X3" s="4405"/>
      <c r="Y3" s="4405"/>
      <c r="Z3" s="4405"/>
      <c r="AA3" s="4405"/>
    </row>
    <row r="4" spans="1:33" ht="16.5" customHeight="1" thickBot="1">
      <c r="A4" s="411"/>
      <c r="D4" s="14"/>
      <c r="E4" s="5" t="str">
        <f>'COS_RR (top sheet)'!I5</f>
        <v>Test Year</v>
      </c>
      <c r="H4" s="18"/>
      <c r="I4" s="18"/>
    </row>
    <row r="5" spans="1:33" ht="16.5" customHeight="1" thickBot="1">
      <c r="A5" s="411"/>
      <c r="D5" s="14"/>
      <c r="E5" s="2948">
        <f>'COS_RR (top sheet)'!I6</f>
        <v>2024</v>
      </c>
      <c r="H5" s="18"/>
      <c r="I5" s="18"/>
      <c r="AB5" s="195"/>
    </row>
    <row r="6" spans="1:33" ht="16.5" customHeight="1">
      <c r="A6" s="411"/>
      <c r="C6" s="14"/>
      <c r="D6" s="14"/>
      <c r="H6" s="18"/>
      <c r="I6" s="18"/>
      <c r="AB6" s="85"/>
    </row>
    <row r="7" spans="1:33" ht="16.5" customHeight="1">
      <c r="A7" s="411"/>
      <c r="C7" s="12"/>
      <c r="D7" s="12"/>
      <c r="H7" s="18"/>
      <c r="I7" s="18"/>
    </row>
    <row r="8" spans="1:33" ht="16.5" customHeight="1" thickBot="1">
      <c r="A8" s="411"/>
      <c r="E8" s="5"/>
      <c r="F8" s="5"/>
      <c r="G8" s="5"/>
      <c r="H8" s="5"/>
      <c r="I8" s="5"/>
      <c r="J8" s="4445" t="s">
        <v>900</v>
      </c>
      <c r="K8" s="4446"/>
      <c r="L8" s="4412" t="s">
        <v>600</v>
      </c>
      <c r="M8" s="4461" t="s">
        <v>601</v>
      </c>
      <c r="N8" s="4461"/>
      <c r="O8" s="4461"/>
      <c r="P8" s="4461"/>
      <c r="Q8" s="4461"/>
      <c r="R8" s="4461"/>
      <c r="S8" s="4461"/>
      <c r="T8" s="49"/>
      <c r="U8" s="49"/>
      <c r="V8" s="49"/>
      <c r="W8" s="49"/>
      <c r="X8" s="129" t="s">
        <v>608</v>
      </c>
      <c r="Y8" s="5"/>
      <c r="Z8" s="5"/>
      <c r="AA8" s="5"/>
      <c r="AB8" s="195"/>
      <c r="AC8" s="5"/>
    </row>
    <row r="9" spans="1:33" ht="16.5" customHeight="1" thickBot="1">
      <c r="A9" s="411"/>
      <c r="C9" s="18"/>
      <c r="D9" s="18"/>
      <c r="E9" s="5"/>
      <c r="F9" s="5"/>
      <c r="G9" s="5"/>
      <c r="H9" s="5"/>
      <c r="I9" s="5"/>
      <c r="J9" s="4447"/>
      <c r="K9" s="4448"/>
      <c r="L9" s="4404"/>
      <c r="M9" s="4443" t="s">
        <v>168</v>
      </c>
      <c r="N9" s="4443"/>
      <c r="O9" s="4443"/>
      <c r="P9" s="4443"/>
      <c r="Q9" s="4443"/>
      <c r="R9" s="4443"/>
      <c r="S9" s="4444"/>
      <c r="T9" s="4437" t="s">
        <v>606</v>
      </c>
      <c r="U9" s="4438"/>
      <c r="V9" s="4438"/>
      <c r="W9" s="4438"/>
      <c r="X9" s="143" t="s">
        <v>169</v>
      </c>
      <c r="Y9" s="202"/>
      <c r="Z9" s="5"/>
      <c r="AA9" s="5"/>
      <c r="AB9" s="195"/>
      <c r="AC9" s="5"/>
      <c r="AD9" s="632" t="s">
        <v>611</v>
      </c>
    </row>
    <row r="10" spans="1:33" ht="16.5" customHeight="1">
      <c r="A10" s="411"/>
      <c r="C10" s="4458" t="s">
        <v>867</v>
      </c>
      <c r="D10" s="201"/>
      <c r="E10" s="4469" t="s">
        <v>399</v>
      </c>
      <c r="F10" s="149" t="s">
        <v>865</v>
      </c>
      <c r="G10" s="129"/>
      <c r="H10" s="149" t="s">
        <v>869</v>
      </c>
      <c r="I10" s="861"/>
      <c r="J10" s="4433" t="s">
        <v>605</v>
      </c>
      <c r="K10" s="4449" t="s">
        <v>168</v>
      </c>
      <c r="L10" s="4449" t="s">
        <v>168</v>
      </c>
      <c r="M10" s="4465" t="s">
        <v>170</v>
      </c>
      <c r="N10" s="1745" t="s">
        <v>486</v>
      </c>
      <c r="O10" s="1745" t="s">
        <v>2988</v>
      </c>
      <c r="P10" s="1745" t="s">
        <v>2989</v>
      </c>
      <c r="Q10" s="142" t="s">
        <v>867</v>
      </c>
      <c r="R10" s="4467" t="s">
        <v>857</v>
      </c>
      <c r="S10" s="4468"/>
      <c r="T10" s="4456" t="s">
        <v>858</v>
      </c>
      <c r="U10" s="4457"/>
      <c r="V10" s="4449" t="s">
        <v>171</v>
      </c>
      <c r="W10" s="4449" t="s">
        <v>172</v>
      </c>
      <c r="X10" s="143" t="s">
        <v>173</v>
      </c>
      <c r="Y10" s="4463" t="str">
        <f>COS_RB!W9</f>
        <v>Street Lights</v>
      </c>
      <c r="Z10" s="129" t="s">
        <v>683</v>
      </c>
      <c r="AA10" s="149" t="s">
        <v>210</v>
      </c>
      <c r="AB10" s="221"/>
      <c r="AC10" s="5"/>
      <c r="AD10" s="75">
        <v>0</v>
      </c>
    </row>
    <row r="11" spans="1:33" ht="16.5" customHeight="1" thickBot="1">
      <c r="A11" s="411"/>
      <c r="C11" s="4462"/>
      <c r="D11" s="228"/>
      <c r="E11" s="4470"/>
      <c r="F11" s="150" t="s">
        <v>122</v>
      </c>
      <c r="G11" s="143" t="s">
        <v>602</v>
      </c>
      <c r="H11" s="224" t="s">
        <v>870</v>
      </c>
      <c r="I11" s="916"/>
      <c r="J11" s="4434"/>
      <c r="K11" s="4450"/>
      <c r="L11" s="4450"/>
      <c r="M11" s="4466"/>
      <c r="N11" s="1746" t="s">
        <v>175</v>
      </c>
      <c r="O11" s="1746" t="s">
        <v>175</v>
      </c>
      <c r="P11" s="1746" t="s">
        <v>175</v>
      </c>
      <c r="Q11" s="232" t="s">
        <v>856</v>
      </c>
      <c r="R11" s="594" t="s">
        <v>985</v>
      </c>
      <c r="S11" s="594" t="s">
        <v>986</v>
      </c>
      <c r="T11" s="227" t="s">
        <v>985</v>
      </c>
      <c r="U11" s="142" t="s">
        <v>986</v>
      </c>
      <c r="V11" s="4450"/>
      <c r="W11" s="4450"/>
      <c r="X11" s="226" t="s">
        <v>603</v>
      </c>
      <c r="Y11" s="4464"/>
      <c r="Z11" s="226" t="s">
        <v>606</v>
      </c>
      <c r="AA11" s="223" t="s">
        <v>861</v>
      </c>
      <c r="AB11" s="222"/>
      <c r="AC11" s="5"/>
      <c r="AD11" s="76">
        <v>4</v>
      </c>
    </row>
    <row r="12" spans="1:33" s="1" customFormat="1">
      <c r="A12" s="411"/>
      <c r="C12" s="356"/>
      <c r="D12" s="320"/>
      <c r="E12" s="320"/>
      <c r="F12" s="320"/>
      <c r="G12" s="320"/>
      <c r="H12" s="9"/>
      <c r="I12" s="320"/>
      <c r="J12" s="321"/>
      <c r="K12" s="320"/>
      <c r="L12" s="320"/>
      <c r="M12" s="357"/>
      <c r="N12" s="357"/>
      <c r="O12" s="357"/>
      <c r="P12" s="357"/>
      <c r="Q12" s="320"/>
      <c r="R12" s="320"/>
      <c r="S12" s="320"/>
      <c r="T12" s="320"/>
      <c r="U12" s="320"/>
      <c r="V12" s="357"/>
      <c r="W12" s="321"/>
      <c r="X12" s="320"/>
      <c r="Y12" s="320"/>
      <c r="Z12" s="320"/>
      <c r="AA12" s="358"/>
      <c r="AB12" s="9"/>
      <c r="AC12" s="5"/>
    </row>
    <row r="13" spans="1:33" ht="16.5" customHeight="1">
      <c r="A13" s="411"/>
      <c r="C13" s="322"/>
      <c r="D13" s="17"/>
      <c r="E13" s="207" t="str">
        <f>+'COS_RR (top sheet)'!E13:E13</f>
        <v>CASH BASIS</v>
      </c>
      <c r="F13" s="207"/>
      <c r="G13" s="17"/>
      <c r="J13" s="17"/>
      <c r="K13" s="17"/>
      <c r="L13" s="17"/>
      <c r="M13" s="17"/>
      <c r="N13" s="17"/>
      <c r="O13" s="17"/>
      <c r="P13" s="17"/>
      <c r="Q13" s="17"/>
      <c r="R13" s="17"/>
      <c r="S13" s="17"/>
      <c r="T13" s="17"/>
      <c r="U13" s="17"/>
      <c r="V13" s="17"/>
      <c r="W13" s="17"/>
      <c r="X13" s="17"/>
      <c r="Y13" s="17"/>
      <c r="Z13" s="17"/>
      <c r="AA13" s="325"/>
      <c r="AB13" s="87"/>
      <c r="AC13" s="5"/>
    </row>
    <row r="14" spans="1:33" ht="5.25" customHeight="1">
      <c r="A14" s="411"/>
      <c r="C14" s="322"/>
      <c r="D14" s="17"/>
      <c r="E14" s="17"/>
      <c r="F14" s="17"/>
      <c r="G14" s="17"/>
      <c r="J14" s="17"/>
      <c r="K14" s="17"/>
      <c r="L14" s="17"/>
      <c r="M14" s="17"/>
      <c r="N14" s="17"/>
      <c r="O14" s="17"/>
      <c r="P14" s="17"/>
      <c r="Q14" s="17"/>
      <c r="R14" s="17"/>
      <c r="S14" s="17"/>
      <c r="T14" s="17"/>
      <c r="U14" s="17"/>
      <c r="V14" s="17"/>
      <c r="W14" s="17"/>
      <c r="X14" s="17"/>
      <c r="Y14" s="17"/>
      <c r="Z14" s="17"/>
      <c r="AA14" s="325"/>
      <c r="AB14" s="87"/>
      <c r="AC14" s="5"/>
    </row>
    <row r="15" spans="1:33" ht="16.5" customHeight="1">
      <c r="A15" s="411"/>
      <c r="C15" s="322"/>
      <c r="D15" s="17"/>
      <c r="E15" s="206" t="s">
        <v>661</v>
      </c>
      <c r="F15" s="206"/>
      <c r="G15" s="17"/>
      <c r="H15" s="10"/>
      <c r="J15" s="17"/>
      <c r="K15" s="17"/>
      <c r="L15" s="17"/>
      <c r="M15" s="17"/>
      <c r="N15" s="17"/>
      <c r="O15" s="17"/>
      <c r="P15" s="17"/>
      <c r="Q15" s="17"/>
      <c r="R15" s="17"/>
      <c r="S15" s="17"/>
      <c r="T15" s="17"/>
      <c r="U15" s="17"/>
      <c r="V15" s="17"/>
      <c r="W15" s="17"/>
      <c r="X15" s="17"/>
      <c r="Y15" s="17"/>
      <c r="Z15" s="17"/>
      <c r="AA15" s="325"/>
      <c r="AB15" s="87"/>
      <c r="AC15" s="5"/>
      <c r="AE15" s="617"/>
    </row>
    <row r="16" spans="1:33" ht="16.5" customHeight="1">
      <c r="A16" s="411"/>
      <c r="C16" s="342">
        <v>1</v>
      </c>
      <c r="D16" s="252"/>
      <c r="E16" s="252" t="s">
        <v>697</v>
      </c>
      <c r="F16" s="252"/>
      <c r="G16" s="308">
        <f>SUM(J16:AA16)</f>
        <v>233090202</v>
      </c>
      <c r="H16" s="10"/>
      <c r="I16" s="366"/>
      <c r="J16" s="308">
        <f>J67</f>
        <v>23379673</v>
      </c>
      <c r="K16" s="308">
        <f t="shared" ref="K16:AA16" si="0">K67</f>
        <v>209710529</v>
      </c>
      <c r="L16" s="308">
        <f t="shared" si="0"/>
        <v>0</v>
      </c>
      <c r="M16" s="308">
        <f t="shared" si="0"/>
        <v>0</v>
      </c>
      <c r="N16" s="308">
        <f t="shared" si="0"/>
        <v>0</v>
      </c>
      <c r="O16" s="308">
        <f>O67</f>
        <v>0</v>
      </c>
      <c r="P16" s="308">
        <f>P67</f>
        <v>0</v>
      </c>
      <c r="Q16" s="308">
        <f>Q67</f>
        <v>0</v>
      </c>
      <c r="R16" s="308">
        <f t="shared" si="0"/>
        <v>0</v>
      </c>
      <c r="S16" s="308">
        <f t="shared" si="0"/>
        <v>0</v>
      </c>
      <c r="T16" s="308">
        <f t="shared" si="0"/>
        <v>0</v>
      </c>
      <c r="U16" s="308">
        <f t="shared" si="0"/>
        <v>0</v>
      </c>
      <c r="V16" s="308">
        <f t="shared" si="0"/>
        <v>0</v>
      </c>
      <c r="W16" s="308">
        <f t="shared" si="0"/>
        <v>0</v>
      </c>
      <c r="X16" s="308">
        <f t="shared" si="0"/>
        <v>0</v>
      </c>
      <c r="Y16" s="308">
        <f t="shared" si="0"/>
        <v>0</v>
      </c>
      <c r="Z16" s="308">
        <f t="shared" si="0"/>
        <v>0</v>
      </c>
      <c r="AA16" s="308">
        <f t="shared" si="0"/>
        <v>0</v>
      </c>
      <c r="AB16" s="215"/>
      <c r="AC16" s="5"/>
      <c r="AD16" s="20"/>
      <c r="AE16" s="193">
        <f t="shared" ref="AE16:AE48" si="1">SUM(J16:AA16)-G16</f>
        <v>0</v>
      </c>
      <c r="AF16" s="20"/>
      <c r="AG16" s="20"/>
    </row>
    <row r="17" spans="1:33" ht="16.5" customHeight="1">
      <c r="A17" s="411"/>
      <c r="C17" s="342">
        <f>+MAX($C$14:C16)+1</f>
        <v>2</v>
      </c>
      <c r="D17" s="252"/>
      <c r="E17" s="252" t="s">
        <v>753</v>
      </c>
      <c r="F17" s="252"/>
      <c r="G17" s="19">
        <f t="shared" ref="G17:G27" si="2">SUM(J17:AA17)</f>
        <v>635064</v>
      </c>
      <c r="H17" s="10"/>
      <c r="I17" s="366"/>
      <c r="J17" s="313">
        <f>J92</f>
        <v>0</v>
      </c>
      <c r="K17" s="313">
        <f t="shared" ref="K17:AA17" si="3">K92</f>
        <v>635064</v>
      </c>
      <c r="L17" s="313">
        <f t="shared" si="3"/>
        <v>0</v>
      </c>
      <c r="M17" s="313">
        <f t="shared" si="3"/>
        <v>0</v>
      </c>
      <c r="N17" s="313">
        <f t="shared" si="3"/>
        <v>0</v>
      </c>
      <c r="O17" s="313">
        <f>O92</f>
        <v>0</v>
      </c>
      <c r="P17" s="313">
        <f>P92</f>
        <v>0</v>
      </c>
      <c r="Q17" s="313">
        <f>Q92</f>
        <v>0</v>
      </c>
      <c r="R17" s="313">
        <f t="shared" si="3"/>
        <v>0</v>
      </c>
      <c r="S17" s="313">
        <f t="shared" si="3"/>
        <v>0</v>
      </c>
      <c r="T17" s="313">
        <f t="shared" si="3"/>
        <v>0</v>
      </c>
      <c r="U17" s="313">
        <f t="shared" si="3"/>
        <v>0</v>
      </c>
      <c r="V17" s="313">
        <f t="shared" si="3"/>
        <v>0</v>
      </c>
      <c r="W17" s="313">
        <f t="shared" si="3"/>
        <v>0</v>
      </c>
      <c r="X17" s="313">
        <f t="shared" si="3"/>
        <v>0</v>
      </c>
      <c r="Y17" s="313">
        <f t="shared" si="3"/>
        <v>0</v>
      </c>
      <c r="Z17" s="313">
        <f t="shared" si="3"/>
        <v>0</v>
      </c>
      <c r="AA17" s="313">
        <f t="shared" si="3"/>
        <v>0</v>
      </c>
      <c r="AB17" s="215"/>
      <c r="AC17" s="5"/>
      <c r="AD17" s="20"/>
      <c r="AE17" s="193">
        <f t="shared" si="1"/>
        <v>0</v>
      </c>
      <c r="AF17" s="20"/>
      <c r="AG17" s="20"/>
    </row>
    <row r="18" spans="1:33" ht="16.5" customHeight="1">
      <c r="A18" s="411"/>
      <c r="C18" s="342">
        <f>+MAX($C$14:C17)+1</f>
        <v>3</v>
      </c>
      <c r="D18" s="10"/>
      <c r="E18" s="247" t="s">
        <v>192</v>
      </c>
      <c r="F18" s="247"/>
      <c r="G18" s="19">
        <f t="shared" si="2"/>
        <v>3520469</v>
      </c>
      <c r="H18" s="10"/>
      <c r="I18" s="262"/>
      <c r="J18" s="313">
        <f>J108</f>
        <v>0</v>
      </c>
      <c r="K18" s="313">
        <f t="shared" ref="K18:AA18" si="4">K108</f>
        <v>0</v>
      </c>
      <c r="L18" s="313">
        <f t="shared" si="4"/>
        <v>3520469</v>
      </c>
      <c r="M18" s="313">
        <f t="shared" si="4"/>
        <v>0</v>
      </c>
      <c r="N18" s="313">
        <f t="shared" si="4"/>
        <v>0</v>
      </c>
      <c r="O18" s="313">
        <f>O108</f>
        <v>0</v>
      </c>
      <c r="P18" s="313">
        <f>P108</f>
        <v>0</v>
      </c>
      <c r="Q18" s="313">
        <f>Q108</f>
        <v>0</v>
      </c>
      <c r="R18" s="313">
        <f t="shared" si="4"/>
        <v>0</v>
      </c>
      <c r="S18" s="313">
        <f t="shared" si="4"/>
        <v>0</v>
      </c>
      <c r="T18" s="313">
        <f t="shared" si="4"/>
        <v>0</v>
      </c>
      <c r="U18" s="313">
        <f t="shared" si="4"/>
        <v>0</v>
      </c>
      <c r="V18" s="313">
        <f t="shared" si="4"/>
        <v>0</v>
      </c>
      <c r="W18" s="313">
        <f t="shared" si="4"/>
        <v>0</v>
      </c>
      <c r="X18" s="313">
        <f t="shared" si="4"/>
        <v>0</v>
      </c>
      <c r="Y18" s="313">
        <f t="shared" si="4"/>
        <v>0</v>
      </c>
      <c r="Z18" s="313">
        <f t="shared" si="4"/>
        <v>0</v>
      </c>
      <c r="AA18" s="313">
        <f t="shared" si="4"/>
        <v>0</v>
      </c>
      <c r="AB18" s="104"/>
      <c r="AC18" s="190"/>
      <c r="AD18" s="20"/>
      <c r="AE18" s="193">
        <f t="shared" si="1"/>
        <v>0</v>
      </c>
      <c r="AF18" s="20"/>
      <c r="AG18" s="20"/>
    </row>
    <row r="19" spans="1:33" ht="16.5" customHeight="1">
      <c r="A19" s="411"/>
      <c r="C19" s="342">
        <f>+MAX($C$14:C18)+1</f>
        <v>4</v>
      </c>
      <c r="D19" s="10"/>
      <c r="E19" s="247" t="s">
        <v>193</v>
      </c>
      <c r="F19" s="247"/>
      <c r="G19" s="19">
        <f t="shared" si="2"/>
        <v>18493528</v>
      </c>
      <c r="H19" s="10"/>
      <c r="I19" s="262"/>
      <c r="J19" s="313">
        <f>J130+J135</f>
        <v>0</v>
      </c>
      <c r="K19" s="313">
        <f t="shared" ref="K19:AA19" si="5">K130+K135</f>
        <v>0</v>
      </c>
      <c r="L19" s="313">
        <f t="shared" si="5"/>
        <v>0</v>
      </c>
      <c r="M19" s="313">
        <f t="shared" si="5"/>
        <v>4498901</v>
      </c>
      <c r="N19" s="313">
        <f t="shared" si="5"/>
        <v>877006</v>
      </c>
      <c r="O19" s="313">
        <f>O130+O135</f>
        <v>0</v>
      </c>
      <c r="P19" s="313">
        <f>P130+P135</f>
        <v>0</v>
      </c>
      <c r="Q19" s="313">
        <f>Q130+Q135</f>
        <v>1366053</v>
      </c>
      <c r="R19" s="313">
        <f t="shared" si="5"/>
        <v>828408</v>
      </c>
      <c r="S19" s="313">
        <f t="shared" si="5"/>
        <v>5206950</v>
      </c>
      <c r="T19" s="313">
        <f t="shared" si="5"/>
        <v>616848</v>
      </c>
      <c r="U19" s="313">
        <f t="shared" si="5"/>
        <v>1621976</v>
      </c>
      <c r="V19" s="313">
        <f t="shared" si="5"/>
        <v>374273</v>
      </c>
      <c r="W19" s="313">
        <f t="shared" si="5"/>
        <v>2966284</v>
      </c>
      <c r="X19" s="313">
        <f t="shared" si="5"/>
        <v>0</v>
      </c>
      <c r="Y19" s="313">
        <f t="shared" si="5"/>
        <v>136829</v>
      </c>
      <c r="Z19" s="313">
        <f t="shared" si="5"/>
        <v>0</v>
      </c>
      <c r="AA19" s="313">
        <f t="shared" si="5"/>
        <v>0</v>
      </c>
      <c r="AB19" s="104"/>
      <c r="AC19" s="190"/>
      <c r="AD19" s="20"/>
      <c r="AE19" s="193">
        <f t="shared" si="1"/>
        <v>0</v>
      </c>
      <c r="AF19" s="20"/>
      <c r="AG19" s="20"/>
    </row>
    <row r="20" spans="1:33" ht="16.5" customHeight="1">
      <c r="A20" s="411"/>
      <c r="C20" s="342">
        <f>+MAX($C$14:C19)+1</f>
        <v>5</v>
      </c>
      <c r="D20" s="10"/>
      <c r="E20" s="247" t="s">
        <v>376</v>
      </c>
      <c r="F20" s="247"/>
      <c r="G20" s="19">
        <f t="shared" si="2"/>
        <v>10759317</v>
      </c>
      <c r="H20" s="10"/>
      <c r="I20" s="262"/>
      <c r="J20" s="313">
        <f>J150</f>
        <v>0</v>
      </c>
      <c r="K20" s="313">
        <f t="shared" ref="K20:AA20" si="6">K150</f>
        <v>0</v>
      </c>
      <c r="L20" s="313">
        <f t="shared" si="6"/>
        <v>0</v>
      </c>
      <c r="M20" s="313">
        <f t="shared" si="6"/>
        <v>0</v>
      </c>
      <c r="N20" s="313">
        <f t="shared" si="6"/>
        <v>0</v>
      </c>
      <c r="O20" s="313">
        <f>O150</f>
        <v>0</v>
      </c>
      <c r="P20" s="313">
        <f>P150</f>
        <v>0</v>
      </c>
      <c r="Q20" s="313">
        <f>Q150</f>
        <v>0</v>
      </c>
      <c r="R20" s="313">
        <f t="shared" si="6"/>
        <v>0</v>
      </c>
      <c r="S20" s="313">
        <f t="shared" si="6"/>
        <v>0</v>
      </c>
      <c r="T20" s="313">
        <f t="shared" si="6"/>
        <v>0</v>
      </c>
      <c r="U20" s="313">
        <f t="shared" si="6"/>
        <v>0</v>
      </c>
      <c r="V20" s="313">
        <f t="shared" si="6"/>
        <v>0</v>
      </c>
      <c r="W20" s="313">
        <f t="shared" si="6"/>
        <v>0</v>
      </c>
      <c r="X20" s="313">
        <f t="shared" si="6"/>
        <v>7669737</v>
      </c>
      <c r="Y20" s="313">
        <f t="shared" si="6"/>
        <v>0</v>
      </c>
      <c r="Z20" s="313">
        <f t="shared" si="6"/>
        <v>3089580</v>
      </c>
      <c r="AA20" s="313">
        <f t="shared" si="6"/>
        <v>0</v>
      </c>
      <c r="AB20" s="104"/>
      <c r="AC20" s="190"/>
      <c r="AD20" s="20"/>
      <c r="AE20" s="193">
        <f t="shared" si="1"/>
        <v>0</v>
      </c>
      <c r="AF20" s="20"/>
      <c r="AG20" s="20"/>
    </row>
    <row r="21" spans="1:33" ht="16.5" customHeight="1">
      <c r="A21" s="411"/>
      <c r="C21" s="342">
        <f>+MAX($C$14:C20)+1</f>
        <v>6</v>
      </c>
      <c r="D21" s="10"/>
      <c r="E21" s="247" t="s">
        <v>288</v>
      </c>
      <c r="F21" s="247"/>
      <c r="G21" s="19">
        <f t="shared" si="2"/>
        <v>2153021</v>
      </c>
      <c r="H21" s="10"/>
      <c r="I21" s="262"/>
      <c r="J21" s="313">
        <f>J160</f>
        <v>0</v>
      </c>
      <c r="K21" s="313">
        <f t="shared" ref="K21:AA21" si="7">K160</f>
        <v>109158</v>
      </c>
      <c r="L21" s="313">
        <f t="shared" si="7"/>
        <v>609520</v>
      </c>
      <c r="M21" s="313">
        <f t="shared" si="7"/>
        <v>256641</v>
      </c>
      <c r="N21" s="313">
        <f t="shared" si="7"/>
        <v>0</v>
      </c>
      <c r="O21" s="313">
        <f>O160</f>
        <v>0</v>
      </c>
      <c r="P21" s="313">
        <f>P160</f>
        <v>0</v>
      </c>
      <c r="Q21" s="313">
        <f>Q160</f>
        <v>228867</v>
      </c>
      <c r="R21" s="313">
        <f t="shared" si="7"/>
        <v>84182</v>
      </c>
      <c r="S21" s="313">
        <f t="shared" si="7"/>
        <v>497132</v>
      </c>
      <c r="T21" s="313">
        <f t="shared" si="7"/>
        <v>67605</v>
      </c>
      <c r="U21" s="313">
        <f t="shared" si="7"/>
        <v>172672</v>
      </c>
      <c r="V21" s="313">
        <f t="shared" si="7"/>
        <v>62653</v>
      </c>
      <c r="W21" s="313">
        <f t="shared" si="7"/>
        <v>43706</v>
      </c>
      <c r="X21" s="313">
        <f t="shared" si="7"/>
        <v>0</v>
      </c>
      <c r="Y21" s="313">
        <f t="shared" si="7"/>
        <v>20885</v>
      </c>
      <c r="Z21" s="313">
        <f t="shared" si="7"/>
        <v>0</v>
      </c>
      <c r="AA21" s="313">
        <f t="shared" si="7"/>
        <v>0</v>
      </c>
      <c r="AB21" s="104"/>
      <c r="AC21" s="190"/>
      <c r="AD21" s="20"/>
      <c r="AE21" s="193">
        <f t="shared" si="1"/>
        <v>0</v>
      </c>
      <c r="AF21" s="20"/>
      <c r="AG21" s="20"/>
    </row>
    <row r="22" spans="1:33" ht="16.5" customHeight="1">
      <c r="A22" s="411"/>
      <c r="C22" s="342">
        <f>+MAX($C$14:C21)+1</f>
        <v>7</v>
      </c>
      <c r="D22" s="10"/>
      <c r="E22" s="247" t="s">
        <v>377</v>
      </c>
      <c r="F22" s="247"/>
      <c r="G22" s="19">
        <f t="shared" si="2"/>
        <v>21883173</v>
      </c>
      <c r="H22" s="10"/>
      <c r="I22" s="262"/>
      <c r="J22" s="313">
        <f>J203</f>
        <v>0</v>
      </c>
      <c r="K22" s="313">
        <f t="shared" ref="K22:AA22" si="8">K203</f>
        <v>739009</v>
      </c>
      <c r="L22" s="313">
        <f t="shared" si="8"/>
        <v>3680546</v>
      </c>
      <c r="M22" s="313">
        <f t="shared" si="8"/>
        <v>3264000</v>
      </c>
      <c r="N22" s="313">
        <f t="shared" si="8"/>
        <v>445718</v>
      </c>
      <c r="O22" s="313">
        <f>O203</f>
        <v>0</v>
      </c>
      <c r="P22" s="313">
        <f>P203</f>
        <v>0</v>
      </c>
      <c r="Q22" s="313">
        <f>Q203</f>
        <v>1385143</v>
      </c>
      <c r="R22" s="313">
        <f t="shared" si="8"/>
        <v>693121</v>
      </c>
      <c r="S22" s="313">
        <f t="shared" si="8"/>
        <v>4267520</v>
      </c>
      <c r="T22" s="313">
        <f t="shared" si="8"/>
        <v>529472</v>
      </c>
      <c r="U22" s="313">
        <f t="shared" si="8"/>
        <v>1378599</v>
      </c>
      <c r="V22" s="313">
        <f t="shared" si="8"/>
        <v>379252</v>
      </c>
      <c r="W22" s="313">
        <f t="shared" si="8"/>
        <v>1770785</v>
      </c>
      <c r="X22" s="313">
        <f t="shared" si="8"/>
        <v>3057271</v>
      </c>
      <c r="Y22" s="313">
        <f t="shared" si="8"/>
        <v>126771</v>
      </c>
      <c r="Z22" s="313">
        <f t="shared" si="8"/>
        <v>165966</v>
      </c>
      <c r="AA22" s="313">
        <f t="shared" si="8"/>
        <v>0</v>
      </c>
      <c r="AB22" s="104"/>
      <c r="AC22" s="190"/>
      <c r="AD22" s="20"/>
      <c r="AE22" s="193">
        <f t="shared" si="1"/>
        <v>0</v>
      </c>
      <c r="AF22" s="20"/>
      <c r="AG22" s="20"/>
    </row>
    <row r="23" spans="1:33" ht="16.5" customHeight="1">
      <c r="A23" s="411"/>
      <c r="C23" s="342">
        <f>+MAX($C$14:C22)+1</f>
        <v>8</v>
      </c>
      <c r="D23" s="10"/>
      <c r="E23" s="247" t="s">
        <v>879</v>
      </c>
      <c r="F23" s="247"/>
      <c r="G23" s="19">
        <f t="shared" si="2"/>
        <v>4720760</v>
      </c>
      <c r="H23" s="10"/>
      <c r="I23" s="262"/>
      <c r="J23" s="313">
        <f>J208</f>
        <v>0</v>
      </c>
      <c r="K23" s="313">
        <f t="shared" ref="K23:AA23" si="9">K208</f>
        <v>223764</v>
      </c>
      <c r="L23" s="313">
        <f t="shared" si="9"/>
        <v>1558323</v>
      </c>
      <c r="M23" s="313">
        <f t="shared" si="9"/>
        <v>525893</v>
      </c>
      <c r="N23" s="313">
        <f t="shared" si="9"/>
        <v>0</v>
      </c>
      <c r="O23" s="313">
        <f t="shared" ref="O23:Q25" si="10">O208</f>
        <v>0</v>
      </c>
      <c r="P23" s="313">
        <f t="shared" si="10"/>
        <v>0</v>
      </c>
      <c r="Q23" s="313">
        <f t="shared" si="10"/>
        <v>468771</v>
      </c>
      <c r="R23" s="313">
        <f t="shared" si="9"/>
        <v>172308</v>
      </c>
      <c r="S23" s="313">
        <f t="shared" si="9"/>
        <v>1018268</v>
      </c>
      <c r="T23" s="313">
        <f t="shared" si="9"/>
        <v>138790</v>
      </c>
      <c r="U23" s="313">
        <f t="shared" si="9"/>
        <v>353585</v>
      </c>
      <c r="V23" s="313">
        <f t="shared" si="9"/>
        <v>128405</v>
      </c>
      <c r="W23" s="313">
        <f t="shared" si="9"/>
        <v>89694</v>
      </c>
      <c r="X23" s="313">
        <f t="shared" si="9"/>
        <v>0</v>
      </c>
      <c r="Y23" s="313">
        <f t="shared" si="9"/>
        <v>42959</v>
      </c>
      <c r="Z23" s="313">
        <f t="shared" si="9"/>
        <v>0</v>
      </c>
      <c r="AA23" s="313">
        <f t="shared" si="9"/>
        <v>0</v>
      </c>
      <c r="AB23" s="104"/>
      <c r="AC23" s="190"/>
      <c r="AD23" s="20"/>
      <c r="AE23" s="193">
        <f t="shared" si="1"/>
        <v>0</v>
      </c>
      <c r="AF23" s="20"/>
      <c r="AG23" s="20"/>
    </row>
    <row r="24" spans="1:33" ht="16.5" customHeight="1">
      <c r="A24" s="411"/>
      <c r="C24" s="342">
        <f>+MAX($C$14:C23)+1</f>
        <v>9</v>
      </c>
      <c r="D24" s="10"/>
      <c r="E24" s="247" t="s">
        <v>2746</v>
      </c>
      <c r="F24" s="247"/>
      <c r="G24" s="19">
        <f t="shared" si="2"/>
        <v>0</v>
      </c>
      <c r="H24" s="10"/>
      <c r="I24" s="262"/>
      <c r="J24" s="313">
        <f t="shared" ref="J24:AA25" si="11">J209</f>
        <v>0</v>
      </c>
      <c r="K24" s="313">
        <f t="shared" si="11"/>
        <v>0</v>
      </c>
      <c r="L24" s="313">
        <f t="shared" si="11"/>
        <v>0</v>
      </c>
      <c r="M24" s="313">
        <f t="shared" si="11"/>
        <v>0</v>
      </c>
      <c r="N24" s="313">
        <f t="shared" si="11"/>
        <v>0</v>
      </c>
      <c r="O24" s="313">
        <f t="shared" si="10"/>
        <v>0</v>
      </c>
      <c r="P24" s="313">
        <f t="shared" si="10"/>
        <v>0</v>
      </c>
      <c r="Q24" s="313">
        <f t="shared" si="10"/>
        <v>0</v>
      </c>
      <c r="R24" s="313">
        <f t="shared" si="11"/>
        <v>0</v>
      </c>
      <c r="S24" s="313">
        <f t="shared" si="11"/>
        <v>0</v>
      </c>
      <c r="T24" s="313">
        <f t="shared" si="11"/>
        <v>0</v>
      </c>
      <c r="U24" s="313">
        <f t="shared" si="11"/>
        <v>0</v>
      </c>
      <c r="V24" s="313">
        <f t="shared" si="11"/>
        <v>0</v>
      </c>
      <c r="W24" s="313">
        <f t="shared" si="11"/>
        <v>0</v>
      </c>
      <c r="X24" s="313">
        <f t="shared" si="11"/>
        <v>0</v>
      </c>
      <c r="Y24" s="313">
        <f t="shared" si="11"/>
        <v>0</v>
      </c>
      <c r="Z24" s="313">
        <f t="shared" si="11"/>
        <v>0</v>
      </c>
      <c r="AA24" s="313">
        <f t="shared" si="11"/>
        <v>0</v>
      </c>
      <c r="AB24" s="104"/>
      <c r="AC24" s="190"/>
      <c r="AD24" s="20"/>
      <c r="AE24" s="193"/>
      <c r="AF24" s="20"/>
      <c r="AG24" s="20"/>
    </row>
    <row r="25" spans="1:33" ht="16.5" customHeight="1">
      <c r="A25" s="411"/>
      <c r="C25" s="342">
        <f>+MAX($C$14:C24)+1</f>
        <v>10</v>
      </c>
      <c r="D25" s="10"/>
      <c r="E25" s="247" t="s">
        <v>880</v>
      </c>
      <c r="F25" s="247"/>
      <c r="G25" s="19">
        <f t="shared" si="2"/>
        <v>3787503</v>
      </c>
      <c r="H25" s="10"/>
      <c r="I25" s="262"/>
      <c r="J25" s="313">
        <f t="shared" si="11"/>
        <v>0</v>
      </c>
      <c r="K25" s="313">
        <f t="shared" si="11"/>
        <v>179528</v>
      </c>
      <c r="L25" s="313">
        <f t="shared" si="11"/>
        <v>1250254</v>
      </c>
      <c r="M25" s="313">
        <f t="shared" si="11"/>
        <v>421928</v>
      </c>
      <c r="N25" s="313">
        <f t="shared" si="11"/>
        <v>0</v>
      </c>
      <c r="O25" s="313">
        <f t="shared" si="10"/>
        <v>0</v>
      </c>
      <c r="P25" s="313">
        <f t="shared" si="10"/>
        <v>0</v>
      </c>
      <c r="Q25" s="313">
        <f t="shared" si="10"/>
        <v>376099</v>
      </c>
      <c r="R25" s="313">
        <f t="shared" si="11"/>
        <v>138244</v>
      </c>
      <c r="S25" s="313">
        <f t="shared" si="11"/>
        <v>816964</v>
      </c>
      <c r="T25" s="313">
        <f t="shared" si="11"/>
        <v>111353</v>
      </c>
      <c r="U25" s="313">
        <f t="shared" si="11"/>
        <v>283684</v>
      </c>
      <c r="V25" s="313">
        <f t="shared" si="11"/>
        <v>103020</v>
      </c>
      <c r="W25" s="313">
        <f t="shared" si="11"/>
        <v>71963</v>
      </c>
      <c r="X25" s="313">
        <f t="shared" si="11"/>
        <v>0</v>
      </c>
      <c r="Y25" s="313">
        <f t="shared" si="11"/>
        <v>34466</v>
      </c>
      <c r="Z25" s="313">
        <f t="shared" si="11"/>
        <v>0</v>
      </c>
      <c r="AA25" s="313">
        <f t="shared" si="11"/>
        <v>0</v>
      </c>
      <c r="AB25" s="104"/>
      <c r="AC25" s="190"/>
      <c r="AD25" s="20"/>
      <c r="AE25" s="193">
        <f t="shared" si="1"/>
        <v>0</v>
      </c>
      <c r="AF25" s="20"/>
      <c r="AG25" s="20"/>
    </row>
    <row r="26" spans="1:33" ht="16.5" customHeight="1">
      <c r="A26" s="411"/>
      <c r="C26" s="342">
        <f>+MAX($C$14:C25)+1</f>
        <v>11</v>
      </c>
      <c r="D26" s="10"/>
      <c r="E26" s="247" t="s">
        <v>489</v>
      </c>
      <c r="F26" s="247"/>
      <c r="G26" s="19">
        <f t="shared" si="2"/>
        <v>118743414</v>
      </c>
      <c r="H26" s="10"/>
      <c r="I26" s="262"/>
      <c r="J26" s="313">
        <f>J226</f>
        <v>0</v>
      </c>
      <c r="K26" s="313">
        <f t="shared" ref="K26:AA26" si="12">K226</f>
        <v>99135539</v>
      </c>
      <c r="L26" s="313">
        <f t="shared" si="12"/>
        <v>6627956</v>
      </c>
      <c r="M26" s="313">
        <f t="shared" si="12"/>
        <v>2323286</v>
      </c>
      <c r="N26" s="313">
        <f t="shared" si="12"/>
        <v>0</v>
      </c>
      <c r="O26" s="313">
        <f>O226</f>
        <v>0</v>
      </c>
      <c r="P26" s="313">
        <f>P226</f>
        <v>0</v>
      </c>
      <c r="Q26" s="313">
        <f>Q226</f>
        <v>2069949</v>
      </c>
      <c r="R26" s="313">
        <f t="shared" si="12"/>
        <v>762071</v>
      </c>
      <c r="S26" s="313">
        <f t="shared" si="12"/>
        <v>4498277</v>
      </c>
      <c r="T26" s="313">
        <f t="shared" si="12"/>
        <v>611716</v>
      </c>
      <c r="U26" s="313">
        <f t="shared" si="12"/>
        <v>1563275</v>
      </c>
      <c r="V26" s="313">
        <f t="shared" si="12"/>
        <v>566404</v>
      </c>
      <c r="W26" s="313">
        <f t="shared" si="12"/>
        <v>395453</v>
      </c>
      <c r="X26" s="313">
        <f t="shared" si="12"/>
        <v>0</v>
      </c>
      <c r="Y26" s="313">
        <f t="shared" si="12"/>
        <v>189488</v>
      </c>
      <c r="Z26" s="313">
        <f t="shared" si="12"/>
        <v>0</v>
      </c>
      <c r="AA26" s="313">
        <f t="shared" si="12"/>
        <v>0</v>
      </c>
      <c r="AB26" s="104"/>
      <c r="AC26" s="190"/>
      <c r="AD26" s="20"/>
      <c r="AE26" s="193">
        <f t="shared" si="1"/>
        <v>0</v>
      </c>
      <c r="AF26" s="20"/>
      <c r="AG26" s="20"/>
    </row>
    <row r="27" spans="1:33" ht="16.5" customHeight="1">
      <c r="A27" s="411"/>
      <c r="C27" s="342">
        <f>+MAX($C$14:C26)+1</f>
        <v>12</v>
      </c>
      <c r="D27" s="10"/>
      <c r="E27" s="247" t="s">
        <v>711</v>
      </c>
      <c r="F27" s="247"/>
      <c r="G27" s="19">
        <f t="shared" si="2"/>
        <v>31901861</v>
      </c>
      <c r="H27" s="10"/>
      <c r="I27" s="262"/>
      <c r="J27" s="313">
        <f>J219</f>
        <v>0</v>
      </c>
      <c r="K27" s="313">
        <f t="shared" ref="K27:AA27" si="13">K219</f>
        <v>1531289</v>
      </c>
      <c r="L27" s="313">
        <f t="shared" si="13"/>
        <v>10266019</v>
      </c>
      <c r="M27" s="313">
        <f t="shared" si="13"/>
        <v>3598530</v>
      </c>
      <c r="N27" s="313">
        <f t="shared" si="13"/>
        <v>0</v>
      </c>
      <c r="O27" s="313">
        <f>O219</f>
        <v>0</v>
      </c>
      <c r="P27" s="313">
        <f>P219</f>
        <v>0</v>
      </c>
      <c r="Q27" s="313">
        <f>Q219</f>
        <v>3206137</v>
      </c>
      <c r="R27" s="313">
        <f t="shared" si="13"/>
        <v>1180369</v>
      </c>
      <c r="S27" s="313">
        <f t="shared" si="13"/>
        <v>6967367</v>
      </c>
      <c r="T27" s="313">
        <f t="shared" si="13"/>
        <v>947485</v>
      </c>
      <c r="U27" s="313">
        <f t="shared" si="13"/>
        <v>2421351</v>
      </c>
      <c r="V27" s="313">
        <f t="shared" si="13"/>
        <v>877301</v>
      </c>
      <c r="W27" s="313">
        <f t="shared" si="13"/>
        <v>612516</v>
      </c>
      <c r="X27" s="313">
        <f t="shared" si="13"/>
        <v>0</v>
      </c>
      <c r="Y27" s="313">
        <f t="shared" si="13"/>
        <v>293497</v>
      </c>
      <c r="Z27" s="313">
        <f t="shared" si="13"/>
        <v>0</v>
      </c>
      <c r="AA27" s="313">
        <f t="shared" si="13"/>
        <v>0</v>
      </c>
      <c r="AB27" s="104"/>
      <c r="AC27" s="190"/>
      <c r="AD27" s="20"/>
      <c r="AE27" s="193">
        <f t="shared" si="1"/>
        <v>0</v>
      </c>
      <c r="AF27" s="20"/>
      <c r="AG27" s="20"/>
    </row>
    <row r="28" spans="1:33" ht="5.25" customHeight="1">
      <c r="A28" s="411"/>
      <c r="C28" s="342"/>
      <c r="D28" s="10"/>
      <c r="E28" s="206"/>
      <c r="F28" s="206"/>
      <c r="G28" s="308"/>
      <c r="H28" s="10"/>
      <c r="I28" s="262"/>
      <c r="J28" s="17"/>
      <c r="K28" s="17"/>
      <c r="L28" s="17"/>
      <c r="M28" s="17"/>
      <c r="N28" s="17"/>
      <c r="O28" s="17"/>
      <c r="P28" s="17"/>
      <c r="Q28" s="17"/>
      <c r="R28" s="17"/>
      <c r="S28" s="17"/>
      <c r="T28" s="17"/>
      <c r="U28" s="17"/>
      <c r="V28" s="17"/>
      <c r="W28" s="17"/>
      <c r="X28" s="17"/>
      <c r="Y28" s="17"/>
      <c r="Z28" s="17"/>
      <c r="AA28" s="17"/>
      <c r="AB28" s="104"/>
      <c r="AC28" s="190"/>
      <c r="AD28" s="20"/>
      <c r="AE28" s="193">
        <f t="shared" si="1"/>
        <v>0</v>
      </c>
      <c r="AF28" s="20"/>
      <c r="AG28" s="20"/>
    </row>
    <row r="29" spans="1:33" ht="16.5" customHeight="1">
      <c r="A29" s="411"/>
      <c r="C29" s="342">
        <f>+MAX(C$15:C28)+1</f>
        <v>13</v>
      </c>
      <c r="D29" s="10"/>
      <c r="E29" s="206" t="s">
        <v>662</v>
      </c>
      <c r="F29" s="206"/>
      <c r="G29" s="340">
        <f>SUM(G16:G28)</f>
        <v>449688312</v>
      </c>
      <c r="H29" s="10"/>
      <c r="I29" s="262"/>
      <c r="J29" s="340">
        <f>SUM(J16:J28)</f>
        <v>23379673</v>
      </c>
      <c r="K29" s="340">
        <f t="shared" ref="K29:AA29" si="14">SUM(K16:K28)</f>
        <v>312263880</v>
      </c>
      <c r="L29" s="340">
        <f t="shared" si="14"/>
        <v>27513087</v>
      </c>
      <c r="M29" s="340">
        <f t="shared" si="14"/>
        <v>14889179</v>
      </c>
      <c r="N29" s="340">
        <f t="shared" si="14"/>
        <v>1322724</v>
      </c>
      <c r="O29" s="340">
        <f>SUM(O16:O28)</f>
        <v>0</v>
      </c>
      <c r="P29" s="340">
        <f>SUM(P16:P28)</f>
        <v>0</v>
      </c>
      <c r="Q29" s="340">
        <f>SUM(Q16:Q28)</f>
        <v>9101019</v>
      </c>
      <c r="R29" s="340">
        <f t="shared" si="14"/>
        <v>3858703</v>
      </c>
      <c r="S29" s="340">
        <f t="shared" si="14"/>
        <v>23272478</v>
      </c>
      <c r="T29" s="340">
        <f t="shared" si="14"/>
        <v>3023269</v>
      </c>
      <c r="U29" s="340">
        <f t="shared" si="14"/>
        <v>7795142</v>
      </c>
      <c r="V29" s="340">
        <f t="shared" si="14"/>
        <v>2491308</v>
      </c>
      <c r="W29" s="340">
        <f t="shared" si="14"/>
        <v>5950401</v>
      </c>
      <c r="X29" s="340">
        <f t="shared" si="14"/>
        <v>10727008</v>
      </c>
      <c r="Y29" s="340">
        <f t="shared" si="14"/>
        <v>844895</v>
      </c>
      <c r="Z29" s="340">
        <f t="shared" si="14"/>
        <v>3255546</v>
      </c>
      <c r="AA29" s="340">
        <f t="shared" si="14"/>
        <v>0</v>
      </c>
      <c r="AB29" s="105"/>
      <c r="AC29" s="190"/>
      <c r="AD29" s="20"/>
      <c r="AE29" s="193">
        <f t="shared" si="1"/>
        <v>0</v>
      </c>
      <c r="AF29" s="20"/>
      <c r="AG29" s="20"/>
    </row>
    <row r="30" spans="1:33" ht="5.25" customHeight="1">
      <c r="A30" s="411"/>
      <c r="C30" s="342"/>
      <c r="D30" s="10"/>
      <c r="E30" s="206"/>
      <c r="F30" s="206"/>
      <c r="G30" s="308"/>
      <c r="H30" s="10"/>
      <c r="I30" s="262"/>
      <c r="J30" s="313"/>
      <c r="K30" s="313"/>
      <c r="L30" s="313"/>
      <c r="M30" s="313"/>
      <c r="N30" s="313"/>
      <c r="O30" s="313"/>
      <c r="P30" s="313"/>
      <c r="Q30" s="313"/>
      <c r="R30" s="313"/>
      <c r="S30" s="313"/>
      <c r="T30" s="313"/>
      <c r="U30" s="313"/>
      <c r="V30" s="313"/>
      <c r="W30" s="313"/>
      <c r="X30" s="313"/>
      <c r="Y30" s="313"/>
      <c r="Z30" s="313"/>
      <c r="AA30" s="313"/>
      <c r="AB30" s="104"/>
      <c r="AC30" s="190"/>
      <c r="AD30" s="20"/>
      <c r="AE30" s="193">
        <f t="shared" si="1"/>
        <v>0</v>
      </c>
      <c r="AF30" s="20"/>
      <c r="AG30" s="20"/>
    </row>
    <row r="31" spans="1:33" ht="16.5" customHeight="1">
      <c r="A31" s="411"/>
      <c r="C31" s="342">
        <f>+MAX(C$15:C30)+1</f>
        <v>14</v>
      </c>
      <c r="D31" s="10"/>
      <c r="E31" s="206" t="s">
        <v>664</v>
      </c>
      <c r="F31" s="206"/>
      <c r="G31" s="308"/>
      <c r="H31" s="10"/>
      <c r="I31" s="262"/>
      <c r="J31" s="313"/>
      <c r="K31" s="313"/>
      <c r="L31" s="313"/>
      <c r="M31" s="313"/>
      <c r="N31" s="313"/>
      <c r="O31" s="313"/>
      <c r="P31" s="313"/>
      <c r="Q31" s="313"/>
      <c r="R31" s="313"/>
      <c r="S31" s="313"/>
      <c r="T31" s="313"/>
      <c r="U31" s="313"/>
      <c r="V31" s="313"/>
      <c r="W31" s="313"/>
      <c r="X31" s="313"/>
      <c r="Y31" s="313"/>
      <c r="Z31" s="313"/>
      <c r="AA31" s="313"/>
      <c r="AB31" s="104"/>
      <c r="AC31" s="190"/>
      <c r="AD31" s="20"/>
      <c r="AE31" s="193">
        <f t="shared" si="1"/>
        <v>0</v>
      </c>
      <c r="AF31" s="20"/>
      <c r="AG31" s="20"/>
    </row>
    <row r="32" spans="1:33" ht="16.5" customHeight="1">
      <c r="A32" s="411"/>
      <c r="C32" s="342">
        <f>+MAX(C$15:C31)+1</f>
        <v>15</v>
      </c>
      <c r="D32" s="252"/>
      <c r="E32" s="252" t="s">
        <v>389</v>
      </c>
      <c r="F32" s="252"/>
      <c r="G32" s="308">
        <f>SUM(J32:AA32)</f>
        <v>-157416095</v>
      </c>
      <c r="H32" s="10"/>
      <c r="I32" s="366"/>
      <c r="J32" s="308">
        <f>J238</f>
        <v>-8855338</v>
      </c>
      <c r="K32" s="308">
        <f t="shared" ref="K32:AA32" si="15">K238</f>
        <v>-113898121</v>
      </c>
      <c r="L32" s="308">
        <f t="shared" si="15"/>
        <v>-11069776</v>
      </c>
      <c r="M32" s="308">
        <f t="shared" si="15"/>
        <v>-3869072</v>
      </c>
      <c r="N32" s="308">
        <f t="shared" si="15"/>
        <v>0</v>
      </c>
      <c r="O32" s="308">
        <f>O238</f>
        <v>0</v>
      </c>
      <c r="P32" s="308">
        <f>P238</f>
        <v>0</v>
      </c>
      <c r="Q32" s="308">
        <f>Q238</f>
        <v>-3449089</v>
      </c>
      <c r="R32" s="308">
        <f t="shared" si="15"/>
        <v>-1308844</v>
      </c>
      <c r="S32" s="308">
        <f t="shared" si="15"/>
        <v>-7719482</v>
      </c>
      <c r="T32" s="308">
        <f t="shared" si="15"/>
        <v>-1055982</v>
      </c>
      <c r="U32" s="308">
        <f t="shared" si="15"/>
        <v>-2689371</v>
      </c>
      <c r="V32" s="308">
        <f t="shared" si="15"/>
        <v>-944667</v>
      </c>
      <c r="W32" s="308">
        <f t="shared" si="15"/>
        <v>-659725</v>
      </c>
      <c r="X32" s="308">
        <f t="shared" si="15"/>
        <v>0</v>
      </c>
      <c r="Y32" s="308">
        <f t="shared" si="15"/>
        <v>-315845</v>
      </c>
      <c r="Z32" s="308">
        <f t="shared" si="15"/>
        <v>-1580783</v>
      </c>
      <c r="AA32" s="308">
        <f t="shared" si="15"/>
        <v>0</v>
      </c>
      <c r="AB32" s="215"/>
      <c r="AC32" s="190"/>
      <c r="AD32" s="20"/>
      <c r="AE32" s="193">
        <f t="shared" si="1"/>
        <v>0</v>
      </c>
      <c r="AF32" s="20"/>
      <c r="AG32" s="20"/>
    </row>
    <row r="33" spans="1:33" ht="16.5" customHeight="1">
      <c r="A33" s="411"/>
      <c r="C33" s="342">
        <f>+MAX(C$15:C32)+1</f>
        <v>16</v>
      </c>
      <c r="D33" s="17"/>
      <c r="E33" s="247" t="s">
        <v>2750</v>
      </c>
      <c r="F33" s="247"/>
      <c r="G33" s="19">
        <f>SUM(J33:AA33)</f>
        <v>-2343733</v>
      </c>
      <c r="H33" s="10"/>
      <c r="I33" s="262"/>
      <c r="J33" s="313">
        <f>J246</f>
        <v>0</v>
      </c>
      <c r="K33" s="313">
        <f t="shared" ref="K33:AA33" si="16">K246</f>
        <v>0</v>
      </c>
      <c r="L33" s="313">
        <f t="shared" si="16"/>
        <v>0</v>
      </c>
      <c r="M33" s="313">
        <f t="shared" si="16"/>
        <v>-558043</v>
      </c>
      <c r="N33" s="313">
        <f t="shared" si="16"/>
        <v>0</v>
      </c>
      <c r="O33" s="313">
        <f t="shared" si="16"/>
        <v>0</v>
      </c>
      <c r="P33" s="313">
        <f t="shared" si="16"/>
        <v>0</v>
      </c>
      <c r="Q33" s="313">
        <f t="shared" si="16"/>
        <v>0</v>
      </c>
      <c r="R33" s="313">
        <f t="shared" si="16"/>
        <v>-182811</v>
      </c>
      <c r="S33" s="313">
        <f t="shared" si="16"/>
        <v>-1080461</v>
      </c>
      <c r="T33" s="313">
        <f t="shared" si="16"/>
        <v>-146952</v>
      </c>
      <c r="U33" s="313">
        <f t="shared" si="16"/>
        <v>-375466</v>
      </c>
      <c r="V33" s="313">
        <f t="shared" si="16"/>
        <v>0</v>
      </c>
      <c r="W33" s="313">
        <f t="shared" si="16"/>
        <v>0</v>
      </c>
      <c r="X33" s="313">
        <f t="shared" si="16"/>
        <v>0</v>
      </c>
      <c r="Y33" s="313">
        <f t="shared" si="16"/>
        <v>0</v>
      </c>
      <c r="Z33" s="313">
        <f t="shared" si="16"/>
        <v>0</v>
      </c>
      <c r="AA33" s="313">
        <f t="shared" si="16"/>
        <v>0</v>
      </c>
      <c r="AB33" s="104"/>
      <c r="AC33" s="190"/>
      <c r="AD33" s="20"/>
      <c r="AE33" s="193">
        <f t="shared" si="1"/>
        <v>0</v>
      </c>
      <c r="AF33" s="20"/>
      <c r="AG33" s="20"/>
    </row>
    <row r="34" spans="1:33" ht="5.25" customHeight="1">
      <c r="A34" s="411"/>
      <c r="C34" s="342"/>
      <c r="D34" s="17"/>
      <c r="E34" s="206"/>
      <c r="F34" s="206"/>
      <c r="G34" s="308"/>
      <c r="H34" s="10"/>
      <c r="J34" s="17"/>
      <c r="K34" s="17"/>
      <c r="L34" s="17"/>
      <c r="M34" s="17"/>
      <c r="N34" s="17"/>
      <c r="O34" s="17"/>
      <c r="P34" s="17"/>
      <c r="Q34" s="17"/>
      <c r="R34" s="17"/>
      <c r="S34" s="17"/>
      <c r="T34" s="17"/>
      <c r="U34" s="17"/>
      <c r="V34" s="17"/>
      <c r="W34" s="17"/>
      <c r="X34" s="17"/>
      <c r="Y34" s="17"/>
      <c r="Z34" s="17"/>
      <c r="AA34" s="17"/>
      <c r="AB34" s="87"/>
      <c r="AC34" s="190"/>
      <c r="AD34" s="20"/>
      <c r="AE34" s="193">
        <f t="shared" si="1"/>
        <v>0</v>
      </c>
      <c r="AF34" s="20"/>
      <c r="AG34" s="20"/>
    </row>
    <row r="35" spans="1:33" ht="16.5" customHeight="1">
      <c r="A35" s="411"/>
      <c r="C35" s="342">
        <f>+MAX(C$15:C34)+1</f>
        <v>17</v>
      </c>
      <c r="D35" s="10"/>
      <c r="E35" s="206" t="s">
        <v>305</v>
      </c>
      <c r="F35" s="206"/>
      <c r="G35" s="340">
        <f>SUM(G32:G33)</f>
        <v>-159759828</v>
      </c>
      <c r="H35" s="10"/>
      <c r="I35" s="262"/>
      <c r="J35" s="340">
        <f>SUM(J32:J34)</f>
        <v>-8855338</v>
      </c>
      <c r="K35" s="340">
        <f t="shared" ref="K35:AA35" si="17">SUM(K32:K34)</f>
        <v>-113898121</v>
      </c>
      <c r="L35" s="340">
        <f t="shared" si="17"/>
        <v>-11069776</v>
      </c>
      <c r="M35" s="340">
        <f t="shared" si="17"/>
        <v>-4427115</v>
      </c>
      <c r="N35" s="340">
        <f t="shared" si="17"/>
        <v>0</v>
      </c>
      <c r="O35" s="340">
        <f>SUM(O32:O34)</f>
        <v>0</v>
      </c>
      <c r="P35" s="340">
        <f>SUM(P32:P34)</f>
        <v>0</v>
      </c>
      <c r="Q35" s="340">
        <f>SUM(Q32:Q34)</f>
        <v>-3449089</v>
      </c>
      <c r="R35" s="340">
        <f t="shared" si="17"/>
        <v>-1491655</v>
      </c>
      <c r="S35" s="340">
        <f t="shared" si="17"/>
        <v>-8799943</v>
      </c>
      <c r="T35" s="340">
        <f t="shared" si="17"/>
        <v>-1202934</v>
      </c>
      <c r="U35" s="340">
        <f t="shared" si="17"/>
        <v>-3064837</v>
      </c>
      <c r="V35" s="340">
        <f t="shared" si="17"/>
        <v>-944667</v>
      </c>
      <c r="W35" s="340">
        <f t="shared" si="17"/>
        <v>-659725</v>
      </c>
      <c r="X35" s="340">
        <f t="shared" si="17"/>
        <v>0</v>
      </c>
      <c r="Y35" s="340">
        <f t="shared" si="17"/>
        <v>-315845</v>
      </c>
      <c r="Z35" s="340">
        <f t="shared" si="17"/>
        <v>-1580783</v>
      </c>
      <c r="AA35" s="340">
        <f t="shared" si="17"/>
        <v>0</v>
      </c>
      <c r="AB35" s="105"/>
      <c r="AC35" s="190"/>
      <c r="AD35" s="20"/>
      <c r="AE35" s="193">
        <f t="shared" si="1"/>
        <v>0</v>
      </c>
      <c r="AF35" s="20"/>
      <c r="AG35" s="20"/>
    </row>
    <row r="36" spans="1:33" ht="5.25" customHeight="1">
      <c r="A36" s="411"/>
      <c r="C36" s="342"/>
      <c r="D36" s="10"/>
      <c r="E36" s="206"/>
      <c r="F36" s="206"/>
      <c r="G36" s="308"/>
      <c r="H36" s="10"/>
      <c r="I36" s="262"/>
      <c r="J36" s="313"/>
      <c r="K36" s="313"/>
      <c r="L36" s="313"/>
      <c r="M36" s="313"/>
      <c r="N36" s="313"/>
      <c r="O36" s="313"/>
      <c r="P36" s="313"/>
      <c r="Q36" s="313"/>
      <c r="R36" s="313"/>
      <c r="S36" s="313"/>
      <c r="T36" s="313"/>
      <c r="U36" s="313"/>
      <c r="V36" s="313"/>
      <c r="W36" s="313"/>
      <c r="X36" s="313"/>
      <c r="Y36" s="313"/>
      <c r="Z36" s="313"/>
      <c r="AA36" s="313"/>
      <c r="AB36" s="104"/>
      <c r="AC36" s="190"/>
      <c r="AD36" s="20"/>
      <c r="AE36" s="193">
        <f t="shared" si="1"/>
        <v>0</v>
      </c>
      <c r="AF36" s="20"/>
      <c r="AG36" s="20"/>
    </row>
    <row r="37" spans="1:33" ht="5.25" customHeight="1">
      <c r="A37" s="411"/>
      <c r="C37" s="342"/>
      <c r="D37" s="10"/>
      <c r="E37" s="206"/>
      <c r="F37" s="206"/>
      <c r="G37" s="461"/>
      <c r="H37" s="10"/>
      <c r="I37" s="262"/>
      <c r="J37" s="315"/>
      <c r="K37" s="315"/>
      <c r="L37" s="315"/>
      <c r="M37" s="315"/>
      <c r="N37" s="315"/>
      <c r="O37" s="315"/>
      <c r="P37" s="315"/>
      <c r="Q37" s="315"/>
      <c r="R37" s="315"/>
      <c r="S37" s="315"/>
      <c r="T37" s="315"/>
      <c r="U37" s="315"/>
      <c r="V37" s="315"/>
      <c r="W37" s="315"/>
      <c r="X37" s="315"/>
      <c r="Y37" s="315"/>
      <c r="Z37" s="315"/>
      <c r="AA37" s="315"/>
      <c r="AB37" s="104"/>
      <c r="AC37" s="190"/>
      <c r="AD37" s="20"/>
      <c r="AE37" s="193">
        <f t="shared" si="1"/>
        <v>0</v>
      </c>
      <c r="AF37" s="20"/>
      <c r="AG37" s="20"/>
    </row>
    <row r="38" spans="1:33" ht="16.5" customHeight="1">
      <c r="A38" s="411"/>
      <c r="C38" s="342">
        <f>+MAX(C$15:C36)+1</f>
        <v>18</v>
      </c>
      <c r="D38" s="10"/>
      <c r="E38" s="206" t="s">
        <v>665</v>
      </c>
      <c r="F38" s="206"/>
      <c r="G38" s="311">
        <f>G29+G35</f>
        <v>289928484</v>
      </c>
      <c r="H38" s="10"/>
      <c r="I38" s="262"/>
      <c r="J38" s="311">
        <f>J29+J35</f>
        <v>14524335</v>
      </c>
      <c r="K38" s="311">
        <f t="shared" ref="K38:AA38" si="18">K29+K35</f>
        <v>198365759</v>
      </c>
      <c r="L38" s="311">
        <f t="shared" si="18"/>
        <v>16443311</v>
      </c>
      <c r="M38" s="311">
        <f t="shared" si="18"/>
        <v>10462064</v>
      </c>
      <c r="N38" s="311">
        <f t="shared" si="18"/>
        <v>1322724</v>
      </c>
      <c r="O38" s="311">
        <f>O29+O35</f>
        <v>0</v>
      </c>
      <c r="P38" s="311">
        <f>P29+P35</f>
        <v>0</v>
      </c>
      <c r="Q38" s="311">
        <f>Q29+Q35</f>
        <v>5651930</v>
      </c>
      <c r="R38" s="311">
        <f t="shared" si="18"/>
        <v>2367048</v>
      </c>
      <c r="S38" s="311">
        <f t="shared" si="18"/>
        <v>14472535</v>
      </c>
      <c r="T38" s="311">
        <f t="shared" si="18"/>
        <v>1820335</v>
      </c>
      <c r="U38" s="311">
        <f t="shared" si="18"/>
        <v>4730305</v>
      </c>
      <c r="V38" s="311">
        <f t="shared" si="18"/>
        <v>1546641</v>
      </c>
      <c r="W38" s="311">
        <f t="shared" si="18"/>
        <v>5290676</v>
      </c>
      <c r="X38" s="311">
        <f t="shared" si="18"/>
        <v>10727008</v>
      </c>
      <c r="Y38" s="311">
        <f t="shared" si="18"/>
        <v>529050</v>
      </c>
      <c r="Z38" s="311">
        <f t="shared" si="18"/>
        <v>1674763</v>
      </c>
      <c r="AA38" s="311">
        <f t="shared" si="18"/>
        <v>0</v>
      </c>
      <c r="AB38" s="105"/>
      <c r="AC38" s="190"/>
      <c r="AD38" s="20"/>
      <c r="AE38" s="193">
        <f t="shared" si="1"/>
        <v>0</v>
      </c>
      <c r="AF38" s="20"/>
      <c r="AG38" s="20"/>
    </row>
    <row r="39" spans="1:33" ht="5.25" customHeight="1">
      <c r="A39" s="411"/>
      <c r="C39" s="342"/>
      <c r="D39" s="10"/>
      <c r="E39" s="206"/>
      <c r="F39" s="206"/>
      <c r="G39" s="343"/>
      <c r="H39" s="262"/>
      <c r="I39" s="262"/>
      <c r="J39" s="313"/>
      <c r="K39" s="313"/>
      <c r="L39" s="313"/>
      <c r="M39" s="313"/>
      <c r="N39" s="313"/>
      <c r="O39" s="313"/>
      <c r="P39" s="313"/>
      <c r="Q39" s="313"/>
      <c r="R39" s="313"/>
      <c r="S39" s="313"/>
      <c r="T39" s="313"/>
      <c r="U39" s="313"/>
      <c r="V39" s="313"/>
      <c r="W39" s="313"/>
      <c r="X39" s="313"/>
      <c r="Y39" s="313"/>
      <c r="Z39" s="313"/>
      <c r="AA39" s="328"/>
      <c r="AB39" s="104"/>
      <c r="AC39" s="190"/>
      <c r="AD39" s="20"/>
      <c r="AE39" s="193">
        <f t="shared" si="1"/>
        <v>0</v>
      </c>
      <c r="AF39" s="20"/>
      <c r="AG39" s="20"/>
    </row>
    <row r="40" spans="1:33">
      <c r="A40" s="411"/>
      <c r="C40" s="342"/>
      <c r="D40" s="10"/>
      <c r="E40" s="17"/>
      <c r="F40" s="17"/>
      <c r="G40" s="308"/>
      <c r="J40" s="308"/>
      <c r="K40" s="308"/>
      <c r="L40" s="308"/>
      <c r="M40" s="308"/>
      <c r="N40" s="308"/>
      <c r="O40" s="308"/>
      <c r="P40" s="308"/>
      <c r="Q40" s="308"/>
      <c r="R40" s="308"/>
      <c r="S40" s="308"/>
      <c r="T40" s="308"/>
      <c r="U40" s="308"/>
      <c r="V40" s="308"/>
      <c r="W40" s="308"/>
      <c r="X40" s="308"/>
      <c r="Y40" s="308"/>
      <c r="Z40" s="308"/>
      <c r="AA40" s="308"/>
      <c r="AB40" s="215"/>
      <c r="AC40" s="190"/>
      <c r="AD40" s="20"/>
      <c r="AE40" s="193">
        <f t="shared" si="1"/>
        <v>0</v>
      </c>
      <c r="AF40" s="20"/>
      <c r="AG40" s="20"/>
    </row>
    <row r="41" spans="1:33" ht="16.5" customHeight="1">
      <c r="A41" s="411"/>
      <c r="C41" s="342"/>
      <c r="D41" s="10"/>
      <c r="E41" s="207" t="s">
        <v>110</v>
      </c>
      <c r="F41" s="207"/>
      <c r="G41" s="17"/>
      <c r="J41" s="19"/>
      <c r="K41" s="19"/>
      <c r="L41" s="19"/>
      <c r="M41" s="19"/>
      <c r="N41" s="19"/>
      <c r="O41" s="19"/>
      <c r="P41" s="19"/>
      <c r="Q41" s="19"/>
      <c r="R41" s="19"/>
      <c r="S41" s="19"/>
      <c r="T41" s="19"/>
      <c r="U41" s="19"/>
      <c r="V41" s="19"/>
      <c r="W41" s="19"/>
      <c r="X41" s="19"/>
      <c r="Y41" s="19"/>
      <c r="Z41" s="19"/>
      <c r="AA41" s="19"/>
      <c r="AB41" s="87"/>
      <c r="AC41" s="190"/>
      <c r="AD41" s="20"/>
      <c r="AE41" s="193">
        <f t="shared" si="1"/>
        <v>0</v>
      </c>
      <c r="AF41" s="20"/>
      <c r="AG41" s="20"/>
    </row>
    <row r="42" spans="1:33" ht="5.25" customHeight="1">
      <c r="A42" s="411"/>
      <c r="C42" s="342"/>
      <c r="D42" s="10"/>
      <c r="E42" s="17"/>
      <c r="F42" s="17"/>
      <c r="G42" s="17"/>
      <c r="J42" s="308"/>
      <c r="K42" s="17"/>
      <c r="L42" s="17"/>
      <c r="M42" s="17"/>
      <c r="N42" s="17"/>
      <c r="O42" s="17"/>
      <c r="P42" s="17"/>
      <c r="Q42" s="17"/>
      <c r="R42" s="17"/>
      <c r="S42" s="17"/>
      <c r="T42" s="17"/>
      <c r="U42" s="17"/>
      <c r="V42" s="17"/>
      <c r="W42" s="17"/>
      <c r="X42" s="17"/>
      <c r="Y42" s="17"/>
      <c r="Z42" s="17"/>
      <c r="AA42" s="325"/>
      <c r="AB42" s="87"/>
      <c r="AC42" s="190"/>
      <c r="AD42" s="20"/>
      <c r="AE42" s="193">
        <f t="shared" si="1"/>
        <v>0</v>
      </c>
      <c r="AF42" s="20"/>
      <c r="AG42" s="20"/>
    </row>
    <row r="43" spans="1:33" ht="16.5" customHeight="1">
      <c r="A43" s="411"/>
      <c r="C43" s="342">
        <f>+MAX(C$15:C42)+1</f>
        <v>19</v>
      </c>
      <c r="D43" s="10"/>
      <c r="E43" s="206" t="s">
        <v>388</v>
      </c>
      <c r="F43" s="206"/>
      <c r="G43" s="17"/>
      <c r="J43" s="17"/>
      <c r="K43" s="17"/>
      <c r="L43" s="17"/>
      <c r="M43" s="17"/>
      <c r="N43" s="17"/>
      <c r="O43" s="17"/>
      <c r="P43" s="17"/>
      <c r="Q43" s="17"/>
      <c r="R43" s="17"/>
      <c r="S43" s="17"/>
      <c r="T43" s="17"/>
      <c r="U43" s="17"/>
      <c r="V43" s="17"/>
      <c r="W43" s="17"/>
      <c r="X43" s="17"/>
      <c r="Y43" s="17"/>
      <c r="Z43" s="17"/>
      <c r="AA43" s="325"/>
      <c r="AB43" s="87"/>
      <c r="AC43" s="190"/>
      <c r="AD43" s="20"/>
      <c r="AE43" s="193">
        <f t="shared" si="1"/>
        <v>0</v>
      </c>
      <c r="AF43" s="20"/>
      <c r="AG43" s="20"/>
    </row>
    <row r="44" spans="1:33" ht="5.25" customHeight="1">
      <c r="A44" s="411"/>
      <c r="C44" s="342"/>
      <c r="D44" s="10"/>
      <c r="E44" s="206"/>
      <c r="F44" s="206"/>
      <c r="G44" s="17"/>
      <c r="J44" s="17"/>
      <c r="K44" s="17"/>
      <c r="L44" s="17"/>
      <c r="M44" s="17"/>
      <c r="N44" s="17"/>
      <c r="O44" s="17"/>
      <c r="P44" s="17"/>
      <c r="Q44" s="17"/>
      <c r="R44" s="17"/>
      <c r="S44" s="17"/>
      <c r="T44" s="17"/>
      <c r="U44" s="17"/>
      <c r="V44" s="17"/>
      <c r="W44" s="17"/>
      <c r="X44" s="17"/>
      <c r="Y44" s="17"/>
      <c r="Z44" s="17"/>
      <c r="AA44" s="325"/>
      <c r="AB44" s="87"/>
      <c r="AC44" s="190"/>
      <c r="AD44" s="20"/>
      <c r="AE44" s="193">
        <f t="shared" si="1"/>
        <v>0</v>
      </c>
      <c r="AF44" s="20"/>
      <c r="AG44" s="20"/>
    </row>
    <row r="45" spans="1:33" ht="16.5" customHeight="1" thickBot="1">
      <c r="A45" s="411"/>
      <c r="C45" s="342">
        <f>+MAX(C$15:C44)+1</f>
        <v>20</v>
      </c>
      <c r="D45" s="10"/>
      <c r="E45" s="206" t="s">
        <v>698</v>
      </c>
      <c r="F45" s="206"/>
      <c r="G45" s="17"/>
      <c r="J45" s="17"/>
      <c r="K45" s="17"/>
      <c r="L45" s="17"/>
      <c r="M45" s="17"/>
      <c r="N45" s="17"/>
      <c r="O45" s="17"/>
      <c r="P45" s="17"/>
      <c r="Q45" s="17"/>
      <c r="R45" s="17"/>
      <c r="S45" s="17"/>
      <c r="T45" s="17"/>
      <c r="U45" s="17"/>
      <c r="V45" s="17"/>
      <c r="W45" s="17"/>
      <c r="X45" s="17"/>
      <c r="Y45" s="17"/>
      <c r="Z45" s="17"/>
      <c r="AA45" s="325"/>
      <c r="AB45" s="87"/>
      <c r="AC45" s="190"/>
      <c r="AD45" s="20"/>
      <c r="AE45" s="193">
        <f t="shared" si="1"/>
        <v>0</v>
      </c>
      <c r="AF45" s="20"/>
      <c r="AG45" s="20"/>
    </row>
    <row r="46" spans="1:33" ht="16.5" customHeight="1">
      <c r="A46" s="411"/>
      <c r="C46" s="342">
        <f>+MAX(C$15:C45)+1</f>
        <v>21</v>
      </c>
      <c r="D46" s="165">
        <f>'O&amp;M_Summ'!D9</f>
        <v>555010</v>
      </c>
      <c r="E46" s="252" t="str">
        <f>'O&amp;M_Summ'!E9</f>
        <v>PURC POWER, BPA</v>
      </c>
      <c r="F46" s="252"/>
      <c r="G46" s="308">
        <f>INDEX('O&amp;M_Summ'!$F$9:$W$156,MATCH($E46,'O&amp;M_Summ'!$E$9:$E$156,0),MATCH($E$5,'O&amp;M_Summ'!$F$6:$W$6,0))</f>
        <v>2047252.48</v>
      </c>
      <c r="H46" s="188" t="s">
        <v>605</v>
      </c>
      <c r="I46" s="366"/>
      <c r="J46" s="308">
        <f t="shared" ref="J46:S55" si="19">+ROUND($G46*SUMIF($E$260:$E$302,$H46,J$260:J$302),$AD$10)</f>
        <v>2047252</v>
      </c>
      <c r="K46" s="308">
        <f t="shared" si="19"/>
        <v>0</v>
      </c>
      <c r="L46" s="308">
        <f t="shared" si="19"/>
        <v>0</v>
      </c>
      <c r="M46" s="308">
        <f t="shared" si="19"/>
        <v>0</v>
      </c>
      <c r="N46" s="308">
        <f t="shared" si="19"/>
        <v>0</v>
      </c>
      <c r="O46" s="308">
        <f t="shared" si="19"/>
        <v>0</v>
      </c>
      <c r="P46" s="308">
        <f t="shared" si="19"/>
        <v>0</v>
      </c>
      <c r="Q46" s="308">
        <f t="shared" si="19"/>
        <v>0</v>
      </c>
      <c r="R46" s="308">
        <f t="shared" si="19"/>
        <v>0</v>
      </c>
      <c r="S46" s="308">
        <f t="shared" si="19"/>
        <v>0</v>
      </c>
      <c r="T46" s="308">
        <f t="shared" ref="T46:AA55" si="20">+ROUND($G46*SUMIF($E$260:$E$302,$H46,T$260:T$302),$AD$10)</f>
        <v>0</v>
      </c>
      <c r="U46" s="308">
        <f t="shared" si="20"/>
        <v>0</v>
      </c>
      <c r="V46" s="308">
        <f t="shared" si="20"/>
        <v>0</v>
      </c>
      <c r="W46" s="308">
        <f t="shared" si="20"/>
        <v>0</v>
      </c>
      <c r="X46" s="308">
        <f t="shared" si="20"/>
        <v>0</v>
      </c>
      <c r="Y46" s="308">
        <f t="shared" si="20"/>
        <v>0</v>
      </c>
      <c r="Z46" s="308">
        <f t="shared" si="20"/>
        <v>0</v>
      </c>
      <c r="AA46" s="308">
        <f t="shared" si="20"/>
        <v>0</v>
      </c>
      <c r="AB46" s="308">
        <f>$G46*SUM(AB48:AB66)/SUM($G$48:$G$66)</f>
        <v>0</v>
      </c>
      <c r="AC46" s="191"/>
      <c r="AD46" s="20"/>
      <c r="AE46" s="193">
        <f t="shared" si="1"/>
        <v>-0.47999999998137355</v>
      </c>
      <c r="AF46" s="20"/>
      <c r="AG46" s="20"/>
    </row>
    <row r="47" spans="1:33" ht="16.5" customHeight="1">
      <c r="A47" s="411"/>
      <c r="C47" s="342">
        <f>+MAX(C$15:C46)+1</f>
        <v>22</v>
      </c>
      <c r="D47" s="165">
        <f>'O&amp;M_Summ'!D10</f>
        <v>555000</v>
      </c>
      <c r="E47" s="252" t="str">
        <f>'O&amp;M_Summ'!E10</f>
        <v>PURC POWER</v>
      </c>
      <c r="F47" s="252"/>
      <c r="G47" s="19">
        <f>INDEX('O&amp;M_Summ'!$F$9:$W$156,MATCH($E47,'O&amp;M_Summ'!$E$9:$E$156,0),MATCH($E$5,'O&amp;M_Summ'!$F$6:$W$6,0))</f>
        <v>0</v>
      </c>
      <c r="H47" s="138" t="s">
        <v>605</v>
      </c>
      <c r="I47" s="366"/>
      <c r="J47" s="313">
        <f t="shared" si="19"/>
        <v>0</v>
      </c>
      <c r="K47" s="313">
        <f t="shared" si="19"/>
        <v>0</v>
      </c>
      <c r="L47" s="313">
        <f t="shared" si="19"/>
        <v>0</v>
      </c>
      <c r="M47" s="313">
        <f t="shared" si="19"/>
        <v>0</v>
      </c>
      <c r="N47" s="313">
        <f t="shared" si="19"/>
        <v>0</v>
      </c>
      <c r="O47" s="313">
        <f t="shared" si="19"/>
        <v>0</v>
      </c>
      <c r="P47" s="313">
        <f t="shared" si="19"/>
        <v>0</v>
      </c>
      <c r="Q47" s="313">
        <f t="shared" si="19"/>
        <v>0</v>
      </c>
      <c r="R47" s="313">
        <f t="shared" si="19"/>
        <v>0</v>
      </c>
      <c r="S47" s="313">
        <f t="shared" si="19"/>
        <v>0</v>
      </c>
      <c r="T47" s="313">
        <f t="shared" si="20"/>
        <v>0</v>
      </c>
      <c r="U47" s="313">
        <f t="shared" si="20"/>
        <v>0</v>
      </c>
      <c r="V47" s="313">
        <f t="shared" si="20"/>
        <v>0</v>
      </c>
      <c r="W47" s="313">
        <f t="shared" si="20"/>
        <v>0</v>
      </c>
      <c r="X47" s="313">
        <f t="shared" si="20"/>
        <v>0</v>
      </c>
      <c r="Y47" s="313">
        <f t="shared" si="20"/>
        <v>0</v>
      </c>
      <c r="Z47" s="313">
        <f t="shared" si="20"/>
        <v>0</v>
      </c>
      <c r="AA47" s="328">
        <f t="shared" si="20"/>
        <v>0</v>
      </c>
      <c r="AB47" s="308"/>
      <c r="AC47" s="191"/>
      <c r="AD47" s="20"/>
      <c r="AE47" s="193">
        <f t="shared" si="1"/>
        <v>0</v>
      </c>
      <c r="AF47" s="20"/>
      <c r="AG47" s="20"/>
    </row>
    <row r="48" spans="1:33" ht="16.5" customHeight="1">
      <c r="A48" s="411"/>
      <c r="C48" s="342">
        <f>+MAX(C$15:C47)+1</f>
        <v>23</v>
      </c>
      <c r="D48" s="165">
        <f>'O&amp;M_Summ'!D11</f>
        <v>555020</v>
      </c>
      <c r="E48" s="252" t="str">
        <f>'O&amp;M_Summ'!E11</f>
        <v>PURC POWER, PR</v>
      </c>
      <c r="F48" s="1775">
        <v>0</v>
      </c>
      <c r="G48" s="19">
        <f>INDEX('O&amp;M_Summ'!$F$9:$W$156,MATCH($E48,'O&amp;M_Summ'!$E$9:$E$156,0),MATCH($E$5,'O&amp;M_Summ'!$F$6:$W$6,0))*$F48</f>
        <v>0</v>
      </c>
      <c r="H48" s="138" t="s">
        <v>605</v>
      </c>
      <c r="I48" s="262"/>
      <c r="J48" s="313">
        <f t="shared" si="19"/>
        <v>0</v>
      </c>
      <c r="K48" s="313">
        <f t="shared" si="19"/>
        <v>0</v>
      </c>
      <c r="L48" s="313">
        <f t="shared" si="19"/>
        <v>0</v>
      </c>
      <c r="M48" s="313">
        <f t="shared" si="19"/>
        <v>0</v>
      </c>
      <c r="N48" s="313">
        <f t="shared" si="19"/>
        <v>0</v>
      </c>
      <c r="O48" s="313">
        <f t="shared" si="19"/>
        <v>0</v>
      </c>
      <c r="P48" s="313">
        <f t="shared" si="19"/>
        <v>0</v>
      </c>
      <c r="Q48" s="313">
        <f t="shared" si="19"/>
        <v>0</v>
      </c>
      <c r="R48" s="313">
        <f t="shared" si="19"/>
        <v>0</v>
      </c>
      <c r="S48" s="313">
        <f t="shared" si="19"/>
        <v>0</v>
      </c>
      <c r="T48" s="313">
        <f t="shared" si="20"/>
        <v>0</v>
      </c>
      <c r="U48" s="313">
        <f t="shared" si="20"/>
        <v>0</v>
      </c>
      <c r="V48" s="313">
        <f t="shared" si="20"/>
        <v>0</v>
      </c>
      <c r="W48" s="313">
        <f t="shared" si="20"/>
        <v>0</v>
      </c>
      <c r="X48" s="313">
        <f t="shared" si="20"/>
        <v>0</v>
      </c>
      <c r="Y48" s="313">
        <f t="shared" si="20"/>
        <v>0</v>
      </c>
      <c r="Z48" s="313">
        <f t="shared" si="20"/>
        <v>0</v>
      </c>
      <c r="AA48" s="328">
        <f t="shared" si="20"/>
        <v>0</v>
      </c>
      <c r="AB48" s="104"/>
      <c r="AC48" s="191"/>
      <c r="AD48" s="20"/>
      <c r="AE48" s="193">
        <f t="shared" si="1"/>
        <v>0</v>
      </c>
      <c r="AF48" s="20"/>
      <c r="AG48" s="20"/>
    </row>
    <row r="49" spans="1:33" ht="16.5" customHeight="1">
      <c r="A49" s="411"/>
      <c r="C49" s="342">
        <f>+MAX(C$15:C48)+1</f>
        <v>24</v>
      </c>
      <c r="D49" s="165">
        <f>'O&amp;M_Summ'!D11</f>
        <v>555020</v>
      </c>
      <c r="E49" s="252" t="str">
        <f>'O&amp;M_Summ'!E11</f>
        <v>PURC POWER, PR</v>
      </c>
      <c r="F49" s="1776">
        <f>1-F48</f>
        <v>1</v>
      </c>
      <c r="G49" s="19">
        <f>INDEX('O&amp;M_Summ'!$F$9:$W$156,MATCH($E49,'O&amp;M_Summ'!$E$9:$E$156,0),MATCH($E$5,'O&amp;M_Summ'!$F$6:$W$6,0))*$F49</f>
        <v>174102849.54167992</v>
      </c>
      <c r="H49" s="81" t="s">
        <v>2764</v>
      </c>
      <c r="I49" s="262"/>
      <c r="J49" s="313">
        <f t="shared" si="19"/>
        <v>0</v>
      </c>
      <c r="K49" s="313">
        <f t="shared" si="19"/>
        <v>174102850</v>
      </c>
      <c r="L49" s="313">
        <f t="shared" si="19"/>
        <v>0</v>
      </c>
      <c r="M49" s="313">
        <f t="shared" si="19"/>
        <v>0</v>
      </c>
      <c r="N49" s="313">
        <f t="shared" si="19"/>
        <v>0</v>
      </c>
      <c r="O49" s="313">
        <f t="shared" si="19"/>
        <v>0</v>
      </c>
      <c r="P49" s="313">
        <f t="shared" si="19"/>
        <v>0</v>
      </c>
      <c r="Q49" s="313">
        <f t="shared" si="19"/>
        <v>0</v>
      </c>
      <c r="R49" s="313">
        <f t="shared" si="19"/>
        <v>0</v>
      </c>
      <c r="S49" s="313">
        <f t="shared" si="19"/>
        <v>0</v>
      </c>
      <c r="T49" s="313">
        <f t="shared" si="20"/>
        <v>0</v>
      </c>
      <c r="U49" s="313">
        <f t="shared" si="20"/>
        <v>0</v>
      </c>
      <c r="V49" s="313">
        <f t="shared" si="20"/>
        <v>0</v>
      </c>
      <c r="W49" s="313">
        <f t="shared" si="20"/>
        <v>0</v>
      </c>
      <c r="X49" s="313">
        <f t="shared" si="20"/>
        <v>0</v>
      </c>
      <c r="Y49" s="313">
        <f t="shared" si="20"/>
        <v>0</v>
      </c>
      <c r="Z49" s="313">
        <f t="shared" si="20"/>
        <v>0</v>
      </c>
      <c r="AA49" s="328">
        <f t="shared" si="20"/>
        <v>0</v>
      </c>
      <c r="AB49" s="104"/>
      <c r="AC49" s="191"/>
      <c r="AD49" s="20"/>
      <c r="AE49" s="193">
        <f t="shared" ref="AE49:AE84" si="21">SUM(J49:AA49)-G49</f>
        <v>0.45832008123397827</v>
      </c>
      <c r="AF49" s="20"/>
      <c r="AG49" s="20"/>
    </row>
    <row r="50" spans="1:33" ht="16.5" customHeight="1">
      <c r="A50" s="411"/>
      <c r="C50" s="342">
        <f>+MAX(C$15:C49)+1</f>
        <v>25</v>
      </c>
      <c r="D50" s="165">
        <f>'O&amp;M_Summ'!D12</f>
        <v>555020</v>
      </c>
      <c r="E50" s="252" t="str">
        <f>'O&amp;M_Summ'!E12</f>
        <v>PURC POWER, PR - EUDL</v>
      </c>
      <c r="F50" s="1775">
        <v>0</v>
      </c>
      <c r="G50" s="19">
        <f>INDEX('O&amp;M_Summ'!$F$9:$W$156,MATCH($E50,'O&amp;M_Summ'!$E$9:$E$156,0),MATCH($E$5,'O&amp;M_Summ'!$F$6:$W$6,0))*$F50</f>
        <v>0</v>
      </c>
      <c r="H50" s="138" t="s">
        <v>605</v>
      </c>
      <c r="I50" s="262"/>
      <c r="J50" s="313">
        <f t="shared" si="19"/>
        <v>0</v>
      </c>
      <c r="K50" s="313">
        <f t="shared" si="19"/>
        <v>0</v>
      </c>
      <c r="L50" s="313">
        <f t="shared" si="19"/>
        <v>0</v>
      </c>
      <c r="M50" s="313">
        <f t="shared" si="19"/>
        <v>0</v>
      </c>
      <c r="N50" s="313">
        <f t="shared" si="19"/>
        <v>0</v>
      </c>
      <c r="O50" s="313">
        <f t="shared" si="19"/>
        <v>0</v>
      </c>
      <c r="P50" s="313">
        <f t="shared" si="19"/>
        <v>0</v>
      </c>
      <c r="Q50" s="313">
        <f t="shared" si="19"/>
        <v>0</v>
      </c>
      <c r="R50" s="313">
        <f t="shared" si="19"/>
        <v>0</v>
      </c>
      <c r="S50" s="313">
        <f t="shared" si="19"/>
        <v>0</v>
      </c>
      <c r="T50" s="313">
        <f t="shared" si="20"/>
        <v>0</v>
      </c>
      <c r="U50" s="313">
        <f t="shared" si="20"/>
        <v>0</v>
      </c>
      <c r="V50" s="313">
        <f t="shared" si="20"/>
        <v>0</v>
      </c>
      <c r="W50" s="313">
        <f t="shared" si="20"/>
        <v>0</v>
      </c>
      <c r="X50" s="313">
        <f t="shared" si="20"/>
        <v>0</v>
      </c>
      <c r="Y50" s="313">
        <f t="shared" si="20"/>
        <v>0</v>
      </c>
      <c r="Z50" s="313">
        <f t="shared" si="20"/>
        <v>0</v>
      </c>
      <c r="AA50" s="328">
        <f t="shared" si="20"/>
        <v>0</v>
      </c>
      <c r="AB50" s="104"/>
      <c r="AC50" s="191"/>
      <c r="AD50" s="20"/>
      <c r="AE50" s="193">
        <f t="shared" si="21"/>
        <v>0</v>
      </c>
      <c r="AF50" s="20"/>
      <c r="AG50" s="20"/>
    </row>
    <row r="51" spans="1:33" ht="16.5" customHeight="1">
      <c r="A51" s="411"/>
      <c r="C51" s="342">
        <f>+MAX(C$15:C50)+1</f>
        <v>26</v>
      </c>
      <c r="D51" s="165">
        <f>'O&amp;M_Summ'!D12</f>
        <v>555020</v>
      </c>
      <c r="E51" s="252" t="str">
        <f>'O&amp;M_Summ'!E12</f>
        <v>PURC POWER, PR - EUDL</v>
      </c>
      <c r="F51" s="1776">
        <f>1-F50</f>
        <v>1</v>
      </c>
      <c r="G51" s="19">
        <f>INDEX('O&amp;M_Summ'!$F$9:$W$156,MATCH($E51,'O&amp;M_Summ'!$E$9:$E$156,0),MATCH($E$5,'O&amp;M_Summ'!$F$6:$W$6,0))*$F51</f>
        <v>-86654691.012235552</v>
      </c>
      <c r="H51" s="81" t="s">
        <v>2764</v>
      </c>
      <c r="I51" s="262"/>
      <c r="J51" s="313">
        <f t="shared" si="19"/>
        <v>0</v>
      </c>
      <c r="K51" s="313">
        <f t="shared" si="19"/>
        <v>-86654691</v>
      </c>
      <c r="L51" s="313">
        <f t="shared" si="19"/>
        <v>0</v>
      </c>
      <c r="M51" s="313">
        <f t="shared" si="19"/>
        <v>0</v>
      </c>
      <c r="N51" s="313">
        <f t="shared" si="19"/>
        <v>0</v>
      </c>
      <c r="O51" s="313">
        <f t="shared" si="19"/>
        <v>0</v>
      </c>
      <c r="P51" s="313">
        <f t="shared" si="19"/>
        <v>0</v>
      </c>
      <c r="Q51" s="313">
        <f t="shared" si="19"/>
        <v>0</v>
      </c>
      <c r="R51" s="313">
        <f t="shared" si="19"/>
        <v>0</v>
      </c>
      <c r="S51" s="313">
        <f t="shared" si="19"/>
        <v>0</v>
      </c>
      <c r="T51" s="313">
        <f t="shared" si="20"/>
        <v>0</v>
      </c>
      <c r="U51" s="313">
        <f t="shared" si="20"/>
        <v>0</v>
      </c>
      <c r="V51" s="313">
        <f t="shared" si="20"/>
        <v>0</v>
      </c>
      <c r="W51" s="313">
        <f t="shared" si="20"/>
        <v>0</v>
      </c>
      <c r="X51" s="313">
        <f t="shared" si="20"/>
        <v>0</v>
      </c>
      <c r="Y51" s="313">
        <f t="shared" si="20"/>
        <v>0</v>
      </c>
      <c r="Z51" s="313">
        <f t="shared" si="20"/>
        <v>0</v>
      </c>
      <c r="AA51" s="328">
        <f t="shared" si="20"/>
        <v>0</v>
      </c>
      <c r="AB51" s="104"/>
      <c r="AC51" s="191"/>
      <c r="AD51" s="20"/>
      <c r="AE51" s="193">
        <f>SUM(J51:AA51)-G51</f>
        <v>1.2235552072525024E-2</v>
      </c>
      <c r="AF51" s="20"/>
      <c r="AG51" s="20"/>
    </row>
    <row r="52" spans="1:33" ht="16.5" customHeight="1">
      <c r="A52" s="411"/>
      <c r="C52" s="342">
        <f>+MAX(C$15:C51)+1</f>
        <v>27</v>
      </c>
      <c r="D52" s="165">
        <f>'O&amp;M_Summ'!D13</f>
        <v>555020</v>
      </c>
      <c r="E52" s="252" t="str">
        <f>'O&amp;M_Summ'!E13</f>
        <v>PURC POWER, PR - REASONABLE PORTION</v>
      </c>
      <c r="F52" s="1775">
        <v>0</v>
      </c>
      <c r="G52" s="19">
        <f>INDEX('O&amp;M_Summ'!$F$9:$W$156,MATCH($E52,'O&amp;M_Summ'!$E$9:$E$156,0),MATCH($E$5,'O&amp;M_Summ'!$F$6:$W$6,0))*$F52</f>
        <v>0</v>
      </c>
      <c r="H52" s="138" t="s">
        <v>605</v>
      </c>
      <c r="I52" s="262"/>
      <c r="J52" s="313">
        <f t="shared" si="19"/>
        <v>0</v>
      </c>
      <c r="K52" s="313">
        <f t="shared" si="19"/>
        <v>0</v>
      </c>
      <c r="L52" s="313">
        <f t="shared" si="19"/>
        <v>0</v>
      </c>
      <c r="M52" s="313">
        <f t="shared" si="19"/>
        <v>0</v>
      </c>
      <c r="N52" s="313">
        <f t="shared" si="19"/>
        <v>0</v>
      </c>
      <c r="O52" s="313">
        <f t="shared" si="19"/>
        <v>0</v>
      </c>
      <c r="P52" s="313">
        <f t="shared" si="19"/>
        <v>0</v>
      </c>
      <c r="Q52" s="313">
        <f t="shared" si="19"/>
        <v>0</v>
      </c>
      <c r="R52" s="313">
        <f t="shared" si="19"/>
        <v>0</v>
      </c>
      <c r="S52" s="313">
        <f t="shared" si="19"/>
        <v>0</v>
      </c>
      <c r="T52" s="313">
        <f t="shared" si="20"/>
        <v>0</v>
      </c>
      <c r="U52" s="313">
        <f t="shared" si="20"/>
        <v>0</v>
      </c>
      <c r="V52" s="313">
        <f t="shared" si="20"/>
        <v>0</v>
      </c>
      <c r="W52" s="313">
        <f t="shared" si="20"/>
        <v>0</v>
      </c>
      <c r="X52" s="313">
        <f t="shared" si="20"/>
        <v>0</v>
      </c>
      <c r="Y52" s="313">
        <f t="shared" si="20"/>
        <v>0</v>
      </c>
      <c r="Z52" s="313">
        <f t="shared" si="20"/>
        <v>0</v>
      </c>
      <c r="AA52" s="328">
        <f t="shared" si="20"/>
        <v>0</v>
      </c>
      <c r="AB52" s="104"/>
      <c r="AC52" s="191"/>
      <c r="AD52" s="20"/>
      <c r="AE52" s="193">
        <f>SUM(J52:AA52)-G52</f>
        <v>0</v>
      </c>
      <c r="AF52" s="20"/>
      <c r="AG52" s="20"/>
    </row>
    <row r="53" spans="1:33" ht="16.5" customHeight="1">
      <c r="A53" s="411"/>
      <c r="C53" s="342">
        <f>+MAX(C$15:C52)+1</f>
        <v>28</v>
      </c>
      <c r="D53" s="165">
        <f>'O&amp;M_Summ'!D13</f>
        <v>555020</v>
      </c>
      <c r="E53" s="252" t="str">
        <f>'O&amp;M_Summ'!E13</f>
        <v>PURC POWER, PR - REASONABLE PORTION</v>
      </c>
      <c r="F53" s="1776">
        <f>1-F52</f>
        <v>1</v>
      </c>
      <c r="G53" s="19">
        <f>INDEX('O&amp;M_Summ'!$F$9:$W$156,MATCH($E53,'O&amp;M_Summ'!$E$9:$E$156,0),MATCH($E$5,'O&amp;M_Summ'!$F$6:$W$6,0))*$F53</f>
        <v>-764.03775527885557</v>
      </c>
      <c r="H53" s="81" t="s">
        <v>2764</v>
      </c>
      <c r="I53" s="262"/>
      <c r="J53" s="313">
        <f t="shared" si="19"/>
        <v>0</v>
      </c>
      <c r="K53" s="313">
        <f t="shared" si="19"/>
        <v>-764</v>
      </c>
      <c r="L53" s="313">
        <f t="shared" si="19"/>
        <v>0</v>
      </c>
      <c r="M53" s="313">
        <f t="shared" si="19"/>
        <v>0</v>
      </c>
      <c r="N53" s="313">
        <f t="shared" si="19"/>
        <v>0</v>
      </c>
      <c r="O53" s="313">
        <f t="shared" si="19"/>
        <v>0</v>
      </c>
      <c r="P53" s="313">
        <f t="shared" si="19"/>
        <v>0</v>
      </c>
      <c r="Q53" s="313">
        <f t="shared" si="19"/>
        <v>0</v>
      </c>
      <c r="R53" s="313">
        <f t="shared" si="19"/>
        <v>0</v>
      </c>
      <c r="S53" s="313">
        <f t="shared" si="19"/>
        <v>0</v>
      </c>
      <c r="T53" s="313">
        <f t="shared" si="20"/>
        <v>0</v>
      </c>
      <c r="U53" s="313">
        <f t="shared" si="20"/>
        <v>0</v>
      </c>
      <c r="V53" s="313">
        <f t="shared" si="20"/>
        <v>0</v>
      </c>
      <c r="W53" s="313">
        <f t="shared" si="20"/>
        <v>0</v>
      </c>
      <c r="X53" s="313">
        <f t="shared" si="20"/>
        <v>0</v>
      </c>
      <c r="Y53" s="313">
        <f t="shared" si="20"/>
        <v>0</v>
      </c>
      <c r="Z53" s="313">
        <f t="shared" si="20"/>
        <v>0</v>
      </c>
      <c r="AA53" s="328">
        <f t="shared" si="20"/>
        <v>0</v>
      </c>
      <c r="AB53" s="104"/>
      <c r="AC53" s="191"/>
      <c r="AD53" s="20"/>
      <c r="AE53" s="193">
        <f>SUM(J53:AA53)-G53</f>
        <v>3.7755278855570396E-2</v>
      </c>
      <c r="AF53" s="20"/>
      <c r="AG53" s="20"/>
    </row>
    <row r="54" spans="1:33" ht="16.5" customHeight="1">
      <c r="A54" s="411"/>
      <c r="C54" s="342">
        <f>+MAX(C$15:C53)+1</f>
        <v>29</v>
      </c>
      <c r="D54" s="165">
        <f>'O&amp;M_Summ'!D14</f>
        <v>555025</v>
      </c>
      <c r="E54" s="252" t="str">
        <f>'O&amp;M_Summ'!E14</f>
        <v>MEANINGFUL PRIORITY STEP UP</v>
      </c>
      <c r="F54" s="1775">
        <v>0</v>
      </c>
      <c r="G54" s="1774">
        <f>(INDEX('O&amp;M_Summ'!$F$9:$W$156,MATCH($E54,'O&amp;M_Summ'!$E$9:$E$156,0),MATCH($E$5,'O&amp;M_Summ'!$F$6:$W$6,0)))*$F54</f>
        <v>0</v>
      </c>
      <c r="H54" s="138" t="s">
        <v>605</v>
      </c>
      <c r="I54" s="262"/>
      <c r="J54" s="313">
        <f t="shared" si="19"/>
        <v>0</v>
      </c>
      <c r="K54" s="313">
        <f t="shared" si="19"/>
        <v>0</v>
      </c>
      <c r="L54" s="313">
        <f t="shared" si="19"/>
        <v>0</v>
      </c>
      <c r="M54" s="313">
        <f t="shared" si="19"/>
        <v>0</v>
      </c>
      <c r="N54" s="313">
        <f t="shared" si="19"/>
        <v>0</v>
      </c>
      <c r="O54" s="313">
        <f t="shared" si="19"/>
        <v>0</v>
      </c>
      <c r="P54" s="313">
        <f t="shared" si="19"/>
        <v>0</v>
      </c>
      <c r="Q54" s="313">
        <f t="shared" si="19"/>
        <v>0</v>
      </c>
      <c r="R54" s="313">
        <f t="shared" si="19"/>
        <v>0</v>
      </c>
      <c r="S54" s="313">
        <f t="shared" si="19"/>
        <v>0</v>
      </c>
      <c r="T54" s="313">
        <f t="shared" si="20"/>
        <v>0</v>
      </c>
      <c r="U54" s="313">
        <f t="shared" si="20"/>
        <v>0</v>
      </c>
      <c r="V54" s="313">
        <f t="shared" si="20"/>
        <v>0</v>
      </c>
      <c r="W54" s="313">
        <f t="shared" si="20"/>
        <v>0</v>
      </c>
      <c r="X54" s="313">
        <f t="shared" si="20"/>
        <v>0</v>
      </c>
      <c r="Y54" s="313">
        <f t="shared" si="20"/>
        <v>0</v>
      </c>
      <c r="Z54" s="313">
        <f t="shared" si="20"/>
        <v>0</v>
      </c>
      <c r="AA54" s="328">
        <f t="shared" si="20"/>
        <v>0</v>
      </c>
      <c r="AB54" s="104"/>
      <c r="AC54" s="191"/>
      <c r="AD54" s="20"/>
      <c r="AE54" s="193">
        <f t="shared" si="21"/>
        <v>0</v>
      </c>
      <c r="AF54" s="20"/>
      <c r="AG54" s="20"/>
    </row>
    <row r="55" spans="1:33" ht="16.5" customHeight="1">
      <c r="A55" s="411"/>
      <c r="C55" s="342">
        <f>+MAX(C$15:C54)+1</f>
        <v>30</v>
      </c>
      <c r="D55" s="165">
        <f>'O&amp;M_Summ'!D14</f>
        <v>555025</v>
      </c>
      <c r="E55" s="252" t="str">
        <f>'O&amp;M_Summ'!E14</f>
        <v>MEANINGFUL PRIORITY STEP UP</v>
      </c>
      <c r="F55" s="1776">
        <f>1-F54</f>
        <v>1</v>
      </c>
      <c r="G55" s="1774">
        <f>(INDEX('O&amp;M_Summ'!$F$9:$W$156,MATCH($E55,'O&amp;M_Summ'!$E$9:$E$156,0),MATCH($E$5,'O&amp;M_Summ'!$F$6:$W$6,0)))*$F55</f>
        <v>0</v>
      </c>
      <c r="H55" s="81" t="s">
        <v>2764</v>
      </c>
      <c r="I55" s="262"/>
      <c r="J55" s="313">
        <f t="shared" si="19"/>
        <v>0</v>
      </c>
      <c r="K55" s="313">
        <f t="shared" si="19"/>
        <v>0</v>
      </c>
      <c r="L55" s="313">
        <f t="shared" si="19"/>
        <v>0</v>
      </c>
      <c r="M55" s="313">
        <f t="shared" si="19"/>
        <v>0</v>
      </c>
      <c r="N55" s="313">
        <f t="shared" si="19"/>
        <v>0</v>
      </c>
      <c r="O55" s="313">
        <f t="shared" si="19"/>
        <v>0</v>
      </c>
      <c r="P55" s="313">
        <f t="shared" si="19"/>
        <v>0</v>
      </c>
      <c r="Q55" s="313">
        <f t="shared" si="19"/>
        <v>0</v>
      </c>
      <c r="R55" s="313">
        <f t="shared" si="19"/>
        <v>0</v>
      </c>
      <c r="S55" s="313">
        <f t="shared" si="19"/>
        <v>0</v>
      </c>
      <c r="T55" s="313">
        <f t="shared" si="20"/>
        <v>0</v>
      </c>
      <c r="U55" s="313">
        <f t="shared" si="20"/>
        <v>0</v>
      </c>
      <c r="V55" s="313">
        <f t="shared" si="20"/>
        <v>0</v>
      </c>
      <c r="W55" s="313">
        <f t="shared" si="20"/>
        <v>0</v>
      </c>
      <c r="X55" s="313">
        <f t="shared" si="20"/>
        <v>0</v>
      </c>
      <c r="Y55" s="313">
        <f t="shared" si="20"/>
        <v>0</v>
      </c>
      <c r="Z55" s="313">
        <f t="shared" si="20"/>
        <v>0</v>
      </c>
      <c r="AA55" s="328">
        <f t="shared" si="20"/>
        <v>0</v>
      </c>
      <c r="AB55" s="104"/>
      <c r="AC55" s="191"/>
      <c r="AD55" s="20"/>
      <c r="AE55" s="193">
        <f t="shared" si="21"/>
        <v>0</v>
      </c>
      <c r="AF55" s="20"/>
      <c r="AG55" s="20"/>
    </row>
    <row r="56" spans="1:33" ht="16.5" customHeight="1">
      <c r="A56" s="411"/>
      <c r="C56" s="342">
        <f>+MAX(C$15:C55)+1</f>
        <v>31</v>
      </c>
      <c r="D56" s="165">
        <f>'O&amp;M_Summ'!D15</f>
        <v>555030</v>
      </c>
      <c r="E56" s="252" t="str">
        <f>'O&amp;M_Summ'!E15</f>
        <v>PURC POWER, WAN</v>
      </c>
      <c r="F56" s="1775">
        <v>0</v>
      </c>
      <c r="G56" s="19">
        <f>INDEX('O&amp;M_Summ'!$F$9:$W$156,MATCH($E56,'O&amp;M_Summ'!$E$9:$E$156,0),MATCH($E$5,'O&amp;M_Summ'!$F$6:$W$6,0))*$F56</f>
        <v>0</v>
      </c>
      <c r="H56" s="138" t="s">
        <v>605</v>
      </c>
      <c r="I56" s="262"/>
      <c r="J56" s="313">
        <f t="shared" ref="J56:S66" si="22">+ROUND($G56*SUMIF($E$260:$E$302,$H56,J$260:J$302),$AD$10)</f>
        <v>0</v>
      </c>
      <c r="K56" s="313">
        <f t="shared" si="22"/>
        <v>0</v>
      </c>
      <c r="L56" s="313">
        <f t="shared" si="22"/>
        <v>0</v>
      </c>
      <c r="M56" s="313">
        <f t="shared" si="22"/>
        <v>0</v>
      </c>
      <c r="N56" s="313">
        <f t="shared" si="22"/>
        <v>0</v>
      </c>
      <c r="O56" s="313">
        <f t="shared" si="22"/>
        <v>0</v>
      </c>
      <c r="P56" s="313">
        <f t="shared" si="22"/>
        <v>0</v>
      </c>
      <c r="Q56" s="313">
        <f t="shared" si="22"/>
        <v>0</v>
      </c>
      <c r="R56" s="313">
        <f t="shared" si="22"/>
        <v>0</v>
      </c>
      <c r="S56" s="313">
        <f t="shared" si="22"/>
        <v>0</v>
      </c>
      <c r="T56" s="313">
        <f t="shared" ref="T56:AA66" si="23">+ROUND($G56*SUMIF($E$260:$E$302,$H56,T$260:T$302),$AD$10)</f>
        <v>0</v>
      </c>
      <c r="U56" s="313">
        <f t="shared" si="23"/>
        <v>0</v>
      </c>
      <c r="V56" s="313">
        <f t="shared" si="23"/>
        <v>0</v>
      </c>
      <c r="W56" s="313">
        <f t="shared" si="23"/>
        <v>0</v>
      </c>
      <c r="X56" s="313">
        <f t="shared" si="23"/>
        <v>0</v>
      </c>
      <c r="Y56" s="313">
        <f t="shared" si="23"/>
        <v>0</v>
      </c>
      <c r="Z56" s="313">
        <f t="shared" si="23"/>
        <v>0</v>
      </c>
      <c r="AA56" s="328">
        <f t="shared" si="23"/>
        <v>0</v>
      </c>
      <c r="AB56" s="104"/>
      <c r="AC56" s="191"/>
      <c r="AD56" s="20"/>
      <c r="AE56" s="193">
        <f t="shared" si="21"/>
        <v>0</v>
      </c>
      <c r="AF56" s="20"/>
      <c r="AG56" s="20"/>
    </row>
    <row r="57" spans="1:33" ht="16.5" customHeight="1">
      <c r="A57" s="411"/>
      <c r="C57" s="342">
        <f>+MAX(C$15:C56)+1</f>
        <v>32</v>
      </c>
      <c r="D57" s="165">
        <f>'O&amp;M_Summ'!D15</f>
        <v>555030</v>
      </c>
      <c r="E57" s="252" t="str">
        <f>'O&amp;M_Summ'!E15</f>
        <v>PURC POWER, WAN</v>
      </c>
      <c r="F57" s="1776">
        <f>1-F56</f>
        <v>1</v>
      </c>
      <c r="G57" s="19">
        <f>INDEX('O&amp;M_Summ'!$F$9:$W$156,MATCH($E57,'O&amp;M_Summ'!$E$9:$E$156,0),MATCH($E$5,'O&amp;M_Summ'!$F$6:$W$6,0))*$F57</f>
        <v>0</v>
      </c>
      <c r="H57" s="81" t="s">
        <v>2764</v>
      </c>
      <c r="I57" s="262"/>
      <c r="J57" s="313">
        <f t="shared" si="22"/>
        <v>0</v>
      </c>
      <c r="K57" s="313">
        <f t="shared" si="22"/>
        <v>0</v>
      </c>
      <c r="L57" s="313">
        <f t="shared" si="22"/>
        <v>0</v>
      </c>
      <c r="M57" s="313">
        <f t="shared" si="22"/>
        <v>0</v>
      </c>
      <c r="N57" s="313">
        <f t="shared" si="22"/>
        <v>0</v>
      </c>
      <c r="O57" s="313">
        <f t="shared" si="22"/>
        <v>0</v>
      </c>
      <c r="P57" s="313">
        <f t="shared" si="22"/>
        <v>0</v>
      </c>
      <c r="Q57" s="313">
        <f t="shared" si="22"/>
        <v>0</v>
      </c>
      <c r="R57" s="313">
        <f t="shared" si="22"/>
        <v>0</v>
      </c>
      <c r="S57" s="313">
        <f t="shared" si="22"/>
        <v>0</v>
      </c>
      <c r="T57" s="313">
        <f t="shared" si="23"/>
        <v>0</v>
      </c>
      <c r="U57" s="313">
        <f t="shared" si="23"/>
        <v>0</v>
      </c>
      <c r="V57" s="313">
        <f t="shared" si="23"/>
        <v>0</v>
      </c>
      <c r="W57" s="313">
        <f t="shared" si="23"/>
        <v>0</v>
      </c>
      <c r="X57" s="313">
        <f t="shared" si="23"/>
        <v>0</v>
      </c>
      <c r="Y57" s="313">
        <f t="shared" si="23"/>
        <v>0</v>
      </c>
      <c r="Z57" s="313">
        <f t="shared" si="23"/>
        <v>0</v>
      </c>
      <c r="AA57" s="328">
        <f t="shared" si="23"/>
        <v>0</v>
      </c>
      <c r="AB57" s="104"/>
      <c r="AC57" s="191"/>
      <c r="AD57" s="20"/>
      <c r="AE57" s="193">
        <f t="shared" si="21"/>
        <v>0</v>
      </c>
      <c r="AF57" s="20"/>
      <c r="AG57" s="20"/>
    </row>
    <row r="58" spans="1:33" ht="18.75" customHeight="1">
      <c r="A58" s="411"/>
      <c r="C58" s="342">
        <f>+MAX(C$15:C57)+1</f>
        <v>33</v>
      </c>
      <c r="D58" s="165">
        <f>'O&amp;M_Summ'!D16</f>
        <v>555035</v>
      </c>
      <c r="E58" s="252" t="str">
        <f>'O&amp;M_Summ'!E16</f>
        <v>DSC PRP ADJ TO POWER COST</v>
      </c>
      <c r="F58" s="1775">
        <v>0</v>
      </c>
      <c r="G58" s="1516">
        <f>INDEX('O&amp;M_Summ'!$F$9:$W$156,MATCH($E58,'O&amp;M_Summ'!$E$9:$E$156,0),MATCH($E$5,'O&amp;M_Summ'!$F$6:$W$6,0))*$F58</f>
        <v>0</v>
      </c>
      <c r="H58" s="138" t="s">
        <v>605</v>
      </c>
      <c r="I58" s="262"/>
      <c r="J58" s="313">
        <f t="shared" si="22"/>
        <v>0</v>
      </c>
      <c r="K58" s="313">
        <f t="shared" si="22"/>
        <v>0</v>
      </c>
      <c r="L58" s="313">
        <f t="shared" si="22"/>
        <v>0</v>
      </c>
      <c r="M58" s="313">
        <f t="shared" si="22"/>
        <v>0</v>
      </c>
      <c r="N58" s="313">
        <f t="shared" si="22"/>
        <v>0</v>
      </c>
      <c r="O58" s="313">
        <f t="shared" si="22"/>
        <v>0</v>
      </c>
      <c r="P58" s="313">
        <f t="shared" si="22"/>
        <v>0</v>
      </c>
      <c r="Q58" s="313">
        <f t="shared" si="22"/>
        <v>0</v>
      </c>
      <c r="R58" s="313">
        <f t="shared" si="22"/>
        <v>0</v>
      </c>
      <c r="S58" s="313">
        <f t="shared" si="22"/>
        <v>0</v>
      </c>
      <c r="T58" s="313">
        <f t="shared" si="23"/>
        <v>0</v>
      </c>
      <c r="U58" s="313">
        <f t="shared" si="23"/>
        <v>0</v>
      </c>
      <c r="V58" s="313">
        <f t="shared" si="23"/>
        <v>0</v>
      </c>
      <c r="W58" s="313">
        <f t="shared" si="23"/>
        <v>0</v>
      </c>
      <c r="X58" s="313">
        <f t="shared" si="23"/>
        <v>0</v>
      </c>
      <c r="Y58" s="313">
        <f t="shared" si="23"/>
        <v>0</v>
      </c>
      <c r="Z58" s="313">
        <f t="shared" si="23"/>
        <v>0</v>
      </c>
      <c r="AA58" s="328">
        <f t="shared" si="23"/>
        <v>0</v>
      </c>
      <c r="AB58" s="104"/>
      <c r="AC58" s="191"/>
      <c r="AD58" s="20"/>
      <c r="AE58" s="193">
        <f t="shared" si="21"/>
        <v>0</v>
      </c>
      <c r="AF58" s="20"/>
      <c r="AG58" s="20"/>
    </row>
    <row r="59" spans="1:33" ht="16.5" customHeight="1">
      <c r="A59" s="411"/>
      <c r="C59" s="342">
        <f>+MAX(C$15:C58)+1</f>
        <v>34</v>
      </c>
      <c r="D59" s="165">
        <f>'O&amp;M_Summ'!D16</f>
        <v>555035</v>
      </c>
      <c r="E59" s="252" t="str">
        <f>'O&amp;M_Summ'!E16</f>
        <v>DSC PRP ADJ TO POWER COST</v>
      </c>
      <c r="F59" s="1776">
        <f>1-F58</f>
        <v>1</v>
      </c>
      <c r="G59" s="1516">
        <f>INDEX('O&amp;M_Summ'!$F$9:$W$156,MATCH($E59,'O&amp;M_Summ'!$E$9:$E$156,0),MATCH($E$5,'O&amp;M_Summ'!$F$6:$W$6,0))*$F59</f>
        <v>0</v>
      </c>
      <c r="H59" s="81" t="s">
        <v>2764</v>
      </c>
      <c r="I59" s="262"/>
      <c r="J59" s="313">
        <f t="shared" si="22"/>
        <v>0</v>
      </c>
      <c r="K59" s="313">
        <f t="shared" si="22"/>
        <v>0</v>
      </c>
      <c r="L59" s="313">
        <f t="shared" si="22"/>
        <v>0</v>
      </c>
      <c r="M59" s="313">
        <f t="shared" si="22"/>
        <v>0</v>
      </c>
      <c r="N59" s="313">
        <f t="shared" si="22"/>
        <v>0</v>
      </c>
      <c r="O59" s="313">
        <f t="shared" si="22"/>
        <v>0</v>
      </c>
      <c r="P59" s="313">
        <f t="shared" si="22"/>
        <v>0</v>
      </c>
      <c r="Q59" s="313">
        <f t="shared" si="22"/>
        <v>0</v>
      </c>
      <c r="R59" s="313">
        <f t="shared" si="22"/>
        <v>0</v>
      </c>
      <c r="S59" s="313">
        <f t="shared" si="22"/>
        <v>0</v>
      </c>
      <c r="T59" s="313">
        <f t="shared" si="23"/>
        <v>0</v>
      </c>
      <c r="U59" s="313">
        <f t="shared" si="23"/>
        <v>0</v>
      </c>
      <c r="V59" s="313">
        <f t="shared" si="23"/>
        <v>0</v>
      </c>
      <c r="W59" s="313">
        <f t="shared" si="23"/>
        <v>0</v>
      </c>
      <c r="X59" s="313">
        <f t="shared" si="23"/>
        <v>0</v>
      </c>
      <c r="Y59" s="313">
        <f t="shared" si="23"/>
        <v>0</v>
      </c>
      <c r="Z59" s="313">
        <f t="shared" si="23"/>
        <v>0</v>
      </c>
      <c r="AA59" s="328">
        <f t="shared" si="23"/>
        <v>0</v>
      </c>
      <c r="AB59" s="104"/>
      <c r="AC59" s="191"/>
      <c r="AD59" s="20"/>
      <c r="AE59" s="193">
        <f t="shared" si="21"/>
        <v>0</v>
      </c>
      <c r="AF59" s="20"/>
      <c r="AG59" s="20"/>
    </row>
    <row r="60" spans="1:33" ht="16.5" customHeight="1">
      <c r="A60" s="411"/>
      <c r="C60" s="342">
        <f>+MAX(C$15:C59)+1</f>
        <v>35</v>
      </c>
      <c r="D60" s="165">
        <f>'O&amp;M_Summ'!D17</f>
        <v>555070</v>
      </c>
      <c r="E60" s="252" t="str">
        <f>'O&amp;M_Summ'!E17</f>
        <v>PURCHASED POWER-MARKET</v>
      </c>
      <c r="F60" s="3170">
        <v>0.15</v>
      </c>
      <c r="G60" s="1774">
        <f>(INDEX('O&amp;M_Summ'!$F$9:$W$156,MATCH($E60,'O&amp;M_Summ'!$E$9:$E$156,0),MATCH($E$5,'O&amp;M_Summ'!$F$6:$W$6,0)))*$F60</f>
        <v>21332420.933054905</v>
      </c>
      <c r="H60" s="138" t="s">
        <v>605</v>
      </c>
      <c r="I60" s="262"/>
      <c r="J60" s="313">
        <f t="shared" si="22"/>
        <v>21332421</v>
      </c>
      <c r="K60" s="313">
        <f t="shared" si="22"/>
        <v>0</v>
      </c>
      <c r="L60" s="313">
        <f t="shared" si="22"/>
        <v>0</v>
      </c>
      <c r="M60" s="313">
        <f t="shared" si="22"/>
        <v>0</v>
      </c>
      <c r="N60" s="313">
        <f t="shared" si="22"/>
        <v>0</v>
      </c>
      <c r="O60" s="313">
        <f t="shared" si="22"/>
        <v>0</v>
      </c>
      <c r="P60" s="313">
        <f t="shared" si="22"/>
        <v>0</v>
      </c>
      <c r="Q60" s="313">
        <f t="shared" si="22"/>
        <v>0</v>
      </c>
      <c r="R60" s="313">
        <f t="shared" si="22"/>
        <v>0</v>
      </c>
      <c r="S60" s="313">
        <f t="shared" si="22"/>
        <v>0</v>
      </c>
      <c r="T60" s="313">
        <f t="shared" si="23"/>
        <v>0</v>
      </c>
      <c r="U60" s="313">
        <f t="shared" si="23"/>
        <v>0</v>
      </c>
      <c r="V60" s="313">
        <f t="shared" si="23"/>
        <v>0</v>
      </c>
      <c r="W60" s="313">
        <f t="shared" si="23"/>
        <v>0</v>
      </c>
      <c r="X60" s="313">
        <f t="shared" si="23"/>
        <v>0</v>
      </c>
      <c r="Y60" s="313">
        <f t="shared" si="23"/>
        <v>0</v>
      </c>
      <c r="Z60" s="313">
        <f t="shared" si="23"/>
        <v>0</v>
      </c>
      <c r="AA60" s="328">
        <f t="shared" si="23"/>
        <v>0</v>
      </c>
      <c r="AB60" s="104"/>
      <c r="AC60" s="191"/>
      <c r="AD60" s="20"/>
      <c r="AE60" s="193">
        <f t="shared" si="21"/>
        <v>6.6945094615221024E-2</v>
      </c>
      <c r="AF60" s="20"/>
      <c r="AG60" s="20"/>
    </row>
    <row r="61" spans="1:33" ht="16.5" customHeight="1">
      <c r="A61" s="411"/>
      <c r="C61" s="342">
        <f>+MAX(C$15:C60)+1</f>
        <v>36</v>
      </c>
      <c r="D61" s="165">
        <f>'O&amp;M_Summ'!D17</f>
        <v>555070</v>
      </c>
      <c r="E61" s="252" t="str">
        <f>'O&amp;M_Summ'!E17</f>
        <v>PURCHASED POWER-MARKET</v>
      </c>
      <c r="F61" s="3171">
        <f>1-F60</f>
        <v>0.85</v>
      </c>
      <c r="G61" s="1774">
        <f>(INDEX('O&amp;M_Summ'!$F$9:$W$156,MATCH($E61,'O&amp;M_Summ'!$E$9:$E$156,0),MATCH($E$5,'O&amp;M_Summ'!$F$6:$W$6,0)))*$F61</f>
        <v>120883718.62064447</v>
      </c>
      <c r="H61" s="81" t="s">
        <v>2764</v>
      </c>
      <c r="I61" s="262"/>
      <c r="J61" s="313">
        <f t="shared" si="22"/>
        <v>0</v>
      </c>
      <c r="K61" s="313">
        <f t="shared" si="22"/>
        <v>120883719</v>
      </c>
      <c r="L61" s="313">
        <f t="shared" si="22"/>
        <v>0</v>
      </c>
      <c r="M61" s="313">
        <f t="shared" si="22"/>
        <v>0</v>
      </c>
      <c r="N61" s="313">
        <f t="shared" si="22"/>
        <v>0</v>
      </c>
      <c r="O61" s="313">
        <f t="shared" si="22"/>
        <v>0</v>
      </c>
      <c r="P61" s="313">
        <f t="shared" si="22"/>
        <v>0</v>
      </c>
      <c r="Q61" s="313">
        <f t="shared" si="22"/>
        <v>0</v>
      </c>
      <c r="R61" s="313">
        <f t="shared" si="22"/>
        <v>0</v>
      </c>
      <c r="S61" s="313">
        <f t="shared" si="22"/>
        <v>0</v>
      </c>
      <c r="T61" s="313">
        <f t="shared" si="23"/>
        <v>0</v>
      </c>
      <c r="U61" s="313">
        <f t="shared" si="23"/>
        <v>0</v>
      </c>
      <c r="V61" s="313">
        <f t="shared" si="23"/>
        <v>0</v>
      </c>
      <c r="W61" s="313">
        <f t="shared" si="23"/>
        <v>0</v>
      </c>
      <c r="X61" s="313">
        <f t="shared" si="23"/>
        <v>0</v>
      </c>
      <c r="Y61" s="313">
        <f t="shared" si="23"/>
        <v>0</v>
      </c>
      <c r="Z61" s="313">
        <f t="shared" si="23"/>
        <v>0</v>
      </c>
      <c r="AA61" s="328">
        <f t="shared" si="23"/>
        <v>0</v>
      </c>
      <c r="AB61" s="104"/>
      <c r="AC61" s="191"/>
      <c r="AD61" s="20"/>
      <c r="AE61" s="193">
        <f t="shared" si="21"/>
        <v>0.3793555349111557</v>
      </c>
      <c r="AF61" s="20"/>
      <c r="AG61" s="20"/>
    </row>
    <row r="62" spans="1:33" ht="16.5" customHeight="1">
      <c r="A62" s="411"/>
      <c r="C62" s="342">
        <f>+MAX(C$15:C61)+1</f>
        <v>37</v>
      </c>
      <c r="D62" s="165">
        <f>'O&amp;M_Summ'!D18</f>
        <v>555500</v>
      </c>
      <c r="E62" s="252" t="str">
        <f>'O&amp;M_Summ'!E18</f>
        <v>PURC POWER, QC</v>
      </c>
      <c r="F62" s="252"/>
      <c r="G62" s="19">
        <f>INDEX('O&amp;M_Summ'!$F$9:$W$156,MATCH($E62,'O&amp;M_Summ'!$E$9:$E$156,0),MATCH($E$5,'O&amp;M_Summ'!$F$6:$W$6,0))</f>
        <v>446232.42886960175</v>
      </c>
      <c r="H62" s="138" t="s">
        <v>2764</v>
      </c>
      <c r="I62" s="262"/>
      <c r="J62" s="313">
        <f t="shared" si="22"/>
        <v>0</v>
      </c>
      <c r="K62" s="313">
        <f t="shared" si="22"/>
        <v>446232</v>
      </c>
      <c r="L62" s="313">
        <f t="shared" si="22"/>
        <v>0</v>
      </c>
      <c r="M62" s="313">
        <f t="shared" si="22"/>
        <v>0</v>
      </c>
      <c r="N62" s="313">
        <f t="shared" si="22"/>
        <v>0</v>
      </c>
      <c r="O62" s="313">
        <f t="shared" si="22"/>
        <v>0</v>
      </c>
      <c r="P62" s="313">
        <f t="shared" si="22"/>
        <v>0</v>
      </c>
      <c r="Q62" s="313">
        <f t="shared" si="22"/>
        <v>0</v>
      </c>
      <c r="R62" s="313">
        <f t="shared" si="22"/>
        <v>0</v>
      </c>
      <c r="S62" s="313">
        <f t="shared" si="22"/>
        <v>0</v>
      </c>
      <c r="T62" s="313">
        <f t="shared" si="23"/>
        <v>0</v>
      </c>
      <c r="U62" s="313">
        <f t="shared" si="23"/>
        <v>0</v>
      </c>
      <c r="V62" s="313">
        <f t="shared" si="23"/>
        <v>0</v>
      </c>
      <c r="W62" s="313">
        <f t="shared" si="23"/>
        <v>0</v>
      </c>
      <c r="X62" s="313">
        <f t="shared" si="23"/>
        <v>0</v>
      </c>
      <c r="Y62" s="313">
        <f t="shared" si="23"/>
        <v>0</v>
      </c>
      <c r="Z62" s="313">
        <f t="shared" si="23"/>
        <v>0</v>
      </c>
      <c r="AA62" s="328">
        <f t="shared" si="23"/>
        <v>0</v>
      </c>
      <c r="AB62" s="104"/>
      <c r="AC62" s="191"/>
      <c r="AD62" s="20"/>
      <c r="AE62" s="193">
        <f t="shared" si="21"/>
        <v>-0.42886960174655542</v>
      </c>
      <c r="AF62" s="20"/>
      <c r="AG62" s="20"/>
    </row>
    <row r="63" spans="1:33" ht="16.5" customHeight="1">
      <c r="A63" s="411"/>
      <c r="C63" s="342">
        <f>+MAX(C$15:C62)+1</f>
        <v>38</v>
      </c>
      <c r="D63" s="165">
        <f>'O&amp;M_Summ'!D19</f>
        <v>555666</v>
      </c>
      <c r="E63" s="252" t="str">
        <f>'O&amp;M_Summ'!E19</f>
        <v>NET BOOKOUTS - PURCHASE</v>
      </c>
      <c r="F63" s="252"/>
      <c r="G63" s="1774">
        <f>INDEX('O&amp;M_Summ'!$F$9:$W$156,MATCH($E63,'O&amp;M_Summ'!$E$9:$E$156,0),MATCH($E$5,'O&amp;M_Summ'!$F$6:$W$6,0))</f>
        <v>0</v>
      </c>
      <c r="H63" s="138" t="s">
        <v>605</v>
      </c>
      <c r="I63" s="262"/>
      <c r="J63" s="313">
        <f t="shared" si="22"/>
        <v>0</v>
      </c>
      <c r="K63" s="313">
        <f t="shared" si="22"/>
        <v>0</v>
      </c>
      <c r="L63" s="313">
        <f t="shared" si="22"/>
        <v>0</v>
      </c>
      <c r="M63" s="313">
        <f t="shared" si="22"/>
        <v>0</v>
      </c>
      <c r="N63" s="313">
        <f t="shared" si="22"/>
        <v>0</v>
      </c>
      <c r="O63" s="313">
        <f t="shared" si="22"/>
        <v>0</v>
      </c>
      <c r="P63" s="313">
        <f t="shared" si="22"/>
        <v>0</v>
      </c>
      <c r="Q63" s="313">
        <f t="shared" si="22"/>
        <v>0</v>
      </c>
      <c r="R63" s="313">
        <f t="shared" si="22"/>
        <v>0</v>
      </c>
      <c r="S63" s="313">
        <f t="shared" si="22"/>
        <v>0</v>
      </c>
      <c r="T63" s="313">
        <f t="shared" si="23"/>
        <v>0</v>
      </c>
      <c r="U63" s="313">
        <f t="shared" si="23"/>
        <v>0</v>
      </c>
      <c r="V63" s="313">
        <f t="shared" si="23"/>
        <v>0</v>
      </c>
      <c r="W63" s="313">
        <f t="shared" si="23"/>
        <v>0</v>
      </c>
      <c r="X63" s="313">
        <f t="shared" si="23"/>
        <v>0</v>
      </c>
      <c r="Y63" s="313">
        <f t="shared" si="23"/>
        <v>0</v>
      </c>
      <c r="Z63" s="313">
        <f t="shared" si="23"/>
        <v>0</v>
      </c>
      <c r="AA63" s="328">
        <f t="shared" si="23"/>
        <v>0</v>
      </c>
      <c r="AB63" s="104"/>
      <c r="AC63" s="191"/>
      <c r="AD63" s="20"/>
      <c r="AE63" s="193">
        <f t="shared" si="21"/>
        <v>0</v>
      </c>
      <c r="AF63" s="20"/>
      <c r="AG63" s="20"/>
    </row>
    <row r="64" spans="1:33" ht="16.5" customHeight="1">
      <c r="A64" s="411"/>
      <c r="C64" s="342">
        <f>+MAX(C$15:C63)+1</f>
        <v>39</v>
      </c>
      <c r="D64" s="165">
        <f>'O&amp;M_Summ'!D20</f>
        <v>555900</v>
      </c>
      <c r="E64" s="252" t="str">
        <f>'O&amp;M_Summ'!E20</f>
        <v>POWER PURCHASES, 9 CANYON</v>
      </c>
      <c r="F64" s="252"/>
      <c r="G64" s="19">
        <f>INDEX('O&amp;M_Summ'!$F$9:$W$156,MATCH($E64,'O&amp;M_Summ'!$E$9:$E$156,0),MATCH($E$5,'O&amp;M_Summ'!$F$6:$W$6,0))</f>
        <v>933183.36930000002</v>
      </c>
      <c r="H64" s="138" t="s">
        <v>2764</v>
      </c>
      <c r="I64" s="262"/>
      <c r="J64" s="313">
        <f t="shared" si="22"/>
        <v>0</v>
      </c>
      <c r="K64" s="313">
        <f t="shared" si="22"/>
        <v>933183</v>
      </c>
      <c r="L64" s="313">
        <f t="shared" si="22"/>
        <v>0</v>
      </c>
      <c r="M64" s="313">
        <f t="shared" si="22"/>
        <v>0</v>
      </c>
      <c r="N64" s="313">
        <f t="shared" si="22"/>
        <v>0</v>
      </c>
      <c r="O64" s="313">
        <f t="shared" si="22"/>
        <v>0</v>
      </c>
      <c r="P64" s="313">
        <f t="shared" si="22"/>
        <v>0</v>
      </c>
      <c r="Q64" s="313">
        <f t="shared" si="22"/>
        <v>0</v>
      </c>
      <c r="R64" s="313">
        <f t="shared" si="22"/>
        <v>0</v>
      </c>
      <c r="S64" s="313">
        <f t="shared" si="22"/>
        <v>0</v>
      </c>
      <c r="T64" s="313">
        <f t="shared" si="23"/>
        <v>0</v>
      </c>
      <c r="U64" s="313">
        <f t="shared" si="23"/>
        <v>0</v>
      </c>
      <c r="V64" s="313">
        <f t="shared" si="23"/>
        <v>0</v>
      </c>
      <c r="W64" s="313">
        <f t="shared" si="23"/>
        <v>0</v>
      </c>
      <c r="X64" s="313">
        <f t="shared" si="23"/>
        <v>0</v>
      </c>
      <c r="Y64" s="313">
        <f t="shared" si="23"/>
        <v>0</v>
      </c>
      <c r="Z64" s="313">
        <f t="shared" si="23"/>
        <v>0</v>
      </c>
      <c r="AA64" s="328">
        <f t="shared" si="23"/>
        <v>0</v>
      </c>
      <c r="AB64" s="104"/>
      <c r="AC64" s="191"/>
      <c r="AD64" s="20"/>
      <c r="AE64" s="193">
        <f t="shared" si="21"/>
        <v>-0.36930000002030283</v>
      </c>
      <c r="AF64" s="20"/>
      <c r="AG64" s="20"/>
    </row>
    <row r="65" spans="1:33" ht="16.5" customHeight="1">
      <c r="A65" s="411"/>
      <c r="C65" s="342">
        <f>+MAX(C$15:C64)+1</f>
        <v>40</v>
      </c>
      <c r="D65" s="165">
        <f>'O&amp;M_Summ'!D21</f>
        <v>555999</v>
      </c>
      <c r="E65" s="252" t="str">
        <f>'O&amp;M_Summ'!E21</f>
        <v>POWER PURCHASES, OTHER</v>
      </c>
      <c r="F65" s="252"/>
      <c r="G65" s="19">
        <f>INDEX('O&amp;M_Summ'!$F$9:$W$156,MATCH($E65,'O&amp;M_Summ'!$E$9:$E$156,0),MATCH($E$5,'O&amp;M_Summ'!$F$6:$W$6,0))</f>
        <v>0</v>
      </c>
      <c r="H65" s="138" t="s">
        <v>605</v>
      </c>
      <c r="I65" s="262"/>
      <c r="J65" s="313">
        <f t="shared" si="22"/>
        <v>0</v>
      </c>
      <c r="K65" s="313">
        <f t="shared" si="22"/>
        <v>0</v>
      </c>
      <c r="L65" s="313">
        <f t="shared" si="22"/>
        <v>0</v>
      </c>
      <c r="M65" s="313">
        <f t="shared" si="22"/>
        <v>0</v>
      </c>
      <c r="N65" s="313">
        <f t="shared" si="22"/>
        <v>0</v>
      </c>
      <c r="O65" s="313">
        <f t="shared" si="22"/>
        <v>0</v>
      </c>
      <c r="P65" s="313">
        <f t="shared" si="22"/>
        <v>0</v>
      </c>
      <c r="Q65" s="313">
        <f t="shared" si="22"/>
        <v>0</v>
      </c>
      <c r="R65" s="313">
        <f t="shared" si="22"/>
        <v>0</v>
      </c>
      <c r="S65" s="313">
        <f t="shared" si="22"/>
        <v>0</v>
      </c>
      <c r="T65" s="313">
        <f t="shared" si="23"/>
        <v>0</v>
      </c>
      <c r="U65" s="313">
        <f t="shared" si="23"/>
        <v>0</v>
      </c>
      <c r="V65" s="313">
        <f t="shared" si="23"/>
        <v>0</v>
      </c>
      <c r="W65" s="313">
        <f t="shared" si="23"/>
        <v>0</v>
      </c>
      <c r="X65" s="313">
        <f t="shared" si="23"/>
        <v>0</v>
      </c>
      <c r="Y65" s="313">
        <f t="shared" si="23"/>
        <v>0</v>
      </c>
      <c r="Z65" s="313">
        <f t="shared" si="23"/>
        <v>0</v>
      </c>
      <c r="AA65" s="328">
        <f t="shared" si="23"/>
        <v>0</v>
      </c>
      <c r="AB65" s="104"/>
      <c r="AC65" s="191"/>
      <c r="AD65" s="20"/>
      <c r="AE65" s="193">
        <f t="shared" si="21"/>
        <v>0</v>
      </c>
      <c r="AF65" s="20"/>
      <c r="AG65" s="20"/>
    </row>
    <row r="66" spans="1:33" ht="16.5" customHeight="1" thickBot="1">
      <c r="A66" s="411"/>
      <c r="C66" s="342">
        <f>+MAX(C$15:C65)+1</f>
        <v>41</v>
      </c>
      <c r="D66" s="165">
        <f>'O&amp;M_Summ'!D22</f>
        <v>557050</v>
      </c>
      <c r="E66" s="252" t="str">
        <f>'O&amp;M_Summ'!E22</f>
        <v>OTH PWR EXP-MISC</v>
      </c>
      <c r="F66" s="252"/>
      <c r="G66" s="1774">
        <f>INDEX('O&amp;M_Summ'!$F$9:$W$156,MATCH($E66,'O&amp;M_Summ'!$E$9:$E$156,0),MATCH($E$5,'O&amp;M_Summ'!$F$6:$W$6,0))</f>
        <v>0</v>
      </c>
      <c r="H66" s="82" t="s">
        <v>605</v>
      </c>
      <c r="I66" s="262"/>
      <c r="J66" s="313">
        <f t="shared" si="22"/>
        <v>0</v>
      </c>
      <c r="K66" s="313">
        <f t="shared" si="22"/>
        <v>0</v>
      </c>
      <c r="L66" s="313">
        <f t="shared" si="22"/>
        <v>0</v>
      </c>
      <c r="M66" s="313">
        <f t="shared" si="22"/>
        <v>0</v>
      </c>
      <c r="N66" s="313">
        <f t="shared" si="22"/>
        <v>0</v>
      </c>
      <c r="O66" s="313">
        <f t="shared" si="22"/>
        <v>0</v>
      </c>
      <c r="P66" s="313">
        <f t="shared" si="22"/>
        <v>0</v>
      </c>
      <c r="Q66" s="313">
        <f t="shared" si="22"/>
        <v>0</v>
      </c>
      <c r="R66" s="313">
        <f t="shared" si="22"/>
        <v>0</v>
      </c>
      <c r="S66" s="313">
        <f t="shared" si="22"/>
        <v>0</v>
      </c>
      <c r="T66" s="313">
        <f t="shared" si="23"/>
        <v>0</v>
      </c>
      <c r="U66" s="313">
        <f t="shared" si="23"/>
        <v>0</v>
      </c>
      <c r="V66" s="313">
        <f t="shared" si="23"/>
        <v>0</v>
      </c>
      <c r="W66" s="313">
        <f t="shared" si="23"/>
        <v>0</v>
      </c>
      <c r="X66" s="313">
        <f t="shared" si="23"/>
        <v>0</v>
      </c>
      <c r="Y66" s="313">
        <f t="shared" si="23"/>
        <v>0</v>
      </c>
      <c r="Z66" s="313">
        <f t="shared" si="23"/>
        <v>0</v>
      </c>
      <c r="AA66" s="328">
        <f t="shared" si="23"/>
        <v>0</v>
      </c>
      <c r="AB66" s="104"/>
      <c r="AC66" s="191"/>
      <c r="AD66" s="20"/>
      <c r="AE66" s="193">
        <f t="shared" si="21"/>
        <v>0</v>
      </c>
      <c r="AF66" s="20"/>
      <c r="AG66" s="20"/>
    </row>
    <row r="67" spans="1:33" ht="16.5" customHeight="1">
      <c r="A67" s="411"/>
      <c r="C67" s="342">
        <f>+MAX(C$15:C66)+1</f>
        <v>42</v>
      </c>
      <c r="D67" s="252"/>
      <c r="E67" s="255" t="str">
        <f>'O&amp;M_Summ'!E23</f>
        <v>Total Purchased Power</v>
      </c>
      <c r="F67" s="255"/>
      <c r="G67" s="324">
        <f>SUM(G46:G66)</f>
        <v>233090202.32355806</v>
      </c>
      <c r="H67" s="463"/>
      <c r="I67" s="262"/>
      <c r="J67" s="324">
        <f t="shared" ref="J67:AA67" si="24">SUM(J46:J66)</f>
        <v>23379673</v>
      </c>
      <c r="K67" s="324">
        <f t="shared" si="24"/>
        <v>209710529</v>
      </c>
      <c r="L67" s="324">
        <f t="shared" si="24"/>
        <v>0</v>
      </c>
      <c r="M67" s="324">
        <f t="shared" si="24"/>
        <v>0</v>
      </c>
      <c r="N67" s="324">
        <f t="shared" si="24"/>
        <v>0</v>
      </c>
      <c r="O67" s="324">
        <f t="shared" si="24"/>
        <v>0</v>
      </c>
      <c r="P67" s="324">
        <f t="shared" si="24"/>
        <v>0</v>
      </c>
      <c r="Q67" s="324">
        <f t="shared" si="24"/>
        <v>0</v>
      </c>
      <c r="R67" s="324">
        <f t="shared" si="24"/>
        <v>0</v>
      </c>
      <c r="S67" s="324">
        <f t="shared" si="24"/>
        <v>0</v>
      </c>
      <c r="T67" s="324">
        <f t="shared" si="24"/>
        <v>0</v>
      </c>
      <c r="U67" s="324">
        <f t="shared" si="24"/>
        <v>0</v>
      </c>
      <c r="V67" s="324">
        <f t="shared" si="24"/>
        <v>0</v>
      </c>
      <c r="W67" s="324">
        <f t="shared" si="24"/>
        <v>0</v>
      </c>
      <c r="X67" s="324">
        <f t="shared" si="24"/>
        <v>0</v>
      </c>
      <c r="Y67" s="324">
        <f t="shared" si="24"/>
        <v>0</v>
      </c>
      <c r="Z67" s="324">
        <f t="shared" si="24"/>
        <v>0</v>
      </c>
      <c r="AA67" s="327">
        <f t="shared" si="24"/>
        <v>0</v>
      </c>
      <c r="AB67" s="216"/>
      <c r="AC67" s="191"/>
      <c r="AD67" s="20"/>
      <c r="AE67" s="193">
        <f t="shared" si="21"/>
        <v>-0.32355806231498718</v>
      </c>
      <c r="AF67" s="20"/>
      <c r="AG67" s="20"/>
    </row>
    <row r="68" spans="1:33" ht="5.25" customHeight="1">
      <c r="A68" s="411"/>
      <c r="C68" s="342"/>
      <c r="D68" s="252"/>
      <c r="E68" s="252"/>
      <c r="F68" s="252"/>
      <c r="G68" s="313"/>
      <c r="H68" s="262"/>
      <c r="I68" s="262"/>
      <c r="J68" s="313"/>
      <c r="K68" s="313"/>
      <c r="L68" s="313"/>
      <c r="M68" s="313"/>
      <c r="N68" s="313"/>
      <c r="O68" s="313"/>
      <c r="P68" s="313"/>
      <c r="Q68" s="313"/>
      <c r="R68" s="313"/>
      <c r="S68" s="313"/>
      <c r="T68" s="313"/>
      <c r="U68" s="313"/>
      <c r="V68" s="313"/>
      <c r="W68" s="313"/>
      <c r="X68" s="313"/>
      <c r="Y68" s="313"/>
      <c r="Z68" s="313"/>
      <c r="AA68" s="328"/>
      <c r="AB68" s="104"/>
      <c r="AC68" s="191"/>
      <c r="AD68" s="20"/>
      <c r="AE68" s="193">
        <f t="shared" si="21"/>
        <v>0</v>
      </c>
      <c r="AF68" s="20"/>
      <c r="AG68" s="20"/>
    </row>
    <row r="69" spans="1:33" ht="16.5" customHeight="1" thickBot="1">
      <c r="A69" s="411"/>
      <c r="C69" s="342">
        <f>+MAX(C$15:C68)+1</f>
        <v>43</v>
      </c>
      <c r="D69" s="252"/>
      <c r="E69" s="246" t="s">
        <v>753</v>
      </c>
      <c r="F69" s="246"/>
      <c r="G69" s="313"/>
      <c r="H69" s="262"/>
      <c r="I69" s="262"/>
      <c r="J69" s="313"/>
      <c r="K69" s="313"/>
      <c r="L69" s="313"/>
      <c r="M69" s="313"/>
      <c r="N69" s="313"/>
      <c r="O69" s="313"/>
      <c r="P69" s="313"/>
      <c r="Q69" s="313"/>
      <c r="R69" s="313"/>
      <c r="S69" s="313"/>
      <c r="T69" s="313"/>
      <c r="U69" s="313"/>
      <c r="V69" s="313"/>
      <c r="W69" s="313"/>
      <c r="X69" s="313"/>
      <c r="Y69" s="313"/>
      <c r="Z69" s="313"/>
      <c r="AA69" s="328"/>
      <c r="AB69" s="104"/>
      <c r="AC69" s="191"/>
      <c r="AD69" s="20"/>
      <c r="AE69" s="193">
        <f t="shared" si="21"/>
        <v>0</v>
      </c>
      <c r="AF69" s="20"/>
      <c r="AG69" s="20"/>
    </row>
    <row r="70" spans="1:33" ht="16.5" customHeight="1">
      <c r="A70" s="411"/>
      <c r="C70" s="342">
        <f>+MAX(C$15:C69)+1</f>
        <v>44</v>
      </c>
      <c r="D70" s="237">
        <f>'O&amp;M_Summ'!D26</f>
        <v>535500</v>
      </c>
      <c r="E70" s="112" t="str">
        <f>'O&amp;M_Summ'!E26</f>
        <v>SUPV &amp; ENG, QC OPERATIONS</v>
      </c>
      <c r="F70" s="252"/>
      <c r="G70" s="308">
        <f>INDEX('O&amp;M_Summ'!$F$9:$W$156,MATCH($E70,'O&amp;M_Summ'!$E$9:$E$156,0),MATCH($E$5,'O&amp;M_Summ'!$F$6:$W$6,0))</f>
        <v>10471.09741946662</v>
      </c>
      <c r="H70" s="188" t="s">
        <v>2764</v>
      </c>
      <c r="I70" s="366"/>
      <c r="J70" s="308">
        <f t="shared" ref="J70:S79" si="25">+ROUND($G70*SUMIF($E$260:$E$302,$H70,J$260:J$302),$AD$10)</f>
        <v>0</v>
      </c>
      <c r="K70" s="308">
        <f t="shared" si="25"/>
        <v>10471</v>
      </c>
      <c r="L70" s="308">
        <f t="shared" si="25"/>
        <v>0</v>
      </c>
      <c r="M70" s="308">
        <f t="shared" si="25"/>
        <v>0</v>
      </c>
      <c r="N70" s="308">
        <f t="shared" si="25"/>
        <v>0</v>
      </c>
      <c r="O70" s="308">
        <f t="shared" si="25"/>
        <v>0</v>
      </c>
      <c r="P70" s="308">
        <f t="shared" si="25"/>
        <v>0</v>
      </c>
      <c r="Q70" s="308">
        <f t="shared" si="25"/>
        <v>0</v>
      </c>
      <c r="R70" s="308">
        <f t="shared" si="25"/>
        <v>0</v>
      </c>
      <c r="S70" s="308">
        <f t="shared" si="25"/>
        <v>0</v>
      </c>
      <c r="T70" s="308">
        <f t="shared" ref="T70:AA79" si="26">+ROUND($G70*SUMIF($E$260:$E$302,$H70,T$260:T$302),$AD$10)</f>
        <v>0</v>
      </c>
      <c r="U70" s="308">
        <f t="shared" si="26"/>
        <v>0</v>
      </c>
      <c r="V70" s="308">
        <f t="shared" si="26"/>
        <v>0</v>
      </c>
      <c r="W70" s="308">
        <f t="shared" si="26"/>
        <v>0</v>
      </c>
      <c r="X70" s="308">
        <f t="shared" si="26"/>
        <v>0</v>
      </c>
      <c r="Y70" s="308">
        <f t="shared" si="26"/>
        <v>0</v>
      </c>
      <c r="Z70" s="308">
        <f t="shared" si="26"/>
        <v>0</v>
      </c>
      <c r="AA70" s="349">
        <f t="shared" si="26"/>
        <v>0</v>
      </c>
      <c r="AB70" s="215"/>
      <c r="AC70" s="191"/>
      <c r="AD70" s="20"/>
      <c r="AE70" s="193">
        <f t="shared" si="21"/>
        <v>-9.7419466619612649E-2</v>
      </c>
      <c r="AF70" s="20"/>
      <c r="AG70" s="20"/>
    </row>
    <row r="71" spans="1:33" ht="16.5" customHeight="1">
      <c r="A71" s="411"/>
      <c r="C71" s="342">
        <f>+MAX(C$15:C70)+1</f>
        <v>45</v>
      </c>
      <c r="D71" s="237">
        <f>'O&amp;M_Summ'!D27</f>
        <v>535000</v>
      </c>
      <c r="E71" s="112" t="str">
        <f>'O&amp;M_Summ'!E27</f>
        <v>DAM O&amp;M (WAN, PEC, PR, and QC)</v>
      </c>
      <c r="F71" s="252"/>
      <c r="G71" s="19">
        <f>INDEX('O&amp;M_Summ'!$F$9:$W$156,MATCH($E71,'O&amp;M_Summ'!$E$9:$E$156,0),MATCH($E$5,'O&amp;M_Summ'!$F$6:$W$6,0))</f>
        <v>0</v>
      </c>
      <c r="H71" s="138" t="s">
        <v>2764</v>
      </c>
      <c r="I71" s="262"/>
      <c r="J71" s="313">
        <f t="shared" si="25"/>
        <v>0</v>
      </c>
      <c r="K71" s="313">
        <f t="shared" si="25"/>
        <v>0</v>
      </c>
      <c r="L71" s="313">
        <f t="shared" si="25"/>
        <v>0</v>
      </c>
      <c r="M71" s="313">
        <f t="shared" si="25"/>
        <v>0</v>
      </c>
      <c r="N71" s="313">
        <f t="shared" si="25"/>
        <v>0</v>
      </c>
      <c r="O71" s="313">
        <f t="shared" si="25"/>
        <v>0</v>
      </c>
      <c r="P71" s="313">
        <f t="shared" si="25"/>
        <v>0</v>
      </c>
      <c r="Q71" s="313">
        <f t="shared" si="25"/>
        <v>0</v>
      </c>
      <c r="R71" s="313">
        <f t="shared" si="25"/>
        <v>0</v>
      </c>
      <c r="S71" s="313">
        <f t="shared" si="25"/>
        <v>0</v>
      </c>
      <c r="T71" s="313">
        <f t="shared" si="26"/>
        <v>0</v>
      </c>
      <c r="U71" s="313">
        <f t="shared" si="26"/>
        <v>0</v>
      </c>
      <c r="V71" s="313">
        <f t="shared" si="26"/>
        <v>0</v>
      </c>
      <c r="W71" s="313">
        <f t="shared" si="26"/>
        <v>0</v>
      </c>
      <c r="X71" s="313">
        <f t="shared" si="26"/>
        <v>0</v>
      </c>
      <c r="Y71" s="313">
        <f t="shared" si="26"/>
        <v>0</v>
      </c>
      <c r="Z71" s="313">
        <f t="shared" si="26"/>
        <v>0</v>
      </c>
      <c r="AA71" s="328">
        <f t="shared" si="26"/>
        <v>0</v>
      </c>
      <c r="AB71" s="215"/>
      <c r="AC71" s="191"/>
      <c r="AD71" s="20"/>
      <c r="AE71" s="193">
        <f t="shared" si="21"/>
        <v>0</v>
      </c>
      <c r="AF71" s="20"/>
      <c r="AG71" s="20"/>
    </row>
    <row r="72" spans="1:33" ht="16.5" customHeight="1">
      <c r="A72" s="411"/>
      <c r="C72" s="342">
        <f>+MAX(C$15:C71)+1</f>
        <v>46</v>
      </c>
      <c r="D72" s="237">
        <f>'O&amp;M_Summ'!D28</f>
        <v>535600</v>
      </c>
      <c r="E72" s="112" t="str">
        <f>'O&amp;M_Summ'!E28</f>
        <v>SUPV &amp; ENG, PEC OPERATIONS</v>
      </c>
      <c r="F72" s="252"/>
      <c r="G72" s="19">
        <f>INDEX('O&amp;M_Summ'!$F$9:$W$156,MATCH($E72,'O&amp;M_Summ'!$E$9:$E$156,0),MATCH($E$5,'O&amp;M_Summ'!$F$6:$W$6,0))</f>
        <v>53360.774935999536</v>
      </c>
      <c r="H72" s="138" t="s">
        <v>2764</v>
      </c>
      <c r="I72" s="262"/>
      <c r="J72" s="313">
        <f t="shared" si="25"/>
        <v>0</v>
      </c>
      <c r="K72" s="313">
        <f t="shared" si="25"/>
        <v>53361</v>
      </c>
      <c r="L72" s="313">
        <f t="shared" si="25"/>
        <v>0</v>
      </c>
      <c r="M72" s="313">
        <f t="shared" si="25"/>
        <v>0</v>
      </c>
      <c r="N72" s="313">
        <f t="shared" si="25"/>
        <v>0</v>
      </c>
      <c r="O72" s="313">
        <f t="shared" si="25"/>
        <v>0</v>
      </c>
      <c r="P72" s="313">
        <f t="shared" si="25"/>
        <v>0</v>
      </c>
      <c r="Q72" s="313">
        <f t="shared" si="25"/>
        <v>0</v>
      </c>
      <c r="R72" s="313">
        <f t="shared" si="25"/>
        <v>0</v>
      </c>
      <c r="S72" s="313">
        <f t="shared" si="25"/>
        <v>0</v>
      </c>
      <c r="T72" s="313">
        <f t="shared" si="26"/>
        <v>0</v>
      </c>
      <c r="U72" s="313">
        <f t="shared" si="26"/>
        <v>0</v>
      </c>
      <c r="V72" s="313">
        <f t="shared" si="26"/>
        <v>0</v>
      </c>
      <c r="W72" s="313">
        <f t="shared" si="26"/>
        <v>0</v>
      </c>
      <c r="X72" s="313">
        <f t="shared" si="26"/>
        <v>0</v>
      </c>
      <c r="Y72" s="313">
        <f t="shared" si="26"/>
        <v>0</v>
      </c>
      <c r="Z72" s="313">
        <f t="shared" si="26"/>
        <v>0</v>
      </c>
      <c r="AA72" s="328">
        <f t="shared" si="26"/>
        <v>0</v>
      </c>
      <c r="AB72" s="104"/>
      <c r="AC72" s="191"/>
      <c r="AD72" s="20"/>
      <c r="AE72" s="193">
        <f t="shared" si="21"/>
        <v>0.22506400046404451</v>
      </c>
      <c r="AF72" s="20"/>
      <c r="AG72" s="20"/>
    </row>
    <row r="73" spans="1:33" ht="16.5" customHeight="1">
      <c r="A73" s="411"/>
      <c r="C73" s="342">
        <f>+MAX(C$15:C72)+1</f>
        <v>47</v>
      </c>
      <c r="D73" s="237">
        <f>'O&amp;M_Summ'!D29</f>
        <v>536000</v>
      </c>
      <c r="E73" s="112" t="str">
        <f>'O&amp;M_Summ'!E29</f>
        <v>WATER FOR POWER</v>
      </c>
      <c r="F73" s="252"/>
      <c r="G73" s="19">
        <f>INDEX('O&amp;M_Summ'!$F$9:$W$156,MATCH($E73,'O&amp;M_Summ'!$E$9:$E$156,0),MATCH($E$5,'O&amp;M_Summ'!$F$6:$W$6,0))</f>
        <v>0</v>
      </c>
      <c r="H73" s="138" t="s">
        <v>2764</v>
      </c>
      <c r="I73" s="262"/>
      <c r="J73" s="313">
        <f t="shared" si="25"/>
        <v>0</v>
      </c>
      <c r="K73" s="313">
        <f t="shared" si="25"/>
        <v>0</v>
      </c>
      <c r="L73" s="313">
        <f t="shared" si="25"/>
        <v>0</v>
      </c>
      <c r="M73" s="313">
        <f t="shared" si="25"/>
        <v>0</v>
      </c>
      <c r="N73" s="313">
        <f t="shared" si="25"/>
        <v>0</v>
      </c>
      <c r="O73" s="313">
        <f t="shared" si="25"/>
        <v>0</v>
      </c>
      <c r="P73" s="313">
        <f t="shared" si="25"/>
        <v>0</v>
      </c>
      <c r="Q73" s="313">
        <f t="shared" si="25"/>
        <v>0</v>
      </c>
      <c r="R73" s="313">
        <f t="shared" si="25"/>
        <v>0</v>
      </c>
      <c r="S73" s="313">
        <f t="shared" si="25"/>
        <v>0</v>
      </c>
      <c r="T73" s="313">
        <f t="shared" si="26"/>
        <v>0</v>
      </c>
      <c r="U73" s="313">
        <f t="shared" si="26"/>
        <v>0</v>
      </c>
      <c r="V73" s="313">
        <f t="shared" si="26"/>
        <v>0</v>
      </c>
      <c r="W73" s="313">
        <f t="shared" si="26"/>
        <v>0</v>
      </c>
      <c r="X73" s="313">
        <f t="shared" si="26"/>
        <v>0</v>
      </c>
      <c r="Y73" s="313">
        <f t="shared" si="26"/>
        <v>0</v>
      </c>
      <c r="Z73" s="313">
        <f t="shared" si="26"/>
        <v>0</v>
      </c>
      <c r="AA73" s="328">
        <f t="shared" si="26"/>
        <v>0</v>
      </c>
      <c r="AB73" s="104"/>
      <c r="AC73" s="191"/>
      <c r="AD73" s="20"/>
      <c r="AE73" s="193">
        <f t="shared" si="21"/>
        <v>0</v>
      </c>
      <c r="AF73" s="20"/>
      <c r="AG73" s="20"/>
    </row>
    <row r="74" spans="1:33" ht="16.5" customHeight="1">
      <c r="A74" s="411"/>
      <c r="C74" s="342">
        <f>+MAX(C$15:C73)+1</f>
        <v>48</v>
      </c>
      <c r="D74" s="237">
        <f>'O&amp;M_Summ'!D30</f>
        <v>537010</v>
      </c>
      <c r="E74" s="112" t="str">
        <f>'O&amp;M_Summ'!E30</f>
        <v>HYDRAULIC EXPENSES (MAJOR)</v>
      </c>
      <c r="F74" s="252"/>
      <c r="G74" s="19">
        <f>INDEX('O&amp;M_Summ'!$F$9:$W$156,MATCH($E74,'O&amp;M_Summ'!$E$9:$E$156,0),MATCH($E$5,'O&amp;M_Summ'!$F$6:$W$6,0))</f>
        <v>0</v>
      </c>
      <c r="H74" s="138" t="s">
        <v>2764</v>
      </c>
      <c r="I74" s="262"/>
      <c r="J74" s="313">
        <f t="shared" si="25"/>
        <v>0</v>
      </c>
      <c r="K74" s="313">
        <f t="shared" si="25"/>
        <v>0</v>
      </c>
      <c r="L74" s="313">
        <f t="shared" si="25"/>
        <v>0</v>
      </c>
      <c r="M74" s="313">
        <f t="shared" si="25"/>
        <v>0</v>
      </c>
      <c r="N74" s="313">
        <f t="shared" si="25"/>
        <v>0</v>
      </c>
      <c r="O74" s="313">
        <f t="shared" si="25"/>
        <v>0</v>
      </c>
      <c r="P74" s="313">
        <f t="shared" si="25"/>
        <v>0</v>
      </c>
      <c r="Q74" s="313">
        <f t="shared" si="25"/>
        <v>0</v>
      </c>
      <c r="R74" s="313">
        <f t="shared" si="25"/>
        <v>0</v>
      </c>
      <c r="S74" s="313">
        <f t="shared" si="25"/>
        <v>0</v>
      </c>
      <c r="T74" s="313">
        <f t="shared" si="26"/>
        <v>0</v>
      </c>
      <c r="U74" s="313">
        <f t="shared" si="26"/>
        <v>0</v>
      </c>
      <c r="V74" s="313">
        <f t="shared" si="26"/>
        <v>0</v>
      </c>
      <c r="W74" s="313">
        <f t="shared" si="26"/>
        <v>0</v>
      </c>
      <c r="X74" s="313">
        <f t="shared" si="26"/>
        <v>0</v>
      </c>
      <c r="Y74" s="313">
        <f t="shared" si="26"/>
        <v>0</v>
      </c>
      <c r="Z74" s="313">
        <f t="shared" si="26"/>
        <v>0</v>
      </c>
      <c r="AA74" s="328">
        <f t="shared" si="26"/>
        <v>0</v>
      </c>
      <c r="AB74" s="104"/>
      <c r="AC74" s="191"/>
      <c r="AD74" s="20"/>
      <c r="AE74" s="193">
        <f t="shared" si="21"/>
        <v>0</v>
      </c>
      <c r="AF74" s="20"/>
      <c r="AG74" s="20"/>
    </row>
    <row r="75" spans="1:33" ht="16.5" customHeight="1">
      <c r="A75" s="411"/>
      <c r="C75" s="342">
        <f>+MAX(C$15:C74)+1</f>
        <v>49</v>
      </c>
      <c r="D75" s="237">
        <f>'O&amp;M_Summ'!D31</f>
        <v>537500</v>
      </c>
      <c r="E75" s="112" t="str">
        <f>'O&amp;M_Summ'!E31</f>
        <v>HYDRL EXP-QC</v>
      </c>
      <c r="F75" s="252"/>
      <c r="G75" s="19">
        <f>INDEX('O&amp;M_Summ'!$F$9:$W$156,MATCH($E75,'O&amp;M_Summ'!$E$9:$E$156,0),MATCH($E$5,'O&amp;M_Summ'!$F$6:$W$6,0))</f>
        <v>16765.91948544604</v>
      </c>
      <c r="H75" s="138" t="s">
        <v>2764</v>
      </c>
      <c r="I75" s="262"/>
      <c r="J75" s="313">
        <f t="shared" si="25"/>
        <v>0</v>
      </c>
      <c r="K75" s="313">
        <f t="shared" si="25"/>
        <v>16766</v>
      </c>
      <c r="L75" s="313">
        <f t="shared" si="25"/>
        <v>0</v>
      </c>
      <c r="M75" s="313">
        <f t="shared" si="25"/>
        <v>0</v>
      </c>
      <c r="N75" s="313">
        <f t="shared" si="25"/>
        <v>0</v>
      </c>
      <c r="O75" s="313">
        <f t="shared" si="25"/>
        <v>0</v>
      </c>
      <c r="P75" s="313">
        <f t="shared" si="25"/>
        <v>0</v>
      </c>
      <c r="Q75" s="313">
        <f t="shared" si="25"/>
        <v>0</v>
      </c>
      <c r="R75" s="313">
        <f t="shared" si="25"/>
        <v>0</v>
      </c>
      <c r="S75" s="313">
        <f t="shared" si="25"/>
        <v>0</v>
      </c>
      <c r="T75" s="313">
        <f t="shared" si="26"/>
        <v>0</v>
      </c>
      <c r="U75" s="313">
        <f t="shared" si="26"/>
        <v>0</v>
      </c>
      <c r="V75" s="313">
        <f t="shared" si="26"/>
        <v>0</v>
      </c>
      <c r="W75" s="313">
        <f t="shared" si="26"/>
        <v>0</v>
      </c>
      <c r="X75" s="313">
        <f t="shared" si="26"/>
        <v>0</v>
      </c>
      <c r="Y75" s="313">
        <f t="shared" si="26"/>
        <v>0</v>
      </c>
      <c r="Z75" s="313">
        <f t="shared" si="26"/>
        <v>0</v>
      </c>
      <c r="AA75" s="328">
        <f t="shared" si="26"/>
        <v>0</v>
      </c>
      <c r="AB75" s="104"/>
      <c r="AC75" s="191"/>
      <c r="AD75" s="20"/>
      <c r="AE75" s="193">
        <f t="shared" si="21"/>
        <v>8.051455395980156E-2</v>
      </c>
      <c r="AF75" s="20"/>
      <c r="AG75" s="20"/>
    </row>
    <row r="76" spans="1:33" ht="16.5" customHeight="1">
      <c r="A76" s="411"/>
      <c r="C76" s="342">
        <f>+MAX(C$15:C75)+1</f>
        <v>50</v>
      </c>
      <c r="D76" s="237">
        <f>'O&amp;M_Summ'!D32</f>
        <v>537600</v>
      </c>
      <c r="E76" s="112" t="str">
        <f>'O&amp;M_Summ'!E32</f>
        <v>HYDRL EXP-PEC</v>
      </c>
      <c r="F76" s="252"/>
      <c r="G76" s="19">
        <f>INDEX('O&amp;M_Summ'!$F$9:$W$156,MATCH($E76,'O&amp;M_Summ'!$E$9:$E$156,0),MATCH($E$5,'O&amp;M_Summ'!$F$6:$W$6,0))</f>
        <v>12273.663158997804</v>
      </c>
      <c r="H76" s="138" t="s">
        <v>2764</v>
      </c>
      <c r="I76" s="262"/>
      <c r="J76" s="313">
        <f t="shared" si="25"/>
        <v>0</v>
      </c>
      <c r="K76" s="313">
        <f t="shared" si="25"/>
        <v>12274</v>
      </c>
      <c r="L76" s="313">
        <f t="shared" si="25"/>
        <v>0</v>
      </c>
      <c r="M76" s="313">
        <f t="shared" si="25"/>
        <v>0</v>
      </c>
      <c r="N76" s="313">
        <f t="shared" si="25"/>
        <v>0</v>
      </c>
      <c r="O76" s="313">
        <f t="shared" si="25"/>
        <v>0</v>
      </c>
      <c r="P76" s="313">
        <f t="shared" si="25"/>
        <v>0</v>
      </c>
      <c r="Q76" s="313">
        <f t="shared" si="25"/>
        <v>0</v>
      </c>
      <c r="R76" s="313">
        <f t="shared" si="25"/>
        <v>0</v>
      </c>
      <c r="S76" s="313">
        <f t="shared" si="25"/>
        <v>0</v>
      </c>
      <c r="T76" s="313">
        <f t="shared" si="26"/>
        <v>0</v>
      </c>
      <c r="U76" s="313">
        <f t="shared" si="26"/>
        <v>0</v>
      </c>
      <c r="V76" s="313">
        <f t="shared" si="26"/>
        <v>0</v>
      </c>
      <c r="W76" s="313">
        <f t="shared" si="26"/>
        <v>0</v>
      </c>
      <c r="X76" s="313">
        <f t="shared" si="26"/>
        <v>0</v>
      </c>
      <c r="Y76" s="313">
        <f t="shared" si="26"/>
        <v>0</v>
      </c>
      <c r="Z76" s="313">
        <f t="shared" si="26"/>
        <v>0</v>
      </c>
      <c r="AA76" s="328">
        <f t="shared" si="26"/>
        <v>0</v>
      </c>
      <c r="AB76" s="104"/>
      <c r="AC76" s="191"/>
      <c r="AD76" s="20"/>
      <c r="AE76" s="193">
        <f t="shared" si="21"/>
        <v>0.33684100219579705</v>
      </c>
      <c r="AF76" s="20"/>
      <c r="AG76" s="20"/>
    </row>
    <row r="77" spans="1:33" ht="16.5" customHeight="1">
      <c r="A77" s="411"/>
      <c r="C77" s="342">
        <f>+MAX(C$15:C76)+1</f>
        <v>51</v>
      </c>
      <c r="D77" s="237">
        <f>'O&amp;M_Summ'!D33</f>
        <v>538500</v>
      </c>
      <c r="E77" s="112" t="str">
        <f>'O&amp;M_Summ'!E33</f>
        <v>ELECTRIC EXP-QC</v>
      </c>
      <c r="F77" s="252"/>
      <c r="G77" s="19">
        <f>INDEX('O&amp;M_Summ'!$F$9:$W$156,MATCH($E77,'O&amp;M_Summ'!$E$9:$E$156,0),MATCH($E$5,'O&amp;M_Summ'!$F$6:$W$6,0))</f>
        <v>16765.479654006282</v>
      </c>
      <c r="H77" s="138" t="s">
        <v>2764</v>
      </c>
      <c r="I77" s="262"/>
      <c r="J77" s="313">
        <f t="shared" si="25"/>
        <v>0</v>
      </c>
      <c r="K77" s="313">
        <f t="shared" si="25"/>
        <v>16765</v>
      </c>
      <c r="L77" s="313">
        <f t="shared" si="25"/>
        <v>0</v>
      </c>
      <c r="M77" s="313">
        <f t="shared" si="25"/>
        <v>0</v>
      </c>
      <c r="N77" s="313">
        <f t="shared" si="25"/>
        <v>0</v>
      </c>
      <c r="O77" s="313">
        <f t="shared" si="25"/>
        <v>0</v>
      </c>
      <c r="P77" s="313">
        <f t="shared" si="25"/>
        <v>0</v>
      </c>
      <c r="Q77" s="313">
        <f t="shared" si="25"/>
        <v>0</v>
      </c>
      <c r="R77" s="313">
        <f t="shared" si="25"/>
        <v>0</v>
      </c>
      <c r="S77" s="313">
        <f t="shared" si="25"/>
        <v>0</v>
      </c>
      <c r="T77" s="313">
        <f t="shared" si="26"/>
        <v>0</v>
      </c>
      <c r="U77" s="313">
        <f t="shared" si="26"/>
        <v>0</v>
      </c>
      <c r="V77" s="313">
        <f t="shared" si="26"/>
        <v>0</v>
      </c>
      <c r="W77" s="313">
        <f t="shared" si="26"/>
        <v>0</v>
      </c>
      <c r="X77" s="313">
        <f t="shared" si="26"/>
        <v>0</v>
      </c>
      <c r="Y77" s="313">
        <f t="shared" si="26"/>
        <v>0</v>
      </c>
      <c r="Z77" s="313">
        <f t="shared" si="26"/>
        <v>0</v>
      </c>
      <c r="AA77" s="328">
        <f t="shared" si="26"/>
        <v>0</v>
      </c>
      <c r="AB77" s="104"/>
      <c r="AC77" s="191"/>
      <c r="AD77" s="20"/>
      <c r="AE77" s="193">
        <f t="shared" si="21"/>
        <v>-0.47965400628163479</v>
      </c>
      <c r="AF77" s="20"/>
      <c r="AG77" s="20"/>
    </row>
    <row r="78" spans="1:33" ht="16.5" customHeight="1">
      <c r="A78" s="411"/>
      <c r="C78" s="342">
        <f>+MAX(C$15:C77)+1</f>
        <v>52</v>
      </c>
      <c r="D78" s="237">
        <f>'O&amp;M_Summ'!D34</f>
        <v>538600</v>
      </c>
      <c r="E78" s="112" t="str">
        <f>'O&amp;M_Summ'!E34</f>
        <v>ELECTRIC EXP-PEC</v>
      </c>
      <c r="F78" s="252"/>
      <c r="G78" s="19">
        <f>INDEX('O&amp;M_Summ'!$F$9:$W$156,MATCH($E78,'O&amp;M_Summ'!$E$9:$E$156,0),MATCH($E$5,'O&amp;M_Summ'!$F$6:$W$6,0))</f>
        <v>12273.374993571759</v>
      </c>
      <c r="H78" s="138" t="s">
        <v>2764</v>
      </c>
      <c r="I78" s="262"/>
      <c r="J78" s="313">
        <f t="shared" si="25"/>
        <v>0</v>
      </c>
      <c r="K78" s="313">
        <f t="shared" si="25"/>
        <v>12273</v>
      </c>
      <c r="L78" s="313">
        <f t="shared" si="25"/>
        <v>0</v>
      </c>
      <c r="M78" s="313">
        <f t="shared" si="25"/>
        <v>0</v>
      </c>
      <c r="N78" s="313">
        <f t="shared" si="25"/>
        <v>0</v>
      </c>
      <c r="O78" s="313">
        <f t="shared" si="25"/>
        <v>0</v>
      </c>
      <c r="P78" s="313">
        <f t="shared" si="25"/>
        <v>0</v>
      </c>
      <c r="Q78" s="313">
        <f t="shared" si="25"/>
        <v>0</v>
      </c>
      <c r="R78" s="313">
        <f t="shared" si="25"/>
        <v>0</v>
      </c>
      <c r="S78" s="313">
        <f t="shared" si="25"/>
        <v>0</v>
      </c>
      <c r="T78" s="313">
        <f t="shared" si="26"/>
        <v>0</v>
      </c>
      <c r="U78" s="313">
        <f t="shared" si="26"/>
        <v>0</v>
      </c>
      <c r="V78" s="313">
        <f t="shared" si="26"/>
        <v>0</v>
      </c>
      <c r="W78" s="313">
        <f t="shared" si="26"/>
        <v>0</v>
      </c>
      <c r="X78" s="313">
        <f t="shared" si="26"/>
        <v>0</v>
      </c>
      <c r="Y78" s="313">
        <f t="shared" si="26"/>
        <v>0</v>
      </c>
      <c r="Z78" s="313">
        <f t="shared" si="26"/>
        <v>0</v>
      </c>
      <c r="AA78" s="328">
        <f t="shared" si="26"/>
        <v>0</v>
      </c>
      <c r="AB78" s="104"/>
      <c r="AC78" s="191"/>
      <c r="AD78" s="20"/>
      <c r="AE78" s="193">
        <f t="shared" si="21"/>
        <v>-0.37499357175875048</v>
      </c>
      <c r="AF78" s="193"/>
      <c r="AG78" s="20"/>
    </row>
    <row r="79" spans="1:33" ht="16.5" customHeight="1">
      <c r="A79" s="411"/>
      <c r="C79" s="342">
        <f>+MAX(C$15:C78)+1</f>
        <v>53</v>
      </c>
      <c r="D79" s="237">
        <f>'O&amp;M_Summ'!D35</f>
        <v>539010</v>
      </c>
      <c r="E79" s="112" t="str">
        <f>'O&amp;M_Summ'!E35</f>
        <v>MISC HYD GENR-GENERAL EXP</v>
      </c>
      <c r="F79" s="252"/>
      <c r="G79" s="19">
        <f>INDEX('O&amp;M_Summ'!$F$9:$W$156,MATCH($E79,'O&amp;M_Summ'!$E$9:$E$156,0),MATCH($E$5,'O&amp;M_Summ'!$F$6:$W$6,0))</f>
        <v>0</v>
      </c>
      <c r="H79" s="138" t="s">
        <v>2764</v>
      </c>
      <c r="I79" s="262"/>
      <c r="J79" s="313">
        <f t="shared" si="25"/>
        <v>0</v>
      </c>
      <c r="K79" s="313">
        <f t="shared" si="25"/>
        <v>0</v>
      </c>
      <c r="L79" s="313">
        <f t="shared" si="25"/>
        <v>0</v>
      </c>
      <c r="M79" s="313">
        <f t="shared" si="25"/>
        <v>0</v>
      </c>
      <c r="N79" s="313">
        <f t="shared" si="25"/>
        <v>0</v>
      </c>
      <c r="O79" s="313">
        <f t="shared" si="25"/>
        <v>0</v>
      </c>
      <c r="P79" s="313">
        <f t="shared" si="25"/>
        <v>0</v>
      </c>
      <c r="Q79" s="313">
        <f t="shared" si="25"/>
        <v>0</v>
      </c>
      <c r="R79" s="313">
        <f t="shared" si="25"/>
        <v>0</v>
      </c>
      <c r="S79" s="313">
        <f t="shared" si="25"/>
        <v>0</v>
      </c>
      <c r="T79" s="313">
        <f t="shared" si="26"/>
        <v>0</v>
      </c>
      <c r="U79" s="313">
        <f t="shared" si="26"/>
        <v>0</v>
      </c>
      <c r="V79" s="313">
        <f t="shared" si="26"/>
        <v>0</v>
      </c>
      <c r="W79" s="313">
        <f t="shared" si="26"/>
        <v>0</v>
      </c>
      <c r="X79" s="313">
        <f t="shared" si="26"/>
        <v>0</v>
      </c>
      <c r="Y79" s="313">
        <f t="shared" si="26"/>
        <v>0</v>
      </c>
      <c r="Z79" s="313">
        <f t="shared" si="26"/>
        <v>0</v>
      </c>
      <c r="AA79" s="328">
        <f t="shared" si="26"/>
        <v>0</v>
      </c>
      <c r="AB79" s="104"/>
      <c r="AC79" s="191"/>
      <c r="AD79" s="20"/>
      <c r="AE79" s="193">
        <f t="shared" si="21"/>
        <v>0</v>
      </c>
      <c r="AF79" s="193"/>
      <c r="AG79" s="20"/>
    </row>
    <row r="80" spans="1:33" ht="16.5" customHeight="1">
      <c r="A80" s="411"/>
      <c r="C80" s="342">
        <f>+MAX(C$15:C79)+1</f>
        <v>54</v>
      </c>
      <c r="D80" s="237">
        <f>'O&amp;M_Summ'!D36</f>
        <v>539600</v>
      </c>
      <c r="E80" s="112" t="str">
        <f>'O&amp;M_Summ'!E36</f>
        <v>MISC HYD GENR-PEC</v>
      </c>
      <c r="F80" s="252"/>
      <c r="G80" s="19">
        <f>INDEX('O&amp;M_Summ'!$F$9:$W$156,MATCH($E80,'O&amp;M_Summ'!$E$9:$E$156,0),MATCH($E$5,'O&amp;M_Summ'!$F$6:$W$6,0))</f>
        <v>0</v>
      </c>
      <c r="H80" s="138" t="s">
        <v>2764</v>
      </c>
      <c r="I80" s="262"/>
      <c r="J80" s="313">
        <f t="shared" ref="J80:S91" si="27">+ROUND($G80*SUMIF($E$260:$E$302,$H80,J$260:J$302),$AD$10)</f>
        <v>0</v>
      </c>
      <c r="K80" s="313">
        <f t="shared" si="27"/>
        <v>0</v>
      </c>
      <c r="L80" s="313">
        <f t="shared" si="27"/>
        <v>0</v>
      </c>
      <c r="M80" s="313">
        <f t="shared" si="27"/>
        <v>0</v>
      </c>
      <c r="N80" s="313">
        <f t="shared" si="27"/>
        <v>0</v>
      </c>
      <c r="O80" s="313">
        <f t="shared" si="27"/>
        <v>0</v>
      </c>
      <c r="P80" s="313">
        <f t="shared" si="27"/>
        <v>0</v>
      </c>
      <c r="Q80" s="313">
        <f t="shared" si="27"/>
        <v>0</v>
      </c>
      <c r="R80" s="313">
        <f t="shared" si="27"/>
        <v>0</v>
      </c>
      <c r="S80" s="313">
        <f t="shared" si="27"/>
        <v>0</v>
      </c>
      <c r="T80" s="313">
        <f t="shared" ref="T80:AA91" si="28">+ROUND($G80*SUMIF($E$260:$E$302,$H80,T$260:T$302),$AD$10)</f>
        <v>0</v>
      </c>
      <c r="U80" s="313">
        <f t="shared" si="28"/>
        <v>0</v>
      </c>
      <c r="V80" s="313">
        <f t="shared" si="28"/>
        <v>0</v>
      </c>
      <c r="W80" s="313">
        <f t="shared" si="28"/>
        <v>0</v>
      </c>
      <c r="X80" s="313">
        <f t="shared" si="28"/>
        <v>0</v>
      </c>
      <c r="Y80" s="313">
        <f t="shared" si="28"/>
        <v>0</v>
      </c>
      <c r="Z80" s="313">
        <f t="shared" si="28"/>
        <v>0</v>
      </c>
      <c r="AA80" s="328">
        <f t="shared" si="28"/>
        <v>0</v>
      </c>
      <c r="AB80" s="104"/>
      <c r="AC80" s="191"/>
      <c r="AD80" s="20"/>
      <c r="AE80" s="193">
        <f t="shared" si="21"/>
        <v>0</v>
      </c>
      <c r="AF80" s="193"/>
      <c r="AG80" s="20"/>
    </row>
    <row r="81" spans="1:33" ht="16.5" customHeight="1">
      <c r="A81" s="411"/>
      <c r="C81" s="342">
        <f>+MAX(C$15:C80)+1</f>
        <v>55</v>
      </c>
      <c r="D81" s="237">
        <f>'O&amp;M_Summ'!D37</f>
        <v>541500</v>
      </c>
      <c r="E81" s="112" t="str">
        <f>'O&amp;M_Summ'!E37</f>
        <v>HYD MAINT-SUPV &amp; ENG-QC</v>
      </c>
      <c r="F81" s="252"/>
      <c r="G81" s="19">
        <f>INDEX('O&amp;M_Summ'!$F$9:$W$156,MATCH($E81,'O&amp;M_Summ'!$E$9:$E$156,0),MATCH($E$5,'O&amp;M_Summ'!$F$6:$W$6,0))</f>
        <v>0</v>
      </c>
      <c r="H81" s="138" t="s">
        <v>2764</v>
      </c>
      <c r="I81" s="262"/>
      <c r="J81" s="313">
        <f t="shared" si="27"/>
        <v>0</v>
      </c>
      <c r="K81" s="313">
        <f t="shared" si="27"/>
        <v>0</v>
      </c>
      <c r="L81" s="313">
        <f t="shared" si="27"/>
        <v>0</v>
      </c>
      <c r="M81" s="313">
        <f t="shared" si="27"/>
        <v>0</v>
      </c>
      <c r="N81" s="313">
        <f t="shared" si="27"/>
        <v>0</v>
      </c>
      <c r="O81" s="313">
        <f t="shared" si="27"/>
        <v>0</v>
      </c>
      <c r="P81" s="313">
        <f t="shared" si="27"/>
        <v>0</v>
      </c>
      <c r="Q81" s="313">
        <f t="shared" si="27"/>
        <v>0</v>
      </c>
      <c r="R81" s="313">
        <f t="shared" si="27"/>
        <v>0</v>
      </c>
      <c r="S81" s="313">
        <f t="shared" si="27"/>
        <v>0</v>
      </c>
      <c r="T81" s="313">
        <f t="shared" si="28"/>
        <v>0</v>
      </c>
      <c r="U81" s="313">
        <f t="shared" si="28"/>
        <v>0</v>
      </c>
      <c r="V81" s="313">
        <f t="shared" si="28"/>
        <v>0</v>
      </c>
      <c r="W81" s="313">
        <f t="shared" si="28"/>
        <v>0</v>
      </c>
      <c r="X81" s="313">
        <f t="shared" si="28"/>
        <v>0</v>
      </c>
      <c r="Y81" s="313">
        <f t="shared" si="28"/>
        <v>0</v>
      </c>
      <c r="Z81" s="313">
        <f t="shared" si="28"/>
        <v>0</v>
      </c>
      <c r="AA81" s="328">
        <f t="shared" si="28"/>
        <v>0</v>
      </c>
      <c r="AB81" s="104"/>
      <c r="AC81" s="191"/>
      <c r="AD81" s="20"/>
      <c r="AE81" s="193">
        <f t="shared" si="21"/>
        <v>0</v>
      </c>
      <c r="AF81" s="193"/>
      <c r="AG81" s="20"/>
    </row>
    <row r="82" spans="1:33" ht="16.5" customHeight="1">
      <c r="A82" s="411"/>
      <c r="C82" s="342">
        <f>+MAX(C$15:C81)+1</f>
        <v>56</v>
      </c>
      <c r="D82" s="237">
        <f>'O&amp;M_Summ'!D38</f>
        <v>541600</v>
      </c>
      <c r="E82" s="112" t="str">
        <f>'O&amp;M_Summ'!E38</f>
        <v>HYD MAINT-SUPV &amp; ENG-PEC</v>
      </c>
      <c r="F82" s="252"/>
      <c r="G82" s="19">
        <f>INDEX('O&amp;M_Summ'!$F$9:$W$156,MATCH($E82,'O&amp;M_Summ'!$E$9:$E$156,0),MATCH($E$5,'O&amp;M_Summ'!$F$6:$W$6,0))</f>
        <v>0</v>
      </c>
      <c r="H82" s="138" t="s">
        <v>2764</v>
      </c>
      <c r="I82" s="262"/>
      <c r="J82" s="313">
        <f t="shared" si="27"/>
        <v>0</v>
      </c>
      <c r="K82" s="313">
        <f t="shared" si="27"/>
        <v>0</v>
      </c>
      <c r="L82" s="313">
        <f t="shared" si="27"/>
        <v>0</v>
      </c>
      <c r="M82" s="313">
        <f t="shared" si="27"/>
        <v>0</v>
      </c>
      <c r="N82" s="313">
        <f t="shared" si="27"/>
        <v>0</v>
      </c>
      <c r="O82" s="313">
        <f t="shared" si="27"/>
        <v>0</v>
      </c>
      <c r="P82" s="313">
        <f t="shared" si="27"/>
        <v>0</v>
      </c>
      <c r="Q82" s="313">
        <f t="shared" si="27"/>
        <v>0</v>
      </c>
      <c r="R82" s="313">
        <f t="shared" si="27"/>
        <v>0</v>
      </c>
      <c r="S82" s="313">
        <f t="shared" si="27"/>
        <v>0</v>
      </c>
      <c r="T82" s="313">
        <f t="shared" si="28"/>
        <v>0</v>
      </c>
      <c r="U82" s="313">
        <f t="shared" si="28"/>
        <v>0</v>
      </c>
      <c r="V82" s="313">
        <f t="shared" si="28"/>
        <v>0</v>
      </c>
      <c r="W82" s="313">
        <f t="shared" si="28"/>
        <v>0</v>
      </c>
      <c r="X82" s="313">
        <f t="shared" si="28"/>
        <v>0</v>
      </c>
      <c r="Y82" s="313">
        <f t="shared" si="28"/>
        <v>0</v>
      </c>
      <c r="Z82" s="313">
        <f t="shared" si="28"/>
        <v>0</v>
      </c>
      <c r="AA82" s="328">
        <f t="shared" si="28"/>
        <v>0</v>
      </c>
      <c r="AB82" s="104"/>
      <c r="AC82" s="191"/>
      <c r="AD82" s="20"/>
      <c r="AE82" s="193">
        <f t="shared" si="21"/>
        <v>0</v>
      </c>
      <c r="AF82" s="193"/>
      <c r="AG82" s="20"/>
    </row>
    <row r="83" spans="1:33" ht="16.5" customHeight="1">
      <c r="A83" s="411"/>
      <c r="C83" s="342">
        <f>+MAX(C$15:C82)+1</f>
        <v>57</v>
      </c>
      <c r="D83" s="237">
        <f>'O&amp;M_Summ'!D39</f>
        <v>543010</v>
      </c>
      <c r="E83" s="112" t="str">
        <f>'O&amp;M_Summ'!E39</f>
        <v>HYD MAINT DAMS-GENERAL</v>
      </c>
      <c r="F83" s="252"/>
      <c r="G83" s="19">
        <f>INDEX('O&amp;M_Summ'!$F$9:$W$156,MATCH($E83,'O&amp;M_Summ'!$E$9:$E$156,0),MATCH($E$5,'O&amp;M_Summ'!$F$6:$W$6,0))</f>
        <v>0</v>
      </c>
      <c r="H83" s="138" t="s">
        <v>2764</v>
      </c>
      <c r="I83" s="262"/>
      <c r="J83" s="313">
        <f t="shared" si="27"/>
        <v>0</v>
      </c>
      <c r="K83" s="313">
        <f t="shared" si="27"/>
        <v>0</v>
      </c>
      <c r="L83" s="313">
        <f t="shared" si="27"/>
        <v>0</v>
      </c>
      <c r="M83" s="313">
        <f t="shared" si="27"/>
        <v>0</v>
      </c>
      <c r="N83" s="313">
        <f t="shared" si="27"/>
        <v>0</v>
      </c>
      <c r="O83" s="313">
        <f t="shared" si="27"/>
        <v>0</v>
      </c>
      <c r="P83" s="313">
        <f t="shared" si="27"/>
        <v>0</v>
      </c>
      <c r="Q83" s="313">
        <f t="shared" si="27"/>
        <v>0</v>
      </c>
      <c r="R83" s="313">
        <f t="shared" si="27"/>
        <v>0</v>
      </c>
      <c r="S83" s="313">
        <f t="shared" si="27"/>
        <v>0</v>
      </c>
      <c r="T83" s="313">
        <f t="shared" si="28"/>
        <v>0</v>
      </c>
      <c r="U83" s="313">
        <f t="shared" si="28"/>
        <v>0</v>
      </c>
      <c r="V83" s="313">
        <f t="shared" si="28"/>
        <v>0</v>
      </c>
      <c r="W83" s="313">
        <f t="shared" si="28"/>
        <v>0</v>
      </c>
      <c r="X83" s="313">
        <f t="shared" si="28"/>
        <v>0</v>
      </c>
      <c r="Y83" s="313">
        <f t="shared" si="28"/>
        <v>0</v>
      </c>
      <c r="Z83" s="313">
        <f t="shared" si="28"/>
        <v>0</v>
      </c>
      <c r="AA83" s="328">
        <f t="shared" si="28"/>
        <v>0</v>
      </c>
      <c r="AB83" s="104"/>
      <c r="AC83" s="191"/>
      <c r="AD83" s="20"/>
      <c r="AE83" s="193">
        <f t="shared" si="21"/>
        <v>0</v>
      </c>
      <c r="AF83" s="193"/>
      <c r="AG83" s="20"/>
    </row>
    <row r="84" spans="1:33" ht="16.5" customHeight="1">
      <c r="A84" s="411"/>
      <c r="C84" s="342">
        <f>+MAX(C$15:C83)+1</f>
        <v>58</v>
      </c>
      <c r="D84" s="237">
        <f>'O&amp;M_Summ'!D40</f>
        <v>544500</v>
      </c>
      <c r="E84" s="112" t="str">
        <f>'O&amp;M_Summ'!E40</f>
        <v>HYD MAINT ELEC PLT-QC</v>
      </c>
      <c r="F84" s="252"/>
      <c r="G84" s="19">
        <f>INDEX('O&amp;M_Summ'!$F$9:$W$156,MATCH($E84,'O&amp;M_Summ'!$E$9:$E$156,0),MATCH($E$5,'O&amp;M_Summ'!$F$6:$W$6,0))</f>
        <v>328685.88326341863</v>
      </c>
      <c r="H84" s="138" t="s">
        <v>2764</v>
      </c>
      <c r="I84" s="262"/>
      <c r="J84" s="313">
        <f t="shared" si="27"/>
        <v>0</v>
      </c>
      <c r="K84" s="313">
        <f t="shared" si="27"/>
        <v>328686</v>
      </c>
      <c r="L84" s="313">
        <f t="shared" si="27"/>
        <v>0</v>
      </c>
      <c r="M84" s="313">
        <f t="shared" si="27"/>
        <v>0</v>
      </c>
      <c r="N84" s="313">
        <f t="shared" si="27"/>
        <v>0</v>
      </c>
      <c r="O84" s="313">
        <f t="shared" si="27"/>
        <v>0</v>
      </c>
      <c r="P84" s="313">
        <f t="shared" si="27"/>
        <v>0</v>
      </c>
      <c r="Q84" s="313">
        <f t="shared" si="27"/>
        <v>0</v>
      </c>
      <c r="R84" s="313">
        <f t="shared" si="27"/>
        <v>0</v>
      </c>
      <c r="S84" s="313">
        <f t="shared" si="27"/>
        <v>0</v>
      </c>
      <c r="T84" s="313">
        <f t="shared" si="28"/>
        <v>0</v>
      </c>
      <c r="U84" s="313">
        <f t="shared" si="28"/>
        <v>0</v>
      </c>
      <c r="V84" s="313">
        <f t="shared" si="28"/>
        <v>0</v>
      </c>
      <c r="W84" s="313">
        <f t="shared" si="28"/>
        <v>0</v>
      </c>
      <c r="X84" s="313">
        <f t="shared" si="28"/>
        <v>0</v>
      </c>
      <c r="Y84" s="313">
        <f t="shared" si="28"/>
        <v>0</v>
      </c>
      <c r="Z84" s="313">
        <f t="shared" si="28"/>
        <v>0</v>
      </c>
      <c r="AA84" s="328">
        <f t="shared" si="28"/>
        <v>0</v>
      </c>
      <c r="AB84" s="104"/>
      <c r="AC84" s="191"/>
      <c r="AD84" s="20"/>
      <c r="AE84" s="193">
        <f t="shared" si="21"/>
        <v>0.11673658137442544</v>
      </c>
      <c r="AF84" s="193"/>
      <c r="AG84" s="20"/>
    </row>
    <row r="85" spans="1:33" ht="16.5" customHeight="1">
      <c r="A85" s="411"/>
      <c r="C85" s="342">
        <f>+MAX(C$15:C84)+1</f>
        <v>59</v>
      </c>
      <c r="D85" s="237">
        <f>'O&amp;M_Summ'!D41</f>
        <v>544600</v>
      </c>
      <c r="E85" s="112" t="str">
        <f>'O&amp;M_Summ'!E41</f>
        <v>HYD MAINT ELEC PLT-PEC</v>
      </c>
      <c r="F85" s="252"/>
      <c r="G85" s="19">
        <f>INDEX('O&amp;M_Summ'!$F$9:$W$156,MATCH($E85,'O&amp;M_Summ'!$E$9:$E$156,0),MATCH($E$5,'O&amp;M_Summ'!$F$6:$W$6,0))</f>
        <v>184467.50499073809</v>
      </c>
      <c r="H85" s="138" t="s">
        <v>2764</v>
      </c>
      <c r="I85" s="262"/>
      <c r="J85" s="313">
        <f t="shared" si="27"/>
        <v>0</v>
      </c>
      <c r="K85" s="313">
        <f t="shared" si="27"/>
        <v>184468</v>
      </c>
      <c r="L85" s="313">
        <f t="shared" si="27"/>
        <v>0</v>
      </c>
      <c r="M85" s="313">
        <f t="shared" si="27"/>
        <v>0</v>
      </c>
      <c r="N85" s="313">
        <f t="shared" si="27"/>
        <v>0</v>
      </c>
      <c r="O85" s="313">
        <f t="shared" si="27"/>
        <v>0</v>
      </c>
      <c r="P85" s="313">
        <f t="shared" si="27"/>
        <v>0</v>
      </c>
      <c r="Q85" s="313">
        <f t="shared" si="27"/>
        <v>0</v>
      </c>
      <c r="R85" s="313">
        <f t="shared" si="27"/>
        <v>0</v>
      </c>
      <c r="S85" s="313">
        <f t="shared" si="27"/>
        <v>0</v>
      </c>
      <c r="T85" s="313">
        <f t="shared" si="28"/>
        <v>0</v>
      </c>
      <c r="U85" s="313">
        <f t="shared" si="28"/>
        <v>0</v>
      </c>
      <c r="V85" s="313">
        <f t="shared" si="28"/>
        <v>0</v>
      </c>
      <c r="W85" s="313">
        <f t="shared" si="28"/>
        <v>0</v>
      </c>
      <c r="X85" s="313">
        <f t="shared" si="28"/>
        <v>0</v>
      </c>
      <c r="Y85" s="313">
        <f t="shared" si="28"/>
        <v>0</v>
      </c>
      <c r="Z85" s="313">
        <f t="shared" si="28"/>
        <v>0</v>
      </c>
      <c r="AA85" s="328">
        <f t="shared" si="28"/>
        <v>0</v>
      </c>
      <c r="AB85" s="104"/>
      <c r="AC85" s="191"/>
      <c r="AD85" s="20"/>
      <c r="AE85" s="193">
        <f t="shared" ref="AE85:AE119" si="29">SUM(J85:AA85)-G85</f>
        <v>0.49500926191103645</v>
      </c>
      <c r="AF85" s="193"/>
      <c r="AG85" s="20"/>
    </row>
    <row r="86" spans="1:33" ht="16.5" customHeight="1">
      <c r="A86" s="411"/>
      <c r="C86" s="342">
        <f>+MAX(C$15:C85)+1</f>
        <v>60</v>
      </c>
      <c r="D86" s="237">
        <f>'O&amp;M_Summ'!D42</f>
        <v>545010</v>
      </c>
      <c r="E86" s="112" t="str">
        <f>'O&amp;M_Summ'!E42</f>
        <v>HYD MAINT MISC-GENERAL</v>
      </c>
      <c r="F86" s="252"/>
      <c r="G86" s="19">
        <f>INDEX('O&amp;M_Summ'!$F$9:$W$156,MATCH($E86,'O&amp;M_Summ'!$E$9:$E$156,0),MATCH($E$5,'O&amp;M_Summ'!$F$6:$W$6,0))</f>
        <v>0</v>
      </c>
      <c r="H86" s="138" t="s">
        <v>2764</v>
      </c>
      <c r="I86" s="262"/>
      <c r="J86" s="313">
        <f t="shared" si="27"/>
        <v>0</v>
      </c>
      <c r="K86" s="313">
        <f t="shared" si="27"/>
        <v>0</v>
      </c>
      <c r="L86" s="313">
        <f t="shared" si="27"/>
        <v>0</v>
      </c>
      <c r="M86" s="313">
        <f t="shared" si="27"/>
        <v>0</v>
      </c>
      <c r="N86" s="313">
        <f t="shared" si="27"/>
        <v>0</v>
      </c>
      <c r="O86" s="313">
        <f t="shared" si="27"/>
        <v>0</v>
      </c>
      <c r="P86" s="313">
        <f t="shared" si="27"/>
        <v>0</v>
      </c>
      <c r="Q86" s="313">
        <f t="shared" si="27"/>
        <v>0</v>
      </c>
      <c r="R86" s="313">
        <f t="shared" si="27"/>
        <v>0</v>
      </c>
      <c r="S86" s="313">
        <f t="shared" si="27"/>
        <v>0</v>
      </c>
      <c r="T86" s="313">
        <f t="shared" si="28"/>
        <v>0</v>
      </c>
      <c r="U86" s="313">
        <f t="shared" si="28"/>
        <v>0</v>
      </c>
      <c r="V86" s="313">
        <f t="shared" si="28"/>
        <v>0</v>
      </c>
      <c r="W86" s="313">
        <f t="shared" si="28"/>
        <v>0</v>
      </c>
      <c r="X86" s="313">
        <f t="shared" si="28"/>
        <v>0</v>
      </c>
      <c r="Y86" s="313">
        <f t="shared" si="28"/>
        <v>0</v>
      </c>
      <c r="Z86" s="313">
        <f t="shared" si="28"/>
        <v>0</v>
      </c>
      <c r="AA86" s="328">
        <f t="shared" si="28"/>
        <v>0</v>
      </c>
      <c r="AB86" s="104"/>
      <c r="AC86" s="191"/>
      <c r="AD86" s="20"/>
      <c r="AE86" s="193">
        <f t="shared" si="29"/>
        <v>0</v>
      </c>
      <c r="AF86" s="193"/>
      <c r="AG86" s="20"/>
    </row>
    <row r="87" spans="1:33" ht="16.5" customHeight="1">
      <c r="A87" s="411"/>
      <c r="C87" s="342">
        <f>+MAX(C$15:C86)+1</f>
        <v>61</v>
      </c>
      <c r="D87" s="237">
        <f>'O&amp;M_Summ'!D43</f>
        <v>545500</v>
      </c>
      <c r="E87" s="112" t="str">
        <f>'O&amp;M_Summ'!E43</f>
        <v>HYD MAINT MISC-QC</v>
      </c>
      <c r="F87" s="252"/>
      <c r="G87" s="19">
        <f>INDEX('O&amp;M_Summ'!$F$9:$W$156,MATCH($E87,'O&amp;M_Summ'!$E$9:$E$156,0),MATCH($E$5,'O&amp;M_Summ'!$F$6:$W$6,0))</f>
        <v>0</v>
      </c>
      <c r="H87" s="138" t="s">
        <v>2764</v>
      </c>
      <c r="I87" s="262"/>
      <c r="J87" s="313">
        <f t="shared" si="27"/>
        <v>0</v>
      </c>
      <c r="K87" s="313">
        <f t="shared" si="27"/>
        <v>0</v>
      </c>
      <c r="L87" s="313">
        <f t="shared" si="27"/>
        <v>0</v>
      </c>
      <c r="M87" s="313">
        <f t="shared" si="27"/>
        <v>0</v>
      </c>
      <c r="N87" s="313">
        <f t="shared" si="27"/>
        <v>0</v>
      </c>
      <c r="O87" s="313">
        <f t="shared" si="27"/>
        <v>0</v>
      </c>
      <c r="P87" s="313">
        <f t="shared" si="27"/>
        <v>0</v>
      </c>
      <c r="Q87" s="313">
        <f t="shared" si="27"/>
        <v>0</v>
      </c>
      <c r="R87" s="313">
        <f t="shared" si="27"/>
        <v>0</v>
      </c>
      <c r="S87" s="313">
        <f t="shared" si="27"/>
        <v>0</v>
      </c>
      <c r="T87" s="313">
        <f t="shared" si="28"/>
        <v>0</v>
      </c>
      <c r="U87" s="313">
        <f t="shared" si="28"/>
        <v>0</v>
      </c>
      <c r="V87" s="313">
        <f t="shared" si="28"/>
        <v>0</v>
      </c>
      <c r="W87" s="313">
        <f t="shared" si="28"/>
        <v>0</v>
      </c>
      <c r="X87" s="313">
        <f t="shared" si="28"/>
        <v>0</v>
      </c>
      <c r="Y87" s="313">
        <f t="shared" si="28"/>
        <v>0</v>
      </c>
      <c r="Z87" s="313">
        <f t="shared" si="28"/>
        <v>0</v>
      </c>
      <c r="AA87" s="328">
        <f t="shared" si="28"/>
        <v>0</v>
      </c>
      <c r="AB87" s="104"/>
      <c r="AC87" s="191"/>
      <c r="AD87" s="20"/>
      <c r="AE87" s="193">
        <f t="shared" si="29"/>
        <v>0</v>
      </c>
      <c r="AF87" s="193"/>
      <c r="AG87" s="20"/>
    </row>
    <row r="88" spans="1:33" ht="16.5" customHeight="1">
      <c r="A88" s="411"/>
      <c r="C88" s="342">
        <f>+MAX(C$15:C87)+1</f>
        <v>62</v>
      </c>
      <c r="D88" s="237">
        <f>'O&amp;M_Summ'!D44</f>
        <v>547010</v>
      </c>
      <c r="E88" s="112" t="str">
        <f>'O&amp;M_Summ'!E44</f>
        <v>OTHER GENERATION - FUEL</v>
      </c>
      <c r="F88" s="252"/>
      <c r="G88" s="19">
        <f>INDEX('O&amp;M_Summ'!$F$9:$W$156,MATCH($E88,'O&amp;M_Summ'!$E$9:$E$156,0),MATCH($E$5,'O&amp;M_Summ'!$F$6:$W$6,0))</f>
        <v>0</v>
      </c>
      <c r="H88" s="138" t="s">
        <v>2764</v>
      </c>
      <c r="I88" s="262"/>
      <c r="J88" s="313">
        <f t="shared" si="27"/>
        <v>0</v>
      </c>
      <c r="K88" s="313">
        <f t="shared" si="27"/>
        <v>0</v>
      </c>
      <c r="L88" s="313">
        <f t="shared" si="27"/>
        <v>0</v>
      </c>
      <c r="M88" s="313">
        <f t="shared" si="27"/>
        <v>0</v>
      </c>
      <c r="N88" s="313">
        <f t="shared" si="27"/>
        <v>0</v>
      </c>
      <c r="O88" s="313">
        <f t="shared" si="27"/>
        <v>0</v>
      </c>
      <c r="P88" s="313">
        <f t="shared" si="27"/>
        <v>0</v>
      </c>
      <c r="Q88" s="313">
        <f t="shared" si="27"/>
        <v>0</v>
      </c>
      <c r="R88" s="313">
        <f t="shared" si="27"/>
        <v>0</v>
      </c>
      <c r="S88" s="313">
        <f t="shared" si="27"/>
        <v>0</v>
      </c>
      <c r="T88" s="313">
        <f t="shared" si="28"/>
        <v>0</v>
      </c>
      <c r="U88" s="313">
        <f t="shared" si="28"/>
        <v>0</v>
      </c>
      <c r="V88" s="313">
        <f t="shared" si="28"/>
        <v>0</v>
      </c>
      <c r="W88" s="313">
        <f t="shared" si="28"/>
        <v>0</v>
      </c>
      <c r="X88" s="313">
        <f t="shared" si="28"/>
        <v>0</v>
      </c>
      <c r="Y88" s="313">
        <f t="shared" si="28"/>
        <v>0</v>
      </c>
      <c r="Z88" s="313">
        <f t="shared" si="28"/>
        <v>0</v>
      </c>
      <c r="AA88" s="328">
        <f t="shared" si="28"/>
        <v>0</v>
      </c>
      <c r="AB88" s="104"/>
      <c r="AC88" s="191"/>
      <c r="AD88" s="20"/>
      <c r="AE88" s="193">
        <f>SUM(J88:AA88)-G88</f>
        <v>0</v>
      </c>
      <c r="AF88" s="193"/>
      <c r="AG88" s="20"/>
    </row>
    <row r="89" spans="1:33" ht="16.5" customHeight="1">
      <c r="A89" s="411"/>
      <c r="C89" s="342">
        <f>+MAX(C$15:C88)+1</f>
        <v>63</v>
      </c>
      <c r="D89" s="237">
        <f>'O&amp;M_Summ'!D45</f>
        <v>548010</v>
      </c>
      <c r="E89" s="112" t="str">
        <f>'O&amp;M_Summ'!E45</f>
        <v>OTHER GENERATION - EXPENSES</v>
      </c>
      <c r="F89" s="252"/>
      <c r="G89" s="19">
        <f>INDEX('O&amp;M_Summ'!$F$9:$W$156,MATCH($E89,'O&amp;M_Summ'!$E$9:$E$156,0),MATCH($E$5,'O&amp;M_Summ'!$F$6:$W$6,0))</f>
        <v>0</v>
      </c>
      <c r="H89" s="138" t="s">
        <v>2764</v>
      </c>
      <c r="I89" s="262"/>
      <c r="J89" s="313">
        <f t="shared" si="27"/>
        <v>0</v>
      </c>
      <c r="K89" s="313">
        <f t="shared" si="27"/>
        <v>0</v>
      </c>
      <c r="L89" s="313">
        <f t="shared" si="27"/>
        <v>0</v>
      </c>
      <c r="M89" s="313">
        <f t="shared" si="27"/>
        <v>0</v>
      </c>
      <c r="N89" s="313">
        <f t="shared" si="27"/>
        <v>0</v>
      </c>
      <c r="O89" s="313">
        <f t="shared" si="27"/>
        <v>0</v>
      </c>
      <c r="P89" s="313">
        <f t="shared" si="27"/>
        <v>0</v>
      </c>
      <c r="Q89" s="313">
        <f t="shared" si="27"/>
        <v>0</v>
      </c>
      <c r="R89" s="313">
        <f t="shared" si="27"/>
        <v>0</v>
      </c>
      <c r="S89" s="313">
        <f t="shared" si="27"/>
        <v>0</v>
      </c>
      <c r="T89" s="313">
        <f t="shared" si="28"/>
        <v>0</v>
      </c>
      <c r="U89" s="313">
        <f t="shared" si="28"/>
        <v>0</v>
      </c>
      <c r="V89" s="313">
        <f t="shared" si="28"/>
        <v>0</v>
      </c>
      <c r="W89" s="313">
        <f t="shared" si="28"/>
        <v>0</v>
      </c>
      <c r="X89" s="313">
        <f t="shared" si="28"/>
        <v>0</v>
      </c>
      <c r="Y89" s="313">
        <f t="shared" si="28"/>
        <v>0</v>
      </c>
      <c r="Z89" s="313">
        <f t="shared" si="28"/>
        <v>0</v>
      </c>
      <c r="AA89" s="328">
        <f t="shared" si="28"/>
        <v>0</v>
      </c>
      <c r="AB89" s="104"/>
      <c r="AC89" s="191"/>
      <c r="AD89" s="20"/>
      <c r="AE89" s="193">
        <f>SUM(J89:AA89)-G89</f>
        <v>0</v>
      </c>
      <c r="AF89" s="193"/>
      <c r="AG89" s="20"/>
    </row>
    <row r="90" spans="1:33" ht="16.5" customHeight="1">
      <c r="A90" s="411"/>
      <c r="C90" s="342">
        <f>+MAX(C$15:C89)+1</f>
        <v>64</v>
      </c>
      <c r="D90" s="237">
        <f>'O&amp;M_Summ'!D46</f>
        <v>549000</v>
      </c>
      <c r="E90" s="112" t="str">
        <f>'O&amp;M_Summ'!E46</f>
        <v>MISC OTHER POWER EXPENSE</v>
      </c>
      <c r="F90" s="252"/>
      <c r="G90" s="19">
        <f>INDEX('O&amp;M_Summ'!$F$9:$W$156,MATCH($E90,'O&amp;M_Summ'!$E$9:$E$156,0),MATCH($E$5,'O&amp;M_Summ'!$F$6:$W$6,0))</f>
        <v>0</v>
      </c>
      <c r="H90" s="138" t="s">
        <v>2764</v>
      </c>
      <c r="I90" s="262"/>
      <c r="J90" s="313">
        <f t="shared" si="27"/>
        <v>0</v>
      </c>
      <c r="K90" s="313">
        <f t="shared" si="27"/>
        <v>0</v>
      </c>
      <c r="L90" s="313">
        <f t="shared" si="27"/>
        <v>0</v>
      </c>
      <c r="M90" s="313">
        <f t="shared" si="27"/>
        <v>0</v>
      </c>
      <c r="N90" s="313">
        <f t="shared" si="27"/>
        <v>0</v>
      </c>
      <c r="O90" s="313">
        <f t="shared" si="27"/>
        <v>0</v>
      </c>
      <c r="P90" s="313">
        <f t="shared" si="27"/>
        <v>0</v>
      </c>
      <c r="Q90" s="313">
        <f t="shared" si="27"/>
        <v>0</v>
      </c>
      <c r="R90" s="313">
        <f t="shared" si="27"/>
        <v>0</v>
      </c>
      <c r="S90" s="313">
        <f t="shared" si="27"/>
        <v>0</v>
      </c>
      <c r="T90" s="313">
        <f t="shared" si="28"/>
        <v>0</v>
      </c>
      <c r="U90" s="313">
        <f t="shared" si="28"/>
        <v>0</v>
      </c>
      <c r="V90" s="313">
        <f t="shared" si="28"/>
        <v>0</v>
      </c>
      <c r="W90" s="313">
        <f t="shared" si="28"/>
        <v>0</v>
      </c>
      <c r="X90" s="313">
        <f t="shared" si="28"/>
        <v>0</v>
      </c>
      <c r="Y90" s="313">
        <f t="shared" si="28"/>
        <v>0</v>
      </c>
      <c r="Z90" s="313">
        <f t="shared" si="28"/>
        <v>0</v>
      </c>
      <c r="AA90" s="328">
        <f t="shared" si="28"/>
        <v>0</v>
      </c>
      <c r="AB90" s="104"/>
      <c r="AC90" s="191"/>
      <c r="AD90" s="20"/>
      <c r="AE90" s="193">
        <f>SUM(J90:AA90)-G90</f>
        <v>0</v>
      </c>
      <c r="AF90" s="193"/>
      <c r="AG90" s="20"/>
    </row>
    <row r="91" spans="1:33" ht="16.5" customHeight="1" thickBot="1">
      <c r="A91" s="411"/>
      <c r="C91" s="342">
        <f>+MAX(C$15:C90)+1</f>
        <v>65</v>
      </c>
      <c r="D91" s="237">
        <f>'O&amp;M_Summ'!D47</f>
        <v>550000</v>
      </c>
      <c r="E91" s="112" t="str">
        <f>'O&amp;M_Summ'!E47</f>
        <v>OTHER GENERATION - RENT</v>
      </c>
      <c r="F91" s="252"/>
      <c r="G91" s="19">
        <f>INDEX('O&amp;M_Summ'!$F$9:$W$156,MATCH($E91,'O&amp;M_Summ'!$E$9:$E$156,0),MATCH($E$5,'O&amp;M_Summ'!$F$6:$W$6,0))</f>
        <v>0</v>
      </c>
      <c r="H91" s="139" t="s">
        <v>2764</v>
      </c>
      <c r="I91" s="262"/>
      <c r="J91" s="313">
        <f t="shared" si="27"/>
        <v>0</v>
      </c>
      <c r="K91" s="313">
        <f t="shared" si="27"/>
        <v>0</v>
      </c>
      <c r="L91" s="313">
        <f t="shared" si="27"/>
        <v>0</v>
      </c>
      <c r="M91" s="313">
        <f t="shared" si="27"/>
        <v>0</v>
      </c>
      <c r="N91" s="313">
        <f t="shared" si="27"/>
        <v>0</v>
      </c>
      <c r="O91" s="313">
        <f t="shared" si="27"/>
        <v>0</v>
      </c>
      <c r="P91" s="313">
        <f t="shared" si="27"/>
        <v>0</v>
      </c>
      <c r="Q91" s="313">
        <f t="shared" si="27"/>
        <v>0</v>
      </c>
      <c r="R91" s="313">
        <f t="shared" si="27"/>
        <v>0</v>
      </c>
      <c r="S91" s="313">
        <f t="shared" si="27"/>
        <v>0</v>
      </c>
      <c r="T91" s="313">
        <f t="shared" si="28"/>
        <v>0</v>
      </c>
      <c r="U91" s="313">
        <f t="shared" si="28"/>
        <v>0</v>
      </c>
      <c r="V91" s="313">
        <f t="shared" si="28"/>
        <v>0</v>
      </c>
      <c r="W91" s="313">
        <f t="shared" si="28"/>
        <v>0</v>
      </c>
      <c r="X91" s="313">
        <f t="shared" si="28"/>
        <v>0</v>
      </c>
      <c r="Y91" s="313">
        <f t="shared" si="28"/>
        <v>0</v>
      </c>
      <c r="Z91" s="313">
        <f t="shared" si="28"/>
        <v>0</v>
      </c>
      <c r="AA91" s="328">
        <f t="shared" si="28"/>
        <v>0</v>
      </c>
      <c r="AB91" s="104"/>
      <c r="AC91" s="191"/>
      <c r="AD91" s="20"/>
      <c r="AE91" s="193">
        <f>SUM(J91:AA91)-G91</f>
        <v>0</v>
      </c>
      <c r="AF91" s="193"/>
      <c r="AG91" s="20"/>
    </row>
    <row r="92" spans="1:33" ht="16.5" customHeight="1">
      <c r="A92" s="411"/>
      <c r="C92" s="342">
        <f>+MAX(C$15:C90)+1</f>
        <v>65</v>
      </c>
      <c r="D92" s="252"/>
      <c r="E92" s="255" t="str">
        <f>'O&amp;M_Summ'!E48</f>
        <v>Total Generation</v>
      </c>
      <c r="F92" s="255"/>
      <c r="G92" s="324">
        <f>SUM(G70:G91)</f>
        <v>635063.69790164474</v>
      </c>
      <c r="H92" s="463"/>
      <c r="I92" s="262"/>
      <c r="J92" s="324">
        <f t="shared" ref="J92:AA92" si="30">SUM(J70:J91)</f>
        <v>0</v>
      </c>
      <c r="K92" s="324">
        <f t="shared" si="30"/>
        <v>635064</v>
      </c>
      <c r="L92" s="324">
        <f t="shared" si="30"/>
        <v>0</v>
      </c>
      <c r="M92" s="324">
        <f t="shared" si="30"/>
        <v>0</v>
      </c>
      <c r="N92" s="324">
        <f t="shared" si="30"/>
        <v>0</v>
      </c>
      <c r="O92" s="324">
        <f t="shared" si="30"/>
        <v>0</v>
      </c>
      <c r="P92" s="324">
        <f t="shared" si="30"/>
        <v>0</v>
      </c>
      <c r="Q92" s="324">
        <f t="shared" si="30"/>
        <v>0</v>
      </c>
      <c r="R92" s="324">
        <f t="shared" si="30"/>
        <v>0</v>
      </c>
      <c r="S92" s="324">
        <f t="shared" si="30"/>
        <v>0</v>
      </c>
      <c r="T92" s="324">
        <f t="shared" si="30"/>
        <v>0</v>
      </c>
      <c r="U92" s="324">
        <f t="shared" si="30"/>
        <v>0</v>
      </c>
      <c r="V92" s="324">
        <f t="shared" si="30"/>
        <v>0</v>
      </c>
      <c r="W92" s="324">
        <f t="shared" si="30"/>
        <v>0</v>
      </c>
      <c r="X92" s="324">
        <f t="shared" si="30"/>
        <v>0</v>
      </c>
      <c r="Y92" s="324">
        <f t="shared" si="30"/>
        <v>0</v>
      </c>
      <c r="Z92" s="324">
        <f t="shared" si="30"/>
        <v>0</v>
      </c>
      <c r="AA92" s="324">
        <f t="shared" si="30"/>
        <v>0</v>
      </c>
      <c r="AB92" s="216"/>
      <c r="AC92" s="191"/>
      <c r="AD92" s="20"/>
      <c r="AE92" s="193">
        <f t="shared" si="29"/>
        <v>0.30209835525602102</v>
      </c>
      <c r="AF92" s="193"/>
      <c r="AG92" s="20"/>
    </row>
    <row r="93" spans="1:33" ht="5.25" customHeight="1">
      <c r="A93" s="411"/>
      <c r="C93" s="342"/>
      <c r="D93" s="252"/>
      <c r="E93" s="252"/>
      <c r="F93" s="252"/>
      <c r="G93" s="313"/>
      <c r="H93" s="262"/>
      <c r="I93" s="262"/>
      <c r="J93" s="313"/>
      <c r="K93" s="313"/>
      <c r="L93" s="313"/>
      <c r="M93" s="313"/>
      <c r="N93" s="313"/>
      <c r="O93" s="313"/>
      <c r="P93" s="313"/>
      <c r="Q93" s="313"/>
      <c r="R93" s="313"/>
      <c r="S93" s="313"/>
      <c r="T93" s="313"/>
      <c r="U93" s="313"/>
      <c r="V93" s="313"/>
      <c r="W93" s="313"/>
      <c r="X93" s="313"/>
      <c r="Y93" s="313"/>
      <c r="Z93" s="313"/>
      <c r="AA93" s="328"/>
      <c r="AB93" s="104"/>
      <c r="AC93" s="191"/>
      <c r="AD93" s="20"/>
      <c r="AE93" s="193">
        <f t="shared" si="29"/>
        <v>0</v>
      </c>
      <c r="AF93" s="193"/>
      <c r="AG93" s="20"/>
    </row>
    <row r="94" spans="1:33" ht="16.5" customHeight="1" thickBot="1">
      <c r="A94" s="411"/>
      <c r="C94" s="342">
        <f>+MAX(C$15:C93)+1</f>
        <v>66</v>
      </c>
      <c r="D94" s="252"/>
      <c r="E94" s="246" t="s">
        <v>600</v>
      </c>
      <c r="F94" s="246"/>
      <c r="G94" s="313"/>
      <c r="H94" s="262"/>
      <c r="I94" s="262"/>
      <c r="J94" s="313"/>
      <c r="K94" s="313"/>
      <c r="L94" s="313"/>
      <c r="M94" s="313"/>
      <c r="N94" s="313"/>
      <c r="O94" s="313"/>
      <c r="P94" s="313"/>
      <c r="Q94" s="313"/>
      <c r="R94" s="313"/>
      <c r="S94" s="313"/>
      <c r="T94" s="313"/>
      <c r="U94" s="313"/>
      <c r="V94" s="313"/>
      <c r="W94" s="313"/>
      <c r="X94" s="313"/>
      <c r="Y94" s="313"/>
      <c r="Z94" s="313"/>
      <c r="AA94" s="328"/>
      <c r="AB94" s="104"/>
      <c r="AC94" s="191"/>
      <c r="AD94" s="20"/>
      <c r="AE94" s="193">
        <f t="shared" si="29"/>
        <v>0</v>
      </c>
      <c r="AF94" s="193"/>
      <c r="AG94" s="20"/>
    </row>
    <row r="95" spans="1:33" ht="16.5" customHeight="1">
      <c r="A95" s="411"/>
      <c r="C95" s="342">
        <f>+MAX(C$15:C94)+1</f>
        <v>67</v>
      </c>
      <c r="D95" s="237">
        <f>'O&amp;M_Summ'!D51</f>
        <v>560000</v>
      </c>
      <c r="E95" s="112" t="str">
        <f>'O&amp;M_Summ'!E51</f>
        <v>T/OPERS-SUPV &amp; ENG</v>
      </c>
      <c r="F95" s="252"/>
      <c r="G95" s="308">
        <f>INDEX('O&amp;M_Summ'!$F$9:$W$156,MATCH($E95,'O&amp;M_Summ'!$E$9:$E$156,0),MATCH($E$5,'O&amp;M_Summ'!$F$6:$W$6,0))</f>
        <v>121430.21571194817</v>
      </c>
      <c r="H95" s="188" t="s">
        <v>2765</v>
      </c>
      <c r="I95" s="366"/>
      <c r="J95" s="308">
        <f t="shared" ref="J95:S107" si="31">+ROUND($G95*SUMIF($E$260:$E$302,$H95,J$260:J$302),$AD$10)</f>
        <v>0</v>
      </c>
      <c r="K95" s="308">
        <f t="shared" si="31"/>
        <v>0</v>
      </c>
      <c r="L95" s="308">
        <f t="shared" si="31"/>
        <v>121430</v>
      </c>
      <c r="M95" s="308">
        <f t="shared" si="31"/>
        <v>0</v>
      </c>
      <c r="N95" s="308">
        <f t="shared" si="31"/>
        <v>0</v>
      </c>
      <c r="O95" s="308">
        <f t="shared" si="31"/>
        <v>0</v>
      </c>
      <c r="P95" s="308">
        <f t="shared" si="31"/>
        <v>0</v>
      </c>
      <c r="Q95" s="308">
        <f t="shared" si="31"/>
        <v>0</v>
      </c>
      <c r="R95" s="308">
        <f t="shared" si="31"/>
        <v>0</v>
      </c>
      <c r="S95" s="308">
        <f t="shared" si="31"/>
        <v>0</v>
      </c>
      <c r="T95" s="308">
        <f t="shared" ref="T95:AA107" si="32">+ROUND($G95*SUMIF($E$260:$E$302,$H95,T$260:T$302),$AD$10)</f>
        <v>0</v>
      </c>
      <c r="U95" s="308">
        <f t="shared" si="32"/>
        <v>0</v>
      </c>
      <c r="V95" s="308">
        <f t="shared" si="32"/>
        <v>0</v>
      </c>
      <c r="W95" s="308">
        <f t="shared" si="32"/>
        <v>0</v>
      </c>
      <c r="X95" s="308">
        <f t="shared" si="32"/>
        <v>0</v>
      </c>
      <c r="Y95" s="308">
        <f t="shared" si="32"/>
        <v>0</v>
      </c>
      <c r="Z95" s="308">
        <f t="shared" si="32"/>
        <v>0</v>
      </c>
      <c r="AA95" s="308">
        <f t="shared" si="32"/>
        <v>0</v>
      </c>
      <c r="AB95" s="308">
        <f>$G95*SUM(AB96:AB107)/SUM($G$96:$G$107)</f>
        <v>0</v>
      </c>
      <c r="AC95" s="576"/>
      <c r="AD95" s="20"/>
      <c r="AE95" s="193">
        <f t="shared" si="29"/>
        <v>-0.21571194817079231</v>
      </c>
      <c r="AF95" s="193"/>
      <c r="AG95" s="20"/>
    </row>
    <row r="96" spans="1:33" ht="16.5" customHeight="1">
      <c r="A96" s="411"/>
      <c r="C96" s="342">
        <f>+MAX(C$15:C95)+1</f>
        <v>68</v>
      </c>
      <c r="D96" s="237">
        <f>'O&amp;M_Summ'!D52</f>
        <v>561000</v>
      </c>
      <c r="E96" s="112" t="str">
        <f>'O&amp;M_Summ'!E52</f>
        <v>T/OPERS-LOAD DISPATCHING</v>
      </c>
      <c r="F96" s="252"/>
      <c r="G96" s="19">
        <f>INDEX('O&amp;M_Summ'!$F$9:$W$156,MATCH($E96,'O&amp;M_Summ'!$E$9:$E$156,0),MATCH($E$5,'O&amp;M_Summ'!$F$6:$W$6,0))</f>
        <v>386111.65754077194</v>
      </c>
      <c r="H96" s="138" t="s">
        <v>2765</v>
      </c>
      <c r="I96" s="262"/>
      <c r="J96" s="313">
        <f t="shared" si="31"/>
        <v>0</v>
      </c>
      <c r="K96" s="313">
        <f t="shared" si="31"/>
        <v>0</v>
      </c>
      <c r="L96" s="313">
        <f t="shared" si="31"/>
        <v>386112</v>
      </c>
      <c r="M96" s="313">
        <f t="shared" si="31"/>
        <v>0</v>
      </c>
      <c r="N96" s="313">
        <f t="shared" si="31"/>
        <v>0</v>
      </c>
      <c r="O96" s="313">
        <f t="shared" si="31"/>
        <v>0</v>
      </c>
      <c r="P96" s="313">
        <f t="shared" si="31"/>
        <v>0</v>
      </c>
      <c r="Q96" s="313">
        <f t="shared" si="31"/>
        <v>0</v>
      </c>
      <c r="R96" s="313">
        <f t="shared" si="31"/>
        <v>0</v>
      </c>
      <c r="S96" s="313">
        <f t="shared" si="31"/>
        <v>0</v>
      </c>
      <c r="T96" s="313">
        <f t="shared" si="32"/>
        <v>0</v>
      </c>
      <c r="U96" s="313">
        <f t="shared" si="32"/>
        <v>0</v>
      </c>
      <c r="V96" s="313">
        <f t="shared" si="32"/>
        <v>0</v>
      </c>
      <c r="W96" s="313">
        <f t="shared" si="32"/>
        <v>0</v>
      </c>
      <c r="X96" s="313">
        <f t="shared" si="32"/>
        <v>0</v>
      </c>
      <c r="Y96" s="313">
        <f t="shared" si="32"/>
        <v>0</v>
      </c>
      <c r="Z96" s="313">
        <f t="shared" si="32"/>
        <v>0</v>
      </c>
      <c r="AA96" s="328">
        <f t="shared" si="32"/>
        <v>0</v>
      </c>
      <c r="AB96" s="104"/>
      <c r="AC96" s="191"/>
      <c r="AD96" s="20"/>
      <c r="AE96" s="193">
        <f t="shared" si="29"/>
        <v>0.34245922806439921</v>
      </c>
      <c r="AF96" s="193"/>
      <c r="AG96" s="20"/>
    </row>
    <row r="97" spans="1:33" ht="16.5" customHeight="1">
      <c r="A97" s="411"/>
      <c r="C97" s="342">
        <f>+MAX(C$15:C96)+1</f>
        <v>69</v>
      </c>
      <c r="D97" s="237">
        <f>'O&amp;M_Summ'!D53</f>
        <v>561010</v>
      </c>
      <c r="E97" s="112" t="str">
        <f>'O&amp;M_Summ'!E53</f>
        <v>T/OPERS-LOAD DISPATCH-GEN</v>
      </c>
      <c r="F97" s="252"/>
      <c r="G97" s="19">
        <f>INDEX('O&amp;M_Summ'!$F$9:$W$156,MATCH($E97,'O&amp;M_Summ'!$E$9:$E$156,0),MATCH($E$5,'O&amp;M_Summ'!$F$6:$W$6,0))</f>
        <v>928683.03817135957</v>
      </c>
      <c r="H97" s="138" t="s">
        <v>2765</v>
      </c>
      <c r="I97" s="262"/>
      <c r="J97" s="313">
        <f t="shared" si="31"/>
        <v>0</v>
      </c>
      <c r="K97" s="313">
        <f t="shared" si="31"/>
        <v>0</v>
      </c>
      <c r="L97" s="313">
        <f t="shared" si="31"/>
        <v>928683</v>
      </c>
      <c r="M97" s="313">
        <f t="shared" si="31"/>
        <v>0</v>
      </c>
      <c r="N97" s="313">
        <f t="shared" si="31"/>
        <v>0</v>
      </c>
      <c r="O97" s="313">
        <f t="shared" si="31"/>
        <v>0</v>
      </c>
      <c r="P97" s="313">
        <f t="shared" si="31"/>
        <v>0</v>
      </c>
      <c r="Q97" s="313">
        <f t="shared" si="31"/>
        <v>0</v>
      </c>
      <c r="R97" s="313">
        <f t="shared" si="31"/>
        <v>0</v>
      </c>
      <c r="S97" s="313">
        <f t="shared" si="31"/>
        <v>0</v>
      </c>
      <c r="T97" s="313">
        <f t="shared" si="32"/>
        <v>0</v>
      </c>
      <c r="U97" s="313">
        <f t="shared" si="32"/>
        <v>0</v>
      </c>
      <c r="V97" s="313">
        <f t="shared" si="32"/>
        <v>0</v>
      </c>
      <c r="W97" s="313">
        <f t="shared" si="32"/>
        <v>0</v>
      </c>
      <c r="X97" s="313">
        <f t="shared" si="32"/>
        <v>0</v>
      </c>
      <c r="Y97" s="313">
        <f t="shared" si="32"/>
        <v>0</v>
      </c>
      <c r="Z97" s="313">
        <f t="shared" si="32"/>
        <v>0</v>
      </c>
      <c r="AA97" s="328">
        <f t="shared" si="32"/>
        <v>0</v>
      </c>
      <c r="AB97" s="104"/>
      <c r="AC97" s="191"/>
      <c r="AD97" s="20"/>
      <c r="AE97" s="193">
        <f t="shared" si="29"/>
        <v>-3.817135957069695E-2</v>
      </c>
      <c r="AF97" s="193"/>
      <c r="AG97" s="20"/>
    </row>
    <row r="98" spans="1:33" ht="16.5" customHeight="1">
      <c r="A98" s="411"/>
      <c r="C98" s="342">
        <f>+MAX(C$15:C97)+1</f>
        <v>70</v>
      </c>
      <c r="D98" s="237">
        <f>'O&amp;M_Summ'!D54</f>
        <v>561500</v>
      </c>
      <c r="E98" s="112" t="str">
        <f>'O&amp;M_Summ'!E54</f>
        <v>T/OPERS-LOAD DISPATCH, QC</v>
      </c>
      <c r="F98" s="252"/>
      <c r="G98" s="19">
        <f>INDEX('O&amp;M_Summ'!$F$9:$W$156,MATCH($E98,'O&amp;M_Summ'!$E$9:$E$156,0),MATCH($E$5,'O&amp;M_Summ'!$F$6:$W$6,0))</f>
        <v>1286.8940691746482</v>
      </c>
      <c r="H98" s="138" t="s">
        <v>2765</v>
      </c>
      <c r="I98" s="262"/>
      <c r="J98" s="313">
        <f t="shared" si="31"/>
        <v>0</v>
      </c>
      <c r="K98" s="313">
        <f t="shared" si="31"/>
        <v>0</v>
      </c>
      <c r="L98" s="313">
        <f t="shared" si="31"/>
        <v>1287</v>
      </c>
      <c r="M98" s="313">
        <f t="shared" si="31"/>
        <v>0</v>
      </c>
      <c r="N98" s="313">
        <f t="shared" si="31"/>
        <v>0</v>
      </c>
      <c r="O98" s="313">
        <f t="shared" si="31"/>
        <v>0</v>
      </c>
      <c r="P98" s="313">
        <f t="shared" si="31"/>
        <v>0</v>
      </c>
      <c r="Q98" s="313">
        <f t="shared" si="31"/>
        <v>0</v>
      </c>
      <c r="R98" s="313">
        <f t="shared" si="31"/>
        <v>0</v>
      </c>
      <c r="S98" s="313">
        <f t="shared" si="31"/>
        <v>0</v>
      </c>
      <c r="T98" s="313">
        <f t="shared" si="32"/>
        <v>0</v>
      </c>
      <c r="U98" s="313">
        <f t="shared" si="32"/>
        <v>0</v>
      </c>
      <c r="V98" s="313">
        <f t="shared" si="32"/>
        <v>0</v>
      </c>
      <c r="W98" s="313">
        <f t="shared" si="32"/>
        <v>0</v>
      </c>
      <c r="X98" s="313">
        <f t="shared" si="32"/>
        <v>0</v>
      </c>
      <c r="Y98" s="313">
        <f t="shared" si="32"/>
        <v>0</v>
      </c>
      <c r="Z98" s="313">
        <f t="shared" si="32"/>
        <v>0</v>
      </c>
      <c r="AA98" s="328">
        <f t="shared" si="32"/>
        <v>0</v>
      </c>
      <c r="AB98" s="104"/>
      <c r="AC98" s="191"/>
      <c r="AD98" s="20"/>
      <c r="AE98" s="193">
        <f t="shared" si="29"/>
        <v>0.10593082535183385</v>
      </c>
      <c r="AF98" s="193"/>
      <c r="AG98" s="20"/>
    </row>
    <row r="99" spans="1:33" ht="16.5" customHeight="1">
      <c r="A99" s="411"/>
      <c r="C99" s="342">
        <f>+MAX(C$15:C98)+1</f>
        <v>71</v>
      </c>
      <c r="D99" s="237">
        <f>'O&amp;M_Summ'!D55</f>
        <v>561600</v>
      </c>
      <c r="E99" s="112" t="str">
        <f>'O&amp;M_Summ'!E55</f>
        <v>T/OPERS-LOAD DISPATCH, PEC</v>
      </c>
      <c r="F99" s="252"/>
      <c r="G99" s="19">
        <f>INDEX('O&amp;M_Summ'!$F$9:$W$156,MATCH($E99,'O&amp;M_Summ'!$E$9:$E$156,0),MATCH($E$5,'O&amp;M_Summ'!$F$6:$W$6,0))</f>
        <v>1051.6883627725224</v>
      </c>
      <c r="H99" s="138" t="s">
        <v>2765</v>
      </c>
      <c r="I99" s="262"/>
      <c r="J99" s="313">
        <f t="shared" si="31"/>
        <v>0</v>
      </c>
      <c r="K99" s="313">
        <f t="shared" si="31"/>
        <v>0</v>
      </c>
      <c r="L99" s="313">
        <f t="shared" si="31"/>
        <v>1052</v>
      </c>
      <c r="M99" s="313">
        <f t="shared" si="31"/>
        <v>0</v>
      </c>
      <c r="N99" s="313">
        <f t="shared" si="31"/>
        <v>0</v>
      </c>
      <c r="O99" s="313">
        <f t="shared" si="31"/>
        <v>0</v>
      </c>
      <c r="P99" s="313">
        <f t="shared" si="31"/>
        <v>0</v>
      </c>
      <c r="Q99" s="313">
        <f t="shared" si="31"/>
        <v>0</v>
      </c>
      <c r="R99" s="313">
        <f t="shared" si="31"/>
        <v>0</v>
      </c>
      <c r="S99" s="313">
        <f t="shared" si="31"/>
        <v>0</v>
      </c>
      <c r="T99" s="313">
        <f t="shared" si="32"/>
        <v>0</v>
      </c>
      <c r="U99" s="313">
        <f t="shared" si="32"/>
        <v>0</v>
      </c>
      <c r="V99" s="313">
        <f t="shared" si="32"/>
        <v>0</v>
      </c>
      <c r="W99" s="313">
        <f t="shared" si="32"/>
        <v>0</v>
      </c>
      <c r="X99" s="313">
        <f t="shared" si="32"/>
        <v>0</v>
      </c>
      <c r="Y99" s="313">
        <f t="shared" si="32"/>
        <v>0</v>
      </c>
      <c r="Z99" s="313">
        <f t="shared" si="32"/>
        <v>0</v>
      </c>
      <c r="AA99" s="328">
        <f t="shared" si="32"/>
        <v>0</v>
      </c>
      <c r="AB99" s="104"/>
      <c r="AC99" s="191"/>
      <c r="AD99" s="20"/>
      <c r="AE99" s="193">
        <f t="shared" si="29"/>
        <v>0.31163722747760403</v>
      </c>
      <c r="AF99" s="193"/>
      <c r="AG99" s="20"/>
    </row>
    <row r="100" spans="1:33" ht="16.5" customHeight="1">
      <c r="A100" s="411"/>
      <c r="C100" s="342">
        <f>+MAX(C$15:C99)+1</f>
        <v>72</v>
      </c>
      <c r="D100" s="237">
        <f>'O&amp;M_Summ'!D56</f>
        <v>562000</v>
      </c>
      <c r="E100" s="112" t="str">
        <f>'O&amp;M_Summ'!E56</f>
        <v>T/OPERS-STATION EXP</v>
      </c>
      <c r="F100" s="252"/>
      <c r="G100" s="19">
        <f>INDEX('O&amp;M_Summ'!$F$9:$W$156,MATCH($E100,'O&amp;M_Summ'!$E$9:$E$156,0),MATCH($E$5,'O&amp;M_Summ'!$F$6:$W$6,0))</f>
        <v>18834.822924865101</v>
      </c>
      <c r="H100" s="138" t="s">
        <v>2765</v>
      </c>
      <c r="I100" s="262"/>
      <c r="J100" s="343">
        <f t="shared" si="31"/>
        <v>0</v>
      </c>
      <c r="K100" s="343">
        <f t="shared" si="31"/>
        <v>0</v>
      </c>
      <c r="L100" s="343">
        <f t="shared" si="31"/>
        <v>18835</v>
      </c>
      <c r="M100" s="343">
        <f t="shared" si="31"/>
        <v>0</v>
      </c>
      <c r="N100" s="343">
        <f t="shared" si="31"/>
        <v>0</v>
      </c>
      <c r="O100" s="343">
        <f t="shared" si="31"/>
        <v>0</v>
      </c>
      <c r="P100" s="343">
        <f t="shared" si="31"/>
        <v>0</v>
      </c>
      <c r="Q100" s="343">
        <f t="shared" si="31"/>
        <v>0</v>
      </c>
      <c r="R100" s="343">
        <f t="shared" si="31"/>
        <v>0</v>
      </c>
      <c r="S100" s="343">
        <f t="shared" si="31"/>
        <v>0</v>
      </c>
      <c r="T100" s="343">
        <f t="shared" si="32"/>
        <v>0</v>
      </c>
      <c r="U100" s="343">
        <f t="shared" si="32"/>
        <v>0</v>
      </c>
      <c r="V100" s="343">
        <f t="shared" si="32"/>
        <v>0</v>
      </c>
      <c r="W100" s="343">
        <f t="shared" si="32"/>
        <v>0</v>
      </c>
      <c r="X100" s="343">
        <f t="shared" si="32"/>
        <v>0</v>
      </c>
      <c r="Y100" s="343">
        <f t="shared" si="32"/>
        <v>0</v>
      </c>
      <c r="Z100" s="343">
        <f t="shared" si="32"/>
        <v>0</v>
      </c>
      <c r="AA100" s="346">
        <f t="shared" si="32"/>
        <v>0</v>
      </c>
      <c r="AB100" s="217"/>
      <c r="AC100" s="191"/>
      <c r="AD100" s="20"/>
      <c r="AE100" s="193">
        <f t="shared" si="29"/>
        <v>0.17707513489949633</v>
      </c>
      <c r="AF100" s="193"/>
      <c r="AG100" s="20"/>
    </row>
    <row r="101" spans="1:33" ht="16.5" customHeight="1">
      <c r="A101" s="411"/>
      <c r="C101" s="342">
        <f>+MAX(C$15:C100)+1</f>
        <v>73</v>
      </c>
      <c r="D101" s="237">
        <f>'O&amp;M_Summ'!D57</f>
        <v>563000</v>
      </c>
      <c r="E101" s="112" t="str">
        <f>'O&amp;M_Summ'!E57</f>
        <v>T/OPERS-OVERHEAD LINE EXP</v>
      </c>
      <c r="F101" s="252"/>
      <c r="G101" s="19">
        <f>INDEX('O&amp;M_Summ'!$F$9:$W$156,MATCH($E101,'O&amp;M_Summ'!$E$9:$E$156,0),MATCH($E$5,'O&amp;M_Summ'!$F$6:$W$6,0))</f>
        <v>47086.901664597543</v>
      </c>
      <c r="H101" s="138" t="s">
        <v>2765</v>
      </c>
      <c r="I101" s="262"/>
      <c r="J101" s="313">
        <f t="shared" si="31"/>
        <v>0</v>
      </c>
      <c r="K101" s="313">
        <f t="shared" si="31"/>
        <v>0</v>
      </c>
      <c r="L101" s="313">
        <f t="shared" si="31"/>
        <v>47087</v>
      </c>
      <c r="M101" s="313">
        <f t="shared" si="31"/>
        <v>0</v>
      </c>
      <c r="N101" s="313">
        <f t="shared" si="31"/>
        <v>0</v>
      </c>
      <c r="O101" s="313">
        <f t="shared" si="31"/>
        <v>0</v>
      </c>
      <c r="P101" s="313">
        <f t="shared" si="31"/>
        <v>0</v>
      </c>
      <c r="Q101" s="313">
        <f t="shared" si="31"/>
        <v>0</v>
      </c>
      <c r="R101" s="313">
        <f t="shared" si="31"/>
        <v>0</v>
      </c>
      <c r="S101" s="313">
        <f t="shared" si="31"/>
        <v>0</v>
      </c>
      <c r="T101" s="313">
        <f t="shared" si="32"/>
        <v>0</v>
      </c>
      <c r="U101" s="313">
        <f t="shared" si="32"/>
        <v>0</v>
      </c>
      <c r="V101" s="313">
        <f t="shared" si="32"/>
        <v>0</v>
      </c>
      <c r="W101" s="313">
        <f t="shared" si="32"/>
        <v>0</v>
      </c>
      <c r="X101" s="313">
        <f t="shared" si="32"/>
        <v>0</v>
      </c>
      <c r="Y101" s="313">
        <f t="shared" si="32"/>
        <v>0</v>
      </c>
      <c r="Z101" s="313">
        <f t="shared" si="32"/>
        <v>0</v>
      </c>
      <c r="AA101" s="328">
        <f t="shared" si="32"/>
        <v>0</v>
      </c>
      <c r="AB101" s="104"/>
      <c r="AC101" s="191"/>
      <c r="AD101" s="20"/>
      <c r="AE101" s="193">
        <f t="shared" si="29"/>
        <v>9.8335402457450982E-2</v>
      </c>
      <c r="AF101" s="193"/>
      <c r="AG101" s="20"/>
    </row>
    <row r="102" spans="1:33" ht="16.5" customHeight="1">
      <c r="A102" s="411"/>
      <c r="C102" s="342">
        <f>+MAX(C$15:C101)+1</f>
        <v>74</v>
      </c>
      <c r="D102" s="237">
        <f>'O&amp;M_Summ'!D58</f>
        <v>565010</v>
      </c>
      <c r="E102" s="112" t="str">
        <f>'O&amp;M_Summ'!E58</f>
        <v>T/TRANSMISSION BY OTHERS</v>
      </c>
      <c r="F102" s="252"/>
      <c r="G102" s="19">
        <f>INDEX('O&amp;M_Summ'!$F$9:$W$156,MATCH($E102,'O&amp;M_Summ'!$E$9:$E$156,0),MATCH($E$5,'O&amp;M_Summ'!$F$6:$W$6,0))</f>
        <v>633385.04069380811</v>
      </c>
      <c r="H102" s="138" t="s">
        <v>2765</v>
      </c>
      <c r="I102" s="262"/>
      <c r="J102" s="313">
        <f t="shared" si="31"/>
        <v>0</v>
      </c>
      <c r="K102" s="313">
        <f t="shared" si="31"/>
        <v>0</v>
      </c>
      <c r="L102" s="313">
        <f t="shared" si="31"/>
        <v>633385</v>
      </c>
      <c r="M102" s="313">
        <f t="shared" si="31"/>
        <v>0</v>
      </c>
      <c r="N102" s="313">
        <f t="shared" si="31"/>
        <v>0</v>
      </c>
      <c r="O102" s="313">
        <f t="shared" si="31"/>
        <v>0</v>
      </c>
      <c r="P102" s="313">
        <f t="shared" si="31"/>
        <v>0</v>
      </c>
      <c r="Q102" s="313">
        <f t="shared" si="31"/>
        <v>0</v>
      </c>
      <c r="R102" s="313">
        <f t="shared" si="31"/>
        <v>0</v>
      </c>
      <c r="S102" s="313">
        <f t="shared" si="31"/>
        <v>0</v>
      </c>
      <c r="T102" s="313">
        <f t="shared" si="32"/>
        <v>0</v>
      </c>
      <c r="U102" s="313">
        <f t="shared" si="32"/>
        <v>0</v>
      </c>
      <c r="V102" s="313">
        <f t="shared" si="32"/>
        <v>0</v>
      </c>
      <c r="W102" s="313">
        <f t="shared" si="32"/>
        <v>0</v>
      </c>
      <c r="X102" s="313">
        <f t="shared" si="32"/>
        <v>0</v>
      </c>
      <c r="Y102" s="313">
        <f t="shared" si="32"/>
        <v>0</v>
      </c>
      <c r="Z102" s="313">
        <f t="shared" si="32"/>
        <v>0</v>
      </c>
      <c r="AA102" s="328">
        <f t="shared" si="32"/>
        <v>0</v>
      </c>
      <c r="AB102" s="104"/>
      <c r="AC102" s="191"/>
      <c r="AD102" s="20"/>
      <c r="AE102" s="193">
        <f t="shared" si="29"/>
        <v>-4.0693808114156127E-2</v>
      </c>
      <c r="AF102" s="193"/>
      <c r="AG102" s="20"/>
    </row>
    <row r="103" spans="1:33" ht="16.5" customHeight="1">
      <c r="A103" s="411"/>
      <c r="C103" s="342">
        <f>+MAX(C$15:C102)+1</f>
        <v>75</v>
      </c>
      <c r="D103" s="237">
        <f>'O&amp;M_Summ'!D59</f>
        <v>566000</v>
      </c>
      <c r="E103" s="112" t="str">
        <f>'O&amp;M_Summ'!E59</f>
        <v>T/OPERS-MISC EXP</v>
      </c>
      <c r="F103" s="252"/>
      <c r="G103" s="19">
        <f>INDEX('O&amp;M_Summ'!$F$9:$W$156,MATCH($E103,'O&amp;M_Summ'!$E$9:$E$156,0),MATCH($E$5,'O&amp;M_Summ'!$F$6:$W$6,0))</f>
        <v>593789.60226556344</v>
      </c>
      <c r="H103" s="138" t="s">
        <v>2765</v>
      </c>
      <c r="I103" s="262"/>
      <c r="J103" s="313">
        <f t="shared" si="31"/>
        <v>0</v>
      </c>
      <c r="K103" s="313">
        <f t="shared" si="31"/>
        <v>0</v>
      </c>
      <c r="L103" s="313">
        <f t="shared" si="31"/>
        <v>593790</v>
      </c>
      <c r="M103" s="313">
        <f t="shared" si="31"/>
        <v>0</v>
      </c>
      <c r="N103" s="313">
        <f t="shared" si="31"/>
        <v>0</v>
      </c>
      <c r="O103" s="313">
        <f t="shared" si="31"/>
        <v>0</v>
      </c>
      <c r="P103" s="313">
        <f t="shared" si="31"/>
        <v>0</v>
      </c>
      <c r="Q103" s="313">
        <f t="shared" si="31"/>
        <v>0</v>
      </c>
      <c r="R103" s="313">
        <f t="shared" si="31"/>
        <v>0</v>
      </c>
      <c r="S103" s="313">
        <f t="shared" si="31"/>
        <v>0</v>
      </c>
      <c r="T103" s="313">
        <f t="shared" si="32"/>
        <v>0</v>
      </c>
      <c r="U103" s="313">
        <f t="shared" si="32"/>
        <v>0</v>
      </c>
      <c r="V103" s="313">
        <f t="shared" si="32"/>
        <v>0</v>
      </c>
      <c r="W103" s="313">
        <f t="shared" si="32"/>
        <v>0</v>
      </c>
      <c r="X103" s="313">
        <f t="shared" si="32"/>
        <v>0</v>
      </c>
      <c r="Y103" s="313">
        <f t="shared" si="32"/>
        <v>0</v>
      </c>
      <c r="Z103" s="313">
        <f t="shared" si="32"/>
        <v>0</v>
      </c>
      <c r="AA103" s="328">
        <f t="shared" si="32"/>
        <v>0</v>
      </c>
      <c r="AB103" s="104"/>
      <c r="AC103" s="191"/>
      <c r="AD103" s="20"/>
      <c r="AE103" s="193">
        <f t="shared" si="29"/>
        <v>0.39773443655576557</v>
      </c>
      <c r="AF103" s="193"/>
      <c r="AG103" s="20"/>
    </row>
    <row r="104" spans="1:33" ht="16.5" customHeight="1">
      <c r="A104" s="411"/>
      <c r="C104" s="342">
        <f>+MAX(C$15:C103)+1</f>
        <v>76</v>
      </c>
      <c r="D104" s="237">
        <f>'O&amp;M_Summ'!D60</f>
        <v>567000</v>
      </c>
      <c r="E104" s="112" t="str">
        <f>'O&amp;M_Summ'!E60</f>
        <v>T/RENTS</v>
      </c>
      <c r="F104" s="252"/>
      <c r="G104" s="19">
        <f>INDEX('O&amp;M_Summ'!$F$9:$W$156,MATCH($E104,'O&amp;M_Summ'!$E$9:$E$156,0),MATCH($E$5,'O&amp;M_Summ'!$F$6:$W$6,0))</f>
        <v>0</v>
      </c>
      <c r="H104" s="138" t="s">
        <v>2765</v>
      </c>
      <c r="I104" s="262"/>
      <c r="J104" s="313">
        <f t="shared" si="31"/>
        <v>0</v>
      </c>
      <c r="K104" s="313">
        <f t="shared" si="31"/>
        <v>0</v>
      </c>
      <c r="L104" s="313">
        <f t="shared" si="31"/>
        <v>0</v>
      </c>
      <c r="M104" s="313">
        <f t="shared" si="31"/>
        <v>0</v>
      </c>
      <c r="N104" s="313">
        <f t="shared" si="31"/>
        <v>0</v>
      </c>
      <c r="O104" s="313">
        <f t="shared" si="31"/>
        <v>0</v>
      </c>
      <c r="P104" s="313">
        <f t="shared" si="31"/>
        <v>0</v>
      </c>
      <c r="Q104" s="313">
        <f t="shared" si="31"/>
        <v>0</v>
      </c>
      <c r="R104" s="313">
        <f t="shared" si="31"/>
        <v>0</v>
      </c>
      <c r="S104" s="313">
        <f t="shared" si="31"/>
        <v>0</v>
      </c>
      <c r="T104" s="313">
        <f t="shared" si="32"/>
        <v>0</v>
      </c>
      <c r="U104" s="313">
        <f t="shared" si="32"/>
        <v>0</v>
      </c>
      <c r="V104" s="313">
        <f t="shared" si="32"/>
        <v>0</v>
      </c>
      <c r="W104" s="313">
        <f t="shared" si="32"/>
        <v>0</v>
      </c>
      <c r="X104" s="313">
        <f t="shared" si="32"/>
        <v>0</v>
      </c>
      <c r="Y104" s="313">
        <f t="shared" si="32"/>
        <v>0</v>
      </c>
      <c r="Z104" s="313">
        <f t="shared" si="32"/>
        <v>0</v>
      </c>
      <c r="AA104" s="328">
        <f t="shared" si="32"/>
        <v>0</v>
      </c>
      <c r="AB104" s="104"/>
      <c r="AC104" s="191"/>
      <c r="AD104" s="20"/>
      <c r="AE104" s="193">
        <f t="shared" si="29"/>
        <v>0</v>
      </c>
      <c r="AF104" s="193"/>
      <c r="AG104" s="20"/>
    </row>
    <row r="105" spans="1:33" ht="16.5" customHeight="1">
      <c r="A105" s="411"/>
      <c r="C105" s="342">
        <f>+MAX(C$15:C104)+1</f>
        <v>77</v>
      </c>
      <c r="D105" s="237">
        <f>'O&amp;M_Summ'!D61</f>
        <v>568000</v>
      </c>
      <c r="E105" s="112" t="str">
        <f>'O&amp;M_Summ'!E61</f>
        <v>T/MAINT-SUPR &amp; ENG</v>
      </c>
      <c r="F105" s="252"/>
      <c r="G105" s="19">
        <f>INDEX('O&amp;M_Summ'!$F$9:$W$156,MATCH($E105,'O&amp;M_Summ'!$E$9:$E$156,0),MATCH($E$5,'O&amp;M_Summ'!$F$6:$W$6,0))</f>
        <v>122250.06702633711</v>
      </c>
      <c r="H105" s="138" t="s">
        <v>2765</v>
      </c>
      <c r="I105" s="262"/>
      <c r="J105" s="313">
        <f t="shared" si="31"/>
        <v>0</v>
      </c>
      <c r="K105" s="313">
        <f t="shared" si="31"/>
        <v>0</v>
      </c>
      <c r="L105" s="313">
        <f t="shared" si="31"/>
        <v>122250</v>
      </c>
      <c r="M105" s="313">
        <f t="shared" si="31"/>
        <v>0</v>
      </c>
      <c r="N105" s="313">
        <f t="shared" si="31"/>
        <v>0</v>
      </c>
      <c r="O105" s="313">
        <f t="shared" si="31"/>
        <v>0</v>
      </c>
      <c r="P105" s="313">
        <f t="shared" si="31"/>
        <v>0</v>
      </c>
      <c r="Q105" s="313">
        <f t="shared" si="31"/>
        <v>0</v>
      </c>
      <c r="R105" s="313">
        <f t="shared" si="31"/>
        <v>0</v>
      </c>
      <c r="S105" s="313">
        <f t="shared" si="31"/>
        <v>0</v>
      </c>
      <c r="T105" s="313">
        <f t="shared" si="32"/>
        <v>0</v>
      </c>
      <c r="U105" s="313">
        <f t="shared" si="32"/>
        <v>0</v>
      </c>
      <c r="V105" s="313">
        <f t="shared" si="32"/>
        <v>0</v>
      </c>
      <c r="W105" s="313">
        <f t="shared" si="32"/>
        <v>0</v>
      </c>
      <c r="X105" s="313">
        <f t="shared" si="32"/>
        <v>0</v>
      </c>
      <c r="Y105" s="313">
        <f t="shared" si="32"/>
        <v>0</v>
      </c>
      <c r="Z105" s="313">
        <f t="shared" si="32"/>
        <v>0</v>
      </c>
      <c r="AA105" s="328">
        <f t="shared" si="32"/>
        <v>0</v>
      </c>
      <c r="AB105" s="104"/>
      <c r="AC105" s="191"/>
      <c r="AD105" s="20"/>
      <c r="AE105" s="193">
        <f t="shared" si="29"/>
        <v>-6.7026337113929912E-2</v>
      </c>
      <c r="AF105" s="193"/>
      <c r="AG105" s="20"/>
    </row>
    <row r="106" spans="1:33" ht="16.5" customHeight="1">
      <c r="A106" s="411"/>
      <c r="C106" s="342">
        <f>+MAX(C$15:C105)+1</f>
        <v>78</v>
      </c>
      <c r="D106" s="237">
        <f>'O&amp;M_Summ'!D62</f>
        <v>570000</v>
      </c>
      <c r="E106" s="112" t="str">
        <f>'O&amp;M_Summ'!E62</f>
        <v>T/MAINT-STA EQUIP</v>
      </c>
      <c r="F106" s="252"/>
      <c r="G106" s="19">
        <f>INDEX('O&amp;M_Summ'!$F$9:$W$156,MATCH($E106,'O&amp;M_Summ'!$E$9:$E$156,0),MATCH($E$5,'O&amp;M_Summ'!$F$6:$W$6,0))</f>
        <v>460481.05367297883</v>
      </c>
      <c r="H106" s="138" t="s">
        <v>2765</v>
      </c>
      <c r="I106" s="262"/>
      <c r="J106" s="313">
        <f t="shared" si="31"/>
        <v>0</v>
      </c>
      <c r="K106" s="313">
        <f t="shared" si="31"/>
        <v>0</v>
      </c>
      <c r="L106" s="313">
        <f t="shared" si="31"/>
        <v>460481</v>
      </c>
      <c r="M106" s="313">
        <f t="shared" si="31"/>
        <v>0</v>
      </c>
      <c r="N106" s="313">
        <f t="shared" si="31"/>
        <v>0</v>
      </c>
      <c r="O106" s="313">
        <f t="shared" si="31"/>
        <v>0</v>
      </c>
      <c r="P106" s="313">
        <f t="shared" si="31"/>
        <v>0</v>
      </c>
      <c r="Q106" s="313">
        <f t="shared" si="31"/>
        <v>0</v>
      </c>
      <c r="R106" s="313">
        <f t="shared" si="31"/>
        <v>0</v>
      </c>
      <c r="S106" s="313">
        <f t="shared" si="31"/>
        <v>0</v>
      </c>
      <c r="T106" s="313">
        <f t="shared" si="32"/>
        <v>0</v>
      </c>
      <c r="U106" s="313">
        <f t="shared" si="32"/>
        <v>0</v>
      </c>
      <c r="V106" s="313">
        <f t="shared" si="32"/>
        <v>0</v>
      </c>
      <c r="W106" s="313">
        <f t="shared" si="32"/>
        <v>0</v>
      </c>
      <c r="X106" s="313">
        <f t="shared" si="32"/>
        <v>0</v>
      </c>
      <c r="Y106" s="313">
        <f t="shared" si="32"/>
        <v>0</v>
      </c>
      <c r="Z106" s="313">
        <f t="shared" si="32"/>
        <v>0</v>
      </c>
      <c r="AA106" s="328">
        <f t="shared" si="32"/>
        <v>0</v>
      </c>
      <c r="AB106" s="104"/>
      <c r="AC106" s="191"/>
      <c r="AD106" s="20"/>
      <c r="AE106" s="193">
        <f t="shared" si="29"/>
        <v>-5.3672978829126805E-2</v>
      </c>
      <c r="AF106" s="193"/>
      <c r="AG106" s="20"/>
    </row>
    <row r="107" spans="1:33" ht="16.5" customHeight="1" thickBot="1">
      <c r="A107" s="411"/>
      <c r="C107" s="342">
        <f>+MAX(C$15:C106)+1</f>
        <v>79</v>
      </c>
      <c r="D107" s="237">
        <f>'O&amp;M_Summ'!D63</f>
        <v>571050</v>
      </c>
      <c r="E107" s="112" t="str">
        <f>'O&amp;M_Summ'!E63</f>
        <v>T/MAINT-OVERHEAD LINES</v>
      </c>
      <c r="F107" s="252"/>
      <c r="G107" s="19">
        <f>INDEX('O&amp;M_Summ'!$F$9:$W$156,MATCH($E107,'O&amp;M_Summ'!$E$9:$E$156,0),MATCH($E$5,'O&amp;M_Summ'!$F$6:$W$6,0))</f>
        <v>206076.89828060256</v>
      </c>
      <c r="H107" s="139" t="s">
        <v>2765</v>
      </c>
      <c r="I107" s="262"/>
      <c r="J107" s="313">
        <f t="shared" si="31"/>
        <v>0</v>
      </c>
      <c r="K107" s="313">
        <f t="shared" si="31"/>
        <v>0</v>
      </c>
      <c r="L107" s="313">
        <f t="shared" si="31"/>
        <v>206077</v>
      </c>
      <c r="M107" s="313">
        <f t="shared" si="31"/>
        <v>0</v>
      </c>
      <c r="N107" s="313">
        <f t="shared" si="31"/>
        <v>0</v>
      </c>
      <c r="O107" s="313">
        <f t="shared" si="31"/>
        <v>0</v>
      </c>
      <c r="P107" s="313">
        <f t="shared" si="31"/>
        <v>0</v>
      </c>
      <c r="Q107" s="313">
        <f t="shared" si="31"/>
        <v>0</v>
      </c>
      <c r="R107" s="313">
        <f t="shared" si="31"/>
        <v>0</v>
      </c>
      <c r="S107" s="313">
        <f t="shared" si="31"/>
        <v>0</v>
      </c>
      <c r="T107" s="313">
        <f t="shared" si="32"/>
        <v>0</v>
      </c>
      <c r="U107" s="313">
        <f t="shared" si="32"/>
        <v>0</v>
      </c>
      <c r="V107" s="313">
        <f t="shared" si="32"/>
        <v>0</v>
      </c>
      <c r="W107" s="313">
        <f t="shared" si="32"/>
        <v>0</v>
      </c>
      <c r="X107" s="313">
        <f t="shared" si="32"/>
        <v>0</v>
      </c>
      <c r="Y107" s="313">
        <f t="shared" si="32"/>
        <v>0</v>
      </c>
      <c r="Z107" s="313">
        <f t="shared" si="32"/>
        <v>0</v>
      </c>
      <c r="AA107" s="328">
        <f t="shared" si="32"/>
        <v>0</v>
      </c>
      <c r="AB107" s="104"/>
      <c r="AC107" s="191"/>
      <c r="AD107" s="20"/>
      <c r="AE107" s="193">
        <f t="shared" si="29"/>
        <v>0.10171939744031988</v>
      </c>
      <c r="AF107" s="193"/>
      <c r="AG107" s="20"/>
    </row>
    <row r="108" spans="1:33" ht="16.5" customHeight="1">
      <c r="A108" s="411"/>
      <c r="C108" s="342">
        <f>+MAX(C$15:C107)+1</f>
        <v>80</v>
      </c>
      <c r="D108" s="252"/>
      <c r="E108" s="255" t="str">
        <f>'O&amp;M_Summ'!E64</f>
        <v>Total Transmission</v>
      </c>
      <c r="F108" s="255"/>
      <c r="G108" s="324">
        <f>SUM(G95:G107)</f>
        <v>3520467.8803847791</v>
      </c>
      <c r="H108" s="463"/>
      <c r="I108" s="262"/>
      <c r="J108" s="324">
        <f t="shared" ref="J108:AA108" si="33">SUM(J95:J107)</f>
        <v>0</v>
      </c>
      <c r="K108" s="324">
        <f t="shared" ref="K108:Q108" si="34">SUM(K95:K107)</f>
        <v>0</v>
      </c>
      <c r="L108" s="324">
        <f t="shared" si="34"/>
        <v>3520469</v>
      </c>
      <c r="M108" s="324">
        <f t="shared" si="34"/>
        <v>0</v>
      </c>
      <c r="N108" s="324">
        <f t="shared" si="34"/>
        <v>0</v>
      </c>
      <c r="O108" s="324">
        <f t="shared" si="34"/>
        <v>0</v>
      </c>
      <c r="P108" s="324">
        <f t="shared" si="34"/>
        <v>0</v>
      </c>
      <c r="Q108" s="324">
        <f t="shared" si="34"/>
        <v>0</v>
      </c>
      <c r="R108" s="324">
        <f t="shared" si="33"/>
        <v>0</v>
      </c>
      <c r="S108" s="324">
        <f t="shared" si="33"/>
        <v>0</v>
      </c>
      <c r="T108" s="324">
        <f t="shared" si="33"/>
        <v>0</v>
      </c>
      <c r="U108" s="324">
        <f t="shared" si="33"/>
        <v>0</v>
      </c>
      <c r="V108" s="324">
        <f t="shared" si="33"/>
        <v>0</v>
      </c>
      <c r="W108" s="324">
        <f t="shared" si="33"/>
        <v>0</v>
      </c>
      <c r="X108" s="324">
        <f t="shared" si="33"/>
        <v>0</v>
      </c>
      <c r="Y108" s="324">
        <f t="shared" si="33"/>
        <v>0</v>
      </c>
      <c r="Z108" s="324">
        <f t="shared" si="33"/>
        <v>0</v>
      </c>
      <c r="AA108" s="327">
        <f t="shared" si="33"/>
        <v>0</v>
      </c>
      <c r="AB108" s="216"/>
      <c r="AC108" s="191"/>
      <c r="AD108" s="20"/>
      <c r="AE108" s="193">
        <f t="shared" si="29"/>
        <v>1.1196152209304273</v>
      </c>
      <c r="AF108" s="193"/>
      <c r="AG108" s="20"/>
    </row>
    <row r="109" spans="1:33" s="20" customFormat="1" ht="5.25" customHeight="1">
      <c r="A109" s="411"/>
      <c r="C109" s="342"/>
      <c r="D109" s="252"/>
      <c r="E109" s="255"/>
      <c r="F109" s="255"/>
      <c r="G109" s="343"/>
      <c r="H109" s="165"/>
      <c r="I109" s="165"/>
      <c r="J109" s="17"/>
      <c r="K109" s="17"/>
      <c r="L109" s="17"/>
      <c r="M109" s="17"/>
      <c r="N109" s="17"/>
      <c r="O109" s="17"/>
      <c r="P109" s="17"/>
      <c r="Q109" s="17"/>
      <c r="R109" s="17"/>
      <c r="S109" s="17"/>
      <c r="T109" s="17"/>
      <c r="U109" s="17"/>
      <c r="V109" s="17"/>
      <c r="W109" s="17"/>
      <c r="X109" s="17"/>
      <c r="Y109" s="17"/>
      <c r="Z109" s="17"/>
      <c r="AA109" s="325"/>
      <c r="AB109" s="87"/>
      <c r="AC109" s="191"/>
      <c r="AE109" s="193">
        <f t="shared" si="29"/>
        <v>0</v>
      </c>
      <c r="AF109" s="193"/>
    </row>
    <row r="110" spans="1:33" s="20" customFormat="1" ht="16.5" thickBot="1">
      <c r="A110" s="411"/>
      <c r="C110" s="342">
        <f>+MAX(C$15:C109)+1</f>
        <v>81</v>
      </c>
      <c r="D110" s="252"/>
      <c r="E110" s="246" t="s">
        <v>783</v>
      </c>
      <c r="F110" s="246"/>
      <c r="G110" s="343"/>
      <c r="H110" s="165"/>
      <c r="I110" s="165"/>
      <c r="J110" s="17"/>
      <c r="K110" s="17"/>
      <c r="L110" s="17"/>
      <c r="M110" s="17"/>
      <c r="N110" s="17"/>
      <c r="O110" s="17"/>
      <c r="P110" s="17"/>
      <c r="Q110" s="17"/>
      <c r="R110" s="17"/>
      <c r="S110" s="17"/>
      <c r="T110" s="17"/>
      <c r="U110" s="17"/>
      <c r="V110" s="17"/>
      <c r="W110" s="17"/>
      <c r="X110" s="17"/>
      <c r="Y110" s="17"/>
      <c r="Z110" s="17"/>
      <c r="AA110" s="325"/>
      <c r="AB110" s="87"/>
      <c r="AC110" s="191"/>
      <c r="AE110" s="193">
        <f t="shared" si="29"/>
        <v>0</v>
      </c>
      <c r="AF110" s="193"/>
    </row>
    <row r="111" spans="1:33" s="20" customFormat="1">
      <c r="A111" s="411"/>
      <c r="C111" s="342">
        <f>+MAX(C$15:C110)+1</f>
        <v>82</v>
      </c>
      <c r="D111" s="237">
        <f>'O&amp;M_Summ'!D67</f>
        <v>580000</v>
      </c>
      <c r="E111" s="112" t="str">
        <f>'O&amp;M_Summ'!E67</f>
        <v>D/OPERS-SUPV &amp; ENG</v>
      </c>
      <c r="F111" s="252"/>
      <c r="G111" s="308">
        <f>INDEX('O&amp;M_Summ'!$F$9:$W$156,MATCH($E111,'O&amp;M_Summ'!$E$9:$E$156,0),MATCH($E$5,'O&amp;M_Summ'!$F$6:$W$6,0))</f>
        <v>183830.40716682861</v>
      </c>
      <c r="H111" s="698" t="s">
        <v>1066</v>
      </c>
      <c r="I111" s="165"/>
      <c r="J111" s="308">
        <f t="shared" ref="J111:S120" si="35">+ROUND($G111*SUMIF($E$260:$E$302,$H111,J$260:J$302),$AD$10)</f>
        <v>0</v>
      </c>
      <c r="K111" s="308">
        <f t="shared" si="35"/>
        <v>0</v>
      </c>
      <c r="L111" s="308">
        <f t="shared" si="35"/>
        <v>0</v>
      </c>
      <c r="M111" s="308">
        <f t="shared" si="35"/>
        <v>32906</v>
      </c>
      <c r="N111" s="308">
        <f t="shared" si="35"/>
        <v>0</v>
      </c>
      <c r="O111" s="308">
        <f t="shared" si="35"/>
        <v>0</v>
      </c>
      <c r="P111" s="308">
        <f t="shared" si="35"/>
        <v>0</v>
      </c>
      <c r="Q111" s="308">
        <f t="shared" si="35"/>
        <v>29321</v>
      </c>
      <c r="R111" s="308">
        <f t="shared" si="35"/>
        <v>10772</v>
      </c>
      <c r="S111" s="308">
        <f t="shared" si="35"/>
        <v>63697</v>
      </c>
      <c r="T111" s="308">
        <f t="shared" ref="T111:AA120" si="36">+ROUND($G111*SUMIF($E$260:$E$302,$H111,T$260:T$302),$AD$10)</f>
        <v>8677</v>
      </c>
      <c r="U111" s="308">
        <f t="shared" si="36"/>
        <v>22133</v>
      </c>
      <c r="V111" s="308">
        <f t="shared" si="36"/>
        <v>8033</v>
      </c>
      <c r="W111" s="308">
        <f t="shared" si="36"/>
        <v>5607</v>
      </c>
      <c r="X111" s="308">
        <f t="shared" si="36"/>
        <v>0</v>
      </c>
      <c r="Y111" s="308">
        <f t="shared" si="36"/>
        <v>2684</v>
      </c>
      <c r="Z111" s="308">
        <f t="shared" si="36"/>
        <v>0</v>
      </c>
      <c r="AA111" s="308">
        <f t="shared" si="36"/>
        <v>0</v>
      </c>
      <c r="AB111" s="87"/>
      <c r="AC111" s="191"/>
      <c r="AE111" s="193">
        <f t="shared" si="29"/>
        <v>-0.40716682860511355</v>
      </c>
      <c r="AF111" s="193"/>
    </row>
    <row r="112" spans="1:33" s="20" customFormat="1">
      <c r="A112" s="411"/>
      <c r="C112" s="342">
        <f>+MAX(C$15:C111)+1</f>
        <v>83</v>
      </c>
      <c r="D112" s="237">
        <f>'O&amp;M_Summ'!D68</f>
        <v>581010</v>
      </c>
      <c r="E112" s="112" t="str">
        <f>'O&amp;M_Summ'!E68</f>
        <v>D/OPERS-LOAD DISPATCHING</v>
      </c>
      <c r="F112" s="252"/>
      <c r="G112" s="19">
        <f>INDEX('O&amp;M_Summ'!$F$9:$W$156,MATCH($E112,'O&amp;M_Summ'!$E$9:$E$156,0),MATCH($E$5,'O&amp;M_Summ'!$F$6:$W$6,0))</f>
        <v>1788932.9602317007</v>
      </c>
      <c r="H112" s="699" t="s">
        <v>105</v>
      </c>
      <c r="I112" s="165"/>
      <c r="J112" s="313">
        <f t="shared" si="35"/>
        <v>0</v>
      </c>
      <c r="K112" s="313">
        <f t="shared" si="35"/>
        <v>0</v>
      </c>
      <c r="L112" s="313">
        <f t="shared" si="35"/>
        <v>0</v>
      </c>
      <c r="M112" s="313">
        <f t="shared" si="35"/>
        <v>425945</v>
      </c>
      <c r="N112" s="313">
        <f t="shared" si="35"/>
        <v>0</v>
      </c>
      <c r="O112" s="313">
        <f t="shared" si="35"/>
        <v>0</v>
      </c>
      <c r="P112" s="313">
        <f t="shared" si="35"/>
        <v>0</v>
      </c>
      <c r="Q112" s="313">
        <f t="shared" si="35"/>
        <v>0</v>
      </c>
      <c r="R112" s="313">
        <f t="shared" si="35"/>
        <v>139537</v>
      </c>
      <c r="S112" s="313">
        <f t="shared" si="35"/>
        <v>824698</v>
      </c>
      <c r="T112" s="313">
        <f t="shared" si="36"/>
        <v>112166</v>
      </c>
      <c r="U112" s="313">
        <f t="shared" si="36"/>
        <v>286587</v>
      </c>
      <c r="V112" s="313">
        <f t="shared" si="36"/>
        <v>0</v>
      </c>
      <c r="W112" s="313">
        <f t="shared" si="36"/>
        <v>0</v>
      </c>
      <c r="X112" s="313">
        <f t="shared" si="36"/>
        <v>0</v>
      </c>
      <c r="Y112" s="313">
        <f t="shared" si="36"/>
        <v>0</v>
      </c>
      <c r="Z112" s="313">
        <f t="shared" si="36"/>
        <v>0</v>
      </c>
      <c r="AA112" s="328">
        <f t="shared" si="36"/>
        <v>0</v>
      </c>
      <c r="AB112" s="87"/>
      <c r="AC112" s="191"/>
      <c r="AE112" s="193">
        <f t="shared" si="29"/>
        <v>3.9768299320712686E-2</v>
      </c>
      <c r="AF112" s="193"/>
    </row>
    <row r="113" spans="1:32" s="20" customFormat="1">
      <c r="A113" s="411"/>
      <c r="C113" s="342">
        <f>+MAX(C$15:C112)+1</f>
        <v>84</v>
      </c>
      <c r="D113" s="237">
        <f>'O&amp;M_Summ'!D69</f>
        <v>582000</v>
      </c>
      <c r="E113" s="112" t="str">
        <f>'O&amp;M_Summ'!E69</f>
        <v>D/OPERS-STATION EXPENSE</v>
      </c>
      <c r="F113" s="252"/>
      <c r="G113" s="19">
        <f>INDEX('O&amp;M_Summ'!$F$9:$W$156,MATCH($E113,'O&amp;M_Summ'!$E$9:$E$156,0),MATCH($E$5,'O&amp;M_Summ'!$F$6:$W$6,0))</f>
        <v>1057283.788673986</v>
      </c>
      <c r="H113" s="699" t="s">
        <v>170</v>
      </c>
      <c r="I113" s="165"/>
      <c r="J113" s="313">
        <f t="shared" si="35"/>
        <v>0</v>
      </c>
      <c r="K113" s="313">
        <f t="shared" si="35"/>
        <v>0</v>
      </c>
      <c r="L113" s="313">
        <f t="shared" si="35"/>
        <v>0</v>
      </c>
      <c r="M113" s="313">
        <f t="shared" si="35"/>
        <v>1057284</v>
      </c>
      <c r="N113" s="313">
        <f t="shared" si="35"/>
        <v>0</v>
      </c>
      <c r="O113" s="313">
        <f t="shared" si="35"/>
        <v>0</v>
      </c>
      <c r="P113" s="313">
        <f t="shared" si="35"/>
        <v>0</v>
      </c>
      <c r="Q113" s="313">
        <f t="shared" si="35"/>
        <v>0</v>
      </c>
      <c r="R113" s="313">
        <f t="shared" si="35"/>
        <v>0</v>
      </c>
      <c r="S113" s="313">
        <f t="shared" si="35"/>
        <v>0</v>
      </c>
      <c r="T113" s="313">
        <f t="shared" si="36"/>
        <v>0</v>
      </c>
      <c r="U113" s="313">
        <f t="shared" si="36"/>
        <v>0</v>
      </c>
      <c r="V113" s="313">
        <f t="shared" si="36"/>
        <v>0</v>
      </c>
      <c r="W113" s="313">
        <f t="shared" si="36"/>
        <v>0</v>
      </c>
      <c r="X113" s="313">
        <f t="shared" si="36"/>
        <v>0</v>
      </c>
      <c r="Y113" s="313">
        <f t="shared" si="36"/>
        <v>0</v>
      </c>
      <c r="Z113" s="313">
        <f t="shared" si="36"/>
        <v>0</v>
      </c>
      <c r="AA113" s="328">
        <f t="shared" si="36"/>
        <v>0</v>
      </c>
      <c r="AB113" s="87"/>
      <c r="AC113" s="191"/>
      <c r="AE113" s="193">
        <f t="shared" si="29"/>
        <v>0.21132601401768625</v>
      </c>
      <c r="AF113" s="193"/>
    </row>
    <row r="114" spans="1:32" s="20" customFormat="1">
      <c r="A114" s="411"/>
      <c r="C114" s="342">
        <f>+MAX(C$15:C113)+1</f>
        <v>85</v>
      </c>
      <c r="D114" s="237">
        <f>'O&amp;M_Summ'!D70</f>
        <v>583000</v>
      </c>
      <c r="E114" s="112" t="str">
        <f>'O&amp;M_Summ'!E70</f>
        <v>D/OPERS-OVERHEAD LINES</v>
      </c>
      <c r="F114" s="252"/>
      <c r="G114" s="19">
        <f>INDEX('O&amp;M_Summ'!$F$9:$W$156,MATCH($E114,'O&amp;M_Summ'!$E$9:$E$156,0),MATCH($E$5,'O&amp;M_Summ'!$F$6:$W$6,0))</f>
        <v>1618694.195786719</v>
      </c>
      <c r="H114" s="699" t="s">
        <v>0</v>
      </c>
      <c r="I114" s="165"/>
      <c r="J114" s="313">
        <f t="shared" si="35"/>
        <v>0</v>
      </c>
      <c r="K114" s="313">
        <f t="shared" si="35"/>
        <v>0</v>
      </c>
      <c r="L114" s="313">
        <f t="shared" si="35"/>
        <v>0</v>
      </c>
      <c r="M114" s="313">
        <f t="shared" si="35"/>
        <v>0</v>
      </c>
      <c r="N114" s="313">
        <f t="shared" si="35"/>
        <v>0</v>
      </c>
      <c r="O114" s="313">
        <f t="shared" si="35"/>
        <v>0</v>
      </c>
      <c r="P114" s="313">
        <f t="shared" si="35"/>
        <v>0</v>
      </c>
      <c r="Q114" s="313">
        <f t="shared" si="35"/>
        <v>0</v>
      </c>
      <c r="R114" s="313">
        <f t="shared" si="35"/>
        <v>145574</v>
      </c>
      <c r="S114" s="313">
        <f t="shared" si="35"/>
        <v>1199122</v>
      </c>
      <c r="T114" s="313">
        <f t="shared" si="36"/>
        <v>62389</v>
      </c>
      <c r="U114" s="313">
        <f t="shared" si="36"/>
        <v>211610</v>
      </c>
      <c r="V114" s="313">
        <f t="shared" si="36"/>
        <v>0</v>
      </c>
      <c r="W114" s="313">
        <f t="shared" si="36"/>
        <v>0</v>
      </c>
      <c r="X114" s="313">
        <f t="shared" si="36"/>
        <v>0</v>
      </c>
      <c r="Y114" s="313">
        <f t="shared" si="36"/>
        <v>0</v>
      </c>
      <c r="Z114" s="313">
        <f t="shared" si="36"/>
        <v>0</v>
      </c>
      <c r="AA114" s="328">
        <f t="shared" si="36"/>
        <v>0</v>
      </c>
      <c r="AB114" s="87"/>
      <c r="AC114" s="191"/>
      <c r="AE114" s="193">
        <f t="shared" si="29"/>
        <v>0.80421328102238476</v>
      </c>
      <c r="AF114" s="193"/>
    </row>
    <row r="115" spans="1:32" s="20" customFormat="1">
      <c r="A115" s="411"/>
      <c r="C115" s="342">
        <f>+MAX(C$15:C114)+1</f>
        <v>86</v>
      </c>
      <c r="D115" s="237">
        <f>'O&amp;M_Summ'!D71</f>
        <v>584000</v>
      </c>
      <c r="E115" s="112" t="str">
        <f>'O&amp;M_Summ'!E71</f>
        <v>D/UNDERGROUND LINE EXPENSE</v>
      </c>
      <c r="F115" s="252"/>
      <c r="G115" s="19">
        <f>INDEX('O&amp;M_Summ'!$F$9:$W$156,MATCH($E115,'O&amp;M_Summ'!$E$9:$E$156,0),MATCH($E$5,'O&amp;M_Summ'!$F$6:$W$6,0))</f>
        <v>0</v>
      </c>
      <c r="H115" s="699" t="s">
        <v>1</v>
      </c>
      <c r="I115" s="165"/>
      <c r="J115" s="313">
        <f t="shared" si="35"/>
        <v>0</v>
      </c>
      <c r="K115" s="313">
        <f t="shared" si="35"/>
        <v>0</v>
      </c>
      <c r="L115" s="313">
        <f t="shared" si="35"/>
        <v>0</v>
      </c>
      <c r="M115" s="313">
        <f t="shared" si="35"/>
        <v>0</v>
      </c>
      <c r="N115" s="313">
        <f t="shared" si="35"/>
        <v>0</v>
      </c>
      <c r="O115" s="313">
        <f t="shared" si="35"/>
        <v>0</v>
      </c>
      <c r="P115" s="313">
        <f t="shared" si="35"/>
        <v>0</v>
      </c>
      <c r="Q115" s="313">
        <f t="shared" si="35"/>
        <v>0</v>
      </c>
      <c r="R115" s="313">
        <f t="shared" si="35"/>
        <v>0</v>
      </c>
      <c r="S115" s="313">
        <f t="shared" si="35"/>
        <v>0</v>
      </c>
      <c r="T115" s="313">
        <f t="shared" si="36"/>
        <v>0</v>
      </c>
      <c r="U115" s="313">
        <f t="shared" si="36"/>
        <v>0</v>
      </c>
      <c r="V115" s="313">
        <f t="shared" si="36"/>
        <v>0</v>
      </c>
      <c r="W115" s="313">
        <f t="shared" si="36"/>
        <v>0</v>
      </c>
      <c r="X115" s="313">
        <f t="shared" si="36"/>
        <v>0</v>
      </c>
      <c r="Y115" s="313">
        <f t="shared" si="36"/>
        <v>0</v>
      </c>
      <c r="Z115" s="313">
        <f t="shared" si="36"/>
        <v>0</v>
      </c>
      <c r="AA115" s="328">
        <f t="shared" si="36"/>
        <v>0</v>
      </c>
      <c r="AB115" s="87"/>
      <c r="AC115" s="191"/>
      <c r="AE115" s="193">
        <f t="shared" si="29"/>
        <v>0</v>
      </c>
      <c r="AF115" s="193"/>
    </row>
    <row r="116" spans="1:32" s="20" customFormat="1">
      <c r="A116" s="411"/>
      <c r="C116" s="342">
        <f>+MAX(C$15:C115)+1</f>
        <v>87</v>
      </c>
      <c r="D116" s="237">
        <f>'O&amp;M_Summ'!D72</f>
        <v>586000</v>
      </c>
      <c r="E116" s="112" t="str">
        <f>'O&amp;M_Summ'!E72</f>
        <v>D/METER EXPENSE</v>
      </c>
      <c r="F116" s="252"/>
      <c r="G116" s="19">
        <f>INDEX('O&amp;M_Summ'!$F$9:$W$156,MATCH($E116,'O&amp;M_Summ'!$E$9:$E$156,0),MATCH($E$5,'O&amp;M_Summ'!$F$6:$W$6,0))</f>
        <v>0</v>
      </c>
      <c r="H116" s="699" t="s">
        <v>172</v>
      </c>
      <c r="I116" s="165"/>
      <c r="J116" s="313">
        <f t="shared" si="35"/>
        <v>0</v>
      </c>
      <c r="K116" s="313">
        <f t="shared" si="35"/>
        <v>0</v>
      </c>
      <c r="L116" s="313">
        <f t="shared" si="35"/>
        <v>0</v>
      </c>
      <c r="M116" s="313">
        <f t="shared" si="35"/>
        <v>0</v>
      </c>
      <c r="N116" s="313">
        <f t="shared" si="35"/>
        <v>0</v>
      </c>
      <c r="O116" s="313">
        <f t="shared" si="35"/>
        <v>0</v>
      </c>
      <c r="P116" s="313">
        <f t="shared" si="35"/>
        <v>0</v>
      </c>
      <c r="Q116" s="313">
        <f t="shared" si="35"/>
        <v>0</v>
      </c>
      <c r="R116" s="313">
        <f t="shared" si="35"/>
        <v>0</v>
      </c>
      <c r="S116" s="313">
        <f t="shared" si="35"/>
        <v>0</v>
      </c>
      <c r="T116" s="313">
        <f t="shared" si="36"/>
        <v>0</v>
      </c>
      <c r="U116" s="313">
        <f t="shared" si="36"/>
        <v>0</v>
      </c>
      <c r="V116" s="313">
        <f t="shared" si="36"/>
        <v>0</v>
      </c>
      <c r="W116" s="313">
        <f t="shared" si="36"/>
        <v>0</v>
      </c>
      <c r="X116" s="313">
        <f t="shared" si="36"/>
        <v>0</v>
      </c>
      <c r="Y116" s="313">
        <f t="shared" si="36"/>
        <v>0</v>
      </c>
      <c r="Z116" s="313">
        <f t="shared" si="36"/>
        <v>0</v>
      </c>
      <c r="AA116" s="328">
        <f t="shared" si="36"/>
        <v>0</v>
      </c>
      <c r="AB116" s="87"/>
      <c r="AC116" s="191"/>
      <c r="AE116" s="193">
        <f t="shared" si="29"/>
        <v>0</v>
      </c>
      <c r="AF116" s="193"/>
    </row>
    <row r="117" spans="1:32" s="20" customFormat="1">
      <c r="A117" s="411"/>
      <c r="C117" s="342">
        <f>+MAX(C$15:C116)+1</f>
        <v>88</v>
      </c>
      <c r="D117" s="237">
        <f>'O&amp;M_Summ'!D73</f>
        <v>584010</v>
      </c>
      <c r="E117" s="112" t="str">
        <f>'O&amp;M_Summ'!E73</f>
        <v>D/OPERS-UNDERGRD, PRIM &amp; S</v>
      </c>
      <c r="F117" s="252"/>
      <c r="G117" s="19">
        <f>INDEX('O&amp;M_Summ'!$F$9:$W$156,MATCH($E117,'O&amp;M_Summ'!$E$9:$E$156,0),MATCH($E$5,'O&amp;M_Summ'!$F$6:$W$6,0))</f>
        <v>211457.4201337978</v>
      </c>
      <c r="H117" s="699" t="s">
        <v>1</v>
      </c>
      <c r="I117" s="165"/>
      <c r="J117" s="313">
        <f t="shared" si="35"/>
        <v>0</v>
      </c>
      <c r="K117" s="313">
        <f t="shared" si="35"/>
        <v>0</v>
      </c>
      <c r="L117" s="313">
        <f t="shared" si="35"/>
        <v>0</v>
      </c>
      <c r="M117" s="313">
        <f t="shared" si="35"/>
        <v>0</v>
      </c>
      <c r="N117" s="313">
        <f t="shared" si="35"/>
        <v>0</v>
      </c>
      <c r="O117" s="313">
        <f t="shared" si="35"/>
        <v>0</v>
      </c>
      <c r="P117" s="313">
        <f t="shared" si="35"/>
        <v>0</v>
      </c>
      <c r="Q117" s="313">
        <f t="shared" si="35"/>
        <v>0</v>
      </c>
      <c r="R117" s="313">
        <f t="shared" si="35"/>
        <v>25575</v>
      </c>
      <c r="S117" s="313">
        <f t="shared" si="35"/>
        <v>85044</v>
      </c>
      <c r="T117" s="313">
        <f t="shared" si="36"/>
        <v>31258</v>
      </c>
      <c r="U117" s="313">
        <f t="shared" si="36"/>
        <v>69581</v>
      </c>
      <c r="V117" s="313">
        <f t="shared" si="36"/>
        <v>0</v>
      </c>
      <c r="W117" s="313">
        <f t="shared" si="36"/>
        <v>0</v>
      </c>
      <c r="X117" s="313">
        <f t="shared" si="36"/>
        <v>0</v>
      </c>
      <c r="Y117" s="313">
        <f t="shared" si="36"/>
        <v>0</v>
      </c>
      <c r="Z117" s="313">
        <f t="shared" si="36"/>
        <v>0</v>
      </c>
      <c r="AA117" s="328">
        <f t="shared" si="36"/>
        <v>0</v>
      </c>
      <c r="AB117" s="87"/>
      <c r="AC117" s="191"/>
      <c r="AE117" s="193">
        <f t="shared" si="29"/>
        <v>0.57986620219890028</v>
      </c>
      <c r="AF117" s="193"/>
    </row>
    <row r="118" spans="1:32" s="20" customFormat="1">
      <c r="A118" s="411"/>
      <c r="C118" s="342">
        <f>+MAX(C$15:C117)+1</f>
        <v>89</v>
      </c>
      <c r="D118" s="237">
        <f>'O&amp;M_Summ'!D74</f>
        <v>586010</v>
      </c>
      <c r="E118" s="112" t="str">
        <f>'O&amp;M_Summ'!E74</f>
        <v>D/OPERS-METER INSTALL EXP</v>
      </c>
      <c r="F118" s="252"/>
      <c r="G118" s="19">
        <f>INDEX('O&amp;M_Summ'!$F$9:$W$156,MATCH($E118,'O&amp;M_Summ'!$E$9:$E$156,0),MATCH($E$5,'O&amp;M_Summ'!$F$6:$W$6,0))</f>
        <v>2705063.5654438548</v>
      </c>
      <c r="H118" s="699" t="s">
        <v>172</v>
      </c>
      <c r="I118" s="165"/>
      <c r="J118" s="313">
        <f t="shared" si="35"/>
        <v>0</v>
      </c>
      <c r="K118" s="313">
        <f t="shared" si="35"/>
        <v>0</v>
      </c>
      <c r="L118" s="313">
        <f t="shared" si="35"/>
        <v>0</v>
      </c>
      <c r="M118" s="313">
        <f t="shared" si="35"/>
        <v>0</v>
      </c>
      <c r="N118" s="313">
        <f t="shared" si="35"/>
        <v>0</v>
      </c>
      <c r="O118" s="313">
        <f t="shared" si="35"/>
        <v>0</v>
      </c>
      <c r="P118" s="313">
        <f t="shared" si="35"/>
        <v>0</v>
      </c>
      <c r="Q118" s="313">
        <f t="shared" si="35"/>
        <v>0</v>
      </c>
      <c r="R118" s="313">
        <f t="shared" si="35"/>
        <v>0</v>
      </c>
      <c r="S118" s="313">
        <f t="shared" si="35"/>
        <v>0</v>
      </c>
      <c r="T118" s="313">
        <f t="shared" si="36"/>
        <v>0</v>
      </c>
      <c r="U118" s="313">
        <f t="shared" si="36"/>
        <v>0</v>
      </c>
      <c r="V118" s="313">
        <f t="shared" si="36"/>
        <v>0</v>
      </c>
      <c r="W118" s="313">
        <f t="shared" si="36"/>
        <v>2705064</v>
      </c>
      <c r="X118" s="313">
        <f t="shared" si="36"/>
        <v>0</v>
      </c>
      <c r="Y118" s="313">
        <f t="shared" si="36"/>
        <v>0</v>
      </c>
      <c r="Z118" s="313">
        <f t="shared" si="36"/>
        <v>0</v>
      </c>
      <c r="AA118" s="328">
        <f t="shared" si="36"/>
        <v>0</v>
      </c>
      <c r="AB118" s="87"/>
      <c r="AC118" s="191"/>
      <c r="AE118" s="193">
        <f t="shared" si="29"/>
        <v>0.43455614522099495</v>
      </c>
      <c r="AF118" s="193"/>
    </row>
    <row r="119" spans="1:32" s="20" customFormat="1">
      <c r="A119" s="411"/>
      <c r="C119" s="342">
        <f>+MAX(C$15:C118)+1</f>
        <v>90</v>
      </c>
      <c r="D119" s="237">
        <f>'O&amp;M_Summ'!D75</f>
        <v>587000</v>
      </c>
      <c r="E119" s="112" t="str">
        <f>'O&amp;M_Summ'!E75</f>
        <v>D/OPERS-CUST INSTALL EXP</v>
      </c>
      <c r="F119" s="252"/>
      <c r="G119" s="19">
        <f>INDEX('O&amp;M_Summ'!$F$9:$W$156,MATCH($E119,'O&amp;M_Summ'!$E$9:$E$156,0),MATCH($E$5,'O&amp;M_Summ'!$F$6:$W$6,0))</f>
        <v>64433.585866952235</v>
      </c>
      <c r="H119" s="699" t="s">
        <v>1066</v>
      </c>
      <c r="I119" s="165"/>
      <c r="J119" s="313">
        <f t="shared" si="35"/>
        <v>0</v>
      </c>
      <c r="K119" s="313">
        <f t="shared" si="35"/>
        <v>0</v>
      </c>
      <c r="L119" s="313">
        <f t="shared" si="35"/>
        <v>0</v>
      </c>
      <c r="M119" s="313">
        <f t="shared" si="35"/>
        <v>11534</v>
      </c>
      <c r="N119" s="313">
        <f t="shared" si="35"/>
        <v>0</v>
      </c>
      <c r="O119" s="313">
        <f t="shared" si="35"/>
        <v>0</v>
      </c>
      <c r="P119" s="313">
        <f t="shared" si="35"/>
        <v>0</v>
      </c>
      <c r="Q119" s="313">
        <f t="shared" si="35"/>
        <v>10277</v>
      </c>
      <c r="R119" s="313">
        <f t="shared" si="35"/>
        <v>3776</v>
      </c>
      <c r="S119" s="313">
        <f t="shared" si="35"/>
        <v>22326</v>
      </c>
      <c r="T119" s="313">
        <f t="shared" si="36"/>
        <v>3041</v>
      </c>
      <c r="U119" s="313">
        <f t="shared" si="36"/>
        <v>7758</v>
      </c>
      <c r="V119" s="313">
        <f t="shared" si="36"/>
        <v>2816</v>
      </c>
      <c r="W119" s="313">
        <f t="shared" si="36"/>
        <v>1965</v>
      </c>
      <c r="X119" s="313">
        <f t="shared" si="36"/>
        <v>0</v>
      </c>
      <c r="Y119" s="313">
        <f t="shared" si="36"/>
        <v>941</v>
      </c>
      <c r="Z119" s="313">
        <f t="shared" si="36"/>
        <v>0</v>
      </c>
      <c r="AA119" s="328">
        <f t="shared" si="36"/>
        <v>0</v>
      </c>
      <c r="AB119" s="87"/>
      <c r="AC119" s="191"/>
      <c r="AE119" s="193">
        <f t="shared" si="29"/>
        <v>0.41413304776506266</v>
      </c>
      <c r="AF119" s="193"/>
    </row>
    <row r="120" spans="1:32" s="20" customFormat="1">
      <c r="A120" s="411"/>
      <c r="C120" s="342">
        <f>+MAX(C$15:C119)+1</f>
        <v>91</v>
      </c>
      <c r="D120" s="237">
        <f>'O&amp;M_Summ'!D76</f>
        <v>588000</v>
      </c>
      <c r="E120" s="112" t="str">
        <f>'O&amp;M_Summ'!E76</f>
        <v>D/OPERS-MISC GEN EXP</v>
      </c>
      <c r="F120" s="252"/>
      <c r="G120" s="19">
        <f>INDEX('O&amp;M_Summ'!$F$9:$W$156,MATCH($E120,'O&amp;M_Summ'!$E$9:$E$156,0),MATCH($E$5,'O&amp;M_Summ'!$F$6:$W$6,0))</f>
        <v>7773926.7348932307</v>
      </c>
      <c r="H120" s="699" t="s">
        <v>1066</v>
      </c>
      <c r="I120" s="165"/>
      <c r="J120" s="313">
        <f t="shared" si="35"/>
        <v>0</v>
      </c>
      <c r="K120" s="313">
        <f t="shared" si="35"/>
        <v>0</v>
      </c>
      <c r="L120" s="313">
        <f t="shared" si="35"/>
        <v>0</v>
      </c>
      <c r="M120" s="313">
        <f t="shared" si="35"/>
        <v>1391533</v>
      </c>
      <c r="N120" s="313">
        <f t="shared" si="35"/>
        <v>0</v>
      </c>
      <c r="O120" s="313">
        <f t="shared" si="35"/>
        <v>0</v>
      </c>
      <c r="P120" s="313">
        <f t="shared" si="35"/>
        <v>0</v>
      </c>
      <c r="Q120" s="313">
        <f t="shared" si="35"/>
        <v>1239941</v>
      </c>
      <c r="R120" s="313">
        <f t="shared" si="35"/>
        <v>455552</v>
      </c>
      <c r="S120" s="313">
        <f t="shared" si="35"/>
        <v>2693666</v>
      </c>
      <c r="T120" s="313">
        <f t="shared" si="36"/>
        <v>366929</v>
      </c>
      <c r="U120" s="313">
        <f t="shared" si="36"/>
        <v>935981</v>
      </c>
      <c r="V120" s="313">
        <f t="shared" si="36"/>
        <v>339721</v>
      </c>
      <c r="W120" s="313">
        <f t="shared" si="36"/>
        <v>237105</v>
      </c>
      <c r="X120" s="313">
        <f t="shared" si="36"/>
        <v>0</v>
      </c>
      <c r="Y120" s="313">
        <f t="shared" si="36"/>
        <v>113499</v>
      </c>
      <c r="Z120" s="313">
        <f t="shared" si="36"/>
        <v>0</v>
      </c>
      <c r="AA120" s="328">
        <f t="shared" si="36"/>
        <v>0</v>
      </c>
      <c r="AB120" s="87"/>
      <c r="AC120" s="191"/>
      <c r="AE120" s="193">
        <f t="shared" ref="AE120:AE151" si="37">SUM(J120:AA120)-G120</f>
        <v>0.26510676927864552</v>
      </c>
      <c r="AF120" s="193"/>
    </row>
    <row r="121" spans="1:32" s="20" customFormat="1">
      <c r="A121" s="411"/>
      <c r="C121" s="342">
        <f>+MAX(C$15:C120)+1</f>
        <v>92</v>
      </c>
      <c r="D121" s="237">
        <f>'O&amp;M_Summ'!D77</f>
        <v>588030</v>
      </c>
      <c r="E121" s="112" t="str">
        <f>'O&amp;M_Summ'!E77</f>
        <v>D/OPERS-MISC-EDP</v>
      </c>
      <c r="F121" s="252"/>
      <c r="G121" s="19">
        <f>INDEX('O&amp;M_Summ'!$F$9:$W$156,MATCH($E121,'O&amp;M_Summ'!$E$9:$E$156,0),MATCH($E$5,'O&amp;M_Summ'!$F$6:$W$6,0))</f>
        <v>72129.092713803955</v>
      </c>
      <c r="H121" s="699" t="s">
        <v>1066</v>
      </c>
      <c r="I121" s="165"/>
      <c r="J121" s="313">
        <f t="shared" ref="J121:S129" si="38">+ROUND($G121*SUMIF($E$260:$E$302,$H121,J$260:J$302),$AD$10)</f>
        <v>0</v>
      </c>
      <c r="K121" s="313">
        <f t="shared" si="38"/>
        <v>0</v>
      </c>
      <c r="L121" s="313">
        <f t="shared" si="38"/>
        <v>0</v>
      </c>
      <c r="M121" s="313">
        <f t="shared" si="38"/>
        <v>12911</v>
      </c>
      <c r="N121" s="313">
        <f t="shared" si="38"/>
        <v>0</v>
      </c>
      <c r="O121" s="313">
        <f t="shared" si="38"/>
        <v>0</v>
      </c>
      <c r="P121" s="313">
        <f t="shared" si="38"/>
        <v>0</v>
      </c>
      <c r="Q121" s="313">
        <f t="shared" si="38"/>
        <v>11505</v>
      </c>
      <c r="R121" s="313">
        <f t="shared" si="38"/>
        <v>4227</v>
      </c>
      <c r="S121" s="313">
        <f t="shared" si="38"/>
        <v>24993</v>
      </c>
      <c r="T121" s="313">
        <f t="shared" ref="T121:AA129" si="39">+ROUND($G121*SUMIF($E$260:$E$302,$H121,T$260:T$302),$AD$10)</f>
        <v>3404</v>
      </c>
      <c r="U121" s="313">
        <f t="shared" si="39"/>
        <v>8684</v>
      </c>
      <c r="V121" s="313">
        <f t="shared" si="39"/>
        <v>3152</v>
      </c>
      <c r="W121" s="313">
        <f t="shared" si="39"/>
        <v>2200</v>
      </c>
      <c r="X121" s="313">
        <f t="shared" si="39"/>
        <v>0</v>
      </c>
      <c r="Y121" s="313">
        <f t="shared" si="39"/>
        <v>1053</v>
      </c>
      <c r="Z121" s="313">
        <f t="shared" si="39"/>
        <v>0</v>
      </c>
      <c r="AA121" s="328">
        <f t="shared" si="39"/>
        <v>0</v>
      </c>
      <c r="AB121" s="87"/>
      <c r="AC121" s="191"/>
      <c r="AE121" s="193">
        <f t="shared" si="37"/>
        <v>-9.2713803955120966E-2</v>
      </c>
      <c r="AF121" s="193"/>
    </row>
    <row r="122" spans="1:32" s="20" customFormat="1">
      <c r="A122" s="411"/>
      <c r="C122" s="342">
        <f>+MAX(C$15:C121)+1</f>
        <v>93</v>
      </c>
      <c r="D122" s="237">
        <f>'O&amp;M_Summ'!D78</f>
        <v>590000</v>
      </c>
      <c r="E122" s="112" t="str">
        <f>'O&amp;M_Summ'!E78</f>
        <v>D/MAINT-SUPV &amp; ENG</v>
      </c>
      <c r="F122" s="252"/>
      <c r="G122" s="19">
        <f>INDEX('O&amp;M_Summ'!$F$9:$W$156,MATCH($E122,'O&amp;M_Summ'!$E$9:$E$156,0),MATCH($E$5,'O&amp;M_Summ'!$F$6:$W$6,0))</f>
        <v>470272.89719930821</v>
      </c>
      <c r="H122" s="699" t="s">
        <v>1066</v>
      </c>
      <c r="I122" s="165"/>
      <c r="J122" s="313">
        <f t="shared" si="38"/>
        <v>0</v>
      </c>
      <c r="K122" s="313">
        <f t="shared" si="38"/>
        <v>0</v>
      </c>
      <c r="L122" s="313">
        <f t="shared" si="38"/>
        <v>0</v>
      </c>
      <c r="M122" s="313">
        <f t="shared" si="38"/>
        <v>84179</v>
      </c>
      <c r="N122" s="313">
        <f t="shared" si="38"/>
        <v>0</v>
      </c>
      <c r="O122" s="313">
        <f t="shared" si="38"/>
        <v>0</v>
      </c>
      <c r="P122" s="313">
        <f t="shared" si="38"/>
        <v>0</v>
      </c>
      <c r="Q122" s="313">
        <f t="shared" si="38"/>
        <v>75009</v>
      </c>
      <c r="R122" s="313">
        <f t="shared" si="38"/>
        <v>27558</v>
      </c>
      <c r="S122" s="313">
        <f t="shared" si="38"/>
        <v>162950</v>
      </c>
      <c r="T122" s="313">
        <f t="shared" si="39"/>
        <v>22197</v>
      </c>
      <c r="U122" s="313">
        <f t="shared" si="39"/>
        <v>56621</v>
      </c>
      <c r="V122" s="313">
        <f t="shared" si="39"/>
        <v>20551</v>
      </c>
      <c r="W122" s="313">
        <f t="shared" si="39"/>
        <v>14343</v>
      </c>
      <c r="X122" s="313">
        <f t="shared" si="39"/>
        <v>0</v>
      </c>
      <c r="Y122" s="313">
        <f t="shared" si="39"/>
        <v>6866</v>
      </c>
      <c r="Z122" s="313">
        <f t="shared" si="39"/>
        <v>0</v>
      </c>
      <c r="AA122" s="328">
        <f t="shared" si="39"/>
        <v>0</v>
      </c>
      <c r="AB122" s="87"/>
      <c r="AC122" s="191"/>
      <c r="AE122" s="193">
        <f t="shared" si="37"/>
        <v>1.1028006917913444</v>
      </c>
      <c r="AF122" s="193"/>
    </row>
    <row r="123" spans="1:32" s="20" customFormat="1">
      <c r="A123" s="411"/>
      <c r="C123" s="342">
        <f>+MAX(C$15:C122)+1</f>
        <v>94</v>
      </c>
      <c r="D123" s="237">
        <f>'O&amp;M_Summ'!D79</f>
        <v>592000</v>
      </c>
      <c r="E123" s="112" t="str">
        <f>'O&amp;M_Summ'!E79</f>
        <v>D/MAINT-STATION EQUIPMT</v>
      </c>
      <c r="F123" s="252"/>
      <c r="G123" s="19">
        <f>INDEX('O&amp;M_Summ'!$F$9:$W$156,MATCH($E123,'O&amp;M_Summ'!$E$9:$E$156,0),MATCH($E$5,'O&amp;M_Summ'!$F$6:$W$6,0))</f>
        <v>2359614.9980782904</v>
      </c>
      <c r="H123" s="699" t="s">
        <v>2645</v>
      </c>
      <c r="I123" s="165"/>
      <c r="J123" s="313">
        <f t="shared" si="38"/>
        <v>0</v>
      </c>
      <c r="K123" s="313">
        <f t="shared" si="38"/>
        <v>0</v>
      </c>
      <c r="L123" s="313">
        <f t="shared" si="38"/>
        <v>0</v>
      </c>
      <c r="M123" s="313">
        <f t="shared" si="38"/>
        <v>1482609</v>
      </c>
      <c r="N123" s="313">
        <f t="shared" si="38"/>
        <v>877006</v>
      </c>
      <c r="O123" s="313">
        <f t="shared" si="38"/>
        <v>0</v>
      </c>
      <c r="P123" s="313">
        <f t="shared" si="38"/>
        <v>0</v>
      </c>
      <c r="Q123" s="313">
        <f t="shared" si="38"/>
        <v>0</v>
      </c>
      <c r="R123" s="313">
        <f t="shared" si="38"/>
        <v>0</v>
      </c>
      <c r="S123" s="313">
        <f t="shared" si="38"/>
        <v>0</v>
      </c>
      <c r="T123" s="313">
        <f t="shared" si="39"/>
        <v>0</v>
      </c>
      <c r="U123" s="313">
        <f t="shared" si="39"/>
        <v>0</v>
      </c>
      <c r="V123" s="313">
        <f t="shared" si="39"/>
        <v>0</v>
      </c>
      <c r="W123" s="313">
        <f t="shared" si="39"/>
        <v>0</v>
      </c>
      <c r="X123" s="313">
        <f t="shared" si="39"/>
        <v>0</v>
      </c>
      <c r="Y123" s="313">
        <f t="shared" si="39"/>
        <v>0</v>
      </c>
      <c r="Z123" s="313">
        <f t="shared" si="39"/>
        <v>0</v>
      </c>
      <c r="AA123" s="328">
        <f t="shared" si="39"/>
        <v>0</v>
      </c>
      <c r="AB123" s="87"/>
      <c r="AC123" s="191"/>
      <c r="AE123" s="193">
        <f t="shared" si="37"/>
        <v>1.9217096269130707E-3</v>
      </c>
      <c r="AF123" s="193"/>
    </row>
    <row r="124" spans="1:32" s="20" customFormat="1">
      <c r="A124" s="411"/>
      <c r="C124" s="342">
        <f>+MAX(C$15:C123)+1</f>
        <v>95</v>
      </c>
      <c r="D124" s="237">
        <f>'O&amp;M_Summ'!D80</f>
        <v>593000</v>
      </c>
      <c r="E124" s="112" t="str">
        <f>'O&amp;M_Summ'!E80</f>
        <v>D/MAINT-OH LINE, FIBER O&amp;M</v>
      </c>
      <c r="F124" s="252"/>
      <c r="G124" s="19">
        <f>INDEX('O&amp;M_Summ'!$F$9:$W$156,MATCH($E124,'O&amp;M_Summ'!$E$9:$E$156,0),MATCH($E$5,'O&amp;M_Summ'!$F$6:$W$6,0))</f>
        <v>0</v>
      </c>
      <c r="H124" s="699" t="s">
        <v>0</v>
      </c>
      <c r="I124" s="165"/>
      <c r="J124" s="313">
        <f t="shared" si="38"/>
        <v>0</v>
      </c>
      <c r="K124" s="313">
        <f t="shared" si="38"/>
        <v>0</v>
      </c>
      <c r="L124" s="313">
        <f t="shared" si="38"/>
        <v>0</v>
      </c>
      <c r="M124" s="313">
        <f t="shared" si="38"/>
        <v>0</v>
      </c>
      <c r="N124" s="313">
        <f t="shared" si="38"/>
        <v>0</v>
      </c>
      <c r="O124" s="313">
        <f t="shared" si="38"/>
        <v>0</v>
      </c>
      <c r="P124" s="313">
        <f t="shared" si="38"/>
        <v>0</v>
      </c>
      <c r="Q124" s="313">
        <f t="shared" si="38"/>
        <v>0</v>
      </c>
      <c r="R124" s="313">
        <f t="shared" si="38"/>
        <v>0</v>
      </c>
      <c r="S124" s="313">
        <f t="shared" si="38"/>
        <v>0</v>
      </c>
      <c r="T124" s="313">
        <f t="shared" si="39"/>
        <v>0</v>
      </c>
      <c r="U124" s="313">
        <f t="shared" si="39"/>
        <v>0</v>
      </c>
      <c r="V124" s="313">
        <f t="shared" si="39"/>
        <v>0</v>
      </c>
      <c r="W124" s="313">
        <f t="shared" si="39"/>
        <v>0</v>
      </c>
      <c r="X124" s="313">
        <f t="shared" si="39"/>
        <v>0</v>
      </c>
      <c r="Y124" s="313">
        <f t="shared" si="39"/>
        <v>0</v>
      </c>
      <c r="Z124" s="313">
        <f t="shared" si="39"/>
        <v>0</v>
      </c>
      <c r="AA124" s="328">
        <f t="shared" si="39"/>
        <v>0</v>
      </c>
      <c r="AB124" s="87"/>
      <c r="AC124" s="191"/>
      <c r="AE124" s="193">
        <f t="shared" si="37"/>
        <v>0</v>
      </c>
      <c r="AF124" s="193"/>
    </row>
    <row r="125" spans="1:32" s="20" customFormat="1">
      <c r="A125" s="411"/>
      <c r="C125" s="342">
        <f>+MAX(C$15:C124)+1</f>
        <v>96</v>
      </c>
      <c r="D125" s="237">
        <f>'O&amp;M_Summ'!D81</f>
        <v>593010</v>
      </c>
      <c r="E125" s="112" t="str">
        <f>'O&amp;M_Summ'!E81</f>
        <v>D/MAINT-OH LINE, GEN</v>
      </c>
      <c r="F125" s="252"/>
      <c r="G125" s="19">
        <f>INDEX('O&amp;M_Summ'!$F$9:$W$156,MATCH($E125,'O&amp;M_Summ'!$E$9:$E$156,0),MATCH($E$5,'O&amp;M_Summ'!$F$6:$W$6,0))</f>
        <v>176099.53246972532</v>
      </c>
      <c r="H125" s="699" t="s">
        <v>0</v>
      </c>
      <c r="I125" s="165"/>
      <c r="J125" s="313">
        <f t="shared" si="38"/>
        <v>0</v>
      </c>
      <c r="K125" s="313">
        <f t="shared" si="38"/>
        <v>0</v>
      </c>
      <c r="L125" s="313">
        <f t="shared" si="38"/>
        <v>0</v>
      </c>
      <c r="M125" s="313">
        <f t="shared" si="38"/>
        <v>0</v>
      </c>
      <c r="N125" s="313">
        <f t="shared" si="38"/>
        <v>0</v>
      </c>
      <c r="O125" s="313">
        <f t="shared" si="38"/>
        <v>0</v>
      </c>
      <c r="P125" s="313">
        <f t="shared" si="38"/>
        <v>0</v>
      </c>
      <c r="Q125" s="313">
        <f t="shared" si="38"/>
        <v>0</v>
      </c>
      <c r="R125" s="313">
        <f t="shared" si="38"/>
        <v>15837</v>
      </c>
      <c r="S125" s="313">
        <f t="shared" si="38"/>
        <v>130454</v>
      </c>
      <c r="T125" s="313">
        <f t="shared" si="39"/>
        <v>6787</v>
      </c>
      <c r="U125" s="313">
        <f t="shared" si="39"/>
        <v>23021</v>
      </c>
      <c r="V125" s="313">
        <f t="shared" si="39"/>
        <v>0</v>
      </c>
      <c r="W125" s="313">
        <f t="shared" si="39"/>
        <v>0</v>
      </c>
      <c r="X125" s="313">
        <f t="shared" si="39"/>
        <v>0</v>
      </c>
      <c r="Y125" s="313">
        <f t="shared" si="39"/>
        <v>0</v>
      </c>
      <c r="Z125" s="313">
        <f t="shared" si="39"/>
        <v>0</v>
      </c>
      <c r="AA125" s="328">
        <f t="shared" si="39"/>
        <v>0</v>
      </c>
      <c r="AB125" s="87"/>
      <c r="AC125" s="191"/>
      <c r="AE125" s="193">
        <f t="shared" si="37"/>
        <v>-0.53246972532360815</v>
      </c>
    </row>
    <row r="126" spans="1:32" s="20" customFormat="1">
      <c r="A126" s="411"/>
      <c r="C126" s="342">
        <f>+MAX(C$15:C125)+1</f>
        <v>97</v>
      </c>
      <c r="D126" s="237">
        <f>'O&amp;M_Summ'!D82</f>
        <v>594010</v>
      </c>
      <c r="E126" s="112" t="str">
        <f>'O&amp;M_Summ'!E82</f>
        <v>D/MAINT-UNDERGRD, PRIM &amp; SEC</v>
      </c>
      <c r="F126" s="252"/>
      <c r="G126" s="19">
        <f>INDEX('O&amp;M_Summ'!$F$9:$W$156,MATCH($E126,'O&amp;M_Summ'!$E$9:$E$156,0),MATCH($E$5,'O&amp;M_Summ'!$F$6:$W$6,0))</f>
        <v>0</v>
      </c>
      <c r="H126" s="699" t="s">
        <v>1</v>
      </c>
      <c r="I126" s="165"/>
      <c r="J126" s="313">
        <f t="shared" si="38"/>
        <v>0</v>
      </c>
      <c r="K126" s="313">
        <f t="shared" si="38"/>
        <v>0</v>
      </c>
      <c r="L126" s="313">
        <f t="shared" si="38"/>
        <v>0</v>
      </c>
      <c r="M126" s="313">
        <f t="shared" si="38"/>
        <v>0</v>
      </c>
      <c r="N126" s="313">
        <f t="shared" si="38"/>
        <v>0</v>
      </c>
      <c r="O126" s="313">
        <f t="shared" si="38"/>
        <v>0</v>
      </c>
      <c r="P126" s="313">
        <f t="shared" si="38"/>
        <v>0</v>
      </c>
      <c r="Q126" s="313">
        <f t="shared" si="38"/>
        <v>0</v>
      </c>
      <c r="R126" s="313">
        <f t="shared" si="38"/>
        <v>0</v>
      </c>
      <c r="S126" s="313">
        <f t="shared" si="38"/>
        <v>0</v>
      </c>
      <c r="T126" s="313">
        <f t="shared" si="39"/>
        <v>0</v>
      </c>
      <c r="U126" s="313">
        <f t="shared" si="39"/>
        <v>0</v>
      </c>
      <c r="V126" s="313">
        <f t="shared" si="39"/>
        <v>0</v>
      </c>
      <c r="W126" s="313">
        <f t="shared" si="39"/>
        <v>0</v>
      </c>
      <c r="X126" s="313">
        <f t="shared" si="39"/>
        <v>0</v>
      </c>
      <c r="Y126" s="313">
        <f t="shared" si="39"/>
        <v>0</v>
      </c>
      <c r="Z126" s="313">
        <f t="shared" si="39"/>
        <v>0</v>
      </c>
      <c r="AA126" s="328">
        <f t="shared" si="39"/>
        <v>0</v>
      </c>
      <c r="AB126" s="87"/>
      <c r="AC126" s="191"/>
      <c r="AE126" s="193">
        <f t="shared" si="37"/>
        <v>0</v>
      </c>
    </row>
    <row r="127" spans="1:32" s="20" customFormat="1">
      <c r="A127" s="411"/>
      <c r="C127" s="342">
        <f>+MAX(C$15:C126)+1</f>
        <v>98</v>
      </c>
      <c r="D127" s="237">
        <f>'O&amp;M_Summ'!D83</f>
        <v>595000</v>
      </c>
      <c r="E127" s="112" t="str">
        <f>'O&amp;M_Summ'!E83</f>
        <v>D/MAINT-LINE TRANSFORMERS</v>
      </c>
      <c r="F127" s="252"/>
      <c r="G127" s="19">
        <f>INDEX('O&amp;M_Summ'!$F$9:$W$156,MATCH($E127,'O&amp;M_Summ'!$E$9:$E$156,0),MATCH($E$5,'O&amp;M_Summ'!$F$6:$W$6,0))</f>
        <v>0</v>
      </c>
      <c r="H127" s="699" t="s">
        <v>2</v>
      </c>
      <c r="I127" s="165"/>
      <c r="J127" s="313">
        <f t="shared" si="38"/>
        <v>0</v>
      </c>
      <c r="K127" s="313">
        <f t="shared" si="38"/>
        <v>0</v>
      </c>
      <c r="L127" s="313">
        <f t="shared" si="38"/>
        <v>0</v>
      </c>
      <c r="M127" s="313">
        <f t="shared" si="38"/>
        <v>0</v>
      </c>
      <c r="N127" s="313">
        <f t="shared" si="38"/>
        <v>0</v>
      </c>
      <c r="O127" s="313">
        <f t="shared" si="38"/>
        <v>0</v>
      </c>
      <c r="P127" s="313">
        <f t="shared" si="38"/>
        <v>0</v>
      </c>
      <c r="Q127" s="313">
        <f t="shared" si="38"/>
        <v>0</v>
      </c>
      <c r="R127" s="313">
        <f t="shared" si="38"/>
        <v>0</v>
      </c>
      <c r="S127" s="313">
        <f t="shared" si="38"/>
        <v>0</v>
      </c>
      <c r="T127" s="313">
        <f t="shared" si="39"/>
        <v>0</v>
      </c>
      <c r="U127" s="313">
        <f t="shared" si="39"/>
        <v>0</v>
      </c>
      <c r="V127" s="313">
        <f t="shared" si="39"/>
        <v>0</v>
      </c>
      <c r="W127" s="313">
        <f t="shared" si="39"/>
        <v>0</v>
      </c>
      <c r="X127" s="313">
        <f t="shared" si="39"/>
        <v>0</v>
      </c>
      <c r="Y127" s="313">
        <f t="shared" si="39"/>
        <v>0</v>
      </c>
      <c r="Z127" s="313">
        <f t="shared" si="39"/>
        <v>0</v>
      </c>
      <c r="AA127" s="328">
        <f t="shared" si="39"/>
        <v>0</v>
      </c>
      <c r="AB127" s="87"/>
      <c r="AC127" s="191"/>
      <c r="AE127" s="193">
        <f t="shared" si="37"/>
        <v>0</v>
      </c>
    </row>
    <row r="128" spans="1:32" s="20" customFormat="1">
      <c r="A128" s="411"/>
      <c r="C128" s="342">
        <f>+MAX(C$15:C127)+1</f>
        <v>99</v>
      </c>
      <c r="D128" s="237">
        <f>'O&amp;M_Summ'!D84</f>
        <v>596010</v>
      </c>
      <c r="E128" s="112" t="str">
        <f>'O&amp;M_Summ'!E84</f>
        <v>D/MAINT-OVERHD STREET LIGHTING</v>
      </c>
      <c r="F128" s="252"/>
      <c r="G128" s="19">
        <f>INDEX('O&amp;M_Summ'!$F$9:$W$156,MATCH($E128,'O&amp;M_Summ'!$E$9:$E$156,0),MATCH($E$5,'O&amp;M_Summ'!$F$6:$W$6,0))</f>
        <v>11785.873880125786</v>
      </c>
      <c r="H128" s="699" t="s">
        <v>468</v>
      </c>
      <c r="I128" s="165"/>
      <c r="J128" s="313">
        <f t="shared" si="38"/>
        <v>0</v>
      </c>
      <c r="K128" s="313">
        <f t="shared" si="38"/>
        <v>0</v>
      </c>
      <c r="L128" s="313">
        <f t="shared" si="38"/>
        <v>0</v>
      </c>
      <c r="M128" s="313">
        <f t="shared" si="38"/>
        <v>0</v>
      </c>
      <c r="N128" s="313">
        <f t="shared" si="38"/>
        <v>0</v>
      </c>
      <c r="O128" s="313">
        <f t="shared" si="38"/>
        <v>0</v>
      </c>
      <c r="P128" s="313">
        <f t="shared" si="38"/>
        <v>0</v>
      </c>
      <c r="Q128" s="313">
        <f t="shared" si="38"/>
        <v>0</v>
      </c>
      <c r="R128" s="313">
        <f t="shared" si="38"/>
        <v>0</v>
      </c>
      <c r="S128" s="313">
        <f t="shared" si="38"/>
        <v>0</v>
      </c>
      <c r="T128" s="313">
        <f t="shared" si="39"/>
        <v>0</v>
      </c>
      <c r="U128" s="313">
        <f t="shared" si="39"/>
        <v>0</v>
      </c>
      <c r="V128" s="313">
        <f t="shared" si="39"/>
        <v>0</v>
      </c>
      <c r="W128" s="313">
        <f t="shared" si="39"/>
        <v>0</v>
      </c>
      <c r="X128" s="313">
        <f t="shared" si="39"/>
        <v>0</v>
      </c>
      <c r="Y128" s="313">
        <f t="shared" si="39"/>
        <v>11786</v>
      </c>
      <c r="Z128" s="313">
        <f t="shared" si="39"/>
        <v>0</v>
      </c>
      <c r="AA128" s="328">
        <f t="shared" si="39"/>
        <v>0</v>
      </c>
      <c r="AB128" s="87"/>
      <c r="AC128" s="191"/>
      <c r="AE128" s="193">
        <f t="shared" si="37"/>
        <v>0.12611987421405502</v>
      </c>
    </row>
    <row r="129" spans="1:33" s="20" customFormat="1" ht="16.5" thickBot="1">
      <c r="A129" s="411"/>
      <c r="C129" s="342">
        <f>+MAX(C$15:C128)+1</f>
        <v>100</v>
      </c>
      <c r="D129" s="237">
        <f>'O&amp;M_Summ'!D85</f>
        <v>597000</v>
      </c>
      <c r="E129" s="112" t="str">
        <f>'O&amp;M_Summ'!E85</f>
        <v>D/MAINT-METERS</v>
      </c>
      <c r="F129" s="252"/>
      <c r="G129" s="19">
        <f>INDEX('O&amp;M_Summ'!$F$9:$W$156,MATCH($E129,'O&amp;M_Summ'!$E$9:$E$156,0),MATCH($E$5,'O&amp;M_Summ'!$F$6:$W$6,0))</f>
        <v>0</v>
      </c>
      <c r="H129" s="700" t="s">
        <v>172</v>
      </c>
      <c r="I129" s="165"/>
      <c r="J129" s="313">
        <f t="shared" si="38"/>
        <v>0</v>
      </c>
      <c r="K129" s="313">
        <f t="shared" si="38"/>
        <v>0</v>
      </c>
      <c r="L129" s="313">
        <f t="shared" si="38"/>
        <v>0</v>
      </c>
      <c r="M129" s="313">
        <f t="shared" si="38"/>
        <v>0</v>
      </c>
      <c r="N129" s="313">
        <f t="shared" si="38"/>
        <v>0</v>
      </c>
      <c r="O129" s="313">
        <f t="shared" si="38"/>
        <v>0</v>
      </c>
      <c r="P129" s="313">
        <f t="shared" si="38"/>
        <v>0</v>
      </c>
      <c r="Q129" s="313">
        <f t="shared" si="38"/>
        <v>0</v>
      </c>
      <c r="R129" s="313">
        <f t="shared" si="38"/>
        <v>0</v>
      </c>
      <c r="S129" s="313">
        <f t="shared" si="38"/>
        <v>0</v>
      </c>
      <c r="T129" s="313">
        <f t="shared" si="39"/>
        <v>0</v>
      </c>
      <c r="U129" s="313">
        <f t="shared" si="39"/>
        <v>0</v>
      </c>
      <c r="V129" s="313">
        <f t="shared" si="39"/>
        <v>0</v>
      </c>
      <c r="W129" s="313">
        <f t="shared" si="39"/>
        <v>0</v>
      </c>
      <c r="X129" s="313">
        <f t="shared" si="39"/>
        <v>0</v>
      </c>
      <c r="Y129" s="313">
        <f t="shared" si="39"/>
        <v>0</v>
      </c>
      <c r="Z129" s="313">
        <f t="shared" si="39"/>
        <v>0</v>
      </c>
      <c r="AA129" s="328">
        <f t="shared" si="39"/>
        <v>0</v>
      </c>
      <c r="AB129" s="87"/>
      <c r="AC129" s="191"/>
      <c r="AE129" s="193">
        <f t="shared" si="37"/>
        <v>0</v>
      </c>
    </row>
    <row r="130" spans="1:33" s="20" customFormat="1">
      <c r="A130" s="411"/>
      <c r="C130" s="342">
        <f>+MAX(C$15:C129)+1</f>
        <v>101</v>
      </c>
      <c r="D130" s="593"/>
      <c r="E130" s="255" t="str">
        <f>'O&amp;M_Summ'!E86</f>
        <v>Total Dist Electrical</v>
      </c>
      <c r="F130" s="255"/>
      <c r="G130" s="324">
        <f>SUM(G111:G129)</f>
        <v>18493525.052538324</v>
      </c>
      <c r="H130" s="165"/>
      <c r="I130" s="165"/>
      <c r="J130" s="324">
        <f t="shared" ref="J130:AA130" si="40">SUM(J111:J129)</f>
        <v>0</v>
      </c>
      <c r="K130" s="324">
        <f t="shared" ref="K130:Q130" si="41">SUM(K111:K129)</f>
        <v>0</v>
      </c>
      <c r="L130" s="324">
        <f t="shared" si="41"/>
        <v>0</v>
      </c>
      <c r="M130" s="324">
        <f t="shared" si="41"/>
        <v>4498901</v>
      </c>
      <c r="N130" s="324">
        <f t="shared" si="41"/>
        <v>877006</v>
      </c>
      <c r="O130" s="324">
        <f t="shared" si="41"/>
        <v>0</v>
      </c>
      <c r="P130" s="324">
        <f t="shared" si="41"/>
        <v>0</v>
      </c>
      <c r="Q130" s="324">
        <f t="shared" si="41"/>
        <v>1366053</v>
      </c>
      <c r="R130" s="324">
        <f t="shared" si="40"/>
        <v>828408</v>
      </c>
      <c r="S130" s="324">
        <f t="shared" si="40"/>
        <v>5206950</v>
      </c>
      <c r="T130" s="324">
        <f t="shared" si="40"/>
        <v>616848</v>
      </c>
      <c r="U130" s="324">
        <f t="shared" si="40"/>
        <v>1621976</v>
      </c>
      <c r="V130" s="324">
        <f t="shared" si="40"/>
        <v>374273</v>
      </c>
      <c r="W130" s="324">
        <f t="shared" si="40"/>
        <v>2966284</v>
      </c>
      <c r="X130" s="324">
        <f t="shared" si="40"/>
        <v>0</v>
      </c>
      <c r="Y130" s="324">
        <f t="shared" si="40"/>
        <v>136829</v>
      </c>
      <c r="Z130" s="324">
        <f t="shared" si="40"/>
        <v>0</v>
      </c>
      <c r="AA130" s="324">
        <f t="shared" si="40"/>
        <v>0</v>
      </c>
      <c r="AB130" s="87"/>
      <c r="AC130" s="191"/>
      <c r="AE130" s="193">
        <f t="shared" si="37"/>
        <v>2.9474616758525372</v>
      </c>
    </row>
    <row r="131" spans="1:33" s="20" customFormat="1" ht="5.25" customHeight="1">
      <c r="A131" s="411"/>
      <c r="C131" s="342"/>
      <c r="D131" s="252"/>
      <c r="E131" s="255"/>
      <c r="F131" s="255"/>
      <c r="G131" s="343"/>
      <c r="H131" s="165"/>
      <c r="I131" s="165"/>
      <c r="J131" s="17"/>
      <c r="K131" s="17"/>
      <c r="L131" s="17"/>
      <c r="M131" s="17"/>
      <c r="N131" s="17"/>
      <c r="O131" s="17"/>
      <c r="P131" s="17"/>
      <c r="Q131" s="17"/>
      <c r="R131" s="17"/>
      <c r="S131" s="17"/>
      <c r="T131" s="17"/>
      <c r="U131" s="17"/>
      <c r="V131" s="17"/>
      <c r="W131" s="17"/>
      <c r="X131" s="17"/>
      <c r="Y131" s="17"/>
      <c r="Z131" s="17"/>
      <c r="AA131" s="325"/>
      <c r="AB131" s="87"/>
      <c r="AC131" s="191"/>
      <c r="AE131" s="193">
        <f t="shared" si="37"/>
        <v>0</v>
      </c>
    </row>
    <row r="132" spans="1:33" s="20" customFormat="1" ht="16.5" thickBot="1">
      <c r="A132" s="411"/>
      <c r="C132" s="342">
        <f>+MAX(C$15:C131)+1</f>
        <v>102</v>
      </c>
      <c r="D132" s="252"/>
      <c r="E132" s="246" t="s">
        <v>983</v>
      </c>
      <c r="F132" s="246"/>
      <c r="G132" s="343"/>
      <c r="H132" s="165"/>
      <c r="I132" s="165"/>
      <c r="J132" s="17"/>
      <c r="K132" s="17"/>
      <c r="L132" s="17"/>
      <c r="M132" s="17"/>
      <c r="N132" s="17"/>
      <c r="O132" s="17"/>
      <c r="P132" s="17"/>
      <c r="Q132" s="17"/>
      <c r="R132" s="17"/>
      <c r="S132" s="17"/>
      <c r="T132" s="17"/>
      <c r="U132" s="17"/>
      <c r="V132" s="17"/>
      <c r="W132" s="17"/>
      <c r="X132" s="17"/>
      <c r="Y132" s="17"/>
      <c r="Z132" s="17"/>
      <c r="AA132" s="325"/>
      <c r="AB132" s="87"/>
      <c r="AC132" s="191"/>
      <c r="AE132" s="193">
        <f t="shared" si="37"/>
        <v>0</v>
      </c>
    </row>
    <row r="133" spans="1:33" s="20" customFormat="1">
      <c r="A133" s="411"/>
      <c r="C133" s="342">
        <f>+MAX(C$15:C132)+1</f>
        <v>103</v>
      </c>
      <c r="D133" s="165">
        <f>'O&amp;M_Summ'!D89</f>
        <v>935803</v>
      </c>
      <c r="E133" s="252" t="str">
        <f>'O&amp;M_Summ'!E89</f>
        <v>WFON-AERIAL</v>
      </c>
      <c r="F133" s="252"/>
      <c r="G133" s="308">
        <f>INDEX('O&amp;M_Summ'!$F$9:$W$156,MATCH($E133,'O&amp;M_Summ'!$E$9:$E$156,0),MATCH($E$5,'O&amp;M_Summ'!$F$6:$W$6,0))</f>
        <v>0</v>
      </c>
      <c r="H133" s="80" t="s">
        <v>1066</v>
      </c>
      <c r="I133" s="165"/>
      <c r="J133" s="313">
        <f t="shared" ref="J133:S134" si="42">+ROUND($G133*SUMIF($E$260:$E$302,$H133,J$260:J$302),$AD$10)</f>
        <v>0</v>
      </c>
      <c r="K133" s="313">
        <f t="shared" si="42"/>
        <v>0</v>
      </c>
      <c r="L133" s="313">
        <f t="shared" si="42"/>
        <v>0</v>
      </c>
      <c r="M133" s="313">
        <f t="shared" si="42"/>
        <v>0</v>
      </c>
      <c r="N133" s="313">
        <f t="shared" si="42"/>
        <v>0</v>
      </c>
      <c r="O133" s="313">
        <f t="shared" si="42"/>
        <v>0</v>
      </c>
      <c r="P133" s="313">
        <f t="shared" si="42"/>
        <v>0</v>
      </c>
      <c r="Q133" s="313">
        <f t="shared" si="42"/>
        <v>0</v>
      </c>
      <c r="R133" s="313">
        <f t="shared" si="42"/>
        <v>0</v>
      </c>
      <c r="S133" s="313">
        <f t="shared" si="42"/>
        <v>0</v>
      </c>
      <c r="T133" s="313">
        <f t="shared" ref="T133:AA134" si="43">+ROUND($G133*SUMIF($E$260:$E$302,$H133,T$260:T$302),$AD$10)</f>
        <v>0</v>
      </c>
      <c r="U133" s="313">
        <f t="shared" si="43"/>
        <v>0</v>
      </c>
      <c r="V133" s="313">
        <f t="shared" si="43"/>
        <v>0</v>
      </c>
      <c r="W133" s="313">
        <f t="shared" si="43"/>
        <v>0</v>
      </c>
      <c r="X133" s="313">
        <f t="shared" si="43"/>
        <v>0</v>
      </c>
      <c r="Y133" s="313">
        <f t="shared" si="43"/>
        <v>0</v>
      </c>
      <c r="Z133" s="313">
        <f t="shared" si="43"/>
        <v>0</v>
      </c>
      <c r="AA133" s="328">
        <f t="shared" si="43"/>
        <v>0</v>
      </c>
      <c r="AB133" s="87"/>
      <c r="AC133" s="191"/>
      <c r="AE133" s="193">
        <f t="shared" si="37"/>
        <v>0</v>
      </c>
    </row>
    <row r="134" spans="1:33" s="20" customFormat="1" ht="16.5" thickBot="1">
      <c r="A134" s="411"/>
      <c r="C134" s="342">
        <f>+MAX(C$15:C133)+1</f>
        <v>104</v>
      </c>
      <c r="D134" s="165">
        <f>'O&amp;M_Summ'!D90</f>
        <v>935804</v>
      </c>
      <c r="E134" s="252" t="str">
        <f>'O&amp;M_Summ'!E90</f>
        <v>WFON-UNDERGROUND CABLE EXPENSE</v>
      </c>
      <c r="F134" s="252"/>
      <c r="G134" s="19">
        <f>INDEX('O&amp;M_Summ'!$F$9:$W$156,MATCH($E134,'O&amp;M_Summ'!$E$9:$E$156,0),MATCH($E$5,'O&amp;M_Summ'!$F$6:$W$6,0))</f>
        <v>0</v>
      </c>
      <c r="H134" s="82" t="s">
        <v>1066</v>
      </c>
      <c r="I134" s="165"/>
      <c r="J134" s="313">
        <f t="shared" si="42"/>
        <v>0</v>
      </c>
      <c r="K134" s="313">
        <f t="shared" si="42"/>
        <v>0</v>
      </c>
      <c r="L134" s="313">
        <f t="shared" si="42"/>
        <v>0</v>
      </c>
      <c r="M134" s="313">
        <f t="shared" si="42"/>
        <v>0</v>
      </c>
      <c r="N134" s="313">
        <f t="shared" si="42"/>
        <v>0</v>
      </c>
      <c r="O134" s="313">
        <f t="shared" si="42"/>
        <v>0</v>
      </c>
      <c r="P134" s="313">
        <f t="shared" si="42"/>
        <v>0</v>
      </c>
      <c r="Q134" s="313">
        <f t="shared" si="42"/>
        <v>0</v>
      </c>
      <c r="R134" s="313">
        <f t="shared" si="42"/>
        <v>0</v>
      </c>
      <c r="S134" s="313">
        <f t="shared" si="42"/>
        <v>0</v>
      </c>
      <c r="T134" s="313">
        <f t="shared" si="43"/>
        <v>0</v>
      </c>
      <c r="U134" s="313">
        <f t="shared" si="43"/>
        <v>0</v>
      </c>
      <c r="V134" s="313">
        <f t="shared" si="43"/>
        <v>0</v>
      </c>
      <c r="W134" s="313">
        <f t="shared" si="43"/>
        <v>0</v>
      </c>
      <c r="X134" s="313">
        <f t="shared" si="43"/>
        <v>0</v>
      </c>
      <c r="Y134" s="313">
        <f t="shared" si="43"/>
        <v>0</v>
      </c>
      <c r="Z134" s="313">
        <f t="shared" si="43"/>
        <v>0</v>
      </c>
      <c r="AA134" s="328">
        <f t="shared" si="43"/>
        <v>0</v>
      </c>
      <c r="AB134" s="87"/>
      <c r="AC134" s="191"/>
      <c r="AE134" s="193">
        <f t="shared" si="37"/>
        <v>0</v>
      </c>
    </row>
    <row r="135" spans="1:33" s="20" customFormat="1">
      <c r="A135" s="411"/>
      <c r="C135" s="342"/>
      <c r="D135" s="252"/>
      <c r="E135" s="255" t="str">
        <f>'O&amp;M_Summ'!E91</f>
        <v>Total Dist Fiber Optic Net</v>
      </c>
      <c r="F135" s="255"/>
      <c r="G135" s="324">
        <f>SUM(G133:G134)</f>
        <v>0</v>
      </c>
      <c r="H135" s="165"/>
      <c r="I135" s="165"/>
      <c r="J135" s="324">
        <f t="shared" ref="J135:AA135" si="44">SUM(J133:J134)</f>
        <v>0</v>
      </c>
      <c r="K135" s="324">
        <f t="shared" ref="K135:Q135" si="45">SUM(K133:K134)</f>
        <v>0</v>
      </c>
      <c r="L135" s="324">
        <f t="shared" si="45"/>
        <v>0</v>
      </c>
      <c r="M135" s="324">
        <f t="shared" si="45"/>
        <v>0</v>
      </c>
      <c r="N135" s="324">
        <f t="shared" si="45"/>
        <v>0</v>
      </c>
      <c r="O135" s="324">
        <f t="shared" si="45"/>
        <v>0</v>
      </c>
      <c r="P135" s="324">
        <f t="shared" si="45"/>
        <v>0</v>
      </c>
      <c r="Q135" s="324">
        <f t="shared" si="45"/>
        <v>0</v>
      </c>
      <c r="R135" s="324">
        <f t="shared" si="44"/>
        <v>0</v>
      </c>
      <c r="S135" s="324">
        <f t="shared" si="44"/>
        <v>0</v>
      </c>
      <c r="T135" s="324">
        <f t="shared" si="44"/>
        <v>0</v>
      </c>
      <c r="U135" s="324">
        <f t="shared" si="44"/>
        <v>0</v>
      </c>
      <c r="V135" s="324">
        <f t="shared" si="44"/>
        <v>0</v>
      </c>
      <c r="W135" s="324">
        <f t="shared" si="44"/>
        <v>0</v>
      </c>
      <c r="X135" s="324">
        <f t="shared" si="44"/>
        <v>0</v>
      </c>
      <c r="Y135" s="324">
        <f t="shared" si="44"/>
        <v>0</v>
      </c>
      <c r="Z135" s="324">
        <f t="shared" si="44"/>
        <v>0</v>
      </c>
      <c r="AA135" s="324">
        <f t="shared" si="44"/>
        <v>0</v>
      </c>
      <c r="AB135" s="87"/>
      <c r="AC135" s="191"/>
      <c r="AE135" s="193">
        <f t="shared" si="37"/>
        <v>0</v>
      </c>
    </row>
    <row r="136" spans="1:33" s="20" customFormat="1" ht="5.25" customHeight="1">
      <c r="A136" s="411"/>
      <c r="C136" s="342"/>
      <c r="D136" s="252"/>
      <c r="E136" s="255"/>
      <c r="F136" s="255"/>
      <c r="G136" s="343"/>
      <c r="H136" s="165"/>
      <c r="I136" s="165"/>
      <c r="J136" s="17"/>
      <c r="K136" s="17"/>
      <c r="L136" s="17"/>
      <c r="M136" s="17"/>
      <c r="N136" s="17"/>
      <c r="O136" s="17"/>
      <c r="P136" s="17"/>
      <c r="Q136" s="17"/>
      <c r="R136" s="17"/>
      <c r="S136" s="17"/>
      <c r="T136" s="17"/>
      <c r="U136" s="17"/>
      <c r="V136" s="17"/>
      <c r="W136" s="17"/>
      <c r="X136" s="17"/>
      <c r="Y136" s="17"/>
      <c r="Z136" s="17"/>
      <c r="AA136" s="325"/>
      <c r="AB136" s="87"/>
      <c r="AC136" s="191"/>
      <c r="AE136" s="193">
        <f t="shared" si="37"/>
        <v>0</v>
      </c>
    </row>
    <row r="137" spans="1:33" s="20" customFormat="1" ht="5.25" customHeight="1">
      <c r="A137" s="411"/>
      <c r="C137" s="342"/>
      <c r="D137" s="252"/>
      <c r="E137" s="255"/>
      <c r="F137" s="255"/>
      <c r="G137" s="343"/>
      <c r="H137" s="165"/>
      <c r="I137" s="165"/>
      <c r="J137" s="17"/>
      <c r="K137" s="17"/>
      <c r="L137" s="17"/>
      <c r="M137" s="17"/>
      <c r="N137" s="17"/>
      <c r="O137" s="17"/>
      <c r="P137" s="17"/>
      <c r="Q137" s="17"/>
      <c r="R137" s="17"/>
      <c r="S137" s="17"/>
      <c r="T137" s="17"/>
      <c r="U137" s="17"/>
      <c r="V137" s="17"/>
      <c r="W137" s="17"/>
      <c r="X137" s="17"/>
      <c r="Y137" s="17"/>
      <c r="Z137" s="17"/>
      <c r="AA137" s="325"/>
      <c r="AB137" s="87"/>
      <c r="AC137" s="191"/>
      <c r="AE137" s="193">
        <f t="shared" si="37"/>
        <v>0</v>
      </c>
    </row>
    <row r="138" spans="1:33" ht="16.5" customHeight="1" thickBot="1">
      <c r="A138" s="411"/>
      <c r="C138" s="342">
        <f>+MAX(C$15:C109)+1</f>
        <v>81</v>
      </c>
      <c r="D138" s="252"/>
      <c r="E138" s="246" t="s">
        <v>699</v>
      </c>
      <c r="F138" s="246"/>
      <c r="G138" s="308"/>
      <c r="J138" s="308"/>
      <c r="K138" s="308"/>
      <c r="L138" s="308"/>
      <c r="M138" s="308"/>
      <c r="N138" s="308"/>
      <c r="O138" s="308"/>
      <c r="P138" s="308"/>
      <c r="Q138" s="308"/>
      <c r="R138" s="308"/>
      <c r="S138" s="308"/>
      <c r="T138" s="308"/>
      <c r="U138" s="308"/>
      <c r="V138" s="308"/>
      <c r="W138" s="308"/>
      <c r="X138" s="308"/>
      <c r="Y138" s="308"/>
      <c r="Z138" s="308"/>
      <c r="AA138" s="349"/>
      <c r="AB138" s="215"/>
      <c r="AC138" s="191"/>
      <c r="AD138" s="20"/>
      <c r="AE138" s="193">
        <f t="shared" si="37"/>
        <v>0</v>
      </c>
      <c r="AF138" s="20"/>
      <c r="AG138" s="20"/>
    </row>
    <row r="139" spans="1:33" ht="16.5" customHeight="1">
      <c r="A139" s="411"/>
      <c r="C139" s="342">
        <f>+MAX(C$15:C138)+1</f>
        <v>105</v>
      </c>
      <c r="D139" s="165">
        <f>'O&amp;M_Summ'!D94</f>
        <v>901000</v>
      </c>
      <c r="E139" s="252" t="str">
        <f>'O&amp;M_Summ'!E94</f>
        <v>CUST ACCTS-SUPV</v>
      </c>
      <c r="F139" s="252"/>
      <c r="G139" s="308">
        <f>INDEX('O&amp;M_Summ'!$F$9:$W$156,MATCH($E139,'O&amp;M_Summ'!$E$9:$E$156,0),MATCH($E$5,'O&amp;M_Summ'!$F$6:$W$6,0))</f>
        <v>841294.12955183338</v>
      </c>
      <c r="H139" s="188" t="s">
        <v>1068</v>
      </c>
      <c r="I139" s="366"/>
      <c r="J139" s="308">
        <f t="shared" ref="J139:S149" si="46">+ROUND($G139*SUMIF($E$260:$E$302,$H139,J$260:J$302),$AD$10)</f>
        <v>0</v>
      </c>
      <c r="K139" s="308">
        <f t="shared" si="46"/>
        <v>0</v>
      </c>
      <c r="L139" s="308">
        <f t="shared" si="46"/>
        <v>0</v>
      </c>
      <c r="M139" s="308">
        <f t="shared" si="46"/>
        <v>0</v>
      </c>
      <c r="N139" s="308">
        <f t="shared" si="46"/>
        <v>0</v>
      </c>
      <c r="O139" s="308">
        <f t="shared" si="46"/>
        <v>0</v>
      </c>
      <c r="P139" s="308">
        <f t="shared" si="46"/>
        <v>0</v>
      </c>
      <c r="Q139" s="308">
        <f t="shared" si="46"/>
        <v>0</v>
      </c>
      <c r="R139" s="308">
        <f t="shared" si="46"/>
        <v>0</v>
      </c>
      <c r="S139" s="308">
        <f t="shared" si="46"/>
        <v>0</v>
      </c>
      <c r="T139" s="308">
        <f t="shared" ref="T139:AA149" si="47">+ROUND($G139*SUMIF($E$260:$E$302,$H139,T$260:T$302),$AD$10)</f>
        <v>0</v>
      </c>
      <c r="U139" s="308">
        <f t="shared" si="47"/>
        <v>0</v>
      </c>
      <c r="V139" s="308">
        <f t="shared" si="47"/>
        <v>0</v>
      </c>
      <c r="W139" s="308">
        <f t="shared" si="47"/>
        <v>0</v>
      </c>
      <c r="X139" s="308">
        <f t="shared" si="47"/>
        <v>841294</v>
      </c>
      <c r="Y139" s="308">
        <f t="shared" si="47"/>
        <v>0</v>
      </c>
      <c r="Z139" s="308">
        <f t="shared" si="47"/>
        <v>0</v>
      </c>
      <c r="AA139" s="308">
        <f t="shared" si="47"/>
        <v>0</v>
      </c>
      <c r="AB139" s="215"/>
      <c r="AC139" s="191"/>
      <c r="AD139" s="20"/>
      <c r="AE139" s="193">
        <f t="shared" si="37"/>
        <v>-0.12955183337908238</v>
      </c>
      <c r="AF139" s="20"/>
      <c r="AG139" s="20"/>
    </row>
    <row r="140" spans="1:33" ht="16.5" customHeight="1">
      <c r="A140" s="411"/>
      <c r="C140" s="342">
        <f>+MAX(C$15:C139)+1</f>
        <v>106</v>
      </c>
      <c r="D140" s="165">
        <f>'O&amp;M_Summ'!D95</f>
        <v>902000</v>
      </c>
      <c r="E140" s="252" t="str">
        <f>'O&amp;M_Summ'!E95</f>
        <v>CUST ACCTS-METER READING EXP</v>
      </c>
      <c r="F140" s="252"/>
      <c r="G140" s="19">
        <f>INDEX('O&amp;M_Summ'!$F$9:$W$156,MATCH($E140,'O&amp;M_Summ'!$E$9:$E$156,0),MATCH($E$5,'O&amp;M_Summ'!$F$6:$W$6,0))</f>
        <v>1390834.8794610377</v>
      </c>
      <c r="H140" s="138" t="s">
        <v>1068</v>
      </c>
      <c r="J140" s="313">
        <f t="shared" si="46"/>
        <v>0</v>
      </c>
      <c r="K140" s="313">
        <f t="shared" si="46"/>
        <v>0</v>
      </c>
      <c r="L140" s="313">
        <f t="shared" si="46"/>
        <v>0</v>
      </c>
      <c r="M140" s="313">
        <f t="shared" si="46"/>
        <v>0</v>
      </c>
      <c r="N140" s="313">
        <f t="shared" si="46"/>
        <v>0</v>
      </c>
      <c r="O140" s="313">
        <f t="shared" si="46"/>
        <v>0</v>
      </c>
      <c r="P140" s="313">
        <f t="shared" si="46"/>
        <v>0</v>
      </c>
      <c r="Q140" s="313">
        <f t="shared" si="46"/>
        <v>0</v>
      </c>
      <c r="R140" s="313">
        <f t="shared" si="46"/>
        <v>0</v>
      </c>
      <c r="S140" s="313">
        <f t="shared" si="46"/>
        <v>0</v>
      </c>
      <c r="T140" s="313">
        <f t="shared" si="47"/>
        <v>0</v>
      </c>
      <c r="U140" s="313">
        <f t="shared" si="47"/>
        <v>0</v>
      </c>
      <c r="V140" s="313">
        <f t="shared" si="47"/>
        <v>0</v>
      </c>
      <c r="W140" s="313">
        <f t="shared" si="47"/>
        <v>0</v>
      </c>
      <c r="X140" s="313">
        <f t="shared" si="47"/>
        <v>1390835</v>
      </c>
      <c r="Y140" s="313">
        <f t="shared" si="47"/>
        <v>0</v>
      </c>
      <c r="Z140" s="313">
        <f t="shared" si="47"/>
        <v>0</v>
      </c>
      <c r="AA140" s="328">
        <f t="shared" si="47"/>
        <v>0</v>
      </c>
      <c r="AB140" s="104"/>
      <c r="AC140" s="191"/>
      <c r="AD140" s="20"/>
      <c r="AE140" s="193">
        <f t="shared" si="37"/>
        <v>0.12053896230645478</v>
      </c>
      <c r="AF140" s="20"/>
      <c r="AG140" s="20"/>
    </row>
    <row r="141" spans="1:33" ht="16.5" customHeight="1">
      <c r="A141" s="411"/>
      <c r="C141" s="342">
        <f>+MAX(C$15:C140)+1</f>
        <v>107</v>
      </c>
      <c r="D141" s="165">
        <f>'O&amp;M_Summ'!D96</f>
        <v>903000</v>
      </c>
      <c r="E141" s="252" t="str">
        <f>'O&amp;M_Summ'!E96</f>
        <v>CUST ACCTS-REC &amp; COLL EXP</v>
      </c>
      <c r="F141" s="252"/>
      <c r="G141" s="19">
        <f>INDEX('O&amp;M_Summ'!$F$9:$W$156,MATCH($E141,'O&amp;M_Summ'!$E$9:$E$156,0),MATCH($E$5,'O&amp;M_Summ'!$F$6:$W$6,0))</f>
        <v>3572564.932895097</v>
      </c>
      <c r="H141" s="138" t="s">
        <v>1068</v>
      </c>
      <c r="J141" s="313">
        <f t="shared" si="46"/>
        <v>0</v>
      </c>
      <c r="K141" s="313">
        <f t="shared" si="46"/>
        <v>0</v>
      </c>
      <c r="L141" s="313">
        <f t="shared" si="46"/>
        <v>0</v>
      </c>
      <c r="M141" s="313">
        <f t="shared" si="46"/>
        <v>0</v>
      </c>
      <c r="N141" s="313">
        <f t="shared" si="46"/>
        <v>0</v>
      </c>
      <c r="O141" s="313">
        <f t="shared" si="46"/>
        <v>0</v>
      </c>
      <c r="P141" s="313">
        <f t="shared" si="46"/>
        <v>0</v>
      </c>
      <c r="Q141" s="313">
        <f t="shared" si="46"/>
        <v>0</v>
      </c>
      <c r="R141" s="313">
        <f t="shared" si="46"/>
        <v>0</v>
      </c>
      <c r="S141" s="313">
        <f t="shared" si="46"/>
        <v>0</v>
      </c>
      <c r="T141" s="313">
        <f t="shared" si="47"/>
        <v>0</v>
      </c>
      <c r="U141" s="313">
        <f t="shared" si="47"/>
        <v>0</v>
      </c>
      <c r="V141" s="313">
        <f t="shared" si="47"/>
        <v>0</v>
      </c>
      <c r="W141" s="313">
        <f t="shared" si="47"/>
        <v>0</v>
      </c>
      <c r="X141" s="313">
        <f t="shared" si="47"/>
        <v>3572565</v>
      </c>
      <c r="Y141" s="313">
        <f t="shared" si="47"/>
        <v>0</v>
      </c>
      <c r="Z141" s="313">
        <f t="shared" si="47"/>
        <v>0</v>
      </c>
      <c r="AA141" s="328">
        <f t="shared" si="47"/>
        <v>0</v>
      </c>
      <c r="AB141" s="104"/>
      <c r="AC141" s="191"/>
      <c r="AD141" s="20"/>
      <c r="AE141" s="193">
        <f t="shared" si="37"/>
        <v>6.7104903049767017E-2</v>
      </c>
      <c r="AF141" s="20"/>
      <c r="AG141" s="20"/>
    </row>
    <row r="142" spans="1:33" ht="16.5" customHeight="1">
      <c r="A142" s="411"/>
      <c r="C142" s="342">
        <f>+MAX(C$15:C141)+1</f>
        <v>108</v>
      </c>
      <c r="D142" s="165">
        <f>'O&amp;M_Summ'!D97</f>
        <v>903010</v>
      </c>
      <c r="E142" s="252" t="str">
        <f>'O&amp;M_Summ'!E97</f>
        <v>CUST ACCTS-CASH OVER/SHORT</v>
      </c>
      <c r="F142" s="252"/>
      <c r="G142" s="19">
        <f>INDEX('O&amp;M_Summ'!$F$9:$W$156,MATCH($E142,'O&amp;M_Summ'!$E$9:$E$156,0),MATCH($E$5,'O&amp;M_Summ'!$F$6:$W$6,0))</f>
        <v>3062.9848592154121</v>
      </c>
      <c r="H142" s="138" t="s">
        <v>1068</v>
      </c>
      <c r="J142" s="313">
        <f t="shared" si="46"/>
        <v>0</v>
      </c>
      <c r="K142" s="313">
        <f t="shared" si="46"/>
        <v>0</v>
      </c>
      <c r="L142" s="313">
        <f t="shared" si="46"/>
        <v>0</v>
      </c>
      <c r="M142" s="313">
        <f t="shared" si="46"/>
        <v>0</v>
      </c>
      <c r="N142" s="313">
        <f t="shared" si="46"/>
        <v>0</v>
      </c>
      <c r="O142" s="313">
        <f t="shared" si="46"/>
        <v>0</v>
      </c>
      <c r="P142" s="313">
        <f t="shared" si="46"/>
        <v>0</v>
      </c>
      <c r="Q142" s="313">
        <f t="shared" si="46"/>
        <v>0</v>
      </c>
      <c r="R142" s="313">
        <f t="shared" si="46"/>
        <v>0</v>
      </c>
      <c r="S142" s="313">
        <f t="shared" si="46"/>
        <v>0</v>
      </c>
      <c r="T142" s="313">
        <f t="shared" si="47"/>
        <v>0</v>
      </c>
      <c r="U142" s="313">
        <f t="shared" si="47"/>
        <v>0</v>
      </c>
      <c r="V142" s="313">
        <f t="shared" si="47"/>
        <v>0</v>
      </c>
      <c r="W142" s="313">
        <f t="shared" si="47"/>
        <v>0</v>
      </c>
      <c r="X142" s="313">
        <f t="shared" si="47"/>
        <v>3063</v>
      </c>
      <c r="Y142" s="313">
        <f t="shared" si="47"/>
        <v>0</v>
      </c>
      <c r="Z142" s="313">
        <f t="shared" si="47"/>
        <v>0</v>
      </c>
      <c r="AA142" s="328">
        <f t="shared" si="47"/>
        <v>0</v>
      </c>
      <c r="AB142" s="104"/>
      <c r="AC142" s="191"/>
      <c r="AD142" s="20"/>
      <c r="AE142" s="193">
        <f t="shared" si="37"/>
        <v>1.5140784587856615E-2</v>
      </c>
      <c r="AF142" s="20"/>
      <c r="AG142" s="20"/>
    </row>
    <row r="143" spans="1:33" ht="16.5" customHeight="1">
      <c r="A143" s="411"/>
      <c r="C143" s="342">
        <f>+MAX(C$15:C142)+1</f>
        <v>109</v>
      </c>
      <c r="D143" s="165">
        <f>'O&amp;M_Summ'!D98</f>
        <v>903030</v>
      </c>
      <c r="E143" s="252" t="str">
        <f>'O&amp;M_Summ'!E98</f>
        <v>CUST ACCTS-EDP</v>
      </c>
      <c r="F143" s="252"/>
      <c r="G143" s="19">
        <f>INDEX('O&amp;M_Summ'!$F$9:$W$156,MATCH($E143,'O&amp;M_Summ'!$E$9:$E$156,0),MATCH($E$5,'O&amp;M_Summ'!$F$6:$W$6,0))</f>
        <v>0</v>
      </c>
      <c r="H143" s="138" t="s">
        <v>1068</v>
      </c>
      <c r="J143" s="313">
        <f t="shared" si="46"/>
        <v>0</v>
      </c>
      <c r="K143" s="313">
        <f t="shared" si="46"/>
        <v>0</v>
      </c>
      <c r="L143" s="313">
        <f t="shared" si="46"/>
        <v>0</v>
      </c>
      <c r="M143" s="313">
        <f t="shared" si="46"/>
        <v>0</v>
      </c>
      <c r="N143" s="313">
        <f t="shared" si="46"/>
        <v>0</v>
      </c>
      <c r="O143" s="313">
        <f t="shared" si="46"/>
        <v>0</v>
      </c>
      <c r="P143" s="313">
        <f t="shared" si="46"/>
        <v>0</v>
      </c>
      <c r="Q143" s="313">
        <f t="shared" si="46"/>
        <v>0</v>
      </c>
      <c r="R143" s="313">
        <f t="shared" si="46"/>
        <v>0</v>
      </c>
      <c r="S143" s="313">
        <f t="shared" si="46"/>
        <v>0</v>
      </c>
      <c r="T143" s="313">
        <f t="shared" si="47"/>
        <v>0</v>
      </c>
      <c r="U143" s="313">
        <f t="shared" si="47"/>
        <v>0</v>
      </c>
      <c r="V143" s="313">
        <f t="shared" si="47"/>
        <v>0</v>
      </c>
      <c r="W143" s="313">
        <f t="shared" si="47"/>
        <v>0</v>
      </c>
      <c r="X143" s="313">
        <f t="shared" si="47"/>
        <v>0</v>
      </c>
      <c r="Y143" s="313">
        <f t="shared" si="47"/>
        <v>0</v>
      </c>
      <c r="Z143" s="313">
        <f t="shared" si="47"/>
        <v>0</v>
      </c>
      <c r="AA143" s="328">
        <f t="shared" si="47"/>
        <v>0</v>
      </c>
      <c r="AB143" s="104"/>
      <c r="AC143" s="191"/>
      <c r="AD143" s="20"/>
      <c r="AE143" s="193">
        <f t="shared" si="37"/>
        <v>0</v>
      </c>
      <c r="AF143" s="20"/>
      <c r="AG143" s="20"/>
    </row>
    <row r="144" spans="1:33" ht="16.5" customHeight="1">
      <c r="A144" s="411"/>
      <c r="C144" s="342">
        <f>+MAX(C$15:C143)+1</f>
        <v>110</v>
      </c>
      <c r="D144" s="165">
        <f>'O&amp;M_Summ'!D99</f>
        <v>904000</v>
      </c>
      <c r="E144" s="252" t="str">
        <f>'O&amp;M_Summ'!E99</f>
        <v>CUST ACCTS-UNCOLLECTIBLE ACCTS</v>
      </c>
      <c r="F144" s="252"/>
      <c r="G144" s="19">
        <f>INDEX('O&amp;M_Summ'!$F$9:$W$156,MATCH($E144,'O&amp;M_Summ'!$E$9:$E$156,0),MATCH($E$5,'O&amp;M_Summ'!$F$6:$W$6,0))</f>
        <v>506817.8760414006</v>
      </c>
      <c r="H144" s="138" t="s">
        <v>1068</v>
      </c>
      <c r="J144" s="313">
        <f t="shared" si="46"/>
        <v>0</v>
      </c>
      <c r="K144" s="313">
        <f t="shared" si="46"/>
        <v>0</v>
      </c>
      <c r="L144" s="313">
        <f t="shared" si="46"/>
        <v>0</v>
      </c>
      <c r="M144" s="313">
        <f t="shared" si="46"/>
        <v>0</v>
      </c>
      <c r="N144" s="313">
        <f t="shared" si="46"/>
        <v>0</v>
      </c>
      <c r="O144" s="313">
        <f t="shared" si="46"/>
        <v>0</v>
      </c>
      <c r="P144" s="313">
        <f t="shared" si="46"/>
        <v>0</v>
      </c>
      <c r="Q144" s="313">
        <f t="shared" si="46"/>
        <v>0</v>
      </c>
      <c r="R144" s="313">
        <f t="shared" si="46"/>
        <v>0</v>
      </c>
      <c r="S144" s="313">
        <f t="shared" si="46"/>
        <v>0</v>
      </c>
      <c r="T144" s="313">
        <f t="shared" si="47"/>
        <v>0</v>
      </c>
      <c r="U144" s="313">
        <f t="shared" si="47"/>
        <v>0</v>
      </c>
      <c r="V144" s="313">
        <f t="shared" si="47"/>
        <v>0</v>
      </c>
      <c r="W144" s="313">
        <f t="shared" si="47"/>
        <v>0</v>
      </c>
      <c r="X144" s="313">
        <f t="shared" si="47"/>
        <v>506818</v>
      </c>
      <c r="Y144" s="313">
        <f t="shared" si="47"/>
        <v>0</v>
      </c>
      <c r="Z144" s="313">
        <f t="shared" si="47"/>
        <v>0</v>
      </c>
      <c r="AA144" s="328">
        <f t="shared" si="47"/>
        <v>0</v>
      </c>
      <c r="AB144" s="104"/>
      <c r="AC144" s="191"/>
      <c r="AD144" s="20"/>
      <c r="AE144" s="193">
        <f t="shared" si="37"/>
        <v>0.12395859940443188</v>
      </c>
      <c r="AF144" s="20"/>
      <c r="AG144" s="20"/>
    </row>
    <row r="145" spans="1:33" ht="16.5" customHeight="1">
      <c r="A145" s="411"/>
      <c r="C145" s="342">
        <f>+MAX(C$15:C144)+1</f>
        <v>111</v>
      </c>
      <c r="D145" s="165">
        <f>'O&amp;M_Summ'!D100</f>
        <v>906000</v>
      </c>
      <c r="E145" s="252" t="str">
        <f>'O&amp;M_Summ'!E100</f>
        <v>ENERGY CONSERVATION O&amp;M</v>
      </c>
      <c r="F145" s="252"/>
      <c r="G145" s="19">
        <f>INDEX('O&amp;M_Summ'!$F$9:$W$156,MATCH($E145,'O&amp;M_Summ'!$E$9:$E$156,0),MATCH($E$5,'O&amp;M_Summ'!$F$6:$W$6,0))</f>
        <v>0</v>
      </c>
      <c r="H145" s="138" t="s">
        <v>1068</v>
      </c>
      <c r="J145" s="313">
        <f t="shared" si="46"/>
        <v>0</v>
      </c>
      <c r="K145" s="313">
        <f t="shared" si="46"/>
        <v>0</v>
      </c>
      <c r="L145" s="313">
        <f t="shared" si="46"/>
        <v>0</v>
      </c>
      <c r="M145" s="313">
        <f t="shared" si="46"/>
        <v>0</v>
      </c>
      <c r="N145" s="313">
        <f t="shared" si="46"/>
        <v>0</v>
      </c>
      <c r="O145" s="313">
        <f t="shared" si="46"/>
        <v>0</v>
      </c>
      <c r="P145" s="313">
        <f t="shared" si="46"/>
        <v>0</v>
      </c>
      <c r="Q145" s="313">
        <f t="shared" si="46"/>
        <v>0</v>
      </c>
      <c r="R145" s="313">
        <f t="shared" si="46"/>
        <v>0</v>
      </c>
      <c r="S145" s="313">
        <f t="shared" si="46"/>
        <v>0</v>
      </c>
      <c r="T145" s="313">
        <f t="shared" si="47"/>
        <v>0</v>
      </c>
      <c r="U145" s="313">
        <f t="shared" si="47"/>
        <v>0</v>
      </c>
      <c r="V145" s="313">
        <f t="shared" si="47"/>
        <v>0</v>
      </c>
      <c r="W145" s="313">
        <f t="shared" si="47"/>
        <v>0</v>
      </c>
      <c r="X145" s="313">
        <f t="shared" si="47"/>
        <v>0</v>
      </c>
      <c r="Y145" s="313">
        <f t="shared" si="47"/>
        <v>0</v>
      </c>
      <c r="Z145" s="313">
        <f t="shared" si="47"/>
        <v>0</v>
      </c>
      <c r="AA145" s="328">
        <f t="shared" si="47"/>
        <v>0</v>
      </c>
      <c r="AB145" s="104"/>
      <c r="AC145" s="191"/>
      <c r="AD145" s="20"/>
      <c r="AE145" s="193">
        <f t="shared" si="37"/>
        <v>0</v>
      </c>
      <c r="AF145" s="20"/>
      <c r="AG145" s="20"/>
    </row>
    <row r="146" spans="1:33" ht="16.5" customHeight="1">
      <c r="A146" s="411"/>
      <c r="C146" s="342">
        <f>+MAX(C$15:C145)+1</f>
        <v>112</v>
      </c>
      <c r="D146" s="165">
        <f>'O&amp;M_Summ'!D101</f>
        <v>906100</v>
      </c>
      <c r="E146" s="252" t="str">
        <f>'O&amp;M_Summ'!E101</f>
        <v>CUSTOMER INCENTIVES</v>
      </c>
      <c r="F146" s="252"/>
      <c r="G146" s="19">
        <f>INDEX('O&amp;M_Summ'!$F$9:$W$156,MATCH($E146,'O&amp;M_Summ'!$E$9:$E$156,0),MATCH($E$5,'O&amp;M_Summ'!$F$6:$W$6,0))</f>
        <v>3089579.7676259074</v>
      </c>
      <c r="H146" s="138" t="s">
        <v>1048</v>
      </c>
      <c r="J146" s="313">
        <f t="shared" si="46"/>
        <v>0</v>
      </c>
      <c r="K146" s="313">
        <f t="shared" si="46"/>
        <v>0</v>
      </c>
      <c r="L146" s="313">
        <f t="shared" si="46"/>
        <v>0</v>
      </c>
      <c r="M146" s="313">
        <f t="shared" si="46"/>
        <v>0</v>
      </c>
      <c r="N146" s="313">
        <f t="shared" si="46"/>
        <v>0</v>
      </c>
      <c r="O146" s="313">
        <f t="shared" si="46"/>
        <v>0</v>
      </c>
      <c r="P146" s="313">
        <f t="shared" si="46"/>
        <v>0</v>
      </c>
      <c r="Q146" s="313">
        <f t="shared" si="46"/>
        <v>0</v>
      </c>
      <c r="R146" s="313">
        <f t="shared" si="46"/>
        <v>0</v>
      </c>
      <c r="S146" s="313">
        <f t="shared" si="46"/>
        <v>0</v>
      </c>
      <c r="T146" s="313">
        <f t="shared" si="47"/>
        <v>0</v>
      </c>
      <c r="U146" s="313">
        <f t="shared" si="47"/>
        <v>0</v>
      </c>
      <c r="V146" s="313">
        <f t="shared" si="47"/>
        <v>0</v>
      </c>
      <c r="W146" s="313">
        <f t="shared" si="47"/>
        <v>0</v>
      </c>
      <c r="X146" s="313">
        <f t="shared" si="47"/>
        <v>0</v>
      </c>
      <c r="Y146" s="313">
        <f t="shared" si="47"/>
        <v>0</v>
      </c>
      <c r="Z146" s="313">
        <f t="shared" si="47"/>
        <v>3089580</v>
      </c>
      <c r="AA146" s="328">
        <f t="shared" si="47"/>
        <v>0</v>
      </c>
      <c r="AB146" s="104"/>
      <c r="AC146" s="191"/>
      <c r="AD146" s="20"/>
      <c r="AE146" s="193">
        <f t="shared" si="37"/>
        <v>0.23237409256398678</v>
      </c>
      <c r="AF146" s="20"/>
      <c r="AG146" s="20"/>
    </row>
    <row r="147" spans="1:33" ht="16.5" customHeight="1">
      <c r="A147" s="411"/>
      <c r="C147" s="342">
        <f>+MAX(C$15:C146)+1</f>
        <v>113</v>
      </c>
      <c r="D147" s="165">
        <f>'O&amp;M_Summ'!D102</f>
        <v>908000</v>
      </c>
      <c r="E147" s="252" t="str">
        <f>'O&amp;M_Summ'!E102</f>
        <v>CUST OPERS-CUST ASSISTANCE</v>
      </c>
      <c r="F147" s="252"/>
      <c r="G147" s="19">
        <f>INDEX('O&amp;M_Summ'!$F$9:$W$156,MATCH($E147,'O&amp;M_Summ'!$E$9:$E$156,0),MATCH($E$5,'O&amp;M_Summ'!$F$6:$W$6,0))</f>
        <v>1343579.1040080118</v>
      </c>
      <c r="H147" s="138" t="s">
        <v>1068</v>
      </c>
      <c r="J147" s="313">
        <f t="shared" si="46"/>
        <v>0</v>
      </c>
      <c r="K147" s="313">
        <f t="shared" si="46"/>
        <v>0</v>
      </c>
      <c r="L147" s="313">
        <f t="shared" si="46"/>
        <v>0</v>
      </c>
      <c r="M147" s="313">
        <f t="shared" si="46"/>
        <v>0</v>
      </c>
      <c r="N147" s="313">
        <f t="shared" si="46"/>
        <v>0</v>
      </c>
      <c r="O147" s="313">
        <f t="shared" si="46"/>
        <v>0</v>
      </c>
      <c r="P147" s="313">
        <f t="shared" si="46"/>
        <v>0</v>
      </c>
      <c r="Q147" s="313">
        <f t="shared" si="46"/>
        <v>0</v>
      </c>
      <c r="R147" s="313">
        <f t="shared" si="46"/>
        <v>0</v>
      </c>
      <c r="S147" s="313">
        <f t="shared" si="46"/>
        <v>0</v>
      </c>
      <c r="T147" s="313">
        <f t="shared" si="47"/>
        <v>0</v>
      </c>
      <c r="U147" s="313">
        <f t="shared" si="47"/>
        <v>0</v>
      </c>
      <c r="V147" s="313">
        <f t="shared" si="47"/>
        <v>0</v>
      </c>
      <c r="W147" s="313">
        <f t="shared" si="47"/>
        <v>0</v>
      </c>
      <c r="X147" s="313">
        <f t="shared" si="47"/>
        <v>1343579</v>
      </c>
      <c r="Y147" s="313">
        <f t="shared" si="47"/>
        <v>0</v>
      </c>
      <c r="Z147" s="313">
        <f t="shared" si="47"/>
        <v>0</v>
      </c>
      <c r="AA147" s="328">
        <f t="shared" si="47"/>
        <v>0</v>
      </c>
      <c r="AB147" s="104"/>
      <c r="AC147" s="191"/>
      <c r="AD147" s="20"/>
      <c r="AE147" s="193">
        <f t="shared" si="37"/>
        <v>-0.10400801175273955</v>
      </c>
      <c r="AF147" s="20"/>
      <c r="AG147" s="20"/>
    </row>
    <row r="148" spans="1:33" ht="16.5" customHeight="1">
      <c r="A148" s="411"/>
      <c r="C148" s="342">
        <f>+MAX(C$15:C147)+1</f>
        <v>114</v>
      </c>
      <c r="D148" s="165">
        <f>'O&amp;M_Summ'!D103</f>
        <v>909010</v>
      </c>
      <c r="E148" s="252" t="str">
        <f>'O&amp;M_Summ'!E103</f>
        <v>CUST OPERS-PUB REL &amp; AD EXP</v>
      </c>
      <c r="F148" s="252"/>
      <c r="G148" s="19">
        <f>INDEX('O&amp;M_Summ'!$F$9:$W$156,MATCH($E148,'O&amp;M_Summ'!$E$9:$E$156,0),MATCH($E$5,'O&amp;M_Summ'!$F$6:$W$6,0))</f>
        <v>0</v>
      </c>
      <c r="H148" s="138" t="s">
        <v>1068</v>
      </c>
      <c r="J148" s="313">
        <f t="shared" si="46"/>
        <v>0</v>
      </c>
      <c r="K148" s="313">
        <f t="shared" si="46"/>
        <v>0</v>
      </c>
      <c r="L148" s="313">
        <f t="shared" si="46"/>
        <v>0</v>
      </c>
      <c r="M148" s="313">
        <f t="shared" si="46"/>
        <v>0</v>
      </c>
      <c r="N148" s="313">
        <f t="shared" si="46"/>
        <v>0</v>
      </c>
      <c r="O148" s="313">
        <f t="shared" si="46"/>
        <v>0</v>
      </c>
      <c r="P148" s="313">
        <f t="shared" si="46"/>
        <v>0</v>
      </c>
      <c r="Q148" s="313">
        <f t="shared" si="46"/>
        <v>0</v>
      </c>
      <c r="R148" s="313">
        <f t="shared" si="46"/>
        <v>0</v>
      </c>
      <c r="S148" s="313">
        <f t="shared" si="46"/>
        <v>0</v>
      </c>
      <c r="T148" s="313">
        <f t="shared" si="47"/>
        <v>0</v>
      </c>
      <c r="U148" s="313">
        <f t="shared" si="47"/>
        <v>0</v>
      </c>
      <c r="V148" s="313">
        <f t="shared" si="47"/>
        <v>0</v>
      </c>
      <c r="W148" s="313">
        <f t="shared" si="47"/>
        <v>0</v>
      </c>
      <c r="X148" s="313">
        <f t="shared" si="47"/>
        <v>0</v>
      </c>
      <c r="Y148" s="313">
        <f t="shared" si="47"/>
        <v>0</v>
      </c>
      <c r="Z148" s="313">
        <f t="shared" si="47"/>
        <v>0</v>
      </c>
      <c r="AA148" s="328">
        <f t="shared" si="47"/>
        <v>0</v>
      </c>
      <c r="AB148" s="104"/>
      <c r="AC148" s="191"/>
      <c r="AD148" s="20"/>
      <c r="AE148" s="193">
        <f t="shared" si="37"/>
        <v>0</v>
      </c>
      <c r="AF148" s="20"/>
      <c r="AG148" s="20"/>
    </row>
    <row r="149" spans="1:33" ht="16.5" customHeight="1" thickBot="1">
      <c r="A149" s="411"/>
      <c r="C149" s="342">
        <f>+MAX(C$15:C148)+1</f>
        <v>115</v>
      </c>
      <c r="D149" s="165">
        <f>'O&amp;M_Summ'!D104</f>
        <v>910020</v>
      </c>
      <c r="E149" s="252" t="str">
        <f>'O&amp;M_Summ'!E104</f>
        <v>CUST OPERS-MISC, RATE STUDY</v>
      </c>
      <c r="F149" s="252"/>
      <c r="G149" s="19">
        <f>INDEX('O&amp;M_Summ'!$F$9:$W$156,MATCH($E149,'O&amp;M_Summ'!$E$9:$E$156,0),MATCH($E$5,'O&amp;M_Summ'!$F$6:$W$6,0))</f>
        <v>11582.844538480284</v>
      </c>
      <c r="H149" s="139" t="s">
        <v>1068</v>
      </c>
      <c r="J149" s="313">
        <f t="shared" si="46"/>
        <v>0</v>
      </c>
      <c r="K149" s="313">
        <f t="shared" si="46"/>
        <v>0</v>
      </c>
      <c r="L149" s="313">
        <f t="shared" si="46"/>
        <v>0</v>
      </c>
      <c r="M149" s="313">
        <f t="shared" si="46"/>
        <v>0</v>
      </c>
      <c r="N149" s="313">
        <f t="shared" si="46"/>
        <v>0</v>
      </c>
      <c r="O149" s="313">
        <f t="shared" si="46"/>
        <v>0</v>
      </c>
      <c r="P149" s="313">
        <f t="shared" si="46"/>
        <v>0</v>
      </c>
      <c r="Q149" s="313">
        <f t="shared" si="46"/>
        <v>0</v>
      </c>
      <c r="R149" s="313">
        <f t="shared" si="46"/>
        <v>0</v>
      </c>
      <c r="S149" s="313">
        <f t="shared" si="46"/>
        <v>0</v>
      </c>
      <c r="T149" s="313">
        <f t="shared" si="47"/>
        <v>0</v>
      </c>
      <c r="U149" s="313">
        <f t="shared" si="47"/>
        <v>0</v>
      </c>
      <c r="V149" s="313">
        <f t="shared" si="47"/>
        <v>0</v>
      </c>
      <c r="W149" s="313">
        <f t="shared" si="47"/>
        <v>0</v>
      </c>
      <c r="X149" s="313">
        <f t="shared" si="47"/>
        <v>11583</v>
      </c>
      <c r="Y149" s="313">
        <f t="shared" si="47"/>
        <v>0</v>
      </c>
      <c r="Z149" s="313">
        <f t="shared" si="47"/>
        <v>0</v>
      </c>
      <c r="AA149" s="328">
        <f t="shared" si="47"/>
        <v>0</v>
      </c>
      <c r="AB149" s="104"/>
      <c r="AC149" s="191"/>
      <c r="AD149" s="20"/>
      <c r="AE149" s="193">
        <f t="shared" si="37"/>
        <v>0.15546151971648214</v>
      </c>
      <c r="AF149" s="20"/>
      <c r="AG149" s="20"/>
    </row>
    <row r="150" spans="1:33" ht="16.5" customHeight="1">
      <c r="A150" s="411"/>
      <c r="C150" s="342">
        <f>+MAX(C$15:C149)+1</f>
        <v>116</v>
      </c>
      <c r="D150" s="165"/>
      <c r="E150" s="255" t="str">
        <f>'O&amp;M_Summ'!E105</f>
        <v>Total Customer</v>
      </c>
      <c r="F150" s="255"/>
      <c r="G150" s="324">
        <f>SUM(G139:G149)</f>
        <v>10759316.518980984</v>
      </c>
      <c r="H150" s="463"/>
      <c r="I150" s="262"/>
      <c r="J150" s="324">
        <f t="shared" ref="J150:AA150" si="48">SUM(J139:J149)</f>
        <v>0</v>
      </c>
      <c r="K150" s="324">
        <f t="shared" ref="K150:Q150" si="49">SUM(K139:K149)</f>
        <v>0</v>
      </c>
      <c r="L150" s="324">
        <f t="shared" si="49"/>
        <v>0</v>
      </c>
      <c r="M150" s="324">
        <f t="shared" si="49"/>
        <v>0</v>
      </c>
      <c r="N150" s="324">
        <f t="shared" si="49"/>
        <v>0</v>
      </c>
      <c r="O150" s="324">
        <f t="shared" si="49"/>
        <v>0</v>
      </c>
      <c r="P150" s="324">
        <f t="shared" si="49"/>
        <v>0</v>
      </c>
      <c r="Q150" s="324">
        <f t="shared" si="49"/>
        <v>0</v>
      </c>
      <c r="R150" s="324">
        <f t="shared" si="48"/>
        <v>0</v>
      </c>
      <c r="S150" s="324">
        <f t="shared" si="48"/>
        <v>0</v>
      </c>
      <c r="T150" s="324">
        <f t="shared" si="48"/>
        <v>0</v>
      </c>
      <c r="U150" s="324">
        <f t="shared" si="48"/>
        <v>0</v>
      </c>
      <c r="V150" s="324">
        <f t="shared" si="48"/>
        <v>0</v>
      </c>
      <c r="W150" s="324">
        <f t="shared" si="48"/>
        <v>0</v>
      </c>
      <c r="X150" s="324">
        <f t="shared" si="48"/>
        <v>7669737</v>
      </c>
      <c r="Y150" s="324">
        <f t="shared" si="48"/>
        <v>0</v>
      </c>
      <c r="Z150" s="324">
        <f t="shared" si="48"/>
        <v>3089580</v>
      </c>
      <c r="AA150" s="327">
        <f t="shared" si="48"/>
        <v>0</v>
      </c>
      <c r="AB150" s="216"/>
      <c r="AC150" s="191"/>
      <c r="AD150" s="20"/>
      <c r="AE150" s="193">
        <f t="shared" si="37"/>
        <v>0.48101901635527611</v>
      </c>
      <c r="AF150" s="20"/>
      <c r="AG150" s="20"/>
    </row>
    <row r="151" spans="1:33" ht="5.25" customHeight="1">
      <c r="A151" s="411"/>
      <c r="C151" s="342"/>
      <c r="D151" s="165"/>
      <c r="E151" s="359"/>
      <c r="F151" s="359"/>
      <c r="G151" s="313"/>
      <c r="H151" s="262"/>
      <c r="I151" s="262"/>
      <c r="J151" s="313"/>
      <c r="K151" s="313"/>
      <c r="L151" s="313"/>
      <c r="M151" s="313"/>
      <c r="N151" s="313"/>
      <c r="O151" s="313"/>
      <c r="P151" s="313"/>
      <c r="Q151" s="313"/>
      <c r="R151" s="313"/>
      <c r="S151" s="313"/>
      <c r="T151" s="313"/>
      <c r="U151" s="313"/>
      <c r="V151" s="313"/>
      <c r="W151" s="313"/>
      <c r="X151" s="313"/>
      <c r="Y151" s="313"/>
      <c r="Z151" s="313"/>
      <c r="AA151" s="328"/>
      <c r="AB151" s="104"/>
      <c r="AC151" s="191"/>
      <c r="AD151" s="20"/>
      <c r="AE151" s="193">
        <f t="shared" si="37"/>
        <v>0</v>
      </c>
      <c r="AF151" s="20"/>
      <c r="AG151" s="20"/>
    </row>
    <row r="152" spans="1:33" ht="16.5" customHeight="1" thickBot="1">
      <c r="A152" s="411"/>
      <c r="C152" s="342">
        <f>+MAX(C$15:C151)+1</f>
        <v>117</v>
      </c>
      <c r="D152" s="165"/>
      <c r="E152" s="246" t="s">
        <v>982</v>
      </c>
      <c r="F152" s="246"/>
      <c r="G152" s="313"/>
      <c r="H152" s="262"/>
      <c r="I152" s="262"/>
      <c r="J152" s="313"/>
      <c r="K152" s="313"/>
      <c r="L152" s="313"/>
      <c r="M152" s="313"/>
      <c r="N152" s="313"/>
      <c r="O152" s="313"/>
      <c r="P152" s="313"/>
      <c r="Q152" s="313"/>
      <c r="R152" s="313"/>
      <c r="S152" s="313"/>
      <c r="T152" s="313"/>
      <c r="U152" s="313"/>
      <c r="V152" s="313"/>
      <c r="W152" s="313"/>
      <c r="X152" s="313"/>
      <c r="Y152" s="313"/>
      <c r="Z152" s="313"/>
      <c r="AA152" s="328"/>
      <c r="AB152" s="104"/>
      <c r="AC152" s="191"/>
      <c r="AD152" s="20"/>
      <c r="AE152" s="193">
        <f t="shared" ref="AE152:AE190" si="50">SUM(J152:AA152)-G152</f>
        <v>0</v>
      </c>
      <c r="AF152" s="20"/>
      <c r="AG152" s="20"/>
    </row>
    <row r="153" spans="1:33" ht="16.5" customHeight="1">
      <c r="A153" s="411"/>
      <c r="C153" s="342">
        <f>+MAX(C$15:C152)+1</f>
        <v>118</v>
      </c>
      <c r="D153" s="165">
        <f>'O&amp;M_Summ'!D108</f>
        <v>923801</v>
      </c>
      <c r="E153" s="252" t="str">
        <f>'O&amp;M_Summ'!E108</f>
        <v>WFON-LEGAL</v>
      </c>
      <c r="F153" s="252"/>
      <c r="G153" s="308">
        <f>INDEX('O&amp;M_Summ'!$F$9:$W$156,MATCH($E153,'O&amp;M_Summ'!$E$9:$E$156,0),MATCH($E$5,'O&amp;M_Summ'!$F$6:$W$6,0))</f>
        <v>0</v>
      </c>
      <c r="H153" s="188" t="s">
        <v>1053</v>
      </c>
      <c r="J153" s="313">
        <f t="shared" ref="J153:S159" si="51">+ROUND($G153*SUMIF($E$260:$E$302,$H153,J$260:J$302),$AD$10)</f>
        <v>0</v>
      </c>
      <c r="K153" s="313">
        <f t="shared" si="51"/>
        <v>0</v>
      </c>
      <c r="L153" s="313">
        <f t="shared" si="51"/>
        <v>0</v>
      </c>
      <c r="M153" s="313">
        <f t="shared" si="51"/>
        <v>0</v>
      </c>
      <c r="N153" s="313">
        <f t="shared" si="51"/>
        <v>0</v>
      </c>
      <c r="O153" s="313">
        <f t="shared" si="51"/>
        <v>0</v>
      </c>
      <c r="P153" s="313">
        <f t="shared" si="51"/>
        <v>0</v>
      </c>
      <c r="Q153" s="313">
        <f t="shared" si="51"/>
        <v>0</v>
      </c>
      <c r="R153" s="313">
        <f t="shared" si="51"/>
        <v>0</v>
      </c>
      <c r="S153" s="313">
        <f t="shared" si="51"/>
        <v>0</v>
      </c>
      <c r="T153" s="313">
        <f t="shared" ref="T153:AA159" si="52">+ROUND($G153*SUMIF($E$260:$E$302,$H153,T$260:T$302),$AD$10)</f>
        <v>0</v>
      </c>
      <c r="U153" s="313">
        <f t="shared" si="52"/>
        <v>0</v>
      </c>
      <c r="V153" s="313">
        <f t="shared" si="52"/>
        <v>0</v>
      </c>
      <c r="W153" s="313">
        <f t="shared" si="52"/>
        <v>0</v>
      </c>
      <c r="X153" s="313">
        <f t="shared" si="52"/>
        <v>0</v>
      </c>
      <c r="Y153" s="313">
        <f t="shared" si="52"/>
        <v>0</v>
      </c>
      <c r="Z153" s="313">
        <f t="shared" si="52"/>
        <v>0</v>
      </c>
      <c r="AA153" s="328">
        <f t="shared" si="52"/>
        <v>0</v>
      </c>
      <c r="AB153" s="104"/>
      <c r="AC153" s="191"/>
      <c r="AD153" s="20"/>
      <c r="AE153" s="193">
        <f t="shared" si="50"/>
        <v>0</v>
      </c>
      <c r="AF153" s="20"/>
      <c r="AG153" s="20"/>
    </row>
    <row r="154" spans="1:33" ht="16.5" customHeight="1">
      <c r="A154" s="411"/>
      <c r="C154" s="342">
        <f>+MAX(C$15:C153)+1</f>
        <v>119</v>
      </c>
      <c r="D154" s="165">
        <f>'O&amp;M_Summ'!D109</f>
        <v>930801</v>
      </c>
      <c r="E154" s="252" t="str">
        <f>'O&amp;M_Summ'!E109</f>
        <v>WFON-GENERAL AND ADMIN EXPENSE</v>
      </c>
      <c r="F154" s="252"/>
      <c r="G154" s="19">
        <f>INDEX('O&amp;M_Summ'!$F$9:$W$156,MATCH($E154,'O&amp;M_Summ'!$E$9:$E$156,0),MATCH($E$5,'O&amp;M_Summ'!$F$6:$W$6,0))</f>
        <v>508723.62149190204</v>
      </c>
      <c r="H154" s="138" t="s">
        <v>1053</v>
      </c>
      <c r="J154" s="313">
        <f t="shared" si="51"/>
        <v>0</v>
      </c>
      <c r="K154" s="313">
        <f t="shared" si="51"/>
        <v>25792</v>
      </c>
      <c r="L154" s="313">
        <f t="shared" si="51"/>
        <v>144020</v>
      </c>
      <c r="M154" s="313">
        <f t="shared" si="51"/>
        <v>60640</v>
      </c>
      <c r="N154" s="313">
        <f t="shared" si="51"/>
        <v>0</v>
      </c>
      <c r="O154" s="313">
        <f t="shared" si="51"/>
        <v>0</v>
      </c>
      <c r="P154" s="313">
        <f t="shared" si="51"/>
        <v>0</v>
      </c>
      <c r="Q154" s="313">
        <f t="shared" si="51"/>
        <v>54077</v>
      </c>
      <c r="R154" s="313">
        <f t="shared" si="51"/>
        <v>19891</v>
      </c>
      <c r="S154" s="313">
        <f t="shared" si="51"/>
        <v>117464</v>
      </c>
      <c r="T154" s="313">
        <f t="shared" si="52"/>
        <v>15974</v>
      </c>
      <c r="U154" s="313">
        <f t="shared" si="52"/>
        <v>40800</v>
      </c>
      <c r="V154" s="313">
        <f t="shared" si="52"/>
        <v>14804</v>
      </c>
      <c r="W154" s="313">
        <f t="shared" si="52"/>
        <v>10327</v>
      </c>
      <c r="X154" s="313">
        <f t="shared" si="52"/>
        <v>0</v>
      </c>
      <c r="Y154" s="313">
        <f t="shared" si="52"/>
        <v>4935</v>
      </c>
      <c r="Z154" s="313">
        <f t="shared" si="52"/>
        <v>0</v>
      </c>
      <c r="AA154" s="328">
        <f t="shared" si="52"/>
        <v>0</v>
      </c>
      <c r="AB154" s="104"/>
      <c r="AC154" s="191"/>
      <c r="AD154" s="20"/>
      <c r="AE154" s="193">
        <f t="shared" si="50"/>
        <v>0.3785080979578197</v>
      </c>
      <c r="AF154" s="20"/>
      <c r="AG154" s="20"/>
    </row>
    <row r="155" spans="1:33" ht="16.5" customHeight="1">
      <c r="A155" s="411"/>
      <c r="C155" s="342">
        <f>+MAX(C$15:C154)+1</f>
        <v>120</v>
      </c>
      <c r="D155" s="165">
        <f>'O&amp;M_Summ'!D110</f>
        <v>935801</v>
      </c>
      <c r="E155" s="252" t="str">
        <f>'O&amp;M_Summ'!E110</f>
        <v>WFON-GATEWAY MAIN</v>
      </c>
      <c r="F155" s="252"/>
      <c r="G155" s="19">
        <f>INDEX('O&amp;M_Summ'!$F$9:$W$156,MATCH($E155,'O&amp;M_Summ'!$E$9:$E$156,0),MATCH($E$5,'O&amp;M_Summ'!$F$6:$W$6,0))</f>
        <v>1109648.2221095494</v>
      </c>
      <c r="H155" s="138" t="s">
        <v>1053</v>
      </c>
      <c r="J155" s="313">
        <f t="shared" si="51"/>
        <v>0</v>
      </c>
      <c r="K155" s="313">
        <f t="shared" si="51"/>
        <v>56259</v>
      </c>
      <c r="L155" s="313">
        <f t="shared" si="51"/>
        <v>314141</v>
      </c>
      <c r="M155" s="313">
        <f t="shared" si="51"/>
        <v>132270</v>
      </c>
      <c r="N155" s="313">
        <f t="shared" si="51"/>
        <v>0</v>
      </c>
      <c r="O155" s="313">
        <f t="shared" si="51"/>
        <v>0</v>
      </c>
      <c r="P155" s="313">
        <f t="shared" si="51"/>
        <v>0</v>
      </c>
      <c r="Q155" s="313">
        <f t="shared" si="51"/>
        <v>117956</v>
      </c>
      <c r="R155" s="313">
        <f t="shared" si="51"/>
        <v>43387</v>
      </c>
      <c r="S155" s="313">
        <f t="shared" si="51"/>
        <v>256218</v>
      </c>
      <c r="T155" s="313">
        <f t="shared" si="52"/>
        <v>34843</v>
      </c>
      <c r="U155" s="313">
        <f t="shared" si="52"/>
        <v>88994</v>
      </c>
      <c r="V155" s="313">
        <f t="shared" si="52"/>
        <v>32291</v>
      </c>
      <c r="W155" s="313">
        <f t="shared" si="52"/>
        <v>22526</v>
      </c>
      <c r="X155" s="313">
        <f t="shared" si="52"/>
        <v>0</v>
      </c>
      <c r="Y155" s="313">
        <f t="shared" si="52"/>
        <v>10764</v>
      </c>
      <c r="Z155" s="313">
        <f t="shared" si="52"/>
        <v>0</v>
      </c>
      <c r="AA155" s="328">
        <f t="shared" si="52"/>
        <v>0</v>
      </c>
      <c r="AB155" s="104"/>
      <c r="AC155" s="191"/>
      <c r="AD155" s="20"/>
      <c r="AE155" s="193">
        <f t="shared" si="50"/>
        <v>0.77789045055396855</v>
      </c>
      <c r="AF155" s="20"/>
      <c r="AG155" s="20"/>
    </row>
    <row r="156" spans="1:33" ht="16.5" customHeight="1">
      <c r="A156" s="411"/>
      <c r="C156" s="342">
        <f>+MAX(C$15:C155)+1</f>
        <v>121</v>
      </c>
      <c r="D156" s="165">
        <f>'O&amp;M_Summ'!D111</f>
        <v>935802</v>
      </c>
      <c r="E156" s="252" t="str">
        <f>'O&amp;M_Summ'!E111</f>
        <v>WFON-HUB CABINET EXPENSE</v>
      </c>
      <c r="F156" s="252"/>
      <c r="G156" s="19">
        <f>INDEX('O&amp;M_Summ'!$F$9:$W$156,MATCH($E156,'O&amp;M_Summ'!$E$9:$E$156,0),MATCH($E$5,'O&amp;M_Summ'!$F$6:$W$6,0))</f>
        <v>0</v>
      </c>
      <c r="H156" s="138" t="s">
        <v>1053</v>
      </c>
      <c r="J156" s="313">
        <f t="shared" si="51"/>
        <v>0</v>
      </c>
      <c r="K156" s="313">
        <f t="shared" si="51"/>
        <v>0</v>
      </c>
      <c r="L156" s="313">
        <f t="shared" si="51"/>
        <v>0</v>
      </c>
      <c r="M156" s="313">
        <f t="shared" si="51"/>
        <v>0</v>
      </c>
      <c r="N156" s="313">
        <f t="shared" si="51"/>
        <v>0</v>
      </c>
      <c r="O156" s="313">
        <f t="shared" si="51"/>
        <v>0</v>
      </c>
      <c r="P156" s="313">
        <f t="shared" si="51"/>
        <v>0</v>
      </c>
      <c r="Q156" s="313">
        <f t="shared" si="51"/>
        <v>0</v>
      </c>
      <c r="R156" s="313">
        <f t="shared" si="51"/>
        <v>0</v>
      </c>
      <c r="S156" s="313">
        <f t="shared" si="51"/>
        <v>0</v>
      </c>
      <c r="T156" s="313">
        <f t="shared" si="52"/>
        <v>0</v>
      </c>
      <c r="U156" s="313">
        <f t="shared" si="52"/>
        <v>0</v>
      </c>
      <c r="V156" s="313">
        <f t="shared" si="52"/>
        <v>0</v>
      </c>
      <c r="W156" s="313">
        <f t="shared" si="52"/>
        <v>0</v>
      </c>
      <c r="X156" s="313">
        <f t="shared" si="52"/>
        <v>0</v>
      </c>
      <c r="Y156" s="313">
        <f t="shared" si="52"/>
        <v>0</v>
      </c>
      <c r="Z156" s="313">
        <f t="shared" si="52"/>
        <v>0</v>
      </c>
      <c r="AA156" s="328">
        <f t="shared" si="52"/>
        <v>0</v>
      </c>
      <c r="AB156" s="104"/>
      <c r="AC156" s="191"/>
      <c r="AD156" s="20"/>
      <c r="AE156" s="193">
        <f t="shared" si="50"/>
        <v>0</v>
      </c>
      <c r="AF156" s="20"/>
      <c r="AG156" s="20"/>
    </row>
    <row r="157" spans="1:33" ht="16.5" customHeight="1">
      <c r="A157" s="411"/>
      <c r="C157" s="342">
        <f>+MAX(C$15:C156)+1</f>
        <v>122</v>
      </c>
      <c r="D157" s="165">
        <f>'O&amp;M_Summ'!D112</f>
        <v>935805</v>
      </c>
      <c r="E157" s="252" t="str">
        <f>'O&amp;M_Summ'!E112</f>
        <v>WFON-MAINT GEN PLT MISC</v>
      </c>
      <c r="F157" s="252"/>
      <c r="G157" s="19">
        <f>INDEX('O&amp;M_Summ'!$F$9:$W$156,MATCH($E157,'O&amp;M_Summ'!$E$9:$E$156,0),MATCH($E$5,'O&amp;M_Summ'!$F$6:$W$6,0))</f>
        <v>100205.55183939403</v>
      </c>
      <c r="H157" s="138" t="s">
        <v>1053</v>
      </c>
      <c r="J157" s="313">
        <f t="shared" si="51"/>
        <v>0</v>
      </c>
      <c r="K157" s="313">
        <f t="shared" si="51"/>
        <v>5080</v>
      </c>
      <c r="L157" s="313">
        <f t="shared" si="51"/>
        <v>28368</v>
      </c>
      <c r="M157" s="313">
        <f t="shared" si="51"/>
        <v>11945</v>
      </c>
      <c r="N157" s="313">
        <f t="shared" si="51"/>
        <v>0</v>
      </c>
      <c r="O157" s="313">
        <f t="shared" si="51"/>
        <v>0</v>
      </c>
      <c r="P157" s="313">
        <f t="shared" si="51"/>
        <v>0</v>
      </c>
      <c r="Q157" s="313">
        <f t="shared" si="51"/>
        <v>10652</v>
      </c>
      <c r="R157" s="313">
        <f t="shared" si="51"/>
        <v>3918</v>
      </c>
      <c r="S157" s="313">
        <f t="shared" si="51"/>
        <v>23137</v>
      </c>
      <c r="T157" s="313">
        <f t="shared" si="52"/>
        <v>3146</v>
      </c>
      <c r="U157" s="313">
        <f t="shared" si="52"/>
        <v>8036</v>
      </c>
      <c r="V157" s="313">
        <f t="shared" si="52"/>
        <v>2916</v>
      </c>
      <c r="W157" s="313">
        <f t="shared" si="52"/>
        <v>2034</v>
      </c>
      <c r="X157" s="313">
        <f t="shared" si="52"/>
        <v>0</v>
      </c>
      <c r="Y157" s="313">
        <f t="shared" si="52"/>
        <v>972</v>
      </c>
      <c r="Z157" s="313">
        <f t="shared" si="52"/>
        <v>0</v>
      </c>
      <c r="AA157" s="328">
        <f t="shared" si="52"/>
        <v>0</v>
      </c>
      <c r="AB157" s="104"/>
      <c r="AC157" s="191"/>
      <c r="AD157" s="20"/>
      <c r="AE157" s="193">
        <f t="shared" si="50"/>
        <v>-1.5518393940292299</v>
      </c>
      <c r="AF157" s="20"/>
      <c r="AG157" s="20"/>
    </row>
    <row r="158" spans="1:33" ht="16.5" customHeight="1">
      <c r="A158" s="411"/>
      <c r="C158" s="342">
        <f>+MAX(C$15:C157)+1</f>
        <v>123</v>
      </c>
      <c r="D158" s="165">
        <f>'O&amp;M_Summ'!D113</f>
        <v>935806</v>
      </c>
      <c r="E158" s="252" t="str">
        <f>'O&amp;M_Summ'!E113</f>
        <v>WFON-NOC MONITORING EXPENSE</v>
      </c>
      <c r="F158" s="252"/>
      <c r="G158" s="19">
        <f>INDEX('O&amp;M_Summ'!$F$9:$W$156,MATCH($E158,'O&amp;M_Summ'!$E$9:$E$156,0),MATCH($E$5,'O&amp;M_Summ'!$F$6:$W$6,0))</f>
        <v>197608.30572523485</v>
      </c>
      <c r="H158" s="138" t="s">
        <v>1053</v>
      </c>
      <c r="J158" s="313">
        <f t="shared" si="51"/>
        <v>0</v>
      </c>
      <c r="K158" s="313">
        <f t="shared" si="51"/>
        <v>10019</v>
      </c>
      <c r="L158" s="313">
        <f t="shared" si="51"/>
        <v>55943</v>
      </c>
      <c r="M158" s="313">
        <f t="shared" si="51"/>
        <v>23555</v>
      </c>
      <c r="N158" s="313">
        <f t="shared" si="51"/>
        <v>0</v>
      </c>
      <c r="O158" s="313">
        <f t="shared" si="51"/>
        <v>0</v>
      </c>
      <c r="P158" s="313">
        <f t="shared" si="51"/>
        <v>0</v>
      </c>
      <c r="Q158" s="313">
        <f t="shared" si="51"/>
        <v>21006</v>
      </c>
      <c r="R158" s="313">
        <f t="shared" si="51"/>
        <v>7726</v>
      </c>
      <c r="S158" s="313">
        <f t="shared" si="51"/>
        <v>45628</v>
      </c>
      <c r="T158" s="313">
        <f t="shared" si="52"/>
        <v>6205</v>
      </c>
      <c r="U158" s="313">
        <f t="shared" si="52"/>
        <v>15848</v>
      </c>
      <c r="V158" s="313">
        <f t="shared" si="52"/>
        <v>5750</v>
      </c>
      <c r="W158" s="313">
        <f t="shared" si="52"/>
        <v>4011</v>
      </c>
      <c r="X158" s="313">
        <f t="shared" si="52"/>
        <v>0</v>
      </c>
      <c r="Y158" s="313">
        <f t="shared" si="52"/>
        <v>1917</v>
      </c>
      <c r="Z158" s="313">
        <f t="shared" si="52"/>
        <v>0</v>
      </c>
      <c r="AA158" s="328">
        <f t="shared" si="52"/>
        <v>0</v>
      </c>
      <c r="AB158" s="104"/>
      <c r="AC158" s="191"/>
      <c r="AD158" s="20"/>
      <c r="AE158" s="193">
        <f t="shared" si="50"/>
        <v>-0.30572523485170677</v>
      </c>
      <c r="AF158" s="20"/>
      <c r="AG158" s="20"/>
    </row>
    <row r="159" spans="1:33" ht="16.5" customHeight="1" thickBot="1">
      <c r="A159" s="411"/>
      <c r="C159" s="342">
        <f>+MAX(C$15:C158)+1</f>
        <v>124</v>
      </c>
      <c r="D159" s="165">
        <f>'O&amp;M_Summ'!D114</f>
        <v>935807</v>
      </c>
      <c r="E159" s="252" t="str">
        <f>'O&amp;M_Summ'!E114</f>
        <v>WFON-INFORMATION MNGMT EXP</v>
      </c>
      <c r="F159" s="252"/>
      <c r="G159" s="19">
        <f>INDEX('O&amp;M_Summ'!$F$9:$W$156,MATCH($E159,'O&amp;M_Summ'!$E$9:$E$156,0),MATCH($E$5,'O&amp;M_Summ'!$F$6:$W$6,0))</f>
        <v>236834.71155017437</v>
      </c>
      <c r="H159" s="139" t="s">
        <v>1053</v>
      </c>
      <c r="J159" s="313">
        <f t="shared" si="51"/>
        <v>0</v>
      </c>
      <c r="K159" s="313">
        <f t="shared" si="51"/>
        <v>12008</v>
      </c>
      <c r="L159" s="313">
        <f t="shared" si="51"/>
        <v>67048</v>
      </c>
      <c r="M159" s="313">
        <f t="shared" si="51"/>
        <v>28231</v>
      </c>
      <c r="N159" s="313">
        <f t="shared" si="51"/>
        <v>0</v>
      </c>
      <c r="O159" s="313">
        <f t="shared" si="51"/>
        <v>0</v>
      </c>
      <c r="P159" s="313">
        <f t="shared" si="51"/>
        <v>0</v>
      </c>
      <c r="Q159" s="313">
        <f t="shared" si="51"/>
        <v>25176</v>
      </c>
      <c r="R159" s="313">
        <f t="shared" si="51"/>
        <v>9260</v>
      </c>
      <c r="S159" s="313">
        <f t="shared" si="51"/>
        <v>54685</v>
      </c>
      <c r="T159" s="313">
        <f t="shared" si="52"/>
        <v>7437</v>
      </c>
      <c r="U159" s="313">
        <f t="shared" si="52"/>
        <v>18994</v>
      </c>
      <c r="V159" s="313">
        <f t="shared" si="52"/>
        <v>6892</v>
      </c>
      <c r="W159" s="313">
        <f t="shared" si="52"/>
        <v>4808</v>
      </c>
      <c r="X159" s="313">
        <f t="shared" si="52"/>
        <v>0</v>
      </c>
      <c r="Y159" s="313">
        <f t="shared" si="52"/>
        <v>2297</v>
      </c>
      <c r="Z159" s="313">
        <f t="shared" si="52"/>
        <v>0</v>
      </c>
      <c r="AA159" s="328">
        <f t="shared" si="52"/>
        <v>0</v>
      </c>
      <c r="AB159" s="104"/>
      <c r="AC159" s="191"/>
      <c r="AD159" s="20"/>
      <c r="AE159" s="193">
        <f t="shared" si="50"/>
        <v>1.2884498256316874</v>
      </c>
      <c r="AF159" s="20"/>
      <c r="AG159" s="20"/>
    </row>
    <row r="160" spans="1:33" ht="16.5" customHeight="1">
      <c r="A160" s="411"/>
      <c r="C160" s="342">
        <f>+MAX(C$15:C159)+1</f>
        <v>125</v>
      </c>
      <c r="D160" s="165"/>
      <c r="E160" s="255" t="str">
        <f>'O&amp;M_Summ'!E115</f>
        <v>Total Fiber Optic Net Op</v>
      </c>
      <c r="F160" s="255"/>
      <c r="G160" s="324">
        <f>SUM(G153:G159)</f>
        <v>2153020.4127162546</v>
      </c>
      <c r="H160" s="463"/>
      <c r="I160" s="262"/>
      <c r="J160" s="324">
        <f t="shared" ref="J160:AA160" si="53">SUM(J153:J159)</f>
        <v>0</v>
      </c>
      <c r="K160" s="324">
        <f t="shared" ref="K160:Q160" si="54">SUM(K153:K159)</f>
        <v>109158</v>
      </c>
      <c r="L160" s="324">
        <f t="shared" si="54"/>
        <v>609520</v>
      </c>
      <c r="M160" s="324">
        <f t="shared" si="54"/>
        <v>256641</v>
      </c>
      <c r="N160" s="324">
        <f t="shared" si="54"/>
        <v>0</v>
      </c>
      <c r="O160" s="324">
        <f t="shared" si="54"/>
        <v>0</v>
      </c>
      <c r="P160" s="324">
        <f t="shared" si="54"/>
        <v>0</v>
      </c>
      <c r="Q160" s="324">
        <f t="shared" si="54"/>
        <v>228867</v>
      </c>
      <c r="R160" s="324">
        <f t="shared" si="53"/>
        <v>84182</v>
      </c>
      <c r="S160" s="324">
        <f t="shared" si="53"/>
        <v>497132</v>
      </c>
      <c r="T160" s="324">
        <f t="shared" si="53"/>
        <v>67605</v>
      </c>
      <c r="U160" s="324">
        <f t="shared" si="53"/>
        <v>172672</v>
      </c>
      <c r="V160" s="324">
        <f t="shared" si="53"/>
        <v>62653</v>
      </c>
      <c r="W160" s="324">
        <f t="shared" si="53"/>
        <v>43706</v>
      </c>
      <c r="X160" s="324">
        <f t="shared" si="53"/>
        <v>0</v>
      </c>
      <c r="Y160" s="324">
        <f t="shared" si="53"/>
        <v>20885</v>
      </c>
      <c r="Z160" s="324">
        <f t="shared" si="53"/>
        <v>0</v>
      </c>
      <c r="AA160" s="327">
        <f t="shared" si="53"/>
        <v>0</v>
      </c>
      <c r="AB160" s="216"/>
      <c r="AC160" s="191"/>
      <c r="AD160" s="20"/>
      <c r="AE160" s="193">
        <f t="shared" si="50"/>
        <v>0.58728374540805817</v>
      </c>
      <c r="AF160" s="20"/>
      <c r="AG160" s="20"/>
    </row>
    <row r="161" spans="1:33" ht="5.25" customHeight="1">
      <c r="A161" s="411"/>
      <c r="C161" s="342"/>
      <c r="D161" s="165"/>
      <c r="E161" s="360"/>
      <c r="F161" s="360"/>
      <c r="G161" s="343"/>
      <c r="J161" s="17"/>
      <c r="K161" s="17"/>
      <c r="L161" s="17"/>
      <c r="M161" s="17"/>
      <c r="N161" s="17"/>
      <c r="O161" s="17"/>
      <c r="P161" s="17"/>
      <c r="Q161" s="17"/>
      <c r="R161" s="17"/>
      <c r="S161" s="17"/>
      <c r="T161" s="17"/>
      <c r="U161" s="17"/>
      <c r="V161" s="17"/>
      <c r="W161" s="17"/>
      <c r="X161" s="17"/>
      <c r="Y161" s="17"/>
      <c r="Z161" s="17"/>
      <c r="AA161" s="325"/>
      <c r="AB161" s="87"/>
      <c r="AC161" s="191"/>
      <c r="AD161" s="20"/>
      <c r="AE161" s="193">
        <f t="shared" si="50"/>
        <v>0</v>
      </c>
      <c r="AF161" s="20"/>
      <c r="AG161" s="20"/>
    </row>
    <row r="162" spans="1:33" ht="16.5" customHeight="1" thickBot="1">
      <c r="A162" s="411"/>
      <c r="C162" s="342">
        <f>+MAX(C$15:C161)+1</f>
        <v>126</v>
      </c>
      <c r="D162" s="165"/>
      <c r="E162" s="246" t="s">
        <v>700</v>
      </c>
      <c r="F162" s="246"/>
      <c r="G162" s="308"/>
      <c r="J162" s="308"/>
      <c r="K162" s="308"/>
      <c r="L162" s="308"/>
      <c r="M162" s="308"/>
      <c r="N162" s="308"/>
      <c r="O162" s="308"/>
      <c r="P162" s="308"/>
      <c r="Q162" s="308"/>
      <c r="R162" s="308"/>
      <c r="S162" s="308"/>
      <c r="T162" s="308"/>
      <c r="U162" s="308"/>
      <c r="V162" s="308"/>
      <c r="W162" s="308"/>
      <c r="X162" s="308"/>
      <c r="Y162" s="308"/>
      <c r="Z162" s="308"/>
      <c r="AA162" s="349"/>
      <c r="AB162" s="215"/>
      <c r="AC162" s="191"/>
      <c r="AD162" s="20"/>
      <c r="AE162" s="193">
        <f t="shared" si="50"/>
        <v>0</v>
      </c>
      <c r="AF162" s="20"/>
      <c r="AG162" s="20"/>
    </row>
    <row r="163" spans="1:33" s="3094" customFormat="1" ht="16.5" customHeight="1">
      <c r="A163" s="411"/>
      <c r="C163" s="342">
        <f>+MAX(C$15:C162)+1</f>
        <v>127</v>
      </c>
      <c r="D163" s="165">
        <f>'O&amp;M_Summ'!D118</f>
        <v>426300</v>
      </c>
      <c r="E163" s="252" t="str">
        <f>'O&amp;M_Summ'!E118</f>
        <v>ELECT REVENUE-PENALTIES</v>
      </c>
      <c r="F163" s="246"/>
      <c r="G163" s="308">
        <f>INDEX('O&amp;M_Summ'!$F$9:$W$156,MATCH($E163,'O&amp;M_Summ'!$E$9:$E$156,0),MATCH($E$5,'O&amp;M_Summ'!$F$6:$W$6,0))</f>
        <v>-71563.98881180145</v>
      </c>
      <c r="H163" s="188" t="s">
        <v>1067</v>
      </c>
      <c r="I163" s="165"/>
      <c r="J163" s="308">
        <f t="shared" ref="J163:S167" si="55">+ROUND($G163*SUMIF($E$260:$E$302,$H163,J$260:J$302),$AD$10)</f>
        <v>0</v>
      </c>
      <c r="K163" s="308">
        <f t="shared" si="55"/>
        <v>-1649</v>
      </c>
      <c r="L163" s="308">
        <f t="shared" si="55"/>
        <v>-7472</v>
      </c>
      <c r="M163" s="308">
        <f t="shared" si="55"/>
        <v>-11316</v>
      </c>
      <c r="N163" s="308">
        <f t="shared" si="55"/>
        <v>-2106</v>
      </c>
      <c r="O163" s="308">
        <f t="shared" si="55"/>
        <v>0</v>
      </c>
      <c r="P163" s="308">
        <f t="shared" si="55"/>
        <v>0</v>
      </c>
      <c r="Q163" s="308">
        <f t="shared" si="55"/>
        <v>-3443</v>
      </c>
      <c r="R163" s="308">
        <f t="shared" si="55"/>
        <v>-2133</v>
      </c>
      <c r="S163" s="308">
        <f t="shared" si="55"/>
        <v>-13424</v>
      </c>
      <c r="T163" s="308">
        <f t="shared" ref="T163:AA167" si="56">+ROUND($G163*SUMIF($E$260:$E$302,$H163,T$260:T$302),$AD$10)</f>
        <v>-1585</v>
      </c>
      <c r="U163" s="308">
        <f t="shared" si="56"/>
        <v>-4172</v>
      </c>
      <c r="V163" s="308">
        <f t="shared" si="56"/>
        <v>-943</v>
      </c>
      <c r="W163" s="308">
        <f t="shared" si="56"/>
        <v>-7775</v>
      </c>
      <c r="X163" s="308">
        <f t="shared" si="56"/>
        <v>-14446</v>
      </c>
      <c r="Y163" s="308">
        <f t="shared" si="56"/>
        <v>-315</v>
      </c>
      <c r="Z163" s="308">
        <f t="shared" si="56"/>
        <v>-784</v>
      </c>
      <c r="AA163" s="349">
        <f t="shared" si="56"/>
        <v>0</v>
      </c>
      <c r="AB163" s="215"/>
      <c r="AC163" s="191"/>
      <c r="AD163" s="20"/>
      <c r="AE163" s="193"/>
      <c r="AF163" s="20"/>
      <c r="AG163" s="20"/>
    </row>
    <row r="164" spans="1:33" ht="16.5" customHeight="1">
      <c r="A164" s="411"/>
      <c r="C164" s="342">
        <f>+MAX(C$15:C163)+1</f>
        <v>128</v>
      </c>
      <c r="D164" s="165">
        <f>'O&amp;M_Summ'!D119</f>
        <v>426500</v>
      </c>
      <c r="E164" s="252" t="str">
        <f>'O&amp;M_Summ'!E119</f>
        <v>OTHER DEDUCTIONS</v>
      </c>
      <c r="F164" s="252"/>
      <c r="G164" s="19">
        <f>INDEX('O&amp;M_Summ'!$F$9:$W$156,MATCH($E164,'O&amp;M_Summ'!$E$9:$E$156,0),MATCH($E$5,'O&amp;M_Summ'!$F$6:$W$6,0))</f>
        <v>0</v>
      </c>
      <c r="H164" s="138" t="s">
        <v>1067</v>
      </c>
      <c r="J164" s="313">
        <f t="shared" si="55"/>
        <v>0</v>
      </c>
      <c r="K164" s="313">
        <f t="shared" si="55"/>
        <v>0</v>
      </c>
      <c r="L164" s="313">
        <f t="shared" si="55"/>
        <v>0</v>
      </c>
      <c r="M164" s="313">
        <f t="shared" si="55"/>
        <v>0</v>
      </c>
      <c r="N164" s="313">
        <f t="shared" si="55"/>
        <v>0</v>
      </c>
      <c r="O164" s="313">
        <f t="shared" si="55"/>
        <v>0</v>
      </c>
      <c r="P164" s="313">
        <f t="shared" si="55"/>
        <v>0</v>
      </c>
      <c r="Q164" s="313">
        <f t="shared" si="55"/>
        <v>0</v>
      </c>
      <c r="R164" s="313">
        <f t="shared" si="55"/>
        <v>0</v>
      </c>
      <c r="S164" s="313">
        <f t="shared" si="55"/>
        <v>0</v>
      </c>
      <c r="T164" s="313">
        <f t="shared" si="56"/>
        <v>0</v>
      </c>
      <c r="U164" s="313">
        <f t="shared" si="56"/>
        <v>0</v>
      </c>
      <c r="V164" s="313">
        <f t="shared" si="56"/>
        <v>0</v>
      </c>
      <c r="W164" s="313">
        <f t="shared" si="56"/>
        <v>0</v>
      </c>
      <c r="X164" s="313">
        <f t="shared" si="56"/>
        <v>0</v>
      </c>
      <c r="Y164" s="313">
        <f t="shared" si="56"/>
        <v>0</v>
      </c>
      <c r="Z164" s="313">
        <f t="shared" si="56"/>
        <v>0</v>
      </c>
      <c r="AA164" s="328">
        <f t="shared" si="56"/>
        <v>0</v>
      </c>
      <c r="AB164" s="215"/>
      <c r="AC164" s="191"/>
      <c r="AD164" s="20"/>
      <c r="AE164" s="193">
        <f t="shared" si="50"/>
        <v>0</v>
      </c>
      <c r="AF164" s="20"/>
      <c r="AG164" s="20"/>
    </row>
    <row r="165" spans="1:33" ht="16.5" customHeight="1">
      <c r="A165" s="411"/>
      <c r="C165" s="342">
        <f>+MAX(C$15:C164)+1</f>
        <v>129</v>
      </c>
      <c r="D165" s="165">
        <f>'O&amp;M_Summ'!D120</f>
        <v>920010</v>
      </c>
      <c r="E165" s="252" t="str">
        <f>'O&amp;M_Summ'!E120</f>
        <v>A&amp;G SALARIES-GENERAL</v>
      </c>
      <c r="F165" s="252"/>
      <c r="G165" s="19">
        <f>INDEX('O&amp;M_Summ'!$F$9:$W$156,MATCH($E165,'O&amp;M_Summ'!$E$9:$E$156,0),MATCH($E$5,'O&amp;M_Summ'!$F$6:$W$6,0))</f>
        <v>50178.712872474323</v>
      </c>
      <c r="H165" s="138" t="s">
        <v>1067</v>
      </c>
      <c r="J165" s="313">
        <f t="shared" si="55"/>
        <v>0</v>
      </c>
      <c r="K165" s="313">
        <f t="shared" si="55"/>
        <v>1156</v>
      </c>
      <c r="L165" s="313">
        <f t="shared" si="55"/>
        <v>5239</v>
      </c>
      <c r="M165" s="313">
        <f t="shared" si="55"/>
        <v>7934</v>
      </c>
      <c r="N165" s="313">
        <f t="shared" si="55"/>
        <v>1477</v>
      </c>
      <c r="O165" s="313">
        <f t="shared" si="55"/>
        <v>0</v>
      </c>
      <c r="P165" s="313">
        <f t="shared" si="55"/>
        <v>0</v>
      </c>
      <c r="Q165" s="313">
        <f t="shared" si="55"/>
        <v>2414</v>
      </c>
      <c r="R165" s="313">
        <f t="shared" si="55"/>
        <v>1496</v>
      </c>
      <c r="S165" s="313">
        <f t="shared" si="55"/>
        <v>9413</v>
      </c>
      <c r="T165" s="313">
        <f t="shared" si="56"/>
        <v>1112</v>
      </c>
      <c r="U165" s="313">
        <f t="shared" si="56"/>
        <v>2925</v>
      </c>
      <c r="V165" s="313">
        <f t="shared" si="56"/>
        <v>661</v>
      </c>
      <c r="W165" s="313">
        <f t="shared" si="56"/>
        <v>5451</v>
      </c>
      <c r="X165" s="313">
        <f t="shared" si="56"/>
        <v>10129</v>
      </c>
      <c r="Y165" s="313">
        <f t="shared" si="56"/>
        <v>221</v>
      </c>
      <c r="Z165" s="313">
        <f t="shared" si="56"/>
        <v>550</v>
      </c>
      <c r="AA165" s="328">
        <f t="shared" si="56"/>
        <v>0</v>
      </c>
      <c r="AB165" s="104"/>
      <c r="AC165" s="191"/>
      <c r="AD165" s="20"/>
      <c r="AE165" s="193">
        <f t="shared" si="50"/>
        <v>-0.71287247432337608</v>
      </c>
      <c r="AF165" s="20"/>
      <c r="AG165" s="20"/>
    </row>
    <row r="166" spans="1:33" ht="16.5" customHeight="1">
      <c r="A166" s="411"/>
      <c r="C166" s="342">
        <f>+MAX(C$15:C165)+1</f>
        <v>130</v>
      </c>
      <c r="D166" s="165">
        <f>'O&amp;M_Summ'!D121</f>
        <v>920030</v>
      </c>
      <c r="E166" s="252" t="str">
        <f>'O&amp;M_Summ'!E121</f>
        <v>A&amp;G SALARIES-EDP</v>
      </c>
      <c r="F166" s="252"/>
      <c r="G166" s="19">
        <f>INDEX('O&amp;M_Summ'!$F$9:$W$156,MATCH($E166,'O&amp;M_Summ'!$E$9:$E$156,0),MATCH($E$5,'O&amp;M_Summ'!$F$6:$W$6,0))</f>
        <v>0</v>
      </c>
      <c r="H166" s="138" t="s">
        <v>1067</v>
      </c>
      <c r="J166" s="313">
        <f t="shared" si="55"/>
        <v>0</v>
      </c>
      <c r="K166" s="313">
        <f t="shared" si="55"/>
        <v>0</v>
      </c>
      <c r="L166" s="313">
        <f t="shared" si="55"/>
        <v>0</v>
      </c>
      <c r="M166" s="313">
        <f t="shared" si="55"/>
        <v>0</v>
      </c>
      <c r="N166" s="313">
        <f t="shared" si="55"/>
        <v>0</v>
      </c>
      <c r="O166" s="313">
        <f t="shared" si="55"/>
        <v>0</v>
      </c>
      <c r="P166" s="313">
        <f t="shared" si="55"/>
        <v>0</v>
      </c>
      <c r="Q166" s="313">
        <f t="shared" si="55"/>
        <v>0</v>
      </c>
      <c r="R166" s="313">
        <f t="shared" si="55"/>
        <v>0</v>
      </c>
      <c r="S166" s="313">
        <f t="shared" si="55"/>
        <v>0</v>
      </c>
      <c r="T166" s="313">
        <f t="shared" si="56"/>
        <v>0</v>
      </c>
      <c r="U166" s="313">
        <f t="shared" si="56"/>
        <v>0</v>
      </c>
      <c r="V166" s="313">
        <f t="shared" si="56"/>
        <v>0</v>
      </c>
      <c r="W166" s="313">
        <f t="shared" si="56"/>
        <v>0</v>
      </c>
      <c r="X166" s="313">
        <f t="shared" si="56"/>
        <v>0</v>
      </c>
      <c r="Y166" s="313">
        <f t="shared" si="56"/>
        <v>0</v>
      </c>
      <c r="Z166" s="313">
        <f t="shared" si="56"/>
        <v>0</v>
      </c>
      <c r="AA166" s="328">
        <f t="shared" si="56"/>
        <v>0</v>
      </c>
      <c r="AB166" s="104"/>
      <c r="AC166" s="191"/>
      <c r="AD166" s="20"/>
      <c r="AE166" s="193">
        <f t="shared" si="50"/>
        <v>0</v>
      </c>
      <c r="AF166" s="20"/>
      <c r="AG166" s="20"/>
    </row>
    <row r="167" spans="1:33" ht="16.5" customHeight="1">
      <c r="A167" s="411"/>
      <c r="C167" s="342">
        <f>+MAX(C$15:C166)+1</f>
        <v>131</v>
      </c>
      <c r="D167" s="165">
        <f>'O&amp;M_Summ'!D122</f>
        <v>920050</v>
      </c>
      <c r="E167" s="252" t="str">
        <f>'O&amp;M_Summ'!E122</f>
        <v>A&amp;G CERTIFICATE PAY</v>
      </c>
      <c r="F167" s="252"/>
      <c r="G167" s="19">
        <f>INDEX('O&amp;M_Summ'!$F$9:$W$156,MATCH($E167,'O&amp;M_Summ'!$E$9:$E$156,0),MATCH($E$5,'O&amp;M_Summ'!$F$6:$W$6,0))</f>
        <v>107567.9110985619</v>
      </c>
      <c r="H167" s="138" t="s">
        <v>1067</v>
      </c>
      <c r="J167" s="313">
        <f t="shared" si="55"/>
        <v>0</v>
      </c>
      <c r="K167" s="313">
        <f t="shared" si="55"/>
        <v>2479</v>
      </c>
      <c r="L167" s="313">
        <f t="shared" si="55"/>
        <v>11231</v>
      </c>
      <c r="M167" s="313">
        <f t="shared" si="55"/>
        <v>17009</v>
      </c>
      <c r="N167" s="313">
        <f t="shared" si="55"/>
        <v>3166</v>
      </c>
      <c r="O167" s="313">
        <f t="shared" si="55"/>
        <v>0</v>
      </c>
      <c r="P167" s="313">
        <f t="shared" si="55"/>
        <v>0</v>
      </c>
      <c r="Q167" s="313">
        <f t="shared" si="55"/>
        <v>5176</v>
      </c>
      <c r="R167" s="313">
        <f t="shared" si="55"/>
        <v>3206</v>
      </c>
      <c r="S167" s="313">
        <f t="shared" si="55"/>
        <v>20178</v>
      </c>
      <c r="T167" s="313">
        <f t="shared" si="56"/>
        <v>2383</v>
      </c>
      <c r="U167" s="313">
        <f t="shared" si="56"/>
        <v>6270</v>
      </c>
      <c r="V167" s="313">
        <f t="shared" si="56"/>
        <v>1418</v>
      </c>
      <c r="W167" s="313">
        <f t="shared" si="56"/>
        <v>11686</v>
      </c>
      <c r="X167" s="313">
        <f t="shared" si="56"/>
        <v>21714</v>
      </c>
      <c r="Y167" s="313">
        <f t="shared" si="56"/>
        <v>474</v>
      </c>
      <c r="Z167" s="313">
        <f t="shared" si="56"/>
        <v>1179</v>
      </c>
      <c r="AA167" s="328">
        <f t="shared" si="56"/>
        <v>0</v>
      </c>
      <c r="AB167" s="104"/>
      <c r="AC167" s="191"/>
      <c r="AD167" s="20"/>
      <c r="AE167" s="193">
        <f t="shared" si="50"/>
        <v>1.0889014380954904</v>
      </c>
      <c r="AF167" s="20"/>
      <c r="AG167" s="20"/>
    </row>
    <row r="168" spans="1:33" s="3094" customFormat="1" ht="16.5" customHeight="1">
      <c r="A168" s="411"/>
      <c r="C168" s="342">
        <f>+MAX(C$15:C167)+1</f>
        <v>132</v>
      </c>
      <c r="D168" s="165">
        <f>'O&amp;M_Summ'!D123</f>
        <v>920060</v>
      </c>
      <c r="E168" s="252" t="str">
        <f>'O&amp;M_Summ'!E123</f>
        <v>ELECT REVENUE-A&amp;G PERFORMANCE RECOGNITION PR</v>
      </c>
      <c r="F168" s="252"/>
      <c r="G168" s="19">
        <f>INDEX('O&amp;M_Summ'!$F$9:$W$156,MATCH($E168,'O&amp;M_Summ'!$E$9:$E$156,0),MATCH($E$5,'O&amp;M_Summ'!$F$6:$W$6,0))</f>
        <v>98141.709232683526</v>
      </c>
      <c r="H168" s="138" t="s">
        <v>1067</v>
      </c>
      <c r="I168" s="165"/>
      <c r="J168" s="313">
        <f t="shared" ref="J168:Y183" si="57">+ROUND($G168*SUMIF($E$260:$E$302,$H168,J$260:J$302),$AD$10)</f>
        <v>0</v>
      </c>
      <c r="K168" s="313">
        <f t="shared" si="57"/>
        <v>2261</v>
      </c>
      <c r="L168" s="313">
        <f t="shared" si="57"/>
        <v>10247</v>
      </c>
      <c r="M168" s="313">
        <f t="shared" si="57"/>
        <v>15519</v>
      </c>
      <c r="N168" s="313">
        <f t="shared" si="57"/>
        <v>2888</v>
      </c>
      <c r="O168" s="313">
        <f t="shared" si="57"/>
        <v>0</v>
      </c>
      <c r="P168" s="313">
        <f t="shared" si="57"/>
        <v>0</v>
      </c>
      <c r="Q168" s="313">
        <f t="shared" si="57"/>
        <v>4722</v>
      </c>
      <c r="R168" s="313">
        <f t="shared" si="57"/>
        <v>2925</v>
      </c>
      <c r="S168" s="313">
        <f t="shared" si="57"/>
        <v>18410</v>
      </c>
      <c r="T168" s="313">
        <f t="shared" si="57"/>
        <v>2174</v>
      </c>
      <c r="U168" s="313">
        <f t="shared" si="57"/>
        <v>5721</v>
      </c>
      <c r="V168" s="313">
        <f t="shared" si="57"/>
        <v>1294</v>
      </c>
      <c r="W168" s="313">
        <f t="shared" si="57"/>
        <v>10662</v>
      </c>
      <c r="X168" s="313">
        <f t="shared" si="57"/>
        <v>19811</v>
      </c>
      <c r="Y168" s="313">
        <f t="shared" si="57"/>
        <v>432</v>
      </c>
      <c r="Z168" s="313">
        <f t="shared" ref="Z168:AA188" si="58">+ROUND($G168*SUMIF($E$260:$E$302,$H168,Z$260:Z$302),$AD$10)</f>
        <v>1075</v>
      </c>
      <c r="AA168" s="328">
        <f t="shared" si="58"/>
        <v>0</v>
      </c>
      <c r="AB168" s="104"/>
      <c r="AC168" s="191"/>
      <c r="AD168" s="20"/>
      <c r="AE168" s="193"/>
      <c r="AF168" s="20"/>
      <c r="AG168" s="20"/>
    </row>
    <row r="169" spans="1:33" ht="16.5" customHeight="1">
      <c r="A169" s="411"/>
      <c r="C169" s="342">
        <f>+MAX(C$15:C168)+1</f>
        <v>133</v>
      </c>
      <c r="D169" s="165">
        <f>'O&amp;M_Summ'!D124</f>
        <v>921010</v>
      </c>
      <c r="E169" s="252" t="str">
        <f>'O&amp;M_Summ'!E124</f>
        <v>OFC SUP&amp;EXP-GENERAL</v>
      </c>
      <c r="F169" s="252"/>
      <c r="G169" s="19">
        <f>INDEX('O&amp;M_Summ'!$F$9:$W$156,MATCH($E169,'O&amp;M_Summ'!$E$9:$E$156,0),MATCH($E$5,'O&amp;M_Summ'!$F$6:$W$6,0))</f>
        <v>11269801.523527637</v>
      </c>
      <c r="H169" s="138" t="s">
        <v>1067</v>
      </c>
      <c r="J169" s="313">
        <f t="shared" si="57"/>
        <v>0</v>
      </c>
      <c r="K169" s="313">
        <f t="shared" si="57"/>
        <v>259675</v>
      </c>
      <c r="L169" s="313">
        <f t="shared" si="57"/>
        <v>1176670</v>
      </c>
      <c r="M169" s="313">
        <f t="shared" si="57"/>
        <v>1782025</v>
      </c>
      <c r="N169" s="313">
        <f t="shared" si="57"/>
        <v>331659</v>
      </c>
      <c r="O169" s="313">
        <f t="shared" si="57"/>
        <v>0</v>
      </c>
      <c r="P169" s="313">
        <f t="shared" si="57"/>
        <v>0</v>
      </c>
      <c r="Q169" s="313">
        <f t="shared" si="57"/>
        <v>542265</v>
      </c>
      <c r="R169" s="313">
        <f t="shared" si="57"/>
        <v>335936</v>
      </c>
      <c r="S169" s="313">
        <f t="shared" si="57"/>
        <v>2114069</v>
      </c>
      <c r="T169" s="313">
        <f t="shared" si="57"/>
        <v>249641</v>
      </c>
      <c r="U169" s="313">
        <f t="shared" si="57"/>
        <v>656953</v>
      </c>
      <c r="V169" s="313">
        <f t="shared" si="57"/>
        <v>148555</v>
      </c>
      <c r="W169" s="313">
        <f t="shared" si="57"/>
        <v>1224330</v>
      </c>
      <c r="X169" s="313">
        <f t="shared" si="57"/>
        <v>2274907</v>
      </c>
      <c r="Y169" s="313">
        <f t="shared" si="57"/>
        <v>49619</v>
      </c>
      <c r="Z169" s="313">
        <f t="shared" si="58"/>
        <v>123496</v>
      </c>
      <c r="AA169" s="328">
        <f t="shared" si="58"/>
        <v>0</v>
      </c>
      <c r="AB169" s="104"/>
      <c r="AC169" s="191"/>
      <c r="AD169" s="20"/>
      <c r="AE169" s="193">
        <f t="shared" si="50"/>
        <v>-1.5235276371240616</v>
      </c>
      <c r="AF169" s="20"/>
      <c r="AG169" s="20"/>
    </row>
    <row r="170" spans="1:33" ht="16.5" customHeight="1">
      <c r="A170" s="411"/>
      <c r="C170" s="342">
        <f>+MAX(C$15:C169)+1</f>
        <v>134</v>
      </c>
      <c r="D170" s="165">
        <f>'O&amp;M_Summ'!D125</f>
        <v>921030</v>
      </c>
      <c r="E170" s="252" t="str">
        <f>'O&amp;M_Summ'!E125</f>
        <v>OFC SUP&amp;EXP-EDP</v>
      </c>
      <c r="F170" s="252"/>
      <c r="G170" s="19">
        <f>INDEX('O&amp;M_Summ'!$F$9:$W$156,MATCH($E170,'O&amp;M_Summ'!$E$9:$E$156,0),MATCH($E$5,'O&amp;M_Summ'!$F$6:$W$6,0))</f>
        <v>144491.25570735912</v>
      </c>
      <c r="H170" s="138" t="s">
        <v>1067</v>
      </c>
      <c r="J170" s="313">
        <f t="shared" si="57"/>
        <v>0</v>
      </c>
      <c r="K170" s="313">
        <f t="shared" si="57"/>
        <v>3329</v>
      </c>
      <c r="L170" s="313">
        <f t="shared" si="57"/>
        <v>15086</v>
      </c>
      <c r="M170" s="313">
        <f t="shared" si="57"/>
        <v>22848</v>
      </c>
      <c r="N170" s="313">
        <f t="shared" si="57"/>
        <v>4252</v>
      </c>
      <c r="O170" s="313">
        <f t="shared" si="57"/>
        <v>0</v>
      </c>
      <c r="P170" s="313">
        <f t="shared" si="57"/>
        <v>0</v>
      </c>
      <c r="Q170" s="313">
        <f t="shared" si="57"/>
        <v>6952</v>
      </c>
      <c r="R170" s="313">
        <f t="shared" si="57"/>
        <v>4307</v>
      </c>
      <c r="S170" s="313">
        <f t="shared" si="57"/>
        <v>27105</v>
      </c>
      <c r="T170" s="313">
        <f t="shared" si="57"/>
        <v>3201</v>
      </c>
      <c r="U170" s="313">
        <f t="shared" si="57"/>
        <v>8423</v>
      </c>
      <c r="V170" s="313">
        <f t="shared" si="57"/>
        <v>1905</v>
      </c>
      <c r="W170" s="313">
        <f t="shared" si="57"/>
        <v>15697</v>
      </c>
      <c r="X170" s="313">
        <f t="shared" si="57"/>
        <v>29167</v>
      </c>
      <c r="Y170" s="313">
        <f t="shared" si="57"/>
        <v>636</v>
      </c>
      <c r="Z170" s="313">
        <f t="shared" si="58"/>
        <v>1583</v>
      </c>
      <c r="AA170" s="328">
        <f t="shared" si="58"/>
        <v>0</v>
      </c>
      <c r="AB170" s="104"/>
      <c r="AC170" s="191"/>
      <c r="AD170" s="20"/>
      <c r="AE170" s="193">
        <f t="shared" si="50"/>
        <v>-0.2557073591160588</v>
      </c>
      <c r="AF170" s="20"/>
      <c r="AG170" s="20"/>
    </row>
    <row r="171" spans="1:33" ht="16.5" customHeight="1">
      <c r="A171" s="411"/>
      <c r="C171" s="342">
        <f>+MAX(C$15:C170)+1</f>
        <v>135</v>
      </c>
      <c r="D171" s="165">
        <f>'O&amp;M_Summ'!D126</f>
        <v>921500</v>
      </c>
      <c r="E171" s="252" t="str">
        <f>'O&amp;M_Summ'!E126</f>
        <v>OFC SUP&amp;EXP-QC ADMIN COSTS</v>
      </c>
      <c r="F171" s="252"/>
      <c r="G171" s="19">
        <f>INDEX('O&amp;M_Summ'!$F$9:$W$156,MATCH($E171,'O&amp;M_Summ'!$E$9:$E$156,0),MATCH($E$5,'O&amp;M_Summ'!$F$6:$W$6,0))</f>
        <v>58894.109395256644</v>
      </c>
      <c r="H171" s="138" t="s">
        <v>1067</v>
      </c>
      <c r="J171" s="313">
        <f t="shared" si="57"/>
        <v>0</v>
      </c>
      <c r="K171" s="313">
        <f t="shared" si="57"/>
        <v>1357</v>
      </c>
      <c r="L171" s="313">
        <f t="shared" si="57"/>
        <v>6149</v>
      </c>
      <c r="M171" s="313">
        <f t="shared" si="57"/>
        <v>9313</v>
      </c>
      <c r="N171" s="313">
        <f t="shared" si="57"/>
        <v>1733</v>
      </c>
      <c r="O171" s="313">
        <f t="shared" si="57"/>
        <v>0</v>
      </c>
      <c r="P171" s="313">
        <f t="shared" si="57"/>
        <v>0</v>
      </c>
      <c r="Q171" s="313">
        <f t="shared" si="57"/>
        <v>2834</v>
      </c>
      <c r="R171" s="313">
        <f t="shared" si="57"/>
        <v>1756</v>
      </c>
      <c r="S171" s="313">
        <f t="shared" si="57"/>
        <v>11048</v>
      </c>
      <c r="T171" s="313">
        <f t="shared" si="57"/>
        <v>1305</v>
      </c>
      <c r="U171" s="313">
        <f t="shared" si="57"/>
        <v>3433</v>
      </c>
      <c r="V171" s="313">
        <f t="shared" si="57"/>
        <v>776</v>
      </c>
      <c r="W171" s="313">
        <f t="shared" si="57"/>
        <v>6398</v>
      </c>
      <c r="X171" s="313">
        <f t="shared" si="57"/>
        <v>11888</v>
      </c>
      <c r="Y171" s="313">
        <f t="shared" si="57"/>
        <v>259</v>
      </c>
      <c r="Z171" s="313">
        <f t="shared" si="58"/>
        <v>645</v>
      </c>
      <c r="AA171" s="328">
        <f t="shared" si="58"/>
        <v>0</v>
      </c>
      <c r="AB171" s="104"/>
      <c r="AC171" s="191"/>
      <c r="AD171" s="20"/>
      <c r="AE171" s="193">
        <f t="shared" si="50"/>
        <v>-0.10939525664434768</v>
      </c>
      <c r="AF171" s="20"/>
      <c r="AG171" s="20"/>
    </row>
    <row r="172" spans="1:33" ht="16.5" customHeight="1">
      <c r="A172" s="411"/>
      <c r="C172" s="342">
        <f>+MAX(C$15:C171)+1</f>
        <v>136</v>
      </c>
      <c r="D172" s="165">
        <f>'O&amp;M_Summ'!D127</f>
        <v>921600</v>
      </c>
      <c r="E172" s="252" t="str">
        <f>'O&amp;M_Summ'!E127</f>
        <v>OFC SUP&amp;EXP-PEC ADMIN COSTS</v>
      </c>
      <c r="F172" s="252"/>
      <c r="G172" s="19">
        <f>INDEX('O&amp;M_Summ'!$F$9:$W$156,MATCH($E172,'O&amp;M_Summ'!$E$9:$E$156,0),MATCH($E$5,'O&amp;M_Summ'!$F$6:$W$6,0))</f>
        <v>41454.187965341363</v>
      </c>
      <c r="H172" s="138" t="s">
        <v>1067</v>
      </c>
      <c r="J172" s="313">
        <f t="shared" si="57"/>
        <v>0</v>
      </c>
      <c r="K172" s="313">
        <f t="shared" si="57"/>
        <v>955</v>
      </c>
      <c r="L172" s="313">
        <f t="shared" si="57"/>
        <v>4328</v>
      </c>
      <c r="M172" s="313">
        <f t="shared" si="57"/>
        <v>6555</v>
      </c>
      <c r="N172" s="313">
        <f t="shared" si="57"/>
        <v>1220</v>
      </c>
      <c r="O172" s="313">
        <f t="shared" si="57"/>
        <v>0</v>
      </c>
      <c r="P172" s="313">
        <f t="shared" si="57"/>
        <v>0</v>
      </c>
      <c r="Q172" s="313">
        <f t="shared" si="57"/>
        <v>1995</v>
      </c>
      <c r="R172" s="313">
        <f t="shared" si="57"/>
        <v>1236</v>
      </c>
      <c r="S172" s="313">
        <f t="shared" si="57"/>
        <v>7776</v>
      </c>
      <c r="T172" s="313">
        <f t="shared" si="57"/>
        <v>918</v>
      </c>
      <c r="U172" s="313">
        <f t="shared" si="57"/>
        <v>2416</v>
      </c>
      <c r="V172" s="313">
        <f t="shared" si="57"/>
        <v>546</v>
      </c>
      <c r="W172" s="313">
        <f t="shared" si="57"/>
        <v>4504</v>
      </c>
      <c r="X172" s="313">
        <f t="shared" si="57"/>
        <v>8368</v>
      </c>
      <c r="Y172" s="313">
        <f t="shared" si="57"/>
        <v>183</v>
      </c>
      <c r="Z172" s="313">
        <f t="shared" si="58"/>
        <v>454</v>
      </c>
      <c r="AA172" s="328">
        <f t="shared" si="58"/>
        <v>0</v>
      </c>
      <c r="AB172" s="104"/>
      <c r="AC172" s="191"/>
      <c r="AD172" s="20"/>
      <c r="AE172" s="193">
        <f t="shared" si="50"/>
        <v>-0.18796534136345144</v>
      </c>
      <c r="AF172" s="20"/>
      <c r="AG172" s="20"/>
    </row>
    <row r="173" spans="1:33" ht="16.5" customHeight="1">
      <c r="A173" s="411"/>
      <c r="C173" s="342">
        <f>+MAX(C$15:C172)+1</f>
        <v>137</v>
      </c>
      <c r="D173" s="165">
        <f>'O&amp;M_Summ'!D128</f>
        <v>923010</v>
      </c>
      <c r="E173" s="252" t="str">
        <f>'O&amp;M_Summ'!E128</f>
        <v>O/S SERVICES-ATTORNEY</v>
      </c>
      <c r="F173" s="252"/>
      <c r="G173" s="1884">
        <f>INDEX('O&amp;M_Summ'!$F$9:$W$156,MATCH($E173,'O&amp;M_Summ'!$E$9:$E$156,0),MATCH($E$5,'O&amp;M_Summ'!$F$6:$W$6,0))</f>
        <v>431554.37323281885</v>
      </c>
      <c r="H173" s="138" t="s">
        <v>263</v>
      </c>
      <c r="J173" s="313">
        <f t="shared" si="57"/>
        <v>0</v>
      </c>
      <c r="K173" s="313">
        <f t="shared" si="57"/>
        <v>20715</v>
      </c>
      <c r="L173" s="313">
        <f t="shared" si="57"/>
        <v>138874</v>
      </c>
      <c r="M173" s="313">
        <f t="shared" si="57"/>
        <v>48679</v>
      </c>
      <c r="N173" s="313">
        <f t="shared" si="57"/>
        <v>0</v>
      </c>
      <c r="O173" s="313">
        <f t="shared" si="57"/>
        <v>0</v>
      </c>
      <c r="P173" s="313">
        <f t="shared" si="57"/>
        <v>0</v>
      </c>
      <c r="Q173" s="313">
        <f t="shared" si="57"/>
        <v>43371</v>
      </c>
      <c r="R173" s="313">
        <f t="shared" si="57"/>
        <v>15968</v>
      </c>
      <c r="S173" s="313">
        <f t="shared" si="57"/>
        <v>94251</v>
      </c>
      <c r="T173" s="313">
        <f t="shared" si="57"/>
        <v>12817</v>
      </c>
      <c r="U173" s="313">
        <f t="shared" si="57"/>
        <v>32755</v>
      </c>
      <c r="V173" s="313">
        <f t="shared" si="57"/>
        <v>11868</v>
      </c>
      <c r="W173" s="313">
        <f t="shared" si="57"/>
        <v>8286</v>
      </c>
      <c r="X173" s="313">
        <f t="shared" si="57"/>
        <v>0</v>
      </c>
      <c r="Y173" s="313">
        <f t="shared" si="57"/>
        <v>3970</v>
      </c>
      <c r="Z173" s="313">
        <f t="shared" si="58"/>
        <v>0</v>
      </c>
      <c r="AA173" s="328">
        <f t="shared" si="58"/>
        <v>0</v>
      </c>
      <c r="AB173" s="104"/>
      <c r="AC173" s="191"/>
      <c r="AD173" s="20"/>
      <c r="AE173" s="193">
        <f t="shared" si="50"/>
        <v>-0.37323281884891912</v>
      </c>
      <c r="AF173" s="20"/>
      <c r="AG173" s="20"/>
    </row>
    <row r="174" spans="1:33" ht="16.5" customHeight="1">
      <c r="A174" s="411"/>
      <c r="C174" s="342">
        <f>+MAX(C$15:C173)+1</f>
        <v>138</v>
      </c>
      <c r="D174" s="165">
        <f>'O&amp;M_Summ'!D129</f>
        <v>923020</v>
      </c>
      <c r="E174" s="252" t="str">
        <f>'O&amp;M_Summ'!E129</f>
        <v>O/S SERVICES-AUDITORS</v>
      </c>
      <c r="F174" s="252"/>
      <c r="G174" s="19">
        <f>INDEX('O&amp;M_Summ'!$F$9:$W$156,MATCH($E174,'O&amp;M_Summ'!$E$9:$E$156,0),MATCH($E$5,'O&amp;M_Summ'!$F$6:$W$6,0))</f>
        <v>145328.3953453709</v>
      </c>
      <c r="H174" s="138" t="s">
        <v>263</v>
      </c>
      <c r="J174" s="313">
        <f t="shared" si="57"/>
        <v>0</v>
      </c>
      <c r="K174" s="313">
        <f t="shared" si="57"/>
        <v>6976</v>
      </c>
      <c r="L174" s="313">
        <f t="shared" si="57"/>
        <v>46767</v>
      </c>
      <c r="M174" s="313">
        <f t="shared" si="57"/>
        <v>16393</v>
      </c>
      <c r="N174" s="313">
        <f t="shared" si="57"/>
        <v>0</v>
      </c>
      <c r="O174" s="313">
        <f t="shared" si="57"/>
        <v>0</v>
      </c>
      <c r="P174" s="313">
        <f t="shared" si="57"/>
        <v>0</v>
      </c>
      <c r="Q174" s="313">
        <f t="shared" si="57"/>
        <v>14606</v>
      </c>
      <c r="R174" s="313">
        <f t="shared" si="57"/>
        <v>5377</v>
      </c>
      <c r="S174" s="313">
        <f t="shared" si="57"/>
        <v>31740</v>
      </c>
      <c r="T174" s="313">
        <f t="shared" si="57"/>
        <v>4316</v>
      </c>
      <c r="U174" s="313">
        <f t="shared" si="57"/>
        <v>11030</v>
      </c>
      <c r="V174" s="313">
        <f t="shared" si="57"/>
        <v>3997</v>
      </c>
      <c r="W174" s="313">
        <f t="shared" si="57"/>
        <v>2790</v>
      </c>
      <c r="X174" s="313">
        <f t="shared" si="57"/>
        <v>0</v>
      </c>
      <c r="Y174" s="313">
        <f t="shared" si="57"/>
        <v>1337</v>
      </c>
      <c r="Z174" s="313">
        <f t="shared" si="58"/>
        <v>0</v>
      </c>
      <c r="AA174" s="328">
        <f t="shared" si="58"/>
        <v>0</v>
      </c>
      <c r="AB174" s="104"/>
      <c r="AC174" s="191"/>
      <c r="AD174" s="20"/>
      <c r="AE174" s="193">
        <f t="shared" si="50"/>
        <v>0.60465462910360657</v>
      </c>
      <c r="AF174" s="20"/>
      <c r="AG174" s="20"/>
    </row>
    <row r="175" spans="1:33" ht="16.5" customHeight="1">
      <c r="A175" s="411"/>
      <c r="C175" s="342">
        <f>+MAX(C$15:C174)+1</f>
        <v>139</v>
      </c>
      <c r="D175" s="165">
        <f>'O&amp;M_Summ'!D130</f>
        <v>923030</v>
      </c>
      <c r="E175" s="252" t="str">
        <f>'O&amp;M_Summ'!E130</f>
        <v>O/S SERVICES-CONSULTANTS</v>
      </c>
      <c r="F175" s="252"/>
      <c r="G175" s="19">
        <f>INDEX('O&amp;M_Summ'!$F$9:$W$156,MATCH($E175,'O&amp;M_Summ'!$E$9:$E$156,0),MATCH($E$5,'O&amp;M_Summ'!$F$6:$W$6,0))</f>
        <v>75857.144306838687</v>
      </c>
      <c r="H175" s="138" t="s">
        <v>263</v>
      </c>
      <c r="J175" s="313">
        <f t="shared" si="57"/>
        <v>0</v>
      </c>
      <c r="K175" s="313">
        <f t="shared" si="57"/>
        <v>3641</v>
      </c>
      <c r="L175" s="313">
        <f t="shared" si="57"/>
        <v>24411</v>
      </c>
      <c r="M175" s="313">
        <f t="shared" si="57"/>
        <v>8557</v>
      </c>
      <c r="N175" s="313">
        <f t="shared" si="57"/>
        <v>0</v>
      </c>
      <c r="O175" s="313">
        <f t="shared" si="57"/>
        <v>0</v>
      </c>
      <c r="P175" s="313">
        <f t="shared" si="57"/>
        <v>0</v>
      </c>
      <c r="Q175" s="313">
        <f t="shared" si="57"/>
        <v>7624</v>
      </c>
      <c r="R175" s="313">
        <f t="shared" si="57"/>
        <v>2807</v>
      </c>
      <c r="S175" s="313">
        <f t="shared" si="57"/>
        <v>16567</v>
      </c>
      <c r="T175" s="313">
        <f t="shared" si="57"/>
        <v>2253</v>
      </c>
      <c r="U175" s="313">
        <f t="shared" si="57"/>
        <v>5758</v>
      </c>
      <c r="V175" s="313">
        <f t="shared" si="57"/>
        <v>2086</v>
      </c>
      <c r="W175" s="313">
        <f t="shared" si="57"/>
        <v>1456</v>
      </c>
      <c r="X175" s="313">
        <f t="shared" si="57"/>
        <v>0</v>
      </c>
      <c r="Y175" s="313">
        <f t="shared" si="57"/>
        <v>698</v>
      </c>
      <c r="Z175" s="313">
        <f t="shared" si="58"/>
        <v>0</v>
      </c>
      <c r="AA175" s="328">
        <f t="shared" si="58"/>
        <v>0</v>
      </c>
      <c r="AB175" s="104"/>
      <c r="AC175" s="191"/>
      <c r="AD175" s="20"/>
      <c r="AE175" s="193">
        <f t="shared" si="50"/>
        <v>0.85569316131295636</v>
      </c>
      <c r="AF175" s="20"/>
      <c r="AG175" s="20"/>
    </row>
    <row r="176" spans="1:33" ht="16.5" customHeight="1">
      <c r="A176" s="411"/>
      <c r="C176" s="342">
        <f>+MAX(C$15:C175)+1</f>
        <v>140</v>
      </c>
      <c r="D176" s="165">
        <f>'O&amp;M_Summ'!D131</f>
        <v>923040</v>
      </c>
      <c r="E176" s="252" t="str">
        <f>'O&amp;M_Summ'!E131</f>
        <v>O/S SERVICES-OTHER</v>
      </c>
      <c r="F176" s="252"/>
      <c r="G176" s="19">
        <f>INDEX('O&amp;M_Summ'!$F$9:$W$156,MATCH($E176,'O&amp;M_Summ'!$E$9:$E$156,0),MATCH($E$5,'O&amp;M_Summ'!$F$6:$W$6,0))</f>
        <v>0</v>
      </c>
      <c r="H176" s="138" t="s">
        <v>263</v>
      </c>
      <c r="J176" s="313">
        <f t="shared" si="57"/>
        <v>0</v>
      </c>
      <c r="K176" s="313">
        <f t="shared" si="57"/>
        <v>0</v>
      </c>
      <c r="L176" s="313">
        <f t="shared" si="57"/>
        <v>0</v>
      </c>
      <c r="M176" s="313">
        <f t="shared" si="57"/>
        <v>0</v>
      </c>
      <c r="N176" s="313">
        <f t="shared" si="57"/>
        <v>0</v>
      </c>
      <c r="O176" s="313">
        <f t="shared" si="57"/>
        <v>0</v>
      </c>
      <c r="P176" s="313">
        <f t="shared" si="57"/>
        <v>0</v>
      </c>
      <c r="Q176" s="313">
        <f t="shared" si="57"/>
        <v>0</v>
      </c>
      <c r="R176" s="313">
        <f t="shared" si="57"/>
        <v>0</v>
      </c>
      <c r="S176" s="313">
        <f t="shared" si="57"/>
        <v>0</v>
      </c>
      <c r="T176" s="313">
        <f t="shared" si="57"/>
        <v>0</v>
      </c>
      <c r="U176" s="313">
        <f t="shared" si="57"/>
        <v>0</v>
      </c>
      <c r="V176" s="313">
        <f t="shared" si="57"/>
        <v>0</v>
      </c>
      <c r="W176" s="313">
        <f t="shared" si="57"/>
        <v>0</v>
      </c>
      <c r="X176" s="313">
        <f t="shared" si="57"/>
        <v>0</v>
      </c>
      <c r="Y176" s="313">
        <f t="shared" si="57"/>
        <v>0</v>
      </c>
      <c r="Z176" s="313">
        <f t="shared" si="58"/>
        <v>0</v>
      </c>
      <c r="AA176" s="328">
        <f t="shared" si="58"/>
        <v>0</v>
      </c>
      <c r="AB176" s="104"/>
      <c r="AC176" s="191"/>
      <c r="AD176" s="20"/>
      <c r="AE176" s="193">
        <f t="shared" si="50"/>
        <v>0</v>
      </c>
      <c r="AF176" s="20"/>
      <c r="AG176" s="20"/>
    </row>
    <row r="177" spans="1:33" ht="16.5" customHeight="1">
      <c r="A177" s="411"/>
      <c r="C177" s="342">
        <f>+MAX(C$15:C176)+1</f>
        <v>141</v>
      </c>
      <c r="D177" s="165">
        <f>'O&amp;M_Summ'!D132</f>
        <v>924020</v>
      </c>
      <c r="E177" s="252" t="str">
        <f>'O&amp;M_Summ'!E132</f>
        <v>PROPERTY INSURANCE</v>
      </c>
      <c r="F177" s="1775">
        <v>0.6</v>
      </c>
      <c r="G177" s="1884">
        <f>INDEX('O&amp;M_Summ'!$F$9:$W$156,MATCH($E177,'O&amp;M_Summ'!$E$9:$E$156,0),MATCH($E$5,'O&amp;M_Summ'!$F$6:$W$6,0))*$F177</f>
        <v>132404.51465849185</v>
      </c>
      <c r="H177" s="138" t="s">
        <v>170</v>
      </c>
      <c r="J177" s="313">
        <f t="shared" si="57"/>
        <v>0</v>
      </c>
      <c r="K177" s="313">
        <f t="shared" si="57"/>
        <v>0</v>
      </c>
      <c r="L177" s="313">
        <f t="shared" si="57"/>
        <v>0</v>
      </c>
      <c r="M177" s="313">
        <f t="shared" si="57"/>
        <v>132405</v>
      </c>
      <c r="N177" s="313">
        <f t="shared" si="57"/>
        <v>0</v>
      </c>
      <c r="O177" s="313">
        <f t="shared" si="57"/>
        <v>0</v>
      </c>
      <c r="P177" s="313">
        <f t="shared" si="57"/>
        <v>0</v>
      </c>
      <c r="Q177" s="313">
        <f t="shared" si="57"/>
        <v>0</v>
      </c>
      <c r="R177" s="313">
        <f t="shared" si="57"/>
        <v>0</v>
      </c>
      <c r="S177" s="313">
        <f t="shared" si="57"/>
        <v>0</v>
      </c>
      <c r="T177" s="313">
        <f t="shared" si="57"/>
        <v>0</v>
      </c>
      <c r="U177" s="313">
        <f t="shared" si="57"/>
        <v>0</v>
      </c>
      <c r="V177" s="313">
        <f t="shared" si="57"/>
        <v>0</v>
      </c>
      <c r="W177" s="313">
        <f t="shared" si="57"/>
        <v>0</v>
      </c>
      <c r="X177" s="313">
        <f t="shared" si="57"/>
        <v>0</v>
      </c>
      <c r="Y177" s="313">
        <f t="shared" si="57"/>
        <v>0</v>
      </c>
      <c r="Z177" s="313">
        <f t="shared" si="58"/>
        <v>0</v>
      </c>
      <c r="AA177" s="328">
        <f t="shared" si="58"/>
        <v>0</v>
      </c>
      <c r="AB177" s="104"/>
      <c r="AC177" s="191"/>
      <c r="AD177" s="20"/>
      <c r="AE177" s="193">
        <f t="shared" si="50"/>
        <v>0.48534150814521126</v>
      </c>
      <c r="AF177" s="20"/>
      <c r="AG177" s="20"/>
    </row>
    <row r="178" spans="1:33" ht="16.5" customHeight="1">
      <c r="A178" s="411"/>
      <c r="C178" s="342">
        <f>+MAX(C$15:C177)+1</f>
        <v>142</v>
      </c>
      <c r="D178" s="165">
        <f>'O&amp;M_Summ'!D132</f>
        <v>924020</v>
      </c>
      <c r="E178" s="252" t="str">
        <f>'O&amp;M_Summ'!E132</f>
        <v>PROPERTY INSURANCE</v>
      </c>
      <c r="F178" s="1883">
        <v>0.2</v>
      </c>
      <c r="G178" s="1884">
        <f>INDEX('O&amp;M_Summ'!$F$9:$W$156,MATCH($E178,'O&amp;M_Summ'!$E$9:$E$156,0),MATCH($E$5,'O&amp;M_Summ'!$F$6:$W$6,0))*$F178</f>
        <v>44134.838219497287</v>
      </c>
      <c r="H178" s="138" t="s">
        <v>2764</v>
      </c>
      <c r="J178" s="313">
        <f t="shared" si="57"/>
        <v>0</v>
      </c>
      <c r="K178" s="313">
        <f t="shared" si="57"/>
        <v>44135</v>
      </c>
      <c r="L178" s="313">
        <f t="shared" si="57"/>
        <v>0</v>
      </c>
      <c r="M178" s="313">
        <f t="shared" si="57"/>
        <v>0</v>
      </c>
      <c r="N178" s="313">
        <f t="shared" si="57"/>
        <v>0</v>
      </c>
      <c r="O178" s="313">
        <f t="shared" si="57"/>
        <v>0</v>
      </c>
      <c r="P178" s="313">
        <f t="shared" si="57"/>
        <v>0</v>
      </c>
      <c r="Q178" s="313">
        <f t="shared" si="57"/>
        <v>0</v>
      </c>
      <c r="R178" s="313">
        <f t="shared" si="57"/>
        <v>0</v>
      </c>
      <c r="S178" s="313">
        <f t="shared" si="57"/>
        <v>0</v>
      </c>
      <c r="T178" s="313">
        <f t="shared" si="57"/>
        <v>0</v>
      </c>
      <c r="U178" s="313">
        <f t="shared" si="57"/>
        <v>0</v>
      </c>
      <c r="V178" s="313">
        <f t="shared" si="57"/>
        <v>0</v>
      </c>
      <c r="W178" s="313">
        <f t="shared" si="57"/>
        <v>0</v>
      </c>
      <c r="X178" s="313">
        <f t="shared" si="57"/>
        <v>0</v>
      </c>
      <c r="Y178" s="313">
        <f t="shared" si="57"/>
        <v>0</v>
      </c>
      <c r="Z178" s="313">
        <f t="shared" si="58"/>
        <v>0</v>
      </c>
      <c r="AA178" s="328">
        <f t="shared" si="58"/>
        <v>0</v>
      </c>
      <c r="AB178" s="104"/>
      <c r="AC178" s="191"/>
      <c r="AD178" s="20"/>
      <c r="AE178" s="193">
        <f t="shared" si="50"/>
        <v>0.1617805027126451</v>
      </c>
      <c r="AF178" s="20"/>
      <c r="AG178" s="20"/>
    </row>
    <row r="179" spans="1:33" ht="16.5" customHeight="1">
      <c r="A179" s="411"/>
      <c r="C179" s="342">
        <f>+MAX(C$15:C178)+1</f>
        <v>143</v>
      </c>
      <c r="D179" s="165">
        <f>'O&amp;M_Summ'!D132</f>
        <v>924020</v>
      </c>
      <c r="E179" s="252" t="str">
        <f>'O&amp;M_Summ'!E132</f>
        <v>PROPERTY INSURANCE</v>
      </c>
      <c r="F179" s="1776">
        <v>0.2</v>
      </c>
      <c r="G179" s="1884">
        <f>INDEX('O&amp;M_Summ'!$F$9:$W$156,MATCH($E179,'O&amp;M_Summ'!$E$9:$E$156,0),MATCH($E$5,'O&amp;M_Summ'!$F$6:$W$6,0))*$F179</f>
        <v>44134.838219497287</v>
      </c>
      <c r="H179" s="138" t="s">
        <v>978</v>
      </c>
      <c r="J179" s="313">
        <f t="shared" si="57"/>
        <v>0</v>
      </c>
      <c r="K179" s="313">
        <f t="shared" si="57"/>
        <v>2238</v>
      </c>
      <c r="L179" s="313">
        <f t="shared" si="57"/>
        <v>12495</v>
      </c>
      <c r="M179" s="313">
        <f t="shared" si="57"/>
        <v>5261</v>
      </c>
      <c r="N179" s="313">
        <f t="shared" si="57"/>
        <v>0</v>
      </c>
      <c r="O179" s="313">
        <f t="shared" si="57"/>
        <v>0</v>
      </c>
      <c r="P179" s="313">
        <f t="shared" si="57"/>
        <v>0</v>
      </c>
      <c r="Q179" s="313">
        <f t="shared" si="57"/>
        <v>4692</v>
      </c>
      <c r="R179" s="313">
        <f t="shared" si="57"/>
        <v>1726</v>
      </c>
      <c r="S179" s="313">
        <f t="shared" si="57"/>
        <v>10191</v>
      </c>
      <c r="T179" s="313">
        <f t="shared" si="57"/>
        <v>1386</v>
      </c>
      <c r="U179" s="313">
        <f t="shared" si="57"/>
        <v>3540</v>
      </c>
      <c r="V179" s="313">
        <f t="shared" si="57"/>
        <v>1284</v>
      </c>
      <c r="W179" s="313">
        <f t="shared" si="57"/>
        <v>896</v>
      </c>
      <c r="X179" s="313">
        <f t="shared" si="57"/>
        <v>0</v>
      </c>
      <c r="Y179" s="313">
        <f t="shared" si="57"/>
        <v>428</v>
      </c>
      <c r="Z179" s="313">
        <f t="shared" si="58"/>
        <v>0</v>
      </c>
      <c r="AA179" s="328">
        <f t="shared" si="58"/>
        <v>0</v>
      </c>
      <c r="AB179" s="104"/>
      <c r="AC179" s="191"/>
      <c r="AD179" s="20"/>
      <c r="AE179" s="193">
        <f>SUM(J179:AA179)-G179</f>
        <v>2.1617805027126451</v>
      </c>
      <c r="AF179" s="20"/>
      <c r="AG179" s="20"/>
    </row>
    <row r="180" spans="1:33" ht="16.5" customHeight="1">
      <c r="A180" s="411"/>
      <c r="C180" s="342">
        <f>+MAX(C$15:C179)+1</f>
        <v>144</v>
      </c>
      <c r="D180" s="165">
        <f>'O&amp;M_Summ'!D133</f>
        <v>924040</v>
      </c>
      <c r="E180" s="252" t="str">
        <f>'O&amp;M_Summ'!E133</f>
        <v>INSURANCE ADMINISTRATION</v>
      </c>
      <c r="F180" s="252"/>
      <c r="G180" s="19">
        <f>INDEX('O&amp;M_Summ'!$F$9:$W$156,MATCH($E180,'O&amp;M_Summ'!$E$9:$E$156,0),MATCH($E$5,'O&amp;M_Summ'!$F$6:$W$6,0))</f>
        <v>0</v>
      </c>
      <c r="H180" s="138" t="s">
        <v>263</v>
      </c>
      <c r="J180" s="313">
        <f t="shared" si="57"/>
        <v>0</v>
      </c>
      <c r="K180" s="313">
        <f t="shared" si="57"/>
        <v>0</v>
      </c>
      <c r="L180" s="313">
        <f t="shared" si="57"/>
        <v>0</v>
      </c>
      <c r="M180" s="313">
        <f t="shared" si="57"/>
        <v>0</v>
      </c>
      <c r="N180" s="313">
        <f t="shared" si="57"/>
        <v>0</v>
      </c>
      <c r="O180" s="313">
        <f t="shared" si="57"/>
        <v>0</v>
      </c>
      <c r="P180" s="313">
        <f t="shared" si="57"/>
        <v>0</v>
      </c>
      <c r="Q180" s="313">
        <f t="shared" si="57"/>
        <v>0</v>
      </c>
      <c r="R180" s="313">
        <f t="shared" si="57"/>
        <v>0</v>
      </c>
      <c r="S180" s="313">
        <f t="shared" si="57"/>
        <v>0</v>
      </c>
      <c r="T180" s="313">
        <f t="shared" si="57"/>
        <v>0</v>
      </c>
      <c r="U180" s="313">
        <f t="shared" si="57"/>
        <v>0</v>
      </c>
      <c r="V180" s="313">
        <f t="shared" si="57"/>
        <v>0</v>
      </c>
      <c r="W180" s="313">
        <f t="shared" si="57"/>
        <v>0</v>
      </c>
      <c r="X180" s="313">
        <f t="shared" si="57"/>
        <v>0</v>
      </c>
      <c r="Y180" s="313">
        <f t="shared" si="57"/>
        <v>0</v>
      </c>
      <c r="Z180" s="313">
        <f t="shared" si="58"/>
        <v>0</v>
      </c>
      <c r="AA180" s="328">
        <f t="shared" si="58"/>
        <v>0</v>
      </c>
      <c r="AB180" s="104"/>
      <c r="AC180" s="191"/>
      <c r="AD180" s="20"/>
      <c r="AE180" s="193">
        <f t="shared" si="50"/>
        <v>0</v>
      </c>
      <c r="AF180" s="20"/>
      <c r="AG180" s="20"/>
    </row>
    <row r="181" spans="1:33" ht="16.5" customHeight="1">
      <c r="A181" s="411"/>
      <c r="C181" s="342">
        <f>+MAX(C$15:C180)+1</f>
        <v>145</v>
      </c>
      <c r="D181" s="165">
        <f>'O&amp;M_Summ'!D134</f>
        <v>924500</v>
      </c>
      <c r="E181" s="252" t="str">
        <f>'O&amp;M_Summ'!E134</f>
        <v>PROPERTY INSURANCE - QC</v>
      </c>
      <c r="F181" s="252"/>
      <c r="G181" s="19">
        <f>INDEX('O&amp;M_Summ'!$F$9:$W$156,MATCH($E181,'O&amp;M_Summ'!$E$9:$E$156,0),MATCH($E$5,'O&amp;M_Summ'!$F$6:$W$6,0))</f>
        <v>17629.263841202664</v>
      </c>
      <c r="H181" s="138" t="s">
        <v>2764</v>
      </c>
      <c r="J181" s="313">
        <f t="shared" si="57"/>
        <v>0</v>
      </c>
      <c r="K181" s="313">
        <f t="shared" si="57"/>
        <v>17629</v>
      </c>
      <c r="L181" s="313">
        <f t="shared" si="57"/>
        <v>0</v>
      </c>
      <c r="M181" s="313">
        <f t="shared" si="57"/>
        <v>0</v>
      </c>
      <c r="N181" s="313">
        <f t="shared" si="57"/>
        <v>0</v>
      </c>
      <c r="O181" s="313">
        <f t="shared" si="57"/>
        <v>0</v>
      </c>
      <c r="P181" s="313">
        <f t="shared" si="57"/>
        <v>0</v>
      </c>
      <c r="Q181" s="313">
        <f t="shared" si="57"/>
        <v>0</v>
      </c>
      <c r="R181" s="313">
        <f t="shared" si="57"/>
        <v>0</v>
      </c>
      <c r="S181" s="313">
        <f t="shared" si="57"/>
        <v>0</v>
      </c>
      <c r="T181" s="313">
        <f t="shared" si="57"/>
        <v>0</v>
      </c>
      <c r="U181" s="313">
        <f t="shared" si="57"/>
        <v>0</v>
      </c>
      <c r="V181" s="313">
        <f t="shared" si="57"/>
        <v>0</v>
      </c>
      <c r="W181" s="313">
        <f t="shared" si="57"/>
        <v>0</v>
      </c>
      <c r="X181" s="313">
        <f t="shared" si="57"/>
        <v>0</v>
      </c>
      <c r="Y181" s="313">
        <f t="shared" si="57"/>
        <v>0</v>
      </c>
      <c r="Z181" s="313">
        <f t="shared" si="58"/>
        <v>0</v>
      </c>
      <c r="AA181" s="328">
        <f t="shared" si="58"/>
        <v>0</v>
      </c>
      <c r="AB181" s="104"/>
      <c r="AC181" s="191"/>
      <c r="AD181" s="20"/>
      <c r="AE181" s="193">
        <f t="shared" si="50"/>
        <v>-0.26384120266448008</v>
      </c>
      <c r="AF181" s="20"/>
      <c r="AG181" s="20"/>
    </row>
    <row r="182" spans="1:33" ht="16.5" customHeight="1">
      <c r="A182" s="411"/>
      <c r="C182" s="342">
        <f>+MAX(C$15:C181)+1</f>
        <v>146</v>
      </c>
      <c r="D182" s="165">
        <f>'O&amp;M_Summ'!D135</f>
        <v>924600</v>
      </c>
      <c r="E182" s="252" t="str">
        <f>'O&amp;M_Summ'!E135</f>
        <v>PROPERTY INSURANCE - PEC</v>
      </c>
      <c r="F182" s="252"/>
      <c r="G182" s="19">
        <f>INDEX('O&amp;M_Summ'!$F$9:$W$156,MATCH($E182,'O&amp;M_Summ'!$E$9:$E$156,0),MATCH($E$5,'O&amp;M_Summ'!$F$6:$W$6,0))</f>
        <v>14771.316190231813</v>
      </c>
      <c r="H182" s="138" t="s">
        <v>2764</v>
      </c>
      <c r="J182" s="313">
        <f t="shared" si="57"/>
        <v>0</v>
      </c>
      <c r="K182" s="313">
        <f t="shared" si="57"/>
        <v>14771</v>
      </c>
      <c r="L182" s="313">
        <f t="shared" si="57"/>
        <v>0</v>
      </c>
      <c r="M182" s="313">
        <f t="shared" si="57"/>
        <v>0</v>
      </c>
      <c r="N182" s="313">
        <f t="shared" si="57"/>
        <v>0</v>
      </c>
      <c r="O182" s="313">
        <f t="shared" si="57"/>
        <v>0</v>
      </c>
      <c r="P182" s="313">
        <f t="shared" si="57"/>
        <v>0</v>
      </c>
      <c r="Q182" s="313">
        <f t="shared" si="57"/>
        <v>0</v>
      </c>
      <c r="R182" s="313">
        <f t="shared" si="57"/>
        <v>0</v>
      </c>
      <c r="S182" s="313">
        <f t="shared" si="57"/>
        <v>0</v>
      </c>
      <c r="T182" s="313">
        <f t="shared" si="57"/>
        <v>0</v>
      </c>
      <c r="U182" s="313">
        <f t="shared" si="57"/>
        <v>0</v>
      </c>
      <c r="V182" s="313">
        <f t="shared" si="57"/>
        <v>0</v>
      </c>
      <c r="W182" s="313">
        <f t="shared" si="57"/>
        <v>0</v>
      </c>
      <c r="X182" s="313">
        <f t="shared" si="57"/>
        <v>0</v>
      </c>
      <c r="Y182" s="313">
        <f t="shared" si="57"/>
        <v>0</v>
      </c>
      <c r="Z182" s="313">
        <f t="shared" si="58"/>
        <v>0</v>
      </c>
      <c r="AA182" s="328">
        <f t="shared" si="58"/>
        <v>0</v>
      </c>
      <c r="AB182" s="104"/>
      <c r="AC182" s="191"/>
      <c r="AD182" s="20"/>
      <c r="AE182" s="193">
        <f t="shared" si="50"/>
        <v>-0.3161902318133798</v>
      </c>
      <c r="AF182" s="20"/>
      <c r="AG182" s="20"/>
    </row>
    <row r="183" spans="1:33" ht="16.5" customHeight="1">
      <c r="A183" s="411"/>
      <c r="C183" s="342">
        <f>+MAX(C$15:C182)+1</f>
        <v>147</v>
      </c>
      <c r="D183" s="165">
        <f>'O&amp;M_Summ'!D136</f>
        <v>925030</v>
      </c>
      <c r="E183" s="252" t="str">
        <f>'O&amp;M_Summ'!E136</f>
        <v>INJ &amp; DAMAGES-GENERAL</v>
      </c>
      <c r="F183" s="252"/>
      <c r="G183" s="19">
        <f>INDEX('O&amp;M_Summ'!$F$9:$W$156,MATCH($E183,'O&amp;M_Summ'!$E$9:$E$156,0),MATCH($E$5,'O&amp;M_Summ'!$F$6:$W$6,0))</f>
        <v>947980.59970268712</v>
      </c>
      <c r="H183" s="138" t="s">
        <v>1067</v>
      </c>
      <c r="J183" s="313">
        <f t="shared" si="57"/>
        <v>0</v>
      </c>
      <c r="K183" s="313">
        <f t="shared" si="57"/>
        <v>21843</v>
      </c>
      <c r="L183" s="313">
        <f t="shared" si="57"/>
        <v>98978</v>
      </c>
      <c r="M183" s="313">
        <f t="shared" si="57"/>
        <v>149898</v>
      </c>
      <c r="N183" s="313">
        <f t="shared" si="57"/>
        <v>27898</v>
      </c>
      <c r="O183" s="313">
        <f t="shared" si="57"/>
        <v>0</v>
      </c>
      <c r="P183" s="313">
        <f t="shared" si="57"/>
        <v>0</v>
      </c>
      <c r="Q183" s="313">
        <f t="shared" si="57"/>
        <v>45614</v>
      </c>
      <c r="R183" s="313">
        <f t="shared" si="57"/>
        <v>28258</v>
      </c>
      <c r="S183" s="313">
        <f t="shared" si="57"/>
        <v>177829</v>
      </c>
      <c r="T183" s="313">
        <f t="shared" si="57"/>
        <v>20999</v>
      </c>
      <c r="U183" s="313">
        <f t="shared" si="57"/>
        <v>55261</v>
      </c>
      <c r="V183" s="313">
        <f t="shared" si="57"/>
        <v>12496</v>
      </c>
      <c r="W183" s="313">
        <f t="shared" si="57"/>
        <v>102987</v>
      </c>
      <c r="X183" s="313">
        <f t="shared" si="57"/>
        <v>191358</v>
      </c>
      <c r="Y183" s="313">
        <f t="shared" ref="Y183:Y188" si="59">+ROUND($G183*SUMIF($E$260:$E$302,$H183,Y$260:Y$302),$AD$10)</f>
        <v>4174</v>
      </c>
      <c r="Z183" s="313">
        <f t="shared" si="58"/>
        <v>10388</v>
      </c>
      <c r="AA183" s="328">
        <f t="shared" si="58"/>
        <v>0</v>
      </c>
      <c r="AB183" s="104"/>
      <c r="AC183" s="191"/>
      <c r="AD183" s="20"/>
      <c r="AE183" s="193">
        <f t="shared" si="50"/>
        <v>0.40029731288086623</v>
      </c>
      <c r="AF183" s="20"/>
      <c r="AG183" s="20"/>
    </row>
    <row r="184" spans="1:33" ht="16.5" customHeight="1">
      <c r="A184" s="411"/>
      <c r="C184" s="342">
        <f>+MAX(C$15:C183)+1</f>
        <v>148</v>
      </c>
      <c r="D184" s="165">
        <f>'O&amp;M_Summ'!D137</f>
        <v>925040</v>
      </c>
      <c r="E184" s="252" t="str">
        <f>'O&amp;M_Summ'!E137</f>
        <v>INJ &amp; DAMAGES-LIAB INSUR</v>
      </c>
      <c r="F184" s="252"/>
      <c r="G184" s="19">
        <f>INDEX('O&amp;M_Summ'!$F$9:$W$156,MATCH($E184,'O&amp;M_Summ'!$E$9:$E$156,0),MATCH($E$5,'O&amp;M_Summ'!$F$6:$W$6,0))</f>
        <v>585755.95574474777</v>
      </c>
      <c r="H184" s="138" t="s">
        <v>1067</v>
      </c>
      <c r="J184" s="313">
        <f t="shared" ref="J184:X188" si="60">+ROUND($G184*SUMIF($E$260:$E$302,$H184,J$260:J$302),$AD$10)</f>
        <v>0</v>
      </c>
      <c r="K184" s="313">
        <f t="shared" si="60"/>
        <v>13497</v>
      </c>
      <c r="L184" s="313">
        <f t="shared" si="60"/>
        <v>61158</v>
      </c>
      <c r="M184" s="313">
        <f t="shared" si="60"/>
        <v>92622</v>
      </c>
      <c r="N184" s="313">
        <f t="shared" si="60"/>
        <v>17238</v>
      </c>
      <c r="O184" s="313">
        <f t="shared" si="60"/>
        <v>0</v>
      </c>
      <c r="P184" s="313">
        <f t="shared" si="60"/>
        <v>0</v>
      </c>
      <c r="Q184" s="313">
        <f t="shared" si="60"/>
        <v>28185</v>
      </c>
      <c r="R184" s="313">
        <f t="shared" si="60"/>
        <v>17461</v>
      </c>
      <c r="S184" s="313">
        <f t="shared" si="60"/>
        <v>109880</v>
      </c>
      <c r="T184" s="313">
        <f t="shared" si="60"/>
        <v>12975</v>
      </c>
      <c r="U184" s="313">
        <f t="shared" si="60"/>
        <v>34146</v>
      </c>
      <c r="V184" s="313">
        <f t="shared" si="60"/>
        <v>7721</v>
      </c>
      <c r="W184" s="313">
        <f t="shared" si="60"/>
        <v>63635</v>
      </c>
      <c r="X184" s="313">
        <f t="shared" si="60"/>
        <v>118240</v>
      </c>
      <c r="Y184" s="313">
        <f t="shared" si="59"/>
        <v>2579</v>
      </c>
      <c r="Z184" s="313">
        <f t="shared" si="58"/>
        <v>6419</v>
      </c>
      <c r="AA184" s="328">
        <f t="shared" si="58"/>
        <v>0</v>
      </c>
      <c r="AB184" s="104"/>
      <c r="AC184" s="191"/>
      <c r="AD184" s="20"/>
      <c r="AE184" s="193">
        <f t="shared" si="50"/>
        <v>4.4255252229049802E-2</v>
      </c>
      <c r="AF184" s="20"/>
      <c r="AG184" s="20"/>
    </row>
    <row r="185" spans="1:33" ht="16.5" customHeight="1">
      <c r="A185" s="411"/>
      <c r="C185" s="342">
        <f>+MAX(C$15:C184)+1</f>
        <v>149</v>
      </c>
      <c r="D185" s="165">
        <f>'O&amp;M_Summ'!D138</f>
        <v>925050</v>
      </c>
      <c r="E185" s="252" t="str">
        <f>'O&amp;M_Summ'!E138</f>
        <v>INJ &amp; DAMAGES-MINOR CLAIMS</v>
      </c>
      <c r="F185" s="252"/>
      <c r="G185" s="19">
        <f>INDEX('O&amp;M_Summ'!$F$9:$W$156,MATCH($E185,'O&amp;M_Summ'!$E$9:$E$156,0),MATCH($E$5,'O&amp;M_Summ'!$F$6:$W$6,0))</f>
        <v>1883.9617632422355</v>
      </c>
      <c r="H185" s="138" t="s">
        <v>1067</v>
      </c>
      <c r="J185" s="313">
        <f t="shared" si="60"/>
        <v>0</v>
      </c>
      <c r="K185" s="313">
        <f t="shared" si="60"/>
        <v>43</v>
      </c>
      <c r="L185" s="313">
        <f t="shared" si="60"/>
        <v>197</v>
      </c>
      <c r="M185" s="313">
        <f t="shared" si="60"/>
        <v>298</v>
      </c>
      <c r="N185" s="313">
        <f t="shared" si="60"/>
        <v>55</v>
      </c>
      <c r="O185" s="313">
        <f t="shared" si="60"/>
        <v>0</v>
      </c>
      <c r="P185" s="313">
        <f t="shared" si="60"/>
        <v>0</v>
      </c>
      <c r="Q185" s="313">
        <f t="shared" si="60"/>
        <v>91</v>
      </c>
      <c r="R185" s="313">
        <f t="shared" si="60"/>
        <v>56</v>
      </c>
      <c r="S185" s="313">
        <f t="shared" si="60"/>
        <v>353</v>
      </c>
      <c r="T185" s="313">
        <f t="shared" si="60"/>
        <v>42</v>
      </c>
      <c r="U185" s="313">
        <f t="shared" si="60"/>
        <v>110</v>
      </c>
      <c r="V185" s="313">
        <f t="shared" si="60"/>
        <v>25</v>
      </c>
      <c r="W185" s="313">
        <f t="shared" si="60"/>
        <v>205</v>
      </c>
      <c r="X185" s="313">
        <f t="shared" si="60"/>
        <v>380</v>
      </c>
      <c r="Y185" s="313">
        <f t="shared" si="59"/>
        <v>8</v>
      </c>
      <c r="Z185" s="313">
        <f t="shared" si="58"/>
        <v>21</v>
      </c>
      <c r="AA185" s="328">
        <f t="shared" si="58"/>
        <v>0</v>
      </c>
      <c r="AB185" s="104"/>
      <c r="AC185" s="191"/>
      <c r="AD185" s="20"/>
      <c r="AE185" s="193">
        <f t="shared" si="50"/>
        <v>3.8236757764479989E-2</v>
      </c>
      <c r="AF185" s="20"/>
      <c r="AG185" s="20"/>
    </row>
    <row r="186" spans="1:33" s="3094" customFormat="1" ht="16.5" customHeight="1">
      <c r="A186" s="411"/>
      <c r="C186" s="342">
        <f>+MAX(C$15:C185)+1</f>
        <v>150</v>
      </c>
      <c r="D186" s="165">
        <f>'O&amp;M_Summ'!D139</f>
        <v>926010</v>
      </c>
      <c r="E186" s="252" t="str">
        <f>'O&amp;M_Summ'!E139</f>
        <v>ELECT REVENUE-PERS 1 EXPENSE</v>
      </c>
      <c r="F186" s="252"/>
      <c r="G186" s="19">
        <f>INDEX('O&amp;M_Summ'!$F$9:$W$156,MATCH($E186,'O&amp;M_Summ'!$E$9:$E$156,0),MATCH($E$5,'O&amp;M_Summ'!$F$6:$W$6,0))</f>
        <v>-1662740.9823013137</v>
      </c>
      <c r="H186" s="138" t="s">
        <v>1067</v>
      </c>
      <c r="I186" s="165"/>
      <c r="J186" s="313">
        <f t="shared" si="60"/>
        <v>0</v>
      </c>
      <c r="K186" s="313">
        <f t="shared" si="60"/>
        <v>-38312</v>
      </c>
      <c r="L186" s="313">
        <f t="shared" si="60"/>
        <v>-173605</v>
      </c>
      <c r="M186" s="313">
        <f t="shared" si="60"/>
        <v>-262919</v>
      </c>
      <c r="N186" s="313">
        <f t="shared" si="60"/>
        <v>-48933</v>
      </c>
      <c r="O186" s="313">
        <f t="shared" si="60"/>
        <v>0</v>
      </c>
      <c r="P186" s="313">
        <f t="shared" si="60"/>
        <v>0</v>
      </c>
      <c r="Q186" s="313">
        <f t="shared" si="60"/>
        <v>-80006</v>
      </c>
      <c r="R186" s="313">
        <f t="shared" si="60"/>
        <v>-49564</v>
      </c>
      <c r="S186" s="313">
        <f t="shared" si="60"/>
        <v>-311909</v>
      </c>
      <c r="T186" s="313">
        <f t="shared" si="60"/>
        <v>-36832</v>
      </c>
      <c r="U186" s="313">
        <f t="shared" si="60"/>
        <v>-96927</v>
      </c>
      <c r="V186" s="313">
        <f t="shared" si="60"/>
        <v>-21918</v>
      </c>
      <c r="W186" s="313">
        <f t="shared" si="60"/>
        <v>-180637</v>
      </c>
      <c r="X186" s="313">
        <f t="shared" si="60"/>
        <v>-335639</v>
      </c>
      <c r="Y186" s="313">
        <f t="shared" si="59"/>
        <v>-7321</v>
      </c>
      <c r="Z186" s="313">
        <f t="shared" si="58"/>
        <v>-18221</v>
      </c>
      <c r="AA186" s="328">
        <f t="shared" si="58"/>
        <v>0</v>
      </c>
      <c r="AB186" s="104"/>
      <c r="AC186" s="191"/>
      <c r="AD186" s="20"/>
      <c r="AE186" s="193"/>
      <c r="AF186" s="20"/>
      <c r="AG186" s="20"/>
    </row>
    <row r="187" spans="1:33" s="3094" customFormat="1" ht="16.5" customHeight="1">
      <c r="A187" s="411"/>
      <c r="C187" s="342">
        <f>+MAX(C$15:C186)+1</f>
        <v>151</v>
      </c>
      <c r="D187" s="165">
        <f>'O&amp;M_Summ'!D140</f>
        <v>926020</v>
      </c>
      <c r="E187" s="252" t="str">
        <f>'O&amp;M_Summ'!E140</f>
        <v>ELECT REVENUE-PERS 2/3 EXPENSE</v>
      </c>
      <c r="F187" s="252"/>
      <c r="G187" s="19">
        <f>INDEX('O&amp;M_Summ'!$F$9:$W$156,MATCH($E187,'O&amp;M_Summ'!$E$9:$E$156,0),MATCH($E$5,'O&amp;M_Summ'!$F$6:$W$6,0))</f>
        <v>-757045.23763676896</v>
      </c>
      <c r="H187" s="138" t="s">
        <v>1067</v>
      </c>
      <c r="I187" s="165"/>
      <c r="J187" s="313">
        <f t="shared" si="60"/>
        <v>0</v>
      </c>
      <c r="K187" s="313">
        <f t="shared" si="60"/>
        <v>-17444</v>
      </c>
      <c r="L187" s="313">
        <f t="shared" si="60"/>
        <v>-79042</v>
      </c>
      <c r="M187" s="313">
        <f t="shared" si="60"/>
        <v>-119707</v>
      </c>
      <c r="N187" s="313">
        <f t="shared" si="60"/>
        <v>-22279</v>
      </c>
      <c r="O187" s="313">
        <f t="shared" si="60"/>
        <v>0</v>
      </c>
      <c r="P187" s="313">
        <f t="shared" si="60"/>
        <v>0</v>
      </c>
      <c r="Q187" s="313">
        <f t="shared" si="60"/>
        <v>-36426</v>
      </c>
      <c r="R187" s="313">
        <f t="shared" si="60"/>
        <v>-22566</v>
      </c>
      <c r="S187" s="313">
        <f t="shared" si="60"/>
        <v>-142012</v>
      </c>
      <c r="T187" s="313">
        <f t="shared" si="60"/>
        <v>-16770</v>
      </c>
      <c r="U187" s="313">
        <f t="shared" si="60"/>
        <v>-44131</v>
      </c>
      <c r="V187" s="313">
        <f t="shared" si="60"/>
        <v>-9979</v>
      </c>
      <c r="W187" s="313">
        <f t="shared" si="60"/>
        <v>-82244</v>
      </c>
      <c r="X187" s="313">
        <f t="shared" si="60"/>
        <v>-152816</v>
      </c>
      <c r="Y187" s="313">
        <f t="shared" si="59"/>
        <v>-3333</v>
      </c>
      <c r="Z187" s="313">
        <f t="shared" si="58"/>
        <v>-8296</v>
      </c>
      <c r="AA187" s="328">
        <f t="shared" si="58"/>
        <v>0</v>
      </c>
      <c r="AB187" s="104"/>
      <c r="AC187" s="191"/>
      <c r="AD187" s="20"/>
      <c r="AE187" s="193"/>
      <c r="AF187" s="20"/>
      <c r="AG187" s="20"/>
    </row>
    <row r="188" spans="1:33" s="3094" customFormat="1" ht="16.5" customHeight="1">
      <c r="A188" s="411"/>
      <c r="C188" s="342">
        <f>+MAX(C$15:C187)+1</f>
        <v>152</v>
      </c>
      <c r="D188" s="165">
        <f>'O&amp;M_Summ'!D141</f>
        <v>926900</v>
      </c>
      <c r="E188" s="252" t="str">
        <f>'O&amp;M_Summ'!E141</f>
        <v>ELECT REVENUE-PERS EXPENSE RECLASS GASB 68</v>
      </c>
      <c r="F188" s="252"/>
      <c r="G188" s="19">
        <f>INDEX('O&amp;M_Summ'!$F$9:$W$156,MATCH($E188,'O&amp;M_Summ'!$E$9:$E$156,0),MATCH($E$5,'O&amp;M_Summ'!$F$6:$W$6,0))</f>
        <v>571414.11890603858</v>
      </c>
      <c r="H188" s="138" t="s">
        <v>1067</v>
      </c>
      <c r="I188" s="165"/>
      <c r="J188" s="313">
        <f t="shared" si="60"/>
        <v>0</v>
      </c>
      <c r="K188" s="313">
        <f t="shared" si="60"/>
        <v>13166</v>
      </c>
      <c r="L188" s="313">
        <f t="shared" si="60"/>
        <v>59661</v>
      </c>
      <c r="M188" s="313">
        <f t="shared" si="60"/>
        <v>90354</v>
      </c>
      <c r="N188" s="313">
        <f t="shared" si="60"/>
        <v>16816</v>
      </c>
      <c r="O188" s="313">
        <f t="shared" si="60"/>
        <v>0</v>
      </c>
      <c r="P188" s="313">
        <f t="shared" si="60"/>
        <v>0</v>
      </c>
      <c r="Q188" s="313">
        <f t="shared" si="60"/>
        <v>27495</v>
      </c>
      <c r="R188" s="313">
        <f t="shared" si="60"/>
        <v>17033</v>
      </c>
      <c r="S188" s="313">
        <f t="shared" si="60"/>
        <v>107190</v>
      </c>
      <c r="T188" s="313">
        <f t="shared" si="60"/>
        <v>12658</v>
      </c>
      <c r="U188" s="313">
        <f t="shared" si="60"/>
        <v>33310</v>
      </c>
      <c r="V188" s="313">
        <f t="shared" si="60"/>
        <v>7532</v>
      </c>
      <c r="W188" s="313">
        <f t="shared" si="60"/>
        <v>62077</v>
      </c>
      <c r="X188" s="313">
        <f t="shared" si="60"/>
        <v>115345</v>
      </c>
      <c r="Y188" s="313">
        <f t="shared" si="59"/>
        <v>2516</v>
      </c>
      <c r="Z188" s="313">
        <f t="shared" si="58"/>
        <v>6262</v>
      </c>
      <c r="AA188" s="328">
        <f t="shared" si="58"/>
        <v>0</v>
      </c>
      <c r="AB188" s="104"/>
      <c r="AC188" s="191"/>
      <c r="AD188" s="20"/>
      <c r="AE188" s="193"/>
      <c r="AF188" s="20"/>
      <c r="AG188" s="20"/>
    </row>
    <row r="189" spans="1:33" ht="16.5" customHeight="1">
      <c r="A189" s="411"/>
      <c r="C189" s="342">
        <f>+MAX(C$15:C188)+1</f>
        <v>153</v>
      </c>
      <c r="D189" s="165">
        <f>'O&amp;M_Summ'!D142</f>
        <v>926999</v>
      </c>
      <c r="E189" s="252" t="str">
        <f>'O&amp;M_Summ'!E142</f>
        <v>OPEB EXPENSE</v>
      </c>
      <c r="F189" s="252"/>
      <c r="G189" s="19">
        <f>INDEX('O&amp;M_Summ'!$F$9:$W$156,MATCH($E189,'O&amp;M_Summ'!$E$9:$E$156,0),MATCH($E$5,'O&amp;M_Summ'!$F$6:$W$6,0))</f>
        <v>239938.67617993004</v>
      </c>
      <c r="H189" s="138" t="s">
        <v>1067</v>
      </c>
      <c r="J189" s="313">
        <f t="shared" ref="J189:S202" si="61">+ROUND($G189*SUMIF($E$260:$E$302,$H189,J$260:J$302),$AD$10)</f>
        <v>0</v>
      </c>
      <c r="K189" s="313">
        <f t="shared" si="61"/>
        <v>5529</v>
      </c>
      <c r="L189" s="313">
        <f t="shared" si="61"/>
        <v>25052</v>
      </c>
      <c r="M189" s="313">
        <f t="shared" si="61"/>
        <v>37940</v>
      </c>
      <c r="N189" s="313">
        <f t="shared" si="61"/>
        <v>7061</v>
      </c>
      <c r="O189" s="313">
        <f t="shared" si="61"/>
        <v>0</v>
      </c>
      <c r="P189" s="313">
        <f t="shared" si="61"/>
        <v>0</v>
      </c>
      <c r="Q189" s="313">
        <f t="shared" si="61"/>
        <v>11545</v>
      </c>
      <c r="R189" s="313">
        <f t="shared" si="61"/>
        <v>7152</v>
      </c>
      <c r="S189" s="313">
        <f t="shared" si="61"/>
        <v>45009</v>
      </c>
      <c r="T189" s="313">
        <f t="shared" ref="T189:AA202" si="62">+ROUND($G189*SUMIF($E$260:$E$302,$H189,T$260:T$302),$AD$10)</f>
        <v>5315</v>
      </c>
      <c r="U189" s="313">
        <f t="shared" si="62"/>
        <v>13987</v>
      </c>
      <c r="V189" s="313">
        <f t="shared" si="62"/>
        <v>3163</v>
      </c>
      <c r="W189" s="313">
        <f t="shared" si="62"/>
        <v>26066</v>
      </c>
      <c r="X189" s="313">
        <f t="shared" si="62"/>
        <v>48434</v>
      </c>
      <c r="Y189" s="313">
        <f t="shared" si="62"/>
        <v>1056</v>
      </c>
      <c r="Z189" s="313">
        <f t="shared" si="62"/>
        <v>2629</v>
      </c>
      <c r="AA189" s="328">
        <f t="shared" si="62"/>
        <v>0</v>
      </c>
      <c r="AB189" s="104"/>
      <c r="AC189" s="191"/>
      <c r="AD189" s="20"/>
      <c r="AE189" s="193">
        <f t="shared" si="50"/>
        <v>-0.67617993004387245</v>
      </c>
      <c r="AF189" s="20"/>
      <c r="AG189" s="20"/>
    </row>
    <row r="190" spans="1:33" ht="16.5" customHeight="1">
      <c r="A190" s="411"/>
      <c r="C190" s="342">
        <f>+MAX(C$15:C189)+1</f>
        <v>154</v>
      </c>
      <c r="D190" s="165">
        <f>'O&amp;M_Summ'!D143</f>
        <v>928030</v>
      </c>
      <c r="E190" s="252" t="str">
        <f>'O&amp;M_Summ'!E143</f>
        <v>REG COMM EXP-LITIGATION</v>
      </c>
      <c r="F190" s="252"/>
      <c r="G190" s="19">
        <f>INDEX('O&amp;M_Summ'!$F$9:$W$156,MATCH($E190,'O&amp;M_Summ'!$E$9:$E$156,0),MATCH($E$5,'O&amp;M_Summ'!$F$6:$W$6,0))</f>
        <v>0</v>
      </c>
      <c r="H190" s="138" t="s">
        <v>263</v>
      </c>
      <c r="J190" s="313">
        <f t="shared" si="61"/>
        <v>0</v>
      </c>
      <c r="K190" s="313">
        <f t="shared" si="61"/>
        <v>0</v>
      </c>
      <c r="L190" s="313">
        <f t="shared" si="61"/>
        <v>0</v>
      </c>
      <c r="M190" s="313">
        <f t="shared" si="61"/>
        <v>0</v>
      </c>
      <c r="N190" s="313">
        <f t="shared" si="61"/>
        <v>0</v>
      </c>
      <c r="O190" s="313">
        <f t="shared" si="61"/>
        <v>0</v>
      </c>
      <c r="P190" s="313">
        <f t="shared" si="61"/>
        <v>0</v>
      </c>
      <c r="Q190" s="313">
        <f t="shared" si="61"/>
        <v>0</v>
      </c>
      <c r="R190" s="313">
        <f t="shared" si="61"/>
        <v>0</v>
      </c>
      <c r="S190" s="313">
        <f t="shared" si="61"/>
        <v>0</v>
      </c>
      <c r="T190" s="313">
        <f t="shared" si="62"/>
        <v>0</v>
      </c>
      <c r="U190" s="313">
        <f t="shared" si="62"/>
        <v>0</v>
      </c>
      <c r="V190" s="313">
        <f t="shared" si="62"/>
        <v>0</v>
      </c>
      <c r="W190" s="313">
        <f t="shared" si="62"/>
        <v>0</v>
      </c>
      <c r="X190" s="313">
        <f t="shared" si="62"/>
        <v>0</v>
      </c>
      <c r="Y190" s="313">
        <f t="shared" si="62"/>
        <v>0</v>
      </c>
      <c r="Z190" s="313">
        <f t="shared" si="62"/>
        <v>0</v>
      </c>
      <c r="AA190" s="328">
        <f t="shared" si="62"/>
        <v>0</v>
      </c>
      <c r="AB190" s="104"/>
      <c r="AC190" s="191"/>
      <c r="AD190" s="20"/>
      <c r="AE190" s="193">
        <f t="shared" si="50"/>
        <v>0</v>
      </c>
      <c r="AF190" s="20"/>
      <c r="AG190" s="20"/>
    </row>
    <row r="191" spans="1:33" ht="16.5" customHeight="1">
      <c r="A191" s="411"/>
      <c r="C191" s="342">
        <f>+MAX(C$15:C190)+1</f>
        <v>155</v>
      </c>
      <c r="D191" s="165">
        <f>'O&amp;M_Summ'!D144</f>
        <v>928500</v>
      </c>
      <c r="E191" s="252" t="str">
        <f>'O&amp;M_Summ'!E144</f>
        <v>REG COMM EXP-FERC-QC</v>
      </c>
      <c r="F191" s="252"/>
      <c r="G191" s="19">
        <f>INDEX('O&amp;M_Summ'!$F$9:$W$156,MATCH($E191,'O&amp;M_Summ'!$E$9:$E$156,0),MATCH($E$5,'O&amp;M_Summ'!$F$6:$W$6,0))</f>
        <v>20601.316296556783</v>
      </c>
      <c r="H191" s="138" t="s">
        <v>263</v>
      </c>
      <c r="J191" s="313">
        <f t="shared" si="61"/>
        <v>0</v>
      </c>
      <c r="K191" s="313">
        <f t="shared" si="61"/>
        <v>989</v>
      </c>
      <c r="L191" s="313">
        <f t="shared" si="61"/>
        <v>6630</v>
      </c>
      <c r="M191" s="313">
        <f t="shared" si="61"/>
        <v>2324</v>
      </c>
      <c r="N191" s="313">
        <f t="shared" si="61"/>
        <v>0</v>
      </c>
      <c r="O191" s="313">
        <f t="shared" si="61"/>
        <v>0</v>
      </c>
      <c r="P191" s="313">
        <f t="shared" si="61"/>
        <v>0</v>
      </c>
      <c r="Q191" s="313">
        <f t="shared" si="61"/>
        <v>2070</v>
      </c>
      <c r="R191" s="313">
        <f t="shared" si="61"/>
        <v>762</v>
      </c>
      <c r="S191" s="313">
        <f t="shared" si="61"/>
        <v>4499</v>
      </c>
      <c r="T191" s="313">
        <f t="shared" si="62"/>
        <v>612</v>
      </c>
      <c r="U191" s="313">
        <f t="shared" si="62"/>
        <v>1564</v>
      </c>
      <c r="V191" s="313">
        <f t="shared" si="62"/>
        <v>567</v>
      </c>
      <c r="W191" s="313">
        <f t="shared" si="62"/>
        <v>396</v>
      </c>
      <c r="X191" s="313">
        <f t="shared" si="62"/>
        <v>0</v>
      </c>
      <c r="Y191" s="313">
        <f t="shared" si="62"/>
        <v>190</v>
      </c>
      <c r="Z191" s="313">
        <f t="shared" si="62"/>
        <v>0</v>
      </c>
      <c r="AA191" s="328">
        <f t="shared" si="62"/>
        <v>0</v>
      </c>
      <c r="AB191" s="104"/>
      <c r="AC191" s="191"/>
      <c r="AD191" s="20"/>
      <c r="AE191" s="193">
        <f t="shared" ref="AE191:AE230" si="63">SUM(J191:AA191)-G191</f>
        <v>1.6837034432173823</v>
      </c>
      <c r="AF191" s="20"/>
      <c r="AG191" s="20"/>
    </row>
    <row r="192" spans="1:33" ht="16.5" customHeight="1">
      <c r="A192" s="411"/>
      <c r="C192" s="342">
        <f>+MAX(C$15:C191)+1</f>
        <v>156</v>
      </c>
      <c r="D192" s="165">
        <f>'O&amp;M_Summ'!D145</f>
        <v>928600</v>
      </c>
      <c r="E192" s="252" t="str">
        <f>'O&amp;M_Summ'!E145</f>
        <v>REG COMM EXP-FERC-PEC</v>
      </c>
      <c r="F192" s="252"/>
      <c r="G192" s="19">
        <f>INDEX('O&amp;M_Summ'!$F$9:$W$156,MATCH($E192,'O&amp;M_Summ'!$E$9:$E$156,0),MATCH($E$5,'O&amp;M_Summ'!$F$6:$W$6,0))</f>
        <v>7469.4356713515899</v>
      </c>
      <c r="H192" s="138" t="s">
        <v>263</v>
      </c>
      <c r="J192" s="313">
        <f t="shared" si="61"/>
        <v>0</v>
      </c>
      <c r="K192" s="313">
        <f t="shared" si="61"/>
        <v>359</v>
      </c>
      <c r="L192" s="313">
        <f t="shared" si="61"/>
        <v>2404</v>
      </c>
      <c r="M192" s="313">
        <f t="shared" si="61"/>
        <v>843</v>
      </c>
      <c r="N192" s="313">
        <f t="shared" si="61"/>
        <v>0</v>
      </c>
      <c r="O192" s="313">
        <f t="shared" si="61"/>
        <v>0</v>
      </c>
      <c r="P192" s="313">
        <f t="shared" si="61"/>
        <v>0</v>
      </c>
      <c r="Q192" s="313">
        <f t="shared" si="61"/>
        <v>751</v>
      </c>
      <c r="R192" s="313">
        <f t="shared" si="61"/>
        <v>276</v>
      </c>
      <c r="S192" s="313">
        <f t="shared" si="61"/>
        <v>1631</v>
      </c>
      <c r="T192" s="313">
        <f t="shared" si="62"/>
        <v>222</v>
      </c>
      <c r="U192" s="313">
        <f t="shared" si="62"/>
        <v>567</v>
      </c>
      <c r="V192" s="313">
        <f t="shared" si="62"/>
        <v>205</v>
      </c>
      <c r="W192" s="313">
        <f t="shared" si="62"/>
        <v>143</v>
      </c>
      <c r="X192" s="313">
        <f t="shared" si="62"/>
        <v>0</v>
      </c>
      <c r="Y192" s="313">
        <f t="shared" si="62"/>
        <v>69</v>
      </c>
      <c r="Z192" s="313">
        <f t="shared" si="62"/>
        <v>0</v>
      </c>
      <c r="AA192" s="328">
        <f t="shared" si="62"/>
        <v>0</v>
      </c>
      <c r="AB192" s="104"/>
      <c r="AC192" s="191"/>
      <c r="AD192" s="20"/>
      <c r="AE192" s="193">
        <f t="shared" si="63"/>
        <v>0.56432864841008268</v>
      </c>
      <c r="AF192" s="20"/>
      <c r="AG192" s="20"/>
    </row>
    <row r="193" spans="1:33" ht="16.5" customHeight="1">
      <c r="A193" s="411"/>
      <c r="C193" s="342">
        <f>+MAX(C$15:C192)+1</f>
        <v>157</v>
      </c>
      <c r="D193" s="165">
        <f>'O&amp;M_Summ'!D146</f>
        <v>929010</v>
      </c>
      <c r="E193" s="252" t="str">
        <f>'O&amp;M_Summ'!E146</f>
        <v>DUPLIC CHARGES-KWH USE</v>
      </c>
      <c r="F193" s="252"/>
      <c r="G193" s="19">
        <f>INDEX('O&amp;M_Summ'!$F$9:$W$156,MATCH($E193,'O&amp;M_Summ'!$E$9:$E$156,0),MATCH($E$5,'O&amp;M_Summ'!$F$6:$W$6,0))</f>
        <v>-1088688.5376744128</v>
      </c>
      <c r="H193" s="138" t="s">
        <v>263</v>
      </c>
      <c r="J193" s="313">
        <f t="shared" si="61"/>
        <v>0</v>
      </c>
      <c r="K193" s="313">
        <f t="shared" si="61"/>
        <v>-52257</v>
      </c>
      <c r="L193" s="313">
        <f t="shared" si="61"/>
        <v>-350340</v>
      </c>
      <c r="M193" s="313">
        <f t="shared" si="61"/>
        <v>-122804</v>
      </c>
      <c r="N193" s="313">
        <f t="shared" si="61"/>
        <v>0</v>
      </c>
      <c r="O193" s="313">
        <f t="shared" si="61"/>
        <v>0</v>
      </c>
      <c r="P193" s="313">
        <f t="shared" si="61"/>
        <v>0</v>
      </c>
      <c r="Q193" s="313">
        <f t="shared" si="61"/>
        <v>-109413</v>
      </c>
      <c r="R193" s="313">
        <f t="shared" si="61"/>
        <v>-40281</v>
      </c>
      <c r="S193" s="313">
        <f t="shared" si="61"/>
        <v>-237770</v>
      </c>
      <c r="T193" s="313">
        <f t="shared" si="62"/>
        <v>-32334</v>
      </c>
      <c r="U193" s="313">
        <f t="shared" si="62"/>
        <v>-82631</v>
      </c>
      <c r="V193" s="313">
        <f t="shared" si="62"/>
        <v>-29939</v>
      </c>
      <c r="W193" s="313">
        <f t="shared" si="62"/>
        <v>-20903</v>
      </c>
      <c r="X193" s="313">
        <f t="shared" si="62"/>
        <v>0</v>
      </c>
      <c r="Y193" s="313">
        <f t="shared" si="62"/>
        <v>-10016</v>
      </c>
      <c r="Z193" s="313">
        <f t="shared" si="62"/>
        <v>0</v>
      </c>
      <c r="AA193" s="328">
        <f t="shared" si="62"/>
        <v>0</v>
      </c>
      <c r="AB193" s="104"/>
      <c r="AC193" s="191"/>
      <c r="AD193" s="20"/>
      <c r="AE193" s="193">
        <f t="shared" si="63"/>
        <v>0.53767441282980144</v>
      </c>
      <c r="AF193" s="20"/>
      <c r="AG193" s="20"/>
    </row>
    <row r="194" spans="1:33" ht="16.5" customHeight="1">
      <c r="A194" s="411"/>
      <c r="C194" s="342">
        <f>+MAX(C$15:C193)+1</f>
        <v>158</v>
      </c>
      <c r="D194" s="165">
        <f>'O&amp;M_Summ'!D147</f>
        <v>929020</v>
      </c>
      <c r="E194" s="252" t="str">
        <f>'O&amp;M_Summ'!E147</f>
        <v>DUPLIC CHARGES-ADMIN OFF RENT</v>
      </c>
      <c r="F194" s="252"/>
      <c r="G194" s="19">
        <f>INDEX('O&amp;M_Summ'!$F$9:$W$156,MATCH($E194,'O&amp;M_Summ'!$E$9:$E$156,0),MATCH($E$5,'O&amp;M_Summ'!$F$6:$W$6,0))</f>
        <v>-296651.24484335637</v>
      </c>
      <c r="H194" s="138" t="s">
        <v>263</v>
      </c>
      <c r="J194" s="313">
        <f t="shared" si="61"/>
        <v>0</v>
      </c>
      <c r="K194" s="313">
        <f t="shared" si="61"/>
        <v>-14239</v>
      </c>
      <c r="L194" s="313">
        <f t="shared" si="61"/>
        <v>-95462</v>
      </c>
      <c r="M194" s="313">
        <f t="shared" si="61"/>
        <v>-33462</v>
      </c>
      <c r="N194" s="313">
        <f t="shared" si="61"/>
        <v>0</v>
      </c>
      <c r="O194" s="313">
        <f t="shared" si="61"/>
        <v>0</v>
      </c>
      <c r="P194" s="313">
        <f t="shared" si="61"/>
        <v>0</v>
      </c>
      <c r="Q194" s="313">
        <f t="shared" si="61"/>
        <v>-29813</v>
      </c>
      <c r="R194" s="313">
        <f t="shared" si="61"/>
        <v>-10976</v>
      </c>
      <c r="S194" s="313">
        <f t="shared" si="61"/>
        <v>-64789</v>
      </c>
      <c r="T194" s="313">
        <f t="shared" si="62"/>
        <v>-8811</v>
      </c>
      <c r="U194" s="313">
        <f t="shared" si="62"/>
        <v>-22516</v>
      </c>
      <c r="V194" s="313">
        <f t="shared" si="62"/>
        <v>-8158</v>
      </c>
      <c r="W194" s="313">
        <f t="shared" si="62"/>
        <v>-5696</v>
      </c>
      <c r="X194" s="313">
        <f t="shared" si="62"/>
        <v>0</v>
      </c>
      <c r="Y194" s="313">
        <f t="shared" si="62"/>
        <v>-2729</v>
      </c>
      <c r="Z194" s="313">
        <f t="shared" si="62"/>
        <v>0</v>
      </c>
      <c r="AA194" s="328">
        <f t="shared" si="62"/>
        <v>0</v>
      </c>
      <c r="AB194" s="104"/>
      <c r="AC194" s="191"/>
      <c r="AD194" s="20"/>
      <c r="AE194" s="193">
        <f t="shared" si="63"/>
        <v>0.24484335636952892</v>
      </c>
      <c r="AF194" s="20"/>
      <c r="AG194" s="20"/>
    </row>
    <row r="195" spans="1:33" ht="16.5" customHeight="1">
      <c r="A195" s="411"/>
      <c r="C195" s="342">
        <f>+MAX(C$15:C194)+1</f>
        <v>159</v>
      </c>
      <c r="D195" s="165">
        <f>'O&amp;M_Summ'!D148</f>
        <v>929880</v>
      </c>
      <c r="E195" s="252" t="str">
        <f>'O&amp;M_Summ'!E148</f>
        <v>G/A CAPITALIZED-ON CLOSING</v>
      </c>
      <c r="F195" s="252"/>
      <c r="G195" s="19">
        <f>INDEX('O&amp;M_Summ'!$F$9:$W$156,MATCH($E195,'O&amp;M_Summ'!$E$9:$E$156,0),MATCH($E$5,'O&amp;M_Summ'!$F$6:$W$6,0))</f>
        <v>-82292.734789597744</v>
      </c>
      <c r="H195" s="138" t="s">
        <v>263</v>
      </c>
      <c r="J195" s="313">
        <f t="shared" si="61"/>
        <v>0</v>
      </c>
      <c r="K195" s="313">
        <f t="shared" si="61"/>
        <v>-3950</v>
      </c>
      <c r="L195" s="313">
        <f t="shared" si="61"/>
        <v>-26482</v>
      </c>
      <c r="M195" s="313">
        <f t="shared" si="61"/>
        <v>-9283</v>
      </c>
      <c r="N195" s="313">
        <f t="shared" si="61"/>
        <v>0</v>
      </c>
      <c r="O195" s="313">
        <f t="shared" si="61"/>
        <v>0</v>
      </c>
      <c r="P195" s="313">
        <f t="shared" si="61"/>
        <v>0</v>
      </c>
      <c r="Q195" s="313">
        <f t="shared" si="61"/>
        <v>-8270</v>
      </c>
      <c r="R195" s="313">
        <f t="shared" si="61"/>
        <v>-3045</v>
      </c>
      <c r="S195" s="313">
        <f t="shared" si="61"/>
        <v>-17973</v>
      </c>
      <c r="T195" s="313">
        <f t="shared" si="62"/>
        <v>-2444</v>
      </c>
      <c r="U195" s="313">
        <f t="shared" si="62"/>
        <v>-6246</v>
      </c>
      <c r="V195" s="313">
        <f t="shared" si="62"/>
        <v>-2263</v>
      </c>
      <c r="W195" s="313">
        <f t="shared" si="62"/>
        <v>-1580</v>
      </c>
      <c r="X195" s="313">
        <f t="shared" si="62"/>
        <v>0</v>
      </c>
      <c r="Y195" s="313">
        <f t="shared" si="62"/>
        <v>-757</v>
      </c>
      <c r="Z195" s="313">
        <f t="shared" si="62"/>
        <v>0</v>
      </c>
      <c r="AA195" s="328">
        <f t="shared" si="62"/>
        <v>0</v>
      </c>
      <c r="AB195" s="104"/>
      <c r="AC195" s="191"/>
      <c r="AD195" s="20"/>
      <c r="AE195" s="193">
        <f t="shared" si="63"/>
        <v>-0.26521040225634351</v>
      </c>
      <c r="AF195" s="20"/>
      <c r="AG195" s="20"/>
    </row>
    <row r="196" spans="1:33" ht="16.5" customHeight="1">
      <c r="A196" s="411"/>
      <c r="C196" s="342">
        <f>+MAX(C$15:C195)+1</f>
        <v>160</v>
      </c>
      <c r="D196" s="165">
        <f>'O&amp;M_Summ'!D149</f>
        <v>929980</v>
      </c>
      <c r="E196" s="252" t="str">
        <f>'O&amp;M_Summ'!E149</f>
        <v>G/A CAPITALIZED-ON CWIP</v>
      </c>
      <c r="F196" s="252"/>
      <c r="G196" s="19">
        <f>INDEX('O&amp;M_Summ'!$F$9:$W$156,MATCH($E196,'O&amp;M_Summ'!$E$9:$E$156,0),MATCH($E$5,'O&amp;M_Summ'!$F$6:$W$6,0))</f>
        <v>-1917964.3588241022</v>
      </c>
      <c r="H196" s="138" t="s">
        <v>263</v>
      </c>
      <c r="J196" s="313">
        <f t="shared" si="61"/>
        <v>0</v>
      </c>
      <c r="K196" s="313">
        <f t="shared" si="61"/>
        <v>-92062</v>
      </c>
      <c r="L196" s="313">
        <f t="shared" si="61"/>
        <v>-617201</v>
      </c>
      <c r="M196" s="313">
        <f t="shared" si="61"/>
        <v>-216346</v>
      </c>
      <c r="N196" s="313">
        <f t="shared" si="61"/>
        <v>0</v>
      </c>
      <c r="O196" s="313">
        <f t="shared" si="61"/>
        <v>0</v>
      </c>
      <c r="P196" s="313">
        <f t="shared" si="61"/>
        <v>0</v>
      </c>
      <c r="Q196" s="313">
        <f t="shared" si="61"/>
        <v>-192755</v>
      </c>
      <c r="R196" s="313">
        <f t="shared" si="61"/>
        <v>-70965</v>
      </c>
      <c r="S196" s="313">
        <f t="shared" si="61"/>
        <v>-418883</v>
      </c>
      <c r="T196" s="313">
        <f t="shared" si="62"/>
        <v>-56964</v>
      </c>
      <c r="U196" s="313">
        <f t="shared" si="62"/>
        <v>-145573</v>
      </c>
      <c r="V196" s="313">
        <f t="shared" si="62"/>
        <v>-52744</v>
      </c>
      <c r="W196" s="313">
        <f t="shared" si="62"/>
        <v>-36825</v>
      </c>
      <c r="X196" s="313">
        <f t="shared" si="62"/>
        <v>0</v>
      </c>
      <c r="Y196" s="313">
        <f t="shared" si="62"/>
        <v>-17645</v>
      </c>
      <c r="Z196" s="313">
        <f t="shared" si="62"/>
        <v>0</v>
      </c>
      <c r="AA196" s="328">
        <f t="shared" si="62"/>
        <v>0</v>
      </c>
      <c r="AB196" s="104"/>
      <c r="AC196" s="191"/>
      <c r="AD196" s="20"/>
      <c r="AE196" s="193">
        <f t="shared" si="63"/>
        <v>1.3588241022080183</v>
      </c>
      <c r="AF196" s="20"/>
      <c r="AG196" s="20"/>
    </row>
    <row r="197" spans="1:33" ht="16.5" customHeight="1">
      <c r="A197" s="411"/>
      <c r="C197" s="342">
        <f>+MAX(C$15:C196)+1</f>
        <v>161</v>
      </c>
      <c r="D197" s="165">
        <f>'O&amp;M_Summ'!D150</f>
        <v>930010</v>
      </c>
      <c r="E197" s="252" t="str">
        <f>'O&amp;M_Summ'!E150</f>
        <v>MISC GENERAL EXPENSE</v>
      </c>
      <c r="F197" s="252"/>
      <c r="G197" s="19">
        <f>INDEX('O&amp;M_Summ'!$F$9:$W$156,MATCH($E197,'O&amp;M_Summ'!$E$9:$E$156,0),MATCH($E$5,'O&amp;M_Summ'!$F$6:$W$6,0))</f>
        <v>2907894.1307480792</v>
      </c>
      <c r="H197" s="138" t="s">
        <v>1067</v>
      </c>
      <c r="J197" s="313">
        <f t="shared" si="61"/>
        <v>0</v>
      </c>
      <c r="K197" s="313">
        <f t="shared" si="61"/>
        <v>67003</v>
      </c>
      <c r="L197" s="313">
        <f t="shared" si="61"/>
        <v>303611</v>
      </c>
      <c r="M197" s="313">
        <f t="shared" si="61"/>
        <v>459808</v>
      </c>
      <c r="N197" s="313">
        <f t="shared" si="61"/>
        <v>85576</v>
      </c>
      <c r="O197" s="313">
        <f t="shared" si="61"/>
        <v>0</v>
      </c>
      <c r="P197" s="313">
        <f t="shared" si="61"/>
        <v>0</v>
      </c>
      <c r="Q197" s="313">
        <f t="shared" si="61"/>
        <v>139918</v>
      </c>
      <c r="R197" s="313">
        <f t="shared" si="61"/>
        <v>86680</v>
      </c>
      <c r="S197" s="313">
        <f t="shared" si="61"/>
        <v>545483</v>
      </c>
      <c r="T197" s="313">
        <f t="shared" si="62"/>
        <v>64414</v>
      </c>
      <c r="U197" s="313">
        <f t="shared" si="62"/>
        <v>169511</v>
      </c>
      <c r="V197" s="313">
        <f t="shared" si="62"/>
        <v>38331</v>
      </c>
      <c r="W197" s="313">
        <f t="shared" si="62"/>
        <v>315908</v>
      </c>
      <c r="X197" s="313">
        <f t="shared" si="62"/>
        <v>586984</v>
      </c>
      <c r="Y197" s="313">
        <f t="shared" si="62"/>
        <v>12803</v>
      </c>
      <c r="Z197" s="313">
        <f t="shared" si="62"/>
        <v>31865</v>
      </c>
      <c r="AA197" s="328">
        <f t="shared" si="62"/>
        <v>0</v>
      </c>
      <c r="AB197" s="104"/>
      <c r="AC197" s="191"/>
      <c r="AD197" s="20"/>
      <c r="AE197" s="193">
        <f t="shared" si="63"/>
        <v>0.86925192084163427</v>
      </c>
      <c r="AF197" s="20"/>
      <c r="AG197" s="20"/>
    </row>
    <row r="198" spans="1:33" ht="16.5" customHeight="1">
      <c r="A198" s="411"/>
      <c r="C198" s="342">
        <f>+MAX(C$15:C197)+1</f>
        <v>162</v>
      </c>
      <c r="D198" s="165">
        <f>'O&amp;M_Summ'!D151</f>
        <v>930110</v>
      </c>
      <c r="E198" s="252" t="str">
        <f>'O&amp;M_Summ'!E151</f>
        <v>GEN AD EXP-PUBLIC RELATIONS</v>
      </c>
      <c r="F198" s="252"/>
      <c r="G198" s="19">
        <f>INDEX('O&amp;M_Summ'!$F$9:$W$156,MATCH($E198,'O&amp;M_Summ'!$E$9:$E$156,0),MATCH($E$5,'O&amp;M_Summ'!$F$6:$W$6,0))</f>
        <v>611551.05238398421</v>
      </c>
      <c r="H198" s="138" t="s">
        <v>1067</v>
      </c>
      <c r="J198" s="313">
        <f t="shared" si="61"/>
        <v>0</v>
      </c>
      <c r="K198" s="313">
        <f t="shared" si="61"/>
        <v>14091</v>
      </c>
      <c r="L198" s="313">
        <f t="shared" si="61"/>
        <v>63851</v>
      </c>
      <c r="M198" s="313">
        <f t="shared" si="61"/>
        <v>96701</v>
      </c>
      <c r="N198" s="313">
        <f t="shared" si="61"/>
        <v>17997</v>
      </c>
      <c r="O198" s="313">
        <f t="shared" si="61"/>
        <v>0</v>
      </c>
      <c r="P198" s="313">
        <f t="shared" si="61"/>
        <v>0</v>
      </c>
      <c r="Q198" s="313">
        <f t="shared" si="61"/>
        <v>29426</v>
      </c>
      <c r="R198" s="313">
        <f t="shared" si="61"/>
        <v>18229</v>
      </c>
      <c r="S198" s="313">
        <f t="shared" si="61"/>
        <v>114719</v>
      </c>
      <c r="T198" s="313">
        <f t="shared" si="62"/>
        <v>13547</v>
      </c>
      <c r="U198" s="313">
        <f t="shared" si="62"/>
        <v>35649</v>
      </c>
      <c r="V198" s="313">
        <f t="shared" si="62"/>
        <v>8061</v>
      </c>
      <c r="W198" s="313">
        <f t="shared" si="62"/>
        <v>66438</v>
      </c>
      <c r="X198" s="313">
        <f t="shared" si="62"/>
        <v>123447</v>
      </c>
      <c r="Y198" s="313">
        <f t="shared" si="62"/>
        <v>2693</v>
      </c>
      <c r="Z198" s="313">
        <f t="shared" si="62"/>
        <v>6701</v>
      </c>
      <c r="AA198" s="328">
        <f t="shared" si="62"/>
        <v>0</v>
      </c>
      <c r="AB198" s="104"/>
      <c r="AC198" s="191"/>
      <c r="AD198" s="20"/>
      <c r="AE198" s="193">
        <f t="shared" si="63"/>
        <v>-1.0523839842062443</v>
      </c>
      <c r="AF198" s="20"/>
      <c r="AG198" s="20"/>
    </row>
    <row r="199" spans="1:33" ht="16.5" customHeight="1">
      <c r="A199" s="411"/>
      <c r="C199" s="342">
        <f>+MAX(C$15:C198)+1</f>
        <v>163</v>
      </c>
      <c r="D199" s="165">
        <f>'O&amp;M_Summ'!D152</f>
        <v>931000</v>
      </c>
      <c r="E199" s="252" t="str">
        <f>'O&amp;M_Summ'!E152</f>
        <v>RENTS EPHRATA OFFICE</v>
      </c>
      <c r="F199" s="252"/>
      <c r="G199" s="19">
        <f>INDEX('O&amp;M_Summ'!$F$9:$W$156,MATCH($E199,'O&amp;M_Summ'!$E$9:$E$156,0),MATCH($E$5,'O&amp;M_Summ'!$F$6:$W$6,0))</f>
        <v>0</v>
      </c>
      <c r="H199" s="138" t="s">
        <v>1067</v>
      </c>
      <c r="J199" s="313">
        <f t="shared" si="61"/>
        <v>0</v>
      </c>
      <c r="K199" s="313">
        <f t="shared" si="61"/>
        <v>0</v>
      </c>
      <c r="L199" s="313">
        <f t="shared" si="61"/>
        <v>0</v>
      </c>
      <c r="M199" s="313">
        <f t="shared" si="61"/>
        <v>0</v>
      </c>
      <c r="N199" s="313">
        <f t="shared" si="61"/>
        <v>0</v>
      </c>
      <c r="O199" s="313">
        <f t="shared" si="61"/>
        <v>0</v>
      </c>
      <c r="P199" s="313">
        <f t="shared" si="61"/>
        <v>0</v>
      </c>
      <c r="Q199" s="313">
        <f t="shared" si="61"/>
        <v>0</v>
      </c>
      <c r="R199" s="313">
        <f t="shared" si="61"/>
        <v>0</v>
      </c>
      <c r="S199" s="313">
        <f t="shared" si="61"/>
        <v>0</v>
      </c>
      <c r="T199" s="313">
        <f t="shared" si="62"/>
        <v>0</v>
      </c>
      <c r="U199" s="313">
        <f t="shared" si="62"/>
        <v>0</v>
      </c>
      <c r="V199" s="313">
        <f t="shared" si="62"/>
        <v>0</v>
      </c>
      <c r="W199" s="313">
        <f t="shared" si="62"/>
        <v>0</v>
      </c>
      <c r="X199" s="313">
        <f t="shared" si="62"/>
        <v>0</v>
      </c>
      <c r="Y199" s="313">
        <f t="shared" si="62"/>
        <v>0</v>
      </c>
      <c r="Z199" s="313">
        <f t="shared" si="62"/>
        <v>0</v>
      </c>
      <c r="AA199" s="328">
        <f t="shared" si="62"/>
        <v>0</v>
      </c>
      <c r="AB199" s="104"/>
      <c r="AC199" s="191"/>
      <c r="AD199" s="20"/>
      <c r="AE199" s="193">
        <f t="shared" si="63"/>
        <v>0</v>
      </c>
      <c r="AF199" s="20"/>
      <c r="AG199" s="20"/>
    </row>
    <row r="200" spans="1:33" ht="16.5" customHeight="1">
      <c r="A200" s="411"/>
      <c r="C200" s="342">
        <f>+MAX(C$15:C199)+1</f>
        <v>164</v>
      </c>
      <c r="D200" s="165">
        <f>'O&amp;M_Summ'!D153</f>
        <v>931010</v>
      </c>
      <c r="E200" s="252" t="str">
        <f>'O&amp;M_Summ'!E153</f>
        <v>LEASE EXPENSE</v>
      </c>
      <c r="F200" s="252"/>
      <c r="G200" s="19">
        <f>INDEX('O&amp;M_Summ'!$F$9:$W$156,MATCH($E200,'O&amp;M_Summ'!$E$9:$E$156,0),MATCH($E$5,'O&amp;M_Summ'!$F$6:$W$6,0))</f>
        <v>0</v>
      </c>
      <c r="H200" s="138" t="s">
        <v>1067</v>
      </c>
      <c r="J200" s="313">
        <f t="shared" si="61"/>
        <v>0</v>
      </c>
      <c r="K200" s="313">
        <f t="shared" si="61"/>
        <v>0</v>
      </c>
      <c r="L200" s="313">
        <f t="shared" si="61"/>
        <v>0</v>
      </c>
      <c r="M200" s="313">
        <f t="shared" si="61"/>
        <v>0</v>
      </c>
      <c r="N200" s="313">
        <f t="shared" si="61"/>
        <v>0</v>
      </c>
      <c r="O200" s="313">
        <f t="shared" si="61"/>
        <v>0</v>
      </c>
      <c r="P200" s="313">
        <f t="shared" si="61"/>
        <v>0</v>
      </c>
      <c r="Q200" s="313">
        <f t="shared" si="61"/>
        <v>0</v>
      </c>
      <c r="R200" s="313">
        <f t="shared" si="61"/>
        <v>0</v>
      </c>
      <c r="S200" s="313">
        <f t="shared" si="61"/>
        <v>0</v>
      </c>
      <c r="T200" s="313">
        <f t="shared" si="62"/>
        <v>0</v>
      </c>
      <c r="U200" s="313">
        <f t="shared" si="62"/>
        <v>0</v>
      </c>
      <c r="V200" s="313">
        <f t="shared" si="62"/>
        <v>0</v>
      </c>
      <c r="W200" s="313">
        <f t="shared" si="62"/>
        <v>0</v>
      </c>
      <c r="X200" s="313">
        <f t="shared" si="62"/>
        <v>0</v>
      </c>
      <c r="Y200" s="313">
        <f t="shared" si="62"/>
        <v>0</v>
      </c>
      <c r="Z200" s="313">
        <f t="shared" si="62"/>
        <v>0</v>
      </c>
      <c r="AA200" s="328">
        <f t="shared" si="62"/>
        <v>0</v>
      </c>
      <c r="AB200" s="104"/>
      <c r="AC200" s="191"/>
      <c r="AD200" s="20"/>
      <c r="AE200" s="193">
        <f t="shared" si="63"/>
        <v>0</v>
      </c>
      <c r="AF200" s="20"/>
      <c r="AG200" s="20"/>
    </row>
    <row r="201" spans="1:33" ht="16.5" customHeight="1">
      <c r="A201" s="411"/>
      <c r="C201" s="342">
        <f>+MAX(C$15:C200)+1</f>
        <v>165</v>
      </c>
      <c r="D201" s="165">
        <f>'O&amp;M_Summ'!D154</f>
        <v>935010</v>
      </c>
      <c r="E201" s="252" t="str">
        <f>'O&amp;M_Summ'!E154</f>
        <v>MAINT GEN PLT-MISC</v>
      </c>
      <c r="F201" s="252"/>
      <c r="G201" s="19">
        <f>INDEX('O&amp;M_Summ'!$F$9:$W$156,MATCH($E201,'O&amp;M_Summ'!$E$9:$E$156,0),MATCH($E$5,'O&amp;M_Summ'!$F$6:$W$6,0))</f>
        <v>4219318.4112972347</v>
      </c>
      <c r="H201" s="138" t="s">
        <v>263</v>
      </c>
      <c r="J201" s="313">
        <f t="shared" si="61"/>
        <v>0</v>
      </c>
      <c r="K201" s="313">
        <f t="shared" si="61"/>
        <v>202527</v>
      </c>
      <c r="L201" s="313">
        <f t="shared" si="61"/>
        <v>1357777</v>
      </c>
      <c r="M201" s="313">
        <f t="shared" si="61"/>
        <v>475939</v>
      </c>
      <c r="N201" s="313">
        <f t="shared" si="61"/>
        <v>0</v>
      </c>
      <c r="O201" s="313">
        <f t="shared" si="61"/>
        <v>0</v>
      </c>
      <c r="P201" s="313">
        <f t="shared" si="61"/>
        <v>0</v>
      </c>
      <c r="Q201" s="313">
        <f t="shared" si="61"/>
        <v>424042</v>
      </c>
      <c r="R201" s="313">
        <f t="shared" si="61"/>
        <v>156115</v>
      </c>
      <c r="S201" s="313">
        <f t="shared" si="61"/>
        <v>921499</v>
      </c>
      <c r="T201" s="313">
        <f t="shared" si="62"/>
        <v>125314</v>
      </c>
      <c r="U201" s="313">
        <f t="shared" si="62"/>
        <v>320246</v>
      </c>
      <c r="V201" s="313">
        <f t="shared" si="62"/>
        <v>116031</v>
      </c>
      <c r="W201" s="313">
        <f t="shared" si="62"/>
        <v>81011</v>
      </c>
      <c r="X201" s="313">
        <f t="shared" si="62"/>
        <v>0</v>
      </c>
      <c r="Y201" s="313">
        <f t="shared" si="62"/>
        <v>38818</v>
      </c>
      <c r="Z201" s="313">
        <f t="shared" si="62"/>
        <v>0</v>
      </c>
      <c r="AA201" s="328">
        <f t="shared" si="62"/>
        <v>0</v>
      </c>
      <c r="AB201" s="104"/>
      <c r="AC201" s="191"/>
      <c r="AD201" s="20"/>
      <c r="AE201" s="193">
        <f t="shared" si="63"/>
        <v>0.58870276529341936</v>
      </c>
      <c r="AF201" s="20"/>
      <c r="AG201" s="20"/>
    </row>
    <row r="202" spans="1:33" ht="16.5" customHeight="1" thickBot="1">
      <c r="A202" s="411"/>
      <c r="C202" s="342">
        <f>+MAX(C$15:C201)+1</f>
        <v>166</v>
      </c>
      <c r="D202" s="165">
        <f>'O&amp;M_Summ'!D155</f>
        <v>935020</v>
      </c>
      <c r="E202" s="252" t="str">
        <f>'O&amp;M_Summ'!E155</f>
        <v>MAINT GEN PLT-COMMUNICATION</v>
      </c>
      <c r="F202" s="252"/>
      <c r="G202" s="19">
        <f>INDEX('O&amp;M_Summ'!$F$9:$W$156,MATCH($E202,'O&amp;M_Summ'!$E$9:$E$156,0),MATCH($E$5,'O&amp;M_Summ'!$F$6:$W$6,0))</f>
        <v>4969962.8067435892</v>
      </c>
      <c r="H202" s="139" t="s">
        <v>263</v>
      </c>
      <c r="J202" s="313">
        <f t="shared" si="61"/>
        <v>0</v>
      </c>
      <c r="K202" s="313">
        <f t="shared" si="61"/>
        <v>238558</v>
      </c>
      <c r="L202" s="313">
        <f t="shared" si="61"/>
        <v>1599334</v>
      </c>
      <c r="M202" s="313">
        <f t="shared" si="61"/>
        <v>560612</v>
      </c>
      <c r="N202" s="313">
        <f t="shared" si="61"/>
        <v>0</v>
      </c>
      <c r="O202" s="313">
        <f t="shared" si="61"/>
        <v>0</v>
      </c>
      <c r="P202" s="313">
        <f t="shared" si="61"/>
        <v>0</v>
      </c>
      <c r="Q202" s="313">
        <f t="shared" si="61"/>
        <v>499481</v>
      </c>
      <c r="R202" s="313">
        <f t="shared" si="61"/>
        <v>183889</v>
      </c>
      <c r="S202" s="313">
        <f t="shared" si="61"/>
        <v>1085440</v>
      </c>
      <c r="T202" s="313">
        <f t="shared" si="62"/>
        <v>147608</v>
      </c>
      <c r="U202" s="313">
        <f t="shared" si="62"/>
        <v>377220</v>
      </c>
      <c r="V202" s="313">
        <f t="shared" si="62"/>
        <v>136674</v>
      </c>
      <c r="W202" s="313">
        <f t="shared" si="62"/>
        <v>95423</v>
      </c>
      <c r="X202" s="313">
        <f t="shared" si="62"/>
        <v>0</v>
      </c>
      <c r="Y202" s="313">
        <f t="shared" si="62"/>
        <v>45724</v>
      </c>
      <c r="Z202" s="313">
        <f t="shared" si="62"/>
        <v>0</v>
      </c>
      <c r="AA202" s="328">
        <f t="shared" si="62"/>
        <v>0</v>
      </c>
      <c r="AB202" s="104"/>
      <c r="AC202" s="191"/>
      <c r="AD202" s="20"/>
      <c r="AE202" s="193">
        <f t="shared" si="63"/>
        <v>0.19325641077011824</v>
      </c>
      <c r="AF202" s="20"/>
      <c r="AG202" s="20"/>
    </row>
    <row r="203" spans="1:33" ht="16.5" customHeight="1">
      <c r="A203" s="411"/>
      <c r="C203" s="342">
        <f>+MAX(C$15:C202)+1</f>
        <v>167</v>
      </c>
      <c r="D203" s="252"/>
      <c r="E203" s="255" t="str">
        <f>'O&amp;M_Summ'!E156</f>
        <v>Total A&amp;D</v>
      </c>
      <c r="F203" s="255"/>
      <c r="G203" s="324">
        <f>SUM(G164:G202)</f>
        <v>21954731.463181153</v>
      </c>
      <c r="H203" s="463"/>
      <c r="I203" s="262"/>
      <c r="J203" s="324">
        <f>SUM(J163:J202)</f>
        <v>0</v>
      </c>
      <c r="K203" s="324">
        <f t="shared" ref="K203:AA203" si="64">SUM(K163:K202)</f>
        <v>739009</v>
      </c>
      <c r="L203" s="324">
        <f t="shared" si="64"/>
        <v>3680546</v>
      </c>
      <c r="M203" s="324">
        <f t="shared" si="64"/>
        <v>3264000</v>
      </c>
      <c r="N203" s="324">
        <f t="shared" si="64"/>
        <v>445718</v>
      </c>
      <c r="O203" s="324">
        <f t="shared" si="64"/>
        <v>0</v>
      </c>
      <c r="P203" s="324">
        <f t="shared" si="64"/>
        <v>0</v>
      </c>
      <c r="Q203" s="324">
        <f t="shared" si="64"/>
        <v>1385143</v>
      </c>
      <c r="R203" s="324">
        <f t="shared" si="64"/>
        <v>693121</v>
      </c>
      <c r="S203" s="324">
        <f t="shared" si="64"/>
        <v>4267520</v>
      </c>
      <c r="T203" s="324">
        <f t="shared" si="64"/>
        <v>529472</v>
      </c>
      <c r="U203" s="324">
        <f t="shared" si="64"/>
        <v>1378599</v>
      </c>
      <c r="V203" s="324">
        <f t="shared" si="64"/>
        <v>379252</v>
      </c>
      <c r="W203" s="324">
        <f t="shared" si="64"/>
        <v>1770785</v>
      </c>
      <c r="X203" s="324">
        <f t="shared" si="64"/>
        <v>3057271</v>
      </c>
      <c r="Y203" s="324">
        <f t="shared" si="64"/>
        <v>126771</v>
      </c>
      <c r="Z203" s="324">
        <f t="shared" si="64"/>
        <v>165966</v>
      </c>
      <c r="AA203" s="324">
        <f t="shared" si="64"/>
        <v>0</v>
      </c>
      <c r="AB203" s="216"/>
      <c r="AC203" s="191"/>
      <c r="AD203" s="20"/>
      <c r="AE203" s="193">
        <f t="shared" si="63"/>
        <v>-71558.46318115294</v>
      </c>
      <c r="AF203" s="20"/>
      <c r="AG203" s="20"/>
    </row>
    <row r="204" spans="1:33" ht="5.25" customHeight="1">
      <c r="A204" s="411"/>
      <c r="C204" s="342"/>
      <c r="D204" s="252"/>
      <c r="E204" s="360"/>
      <c r="F204" s="360"/>
      <c r="G204" s="313"/>
      <c r="H204" s="262"/>
      <c r="I204" s="262"/>
      <c r="J204" s="313"/>
      <c r="K204" s="313"/>
      <c r="L204" s="313"/>
      <c r="M204" s="313"/>
      <c r="N204" s="313"/>
      <c r="O204" s="313"/>
      <c r="P204" s="313"/>
      <c r="Q204" s="313"/>
      <c r="R204" s="313"/>
      <c r="S204" s="313"/>
      <c r="T204" s="313"/>
      <c r="U204" s="313"/>
      <c r="V204" s="313"/>
      <c r="W204" s="313"/>
      <c r="X204" s="313"/>
      <c r="Y204" s="313"/>
      <c r="Z204" s="313"/>
      <c r="AA204" s="328"/>
      <c r="AB204" s="104"/>
      <c r="AC204" s="191"/>
      <c r="AD204" s="20"/>
      <c r="AE204" s="193">
        <f t="shared" si="63"/>
        <v>0</v>
      </c>
      <c r="AF204" s="20"/>
      <c r="AG204" s="20"/>
    </row>
    <row r="205" spans="1:33" ht="16.5" customHeight="1">
      <c r="A205" s="411"/>
      <c r="C205" s="342">
        <f>+MAX(C$15:C204)+1</f>
        <v>168</v>
      </c>
      <c r="D205" s="252"/>
      <c r="E205" s="361" t="s">
        <v>111</v>
      </c>
      <c r="F205" s="361"/>
      <c r="G205" s="311">
        <f>SUM(G67,G92,G108,G130,G135,G150,G160,G203)</f>
        <v>290606327.34926116</v>
      </c>
      <c r="J205" s="311">
        <f t="shared" ref="J205:AA205" si="65">SUM(J67,J92,J108,J130,J135,J150,J160,J203)</f>
        <v>23379673</v>
      </c>
      <c r="K205" s="311">
        <f t="shared" ref="K205:Q205" si="66">SUM(K67,K92,K108,K130,K135,K150,K160,K203)</f>
        <v>211193760</v>
      </c>
      <c r="L205" s="311">
        <f t="shared" si="66"/>
        <v>7810535</v>
      </c>
      <c r="M205" s="311">
        <f t="shared" si="66"/>
        <v>8019542</v>
      </c>
      <c r="N205" s="311">
        <f>SUM(N67,N92,N108,N130,N135,N150,N160,N203)</f>
        <v>1322724</v>
      </c>
      <c r="O205" s="311">
        <f t="shared" si="66"/>
        <v>0</v>
      </c>
      <c r="P205" s="311">
        <f t="shared" si="66"/>
        <v>0</v>
      </c>
      <c r="Q205" s="311">
        <f t="shared" si="66"/>
        <v>2980063</v>
      </c>
      <c r="R205" s="311">
        <f t="shared" si="65"/>
        <v>1605711</v>
      </c>
      <c r="S205" s="311">
        <f t="shared" si="65"/>
        <v>9971602</v>
      </c>
      <c r="T205" s="311">
        <f t="shared" si="65"/>
        <v>1213925</v>
      </c>
      <c r="U205" s="311">
        <f t="shared" si="65"/>
        <v>3173247</v>
      </c>
      <c r="V205" s="311">
        <f t="shared" si="65"/>
        <v>816178</v>
      </c>
      <c r="W205" s="311">
        <f t="shared" si="65"/>
        <v>4780775</v>
      </c>
      <c r="X205" s="311">
        <f t="shared" si="65"/>
        <v>10727008</v>
      </c>
      <c r="Y205" s="311">
        <f t="shared" si="65"/>
        <v>284485</v>
      </c>
      <c r="Z205" s="311">
        <f t="shared" si="65"/>
        <v>3255546</v>
      </c>
      <c r="AA205" s="311">
        <f t="shared" si="65"/>
        <v>0</v>
      </c>
      <c r="AB205" s="105"/>
      <c r="AC205" s="191"/>
      <c r="AD205" s="20"/>
      <c r="AE205" s="193">
        <f t="shared" si="63"/>
        <v>-71553.349261164665</v>
      </c>
      <c r="AF205" s="20"/>
      <c r="AG205" s="20"/>
    </row>
    <row r="206" spans="1:33" ht="5.25" customHeight="1">
      <c r="A206" s="411"/>
      <c r="C206" s="342"/>
      <c r="D206" s="252"/>
      <c r="E206" s="206"/>
      <c r="F206" s="206"/>
      <c r="G206" s="17"/>
      <c r="J206" s="17"/>
      <c r="K206" s="17"/>
      <c r="L206" s="17"/>
      <c r="M206" s="17"/>
      <c r="N206" s="17"/>
      <c r="O206" s="17"/>
      <c r="P206" s="17"/>
      <c r="Q206" s="17"/>
      <c r="R206" s="17"/>
      <c r="S206" s="17"/>
      <c r="T206" s="17"/>
      <c r="U206" s="17"/>
      <c r="V206" s="17"/>
      <c r="W206" s="17"/>
      <c r="X206" s="17"/>
      <c r="Y206" s="17"/>
      <c r="Z206" s="17"/>
      <c r="AA206" s="325"/>
      <c r="AB206" s="87"/>
      <c r="AC206" s="191"/>
      <c r="AD206" s="20"/>
      <c r="AE206" s="193">
        <f t="shared" si="63"/>
        <v>0</v>
      </c>
      <c r="AF206" s="20"/>
      <c r="AG206" s="20"/>
    </row>
    <row r="207" spans="1:33" s="20" customFormat="1" ht="16.5" customHeight="1" thickBot="1">
      <c r="A207" s="411"/>
      <c r="C207" s="342">
        <f>+MAX(C$15:C206)+1</f>
        <v>169</v>
      </c>
      <c r="D207" s="252"/>
      <c r="E207" s="206" t="s">
        <v>614</v>
      </c>
      <c r="F207" s="206"/>
      <c r="G207" s="308"/>
      <c r="H207" s="9"/>
      <c r="I207" s="9"/>
      <c r="J207" s="308"/>
      <c r="K207" s="308"/>
      <c r="L207" s="308"/>
      <c r="M207" s="308"/>
      <c r="N207" s="308"/>
      <c r="O207" s="308"/>
      <c r="P207" s="308"/>
      <c r="Q207" s="308"/>
      <c r="R207" s="308"/>
      <c r="S207" s="308"/>
      <c r="T207" s="308"/>
      <c r="U207" s="308"/>
      <c r="V207" s="308"/>
      <c r="W207" s="308"/>
      <c r="X207" s="308"/>
      <c r="Y207" s="308"/>
      <c r="Z207" s="308"/>
      <c r="AA207" s="349"/>
      <c r="AB207" s="215"/>
      <c r="AC207" s="191"/>
      <c r="AE207" s="193">
        <f t="shared" si="63"/>
        <v>0</v>
      </c>
    </row>
    <row r="208" spans="1:33" s="20" customFormat="1" ht="16.5" customHeight="1">
      <c r="A208" s="411"/>
      <c r="C208" s="342">
        <f>+MAX(C$15:C207)+1</f>
        <v>170</v>
      </c>
      <c r="D208" s="252"/>
      <c r="E208" s="252" t="str">
        <f>'Fin Forecast - Elec'!D80</f>
        <v>Existing Debt Service</v>
      </c>
      <c r="F208" s="252"/>
      <c r="G208" s="615">
        <f>SUMIF('Fin Forecast - Elec'!$G$7:$U$7,$E$5,'Fin Forecast - Elec'!$G$80:$U$80)</f>
        <v>4720759.0671651904</v>
      </c>
      <c r="H208" s="80" t="s">
        <v>2769</v>
      </c>
      <c r="I208" s="165"/>
      <c r="J208" s="308">
        <f t="shared" ref="J208:S210" si="67">+ROUND($G208*SUMIF($E$260:$E$302,$H208,J$260:J$302),$AD$10)</f>
        <v>0</v>
      </c>
      <c r="K208" s="308">
        <f t="shared" si="67"/>
        <v>223764</v>
      </c>
      <c r="L208" s="308">
        <f t="shared" si="67"/>
        <v>1558323</v>
      </c>
      <c r="M208" s="308">
        <f t="shared" si="67"/>
        <v>525893</v>
      </c>
      <c r="N208" s="308">
        <f t="shared" si="67"/>
        <v>0</v>
      </c>
      <c r="O208" s="308">
        <f t="shared" si="67"/>
        <v>0</v>
      </c>
      <c r="P208" s="308">
        <f t="shared" si="67"/>
        <v>0</v>
      </c>
      <c r="Q208" s="308">
        <f t="shared" si="67"/>
        <v>468771</v>
      </c>
      <c r="R208" s="308">
        <f t="shared" si="67"/>
        <v>172308</v>
      </c>
      <c r="S208" s="308">
        <f t="shared" si="67"/>
        <v>1018268</v>
      </c>
      <c r="T208" s="308">
        <f t="shared" ref="T208:AA210" si="68">+ROUND($G208*SUMIF($E$260:$E$302,$H208,T$260:T$302),$AD$10)</f>
        <v>138790</v>
      </c>
      <c r="U208" s="308">
        <f t="shared" si="68"/>
        <v>353585</v>
      </c>
      <c r="V208" s="308">
        <f t="shared" si="68"/>
        <v>128405</v>
      </c>
      <c r="W208" s="308">
        <f t="shared" si="68"/>
        <v>89694</v>
      </c>
      <c r="X208" s="308">
        <f t="shared" si="68"/>
        <v>0</v>
      </c>
      <c r="Y208" s="308">
        <f t="shared" si="68"/>
        <v>42959</v>
      </c>
      <c r="Z208" s="308">
        <f t="shared" si="68"/>
        <v>0</v>
      </c>
      <c r="AA208" s="308">
        <f t="shared" si="68"/>
        <v>0</v>
      </c>
      <c r="AB208" s="215"/>
      <c r="AC208" s="191"/>
      <c r="AE208" s="193">
        <f t="shared" si="63"/>
        <v>0.9328348096460104</v>
      </c>
    </row>
    <row r="209" spans="1:31" s="20" customFormat="1" ht="16.5" customHeight="1">
      <c r="A209" s="411"/>
      <c r="C209" s="342"/>
      <c r="D209" s="252"/>
      <c r="E209" s="252" t="str">
        <f>'Fin Forecast - Elec'!D81</f>
        <v>Use of Finance Plan Reserve</v>
      </c>
      <c r="F209" s="252"/>
      <c r="G209" s="574">
        <f>SUMIF('Fin Forecast - Elec'!$G$7:$U$7,$E$5,'Fin Forecast - Elec'!$G$81:$U$81)</f>
        <v>0</v>
      </c>
      <c r="H209" s="138" t="s">
        <v>2769</v>
      </c>
      <c r="I209" s="165"/>
      <c r="J209" s="313">
        <f t="shared" si="67"/>
        <v>0</v>
      </c>
      <c r="K209" s="313">
        <f t="shared" si="67"/>
        <v>0</v>
      </c>
      <c r="L209" s="313">
        <f t="shared" si="67"/>
        <v>0</v>
      </c>
      <c r="M209" s="313">
        <f t="shared" si="67"/>
        <v>0</v>
      </c>
      <c r="N209" s="313">
        <f t="shared" si="67"/>
        <v>0</v>
      </c>
      <c r="O209" s="313">
        <f t="shared" si="67"/>
        <v>0</v>
      </c>
      <c r="P209" s="313">
        <f t="shared" si="67"/>
        <v>0</v>
      </c>
      <c r="Q209" s="313">
        <f t="shared" si="67"/>
        <v>0</v>
      </c>
      <c r="R209" s="313">
        <f t="shared" si="67"/>
        <v>0</v>
      </c>
      <c r="S209" s="313">
        <f t="shared" si="67"/>
        <v>0</v>
      </c>
      <c r="T209" s="313">
        <f t="shared" si="68"/>
        <v>0</v>
      </c>
      <c r="U209" s="313">
        <f t="shared" si="68"/>
        <v>0</v>
      </c>
      <c r="V209" s="313">
        <f t="shared" si="68"/>
        <v>0</v>
      </c>
      <c r="W209" s="313">
        <f t="shared" si="68"/>
        <v>0</v>
      </c>
      <c r="X209" s="313">
        <f t="shared" si="68"/>
        <v>0</v>
      </c>
      <c r="Y209" s="313">
        <f t="shared" si="68"/>
        <v>0</v>
      </c>
      <c r="Z209" s="313">
        <f t="shared" si="68"/>
        <v>0</v>
      </c>
      <c r="AA209" s="328">
        <f t="shared" si="68"/>
        <v>0</v>
      </c>
      <c r="AB209" s="104"/>
      <c r="AC209" s="191"/>
      <c r="AE209" s="193">
        <f>SUM(J209:AA209)-G209</f>
        <v>0</v>
      </c>
    </row>
    <row r="210" spans="1:31" s="20" customFormat="1" ht="16.5" customHeight="1" thickBot="1">
      <c r="A210" s="411"/>
      <c r="C210" s="342">
        <f>+MAX(C$15:C208)+1</f>
        <v>171</v>
      </c>
      <c r="D210" s="252"/>
      <c r="E210" s="252" t="str">
        <f>'Fin Forecast - Elec'!D82</f>
        <v>Proposed Debt</v>
      </c>
      <c r="F210" s="252"/>
      <c r="G210" s="574">
        <f>SUMIF('Fin Forecast - Elec'!$G$7:$U$7,$E$5,'Fin Forecast - Elec'!$G$82:$U$82)</f>
        <v>3787500</v>
      </c>
      <c r="H210" s="82" t="s">
        <v>2769</v>
      </c>
      <c r="I210" s="165"/>
      <c r="J210" s="313">
        <f t="shared" si="67"/>
        <v>0</v>
      </c>
      <c r="K210" s="313">
        <f t="shared" si="67"/>
        <v>179528</v>
      </c>
      <c r="L210" s="313">
        <f t="shared" si="67"/>
        <v>1250254</v>
      </c>
      <c r="M210" s="313">
        <f t="shared" si="67"/>
        <v>421928</v>
      </c>
      <c r="N210" s="313">
        <f t="shared" si="67"/>
        <v>0</v>
      </c>
      <c r="O210" s="313">
        <f t="shared" si="67"/>
        <v>0</v>
      </c>
      <c r="P210" s="313">
        <f t="shared" si="67"/>
        <v>0</v>
      </c>
      <c r="Q210" s="313">
        <f t="shared" si="67"/>
        <v>376099</v>
      </c>
      <c r="R210" s="313">
        <f t="shared" si="67"/>
        <v>138244</v>
      </c>
      <c r="S210" s="313">
        <f t="shared" si="67"/>
        <v>816964</v>
      </c>
      <c r="T210" s="313">
        <f t="shared" si="68"/>
        <v>111353</v>
      </c>
      <c r="U210" s="313">
        <f t="shared" si="68"/>
        <v>283684</v>
      </c>
      <c r="V210" s="313">
        <f t="shared" si="68"/>
        <v>103020</v>
      </c>
      <c r="W210" s="313">
        <f t="shared" si="68"/>
        <v>71963</v>
      </c>
      <c r="X210" s="313">
        <f t="shared" si="68"/>
        <v>0</v>
      </c>
      <c r="Y210" s="313">
        <f t="shared" si="68"/>
        <v>34466</v>
      </c>
      <c r="Z210" s="313">
        <f t="shared" si="68"/>
        <v>0</v>
      </c>
      <c r="AA210" s="328">
        <f t="shared" si="68"/>
        <v>0</v>
      </c>
      <c r="AB210" s="104"/>
      <c r="AC210" s="191"/>
      <c r="AE210" s="193">
        <f t="shared" si="63"/>
        <v>3</v>
      </c>
    </row>
    <row r="211" spans="1:31" s="20" customFormat="1">
      <c r="A211" s="411"/>
      <c r="C211" s="342">
        <f>+MAX(C$15:C210)+1</f>
        <v>172</v>
      </c>
      <c r="D211" s="10"/>
      <c r="E211" s="255" t="s">
        <v>615</v>
      </c>
      <c r="F211" s="255"/>
      <c r="G211" s="616">
        <f>SUM(G208:G210)</f>
        <v>8508259.0671651904</v>
      </c>
      <c r="H211" s="9"/>
      <c r="I211" s="9"/>
      <c r="J211" s="362">
        <f t="shared" ref="J211:R211" si="69">SUM(J208:J210)</f>
        <v>0</v>
      </c>
      <c r="K211" s="362">
        <f t="shared" si="69"/>
        <v>403292</v>
      </c>
      <c r="L211" s="362">
        <f t="shared" si="69"/>
        <v>2808577</v>
      </c>
      <c r="M211" s="362">
        <f t="shared" si="69"/>
        <v>947821</v>
      </c>
      <c r="N211" s="362">
        <f t="shared" si="69"/>
        <v>0</v>
      </c>
      <c r="O211" s="362">
        <f t="shared" si="69"/>
        <v>0</v>
      </c>
      <c r="P211" s="362">
        <f t="shared" si="69"/>
        <v>0</v>
      </c>
      <c r="Q211" s="362">
        <f t="shared" si="69"/>
        <v>844870</v>
      </c>
      <c r="R211" s="362">
        <f t="shared" si="69"/>
        <v>310552</v>
      </c>
      <c r="S211" s="362">
        <f t="shared" ref="S211:AA211" si="70">SUM(S208:S210)</f>
        <v>1835232</v>
      </c>
      <c r="T211" s="362">
        <f t="shared" si="70"/>
        <v>250143</v>
      </c>
      <c r="U211" s="362">
        <f t="shared" si="70"/>
        <v>637269</v>
      </c>
      <c r="V211" s="362">
        <f t="shared" si="70"/>
        <v>231425</v>
      </c>
      <c r="W211" s="362">
        <f t="shared" si="70"/>
        <v>161657</v>
      </c>
      <c r="X211" s="362">
        <f t="shared" si="70"/>
        <v>0</v>
      </c>
      <c r="Y211" s="362">
        <f t="shared" si="70"/>
        <v>77425</v>
      </c>
      <c r="Z211" s="362">
        <f t="shared" si="70"/>
        <v>0</v>
      </c>
      <c r="AA211" s="367">
        <f t="shared" si="70"/>
        <v>0</v>
      </c>
      <c r="AB211" s="218"/>
      <c r="AC211" s="191"/>
      <c r="AE211" s="193">
        <f t="shared" si="63"/>
        <v>3.9328348096460104</v>
      </c>
    </row>
    <row r="212" spans="1:31" s="20" customFormat="1">
      <c r="A212" s="411"/>
      <c r="C212" s="342"/>
      <c r="D212" s="10"/>
      <c r="E212" s="255"/>
      <c r="F212" s="255"/>
      <c r="G212" s="615"/>
      <c r="H212" s="9"/>
      <c r="I212" s="9"/>
      <c r="J212" s="331"/>
      <c r="K212" s="331"/>
      <c r="L212" s="331"/>
      <c r="M212" s="331"/>
      <c r="N212" s="331"/>
      <c r="O212" s="331"/>
      <c r="P212" s="331"/>
      <c r="Q212" s="331"/>
      <c r="R212" s="331"/>
      <c r="S212" s="331"/>
      <c r="T212" s="331"/>
      <c r="U212" s="331"/>
      <c r="V212" s="331"/>
      <c r="W212" s="331"/>
      <c r="X212" s="331"/>
      <c r="Y212" s="331"/>
      <c r="Z212" s="331"/>
      <c r="AA212" s="2547"/>
      <c r="AB212" s="218"/>
      <c r="AC212" s="191"/>
      <c r="AE212" s="193"/>
    </row>
    <row r="213" spans="1:31" s="20" customFormat="1" ht="16.5" thickBot="1">
      <c r="A213" s="411"/>
      <c r="C213" s="342">
        <f>+MAX(C$15:C212)+1</f>
        <v>173</v>
      </c>
      <c r="D213" s="10"/>
      <c r="E213" s="246" t="s">
        <v>1941</v>
      </c>
      <c r="F213" s="206"/>
      <c r="G213" s="17"/>
      <c r="H213" s="9"/>
      <c r="I213" s="9"/>
      <c r="J213" s="17"/>
      <c r="K213" s="17"/>
      <c r="L213" s="17"/>
      <c r="M213" s="17"/>
      <c r="N213" s="17"/>
      <c r="O213" s="17"/>
      <c r="P213" s="17"/>
      <c r="Q213" s="17"/>
      <c r="R213" s="17"/>
      <c r="S213" s="17"/>
      <c r="T213" s="17"/>
      <c r="U213" s="17"/>
      <c r="V213" s="17"/>
      <c r="W213" s="17"/>
      <c r="X213" s="17"/>
      <c r="Y213" s="17"/>
      <c r="Z213" s="17"/>
      <c r="AA213" s="325"/>
      <c r="AB213" s="87"/>
      <c r="AC213" s="191"/>
      <c r="AE213" s="193">
        <f t="shared" si="63"/>
        <v>0</v>
      </c>
    </row>
    <row r="214" spans="1:31" s="20" customFormat="1">
      <c r="A214" s="411"/>
      <c r="C214" s="342">
        <f>+MAX(C$15:C213)+1</f>
        <v>174</v>
      </c>
      <c r="D214" s="10"/>
      <c r="E214" s="252" t="s">
        <v>2997</v>
      </c>
      <c r="F214" s="206"/>
      <c r="G214" s="615">
        <f>-G241</f>
        <v>0</v>
      </c>
      <c r="H214" s="80" t="s">
        <v>2990</v>
      </c>
      <c r="I214" s="165"/>
      <c r="J214" s="308">
        <f t="shared" ref="J214:S218" si="71">+ROUND($G214*SUMIF($E$260:$E$302,$H214,J$260:J$302),$AD$10)</f>
        <v>0</v>
      </c>
      <c r="K214" s="308">
        <f t="shared" si="71"/>
        <v>0</v>
      </c>
      <c r="L214" s="308">
        <f t="shared" si="71"/>
        <v>0</v>
      </c>
      <c r="M214" s="308">
        <f t="shared" si="71"/>
        <v>0</v>
      </c>
      <c r="N214" s="308">
        <f t="shared" si="71"/>
        <v>0</v>
      </c>
      <c r="O214" s="308">
        <f t="shared" si="71"/>
        <v>0</v>
      </c>
      <c r="P214" s="308">
        <f t="shared" si="71"/>
        <v>0</v>
      </c>
      <c r="Q214" s="308">
        <f t="shared" si="71"/>
        <v>0</v>
      </c>
      <c r="R214" s="308">
        <f t="shared" si="71"/>
        <v>0</v>
      </c>
      <c r="S214" s="308">
        <f t="shared" si="71"/>
        <v>0</v>
      </c>
      <c r="T214" s="308">
        <f t="shared" ref="T214:AA218" si="72">+ROUND($G214*SUMIF($E$260:$E$302,$H214,T$260:T$302),$AD$10)</f>
        <v>0</v>
      </c>
      <c r="U214" s="308">
        <f t="shared" si="72"/>
        <v>0</v>
      </c>
      <c r="V214" s="308">
        <f t="shared" si="72"/>
        <v>0</v>
      </c>
      <c r="W214" s="308">
        <f t="shared" si="72"/>
        <v>0</v>
      </c>
      <c r="X214" s="308">
        <f t="shared" si="72"/>
        <v>0</v>
      </c>
      <c r="Y214" s="308">
        <f t="shared" si="72"/>
        <v>0</v>
      </c>
      <c r="Z214" s="308">
        <f t="shared" si="72"/>
        <v>0</v>
      </c>
      <c r="AA214" s="308">
        <f t="shared" si="72"/>
        <v>0</v>
      </c>
      <c r="AB214" s="87"/>
      <c r="AC214" s="191"/>
      <c r="AE214" s="193"/>
    </row>
    <row r="215" spans="1:31" s="20" customFormat="1">
      <c r="A215" s="411"/>
      <c r="C215" s="342">
        <f>+MAX(C$15:C214)+1</f>
        <v>175</v>
      </c>
      <c r="D215" s="10"/>
      <c r="E215" s="252" t="s">
        <v>2998</v>
      </c>
      <c r="F215" s="206"/>
      <c r="G215" s="574">
        <f>-G242</f>
        <v>0</v>
      </c>
      <c r="H215" s="81" t="s">
        <v>2991</v>
      </c>
      <c r="I215" s="165"/>
      <c r="J215" s="313">
        <f t="shared" si="71"/>
        <v>0</v>
      </c>
      <c r="K215" s="313">
        <f t="shared" si="71"/>
        <v>0</v>
      </c>
      <c r="L215" s="313">
        <f t="shared" si="71"/>
        <v>0</v>
      </c>
      <c r="M215" s="313">
        <f t="shared" si="71"/>
        <v>0</v>
      </c>
      <c r="N215" s="313">
        <f t="shared" si="71"/>
        <v>0</v>
      </c>
      <c r="O215" s="313">
        <f t="shared" si="71"/>
        <v>0</v>
      </c>
      <c r="P215" s="313">
        <f t="shared" si="71"/>
        <v>0</v>
      </c>
      <c r="Q215" s="313">
        <f t="shared" si="71"/>
        <v>0</v>
      </c>
      <c r="R215" s="313">
        <f t="shared" si="71"/>
        <v>0</v>
      </c>
      <c r="S215" s="313">
        <f t="shared" si="71"/>
        <v>0</v>
      </c>
      <c r="T215" s="313">
        <f t="shared" si="72"/>
        <v>0</v>
      </c>
      <c r="U215" s="313">
        <f t="shared" si="72"/>
        <v>0</v>
      </c>
      <c r="V215" s="313">
        <f t="shared" si="72"/>
        <v>0</v>
      </c>
      <c r="W215" s="313">
        <f t="shared" si="72"/>
        <v>0</v>
      </c>
      <c r="X215" s="313">
        <f t="shared" si="72"/>
        <v>0</v>
      </c>
      <c r="Y215" s="313">
        <f t="shared" si="72"/>
        <v>0</v>
      </c>
      <c r="Z215" s="313">
        <f t="shared" si="72"/>
        <v>0</v>
      </c>
      <c r="AA215" s="328">
        <f t="shared" si="72"/>
        <v>0</v>
      </c>
      <c r="AB215" s="87"/>
      <c r="AC215" s="191"/>
      <c r="AE215" s="193"/>
    </row>
    <row r="216" spans="1:31" s="20" customFormat="1">
      <c r="A216" s="411"/>
      <c r="C216" s="342">
        <f>+MAX(C$15:C215)+1</f>
        <v>176</v>
      </c>
      <c r="D216" s="10"/>
      <c r="E216" s="252" t="s">
        <v>2999</v>
      </c>
      <c r="F216" s="206"/>
      <c r="G216" s="574">
        <f>-G243</f>
        <v>0</v>
      </c>
      <c r="H216" s="81" t="s">
        <v>2990</v>
      </c>
      <c r="I216" s="165"/>
      <c r="J216" s="313">
        <f t="shared" si="71"/>
        <v>0</v>
      </c>
      <c r="K216" s="313">
        <f t="shared" si="71"/>
        <v>0</v>
      </c>
      <c r="L216" s="313">
        <f t="shared" si="71"/>
        <v>0</v>
      </c>
      <c r="M216" s="313">
        <f t="shared" si="71"/>
        <v>0</v>
      </c>
      <c r="N216" s="313">
        <f t="shared" si="71"/>
        <v>0</v>
      </c>
      <c r="O216" s="313">
        <f t="shared" si="71"/>
        <v>0</v>
      </c>
      <c r="P216" s="313">
        <f t="shared" si="71"/>
        <v>0</v>
      </c>
      <c r="Q216" s="313">
        <f t="shared" si="71"/>
        <v>0</v>
      </c>
      <c r="R216" s="313">
        <f t="shared" si="71"/>
        <v>0</v>
      </c>
      <c r="S216" s="313">
        <f t="shared" si="71"/>
        <v>0</v>
      </c>
      <c r="T216" s="313">
        <f t="shared" si="72"/>
        <v>0</v>
      </c>
      <c r="U216" s="313">
        <f t="shared" si="72"/>
        <v>0</v>
      </c>
      <c r="V216" s="313">
        <f t="shared" si="72"/>
        <v>0</v>
      </c>
      <c r="W216" s="313">
        <f t="shared" si="72"/>
        <v>0</v>
      </c>
      <c r="X216" s="313">
        <f t="shared" si="72"/>
        <v>0</v>
      </c>
      <c r="Y216" s="313">
        <f t="shared" si="72"/>
        <v>0</v>
      </c>
      <c r="Z216" s="313">
        <f t="shared" si="72"/>
        <v>0</v>
      </c>
      <c r="AA216" s="328">
        <f t="shared" si="72"/>
        <v>0</v>
      </c>
      <c r="AB216" s="87"/>
      <c r="AC216" s="191"/>
      <c r="AE216" s="193"/>
    </row>
    <row r="217" spans="1:31" s="20" customFormat="1">
      <c r="A217" s="411"/>
      <c r="C217" s="342">
        <f>+MAX(C$15:C216)+1</f>
        <v>177</v>
      </c>
      <c r="D217" s="10"/>
      <c r="E217" s="252" t="s">
        <v>3000</v>
      </c>
      <c r="F217" s="206"/>
      <c r="G217" s="574">
        <f>-G244</f>
        <v>0</v>
      </c>
      <c r="H217" s="81" t="s">
        <v>2991</v>
      </c>
      <c r="I217" s="165"/>
      <c r="J217" s="313">
        <f t="shared" si="71"/>
        <v>0</v>
      </c>
      <c r="K217" s="313">
        <f t="shared" si="71"/>
        <v>0</v>
      </c>
      <c r="L217" s="313">
        <f t="shared" si="71"/>
        <v>0</v>
      </c>
      <c r="M217" s="313">
        <f t="shared" si="71"/>
        <v>0</v>
      </c>
      <c r="N217" s="313">
        <f t="shared" si="71"/>
        <v>0</v>
      </c>
      <c r="O217" s="313">
        <f t="shared" si="71"/>
        <v>0</v>
      </c>
      <c r="P217" s="313">
        <f t="shared" si="71"/>
        <v>0</v>
      </c>
      <c r="Q217" s="313">
        <f t="shared" si="71"/>
        <v>0</v>
      </c>
      <c r="R217" s="313">
        <f t="shared" si="71"/>
        <v>0</v>
      </c>
      <c r="S217" s="313">
        <f t="shared" si="71"/>
        <v>0</v>
      </c>
      <c r="T217" s="313">
        <f t="shared" si="72"/>
        <v>0</v>
      </c>
      <c r="U217" s="313">
        <f t="shared" si="72"/>
        <v>0</v>
      </c>
      <c r="V217" s="313">
        <f t="shared" si="72"/>
        <v>0</v>
      </c>
      <c r="W217" s="313">
        <f t="shared" si="72"/>
        <v>0</v>
      </c>
      <c r="X217" s="313">
        <f t="shared" si="72"/>
        <v>0</v>
      </c>
      <c r="Y217" s="313">
        <f t="shared" si="72"/>
        <v>0</v>
      </c>
      <c r="Z217" s="313">
        <f t="shared" si="72"/>
        <v>0</v>
      </c>
      <c r="AA217" s="328">
        <f t="shared" si="72"/>
        <v>0</v>
      </c>
      <c r="AB217" s="87"/>
      <c r="AC217" s="191"/>
      <c r="AE217" s="193"/>
    </row>
    <row r="218" spans="1:31" s="20" customFormat="1" ht="16.5" thickBot="1">
      <c r="A218" s="411"/>
      <c r="C218" s="342">
        <f>+MAX(C$15:C217)+1</f>
        <v>178</v>
      </c>
      <c r="D218" s="10"/>
      <c r="E218" s="252" t="s">
        <v>3001</v>
      </c>
      <c r="F218" s="206"/>
      <c r="G218" s="574">
        <f>SUMIF('Fin Forecast - Elec'!$G$7:$U$7,$E$5,'Fin Forecast - Elec'!$G$92:$U$92)-SUM(G214:G217)</f>
        <v>31901862.832594763</v>
      </c>
      <c r="H218" s="82" t="s">
        <v>263</v>
      </c>
      <c r="I218" s="165"/>
      <c r="J218" s="313">
        <f t="shared" si="71"/>
        <v>0</v>
      </c>
      <c r="K218" s="313">
        <f t="shared" si="71"/>
        <v>1531289</v>
      </c>
      <c r="L218" s="313">
        <f t="shared" si="71"/>
        <v>10266019</v>
      </c>
      <c r="M218" s="313">
        <f t="shared" si="71"/>
        <v>3598530</v>
      </c>
      <c r="N218" s="313">
        <f t="shared" si="71"/>
        <v>0</v>
      </c>
      <c r="O218" s="313">
        <f t="shared" si="71"/>
        <v>0</v>
      </c>
      <c r="P218" s="313">
        <f t="shared" si="71"/>
        <v>0</v>
      </c>
      <c r="Q218" s="313">
        <f t="shared" si="71"/>
        <v>3206137</v>
      </c>
      <c r="R218" s="313">
        <f t="shared" si="71"/>
        <v>1180369</v>
      </c>
      <c r="S218" s="313">
        <f t="shared" si="71"/>
        <v>6967367</v>
      </c>
      <c r="T218" s="313">
        <f t="shared" si="72"/>
        <v>947485</v>
      </c>
      <c r="U218" s="313">
        <f t="shared" si="72"/>
        <v>2421351</v>
      </c>
      <c r="V218" s="313">
        <f t="shared" si="72"/>
        <v>877301</v>
      </c>
      <c r="W218" s="313">
        <f t="shared" si="72"/>
        <v>612516</v>
      </c>
      <c r="X218" s="313">
        <f t="shared" si="72"/>
        <v>0</v>
      </c>
      <c r="Y218" s="313">
        <f t="shared" si="72"/>
        <v>293497</v>
      </c>
      <c r="Z218" s="313">
        <f t="shared" si="72"/>
        <v>0</v>
      </c>
      <c r="AA218" s="328">
        <f t="shared" si="72"/>
        <v>0</v>
      </c>
      <c r="AB218" s="87"/>
      <c r="AC218" s="191"/>
      <c r="AE218" s="193"/>
    </row>
    <row r="219" spans="1:31" s="20" customFormat="1">
      <c r="A219" s="411"/>
      <c r="B219" s="225"/>
      <c r="C219" s="342">
        <f>+MAX(C$15:C218)+1</f>
        <v>179</v>
      </c>
      <c r="D219" s="10"/>
      <c r="E219" s="248" t="s">
        <v>1942</v>
      </c>
      <c r="F219" s="629"/>
      <c r="G219" s="616">
        <f>SUM(G214:G218)</f>
        <v>31901862.832594763</v>
      </c>
      <c r="H219" s="262"/>
      <c r="I219" s="165"/>
      <c r="J219" s="2546">
        <f t="shared" ref="J219:AA219" si="73">SUM(J214:J218)</f>
        <v>0</v>
      </c>
      <c r="K219" s="2546">
        <f t="shared" si="73"/>
        <v>1531289</v>
      </c>
      <c r="L219" s="2546">
        <f t="shared" si="73"/>
        <v>10266019</v>
      </c>
      <c r="M219" s="2546">
        <f t="shared" si="73"/>
        <v>3598530</v>
      </c>
      <c r="N219" s="2546">
        <f t="shared" si="73"/>
        <v>0</v>
      </c>
      <c r="O219" s="2546">
        <f t="shared" si="73"/>
        <v>0</v>
      </c>
      <c r="P219" s="2546">
        <f t="shared" si="73"/>
        <v>0</v>
      </c>
      <c r="Q219" s="2546">
        <f t="shared" si="73"/>
        <v>3206137</v>
      </c>
      <c r="R219" s="2546">
        <f t="shared" si="73"/>
        <v>1180369</v>
      </c>
      <c r="S219" s="2546">
        <f t="shared" si="73"/>
        <v>6967367</v>
      </c>
      <c r="T219" s="2546">
        <f t="shared" si="73"/>
        <v>947485</v>
      </c>
      <c r="U219" s="2546">
        <f t="shared" si="73"/>
        <v>2421351</v>
      </c>
      <c r="V219" s="2546">
        <f t="shared" si="73"/>
        <v>877301</v>
      </c>
      <c r="W219" s="2546">
        <f t="shared" si="73"/>
        <v>612516</v>
      </c>
      <c r="X219" s="2546">
        <f t="shared" si="73"/>
        <v>0</v>
      </c>
      <c r="Y219" s="2546">
        <f t="shared" si="73"/>
        <v>293497</v>
      </c>
      <c r="Z219" s="2546">
        <f t="shared" si="73"/>
        <v>0</v>
      </c>
      <c r="AA219" s="2546">
        <f t="shared" si="73"/>
        <v>0</v>
      </c>
      <c r="AB219" s="104"/>
      <c r="AC219" s="191"/>
      <c r="AE219" s="193">
        <f t="shared" si="63"/>
        <v>-1.8325947634875774</v>
      </c>
    </row>
    <row r="220" spans="1:31" s="20" customFormat="1" ht="5.25" customHeight="1">
      <c r="A220" s="411"/>
      <c r="C220" s="342"/>
      <c r="D220" s="10"/>
      <c r="E220" s="246"/>
      <c r="F220" s="246"/>
      <c r="G220" s="615"/>
      <c r="H220" s="262"/>
      <c r="I220" s="262"/>
      <c r="J220" s="313"/>
      <c r="K220" s="313"/>
      <c r="L220" s="313"/>
      <c r="M220" s="313"/>
      <c r="N220" s="313"/>
      <c r="O220" s="313"/>
      <c r="P220" s="313"/>
      <c r="Q220" s="313"/>
      <c r="R220" s="313"/>
      <c r="S220" s="313"/>
      <c r="T220" s="313"/>
      <c r="U220" s="313"/>
      <c r="V220" s="313"/>
      <c r="W220" s="313"/>
      <c r="X220" s="313"/>
      <c r="Y220" s="313"/>
      <c r="Z220" s="313"/>
      <c r="AA220" s="328"/>
      <c r="AB220" s="104"/>
      <c r="AC220" s="191"/>
      <c r="AE220" s="193">
        <f t="shared" si="63"/>
        <v>0</v>
      </c>
    </row>
    <row r="221" spans="1:31" s="20" customFormat="1" ht="16.5" customHeight="1" thickBot="1">
      <c r="A221" s="411"/>
      <c r="C221" s="342">
        <f>+MAX(C$15:C220)+1</f>
        <v>180</v>
      </c>
      <c r="D221" s="10"/>
      <c r="E221" s="246" t="s">
        <v>489</v>
      </c>
      <c r="F221" s="246"/>
      <c r="G221" s="615"/>
      <c r="H221" s="262"/>
      <c r="I221" s="262"/>
      <c r="J221" s="313"/>
      <c r="K221" s="313"/>
      <c r="L221" s="313"/>
      <c r="M221" s="313"/>
      <c r="N221" s="313"/>
      <c r="O221" s="313"/>
      <c r="P221" s="313"/>
      <c r="Q221" s="313"/>
      <c r="R221" s="313"/>
      <c r="S221" s="313"/>
      <c r="T221" s="313"/>
      <c r="U221" s="313"/>
      <c r="V221" s="313"/>
      <c r="W221" s="313"/>
      <c r="X221" s="313"/>
      <c r="Y221" s="313"/>
      <c r="Z221" s="313"/>
      <c r="AA221" s="328"/>
      <c r="AB221" s="104"/>
      <c r="AC221" s="191"/>
      <c r="AE221" s="193">
        <f t="shared" si="63"/>
        <v>0</v>
      </c>
    </row>
    <row r="222" spans="1:31" s="20" customFormat="1" ht="16.5" customHeight="1">
      <c r="A222" s="411"/>
      <c r="C222" s="342">
        <f>+MAX(C$15:C221)+1</f>
        <v>181</v>
      </c>
      <c r="D222" s="252"/>
      <c r="E222" s="252" t="str">
        <f>'Fin Forecast - Elec'!D88</f>
        <v>Taxes</v>
      </c>
      <c r="F222" s="252"/>
      <c r="G222" s="615">
        <f>SUMIF('Fin Forecast - Elec'!$G$7:$U$7,$E$5,'Fin Forecast - Elec'!$G$88:$U$88)</f>
        <v>20596507.288357612</v>
      </c>
      <c r="H222" s="80" t="s">
        <v>263</v>
      </c>
      <c r="I222" s="165"/>
      <c r="J222" s="308">
        <f t="shared" ref="J222:S225" si="74">+ROUND($G222*SUMIF($E$260:$E$302,$H222,J$260:J$302),$AD$10)</f>
        <v>0</v>
      </c>
      <c r="K222" s="308">
        <f t="shared" si="74"/>
        <v>988632</v>
      </c>
      <c r="L222" s="308">
        <f t="shared" si="74"/>
        <v>6627956</v>
      </c>
      <c r="M222" s="308">
        <f t="shared" si="74"/>
        <v>2323286</v>
      </c>
      <c r="N222" s="308">
        <f t="shared" si="74"/>
        <v>0</v>
      </c>
      <c r="O222" s="308">
        <f t="shared" si="74"/>
        <v>0</v>
      </c>
      <c r="P222" s="308">
        <f t="shared" si="74"/>
        <v>0</v>
      </c>
      <c r="Q222" s="308">
        <f t="shared" si="74"/>
        <v>2069949</v>
      </c>
      <c r="R222" s="308">
        <f t="shared" si="74"/>
        <v>762071</v>
      </c>
      <c r="S222" s="308">
        <f t="shared" si="74"/>
        <v>4498277</v>
      </c>
      <c r="T222" s="308">
        <f t="shared" ref="T222:AA225" si="75">+ROUND($G222*SUMIF($E$260:$E$302,$H222,T$260:T$302),$AD$10)</f>
        <v>611716</v>
      </c>
      <c r="U222" s="308">
        <f t="shared" si="75"/>
        <v>1563275</v>
      </c>
      <c r="V222" s="308">
        <f t="shared" si="75"/>
        <v>566404</v>
      </c>
      <c r="W222" s="308">
        <f t="shared" si="75"/>
        <v>395453</v>
      </c>
      <c r="X222" s="308">
        <f t="shared" si="75"/>
        <v>0</v>
      </c>
      <c r="Y222" s="308">
        <f t="shared" si="75"/>
        <v>189488</v>
      </c>
      <c r="Z222" s="308">
        <f t="shared" si="75"/>
        <v>0</v>
      </c>
      <c r="AA222" s="349">
        <f t="shared" si="75"/>
        <v>0</v>
      </c>
      <c r="AB222" s="215"/>
      <c r="AC222" s="191"/>
      <c r="AE222" s="193">
        <f t="shared" si="63"/>
        <v>-0.28835761174559593</v>
      </c>
    </row>
    <row r="223" spans="1:31" s="20" customFormat="1" ht="16.5" customHeight="1">
      <c r="A223" s="411"/>
      <c r="C223" s="342">
        <f>+MAX(C$15:C222)+1</f>
        <v>182</v>
      </c>
      <c r="D223" s="252"/>
      <c r="E223" s="252" t="str">
        <f>'Fin Forecast - Elec'!D89</f>
        <v>Transfer to/(from) Finance Plan Reserve (Debt Service)</v>
      </c>
      <c r="F223" s="252"/>
      <c r="G223" s="574">
        <f>SUMIF('Fin Forecast - Elec'!$G$7:$U$7,$E$5,'Fin Forecast - Elec'!$G$89:$U$89)</f>
        <v>0</v>
      </c>
      <c r="H223" s="81" t="s">
        <v>2769</v>
      </c>
      <c r="I223" s="165"/>
      <c r="J223" s="313">
        <f t="shared" si="74"/>
        <v>0</v>
      </c>
      <c r="K223" s="313">
        <f t="shared" si="74"/>
        <v>0</v>
      </c>
      <c r="L223" s="313">
        <f t="shared" si="74"/>
        <v>0</v>
      </c>
      <c r="M223" s="313">
        <f t="shared" si="74"/>
        <v>0</v>
      </c>
      <c r="N223" s="313">
        <f t="shared" si="74"/>
        <v>0</v>
      </c>
      <c r="O223" s="313">
        <f t="shared" si="74"/>
        <v>0</v>
      </c>
      <c r="P223" s="313">
        <f t="shared" si="74"/>
        <v>0</v>
      </c>
      <c r="Q223" s="313">
        <f t="shared" si="74"/>
        <v>0</v>
      </c>
      <c r="R223" s="313">
        <f t="shared" si="74"/>
        <v>0</v>
      </c>
      <c r="S223" s="313">
        <f t="shared" si="74"/>
        <v>0</v>
      </c>
      <c r="T223" s="313">
        <f t="shared" si="75"/>
        <v>0</v>
      </c>
      <c r="U223" s="313">
        <f t="shared" si="75"/>
        <v>0</v>
      </c>
      <c r="V223" s="313">
        <f t="shared" si="75"/>
        <v>0</v>
      </c>
      <c r="W223" s="313">
        <f t="shared" si="75"/>
        <v>0</v>
      </c>
      <c r="X223" s="313">
        <f t="shared" si="75"/>
        <v>0</v>
      </c>
      <c r="Y223" s="313">
        <f t="shared" si="75"/>
        <v>0</v>
      </c>
      <c r="Z223" s="313">
        <f t="shared" si="75"/>
        <v>0</v>
      </c>
      <c r="AA223" s="328">
        <f t="shared" si="75"/>
        <v>0</v>
      </c>
      <c r="AB223" s="215"/>
      <c r="AC223" s="191"/>
      <c r="AE223" s="193"/>
    </row>
    <row r="224" spans="1:31" s="20" customFormat="1" ht="16.5" customHeight="1" thickBot="1">
      <c r="A224" s="411"/>
      <c r="C224" s="342">
        <f>+MAX(C$15:C223)+1</f>
        <v>183</v>
      </c>
      <c r="D224" s="252"/>
      <c r="E224" s="252" t="str">
        <f>'Fin Forecast - Elec'!D90</f>
        <v>Transfer to/(from) Finance Plan Reserve (PRP Capital)</v>
      </c>
      <c r="F224" s="252"/>
      <c r="G224" s="574">
        <f>SUMIF('Fin Forecast - Elec'!$G$7:$U$7,$E$5,'Fin Forecast - Elec'!$G$90:$U$90)</f>
        <v>98146906.637001559</v>
      </c>
      <c r="H224" s="139" t="s">
        <v>2764</v>
      </c>
      <c r="I224" s="165"/>
      <c r="J224" s="313">
        <f t="shared" si="74"/>
        <v>0</v>
      </c>
      <c r="K224" s="313">
        <f t="shared" si="74"/>
        <v>98146907</v>
      </c>
      <c r="L224" s="313">
        <f t="shared" si="74"/>
        <v>0</v>
      </c>
      <c r="M224" s="313">
        <f t="shared" si="74"/>
        <v>0</v>
      </c>
      <c r="N224" s="313">
        <f t="shared" si="74"/>
        <v>0</v>
      </c>
      <c r="O224" s="313">
        <f t="shared" si="74"/>
        <v>0</v>
      </c>
      <c r="P224" s="313">
        <f t="shared" si="74"/>
        <v>0</v>
      </c>
      <c r="Q224" s="313">
        <f t="shared" si="74"/>
        <v>0</v>
      </c>
      <c r="R224" s="313">
        <f t="shared" si="74"/>
        <v>0</v>
      </c>
      <c r="S224" s="313">
        <f t="shared" si="74"/>
        <v>0</v>
      </c>
      <c r="T224" s="313">
        <f t="shared" si="75"/>
        <v>0</v>
      </c>
      <c r="U224" s="313">
        <f t="shared" si="75"/>
        <v>0</v>
      </c>
      <c r="V224" s="313">
        <f t="shared" si="75"/>
        <v>0</v>
      </c>
      <c r="W224" s="313">
        <f t="shared" si="75"/>
        <v>0</v>
      </c>
      <c r="X224" s="313">
        <f t="shared" si="75"/>
        <v>0</v>
      </c>
      <c r="Y224" s="313">
        <f t="shared" si="75"/>
        <v>0</v>
      </c>
      <c r="Z224" s="313">
        <f t="shared" si="75"/>
        <v>0</v>
      </c>
      <c r="AA224" s="328">
        <f t="shared" si="75"/>
        <v>0</v>
      </c>
      <c r="AB224" s="104"/>
      <c r="AC224" s="191"/>
      <c r="AE224" s="193">
        <f t="shared" si="63"/>
        <v>0.36299844086170197</v>
      </c>
    </row>
    <row r="225" spans="1:31" s="20" customFormat="1" ht="16.5" hidden="1" customHeight="1" thickBot="1">
      <c r="A225" s="411"/>
      <c r="C225" s="342">
        <f>+MAX(C$15:C224)+1</f>
        <v>184</v>
      </c>
      <c r="D225" s="252"/>
      <c r="E225" s="252" t="str">
        <f>'Fin Forecast - Elec'!D91</f>
        <v>Transfer 3</v>
      </c>
      <c r="F225" s="252"/>
      <c r="G225" s="574">
        <f>SUMIF('Fin Forecast - Elec'!$G$7:$U$7,$E$5,'Fin Forecast - Elec'!$G$91:$U$91)</f>
        <v>0</v>
      </c>
      <c r="H225" s="82" t="s">
        <v>263</v>
      </c>
      <c r="I225" s="165"/>
      <c r="J225" s="313">
        <f t="shared" si="74"/>
        <v>0</v>
      </c>
      <c r="K225" s="313">
        <f t="shared" si="74"/>
        <v>0</v>
      </c>
      <c r="L225" s="313">
        <f t="shared" si="74"/>
        <v>0</v>
      </c>
      <c r="M225" s="313">
        <f t="shared" si="74"/>
        <v>0</v>
      </c>
      <c r="N225" s="313">
        <f t="shared" si="74"/>
        <v>0</v>
      </c>
      <c r="O225" s="313">
        <f t="shared" si="74"/>
        <v>0</v>
      </c>
      <c r="P225" s="313">
        <f t="shared" si="74"/>
        <v>0</v>
      </c>
      <c r="Q225" s="313">
        <f t="shared" si="74"/>
        <v>0</v>
      </c>
      <c r="R225" s="313">
        <f t="shared" si="74"/>
        <v>0</v>
      </c>
      <c r="S225" s="313">
        <f t="shared" si="74"/>
        <v>0</v>
      </c>
      <c r="T225" s="313">
        <f t="shared" si="75"/>
        <v>0</v>
      </c>
      <c r="U225" s="313">
        <f t="shared" si="75"/>
        <v>0</v>
      </c>
      <c r="V225" s="313">
        <f t="shared" si="75"/>
        <v>0</v>
      </c>
      <c r="W225" s="313">
        <f t="shared" si="75"/>
        <v>0</v>
      </c>
      <c r="X225" s="313">
        <f t="shared" si="75"/>
        <v>0</v>
      </c>
      <c r="Y225" s="313">
        <f t="shared" si="75"/>
        <v>0</v>
      </c>
      <c r="Z225" s="313">
        <f t="shared" si="75"/>
        <v>0</v>
      </c>
      <c r="AA225" s="328">
        <f t="shared" si="75"/>
        <v>0</v>
      </c>
      <c r="AB225" s="104"/>
      <c r="AC225" s="191"/>
      <c r="AE225" s="193">
        <f t="shared" si="63"/>
        <v>0</v>
      </c>
    </row>
    <row r="226" spans="1:31" s="20" customFormat="1" ht="16.5" customHeight="1">
      <c r="A226" s="411"/>
      <c r="C226" s="342">
        <f>+MAX(C$15:C225)+1</f>
        <v>185</v>
      </c>
      <c r="D226" s="10"/>
      <c r="E226" s="255" t="s">
        <v>275</v>
      </c>
      <c r="F226" s="255"/>
      <c r="G226" s="616">
        <f>SUM(G222:G225)</f>
        <v>118743413.92535917</v>
      </c>
      <c r="H226" s="9"/>
      <c r="I226" s="9"/>
      <c r="J226" s="362">
        <f t="shared" ref="J226:AA226" si="76">SUM(J222:J225)</f>
        <v>0</v>
      </c>
      <c r="K226" s="362">
        <f t="shared" ref="K226:Q226" si="77">SUM(K222:K225)</f>
        <v>99135539</v>
      </c>
      <c r="L226" s="362">
        <f t="shared" si="77"/>
        <v>6627956</v>
      </c>
      <c r="M226" s="362">
        <f t="shared" si="77"/>
        <v>2323286</v>
      </c>
      <c r="N226" s="362">
        <f t="shared" si="77"/>
        <v>0</v>
      </c>
      <c r="O226" s="362">
        <f t="shared" si="77"/>
        <v>0</v>
      </c>
      <c r="P226" s="362">
        <f t="shared" si="77"/>
        <v>0</v>
      </c>
      <c r="Q226" s="362">
        <f t="shared" si="77"/>
        <v>2069949</v>
      </c>
      <c r="R226" s="362">
        <f t="shared" si="76"/>
        <v>762071</v>
      </c>
      <c r="S226" s="362">
        <f t="shared" si="76"/>
        <v>4498277</v>
      </c>
      <c r="T226" s="362">
        <f t="shared" si="76"/>
        <v>611716</v>
      </c>
      <c r="U226" s="362">
        <f t="shared" si="76"/>
        <v>1563275</v>
      </c>
      <c r="V226" s="362">
        <f t="shared" si="76"/>
        <v>566404</v>
      </c>
      <c r="W226" s="362">
        <f t="shared" si="76"/>
        <v>395453</v>
      </c>
      <c r="X226" s="362">
        <f t="shared" si="76"/>
        <v>0</v>
      </c>
      <c r="Y226" s="362">
        <f t="shared" si="76"/>
        <v>189488</v>
      </c>
      <c r="Z226" s="362">
        <f t="shared" si="76"/>
        <v>0</v>
      </c>
      <c r="AA226" s="367">
        <f t="shared" si="76"/>
        <v>0</v>
      </c>
      <c r="AB226" s="218"/>
      <c r="AC226" s="191"/>
      <c r="AE226" s="193">
        <f t="shared" si="63"/>
        <v>7.4640825390815735E-2</v>
      </c>
    </row>
    <row r="227" spans="1:31" s="20" customFormat="1" ht="5.25" customHeight="1">
      <c r="A227" s="411"/>
      <c r="C227" s="342"/>
      <c r="D227" s="10"/>
      <c r="E227" s="246"/>
      <c r="F227" s="246"/>
      <c r="G227" s="615"/>
      <c r="H227" s="262"/>
      <c r="I227" s="262"/>
      <c r="J227" s="313"/>
      <c r="K227" s="313"/>
      <c r="L227" s="313"/>
      <c r="M227" s="313"/>
      <c r="N227" s="313"/>
      <c r="O227" s="313"/>
      <c r="P227" s="313"/>
      <c r="Q227" s="313"/>
      <c r="R227" s="313"/>
      <c r="S227" s="313"/>
      <c r="T227" s="313"/>
      <c r="U227" s="313"/>
      <c r="V227" s="313"/>
      <c r="W227" s="313"/>
      <c r="X227" s="313"/>
      <c r="Y227" s="313"/>
      <c r="Z227" s="313"/>
      <c r="AA227" s="328"/>
      <c r="AB227" s="104"/>
      <c r="AC227" s="191"/>
      <c r="AE227" s="193">
        <f t="shared" si="63"/>
        <v>0</v>
      </c>
    </row>
    <row r="228" spans="1:31" s="20" customFormat="1" ht="16.5" customHeight="1" thickBot="1">
      <c r="A228" s="411"/>
      <c r="C228" s="342">
        <f>+MAX(C$15:C227)+1</f>
        <v>186</v>
      </c>
      <c r="D228" s="10"/>
      <c r="E228" s="246" t="s">
        <v>389</v>
      </c>
      <c r="F228" s="246"/>
      <c r="G228" s="615"/>
      <c r="H228" s="262"/>
      <c r="I228" s="262"/>
      <c r="J228" s="313"/>
      <c r="K228" s="313"/>
      <c r="L228" s="313"/>
      <c r="M228" s="313"/>
      <c r="N228" s="313"/>
      <c r="O228" s="313"/>
      <c r="P228" s="313"/>
      <c r="Q228" s="313"/>
      <c r="R228" s="313"/>
      <c r="S228" s="313"/>
      <c r="T228" s="313"/>
      <c r="U228" s="313"/>
      <c r="V228" s="313"/>
      <c r="W228" s="313"/>
      <c r="X228" s="313"/>
      <c r="Y228" s="313"/>
      <c r="Z228" s="313"/>
      <c r="AA228" s="328"/>
      <c r="AB228" s="104"/>
      <c r="AC228" s="191"/>
      <c r="AE228" s="193">
        <f t="shared" si="63"/>
        <v>0</v>
      </c>
    </row>
    <row r="229" spans="1:31" s="20" customFormat="1" ht="16.5" customHeight="1">
      <c r="A229" s="411"/>
      <c r="C229" s="342">
        <f>+MAX(C$15:C228)+1</f>
        <v>187</v>
      </c>
      <c r="D229" s="252"/>
      <c r="E229" s="252" t="str">
        <f>'Fin Forecast - Elec'!D26</f>
        <v>Green Power Sales</v>
      </c>
      <c r="F229" s="252"/>
      <c r="G229" s="615">
        <f>-SUMIF('Fin Forecast - Elec'!$G$7:$U$7,$E$5,'Fin Forecast - Elec'!$G26:$U26)</f>
        <v>0</v>
      </c>
      <c r="H229" s="80" t="s">
        <v>1048</v>
      </c>
      <c r="I229" s="165"/>
      <c r="J229" s="308">
        <f t="shared" ref="J229:S237" si="78">+ROUND($G229*SUMIF($E$260:$E$302,$H229,J$260:J$302),$AD$10)</f>
        <v>0</v>
      </c>
      <c r="K229" s="308">
        <f t="shared" si="78"/>
        <v>0</v>
      </c>
      <c r="L229" s="308">
        <f t="shared" si="78"/>
        <v>0</v>
      </c>
      <c r="M229" s="308">
        <f t="shared" si="78"/>
        <v>0</v>
      </c>
      <c r="N229" s="308">
        <f t="shared" si="78"/>
        <v>0</v>
      </c>
      <c r="O229" s="308">
        <f t="shared" si="78"/>
        <v>0</v>
      </c>
      <c r="P229" s="308">
        <f t="shared" si="78"/>
        <v>0</v>
      </c>
      <c r="Q229" s="308">
        <f t="shared" si="78"/>
        <v>0</v>
      </c>
      <c r="R229" s="308">
        <f t="shared" si="78"/>
        <v>0</v>
      </c>
      <c r="S229" s="308">
        <f t="shared" si="78"/>
        <v>0</v>
      </c>
      <c r="T229" s="308">
        <f t="shared" ref="T229:AA237" si="79">+ROUND($G229*SUMIF($E$260:$E$302,$H229,T$260:T$302),$AD$10)</f>
        <v>0</v>
      </c>
      <c r="U229" s="308">
        <f t="shared" si="79"/>
        <v>0</v>
      </c>
      <c r="V229" s="308">
        <f t="shared" si="79"/>
        <v>0</v>
      </c>
      <c r="W229" s="308">
        <f t="shared" si="79"/>
        <v>0</v>
      </c>
      <c r="X229" s="308">
        <f t="shared" si="79"/>
        <v>0</v>
      </c>
      <c r="Y229" s="308">
        <f t="shared" si="79"/>
        <v>0</v>
      </c>
      <c r="Z229" s="308">
        <f t="shared" si="79"/>
        <v>0</v>
      </c>
      <c r="AA229" s="349">
        <f t="shared" si="79"/>
        <v>0</v>
      </c>
      <c r="AB229" s="215"/>
      <c r="AC229" s="191"/>
      <c r="AE229" s="193">
        <f t="shared" si="63"/>
        <v>0</v>
      </c>
    </row>
    <row r="230" spans="1:31" s="20" customFormat="1" ht="16.5" customHeight="1">
      <c r="A230" s="411"/>
      <c r="C230" s="342">
        <f>+MAX(C$15:C229)+1</f>
        <v>188</v>
      </c>
      <c r="D230" s="10"/>
      <c r="E230" s="252" t="str">
        <f>'Fin Forecast - Elec'!D27</f>
        <v>Penalty for Late Payment</v>
      </c>
      <c r="F230" s="252"/>
      <c r="G230" s="574">
        <f>-SUMIF('Fin Forecast - Elec'!$G$7:$U$7,$E$5,'Fin Forecast - Elec'!$G27:$U27)</f>
        <v>-1239007.6809670983</v>
      </c>
      <c r="H230" s="81" t="s">
        <v>1048</v>
      </c>
      <c r="I230" s="165"/>
      <c r="J230" s="313">
        <f t="shared" si="78"/>
        <v>0</v>
      </c>
      <c r="K230" s="313">
        <f t="shared" si="78"/>
        <v>0</v>
      </c>
      <c r="L230" s="313">
        <f t="shared" si="78"/>
        <v>0</v>
      </c>
      <c r="M230" s="313">
        <f t="shared" si="78"/>
        <v>0</v>
      </c>
      <c r="N230" s="313">
        <f t="shared" si="78"/>
        <v>0</v>
      </c>
      <c r="O230" s="313">
        <f t="shared" si="78"/>
        <v>0</v>
      </c>
      <c r="P230" s="313">
        <f t="shared" si="78"/>
        <v>0</v>
      </c>
      <c r="Q230" s="313">
        <f t="shared" si="78"/>
        <v>0</v>
      </c>
      <c r="R230" s="313">
        <f t="shared" si="78"/>
        <v>0</v>
      </c>
      <c r="S230" s="313">
        <f t="shared" si="78"/>
        <v>0</v>
      </c>
      <c r="T230" s="313">
        <f t="shared" si="79"/>
        <v>0</v>
      </c>
      <c r="U230" s="313">
        <f t="shared" si="79"/>
        <v>0</v>
      </c>
      <c r="V230" s="313">
        <f t="shared" si="79"/>
        <v>0</v>
      </c>
      <c r="W230" s="313">
        <f t="shared" si="79"/>
        <v>0</v>
      </c>
      <c r="X230" s="313">
        <f t="shared" si="79"/>
        <v>0</v>
      </c>
      <c r="Y230" s="313">
        <f t="shared" si="79"/>
        <v>0</v>
      </c>
      <c r="Z230" s="313">
        <f t="shared" si="79"/>
        <v>-1239008</v>
      </c>
      <c r="AA230" s="328">
        <f t="shared" si="79"/>
        <v>0</v>
      </c>
      <c r="AB230" s="104"/>
      <c r="AC230" s="191"/>
      <c r="AE230" s="193">
        <f t="shared" si="63"/>
        <v>-0.31903290166519582</v>
      </c>
    </row>
    <row r="231" spans="1:31" s="20" customFormat="1" ht="16.5" customHeight="1">
      <c r="A231" s="411"/>
      <c r="C231" s="342">
        <f>+MAX(C$15:C230)+1</f>
        <v>189</v>
      </c>
      <c r="D231" s="10"/>
      <c r="E231" s="252" t="str">
        <f>'Fin Forecast - Elec'!D28</f>
        <v>Misc Service Revenue</v>
      </c>
      <c r="F231" s="252"/>
      <c r="G231" s="574">
        <f>-SUMIF('Fin Forecast - Elec'!$G$7:$U$7,$E$5,'Fin Forecast - Elec'!$G28:$U28)</f>
        <v>-341774.96887544438</v>
      </c>
      <c r="H231" s="81" t="s">
        <v>1048</v>
      </c>
      <c r="I231" s="165"/>
      <c r="J231" s="313">
        <f t="shared" si="78"/>
        <v>0</v>
      </c>
      <c r="K231" s="313">
        <f t="shared" si="78"/>
        <v>0</v>
      </c>
      <c r="L231" s="313">
        <f t="shared" si="78"/>
        <v>0</v>
      </c>
      <c r="M231" s="313">
        <f t="shared" si="78"/>
        <v>0</v>
      </c>
      <c r="N231" s="313">
        <f t="shared" si="78"/>
        <v>0</v>
      </c>
      <c r="O231" s="313">
        <f t="shared" si="78"/>
        <v>0</v>
      </c>
      <c r="P231" s="313">
        <f t="shared" si="78"/>
        <v>0</v>
      </c>
      <c r="Q231" s="313">
        <f t="shared" si="78"/>
        <v>0</v>
      </c>
      <c r="R231" s="313">
        <f t="shared" si="78"/>
        <v>0</v>
      </c>
      <c r="S231" s="313">
        <f t="shared" si="78"/>
        <v>0</v>
      </c>
      <c r="T231" s="313">
        <f t="shared" si="79"/>
        <v>0</v>
      </c>
      <c r="U231" s="313">
        <f t="shared" si="79"/>
        <v>0</v>
      </c>
      <c r="V231" s="313">
        <f t="shared" si="79"/>
        <v>0</v>
      </c>
      <c r="W231" s="313">
        <f t="shared" si="79"/>
        <v>0</v>
      </c>
      <c r="X231" s="313">
        <f t="shared" si="79"/>
        <v>0</v>
      </c>
      <c r="Y231" s="313">
        <f t="shared" si="79"/>
        <v>0</v>
      </c>
      <c r="Z231" s="313">
        <f t="shared" si="79"/>
        <v>-341775</v>
      </c>
      <c r="AA231" s="328">
        <f t="shared" si="79"/>
        <v>0</v>
      </c>
      <c r="AB231" s="104"/>
      <c r="AC231" s="191"/>
      <c r="AE231" s="193">
        <f t="shared" ref="AE231:AE236" si="80">SUM(J231:AA231)-G231</f>
        <v>-3.112455562222749E-2</v>
      </c>
    </row>
    <row r="232" spans="1:31" s="20" customFormat="1" ht="16.5" customHeight="1">
      <c r="A232" s="411"/>
      <c r="C232" s="342">
        <f>+MAX(C$15:C231)+1</f>
        <v>190</v>
      </c>
      <c r="D232" s="10"/>
      <c r="E232" s="252" t="str">
        <f>'Fin Forecast - Elec'!D29</f>
        <v>Rent from Elec Property</v>
      </c>
      <c r="F232" s="252"/>
      <c r="G232" s="574">
        <f>-SUMIF('Fin Forecast - Elec'!$G$7:$U$7,$E$5,'Fin Forecast - Elec'!$G29:$U29)</f>
        <v>-391171.11723485723</v>
      </c>
      <c r="H232" s="138" t="s">
        <v>485</v>
      </c>
      <c r="I232" s="165"/>
      <c r="J232" s="313">
        <f t="shared" si="78"/>
        <v>0</v>
      </c>
      <c r="K232" s="313">
        <f t="shared" si="78"/>
        <v>0</v>
      </c>
      <c r="L232" s="313">
        <f t="shared" si="78"/>
        <v>0</v>
      </c>
      <c r="M232" s="313">
        <f t="shared" si="78"/>
        <v>0</v>
      </c>
      <c r="N232" s="313">
        <f t="shared" si="78"/>
        <v>0</v>
      </c>
      <c r="O232" s="313">
        <f t="shared" si="78"/>
        <v>0</v>
      </c>
      <c r="P232" s="313">
        <f t="shared" si="78"/>
        <v>0</v>
      </c>
      <c r="Q232" s="313">
        <f t="shared" si="78"/>
        <v>0</v>
      </c>
      <c r="R232" s="313">
        <f t="shared" si="78"/>
        <v>-40900</v>
      </c>
      <c r="S232" s="313">
        <f t="shared" si="78"/>
        <v>-227383</v>
      </c>
      <c r="T232" s="313">
        <f t="shared" si="79"/>
        <v>-35210</v>
      </c>
      <c r="U232" s="313">
        <f t="shared" si="79"/>
        <v>-87679</v>
      </c>
      <c r="V232" s="313">
        <f t="shared" si="79"/>
        <v>0</v>
      </c>
      <c r="W232" s="313">
        <f t="shared" si="79"/>
        <v>0</v>
      </c>
      <c r="X232" s="313">
        <f t="shared" si="79"/>
        <v>0</v>
      </c>
      <c r="Y232" s="313">
        <f t="shared" si="79"/>
        <v>0</v>
      </c>
      <c r="Z232" s="313">
        <f t="shared" si="79"/>
        <v>0</v>
      </c>
      <c r="AA232" s="328">
        <f t="shared" si="79"/>
        <v>0</v>
      </c>
      <c r="AB232" s="104"/>
      <c r="AC232" s="191"/>
      <c r="AE232" s="193">
        <f t="shared" si="80"/>
        <v>-0.88276514277094975</v>
      </c>
    </row>
    <row r="233" spans="1:31" s="20" customFormat="1" ht="16.5" customHeight="1">
      <c r="A233" s="411"/>
      <c r="C233" s="342">
        <f>+MAX(C$15:C232)+1</f>
        <v>191</v>
      </c>
      <c r="D233" s="10"/>
      <c r="E233" s="252" t="str">
        <f>'Fin Forecast - Elec'!D30</f>
        <v>Other Electric Revenues</v>
      </c>
      <c r="F233" s="252"/>
      <c r="G233" s="574">
        <f>-SUMIF('Fin Forecast - Elec'!$G$7:$U$7,$E$5,'Fin Forecast - Elec'!$G30:$U30)</f>
        <v>-16178.886610810479</v>
      </c>
      <c r="H233" s="138" t="s">
        <v>2769</v>
      </c>
      <c r="I233" s="165"/>
      <c r="J233" s="313">
        <f t="shared" si="78"/>
        <v>0</v>
      </c>
      <c r="K233" s="313">
        <f t="shared" si="78"/>
        <v>-767</v>
      </c>
      <c r="L233" s="313">
        <f t="shared" si="78"/>
        <v>-5341</v>
      </c>
      <c r="M233" s="313">
        <f t="shared" si="78"/>
        <v>-1802</v>
      </c>
      <c r="N233" s="313">
        <f t="shared" si="78"/>
        <v>0</v>
      </c>
      <c r="O233" s="313">
        <f t="shared" si="78"/>
        <v>0</v>
      </c>
      <c r="P233" s="313">
        <f t="shared" si="78"/>
        <v>0</v>
      </c>
      <c r="Q233" s="313">
        <f t="shared" si="78"/>
        <v>-1607</v>
      </c>
      <c r="R233" s="313">
        <f t="shared" si="78"/>
        <v>-591</v>
      </c>
      <c r="S233" s="313">
        <f t="shared" si="78"/>
        <v>-3490</v>
      </c>
      <c r="T233" s="313">
        <f t="shared" si="79"/>
        <v>-476</v>
      </c>
      <c r="U233" s="313">
        <f t="shared" si="79"/>
        <v>-1212</v>
      </c>
      <c r="V233" s="313">
        <f t="shared" si="79"/>
        <v>-440</v>
      </c>
      <c r="W233" s="313">
        <f t="shared" si="79"/>
        <v>-307</v>
      </c>
      <c r="X233" s="313">
        <f t="shared" si="79"/>
        <v>0</v>
      </c>
      <c r="Y233" s="313">
        <f t="shared" si="79"/>
        <v>-147</v>
      </c>
      <c r="Z233" s="313">
        <f t="shared" si="79"/>
        <v>0</v>
      </c>
      <c r="AA233" s="328">
        <f t="shared" si="79"/>
        <v>0</v>
      </c>
      <c r="AB233" s="104"/>
      <c r="AC233" s="191"/>
      <c r="AE233" s="193">
        <f t="shared" si="80"/>
        <v>-1.1133891895206034</v>
      </c>
    </row>
    <row r="234" spans="1:31" s="20" customFormat="1" ht="16.5" customHeight="1">
      <c r="A234" s="411"/>
      <c r="C234" s="342">
        <f>+MAX(C$15:C233)+1</f>
        <v>192</v>
      </c>
      <c r="D234" s="10"/>
      <c r="E234" s="252" t="str">
        <f>'Fin Forecast - Elec'!D31</f>
        <v>Interest and Other Income, and JLB Payments</v>
      </c>
      <c r="F234" s="252"/>
      <c r="G234" s="574">
        <f>-SUMIF('Fin Forecast - Elec'!$G$7:$U$7,$E$5,'Fin Forecast - Elec'!$G31:$U31)</f>
        <v>-28686301.45745568</v>
      </c>
      <c r="H234" s="138" t="s">
        <v>2769</v>
      </c>
      <c r="I234" s="165"/>
      <c r="J234" s="313">
        <f t="shared" si="78"/>
        <v>0</v>
      </c>
      <c r="K234" s="313">
        <f t="shared" si="78"/>
        <v>-1359731</v>
      </c>
      <c r="L234" s="313">
        <f t="shared" si="78"/>
        <v>-9469348</v>
      </c>
      <c r="M234" s="313">
        <f t="shared" si="78"/>
        <v>-3195654</v>
      </c>
      <c r="N234" s="313">
        <f t="shared" si="78"/>
        <v>0</v>
      </c>
      <c r="O234" s="313">
        <f t="shared" si="78"/>
        <v>0</v>
      </c>
      <c r="P234" s="313">
        <f t="shared" si="78"/>
        <v>0</v>
      </c>
      <c r="Q234" s="313">
        <f t="shared" si="78"/>
        <v>-2848550</v>
      </c>
      <c r="R234" s="313">
        <f t="shared" si="78"/>
        <v>-1047050</v>
      </c>
      <c r="S234" s="313">
        <f t="shared" si="78"/>
        <v>-6187635</v>
      </c>
      <c r="T234" s="313">
        <f t="shared" si="79"/>
        <v>-843377</v>
      </c>
      <c r="U234" s="313">
        <f t="shared" si="79"/>
        <v>-2148604</v>
      </c>
      <c r="V234" s="313">
        <f t="shared" si="79"/>
        <v>-780267</v>
      </c>
      <c r="W234" s="313">
        <f t="shared" si="79"/>
        <v>-545040</v>
      </c>
      <c r="X234" s="313">
        <f t="shared" si="79"/>
        <v>0</v>
      </c>
      <c r="Y234" s="313">
        <f t="shared" si="79"/>
        <v>-261045</v>
      </c>
      <c r="Z234" s="313">
        <f t="shared" si="79"/>
        <v>0</v>
      </c>
      <c r="AA234" s="328">
        <f t="shared" si="79"/>
        <v>0</v>
      </c>
      <c r="AB234" s="104"/>
      <c r="AC234" s="191"/>
      <c r="AE234" s="193">
        <f t="shared" si="80"/>
        <v>0.45745567977428436</v>
      </c>
    </row>
    <row r="235" spans="1:31" s="20" customFormat="1" ht="16.5" customHeight="1">
      <c r="A235" s="411"/>
      <c r="C235" s="342">
        <f>+MAX(C$15:C234)+1</f>
        <v>193</v>
      </c>
      <c r="D235" s="10"/>
      <c r="E235" s="252" t="str">
        <f>'Fin Forecast - Elec'!D20</f>
        <v>Sales to Other Utilities</v>
      </c>
      <c r="F235" s="3172">
        <f>J67/(J67+K67-K51)</f>
        <v>7.3119769891054995E-2</v>
      </c>
      <c r="G235" s="574">
        <f>-'COS_RR (top sheet)'!I53*F235</f>
        <v>-8855337.8278590236</v>
      </c>
      <c r="H235" s="138" t="s">
        <v>605</v>
      </c>
      <c r="I235" s="165"/>
      <c r="J235" s="313">
        <f t="shared" si="78"/>
        <v>-8855338</v>
      </c>
      <c r="K235" s="313">
        <f t="shared" si="78"/>
        <v>0</v>
      </c>
      <c r="L235" s="313">
        <f t="shared" si="78"/>
        <v>0</v>
      </c>
      <c r="M235" s="313">
        <f t="shared" si="78"/>
        <v>0</v>
      </c>
      <c r="N235" s="313">
        <f t="shared" si="78"/>
        <v>0</v>
      </c>
      <c r="O235" s="313">
        <f t="shared" si="78"/>
        <v>0</v>
      </c>
      <c r="P235" s="313">
        <f t="shared" si="78"/>
        <v>0</v>
      </c>
      <c r="Q235" s="313">
        <f t="shared" si="78"/>
        <v>0</v>
      </c>
      <c r="R235" s="313">
        <f t="shared" si="78"/>
        <v>0</v>
      </c>
      <c r="S235" s="313">
        <f t="shared" si="78"/>
        <v>0</v>
      </c>
      <c r="T235" s="313">
        <f t="shared" si="79"/>
        <v>0</v>
      </c>
      <c r="U235" s="313">
        <f t="shared" si="79"/>
        <v>0</v>
      </c>
      <c r="V235" s="313">
        <f t="shared" si="79"/>
        <v>0</v>
      </c>
      <c r="W235" s="313">
        <f t="shared" si="79"/>
        <v>0</v>
      </c>
      <c r="X235" s="313">
        <f t="shared" si="79"/>
        <v>0</v>
      </c>
      <c r="Y235" s="313">
        <f t="shared" si="79"/>
        <v>0</v>
      </c>
      <c r="Z235" s="313">
        <f t="shared" si="79"/>
        <v>0</v>
      </c>
      <c r="AA235" s="328">
        <f t="shared" si="79"/>
        <v>0</v>
      </c>
      <c r="AB235" s="104"/>
      <c r="AC235" s="191"/>
      <c r="AE235" s="193">
        <f t="shared" si="80"/>
        <v>-0.17214097641408443</v>
      </c>
    </row>
    <row r="236" spans="1:31" s="20" customFormat="1" ht="16.5" customHeight="1">
      <c r="A236" s="411"/>
      <c r="C236" s="342">
        <f>+MAX(C$15:C235)+1</f>
        <v>194</v>
      </c>
      <c r="D236" s="10"/>
      <c r="E236" s="252" t="str">
        <f>'Fin Forecast - Elec'!D20</f>
        <v>Sales to Other Utilities</v>
      </c>
      <c r="F236" s="3173">
        <f>1-F235</f>
        <v>0.92688023010894505</v>
      </c>
      <c r="G236" s="574">
        <f>-'COS_RR (top sheet)'!I53*F236</f>
        <v>-112251961.07438123</v>
      </c>
      <c r="H236" s="138" t="s">
        <v>2764</v>
      </c>
      <c r="I236" s="165"/>
      <c r="J236" s="313">
        <f t="shared" si="78"/>
        <v>0</v>
      </c>
      <c r="K236" s="313">
        <f t="shared" si="78"/>
        <v>-112251961</v>
      </c>
      <c r="L236" s="313">
        <f t="shared" si="78"/>
        <v>0</v>
      </c>
      <c r="M236" s="313">
        <f t="shared" si="78"/>
        <v>0</v>
      </c>
      <c r="N236" s="313">
        <f t="shared" si="78"/>
        <v>0</v>
      </c>
      <c r="O236" s="313">
        <f t="shared" si="78"/>
        <v>0</v>
      </c>
      <c r="P236" s="313">
        <f t="shared" si="78"/>
        <v>0</v>
      </c>
      <c r="Q236" s="313">
        <f t="shared" si="78"/>
        <v>0</v>
      </c>
      <c r="R236" s="313">
        <f t="shared" si="78"/>
        <v>0</v>
      </c>
      <c r="S236" s="313">
        <f t="shared" si="78"/>
        <v>0</v>
      </c>
      <c r="T236" s="313">
        <f t="shared" si="79"/>
        <v>0</v>
      </c>
      <c r="U236" s="313">
        <f t="shared" si="79"/>
        <v>0</v>
      </c>
      <c r="V236" s="313">
        <f t="shared" si="79"/>
        <v>0</v>
      </c>
      <c r="W236" s="313">
        <f t="shared" si="79"/>
        <v>0</v>
      </c>
      <c r="X236" s="313">
        <f t="shared" si="79"/>
        <v>0</v>
      </c>
      <c r="Y236" s="313">
        <f t="shared" si="79"/>
        <v>0</v>
      </c>
      <c r="Z236" s="313">
        <f t="shared" si="79"/>
        <v>0</v>
      </c>
      <c r="AA236" s="328">
        <f t="shared" si="79"/>
        <v>0</v>
      </c>
      <c r="AB236" s="104"/>
      <c r="AC236" s="191"/>
      <c r="AE236" s="193">
        <f t="shared" si="80"/>
        <v>7.4381232261657715E-2</v>
      </c>
    </row>
    <row r="237" spans="1:31" s="20" customFormat="1" ht="16.5" customHeight="1" thickBot="1">
      <c r="A237" s="411"/>
      <c r="C237" s="342">
        <f>+MAX(C$15:C236)+1</f>
        <v>195</v>
      </c>
      <c r="D237" s="10"/>
      <c r="E237" s="252" t="str">
        <f>'Fin Forecast - Elec'!D21</f>
        <v>Fiber Optic Network Sales</v>
      </c>
      <c r="F237" s="701"/>
      <c r="G237" s="627">
        <f>-SUMIF('Fin Forecast - Elec'!$G$7:$U$7,$E$5,'Fin Forecast - Elec'!$G21:$U21)</f>
        <v>-5634359.6840295177</v>
      </c>
      <c r="H237" s="139" t="s">
        <v>1053</v>
      </c>
      <c r="I237" s="165"/>
      <c r="J237" s="315">
        <f t="shared" si="78"/>
        <v>0</v>
      </c>
      <c r="K237" s="315">
        <f t="shared" si="78"/>
        <v>-285662</v>
      </c>
      <c r="L237" s="315">
        <f t="shared" si="78"/>
        <v>-1595087</v>
      </c>
      <c r="M237" s="315">
        <f t="shared" si="78"/>
        <v>-671616</v>
      </c>
      <c r="N237" s="315">
        <f t="shared" si="78"/>
        <v>0</v>
      </c>
      <c r="O237" s="315">
        <f t="shared" si="78"/>
        <v>0</v>
      </c>
      <c r="P237" s="315">
        <f t="shared" si="78"/>
        <v>0</v>
      </c>
      <c r="Q237" s="315">
        <f t="shared" si="78"/>
        <v>-598932</v>
      </c>
      <c r="R237" s="315">
        <f t="shared" si="78"/>
        <v>-220303</v>
      </c>
      <c r="S237" s="315">
        <f t="shared" si="78"/>
        <v>-1300974</v>
      </c>
      <c r="T237" s="315">
        <f t="shared" si="79"/>
        <v>-176919</v>
      </c>
      <c r="U237" s="315">
        <f t="shared" si="79"/>
        <v>-451876</v>
      </c>
      <c r="V237" s="315">
        <f t="shared" si="79"/>
        <v>-163960</v>
      </c>
      <c r="W237" s="315">
        <f t="shared" si="79"/>
        <v>-114378</v>
      </c>
      <c r="X237" s="315">
        <f t="shared" si="79"/>
        <v>0</v>
      </c>
      <c r="Y237" s="315">
        <f t="shared" si="79"/>
        <v>-54653</v>
      </c>
      <c r="Z237" s="315">
        <f t="shared" si="79"/>
        <v>0</v>
      </c>
      <c r="AA237" s="396">
        <f t="shared" si="79"/>
        <v>0</v>
      </c>
      <c r="AB237" s="104"/>
      <c r="AC237" s="191"/>
      <c r="AE237" s="193"/>
    </row>
    <row r="238" spans="1:31" s="20" customFormat="1" ht="16.5" customHeight="1">
      <c r="A238" s="411"/>
      <c r="B238" s="225"/>
      <c r="C238" s="342">
        <f>+MAX(C$15:C237)+1</f>
        <v>196</v>
      </c>
      <c r="D238" s="10"/>
      <c r="E238" s="628" t="s">
        <v>309</v>
      </c>
      <c r="F238" s="628"/>
      <c r="G238" s="615">
        <f>SUM(G229:G237)</f>
        <v>-157416092.69741368</v>
      </c>
      <c r="H238" s="262"/>
      <c r="I238" s="262"/>
      <c r="J238" s="331">
        <f t="shared" ref="J238:AA238" si="81">SUM(J229:J237)</f>
        <v>-8855338</v>
      </c>
      <c r="K238" s="331">
        <f t="shared" ref="K238:Q238" si="82">SUM(K229:K237)</f>
        <v>-113898121</v>
      </c>
      <c r="L238" s="331">
        <f t="shared" si="82"/>
        <v>-11069776</v>
      </c>
      <c r="M238" s="331">
        <f t="shared" si="82"/>
        <v>-3869072</v>
      </c>
      <c r="N238" s="331">
        <f t="shared" si="82"/>
        <v>0</v>
      </c>
      <c r="O238" s="331">
        <f t="shared" si="82"/>
        <v>0</v>
      </c>
      <c r="P238" s="331">
        <f t="shared" si="82"/>
        <v>0</v>
      </c>
      <c r="Q238" s="331">
        <f t="shared" si="82"/>
        <v>-3449089</v>
      </c>
      <c r="R238" s="331">
        <f t="shared" si="81"/>
        <v>-1308844</v>
      </c>
      <c r="S238" s="331">
        <f t="shared" si="81"/>
        <v>-7719482</v>
      </c>
      <c r="T238" s="331">
        <f t="shared" si="81"/>
        <v>-1055982</v>
      </c>
      <c r="U238" s="331">
        <f t="shared" si="81"/>
        <v>-2689371</v>
      </c>
      <c r="V238" s="331">
        <f t="shared" si="81"/>
        <v>-944667</v>
      </c>
      <c r="W238" s="331">
        <f t="shared" si="81"/>
        <v>-659725</v>
      </c>
      <c r="X238" s="331">
        <f t="shared" si="81"/>
        <v>0</v>
      </c>
      <c r="Y238" s="331">
        <f t="shared" si="81"/>
        <v>-315845</v>
      </c>
      <c r="Z238" s="331">
        <f t="shared" si="81"/>
        <v>-1580783</v>
      </c>
      <c r="AA238" s="331">
        <f t="shared" si="81"/>
        <v>0</v>
      </c>
      <c r="AB238" s="218"/>
      <c r="AC238" s="137"/>
      <c r="AE238" s="193">
        <f>SUM(J238:AA238)-G238</f>
        <v>-2.3025863170623779</v>
      </c>
    </row>
    <row r="239" spans="1:31" s="20" customFormat="1" ht="5.25" customHeight="1">
      <c r="A239" s="411"/>
      <c r="B239" s="225"/>
      <c r="C239" s="342"/>
      <c r="D239" s="10"/>
      <c r="E239" s="246"/>
      <c r="F239" s="246"/>
      <c r="G239" s="343"/>
      <c r="H239" s="262"/>
      <c r="I239" s="262"/>
      <c r="J239" s="313"/>
      <c r="K239" s="313"/>
      <c r="L239" s="313"/>
      <c r="M239" s="313"/>
      <c r="N239" s="313"/>
      <c r="O239" s="313"/>
      <c r="P239" s="313"/>
      <c r="Q239" s="313"/>
      <c r="R239" s="313"/>
      <c r="S239" s="313"/>
      <c r="T239" s="313"/>
      <c r="U239" s="313"/>
      <c r="V239" s="313"/>
      <c r="W239" s="313"/>
      <c r="X239" s="313"/>
      <c r="Y239" s="313"/>
      <c r="Z239" s="313"/>
      <c r="AA239" s="328"/>
      <c r="AB239" s="104"/>
      <c r="AC239" s="137"/>
      <c r="AE239" s="193">
        <f>SUM(J239:AA239)-G239</f>
        <v>0</v>
      </c>
    </row>
    <row r="240" spans="1:31" s="20" customFormat="1" ht="16.5" customHeight="1" thickBot="1">
      <c r="A240" s="411"/>
      <c r="B240" s="225"/>
      <c r="C240" s="10">
        <f>+MAX(C$15:C239)+1</f>
        <v>197</v>
      </c>
      <c r="D240" s="10"/>
      <c r="E240" s="629" t="s">
        <v>2248</v>
      </c>
      <c r="F240" s="629"/>
      <c r="G240" s="615"/>
      <c r="H240" s="615"/>
      <c r="I240" s="165"/>
      <c r="J240" s="313"/>
      <c r="K240" s="313"/>
      <c r="L240" s="313"/>
      <c r="M240" s="313"/>
      <c r="N240" s="313"/>
      <c r="O240" s="313"/>
      <c r="P240" s="313"/>
      <c r="Q240" s="313"/>
      <c r="R240" s="313"/>
      <c r="S240" s="313"/>
      <c r="T240" s="313"/>
      <c r="U240" s="313"/>
      <c r="V240" s="313"/>
      <c r="W240" s="313"/>
      <c r="X240" s="313"/>
      <c r="Y240" s="313"/>
      <c r="Z240" s="313"/>
      <c r="AA240" s="328"/>
      <c r="AB240" s="104"/>
      <c r="AC240" s="191"/>
      <c r="AE240" s="193"/>
    </row>
    <row r="241" spans="1:33" s="20" customFormat="1" ht="16.5" customHeight="1">
      <c r="A241" s="411"/>
      <c r="B241" s="225"/>
      <c r="C241" s="10">
        <f>+MAX(C$15:C240)+1</f>
        <v>198</v>
      </c>
      <c r="D241" s="10"/>
      <c r="E241" s="252" t="s">
        <v>2982</v>
      </c>
      <c r="F241" s="629"/>
      <c r="G241" s="615">
        <f>-SUMIF(CIP_E!$G$8:$X$8,$E$5,CIP_E!$G47:$X47)</f>
        <v>0</v>
      </c>
      <c r="H241" s="80" t="s">
        <v>2990</v>
      </c>
      <c r="I241" s="165"/>
      <c r="J241" s="308">
        <f t="shared" ref="J241:S245" si="83">+ROUND($G241*SUMIF($E$260:$E$302,$H241,J$260:J$302),$AD$10)</f>
        <v>0</v>
      </c>
      <c r="K241" s="308">
        <f t="shared" si="83"/>
        <v>0</v>
      </c>
      <c r="L241" s="308">
        <f t="shared" si="83"/>
        <v>0</v>
      </c>
      <c r="M241" s="308">
        <f t="shared" si="83"/>
        <v>0</v>
      </c>
      <c r="N241" s="308">
        <f t="shared" si="83"/>
        <v>0</v>
      </c>
      <c r="O241" s="308">
        <f t="shared" si="83"/>
        <v>0</v>
      </c>
      <c r="P241" s="308">
        <f t="shared" si="83"/>
        <v>0</v>
      </c>
      <c r="Q241" s="308">
        <f t="shared" si="83"/>
        <v>0</v>
      </c>
      <c r="R241" s="308">
        <f t="shared" si="83"/>
        <v>0</v>
      </c>
      <c r="S241" s="308">
        <f t="shared" si="83"/>
        <v>0</v>
      </c>
      <c r="T241" s="308">
        <f t="shared" ref="T241:AA245" si="84">+ROUND($G241*SUMIF($E$260:$E$302,$H241,T$260:T$302),$AD$10)</f>
        <v>0</v>
      </c>
      <c r="U241" s="308">
        <f t="shared" si="84"/>
        <v>0</v>
      </c>
      <c r="V241" s="308">
        <f t="shared" si="84"/>
        <v>0</v>
      </c>
      <c r="W241" s="308">
        <f t="shared" si="84"/>
        <v>0</v>
      </c>
      <c r="X241" s="308">
        <f t="shared" si="84"/>
        <v>0</v>
      </c>
      <c r="Y241" s="308">
        <f t="shared" si="84"/>
        <v>0</v>
      </c>
      <c r="Z241" s="308">
        <f t="shared" si="84"/>
        <v>0</v>
      </c>
      <c r="AA241" s="308">
        <f t="shared" si="84"/>
        <v>0</v>
      </c>
      <c r="AB241" s="104"/>
      <c r="AC241" s="191"/>
      <c r="AE241" s="193">
        <f t="shared" ref="AE241:AE246" si="85">SUM(J241:AA241)-G241</f>
        <v>0</v>
      </c>
    </row>
    <row r="242" spans="1:33" s="20" customFormat="1" ht="16.5" customHeight="1">
      <c r="A242" s="411"/>
      <c r="B242" s="225"/>
      <c r="C242" s="10">
        <f>+MAX(C$15:C241)+1</f>
        <v>199</v>
      </c>
      <c r="D242" s="10"/>
      <c r="E242" s="252" t="s">
        <v>2983</v>
      </c>
      <c r="F242" s="629"/>
      <c r="G242" s="574">
        <f>-SUMIF(CIP_E!$G$8:$X$8,$E$5,CIP_E!$G48:$X48)</f>
        <v>0</v>
      </c>
      <c r="H242" s="81" t="s">
        <v>2991</v>
      </c>
      <c r="I242" s="165"/>
      <c r="J242" s="313">
        <f t="shared" si="83"/>
        <v>0</v>
      </c>
      <c r="K242" s="313">
        <f t="shared" si="83"/>
        <v>0</v>
      </c>
      <c r="L242" s="313">
        <f t="shared" si="83"/>
        <v>0</v>
      </c>
      <c r="M242" s="313">
        <f t="shared" si="83"/>
        <v>0</v>
      </c>
      <c r="N242" s="313">
        <f t="shared" si="83"/>
        <v>0</v>
      </c>
      <c r="O242" s="313">
        <f t="shared" si="83"/>
        <v>0</v>
      </c>
      <c r="P242" s="313">
        <f t="shared" si="83"/>
        <v>0</v>
      </c>
      <c r="Q242" s="313">
        <f t="shared" si="83"/>
        <v>0</v>
      </c>
      <c r="R242" s="313">
        <f t="shared" si="83"/>
        <v>0</v>
      </c>
      <c r="S242" s="313">
        <f t="shared" si="83"/>
        <v>0</v>
      </c>
      <c r="T242" s="313">
        <f t="shared" si="84"/>
        <v>0</v>
      </c>
      <c r="U242" s="313">
        <f t="shared" si="84"/>
        <v>0</v>
      </c>
      <c r="V242" s="313">
        <f t="shared" si="84"/>
        <v>0</v>
      </c>
      <c r="W242" s="313">
        <f t="shared" si="84"/>
        <v>0</v>
      </c>
      <c r="X242" s="313">
        <f t="shared" si="84"/>
        <v>0</v>
      </c>
      <c r="Y242" s="313">
        <f t="shared" si="84"/>
        <v>0</v>
      </c>
      <c r="Z242" s="313">
        <f t="shared" si="84"/>
        <v>0</v>
      </c>
      <c r="AA242" s="328">
        <f t="shared" si="84"/>
        <v>0</v>
      </c>
      <c r="AB242" s="104"/>
      <c r="AC242" s="191"/>
      <c r="AE242" s="193">
        <f t="shared" si="85"/>
        <v>0</v>
      </c>
    </row>
    <row r="243" spans="1:33" s="20" customFormat="1" ht="16.5" customHeight="1">
      <c r="A243" s="411"/>
      <c r="B243" s="225"/>
      <c r="C243" s="10">
        <f>+MAX(C$15:C242)+1</f>
        <v>200</v>
      </c>
      <c r="D243" s="10"/>
      <c r="E243" s="252" t="s">
        <v>2984</v>
      </c>
      <c r="F243" s="629"/>
      <c r="G243" s="574">
        <f>-SUMIF(CIP_E!$G$8:$X$8,$E$5,CIP_E!$G49:$X49)</f>
        <v>0</v>
      </c>
      <c r="H243" s="81" t="s">
        <v>2990</v>
      </c>
      <c r="I243" s="165"/>
      <c r="J243" s="313">
        <f t="shared" si="83"/>
        <v>0</v>
      </c>
      <c r="K243" s="313">
        <f t="shared" si="83"/>
        <v>0</v>
      </c>
      <c r="L243" s="313">
        <f t="shared" si="83"/>
        <v>0</v>
      </c>
      <c r="M243" s="313">
        <f t="shared" si="83"/>
        <v>0</v>
      </c>
      <c r="N243" s="313">
        <f t="shared" si="83"/>
        <v>0</v>
      </c>
      <c r="O243" s="313">
        <f t="shared" si="83"/>
        <v>0</v>
      </c>
      <c r="P243" s="313">
        <f t="shared" si="83"/>
        <v>0</v>
      </c>
      <c r="Q243" s="313">
        <f t="shared" si="83"/>
        <v>0</v>
      </c>
      <c r="R243" s="313">
        <f t="shared" si="83"/>
        <v>0</v>
      </c>
      <c r="S243" s="313">
        <f t="shared" si="83"/>
        <v>0</v>
      </c>
      <c r="T243" s="313">
        <f t="shared" si="84"/>
        <v>0</v>
      </c>
      <c r="U243" s="313">
        <f t="shared" si="84"/>
        <v>0</v>
      </c>
      <c r="V243" s="313">
        <f t="shared" si="84"/>
        <v>0</v>
      </c>
      <c r="W243" s="313">
        <f t="shared" si="84"/>
        <v>0</v>
      </c>
      <c r="X243" s="313">
        <f t="shared" si="84"/>
        <v>0</v>
      </c>
      <c r="Y243" s="313">
        <f t="shared" si="84"/>
        <v>0</v>
      </c>
      <c r="Z243" s="313">
        <f t="shared" si="84"/>
        <v>0</v>
      </c>
      <c r="AA243" s="328">
        <f t="shared" si="84"/>
        <v>0</v>
      </c>
      <c r="AB243" s="104"/>
      <c r="AC243" s="191"/>
      <c r="AE243" s="193">
        <f t="shared" si="85"/>
        <v>0</v>
      </c>
    </row>
    <row r="244" spans="1:33" s="20" customFormat="1" ht="16.5" customHeight="1">
      <c r="A244" s="411"/>
      <c r="B244" s="225"/>
      <c r="C244" s="10">
        <f>+MAX(C$15:C243)+1</f>
        <v>201</v>
      </c>
      <c r="D244" s="10"/>
      <c r="E244" s="252" t="s">
        <v>2985</v>
      </c>
      <c r="F244" s="629"/>
      <c r="G244" s="574">
        <f>-SUMIF(CIP_E!$G$8:$X$8,$E$5,CIP_E!$G50:$X50)</f>
        <v>0</v>
      </c>
      <c r="H244" s="81" t="s">
        <v>2991</v>
      </c>
      <c r="I244" s="165"/>
      <c r="J244" s="313">
        <f t="shared" si="83"/>
        <v>0</v>
      </c>
      <c r="K244" s="313">
        <f t="shared" si="83"/>
        <v>0</v>
      </c>
      <c r="L244" s="313">
        <f t="shared" si="83"/>
        <v>0</v>
      </c>
      <c r="M244" s="313">
        <f t="shared" si="83"/>
        <v>0</v>
      </c>
      <c r="N244" s="313">
        <f t="shared" si="83"/>
        <v>0</v>
      </c>
      <c r="O244" s="313">
        <f t="shared" si="83"/>
        <v>0</v>
      </c>
      <c r="P244" s="313">
        <f t="shared" si="83"/>
        <v>0</v>
      </c>
      <c r="Q244" s="313">
        <f t="shared" si="83"/>
        <v>0</v>
      </c>
      <c r="R244" s="313">
        <f t="shared" si="83"/>
        <v>0</v>
      </c>
      <c r="S244" s="313">
        <f t="shared" si="83"/>
        <v>0</v>
      </c>
      <c r="T244" s="313">
        <f t="shared" si="84"/>
        <v>0</v>
      </c>
      <c r="U244" s="313">
        <f t="shared" si="84"/>
        <v>0</v>
      </c>
      <c r="V244" s="313">
        <f t="shared" si="84"/>
        <v>0</v>
      </c>
      <c r="W244" s="313">
        <f t="shared" si="84"/>
        <v>0</v>
      </c>
      <c r="X244" s="313">
        <f t="shared" si="84"/>
        <v>0</v>
      </c>
      <c r="Y244" s="313">
        <f t="shared" si="84"/>
        <v>0</v>
      </c>
      <c r="Z244" s="313">
        <f t="shared" si="84"/>
        <v>0</v>
      </c>
      <c r="AA244" s="328">
        <f t="shared" si="84"/>
        <v>0</v>
      </c>
      <c r="AB244" s="104"/>
      <c r="AC244" s="191"/>
      <c r="AE244" s="193">
        <f t="shared" si="85"/>
        <v>0</v>
      </c>
    </row>
    <row r="245" spans="1:33" s="20" customFormat="1" ht="16.5" customHeight="1" thickBot="1">
      <c r="A245" s="411"/>
      <c r="B245" s="225"/>
      <c r="C245" s="10">
        <f>+MAX(C$15:C244)+1</f>
        <v>202</v>
      </c>
      <c r="D245" s="10"/>
      <c r="E245" s="252" t="s">
        <v>2986</v>
      </c>
      <c r="F245" s="629"/>
      <c r="G245" s="574">
        <f>-SUMIF(CIP_E!$G$8:$X$8,$E$5,CIP_E!$G51:$X51)</f>
        <v>-2343733.2385153715</v>
      </c>
      <c r="H245" s="82" t="s">
        <v>105</v>
      </c>
      <c r="I245" s="165"/>
      <c r="J245" s="313">
        <f t="shared" si="83"/>
        <v>0</v>
      </c>
      <c r="K245" s="313">
        <f t="shared" si="83"/>
        <v>0</v>
      </c>
      <c r="L245" s="313">
        <f t="shared" si="83"/>
        <v>0</v>
      </c>
      <c r="M245" s="313">
        <f t="shared" si="83"/>
        <v>-558043</v>
      </c>
      <c r="N245" s="313">
        <f t="shared" si="83"/>
        <v>0</v>
      </c>
      <c r="O245" s="313">
        <f t="shared" si="83"/>
        <v>0</v>
      </c>
      <c r="P245" s="313">
        <f t="shared" si="83"/>
        <v>0</v>
      </c>
      <c r="Q245" s="313">
        <f t="shared" si="83"/>
        <v>0</v>
      </c>
      <c r="R245" s="313">
        <f t="shared" si="83"/>
        <v>-182811</v>
      </c>
      <c r="S245" s="313">
        <f t="shared" si="83"/>
        <v>-1080461</v>
      </c>
      <c r="T245" s="313">
        <f t="shared" si="84"/>
        <v>-146952</v>
      </c>
      <c r="U245" s="313">
        <f t="shared" si="84"/>
        <v>-375466</v>
      </c>
      <c r="V245" s="313">
        <f t="shared" si="84"/>
        <v>0</v>
      </c>
      <c r="W245" s="313">
        <f t="shared" si="84"/>
        <v>0</v>
      </c>
      <c r="X245" s="313">
        <f t="shared" si="84"/>
        <v>0</v>
      </c>
      <c r="Y245" s="313">
        <f t="shared" si="84"/>
        <v>0</v>
      </c>
      <c r="Z245" s="313">
        <f t="shared" si="84"/>
        <v>0</v>
      </c>
      <c r="AA245" s="328">
        <f t="shared" si="84"/>
        <v>0</v>
      </c>
      <c r="AB245" s="104"/>
      <c r="AC245" s="191"/>
      <c r="AE245" s="193">
        <f t="shared" si="85"/>
        <v>0.23851537145674229</v>
      </c>
    </row>
    <row r="246" spans="1:33" s="20" customFormat="1" ht="16.5" customHeight="1">
      <c r="A246" s="411"/>
      <c r="B246" s="225"/>
      <c r="C246" s="10">
        <f>+MAX(C$15:C245)+1</f>
        <v>203</v>
      </c>
      <c r="D246" s="10"/>
      <c r="E246" s="628" t="s">
        <v>2987</v>
      </c>
      <c r="F246" s="629"/>
      <c r="G246" s="616">
        <f>SUM(G241:G245)</f>
        <v>-2343733.2385153715</v>
      </c>
      <c r="H246" s="262"/>
      <c r="I246" s="165"/>
      <c r="J246" s="2546">
        <f t="shared" ref="J246:AA246" si="86">SUM(J241:J245)</f>
        <v>0</v>
      </c>
      <c r="K246" s="2546">
        <f t="shared" si="86"/>
        <v>0</v>
      </c>
      <c r="L246" s="2546">
        <f t="shared" si="86"/>
        <v>0</v>
      </c>
      <c r="M246" s="2546">
        <f t="shared" si="86"/>
        <v>-558043</v>
      </c>
      <c r="N246" s="2546">
        <f t="shared" si="86"/>
        <v>0</v>
      </c>
      <c r="O246" s="2546">
        <f t="shared" si="86"/>
        <v>0</v>
      </c>
      <c r="P246" s="2546">
        <f t="shared" si="86"/>
        <v>0</v>
      </c>
      <c r="Q246" s="2546">
        <f t="shared" si="86"/>
        <v>0</v>
      </c>
      <c r="R246" s="2546">
        <f t="shared" si="86"/>
        <v>-182811</v>
      </c>
      <c r="S246" s="2546">
        <f t="shared" si="86"/>
        <v>-1080461</v>
      </c>
      <c r="T246" s="2546">
        <f t="shared" si="86"/>
        <v>-146952</v>
      </c>
      <c r="U246" s="2546">
        <f t="shared" si="86"/>
        <v>-375466</v>
      </c>
      <c r="V246" s="2546">
        <f t="shared" si="86"/>
        <v>0</v>
      </c>
      <c r="W246" s="2546">
        <f t="shared" si="86"/>
        <v>0</v>
      </c>
      <c r="X246" s="2546">
        <f t="shared" si="86"/>
        <v>0</v>
      </c>
      <c r="Y246" s="2546">
        <f t="shared" si="86"/>
        <v>0</v>
      </c>
      <c r="Z246" s="2546">
        <f t="shared" si="86"/>
        <v>0</v>
      </c>
      <c r="AA246" s="2546">
        <f t="shared" si="86"/>
        <v>0</v>
      </c>
      <c r="AB246" s="104"/>
      <c r="AC246" s="191"/>
      <c r="AE246" s="193">
        <f t="shared" si="85"/>
        <v>0.23851537145674229</v>
      </c>
    </row>
    <row r="247" spans="1:33" s="20" customFormat="1">
      <c r="A247" s="411"/>
      <c r="B247" s="225"/>
      <c r="C247" s="10"/>
      <c r="D247" s="10"/>
      <c r="E247" s="254"/>
      <c r="F247" s="254"/>
      <c r="G247" s="343"/>
      <c r="H247" s="262"/>
      <c r="I247" s="262"/>
      <c r="J247" s="313"/>
      <c r="K247" s="313"/>
      <c r="L247" s="313"/>
      <c r="M247" s="313"/>
      <c r="N247" s="313"/>
      <c r="O247" s="313"/>
      <c r="P247" s="313"/>
      <c r="Q247" s="313"/>
      <c r="R247" s="313"/>
      <c r="S247" s="313"/>
      <c r="T247" s="313"/>
      <c r="U247" s="313"/>
      <c r="V247" s="313"/>
      <c r="W247" s="313"/>
      <c r="X247" s="313"/>
      <c r="Y247" s="313"/>
      <c r="Z247" s="313"/>
      <c r="AA247" s="328"/>
      <c r="AB247" s="104"/>
      <c r="AC247" s="137"/>
      <c r="AE247" s="193"/>
    </row>
    <row r="248" spans="1:33" ht="16.5" customHeight="1">
      <c r="A248" s="411"/>
      <c r="B248" s="225"/>
      <c r="C248" s="10">
        <f>+MAX(C$15:C247)+1</f>
        <v>204</v>
      </c>
      <c r="D248" s="252"/>
      <c r="E248" s="206" t="s">
        <v>385</v>
      </c>
      <c r="F248" s="206"/>
      <c r="G248" s="311">
        <f>SUM(G205,G211,G219,G226,G238,G246)</f>
        <v>290000037.23845124</v>
      </c>
      <c r="J248" s="311">
        <f>SUM(J205,J211,J219,J226,J238,J240)</f>
        <v>14524335</v>
      </c>
      <c r="K248" s="311">
        <f>SUM(K205,K211,K219,K226,K238,K240)</f>
        <v>198365759</v>
      </c>
      <c r="L248" s="311">
        <f>SUM(L205,L211,L219,L226,L238,L240)</f>
        <v>16443311</v>
      </c>
      <c r="M248" s="311">
        <f>SUM(M205,M211,M219,M226,M238,M246)</f>
        <v>10462064</v>
      </c>
      <c r="N248" s="311">
        <f t="shared" ref="N248:AA248" si="87">SUM(N205,N211,N219,N226,N238,N246)</f>
        <v>1322724</v>
      </c>
      <c r="O248" s="311">
        <f>SUM(O205,O211,O219,O226,O238,O246)</f>
        <v>0</v>
      </c>
      <c r="P248" s="311">
        <f>SUM(P205,P211,P219,P226,P238,P246)</f>
        <v>0</v>
      </c>
      <c r="Q248" s="311">
        <f>SUM(Q205,Q211,Q219,Q226,Q238,Q246)</f>
        <v>5651930</v>
      </c>
      <c r="R248" s="311">
        <f t="shared" si="87"/>
        <v>2367048</v>
      </c>
      <c r="S248" s="311">
        <f t="shared" si="87"/>
        <v>14472535</v>
      </c>
      <c r="T248" s="311">
        <f t="shared" si="87"/>
        <v>1820335</v>
      </c>
      <c r="U248" s="311">
        <f t="shared" si="87"/>
        <v>4730305</v>
      </c>
      <c r="V248" s="311">
        <f t="shared" si="87"/>
        <v>1546641</v>
      </c>
      <c r="W248" s="311">
        <f t="shared" si="87"/>
        <v>5290676</v>
      </c>
      <c r="X248" s="311">
        <f t="shared" si="87"/>
        <v>10727008</v>
      </c>
      <c r="Y248" s="311">
        <f t="shared" si="87"/>
        <v>529050</v>
      </c>
      <c r="Z248" s="311">
        <f t="shared" si="87"/>
        <v>1674763</v>
      </c>
      <c r="AA248" s="311">
        <f t="shared" si="87"/>
        <v>0</v>
      </c>
      <c r="AB248" s="105"/>
      <c r="AC248" s="87"/>
      <c r="AD248" s="20"/>
      <c r="AE248" s="193">
        <f>SUM(J248:AA248)-G248</f>
        <v>-71553.238451242447</v>
      </c>
      <c r="AF248" s="20"/>
      <c r="AG248" s="20"/>
    </row>
    <row r="249" spans="1:33" s="20" customFormat="1" ht="5.25" customHeight="1">
      <c r="A249" s="411"/>
      <c r="B249" s="225"/>
      <c r="C249" s="10"/>
      <c r="D249" s="10"/>
      <c r="E249" s="252"/>
      <c r="F249" s="252"/>
      <c r="G249" s="343"/>
      <c r="H249" s="262"/>
      <c r="I249" s="262"/>
      <c r="J249" s="313"/>
      <c r="K249" s="313"/>
      <c r="L249" s="313"/>
      <c r="M249" s="313"/>
      <c r="N249" s="313"/>
      <c r="O249" s="313"/>
      <c r="P249" s="313"/>
      <c r="Q249" s="313"/>
      <c r="R249" s="313"/>
      <c r="S249" s="313"/>
      <c r="T249" s="313"/>
      <c r="U249" s="313"/>
      <c r="V249" s="313"/>
      <c r="W249" s="313"/>
      <c r="X249" s="313"/>
      <c r="Y249" s="313"/>
      <c r="Z249" s="313"/>
      <c r="AA249" s="328"/>
      <c r="AB249" s="104"/>
      <c r="AC249" s="137"/>
      <c r="AE249" s="193">
        <f>SUM(J249:AA249)-G249</f>
        <v>0</v>
      </c>
    </row>
    <row r="250" spans="1:33" s="20" customFormat="1" ht="16.5" hidden="1" customHeight="1">
      <c r="A250" s="411"/>
      <c r="B250" s="225"/>
      <c r="C250" s="10">
        <f>+MAX(C$15:C249)+1</f>
        <v>205</v>
      </c>
      <c r="D250" s="10"/>
      <c r="E250" s="246" t="s">
        <v>191</v>
      </c>
      <c r="F250" s="361"/>
      <c r="G250" s="311">
        <f>'COS_Supervised O&amp;M'!G122</f>
        <v>16367366.616701007</v>
      </c>
      <c r="H250" s="165"/>
      <c r="I250" s="165"/>
      <c r="J250" s="311">
        <f>'COS_Supervised O&amp;M'!I122</f>
        <v>0</v>
      </c>
      <c r="K250" s="311">
        <f>'COS_Supervised O&amp;M'!J122</f>
        <v>377132</v>
      </c>
      <c r="L250" s="311">
        <f>'COS_Supervised O&amp;M'!K122</f>
        <v>1708902</v>
      </c>
      <c r="M250" s="311">
        <f>'COS_Supervised O&amp;M'!L122</f>
        <v>2588072</v>
      </c>
      <c r="N250" s="311">
        <f>'COS_Supervised O&amp;M'!M122</f>
        <v>481675</v>
      </c>
      <c r="O250" s="311"/>
      <c r="P250" s="311"/>
      <c r="Q250" s="311">
        <f>'COS_Supervised O&amp;M'!P122</f>
        <v>787543</v>
      </c>
      <c r="R250" s="311">
        <f>'COS_Supervised O&amp;M'!Q122</f>
        <v>487887</v>
      </c>
      <c r="S250" s="311">
        <f>'COS_Supervised O&amp;M'!R122</f>
        <v>3070307</v>
      </c>
      <c r="T250" s="311">
        <f>'COS_Supervised O&amp;M'!S122</f>
        <v>362559</v>
      </c>
      <c r="U250" s="311">
        <f>'COS_Supervised O&amp;M'!T122</f>
        <v>954107</v>
      </c>
      <c r="V250" s="311">
        <f>'COS_Supervised O&amp;M'!U122</f>
        <v>215750</v>
      </c>
      <c r="W250" s="311">
        <f>'COS_Supervised O&amp;M'!V122</f>
        <v>1778120</v>
      </c>
      <c r="X250" s="311">
        <f>'COS_Supervised O&amp;M'!W122</f>
        <v>3303895.2570004533</v>
      </c>
      <c r="Y250" s="311">
        <f>'COS_Supervised O&amp;M'!X122</f>
        <v>72062</v>
      </c>
      <c r="Z250" s="311">
        <f>'COS_Supervised O&amp;M'!Y122</f>
        <v>179355.57053417651</v>
      </c>
      <c r="AA250" s="311">
        <f>'COS_Supervised O&amp;M'!Z122</f>
        <v>0</v>
      </c>
      <c r="AB250" s="105"/>
      <c r="AC250" s="137"/>
      <c r="AE250" s="193">
        <f>SUM(J250:AA250)-G250</f>
        <v>0.21083362400531769</v>
      </c>
    </row>
    <row r="251" spans="1:33" s="20" customFormat="1" ht="5.25" customHeight="1">
      <c r="A251" s="411"/>
      <c r="B251" s="225"/>
      <c r="C251" s="342"/>
      <c r="D251" s="10"/>
      <c r="E251" s="252"/>
      <c r="F251" s="252"/>
      <c r="G251" s="343"/>
      <c r="H251" s="363"/>
      <c r="I251" s="262"/>
      <c r="J251" s="313"/>
      <c r="K251" s="313"/>
      <c r="L251" s="313"/>
      <c r="M251" s="313"/>
      <c r="N251" s="313"/>
      <c r="O251" s="313"/>
      <c r="P251" s="313"/>
      <c r="Q251" s="313"/>
      <c r="R251" s="313"/>
      <c r="S251" s="313"/>
      <c r="T251" s="313"/>
      <c r="U251" s="313"/>
      <c r="V251" s="313"/>
      <c r="W251" s="313"/>
      <c r="X251" s="313"/>
      <c r="Y251" s="313"/>
      <c r="Z251" s="313"/>
      <c r="AA251" s="328"/>
      <c r="AB251" s="104"/>
      <c r="AC251" s="137"/>
      <c r="AE251" s="193">
        <f>SUM(J251:AA251)-G251</f>
        <v>0</v>
      </c>
    </row>
    <row r="252" spans="1:33" s="20" customFormat="1" ht="5.25" customHeight="1">
      <c r="A252" s="411"/>
      <c r="B252" s="225"/>
      <c r="C252" s="342"/>
      <c r="D252" s="10"/>
      <c r="E252" s="252"/>
      <c r="F252" s="252"/>
      <c r="G252" s="343"/>
      <c r="H252" s="363"/>
      <c r="I252" s="262"/>
      <c r="J252" s="313"/>
      <c r="K252" s="313"/>
      <c r="L252" s="313"/>
      <c r="M252" s="313"/>
      <c r="N252" s="313"/>
      <c r="O252" s="313"/>
      <c r="P252" s="313"/>
      <c r="Q252" s="313"/>
      <c r="R252" s="313"/>
      <c r="S252" s="313"/>
      <c r="T252" s="313"/>
      <c r="U252" s="313"/>
      <c r="V252" s="313"/>
      <c r="W252" s="313"/>
      <c r="X252" s="313"/>
      <c r="Y252" s="313"/>
      <c r="Z252" s="313"/>
      <c r="AA252" s="313"/>
      <c r="AB252" s="104"/>
      <c r="AC252" s="137"/>
      <c r="AE252" s="193"/>
    </row>
    <row r="253" spans="1:33" s="20" customFormat="1">
      <c r="A253" s="411"/>
      <c r="B253" s="225"/>
      <c r="C253" s="342"/>
      <c r="D253" s="10"/>
      <c r="E253" s="862" t="s">
        <v>1049</v>
      </c>
      <c r="F253" s="878"/>
      <c r="G253" s="863">
        <f>'COS_RR (top sheet)'!I57</f>
        <v>289928473.24963951</v>
      </c>
      <c r="H253" s="363"/>
      <c r="I253" s="262"/>
      <c r="J253" s="313"/>
      <c r="K253" s="313"/>
      <c r="L253" s="313"/>
      <c r="M253" s="313"/>
      <c r="N253" s="313"/>
      <c r="O253" s="313"/>
      <c r="P253" s="313"/>
      <c r="Q253" s="313"/>
      <c r="R253" s="313"/>
      <c r="S253" s="313"/>
      <c r="T253" s="313"/>
      <c r="U253" s="313"/>
      <c r="V253" s="313"/>
      <c r="W253" s="313"/>
      <c r="X253" s="313"/>
      <c r="Y253" s="313"/>
      <c r="Z253" s="313"/>
      <c r="AA253" s="313"/>
      <c r="AB253" s="104"/>
      <c r="AC253" s="137"/>
      <c r="AE253" s="193"/>
    </row>
    <row r="254" spans="1:33" s="20" customFormat="1">
      <c r="A254" s="411"/>
      <c r="B254" s="225"/>
      <c r="C254" s="342"/>
      <c r="D254" s="10"/>
      <c r="E254" s="864" t="s">
        <v>1050</v>
      </c>
      <c r="F254" s="427"/>
      <c r="G254" s="865">
        <f>G253-G248</f>
        <v>-71563.988811731339</v>
      </c>
      <c r="H254" s="363"/>
      <c r="I254" s="262"/>
      <c r="J254" s="313"/>
      <c r="K254" s="313"/>
      <c r="L254" s="313"/>
      <c r="M254" s="313"/>
      <c r="N254" s="313"/>
      <c r="O254" s="313"/>
      <c r="P254" s="313"/>
      <c r="Q254" s="313"/>
      <c r="R254" s="313"/>
      <c r="S254" s="313"/>
      <c r="T254" s="313"/>
      <c r="U254" s="313"/>
      <c r="V254" s="313"/>
      <c r="W254" s="313"/>
      <c r="X254" s="313"/>
      <c r="Y254" s="313"/>
      <c r="Z254" s="313"/>
      <c r="AA254" s="313"/>
      <c r="AB254" s="104"/>
      <c r="AC254" s="137"/>
      <c r="AE254" s="193"/>
    </row>
    <row r="255" spans="1:33" s="20" customFormat="1">
      <c r="A255" s="411"/>
      <c r="B255" s="225"/>
      <c r="C255" s="342"/>
      <c r="D255" s="10"/>
      <c r="E255" s="862" t="s">
        <v>1051</v>
      </c>
      <c r="F255" s="878"/>
      <c r="G255" s="863">
        <f>'COS_RR (top sheet)'!I57</f>
        <v>289928473.24963951</v>
      </c>
      <c r="H255" s="363"/>
      <c r="I255" s="262"/>
      <c r="J255" s="313"/>
      <c r="K255" s="313"/>
      <c r="L255" s="313"/>
      <c r="M255" s="313"/>
      <c r="N255" s="313"/>
      <c r="O255" s="313"/>
      <c r="P255" s="313"/>
      <c r="Q255" s="313"/>
      <c r="R255" s="313"/>
      <c r="S255" s="313"/>
      <c r="T255" s="313"/>
      <c r="U255" s="313"/>
      <c r="V255" s="313"/>
      <c r="W255" s="313"/>
      <c r="X255" s="313"/>
      <c r="Y255" s="313"/>
      <c r="Z255" s="313"/>
      <c r="AA255" s="313"/>
      <c r="AB255" s="104"/>
      <c r="AC255" s="137"/>
      <c r="AE255" s="193"/>
    </row>
    <row r="256" spans="1:33" s="20" customFormat="1">
      <c r="A256" s="411"/>
      <c r="B256" s="225"/>
      <c r="C256" s="342"/>
      <c r="D256" s="10"/>
      <c r="E256" s="864" t="s">
        <v>1052</v>
      </c>
      <c r="F256" s="427"/>
      <c r="G256" s="865">
        <f>G255-SUM(J248:AA248)</f>
        <v>-10.750360488891602</v>
      </c>
      <c r="H256" s="363"/>
      <c r="I256" s="262"/>
      <c r="J256" s="313"/>
      <c r="K256" s="313"/>
      <c r="L256" s="313"/>
      <c r="M256" s="313"/>
      <c r="N256" s="313"/>
      <c r="O256" s="313"/>
      <c r="P256" s="313"/>
      <c r="Q256" s="313"/>
      <c r="R256" s="313"/>
      <c r="S256" s="313"/>
      <c r="T256" s="313"/>
      <c r="U256" s="313"/>
      <c r="V256" s="313"/>
      <c r="W256" s="313"/>
      <c r="X256" s="313"/>
      <c r="Y256" s="313"/>
      <c r="Z256" s="313"/>
      <c r="AA256" s="313"/>
      <c r="AB256" s="104"/>
      <c r="AC256" s="137"/>
      <c r="AE256" s="193"/>
    </row>
    <row r="257" spans="1:31" s="20" customFormat="1" ht="16.5" thickBot="1">
      <c r="A257" s="411"/>
      <c r="B257" s="225"/>
      <c r="C257" s="342"/>
      <c r="D257" s="10"/>
      <c r="E257" s="252"/>
      <c r="F257" s="252"/>
      <c r="G257" s="343"/>
      <c r="H257" s="363"/>
      <c r="I257" s="262"/>
      <c r="J257" s="313"/>
      <c r="K257" s="313"/>
      <c r="L257" s="313"/>
      <c r="M257" s="313"/>
      <c r="N257" s="313"/>
      <c r="O257" s="313"/>
      <c r="P257" s="313"/>
      <c r="Q257" s="313"/>
      <c r="R257" s="313"/>
      <c r="S257" s="313"/>
      <c r="T257" s="313"/>
      <c r="U257" s="313"/>
      <c r="V257" s="313"/>
      <c r="W257" s="313"/>
      <c r="X257" s="313"/>
      <c r="Y257" s="313"/>
      <c r="Z257" s="313"/>
      <c r="AA257" s="313"/>
      <c r="AB257" s="104"/>
      <c r="AC257" s="137"/>
      <c r="AE257" s="193"/>
    </row>
    <row r="258" spans="1:31" ht="16.5" customHeight="1">
      <c r="A258" s="411"/>
      <c r="B258" s="225"/>
      <c r="C258" s="342">
        <f>+MAX(C$15:C251)+1</f>
        <v>206</v>
      </c>
      <c r="D258" s="17"/>
      <c r="E258" s="914" t="str">
        <f>+COS_RB!E337</f>
        <v>Allocation Reference</v>
      </c>
      <c r="F258" s="908"/>
      <c r="G258" s="676"/>
      <c r="H258" s="908"/>
      <c r="I258" s="908"/>
      <c r="J258" s="676"/>
      <c r="K258" s="676"/>
      <c r="L258" s="676"/>
      <c r="M258" s="676"/>
      <c r="N258" s="676"/>
      <c r="O258" s="676"/>
      <c r="P258" s="676"/>
      <c r="Q258" s="676"/>
      <c r="R258" s="676"/>
      <c r="S258" s="676"/>
      <c r="T258" s="676"/>
      <c r="U258" s="676"/>
      <c r="V258" s="676"/>
      <c r="W258" s="676"/>
      <c r="X258" s="676"/>
      <c r="Y258" s="676"/>
      <c r="Z258" s="676"/>
      <c r="AA258" s="670"/>
      <c r="AB258" s="103"/>
      <c r="AC258" s="103">
        <v>21</v>
      </c>
    </row>
    <row r="259" spans="1:31" ht="16.5" customHeight="1">
      <c r="A259" s="411"/>
      <c r="B259" s="225"/>
      <c r="C259" s="236"/>
      <c r="D259" s="1"/>
      <c r="E259" s="883"/>
      <c r="F259" s="165"/>
      <c r="G259" s="20"/>
      <c r="J259" s="884"/>
      <c r="K259" s="884"/>
      <c r="L259" s="884"/>
      <c r="M259" s="884"/>
      <c r="N259" s="884"/>
      <c r="O259" s="884"/>
      <c r="P259" s="884"/>
      <c r="Q259" s="884"/>
      <c r="R259" s="884"/>
      <c r="S259" s="884"/>
      <c r="T259" s="884"/>
      <c r="U259" s="884"/>
      <c r="V259" s="884"/>
      <c r="W259" s="884"/>
      <c r="X259" s="884"/>
      <c r="Y259" s="884"/>
      <c r="Z259" s="884"/>
      <c r="AA259" s="885"/>
      <c r="AB259" s="87"/>
      <c r="AC259" s="137"/>
    </row>
    <row r="260" spans="1:31" s="20" customFormat="1" ht="16.5" customHeight="1">
      <c r="A260" s="411"/>
      <c r="B260" s="225"/>
      <c r="C260" s="342">
        <f>+MAX(C$15:C259)+1</f>
        <v>207</v>
      </c>
      <c r="D260" s="236"/>
      <c r="E260" s="265" t="str">
        <f>+COS_RB!E339</f>
        <v>Intangible Plant OC</v>
      </c>
      <c r="F260" s="915">
        <f t="shared" ref="F260:F301" si="88">SUM(J260:AA260)</f>
        <v>1</v>
      </c>
      <c r="J260" s="335">
        <f>COS_RB!H339</f>
        <v>0</v>
      </c>
      <c r="K260" s="335">
        <f>COS_RB!I339</f>
        <v>1</v>
      </c>
      <c r="L260" s="335">
        <f>COS_RB!J339</f>
        <v>0</v>
      </c>
      <c r="M260" s="335">
        <f>COS_RB!K339</f>
        <v>0</v>
      </c>
      <c r="N260" s="335">
        <f>COS_RB!L339</f>
        <v>0</v>
      </c>
      <c r="O260" s="335">
        <f>COS_RB!M339</f>
        <v>0</v>
      </c>
      <c r="P260" s="335">
        <f>COS_RB!N339</f>
        <v>0</v>
      </c>
      <c r="Q260" s="335">
        <f>COS_RB!O339</f>
        <v>0</v>
      </c>
      <c r="R260" s="335">
        <f>COS_RB!P339</f>
        <v>0</v>
      </c>
      <c r="S260" s="335">
        <f>COS_RB!Q339</f>
        <v>0</v>
      </c>
      <c r="T260" s="335">
        <f>COS_RB!R339</f>
        <v>0</v>
      </c>
      <c r="U260" s="335">
        <f>COS_RB!S339</f>
        <v>0</v>
      </c>
      <c r="V260" s="335">
        <f>COS_RB!T339</f>
        <v>0</v>
      </c>
      <c r="W260" s="335">
        <f>COS_RB!U339</f>
        <v>0</v>
      </c>
      <c r="X260" s="335">
        <f>COS_RB!V339</f>
        <v>0</v>
      </c>
      <c r="Y260" s="335">
        <f>COS_RB!W339</f>
        <v>0</v>
      </c>
      <c r="Z260" s="335">
        <f>COS_RB!X339</f>
        <v>0</v>
      </c>
      <c r="AA260" s="886">
        <f>COS_RB!Y339</f>
        <v>0</v>
      </c>
      <c r="AB260" s="219"/>
      <c r="AC260" s="137"/>
      <c r="AE260" s="194">
        <f t="shared" ref="AE260:AE301" si="89">SUM(J260:AA260)</f>
        <v>1</v>
      </c>
    </row>
    <row r="261" spans="1:31" s="20" customFormat="1" ht="16.5" customHeight="1">
      <c r="A261" s="411"/>
      <c r="B261" s="225"/>
      <c r="C261" s="342">
        <f>+MAX(C$15:C260)+1</f>
        <v>208</v>
      </c>
      <c r="D261" s="236"/>
      <c r="E261" s="265" t="str">
        <f>+COS_RB!E340</f>
        <v>Trans OC</v>
      </c>
      <c r="F261" s="915">
        <f t="shared" si="88"/>
        <v>1</v>
      </c>
      <c r="J261" s="335">
        <f>COS_RB!H340</f>
        <v>0</v>
      </c>
      <c r="K261" s="335">
        <f>COS_RB!I340</f>
        <v>0</v>
      </c>
      <c r="L261" s="335">
        <f>COS_RB!J340</f>
        <v>1</v>
      </c>
      <c r="M261" s="335">
        <f>COS_RB!K340</f>
        <v>0</v>
      </c>
      <c r="N261" s="335">
        <f>COS_RB!L340</f>
        <v>0</v>
      </c>
      <c r="O261" s="335">
        <f>COS_RB!M340</f>
        <v>0</v>
      </c>
      <c r="P261" s="335">
        <f>COS_RB!N340</f>
        <v>0</v>
      </c>
      <c r="Q261" s="335">
        <f>COS_RB!O340</f>
        <v>0</v>
      </c>
      <c r="R261" s="335">
        <f>COS_RB!P340</f>
        <v>0</v>
      </c>
      <c r="S261" s="335">
        <f>COS_RB!Q340</f>
        <v>0</v>
      </c>
      <c r="T261" s="335">
        <f>COS_RB!R340</f>
        <v>0</v>
      </c>
      <c r="U261" s="335">
        <f>COS_RB!S340</f>
        <v>0</v>
      </c>
      <c r="V261" s="335">
        <f>COS_RB!T340</f>
        <v>0</v>
      </c>
      <c r="W261" s="335">
        <f>COS_RB!U340</f>
        <v>0</v>
      </c>
      <c r="X261" s="335">
        <f>COS_RB!V340</f>
        <v>0</v>
      </c>
      <c r="Y261" s="335">
        <f>COS_RB!W340</f>
        <v>0</v>
      </c>
      <c r="Z261" s="335">
        <f>COS_RB!X340</f>
        <v>0</v>
      </c>
      <c r="AA261" s="886">
        <f>COS_RB!Y340</f>
        <v>0</v>
      </c>
      <c r="AB261" s="219"/>
      <c r="AC261" s="137"/>
      <c r="AE261" s="194">
        <f t="shared" si="89"/>
        <v>1</v>
      </c>
    </row>
    <row r="262" spans="1:31" s="20" customFormat="1" ht="16.5" customHeight="1">
      <c r="A262" s="411"/>
      <c r="B262" s="225"/>
      <c r="C262" s="342">
        <f>+MAX(C$15:C261)+1</f>
        <v>209</v>
      </c>
      <c r="D262" s="236"/>
      <c r="E262" s="265" t="str">
        <f>+COS_RB!E341</f>
        <v>Dist OC</v>
      </c>
      <c r="F262" s="915">
        <f t="shared" si="88"/>
        <v>0.99999999999999989</v>
      </c>
      <c r="J262" s="335">
        <f>COS_RB!H341</f>
        <v>0</v>
      </c>
      <c r="K262" s="335">
        <f>COS_RB!I341</f>
        <v>0</v>
      </c>
      <c r="L262" s="335">
        <f>COS_RB!J341</f>
        <v>0</v>
      </c>
      <c r="M262" s="335">
        <f>COS_RB!K341</f>
        <v>0.17900000000000016</v>
      </c>
      <c r="N262" s="335">
        <f>COS_RB!L341</f>
        <v>0</v>
      </c>
      <c r="O262" s="335">
        <f>COS_RB!M341</f>
        <v>0</v>
      </c>
      <c r="P262" s="335">
        <f>COS_RB!N341</f>
        <v>0</v>
      </c>
      <c r="Q262" s="335">
        <f>COS_RB!O341</f>
        <v>0.1595</v>
      </c>
      <c r="R262" s="335">
        <f>COS_RB!P341</f>
        <v>5.8599999999999999E-2</v>
      </c>
      <c r="S262" s="335">
        <f>COS_RB!Q341</f>
        <v>0.34649999999999997</v>
      </c>
      <c r="T262" s="335">
        <f>COS_RB!R341</f>
        <v>4.7199999999999999E-2</v>
      </c>
      <c r="U262" s="335">
        <f>COS_RB!S341</f>
        <v>0.12039999999999999</v>
      </c>
      <c r="V262" s="335">
        <f>COS_RB!T341</f>
        <v>4.3700000000000003E-2</v>
      </c>
      <c r="W262" s="335">
        <f>COS_RB!U341</f>
        <v>3.0499999999999999E-2</v>
      </c>
      <c r="X262" s="335">
        <f>COS_RB!V341</f>
        <v>0</v>
      </c>
      <c r="Y262" s="335">
        <f>COS_RB!W341</f>
        <v>1.46E-2</v>
      </c>
      <c r="Z262" s="335">
        <f>COS_RB!X341</f>
        <v>0</v>
      </c>
      <c r="AA262" s="886">
        <f>COS_RB!Y341</f>
        <v>0</v>
      </c>
      <c r="AB262" s="219"/>
      <c r="AC262" s="137"/>
      <c r="AE262" s="194">
        <f t="shared" si="89"/>
        <v>0.99999999999999989</v>
      </c>
    </row>
    <row r="263" spans="1:31" s="20" customFormat="1" ht="16.5" customHeight="1">
      <c r="A263" s="411"/>
      <c r="B263" s="225"/>
      <c r="C263" s="342">
        <f>+MAX(C$15:C262)+1</f>
        <v>210</v>
      </c>
      <c r="D263" s="236"/>
      <c r="E263" s="265" t="str">
        <f>+COS_RB!E342</f>
        <v>Trans &amp; Dist OC</v>
      </c>
      <c r="F263" s="915">
        <f t="shared" si="88"/>
        <v>1</v>
      </c>
      <c r="J263" s="335">
        <f>COS_RB!H342</f>
        <v>0</v>
      </c>
      <c r="K263" s="335">
        <f>COS_RB!I342</f>
        <v>0</v>
      </c>
      <c r="L263" s="335">
        <f>COS_RB!J342</f>
        <v>0.29810000000000003</v>
      </c>
      <c r="M263" s="335">
        <f>COS_RB!K342</f>
        <v>0.12559999999999999</v>
      </c>
      <c r="N263" s="335">
        <f>COS_RB!L342</f>
        <v>0</v>
      </c>
      <c r="O263" s="335">
        <f>COS_RB!M342</f>
        <v>0</v>
      </c>
      <c r="P263" s="335">
        <f>COS_RB!N342</f>
        <v>0</v>
      </c>
      <c r="Q263" s="335">
        <f>COS_RB!O342</f>
        <v>0.112</v>
      </c>
      <c r="R263" s="335">
        <f>COS_RB!P342</f>
        <v>4.1200000000000001E-2</v>
      </c>
      <c r="S263" s="335">
        <f>COS_RB!Q342</f>
        <v>0.2432</v>
      </c>
      <c r="T263" s="335">
        <f>COS_RB!R342</f>
        <v>3.3099999999999997E-2</v>
      </c>
      <c r="U263" s="335">
        <f>COS_RB!S342</f>
        <v>8.4500000000000006E-2</v>
      </c>
      <c r="V263" s="335">
        <f>COS_RB!T342</f>
        <v>3.0700000000000002E-2</v>
      </c>
      <c r="W263" s="335">
        <f>COS_RB!U342</f>
        <v>2.1399999999999999E-2</v>
      </c>
      <c r="X263" s="335">
        <f>COS_RB!V342</f>
        <v>0</v>
      </c>
      <c r="Y263" s="335">
        <f>COS_RB!W342</f>
        <v>1.0200000000000001E-2</v>
      </c>
      <c r="Z263" s="335">
        <f>COS_RB!X342</f>
        <v>0</v>
      </c>
      <c r="AA263" s="886">
        <f>COS_RB!Y342</f>
        <v>0</v>
      </c>
      <c r="AB263" s="219"/>
      <c r="AC263" s="137"/>
      <c r="AE263" s="194">
        <f t="shared" si="89"/>
        <v>1</v>
      </c>
    </row>
    <row r="264" spans="1:31" s="20" customFormat="1" ht="16.5" customHeight="1">
      <c r="A264" s="411"/>
      <c r="B264" s="225"/>
      <c r="C264" s="342">
        <f>+MAX(C$15:C263)+1</f>
        <v>211</v>
      </c>
      <c r="D264" s="236"/>
      <c r="E264" s="265" t="str">
        <f>+COS_RB!E343</f>
        <v>Trans &amp; Dist Sub OC</v>
      </c>
      <c r="F264" s="915">
        <f t="shared" si="88"/>
        <v>1</v>
      </c>
      <c r="J264" s="335">
        <f>COS_RB!H343</f>
        <v>0</v>
      </c>
      <c r="K264" s="335">
        <f>COS_RB!I343</f>
        <v>0</v>
      </c>
      <c r="L264" s="335">
        <f>COS_RB!J343</f>
        <v>0.70350000000000001</v>
      </c>
      <c r="M264" s="335">
        <f>COS_RB!K343</f>
        <v>0.29649999999999999</v>
      </c>
      <c r="N264" s="335">
        <f>COS_RB!L343</f>
        <v>0</v>
      </c>
      <c r="O264" s="335">
        <f>COS_RB!M343</f>
        <v>0</v>
      </c>
      <c r="P264" s="335">
        <f>COS_RB!N343</f>
        <v>0</v>
      </c>
      <c r="Q264" s="335">
        <f>COS_RB!O343</f>
        <v>0</v>
      </c>
      <c r="R264" s="335">
        <f>COS_RB!P343</f>
        <v>0</v>
      </c>
      <c r="S264" s="335">
        <f>COS_RB!Q343</f>
        <v>0</v>
      </c>
      <c r="T264" s="335">
        <f>COS_RB!R343</f>
        <v>0</v>
      </c>
      <c r="U264" s="335">
        <f>COS_RB!S343</f>
        <v>0</v>
      </c>
      <c r="V264" s="335">
        <f>COS_RB!T343</f>
        <v>0</v>
      </c>
      <c r="W264" s="335">
        <f>COS_RB!U343</f>
        <v>0</v>
      </c>
      <c r="X264" s="335">
        <f>COS_RB!V343</f>
        <v>0</v>
      </c>
      <c r="Y264" s="335">
        <f>COS_RB!W343</f>
        <v>0</v>
      </c>
      <c r="Z264" s="335">
        <f>COS_RB!X343</f>
        <v>0</v>
      </c>
      <c r="AA264" s="886">
        <f>COS_RB!Y343</f>
        <v>0</v>
      </c>
      <c r="AB264" s="219"/>
      <c r="AC264" s="137"/>
      <c r="AE264" s="194">
        <f t="shared" si="89"/>
        <v>1</v>
      </c>
    </row>
    <row r="265" spans="1:31" s="20" customFormat="1" ht="16.5" customHeight="1">
      <c r="A265" s="411"/>
      <c r="B265" s="225"/>
      <c r="C265" s="342">
        <f>+MAX(C$15:C264)+1</f>
        <v>212</v>
      </c>
      <c r="D265" s="236"/>
      <c r="E265" s="265" t="str">
        <f>+COS_RB!E344</f>
        <v>Total Plant Before Gen Plant</v>
      </c>
      <c r="F265" s="915">
        <f t="shared" si="88"/>
        <v>1</v>
      </c>
      <c r="J265" s="335">
        <f>COS_RB!H344</f>
        <v>0</v>
      </c>
      <c r="K265" s="335">
        <f>COS_RB!I344</f>
        <v>5.0700000000000002E-2</v>
      </c>
      <c r="L265" s="335">
        <f>COS_RB!J344</f>
        <v>0.28310000000000002</v>
      </c>
      <c r="M265" s="335">
        <f>COS_RB!K344</f>
        <v>0.1192</v>
      </c>
      <c r="N265" s="335">
        <f>COS_RB!L344</f>
        <v>0</v>
      </c>
      <c r="O265" s="335">
        <f>COS_RB!M344</f>
        <v>0</v>
      </c>
      <c r="P265" s="335">
        <f>COS_RB!N344</f>
        <v>0</v>
      </c>
      <c r="Q265" s="335">
        <f>COS_RB!O344</f>
        <v>0.10630000000000001</v>
      </c>
      <c r="R265" s="335">
        <f>COS_RB!P344</f>
        <v>3.9100000000000003E-2</v>
      </c>
      <c r="S265" s="335">
        <f>COS_RB!Q344</f>
        <v>0.23089999999999999</v>
      </c>
      <c r="T265" s="335">
        <f>COS_RB!R344</f>
        <v>3.1399999999999997E-2</v>
      </c>
      <c r="U265" s="335">
        <f>COS_RB!S344</f>
        <v>8.0199999999999994E-2</v>
      </c>
      <c r="V265" s="335">
        <f>COS_RB!T344</f>
        <v>2.9100000000000001E-2</v>
      </c>
      <c r="W265" s="335">
        <f>COS_RB!U344</f>
        <v>2.0299999999999999E-2</v>
      </c>
      <c r="X265" s="335">
        <f>COS_RB!V344</f>
        <v>0</v>
      </c>
      <c r="Y265" s="335">
        <f>COS_RB!W344</f>
        <v>9.7000000000000003E-3</v>
      </c>
      <c r="Z265" s="335">
        <f>COS_RB!X344</f>
        <v>0</v>
      </c>
      <c r="AA265" s="886">
        <f>COS_RB!Y344</f>
        <v>0</v>
      </c>
      <c r="AB265" s="219"/>
      <c r="AC265" s="137"/>
      <c r="AE265" s="194">
        <f t="shared" si="89"/>
        <v>1</v>
      </c>
    </row>
    <row r="266" spans="1:31" s="20" customFormat="1" ht="16.5" customHeight="1">
      <c r="A266" s="411"/>
      <c r="B266" s="225"/>
      <c r="C266" s="342">
        <f>+MAX(C$15:C265)+1</f>
        <v>213</v>
      </c>
      <c r="D266" s="236"/>
      <c r="E266" s="265" t="str">
        <f>+COS_RB!E345</f>
        <v>Electric General Plant</v>
      </c>
      <c r="F266" s="915">
        <f>SUM(J266:AA266)</f>
        <v>1</v>
      </c>
      <c r="J266" s="335">
        <f>COS_RB!H345</f>
        <v>0</v>
      </c>
      <c r="K266" s="335">
        <f>COS_RB!I345</f>
        <v>5.0700000000000002E-2</v>
      </c>
      <c r="L266" s="335">
        <f>COS_RB!J345</f>
        <v>0.28310000000000002</v>
      </c>
      <c r="M266" s="335">
        <f>COS_RB!K345</f>
        <v>0.1192</v>
      </c>
      <c r="N266" s="335">
        <f>COS_RB!L345</f>
        <v>0</v>
      </c>
      <c r="O266" s="335">
        <f>COS_RB!M345</f>
        <v>0</v>
      </c>
      <c r="P266" s="335">
        <f>COS_RB!N345</f>
        <v>0</v>
      </c>
      <c r="Q266" s="335">
        <f>COS_RB!O345</f>
        <v>0.10630000000000001</v>
      </c>
      <c r="R266" s="335">
        <f>COS_RB!P345</f>
        <v>3.9100000000000003E-2</v>
      </c>
      <c r="S266" s="335">
        <f>COS_RB!Q345</f>
        <v>0.23089999999999999</v>
      </c>
      <c r="T266" s="335">
        <f>COS_RB!R345</f>
        <v>3.1399999999999997E-2</v>
      </c>
      <c r="U266" s="335">
        <f>COS_RB!S345</f>
        <v>8.0199999999999994E-2</v>
      </c>
      <c r="V266" s="335">
        <f>COS_RB!T345</f>
        <v>2.9100000000000001E-2</v>
      </c>
      <c r="W266" s="335">
        <f>COS_RB!U345</f>
        <v>2.0299999999999999E-2</v>
      </c>
      <c r="X266" s="335">
        <f>COS_RB!V345</f>
        <v>0</v>
      </c>
      <c r="Y266" s="335">
        <f>COS_RB!W345</f>
        <v>9.7000000000000003E-3</v>
      </c>
      <c r="Z266" s="335">
        <f>COS_RB!X345</f>
        <v>0</v>
      </c>
      <c r="AA266" s="886">
        <f>COS_RB!Y345</f>
        <v>0</v>
      </c>
      <c r="AB266" s="219"/>
      <c r="AC266" s="137"/>
      <c r="AE266" s="194"/>
    </row>
    <row r="267" spans="1:31" s="20" customFormat="1" ht="16.5" customHeight="1">
      <c r="A267" s="411"/>
      <c r="B267" s="225"/>
      <c r="C267" s="342">
        <f>+MAX(C$15:C266)+1</f>
        <v>214</v>
      </c>
      <c r="D267" s="236"/>
      <c r="E267" s="265" t="str">
        <f>+COS_RB!E346</f>
        <v>Supervised O&amp;M</v>
      </c>
      <c r="F267" s="915">
        <f t="shared" si="88"/>
        <v>1.0000000128813407</v>
      </c>
      <c r="J267" s="335">
        <f>COS_RB!H346</f>
        <v>0</v>
      </c>
      <c r="K267" s="335">
        <f>COS_RB!I346</f>
        <v>2.3041702971031416E-2</v>
      </c>
      <c r="L267" s="335">
        <f>COS_RB!J346</f>
        <v>0.10440909891126059</v>
      </c>
      <c r="M267" s="335">
        <f>COS_RB!K346</f>
        <v>0.15812390964342252</v>
      </c>
      <c r="N267" s="335">
        <f>COS_RB!L346</f>
        <v>2.9428985815501092E-2</v>
      </c>
      <c r="O267" s="335">
        <f>COS_RB!M346</f>
        <v>0</v>
      </c>
      <c r="P267" s="335">
        <f>COS_RB!N346</f>
        <v>0</v>
      </c>
      <c r="Q267" s="335">
        <f>COS_RB!O346</f>
        <v>4.811665910852167E-2</v>
      </c>
      <c r="R267" s="335">
        <f>COS_RB!P346</f>
        <v>2.9808521518798734E-2</v>
      </c>
      <c r="S267" s="335">
        <f>COS_RB!Q346</f>
        <v>0.1875871098816291</v>
      </c>
      <c r="T267" s="335">
        <f>COS_RB!R346</f>
        <v>2.2151333717303701E-2</v>
      </c>
      <c r="U267" s="335">
        <f>COS_RB!S346</f>
        <v>5.8293250364810915E-2</v>
      </c>
      <c r="V267" s="335">
        <f>COS_RB!T346</f>
        <v>1.318171731913502E-2</v>
      </c>
      <c r="W267" s="335">
        <f>COS_RB!U346</f>
        <v>0.10863812375202948</v>
      </c>
      <c r="X267" s="335">
        <f>COS_RB!V346</f>
        <v>0.20185869446030555</v>
      </c>
      <c r="Y267" s="335">
        <f>COS_RB!W346</f>
        <v>4.4027852303662003E-3</v>
      </c>
      <c r="Z267" s="335">
        <f>COS_RB!X346</f>
        <v>1.0958120187224552E-2</v>
      </c>
      <c r="AA267" s="886">
        <f>COS_RB!Y346</f>
        <v>0</v>
      </c>
      <c r="AB267" s="219"/>
      <c r="AC267" s="137"/>
      <c r="AE267" s="194">
        <f t="shared" si="89"/>
        <v>1.0000000128813407</v>
      </c>
    </row>
    <row r="268" spans="1:31" s="20" customFormat="1" ht="16.5" customHeight="1">
      <c r="A268" s="411"/>
      <c r="B268" s="225"/>
      <c r="C268" s="342">
        <f>+MAX(C$15:C267)+1</f>
        <v>215</v>
      </c>
      <c r="D268" s="236"/>
      <c r="E268" s="265" t="str">
        <f>+COS_RB!E347</f>
        <v>Energy</v>
      </c>
      <c r="F268" s="915">
        <f t="shared" si="88"/>
        <v>1</v>
      </c>
      <c r="J268" s="335">
        <f>COS_RB!H347</f>
        <v>1</v>
      </c>
      <c r="K268" s="335">
        <f>COS_RB!I347</f>
        <v>0</v>
      </c>
      <c r="L268" s="335">
        <f>COS_RB!J347</f>
        <v>0</v>
      </c>
      <c r="M268" s="335">
        <f>COS_RB!K347</f>
        <v>0</v>
      </c>
      <c r="N268" s="335">
        <f>COS_RB!L347</f>
        <v>0</v>
      </c>
      <c r="O268" s="335">
        <f>COS_RB!M347</f>
        <v>0</v>
      </c>
      <c r="P268" s="335">
        <f>COS_RB!N347</f>
        <v>0</v>
      </c>
      <c r="Q268" s="335">
        <f>COS_RB!O347</f>
        <v>0</v>
      </c>
      <c r="R268" s="335">
        <f>COS_RB!P347</f>
        <v>0</v>
      </c>
      <c r="S268" s="335">
        <f>COS_RB!Q347</f>
        <v>0</v>
      </c>
      <c r="T268" s="335">
        <f>COS_RB!R347</f>
        <v>0</v>
      </c>
      <c r="U268" s="335">
        <f>COS_RB!S347</f>
        <v>0</v>
      </c>
      <c r="V268" s="335">
        <f>COS_RB!T347</f>
        <v>0</v>
      </c>
      <c r="W268" s="335">
        <f>COS_RB!U347</f>
        <v>0</v>
      </c>
      <c r="X268" s="335">
        <f>COS_RB!V347</f>
        <v>0</v>
      </c>
      <c r="Y268" s="335">
        <f>COS_RB!W347</f>
        <v>0</v>
      </c>
      <c r="Z268" s="335">
        <f>COS_RB!X347</f>
        <v>0</v>
      </c>
      <c r="AA268" s="886">
        <f>COS_RB!Y347</f>
        <v>0</v>
      </c>
      <c r="AB268" s="219"/>
      <c r="AC268" s="137"/>
      <c r="AE268" s="194">
        <f t="shared" si="89"/>
        <v>1</v>
      </c>
    </row>
    <row r="269" spans="1:31" s="20" customFormat="1" ht="16.5" customHeight="1">
      <c r="A269" s="411"/>
      <c r="B269" s="225"/>
      <c r="C269" s="342">
        <f>+MAX(C$15:C268)+1</f>
        <v>216</v>
      </c>
      <c r="D269" s="236"/>
      <c r="E269" s="265" t="str">
        <f>+COS_RB!E348</f>
        <v>Trans - Capacity</v>
      </c>
      <c r="F269" s="915">
        <f t="shared" si="88"/>
        <v>1</v>
      </c>
      <c r="J269" s="335">
        <f>COS_RB!H348</f>
        <v>0</v>
      </c>
      <c r="K269" s="335">
        <f>COS_RB!I348</f>
        <v>0</v>
      </c>
      <c r="L269" s="335">
        <f>COS_RB!J348</f>
        <v>1</v>
      </c>
      <c r="M269" s="335">
        <f>COS_RB!K348</f>
        <v>0</v>
      </c>
      <c r="N269" s="335">
        <f>COS_RB!L348</f>
        <v>0</v>
      </c>
      <c r="O269" s="335">
        <f>COS_RB!M348</f>
        <v>0</v>
      </c>
      <c r="P269" s="335">
        <f>COS_RB!N348</f>
        <v>0</v>
      </c>
      <c r="Q269" s="335">
        <f>COS_RB!O348</f>
        <v>0</v>
      </c>
      <c r="R269" s="335">
        <f>COS_RB!P348</f>
        <v>0</v>
      </c>
      <c r="S269" s="335">
        <f>COS_RB!Q348</f>
        <v>0</v>
      </c>
      <c r="T269" s="335">
        <f>COS_RB!R348</f>
        <v>0</v>
      </c>
      <c r="U269" s="335">
        <f>COS_RB!S348</f>
        <v>0</v>
      </c>
      <c r="V269" s="335">
        <f>COS_RB!T348</f>
        <v>0</v>
      </c>
      <c r="W269" s="335">
        <f>COS_RB!U348</f>
        <v>0</v>
      </c>
      <c r="X269" s="335">
        <f>COS_RB!V348</f>
        <v>0</v>
      </c>
      <c r="Y269" s="335">
        <f>COS_RB!W348</f>
        <v>0</v>
      </c>
      <c r="Z269" s="335">
        <f>COS_RB!X348</f>
        <v>0</v>
      </c>
      <c r="AA269" s="886">
        <f>COS_RB!Y348</f>
        <v>0</v>
      </c>
      <c r="AB269" s="219"/>
      <c r="AC269" s="137"/>
      <c r="AE269" s="194">
        <f t="shared" si="89"/>
        <v>1</v>
      </c>
    </row>
    <row r="270" spans="1:31" s="20" customFormat="1" ht="16.5" customHeight="1">
      <c r="A270" s="411"/>
      <c r="B270" s="225"/>
      <c r="C270" s="342">
        <f>+MAX(C$15:C269)+1</f>
        <v>217</v>
      </c>
      <c r="D270" s="236"/>
      <c r="E270" s="265" t="str">
        <f>+COS_RB!E349</f>
        <v>Substations</v>
      </c>
      <c r="F270" s="915">
        <f>SUM(J270:AA270)</f>
        <v>1</v>
      </c>
      <c r="J270" s="335">
        <f>COS_RB!H349</f>
        <v>0</v>
      </c>
      <c r="K270" s="335">
        <f>COS_RB!I349</f>
        <v>0</v>
      </c>
      <c r="L270" s="335">
        <f>COS_RB!J349</f>
        <v>0</v>
      </c>
      <c r="M270" s="335">
        <f>COS_RB!K349</f>
        <v>1</v>
      </c>
      <c r="N270" s="335">
        <f>COS_RB!L349</f>
        <v>0</v>
      </c>
      <c r="O270" s="335">
        <f>COS_RB!M349</f>
        <v>0</v>
      </c>
      <c r="P270" s="335">
        <f>COS_RB!N349</f>
        <v>0</v>
      </c>
      <c r="Q270" s="335">
        <f>COS_RB!O349</f>
        <v>0</v>
      </c>
      <c r="R270" s="335">
        <f>COS_RB!P349</f>
        <v>0</v>
      </c>
      <c r="S270" s="335">
        <f>COS_RB!Q349</f>
        <v>0</v>
      </c>
      <c r="T270" s="335">
        <f>COS_RB!R349</f>
        <v>0</v>
      </c>
      <c r="U270" s="335">
        <f>COS_RB!S349</f>
        <v>0</v>
      </c>
      <c r="V270" s="335">
        <f>COS_RB!T349</f>
        <v>0</v>
      </c>
      <c r="W270" s="335">
        <f>COS_RB!U349</f>
        <v>0</v>
      </c>
      <c r="X270" s="335">
        <f>COS_RB!V349</f>
        <v>0</v>
      </c>
      <c r="Y270" s="335">
        <f>COS_RB!W349</f>
        <v>0</v>
      </c>
      <c r="Z270" s="335">
        <f>COS_RB!X349</f>
        <v>0</v>
      </c>
      <c r="AA270" s="886">
        <f>COS_RB!Y349</f>
        <v>0</v>
      </c>
      <c r="AB270" s="219"/>
      <c r="AC270" s="137"/>
      <c r="AE270" s="194">
        <f>SUM(J270:AA270)</f>
        <v>1</v>
      </c>
    </row>
    <row r="271" spans="1:31" s="20" customFormat="1" ht="16.5" customHeight="1">
      <c r="A271" s="411"/>
      <c r="B271" s="225"/>
      <c r="C271" s="342">
        <f>+MAX(C$15:C270)+1</f>
        <v>218</v>
      </c>
      <c r="D271" s="236"/>
      <c r="E271" s="265" t="str">
        <f>+COS_RB!E350</f>
        <v>Substations Direct</v>
      </c>
      <c r="F271" s="915">
        <f t="shared" si="88"/>
        <v>1</v>
      </c>
      <c r="J271" s="335">
        <f>COS_RB!H350</f>
        <v>0</v>
      </c>
      <c r="K271" s="335">
        <f>COS_RB!I350</f>
        <v>0</v>
      </c>
      <c r="L271" s="335">
        <f>COS_RB!J350</f>
        <v>0</v>
      </c>
      <c r="M271" s="335">
        <f>COS_RB!K350</f>
        <v>0.62832677620921085</v>
      </c>
      <c r="N271" s="335">
        <f>COS_RB!L350</f>
        <v>0.37167322379078915</v>
      </c>
      <c r="O271" s="335">
        <f>COS_RB!M350</f>
        <v>0</v>
      </c>
      <c r="P271" s="335">
        <f>COS_RB!N350</f>
        <v>0</v>
      </c>
      <c r="Q271" s="335">
        <f>COS_RB!O350</f>
        <v>0</v>
      </c>
      <c r="R271" s="335">
        <f>COS_RB!P350</f>
        <v>0</v>
      </c>
      <c r="S271" s="335">
        <f>COS_RB!Q350</f>
        <v>0</v>
      </c>
      <c r="T271" s="335">
        <f>COS_RB!R350</f>
        <v>0</v>
      </c>
      <c r="U271" s="335">
        <f>COS_RB!S350</f>
        <v>0</v>
      </c>
      <c r="V271" s="335">
        <f>COS_RB!T350</f>
        <v>0</v>
      </c>
      <c r="W271" s="335">
        <f>COS_RB!U350</f>
        <v>0</v>
      </c>
      <c r="X271" s="335">
        <f>COS_RB!V350</f>
        <v>0</v>
      </c>
      <c r="Y271" s="335">
        <f>COS_RB!W350</f>
        <v>0</v>
      </c>
      <c r="Z271" s="335">
        <f>COS_RB!X350</f>
        <v>0</v>
      </c>
      <c r="AA271" s="886">
        <f>COS_RB!Y350</f>
        <v>0</v>
      </c>
      <c r="AB271" s="219"/>
      <c r="AC271" s="137"/>
      <c r="AE271" s="194">
        <f t="shared" si="89"/>
        <v>1</v>
      </c>
    </row>
    <row r="272" spans="1:31" s="20" customFormat="1" ht="16.5" customHeight="1">
      <c r="A272" s="411"/>
      <c r="B272" s="225"/>
      <c r="C272" s="342">
        <f>+MAX(C$15:C271)+1</f>
        <v>219</v>
      </c>
      <c r="D272" s="236"/>
      <c r="E272" s="265" t="str">
        <f>+COS_RB!E351</f>
        <v>Line Transformers</v>
      </c>
      <c r="F272" s="915">
        <f t="shared" si="88"/>
        <v>1</v>
      </c>
      <c r="J272" s="335">
        <f>COS_RB!H351</f>
        <v>0</v>
      </c>
      <c r="K272" s="335">
        <f>COS_RB!I351</f>
        <v>0</v>
      </c>
      <c r="L272" s="335">
        <f>COS_RB!J351</f>
        <v>0</v>
      </c>
      <c r="M272" s="335">
        <f>COS_RB!K351</f>
        <v>0</v>
      </c>
      <c r="N272" s="335">
        <f>COS_RB!L351</f>
        <v>0</v>
      </c>
      <c r="O272" s="335">
        <f>COS_RB!M351</f>
        <v>0</v>
      </c>
      <c r="P272" s="335">
        <f>COS_RB!N351</f>
        <v>0</v>
      </c>
      <c r="Q272" s="335">
        <f>COS_RB!O351</f>
        <v>1</v>
      </c>
      <c r="R272" s="335">
        <f>COS_RB!P351</f>
        <v>0</v>
      </c>
      <c r="S272" s="335">
        <f>COS_RB!Q351</f>
        <v>0</v>
      </c>
      <c r="T272" s="335">
        <f>COS_RB!R351</f>
        <v>0</v>
      </c>
      <c r="U272" s="335">
        <f>COS_RB!S351</f>
        <v>0</v>
      </c>
      <c r="V272" s="335">
        <f>COS_RB!T351</f>
        <v>0</v>
      </c>
      <c r="W272" s="335">
        <f>COS_RB!U351</f>
        <v>0</v>
      </c>
      <c r="X272" s="335">
        <f>COS_RB!V351</f>
        <v>0</v>
      </c>
      <c r="Y272" s="335">
        <f>COS_RB!W351</f>
        <v>0</v>
      </c>
      <c r="Z272" s="335">
        <f>COS_RB!X351</f>
        <v>0</v>
      </c>
      <c r="AA272" s="886">
        <f>COS_RB!Y351</f>
        <v>0</v>
      </c>
      <c r="AB272" s="219"/>
      <c r="AC272" s="137"/>
      <c r="AE272" s="194">
        <f t="shared" si="89"/>
        <v>1</v>
      </c>
    </row>
    <row r="273" spans="1:31" s="20" customFormat="1" ht="16.5" customHeight="1">
      <c r="A273" s="411"/>
      <c r="B273" s="225"/>
      <c r="C273" s="342">
        <f>+MAX(C$15:C272)+1</f>
        <v>220</v>
      </c>
      <c r="D273" s="236"/>
      <c r="E273" s="265" t="str">
        <f>+COS_RB!E352</f>
        <v>Power - Capacity</v>
      </c>
      <c r="F273" s="915">
        <f t="shared" si="88"/>
        <v>1</v>
      </c>
      <c r="J273" s="335">
        <f>COS_RB!H352</f>
        <v>0</v>
      </c>
      <c r="K273" s="335">
        <f>COS_RB!I352</f>
        <v>1</v>
      </c>
      <c r="L273" s="335">
        <f>COS_RB!J352</f>
        <v>0</v>
      </c>
      <c r="M273" s="335">
        <f>COS_RB!K352</f>
        <v>0</v>
      </c>
      <c r="N273" s="335">
        <f>COS_RB!L352</f>
        <v>0</v>
      </c>
      <c r="O273" s="335">
        <f>COS_RB!M352</f>
        <v>0</v>
      </c>
      <c r="P273" s="335">
        <f>COS_RB!N352</f>
        <v>0</v>
      </c>
      <c r="Q273" s="335">
        <f>COS_RB!O352</f>
        <v>0</v>
      </c>
      <c r="R273" s="335">
        <f>COS_RB!P352</f>
        <v>0</v>
      </c>
      <c r="S273" s="335">
        <f>COS_RB!Q352</f>
        <v>0</v>
      </c>
      <c r="T273" s="335">
        <f>COS_RB!R352</f>
        <v>0</v>
      </c>
      <c r="U273" s="335">
        <f>COS_RB!S352</f>
        <v>0</v>
      </c>
      <c r="V273" s="335">
        <f>COS_RB!T352</f>
        <v>0</v>
      </c>
      <c r="W273" s="335">
        <f>COS_RB!U352</f>
        <v>0</v>
      </c>
      <c r="X273" s="335">
        <f>COS_RB!V352</f>
        <v>0</v>
      </c>
      <c r="Y273" s="335">
        <f>COS_RB!W352</f>
        <v>0</v>
      </c>
      <c r="Z273" s="335">
        <f>COS_RB!X352</f>
        <v>0</v>
      </c>
      <c r="AA273" s="886">
        <f>COS_RB!Y352</f>
        <v>0</v>
      </c>
      <c r="AB273" s="219"/>
      <c r="AC273" s="137"/>
      <c r="AE273" s="194">
        <f t="shared" si="89"/>
        <v>1</v>
      </c>
    </row>
    <row r="274" spans="1:31" s="20" customFormat="1" ht="16.5" customHeight="1">
      <c r="A274" s="411"/>
      <c r="B274" s="225"/>
      <c r="C274" s="342">
        <f>+MAX(C$15:C273)+1</f>
        <v>221</v>
      </c>
      <c r="D274" s="236"/>
      <c r="E274" s="265" t="str">
        <f>+COS_RB!E353</f>
        <v>Overhead Plant</v>
      </c>
      <c r="F274" s="915">
        <f t="shared" si="88"/>
        <v>1</v>
      </c>
      <c r="J274" s="335">
        <f>COS_RB!H353</f>
        <v>0</v>
      </c>
      <c r="K274" s="335">
        <f>COS_RB!I353</f>
        <v>0</v>
      </c>
      <c r="L274" s="335">
        <f>COS_RB!J353</f>
        <v>0</v>
      </c>
      <c r="M274" s="335">
        <f>COS_RB!K353</f>
        <v>0</v>
      </c>
      <c r="N274" s="335">
        <f>COS_RB!L353</f>
        <v>0</v>
      </c>
      <c r="O274" s="335">
        <f>COS_RB!M353</f>
        <v>0</v>
      </c>
      <c r="P274" s="335">
        <f>COS_RB!N353</f>
        <v>0</v>
      </c>
      <c r="Q274" s="335">
        <f>COS_RB!O353</f>
        <v>0</v>
      </c>
      <c r="R274" s="335">
        <f>COS_RB!P353</f>
        <v>8.9932980383756134E-2</v>
      </c>
      <c r="S274" s="335">
        <f>COS_RB!Q353</f>
        <v>0.74079566667686747</v>
      </c>
      <c r="T274" s="335">
        <f>COS_RB!R353</f>
        <v>3.854270587875263E-2</v>
      </c>
      <c r="U274" s="335">
        <f>COS_RB!S353</f>
        <v>0.13072864706062368</v>
      </c>
      <c r="V274" s="335">
        <f>COS_RB!T353</f>
        <v>0</v>
      </c>
      <c r="W274" s="335">
        <f>COS_RB!U353</f>
        <v>0</v>
      </c>
      <c r="X274" s="335">
        <f>COS_RB!V353</f>
        <v>0</v>
      </c>
      <c r="Y274" s="335">
        <f>COS_RB!W353</f>
        <v>0</v>
      </c>
      <c r="Z274" s="335">
        <f>COS_RB!X353</f>
        <v>0</v>
      </c>
      <c r="AA274" s="886">
        <f>COS_RB!Y353</f>
        <v>0</v>
      </c>
      <c r="AB274" s="219"/>
      <c r="AC274" s="137"/>
      <c r="AE274" s="194">
        <f t="shared" si="89"/>
        <v>1</v>
      </c>
    </row>
    <row r="275" spans="1:31" s="20" customFormat="1" ht="16.5" customHeight="1">
      <c r="A275" s="411"/>
      <c r="B275" s="225"/>
      <c r="C275" s="342">
        <f>+MAX(C$15:C274)+1</f>
        <v>222</v>
      </c>
      <c r="D275" s="236"/>
      <c r="E275" s="265" t="str">
        <f>+COS_RB!E354</f>
        <v>Underground Plant</v>
      </c>
      <c r="F275" s="915">
        <f t="shared" si="88"/>
        <v>0.99999999999999978</v>
      </c>
      <c r="J275" s="335">
        <f>COS_RB!H354</f>
        <v>0</v>
      </c>
      <c r="K275" s="335">
        <f>COS_RB!I354</f>
        <v>0</v>
      </c>
      <c r="L275" s="335">
        <f>COS_RB!J354</f>
        <v>0</v>
      </c>
      <c r="M275" s="335">
        <f>COS_RB!K354</f>
        <v>0</v>
      </c>
      <c r="N275" s="335">
        <f>COS_RB!L354</f>
        <v>0</v>
      </c>
      <c r="O275" s="335">
        <f>COS_RB!M354</f>
        <v>0</v>
      </c>
      <c r="P275" s="335">
        <f>COS_RB!N354</f>
        <v>0</v>
      </c>
      <c r="Q275" s="335">
        <f>COS_RB!O354</f>
        <v>0</v>
      </c>
      <c r="R275" s="335">
        <f>COS_RB!P354</f>
        <v>0.12094438190970096</v>
      </c>
      <c r="S275" s="335">
        <f>COS_RB!Q354</f>
        <v>0.40217908877703212</v>
      </c>
      <c r="T275" s="335">
        <f>COS_RB!R354</f>
        <v>0.14782091122296784</v>
      </c>
      <c r="U275" s="335">
        <f>COS_RB!S354</f>
        <v>0.32905561809029898</v>
      </c>
      <c r="V275" s="335">
        <f>COS_RB!T354</f>
        <v>0</v>
      </c>
      <c r="W275" s="335">
        <f>COS_RB!U354</f>
        <v>0</v>
      </c>
      <c r="X275" s="335">
        <f>COS_RB!V354</f>
        <v>0</v>
      </c>
      <c r="Y275" s="335">
        <f>COS_RB!W354</f>
        <v>0</v>
      </c>
      <c r="Z275" s="335">
        <f>COS_RB!X354</f>
        <v>0</v>
      </c>
      <c r="AA275" s="886">
        <f>COS_RB!Y354</f>
        <v>0</v>
      </c>
      <c r="AB275" s="219"/>
      <c r="AC275" s="137"/>
      <c r="AE275" s="194">
        <f t="shared" si="89"/>
        <v>0.99999999999999978</v>
      </c>
    </row>
    <row r="276" spans="1:31" s="20" customFormat="1" ht="16.5" customHeight="1">
      <c r="A276" s="411"/>
      <c r="B276" s="225"/>
      <c r="C276" s="342">
        <f>+MAX(C$15:C275)+1</f>
        <v>223</v>
      </c>
      <c r="D276" s="236"/>
      <c r="E276" s="265" t="str">
        <f>+COS_RB!E355</f>
        <v>Services</v>
      </c>
      <c r="F276" s="915">
        <f t="shared" si="88"/>
        <v>1</v>
      </c>
      <c r="J276" s="335">
        <f>COS_RB!H355</f>
        <v>0</v>
      </c>
      <c r="K276" s="335">
        <f>COS_RB!I355</f>
        <v>0</v>
      </c>
      <c r="L276" s="335">
        <f>COS_RB!J355</f>
        <v>0</v>
      </c>
      <c r="M276" s="335">
        <f>COS_RB!K355</f>
        <v>0</v>
      </c>
      <c r="N276" s="335">
        <f>COS_RB!L355</f>
        <v>0</v>
      </c>
      <c r="O276" s="335">
        <f>COS_RB!M355</f>
        <v>0</v>
      </c>
      <c r="P276" s="335">
        <f>COS_RB!N355</f>
        <v>0</v>
      </c>
      <c r="Q276" s="335">
        <f>COS_RB!O355</f>
        <v>0</v>
      </c>
      <c r="R276" s="335">
        <f>COS_RB!P355</f>
        <v>0</v>
      </c>
      <c r="S276" s="335">
        <f>COS_RB!Q355</f>
        <v>0</v>
      </c>
      <c r="T276" s="335">
        <f>COS_RB!R355</f>
        <v>0</v>
      </c>
      <c r="U276" s="335">
        <f>COS_RB!S355</f>
        <v>0</v>
      </c>
      <c r="V276" s="335">
        <f>COS_RB!T355</f>
        <v>1</v>
      </c>
      <c r="W276" s="335">
        <f>COS_RB!U355</f>
        <v>0</v>
      </c>
      <c r="X276" s="335">
        <f>COS_RB!V355</f>
        <v>0</v>
      </c>
      <c r="Y276" s="335">
        <f>COS_RB!W355</f>
        <v>0</v>
      </c>
      <c r="Z276" s="335">
        <f>COS_RB!X355</f>
        <v>0</v>
      </c>
      <c r="AA276" s="886">
        <f>COS_RB!Y355</f>
        <v>0</v>
      </c>
      <c r="AB276" s="219"/>
      <c r="AC276" s="137"/>
      <c r="AE276" s="194">
        <f t="shared" si="89"/>
        <v>1</v>
      </c>
    </row>
    <row r="277" spans="1:31" s="20" customFormat="1" ht="16.5" customHeight="1">
      <c r="A277" s="411"/>
      <c r="B277" s="225"/>
      <c r="C277" s="342">
        <f>+MAX(C$15:C276)+1</f>
        <v>224</v>
      </c>
      <c r="D277" s="236"/>
      <c r="E277" s="265" t="str">
        <f>+COS_RB!E356</f>
        <v>Meters</v>
      </c>
      <c r="F277" s="915">
        <f t="shared" si="88"/>
        <v>1</v>
      </c>
      <c r="J277" s="335">
        <f>COS_RB!H356</f>
        <v>0</v>
      </c>
      <c r="K277" s="335">
        <f>COS_RB!I356</f>
        <v>0</v>
      </c>
      <c r="L277" s="335">
        <f>COS_RB!J356</f>
        <v>0</v>
      </c>
      <c r="M277" s="335">
        <f>COS_RB!K356</f>
        <v>0</v>
      </c>
      <c r="N277" s="335">
        <f>COS_RB!L356</f>
        <v>0</v>
      </c>
      <c r="O277" s="335">
        <f>COS_RB!M356</f>
        <v>0</v>
      </c>
      <c r="P277" s="335">
        <f>COS_RB!N356</f>
        <v>0</v>
      </c>
      <c r="Q277" s="335">
        <f>COS_RB!O356</f>
        <v>0</v>
      </c>
      <c r="R277" s="335">
        <f>COS_RB!P356</f>
        <v>0</v>
      </c>
      <c r="S277" s="335">
        <f>COS_RB!Q356</f>
        <v>0</v>
      </c>
      <c r="T277" s="335">
        <f>COS_RB!R356</f>
        <v>0</v>
      </c>
      <c r="U277" s="335">
        <f>COS_RB!S356</f>
        <v>0</v>
      </c>
      <c r="V277" s="335">
        <f>COS_RB!T356</f>
        <v>0</v>
      </c>
      <c r="W277" s="335">
        <f>COS_RB!U356</f>
        <v>1</v>
      </c>
      <c r="X277" s="335">
        <f>COS_RB!V356</f>
        <v>0</v>
      </c>
      <c r="Y277" s="335">
        <f>COS_RB!W356</f>
        <v>0</v>
      </c>
      <c r="Z277" s="335">
        <f>COS_RB!X356</f>
        <v>0</v>
      </c>
      <c r="AA277" s="886">
        <f>COS_RB!Y356</f>
        <v>0</v>
      </c>
      <c r="AB277" s="219"/>
      <c r="AC277" s="137"/>
      <c r="AE277" s="194">
        <f t="shared" si="89"/>
        <v>1</v>
      </c>
    </row>
    <row r="278" spans="1:31" s="20" customFormat="1" ht="16.5" customHeight="1">
      <c r="A278" s="411"/>
      <c r="B278" s="225"/>
      <c r="C278" s="342">
        <f>+MAX(C$15:C277)+1</f>
        <v>225</v>
      </c>
      <c r="D278" s="236"/>
      <c r="E278" s="265" t="str">
        <f>+COS_RB!E357</f>
        <v>Street Lights</v>
      </c>
      <c r="F278" s="915">
        <f t="shared" si="88"/>
        <v>1</v>
      </c>
      <c r="J278" s="335">
        <f>COS_RB!H357</f>
        <v>0</v>
      </c>
      <c r="K278" s="335">
        <f>COS_RB!I357</f>
        <v>0</v>
      </c>
      <c r="L278" s="335">
        <f>COS_RB!J357</f>
        <v>0</v>
      </c>
      <c r="M278" s="335">
        <f>COS_RB!K357</f>
        <v>0</v>
      </c>
      <c r="N278" s="335">
        <f>COS_RB!L357</f>
        <v>0</v>
      </c>
      <c r="O278" s="335">
        <f>COS_RB!M357</f>
        <v>0</v>
      </c>
      <c r="P278" s="335">
        <f>COS_RB!N357</f>
        <v>0</v>
      </c>
      <c r="Q278" s="335">
        <f>COS_RB!O357</f>
        <v>0</v>
      </c>
      <c r="R278" s="335">
        <f>COS_RB!P357</f>
        <v>0</v>
      </c>
      <c r="S278" s="335">
        <f>COS_RB!Q357</f>
        <v>0</v>
      </c>
      <c r="T278" s="335">
        <f>COS_RB!R357</f>
        <v>0</v>
      </c>
      <c r="U278" s="335">
        <f>COS_RB!S357</f>
        <v>0</v>
      </c>
      <c r="V278" s="335">
        <f>COS_RB!T357</f>
        <v>0</v>
      </c>
      <c r="W278" s="335">
        <f>COS_RB!U357</f>
        <v>0</v>
      </c>
      <c r="X278" s="335">
        <f>COS_RB!V357</f>
        <v>0</v>
      </c>
      <c r="Y278" s="335">
        <f>COS_RB!W357</f>
        <v>1</v>
      </c>
      <c r="Z278" s="335">
        <f>COS_RB!X357</f>
        <v>0</v>
      </c>
      <c r="AA278" s="886">
        <f>COS_RB!Y357</f>
        <v>0</v>
      </c>
      <c r="AB278" s="219"/>
      <c r="AC278" s="137"/>
      <c r="AE278" s="194">
        <f t="shared" si="89"/>
        <v>1</v>
      </c>
    </row>
    <row r="279" spans="1:31" s="20" customFormat="1" ht="16.5" customHeight="1" thickBot="1">
      <c r="A279" s="411"/>
      <c r="B279" s="225"/>
      <c r="C279" s="342">
        <f>+MAX(C$15:C278)+1</f>
        <v>226</v>
      </c>
      <c r="D279" s="236"/>
      <c r="E279" s="265" t="str">
        <f>+COS_RB!E358</f>
        <v>Total Net Plant</v>
      </c>
      <c r="F279" s="915">
        <f t="shared" si="88"/>
        <v>1</v>
      </c>
      <c r="J279" s="335">
        <f>COS_RB!H358</f>
        <v>0</v>
      </c>
      <c r="K279" s="335">
        <f>COS_RB!I358</f>
        <v>3.4299999999999997E-2</v>
      </c>
      <c r="L279" s="335">
        <f>COS_RB!J358</f>
        <v>0.34079999999999999</v>
      </c>
      <c r="M279" s="335">
        <f>COS_RB!K358</f>
        <v>0.12859999999999999</v>
      </c>
      <c r="N279" s="335">
        <f>COS_RB!L358</f>
        <v>0</v>
      </c>
      <c r="O279" s="335">
        <f>COS_RB!M358</f>
        <v>0</v>
      </c>
      <c r="P279" s="335">
        <f>COS_RB!N358</f>
        <v>0</v>
      </c>
      <c r="Q279" s="335">
        <f>COS_RB!O358</f>
        <v>7.3400000000000007E-2</v>
      </c>
      <c r="R279" s="335">
        <f>COS_RB!P358</f>
        <v>4.1200000000000001E-2</v>
      </c>
      <c r="S279" s="335">
        <f>COS_RB!Q358</f>
        <v>0.2278</v>
      </c>
      <c r="T279" s="335">
        <f>COS_RB!R358</f>
        <v>3.5700000000000003E-2</v>
      </c>
      <c r="U279" s="335">
        <f>COS_RB!S358</f>
        <v>8.8800000000000004E-2</v>
      </c>
      <c r="V279" s="335">
        <f>COS_RB!T358</f>
        <v>1.2999999999999999E-2</v>
      </c>
      <c r="W279" s="335">
        <f>COS_RB!U358</f>
        <v>1.04E-2</v>
      </c>
      <c r="X279" s="335">
        <f>COS_RB!V358</f>
        <v>0</v>
      </c>
      <c r="Y279" s="335">
        <f>COS_RB!W358</f>
        <v>6.0000000000000001E-3</v>
      </c>
      <c r="Z279" s="335">
        <f>COS_RB!X358</f>
        <v>0</v>
      </c>
      <c r="AA279" s="886">
        <f>COS_RB!Y358</f>
        <v>0</v>
      </c>
      <c r="AB279" s="219"/>
      <c r="AC279" s="137"/>
      <c r="AE279" s="194">
        <f t="shared" si="89"/>
        <v>1</v>
      </c>
    </row>
    <row r="280" spans="1:31" s="20" customFormat="1" ht="16.5" customHeight="1" thickBot="1">
      <c r="A280" s="411"/>
      <c r="B280" s="225"/>
      <c r="C280" s="342">
        <f>+MAX(C$15:C279)+1</f>
        <v>227</v>
      </c>
      <c r="D280" s="236"/>
      <c r="E280" s="265" t="s">
        <v>485</v>
      </c>
      <c r="F280" s="915">
        <f t="shared" si="88"/>
        <v>1</v>
      </c>
      <c r="J280" s="2960">
        <v>0</v>
      </c>
      <c r="K280" s="2962">
        <v>0</v>
      </c>
      <c r="L280" s="2962">
        <v>0</v>
      </c>
      <c r="M280" s="2962">
        <v>0</v>
      </c>
      <c r="N280" s="2962">
        <v>0</v>
      </c>
      <c r="O280" s="2962">
        <v>0</v>
      </c>
      <c r="P280" s="2962">
        <v>0</v>
      </c>
      <c r="Q280" s="2961">
        <v>0</v>
      </c>
      <c r="R280" s="891">
        <f>COS_RB!P331/SUM(COS_RB!$P$331:$S$331)</f>
        <v>0.10455751542596795</v>
      </c>
      <c r="S280" s="912">
        <f>COS_RB!Q331/SUM(COS_RB!$P$331:$S$331)</f>
        <v>0.58128655923910522</v>
      </c>
      <c r="T280" s="912">
        <f>COS_RB!R331/SUM(COS_RB!$P$331:$S$331)</f>
        <v>9.0011189549133924E-2</v>
      </c>
      <c r="U280" s="913">
        <f>COS_RB!S331/SUM(COS_RB!$P$331:$S$331)</f>
        <v>0.22414473578579303</v>
      </c>
      <c r="V280" s="2960">
        <v>0</v>
      </c>
      <c r="W280" s="2962">
        <v>0</v>
      </c>
      <c r="X280" s="2962">
        <v>0</v>
      </c>
      <c r="Y280" s="2962">
        <v>0</v>
      </c>
      <c r="Z280" s="2962">
        <v>0</v>
      </c>
      <c r="AA280" s="2961">
        <v>0</v>
      </c>
      <c r="AB280" s="219"/>
      <c r="AC280" s="137"/>
      <c r="AE280" s="194">
        <f t="shared" si="89"/>
        <v>1</v>
      </c>
    </row>
    <row r="281" spans="1:31" s="20" customFormat="1" ht="16.5" customHeight="1" thickBot="1">
      <c r="A281" s="411"/>
      <c r="B281" s="225"/>
      <c r="C281" s="342">
        <f>+MAX(C$15:C280)+1</f>
        <v>228</v>
      </c>
      <c r="D281" s="236"/>
      <c r="E281" s="265" t="s">
        <v>263</v>
      </c>
      <c r="F281" s="915">
        <f t="shared" si="88"/>
        <v>1.0000000000000002</v>
      </c>
      <c r="J281" s="364">
        <f>+ROUND(COS_RB!H171/COS_RB!$F$171,$AD$11)</f>
        <v>0</v>
      </c>
      <c r="K281" s="364">
        <f>+ROUND(COS_RB!I171/COS_RB!$F$171,$AD$11)</f>
        <v>4.8000000000000001E-2</v>
      </c>
      <c r="L281" s="1749">
        <f>1-SUM(J281:K281,M281:AA281)</f>
        <v>0.3218000000000002</v>
      </c>
      <c r="M281" s="364">
        <f>+ROUND(COS_RB!K171/COS_RB!$F$171,$AD$11)</f>
        <v>0.1128</v>
      </c>
      <c r="N281" s="2975">
        <v>0</v>
      </c>
      <c r="O281" s="364">
        <f>+ROUND(COS_RB!M171/COS_RB!$F$171,$AD$11)</f>
        <v>0</v>
      </c>
      <c r="P281" s="364">
        <f>+ROUND(COS_RB!N171/COS_RB!$F$171,$AD$11)</f>
        <v>0</v>
      </c>
      <c r="Q281" s="364">
        <f>+ROUND(COS_RB!O171/COS_RB!$F$171,$AD$11)</f>
        <v>0.10050000000000001</v>
      </c>
      <c r="R281" s="364">
        <f>+ROUND(COS_RB!P171/COS_RB!$F$171,$AD$11)</f>
        <v>3.6999999999999998E-2</v>
      </c>
      <c r="S281" s="364">
        <f>+ROUND(COS_RB!Q171/COS_RB!$F$171,$AD$11)</f>
        <v>0.21840000000000001</v>
      </c>
      <c r="T281" s="364">
        <f>+ROUND(COS_RB!R171/COS_RB!$F$171,$AD$11)</f>
        <v>2.9700000000000001E-2</v>
      </c>
      <c r="U281" s="364">
        <f>+ROUND(COS_RB!S171/COS_RB!$F$171,$AD$11)</f>
        <v>7.5899999999999995E-2</v>
      </c>
      <c r="V281" s="364">
        <f>+ROUND(COS_RB!T171/COS_RB!$F$171,$AD$11)</f>
        <v>2.75E-2</v>
      </c>
      <c r="W281" s="364">
        <f>+ROUND(COS_RB!U171/COS_RB!$F$171,$AD$11)</f>
        <v>1.9199999999999998E-2</v>
      </c>
      <c r="X281" s="364">
        <f>+ROUND(COS_RB!V171/COS_RB!$F$171,$AD$11)</f>
        <v>0</v>
      </c>
      <c r="Y281" s="364">
        <f>+ROUND(COS_RB!W171/COS_RB!$F$171,$AD$11)</f>
        <v>9.1999999999999998E-3</v>
      </c>
      <c r="Z281" s="364">
        <f>+ROUND(COS_RB!X171/COS_RB!$F$171,$AD$11)</f>
        <v>0</v>
      </c>
      <c r="AA281" s="887">
        <f>+ROUND(COS_RB!Y171/COS_RB!$F$171,$AD$11)</f>
        <v>0</v>
      </c>
      <c r="AB281" s="364"/>
      <c r="AC281" s="137"/>
      <c r="AE281" s="194">
        <f t="shared" si="89"/>
        <v>1.0000000000000002</v>
      </c>
    </row>
    <row r="282" spans="1:31" s="20" customFormat="1" ht="16.5" customHeight="1" thickBot="1">
      <c r="A282" s="411"/>
      <c r="B282" s="225"/>
      <c r="C282" s="342">
        <f>+MAX(C$15:C281)+1</f>
        <v>229</v>
      </c>
      <c r="D282" s="236"/>
      <c r="E282" s="901" t="s">
        <v>2769</v>
      </c>
      <c r="F282" s="915">
        <f>SUM(J282:AA282)</f>
        <v>1</v>
      </c>
      <c r="J282" s="364">
        <f>+ROUND(COS_RB!H173/COS_RB!$F$173,$AD$11)</f>
        <v>0</v>
      </c>
      <c r="K282" s="364">
        <f>+ROUND(COS_RB!I173/COS_RB!$F$173,$AD$11)</f>
        <v>4.7399999999999998E-2</v>
      </c>
      <c r="L282" s="1749">
        <f>1-SUM(J282:K282,M282:AA282)</f>
        <v>0.33010000000000006</v>
      </c>
      <c r="M282" s="364">
        <f>+ROUND(COS_RB!K173/COS_RB!$F$173,$AD$11)</f>
        <v>0.1114</v>
      </c>
      <c r="N282" s="2975">
        <v>0</v>
      </c>
      <c r="O282" s="364">
        <f>+ROUND(COS_RB!M173/COS_RB!$F$173,$AD$11)</f>
        <v>0</v>
      </c>
      <c r="P282" s="364">
        <f>+ROUND(COS_RB!N173/COS_RB!$F$173,$AD$11)</f>
        <v>0</v>
      </c>
      <c r="Q282" s="364">
        <f>+ROUND(COS_RB!O173/COS_RB!$F$173,$AD$11)</f>
        <v>9.9299999999999999E-2</v>
      </c>
      <c r="R282" s="364">
        <f>+ROUND(COS_RB!P173/COS_RB!$F$173,$AD$11)</f>
        <v>3.6499999999999998E-2</v>
      </c>
      <c r="S282" s="364">
        <f>+ROUND(COS_RB!Q173/COS_RB!$F$173,$AD$11)</f>
        <v>0.2157</v>
      </c>
      <c r="T282" s="364">
        <f>+ROUND(COS_RB!R173/COS_RB!$F$173,$AD$11)</f>
        <v>2.9399999999999999E-2</v>
      </c>
      <c r="U282" s="364">
        <f>+ROUND(COS_RB!S173/COS_RB!$F$173,$AD$11)</f>
        <v>7.4899999999999994E-2</v>
      </c>
      <c r="V282" s="364">
        <f>+ROUND(COS_RB!T173/COS_RB!$F$173,$AD$11)</f>
        <v>2.7199999999999998E-2</v>
      </c>
      <c r="W282" s="364">
        <f>+ROUND(COS_RB!U173/COS_RB!$F$173,$AD$11)</f>
        <v>1.9E-2</v>
      </c>
      <c r="X282" s="364">
        <f>+ROUND(COS_RB!V173/COS_RB!$F$173,$AD$11)</f>
        <v>0</v>
      </c>
      <c r="Y282" s="364">
        <f>+ROUND(COS_RB!W173/COS_RB!$F$173,$AD$11)</f>
        <v>9.1000000000000004E-3</v>
      </c>
      <c r="Z282" s="364">
        <f>+ROUND(COS_RB!X173/COS_RB!$F$173,$AD$11)</f>
        <v>0</v>
      </c>
      <c r="AA282" s="887">
        <f>+ROUND(COS_RB!Y173/COS_RB!$F$173,$AD$11)</f>
        <v>0</v>
      </c>
      <c r="AB282" s="364"/>
      <c r="AC282" s="137"/>
      <c r="AE282" s="194"/>
    </row>
    <row r="283" spans="1:31" s="20" customFormat="1" ht="16.5" customHeight="1">
      <c r="A283" s="411"/>
      <c r="B283" s="225"/>
      <c r="C283" s="342">
        <f>+MAX(C$15:C282)+1</f>
        <v>230</v>
      </c>
      <c r="D283" s="236"/>
      <c r="E283" s="265" t="s">
        <v>1068</v>
      </c>
      <c r="F283" s="915">
        <f t="shared" si="88"/>
        <v>1</v>
      </c>
      <c r="J283" s="2976">
        <v>0</v>
      </c>
      <c r="K283" s="2977">
        <v>0</v>
      </c>
      <c r="L283" s="2977">
        <v>0</v>
      </c>
      <c r="M283" s="2977">
        <v>0</v>
      </c>
      <c r="N283" s="2977">
        <v>0</v>
      </c>
      <c r="O283" s="2977">
        <v>0</v>
      </c>
      <c r="P283" s="2977">
        <v>0</v>
      </c>
      <c r="Q283" s="2977">
        <v>0</v>
      </c>
      <c r="R283" s="2977">
        <v>0</v>
      </c>
      <c r="S283" s="2977">
        <v>0</v>
      </c>
      <c r="T283" s="2977">
        <v>0</v>
      </c>
      <c r="U283" s="2977">
        <v>0</v>
      </c>
      <c r="V283" s="2977">
        <v>0</v>
      </c>
      <c r="W283" s="2977">
        <v>0</v>
      </c>
      <c r="X283" s="2977">
        <v>1</v>
      </c>
      <c r="Y283" s="2977">
        <v>0</v>
      </c>
      <c r="Z283" s="2977">
        <v>0</v>
      </c>
      <c r="AA283" s="2978">
        <v>0</v>
      </c>
      <c r="AB283" s="229"/>
      <c r="AC283" s="137"/>
      <c r="AE283" s="194">
        <f t="shared" si="89"/>
        <v>1</v>
      </c>
    </row>
    <row r="284" spans="1:31" s="20" customFormat="1" ht="16.5" customHeight="1">
      <c r="A284" s="411"/>
      <c r="B284" s="225"/>
      <c r="C284" s="342">
        <f>+MAX(C$15:C283)+1</f>
        <v>231</v>
      </c>
      <c r="D284" s="236"/>
      <c r="E284" s="901" t="s">
        <v>1048</v>
      </c>
      <c r="F284" s="915">
        <f t="shared" si="88"/>
        <v>1</v>
      </c>
      <c r="J284" s="2979">
        <v>0</v>
      </c>
      <c r="K284" s="2980">
        <v>0</v>
      </c>
      <c r="L284" s="2980">
        <v>0</v>
      </c>
      <c r="M284" s="2980">
        <v>0</v>
      </c>
      <c r="N284" s="2980">
        <v>0</v>
      </c>
      <c r="O284" s="2980">
        <v>0</v>
      </c>
      <c r="P284" s="2980">
        <v>0</v>
      </c>
      <c r="Q284" s="2980">
        <v>0</v>
      </c>
      <c r="R284" s="2980">
        <v>0</v>
      </c>
      <c r="S284" s="2980">
        <v>0</v>
      </c>
      <c r="T284" s="2980">
        <v>0</v>
      </c>
      <c r="U284" s="2980">
        <v>0</v>
      </c>
      <c r="V284" s="2980">
        <v>0</v>
      </c>
      <c r="W284" s="2980">
        <v>0</v>
      </c>
      <c r="X284" s="2980">
        <v>0</v>
      </c>
      <c r="Y284" s="2980">
        <v>0</v>
      </c>
      <c r="Z284" s="2980">
        <v>1</v>
      </c>
      <c r="AA284" s="2981">
        <v>0</v>
      </c>
      <c r="AB284" s="229"/>
      <c r="AC284" s="137"/>
      <c r="AE284" s="194">
        <f t="shared" si="89"/>
        <v>1</v>
      </c>
    </row>
    <row r="285" spans="1:31" s="20" customFormat="1" ht="16.5" customHeight="1" thickBot="1">
      <c r="A285" s="411"/>
      <c r="B285" s="225"/>
      <c r="C285" s="342">
        <f>+MAX(C$15:C284)+1</f>
        <v>232</v>
      </c>
      <c r="D285" s="236"/>
      <c r="E285" s="265" t="s">
        <v>848</v>
      </c>
      <c r="F285" s="915">
        <f t="shared" si="88"/>
        <v>1</v>
      </c>
      <c r="J285" s="2982">
        <v>0</v>
      </c>
      <c r="K285" s="2983">
        <v>0</v>
      </c>
      <c r="L285" s="2983">
        <v>0</v>
      </c>
      <c r="M285" s="2983">
        <v>0</v>
      </c>
      <c r="N285" s="2983">
        <v>0</v>
      </c>
      <c r="O285" s="2983">
        <v>0</v>
      </c>
      <c r="P285" s="2983">
        <v>0</v>
      </c>
      <c r="Q285" s="2983">
        <v>0</v>
      </c>
      <c r="R285" s="2983">
        <v>0</v>
      </c>
      <c r="S285" s="2983">
        <v>0</v>
      </c>
      <c r="T285" s="2983">
        <v>0</v>
      </c>
      <c r="U285" s="2983">
        <v>0</v>
      </c>
      <c r="V285" s="2983">
        <v>0</v>
      </c>
      <c r="W285" s="2983">
        <v>0</v>
      </c>
      <c r="X285" s="2983">
        <v>0</v>
      </c>
      <c r="Y285" s="2983">
        <v>0</v>
      </c>
      <c r="Z285" s="2983">
        <v>0</v>
      </c>
      <c r="AA285" s="2984">
        <v>1</v>
      </c>
      <c r="AB285" s="229"/>
      <c r="AC285" s="137"/>
      <c r="AE285" s="194">
        <f t="shared" si="89"/>
        <v>1</v>
      </c>
    </row>
    <row r="286" spans="1:31" s="20" customFormat="1" ht="16.5" customHeight="1" thickBot="1">
      <c r="A286" s="411"/>
      <c r="B286" s="225"/>
      <c r="C286" s="342">
        <f>+MAX(C$15:C285)+1</f>
        <v>233</v>
      </c>
      <c r="D286" s="236"/>
      <c r="E286" s="901" t="s">
        <v>1069</v>
      </c>
      <c r="F286" s="915">
        <f t="shared" si="88"/>
        <v>1</v>
      </c>
      <c r="J286" s="275">
        <f t="shared" ref="J286:AA286" si="90">ROUND(SUM(J$140:J$149)/SUM($G$140:$G$149),$AD$11)</f>
        <v>0</v>
      </c>
      <c r="K286" s="275">
        <f t="shared" si="90"/>
        <v>0</v>
      </c>
      <c r="L286" s="275">
        <f t="shared" si="90"/>
        <v>0</v>
      </c>
      <c r="M286" s="275">
        <f t="shared" si="90"/>
        <v>0</v>
      </c>
      <c r="N286" s="275">
        <f t="shared" si="90"/>
        <v>0</v>
      </c>
      <c r="O286" s="275">
        <f t="shared" si="90"/>
        <v>0</v>
      </c>
      <c r="P286" s="275">
        <f t="shared" si="90"/>
        <v>0</v>
      </c>
      <c r="Q286" s="275">
        <f t="shared" si="90"/>
        <v>0</v>
      </c>
      <c r="R286" s="275">
        <f t="shared" si="90"/>
        <v>0</v>
      </c>
      <c r="S286" s="275">
        <f t="shared" si="90"/>
        <v>0</v>
      </c>
      <c r="T286" s="275">
        <f t="shared" si="90"/>
        <v>0</v>
      </c>
      <c r="U286" s="275">
        <f t="shared" si="90"/>
        <v>0</v>
      </c>
      <c r="V286" s="275">
        <f t="shared" si="90"/>
        <v>0</v>
      </c>
      <c r="W286" s="275">
        <f t="shared" si="90"/>
        <v>0</v>
      </c>
      <c r="X286" s="275">
        <f>ROUND(SUM(X$140:X$149)/SUM($G$140:$G$149),$AD$11)</f>
        <v>0.6885</v>
      </c>
      <c r="Y286" s="275">
        <f t="shared" si="90"/>
        <v>0</v>
      </c>
      <c r="Z286" s="275">
        <f t="shared" si="90"/>
        <v>0.3115</v>
      </c>
      <c r="AA286" s="911">
        <f t="shared" si="90"/>
        <v>0</v>
      </c>
      <c r="AB286" s="229"/>
      <c r="AC286" s="137"/>
      <c r="AE286" s="194">
        <f t="shared" si="89"/>
        <v>1</v>
      </c>
    </row>
    <row r="287" spans="1:31" s="20" customFormat="1" ht="16.5" customHeight="1" thickBot="1">
      <c r="A287" s="411"/>
      <c r="B287" s="225"/>
      <c r="C287" s="342">
        <f>+MAX(C$15:C286)+1</f>
        <v>234</v>
      </c>
      <c r="D287" s="236"/>
      <c r="E287" s="265" t="s">
        <v>105</v>
      </c>
      <c r="F287" s="915">
        <f t="shared" si="88"/>
        <v>1</v>
      </c>
      <c r="J287" s="333">
        <f>ROUND(SUM(COS_RB!H40:H46)/(SUM(COS_RB!$F$40:$F$46)-SUM(COS_RB!$L$40:$L$46)),$AD$11)</f>
        <v>0</v>
      </c>
      <c r="K287" s="333">
        <f>ROUND(SUM(COS_RB!I40:I46)/(SUM(COS_RB!$F$40:$F$46)-SUM(COS_RB!$L$40:$L$46)),$AD$11)</f>
        <v>0</v>
      </c>
      <c r="L287" s="333">
        <f>ROUND(SUM(COS_RB!J40:J46)/(SUM(COS_RB!$F$40:$F$46)-SUM(COS_RB!$L$40:$L$46)),$AD$11)</f>
        <v>0</v>
      </c>
      <c r="M287" s="333">
        <f>ROUND(SUM(COS_RB!K40:K46)/(SUM(COS_RB!$F$40:$F$46)-SUM(COS_RB!$L$40:$L$46)),$AD$11)</f>
        <v>0.23810000000000001</v>
      </c>
      <c r="N287" s="2985">
        <v>0</v>
      </c>
      <c r="O287" s="2986">
        <v>0</v>
      </c>
      <c r="P287" s="2987">
        <v>0</v>
      </c>
      <c r="Q287" s="333">
        <f>ROUND(SUM(COS_RB!O40:O46)/(SUM(COS_RB!$F$40:$F$46)-SUM(COS_RB!$L$40:$L$46)),$AD$11)</f>
        <v>0</v>
      </c>
      <c r="R287" s="333">
        <f>ROUND(SUM(COS_RB!P40:P46)/(SUM(COS_RB!$F$40:$F$46)-SUM(COS_RB!$L$40:$L$46)),$AD$11)</f>
        <v>7.8E-2</v>
      </c>
      <c r="S287" s="333">
        <f>ROUND(SUM(COS_RB!Q40:Q46)/(SUM(COS_RB!$F$40:$F$46)-SUM(COS_RB!$L$40:$L$46)),$AD$11)</f>
        <v>0.46100000000000002</v>
      </c>
      <c r="T287" s="333">
        <f>ROUND(SUM(COS_RB!R40:R46)/(SUM(COS_RB!$F$40:$F$46)-SUM(COS_RB!$L$40:$L$46)),$AD$11)</f>
        <v>6.2700000000000006E-2</v>
      </c>
      <c r="U287" s="333">
        <f>ROUND(SUM(COS_RB!S40:S46)/(SUM(COS_RB!$F$40:$F$46)-SUM(COS_RB!$L$40:$L$46)),$AD$11)</f>
        <v>0.16020000000000001</v>
      </c>
      <c r="V287" s="333">
        <f>ROUND(SUM(COS_RB!T40:T46)/(SUM(COS_RB!$F$40:$F$46)-SUM(COS_RB!$L$40:$L$46)),$AD$11)</f>
        <v>0</v>
      </c>
      <c r="W287" s="333">
        <f>ROUND(SUM(COS_RB!U40:U46)/(SUM(COS_RB!$F$40:$F$46)-SUM(COS_RB!$L$40:$L$46)),$AD$11)</f>
        <v>0</v>
      </c>
      <c r="X287" s="333">
        <f>ROUND(SUM(COS_RB!V40:V46)/(SUM(COS_RB!$F$40:$F$46)-SUM(COS_RB!$L$40:$L$46)),$AD$11)</f>
        <v>0</v>
      </c>
      <c r="Y287" s="333">
        <f>ROUND(SUM(COS_RB!W40:W46)/(SUM(COS_RB!$F$40:$F$46)-SUM(COS_RB!$L$40:$L$46)),$AD$11)</f>
        <v>0</v>
      </c>
      <c r="Z287" s="333">
        <f>ROUND(SUM(COS_RB!X40:X46)/(SUM(COS_RB!$F$40:$F$46)-SUM(COS_RB!$L$40:$L$46)),$AD$11)</f>
        <v>0</v>
      </c>
      <c r="AA287" s="888">
        <f>ROUND(SUM(COS_RB!Y40:Y46)/(SUM(COS_RB!$F$40:$F$46)-SUM(COS_RB!$L$40:$L$46)),$AD$11)</f>
        <v>0</v>
      </c>
      <c r="AB287" s="229"/>
      <c r="AC287" s="137"/>
      <c r="AE287" s="194">
        <f t="shared" si="89"/>
        <v>1</v>
      </c>
    </row>
    <row r="288" spans="1:31" ht="16.5" customHeight="1">
      <c r="A288" s="411"/>
      <c r="B288" s="225"/>
      <c r="C288" s="342">
        <f>+MAX(C$15:C287)+1</f>
        <v>235</v>
      </c>
      <c r="D288" s="236"/>
      <c r="E288" s="901" t="s">
        <v>1064</v>
      </c>
      <c r="F288" s="915">
        <f t="shared" si="88"/>
        <v>1</v>
      </c>
      <c r="G288" s="20"/>
      <c r="J288" s="333">
        <f t="shared" ref="J288:AA288" si="91">+ROUND(IF($G$67=0,0,J$67/$G$67),$AD$11)</f>
        <v>0.1003</v>
      </c>
      <c r="K288" s="333">
        <f t="shared" si="91"/>
        <v>0.89970000000000006</v>
      </c>
      <c r="L288" s="333">
        <f t="shared" si="91"/>
        <v>0</v>
      </c>
      <c r="M288" s="333">
        <f t="shared" si="91"/>
        <v>0</v>
      </c>
      <c r="N288" s="333">
        <f t="shared" si="91"/>
        <v>0</v>
      </c>
      <c r="O288" s="333">
        <f t="shared" si="91"/>
        <v>0</v>
      </c>
      <c r="P288" s="333">
        <f t="shared" si="91"/>
        <v>0</v>
      </c>
      <c r="Q288" s="333">
        <f t="shared" si="91"/>
        <v>0</v>
      </c>
      <c r="R288" s="333">
        <f t="shared" si="91"/>
        <v>0</v>
      </c>
      <c r="S288" s="333">
        <f t="shared" si="91"/>
        <v>0</v>
      </c>
      <c r="T288" s="333">
        <f t="shared" si="91"/>
        <v>0</v>
      </c>
      <c r="U288" s="333">
        <f t="shared" si="91"/>
        <v>0</v>
      </c>
      <c r="V288" s="333">
        <f t="shared" si="91"/>
        <v>0</v>
      </c>
      <c r="W288" s="333">
        <f t="shared" si="91"/>
        <v>0</v>
      </c>
      <c r="X288" s="333">
        <f t="shared" si="91"/>
        <v>0</v>
      </c>
      <c r="Y288" s="333">
        <f t="shared" si="91"/>
        <v>0</v>
      </c>
      <c r="Z288" s="333">
        <f t="shared" si="91"/>
        <v>0</v>
      </c>
      <c r="AA288" s="888">
        <f t="shared" si="91"/>
        <v>0</v>
      </c>
      <c r="AB288" s="220"/>
      <c r="AC288" s="137"/>
      <c r="AE288" s="194">
        <f t="shared" si="89"/>
        <v>1</v>
      </c>
    </row>
    <row r="289" spans="1:31" ht="16.5" customHeight="1">
      <c r="A289" s="411"/>
      <c r="B289" s="225"/>
      <c r="C289" s="342">
        <f>+MAX(C$15:C288)+1</f>
        <v>236</v>
      </c>
      <c r="D289" s="236"/>
      <c r="E289" s="901" t="s">
        <v>2725</v>
      </c>
      <c r="F289" s="915">
        <f t="shared" si="88"/>
        <v>1</v>
      </c>
      <c r="G289" s="20"/>
      <c r="J289" s="333">
        <f t="shared" ref="J289:AA289" si="92">+ROUND(IF($G$92=0,0,J$92/$G$92),$AD$11)</f>
        <v>0</v>
      </c>
      <c r="K289" s="333">
        <f t="shared" si="92"/>
        <v>1</v>
      </c>
      <c r="L289" s="333">
        <f t="shared" si="92"/>
        <v>0</v>
      </c>
      <c r="M289" s="333">
        <f t="shared" si="92"/>
        <v>0</v>
      </c>
      <c r="N289" s="333">
        <f t="shared" si="92"/>
        <v>0</v>
      </c>
      <c r="O289" s="333">
        <f t="shared" si="92"/>
        <v>0</v>
      </c>
      <c r="P289" s="333">
        <f t="shared" si="92"/>
        <v>0</v>
      </c>
      <c r="Q289" s="333">
        <f t="shared" si="92"/>
        <v>0</v>
      </c>
      <c r="R289" s="333">
        <f t="shared" si="92"/>
        <v>0</v>
      </c>
      <c r="S289" s="333">
        <f t="shared" si="92"/>
        <v>0</v>
      </c>
      <c r="T289" s="333">
        <f t="shared" si="92"/>
        <v>0</v>
      </c>
      <c r="U289" s="333">
        <f t="shared" si="92"/>
        <v>0</v>
      </c>
      <c r="V289" s="333">
        <f t="shared" si="92"/>
        <v>0</v>
      </c>
      <c r="W289" s="333">
        <f t="shared" si="92"/>
        <v>0</v>
      </c>
      <c r="X289" s="333">
        <f t="shared" si="92"/>
        <v>0</v>
      </c>
      <c r="Y289" s="333">
        <f t="shared" si="92"/>
        <v>0</v>
      </c>
      <c r="Z289" s="333">
        <f t="shared" si="92"/>
        <v>0</v>
      </c>
      <c r="AA289" s="888">
        <f t="shared" si="92"/>
        <v>0</v>
      </c>
      <c r="AB289" s="220"/>
      <c r="AC289" s="137"/>
      <c r="AE289" s="194">
        <f t="shared" si="89"/>
        <v>1</v>
      </c>
    </row>
    <row r="290" spans="1:31" ht="16.5" customHeight="1">
      <c r="A290" s="411"/>
      <c r="B290" s="225"/>
      <c r="C290" s="342">
        <f>+MAX(C$15:C289)+1</f>
        <v>237</v>
      </c>
      <c r="D290" s="236"/>
      <c r="E290" s="901" t="s">
        <v>1054</v>
      </c>
      <c r="F290" s="915">
        <f t="shared" si="88"/>
        <v>1</v>
      </c>
      <c r="G290" s="20"/>
      <c r="J290" s="333">
        <f t="shared" ref="J290:AA290" si="93">+ROUND(IF($G$108=0,0,J$108/$G$108),$AD$11)</f>
        <v>0</v>
      </c>
      <c r="K290" s="333">
        <f t="shared" si="93"/>
        <v>0</v>
      </c>
      <c r="L290" s="333">
        <f t="shared" si="93"/>
        <v>1</v>
      </c>
      <c r="M290" s="333">
        <f t="shared" si="93"/>
        <v>0</v>
      </c>
      <c r="N290" s="333">
        <f t="shared" si="93"/>
        <v>0</v>
      </c>
      <c r="O290" s="333">
        <f t="shared" si="93"/>
        <v>0</v>
      </c>
      <c r="P290" s="333">
        <f t="shared" si="93"/>
        <v>0</v>
      </c>
      <c r="Q290" s="333">
        <f t="shared" si="93"/>
        <v>0</v>
      </c>
      <c r="R290" s="333">
        <f t="shared" si="93"/>
        <v>0</v>
      </c>
      <c r="S290" s="333">
        <f t="shared" si="93"/>
        <v>0</v>
      </c>
      <c r="T290" s="333">
        <f t="shared" si="93"/>
        <v>0</v>
      </c>
      <c r="U290" s="333">
        <f t="shared" si="93"/>
        <v>0</v>
      </c>
      <c r="V290" s="333">
        <f t="shared" si="93"/>
        <v>0</v>
      </c>
      <c r="W290" s="333">
        <f t="shared" si="93"/>
        <v>0</v>
      </c>
      <c r="X290" s="333">
        <f t="shared" si="93"/>
        <v>0</v>
      </c>
      <c r="Y290" s="333">
        <f t="shared" si="93"/>
        <v>0</v>
      </c>
      <c r="Z290" s="333">
        <f t="shared" si="93"/>
        <v>0</v>
      </c>
      <c r="AA290" s="888">
        <f t="shared" si="93"/>
        <v>0</v>
      </c>
      <c r="AB290" s="220"/>
      <c r="AC290" s="137"/>
      <c r="AE290" s="194">
        <f t="shared" si="89"/>
        <v>1</v>
      </c>
    </row>
    <row r="291" spans="1:31" ht="16.5" customHeight="1">
      <c r="A291" s="411"/>
      <c r="B291" s="225"/>
      <c r="C291" s="342">
        <f>+MAX(C$15:C290)+1</f>
        <v>238</v>
      </c>
      <c r="D291" s="236"/>
      <c r="E291" s="901" t="s">
        <v>1055</v>
      </c>
      <c r="F291" s="915">
        <f t="shared" si="88"/>
        <v>1</v>
      </c>
      <c r="G291" s="20"/>
      <c r="J291" s="333">
        <f t="shared" ref="J291:R291" si="94">+ROUND(IF($G$130+$G$135=0,0,(J$130+J$135)/($G$130+$G$135)),$AD$11)</f>
        <v>0</v>
      </c>
      <c r="K291" s="333">
        <f t="shared" si="94"/>
        <v>0</v>
      </c>
      <c r="L291" s="333">
        <f t="shared" si="94"/>
        <v>0</v>
      </c>
      <c r="M291" s="333">
        <f t="shared" si="94"/>
        <v>0.24329999999999999</v>
      </c>
      <c r="N291" s="333">
        <f t="shared" si="94"/>
        <v>4.7399999999999998E-2</v>
      </c>
      <c r="O291" s="333">
        <f t="shared" si="94"/>
        <v>0</v>
      </c>
      <c r="P291" s="333">
        <f t="shared" si="94"/>
        <v>0</v>
      </c>
      <c r="Q291" s="333">
        <f t="shared" si="94"/>
        <v>7.3899999999999993E-2</v>
      </c>
      <c r="R291" s="333">
        <f t="shared" si="94"/>
        <v>4.48E-2</v>
      </c>
      <c r="S291" s="595">
        <f>1-SUM(J291:R291,T291:AA291)</f>
        <v>0.28150000000000008</v>
      </c>
      <c r="T291" s="333">
        <f t="shared" ref="T291:AA291" si="95">+ROUND(IF($G$130+$G$135=0,0,(T$130+T$135)/($G$130+$G$135)),$AD$11)</f>
        <v>3.3399999999999999E-2</v>
      </c>
      <c r="U291" s="333">
        <f t="shared" si="95"/>
        <v>8.77E-2</v>
      </c>
      <c r="V291" s="333">
        <f t="shared" si="95"/>
        <v>2.0199999999999999E-2</v>
      </c>
      <c r="W291" s="333">
        <f t="shared" si="95"/>
        <v>0.16039999999999999</v>
      </c>
      <c r="X291" s="333">
        <f t="shared" si="95"/>
        <v>0</v>
      </c>
      <c r="Y291" s="333">
        <f t="shared" si="95"/>
        <v>7.4000000000000003E-3</v>
      </c>
      <c r="Z291" s="333">
        <f t="shared" si="95"/>
        <v>0</v>
      </c>
      <c r="AA291" s="888">
        <f t="shared" si="95"/>
        <v>0</v>
      </c>
      <c r="AB291" s="220"/>
      <c r="AC291" s="137"/>
      <c r="AD291" s="20"/>
      <c r="AE291" s="194">
        <f t="shared" si="89"/>
        <v>1</v>
      </c>
    </row>
    <row r="292" spans="1:31" ht="16.5" customHeight="1">
      <c r="A292" s="411"/>
      <c r="B292" s="225"/>
      <c r="C292" s="342">
        <f>+MAX(C$15:C291)+1</f>
        <v>239</v>
      </c>
      <c r="D292" s="236"/>
      <c r="E292" s="901" t="s">
        <v>1063</v>
      </c>
      <c r="F292" s="915">
        <f t="shared" si="88"/>
        <v>1</v>
      </c>
      <c r="G292" s="20"/>
      <c r="J292" s="333">
        <f t="shared" ref="J292:AA292" si="96">+ROUND(IF($G$150=0,0,J$150/$G$150),$AD$11)</f>
        <v>0</v>
      </c>
      <c r="K292" s="333">
        <f t="shared" si="96"/>
        <v>0</v>
      </c>
      <c r="L292" s="333">
        <f t="shared" si="96"/>
        <v>0</v>
      </c>
      <c r="M292" s="333">
        <f t="shared" si="96"/>
        <v>0</v>
      </c>
      <c r="N292" s="333">
        <f t="shared" si="96"/>
        <v>0</v>
      </c>
      <c r="O292" s="333">
        <f t="shared" si="96"/>
        <v>0</v>
      </c>
      <c r="P292" s="333">
        <f t="shared" si="96"/>
        <v>0</v>
      </c>
      <c r="Q292" s="333">
        <f t="shared" si="96"/>
        <v>0</v>
      </c>
      <c r="R292" s="333">
        <f t="shared" si="96"/>
        <v>0</v>
      </c>
      <c r="S292" s="333">
        <f t="shared" si="96"/>
        <v>0</v>
      </c>
      <c r="T292" s="333">
        <f t="shared" si="96"/>
        <v>0</v>
      </c>
      <c r="U292" s="333">
        <f t="shared" si="96"/>
        <v>0</v>
      </c>
      <c r="V292" s="333">
        <f t="shared" si="96"/>
        <v>0</v>
      </c>
      <c r="W292" s="333">
        <f t="shared" si="96"/>
        <v>0</v>
      </c>
      <c r="X292" s="333">
        <f t="shared" si="96"/>
        <v>0.71279999999999999</v>
      </c>
      <c r="Y292" s="333">
        <f t="shared" si="96"/>
        <v>0</v>
      </c>
      <c r="Z292" s="333">
        <f t="shared" si="96"/>
        <v>0.28720000000000001</v>
      </c>
      <c r="AA292" s="888">
        <f t="shared" si="96"/>
        <v>0</v>
      </c>
      <c r="AB292" s="220"/>
      <c r="AC292" s="137"/>
      <c r="AE292" s="194">
        <f t="shared" si="89"/>
        <v>1</v>
      </c>
    </row>
    <row r="293" spans="1:31" ht="16.5" customHeight="1">
      <c r="A293" s="411"/>
      <c r="B293" s="225"/>
      <c r="C293" s="342">
        <f>+MAX(C$15:C292)+1</f>
        <v>240</v>
      </c>
      <c r="D293" s="236"/>
      <c r="E293" s="265" t="s">
        <v>288</v>
      </c>
      <c r="F293" s="915">
        <f t="shared" si="88"/>
        <v>1</v>
      </c>
      <c r="G293" s="20"/>
      <c r="J293" s="333">
        <f t="shared" ref="J293:AA293" si="97">+ROUND(IF($G$160=0,0,J$160/$G$160),$AD$11)</f>
        <v>0</v>
      </c>
      <c r="K293" s="333">
        <f t="shared" si="97"/>
        <v>5.0700000000000002E-2</v>
      </c>
      <c r="L293" s="333">
        <f t="shared" si="97"/>
        <v>0.28310000000000002</v>
      </c>
      <c r="M293" s="333">
        <f t="shared" si="97"/>
        <v>0.1192</v>
      </c>
      <c r="N293" s="333">
        <f t="shared" si="97"/>
        <v>0</v>
      </c>
      <c r="O293" s="333">
        <f t="shared" si="97"/>
        <v>0</v>
      </c>
      <c r="P293" s="333">
        <f t="shared" si="97"/>
        <v>0</v>
      </c>
      <c r="Q293" s="333">
        <f t="shared" si="97"/>
        <v>0.10630000000000001</v>
      </c>
      <c r="R293" s="333">
        <f t="shared" si="97"/>
        <v>3.9100000000000003E-2</v>
      </c>
      <c r="S293" s="333">
        <f t="shared" si="97"/>
        <v>0.23089999999999999</v>
      </c>
      <c r="T293" s="333">
        <f t="shared" si="97"/>
        <v>3.1399999999999997E-2</v>
      </c>
      <c r="U293" s="333">
        <f t="shared" si="97"/>
        <v>8.0199999999999994E-2</v>
      </c>
      <c r="V293" s="333">
        <f t="shared" si="97"/>
        <v>2.9100000000000001E-2</v>
      </c>
      <c r="W293" s="333">
        <f t="shared" si="97"/>
        <v>2.0299999999999999E-2</v>
      </c>
      <c r="X293" s="333">
        <f t="shared" si="97"/>
        <v>0</v>
      </c>
      <c r="Y293" s="333">
        <f t="shared" si="97"/>
        <v>9.7000000000000003E-3</v>
      </c>
      <c r="Z293" s="333">
        <f t="shared" si="97"/>
        <v>0</v>
      </c>
      <c r="AA293" s="888">
        <f t="shared" si="97"/>
        <v>0</v>
      </c>
      <c r="AB293" s="220"/>
      <c r="AC293" s="137"/>
      <c r="AE293" s="194">
        <f t="shared" si="89"/>
        <v>1</v>
      </c>
    </row>
    <row r="294" spans="1:31" ht="16.5" customHeight="1">
      <c r="A294" s="411"/>
      <c r="B294" s="225"/>
      <c r="C294" s="342">
        <f>+MAX(C$15:C293)+1</f>
        <v>241</v>
      </c>
      <c r="D294" s="236"/>
      <c r="E294" s="901" t="s">
        <v>1056</v>
      </c>
      <c r="F294" s="915">
        <f t="shared" si="88"/>
        <v>1</v>
      </c>
      <c r="G294" s="20"/>
      <c r="J294" s="333">
        <f t="shared" ref="J294:W294" si="98">+ROUND(IF($G$203=0,0,J$203/$G$203),$AD$11)</f>
        <v>0</v>
      </c>
      <c r="K294" s="333">
        <f t="shared" si="98"/>
        <v>3.3700000000000001E-2</v>
      </c>
      <c r="L294" s="333">
        <f t="shared" si="98"/>
        <v>0.1676</v>
      </c>
      <c r="M294" s="333">
        <f t="shared" si="98"/>
        <v>0.1487</v>
      </c>
      <c r="N294" s="333">
        <f t="shared" si="98"/>
        <v>2.0299999999999999E-2</v>
      </c>
      <c r="O294" s="333">
        <f t="shared" si="98"/>
        <v>0</v>
      </c>
      <c r="P294" s="333">
        <f t="shared" si="98"/>
        <v>0</v>
      </c>
      <c r="Q294" s="333">
        <f t="shared" si="98"/>
        <v>6.3100000000000003E-2</v>
      </c>
      <c r="R294" s="333">
        <f t="shared" si="98"/>
        <v>3.1600000000000003E-2</v>
      </c>
      <c r="S294" s="333">
        <f t="shared" si="98"/>
        <v>0.19439999999999999</v>
      </c>
      <c r="T294" s="333">
        <f t="shared" si="98"/>
        <v>2.41E-2</v>
      </c>
      <c r="U294" s="333">
        <f t="shared" si="98"/>
        <v>6.2799999999999995E-2</v>
      </c>
      <c r="V294" s="333">
        <f t="shared" si="98"/>
        <v>1.7299999999999999E-2</v>
      </c>
      <c r="W294" s="333">
        <f t="shared" si="98"/>
        <v>8.0699999999999994E-2</v>
      </c>
      <c r="X294" s="1749">
        <f>1-SUM(J294:W294,Y294:AA294)</f>
        <v>0.14229999999999998</v>
      </c>
      <c r="Y294" s="333">
        <f>+ROUND(IF($G$203=0,0,Y$203/$G$203),$AD$11)</f>
        <v>5.7999999999999996E-3</v>
      </c>
      <c r="Z294" s="333">
        <f>+ROUND(IF($G$203=0,0,Z$203/$G$203),$AD$11)</f>
        <v>7.6E-3</v>
      </c>
      <c r="AA294" s="888">
        <f>+ROUND(IF($G$203=0,0,AA$203/$G$203),$AD$11)</f>
        <v>0</v>
      </c>
      <c r="AB294" s="96"/>
      <c r="AC294" s="137"/>
      <c r="AE294" s="194">
        <f t="shared" si="89"/>
        <v>1</v>
      </c>
    </row>
    <row r="295" spans="1:31" ht="16.5" customHeight="1">
      <c r="A295" s="411"/>
      <c r="B295" s="225"/>
      <c r="C295" s="342">
        <f>+MAX(C$15:C294)+1</f>
        <v>242</v>
      </c>
      <c r="D295" s="236"/>
      <c r="E295" s="901" t="s">
        <v>1057</v>
      </c>
      <c r="F295" s="915">
        <f t="shared" si="88"/>
        <v>1</v>
      </c>
      <c r="G295" s="20"/>
      <c r="J295" s="333">
        <f t="shared" ref="J295:AA295" si="99">+ROUND(IF($G$208=0,0,J$208/$G$208),$AD$11)</f>
        <v>0</v>
      </c>
      <c r="K295" s="333">
        <f t="shared" si="99"/>
        <v>4.7399999999999998E-2</v>
      </c>
      <c r="L295" s="333">
        <f t="shared" si="99"/>
        <v>0.3301</v>
      </c>
      <c r="M295" s="333">
        <f t="shared" si="99"/>
        <v>0.1114</v>
      </c>
      <c r="N295" s="333">
        <f t="shared" si="99"/>
        <v>0</v>
      </c>
      <c r="O295" s="333">
        <f t="shared" si="99"/>
        <v>0</v>
      </c>
      <c r="P295" s="333">
        <f t="shared" si="99"/>
        <v>0</v>
      </c>
      <c r="Q295" s="333">
        <f t="shared" si="99"/>
        <v>9.9299999999999999E-2</v>
      </c>
      <c r="R295" s="333">
        <f t="shared" si="99"/>
        <v>3.6499999999999998E-2</v>
      </c>
      <c r="S295" s="333">
        <f t="shared" si="99"/>
        <v>0.2157</v>
      </c>
      <c r="T295" s="333">
        <f t="shared" si="99"/>
        <v>2.9399999999999999E-2</v>
      </c>
      <c r="U295" s="333">
        <f t="shared" si="99"/>
        <v>7.4899999999999994E-2</v>
      </c>
      <c r="V295" s="333">
        <f t="shared" si="99"/>
        <v>2.7199999999999998E-2</v>
      </c>
      <c r="W295" s="333">
        <f t="shared" si="99"/>
        <v>1.9E-2</v>
      </c>
      <c r="X295" s="333">
        <f t="shared" si="99"/>
        <v>0</v>
      </c>
      <c r="Y295" s="333">
        <f t="shared" si="99"/>
        <v>9.1000000000000004E-3</v>
      </c>
      <c r="Z295" s="333">
        <f t="shared" si="99"/>
        <v>0</v>
      </c>
      <c r="AA295" s="888">
        <f t="shared" si="99"/>
        <v>0</v>
      </c>
      <c r="AB295" s="96"/>
      <c r="AC295" s="137"/>
      <c r="AE295" s="194">
        <f t="shared" si="89"/>
        <v>1</v>
      </c>
    </row>
    <row r="296" spans="1:31" ht="16.5" customHeight="1">
      <c r="A296" s="411"/>
      <c r="B296" s="225"/>
      <c r="C296" s="342">
        <f>+MAX(C$15:C295)+1</f>
        <v>243</v>
      </c>
      <c r="D296" s="236"/>
      <c r="E296" s="901" t="s">
        <v>1058</v>
      </c>
      <c r="F296" s="915">
        <f t="shared" si="88"/>
        <v>1</v>
      </c>
      <c r="G296" s="20"/>
      <c r="J296" s="333">
        <f t="shared" ref="J296:AA296" si="100">+ROUND(IF($G$210=0,0,J$210/$G$210),$AD$11)</f>
        <v>0</v>
      </c>
      <c r="K296" s="333">
        <f t="shared" si="100"/>
        <v>4.7399999999999998E-2</v>
      </c>
      <c r="L296" s="333">
        <f t="shared" si="100"/>
        <v>0.3301</v>
      </c>
      <c r="M296" s="333">
        <f t="shared" si="100"/>
        <v>0.1114</v>
      </c>
      <c r="N296" s="333">
        <f t="shared" si="100"/>
        <v>0</v>
      </c>
      <c r="O296" s="333">
        <f t="shared" si="100"/>
        <v>0</v>
      </c>
      <c r="P296" s="333">
        <f t="shared" si="100"/>
        <v>0</v>
      </c>
      <c r="Q296" s="333">
        <f t="shared" si="100"/>
        <v>9.9299999999999999E-2</v>
      </c>
      <c r="R296" s="333">
        <f t="shared" si="100"/>
        <v>3.6499999999999998E-2</v>
      </c>
      <c r="S296" s="333">
        <f t="shared" si="100"/>
        <v>0.2157</v>
      </c>
      <c r="T296" s="333">
        <f t="shared" si="100"/>
        <v>2.9399999999999999E-2</v>
      </c>
      <c r="U296" s="333">
        <f t="shared" si="100"/>
        <v>7.4899999999999994E-2</v>
      </c>
      <c r="V296" s="333">
        <f t="shared" si="100"/>
        <v>2.7199999999999998E-2</v>
      </c>
      <c r="W296" s="333">
        <f t="shared" si="100"/>
        <v>1.9E-2</v>
      </c>
      <c r="X296" s="333">
        <f t="shared" si="100"/>
        <v>0</v>
      </c>
      <c r="Y296" s="333">
        <f t="shared" si="100"/>
        <v>9.1000000000000004E-3</v>
      </c>
      <c r="Z296" s="333">
        <f t="shared" si="100"/>
        <v>0</v>
      </c>
      <c r="AA296" s="888">
        <f t="shared" si="100"/>
        <v>0</v>
      </c>
      <c r="AB296" s="46"/>
      <c r="AC296" s="137"/>
      <c r="AE296" s="194">
        <f t="shared" si="89"/>
        <v>1</v>
      </c>
    </row>
    <row r="297" spans="1:31" ht="16.5" customHeight="1">
      <c r="A297" s="411"/>
      <c r="B297" s="225"/>
      <c r="C297" s="342">
        <f>+MAX(C$15:C296)+1</f>
        <v>244</v>
      </c>
      <c r="D297" s="236"/>
      <c r="E297" s="901" t="s">
        <v>1059</v>
      </c>
      <c r="F297" s="333">
        <f t="shared" si="88"/>
        <v>1</v>
      </c>
      <c r="G297" s="20"/>
      <c r="J297" s="333">
        <f>+ROUND(IF($G$226=0,0,J$226/$G$226),$AD$11)</f>
        <v>0</v>
      </c>
      <c r="K297" s="333">
        <f>+ROUND(IF($G$226=0,0,K$226/$G$226),$AD$11)</f>
        <v>0.83489999999999998</v>
      </c>
      <c r="L297" s="1749">
        <f>1-SUM(J297:K297,M297:AA297)</f>
        <v>5.5700000000000083E-2</v>
      </c>
      <c r="M297" s="333">
        <f t="shared" ref="M297:AA297" si="101">+ROUND(IF($G$226=0,0,M$226/$G$226),$AD$11)</f>
        <v>1.9599999999999999E-2</v>
      </c>
      <c r="N297" s="333">
        <f t="shared" si="101"/>
        <v>0</v>
      </c>
      <c r="O297" s="333">
        <f t="shared" si="101"/>
        <v>0</v>
      </c>
      <c r="P297" s="333">
        <f t="shared" si="101"/>
        <v>0</v>
      </c>
      <c r="Q297" s="333">
        <f t="shared" si="101"/>
        <v>1.7399999999999999E-2</v>
      </c>
      <c r="R297" s="333">
        <f t="shared" si="101"/>
        <v>6.4000000000000003E-3</v>
      </c>
      <c r="S297" s="333">
        <f t="shared" si="101"/>
        <v>3.7900000000000003E-2</v>
      </c>
      <c r="T297" s="333">
        <f t="shared" si="101"/>
        <v>5.1999999999999998E-3</v>
      </c>
      <c r="U297" s="333">
        <f t="shared" si="101"/>
        <v>1.32E-2</v>
      </c>
      <c r="V297" s="333">
        <f t="shared" si="101"/>
        <v>4.7999999999999996E-3</v>
      </c>
      <c r="W297" s="333">
        <f t="shared" si="101"/>
        <v>3.3E-3</v>
      </c>
      <c r="X297" s="333">
        <f t="shared" si="101"/>
        <v>0</v>
      </c>
      <c r="Y297" s="333">
        <f t="shared" si="101"/>
        <v>1.6000000000000001E-3</v>
      </c>
      <c r="Z297" s="333">
        <f t="shared" si="101"/>
        <v>0</v>
      </c>
      <c r="AA297" s="888">
        <f t="shared" si="101"/>
        <v>0</v>
      </c>
      <c r="AB297" s="220"/>
      <c r="AC297" s="137"/>
      <c r="AE297" s="194">
        <f t="shared" si="89"/>
        <v>1</v>
      </c>
    </row>
    <row r="298" spans="1:31" ht="16.5" customHeight="1">
      <c r="A298" s="411"/>
      <c r="B298" s="225"/>
      <c r="C298" s="342">
        <f>+MAX(C$15:C297)+1</f>
        <v>245</v>
      </c>
      <c r="D298" s="236"/>
      <c r="E298" s="901" t="s">
        <v>1060</v>
      </c>
      <c r="F298" s="333">
        <f t="shared" si="88"/>
        <v>1.0000000000000002</v>
      </c>
      <c r="G298" s="20"/>
      <c r="J298" s="333">
        <f t="shared" ref="J298:AA298" si="102">+ROUND(IF($G$219=0,0,J$219/$G$219),$AD$11)</f>
        <v>0</v>
      </c>
      <c r="K298" s="333">
        <f t="shared" si="102"/>
        <v>4.8000000000000001E-2</v>
      </c>
      <c r="L298" s="1749">
        <f>1-SUM(J298:K298,M298:AA298)</f>
        <v>0.3218000000000002</v>
      </c>
      <c r="M298" s="333">
        <f t="shared" si="102"/>
        <v>0.1128</v>
      </c>
      <c r="N298" s="333">
        <f t="shared" si="102"/>
        <v>0</v>
      </c>
      <c r="O298" s="333">
        <f t="shared" si="102"/>
        <v>0</v>
      </c>
      <c r="P298" s="333">
        <f t="shared" si="102"/>
        <v>0</v>
      </c>
      <c r="Q298" s="333">
        <f t="shared" si="102"/>
        <v>0.10050000000000001</v>
      </c>
      <c r="R298" s="333">
        <f t="shared" si="102"/>
        <v>3.6999999999999998E-2</v>
      </c>
      <c r="S298" s="333">
        <f t="shared" si="102"/>
        <v>0.21840000000000001</v>
      </c>
      <c r="T298" s="333">
        <f t="shared" si="102"/>
        <v>2.9700000000000001E-2</v>
      </c>
      <c r="U298" s="333">
        <f t="shared" si="102"/>
        <v>7.5899999999999995E-2</v>
      </c>
      <c r="V298" s="333">
        <f t="shared" si="102"/>
        <v>2.75E-2</v>
      </c>
      <c r="W298" s="333">
        <f t="shared" si="102"/>
        <v>1.9199999999999998E-2</v>
      </c>
      <c r="X298" s="333">
        <f t="shared" si="102"/>
        <v>0</v>
      </c>
      <c r="Y298" s="333">
        <f t="shared" si="102"/>
        <v>9.1999999999999998E-3</v>
      </c>
      <c r="Z298" s="333">
        <f t="shared" si="102"/>
        <v>0</v>
      </c>
      <c r="AA298" s="888">
        <f t="shared" si="102"/>
        <v>0</v>
      </c>
      <c r="AB298" s="220"/>
      <c r="AC298" s="137"/>
      <c r="AE298" s="194">
        <f t="shared" si="89"/>
        <v>1.0000000000000002</v>
      </c>
    </row>
    <row r="299" spans="1:31" ht="16.5" customHeight="1" thickBot="1">
      <c r="A299" s="411"/>
      <c r="B299" s="225"/>
      <c r="C299" s="342">
        <f>+MAX(C$15:C298)+1</f>
        <v>246</v>
      </c>
      <c r="D299" s="236"/>
      <c r="E299" s="901" t="s">
        <v>1062</v>
      </c>
      <c r="F299" s="333">
        <f t="shared" si="88"/>
        <v>1</v>
      </c>
      <c r="G299" s="20"/>
      <c r="J299" s="333">
        <f>+ROUND(IF($G$238=0,0,J$238/$G$238),$AD$11)</f>
        <v>5.6300000000000003E-2</v>
      </c>
      <c r="K299" s="333">
        <f>+ROUND(IF($G$238=0,0,K$238/$G$238),$AD$11)</f>
        <v>0.72350000000000003</v>
      </c>
      <c r="L299" s="1749">
        <f>1-SUM(J299:K299,M299:AA299)</f>
        <v>7.0399999999999907E-2</v>
      </c>
      <c r="M299" s="333">
        <f t="shared" ref="M299:AA299" si="103">+ROUND(IF($G$238=0,0,M$238/$G$238),$AD$11)</f>
        <v>2.46E-2</v>
      </c>
      <c r="N299" s="333">
        <f t="shared" si="103"/>
        <v>0</v>
      </c>
      <c r="O299" s="333">
        <f t="shared" si="103"/>
        <v>0</v>
      </c>
      <c r="P299" s="333">
        <f t="shared" si="103"/>
        <v>0</v>
      </c>
      <c r="Q299" s="333">
        <f t="shared" si="103"/>
        <v>2.1899999999999999E-2</v>
      </c>
      <c r="R299" s="333">
        <f t="shared" si="103"/>
        <v>8.3000000000000001E-3</v>
      </c>
      <c r="S299" s="333">
        <f t="shared" si="103"/>
        <v>4.9000000000000002E-2</v>
      </c>
      <c r="T299" s="333">
        <f t="shared" si="103"/>
        <v>6.7000000000000002E-3</v>
      </c>
      <c r="U299" s="333">
        <f t="shared" si="103"/>
        <v>1.7100000000000001E-2</v>
      </c>
      <c r="V299" s="333">
        <f t="shared" si="103"/>
        <v>6.0000000000000001E-3</v>
      </c>
      <c r="W299" s="333">
        <f t="shared" si="103"/>
        <v>4.1999999999999997E-3</v>
      </c>
      <c r="X299" s="333">
        <f t="shared" si="103"/>
        <v>0</v>
      </c>
      <c r="Y299" s="333">
        <f t="shared" si="103"/>
        <v>2E-3</v>
      </c>
      <c r="Z299" s="333">
        <f t="shared" si="103"/>
        <v>0.01</v>
      </c>
      <c r="AA299" s="888">
        <f t="shared" si="103"/>
        <v>0</v>
      </c>
      <c r="AB299" s="220"/>
      <c r="AC299" s="86"/>
      <c r="AE299" s="194">
        <f t="shared" si="89"/>
        <v>1</v>
      </c>
    </row>
    <row r="300" spans="1:31" ht="16.5" customHeight="1">
      <c r="A300" s="411"/>
      <c r="B300" s="225"/>
      <c r="C300" s="342">
        <f>+MAX(C$15:C299)+1</f>
        <v>247</v>
      </c>
      <c r="D300" s="236"/>
      <c r="E300" s="901" t="s">
        <v>2990</v>
      </c>
      <c r="F300" s="333">
        <f t="shared" si="88"/>
        <v>1</v>
      </c>
      <c r="G300" s="20"/>
      <c r="J300" s="2976">
        <v>0</v>
      </c>
      <c r="K300" s="2977">
        <v>0</v>
      </c>
      <c r="L300" s="2977">
        <v>0</v>
      </c>
      <c r="M300" s="2977">
        <v>0</v>
      </c>
      <c r="N300" s="2966">
        <v>0</v>
      </c>
      <c r="O300" s="2988">
        <v>1</v>
      </c>
      <c r="P300" s="2988">
        <v>0</v>
      </c>
      <c r="Q300" s="2988">
        <v>0</v>
      </c>
      <c r="R300" s="2988">
        <v>0</v>
      </c>
      <c r="S300" s="2988">
        <v>0</v>
      </c>
      <c r="T300" s="2988">
        <v>0</v>
      </c>
      <c r="U300" s="2988">
        <v>0</v>
      </c>
      <c r="V300" s="2988">
        <v>0</v>
      </c>
      <c r="W300" s="2988">
        <v>0</v>
      </c>
      <c r="X300" s="2988">
        <v>0</v>
      </c>
      <c r="Y300" s="2988">
        <v>0</v>
      </c>
      <c r="Z300" s="2988">
        <v>0</v>
      </c>
      <c r="AA300" s="2989">
        <v>0</v>
      </c>
      <c r="AB300" s="220"/>
      <c r="AC300" s="86"/>
      <c r="AE300" s="194">
        <f t="shared" si="89"/>
        <v>1</v>
      </c>
    </row>
    <row r="301" spans="1:31" ht="16.5" customHeight="1" thickBot="1">
      <c r="A301" s="411"/>
      <c r="B301" s="225"/>
      <c r="C301" s="342">
        <f>+MAX(C$15:C300)+1</f>
        <v>248</v>
      </c>
      <c r="D301" s="236"/>
      <c r="E301" s="901" t="s">
        <v>2991</v>
      </c>
      <c r="F301" s="333">
        <f t="shared" si="88"/>
        <v>1</v>
      </c>
      <c r="G301" s="20"/>
      <c r="J301" s="2982">
        <v>0</v>
      </c>
      <c r="K301" s="2983">
        <v>0</v>
      </c>
      <c r="L301" s="2983">
        <v>0</v>
      </c>
      <c r="M301" s="2983">
        <v>0</v>
      </c>
      <c r="N301" s="2967">
        <v>0</v>
      </c>
      <c r="O301" s="2990">
        <v>0</v>
      </c>
      <c r="P301" s="2990">
        <v>1</v>
      </c>
      <c r="Q301" s="2990">
        <v>0</v>
      </c>
      <c r="R301" s="2990">
        <v>0</v>
      </c>
      <c r="S301" s="2990">
        <v>0</v>
      </c>
      <c r="T301" s="2990">
        <v>0</v>
      </c>
      <c r="U301" s="2990">
        <v>0</v>
      </c>
      <c r="V301" s="2990">
        <v>0</v>
      </c>
      <c r="W301" s="2990">
        <v>0</v>
      </c>
      <c r="X301" s="2990">
        <v>0</v>
      </c>
      <c r="Y301" s="2990">
        <v>0</v>
      </c>
      <c r="Z301" s="2990">
        <v>0</v>
      </c>
      <c r="AA301" s="2991">
        <v>0</v>
      </c>
      <c r="AB301" s="220"/>
      <c r="AC301" s="86"/>
      <c r="AE301" s="194">
        <f t="shared" si="89"/>
        <v>1</v>
      </c>
    </row>
    <row r="302" spans="1:31" ht="16.5" customHeight="1" thickBot="1">
      <c r="A302" s="411"/>
      <c r="B302" s="225"/>
      <c r="C302" s="342">
        <f>+MAX(C$15:C301)+1</f>
        <v>249</v>
      </c>
      <c r="D302" s="236"/>
      <c r="E302" s="904" t="s">
        <v>1061</v>
      </c>
      <c r="F302" s="889">
        <f>SUM(J302:AA302)</f>
        <v>1</v>
      </c>
      <c r="G302" s="678"/>
      <c r="H302" s="909"/>
      <c r="I302" s="909"/>
      <c r="J302" s="889">
        <f>+ROUND(IF($G$240=0,0,J$240/$G$240),$AD$11)</f>
        <v>0</v>
      </c>
      <c r="K302" s="889">
        <f>+ROUND(IF($G$240=0,0,K$240/$G$240),$AD$11)</f>
        <v>0</v>
      </c>
      <c r="L302" s="889">
        <f>+ROUND(IF($G$240=0,0,L$240/$G$240),$AD$11)</f>
        <v>0</v>
      </c>
      <c r="M302" s="889">
        <f t="shared" ref="M302:AA302" si="104">+ROUND(IF($G$245=0,0,M$245/$G$245),$AD$11)</f>
        <v>0.23810000000000001</v>
      </c>
      <c r="N302" s="889">
        <f t="shared" si="104"/>
        <v>0</v>
      </c>
      <c r="O302" s="889">
        <f t="shared" si="104"/>
        <v>0</v>
      </c>
      <c r="P302" s="889">
        <f t="shared" si="104"/>
        <v>0</v>
      </c>
      <c r="Q302" s="889">
        <f t="shared" si="104"/>
        <v>0</v>
      </c>
      <c r="R302" s="889">
        <f t="shared" si="104"/>
        <v>7.8E-2</v>
      </c>
      <c r="S302" s="889">
        <f t="shared" si="104"/>
        <v>0.46100000000000002</v>
      </c>
      <c r="T302" s="889">
        <f t="shared" si="104"/>
        <v>6.2700000000000006E-2</v>
      </c>
      <c r="U302" s="889">
        <f t="shared" si="104"/>
        <v>0.16020000000000001</v>
      </c>
      <c r="V302" s="889">
        <f t="shared" si="104"/>
        <v>0</v>
      </c>
      <c r="W302" s="889">
        <f t="shared" si="104"/>
        <v>0</v>
      </c>
      <c r="X302" s="889">
        <f t="shared" si="104"/>
        <v>0</v>
      </c>
      <c r="Y302" s="889">
        <f t="shared" si="104"/>
        <v>0</v>
      </c>
      <c r="Z302" s="889">
        <f t="shared" si="104"/>
        <v>0</v>
      </c>
      <c r="AA302" s="890">
        <f t="shared" si="104"/>
        <v>0</v>
      </c>
      <c r="AB302" s="220"/>
      <c r="AC302" s="86"/>
      <c r="AE302" s="194">
        <f>SUM(J302:AA302)</f>
        <v>1</v>
      </c>
    </row>
    <row r="303" spans="1:31" ht="16.5" customHeight="1">
      <c r="A303" s="411"/>
      <c r="B303" s="225"/>
      <c r="C303" s="342"/>
      <c r="D303" s="236"/>
      <c r="G303" s="1"/>
      <c r="H303" s="261"/>
      <c r="I303" s="262"/>
      <c r="J303" s="46"/>
      <c r="K303" s="46"/>
      <c r="L303" s="46"/>
      <c r="M303" s="46"/>
      <c r="N303" s="46"/>
      <c r="O303" s="46"/>
      <c r="P303" s="46"/>
      <c r="Q303" s="46"/>
      <c r="R303" s="46"/>
      <c r="S303" s="46"/>
      <c r="T303" s="46"/>
      <c r="U303" s="46"/>
      <c r="V303" s="46"/>
      <c r="W303" s="46"/>
      <c r="X303" s="46"/>
      <c r="Y303" s="46"/>
      <c r="Z303" s="46"/>
      <c r="AA303" s="334"/>
      <c r="AB303" s="220"/>
      <c r="AC303" s="86"/>
    </row>
    <row r="304" spans="1:31" ht="16.5" hidden="1" customHeight="1">
      <c r="AC304" s="86"/>
    </row>
    <row r="305" spans="29:29" ht="16.5" hidden="1" customHeight="1">
      <c r="AC305" s="86"/>
    </row>
    <row r="306" spans="29:29" ht="16.5" hidden="1" customHeight="1">
      <c r="AC306" s="86"/>
    </row>
    <row r="307" spans="29:29" ht="16.5" hidden="1" customHeight="1">
      <c r="AC307" s="86"/>
    </row>
    <row r="308" spans="29:29" ht="16.5" hidden="1" customHeight="1">
      <c r="AC308" s="86"/>
    </row>
    <row r="309" spans="29:29" ht="16.5" hidden="1" customHeight="1">
      <c r="AC309" s="86"/>
    </row>
    <row r="310" spans="29:29" ht="16.5" hidden="1" customHeight="1">
      <c r="AC310" s="86"/>
    </row>
    <row r="311" spans="29:29" ht="16.5" hidden="1" customHeight="1">
      <c r="AC311" s="86"/>
    </row>
    <row r="312" spans="29:29" ht="16.5" hidden="1" customHeight="1">
      <c r="AC312" s="86"/>
    </row>
    <row r="313" spans="29:29" ht="16.5" hidden="1" customHeight="1">
      <c r="AC313" s="86"/>
    </row>
    <row r="314" spans="29:29" ht="16.5" hidden="1" customHeight="1"/>
    <row r="315" spans="29:29" ht="16.5" hidden="1" customHeight="1"/>
    <row r="316" spans="29:29" ht="16.5" hidden="1" customHeight="1"/>
    <row r="317" spans="29:29" ht="16.5" hidden="1" customHeight="1"/>
    <row r="318" spans="29:29" ht="16.5" hidden="1" customHeight="1"/>
    <row r="319" spans="29:29" ht="16.5" hidden="1" customHeight="1"/>
    <row r="320" spans="29:29" ht="16.5" hidden="1" customHeight="1"/>
    <row r="321" ht="16.5" hidden="1" customHeight="1"/>
    <row r="322" ht="16.5" hidden="1" customHeight="1"/>
    <row r="323" ht="16.5" hidden="1" customHeight="1"/>
    <row r="324" ht="16.5" hidden="1" customHeight="1"/>
    <row r="325" ht="16.5" hidden="1" customHeight="1"/>
    <row r="326" ht="16.5" hidden="1" customHeight="1"/>
    <row r="327" ht="16.5" hidden="1" customHeight="1"/>
    <row r="328" ht="16.5" hidden="1" customHeight="1"/>
    <row r="329" ht="16.5" hidden="1" customHeight="1"/>
    <row r="330" ht="16.5" hidden="1" customHeight="1"/>
    <row r="331" ht="16.5" hidden="1" customHeight="1"/>
    <row r="332" ht="16.5" hidden="1" customHeight="1"/>
    <row r="333" ht="16.5" hidden="1" customHeight="1"/>
    <row r="334" ht="16.5" hidden="1" customHeight="1"/>
    <row r="335" ht="16.5" hidden="1" customHeight="1"/>
    <row r="336" ht="16.5" hidden="1" customHeight="1"/>
    <row r="337" ht="16.5" hidden="1" customHeight="1"/>
    <row r="338" ht="16.5" hidden="1" customHeight="1"/>
    <row r="339" ht="16.5" hidden="1" customHeight="1"/>
    <row r="340" ht="16.5" hidden="1" customHeight="1"/>
    <row r="341" ht="16.5" hidden="1" customHeight="1"/>
    <row r="342" ht="16.5" hidden="1" customHeight="1"/>
    <row r="343" ht="16.5" hidden="1" customHeight="1"/>
    <row r="344" ht="16.5" hidden="1" customHeight="1"/>
    <row r="345" ht="16.5" hidden="1" customHeight="1"/>
    <row r="346" ht="16.5" hidden="1" customHeight="1"/>
    <row r="347" ht="16.5" hidden="1" customHeight="1"/>
    <row r="348" ht="16.5" hidden="1" customHeight="1"/>
    <row r="349" ht="16.5" hidden="1" customHeight="1"/>
    <row r="350" ht="16.5" hidden="1" customHeight="1"/>
    <row r="351" ht="16.5" hidden="1" customHeight="1"/>
    <row r="352" ht="16.5" hidden="1" customHeight="1"/>
    <row r="353" ht="16.5" hidden="1" customHeight="1"/>
    <row r="354" ht="16.5" hidden="1" customHeight="1"/>
    <row r="355" ht="16.5" hidden="1" customHeight="1"/>
    <row r="356" ht="16.5" hidden="1" customHeight="1"/>
    <row r="357" ht="16.5" hidden="1" customHeight="1"/>
    <row r="358" ht="16.5" hidden="1" customHeight="1"/>
    <row r="359" ht="16.5" hidden="1" customHeight="1"/>
    <row r="360" ht="16.5" hidden="1" customHeight="1"/>
    <row r="361" ht="16.5" hidden="1" customHeight="1"/>
    <row r="362" ht="16.5" hidden="1" customHeight="1"/>
    <row r="363" ht="16.5" hidden="1" customHeight="1"/>
    <row r="364" ht="16.5" hidden="1" customHeight="1"/>
    <row r="365" ht="16.5" hidden="1" customHeight="1"/>
    <row r="366" ht="16.5" hidden="1" customHeight="1"/>
    <row r="367" ht="16.5" hidden="1" customHeight="1"/>
    <row r="368" ht="16.5" hidden="1" customHeight="1"/>
    <row r="369" ht="16.5" hidden="1" customHeight="1"/>
    <row r="370" ht="16.5" hidden="1" customHeight="1"/>
    <row r="371" ht="16.5" hidden="1" customHeight="1"/>
    <row r="372" ht="16.5" hidden="1" customHeight="1"/>
    <row r="373" ht="16.5" hidden="1" customHeight="1"/>
    <row r="374" ht="16.5" hidden="1" customHeight="1"/>
    <row r="375" ht="16.5" hidden="1" customHeight="1"/>
    <row r="376" ht="16.5" hidden="1" customHeight="1"/>
    <row r="377" ht="16.5" hidden="1" customHeight="1"/>
    <row r="378" ht="16.5" hidden="1" customHeight="1"/>
    <row r="379" ht="16.5" hidden="1" customHeight="1"/>
    <row r="380" ht="16.5" hidden="1" customHeight="1"/>
    <row r="381" ht="16.5" hidden="1" customHeight="1"/>
    <row r="382" ht="16.5" hidden="1" customHeight="1"/>
    <row r="383" ht="16.5" hidden="1" customHeight="1"/>
    <row r="384" ht="16.5" hidden="1" customHeight="1"/>
    <row r="385" ht="16.5" hidden="1" customHeight="1"/>
    <row r="386" ht="16.5" hidden="1" customHeight="1"/>
    <row r="387" ht="16.5" hidden="1" customHeight="1"/>
    <row r="388" ht="16.5" hidden="1" customHeight="1"/>
    <row r="389" ht="16.5" hidden="1" customHeight="1"/>
    <row r="390" ht="16.5" hidden="1" customHeight="1"/>
    <row r="391" ht="16.5" hidden="1" customHeight="1"/>
    <row r="392" ht="16.5" hidden="1" customHeight="1"/>
    <row r="393" ht="16.5" hidden="1" customHeight="1"/>
    <row r="394" ht="16.5" hidden="1" customHeight="1"/>
    <row r="395" ht="16.5" hidden="1" customHeight="1"/>
    <row r="396" ht="16.5" hidden="1" customHeight="1"/>
    <row r="397" ht="16.5" hidden="1" customHeight="1"/>
    <row r="398" ht="16.5" hidden="1" customHeight="1"/>
    <row r="399" ht="16.5" hidden="1" customHeight="1"/>
    <row r="400" ht="16.5" hidden="1" customHeight="1"/>
    <row r="401" ht="16.5" hidden="1" customHeight="1"/>
    <row r="402" ht="16.5" hidden="1" customHeight="1"/>
    <row r="403" ht="16.5" hidden="1" customHeight="1"/>
    <row r="404" ht="16.5" hidden="1" customHeight="1"/>
    <row r="405" ht="16.5" hidden="1" customHeight="1"/>
    <row r="406" ht="16.5" hidden="1" customHeight="1"/>
    <row r="407" ht="16.5" hidden="1" customHeight="1"/>
    <row r="408" ht="16.5" hidden="1" customHeight="1"/>
    <row r="409" ht="16.5" hidden="1" customHeight="1"/>
    <row r="410" ht="16.5" hidden="1" customHeight="1"/>
    <row r="411" ht="16.5" hidden="1" customHeight="1"/>
    <row r="412" ht="16.5" hidden="1" customHeight="1"/>
    <row r="413" ht="16.5" hidden="1" customHeight="1"/>
    <row r="414" ht="16.5" hidden="1" customHeight="1"/>
    <row r="415" ht="16.5" hidden="1" customHeight="1"/>
    <row r="416" ht="16.5" hidden="1" customHeight="1"/>
    <row r="417" ht="16.5" hidden="1" customHeight="1"/>
    <row r="418" ht="16.5" hidden="1" customHeight="1"/>
    <row r="419" ht="16.5" hidden="1" customHeight="1"/>
    <row r="420" ht="16.5" hidden="1" customHeight="1"/>
    <row r="421" ht="16.5" hidden="1" customHeight="1"/>
    <row r="422" ht="16.5" hidden="1" customHeight="1"/>
    <row r="423" ht="16.5" hidden="1" customHeight="1"/>
    <row r="424" ht="16.5" hidden="1" customHeight="1"/>
    <row r="425" ht="16.5" hidden="1" customHeight="1"/>
    <row r="426" ht="16.5" hidden="1" customHeight="1"/>
    <row r="427" ht="16.5" hidden="1" customHeight="1"/>
    <row r="428" ht="16.5" hidden="1" customHeight="1"/>
    <row r="429" ht="16.5" hidden="1" customHeight="1"/>
    <row r="430" ht="16.5" hidden="1" customHeight="1"/>
    <row r="431" ht="16.5" hidden="1" customHeight="1"/>
    <row r="432" ht="16.5" hidden="1" customHeight="1"/>
    <row r="433" ht="16.5" hidden="1" customHeight="1"/>
    <row r="434" ht="16.5" hidden="1" customHeight="1"/>
    <row r="435" ht="16.5" hidden="1" customHeight="1"/>
    <row r="436" ht="16.5" hidden="1" customHeight="1"/>
    <row r="437" ht="16.5" hidden="1" customHeight="1"/>
    <row r="438" ht="16.5" hidden="1" customHeight="1"/>
    <row r="439" ht="16.5" hidden="1" customHeight="1"/>
    <row r="440" ht="16.5" hidden="1" customHeight="1"/>
    <row r="441" ht="16.5" hidden="1" customHeight="1"/>
    <row r="442" ht="16.5" hidden="1" customHeight="1"/>
    <row r="443" ht="16.5" hidden="1" customHeight="1"/>
    <row r="444" ht="16.5" hidden="1" customHeight="1"/>
    <row r="445" ht="16.5" hidden="1" customHeight="1"/>
    <row r="446" ht="16.5" hidden="1" customHeight="1"/>
    <row r="447" ht="16.5" hidden="1" customHeight="1"/>
    <row r="448" ht="16.5" hidden="1" customHeight="1"/>
    <row r="449" ht="16.5" hidden="1" customHeight="1"/>
    <row r="450" ht="16.5" hidden="1" customHeight="1"/>
    <row r="451" ht="16.5" hidden="1" customHeight="1"/>
    <row r="452" ht="16.5" hidden="1" customHeight="1"/>
    <row r="453" ht="16.5" hidden="1" customHeight="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sheetData>
  <mergeCells count="19">
    <mergeCell ref="C10:C11"/>
    <mergeCell ref="E10:E11"/>
    <mergeCell ref="J10:J11"/>
    <mergeCell ref="R10:S10"/>
    <mergeCell ref="V10:V11"/>
    <mergeCell ref="L10:L11"/>
    <mergeCell ref="K10:K11"/>
    <mergeCell ref="M10:M11"/>
    <mergeCell ref="T10:U10"/>
    <mergeCell ref="Y10:Y11"/>
    <mergeCell ref="W10:W11"/>
    <mergeCell ref="E1:AA1"/>
    <mergeCell ref="E2:AA2"/>
    <mergeCell ref="T9:W9"/>
    <mergeCell ref="M8:S8"/>
    <mergeCell ref="M9:S9"/>
    <mergeCell ref="E3:AA3"/>
    <mergeCell ref="L8:L9"/>
    <mergeCell ref="J8:K9"/>
  </mergeCells>
  <phoneticPr fontId="8" type="noConversion"/>
  <conditionalFormatting sqref="F260:F265 F267:F269 F271:F302">
    <cfRule type="cellIs" dxfId="39" priority="9" stopIfTrue="1" operator="equal">
      <formula>0</formula>
    </cfRule>
    <cfRule type="cellIs" dxfId="38" priority="10" stopIfTrue="1" operator="greaterThan">
      <formula>1</formula>
    </cfRule>
    <cfRule type="cellIs" dxfId="37" priority="11" stopIfTrue="1" operator="between">
      <formula>0.00001</formula>
      <formula>0.99999</formula>
    </cfRule>
  </conditionalFormatting>
  <conditionalFormatting sqref="F270">
    <cfRule type="cellIs" dxfId="36" priority="6" stopIfTrue="1" operator="equal">
      <formula>0</formula>
    </cfRule>
    <cfRule type="cellIs" dxfId="35" priority="7" stopIfTrue="1" operator="greaterThan">
      <formula>1</formula>
    </cfRule>
    <cfRule type="cellIs" dxfId="34" priority="8" stopIfTrue="1" operator="between">
      <formula>0.00001</formula>
      <formula>0.99999</formula>
    </cfRule>
  </conditionalFormatting>
  <conditionalFormatting sqref="F260:F265 F267:F302">
    <cfRule type="cellIs" dxfId="33" priority="5" stopIfTrue="1" operator="greaterThan">
      <formula>1</formula>
    </cfRule>
  </conditionalFormatting>
  <conditionalFormatting sqref="F266">
    <cfRule type="cellIs" dxfId="32" priority="2" stopIfTrue="1" operator="equal">
      <formula>0</formula>
    </cfRule>
    <cfRule type="cellIs" dxfId="31" priority="3" stopIfTrue="1" operator="greaterThan">
      <formula>1</formula>
    </cfRule>
    <cfRule type="cellIs" dxfId="30" priority="4" stopIfTrue="1" operator="between">
      <formula>0.00001</formula>
      <formula>0.99999</formula>
    </cfRule>
  </conditionalFormatting>
  <conditionalFormatting sqref="F266">
    <cfRule type="cellIs" dxfId="29" priority="1" stopIfTrue="1" operator="greaterThan">
      <formula>1</formula>
    </cfRule>
  </conditionalFormatting>
  <dataValidations count="1">
    <dataValidation type="list" allowBlank="1" showInputMessage="1" showErrorMessage="1" sqref="H214:H218 H229:H237 H241:H245 H139:H149 H70:H91 H46:H66 H208:H210 H133:H134 H95:H107 H111:H129 H222:H225 H153:H159 H163:H202">
      <formula1>Allocation</formula1>
    </dataValidation>
  </dataValidations>
  <printOptions horizontalCentered="1"/>
  <pageMargins left="0.25" right="0.25" top="0.5" bottom="0.5" header="0.25" footer="0.25"/>
  <pageSetup scale="29" fitToHeight="0" orientation="landscape" r:id="rId1"/>
  <headerFooter alignWithMargins="0">
    <oddFooter>&amp;L&amp;"Times New Roman,Bold Italic"Black &amp; Veatch Corporation&amp;C&amp;"Times New Roman,Bold Italic"Date: &amp;D&amp;R&amp;"Times New Roman,Bold Italic"Page: &amp;P of&amp;N</oddFooter>
  </headerFooter>
  <rowBreaks count="2" manualBreakCount="2">
    <brk id="109" min="2" max="26" man="1"/>
    <brk id="205" min="2" max="26" man="1"/>
  </rowBreaks>
  <ignoredErrors>
    <ignoredError sqref="R283 R285 T283 T285 AA280 V285:AA285 V283:AA283 G254 M285 M283" formula="1"/>
  </ignoredErrors>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008000"/>
    <pageSetUpPr fitToPage="1"/>
  </sheetPr>
  <dimension ref="A1:CY433"/>
  <sheetViews>
    <sheetView showGridLines="0" zoomScale="85" zoomScaleNormal="85" workbookViewId="0">
      <pane xSplit="4" ySplit="11" topLeftCell="E24" activePane="bottomRight" state="frozen"/>
      <selection activeCell="D11" sqref="D11"/>
      <selection pane="topRight" activeCell="D11" sqref="D11"/>
      <selection pane="bottomLeft" activeCell="D11" sqref="D11"/>
      <selection pane="bottomRight" activeCell="D3" sqref="D3"/>
    </sheetView>
  </sheetViews>
  <sheetFormatPr defaultRowHeight="15.75" zeroHeight="1"/>
  <cols>
    <col min="1" max="1" width="22.5" customWidth="1"/>
    <col min="2" max="2" width="1.125" customWidth="1"/>
    <col min="3" max="3" width="5.25" customWidth="1"/>
    <col min="4" max="4" width="35.125" bestFit="1" customWidth="1"/>
    <col min="5" max="5" width="8.125" bestFit="1" customWidth="1"/>
    <col min="6" max="6" width="22.75" style="1" customWidth="1"/>
    <col min="7" max="7" width="14.875" customWidth="1"/>
    <col min="8" max="8" width="17" customWidth="1"/>
    <col min="9" max="9" width="16.5" customWidth="1"/>
    <col min="10" max="10" width="12.625" bestFit="1" customWidth="1"/>
    <col min="11" max="11" width="10.375" customWidth="1"/>
    <col min="12" max="12" width="11.25" bestFit="1" customWidth="1"/>
    <col min="13" max="13" width="8.75" bestFit="1" customWidth="1"/>
    <col min="14" max="14" width="15.875" bestFit="1" customWidth="1"/>
    <col min="15" max="15" width="13.75" bestFit="1" customWidth="1"/>
    <col min="16" max="16" width="12.75" bestFit="1" customWidth="1"/>
    <col min="17" max="17" width="11.25" bestFit="1" customWidth="1"/>
    <col min="18" max="18" width="10.75" customWidth="1"/>
    <col min="19" max="19" width="10.875" bestFit="1" customWidth="1"/>
    <col min="20" max="20" width="8.75" bestFit="1" customWidth="1"/>
    <col min="21" max="21" width="12.625" bestFit="1" customWidth="1"/>
    <col min="22" max="22" width="8.75" bestFit="1" customWidth="1"/>
    <col min="23" max="23" width="9.625" bestFit="1" customWidth="1"/>
    <col min="24" max="24" width="8.75" bestFit="1" customWidth="1"/>
    <col min="25" max="25" width="14.75" customWidth="1"/>
    <col min="26" max="26" width="13.875" customWidth="1"/>
    <col min="27" max="27" width="13.125" customWidth="1"/>
    <col min="28" max="28" width="10" customWidth="1"/>
    <col min="29" max="29" width="12.125" bestFit="1" customWidth="1"/>
    <col min="30" max="30" width="11.375" customWidth="1"/>
    <col min="31" max="31" width="10" customWidth="1"/>
    <col min="32" max="32" width="13" style="987" bestFit="1" customWidth="1"/>
    <col min="33" max="33" width="10" customWidth="1"/>
    <col min="34" max="34" width="11.25" bestFit="1" customWidth="1"/>
    <col min="35" max="35" width="8.75" bestFit="1" customWidth="1"/>
    <col min="36" max="36" width="2.75" customWidth="1"/>
    <col min="37" max="37" width="11.5" customWidth="1"/>
    <col min="38" max="38" width="2.625" customWidth="1"/>
    <col min="39" max="39" width="12.875" customWidth="1"/>
    <col min="40" max="40" width="10.125" bestFit="1" customWidth="1"/>
    <col min="41" max="41" width="12.25" bestFit="1" customWidth="1"/>
    <col min="42" max="42" width="11.75" customWidth="1"/>
    <col min="43" max="43" width="10.75" customWidth="1"/>
    <col min="44" max="45" width="13.875" bestFit="1" customWidth="1"/>
    <col min="46" max="46" width="14" bestFit="1" customWidth="1"/>
    <col min="47" max="47" width="12.625" bestFit="1" customWidth="1"/>
    <col min="48" max="49" width="12.25" bestFit="1" customWidth="1"/>
    <col min="50" max="50" width="12.625" bestFit="1" customWidth="1"/>
    <col min="51" max="51" width="12.25" bestFit="1" customWidth="1"/>
    <col min="52" max="53" width="12.625" bestFit="1" customWidth="1"/>
    <col min="54" max="54" width="11.75" bestFit="1" customWidth="1"/>
    <col min="55" max="57" width="12.625" bestFit="1" customWidth="1"/>
    <col min="58" max="61" width="11.25" bestFit="1" customWidth="1"/>
    <col min="62" max="62" width="10.75" customWidth="1"/>
    <col min="63" max="65" width="9.625" customWidth="1"/>
    <col min="66" max="66" width="10.125" bestFit="1" customWidth="1"/>
    <col min="67" max="80" width="10.125" customWidth="1"/>
    <col min="81" max="81" width="10.75" customWidth="1"/>
    <col min="82" max="84" width="9.625" customWidth="1"/>
    <col min="85" max="85" width="10.125" bestFit="1" customWidth="1"/>
    <col min="86" max="102" width="10.125" customWidth="1"/>
    <col min="103" max="117" width="10.125" bestFit="1" customWidth="1"/>
  </cols>
  <sheetData>
    <row r="1" spans="1:103" ht="22.5">
      <c r="A1" s="411"/>
      <c r="C1" s="167"/>
      <c r="D1" s="3143" t="s">
        <v>3510</v>
      </c>
      <c r="E1" s="3143" t="s">
        <v>3502</v>
      </c>
      <c r="G1" s="167"/>
      <c r="H1" s="167" t="s">
        <v>167</v>
      </c>
      <c r="I1" s="167"/>
      <c r="J1" s="167"/>
      <c r="K1" s="167"/>
      <c r="L1" s="167"/>
      <c r="M1" s="167"/>
      <c r="N1" s="167"/>
      <c r="O1" s="167"/>
      <c r="P1" s="167" t="s">
        <v>167</v>
      </c>
      <c r="Q1" s="167"/>
      <c r="R1" s="167"/>
      <c r="S1" s="167"/>
      <c r="T1" s="167"/>
      <c r="U1" s="167"/>
      <c r="V1" s="167"/>
      <c r="W1" s="167"/>
      <c r="X1" s="167"/>
      <c r="Y1" s="167"/>
      <c r="Z1" s="167"/>
      <c r="AA1" s="109"/>
      <c r="AB1" s="109"/>
      <c r="AC1" s="109"/>
      <c r="AD1" s="109"/>
      <c r="AE1" s="109"/>
      <c r="AF1" s="1954"/>
      <c r="AG1" s="109"/>
      <c r="AH1" s="109"/>
      <c r="AI1" s="109"/>
    </row>
    <row r="2" spans="1:103" ht="22.5">
      <c r="A2" s="411"/>
      <c r="C2" s="167"/>
      <c r="D2" s="3143" t="s">
        <v>4039</v>
      </c>
      <c r="E2" s="3143" t="s">
        <v>4040</v>
      </c>
      <c r="G2" s="167"/>
      <c r="H2" s="167" t="str">
        <f>Client</f>
        <v>Grant County Public Utility District</v>
      </c>
      <c r="I2" s="167"/>
      <c r="J2" s="167"/>
      <c r="K2" s="167"/>
      <c r="L2" s="167"/>
      <c r="M2" s="167"/>
      <c r="N2" s="167"/>
      <c r="O2" s="167"/>
      <c r="P2" s="167" t="str">
        <f>Client</f>
        <v>Grant County Public Utility District</v>
      </c>
      <c r="Q2" s="167"/>
      <c r="R2" s="167"/>
      <c r="S2" s="167"/>
      <c r="T2" s="167"/>
      <c r="U2" s="167"/>
      <c r="V2" s="167"/>
      <c r="W2" s="167"/>
      <c r="X2" s="167"/>
      <c r="Y2" s="167"/>
      <c r="Z2" s="167"/>
      <c r="AA2" s="109"/>
      <c r="AB2" s="109"/>
      <c r="AC2" s="109"/>
      <c r="AD2" s="109"/>
      <c r="AE2" s="109"/>
      <c r="AF2" s="1954"/>
      <c r="AG2" s="109"/>
      <c r="AH2" s="109"/>
      <c r="AI2" s="109"/>
    </row>
    <row r="3" spans="1:103" ht="22.5">
      <c r="A3" s="411"/>
      <c r="C3" s="167"/>
      <c r="D3" s="3143" t="s">
        <v>4037</v>
      </c>
      <c r="E3" s="3143" t="s">
        <v>3512</v>
      </c>
      <c r="G3" s="167"/>
      <c r="H3" s="167" t="s">
        <v>117</v>
      </c>
      <c r="I3" s="167"/>
      <c r="J3" s="167"/>
      <c r="K3" s="167"/>
      <c r="L3" s="167"/>
      <c r="M3" s="167"/>
      <c r="N3" s="167"/>
      <c r="O3" s="167"/>
      <c r="P3" s="167" t="s">
        <v>117</v>
      </c>
      <c r="Q3" s="167"/>
      <c r="R3" s="167"/>
      <c r="S3" s="167"/>
      <c r="T3" s="167"/>
      <c r="U3" s="167"/>
      <c r="V3" s="167"/>
      <c r="W3" s="167"/>
      <c r="X3" s="167"/>
      <c r="Y3" s="167"/>
      <c r="Z3" s="167"/>
      <c r="AA3" s="109"/>
      <c r="AB3" s="109"/>
      <c r="AC3" s="109"/>
      <c r="AD3" s="109"/>
      <c r="AE3" s="109"/>
      <c r="AF3" s="1954"/>
      <c r="AG3" s="109"/>
      <c r="AH3" s="109"/>
      <c r="AI3" s="109"/>
    </row>
    <row r="4" spans="1:103">
      <c r="A4" s="411"/>
      <c r="E4" s="168"/>
    </row>
    <row r="5" spans="1:103" ht="21" thickBot="1">
      <c r="A5" s="411"/>
      <c r="D5" s="5" t="s">
        <v>114</v>
      </c>
      <c r="G5" s="4473"/>
      <c r="H5" s="4473"/>
      <c r="I5" s="4473"/>
      <c r="J5" s="4473"/>
      <c r="K5" s="4473"/>
      <c r="L5" s="4473"/>
      <c r="M5" s="4473"/>
      <c r="N5" s="4473"/>
      <c r="O5" s="4473"/>
      <c r="P5" s="4473"/>
      <c r="Q5" s="4473"/>
      <c r="R5" s="4473"/>
      <c r="S5" s="4473"/>
    </row>
    <row r="6" spans="1:103" ht="16.5" thickBot="1">
      <c r="A6" s="411"/>
      <c r="C6" s="14"/>
      <c r="D6" s="2948">
        <f>'COS_RR (top sheet)'!$I$6</f>
        <v>2024</v>
      </c>
      <c r="H6" s="485"/>
    </row>
    <row r="7" spans="1:103" ht="16.5" thickBot="1">
      <c r="A7" s="411"/>
      <c r="F7" s="36" t="s">
        <v>674</v>
      </c>
      <c r="G7" s="37" t="s">
        <v>155</v>
      </c>
      <c r="H7" s="36" t="s">
        <v>675</v>
      </c>
      <c r="I7" s="37" t="s">
        <v>676</v>
      </c>
      <c r="J7" s="37" t="s">
        <v>677</v>
      </c>
      <c r="K7" s="37" t="s">
        <v>140</v>
      </c>
      <c r="L7" s="37" t="s">
        <v>141</v>
      </c>
      <c r="M7" s="37" t="s">
        <v>142</v>
      </c>
      <c r="N7" s="37" t="s">
        <v>143</v>
      </c>
      <c r="O7" s="37" t="s">
        <v>145</v>
      </c>
      <c r="P7" s="37" t="s">
        <v>146</v>
      </c>
      <c r="Q7" s="37" t="s">
        <v>147</v>
      </c>
      <c r="R7" s="37" t="s">
        <v>148</v>
      </c>
      <c r="S7" s="37" t="s">
        <v>149</v>
      </c>
      <c r="T7" s="37" t="s">
        <v>150</v>
      </c>
      <c r="U7" s="37" t="s">
        <v>151</v>
      </c>
      <c r="V7" s="37" t="s">
        <v>153</v>
      </c>
      <c r="W7" s="37" t="s">
        <v>154</v>
      </c>
      <c r="X7" s="37" t="s">
        <v>449</v>
      </c>
      <c r="Y7" s="37" t="s">
        <v>450</v>
      </c>
      <c r="Z7" s="37" t="s">
        <v>451</v>
      </c>
      <c r="AA7" s="37" t="s">
        <v>899</v>
      </c>
      <c r="AB7" s="37" t="s">
        <v>2634</v>
      </c>
      <c r="AC7" s="37" t="s">
        <v>2640</v>
      </c>
      <c r="AD7" s="37" t="s">
        <v>2639</v>
      </c>
      <c r="AE7" s="37" t="s">
        <v>2653</v>
      </c>
      <c r="AF7" s="1955" t="s">
        <v>2654</v>
      </c>
      <c r="AG7" s="37" t="s">
        <v>2655</v>
      </c>
      <c r="AH7" s="37" t="s">
        <v>2748</v>
      </c>
      <c r="AI7" s="37" t="s">
        <v>2759</v>
      </c>
      <c r="AK7" s="60" t="s">
        <v>611</v>
      </c>
    </row>
    <row r="8" spans="1:103" ht="15.75" customHeight="1">
      <c r="A8" s="411"/>
      <c r="F8" s="40"/>
      <c r="G8" s="6"/>
      <c r="H8" s="2504"/>
      <c r="I8" s="6"/>
      <c r="J8" s="6"/>
      <c r="K8" s="129" t="s">
        <v>123</v>
      </c>
      <c r="L8" s="4439" t="s">
        <v>125</v>
      </c>
      <c r="M8" s="4440"/>
      <c r="N8" s="4440"/>
      <c r="O8" s="4441"/>
      <c r="P8" s="4439" t="s">
        <v>125</v>
      </c>
      <c r="Q8" s="4440"/>
      <c r="R8" s="4441"/>
      <c r="S8" s="4480" t="s">
        <v>28</v>
      </c>
      <c r="T8" s="4477"/>
      <c r="U8" s="4480" t="s">
        <v>29</v>
      </c>
      <c r="V8" s="4477"/>
      <c r="W8" s="4480" t="s">
        <v>129</v>
      </c>
      <c r="X8" s="4476"/>
      <c r="Y8" s="4471" t="s">
        <v>89</v>
      </c>
      <c r="Z8" s="4471" t="s">
        <v>2644</v>
      </c>
      <c r="AA8" s="4476" t="s">
        <v>133</v>
      </c>
      <c r="AB8" s="4477"/>
      <c r="AC8" s="4476" t="s">
        <v>2641</v>
      </c>
      <c r="AD8" s="4477"/>
      <c r="AE8" s="1921"/>
      <c r="AF8" s="4406"/>
      <c r="AG8" s="4413"/>
      <c r="AH8" s="4406" t="s">
        <v>898</v>
      </c>
      <c r="AI8" s="4413"/>
      <c r="AK8" s="62">
        <v>0</v>
      </c>
      <c r="AR8" s="3"/>
      <c r="AS8" s="3"/>
      <c r="AT8" s="3"/>
      <c r="BK8" s="3"/>
      <c r="BL8" s="3"/>
      <c r="BM8" s="3"/>
      <c r="CD8" s="3"/>
      <c r="CE8" s="3"/>
      <c r="CF8" s="3"/>
    </row>
    <row r="9" spans="1:103" ht="16.5" thickBot="1">
      <c r="A9" s="411"/>
      <c r="C9" s="483"/>
      <c r="D9" s="483"/>
      <c r="E9" s="483"/>
      <c r="F9" s="484"/>
      <c r="G9" s="484"/>
      <c r="H9" s="154" t="s">
        <v>120</v>
      </c>
      <c r="I9" s="156"/>
      <c r="J9" s="149" t="s">
        <v>144</v>
      </c>
      <c r="K9" s="143" t="s">
        <v>124</v>
      </c>
      <c r="L9" s="4460" t="s">
        <v>126</v>
      </c>
      <c r="M9" s="4461"/>
      <c r="N9" s="4461"/>
      <c r="O9" s="4484"/>
      <c r="P9" s="4460" t="s">
        <v>127</v>
      </c>
      <c r="Q9" s="4461"/>
      <c r="R9" s="4484"/>
      <c r="S9" s="4481"/>
      <c r="T9" s="4482"/>
      <c r="U9" s="4481"/>
      <c r="V9" s="4482"/>
      <c r="W9" s="4481"/>
      <c r="X9" s="4483"/>
      <c r="Y9" s="4472"/>
      <c r="Z9" s="4472"/>
      <c r="AA9" s="4478"/>
      <c r="AB9" s="4479"/>
      <c r="AC9" s="4478"/>
      <c r="AD9" s="4479"/>
      <c r="AE9" s="132" t="s">
        <v>91</v>
      </c>
      <c r="AF9" s="4460" t="s">
        <v>2758</v>
      </c>
      <c r="AG9" s="4484"/>
      <c r="AH9" s="1771" t="s">
        <v>144</v>
      </c>
      <c r="AI9" s="723"/>
      <c r="AK9" s="63">
        <v>4</v>
      </c>
      <c r="AR9" s="3" t="s">
        <v>2729</v>
      </c>
      <c r="AS9" s="3" t="s">
        <v>266</v>
      </c>
      <c r="AT9" s="3" t="s">
        <v>266</v>
      </c>
      <c r="AU9" s="3" t="s">
        <v>266</v>
      </c>
      <c r="AV9" s="3" t="s">
        <v>266</v>
      </c>
      <c r="AW9" s="3" t="s">
        <v>266</v>
      </c>
      <c r="AX9" s="3" t="s">
        <v>266</v>
      </c>
      <c r="AY9" s="3" t="s">
        <v>266</v>
      </c>
      <c r="AZ9" s="3" t="s">
        <v>266</v>
      </c>
      <c r="BA9" s="3" t="s">
        <v>266</v>
      </c>
      <c r="BB9" s="3" t="s">
        <v>266</v>
      </c>
      <c r="BC9" s="3" t="s">
        <v>266</v>
      </c>
      <c r="BD9" s="3" t="s">
        <v>266</v>
      </c>
      <c r="BE9" s="3" t="s">
        <v>266</v>
      </c>
      <c r="BF9" s="3" t="s">
        <v>266</v>
      </c>
      <c r="BG9" s="3" t="s">
        <v>266</v>
      </c>
      <c r="BH9" s="3" t="s">
        <v>266</v>
      </c>
      <c r="BI9" s="3" t="s">
        <v>266</v>
      </c>
      <c r="BK9" s="3" t="s">
        <v>2729</v>
      </c>
      <c r="BL9" s="3" t="s">
        <v>266</v>
      </c>
      <c r="BM9" s="3" t="s">
        <v>266</v>
      </c>
      <c r="BN9" s="3" t="s">
        <v>266</v>
      </c>
      <c r="BO9" s="3" t="s">
        <v>266</v>
      </c>
      <c r="BP9" s="3" t="s">
        <v>266</v>
      </c>
      <c r="BQ9" s="3" t="s">
        <v>266</v>
      </c>
      <c r="BR9" s="3" t="s">
        <v>266</v>
      </c>
      <c r="BS9" s="3" t="s">
        <v>266</v>
      </c>
      <c r="BT9" s="3" t="s">
        <v>266</v>
      </c>
      <c r="BU9" s="3" t="s">
        <v>266</v>
      </c>
      <c r="BV9" s="3" t="s">
        <v>266</v>
      </c>
      <c r="BW9" s="3" t="s">
        <v>266</v>
      </c>
      <c r="BX9" s="3" t="s">
        <v>266</v>
      </c>
      <c r="BY9" s="3" t="s">
        <v>266</v>
      </c>
      <c r="BZ9" s="3" t="s">
        <v>266</v>
      </c>
      <c r="CA9" s="3" t="s">
        <v>266</v>
      </c>
      <c r="CB9" s="3" t="s">
        <v>266</v>
      </c>
      <c r="CD9" s="3" t="s">
        <v>2729</v>
      </c>
      <c r="CE9" s="3" t="s">
        <v>266</v>
      </c>
      <c r="CF9" s="3" t="s">
        <v>266</v>
      </c>
      <c r="CG9" s="3" t="s">
        <v>266</v>
      </c>
      <c r="CH9" s="3" t="s">
        <v>266</v>
      </c>
      <c r="CI9" s="3" t="s">
        <v>266</v>
      </c>
      <c r="CJ9" s="3" t="s">
        <v>266</v>
      </c>
      <c r="CK9" s="3" t="s">
        <v>266</v>
      </c>
      <c r="CL9" s="3" t="s">
        <v>266</v>
      </c>
      <c r="CM9" s="3" t="s">
        <v>266</v>
      </c>
      <c r="CN9" s="3" t="s">
        <v>266</v>
      </c>
      <c r="CO9" s="3" t="s">
        <v>266</v>
      </c>
      <c r="CP9" s="3" t="s">
        <v>266</v>
      </c>
      <c r="CQ9" s="3" t="s">
        <v>266</v>
      </c>
      <c r="CR9" s="3" t="s">
        <v>266</v>
      </c>
      <c r="CS9" s="3" t="s">
        <v>266</v>
      </c>
      <c r="CT9" s="3" t="s">
        <v>266</v>
      </c>
      <c r="CU9" s="3" t="s">
        <v>266</v>
      </c>
    </row>
    <row r="10" spans="1:103">
      <c r="A10" s="411"/>
      <c r="C10" s="482"/>
      <c r="D10" s="482"/>
      <c r="E10" s="482"/>
      <c r="F10" s="143">
        <f>D6</f>
        <v>2024</v>
      </c>
      <c r="G10" s="143" t="s">
        <v>2635</v>
      </c>
      <c r="H10" s="145"/>
      <c r="I10" s="147"/>
      <c r="J10" s="150" t="s">
        <v>152</v>
      </c>
      <c r="K10" s="143" t="s">
        <v>610</v>
      </c>
      <c r="L10" s="153"/>
      <c r="M10" s="153"/>
      <c r="N10" s="153" t="s">
        <v>2646</v>
      </c>
      <c r="O10" s="153" t="s">
        <v>2646</v>
      </c>
      <c r="P10" s="153" t="s">
        <v>128</v>
      </c>
      <c r="Q10" s="145"/>
      <c r="R10" s="145"/>
      <c r="S10" s="145"/>
      <c r="T10" s="145"/>
      <c r="U10" s="145"/>
      <c r="V10" s="145"/>
      <c r="W10" s="145"/>
      <c r="X10" s="145"/>
      <c r="Y10" s="145"/>
      <c r="Z10" s="1785"/>
      <c r="AA10" s="1769"/>
      <c r="AB10" s="145"/>
      <c r="AC10" s="1769"/>
      <c r="AD10" s="145"/>
      <c r="AE10" s="145"/>
      <c r="AF10" s="1956"/>
      <c r="AG10" s="145"/>
      <c r="AH10" s="1930"/>
      <c r="AI10" s="145"/>
      <c r="AM10" s="1784"/>
      <c r="AN10" s="4474"/>
      <c r="AO10" s="4475"/>
      <c r="AP10" s="114"/>
      <c r="AR10" s="18">
        <v>2013</v>
      </c>
      <c r="AS10" s="18">
        <v>2014</v>
      </c>
      <c r="AT10" s="18">
        <v>2015</v>
      </c>
      <c r="AU10" s="18">
        <v>2016</v>
      </c>
      <c r="AV10" s="18">
        <v>2017</v>
      </c>
      <c r="AW10" s="18">
        <v>2018</v>
      </c>
      <c r="AX10" s="18">
        <v>2019</v>
      </c>
      <c r="AY10" s="18">
        <v>2020</v>
      </c>
      <c r="AZ10" s="18">
        <v>2021</v>
      </c>
      <c r="BA10" s="18">
        <v>2022</v>
      </c>
      <c r="BB10" s="18">
        <v>2023</v>
      </c>
      <c r="BC10" s="18">
        <v>2024</v>
      </c>
      <c r="BD10" s="18">
        <v>2025</v>
      </c>
      <c r="BE10" s="18">
        <v>2026</v>
      </c>
      <c r="BF10" s="18">
        <v>2027</v>
      </c>
      <c r="BG10" s="18">
        <v>2028</v>
      </c>
      <c r="BH10" s="18">
        <v>2029</v>
      </c>
      <c r="BI10" s="18">
        <v>2030</v>
      </c>
      <c r="BK10" s="18">
        <v>2013</v>
      </c>
      <c r="BL10" s="18">
        <v>2014</v>
      </c>
      <c r="BM10" s="18">
        <v>2015</v>
      </c>
      <c r="BN10" s="18">
        <v>2016</v>
      </c>
      <c r="BO10" s="18">
        <v>2017</v>
      </c>
      <c r="BP10" s="18">
        <v>2018</v>
      </c>
      <c r="BQ10" s="18">
        <v>2019</v>
      </c>
      <c r="BR10" s="18">
        <v>2020</v>
      </c>
      <c r="BS10" s="18">
        <v>2021</v>
      </c>
      <c r="BT10" s="18">
        <v>2022</v>
      </c>
      <c r="BU10" s="18">
        <v>2023</v>
      </c>
      <c r="BV10" s="18">
        <v>2024</v>
      </c>
      <c r="BW10" s="18">
        <v>2025</v>
      </c>
      <c r="BX10" s="18">
        <v>2026</v>
      </c>
      <c r="BY10" s="18">
        <v>2027</v>
      </c>
      <c r="BZ10" s="18">
        <v>2028</v>
      </c>
      <c r="CA10" s="18">
        <v>2029</v>
      </c>
      <c r="CB10" s="18">
        <v>2030</v>
      </c>
      <c r="CD10" s="18">
        <v>2013</v>
      </c>
      <c r="CE10" s="18">
        <v>2014</v>
      </c>
      <c r="CF10" s="18">
        <v>2015</v>
      </c>
      <c r="CG10" s="18">
        <v>2016</v>
      </c>
      <c r="CH10" s="18">
        <v>2017</v>
      </c>
      <c r="CI10" s="18">
        <v>2018</v>
      </c>
      <c r="CJ10" s="18">
        <v>2019</v>
      </c>
      <c r="CK10" s="18">
        <v>2020</v>
      </c>
      <c r="CL10" s="18">
        <v>2021</v>
      </c>
      <c r="CM10" s="18">
        <v>2022</v>
      </c>
      <c r="CN10" s="18">
        <v>2023</v>
      </c>
      <c r="CO10" s="18">
        <v>2024</v>
      </c>
      <c r="CP10" s="18">
        <v>2025</v>
      </c>
      <c r="CQ10" s="18">
        <v>2026</v>
      </c>
      <c r="CR10" s="18">
        <v>2027</v>
      </c>
      <c r="CS10" s="18">
        <v>2028</v>
      </c>
      <c r="CT10" s="18">
        <v>2029</v>
      </c>
      <c r="CU10" s="18">
        <v>2030</v>
      </c>
    </row>
    <row r="11" spans="1:103">
      <c r="A11" s="411"/>
      <c r="C11" s="141" t="s">
        <v>867</v>
      </c>
      <c r="D11" s="141" t="s">
        <v>118</v>
      </c>
      <c r="E11" s="141" t="s">
        <v>386</v>
      </c>
      <c r="F11" s="132" t="s">
        <v>176</v>
      </c>
      <c r="G11" s="132" t="s">
        <v>610</v>
      </c>
      <c r="H11" s="146" t="s">
        <v>121</v>
      </c>
      <c r="I11" s="148" t="s">
        <v>122</v>
      </c>
      <c r="J11" s="131" t="s">
        <v>607</v>
      </c>
      <c r="K11" s="132" t="s">
        <v>122</v>
      </c>
      <c r="L11" s="146" t="s">
        <v>121</v>
      </c>
      <c r="M11" s="146" t="s">
        <v>122</v>
      </c>
      <c r="N11" s="146" t="s">
        <v>2756</v>
      </c>
      <c r="O11" s="146" t="s">
        <v>122</v>
      </c>
      <c r="P11" s="146" t="s">
        <v>610</v>
      </c>
      <c r="Q11" s="146" t="s">
        <v>121</v>
      </c>
      <c r="R11" s="146" t="s">
        <v>122</v>
      </c>
      <c r="S11" s="146" t="s">
        <v>121</v>
      </c>
      <c r="T11" s="146" t="s">
        <v>122</v>
      </c>
      <c r="U11" s="146" t="s">
        <v>121</v>
      </c>
      <c r="V11" s="146" t="s">
        <v>122</v>
      </c>
      <c r="W11" s="146" t="s">
        <v>121</v>
      </c>
      <c r="X11" s="146" t="s">
        <v>122</v>
      </c>
      <c r="Y11" s="146" t="s">
        <v>2745</v>
      </c>
      <c r="Z11" s="146" t="s">
        <v>2633</v>
      </c>
      <c r="AA11" s="1770" t="s">
        <v>121</v>
      </c>
      <c r="AB11" s="146" t="s">
        <v>122</v>
      </c>
      <c r="AC11" s="1770" t="s">
        <v>121</v>
      </c>
      <c r="AD11" s="146" t="s">
        <v>122</v>
      </c>
      <c r="AE11" s="146" t="s">
        <v>122</v>
      </c>
      <c r="AF11" s="1957" t="s">
        <v>121</v>
      </c>
      <c r="AG11" s="146" t="s">
        <v>122</v>
      </c>
      <c r="AH11" s="1770" t="s">
        <v>121</v>
      </c>
      <c r="AI11" s="146" t="s">
        <v>122</v>
      </c>
      <c r="AM11" s="1782" t="s">
        <v>220</v>
      </c>
      <c r="AN11" s="1778" t="s">
        <v>984</v>
      </c>
      <c r="AO11" s="10" t="s">
        <v>2757</v>
      </c>
      <c r="AP11" s="1779" t="s">
        <v>2631</v>
      </c>
      <c r="AR11" s="261" t="s">
        <v>984</v>
      </c>
      <c r="AS11" s="261" t="s">
        <v>984</v>
      </c>
      <c r="AT11" s="261" t="s">
        <v>984</v>
      </c>
      <c r="AU11" s="261" t="s">
        <v>984</v>
      </c>
      <c r="AV11" s="261" t="s">
        <v>984</v>
      </c>
      <c r="AW11" s="261" t="s">
        <v>984</v>
      </c>
      <c r="AX11" s="261" t="s">
        <v>984</v>
      </c>
      <c r="AY11" s="261" t="s">
        <v>984</v>
      </c>
      <c r="AZ11" s="261" t="s">
        <v>984</v>
      </c>
      <c r="BA11" s="261" t="s">
        <v>984</v>
      </c>
      <c r="BB11" s="261" t="s">
        <v>984</v>
      </c>
      <c r="BC11" s="261" t="s">
        <v>984</v>
      </c>
      <c r="BD11" s="261" t="s">
        <v>984</v>
      </c>
      <c r="BE11" s="261" t="s">
        <v>984</v>
      </c>
      <c r="BF11" s="261" t="s">
        <v>984</v>
      </c>
      <c r="BG11" s="261" t="s">
        <v>984</v>
      </c>
      <c r="BH11" s="261" t="s">
        <v>984</v>
      </c>
      <c r="BI11" s="261" t="s">
        <v>984</v>
      </c>
      <c r="BK11" s="236" t="s">
        <v>2757</v>
      </c>
      <c r="BL11" s="236" t="s">
        <v>2757</v>
      </c>
      <c r="BM11" s="236" t="s">
        <v>2757</v>
      </c>
      <c r="BN11" s="236" t="s">
        <v>2757</v>
      </c>
      <c r="BO11" s="236" t="s">
        <v>2757</v>
      </c>
      <c r="BP11" s="236" t="s">
        <v>2757</v>
      </c>
      <c r="BQ11" s="236" t="s">
        <v>2757</v>
      </c>
      <c r="BR11" s="236" t="s">
        <v>2757</v>
      </c>
      <c r="BS11" s="236" t="s">
        <v>2757</v>
      </c>
      <c r="BT11" s="236" t="s">
        <v>2757</v>
      </c>
      <c r="BU11" s="236" t="s">
        <v>2757</v>
      </c>
      <c r="BV11" s="236" t="s">
        <v>2757</v>
      </c>
      <c r="BW11" s="236" t="s">
        <v>2757</v>
      </c>
      <c r="BX11" s="236" t="s">
        <v>2757</v>
      </c>
      <c r="BY11" s="236" t="s">
        <v>2757</v>
      </c>
      <c r="BZ11" s="236" t="s">
        <v>2757</v>
      </c>
      <c r="CA11" s="236" t="s">
        <v>2757</v>
      </c>
      <c r="CB11" s="236" t="s">
        <v>2757</v>
      </c>
      <c r="CD11" s="236" t="s">
        <v>2631</v>
      </c>
      <c r="CE11" s="236" t="s">
        <v>2631</v>
      </c>
      <c r="CF11" s="236" t="s">
        <v>2631</v>
      </c>
      <c r="CG11" s="236" t="s">
        <v>2631</v>
      </c>
      <c r="CH11" s="236" t="s">
        <v>2631</v>
      </c>
      <c r="CI11" s="236" t="s">
        <v>2631</v>
      </c>
      <c r="CJ11" s="236" t="s">
        <v>2631</v>
      </c>
      <c r="CK11" s="236" t="s">
        <v>2631</v>
      </c>
      <c r="CL11" s="236" t="s">
        <v>2631</v>
      </c>
      <c r="CM11" s="236" t="s">
        <v>2631</v>
      </c>
      <c r="CN11" s="236" t="s">
        <v>2631</v>
      </c>
      <c r="CO11" s="236" t="s">
        <v>2631</v>
      </c>
      <c r="CP11" s="236" t="s">
        <v>2631</v>
      </c>
      <c r="CQ11" s="236" t="s">
        <v>2631</v>
      </c>
      <c r="CR11" s="236" t="s">
        <v>2631</v>
      </c>
      <c r="CS11" s="236" t="s">
        <v>2631</v>
      </c>
      <c r="CT11" s="236" t="s">
        <v>2631</v>
      </c>
      <c r="CU11" s="236" t="s">
        <v>2631</v>
      </c>
      <c r="CY11" s="3" t="s">
        <v>2642</v>
      </c>
    </row>
    <row r="12" spans="1:103" s="18" customFormat="1" ht="16.5" customHeight="1">
      <c r="A12" s="411"/>
      <c r="C12" s="261"/>
      <c r="D12" s="261"/>
      <c r="E12" s="261"/>
      <c r="F12" s="261" t="s">
        <v>156</v>
      </c>
      <c r="G12" s="372"/>
      <c r="H12" s="372" t="s">
        <v>156</v>
      </c>
      <c r="I12" s="372"/>
      <c r="J12" s="373" t="s">
        <v>157</v>
      </c>
      <c r="K12" s="372"/>
      <c r="L12" s="372" t="s">
        <v>157</v>
      </c>
      <c r="M12" s="372"/>
      <c r="N12" s="372" t="s">
        <v>2647</v>
      </c>
      <c r="O12" s="372"/>
      <c r="P12" s="372"/>
      <c r="Q12" s="372" t="s">
        <v>157</v>
      </c>
      <c r="R12" s="372"/>
      <c r="S12" s="372" t="s">
        <v>157</v>
      </c>
      <c r="T12" s="372"/>
      <c r="U12" s="372" t="s">
        <v>157</v>
      </c>
      <c r="V12" s="372"/>
      <c r="W12" s="372" t="s">
        <v>157</v>
      </c>
      <c r="X12" s="372"/>
      <c r="Y12" s="373" t="s">
        <v>157</v>
      </c>
      <c r="Z12" s="373" t="s">
        <v>157</v>
      </c>
      <c r="AA12" s="372" t="s">
        <v>157</v>
      </c>
      <c r="AB12" s="372"/>
      <c r="AC12" s="372" t="s">
        <v>157</v>
      </c>
      <c r="AD12" s="372"/>
      <c r="AE12" s="372"/>
      <c r="AF12" s="1958" t="s">
        <v>157</v>
      </c>
      <c r="AG12" s="372"/>
      <c r="AH12" s="372" t="s">
        <v>157</v>
      </c>
      <c r="AI12" s="372"/>
      <c r="AK12"/>
      <c r="AM12" s="1782">
        <v>1</v>
      </c>
      <c r="AN12" s="1918">
        <f t="shared" ref="AN12:AN20" si="0">INDEX($AR12:$BI12,1,MATCH($D$6,$AR$10:$BI$10,0))</f>
        <v>0.26593490376949253</v>
      </c>
      <c r="AO12" s="1952">
        <f t="shared" ref="AO12:AO20" si="1">INDEX($BK12:$CB12,1,MATCH($D$6,$BK$10:$CB$10,0))*1000</f>
        <v>195000.25960692603</v>
      </c>
      <c r="AP12" s="3005">
        <f t="shared" ref="AP12:AP20" si="2">INDEX($CD12:$CU12,1,MATCH($D$6,$CD$10:$CU$10,0))</f>
        <v>0.38</v>
      </c>
      <c r="AR12" s="1764">
        <v>0.27040482143226535</v>
      </c>
      <c r="AS12" s="1764">
        <v>0.27389371163629067</v>
      </c>
      <c r="AT12" s="4208">
        <v>0.27591659927836809</v>
      </c>
      <c r="AU12" s="4209">
        <v>0.27658536505037246</v>
      </c>
      <c r="AV12" s="4209">
        <v>0.26593490376949253</v>
      </c>
      <c r="AW12" s="4209">
        <v>0.26593490376949253</v>
      </c>
      <c r="AX12" s="4209">
        <v>0.26593490376949253</v>
      </c>
      <c r="AY12" s="4209">
        <v>0.26593490376949253</v>
      </c>
      <c r="AZ12" s="4209">
        <v>0.26593490376949253</v>
      </c>
      <c r="BA12" s="4209">
        <v>0.26593490376949253</v>
      </c>
      <c r="BB12" s="4209">
        <v>0.26593490376949253</v>
      </c>
      <c r="BC12" s="4209">
        <v>0.26593490376949253</v>
      </c>
      <c r="BD12" s="4209">
        <v>0.26593490376949253</v>
      </c>
      <c r="BE12" s="4209">
        <v>0.26593490376949253</v>
      </c>
      <c r="BF12" s="1926">
        <f t="shared" ref="BF12:BI12" si="3">BE12</f>
        <v>0.26593490376949253</v>
      </c>
      <c r="BG12" s="1926">
        <f t="shared" si="3"/>
        <v>0.26593490376949253</v>
      </c>
      <c r="BH12" s="1926">
        <f t="shared" si="3"/>
        <v>0.26593490376949253</v>
      </c>
      <c r="BI12" s="1926">
        <f t="shared" si="3"/>
        <v>0.26593490376949253</v>
      </c>
      <c r="BK12" s="1949">
        <v>132.00940071229113</v>
      </c>
      <c r="BL12" s="1949">
        <v>143.69089209764283</v>
      </c>
      <c r="BM12" s="4211">
        <v>161.27034385648852</v>
      </c>
      <c r="BN12" s="4212">
        <v>158.62563376551063</v>
      </c>
      <c r="BO12" s="4212">
        <v>170.24982504679943</v>
      </c>
      <c r="BP12" s="4212">
        <v>174.15049208489111</v>
      </c>
      <c r="BQ12" s="4212">
        <v>178.52064122996265</v>
      </c>
      <c r="BR12" s="4212">
        <v>182.08806698490324</v>
      </c>
      <c r="BS12" s="4212">
        <v>185.41629647917901</v>
      </c>
      <c r="BT12" s="4212">
        <v>188.41996003166403</v>
      </c>
      <c r="BU12" s="4212">
        <v>191.67501181931837</v>
      </c>
      <c r="BV12" s="4212">
        <v>195.00025960692602</v>
      </c>
      <c r="BW12" s="4212">
        <v>198.0430112599214</v>
      </c>
      <c r="BX12" s="4212">
        <v>201.10759066773821</v>
      </c>
      <c r="BY12" s="2002" t="e">
        <f>BX12*(1+Cust_Esca!#REF!)</f>
        <v>#REF!</v>
      </c>
      <c r="BZ12" s="2002" t="e">
        <f>BY12*(1+Cust_Esca!#REF!)</f>
        <v>#REF!</v>
      </c>
      <c r="CA12" s="2002" t="e">
        <f>BZ12*(1+Cust_Esca!V$58)</f>
        <v>#REF!</v>
      </c>
      <c r="CB12" s="2002" t="e">
        <f>CA12*(1+Cust_Esca!W$58)</f>
        <v>#REF!</v>
      </c>
      <c r="CD12" s="3000">
        <v>0.35</v>
      </c>
      <c r="CE12" s="3001">
        <f>CD12*(1+Cust_Esca!Z$58)</f>
        <v>0.35</v>
      </c>
      <c r="CF12" s="4215">
        <v>0.38</v>
      </c>
      <c r="CG12" s="4215">
        <v>0.38</v>
      </c>
      <c r="CH12" s="4215">
        <v>0.38</v>
      </c>
      <c r="CI12" s="4215">
        <v>0.38</v>
      </c>
      <c r="CJ12" s="4215">
        <v>0.38</v>
      </c>
      <c r="CK12" s="4215">
        <v>0.38</v>
      </c>
      <c r="CL12" s="4215">
        <v>0.38</v>
      </c>
      <c r="CM12" s="4215">
        <v>0.38</v>
      </c>
      <c r="CN12" s="4215">
        <v>0.38</v>
      </c>
      <c r="CO12" s="4215">
        <v>0.38</v>
      </c>
      <c r="CP12" s="4215">
        <v>0.38</v>
      </c>
      <c r="CQ12" s="4215">
        <v>0.38</v>
      </c>
      <c r="CR12" s="3001">
        <f>CQ12*(1+Cust_Esca!AM$58)</f>
        <v>0.38</v>
      </c>
      <c r="CS12" s="3001">
        <f>CR12*(1+Cust_Esca!AN$58)</f>
        <v>0.38</v>
      </c>
      <c r="CT12" s="3001">
        <f>CS12*(1+Cust_Esca!AO$58)</f>
        <v>0.38</v>
      </c>
      <c r="CU12" s="3001">
        <f>CT12*(1+Cust_Esca!AP$58)</f>
        <v>0.38</v>
      </c>
      <c r="CV12" s="2002"/>
      <c r="CW12" s="2002"/>
      <c r="CX12" s="2002"/>
    </row>
    <row r="13" spans="1:103" s="3" customFormat="1">
      <c r="A13" s="411"/>
      <c r="C13" s="236"/>
      <c r="D13" s="236" t="s">
        <v>209</v>
      </c>
      <c r="E13" s="236"/>
      <c r="F13" s="236"/>
      <c r="G13" s="236"/>
      <c r="H13" s="374" t="s">
        <v>872</v>
      </c>
      <c r="I13" s="236" t="s">
        <v>158</v>
      </c>
      <c r="J13" s="374" t="s">
        <v>873</v>
      </c>
      <c r="K13" s="702"/>
      <c r="L13" s="374" t="s">
        <v>849</v>
      </c>
      <c r="M13" s="236" t="s">
        <v>159</v>
      </c>
      <c r="N13" s="374"/>
      <c r="O13" s="236" t="s">
        <v>2762</v>
      </c>
      <c r="P13" s="236"/>
      <c r="Q13" s="236" t="s">
        <v>2649</v>
      </c>
      <c r="R13" s="236" t="s">
        <v>160</v>
      </c>
      <c r="S13" s="236" t="s">
        <v>2727</v>
      </c>
      <c r="T13" s="236" t="s">
        <v>87</v>
      </c>
      <c r="U13" s="236" t="s">
        <v>2726</v>
      </c>
      <c r="V13" s="236" t="s">
        <v>88</v>
      </c>
      <c r="W13" s="236" t="s">
        <v>2728</v>
      </c>
      <c r="X13" s="236" t="s">
        <v>161</v>
      </c>
      <c r="Y13" s="236" t="s">
        <v>2650</v>
      </c>
      <c r="Z13" s="236" t="s">
        <v>2650</v>
      </c>
      <c r="AA13" s="374" t="s">
        <v>2651</v>
      </c>
      <c r="AB13" s="236" t="str">
        <f>$CY$13</f>
        <v>AED</v>
      </c>
      <c r="AC13" s="374" t="s">
        <v>2652</v>
      </c>
      <c r="AD13" s="236" t="str">
        <f>$CY$14</f>
        <v>AED 12CP</v>
      </c>
      <c r="AE13" s="236" t="str">
        <f>$CY$15</f>
        <v>12CP</v>
      </c>
      <c r="AF13" s="1959"/>
      <c r="AG13" s="236" t="s">
        <v>2757</v>
      </c>
      <c r="AH13" s="374"/>
      <c r="AI13" s="236" t="s">
        <v>518</v>
      </c>
      <c r="AK13"/>
      <c r="AM13" s="1782">
        <v>2</v>
      </c>
      <c r="AN13" s="1918">
        <f t="shared" si="0"/>
        <v>0.16269509189960435</v>
      </c>
      <c r="AO13" s="1952">
        <f t="shared" si="1"/>
        <v>128133.36507151295</v>
      </c>
      <c r="AP13" s="3005">
        <f t="shared" si="2"/>
        <v>0.35</v>
      </c>
      <c r="AR13" s="1764">
        <v>0.17192991357564913</v>
      </c>
      <c r="AS13" s="1764">
        <v>0.16987233401027163</v>
      </c>
      <c r="AT13" s="4208">
        <v>0.1638771212012575</v>
      </c>
      <c r="AU13" s="4209">
        <v>0.16877669539180989</v>
      </c>
      <c r="AV13" s="4209">
        <v>0.16269509189960435</v>
      </c>
      <c r="AW13" s="4209">
        <v>0.16269509189960435</v>
      </c>
      <c r="AX13" s="4209">
        <v>0.16269509189960435</v>
      </c>
      <c r="AY13" s="4209">
        <v>0.16269509189960435</v>
      </c>
      <c r="AZ13" s="4209">
        <v>0.16269509189960435</v>
      </c>
      <c r="BA13" s="4209">
        <v>0.16269509189960435</v>
      </c>
      <c r="BB13" s="4209">
        <v>0.16269509189960435</v>
      </c>
      <c r="BC13" s="4209">
        <v>0.16269509189960435</v>
      </c>
      <c r="BD13" s="4209">
        <v>0.16269509189960435</v>
      </c>
      <c r="BE13" s="4209">
        <v>0.16269509189960435</v>
      </c>
      <c r="BF13" s="1926">
        <f t="shared" ref="BF13:BI20" si="4">BE13</f>
        <v>0.16269509189960435</v>
      </c>
      <c r="BG13" s="1926">
        <f t="shared" si="4"/>
        <v>0.16269509189960435</v>
      </c>
      <c r="BH13" s="1926">
        <f t="shared" si="4"/>
        <v>0.16269509189960435</v>
      </c>
      <c r="BI13" s="1926">
        <f t="shared" si="4"/>
        <v>0.16269509189960435</v>
      </c>
      <c r="BK13" s="1949">
        <v>79.601693252176645</v>
      </c>
      <c r="BL13" s="1949">
        <v>84.501230295346971</v>
      </c>
      <c r="BM13" s="4211">
        <v>101.84158417567286</v>
      </c>
      <c r="BN13" s="4212">
        <v>89.423848987113757</v>
      </c>
      <c r="BO13" s="4212">
        <v>110.51835982576509</v>
      </c>
      <c r="BP13" s="4212">
        <v>113.33607346035345</v>
      </c>
      <c r="BQ13" s="4212">
        <v>116.44207556985776</v>
      </c>
      <c r="BR13" s="4212">
        <v>119.00293175957668</v>
      </c>
      <c r="BS13" s="4212">
        <v>121.38700955996244</v>
      </c>
      <c r="BT13" s="4212">
        <v>123.5350650078028</v>
      </c>
      <c r="BU13" s="4212">
        <v>125.82338030103683</v>
      </c>
      <c r="BV13" s="4212">
        <v>128.13336507151294</v>
      </c>
      <c r="BW13" s="4212">
        <v>130.23208484651417</v>
      </c>
      <c r="BX13" s="4212">
        <v>132.31877140684003</v>
      </c>
      <c r="BY13" s="2002" t="e">
        <f>BX13*(1+Cust_Esca!#REF!)</f>
        <v>#REF!</v>
      </c>
      <c r="BZ13" s="2002" t="e">
        <f>BY13*(1+Cust_Esca!#REF!)</f>
        <v>#REF!</v>
      </c>
      <c r="CA13" s="2002" t="e">
        <f>BZ13*(1+Cust_Esca!V$58)</f>
        <v>#REF!</v>
      </c>
      <c r="CB13" s="2002" t="e">
        <f>CA13*(1+Cust_Esca!W$58)</f>
        <v>#REF!</v>
      </c>
      <c r="CD13" s="3000">
        <v>0.35</v>
      </c>
      <c r="CE13" s="3001">
        <f>CD13*(1+Cust_Esca!Z$58)</f>
        <v>0.35</v>
      </c>
      <c r="CF13" s="4215">
        <v>0.35</v>
      </c>
      <c r="CG13" s="4215">
        <v>0.35</v>
      </c>
      <c r="CH13" s="4215">
        <v>0.35</v>
      </c>
      <c r="CI13" s="4215">
        <v>0.35</v>
      </c>
      <c r="CJ13" s="4215">
        <v>0.35</v>
      </c>
      <c r="CK13" s="4215">
        <v>0.35</v>
      </c>
      <c r="CL13" s="4215">
        <v>0.35</v>
      </c>
      <c r="CM13" s="4215">
        <v>0.35</v>
      </c>
      <c r="CN13" s="4215">
        <v>0.35</v>
      </c>
      <c r="CO13" s="4215">
        <v>0.35</v>
      </c>
      <c r="CP13" s="4215">
        <v>0.35</v>
      </c>
      <c r="CQ13" s="4215">
        <v>0.35</v>
      </c>
      <c r="CR13" s="3001">
        <f>CQ13*(1+Cust_Esca!AM$58)</f>
        <v>0.35</v>
      </c>
      <c r="CS13" s="3001">
        <f>CR13*(1+Cust_Esca!AN$58)</f>
        <v>0.35</v>
      </c>
      <c r="CT13" s="3001">
        <f>CS13*(1+Cust_Esca!AO$58)</f>
        <v>0.35</v>
      </c>
      <c r="CU13" s="3001">
        <f>CT13*(1+Cust_Esca!AP$58)</f>
        <v>0.35</v>
      </c>
      <c r="CV13" s="2002"/>
      <c r="CW13" s="2002"/>
      <c r="CX13" s="2002"/>
      <c r="CY13" s="1742" t="s">
        <v>471</v>
      </c>
    </row>
    <row r="14" spans="1:103" s="18" customFormat="1">
      <c r="A14" s="411"/>
      <c r="C14" s="261"/>
      <c r="D14" s="372"/>
      <c r="E14" s="702"/>
      <c r="F14" s="702"/>
      <c r="G14" s="702"/>
      <c r="H14" s="1773"/>
      <c r="I14" s="702"/>
      <c r="J14" s="702"/>
      <c r="K14" s="702"/>
      <c r="L14" s="702"/>
      <c r="M14" s="702"/>
      <c r="N14" s="702"/>
      <c r="O14" s="702"/>
      <c r="P14" s="702"/>
      <c r="Q14" s="702"/>
      <c r="R14" s="702"/>
      <c r="S14" s="702"/>
      <c r="T14" s="702"/>
      <c r="U14" s="702"/>
      <c r="V14" s="702"/>
      <c r="W14" s="702"/>
      <c r="X14" s="702"/>
      <c r="Y14" s="702"/>
      <c r="Z14" s="702"/>
      <c r="AA14" s="702"/>
      <c r="AB14" s="702"/>
      <c r="AC14" s="702"/>
      <c r="AD14" s="702"/>
      <c r="AE14" s="702"/>
      <c r="AF14" s="1960"/>
      <c r="AG14" s="702"/>
      <c r="AH14" s="702"/>
      <c r="AI14" s="702"/>
      <c r="AK14"/>
      <c r="AM14" s="1782">
        <v>3</v>
      </c>
      <c r="AN14" s="1918">
        <f t="shared" si="0"/>
        <v>0.11575417479794141</v>
      </c>
      <c r="AO14" s="1952">
        <f t="shared" si="1"/>
        <v>179159.49740399179</v>
      </c>
      <c r="AP14" s="3005">
        <f t="shared" si="2"/>
        <v>0.35</v>
      </c>
      <c r="AR14" s="1764">
        <v>0.13832027691855212</v>
      </c>
      <c r="AS14" s="1764">
        <v>0.13737133236129032</v>
      </c>
      <c r="AT14" s="4208">
        <v>0.11080058105496536</v>
      </c>
      <c r="AU14" s="4209">
        <v>0.1270184289656984</v>
      </c>
      <c r="AV14" s="4209">
        <v>0.11575417479794141</v>
      </c>
      <c r="AW14" s="4209">
        <v>0.11575417479794141</v>
      </c>
      <c r="AX14" s="4209">
        <v>0.11575417479794141</v>
      </c>
      <c r="AY14" s="4209">
        <v>0.11575417479794141</v>
      </c>
      <c r="AZ14" s="4209">
        <v>0.11575417479794141</v>
      </c>
      <c r="BA14" s="4209">
        <v>0.11575417479794141</v>
      </c>
      <c r="BB14" s="4209">
        <v>0.11575417479794141</v>
      </c>
      <c r="BC14" s="4209">
        <v>0.11575417479794141</v>
      </c>
      <c r="BD14" s="4209">
        <v>0.11575417479794141</v>
      </c>
      <c r="BE14" s="4209">
        <v>0.11575417479794141</v>
      </c>
      <c r="BF14" s="1926">
        <f t="shared" si="4"/>
        <v>0.11575417479794141</v>
      </c>
      <c r="BG14" s="1926">
        <f t="shared" si="4"/>
        <v>0.11575417479794141</v>
      </c>
      <c r="BH14" s="1926">
        <f t="shared" si="4"/>
        <v>0.11575417479794141</v>
      </c>
      <c r="BI14" s="1926">
        <f t="shared" si="4"/>
        <v>0.11575417479794141</v>
      </c>
      <c r="BK14" s="1949">
        <v>175.58036793914056</v>
      </c>
      <c r="BL14" s="1949">
        <v>187.01445820932744</v>
      </c>
      <c r="BM14" s="4211">
        <v>158.51111763515934</v>
      </c>
      <c r="BN14" s="4212">
        <v>186.26594528506428</v>
      </c>
      <c r="BO14" s="4212">
        <v>158.0666847320623</v>
      </c>
      <c r="BP14" s="4212">
        <v>161.52781107899042</v>
      </c>
      <c r="BQ14" s="4212">
        <v>165.38807306241372</v>
      </c>
      <c r="BR14" s="4212">
        <v>168.4675927315968</v>
      </c>
      <c r="BS14" s="4212">
        <v>171.28905801136892</v>
      </c>
      <c r="BT14" s="4212">
        <v>173.77400488741608</v>
      </c>
      <c r="BU14" s="4212">
        <v>176.45360286733569</v>
      </c>
      <c r="BV14" s="4212">
        <v>179.15949740399179</v>
      </c>
      <c r="BW14" s="4212">
        <v>181.5673506309119</v>
      </c>
      <c r="BX14" s="4212">
        <v>183.95673953125365</v>
      </c>
      <c r="BY14" s="2002" t="e">
        <f>BX14*(1+Cust_Esca!#REF!)</f>
        <v>#REF!</v>
      </c>
      <c r="BZ14" s="2002" t="e">
        <f>BY14*(1+Cust_Esca!#REF!)</f>
        <v>#REF!</v>
      </c>
      <c r="CA14" s="2002" t="e">
        <f>BZ14*(1+Cust_Esca!V$58)</f>
        <v>#REF!</v>
      </c>
      <c r="CB14" s="2002" t="e">
        <f>CA14*(1+Cust_Esca!W$58)</f>
        <v>#REF!</v>
      </c>
      <c r="CD14" s="3000">
        <v>0.35</v>
      </c>
      <c r="CE14" s="3001">
        <f>CD14*(1+Cust_Esca!Z$58)</f>
        <v>0.35</v>
      </c>
      <c r="CF14" s="4215">
        <v>0.35</v>
      </c>
      <c r="CG14" s="4215">
        <v>0.35</v>
      </c>
      <c r="CH14" s="4215">
        <v>0.35</v>
      </c>
      <c r="CI14" s="4215">
        <v>0.35</v>
      </c>
      <c r="CJ14" s="4215">
        <v>0.35</v>
      </c>
      <c r="CK14" s="4215">
        <v>0.35</v>
      </c>
      <c r="CL14" s="4215">
        <v>0.35</v>
      </c>
      <c r="CM14" s="4215">
        <v>0.35</v>
      </c>
      <c r="CN14" s="4215">
        <v>0.35</v>
      </c>
      <c r="CO14" s="4215">
        <v>0.35</v>
      </c>
      <c r="CP14" s="4215">
        <v>0.35</v>
      </c>
      <c r="CQ14" s="4215">
        <v>0.35</v>
      </c>
      <c r="CR14" s="3001">
        <f>CQ14*(1+Cust_Esca!AM$58)</f>
        <v>0.35</v>
      </c>
      <c r="CS14" s="3001">
        <f>CR14*(1+Cust_Esca!AN$58)</f>
        <v>0.35</v>
      </c>
      <c r="CT14" s="3001">
        <f>CS14*(1+Cust_Esca!AO$58)</f>
        <v>0.35</v>
      </c>
      <c r="CU14" s="3001">
        <f>CT14*(1+Cust_Esca!AP$58)</f>
        <v>0.35</v>
      </c>
      <c r="CV14" s="2002"/>
      <c r="CW14" s="2002"/>
      <c r="CX14" s="2002"/>
      <c r="CY14" s="1742" t="s">
        <v>2633</v>
      </c>
    </row>
    <row r="15" spans="1:103">
      <c r="A15" s="411"/>
      <c r="C15" s="1"/>
      <c r="D15" s="60" t="s">
        <v>24</v>
      </c>
      <c r="E15" s="372"/>
      <c r="G15" s="1"/>
      <c r="H15" s="1"/>
      <c r="I15" s="1"/>
      <c r="J15" s="1"/>
      <c r="K15" s="1"/>
      <c r="L15" s="1"/>
      <c r="M15" s="1"/>
      <c r="N15" s="1"/>
      <c r="O15" s="1"/>
      <c r="P15" s="1"/>
      <c r="Q15" s="1"/>
      <c r="R15" s="1"/>
      <c r="S15" s="1"/>
      <c r="T15" s="1"/>
      <c r="U15" s="1"/>
      <c r="V15" s="1"/>
      <c r="W15" s="1"/>
      <c r="X15" s="1"/>
      <c r="Y15" s="1"/>
      <c r="Z15" s="1"/>
      <c r="AA15" s="1"/>
      <c r="AB15" s="1"/>
      <c r="AC15" s="1"/>
      <c r="AD15" s="1"/>
      <c r="AE15" s="1"/>
      <c r="AF15" s="339"/>
      <c r="AG15" s="1"/>
      <c r="AH15" s="1"/>
      <c r="AI15" s="1"/>
      <c r="AM15" s="1782">
        <v>7</v>
      </c>
      <c r="AN15" s="1918">
        <f t="shared" si="0"/>
        <v>5.1403470286966464E-2</v>
      </c>
      <c r="AO15" s="1952">
        <f t="shared" si="1"/>
        <v>48020.767919707032</v>
      </c>
      <c r="AP15" s="3005">
        <f t="shared" si="2"/>
        <v>0.6</v>
      </c>
      <c r="AR15" s="1764">
        <v>6.9279670603791213E-2</v>
      </c>
      <c r="AS15" s="1764">
        <v>6.9202720101342069E-2</v>
      </c>
      <c r="AT15" s="4208">
        <v>6.0089050521963561E-2</v>
      </c>
      <c r="AU15" s="4209">
        <v>5.3107112386370024E-2</v>
      </c>
      <c r="AV15" s="4209">
        <v>5.1403470286966464E-2</v>
      </c>
      <c r="AW15" s="4209">
        <v>5.1403470286966464E-2</v>
      </c>
      <c r="AX15" s="4209">
        <v>5.1403470286966464E-2</v>
      </c>
      <c r="AY15" s="4209">
        <v>5.1403470286966464E-2</v>
      </c>
      <c r="AZ15" s="4209">
        <v>5.1403470286966464E-2</v>
      </c>
      <c r="BA15" s="4209">
        <v>5.1403470286966464E-2</v>
      </c>
      <c r="BB15" s="4209">
        <v>5.1403470286966464E-2</v>
      </c>
      <c r="BC15" s="4209">
        <v>5.1403470286966464E-2</v>
      </c>
      <c r="BD15" s="4209">
        <v>5.1403470286966464E-2</v>
      </c>
      <c r="BE15" s="4209">
        <v>5.1403470286966464E-2</v>
      </c>
      <c r="BF15" s="1926">
        <f t="shared" si="4"/>
        <v>5.1403470286966464E-2</v>
      </c>
      <c r="BG15" s="1926">
        <f t="shared" si="4"/>
        <v>5.1403470286966464E-2</v>
      </c>
      <c r="BH15" s="1926">
        <f t="shared" si="4"/>
        <v>5.1403470286966464E-2</v>
      </c>
      <c r="BI15" s="1926">
        <f t="shared" si="4"/>
        <v>5.1403470286966464E-2</v>
      </c>
      <c r="BK15" s="1949">
        <v>43.466851333500848</v>
      </c>
      <c r="BL15" s="1949">
        <v>46.628145991552678</v>
      </c>
      <c r="BM15" s="4211">
        <v>42.601491925364272</v>
      </c>
      <c r="BN15" s="4212">
        <v>36.932900931620566</v>
      </c>
      <c r="BO15" s="4212">
        <v>39.929842369387046</v>
      </c>
      <c r="BP15" s="4212">
        <v>41.074983885583599</v>
      </c>
      <c r="BQ15" s="4212">
        <v>42.327029988406906</v>
      </c>
      <c r="BR15" s="4212">
        <v>43.383873260301712</v>
      </c>
      <c r="BS15" s="4212">
        <v>44.776865699848237</v>
      </c>
      <c r="BT15" s="4212">
        <v>45.685639504487007</v>
      </c>
      <c r="BU15" s="4212">
        <v>46.647080695313981</v>
      </c>
      <c r="BV15" s="4212">
        <v>48.020767919707033</v>
      </c>
      <c r="BW15" s="4212">
        <v>48.913735846580877</v>
      </c>
      <c r="BX15" s="4212">
        <v>50.207453480617296</v>
      </c>
      <c r="BY15" s="2002" t="e">
        <f>BX15*(1+Cust_Esca!#REF!)</f>
        <v>#REF!</v>
      </c>
      <c r="BZ15" s="2002" t="e">
        <f>BY15*(1+Cust_Esca!#REF!)</f>
        <v>#REF!</v>
      </c>
      <c r="CA15" s="2002" t="e">
        <f>BZ15*(1+Cust_Esca!V$58)</f>
        <v>#REF!</v>
      </c>
      <c r="CB15" s="2002" t="e">
        <f>CA15*(1+Cust_Esca!W$58)</f>
        <v>#REF!</v>
      </c>
      <c r="CD15" s="3000">
        <v>0.6</v>
      </c>
      <c r="CE15" s="3001">
        <f>CD15*(1+Cust_Esca!Z$58)</f>
        <v>0.6</v>
      </c>
      <c r="CF15" s="4215">
        <v>0.6</v>
      </c>
      <c r="CG15" s="4215">
        <v>0.6</v>
      </c>
      <c r="CH15" s="4215">
        <v>0.6</v>
      </c>
      <c r="CI15" s="4215">
        <v>0.6</v>
      </c>
      <c r="CJ15" s="4215">
        <v>0.6</v>
      </c>
      <c r="CK15" s="4215">
        <v>0.6</v>
      </c>
      <c r="CL15" s="4215">
        <v>0.6</v>
      </c>
      <c r="CM15" s="4215">
        <v>0.6</v>
      </c>
      <c r="CN15" s="4215">
        <v>0.6</v>
      </c>
      <c r="CO15" s="4215">
        <v>0.6</v>
      </c>
      <c r="CP15" s="4215">
        <v>0.6</v>
      </c>
      <c r="CQ15" s="4215">
        <v>0.6</v>
      </c>
      <c r="CR15" s="3001">
        <f>CQ15*(1+Cust_Esca!AM$58)</f>
        <v>0.6</v>
      </c>
      <c r="CS15" s="3001">
        <f>CR15*(1+Cust_Esca!AN$58)</f>
        <v>0.6</v>
      </c>
      <c r="CT15" s="3001">
        <f>CS15*(1+Cust_Esca!AO$58)</f>
        <v>0.6</v>
      </c>
      <c r="CU15" s="3001">
        <f>CT15*(1+Cust_Esca!AP$58)</f>
        <v>0.6</v>
      </c>
      <c r="CV15" s="2002"/>
      <c r="CW15" s="2002"/>
      <c r="CX15" s="2002"/>
      <c r="CY15" s="1742" t="s">
        <v>984</v>
      </c>
    </row>
    <row r="16" spans="1:103" ht="16.5" thickBot="1">
      <c r="A16" s="411"/>
      <c r="C16" s="261">
        <f>IF(D16="","",MAX(C$15:C15)+1)</f>
        <v>1</v>
      </c>
      <c r="D16" s="206" t="s">
        <v>13</v>
      </c>
      <c r="E16" s="9">
        <v>1</v>
      </c>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9"/>
      <c r="AG16" s="17"/>
      <c r="AH16" s="1"/>
      <c r="AI16" s="1"/>
      <c r="AM16" s="1782">
        <v>14</v>
      </c>
      <c r="AN16" s="1918">
        <f t="shared" si="0"/>
        <v>8.8177511913115333E-2</v>
      </c>
      <c r="AO16" s="1952">
        <f t="shared" si="1"/>
        <v>142350.44044218078</v>
      </c>
      <c r="AP16" s="3005">
        <f t="shared" si="2"/>
        <v>0.65</v>
      </c>
      <c r="AR16" s="1764">
        <v>5.2553122491668852E-2</v>
      </c>
      <c r="AS16" s="1764">
        <v>5.2494103791429103E-2</v>
      </c>
      <c r="AT16" s="4208">
        <v>7.6928098629543154E-2</v>
      </c>
      <c r="AU16" s="4209">
        <v>7.5243204657194099E-2</v>
      </c>
      <c r="AV16" s="4209">
        <v>8.8177511913115333E-2</v>
      </c>
      <c r="AW16" s="4209">
        <v>8.8177511913115333E-2</v>
      </c>
      <c r="AX16" s="4209">
        <v>8.8177511913115333E-2</v>
      </c>
      <c r="AY16" s="4209">
        <v>8.8177511913115333E-2</v>
      </c>
      <c r="AZ16" s="4209">
        <v>8.8177511913115333E-2</v>
      </c>
      <c r="BA16" s="4209">
        <v>8.8177511913115333E-2</v>
      </c>
      <c r="BB16" s="4209">
        <v>8.8177511913115333E-2</v>
      </c>
      <c r="BC16" s="4209">
        <v>8.8177511913115333E-2</v>
      </c>
      <c r="BD16" s="4209">
        <v>8.8177511913115333E-2</v>
      </c>
      <c r="BE16" s="4209">
        <v>8.8177511913115333E-2</v>
      </c>
      <c r="BF16" s="1926">
        <f t="shared" si="4"/>
        <v>8.8177511913115333E-2</v>
      </c>
      <c r="BG16" s="1926">
        <f t="shared" si="4"/>
        <v>8.8177511913115333E-2</v>
      </c>
      <c r="BH16" s="1926">
        <f t="shared" si="4"/>
        <v>8.8177511913115333E-2</v>
      </c>
      <c r="BI16" s="1926">
        <f t="shared" si="4"/>
        <v>8.8177511913115333E-2</v>
      </c>
      <c r="BK16" s="1949">
        <v>32.083225343606486</v>
      </c>
      <c r="BL16" s="1949">
        <v>34.416601831211565</v>
      </c>
      <c r="BM16" s="4211">
        <v>61.345253667474971</v>
      </c>
      <c r="BN16" s="4212">
        <v>61.73749141881526</v>
      </c>
      <c r="BO16" s="4212">
        <v>76.895622405899587</v>
      </c>
      <c r="BP16" s="4212">
        <v>86.852583470090238</v>
      </c>
      <c r="BQ16" s="4212">
        <v>99.785675796259198</v>
      </c>
      <c r="BR16" s="4212">
        <v>114.96248531844672</v>
      </c>
      <c r="BS16" s="4212">
        <v>123.62086126515302</v>
      </c>
      <c r="BT16" s="4212">
        <v>131.62206257981552</v>
      </c>
      <c r="BU16" s="4212">
        <v>136.94673722931481</v>
      </c>
      <c r="BV16" s="4212">
        <v>142.3504404421808</v>
      </c>
      <c r="BW16" s="4212">
        <v>147.4927284318818</v>
      </c>
      <c r="BX16" s="4212">
        <v>151.66450394124283</v>
      </c>
      <c r="BY16" s="2002" t="e">
        <f>BX16*(1+Cust_Esca!#REF!)</f>
        <v>#REF!</v>
      </c>
      <c r="BZ16" s="2002" t="e">
        <f>BY16*(1+Cust_Esca!#REF!)</f>
        <v>#REF!</v>
      </c>
      <c r="CA16" s="2002" t="e">
        <f>BZ16*(1+Cust_Esca!V$58)</f>
        <v>#REF!</v>
      </c>
      <c r="CB16" s="2002" t="e">
        <f>CA16*(1+Cust_Esca!W$58)</f>
        <v>#REF!</v>
      </c>
      <c r="CD16" s="3000">
        <v>0.65</v>
      </c>
      <c r="CE16" s="3001">
        <f>CD16*(1+Cust_Esca!Z$58)</f>
        <v>0.65</v>
      </c>
      <c r="CF16" s="4215">
        <v>0.65</v>
      </c>
      <c r="CG16" s="4215">
        <v>0.65</v>
      </c>
      <c r="CH16" s="4215">
        <v>0.65</v>
      </c>
      <c r="CI16" s="4215">
        <v>0.65</v>
      </c>
      <c r="CJ16" s="4215">
        <v>0.65</v>
      </c>
      <c r="CK16" s="4215">
        <v>0.65</v>
      </c>
      <c r="CL16" s="4215">
        <v>0.65</v>
      </c>
      <c r="CM16" s="4215">
        <v>0.65</v>
      </c>
      <c r="CN16" s="4215">
        <v>0.65</v>
      </c>
      <c r="CO16" s="4215">
        <v>0.65</v>
      </c>
      <c r="CP16" s="4215">
        <v>0.65</v>
      </c>
      <c r="CQ16" s="4215">
        <v>0.65</v>
      </c>
      <c r="CR16" s="3001">
        <f>CQ16*(1+Cust_Esca!AM$58)</f>
        <v>0.65</v>
      </c>
      <c r="CS16" s="3001">
        <f>CR16*(1+Cust_Esca!AN$58)</f>
        <v>0.65</v>
      </c>
      <c r="CT16" s="3001">
        <f>CS16*(1+Cust_Esca!AO$58)</f>
        <v>0.65</v>
      </c>
      <c r="CU16" s="3001">
        <f>CT16*(1+Cust_Esca!AP$58)</f>
        <v>0.65</v>
      </c>
      <c r="CV16" s="2002"/>
      <c r="CW16" s="2002"/>
      <c r="CX16" s="2002"/>
      <c r="CY16" s="1948" t="s">
        <v>2757</v>
      </c>
    </row>
    <row r="17" spans="1:103" ht="16.5" customHeight="1" thickBot="1">
      <c r="A17" s="411"/>
      <c r="C17" s="261">
        <f>IF(D17="","",MAX(C$15:C16)+1)</f>
        <v>2</v>
      </c>
      <c r="D17" s="15" t="s">
        <v>3</v>
      </c>
      <c r="E17" s="9">
        <f>E16+1</f>
        <v>2</v>
      </c>
      <c r="F17" s="19">
        <f>TY_Units!F12</f>
        <v>369330646</v>
      </c>
      <c r="G17" s="1787">
        <v>4.5201760539999997E-2</v>
      </c>
      <c r="H17" s="19">
        <f>ROUND(F17/(1-G17),$AK$8)</f>
        <v>386815382</v>
      </c>
      <c r="I17" s="46">
        <f>ROUND(H17/$H$62,$AK$9)</f>
        <v>5.8099999999999999E-2</v>
      </c>
      <c r="J17" s="19">
        <f>ROUND(H17/(365*24),$AK$8)</f>
        <v>44157</v>
      </c>
      <c r="K17" s="618">
        <v>0.38</v>
      </c>
      <c r="L17" s="19">
        <f>IFERROR(ROUND($J17/$K17,$AK$8),0)</f>
        <v>116203</v>
      </c>
      <c r="M17" s="333">
        <f>ROUND($L17/$L$62,$AK$9)</f>
        <v>8.3500000000000005E-2</v>
      </c>
      <c r="N17" s="1798">
        <v>0</v>
      </c>
      <c r="O17" s="333">
        <f>ROUND($N17/$N$62,$AK$9)</f>
        <v>0</v>
      </c>
      <c r="P17" s="613">
        <v>0.75</v>
      </c>
      <c r="Q17" s="376">
        <f>ROUND($L17/P17,$AK$8)</f>
        <v>154937</v>
      </c>
      <c r="R17" s="333">
        <f>ROUND(Q17/$Q$62,$AK$9)</f>
        <v>8.6699999999999999E-2</v>
      </c>
      <c r="S17" s="19">
        <f>IF(P17=0,0,Q17)</f>
        <v>154937</v>
      </c>
      <c r="T17" s="333">
        <f>ROUND(S17/$S$62,$AK$9)</f>
        <v>0.12939999999999999</v>
      </c>
      <c r="U17" s="1798">
        <v>0</v>
      </c>
      <c r="V17" s="333">
        <f>ROUND(U17/$U$62,$AK$9)</f>
        <v>0</v>
      </c>
      <c r="W17" s="260">
        <f>$L17-J17</f>
        <v>72046</v>
      </c>
      <c r="X17" s="333">
        <f>ROUND(W17/W$62,$AK$9)</f>
        <v>0.11409999999999999</v>
      </c>
      <c r="Y17" s="260">
        <f>ROUND($X17*$J$65,$AK$8)</f>
        <v>40071</v>
      </c>
      <c r="Z17" s="260">
        <f>ROUND($X17*$J$69,$AK$8)</f>
        <v>18132</v>
      </c>
      <c r="AA17" s="19">
        <f>$J17+$Y17</f>
        <v>84228</v>
      </c>
      <c r="AB17" s="333">
        <f>ROUND(AA17/AA$62,$AK$9)</f>
        <v>7.5800000000000006E-2</v>
      </c>
      <c r="AC17" s="19">
        <f>$J17+$Z17</f>
        <v>62289</v>
      </c>
      <c r="AD17" s="333">
        <f>ROUND(AC17/AC$62,$AK$9)</f>
        <v>6.7799999999999999E-2</v>
      </c>
      <c r="AE17" s="333">
        <f>ROUND(+$AN12*($H17)/($H17+$H20),$AK$9)</f>
        <v>0.1103</v>
      </c>
      <c r="AF17" s="1965">
        <f>ROUND(+AO12*(L17)/(L17+L20),$AK$9)</f>
        <v>80894.261499999993</v>
      </c>
      <c r="AG17" s="1966">
        <f>ROUND($AF17/$AF$62,$AK$9)</f>
        <v>7.2800000000000004E-2</v>
      </c>
      <c r="AH17" s="1967">
        <f>AF17+J17</f>
        <v>125051.26149999999</v>
      </c>
      <c r="AI17" s="1966">
        <f>ROUND($AH17/$AH$62,$AK$9)</f>
        <v>6.2399999999999997E-2</v>
      </c>
      <c r="AM17" s="1782">
        <v>15</v>
      </c>
      <c r="AN17" s="1918">
        <f t="shared" si="0"/>
        <v>0.24980651464911391</v>
      </c>
      <c r="AO17" s="1952">
        <f t="shared" si="1"/>
        <v>352171.05653881829</v>
      </c>
      <c r="AP17" s="3005">
        <f t="shared" si="2"/>
        <v>0.8</v>
      </c>
      <c r="AR17" s="1764">
        <v>0.23453898936973372</v>
      </c>
      <c r="AS17" s="1764">
        <v>0.23425260957655425</v>
      </c>
      <c r="AT17" s="4208">
        <v>0.2443817987269315</v>
      </c>
      <c r="AU17" s="4209">
        <v>0.22919388977959751</v>
      </c>
      <c r="AV17" s="4209">
        <v>0.23532166307990185</v>
      </c>
      <c r="AW17" s="4209">
        <v>0.23133810483560455</v>
      </c>
      <c r="AX17" s="4209">
        <v>0.22756381465671216</v>
      </c>
      <c r="AY17" s="4209">
        <v>0.23504096983483536</v>
      </c>
      <c r="AZ17" s="4209">
        <v>0.24681260501549951</v>
      </c>
      <c r="BA17" s="4209">
        <v>0.24980651464911391</v>
      </c>
      <c r="BB17" s="4209">
        <v>0.24980651464911369</v>
      </c>
      <c r="BC17" s="4209">
        <v>0.24980651464911391</v>
      </c>
      <c r="BD17" s="4209">
        <v>0.24980651464911335</v>
      </c>
      <c r="BE17" s="4209">
        <v>0.24980651464911324</v>
      </c>
      <c r="BF17" s="1926">
        <f t="shared" si="4"/>
        <v>0.24980651464911324</v>
      </c>
      <c r="BG17" s="1926">
        <f t="shared" si="4"/>
        <v>0.24980651464911324</v>
      </c>
      <c r="BH17" s="1926">
        <f t="shared" si="4"/>
        <v>0.24980651464911324</v>
      </c>
      <c r="BI17" s="1926">
        <f t="shared" si="4"/>
        <v>0.24980651464911324</v>
      </c>
      <c r="BK17" s="1949">
        <v>161.47439751514429</v>
      </c>
      <c r="BL17" s="1949">
        <v>173.21824678456068</v>
      </c>
      <c r="BM17" s="4211">
        <v>200.4641819612477</v>
      </c>
      <c r="BN17" s="4212">
        <v>171.04035889732472</v>
      </c>
      <c r="BO17" s="4212">
        <v>210.94328042942425</v>
      </c>
      <c r="BP17" s="4212">
        <v>229.61594610224265</v>
      </c>
      <c r="BQ17" s="4212">
        <v>253.66600436460615</v>
      </c>
      <c r="BR17" s="4212">
        <v>278.02596338075506</v>
      </c>
      <c r="BS17" s="4212">
        <v>306.49213613882876</v>
      </c>
      <c r="BT17" s="4212">
        <v>319.83283344924422</v>
      </c>
      <c r="BU17" s="4212">
        <v>335.56348111431777</v>
      </c>
      <c r="BV17" s="4212">
        <v>352.17105653881828</v>
      </c>
      <c r="BW17" s="4212">
        <v>362.63518375474058</v>
      </c>
      <c r="BX17" s="4212">
        <v>373.15127774184214</v>
      </c>
      <c r="BY17" s="2002" t="e">
        <f>BX17*(1+Cust_Esca!#REF!)</f>
        <v>#REF!</v>
      </c>
      <c r="BZ17" s="2002" t="e">
        <f>BY17*(1+Cust_Esca!#REF!)</f>
        <v>#REF!</v>
      </c>
      <c r="CA17" s="2002" t="e">
        <f>BZ17*(1+Cust_Esca!V$58)</f>
        <v>#REF!</v>
      </c>
      <c r="CB17" s="2002" t="e">
        <f>CA17*(1+Cust_Esca!W$58)</f>
        <v>#REF!</v>
      </c>
      <c r="CD17" s="3000">
        <v>0.8</v>
      </c>
      <c r="CE17" s="3001">
        <f>CD17*(1+Cust_Esca!Z$58)</f>
        <v>0.8</v>
      </c>
      <c r="CF17" s="4215">
        <v>0.8</v>
      </c>
      <c r="CG17" s="4215">
        <v>0.8</v>
      </c>
      <c r="CH17" s="4215">
        <v>0.8</v>
      </c>
      <c r="CI17" s="4215">
        <v>0.8</v>
      </c>
      <c r="CJ17" s="4215">
        <v>0.8</v>
      </c>
      <c r="CK17" s="4215">
        <v>0.8</v>
      </c>
      <c r="CL17" s="4215">
        <v>0.8</v>
      </c>
      <c r="CM17" s="4215">
        <v>0.8</v>
      </c>
      <c r="CN17" s="4215">
        <v>0.8</v>
      </c>
      <c r="CO17" s="4215">
        <v>0.8</v>
      </c>
      <c r="CP17" s="4215">
        <v>0.8</v>
      </c>
      <c r="CQ17" s="4215">
        <v>0.8</v>
      </c>
      <c r="CR17" s="3001">
        <f>CQ17*(1+Cust_Esca!AM$58)</f>
        <v>0.8</v>
      </c>
      <c r="CS17" s="3001">
        <f>CR17*(1+Cust_Esca!AN$58)</f>
        <v>0.8</v>
      </c>
      <c r="CT17" s="3001">
        <f>CS17*(1+Cust_Esca!AO$58)</f>
        <v>0.8</v>
      </c>
      <c r="CU17" s="3001">
        <f>CT17*(1+Cust_Esca!AP$58)</f>
        <v>0.8</v>
      </c>
      <c r="CV17" s="2002"/>
      <c r="CW17" s="2002"/>
      <c r="CX17" s="2002"/>
      <c r="CY17" s="1742" t="s">
        <v>518</v>
      </c>
    </row>
    <row r="18" spans="1:103" ht="16.5" customHeight="1">
      <c r="A18" s="411"/>
      <c r="C18" s="261" t="str">
        <f>IF(D18="","",MAX(C$15:C17)+1)</f>
        <v/>
      </c>
      <c r="D18" s="272"/>
      <c r="E18" s="9">
        <f t="shared" ref="E18:E62" si="5">E17+1</f>
        <v>3</v>
      </c>
      <c r="F18" s="19"/>
      <c r="G18" s="1788"/>
      <c r="H18" s="19"/>
      <c r="I18" s="46"/>
      <c r="J18" s="19"/>
      <c r="K18" s="619"/>
      <c r="L18" s="19"/>
      <c r="M18" s="19"/>
      <c r="N18" s="19"/>
      <c r="O18" s="333"/>
      <c r="P18" s="46"/>
      <c r="Q18" s="339"/>
      <c r="R18" s="46"/>
      <c r="S18" s="339"/>
      <c r="T18" s="46"/>
      <c r="U18" s="339"/>
      <c r="V18" s="46"/>
      <c r="W18" s="379"/>
      <c r="X18" s="46"/>
      <c r="Y18" s="379"/>
      <c r="Z18" s="379"/>
      <c r="AA18" s="339"/>
      <c r="AB18" s="46"/>
      <c r="AC18" s="339"/>
      <c r="AD18" s="46"/>
      <c r="AE18" s="46"/>
      <c r="AF18" s="1968"/>
      <c r="AG18" s="1969"/>
      <c r="AH18" s="1969"/>
      <c r="AI18" s="1969"/>
      <c r="AM18" s="1782">
        <v>16</v>
      </c>
      <c r="AN18" s="1918">
        <f t="shared" si="0"/>
        <v>6.6228332683766322E-2</v>
      </c>
      <c r="AO18" s="1952">
        <f t="shared" si="1"/>
        <v>65972.027549526945</v>
      </c>
      <c r="AP18" s="3005">
        <f t="shared" si="2"/>
        <v>0.65</v>
      </c>
      <c r="AR18" s="1764">
        <v>6.2973205608339633E-2</v>
      </c>
      <c r="AS18" s="1764">
        <v>6.2913188522821975E-2</v>
      </c>
      <c r="AT18" s="4208">
        <v>6.8006750586970852E-2</v>
      </c>
      <c r="AU18" s="4209">
        <v>6.6129039418415789E-2</v>
      </c>
      <c r="AV18" s="4209">
        <v>6.6228332683766322E-2</v>
      </c>
      <c r="AW18" s="4209">
        <v>6.6228332683766322E-2</v>
      </c>
      <c r="AX18" s="4209">
        <v>6.6228332683766322E-2</v>
      </c>
      <c r="AY18" s="4209">
        <v>6.6228332683766322E-2</v>
      </c>
      <c r="AZ18" s="4209">
        <v>6.6228332683766322E-2</v>
      </c>
      <c r="BA18" s="4209">
        <v>6.6228332683766322E-2</v>
      </c>
      <c r="BB18" s="4209">
        <v>6.6228332683766322E-2</v>
      </c>
      <c r="BC18" s="4209">
        <v>6.6228332683766322E-2</v>
      </c>
      <c r="BD18" s="4209">
        <v>6.6228332683766322E-2</v>
      </c>
      <c r="BE18" s="4209">
        <v>6.6228332683766322E-2</v>
      </c>
      <c r="BF18" s="1926">
        <f t="shared" si="4"/>
        <v>6.6228332683766322E-2</v>
      </c>
      <c r="BG18" s="1926">
        <f t="shared" si="4"/>
        <v>6.6228332683766322E-2</v>
      </c>
      <c r="BH18" s="1926">
        <f t="shared" si="4"/>
        <v>6.6228332683766322E-2</v>
      </c>
      <c r="BI18" s="1926">
        <f t="shared" si="4"/>
        <v>6.6228332683766322E-2</v>
      </c>
      <c r="BK18" s="1949">
        <v>44.784063904139948</v>
      </c>
      <c r="BL18" s="1949">
        <v>48.041157934249604</v>
      </c>
      <c r="BM18" s="4211">
        <v>50.966026778592386</v>
      </c>
      <c r="BN18" s="4212">
        <v>57.946809948435821</v>
      </c>
      <c r="BO18" s="4212">
        <v>55.119919616876082</v>
      </c>
      <c r="BP18" s="4212">
        <v>56.206577967412805</v>
      </c>
      <c r="BQ18" s="4212">
        <v>63.078506449989938</v>
      </c>
      <c r="BR18" s="4212">
        <v>63.784516823228522</v>
      </c>
      <c r="BS18" s="4212">
        <v>64.389518107107335</v>
      </c>
      <c r="BT18" s="4212">
        <v>64.866494117849356</v>
      </c>
      <c r="BU18" s="4212">
        <v>65.415115250779408</v>
      </c>
      <c r="BV18" s="4212">
        <v>65.972027549526942</v>
      </c>
      <c r="BW18" s="4212">
        <v>66.418523607598303</v>
      </c>
      <c r="BX18" s="4212">
        <v>66.858453263484733</v>
      </c>
      <c r="BY18" s="2002" t="e">
        <f>BX18*(1+Cust_Esca!#REF!)</f>
        <v>#REF!</v>
      </c>
      <c r="BZ18" s="2002" t="e">
        <f>BY18*(1+Cust_Esca!#REF!)</f>
        <v>#REF!</v>
      </c>
      <c r="CA18" s="2002" t="e">
        <f>BZ18*(1+Cust_Esca!V$58)</f>
        <v>#REF!</v>
      </c>
      <c r="CB18" s="2002" t="e">
        <f>CA18*(1+Cust_Esca!W$58)</f>
        <v>#REF!</v>
      </c>
      <c r="CD18" s="3000">
        <v>0.65</v>
      </c>
      <c r="CE18" s="3001">
        <f>CD18*(1+Cust_Esca!Z$58)</f>
        <v>0.65</v>
      </c>
      <c r="CF18" s="4215">
        <v>0.65</v>
      </c>
      <c r="CG18" s="4215">
        <v>0.65</v>
      </c>
      <c r="CH18" s="4215">
        <v>0.65</v>
      </c>
      <c r="CI18" s="4215">
        <v>0.65</v>
      </c>
      <c r="CJ18" s="4215">
        <v>0.65</v>
      </c>
      <c r="CK18" s="4215">
        <v>0.65</v>
      </c>
      <c r="CL18" s="4215">
        <v>0.65</v>
      </c>
      <c r="CM18" s="4215">
        <v>0.65</v>
      </c>
      <c r="CN18" s="4215">
        <v>0.65</v>
      </c>
      <c r="CO18" s="4215">
        <v>0.65</v>
      </c>
      <c r="CP18" s="4215">
        <v>0.65</v>
      </c>
      <c r="CQ18" s="4215">
        <v>0.65</v>
      </c>
      <c r="CR18" s="3001">
        <f>CQ18*(1+Cust_Esca!AM$58)</f>
        <v>0.65</v>
      </c>
      <c r="CS18" s="3001">
        <f>CR18*(1+Cust_Esca!AN$58)</f>
        <v>0.65</v>
      </c>
      <c r="CT18" s="3001">
        <f>CS18*(1+Cust_Esca!AO$58)</f>
        <v>0.65</v>
      </c>
      <c r="CU18" s="3001">
        <f>CT18*(1+Cust_Esca!AP$58)</f>
        <v>0.65</v>
      </c>
      <c r="CV18" s="2002"/>
      <c r="CW18" s="2002"/>
      <c r="CX18" s="2002"/>
    </row>
    <row r="19" spans="1:103" ht="16.5" customHeight="1" thickBot="1">
      <c r="A19" s="411"/>
      <c r="C19" s="261">
        <f>IF(D19="","",MAX(C$15:C18)+1)</f>
        <v>3</v>
      </c>
      <c r="D19" s="14" t="s">
        <v>14</v>
      </c>
      <c r="E19" s="9">
        <f t="shared" si="5"/>
        <v>4</v>
      </c>
      <c r="F19" s="17"/>
      <c r="G19" s="17"/>
      <c r="H19" s="17"/>
      <c r="I19" s="17"/>
      <c r="J19" s="17"/>
      <c r="K19" s="620"/>
      <c r="L19" s="17"/>
      <c r="M19" s="17"/>
      <c r="N19" s="17"/>
      <c r="O19" s="17"/>
      <c r="P19" s="17"/>
      <c r="Q19" s="17"/>
      <c r="R19" s="17"/>
      <c r="S19" s="17"/>
      <c r="T19" s="17"/>
      <c r="U19" s="17"/>
      <c r="V19" s="17"/>
      <c r="W19" s="17"/>
      <c r="X19" s="17"/>
      <c r="Y19" s="17"/>
      <c r="Z19" s="17"/>
      <c r="AA19" s="17"/>
      <c r="AB19" s="17"/>
      <c r="AC19" s="17"/>
      <c r="AD19" s="17"/>
      <c r="AE19" s="17"/>
      <c r="AF19" s="1970"/>
      <c r="AG19" s="17"/>
      <c r="AH19" s="17"/>
      <c r="AI19" s="17"/>
      <c r="AM19" s="1782">
        <v>85</v>
      </c>
      <c r="AN19" s="1918">
        <f t="shared" si="0"/>
        <v>0</v>
      </c>
      <c r="AO19" s="1952">
        <f t="shared" si="1"/>
        <v>0</v>
      </c>
      <c r="AP19" s="3005">
        <f t="shared" si="2"/>
        <v>0.65</v>
      </c>
      <c r="AR19" s="1764">
        <v>0</v>
      </c>
      <c r="AS19" s="1764">
        <v>0</v>
      </c>
      <c r="AT19" s="4208">
        <v>0</v>
      </c>
      <c r="AU19" s="4209">
        <v>0</v>
      </c>
      <c r="AV19" s="4209">
        <v>0</v>
      </c>
      <c r="AW19" s="4209">
        <v>0</v>
      </c>
      <c r="AX19" s="4209">
        <v>0</v>
      </c>
      <c r="AY19" s="4209">
        <v>0</v>
      </c>
      <c r="AZ19" s="4209">
        <v>0</v>
      </c>
      <c r="BA19" s="4209">
        <v>0</v>
      </c>
      <c r="BB19" s="4209">
        <v>0</v>
      </c>
      <c r="BC19" s="4209">
        <v>0</v>
      </c>
      <c r="BD19" s="4209">
        <v>0</v>
      </c>
      <c r="BE19" s="4209">
        <v>0</v>
      </c>
      <c r="BF19" s="1926">
        <f t="shared" si="4"/>
        <v>0</v>
      </c>
      <c r="BG19" s="1926">
        <f t="shared" si="4"/>
        <v>0</v>
      </c>
      <c r="BH19" s="1926">
        <f t="shared" si="4"/>
        <v>0</v>
      </c>
      <c r="BI19" s="1926">
        <f t="shared" si="4"/>
        <v>0</v>
      </c>
      <c r="BK19" s="1949">
        <v>0</v>
      </c>
      <c r="BL19" s="1949">
        <v>0</v>
      </c>
      <c r="BM19" s="4211">
        <v>0</v>
      </c>
      <c r="BN19" s="4212">
        <v>0</v>
      </c>
      <c r="BO19" s="4212">
        <v>0</v>
      </c>
      <c r="BP19" s="4212">
        <v>0</v>
      </c>
      <c r="BQ19" s="4212">
        <v>0</v>
      </c>
      <c r="BR19" s="4212">
        <v>0</v>
      </c>
      <c r="BS19" s="4212">
        <v>0</v>
      </c>
      <c r="BT19" s="4212">
        <v>0</v>
      </c>
      <c r="BU19" s="4212">
        <v>0</v>
      </c>
      <c r="BV19" s="4212">
        <v>0</v>
      </c>
      <c r="BW19" s="4212">
        <v>0</v>
      </c>
      <c r="BX19" s="4212">
        <v>0</v>
      </c>
      <c r="BY19" s="2002" t="e">
        <f>BX19*(1+Cust_Esca!#REF!)</f>
        <v>#REF!</v>
      </c>
      <c r="BZ19" s="2002" t="e">
        <f>BY19*(1+Cust_Esca!#REF!)</f>
        <v>#REF!</v>
      </c>
      <c r="CA19" s="2002" t="e">
        <f>BZ19*(1+Cust_Esca!V$58)</f>
        <v>#REF!</v>
      </c>
      <c r="CB19" s="2002" t="e">
        <f>CA19*(1+Cust_Esca!W$58)</f>
        <v>#REF!</v>
      </c>
      <c r="CD19" s="3000">
        <v>0</v>
      </c>
      <c r="CE19" s="3001">
        <f>CD19*(1+Cust_Esca!Z$58)</f>
        <v>0</v>
      </c>
      <c r="CF19" s="4215">
        <v>0.65</v>
      </c>
      <c r="CG19" s="4215">
        <v>0.65</v>
      </c>
      <c r="CH19" s="4215">
        <v>0.65</v>
      </c>
      <c r="CI19" s="4215">
        <v>0.65</v>
      </c>
      <c r="CJ19" s="4215">
        <v>0.65</v>
      </c>
      <c r="CK19" s="4215">
        <v>0.65</v>
      </c>
      <c r="CL19" s="4215">
        <v>0.65</v>
      </c>
      <c r="CM19" s="4215">
        <v>0.65</v>
      </c>
      <c r="CN19" s="4215">
        <v>0.65</v>
      </c>
      <c r="CO19" s="4215">
        <v>0.65</v>
      </c>
      <c r="CP19" s="4215">
        <v>0.65</v>
      </c>
      <c r="CQ19" s="4215">
        <v>0.65</v>
      </c>
      <c r="CR19" s="3001">
        <f>CQ19*(1+Cust_Esca!AM$58)</f>
        <v>0.65</v>
      </c>
      <c r="CS19" s="3001">
        <f>CR19*(1+Cust_Esca!AN$58)</f>
        <v>0.65</v>
      </c>
      <c r="CT19" s="3001">
        <f>CS19*(1+Cust_Esca!AO$58)</f>
        <v>0.65</v>
      </c>
      <c r="CU19" s="3001">
        <f>CT19*(1+Cust_Esca!AP$58)</f>
        <v>0.65</v>
      </c>
      <c r="CV19" s="2002"/>
      <c r="CW19" s="2002"/>
      <c r="CX19" s="2002"/>
    </row>
    <row r="20" spans="1:103" ht="16.5" customHeight="1" thickBot="1">
      <c r="A20" s="411"/>
      <c r="C20" s="261">
        <f>IF(D20="","",MAX(C$15:C19)+1)</f>
        <v>4</v>
      </c>
      <c r="D20" s="15" t="s">
        <v>3</v>
      </c>
      <c r="E20" s="9">
        <f t="shared" si="5"/>
        <v>5</v>
      </c>
      <c r="F20" s="19">
        <f>TY_Units!F14</f>
        <v>517691627</v>
      </c>
      <c r="G20" s="613">
        <f>G17+0.6%</f>
        <v>5.1201760539999995E-2</v>
      </c>
      <c r="H20" s="19">
        <f>ROUND(F20/(1-G20),$AK$8)</f>
        <v>545628781</v>
      </c>
      <c r="I20" s="46">
        <f>ROUND(H20/$H$62,$AK$9)</f>
        <v>8.2000000000000003E-2</v>
      </c>
      <c r="J20" s="19">
        <f>ROUND(H20/(365*24),$AK$8)</f>
        <v>62286</v>
      </c>
      <c r="K20" s="618">
        <v>0.38</v>
      </c>
      <c r="L20" s="19">
        <f>IFERROR(ROUND($J20/$K20,$AK$8),0)</f>
        <v>163911</v>
      </c>
      <c r="M20" s="333">
        <f>ROUND($L20/$L$62,$AK$9)</f>
        <v>0.1178</v>
      </c>
      <c r="N20" s="1798">
        <v>0</v>
      </c>
      <c r="O20" s="333">
        <f>ROUND($N20/$N$62,$AK$9)</f>
        <v>0</v>
      </c>
      <c r="P20" s="613">
        <v>0.75</v>
      </c>
      <c r="Q20" s="19">
        <f>ROUND($L20/P20,$AK$8)</f>
        <v>218548</v>
      </c>
      <c r="R20" s="333">
        <f>ROUND(Q20/$Q$62,$AK$9)</f>
        <v>0.12230000000000001</v>
      </c>
      <c r="S20" s="3006">
        <f>+Q20*0.05</f>
        <v>10927.400000000001</v>
      </c>
      <c r="T20" s="333">
        <f>ROUND(S20/$S$62,$AK$9)</f>
        <v>9.1000000000000004E-3</v>
      </c>
      <c r="U20" s="3006">
        <f>IF(P20=0,0,Q20)-S20</f>
        <v>207620.6</v>
      </c>
      <c r="V20" s="333">
        <f>ROUND(U20/$U$62,$AK$9)</f>
        <v>0.35270000000000001</v>
      </c>
      <c r="W20" s="19">
        <f>$L20-J20</f>
        <v>101625</v>
      </c>
      <c r="X20" s="333">
        <f>ROUND(W20/W$62,$AK$9)</f>
        <v>0.16089999999999999</v>
      </c>
      <c r="Y20" s="19">
        <f>ROUND($X20*$J$65,$AK$8)</f>
        <v>56507</v>
      </c>
      <c r="Z20" s="19">
        <f>ROUND($X20*$J$69,$AK$8)</f>
        <v>25569</v>
      </c>
      <c r="AA20" s="19">
        <f>$J20+$Y20</f>
        <v>118793</v>
      </c>
      <c r="AB20" s="333">
        <f>ROUND(AA20/AA$62,$AK$9)</f>
        <v>0.1069</v>
      </c>
      <c r="AC20" s="19">
        <f>$J20+$Z20</f>
        <v>87855</v>
      </c>
      <c r="AD20" s="333">
        <f>ROUND(AC20/AC$62,$AK$9)</f>
        <v>9.5699999999999993E-2</v>
      </c>
      <c r="AE20" s="333">
        <f>ROUND(+$AN12*($H20)/($H20+$H17),$AK$9)</f>
        <v>0.15559999999999999</v>
      </c>
      <c r="AF20" s="1965">
        <f>ROUND(+$AO12*($H20)/($H20+$H17),$AK$9)</f>
        <v>114106.3006</v>
      </c>
      <c r="AG20" s="1966">
        <f>ROUND($AF20/$AF$62,$AK$9)</f>
        <v>0.1027</v>
      </c>
      <c r="AH20" s="1967">
        <f>AF20+J20</f>
        <v>176392.30060000002</v>
      </c>
      <c r="AI20" s="1966">
        <f>ROUND($AH20/$AH$62,$AK$9)</f>
        <v>8.8099999999999998E-2</v>
      </c>
      <c r="AM20" s="1782">
        <v>94</v>
      </c>
      <c r="AN20" s="1919">
        <f t="shared" si="0"/>
        <v>0</v>
      </c>
      <c r="AO20" s="1953">
        <f t="shared" si="1"/>
        <v>0</v>
      </c>
      <c r="AP20" s="3005">
        <f t="shared" si="2"/>
        <v>0.8</v>
      </c>
      <c r="AR20" s="1765">
        <v>0</v>
      </c>
      <c r="AS20" s="1765">
        <v>0</v>
      </c>
      <c r="AT20" s="4210">
        <v>0</v>
      </c>
      <c r="AU20" s="4209">
        <v>3.9462643505419103E-3</v>
      </c>
      <c r="AV20" s="4209">
        <v>1.4484851569211647E-2</v>
      </c>
      <c r="AW20" s="4209">
        <v>1.8468409813509147E-2</v>
      </c>
      <c r="AX20" s="4209">
        <v>2.224269999240153E-2</v>
      </c>
      <c r="AY20" s="4209">
        <v>1.4765544814278119E-2</v>
      </c>
      <c r="AZ20" s="4209">
        <v>2.9939096336141831E-3</v>
      </c>
      <c r="BA20" s="4209">
        <v>0</v>
      </c>
      <c r="BB20" s="4209">
        <v>0</v>
      </c>
      <c r="BC20" s="4209">
        <v>0</v>
      </c>
      <c r="BD20" s="4209">
        <v>0</v>
      </c>
      <c r="BE20" s="4209">
        <v>0</v>
      </c>
      <c r="BF20" s="1926">
        <f t="shared" si="4"/>
        <v>0</v>
      </c>
      <c r="BG20" s="1926">
        <f t="shared" si="4"/>
        <v>0</v>
      </c>
      <c r="BH20" s="1926">
        <f t="shared" si="4"/>
        <v>0</v>
      </c>
      <c r="BI20" s="1926">
        <f t="shared" si="4"/>
        <v>0</v>
      </c>
      <c r="BK20" s="1950">
        <v>0</v>
      </c>
      <c r="BL20" s="1950">
        <v>0</v>
      </c>
      <c r="BM20" s="4213">
        <v>0</v>
      </c>
      <c r="BN20" s="4214">
        <v>2.9449758519718241</v>
      </c>
      <c r="BO20" s="4214">
        <v>12.984278908080512</v>
      </c>
      <c r="BP20" s="4214">
        <v>17.430962054328855</v>
      </c>
      <c r="BQ20" s="4214">
        <v>22.4171971725121</v>
      </c>
      <c r="BR20" s="4214">
        <v>15.554170607548434</v>
      </c>
      <c r="BS20" s="4214">
        <v>3.2648042078805402</v>
      </c>
      <c r="BT20" s="4214">
        <v>0</v>
      </c>
      <c r="BU20" s="4214">
        <v>0</v>
      </c>
      <c r="BV20" s="4214">
        <v>0</v>
      </c>
      <c r="BW20" s="4214">
        <v>0</v>
      </c>
      <c r="BX20" s="4214">
        <v>0</v>
      </c>
      <c r="BY20" s="2003" t="e">
        <f>BX20*(1+Cust_Esca!#REF!)</f>
        <v>#REF!</v>
      </c>
      <c r="BZ20" s="2003" t="e">
        <f>BY20*(1+Cust_Esca!#REF!)</f>
        <v>#REF!</v>
      </c>
      <c r="CA20" s="2003" t="e">
        <f>BZ20*(1+Cust_Esca!V$58)</f>
        <v>#REF!</v>
      </c>
      <c r="CB20" s="2003" t="e">
        <f>CA20*(1+Cust_Esca!W$58)</f>
        <v>#REF!</v>
      </c>
      <c r="CD20" s="3002">
        <v>0</v>
      </c>
      <c r="CE20" s="3003">
        <f>CD20*(1+Cust_Esca!Z$58)</f>
        <v>0</v>
      </c>
      <c r="CF20" s="4216">
        <v>0.8</v>
      </c>
      <c r="CG20" s="4216">
        <v>0.8</v>
      </c>
      <c r="CH20" s="4216">
        <v>0.8</v>
      </c>
      <c r="CI20" s="4216">
        <v>0.8</v>
      </c>
      <c r="CJ20" s="4216">
        <v>0.8</v>
      </c>
      <c r="CK20" s="4216">
        <v>0.8</v>
      </c>
      <c r="CL20" s="4216">
        <v>0.8</v>
      </c>
      <c r="CM20" s="4216">
        <v>0.8</v>
      </c>
      <c r="CN20" s="4216">
        <v>0.8</v>
      </c>
      <c r="CO20" s="4216">
        <v>0.8</v>
      </c>
      <c r="CP20" s="4216">
        <v>0.8</v>
      </c>
      <c r="CQ20" s="4216">
        <v>0.8</v>
      </c>
      <c r="CR20" s="3003">
        <f>CQ20*(1+Cust_Esca!AM$58)</f>
        <v>0.8</v>
      </c>
      <c r="CS20" s="3003">
        <f>CR20*(1+Cust_Esca!AN$58)</f>
        <v>0.8</v>
      </c>
      <c r="CT20" s="3003">
        <f>CS20*(1+Cust_Esca!AO$58)</f>
        <v>0.8</v>
      </c>
      <c r="CU20" s="3003">
        <f>CT20*(1+Cust_Esca!AP$58)</f>
        <v>0.8</v>
      </c>
      <c r="CV20" s="2002"/>
      <c r="CW20" s="2002"/>
      <c r="CX20" s="2002"/>
    </row>
    <row r="21" spans="1:103" ht="16.5" customHeight="1">
      <c r="A21" s="411"/>
      <c r="C21" s="261" t="str">
        <f>IF(D21="","",MAX(C$15:C20)+1)</f>
        <v/>
      </c>
      <c r="D21" s="247"/>
      <c r="E21" s="9">
        <f t="shared" si="5"/>
        <v>6</v>
      </c>
      <c r="F21" s="19"/>
      <c r="G21" s="1789"/>
      <c r="H21" s="19"/>
      <c r="I21" s="333"/>
      <c r="J21" s="19"/>
      <c r="K21" s="621"/>
      <c r="L21" s="19"/>
      <c r="M21" s="333"/>
      <c r="N21" s="19"/>
      <c r="O21" s="333"/>
      <c r="P21" s="333"/>
      <c r="Q21" s="19"/>
      <c r="R21" s="333"/>
      <c r="S21" s="19"/>
      <c r="T21" s="333"/>
      <c r="U21" s="19"/>
      <c r="V21" s="333"/>
      <c r="W21" s="19"/>
      <c r="X21" s="333"/>
      <c r="Y21" s="260"/>
      <c r="Z21" s="260"/>
      <c r="AA21" s="19"/>
      <c r="AB21" s="333"/>
      <c r="AC21" s="19"/>
      <c r="AD21" s="333"/>
      <c r="AE21" s="333"/>
      <c r="AF21" s="1965"/>
      <c r="AG21" s="1966"/>
      <c r="AH21" s="1966"/>
      <c r="AI21" s="1966"/>
      <c r="AM21" s="1783"/>
      <c r="AN21" s="1780">
        <v>1.0000000000000002</v>
      </c>
      <c r="AO21" s="260">
        <f>SUM(AO12:AO20)</f>
        <v>1110807.4145326638</v>
      </c>
      <c r="AP21" s="1781"/>
      <c r="AR21" s="788">
        <f>+SUM(AR12:AR20)</f>
        <v>1</v>
      </c>
      <c r="AS21" s="788">
        <f>+SUM(AS12:AS20)</f>
        <v>1</v>
      </c>
      <c r="AT21" s="788">
        <f>+SUM(AT12:AT20)</f>
        <v>1</v>
      </c>
      <c r="BK21" s="1951">
        <f>+SUM(BK12:BK20)</f>
        <v>669</v>
      </c>
      <c r="BL21" s="1951">
        <f>+SUM(BL12:BL20)</f>
        <v>717.51073314389168</v>
      </c>
      <c r="BM21" s="1951">
        <f>+SUM(BM12:BM20)</f>
        <v>777.00000000000011</v>
      </c>
      <c r="BN21" s="1951">
        <f>+SUM(BN12:BN20)</f>
        <v>764.91796508585674</v>
      </c>
      <c r="BO21" s="1951">
        <f t="shared" ref="BO21:CB21" si="6">+SUM(BO12:BO20)</f>
        <v>834.70781333429431</v>
      </c>
      <c r="BP21" s="1951">
        <f t="shared" si="6"/>
        <v>880.19543010389316</v>
      </c>
      <c r="BQ21" s="1951">
        <f t="shared" si="6"/>
        <v>941.62520363400847</v>
      </c>
      <c r="BR21" s="1951">
        <f t="shared" si="6"/>
        <v>985.26960086635711</v>
      </c>
      <c r="BS21" s="1951">
        <f t="shared" si="6"/>
        <v>1020.6365494693283</v>
      </c>
      <c r="BT21" s="1951">
        <f t="shared" si="6"/>
        <v>1047.7360595782789</v>
      </c>
      <c r="BU21" s="1951">
        <f t="shared" si="6"/>
        <v>1078.5244092774167</v>
      </c>
      <c r="BV21" s="1951">
        <f t="shared" si="6"/>
        <v>1110.8074145326639</v>
      </c>
      <c r="BW21" s="1951">
        <f t="shared" si="6"/>
        <v>1135.302618378149</v>
      </c>
      <c r="BX21" s="1951">
        <f t="shared" si="6"/>
        <v>1159.2647900330192</v>
      </c>
      <c r="BY21" s="1951" t="e">
        <f t="shared" si="6"/>
        <v>#REF!</v>
      </c>
      <c r="BZ21" s="1951" t="e">
        <f t="shared" si="6"/>
        <v>#REF!</v>
      </c>
      <c r="CA21" s="1951" t="e">
        <f t="shared" si="6"/>
        <v>#REF!</v>
      </c>
      <c r="CB21" s="1951" t="e">
        <f t="shared" si="6"/>
        <v>#REF!</v>
      </c>
      <c r="CD21" s="3004"/>
      <c r="CE21" s="3004"/>
      <c r="CF21" s="3004"/>
      <c r="CG21" s="3004"/>
      <c r="CH21" s="3004"/>
      <c r="CI21" s="3004"/>
      <c r="CJ21" s="3004"/>
      <c r="CK21" s="3004"/>
      <c r="CL21" s="3004"/>
      <c r="CM21" s="3004"/>
      <c r="CN21" s="3004"/>
      <c r="CO21" s="3004"/>
      <c r="CP21" s="3004"/>
      <c r="CQ21" s="3004"/>
      <c r="CR21" s="3004"/>
      <c r="CS21" s="3004"/>
      <c r="CT21" s="3004"/>
      <c r="CU21" s="3004"/>
      <c r="CV21" s="1951"/>
      <c r="CW21" s="1951"/>
      <c r="CX21" s="1951"/>
    </row>
    <row r="22" spans="1:103" ht="16.5" customHeight="1" thickBot="1">
      <c r="A22" s="411"/>
      <c r="C22" s="261">
        <f>IF(D22="","",MAX(C$15:C21)+1)</f>
        <v>5</v>
      </c>
      <c r="D22" s="246" t="s">
        <v>15</v>
      </c>
      <c r="E22" s="9">
        <f t="shared" si="5"/>
        <v>7</v>
      </c>
      <c r="F22" s="17"/>
      <c r="G22" s="17"/>
      <c r="H22" s="17"/>
      <c r="I22" s="17"/>
      <c r="J22" s="17"/>
      <c r="K22" s="620"/>
      <c r="L22" s="17"/>
      <c r="M22" s="17"/>
      <c r="N22" s="17"/>
      <c r="O22" s="17"/>
      <c r="P22" s="17"/>
      <c r="Q22" s="17"/>
      <c r="R22" s="17"/>
      <c r="S22" s="17"/>
      <c r="T22" s="17"/>
      <c r="U22" s="17"/>
      <c r="V22" s="17"/>
      <c r="W22" s="17"/>
      <c r="X22" s="17"/>
      <c r="Y22" s="17"/>
      <c r="Z22" s="17"/>
      <c r="AA22" s="17"/>
      <c r="AB22" s="17"/>
      <c r="AC22" s="17"/>
      <c r="AD22" s="17"/>
      <c r="AE22" s="17"/>
      <c r="AF22" s="1970"/>
      <c r="AG22" s="17"/>
      <c r="AH22" s="17"/>
      <c r="AI22" s="17"/>
      <c r="AM22" s="989"/>
      <c r="AN22" s="1696"/>
      <c r="AO22" s="20"/>
      <c r="AP22" s="1781"/>
    </row>
    <row r="23" spans="1:103" ht="16.5" customHeight="1">
      <c r="A23" s="411"/>
      <c r="C23" s="261">
        <f>IF(D23="","",MAX(C$15:C22)+1)</f>
        <v>6</v>
      </c>
      <c r="D23" s="15" t="s">
        <v>7</v>
      </c>
      <c r="E23" s="9">
        <f t="shared" si="5"/>
        <v>8</v>
      </c>
      <c r="F23" s="19">
        <f>TY_Units!F16</f>
        <v>3223283.3445287943</v>
      </c>
      <c r="G23" s="1790">
        <f>G17-0.5%</f>
        <v>4.0201760539999999E-2</v>
      </c>
      <c r="H23" s="19">
        <f>ROUND(F23/(1-G23),$AK$8)</f>
        <v>3358293</v>
      </c>
      <c r="I23" s="46">
        <f>ROUND(H23/$H$62,$AK$9)</f>
        <v>5.0000000000000001E-4</v>
      </c>
      <c r="J23" s="19">
        <f>ROUND(H23/(365*24),$AK$8)</f>
        <v>383</v>
      </c>
      <c r="K23" s="622">
        <f>$AP$14</f>
        <v>0.35</v>
      </c>
      <c r="L23" s="19">
        <f>IFERROR(ROUND($J23/$K23,$AK$8),0)</f>
        <v>1094</v>
      </c>
      <c r="M23" s="333">
        <f>ROUND($L23/$L$62,$AK$9)</f>
        <v>8.0000000000000004E-4</v>
      </c>
      <c r="N23" s="1799">
        <v>0</v>
      </c>
      <c r="O23" s="333">
        <f>ROUND($N23/$N$62,$AK$9)</f>
        <v>0</v>
      </c>
      <c r="P23" s="611">
        <v>0.7</v>
      </c>
      <c r="Q23" s="376">
        <f>ROUND($L23/P23,$AK$8)</f>
        <v>1563</v>
      </c>
      <c r="R23" s="333">
        <f>ROUND(Q23/$Q$62,$AK$9)</f>
        <v>8.9999999999999998E-4</v>
      </c>
      <c r="S23" s="3006">
        <f>+Q23*0.05</f>
        <v>78.150000000000006</v>
      </c>
      <c r="T23" s="333">
        <f>ROUND(S23/$S$62,$AK$9)</f>
        <v>1E-4</v>
      </c>
      <c r="U23" s="3006">
        <f>IF(P23=0,0,Q23)-S23</f>
        <v>1484.85</v>
      </c>
      <c r="V23" s="333">
        <f>ROUND(U23/$U$62,$AK$9)</f>
        <v>2.5000000000000001E-3</v>
      </c>
      <c r="W23" s="260">
        <f>IF($L23-J23&gt;0,$L23-J23,0)</f>
        <v>711</v>
      </c>
      <c r="X23" s="333">
        <f>ROUND(W23/W$62,$AK$9)</f>
        <v>1.1000000000000001E-3</v>
      </c>
      <c r="Y23" s="260">
        <f>ROUND($X23*$J$65,$AK$8)</f>
        <v>386</v>
      </c>
      <c r="Z23" s="260">
        <f>ROUND($X23*$J$69,$AK$8)</f>
        <v>175</v>
      </c>
      <c r="AA23" s="19">
        <f>$J23+$Y23</f>
        <v>769</v>
      </c>
      <c r="AB23" s="333">
        <f>ROUND(AA23/AA$62,$AK$9)</f>
        <v>6.9999999999999999E-4</v>
      </c>
      <c r="AC23" s="19">
        <f>$J23+$Z23</f>
        <v>558</v>
      </c>
      <c r="AD23" s="333">
        <f>ROUND(AC23/AC$62,$AK$9)</f>
        <v>5.9999999999999995E-4</v>
      </c>
      <c r="AE23" s="333">
        <f>ROUND(+$AN14*$H23/($H23+$H24),$AK$9)</f>
        <v>5.9999999999999995E-4</v>
      </c>
      <c r="AF23" s="1965">
        <f>ROUND(+$AO14*$H23/($H23+$H24),$AK$9)</f>
        <v>895.79759999999999</v>
      </c>
      <c r="AG23" s="1966">
        <f>ROUND($AF23/$AF$62,$AK$9)</f>
        <v>8.0000000000000004E-4</v>
      </c>
      <c r="AH23" s="1967">
        <f>AF23+J23</f>
        <v>1278.7975999999999</v>
      </c>
      <c r="AI23" s="1966">
        <f>ROUND($AH23/$AH$62,$AK$9)</f>
        <v>5.9999999999999995E-4</v>
      </c>
      <c r="AM23" s="1937" t="s">
        <v>2760</v>
      </c>
      <c r="AN23" s="878"/>
      <c r="AO23" s="878"/>
      <c r="AP23" s="2997">
        <f>INDEX($AR23:$BI23,1,MATCH($D$6,$AR$10:$BI$10,0))</f>
        <v>1110807.4145326638</v>
      </c>
      <c r="AR23" s="1750">
        <f>669*1000</f>
        <v>669000</v>
      </c>
      <c r="AS23" s="1750">
        <f>717.510733143892*1000</f>
        <v>717510.73314389202</v>
      </c>
      <c r="AT23" s="4217">
        <v>777000</v>
      </c>
      <c r="AU23" s="4218">
        <v>779975.40534345258</v>
      </c>
      <c r="AV23" s="4218">
        <v>834707.81333429436</v>
      </c>
      <c r="AW23" s="4218">
        <v>880195.43010389304</v>
      </c>
      <c r="AX23" s="4218">
        <v>941625.20363400842</v>
      </c>
      <c r="AY23" s="4218">
        <v>985269.60086635698</v>
      </c>
      <c r="AZ23" s="4218">
        <v>1020636.5494693283</v>
      </c>
      <c r="BA23" s="4218">
        <v>1047736.059578279</v>
      </c>
      <c r="BB23" s="4218">
        <v>1078524.409277417</v>
      </c>
      <c r="BC23" s="4218">
        <v>1110807.4145326638</v>
      </c>
      <c r="BD23" s="4218">
        <v>1135302.6183781489</v>
      </c>
      <c r="BE23" s="4218">
        <v>1159264.7900330189</v>
      </c>
      <c r="BF23" s="205" t="e">
        <f>BE23*(1+Cust_Esca!#REF!)</f>
        <v>#REF!</v>
      </c>
      <c r="BG23" s="205" t="e">
        <f>BF23*(1+Cust_Esca!#REF!)</f>
        <v>#REF!</v>
      </c>
      <c r="BH23" s="205" t="e">
        <f>BG23*(1+Cust_Esca!V$58)</f>
        <v>#REF!</v>
      </c>
      <c r="BI23" s="205" t="e">
        <f>BH23*(1+Cust_Esca!W$58)</f>
        <v>#REF!</v>
      </c>
      <c r="BO23" s="485"/>
    </row>
    <row r="24" spans="1:103" ht="16.5" customHeight="1" thickBot="1">
      <c r="A24" s="411"/>
      <c r="C24" s="261">
        <f>IF(D24="","",MAX(C$15:C23)+1)</f>
        <v>7</v>
      </c>
      <c r="D24" s="15" t="s">
        <v>8</v>
      </c>
      <c r="E24" s="9">
        <f t="shared" si="5"/>
        <v>9</v>
      </c>
      <c r="F24" s="19">
        <f>TY_Units!F18</f>
        <v>641433385.56123352</v>
      </c>
      <c r="G24" s="1791">
        <f>G23</f>
        <v>4.0201760539999999E-2</v>
      </c>
      <c r="H24" s="19">
        <f>ROUND(F24/(1-G24),$AK$8)</f>
        <v>668300231</v>
      </c>
      <c r="I24" s="46">
        <f>ROUND(H24/$H$62,$AK$9)</f>
        <v>0.1004</v>
      </c>
      <c r="J24" s="19">
        <f>ROUND(H24/(365*24),$AK$8)</f>
        <v>76290</v>
      </c>
      <c r="K24" s="623">
        <f>$AP$14</f>
        <v>0.35</v>
      </c>
      <c r="L24" s="19">
        <f>IFERROR(ROUND($J24/$K24,$AK$8),0)</f>
        <v>217971</v>
      </c>
      <c r="M24" s="333">
        <f>ROUND($L24/$L$62,$AK$9)</f>
        <v>0.15670000000000001</v>
      </c>
      <c r="N24" s="1800">
        <v>0</v>
      </c>
      <c r="O24" s="333">
        <f>ROUND($N24/$N$62,$AK$9)</f>
        <v>0</v>
      </c>
      <c r="P24" s="612">
        <v>0.7</v>
      </c>
      <c r="Q24" s="376">
        <f>ROUND($L24/P24,$AK$8)</f>
        <v>311387</v>
      </c>
      <c r="R24" s="333">
        <f>ROUND(Q24/$Q$62,$AK$9)</f>
        <v>0.17430000000000001</v>
      </c>
      <c r="S24" s="3006">
        <f>+Q24*0.05</f>
        <v>15569.35</v>
      </c>
      <c r="T24" s="333">
        <f>ROUND(S24/$S$62,$AK$9)</f>
        <v>1.2999999999999999E-2</v>
      </c>
      <c r="U24" s="3006">
        <f>IF(P24=0,0,Q24)-S24</f>
        <v>295817.65000000002</v>
      </c>
      <c r="V24" s="333">
        <f>ROUND(U24/$U$62,$AK$9)</f>
        <v>0.50249999999999995</v>
      </c>
      <c r="W24" s="260">
        <f>IF($L24-J24&gt;0,$L24-J24,0)</f>
        <v>141681</v>
      </c>
      <c r="X24" s="333">
        <f>ROUND(W24/W$62,$AK$9)</f>
        <v>0.22439999999999999</v>
      </c>
      <c r="Y24" s="259">
        <f>ROUND($X24*$J$65,$AK$8)</f>
        <v>78808</v>
      </c>
      <c r="Z24" s="259">
        <f>ROUND($X24*$J$69,$AK$8)</f>
        <v>35660</v>
      </c>
      <c r="AA24" s="19">
        <f>$J24+$Y24</f>
        <v>155098</v>
      </c>
      <c r="AB24" s="333">
        <f>ROUND(AA24/AA$62,$AK$9)</f>
        <v>0.1396</v>
      </c>
      <c r="AC24" s="19">
        <f>$J24+$Z24</f>
        <v>111950</v>
      </c>
      <c r="AD24" s="333">
        <f>ROUND(AC24/AC$62,$AK$9)</f>
        <v>0.12189999999999999</v>
      </c>
      <c r="AE24" s="333">
        <f>ROUND(+$AN14*$H24/($H24+$H23),$AK$9)</f>
        <v>0.1152</v>
      </c>
      <c r="AF24" s="1971">
        <f>ROUND(+$AO14*$H24/($H24+$H23),$AK$9)</f>
        <v>178263.6998</v>
      </c>
      <c r="AG24" s="1966">
        <f>ROUND($AF24/$AF$62,$AK$9)</f>
        <v>0.1605</v>
      </c>
      <c r="AH24" s="1972">
        <f>AF24+J24</f>
        <v>254553.6998</v>
      </c>
      <c r="AI24" s="1966">
        <f>ROUND($AH24/$AH$62,$AK$9)</f>
        <v>0.12709999999999999</v>
      </c>
      <c r="AM24" s="1938" t="s">
        <v>2747</v>
      </c>
      <c r="AN24" s="20"/>
      <c r="AO24" s="20"/>
      <c r="AP24" s="2998">
        <f>INDEX($AR24:$BI24,1,MATCH($D$6,$AR$10:$BI$10,0))</f>
        <v>6606955.2662993651</v>
      </c>
      <c r="AR24" s="1920">
        <v>4034902</v>
      </c>
      <c r="AS24" s="1920">
        <v>4327482.0510967933</v>
      </c>
      <c r="AT24" s="3688">
        <v>4621507</v>
      </c>
      <c r="AU24" s="4218">
        <v>4639204.3701706612</v>
      </c>
      <c r="AV24" s="4218">
        <v>4964746.4636797085</v>
      </c>
      <c r="AW24" s="4218">
        <v>5235301.5979319848</v>
      </c>
      <c r="AX24" s="4218">
        <v>5600678.8545315247</v>
      </c>
      <c r="AY24" s="4218">
        <v>5860270.7301043412</v>
      </c>
      <c r="AZ24" s="4218">
        <v>6070629.2893543709</v>
      </c>
      <c r="BA24" s="4218">
        <v>6231814.0714201201</v>
      </c>
      <c r="BB24" s="4218">
        <v>6414939.6488371249</v>
      </c>
      <c r="BC24" s="4218">
        <v>6606955.2662993651</v>
      </c>
      <c r="BD24" s="4218">
        <v>6752649.9330153707</v>
      </c>
      <c r="BE24" s="4218">
        <v>6895174.1853167638</v>
      </c>
      <c r="BF24" s="205" t="e">
        <f>BE24*(1+Cust_Esca!#REF!)</f>
        <v>#REF!</v>
      </c>
      <c r="BG24" s="205" t="e">
        <f>BF24*(1+Cust_Esca!#REF!)</f>
        <v>#REF!</v>
      </c>
      <c r="BH24" s="205" t="e">
        <f>BG24*(1+Cust_Esca!V$58)</f>
        <v>#REF!</v>
      </c>
      <c r="BI24" s="205" t="e">
        <f>BH24*(1+Cust_Esca!W$58)</f>
        <v>#REF!</v>
      </c>
    </row>
    <row r="25" spans="1:103" ht="16.5" customHeight="1">
      <c r="A25" s="411"/>
      <c r="C25" s="261">
        <f>IF(D25="","",MAX(C$15:C24)+1)</f>
        <v>8</v>
      </c>
      <c r="D25" s="39" t="s">
        <v>3</v>
      </c>
      <c r="E25" s="9">
        <f t="shared" si="5"/>
        <v>10</v>
      </c>
      <c r="F25" s="371">
        <f>SUM(F23:F24)</f>
        <v>644656668.90576231</v>
      </c>
      <c r="G25" s="1792"/>
      <c r="H25" s="371">
        <f>SUM(H23:H24)</f>
        <v>671658524</v>
      </c>
      <c r="I25" s="46">
        <f>ROUND(H25/$H$62,$AK$9)</f>
        <v>0.1009</v>
      </c>
      <c r="J25" s="371">
        <f>SUM(J23:J24)</f>
        <v>76673</v>
      </c>
      <c r="K25" s="624">
        <f>IFERROR(+H25/L25/8760,0)</f>
        <v>0.3500027274488598</v>
      </c>
      <c r="L25" s="371">
        <f>SUM(L23:L24)</f>
        <v>219065</v>
      </c>
      <c r="M25" s="333">
        <f>ROUND($L25/$L$62,$AK$9)</f>
        <v>0.1575</v>
      </c>
      <c r="N25" s="19">
        <f>SUM(N23:N24)</f>
        <v>0</v>
      </c>
      <c r="O25" s="333">
        <f>ROUND($N25/$N$62,$AK$9)</f>
        <v>0</v>
      </c>
      <c r="P25" s="276"/>
      <c r="Q25" s="371">
        <f>SUM(Q23:Q24)</f>
        <v>312950</v>
      </c>
      <c r="R25" s="333">
        <f>ROUND(Q25/$Q$62,$AK$9)</f>
        <v>0.17519999999999999</v>
      </c>
      <c r="S25" s="371">
        <f>SUM(S23:S24)</f>
        <v>15647.5</v>
      </c>
      <c r="T25" s="333">
        <f>ROUND(S25/$S$62,$AK$9)</f>
        <v>1.3100000000000001E-2</v>
      </c>
      <c r="U25" s="371">
        <f>SUM(U23:U24)</f>
        <v>297302.5</v>
      </c>
      <c r="V25" s="333">
        <f>ROUND(U25/$U$62,$AK$9)</f>
        <v>0.505</v>
      </c>
      <c r="W25" s="371">
        <f>SUM(W23:W24)</f>
        <v>142392</v>
      </c>
      <c r="X25" s="333">
        <f>ROUND(W25/W$62,$AK$9)</f>
        <v>0.22550000000000001</v>
      </c>
      <c r="Y25" s="371">
        <f>SUM(Y23:Y24)</f>
        <v>79194</v>
      </c>
      <c r="Z25" s="371">
        <f>SUM(Z23:Z24)</f>
        <v>35835</v>
      </c>
      <c r="AA25" s="371">
        <f>SUM(AA23:AA24)</f>
        <v>155867</v>
      </c>
      <c r="AB25" s="333">
        <f>ROUND(AA25/AA$62,$AK$9)</f>
        <v>0.14030000000000001</v>
      </c>
      <c r="AC25" s="371">
        <f>SUM(AC23:AC24)</f>
        <v>112508</v>
      </c>
      <c r="AD25" s="333">
        <f>ROUND(AC25/AC$62,$AK$9)</f>
        <v>0.1225</v>
      </c>
      <c r="AE25" s="46">
        <f>+AE23+AE24</f>
        <v>0.1158</v>
      </c>
      <c r="AF25" s="1968">
        <f>SUM(AF23:AF24)</f>
        <v>179159.49739999999</v>
      </c>
      <c r="AG25" s="1966">
        <f>ROUND($AF25/$AF$62,$AK$9)</f>
        <v>0.1613</v>
      </c>
      <c r="AH25" s="1967">
        <f>(J25+AA25)+J25</f>
        <v>309213</v>
      </c>
      <c r="AI25" s="1966">
        <f>ROUND($AH25/$AH$62,$AK$9)</f>
        <v>0.15440000000000001</v>
      </c>
      <c r="AM25" s="1939" t="s">
        <v>2632</v>
      </c>
      <c r="AN25" s="427"/>
      <c r="AO25" s="427"/>
      <c r="AP25" s="2999">
        <f>INDEX($AR25:$BI25,1,MATCH($D$6,$AR$10:$BI$10,0))</f>
        <v>918524.79258331563</v>
      </c>
      <c r="AR25" s="1750">
        <f>584.166666666667*1000</f>
        <v>584166.66666666698</v>
      </c>
      <c r="AS25" s="1750">
        <f>626.525939130379*1000</f>
        <v>626525.939130379</v>
      </c>
      <c r="AT25" s="4217">
        <v>642500</v>
      </c>
      <c r="AU25" s="4218">
        <v>644960.35770034534</v>
      </c>
      <c r="AV25" s="4218">
        <v>690218.49429508892</v>
      </c>
      <c r="AW25" s="4218">
        <v>727832.12849646236</v>
      </c>
      <c r="AX25" s="4218">
        <v>778628.30545025785</v>
      </c>
      <c r="AY25" s="4218">
        <v>814717.78450017283</v>
      </c>
      <c r="AZ25" s="4218">
        <v>843962.65512746875</v>
      </c>
      <c r="BA25" s="4218">
        <v>866371.19469632441</v>
      </c>
      <c r="BB25" s="4218">
        <v>891830.02955050196</v>
      </c>
      <c r="BC25" s="4218">
        <v>918524.79258331563</v>
      </c>
      <c r="BD25" s="4218">
        <v>938779.83566018078</v>
      </c>
      <c r="BE25" s="4218">
        <v>958594.11531044322</v>
      </c>
      <c r="BF25" s="205" t="e">
        <f>BE25*(1+Cust_Esca!#REF!)</f>
        <v>#REF!</v>
      </c>
      <c r="BG25" s="205" t="e">
        <f>BF25*(1+Cust_Esca!#REF!)</f>
        <v>#REF!</v>
      </c>
      <c r="BH25" s="205" t="e">
        <f>BG25*(1+Cust_Esca!V$58)</f>
        <v>#REF!</v>
      </c>
      <c r="BI25" s="205" t="e">
        <f>BH25*(1+Cust_Esca!W$58)</f>
        <v>#REF!</v>
      </c>
    </row>
    <row r="26" spans="1:103" ht="16.5" customHeight="1">
      <c r="A26" s="411"/>
      <c r="C26" s="261" t="str">
        <f>IF(D26="","",MAX(C$15:C25)+1)</f>
        <v/>
      </c>
      <c r="D26" s="39"/>
      <c r="E26" s="9">
        <f t="shared" si="5"/>
        <v>11</v>
      </c>
      <c r="F26" s="19"/>
      <c r="G26" s="1792"/>
      <c r="H26" s="19"/>
      <c r="I26" s="46"/>
      <c r="J26" s="19"/>
      <c r="K26" s="619"/>
      <c r="L26" s="19"/>
      <c r="M26" s="333"/>
      <c r="N26" s="19"/>
      <c r="O26" s="333"/>
      <c r="P26" s="276"/>
      <c r="Q26" s="19"/>
      <c r="R26" s="333"/>
      <c r="S26" s="19"/>
      <c r="T26" s="333"/>
      <c r="U26" s="19"/>
      <c r="V26" s="333"/>
      <c r="W26" s="19"/>
      <c r="X26" s="333"/>
      <c r="Y26" s="19"/>
      <c r="Z26" s="19"/>
      <c r="AA26" s="19"/>
      <c r="AB26" s="333"/>
      <c r="AC26" s="19"/>
      <c r="AD26" s="333"/>
      <c r="AE26" s="333"/>
      <c r="AF26" s="1965"/>
      <c r="AG26" s="1966"/>
      <c r="AH26" s="1966"/>
      <c r="AI26" s="1966"/>
      <c r="AM26" s="1742"/>
      <c r="AN26" s="19"/>
      <c r="AO26" s="19"/>
      <c r="AP26" s="19"/>
      <c r="AR26" s="19"/>
      <c r="AS26" s="47"/>
    </row>
    <row r="27" spans="1:103" ht="16.5" customHeight="1" thickBot="1">
      <c r="A27" s="411"/>
      <c r="C27" s="261">
        <f>IF(D27="","",MAX(C$15:C26)+1)</f>
        <v>9</v>
      </c>
      <c r="D27" s="246" t="s">
        <v>21</v>
      </c>
      <c r="E27" s="9">
        <f t="shared" si="5"/>
        <v>12</v>
      </c>
      <c r="F27" s="17"/>
      <c r="G27" s="17"/>
      <c r="H27" s="17"/>
      <c r="I27" s="17"/>
      <c r="J27" s="17"/>
      <c r="K27" s="620"/>
      <c r="L27" s="17"/>
      <c r="M27" s="17"/>
      <c r="N27" s="17"/>
      <c r="O27" s="17"/>
      <c r="P27" s="17"/>
      <c r="Q27" s="17"/>
      <c r="R27" s="17"/>
      <c r="S27" s="17"/>
      <c r="T27" s="17"/>
      <c r="U27" s="17"/>
      <c r="V27" s="17"/>
      <c r="W27" s="17"/>
      <c r="X27" s="17"/>
      <c r="Y27" s="17"/>
      <c r="Z27" s="17"/>
      <c r="AA27" s="17"/>
      <c r="AB27" s="17"/>
      <c r="AC27" s="17"/>
      <c r="AD27" s="17"/>
      <c r="AE27" s="17"/>
      <c r="AF27" s="1970"/>
      <c r="AG27" s="17"/>
      <c r="AH27" s="17"/>
      <c r="AI27" s="17"/>
    </row>
    <row r="28" spans="1:103" ht="16.5" customHeight="1">
      <c r="A28" s="411"/>
      <c r="C28" s="261">
        <f>IF(D28="","",MAX(C$15:C27)+1)</f>
        <v>10</v>
      </c>
      <c r="D28" s="39" t="s">
        <v>7</v>
      </c>
      <c r="E28" s="9">
        <f t="shared" si="5"/>
        <v>13</v>
      </c>
      <c r="F28" s="19">
        <f>TY_Units!F20</f>
        <v>122896848</v>
      </c>
      <c r="G28" s="611">
        <f>G17-0.020316%</f>
        <v>4.4998600539999996E-2</v>
      </c>
      <c r="H28" s="19">
        <f>ROUND(F28/(1-G28),$AK$8)</f>
        <v>128687610</v>
      </c>
      <c r="I28" s="46">
        <f>ROUND(H28/$H$62,$AK$9)</f>
        <v>1.9300000000000001E-2</v>
      </c>
      <c r="J28" s="19">
        <f>ROUND(H28/(365*24),$AK$8)</f>
        <v>14690</v>
      </c>
      <c r="K28" s="622">
        <f>$AP$13</f>
        <v>0.35</v>
      </c>
      <c r="L28" s="19">
        <f>IFERROR(ROUND($J28/$K28,$AK$8),0)</f>
        <v>41971</v>
      </c>
      <c r="M28" s="333">
        <f>ROUND($L28/$L$62,$AK$9)</f>
        <v>3.0200000000000001E-2</v>
      </c>
      <c r="N28" s="1799">
        <v>0</v>
      </c>
      <c r="O28" s="333">
        <f>ROUND($N28/$N$62,$AK$9)</f>
        <v>0</v>
      </c>
      <c r="P28" s="611">
        <v>0.7</v>
      </c>
      <c r="Q28" s="376">
        <f>ROUND($L28/P28,$AK$8)</f>
        <v>59959</v>
      </c>
      <c r="R28" s="333">
        <f>ROUND(Q28/$Q$62,$AK$9)</f>
        <v>3.3599999999999998E-2</v>
      </c>
      <c r="S28" s="3006">
        <f>IF(P28=0,0,Q28)*0.7</f>
        <v>41971.299999999996</v>
      </c>
      <c r="T28" s="333">
        <f>ROUND(S28/$S$62,$AK$9)</f>
        <v>3.5000000000000003E-2</v>
      </c>
      <c r="U28" s="3006">
        <f>+Q28*0.3</f>
        <v>17987.7</v>
      </c>
      <c r="V28" s="333">
        <f>ROUND(U28/$U$62,$AK$9)</f>
        <v>3.0599999999999999E-2</v>
      </c>
      <c r="W28" s="260">
        <f>IF($L28-J28&gt;0,$L28-J28,0)</f>
        <v>27281</v>
      </c>
      <c r="X28" s="333">
        <f>ROUND(W28/W$62,$AK$9)</f>
        <v>4.3200000000000002E-2</v>
      </c>
      <c r="Y28" s="260">
        <f>ROUND($X28*$J$65,$AK$8)</f>
        <v>15172</v>
      </c>
      <c r="Z28" s="260">
        <f>ROUND($X28*$J$69,$AK$8)</f>
        <v>6865</v>
      </c>
      <c r="AA28" s="19">
        <f>$J28+$Y28</f>
        <v>29862</v>
      </c>
      <c r="AB28" s="333">
        <f>ROUND(AA28/AA$62,$AK$9)</f>
        <v>2.69E-2</v>
      </c>
      <c r="AC28" s="19">
        <f>$J28+$Z28</f>
        <v>21555</v>
      </c>
      <c r="AD28" s="333">
        <f>ROUND(AC28/AC$62,$AK$9)</f>
        <v>2.35E-2</v>
      </c>
      <c r="AE28" s="333">
        <f>ROUND(+$AN13*$H28/($H28+$H29),$AK$9)</f>
        <v>3.49E-2</v>
      </c>
      <c r="AF28" s="1965">
        <f>ROUND(+$AO13*$H28/($H28+$H29),$AK$9)</f>
        <v>27501.948899999999</v>
      </c>
      <c r="AG28" s="1966">
        <f>ROUND($AF28/$AF$62,$AK$9)</f>
        <v>2.4799999999999999E-2</v>
      </c>
      <c r="AH28" s="1967">
        <f>AF28+J28</f>
        <v>42191.948900000003</v>
      </c>
      <c r="AI28" s="1966">
        <f>ROUND($AH28/$AH$62,$AK$9)</f>
        <v>2.1100000000000001E-2</v>
      </c>
    </row>
    <row r="29" spans="1:103" ht="16.5" customHeight="1" thickBot="1">
      <c r="A29" s="411"/>
      <c r="C29" s="261">
        <f>IF(D29="","",MAX(C$15:C28)+1)</f>
        <v>11</v>
      </c>
      <c r="D29" s="39" t="s">
        <v>8</v>
      </c>
      <c r="E29" s="9">
        <f t="shared" si="5"/>
        <v>14</v>
      </c>
      <c r="F29" s="19">
        <f>TY_Units!F22</f>
        <v>449687544</v>
      </c>
      <c r="G29" s="1791">
        <f>G28</f>
        <v>4.4998600539999996E-2</v>
      </c>
      <c r="H29" s="19">
        <f>ROUND(F29/(1-G29),$AK$8)</f>
        <v>470876319</v>
      </c>
      <c r="I29" s="46">
        <f>ROUND(H29/$H$62,$AK$9)</f>
        <v>7.0800000000000002E-2</v>
      </c>
      <c r="J29" s="19">
        <f>ROUND(H29/(365*24),$AK$8)</f>
        <v>53753</v>
      </c>
      <c r="K29" s="623">
        <f>$AP$13</f>
        <v>0.35</v>
      </c>
      <c r="L29" s="19">
        <f>IFERROR(ROUND($J29/$K29,$AK$8),0)</f>
        <v>153580</v>
      </c>
      <c r="M29" s="333">
        <f>ROUND($L29/$L$62,$AK$9)</f>
        <v>0.1104</v>
      </c>
      <c r="N29" s="1800">
        <v>0</v>
      </c>
      <c r="O29" s="333">
        <f>ROUND($N29/$N$62,$AK$9)</f>
        <v>0</v>
      </c>
      <c r="P29" s="612">
        <v>0.7</v>
      </c>
      <c r="Q29" s="376">
        <f>ROUND($L29/P29,$AK$8)</f>
        <v>219400</v>
      </c>
      <c r="R29" s="333">
        <f>ROUND(Q29/$Q$62,$AK$9)</f>
        <v>0.12280000000000001</v>
      </c>
      <c r="S29" s="3006">
        <f>IF(P29=0,0,Q29)*0.7</f>
        <v>153580</v>
      </c>
      <c r="T29" s="46">
        <f>T30-T28</f>
        <v>0.12820000000000001</v>
      </c>
      <c r="U29" s="3006">
        <f>+Q29*0.3</f>
        <v>65820</v>
      </c>
      <c r="V29" s="333">
        <f>ROUND(U29/$U$62,$AK$9)</f>
        <v>0.1118</v>
      </c>
      <c r="W29" s="260">
        <f>IF($L29-J29&gt;0,$L29-J29,0)</f>
        <v>99827</v>
      </c>
      <c r="X29" s="333">
        <f>ROUND(W29/W$62,$AK$9)</f>
        <v>0.15809999999999999</v>
      </c>
      <c r="Y29" s="259">
        <f>ROUND($X29*$J$65,$AK$8)</f>
        <v>55524</v>
      </c>
      <c r="Z29" s="259">
        <f>ROUND($X29*$J$69,$AK$8)</f>
        <v>25124</v>
      </c>
      <c r="AA29" s="19">
        <f>$J29+$Y29</f>
        <v>109277</v>
      </c>
      <c r="AB29" s="333">
        <f>ROUND(AA29/AA$62,$AK$9)</f>
        <v>9.8400000000000001E-2</v>
      </c>
      <c r="AC29" s="19">
        <f>$J29+$Z29</f>
        <v>78877</v>
      </c>
      <c r="AD29" s="333">
        <f>ROUND(AC29/AC$62,$AK$9)</f>
        <v>8.5900000000000004E-2</v>
      </c>
      <c r="AE29" s="333">
        <f>ROUND(+$AN13*$H29/($H29+$H28),$AK$9)</f>
        <v>0.1278</v>
      </c>
      <c r="AF29" s="1971">
        <f>ROUND(+$AO13*$H29/($H29+$H28),$AK$9)</f>
        <v>100631.41620000001</v>
      </c>
      <c r="AG29" s="1966">
        <f>ROUND($AF29/$AF$62,$AK$9)</f>
        <v>9.06E-2</v>
      </c>
      <c r="AH29" s="1972">
        <f>AF29+J29</f>
        <v>154384.41620000001</v>
      </c>
      <c r="AI29" s="1966">
        <f>ROUND($AH29/$AH$62,$AK$9)</f>
        <v>7.7100000000000002E-2</v>
      </c>
    </row>
    <row r="30" spans="1:103" ht="16.5" customHeight="1">
      <c r="A30" s="411"/>
      <c r="C30" s="261">
        <f>IF(D30="","",MAX(C$15:C29)+1)</f>
        <v>12</v>
      </c>
      <c r="D30" s="39" t="s">
        <v>3</v>
      </c>
      <c r="E30" s="9">
        <f t="shared" si="5"/>
        <v>15</v>
      </c>
      <c r="F30" s="371">
        <f>SUM(F28:F29)</f>
        <v>572584392</v>
      </c>
      <c r="G30" s="1792"/>
      <c r="H30" s="371">
        <f>SUM(H28:H29)</f>
        <v>599563929</v>
      </c>
      <c r="I30" s="630">
        <f>ROUND(1-SUM(I17,I20,I25,I33,I36,I39,I42,I45,I48,I51,I54,I57,I60),$AK$9)</f>
        <v>9.01E-2</v>
      </c>
      <c r="J30" s="371">
        <f>SUM(J28:J29)</f>
        <v>68443</v>
      </c>
      <c r="K30" s="624">
        <f>IFERROR(+H30/L30/8760,0)</f>
        <v>0.3500026637061992</v>
      </c>
      <c r="L30" s="371">
        <f>SUM(L28:L29)</f>
        <v>195551</v>
      </c>
      <c r="M30" s="630">
        <f>ROUND(1-SUM(M17,M20,M25,M33,M36,M39,M42,M45,M48,M51,M54,M57,M60),$AK$9)</f>
        <v>0.14050000000000001</v>
      </c>
      <c r="N30" s="19">
        <f>SUM(N28:N29)</f>
        <v>0</v>
      </c>
      <c r="O30" s="333">
        <f>ROUND($N30/$N$62,$AK$9)</f>
        <v>0</v>
      </c>
      <c r="P30" s="276"/>
      <c r="Q30" s="371">
        <f>SUM(Q28:Q29)</f>
        <v>279359</v>
      </c>
      <c r="R30" s="630">
        <f>ROUND(1-SUM(R17,R20,R25,R33,R36,R39,R42,R45,R48,R51,R54,R57,R60),$AK$9)</f>
        <v>0.15640000000000001</v>
      </c>
      <c r="S30" s="371">
        <f>SUM(S28:S29)</f>
        <v>195551.3</v>
      </c>
      <c r="T30" s="630">
        <f>ROUND(1-SUM(T17,T20,T25,T33,T36,T39,T42,T45,T48,T51,T54,T57,T60),$AK$9)</f>
        <v>0.16320000000000001</v>
      </c>
      <c r="U30" s="371">
        <f>SUM(U28:U29)</f>
        <v>83807.7</v>
      </c>
      <c r="V30" s="630">
        <f>ROUND(1-SUM(V17,V20,V25,V33,V36,V39,V42,V45,V48,V51,V54,V57,V60),$AK$9)</f>
        <v>0.14230000000000001</v>
      </c>
      <c r="W30" s="371">
        <f>SUM(W28:W29)</f>
        <v>127108</v>
      </c>
      <c r="X30" s="630">
        <f>ROUND(1-SUM(X17,X20,X25,X33,X36,X39,X42,X45,X48,X51,X54,X57,X60),$AK$9)</f>
        <v>0.20150000000000001</v>
      </c>
      <c r="Y30" s="371">
        <f>SUM(Y28:Y29)</f>
        <v>70696</v>
      </c>
      <c r="Z30" s="371">
        <f>SUM(Z28:Z29)</f>
        <v>31989</v>
      </c>
      <c r="AA30" s="371">
        <f>SUM(AA28:AA29)</f>
        <v>139139</v>
      </c>
      <c r="AB30" s="630">
        <f>ROUND(1-SUM(AB17,AB20,AB25,AB33,AB36,AB39,AB42,AB45,AB48,AB51,AB54,AB57,AB60),$AK$9)</f>
        <v>0.12529999999999999</v>
      </c>
      <c r="AC30" s="371">
        <f>SUM(AC28:AC29)</f>
        <v>100432</v>
      </c>
      <c r="AD30" s="630">
        <f>ROUND(1-SUM(AD17,AD20,AD25,AD33,AD36,AD39,AD42,AD45,AD48,AD51,AD54,AD57,AD60),$AK$9)</f>
        <v>0.10920000000000001</v>
      </c>
      <c r="AE30" s="630">
        <f>ROUND(1-SUM(AE17,AE20,AE25,AE33,AE36,AE39,AE42,AE45,AE48,AE51,AE54,AE57,AE60),$AK$9)</f>
        <v>0.16270000000000001</v>
      </c>
      <c r="AF30" s="1968">
        <f>SUM(AF28:AF29)</f>
        <v>128133.36510000001</v>
      </c>
      <c r="AG30" s="1749">
        <f>ROUND(1-SUM(AG17,AG20,AG25,AG33,AG36,AG39,AG42,AG45,AG48,AG51,AG54,AG57,AG60),$AK$9)</f>
        <v>0.1154</v>
      </c>
      <c r="AH30" s="1967">
        <f>(J30+AA30)+J30</f>
        <v>276025</v>
      </c>
      <c r="AI30" s="1749">
        <f>ROUND(1-SUM(AI17,AI20,AI25,AI33,AI36,AI39,AI42,AI45,AI48,AI51,AI54,AI57,AI60),$AK$9)</f>
        <v>0.13769999999999999</v>
      </c>
    </row>
    <row r="31" spans="1:103" ht="16.5" customHeight="1">
      <c r="A31" s="411"/>
      <c r="C31" s="261" t="str">
        <f>IF(D31="","",MAX(C$15:C30)+1)</f>
        <v/>
      </c>
      <c r="D31" s="206"/>
      <c r="E31" s="9">
        <f t="shared" si="5"/>
        <v>16</v>
      </c>
      <c r="F31" s="19"/>
      <c r="G31" s="1793"/>
      <c r="H31" s="19"/>
      <c r="I31" s="333"/>
      <c r="J31" s="19"/>
      <c r="K31" s="621"/>
      <c r="L31" s="19"/>
      <c r="M31" s="333"/>
      <c r="N31" s="19"/>
      <c r="O31" s="333"/>
      <c r="P31" s="369"/>
      <c r="Q31" s="19"/>
      <c r="R31" s="333"/>
      <c r="S31" s="19"/>
      <c r="T31" s="333"/>
      <c r="U31" s="19"/>
      <c r="V31" s="333"/>
      <c r="W31" s="19"/>
      <c r="X31" s="333"/>
      <c r="Y31" s="260"/>
      <c r="Z31" s="260"/>
      <c r="AA31" s="19"/>
      <c r="AB31" s="333"/>
      <c r="AC31" s="19"/>
      <c r="AD31" s="333"/>
      <c r="AE31" s="333"/>
      <c r="AF31" s="1965"/>
      <c r="AG31" s="1966"/>
      <c r="AH31" s="1966"/>
      <c r="AI31" s="1966"/>
    </row>
    <row r="32" spans="1:103" ht="16.5" customHeight="1" thickBot="1">
      <c r="A32" s="411"/>
      <c r="C32" s="261">
        <f>IF(D32="","",MAX(C$15:C31)+1)</f>
        <v>13</v>
      </c>
      <c r="D32" s="246" t="s">
        <v>22</v>
      </c>
      <c r="E32" s="9">
        <f t="shared" si="5"/>
        <v>17</v>
      </c>
      <c r="F32" s="19"/>
      <c r="G32" s="1793"/>
      <c r="H32" s="19"/>
      <c r="I32" s="17"/>
      <c r="J32" s="17"/>
      <c r="K32" s="620"/>
      <c r="L32" s="17"/>
      <c r="M32" s="17"/>
      <c r="N32" s="17"/>
      <c r="O32" s="17"/>
      <c r="P32" s="17"/>
      <c r="Q32" s="17"/>
      <c r="R32" s="17"/>
      <c r="S32" s="17"/>
      <c r="T32" s="17"/>
      <c r="U32" s="17"/>
      <c r="V32" s="17"/>
      <c r="W32" s="17"/>
      <c r="X32" s="17"/>
      <c r="Y32" s="17"/>
      <c r="Z32" s="17"/>
      <c r="AA32" s="17"/>
      <c r="AB32" s="17"/>
      <c r="AC32" s="17"/>
      <c r="AD32" s="17"/>
      <c r="AE32" s="17"/>
      <c r="AF32" s="1970"/>
      <c r="AG32" s="17"/>
      <c r="AH32" s="17"/>
      <c r="AI32" s="17"/>
    </row>
    <row r="33" spans="1:35" ht="16.5" customHeight="1" thickBot="1">
      <c r="A33" s="411"/>
      <c r="C33" s="261">
        <f>IF(D33="","",MAX(C$15:C32)+1)</f>
        <v>14</v>
      </c>
      <c r="D33" s="39" t="s">
        <v>3</v>
      </c>
      <c r="E33" s="9">
        <f t="shared" si="5"/>
        <v>18</v>
      </c>
      <c r="F33" s="19">
        <f>TY_Units!F27</f>
        <v>299772792.2890479</v>
      </c>
      <c r="G33" s="1787">
        <f>G17-1%</f>
        <v>3.5201760539999995E-2</v>
      </c>
      <c r="H33" s="19">
        <f>ROUND(F33/(1-G33),$AK$8)</f>
        <v>310710343</v>
      </c>
      <c r="I33" s="46">
        <f>ROUND(H33/$H$62,$AK$9)</f>
        <v>4.6699999999999998E-2</v>
      </c>
      <c r="J33" s="19">
        <f>ROUND(H33/(365*24),$AK$8)</f>
        <v>35469</v>
      </c>
      <c r="K33" s="618">
        <f>$AP$15</f>
        <v>0.6</v>
      </c>
      <c r="L33" s="19">
        <f>IFERROR(ROUND($J33/$K33,$AK$8),0)</f>
        <v>59115</v>
      </c>
      <c r="M33" s="333">
        <f>ROUND($L33/$L$62,$AK$9)</f>
        <v>4.2500000000000003E-2</v>
      </c>
      <c r="N33" s="1798">
        <v>0</v>
      </c>
      <c r="O33" s="333">
        <f>ROUND($N33/$N$62,$AK$9)</f>
        <v>0</v>
      </c>
      <c r="P33" s="613">
        <v>0.75</v>
      </c>
      <c r="Q33" s="376">
        <f>ROUND($L33/P33,$AK$8)</f>
        <v>78820</v>
      </c>
      <c r="R33" s="333">
        <f>ROUND(Q33/$Q$62,$AK$9)</f>
        <v>4.41E-2</v>
      </c>
      <c r="S33" s="19">
        <f>IF(P33=0,0,Q33)</f>
        <v>78820</v>
      </c>
      <c r="T33" s="333">
        <f>ROUND(S33/$S$62,$AK$9)</f>
        <v>6.5799999999999997E-2</v>
      </c>
      <c r="U33" s="1798">
        <v>0</v>
      </c>
      <c r="V33" s="333">
        <f>ROUND(U33/$U$62,$AK$9)</f>
        <v>0</v>
      </c>
      <c r="W33" s="260">
        <f>IF($L33-J33&gt;0,$L33-J33,0)</f>
        <v>23646</v>
      </c>
      <c r="X33" s="333">
        <f>ROUND(W33/W$62,$AK$9)</f>
        <v>3.7400000000000003E-2</v>
      </c>
      <c r="Y33" s="19">
        <f>ROUND($X33*$J$65,$AK$8)</f>
        <v>13135</v>
      </c>
      <c r="Z33" s="19">
        <f>ROUND($X33*$J$69,$AK$8)</f>
        <v>5943</v>
      </c>
      <c r="AA33" s="19">
        <f>$J33+$Y33</f>
        <v>48604</v>
      </c>
      <c r="AB33" s="333">
        <f>ROUND(AA33/AA$62,$AK$9)</f>
        <v>4.3799999999999999E-2</v>
      </c>
      <c r="AC33" s="19">
        <f>$J33+$Z33</f>
        <v>41412</v>
      </c>
      <c r="AD33" s="333">
        <f>ROUND(AC33/AC$62,$AK$9)</f>
        <v>4.5100000000000001E-2</v>
      </c>
      <c r="AE33" s="333">
        <f>ROUND(+$AN15*$H33/($H33),$AK$9)</f>
        <v>5.1400000000000001E-2</v>
      </c>
      <c r="AF33" s="1965">
        <f>ROUND(+$AO15*$H33/($H33),$AK$9)</f>
        <v>48020.767899999999</v>
      </c>
      <c r="AG33" s="1966">
        <f>ROUND($AF33/$AF$62,$AK$9)</f>
        <v>4.3200000000000002E-2</v>
      </c>
      <c r="AH33" s="1967">
        <f>AF33+J33</f>
        <v>83489.767900000006</v>
      </c>
      <c r="AI33" s="1966">
        <f>ROUND($AH33/$AH$62,$AK$9)</f>
        <v>4.1700000000000001E-2</v>
      </c>
    </row>
    <row r="34" spans="1:35" ht="16.5" customHeight="1">
      <c r="A34" s="411"/>
      <c r="C34" s="261" t="str">
        <f>IF(D34="","",MAX(C$15:C33)+1)</f>
        <v/>
      </c>
      <c r="E34" s="9">
        <f t="shared" si="5"/>
        <v>19</v>
      </c>
      <c r="F34" s="17"/>
      <c r="G34" s="17"/>
      <c r="H34" s="17"/>
      <c r="I34" s="17"/>
      <c r="J34" s="17"/>
      <c r="K34" s="620"/>
      <c r="L34" s="17"/>
      <c r="M34" s="17"/>
      <c r="N34" s="17"/>
      <c r="O34" s="17"/>
      <c r="P34" s="17"/>
      <c r="Q34" s="17"/>
      <c r="R34" s="17"/>
      <c r="S34" s="17"/>
      <c r="T34" s="17"/>
      <c r="U34" s="17"/>
      <c r="V34" s="17"/>
      <c r="W34" s="17"/>
      <c r="X34" s="17"/>
      <c r="Y34" s="17"/>
      <c r="Z34" s="17"/>
      <c r="AA34" s="17"/>
      <c r="AB34" s="17"/>
      <c r="AC34" s="17"/>
      <c r="AD34" s="17"/>
      <c r="AE34" s="17"/>
      <c r="AF34" s="1970"/>
      <c r="AG34" s="17"/>
      <c r="AH34" s="17"/>
      <c r="AI34" s="17"/>
    </row>
    <row r="35" spans="1:35" ht="16.5" customHeight="1" thickBot="1">
      <c r="A35" s="411"/>
      <c r="C35" s="261">
        <f>IF(D35="","",MAX(C$15:C34)+1)</f>
        <v>15</v>
      </c>
      <c r="D35" s="246" t="s">
        <v>16</v>
      </c>
      <c r="E35" s="9">
        <f t="shared" si="5"/>
        <v>20</v>
      </c>
      <c r="F35" s="17"/>
      <c r="G35" s="17"/>
      <c r="H35" s="17"/>
      <c r="I35" s="17"/>
      <c r="J35" s="17"/>
      <c r="K35" s="620"/>
      <c r="L35" s="17"/>
      <c r="M35" s="17"/>
      <c r="N35" s="17"/>
      <c r="O35" s="17"/>
      <c r="P35" s="17"/>
      <c r="Q35" s="17"/>
      <c r="R35" s="17"/>
      <c r="S35" s="17"/>
      <c r="T35" s="17"/>
      <c r="U35" s="17"/>
      <c r="V35" s="17"/>
      <c r="W35" s="17"/>
      <c r="X35" s="17"/>
      <c r="Y35" s="17"/>
      <c r="Z35" s="17"/>
      <c r="AA35" s="17"/>
      <c r="AB35" s="17"/>
      <c r="AC35" s="17"/>
      <c r="AD35" s="17"/>
      <c r="AE35" s="17"/>
      <c r="AF35" s="1970"/>
      <c r="AG35" s="17"/>
      <c r="AH35" s="17"/>
      <c r="AI35" s="17"/>
    </row>
    <row r="36" spans="1:35" ht="16.5" customHeight="1" thickBot="1">
      <c r="A36" s="411"/>
      <c r="C36" s="261">
        <f>IF(D36="","",MAX(C$15:C35)+1)</f>
        <v>16</v>
      </c>
      <c r="D36" s="39" t="s">
        <v>3</v>
      </c>
      <c r="E36" s="9">
        <f t="shared" si="5"/>
        <v>21</v>
      </c>
      <c r="F36" s="19">
        <f>TY_Units!F32</f>
        <v>937116705.50784206</v>
      </c>
      <c r="G36" s="1787">
        <f>G17-2%</f>
        <v>2.5201760539999996E-2</v>
      </c>
      <c r="H36" s="19">
        <f>ROUND(F36/(1-G36),$AK$8)</f>
        <v>961344274</v>
      </c>
      <c r="I36" s="46">
        <f>ROUND(H36/$H$62,$AK$9)</f>
        <v>0.14449999999999999</v>
      </c>
      <c r="J36" s="19">
        <f>ROUND(H36/(365*24),$AK$8)</f>
        <v>109742</v>
      </c>
      <c r="K36" s="618">
        <f>$AP$16</f>
        <v>0.65</v>
      </c>
      <c r="L36" s="19">
        <f>IFERROR(ROUND($J36/$K36,$AK$8),0)</f>
        <v>168834</v>
      </c>
      <c r="M36" s="333">
        <f>ROUND($L36/$L$62,$AK$9)</f>
        <v>0.12139999999999999</v>
      </c>
      <c r="N36" s="3155">
        <v>169000</v>
      </c>
      <c r="O36" s="630">
        <f>ROUND(1-SUM(O17,O20,O25,O30,O33,O39,O42,O51,O54,O57,O60,O45,O66,O48),$AK$9)</f>
        <v>0.2104</v>
      </c>
      <c r="P36" s="613">
        <v>0.8</v>
      </c>
      <c r="Q36" s="376">
        <f>ROUND($L36/P36,$AK$8)</f>
        <v>211043</v>
      </c>
      <c r="R36" s="333">
        <f>ROUND(Q36/$Q$62,$AK$9)</f>
        <v>0.1181</v>
      </c>
      <c r="S36" s="19">
        <f>IF(P36=0,0,Q36)</f>
        <v>211043</v>
      </c>
      <c r="T36" s="333">
        <f>ROUND(S36/$S$62,$AK$9)</f>
        <v>0.1762</v>
      </c>
      <c r="U36" s="1798">
        <v>0</v>
      </c>
      <c r="V36" s="333">
        <f>ROUND(U36/$Q$62,$AK$9)</f>
        <v>0</v>
      </c>
      <c r="W36" s="260">
        <f>IF($L36-J36&gt;0,$L36-J36,0)</f>
        <v>59092</v>
      </c>
      <c r="X36" s="333">
        <f>ROUND(W36/W$62,$AK$9)</f>
        <v>9.3600000000000003E-2</v>
      </c>
      <c r="Y36" s="19">
        <f>ROUND($X36*$J$65,$AK$8)</f>
        <v>32872</v>
      </c>
      <c r="Z36" s="19">
        <f>ROUND($X36*$J$69,$AK$8)</f>
        <v>14874</v>
      </c>
      <c r="AA36" s="19">
        <f>$J36+$Y36</f>
        <v>142614</v>
      </c>
      <c r="AB36" s="333">
        <f>ROUND(AA36/AA$62,$AK$9)</f>
        <v>0.12839999999999999</v>
      </c>
      <c r="AC36" s="19">
        <f>$J36+$Z36</f>
        <v>124616</v>
      </c>
      <c r="AD36" s="333">
        <f>ROUND(AC36/AC$62,$AK$9)</f>
        <v>0.13569999999999999</v>
      </c>
      <c r="AE36" s="333">
        <f>ROUND(+$AN16*$H36/($H36),$AK$9)</f>
        <v>8.8200000000000001E-2</v>
      </c>
      <c r="AF36" s="1965">
        <f>ROUND(+$AO16*$H36/($H36),$AK$9)</f>
        <v>142350.44039999999</v>
      </c>
      <c r="AG36" s="1966">
        <f>ROUND($AF36/$AF$62,$AK$9)</f>
        <v>0.12820000000000001</v>
      </c>
      <c r="AH36" s="1967">
        <f>AF36+J36</f>
        <v>252092.44039999999</v>
      </c>
      <c r="AI36" s="1966">
        <f>ROUND($AH36/$AH$62,$AK$9)</f>
        <v>0.1258</v>
      </c>
    </row>
    <row r="37" spans="1:35" ht="16.5" customHeight="1">
      <c r="A37" s="411"/>
      <c r="C37" s="261" t="str">
        <f>IF(D37="","",MAX(C$15:C36)+1)</f>
        <v/>
      </c>
      <c r="D37" s="39"/>
      <c r="E37" s="9">
        <f t="shared" si="5"/>
        <v>22</v>
      </c>
      <c r="F37" s="19"/>
      <c r="G37" s="1792"/>
      <c r="H37" s="19"/>
      <c r="I37" s="46"/>
      <c r="J37" s="19"/>
      <c r="K37" s="620"/>
      <c r="L37" s="19"/>
      <c r="M37" s="333"/>
      <c r="N37" s="19"/>
      <c r="O37" s="333"/>
      <c r="P37" s="276"/>
      <c r="Q37" s="19"/>
      <c r="R37" s="333"/>
      <c r="S37" s="19"/>
      <c r="T37" s="333"/>
      <c r="U37" s="19"/>
      <c r="V37" s="333"/>
      <c r="W37" s="19"/>
      <c r="X37" s="333"/>
      <c r="Y37" s="19"/>
      <c r="Z37" s="19"/>
      <c r="AA37" s="19"/>
      <c r="AB37" s="333"/>
      <c r="AC37" s="19"/>
      <c r="AD37" s="333"/>
      <c r="AE37" s="333"/>
      <c r="AF37" s="1965"/>
      <c r="AG37" s="1966"/>
      <c r="AH37" s="1966"/>
      <c r="AI37" s="1966"/>
    </row>
    <row r="38" spans="1:35" ht="16.5" customHeight="1" thickBot="1">
      <c r="A38" s="411"/>
      <c r="C38" s="261">
        <f>IF(D38="","",MAX(C$15:C37)+1)</f>
        <v>17</v>
      </c>
      <c r="D38" s="246" t="s">
        <v>17</v>
      </c>
      <c r="E38" s="9">
        <f t="shared" si="5"/>
        <v>23</v>
      </c>
      <c r="F38" s="17"/>
      <c r="G38" s="17"/>
      <c r="H38" s="17"/>
      <c r="I38" s="17"/>
      <c r="J38" s="17"/>
      <c r="K38" s="620"/>
      <c r="L38" s="17"/>
      <c r="M38" s="17"/>
      <c r="N38" s="17"/>
      <c r="O38" s="17"/>
      <c r="P38" s="17"/>
      <c r="Q38" s="17"/>
      <c r="R38" s="17"/>
      <c r="S38" s="17"/>
      <c r="T38" s="17"/>
      <c r="U38" s="17"/>
      <c r="V38" s="17"/>
      <c r="W38" s="17"/>
      <c r="X38" s="17"/>
      <c r="Y38" s="17"/>
      <c r="Z38" s="17"/>
      <c r="AA38" s="17"/>
      <c r="AB38" s="17"/>
      <c r="AC38" s="17"/>
      <c r="AD38" s="17"/>
      <c r="AE38" s="17"/>
      <c r="AF38" s="1970"/>
      <c r="AG38" s="17"/>
      <c r="AH38" s="17"/>
      <c r="AI38" s="17"/>
    </row>
    <row r="39" spans="1:35" ht="16.5" customHeight="1" thickBot="1">
      <c r="A39" s="411"/>
      <c r="C39" s="261">
        <f>IF(D39="","",MAX(C$15:C38)+1)</f>
        <v>18</v>
      </c>
      <c r="D39" s="39" t="s">
        <v>3</v>
      </c>
      <c r="E39" s="9">
        <f t="shared" si="5"/>
        <v>24</v>
      </c>
      <c r="F39" s="424">
        <f>TY_Units!F40</f>
        <v>2673206552.9506884</v>
      </c>
      <c r="G39" s="1787">
        <f>G36</f>
        <v>2.5201760539999996E-2</v>
      </c>
      <c r="H39" s="19">
        <f>ROUND(F39/(1-G39),$AK$8)</f>
        <v>2742317789</v>
      </c>
      <c r="I39" s="46">
        <f>ROUND(H39/$H$62,$AK$9)</f>
        <v>0.41210000000000002</v>
      </c>
      <c r="J39" s="19">
        <f>ROUND(H39/(365*24),$AK$8)</f>
        <v>313050</v>
      </c>
      <c r="K39" s="618">
        <f>$AP$17</f>
        <v>0.8</v>
      </c>
      <c r="L39" s="19">
        <f>IFERROR(ROUND($J39/$K39,$AK$8),0)</f>
        <v>391313</v>
      </c>
      <c r="M39" s="333">
        <f>ROUND($L39/$L$62,$AK$9)</f>
        <v>0.28129999999999999</v>
      </c>
      <c r="N39" s="3155">
        <v>564000</v>
      </c>
      <c r="O39" s="333">
        <f>ROUND($N39/$N$62,$AK$9)</f>
        <v>0.70240000000000002</v>
      </c>
      <c r="P39" s="613">
        <v>0.9</v>
      </c>
      <c r="Q39" s="376">
        <f>ROUND($L39/P39,$AK$8)</f>
        <v>434792</v>
      </c>
      <c r="R39" s="333">
        <f>ROUND(Q39/$Q$62,$AK$9)</f>
        <v>0.24340000000000001</v>
      </c>
      <c r="S39" s="19">
        <f>IF(P39=0,0,Q39)</f>
        <v>434792</v>
      </c>
      <c r="T39" s="333">
        <f>ROUND(S39/$S$62,$AK$9)</f>
        <v>0.36299999999999999</v>
      </c>
      <c r="U39" s="1798">
        <v>0</v>
      </c>
      <c r="V39" s="333">
        <f>ROUND(U39/$Q$62,$AK$9)</f>
        <v>0</v>
      </c>
      <c r="W39" s="260">
        <f>IF($L39-J39&gt;0,$L39-J39,0)</f>
        <v>78263</v>
      </c>
      <c r="X39" s="333">
        <f>ROUND(W39/W$62,$AK$9)</f>
        <v>0.1239</v>
      </c>
      <c r="Y39" s="260">
        <f>ROUND($X39*$J$65,$AK$8)</f>
        <v>43513</v>
      </c>
      <c r="Z39" s="260">
        <f>ROUND($X39*$J$69,$AK$8)</f>
        <v>19689</v>
      </c>
      <c r="AA39" s="19">
        <f>$J39+$Y39</f>
        <v>356563</v>
      </c>
      <c r="AB39" s="333">
        <f>ROUND(AA39/AA$62,$AK$9)</f>
        <v>0.32100000000000001</v>
      </c>
      <c r="AC39" s="19">
        <f>$J39+$Z39</f>
        <v>332739</v>
      </c>
      <c r="AD39" s="333">
        <f>ROUND(AC39/AC$62,$AK$9)</f>
        <v>0.36230000000000001</v>
      </c>
      <c r="AE39" s="333">
        <f>ROUND(+$AN17*$H39/($H39),$AK$9)</f>
        <v>0.24979999999999999</v>
      </c>
      <c r="AF39" s="1965">
        <f>ROUND(+$AO17*$H39/($H39),$AK$9)</f>
        <v>352171.05650000001</v>
      </c>
      <c r="AG39" s="1966">
        <f>ROUND($AF39/$AF$62,$AK$9)</f>
        <v>0.317</v>
      </c>
      <c r="AH39" s="1967">
        <f>AF39+J39</f>
        <v>665221.05649999995</v>
      </c>
      <c r="AI39" s="1966">
        <f>ROUND($AH39/$AH$62,$AK$9)</f>
        <v>0.33210000000000001</v>
      </c>
    </row>
    <row r="40" spans="1:35" ht="16.5" customHeight="1">
      <c r="A40" s="411"/>
      <c r="C40" s="261" t="str">
        <f>IF(D40="","",MAX(C$15:C39)+1)</f>
        <v/>
      </c>
      <c r="D40" s="247"/>
      <c r="E40" s="9">
        <f t="shared" si="5"/>
        <v>25</v>
      </c>
      <c r="F40" s="19"/>
      <c r="G40" s="485"/>
      <c r="H40" s="19"/>
      <c r="I40" s="333"/>
      <c r="J40" s="19"/>
      <c r="K40" s="621"/>
      <c r="L40" s="19"/>
      <c r="M40" s="333"/>
      <c r="N40" s="19"/>
      <c r="O40" s="333"/>
      <c r="P40" s="333"/>
      <c r="Q40" s="19"/>
      <c r="R40" s="333"/>
      <c r="S40" s="19"/>
      <c r="T40" s="333"/>
      <c r="U40" s="19"/>
      <c r="V40" s="333"/>
      <c r="W40" s="19"/>
      <c r="X40" s="333"/>
      <c r="Y40" s="260"/>
      <c r="Z40" s="260"/>
      <c r="AA40" s="19"/>
      <c r="AB40" s="333"/>
      <c r="AC40" s="19"/>
      <c r="AD40" s="333"/>
      <c r="AE40" s="333"/>
      <c r="AF40" s="1965"/>
      <c r="AG40" s="1966"/>
      <c r="AH40" s="1966"/>
      <c r="AI40" s="1966"/>
    </row>
    <row r="41" spans="1:35" ht="16.5" customHeight="1" thickBot="1">
      <c r="A41" s="411"/>
      <c r="C41" s="261">
        <f>IF(D41="","",MAX(C$15:C40)+1)</f>
        <v>19</v>
      </c>
      <c r="D41" s="246" t="s">
        <v>18</v>
      </c>
      <c r="E41" s="9">
        <f t="shared" si="5"/>
        <v>26</v>
      </c>
      <c r="F41" s="17"/>
      <c r="G41" s="17"/>
      <c r="H41" s="17"/>
      <c r="I41" s="17"/>
      <c r="J41" s="17"/>
      <c r="K41" s="620"/>
      <c r="L41" s="17"/>
      <c r="M41" s="17"/>
      <c r="N41" s="17"/>
      <c r="O41" s="17"/>
      <c r="P41" s="17"/>
      <c r="Q41" s="17"/>
      <c r="R41" s="17"/>
      <c r="S41" s="17"/>
      <c r="T41" s="17"/>
      <c r="U41" s="17"/>
      <c r="V41" s="17"/>
      <c r="W41" s="17"/>
      <c r="X41" s="17"/>
      <c r="Y41" s="17"/>
      <c r="Z41" s="17"/>
      <c r="AA41" s="17"/>
      <c r="AB41" s="17"/>
      <c r="AC41" s="17"/>
      <c r="AD41" s="17"/>
      <c r="AE41" s="17"/>
      <c r="AF41" s="1970"/>
      <c r="AG41" s="17"/>
      <c r="AH41" s="17"/>
      <c r="AI41" s="17"/>
    </row>
    <row r="42" spans="1:35" ht="16.5" customHeight="1" thickBot="1">
      <c r="A42" s="411"/>
      <c r="C42" s="261">
        <f>IF(D42="","",MAX(C$15:C41)+1)</f>
        <v>20</v>
      </c>
      <c r="D42" s="39" t="s">
        <v>3</v>
      </c>
      <c r="E42" s="9">
        <f t="shared" si="5"/>
        <v>27</v>
      </c>
      <c r="F42" s="424">
        <f>TY_Units!F45</f>
        <v>418929393.88013124</v>
      </c>
      <c r="G42" s="1787">
        <f>G36</f>
        <v>2.5201760539999996E-2</v>
      </c>
      <c r="H42" s="19">
        <f>ROUND(F42/(1-G42),$AK$8)</f>
        <v>429760105</v>
      </c>
      <c r="I42" s="46">
        <f>ROUND(H42/$H$62,$AK$9)</f>
        <v>6.4600000000000005E-2</v>
      </c>
      <c r="J42" s="19">
        <f>ROUND(H42/(365*24),$AK$8)</f>
        <v>49059</v>
      </c>
      <c r="K42" s="618">
        <f>$AP$18</f>
        <v>0.65</v>
      </c>
      <c r="L42" s="19">
        <f>IFERROR(ROUND($J42/$K42,$AK$8),0)</f>
        <v>75475</v>
      </c>
      <c r="M42" s="333">
        <f>ROUND($L42/$L$62,$AK$9)</f>
        <v>5.4300000000000001E-2</v>
      </c>
      <c r="N42" s="3155">
        <v>59000</v>
      </c>
      <c r="O42" s="333">
        <f>ROUND($N42/$N$62,$AK$9)</f>
        <v>7.3499999999999996E-2</v>
      </c>
      <c r="P42" s="613">
        <v>0.8</v>
      </c>
      <c r="Q42" s="376">
        <f>ROUND($L42/P42,$AK$8)</f>
        <v>94344</v>
      </c>
      <c r="R42" s="333">
        <f>ROUND(Q42/$Q$62,$AK$9)</f>
        <v>5.28E-2</v>
      </c>
      <c r="S42" s="3006">
        <f>IF(P42=0,0,Q42)*1</f>
        <v>94344</v>
      </c>
      <c r="T42" s="333">
        <f>ROUND(S42/$S$62,$AK$9)</f>
        <v>7.8799999999999995E-2</v>
      </c>
      <c r="U42" s="3007">
        <f>Q42-S42</f>
        <v>0</v>
      </c>
      <c r="V42" s="333">
        <f>ROUND(U42/$U$62,$AK$9)</f>
        <v>0</v>
      </c>
      <c r="W42" s="260">
        <f>IF($L42-J42&gt;0,$L42-J42,0)</f>
        <v>26416</v>
      </c>
      <c r="X42" s="333">
        <f>ROUND(W42/W$62,$AK$9)</f>
        <v>4.1799999999999997E-2</v>
      </c>
      <c r="Y42" s="260">
        <f>ROUND($X42*$J$65,$AK$8)</f>
        <v>14680</v>
      </c>
      <c r="Z42" s="260">
        <f>ROUND($X42*$J$69,$AK$8)</f>
        <v>6643</v>
      </c>
      <c r="AA42" s="19">
        <f>$J42+$Y42</f>
        <v>63739</v>
      </c>
      <c r="AB42" s="333">
        <f>ROUND(AA42/AA$62,$AK$9)</f>
        <v>5.74E-2</v>
      </c>
      <c r="AC42" s="19">
        <f>$J42+$Z42</f>
        <v>55702</v>
      </c>
      <c r="AD42" s="333">
        <f>ROUND(AC42/AC$62,$AK$9)</f>
        <v>6.0600000000000001E-2</v>
      </c>
      <c r="AE42" s="333">
        <f>ROUND(+$AN18*$H42/($H42),$AK$9)</f>
        <v>6.6199999999999995E-2</v>
      </c>
      <c r="AF42" s="1965">
        <f>ROUND(+$AO18*$H42/($H42),$AK$9)</f>
        <v>65972.027499999997</v>
      </c>
      <c r="AG42" s="1966">
        <f>ROUND($AF42/$AF$62,$AK$9)</f>
        <v>5.9400000000000001E-2</v>
      </c>
      <c r="AH42" s="1967">
        <f>AF42+J42</f>
        <v>115031.0275</v>
      </c>
      <c r="AI42" s="1966">
        <f>ROUND($AH42/$AH$62,$AK$9)</f>
        <v>5.74E-2</v>
      </c>
    </row>
    <row r="43" spans="1:35" ht="16.5" customHeight="1">
      <c r="A43" s="411"/>
      <c r="C43" s="261" t="str">
        <f>IF(D43="","",MAX(C$15:C42)+1)</f>
        <v/>
      </c>
      <c r="D43" s="206"/>
      <c r="E43" s="9">
        <f t="shared" si="5"/>
        <v>28</v>
      </c>
      <c r="F43" s="19"/>
      <c r="G43" s="1793"/>
      <c r="H43" s="19"/>
      <c r="I43" s="333"/>
      <c r="J43" s="19"/>
      <c r="K43" s="625"/>
      <c r="L43" s="19"/>
      <c r="M43" s="333"/>
      <c r="N43" s="19"/>
      <c r="O43" s="333"/>
      <c r="P43" s="369"/>
      <c r="Q43" s="19"/>
      <c r="R43" s="333"/>
      <c r="S43" s="19"/>
      <c r="T43" s="333"/>
      <c r="U43" s="19"/>
      <c r="V43" s="333"/>
      <c r="W43" s="257"/>
      <c r="X43" s="333"/>
      <c r="Y43" s="19"/>
      <c r="Z43" s="19"/>
      <c r="AA43" s="19"/>
      <c r="AB43" s="333"/>
      <c r="AC43" s="19"/>
      <c r="AD43" s="333"/>
      <c r="AE43" s="333"/>
      <c r="AF43" s="1965"/>
      <c r="AG43" s="1966"/>
      <c r="AH43" s="1966"/>
      <c r="AI43" s="1966"/>
    </row>
    <row r="44" spans="1:35" ht="16.5" customHeight="1" thickBot="1">
      <c r="A44" s="411"/>
      <c r="C44" s="261">
        <f>IF(D44="","",MAX(C$15:C43)+1)</f>
        <v>21</v>
      </c>
      <c r="D44" s="246" t="s">
        <v>19</v>
      </c>
      <c r="E44" s="9">
        <f t="shared" si="5"/>
        <v>29</v>
      </c>
      <c r="F44" s="17"/>
      <c r="G44" s="17"/>
      <c r="H44" s="17"/>
      <c r="I44" s="17"/>
      <c r="J44" s="17"/>
      <c r="K44" s="620"/>
      <c r="L44" s="17"/>
      <c r="M44" s="17"/>
      <c r="N44" s="19"/>
      <c r="O44" s="17"/>
      <c r="P44" s="17"/>
      <c r="Q44" s="17"/>
      <c r="R44" s="17"/>
      <c r="S44" s="17"/>
      <c r="T44" s="17"/>
      <c r="U44" s="17"/>
      <c r="V44" s="17"/>
      <c r="W44" s="17"/>
      <c r="X44" s="17"/>
      <c r="Y44" s="17"/>
      <c r="Z44" s="17"/>
      <c r="AA44" s="17"/>
      <c r="AB44" s="17"/>
      <c r="AC44" s="17"/>
      <c r="AD44" s="17"/>
      <c r="AE44" s="17"/>
      <c r="AF44" s="1970"/>
      <c r="AG44" s="17"/>
      <c r="AH44" s="17"/>
      <c r="AI44" s="17"/>
    </row>
    <row r="45" spans="1:35" ht="16.5" customHeight="1" thickBot="1">
      <c r="A45" s="411"/>
      <c r="C45" s="261">
        <f>IF(D45="","",MAX(C$15:C44)+1)</f>
        <v>22</v>
      </c>
      <c r="D45" s="39" t="s">
        <v>3</v>
      </c>
      <c r="E45" s="9">
        <f t="shared" si="5"/>
        <v>30</v>
      </c>
      <c r="F45" s="19">
        <f>TY_Units!F50</f>
        <v>0</v>
      </c>
      <c r="G45" s="1787">
        <f>G36</f>
        <v>2.5201760539999996E-2</v>
      </c>
      <c r="H45" s="19">
        <f>ROUND(F45/(1-G45),$AK$8)</f>
        <v>0</v>
      </c>
      <c r="I45" s="46">
        <f>ROUND(H45/$H$62,$AK$9)</f>
        <v>0</v>
      </c>
      <c r="J45" s="19">
        <f>ROUND(H45/(365*24),$AK$8)</f>
        <v>0</v>
      </c>
      <c r="K45" s="618">
        <f>$AP$19</f>
        <v>0.65</v>
      </c>
      <c r="L45" s="19">
        <f>IFERROR(ROUND($J45/$K45,$AK$8),0)</f>
        <v>0</v>
      </c>
      <c r="M45" s="333">
        <f>ROUND($L45/$L$62,$AK$9)</f>
        <v>0</v>
      </c>
      <c r="N45" s="3155">
        <v>11000</v>
      </c>
      <c r="O45" s="333">
        <f>ROUND($N45/$N$62,$AK$9)</f>
        <v>1.37E-2</v>
      </c>
      <c r="P45" s="613">
        <v>1</v>
      </c>
      <c r="Q45" s="376">
        <f>ROUND($L45/P45,$AK$8)</f>
        <v>0</v>
      </c>
      <c r="R45" s="333">
        <f>ROUND(Q45/$Q$62,$AK$9)</f>
        <v>0</v>
      </c>
      <c r="S45" s="19">
        <f>ROUND($L45/P45,$AK$8)</f>
        <v>0</v>
      </c>
      <c r="T45" s="333">
        <f>ROUND(S45/$S$62,$AK$9)</f>
        <v>0</v>
      </c>
      <c r="U45" s="1798">
        <v>0</v>
      </c>
      <c r="V45" s="333">
        <f>ROUND(U45/$U$62,$AK$9)</f>
        <v>0</v>
      </c>
      <c r="W45" s="260">
        <f>IF($L45-J45&gt;0,$L45-J45,0)</f>
        <v>0</v>
      </c>
      <c r="X45" s="333">
        <f>ROUND(W45/W$62,$AK$9)</f>
        <v>0</v>
      </c>
      <c r="Y45" s="260">
        <f>ROUND($X45*$J$65,$AK$8)</f>
        <v>0</v>
      </c>
      <c r="Z45" s="260">
        <f>ROUND($X45*$J$69,$AK$8)</f>
        <v>0</v>
      </c>
      <c r="AA45" s="19">
        <f>$J45+$Y45</f>
        <v>0</v>
      </c>
      <c r="AB45" s="333">
        <f>ROUND(AA45/AA$62,$AK$9)</f>
        <v>0</v>
      </c>
      <c r="AC45" s="19">
        <f>$J45+$Z45</f>
        <v>0</v>
      </c>
      <c r="AD45" s="333">
        <f>ROUND(AC45/AC$62,$AK$9)</f>
        <v>0</v>
      </c>
      <c r="AE45" s="333">
        <f>IFERROR(ROUND(+$AN19*$H45/($H45),$AK$9),0)</f>
        <v>0</v>
      </c>
      <c r="AF45" s="1965">
        <f>IFERROR(ROUND(+$AO19*$H45/($H45),$AK$9),0)</f>
        <v>0</v>
      </c>
      <c r="AG45" s="1966">
        <f>ROUND($AF45/$AF$62,$AK$9)</f>
        <v>0</v>
      </c>
      <c r="AH45" s="1967">
        <f>AF45+J45</f>
        <v>0</v>
      </c>
      <c r="AI45" s="1966">
        <f>ROUND($AH45/$AH$62,$AK$9)</f>
        <v>0</v>
      </c>
    </row>
    <row r="46" spans="1:35" ht="16.5" customHeight="1">
      <c r="A46" s="411"/>
      <c r="C46" s="261" t="str">
        <f>IF(D46="","",MAX(C$15:C45)+1)</f>
        <v/>
      </c>
      <c r="D46" s="247"/>
      <c r="E46" s="9">
        <f t="shared" si="5"/>
        <v>31</v>
      </c>
      <c r="F46" s="19"/>
      <c r="G46" s="1793"/>
      <c r="H46" s="19"/>
      <c r="I46" s="333"/>
      <c r="J46" s="19"/>
      <c r="K46" s="621"/>
      <c r="L46" s="19"/>
      <c r="M46" s="333"/>
      <c r="N46" s="19"/>
      <c r="O46" s="333"/>
      <c r="P46" s="369"/>
      <c r="Q46" s="19"/>
      <c r="R46" s="333"/>
      <c r="S46" s="19"/>
      <c r="T46" s="333"/>
      <c r="U46" s="19"/>
      <c r="V46" s="333"/>
      <c r="W46" s="19"/>
      <c r="X46" s="333"/>
      <c r="Y46" s="260"/>
      <c r="Z46" s="260"/>
      <c r="AA46" s="19"/>
      <c r="AB46" s="333"/>
      <c r="AC46" s="19"/>
      <c r="AD46" s="333"/>
      <c r="AE46" s="333"/>
      <c r="AF46" s="1965"/>
      <c r="AG46" s="1966"/>
      <c r="AH46" s="1966"/>
      <c r="AI46" s="1966"/>
    </row>
    <row r="47" spans="1:35" ht="16.5" customHeight="1" thickBot="1">
      <c r="A47" s="411"/>
      <c r="C47" s="261">
        <f>IF(D47="","",MAX(C$15:C46)+1)</f>
        <v>23</v>
      </c>
      <c r="D47" s="246" t="s">
        <v>20</v>
      </c>
      <c r="E47" s="9">
        <f t="shared" si="5"/>
        <v>32</v>
      </c>
      <c r="F47" s="17"/>
      <c r="G47" s="17"/>
      <c r="H47" s="17"/>
      <c r="I47" s="17"/>
      <c r="J47" s="17"/>
      <c r="K47" s="620"/>
      <c r="L47" s="17"/>
      <c r="M47" s="17"/>
      <c r="N47" s="17"/>
      <c r="O47" s="17"/>
      <c r="P47" s="17"/>
      <c r="Q47" s="17"/>
      <c r="R47" s="17"/>
      <c r="S47" s="17"/>
      <c r="T47" s="17"/>
      <c r="U47" s="17"/>
      <c r="V47" s="17"/>
      <c r="W47" s="17"/>
      <c r="X47" s="17"/>
      <c r="Y47" s="17"/>
      <c r="Z47" s="17"/>
      <c r="AA47" s="17"/>
      <c r="AB47" s="17"/>
      <c r="AC47" s="17"/>
      <c r="AD47" s="17"/>
      <c r="AE47" s="17"/>
      <c r="AF47" s="1970"/>
      <c r="AG47" s="17"/>
      <c r="AH47" s="17"/>
      <c r="AI47" s="17"/>
    </row>
    <row r="48" spans="1:35" ht="16.5" customHeight="1" thickBot="1">
      <c r="A48" s="411"/>
      <c r="C48" s="261">
        <f>IF(D48="","",MAX(C$15:C47)+1)</f>
        <v>24</v>
      </c>
      <c r="D48" s="15" t="s">
        <v>3</v>
      </c>
      <c r="E48" s="9">
        <f t="shared" si="5"/>
        <v>33</v>
      </c>
      <c r="F48" s="19">
        <f>TY_Units!F53</f>
        <v>0</v>
      </c>
      <c r="G48" s="1787">
        <f>G36</f>
        <v>2.5201760539999996E-2</v>
      </c>
      <c r="H48" s="19">
        <f>ROUND(F48/(1-G48),$AK$8)</f>
        <v>0</v>
      </c>
      <c r="I48" s="46">
        <f>ROUND(H48/$H$62,$AK$9)</f>
        <v>0</v>
      </c>
      <c r="J48" s="19">
        <f>ROUND(H48/(365*24),$AK$8)</f>
        <v>0</v>
      </c>
      <c r="K48" s="618">
        <f>$AP$20</f>
        <v>0.8</v>
      </c>
      <c r="L48" s="19">
        <f>IFERROR(ROUND($J48/$K48,$AK$8),0)</f>
        <v>0</v>
      </c>
      <c r="M48" s="333">
        <f>ROUND($L48/$L$62,$AK$9)</f>
        <v>0</v>
      </c>
      <c r="N48" s="3156">
        <v>0</v>
      </c>
      <c r="O48" s="333">
        <f>ROUND($N48/$N$62,$AK$9)</f>
        <v>0</v>
      </c>
      <c r="P48" s="613">
        <v>1</v>
      </c>
      <c r="Q48" s="376">
        <f>ROUND($L48/P48,$AK$8)</f>
        <v>0</v>
      </c>
      <c r="R48" s="333">
        <f>ROUND(Q48/$Q$62,$AK$9)</f>
        <v>0</v>
      </c>
      <c r="S48" s="19">
        <f>ROUND($L48/P48,$AK$8)</f>
        <v>0</v>
      </c>
      <c r="T48" s="333">
        <f>ROUND(S48/$S$62,$AK$9)</f>
        <v>0</v>
      </c>
      <c r="U48" s="1798">
        <v>0</v>
      </c>
      <c r="V48" s="333">
        <f>ROUND(U48/$U$62,$AK$9)</f>
        <v>0</v>
      </c>
      <c r="W48" s="260">
        <f>IF($L48-J48&gt;0,$L48-J48,0)</f>
        <v>0</v>
      </c>
      <c r="X48" s="333">
        <f>ROUND(W48/W$62,$AK$9)</f>
        <v>0</v>
      </c>
      <c r="Y48" s="19">
        <f>ROUND($X48*$J$65,$AK$8)</f>
        <v>0</v>
      </c>
      <c r="Z48" s="19">
        <f>ROUND($X48*$J$69,$AK$8)</f>
        <v>0</v>
      </c>
      <c r="AA48" s="19">
        <f>$J48+$Y48</f>
        <v>0</v>
      </c>
      <c r="AB48" s="333">
        <f>ROUND(AA48/AA$62,$AK$9)</f>
        <v>0</v>
      </c>
      <c r="AC48" s="19">
        <f>$J48+$Z48</f>
        <v>0</v>
      </c>
      <c r="AD48" s="333">
        <f>ROUND(AC48/AC$62,$AK$9)</f>
        <v>0</v>
      </c>
      <c r="AE48" s="333">
        <f>IFERROR(ROUND(+$AN20*$H48/($H48),$AK$9),0)</f>
        <v>0</v>
      </c>
      <c r="AF48" s="1965">
        <f>IFERROR(ROUND(+$AO20*$H48/($H48),$AK$9),0)</f>
        <v>0</v>
      </c>
      <c r="AG48" s="1966">
        <f>ROUND($AF48/$AF$62,$AK$9)</f>
        <v>0</v>
      </c>
      <c r="AH48" s="1967">
        <f>AF48+J48</f>
        <v>0</v>
      </c>
      <c r="AI48" s="1966">
        <f>ROUND($AH48/$AH$62,$AK$9)</f>
        <v>0</v>
      </c>
    </row>
    <row r="49" spans="1:37" ht="16.5" customHeight="1">
      <c r="A49" s="411"/>
      <c r="C49" s="261" t="str">
        <f>IF(D49="","",MAX(C$15:C48)+1)</f>
        <v/>
      </c>
      <c r="D49" s="39"/>
      <c r="E49" s="9">
        <f t="shared" si="5"/>
        <v>34</v>
      </c>
      <c r="F49" s="19"/>
      <c r="G49" s="1793"/>
      <c r="H49" s="19"/>
      <c r="I49" s="46"/>
      <c r="J49" s="19"/>
      <c r="K49" s="620"/>
      <c r="L49" s="19"/>
      <c r="M49" s="333"/>
      <c r="N49" s="19"/>
      <c r="O49" s="333"/>
      <c r="P49" s="369"/>
      <c r="Q49" s="19"/>
      <c r="R49" s="333"/>
      <c r="S49" s="19"/>
      <c r="T49" s="333"/>
      <c r="U49" s="19"/>
      <c r="V49" s="333"/>
      <c r="W49" s="19"/>
      <c r="X49" s="333"/>
      <c r="Y49" s="19"/>
      <c r="Z49" s="19"/>
      <c r="AA49" s="19"/>
      <c r="AB49" s="333"/>
      <c r="AC49" s="19"/>
      <c r="AD49" s="333"/>
      <c r="AE49" s="333"/>
      <c r="AF49" s="1965"/>
      <c r="AG49" s="1966"/>
      <c r="AH49" s="1966"/>
      <c r="AI49" s="1966"/>
    </row>
    <row r="50" spans="1:37" ht="16.5" customHeight="1" thickBot="1">
      <c r="A50" s="411"/>
      <c r="C50" s="261">
        <f>IF(D50="","",MAX(C$15:C49)+1)</f>
        <v>25</v>
      </c>
      <c r="D50" s="246" t="s">
        <v>4</v>
      </c>
      <c r="E50" s="9">
        <f t="shared" si="5"/>
        <v>35</v>
      </c>
      <c r="F50" s="17"/>
      <c r="G50" s="17"/>
      <c r="H50" s="17"/>
      <c r="I50" s="17"/>
      <c r="J50" s="17"/>
      <c r="K50" s="620"/>
      <c r="L50" s="17"/>
      <c r="M50" s="17"/>
      <c r="N50" s="17"/>
      <c r="O50" s="17"/>
      <c r="P50" s="17"/>
      <c r="Q50" s="17"/>
      <c r="R50" s="17"/>
      <c r="S50" s="17"/>
      <c r="T50" s="17"/>
      <c r="U50" s="17"/>
      <c r="V50" s="17"/>
      <c r="W50" s="17"/>
      <c r="X50" s="17"/>
      <c r="Y50" s="17"/>
      <c r="Z50" s="17"/>
      <c r="AA50" s="17"/>
      <c r="AB50" s="17"/>
      <c r="AC50" s="17"/>
      <c r="AD50" s="17"/>
      <c r="AE50" s="17"/>
      <c r="AF50" s="1970"/>
      <c r="AG50" s="17"/>
      <c r="AH50" s="17"/>
      <c r="AI50" s="17"/>
    </row>
    <row r="51" spans="1:37" ht="16.5" customHeight="1" thickBot="1">
      <c r="A51" s="411"/>
      <c r="C51" s="261">
        <f>IF(D51="","",MAX(C$15:C50)+1)</f>
        <v>26</v>
      </c>
      <c r="D51" s="15" t="s">
        <v>3</v>
      </c>
      <c r="E51" s="9">
        <f t="shared" si="5"/>
        <v>36</v>
      </c>
      <c r="F51" s="19">
        <f>TY_Units!F57</f>
        <v>4515848</v>
      </c>
      <c r="G51" s="1787">
        <f>G17+0%</f>
        <v>4.5201760539999997E-2</v>
      </c>
      <c r="H51" s="19">
        <f>ROUND(F51/(1-G51),$AK$8)</f>
        <v>4729636</v>
      </c>
      <c r="I51" s="46">
        <f>ROUND(H51/$H$62,$AK$9)</f>
        <v>6.9999999999999999E-4</v>
      </c>
      <c r="J51" s="19">
        <f>ROUND(H51/(365*24),$AK$8)</f>
        <v>540</v>
      </c>
      <c r="K51" s="618">
        <v>0.45</v>
      </c>
      <c r="L51" s="19">
        <f>IFERROR(ROUND($J51/$K51,$AK$8),0)</f>
        <v>1200</v>
      </c>
      <c r="M51" s="333">
        <f>ROUND($L51/$L$62,$AK$9)</f>
        <v>8.9999999999999998E-4</v>
      </c>
      <c r="N51" s="1798">
        <v>0</v>
      </c>
      <c r="O51" s="333">
        <f>ROUND($N51/$N$62,$AK$9)</f>
        <v>0</v>
      </c>
      <c r="P51" s="613">
        <v>1</v>
      </c>
      <c r="Q51" s="376">
        <f>ROUND($L51/P51,$AK$8)</f>
        <v>1200</v>
      </c>
      <c r="R51" s="333">
        <f>ROUND(Q51/$Q$62,$AK$9)</f>
        <v>6.9999999999999999E-4</v>
      </c>
      <c r="S51" s="19">
        <f>IF(P51=0,0,Q51)</f>
        <v>1200</v>
      </c>
      <c r="T51" s="333">
        <f>ROUND(S51/$S$62,$AK$9)</f>
        <v>1E-3</v>
      </c>
      <c r="U51" s="1798">
        <v>0</v>
      </c>
      <c r="V51" s="333">
        <f>ROUND(U51/$U$62,$AK$9)</f>
        <v>0</v>
      </c>
      <c r="W51" s="260">
        <f>IF($L51-J51&gt;0,$L51-J51,0)</f>
        <v>660</v>
      </c>
      <c r="X51" s="333">
        <f>ROUND(W51/W$62,$AK$9)</f>
        <v>1E-3</v>
      </c>
      <c r="Y51" s="19">
        <f>ROUND($X51*$J$65,$AK$8)</f>
        <v>351</v>
      </c>
      <c r="Z51" s="19">
        <f>ROUND($X51*$J$69,$AK$8)</f>
        <v>159</v>
      </c>
      <c r="AA51" s="19">
        <f>$J51+$Y51</f>
        <v>891</v>
      </c>
      <c r="AB51" s="333">
        <f>ROUND(AA51/AA$62,$AK$9)</f>
        <v>8.0000000000000004E-4</v>
      </c>
      <c r="AC51" s="19">
        <f>$J51+$Z51</f>
        <v>699</v>
      </c>
      <c r="AD51" s="333">
        <f>ROUND(AC51/AC$62,$AK$9)</f>
        <v>8.0000000000000004E-4</v>
      </c>
      <c r="AE51" s="1892">
        <v>0</v>
      </c>
      <c r="AF51" s="1961">
        <v>0</v>
      </c>
      <c r="AG51" s="1966">
        <f>ROUND($AF51/$AF$62,$AK$9)</f>
        <v>0</v>
      </c>
      <c r="AH51" s="1967">
        <f>AF51+J51</f>
        <v>540</v>
      </c>
      <c r="AI51" s="1966">
        <f>ROUND($AH51/$AH$62,$AK$9)</f>
        <v>2.9999999999999997E-4</v>
      </c>
      <c r="AJ51" s="1"/>
    </row>
    <row r="52" spans="1:37" ht="16.5" customHeight="1">
      <c r="A52" s="411"/>
      <c r="C52" s="261" t="str">
        <f>IF(D52="","",MAX(C$15:C51)+1)</f>
        <v/>
      </c>
      <c r="D52" s="39"/>
      <c r="E52" s="9">
        <f t="shared" si="5"/>
        <v>37</v>
      </c>
      <c r="F52" s="19"/>
      <c r="G52" s="1794"/>
      <c r="H52" s="19"/>
      <c r="I52" s="46"/>
      <c r="J52" s="19"/>
      <c r="K52" s="620"/>
      <c r="L52" s="19"/>
      <c r="M52" s="333"/>
      <c r="N52" s="19"/>
      <c r="O52" s="333"/>
      <c r="P52" s="369"/>
      <c r="Q52" s="19"/>
      <c r="R52" s="333"/>
      <c r="S52" s="19"/>
      <c r="T52" s="333"/>
      <c r="U52" s="19"/>
      <c r="V52" s="333"/>
      <c r="W52" s="19"/>
      <c r="X52" s="333"/>
      <c r="Y52" s="19"/>
      <c r="Z52" s="19"/>
      <c r="AA52" s="19"/>
      <c r="AB52" s="333"/>
      <c r="AC52" s="19"/>
      <c r="AD52" s="333"/>
      <c r="AE52" s="333"/>
      <c r="AF52" s="460"/>
      <c r="AG52" s="1966"/>
      <c r="AH52" s="1966"/>
      <c r="AI52" s="1966"/>
      <c r="AJ52" s="1"/>
    </row>
    <row r="53" spans="1:37" ht="16.5" customHeight="1" thickBot="1">
      <c r="A53" s="411"/>
      <c r="C53" s="261">
        <f>IF(D53="","",MAX(C$15:C52)+1)</f>
        <v>27</v>
      </c>
      <c r="D53" s="246" t="s">
        <v>5</v>
      </c>
      <c r="E53" s="9">
        <f t="shared" si="5"/>
        <v>38</v>
      </c>
      <c r="F53" s="19"/>
      <c r="G53" s="1794"/>
      <c r="H53" s="19"/>
      <c r="I53" s="46"/>
      <c r="J53" s="19"/>
      <c r="K53" s="620"/>
      <c r="L53" s="19"/>
      <c r="M53" s="333"/>
      <c r="N53" s="19"/>
      <c r="O53" s="333"/>
      <c r="P53" s="369"/>
      <c r="Q53" s="19"/>
      <c r="R53" s="333"/>
      <c r="S53" s="19"/>
      <c r="T53" s="333"/>
      <c r="U53" s="19"/>
      <c r="V53" s="333"/>
      <c r="W53" s="19"/>
      <c r="X53" s="333"/>
      <c r="Y53" s="19"/>
      <c r="Z53" s="19"/>
      <c r="AA53" s="19"/>
      <c r="AB53" s="333"/>
      <c r="AC53" s="19"/>
      <c r="AD53" s="333"/>
      <c r="AE53" s="333"/>
      <c r="AF53" s="460"/>
      <c r="AG53" s="1966"/>
      <c r="AH53" s="1966"/>
      <c r="AI53" s="1966"/>
      <c r="AJ53" s="1"/>
    </row>
    <row r="54" spans="1:37" ht="16.5" customHeight="1" thickBot="1">
      <c r="A54" s="411"/>
      <c r="C54" s="261">
        <f>IF(D54="","",MAX(C$15:C53)+1)</f>
        <v>28</v>
      </c>
      <c r="D54" s="15" t="s">
        <v>3</v>
      </c>
      <c r="E54" s="9">
        <f t="shared" si="5"/>
        <v>39</v>
      </c>
      <c r="F54" s="19">
        <f>TY_Units!F59</f>
        <v>431238</v>
      </c>
      <c r="G54" s="1787">
        <f>G51</f>
        <v>4.5201760539999997E-2</v>
      </c>
      <c r="H54" s="19">
        <f>ROUND(F54/(1-G54),$AK$8)</f>
        <v>451654</v>
      </c>
      <c r="I54" s="46">
        <f>ROUND(H54/$H$62,$AK$9)</f>
        <v>1E-4</v>
      </c>
      <c r="J54" s="19">
        <f>ROUND(H54/(365*24),$AK$8)</f>
        <v>52</v>
      </c>
      <c r="K54" s="618">
        <v>0.45</v>
      </c>
      <c r="L54" s="19">
        <f>IFERROR(ROUND($J54/$K54,$AK$8),0)</f>
        <v>116</v>
      </c>
      <c r="M54" s="333">
        <f>ROUND($L54/$L$62,$AK$9)</f>
        <v>1E-4</v>
      </c>
      <c r="N54" s="1798">
        <v>0</v>
      </c>
      <c r="O54" s="333">
        <f>ROUND($N54/$N$62,$AK$9)</f>
        <v>0</v>
      </c>
      <c r="P54" s="613">
        <v>1</v>
      </c>
      <c r="Q54" s="376">
        <f>ROUND($L54/P54,$AK$8)</f>
        <v>116</v>
      </c>
      <c r="R54" s="333">
        <f>ROUND(Q54/$Q$62,$AK$9)</f>
        <v>1E-4</v>
      </c>
      <c r="S54" s="19">
        <f>IF(P54=0,0,Q54)</f>
        <v>116</v>
      </c>
      <c r="T54" s="333">
        <f>ROUND(S54/$S$62,$AK$9)</f>
        <v>1E-4</v>
      </c>
      <c r="U54" s="1798">
        <v>0</v>
      </c>
      <c r="V54" s="333">
        <f>ROUND(U54/$U$62,$AK$9)</f>
        <v>0</v>
      </c>
      <c r="W54" s="260">
        <f>IF($L54-J54&gt;0,$L54-J54,0)</f>
        <v>64</v>
      </c>
      <c r="X54" s="333">
        <f>ROUND(W54/W$62,$AK$9)</f>
        <v>1E-4</v>
      </c>
      <c r="Y54" s="19">
        <f>ROUND($X54*$J$65,$AK$8)</f>
        <v>35</v>
      </c>
      <c r="Z54" s="19">
        <f>ROUND($X54*$J$69,$AK$8)</f>
        <v>16</v>
      </c>
      <c r="AA54" s="19">
        <f>$J54+$Y54</f>
        <v>87</v>
      </c>
      <c r="AB54" s="333">
        <f>ROUND(AA54/AA$62,$AK$9)</f>
        <v>1E-4</v>
      </c>
      <c r="AC54" s="19">
        <f>$J54+$Z54</f>
        <v>68</v>
      </c>
      <c r="AD54" s="333">
        <f>ROUND(AC54/AC$62,$AK$9)</f>
        <v>1E-4</v>
      </c>
      <c r="AE54" s="1892">
        <v>0</v>
      </c>
      <c r="AF54" s="1961">
        <v>0</v>
      </c>
      <c r="AG54" s="1966">
        <f>ROUND($AF54/$AF$62,$AK$9)</f>
        <v>0</v>
      </c>
      <c r="AH54" s="1967">
        <f>AF54+J54</f>
        <v>52</v>
      </c>
      <c r="AI54" s="1966">
        <f>ROUND($AH54/$AH$62,$AK$9)</f>
        <v>0</v>
      </c>
      <c r="AJ54" s="1"/>
    </row>
    <row r="55" spans="1:37" ht="16.5" customHeight="1">
      <c r="A55" s="411"/>
      <c r="C55" s="261" t="str">
        <f>IF(D55="","",MAX(C$15:C54)+1)</f>
        <v/>
      </c>
      <c r="D55" s="206"/>
      <c r="E55" s="9">
        <f t="shared" si="5"/>
        <v>40</v>
      </c>
      <c r="F55" s="19"/>
      <c r="G55" s="17"/>
      <c r="H55" s="19"/>
      <c r="I55" s="312"/>
      <c r="J55" s="19"/>
      <c r="K55" s="620"/>
      <c r="L55" s="19"/>
      <c r="M55" s="333"/>
      <c r="N55" s="19"/>
      <c r="O55" s="333"/>
      <c r="P55" s="17"/>
      <c r="Q55" s="19"/>
      <c r="R55" s="47"/>
      <c r="S55" s="17"/>
      <c r="T55" s="17"/>
      <c r="U55" s="17"/>
      <c r="V55" s="17"/>
      <c r="W55" s="19"/>
      <c r="X55" s="333"/>
      <c r="Y55" s="19"/>
      <c r="Z55" s="19"/>
      <c r="AA55" s="19"/>
      <c r="AB55" s="333"/>
      <c r="AC55" s="19"/>
      <c r="AD55" s="333"/>
      <c r="AE55" s="333"/>
      <c r="AF55" s="460"/>
      <c r="AG55" s="1966"/>
      <c r="AH55" s="1966"/>
      <c r="AI55" s="1966"/>
      <c r="AJ55" s="1"/>
    </row>
    <row r="56" spans="1:37" ht="16.5" customHeight="1" thickBot="1">
      <c r="A56" s="411"/>
      <c r="C56" s="261">
        <f>IF(D56="","",MAX(C$15:C55)+1)</f>
        <v>29</v>
      </c>
      <c r="D56" s="246" t="s">
        <v>23</v>
      </c>
      <c r="E56" s="9">
        <f t="shared" si="5"/>
        <v>41</v>
      </c>
      <c r="F56" s="17"/>
      <c r="G56" s="17"/>
      <c r="H56" s="17"/>
      <c r="I56" s="17"/>
      <c r="J56" s="17"/>
      <c r="K56" s="620"/>
      <c r="L56" s="17"/>
      <c r="M56" s="17"/>
      <c r="N56" s="17"/>
      <c r="O56" s="17"/>
      <c r="P56" s="17"/>
      <c r="Q56" s="17"/>
      <c r="R56" s="17"/>
      <c r="S56" s="17"/>
      <c r="T56" s="17"/>
      <c r="U56" s="17"/>
      <c r="V56" s="17"/>
      <c r="W56" s="17"/>
      <c r="X56" s="17"/>
      <c r="Y56" s="17"/>
      <c r="Z56" s="17"/>
      <c r="AA56" s="17"/>
      <c r="AB56" s="17"/>
      <c r="AC56" s="17"/>
      <c r="AD56" s="17"/>
      <c r="AE56" s="17"/>
      <c r="AF56" s="19"/>
      <c r="AG56" s="17"/>
      <c r="AH56" s="17"/>
      <c r="AI56" s="17"/>
      <c r="AJ56" s="1"/>
    </row>
    <row r="57" spans="1:37" ht="16.5" customHeight="1" thickBot="1">
      <c r="A57" s="411"/>
      <c r="C57" s="261">
        <f>IF(D57="","",MAX(C$15:C56)+1)</f>
        <v>30</v>
      </c>
      <c r="D57" s="15" t="s">
        <v>3</v>
      </c>
      <c r="E57" s="9">
        <f t="shared" si="5"/>
        <v>42</v>
      </c>
      <c r="F57" s="19">
        <f>TY_Units!F61</f>
        <v>1190607</v>
      </c>
      <c r="G57" s="1787">
        <f>G51</f>
        <v>4.5201760539999997E-2</v>
      </c>
      <c r="H57" s="19">
        <f>ROUND(F57/(1-G57),$AK$8)</f>
        <v>1246972</v>
      </c>
      <c r="I57" s="46">
        <f>ROUND(H57/$H$62,$AK$9)</f>
        <v>2.0000000000000001E-4</v>
      </c>
      <c r="J57" s="19">
        <f>ROUND(H57/(365*24),$AK$8)</f>
        <v>142</v>
      </c>
      <c r="K57" s="618">
        <v>0.5</v>
      </c>
      <c r="L57" s="19">
        <f>IFERROR(ROUND($J57/$K57,$AK$8),0)</f>
        <v>284</v>
      </c>
      <c r="M57" s="333">
        <f>ROUND($L57/$L$62,$AK$9)</f>
        <v>2.0000000000000001E-4</v>
      </c>
      <c r="N57" s="1798">
        <v>0</v>
      </c>
      <c r="O57" s="333">
        <f>ROUND($N57/$N$62,$AK$9)</f>
        <v>0</v>
      </c>
      <c r="P57" s="613">
        <v>0.75</v>
      </c>
      <c r="Q57" s="376">
        <f>ROUND($L57/P57,$AK$8)</f>
        <v>379</v>
      </c>
      <c r="R57" s="333">
        <f>ROUND(Q57/$Q$62,$AK$9)</f>
        <v>2.0000000000000001E-4</v>
      </c>
      <c r="S57" s="19">
        <f>IF(P57=0,0,Q57)</f>
        <v>379</v>
      </c>
      <c r="T57" s="333">
        <f>ROUND(S57/$S$62,$AK$9)</f>
        <v>2.9999999999999997E-4</v>
      </c>
      <c r="U57" s="1798">
        <v>0</v>
      </c>
      <c r="V57" s="333">
        <f>ROUND(U57/$U$62,$AK$9)</f>
        <v>0</v>
      </c>
      <c r="W57" s="260">
        <f>IF($L57-J57&gt;0,$L57-J57,0)</f>
        <v>142</v>
      </c>
      <c r="X57" s="333">
        <f>ROUND(W57/W$62,$AK$9)</f>
        <v>2.0000000000000001E-4</v>
      </c>
      <c r="Y57" s="19">
        <f>ROUND($X57*$J$65,$AK$8)</f>
        <v>70</v>
      </c>
      <c r="Z57" s="19">
        <f>ROUND($X57*$J$69,$AK$8)</f>
        <v>32</v>
      </c>
      <c r="AA57" s="19">
        <f>$J57+$Y57</f>
        <v>212</v>
      </c>
      <c r="AB57" s="333">
        <f>ROUND(AA57/AA$62,$AK$9)</f>
        <v>2.0000000000000001E-4</v>
      </c>
      <c r="AC57" s="19">
        <f>$J57+$Z57</f>
        <v>174</v>
      </c>
      <c r="AD57" s="333">
        <f>ROUND(AC57/AC$62,$AK$9)</f>
        <v>2.0000000000000001E-4</v>
      </c>
      <c r="AE57" s="1892">
        <v>0</v>
      </c>
      <c r="AF57" s="1961">
        <v>0</v>
      </c>
      <c r="AG57" s="1966">
        <f>ROUND($AF57/$AF$62,$AK$9)</f>
        <v>0</v>
      </c>
      <c r="AH57" s="1967">
        <f>AF57+J57</f>
        <v>142</v>
      </c>
      <c r="AI57" s="1966">
        <f>ROUND($AH57/$AH$62,$AK$9)</f>
        <v>1E-4</v>
      </c>
      <c r="AJ57" s="1"/>
    </row>
    <row r="58" spans="1:37" ht="16.5" customHeight="1">
      <c r="A58" s="411"/>
      <c r="C58" s="261" t="str">
        <f>IF(D58="","",MAX(C$15:C57)+1)</f>
        <v/>
      </c>
      <c r="D58" s="206"/>
      <c r="E58" s="9">
        <f t="shared" si="5"/>
        <v>43</v>
      </c>
      <c r="F58" s="19"/>
      <c r="G58" s="17"/>
      <c r="H58" s="19"/>
      <c r="I58" s="312"/>
      <c r="J58" s="19"/>
      <c r="K58" s="620"/>
      <c r="L58" s="19"/>
      <c r="M58" s="333"/>
      <c r="N58" s="19"/>
      <c r="O58" s="333"/>
      <c r="P58" s="17"/>
      <c r="Q58" s="19"/>
      <c r="R58" s="47"/>
      <c r="S58" s="17"/>
      <c r="T58" s="17"/>
      <c r="U58" s="17"/>
      <c r="V58" s="17"/>
      <c r="W58" s="19"/>
      <c r="X58" s="333"/>
      <c r="Y58" s="19"/>
      <c r="Z58" s="19"/>
      <c r="AA58" s="19"/>
      <c r="AB58" s="333"/>
      <c r="AC58" s="19"/>
      <c r="AD58" s="333"/>
      <c r="AE58" s="333"/>
      <c r="AF58" s="460"/>
      <c r="AG58" s="1966"/>
      <c r="AH58" s="1966"/>
      <c r="AI58" s="1966"/>
      <c r="AJ58" s="1"/>
    </row>
    <row r="59" spans="1:37" ht="16.5" customHeight="1" thickBot="1">
      <c r="A59" s="411"/>
      <c r="C59" s="261">
        <f>IF(D59="","",MAX(C$15:C58)+1)</f>
        <v>31</v>
      </c>
      <c r="D59" s="246" t="s">
        <v>66</v>
      </c>
      <c r="E59" s="9">
        <f t="shared" si="5"/>
        <v>44</v>
      </c>
      <c r="F59" s="17"/>
      <c r="G59" s="17"/>
      <c r="H59" s="17"/>
      <c r="I59" s="17"/>
      <c r="J59" s="17"/>
      <c r="K59" s="620"/>
      <c r="L59" s="17"/>
      <c r="M59" s="17"/>
      <c r="N59" s="17"/>
      <c r="O59" s="17"/>
      <c r="P59" s="17"/>
      <c r="Q59" s="17"/>
      <c r="R59" s="17"/>
      <c r="S59" s="17"/>
      <c r="T59" s="17"/>
      <c r="U59" s="17"/>
      <c r="V59" s="17"/>
      <c r="W59" s="17"/>
      <c r="X59" s="17"/>
      <c r="Y59" s="17"/>
      <c r="Z59" s="17"/>
      <c r="AA59" s="17"/>
      <c r="AB59" s="17"/>
      <c r="AC59" s="17"/>
      <c r="AD59" s="17"/>
      <c r="AE59" s="17"/>
      <c r="AF59" s="19"/>
      <c r="AG59" s="17"/>
      <c r="AH59" s="17"/>
      <c r="AI59" s="17"/>
      <c r="AJ59" s="1"/>
    </row>
    <row r="60" spans="1:37" ht="16.5" customHeight="1" thickBot="1">
      <c r="A60" s="411"/>
      <c r="C60" s="261">
        <f>IF(D60="","",MAX(C$15:C59)+1)</f>
        <v>32</v>
      </c>
      <c r="D60" s="15" t="s">
        <v>3</v>
      </c>
      <c r="E60" s="9">
        <f t="shared" si="5"/>
        <v>45</v>
      </c>
      <c r="F60" s="19">
        <f>TY_Units!F63</f>
        <v>0</v>
      </c>
      <c r="G60" s="1787">
        <f>G51</f>
        <v>4.5201760539999997E-2</v>
      </c>
      <c r="H60" s="19">
        <f>ROUND(F60/(1-G60),$AK$8)</f>
        <v>0</v>
      </c>
      <c r="I60" s="46">
        <f>ROUND(H60/$H$62,$AK$9)</f>
        <v>0</v>
      </c>
      <c r="J60" s="19">
        <f>ROUND(H60/(365*24),$AK$8)</f>
        <v>0</v>
      </c>
      <c r="K60" s="618">
        <v>0.5</v>
      </c>
      <c r="L60" s="19">
        <f>IFERROR(ROUND($J60/$K60,$AK$8),0)</f>
        <v>0</v>
      </c>
      <c r="M60" s="333">
        <f>ROUND($L60/$L$62,$AK$9)</f>
        <v>0</v>
      </c>
      <c r="N60" s="1798">
        <v>0</v>
      </c>
      <c r="O60" s="333">
        <f>ROUND($N60/$N$62,$AK$9)</f>
        <v>0</v>
      </c>
      <c r="P60" s="613">
        <v>0.7</v>
      </c>
      <c r="Q60" s="376">
        <f>ROUND($L60/P60,$AK$8)</f>
        <v>0</v>
      </c>
      <c r="R60" s="333">
        <f>ROUND(Q60/$Q$62,$AK$9)</f>
        <v>0</v>
      </c>
      <c r="S60" s="19">
        <f>IF(P60=0,0,Q60)</f>
        <v>0</v>
      </c>
      <c r="T60" s="333">
        <f>ROUND(S60/$S$62,$AK$9)</f>
        <v>0</v>
      </c>
      <c r="U60" s="19">
        <f>IF(P60=0,0,Q60)</f>
        <v>0</v>
      </c>
      <c r="V60" s="333">
        <f>ROUND(U60/$U$62,$AK$9)</f>
        <v>0</v>
      </c>
      <c r="W60" s="260">
        <f>IF($L60-J60&gt;0,$L60-J60,0)</f>
        <v>0</v>
      </c>
      <c r="X60" s="333">
        <f>ROUND(W60/W$62,$AK$9)</f>
        <v>0</v>
      </c>
      <c r="Y60" s="19">
        <f>ROUND($X60*$J$65,$AK$8)</f>
        <v>0</v>
      </c>
      <c r="Z60" s="19">
        <f>ROUND($X60*$J$69,$AK$8)</f>
        <v>0</v>
      </c>
      <c r="AA60" s="19">
        <f>$J60+$Y60</f>
        <v>0</v>
      </c>
      <c r="AB60" s="333">
        <f>ROUND(AA60/AA$62,$AK$9)</f>
        <v>0</v>
      </c>
      <c r="AC60" s="19">
        <f>$J60+$Z60</f>
        <v>0</v>
      </c>
      <c r="AD60" s="333">
        <f>ROUND(AC60/AC$62,$AK$9)</f>
        <v>0</v>
      </c>
      <c r="AE60" s="1892">
        <v>0</v>
      </c>
      <c r="AF60" s="1961">
        <v>0</v>
      </c>
      <c r="AG60" s="1966">
        <f>ROUND($AF60/$AF$62,$AK$9)</f>
        <v>0</v>
      </c>
      <c r="AH60" s="1967">
        <f>AF60+J60</f>
        <v>0</v>
      </c>
      <c r="AI60" s="1966">
        <f>ROUND($AH60/$AH$62,$AK$9)</f>
        <v>0</v>
      </c>
      <c r="AJ60" s="1"/>
    </row>
    <row r="61" spans="1:37" ht="16.5" customHeight="1" thickBot="1">
      <c r="A61" s="411"/>
      <c r="C61" s="261" t="str">
        <f>IF(D61="","",MAX(C$15:C60)+1)</f>
        <v/>
      </c>
      <c r="D61" s="206"/>
      <c r="E61" s="9">
        <f t="shared" si="5"/>
        <v>46</v>
      </c>
      <c r="F61" s="19"/>
      <c r="G61" s="47"/>
      <c r="H61" s="47"/>
      <c r="I61" s="312"/>
      <c r="J61" s="19"/>
      <c r="K61" s="620"/>
      <c r="L61" s="19"/>
      <c r="M61" s="333"/>
      <c r="N61" s="19"/>
      <c r="O61" s="333"/>
      <c r="P61" s="17"/>
      <c r="Q61" s="19"/>
      <c r="R61" s="47"/>
      <c r="S61" s="17"/>
      <c r="T61" s="17"/>
      <c r="U61" s="17"/>
      <c r="V61" s="17"/>
      <c r="W61" s="377"/>
      <c r="X61" s="47"/>
      <c r="Y61" s="19"/>
      <c r="Z61" s="19"/>
      <c r="AA61" s="19"/>
      <c r="AB61" s="47"/>
      <c r="AC61" s="19"/>
      <c r="AD61" s="47"/>
      <c r="AE61" s="47"/>
      <c r="AF61" s="19"/>
      <c r="AG61" s="1973"/>
      <c r="AH61" s="1973"/>
      <c r="AI61" s="1973"/>
      <c r="AJ61" s="1"/>
    </row>
    <row r="62" spans="1:37" s="6" customFormat="1" ht="16.5" customHeight="1" thickBot="1">
      <c r="A62" s="411"/>
      <c r="C62" s="261">
        <f>IF(D62="","",MAX(C$15:C61)+1)</f>
        <v>33</v>
      </c>
      <c r="D62" s="254" t="s">
        <v>6</v>
      </c>
      <c r="E62" s="9">
        <f t="shared" si="5"/>
        <v>47</v>
      </c>
      <c r="F62" s="117">
        <f>SUM(F17,F20,F25,F36,F39,F42,F45,F48,F30,F33,F51,F54,F57)</f>
        <v>6439426471.5334711</v>
      </c>
      <c r="G62" s="368" t="s">
        <v>891</v>
      </c>
      <c r="H62" s="1923">
        <f>SUM(H17,H20,H25,H36,H39,H42,H45,H48,H30,H33,H51,H54,H57,H60)</f>
        <v>6654227389</v>
      </c>
      <c r="I62" s="333">
        <f>SUM(I17,I20,I25,I36,I39,I42,I45,I48,I30,I33,I51,I54,I57,I60)</f>
        <v>0.99999999999999989</v>
      </c>
      <c r="J62" s="117">
        <f>SUM(J17,J20,J25,J36,J39,J42,J45,J48,J30,J33,J51,J54,J57,J60)</f>
        <v>759613</v>
      </c>
      <c r="K62" s="626"/>
      <c r="L62" s="117">
        <f>SUM(L17,L20,L25,L36,L39,L42,L45,L48,L30,L33,L51,L54,L57,L60)</f>
        <v>1391067</v>
      </c>
      <c r="M62" s="333">
        <f>SUM(M17,M20,M25,M36,M39,M42,M45,M48,M30,M33,M51,M54,M57,M60)</f>
        <v>1.0000000000000002</v>
      </c>
      <c r="N62" s="117">
        <f>SUM(N17,N20,N25,N36,N39,N42,N45,N48,N30,N33,N51,N54,N57,N60)</f>
        <v>803000</v>
      </c>
      <c r="O62" s="333">
        <f>SUM(O17,O20,O25,O36,O39,O42,O45,O48,O30,O33,O51,O54,O57,O60)</f>
        <v>1</v>
      </c>
      <c r="P62" s="378"/>
      <c r="Q62" s="117">
        <f t="shared" ref="Q62:AE62" si="7">SUM(Q17,Q20,Q25,Q36,Q39,Q42,Q45,Q48,Q30,Q33,Q51,Q54,Q57,Q60)</f>
        <v>1786488</v>
      </c>
      <c r="R62" s="333">
        <f t="shared" si="7"/>
        <v>1</v>
      </c>
      <c r="S62" s="117">
        <f t="shared" si="7"/>
        <v>1197757.2</v>
      </c>
      <c r="T62" s="333">
        <f t="shared" si="7"/>
        <v>0.99999999999999989</v>
      </c>
      <c r="U62" s="117">
        <f t="shared" si="7"/>
        <v>588730.79999999993</v>
      </c>
      <c r="V62" s="333">
        <f t="shared" si="7"/>
        <v>1</v>
      </c>
      <c r="W62" s="117">
        <f t="shared" si="7"/>
        <v>631454</v>
      </c>
      <c r="X62" s="333">
        <f t="shared" si="7"/>
        <v>0.99999999999999989</v>
      </c>
      <c r="Y62" s="117">
        <f t="shared" si="7"/>
        <v>351124</v>
      </c>
      <c r="Z62" s="117">
        <f>SUM(Z17,Z20,Z25,Z36,Z39,Z42,Z45,Z48,Z30,Z33,Z51,Z54,Z57,Z60)</f>
        <v>158881</v>
      </c>
      <c r="AA62" s="117">
        <f t="shared" si="7"/>
        <v>1110737</v>
      </c>
      <c r="AB62" s="333">
        <f t="shared" si="7"/>
        <v>0.99999999999999989</v>
      </c>
      <c r="AC62" s="117">
        <f>SUM(AC17,AC20,AC25,AC36,AC39,AC42,AC45,AC48,AC30,AC33,AC51,AC54,AC57,AC60)</f>
        <v>918494</v>
      </c>
      <c r="AD62" s="333">
        <f>SUM(AD17,AD20,AD25,AD36,AD39,AD42,AD45,AD48,AD30,AD33,AD51,AD54,AD57,AD60)</f>
        <v>1</v>
      </c>
      <c r="AE62" s="333">
        <f t="shared" si="7"/>
        <v>1</v>
      </c>
      <c r="AF62" s="263">
        <f>SUM(AF17,AF20,AF25,AF36,AF39,AF42,AF45,AF48,AF30,AF33,AF51,AF54,AF57,AF60)</f>
        <v>1110807.7168999999</v>
      </c>
      <c r="AG62" s="1966">
        <f>SUM(AG17,AG20,AG25,AG36,AG39,AG42,AG45,AG48,AG30,AG33,AG51,AG54,AG57,AG60)</f>
        <v>1</v>
      </c>
      <c r="AH62" s="117">
        <f>SUM(AH17,AH20,AH25,AH36,AH39,AH42,AH45,AH48,AH30,AH33,AH51,AH54,AH57,AH60)</f>
        <v>2003249.8544000001</v>
      </c>
      <c r="AI62" s="1966">
        <f>SUM(AI17,AI20,AI25,AI36,AI39,AI42,AI45,AI48,AI30,AI33,AI51,AI54,AI57,AI60)</f>
        <v>0.99999999999999989</v>
      </c>
      <c r="AK62"/>
    </row>
    <row r="63" spans="1:37" ht="16.5" customHeight="1">
      <c r="A63" s="411"/>
      <c r="C63" s="261" t="str">
        <f>IF(D63="","",MAX(C$15:C62)+1)</f>
        <v/>
      </c>
      <c r="D63" s="247"/>
      <c r="E63" s="247"/>
      <c r="F63" s="19"/>
      <c r="G63" s="1796" t="s">
        <v>1031</v>
      </c>
      <c r="H63" s="1786">
        <f>($AP$24*1000)-H62</f>
        <v>-47272122.700634956</v>
      </c>
      <c r="I63" s="1795"/>
      <c r="J63" s="19"/>
      <c r="K63" s="333"/>
      <c r="L63" s="187"/>
      <c r="M63" s="187"/>
      <c r="N63" s="187"/>
      <c r="O63" s="333"/>
      <c r="P63" s="369"/>
      <c r="Q63" s="19"/>
      <c r="R63" s="333"/>
      <c r="S63" s="19"/>
      <c r="T63" s="333"/>
      <c r="U63" s="333"/>
      <c r="V63" s="333"/>
      <c r="W63" s="19"/>
      <c r="X63" s="333"/>
      <c r="Y63" s="260"/>
      <c r="Z63" s="260"/>
      <c r="AA63" s="19"/>
      <c r="AB63" s="333"/>
      <c r="AC63" s="333"/>
      <c r="AD63" s="333"/>
      <c r="AE63" s="333"/>
      <c r="AF63" s="460"/>
      <c r="AG63" s="333"/>
      <c r="AH63" s="333"/>
      <c r="AI63" s="333"/>
    </row>
    <row r="64" spans="1:37" ht="16.5" customHeight="1">
      <c r="A64" s="411"/>
      <c r="C64" s="261">
        <f>IF(J64="","",MAX(C$15:C63)+1)</f>
        <v>34</v>
      </c>
      <c r="D64" s="1772" t="s">
        <v>2755</v>
      </c>
      <c r="G64" s="312">
        <f>(G17*H17+G20*H20+G23*H23+G24*H24+G48*H48+G28*H28+G29*H29+G51*H51+G54*H54+G57*H57+G33*H33+G36*H36+G39*H39+G42*H42+G45*H45+G60*H60)/H62</f>
        <v>3.2280369504588291E-2</v>
      </c>
      <c r="H64" s="1"/>
      <c r="I64" s="370" t="s">
        <v>893</v>
      </c>
      <c r="J64" s="204">
        <f>$AP$23</f>
        <v>1110807.4145326638</v>
      </c>
      <c r="K64" s="614"/>
      <c r="L64" s="1"/>
      <c r="M64" s="1"/>
      <c r="N64" s="1"/>
      <c r="O64" s="1"/>
      <c r="P64" s="1"/>
      <c r="Q64" s="1"/>
      <c r="R64" s="1"/>
      <c r="S64" s="1"/>
      <c r="T64" s="1"/>
      <c r="U64" s="1"/>
      <c r="V64" s="1"/>
      <c r="W64" s="21"/>
      <c r="X64" s="47"/>
      <c r="Y64" s="19"/>
      <c r="Z64" s="19"/>
      <c r="AA64" s="19"/>
      <c r="AB64" s="47"/>
      <c r="AC64" s="47"/>
      <c r="AD64" s="47"/>
      <c r="AE64" s="47"/>
      <c r="AF64" s="19"/>
      <c r="AG64" s="47"/>
      <c r="AH64" s="47"/>
      <c r="AI64" s="47"/>
      <c r="AJ64" s="1"/>
    </row>
    <row r="65" spans="1:36" ht="16.5" customHeight="1">
      <c r="A65" s="411"/>
      <c r="C65" s="261">
        <f>IF(J65="","",MAX(C$15:C64)+1)</f>
        <v>35</v>
      </c>
      <c r="G65" s="1936"/>
      <c r="H65" s="1"/>
      <c r="I65" s="370" t="s">
        <v>519</v>
      </c>
      <c r="J65" s="204">
        <f>J64-J62</f>
        <v>351194.41453266377</v>
      </c>
      <c r="K65" s="17"/>
      <c r="L65" s="19"/>
      <c r="M65" s="19"/>
      <c r="N65" s="19"/>
      <c r="O65" s="333"/>
      <c r="P65" s="17"/>
      <c r="Q65" s="19"/>
      <c r="R65" s="47"/>
      <c r="S65" s="1"/>
      <c r="T65" s="1"/>
      <c r="U65" s="1"/>
      <c r="V65" s="1"/>
      <c r="W65" s="21"/>
      <c r="X65" s="47"/>
      <c r="Y65" s="19"/>
      <c r="Z65" s="19"/>
      <c r="AA65" s="19"/>
      <c r="AB65" s="47"/>
      <c r="AC65" s="47"/>
      <c r="AD65" s="47"/>
      <c r="AE65" s="47"/>
      <c r="AF65" s="19"/>
      <c r="AG65" s="47"/>
      <c r="AH65" s="47"/>
      <c r="AI65" s="47"/>
      <c r="AJ65" s="1"/>
    </row>
    <row r="66" spans="1:36" ht="16.5" customHeight="1">
      <c r="A66" s="411"/>
      <c r="C66" s="261">
        <f>IF(J66="","",MAX(C$15:C65)+1)</f>
        <v>36</v>
      </c>
      <c r="D66" s="40"/>
      <c r="E66" s="40"/>
      <c r="F66" s="47"/>
      <c r="G66" s="1936"/>
      <c r="I66" s="1767" t="s">
        <v>2638</v>
      </c>
      <c r="J66" s="2996">
        <f>ROUND($J$62/$J$64,$AK$9)</f>
        <v>0.68379999999999996</v>
      </c>
      <c r="K66" s="17"/>
      <c r="O66" s="333"/>
      <c r="P66" s="17"/>
      <c r="Q66" s="19"/>
      <c r="R66" s="47"/>
      <c r="S66" s="1"/>
      <c r="T66" s="1"/>
      <c r="U66" s="1"/>
      <c r="V66" s="1"/>
      <c r="W66" s="21"/>
      <c r="X66" s="47"/>
      <c r="Y66" s="19"/>
      <c r="Z66" s="19"/>
      <c r="AA66" s="19"/>
      <c r="AB66" s="47"/>
      <c r="AC66" s="47"/>
      <c r="AD66" s="47"/>
      <c r="AE66" s="47"/>
      <c r="AF66" s="19"/>
      <c r="AG66" s="47"/>
      <c r="AH66" s="47"/>
      <c r="AI66" s="47"/>
      <c r="AJ66" s="1"/>
    </row>
    <row r="67" spans="1:36" ht="16.5" customHeight="1">
      <c r="A67" s="411"/>
      <c r="C67" s="261">
        <f>IF(J67="","",MAX(C$15:C66)+1)</f>
        <v>37</v>
      </c>
      <c r="D67" s="879" t="s">
        <v>1031</v>
      </c>
      <c r="E67" s="878"/>
      <c r="F67" s="863">
        <f>TY_Units!F65</f>
        <v>6439426471.5334721</v>
      </c>
      <c r="G67" s="17"/>
      <c r="H67" s="1"/>
      <c r="I67" s="1768" t="s">
        <v>516</v>
      </c>
      <c r="J67" s="204">
        <f>$AP$25</f>
        <v>918524.79258331563</v>
      </c>
      <c r="K67" s="17"/>
      <c r="O67" s="333"/>
      <c r="P67" s="17"/>
      <c r="Q67" s="19"/>
      <c r="R67" s="47"/>
      <c r="S67" s="1"/>
      <c r="T67" s="1"/>
      <c r="U67" s="1"/>
      <c r="V67" s="1"/>
      <c r="W67" s="21"/>
      <c r="X67" s="47"/>
      <c r="Y67" s="19"/>
      <c r="Z67" s="19"/>
      <c r="AA67" s="19"/>
      <c r="AB67" s="47"/>
      <c r="AC67" s="47"/>
      <c r="AD67" s="47"/>
      <c r="AE67" s="47"/>
      <c r="AF67" s="19"/>
      <c r="AG67" s="47"/>
      <c r="AH67" s="47"/>
      <c r="AI67" s="47"/>
      <c r="AJ67" s="1"/>
    </row>
    <row r="68" spans="1:36" ht="16.5" customHeight="1">
      <c r="A68" s="411"/>
      <c r="C68" s="261">
        <f>IF(J68="","",MAX(C$15:C67)+1)</f>
        <v>38</v>
      </c>
      <c r="D68" s="880" t="s">
        <v>1033</v>
      </c>
      <c r="E68" s="427"/>
      <c r="F68" s="865">
        <f>F67-F62</f>
        <v>0</v>
      </c>
      <c r="G68" s="1922"/>
      <c r="I68" s="946" t="s">
        <v>517</v>
      </c>
      <c r="J68" s="722">
        <f>ROUND(+J62/(J62+J67),$AK$9)</f>
        <v>0.45269999999999999</v>
      </c>
      <c r="K68" s="17"/>
      <c r="L68" s="19"/>
      <c r="M68" s="19"/>
      <c r="N68" s="19"/>
      <c r="O68" s="333"/>
      <c r="P68" s="17"/>
      <c r="Q68" s="19"/>
      <c r="R68" s="47"/>
      <c r="S68" s="1"/>
      <c r="T68" s="1"/>
      <c r="U68" s="1"/>
      <c r="V68" s="1"/>
      <c r="W68" s="21"/>
      <c r="X68" s="47"/>
      <c r="Y68" s="19"/>
      <c r="Z68" s="19"/>
      <c r="AA68" s="19"/>
      <c r="AB68" s="47"/>
      <c r="AC68" s="47"/>
      <c r="AD68" s="47"/>
      <c r="AE68" s="47"/>
      <c r="AF68" s="19"/>
      <c r="AG68" s="47"/>
      <c r="AH68" s="47"/>
      <c r="AI68" s="47"/>
      <c r="AJ68" s="1"/>
    </row>
    <row r="69" spans="1:36" ht="16.5" customHeight="1">
      <c r="A69" s="411"/>
      <c r="C69" s="261"/>
      <c r="D69" s="40"/>
      <c r="E69" s="40"/>
      <c r="F69" s="19"/>
      <c r="G69" s="17"/>
      <c r="H69" s="312"/>
      <c r="I69" s="1772" t="s">
        <v>2636</v>
      </c>
      <c r="J69" s="1530">
        <f>J67-J62</f>
        <v>158911.79258331563</v>
      </c>
      <c r="K69" s="17"/>
      <c r="L69" s="19"/>
      <c r="M69" s="19"/>
      <c r="N69" s="19"/>
      <c r="O69" s="333"/>
      <c r="P69" s="17"/>
      <c r="Q69" s="19"/>
      <c r="R69" s="47"/>
      <c r="S69" s="1"/>
      <c r="T69" s="1"/>
      <c r="U69" s="1"/>
      <c r="V69" s="1"/>
      <c r="W69" s="21"/>
      <c r="X69" s="47"/>
      <c r="Y69" s="19"/>
      <c r="Z69" s="19"/>
      <c r="AA69" s="19"/>
      <c r="AB69" s="47"/>
      <c r="AC69" s="47"/>
      <c r="AD69" s="47"/>
      <c r="AE69" s="47"/>
      <c r="AF69" s="19"/>
      <c r="AG69" s="47"/>
      <c r="AH69" s="47"/>
      <c r="AI69" s="47"/>
      <c r="AJ69" s="1"/>
    </row>
    <row r="70" spans="1:36" s="86" customFormat="1" ht="16.5" customHeight="1">
      <c r="C70" s="90"/>
      <c r="D70" s="91"/>
      <c r="E70" s="91"/>
      <c r="F70" s="92"/>
      <c r="G70" s="87"/>
      <c r="H70" s="180"/>
      <c r="I70" s="1766" t="s">
        <v>2637</v>
      </c>
      <c r="J70" s="506">
        <f>ROUND($J$62/$J$67,$AK$9)</f>
        <v>0.82699999999999996</v>
      </c>
      <c r="K70" s="87"/>
      <c r="L70" s="92"/>
      <c r="M70" s="92"/>
      <c r="N70" s="92"/>
      <c r="O70" s="96"/>
      <c r="P70" s="87"/>
      <c r="Q70" s="92"/>
      <c r="R70" s="97"/>
      <c r="W70" s="98"/>
      <c r="X70" s="97"/>
      <c r="Y70" s="92"/>
      <c r="Z70" s="92"/>
      <c r="AA70" s="92"/>
      <c r="AB70" s="97"/>
      <c r="AC70" s="97"/>
      <c r="AD70" s="97"/>
      <c r="AE70" s="97"/>
      <c r="AF70" s="92"/>
      <c r="AG70" s="97"/>
      <c r="AH70" s="97"/>
      <c r="AI70" s="97"/>
    </row>
    <row r="71" spans="1:36" ht="16.5" customHeight="1">
      <c r="C71" s="90"/>
      <c r="D71" s="91"/>
      <c r="E71" s="91"/>
      <c r="F71" s="92"/>
      <c r="G71" s="93"/>
      <c r="H71" s="94"/>
      <c r="K71" s="87"/>
      <c r="L71" s="92"/>
      <c r="M71" s="92"/>
      <c r="N71" s="92"/>
      <c r="O71" s="96"/>
      <c r="P71" s="87"/>
      <c r="Q71" s="92"/>
      <c r="R71" s="97"/>
      <c r="S71" s="86"/>
      <c r="T71" s="86"/>
      <c r="U71" s="86"/>
      <c r="V71" s="86"/>
      <c r="W71" s="98"/>
      <c r="X71" s="97"/>
      <c r="Y71" s="19"/>
      <c r="Z71" s="19"/>
      <c r="AA71" s="19"/>
      <c r="AB71" s="47"/>
      <c r="AC71" s="47"/>
      <c r="AD71" s="47"/>
      <c r="AE71" s="47"/>
      <c r="AF71" s="19"/>
      <c r="AG71" s="47"/>
      <c r="AH71" s="47"/>
      <c r="AI71" s="47"/>
      <c r="AJ71" s="1"/>
    </row>
    <row r="72" spans="1:36" ht="16.5" customHeight="1">
      <c r="B72" s="86"/>
    </row>
    <row r="73" spans="1:36">
      <c r="B73" s="86"/>
    </row>
    <row r="74" spans="1:36">
      <c r="B74" s="86"/>
    </row>
    <row r="75" spans="1:36">
      <c r="B75" s="86"/>
    </row>
    <row r="76" spans="1:36">
      <c r="B76" s="86"/>
    </row>
    <row r="77" spans="1:36">
      <c r="B77" s="86"/>
    </row>
    <row r="78" spans="1:36">
      <c r="B78" s="86"/>
    </row>
    <row r="79" spans="1:36">
      <c r="B79" s="86"/>
    </row>
    <row r="80" spans="1:36">
      <c r="B80" s="86"/>
    </row>
    <row r="81" spans="2:2">
      <c r="B81" s="86"/>
    </row>
    <row r="82" spans="2:2">
      <c r="B82" s="86"/>
    </row>
    <row r="83" spans="2:2">
      <c r="B83" s="86"/>
    </row>
    <row r="84" spans="2:2">
      <c r="B84" s="86"/>
    </row>
    <row r="85" spans="2:2">
      <c r="B85" s="86"/>
    </row>
    <row r="86" spans="2:2">
      <c r="B86" s="86"/>
    </row>
    <row r="87" spans="2:2">
      <c r="B87" s="86"/>
    </row>
    <row r="88" spans="2:2">
      <c r="B88" s="86"/>
    </row>
    <row r="89" spans="2:2">
      <c r="B89" s="86"/>
    </row>
    <row r="90" spans="2:2">
      <c r="B90" s="86"/>
    </row>
    <row r="91" spans="2:2">
      <c r="B91" s="86"/>
    </row>
    <row r="92" spans="2:2">
      <c r="B92" s="86"/>
    </row>
    <row r="93" spans="2:2">
      <c r="B93" s="86"/>
    </row>
    <row r="94" spans="2:2">
      <c r="B94" s="86"/>
    </row>
    <row r="95" spans="2:2">
      <c r="B95" s="86"/>
    </row>
    <row r="96" spans="2:2">
      <c r="B96" s="86"/>
    </row>
    <row r="97" spans="2:2">
      <c r="B97" s="86"/>
    </row>
    <row r="98" spans="2:2">
      <c r="B98" s="86"/>
    </row>
    <row r="99" spans="2:2">
      <c r="B99" s="86"/>
    </row>
    <row r="100" spans="2:2">
      <c r="B100" s="86"/>
    </row>
    <row r="101" spans="2:2">
      <c r="B101" s="86"/>
    </row>
    <row r="102" spans="2:2">
      <c r="B102" s="86"/>
    </row>
    <row r="103" spans="2:2">
      <c r="B103" s="86"/>
    </row>
    <row r="104" spans="2:2">
      <c r="B104" s="86"/>
    </row>
    <row r="105" spans="2:2">
      <c r="B105" s="86"/>
    </row>
    <row r="106" spans="2:2">
      <c r="B106" s="86"/>
    </row>
    <row r="107" spans="2:2">
      <c r="B107" s="86"/>
    </row>
    <row r="108" spans="2:2">
      <c r="B108" s="86"/>
    </row>
    <row r="109" spans="2:2">
      <c r="B109" s="86"/>
    </row>
    <row r="110" spans="2:2">
      <c r="B110" s="86"/>
    </row>
    <row r="111" spans="2:2">
      <c r="B111" s="86"/>
    </row>
    <row r="112" spans="2:2">
      <c r="B112" s="86"/>
    </row>
    <row r="113" spans="2:2">
      <c r="B113" s="86"/>
    </row>
    <row r="114" spans="2:2">
      <c r="B114" s="86"/>
    </row>
    <row r="115" spans="2:2">
      <c r="B115" s="86"/>
    </row>
    <row r="116" spans="2:2">
      <c r="B116" s="86"/>
    </row>
    <row r="117" spans="2:2">
      <c r="B117" s="86"/>
    </row>
    <row r="118" spans="2:2">
      <c r="B118" s="86"/>
    </row>
    <row r="119" spans="2:2">
      <c r="B119" s="86"/>
    </row>
    <row r="120" spans="2:2">
      <c r="B120" s="86"/>
    </row>
    <row r="121" spans="2:2">
      <c r="B121" s="86"/>
    </row>
    <row r="122" spans="2:2">
      <c r="B122" s="86"/>
    </row>
    <row r="123" spans="2:2">
      <c r="B123" s="86"/>
    </row>
    <row r="124" spans="2:2">
      <c r="B124" s="86"/>
    </row>
    <row r="125" spans="2:2">
      <c r="B125" s="86"/>
    </row>
    <row r="126" spans="2:2">
      <c r="B126" s="86"/>
    </row>
    <row r="127" spans="2:2">
      <c r="B127" s="86"/>
    </row>
    <row r="128" spans="2:2">
      <c r="B128" s="86"/>
    </row>
    <row r="129" spans="2:2">
      <c r="B129" s="86"/>
    </row>
    <row r="130" spans="2:2">
      <c r="B130" s="86"/>
    </row>
    <row r="131" spans="2:2">
      <c r="B131" s="86"/>
    </row>
    <row r="132" spans="2:2">
      <c r="B132" s="86"/>
    </row>
    <row r="133" spans="2:2">
      <c r="B133" s="86"/>
    </row>
    <row r="134" spans="2:2">
      <c r="B134" s="86"/>
    </row>
    <row r="135" spans="2:2">
      <c r="B135" s="86"/>
    </row>
    <row r="136" spans="2:2">
      <c r="B136" s="86"/>
    </row>
    <row r="137" spans="2:2">
      <c r="B137" s="86"/>
    </row>
    <row r="138" spans="2:2">
      <c r="B138" s="86"/>
    </row>
    <row r="139" spans="2:2">
      <c r="B139" s="86"/>
    </row>
    <row r="140" spans="2:2">
      <c r="B140" s="86"/>
    </row>
    <row r="141" spans="2:2">
      <c r="B141" s="86"/>
    </row>
    <row r="142" spans="2:2">
      <c r="B142" s="86"/>
    </row>
    <row r="143" spans="2:2">
      <c r="B143" s="86"/>
    </row>
    <row r="144" spans="2:2">
      <c r="B144" s="86"/>
    </row>
    <row r="145" spans="2:2">
      <c r="B145" s="86"/>
    </row>
    <row r="146" spans="2:2">
      <c r="B146" s="86"/>
    </row>
    <row r="147" spans="2:2">
      <c r="B147" s="86"/>
    </row>
    <row r="148" spans="2:2">
      <c r="B148" s="86"/>
    </row>
    <row r="149" spans="2:2">
      <c r="B149" s="86"/>
    </row>
    <row r="150" spans="2:2">
      <c r="B150" s="86"/>
    </row>
    <row r="151" spans="2:2">
      <c r="B151" s="86"/>
    </row>
    <row r="152" spans="2:2">
      <c r="B152" s="86"/>
    </row>
    <row r="153" spans="2:2">
      <c r="B153" s="86"/>
    </row>
    <row r="154" spans="2:2">
      <c r="B154" s="86"/>
    </row>
    <row r="155" spans="2:2">
      <c r="B155" s="86"/>
    </row>
    <row r="156" spans="2:2"/>
    <row r="157" spans="2:2"/>
    <row r="158" spans="2:2"/>
    <row r="159" spans="2:2"/>
    <row r="160" spans="2:2"/>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sheetData>
  <mergeCells count="18">
    <mergeCell ref="G5:J5"/>
    <mergeCell ref="S8:T9"/>
    <mergeCell ref="L9:O9"/>
    <mergeCell ref="L8:O8"/>
    <mergeCell ref="P9:R9"/>
    <mergeCell ref="Y8:Y9"/>
    <mergeCell ref="P8:R8"/>
    <mergeCell ref="P5:S5"/>
    <mergeCell ref="K5:O5"/>
    <mergeCell ref="AN10:AO10"/>
    <mergeCell ref="AH8:AI8"/>
    <mergeCell ref="AA8:AB9"/>
    <mergeCell ref="U8:V9"/>
    <mergeCell ref="W8:X9"/>
    <mergeCell ref="AC8:AD9"/>
    <mergeCell ref="Z8:Z9"/>
    <mergeCell ref="AF8:AG8"/>
    <mergeCell ref="AF9:AG9"/>
  </mergeCells>
  <phoneticPr fontId="8" type="noConversion"/>
  <conditionalFormatting sqref="I62 O62 R62 T62 V62 X62 AB62 AE62">
    <cfRule type="cellIs" dxfId="28" priority="12" stopIfTrue="1" operator="greaterThan">
      <formula>100%</formula>
    </cfRule>
  </conditionalFormatting>
  <conditionalFormatting sqref="I62 O62 R62 T62 V62 X62 AB62 AE62">
    <cfRule type="cellIs" dxfId="27" priority="11" stopIfTrue="1" operator="lessThan">
      <formula>1</formula>
    </cfRule>
  </conditionalFormatting>
  <conditionalFormatting sqref="AD62">
    <cfRule type="cellIs" dxfId="26" priority="6" stopIfTrue="1" operator="greaterThan">
      <formula>100%</formula>
    </cfRule>
  </conditionalFormatting>
  <conditionalFormatting sqref="AD62">
    <cfRule type="cellIs" dxfId="25" priority="5" stopIfTrue="1" operator="lessThan">
      <formula>1</formula>
    </cfRule>
  </conditionalFormatting>
  <conditionalFormatting sqref="M62">
    <cfRule type="cellIs" dxfId="24" priority="4" stopIfTrue="1" operator="greaterThan">
      <formula>100%</formula>
    </cfRule>
  </conditionalFormatting>
  <conditionalFormatting sqref="M62">
    <cfRule type="cellIs" dxfId="23" priority="3" stopIfTrue="1" operator="lessThan">
      <formula>1</formula>
    </cfRule>
  </conditionalFormatting>
  <printOptions horizontalCentered="1"/>
  <pageMargins left="0.25" right="0.25" top="0.5" bottom="0.5" header="0.25" footer="0.25"/>
  <pageSetup scale="10" fitToHeight="0" orientation="landscape" r:id="rId1"/>
  <headerFooter alignWithMargins="0">
    <oddFooter>&amp;L&amp;"Times New Roman,Bold Italic"Black &amp; Veatch Corporation&amp;C&amp;"Times New Roman,Bold Italic"Date: &amp;D&amp;R&amp;"Times New Roman,Bold Italic"Page: &amp;P of&amp;N</oddFooter>
  </headerFooter>
  <rowBreaks count="1" manualBreakCount="1">
    <brk id="69" max="16383"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8000"/>
    <pageSetUpPr fitToPage="1"/>
  </sheetPr>
  <dimension ref="A1:BF304"/>
  <sheetViews>
    <sheetView showGridLines="0" zoomScale="70" zoomScaleNormal="70" zoomScaleSheetLayoutView="75" workbookViewId="0">
      <pane xSplit="4" ySplit="12" topLeftCell="E25" activePane="bottomRight" state="frozen"/>
      <selection pane="topRight" activeCell="E1" sqref="E1"/>
      <selection pane="bottomLeft" activeCell="A14" sqref="A14"/>
      <selection pane="bottomRight" activeCell="E13" sqref="E13"/>
    </sheetView>
  </sheetViews>
  <sheetFormatPr defaultRowHeight="15.75" zeroHeight="1"/>
  <cols>
    <col min="1" max="1" width="22.5" customWidth="1"/>
    <col min="2" max="2" width="1.125" customWidth="1"/>
    <col min="3" max="3" width="5.25" customWidth="1"/>
    <col min="4" max="4" width="27.75" bestFit="1" customWidth="1"/>
    <col min="5" max="5" width="9.375" bestFit="1" customWidth="1"/>
    <col min="6" max="6" width="11.25" style="1" bestFit="1" customWidth="1"/>
    <col min="7" max="7" width="11.625" customWidth="1"/>
    <col min="8" max="8" width="13.625" bestFit="1" customWidth="1"/>
    <col min="9" max="9" width="9.5" customWidth="1"/>
    <col min="10" max="10" width="11" bestFit="1" customWidth="1"/>
    <col min="11" max="11" width="13.625" bestFit="1" customWidth="1"/>
    <col min="12" max="12" width="8.625" bestFit="1" customWidth="1"/>
    <col min="13" max="13" width="12" customWidth="1"/>
    <col min="14" max="14" width="13.625" bestFit="1" customWidth="1"/>
    <col min="15" max="15" width="8.625" bestFit="1" customWidth="1"/>
    <col min="16" max="16" width="11" customWidth="1"/>
    <col min="17" max="17" width="13.625" customWidth="1"/>
    <col min="18" max="18" width="8.625" bestFit="1" customWidth="1"/>
    <col min="19" max="19" width="11" customWidth="1"/>
    <col min="20" max="20" width="13.625" customWidth="1"/>
    <col min="21" max="21" width="8.625" bestFit="1" customWidth="1"/>
    <col min="22" max="22" width="13.375" customWidth="1"/>
    <col min="23" max="23" width="8.625" customWidth="1"/>
    <col min="24" max="24" width="11.5" customWidth="1"/>
    <col min="25" max="25" width="11.25" customWidth="1"/>
    <col min="26" max="26" width="2.625" customWidth="1"/>
    <col min="28" max="28" width="11.5" customWidth="1"/>
  </cols>
  <sheetData>
    <row r="1" spans="1:58" ht="16.5" customHeight="1">
      <c r="A1" s="411"/>
      <c r="C1" s="90"/>
      <c r="D1" s="91"/>
      <c r="E1" s="91"/>
      <c r="F1" s="173"/>
      <c r="G1" s="93"/>
      <c r="H1" s="94"/>
      <c r="I1" s="95"/>
      <c r="J1" s="173"/>
      <c r="K1" s="87"/>
      <c r="L1" s="173"/>
      <c r="M1" s="174"/>
      <c r="N1" s="87"/>
      <c r="O1" s="173"/>
      <c r="P1" s="175"/>
      <c r="Q1" s="86"/>
      <c r="R1" s="86"/>
      <c r="S1" s="86"/>
      <c r="T1" s="86"/>
      <c r="U1" s="86"/>
      <c r="V1" s="98"/>
      <c r="W1" s="175"/>
      <c r="X1" s="98"/>
      <c r="Y1" s="175"/>
      <c r="Z1" s="176"/>
      <c r="AA1" s="1"/>
    </row>
    <row r="2" spans="1:58" ht="21.95" customHeight="1">
      <c r="A2" s="411"/>
      <c r="C2" s="167" t="s">
        <v>167</v>
      </c>
      <c r="D2" s="167"/>
      <c r="E2" s="167"/>
      <c r="F2" s="167"/>
      <c r="G2" s="167"/>
      <c r="H2" s="167"/>
      <c r="I2" s="167"/>
      <c r="J2" s="167"/>
      <c r="K2" s="167"/>
      <c r="L2" s="167"/>
      <c r="M2" s="167"/>
      <c r="N2" s="167"/>
      <c r="O2" s="167"/>
      <c r="P2" s="167"/>
      <c r="Q2" s="167"/>
      <c r="R2" s="167"/>
      <c r="S2" s="167"/>
      <c r="T2" s="167"/>
      <c r="U2" s="167"/>
      <c r="V2" s="167"/>
      <c r="W2" s="167"/>
      <c r="X2" s="167"/>
      <c r="Y2" s="167"/>
      <c r="Z2" s="176"/>
      <c r="AA2" s="1"/>
    </row>
    <row r="3" spans="1:58" ht="21.95" customHeight="1">
      <c r="A3" s="411"/>
      <c r="C3" s="169" t="s">
        <v>717</v>
      </c>
      <c r="D3" s="169"/>
      <c r="E3" s="169"/>
      <c r="F3" s="169"/>
      <c r="G3" s="169"/>
      <c r="H3" s="169"/>
      <c r="I3" s="169"/>
      <c r="J3" s="169"/>
      <c r="K3" s="169"/>
      <c r="L3" s="169"/>
      <c r="M3" s="169"/>
      <c r="N3" s="169"/>
      <c r="O3" s="169"/>
      <c r="P3" s="169"/>
      <c r="Q3" s="169"/>
      <c r="R3" s="169"/>
      <c r="S3" s="169"/>
      <c r="T3" s="169"/>
      <c r="U3" s="169"/>
      <c r="V3" s="169"/>
      <c r="W3" s="169"/>
      <c r="X3" s="169"/>
      <c r="Y3" s="169"/>
      <c r="Z3" s="176"/>
      <c r="AA3" s="1"/>
    </row>
    <row r="4" spans="1:58" ht="21.95" customHeight="1">
      <c r="A4" s="411"/>
      <c r="C4" s="169" t="s">
        <v>613</v>
      </c>
      <c r="D4" s="169"/>
      <c r="E4" s="169"/>
      <c r="F4" s="169"/>
      <c r="G4" s="169"/>
      <c r="H4" s="169"/>
      <c r="I4" s="169"/>
      <c r="J4" s="169"/>
      <c r="K4" s="169"/>
      <c r="L4" s="169"/>
      <c r="M4" s="169"/>
      <c r="N4" s="169"/>
      <c r="O4" s="169"/>
      <c r="P4" s="169"/>
      <c r="Q4" s="169"/>
      <c r="R4" s="169"/>
      <c r="S4" s="169"/>
      <c r="T4" s="169"/>
      <c r="U4" s="169"/>
      <c r="V4" s="169"/>
      <c r="W4" s="169"/>
      <c r="X4" s="169"/>
      <c r="Y4" s="169"/>
      <c r="Z4" s="176"/>
      <c r="AA4" s="1"/>
    </row>
    <row r="5" spans="1:58" ht="16.5" customHeight="1" thickBot="1">
      <c r="A5" s="411"/>
      <c r="C5" s="169"/>
      <c r="D5" s="5" t="s">
        <v>114</v>
      </c>
      <c r="E5" s="5"/>
      <c r="F5" s="169"/>
      <c r="G5" s="169"/>
      <c r="H5" s="169"/>
      <c r="I5" s="169"/>
      <c r="J5" s="169"/>
      <c r="K5" s="169"/>
      <c r="L5" s="169"/>
      <c r="M5" s="169"/>
      <c r="N5" s="169"/>
      <c r="O5" s="169"/>
      <c r="P5" s="169"/>
      <c r="Q5" s="169"/>
      <c r="R5" s="169"/>
      <c r="S5" s="169"/>
      <c r="T5" s="169"/>
      <c r="U5" s="169"/>
      <c r="V5" s="169"/>
      <c r="W5" s="169"/>
      <c r="X5" s="169"/>
      <c r="Y5" s="169"/>
      <c r="Z5" s="176"/>
      <c r="AA5" s="1"/>
    </row>
    <row r="6" spans="1:58" ht="16.5" customHeight="1" thickBot="1">
      <c r="A6" s="411"/>
      <c r="B6" s="86"/>
      <c r="C6" s="86"/>
      <c r="D6" s="2948">
        <f>'COS_RR (top sheet)'!I6</f>
        <v>2024</v>
      </c>
      <c r="E6" s="5"/>
      <c r="F6" s="86"/>
      <c r="G6" s="86"/>
      <c r="H6" s="86"/>
      <c r="I6" s="178"/>
      <c r="J6" s="86"/>
      <c r="K6" s="86"/>
      <c r="L6" s="86"/>
      <c r="M6" s="86"/>
      <c r="N6" s="86"/>
      <c r="O6" s="86"/>
      <c r="P6" s="86"/>
      <c r="Q6" s="86"/>
      <c r="R6" s="86"/>
      <c r="S6" s="86"/>
      <c r="T6" s="86"/>
      <c r="U6" s="86"/>
      <c r="V6" s="86"/>
      <c r="W6" s="86"/>
      <c r="X6" s="86"/>
      <c r="Y6" s="86"/>
      <c r="Z6" s="175"/>
      <c r="AA6" s="1"/>
    </row>
    <row r="7" spans="1:58" ht="16.5" customHeight="1">
      <c r="A7" s="411"/>
      <c r="B7" s="86"/>
      <c r="F7" s="36" t="s">
        <v>674</v>
      </c>
      <c r="G7" s="37" t="s">
        <v>155</v>
      </c>
      <c r="H7" s="36" t="s">
        <v>675</v>
      </c>
      <c r="I7" s="37" t="s">
        <v>676</v>
      </c>
      <c r="J7" s="37" t="s">
        <v>677</v>
      </c>
      <c r="K7" s="37" t="s">
        <v>140</v>
      </c>
      <c r="L7" s="37" t="s">
        <v>141</v>
      </c>
      <c r="M7" s="37" t="s">
        <v>142</v>
      </c>
      <c r="N7" s="37" t="s">
        <v>143</v>
      </c>
      <c r="O7" s="37" t="s">
        <v>145</v>
      </c>
      <c r="P7" s="37" t="s">
        <v>146</v>
      </c>
      <c r="Q7" s="37" t="s">
        <v>147</v>
      </c>
      <c r="R7" s="37" t="s">
        <v>148</v>
      </c>
      <c r="S7" s="37" t="s">
        <v>149</v>
      </c>
      <c r="T7" s="37" t="s">
        <v>150</v>
      </c>
      <c r="U7" s="37" t="s">
        <v>151</v>
      </c>
      <c r="V7" s="37" t="s">
        <v>153</v>
      </c>
      <c r="W7" s="37" t="s">
        <v>154</v>
      </c>
      <c r="X7" s="37" t="s">
        <v>449</v>
      </c>
      <c r="Y7" s="37" t="s">
        <v>450</v>
      </c>
      <c r="Z7" s="99"/>
      <c r="AA7" s="1"/>
    </row>
    <row r="8" spans="1:58" ht="16.5" customHeight="1">
      <c r="A8" s="411"/>
      <c r="B8" s="86"/>
      <c r="F8" s="143" t="s">
        <v>144</v>
      </c>
      <c r="G8" s="18"/>
      <c r="H8" s="18"/>
      <c r="I8" s="18"/>
      <c r="J8" s="18"/>
      <c r="K8" s="18"/>
      <c r="L8" s="18"/>
      <c r="M8" s="18"/>
      <c r="N8" s="18"/>
      <c r="O8" s="18"/>
      <c r="P8" s="18"/>
      <c r="Q8" s="18"/>
      <c r="R8" s="18"/>
      <c r="S8" s="18"/>
      <c r="T8" s="18"/>
      <c r="U8" s="18"/>
      <c r="V8" s="18"/>
      <c r="W8" s="18"/>
      <c r="X8" s="18"/>
      <c r="Y8" s="18"/>
      <c r="Z8" s="100"/>
      <c r="AA8" s="1"/>
    </row>
    <row r="9" spans="1:58" ht="16.5" customHeight="1">
      <c r="A9" s="411"/>
      <c r="B9" s="86"/>
      <c r="C9" s="704"/>
      <c r="D9" s="704"/>
      <c r="E9" s="703"/>
      <c r="F9" s="55" t="s">
        <v>868</v>
      </c>
      <c r="G9" s="124" t="s">
        <v>137</v>
      </c>
      <c r="H9" s="124"/>
      <c r="I9" s="124"/>
      <c r="J9" s="124" t="s">
        <v>171</v>
      </c>
      <c r="K9" s="124"/>
      <c r="L9" s="124"/>
      <c r="M9" s="124" t="s">
        <v>172</v>
      </c>
      <c r="N9" s="124"/>
      <c r="O9" s="154"/>
      <c r="P9" s="4437" t="s">
        <v>25</v>
      </c>
      <c r="Q9" s="4438"/>
      <c r="R9" s="4485"/>
      <c r="S9" s="4437" t="s">
        <v>26</v>
      </c>
      <c r="T9" s="4438"/>
      <c r="U9" s="4485"/>
      <c r="V9" s="124" t="s">
        <v>848</v>
      </c>
      <c r="W9" s="154"/>
      <c r="X9" s="124" t="s">
        <v>375</v>
      </c>
      <c r="Y9" s="154"/>
      <c r="Z9" s="100"/>
      <c r="AA9" s="1"/>
    </row>
    <row r="10" spans="1:58" ht="16.5" customHeight="1">
      <c r="A10" s="411"/>
      <c r="B10" s="86"/>
      <c r="C10" s="482"/>
      <c r="D10" s="482"/>
      <c r="E10" s="483"/>
      <c r="F10" s="55" t="s">
        <v>134</v>
      </c>
      <c r="G10" s="163" t="s">
        <v>138</v>
      </c>
      <c r="H10" s="163" t="s">
        <v>177</v>
      </c>
      <c r="I10" s="164"/>
      <c r="J10" s="163" t="s">
        <v>138</v>
      </c>
      <c r="K10" s="163" t="s">
        <v>177</v>
      </c>
      <c r="L10" s="164"/>
      <c r="M10" s="163" t="s">
        <v>138</v>
      </c>
      <c r="N10" s="163" t="s">
        <v>177</v>
      </c>
      <c r="O10" s="164"/>
      <c r="P10" s="163" t="s">
        <v>138</v>
      </c>
      <c r="Q10" s="163" t="s">
        <v>177</v>
      </c>
      <c r="R10" s="164"/>
      <c r="S10" s="163" t="s">
        <v>138</v>
      </c>
      <c r="T10" s="163" t="s">
        <v>177</v>
      </c>
      <c r="U10" s="164"/>
      <c r="V10" s="164"/>
      <c r="W10" s="170"/>
      <c r="X10" s="164"/>
      <c r="Y10" s="170"/>
      <c r="Z10" s="100"/>
      <c r="AA10" s="1"/>
    </row>
    <row r="11" spans="1:58" ht="16.5" customHeight="1">
      <c r="A11" s="411"/>
      <c r="B11" s="86"/>
      <c r="C11" s="141" t="s">
        <v>867</v>
      </c>
      <c r="D11" s="141" t="s">
        <v>118</v>
      </c>
      <c r="E11" s="141" t="s">
        <v>386</v>
      </c>
      <c r="F11" s="55" t="s">
        <v>606</v>
      </c>
      <c r="G11" s="146" t="s">
        <v>139</v>
      </c>
      <c r="H11" s="146" t="s">
        <v>673</v>
      </c>
      <c r="I11" s="146" t="s">
        <v>122</v>
      </c>
      <c r="J11" s="146" t="s">
        <v>139</v>
      </c>
      <c r="K11" s="146" t="s">
        <v>673</v>
      </c>
      <c r="L11" s="146" t="s">
        <v>122</v>
      </c>
      <c r="M11" s="146" t="s">
        <v>139</v>
      </c>
      <c r="N11" s="146" t="s">
        <v>673</v>
      </c>
      <c r="O11" s="146" t="s">
        <v>122</v>
      </c>
      <c r="P11" s="146" t="s">
        <v>139</v>
      </c>
      <c r="Q11" s="146" t="s">
        <v>673</v>
      </c>
      <c r="R11" s="146" t="s">
        <v>122</v>
      </c>
      <c r="S11" s="146" t="s">
        <v>139</v>
      </c>
      <c r="T11" s="146" t="s">
        <v>673</v>
      </c>
      <c r="U11" s="146" t="s">
        <v>122</v>
      </c>
      <c r="V11" s="146" t="s">
        <v>121</v>
      </c>
      <c r="W11" s="148" t="s">
        <v>122</v>
      </c>
      <c r="X11" s="146" t="s">
        <v>121</v>
      </c>
      <c r="Y11" s="148" t="s">
        <v>122</v>
      </c>
      <c r="Z11" s="100"/>
      <c r="AA11" s="1"/>
    </row>
    <row r="12" spans="1:58" ht="16.5" customHeight="1">
      <c r="A12" s="411"/>
      <c r="B12" s="86"/>
      <c r="C12" s="261"/>
      <c r="D12" s="372" t="s">
        <v>209</v>
      </c>
      <c r="E12" s="261"/>
      <c r="F12" s="261"/>
      <c r="G12" s="372"/>
      <c r="H12" s="375" t="s">
        <v>852</v>
      </c>
      <c r="I12" s="372" t="s">
        <v>162</v>
      </c>
      <c r="J12" s="375"/>
      <c r="K12" s="372" t="s">
        <v>853</v>
      </c>
      <c r="L12" s="375" t="s">
        <v>163</v>
      </c>
      <c r="M12" s="372"/>
      <c r="N12" s="372" t="s">
        <v>854</v>
      </c>
      <c r="O12" s="372" t="s">
        <v>164</v>
      </c>
      <c r="P12" s="372"/>
      <c r="Q12" s="372" t="s">
        <v>855</v>
      </c>
      <c r="R12" s="372" t="s">
        <v>85</v>
      </c>
      <c r="S12" s="372"/>
      <c r="T12" s="372" t="s">
        <v>27</v>
      </c>
      <c r="U12" s="372" t="s">
        <v>86</v>
      </c>
      <c r="V12" s="375"/>
      <c r="W12" s="372" t="s">
        <v>165</v>
      </c>
      <c r="X12" s="375"/>
      <c r="Y12" s="372" t="s">
        <v>381</v>
      </c>
      <c r="Z12" s="86"/>
      <c r="AA12" s="1"/>
    </row>
    <row r="13" spans="1:58" ht="16.5" customHeight="1">
      <c r="A13" s="411"/>
      <c r="B13" s="86"/>
      <c r="C13" s="1"/>
      <c r="D13" s="1"/>
      <c r="E13" s="702">
        <v>1</v>
      </c>
      <c r="F13" s="702">
        <f>E13+1</f>
        <v>2</v>
      </c>
      <c r="G13" s="702">
        <f t="shared" ref="G13:Y13" si="0">F13+1</f>
        <v>3</v>
      </c>
      <c r="H13" s="702">
        <f t="shared" si="0"/>
        <v>4</v>
      </c>
      <c r="I13" s="702">
        <f t="shared" si="0"/>
        <v>5</v>
      </c>
      <c r="J13" s="702">
        <f t="shared" si="0"/>
        <v>6</v>
      </c>
      <c r="K13" s="702">
        <f t="shared" si="0"/>
        <v>7</v>
      </c>
      <c r="L13" s="702">
        <f t="shared" si="0"/>
        <v>8</v>
      </c>
      <c r="M13" s="702">
        <f t="shared" si="0"/>
        <v>9</v>
      </c>
      <c r="N13" s="702">
        <f t="shared" si="0"/>
        <v>10</v>
      </c>
      <c r="O13" s="702">
        <f t="shared" si="0"/>
        <v>11</v>
      </c>
      <c r="P13" s="702">
        <f t="shared" si="0"/>
        <v>12</v>
      </c>
      <c r="Q13" s="702">
        <f t="shared" si="0"/>
        <v>13</v>
      </c>
      <c r="R13" s="702">
        <f t="shared" si="0"/>
        <v>14</v>
      </c>
      <c r="S13" s="702">
        <f t="shared" si="0"/>
        <v>15</v>
      </c>
      <c r="T13" s="702">
        <f t="shared" si="0"/>
        <v>16</v>
      </c>
      <c r="U13" s="702">
        <f t="shared" si="0"/>
        <v>17</v>
      </c>
      <c r="V13" s="702">
        <f t="shared" si="0"/>
        <v>18</v>
      </c>
      <c r="W13" s="702">
        <f t="shared" si="0"/>
        <v>19</v>
      </c>
      <c r="X13" s="702">
        <f t="shared" si="0"/>
        <v>20</v>
      </c>
      <c r="Y13" s="702">
        <f t="shared" si="0"/>
        <v>21</v>
      </c>
      <c r="Z13" s="177"/>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7"/>
      <c r="BC13" s="17"/>
      <c r="BD13" s="17"/>
      <c r="BE13" s="17"/>
      <c r="BF13" s="17"/>
    </row>
    <row r="14" spans="1:58" ht="16.5" customHeight="1" thickBot="1">
      <c r="A14" s="411"/>
      <c r="B14" s="86"/>
      <c r="C14" s="261"/>
      <c r="D14" s="60" t="s">
        <v>24</v>
      </c>
      <c r="E14" s="702">
        <v>1</v>
      </c>
      <c r="G14" s="1"/>
      <c r="H14" s="1"/>
      <c r="I14" s="1"/>
      <c r="J14" s="17"/>
      <c r="K14" s="1"/>
      <c r="L14" s="1"/>
      <c r="M14" s="1"/>
      <c r="N14" s="1"/>
      <c r="O14" s="1"/>
      <c r="P14" s="1"/>
      <c r="Q14" s="1"/>
      <c r="R14" s="1"/>
      <c r="S14" s="1"/>
      <c r="T14" s="1"/>
      <c r="U14" s="1"/>
      <c r="V14" s="1"/>
      <c r="W14" s="1"/>
      <c r="X14" s="1"/>
      <c r="Y14" s="1"/>
      <c r="Z14" s="177"/>
      <c r="AA14" s="57"/>
      <c r="AB14" s="57"/>
      <c r="AC14" s="57"/>
      <c r="AD14" s="57"/>
      <c r="AE14" s="57"/>
      <c r="AF14" s="9"/>
      <c r="AG14" s="57"/>
      <c r="AH14" s="57"/>
      <c r="AI14" s="57"/>
      <c r="AJ14" s="57"/>
      <c r="AK14" s="57"/>
      <c r="AL14" s="165"/>
      <c r="AM14" s="57"/>
      <c r="AN14" s="57"/>
      <c r="AO14" s="57"/>
      <c r="AP14" s="57"/>
      <c r="AQ14" s="57"/>
      <c r="AR14" s="165"/>
      <c r="AS14" s="57"/>
      <c r="AT14" s="57"/>
      <c r="AU14" s="57"/>
      <c r="AV14" s="57"/>
      <c r="AW14" s="57"/>
      <c r="AX14" s="165"/>
      <c r="AY14" s="57"/>
      <c r="AZ14" s="57"/>
      <c r="BA14" s="57"/>
      <c r="BB14" s="17"/>
      <c r="BC14" s="17"/>
      <c r="BD14" s="17"/>
      <c r="BE14" s="17"/>
      <c r="BF14" s="17"/>
    </row>
    <row r="15" spans="1:58" ht="16.5" customHeight="1">
      <c r="A15" s="411"/>
      <c r="B15" s="86"/>
      <c r="C15" s="261">
        <f>IF(F15="","",MAX(C$14:C14)+1)</f>
        <v>1</v>
      </c>
      <c r="D15" s="206" t="s">
        <v>13</v>
      </c>
      <c r="E15" s="9">
        <f>'COS_Units (sales)'!E17</f>
        <v>2</v>
      </c>
      <c r="F15" s="176">
        <f>TY_Units!E12</f>
        <v>21400</v>
      </c>
      <c r="G15" s="162">
        <v>1</v>
      </c>
      <c r="H15" s="176">
        <f>ROUND(+$F15*G15,0)</f>
        <v>21400</v>
      </c>
      <c r="I15" s="630">
        <f>ROUND(1-SUM(I16,I20,I25,I27:I36),4)</f>
        <v>0.33910000000000001</v>
      </c>
      <c r="J15" s="162">
        <v>1</v>
      </c>
      <c r="K15" s="176">
        <f>ROUND(+$F15*J15,0)</f>
        <v>21400</v>
      </c>
      <c r="L15" s="630">
        <f>ROUND(1-SUM(L16,L20,L25,L27:L36),4)</f>
        <v>0.23130000000000001</v>
      </c>
      <c r="M15" s="162">
        <v>1</v>
      </c>
      <c r="N15" s="176">
        <f>ROUND(+$F15*M15,0)</f>
        <v>21400</v>
      </c>
      <c r="O15" s="630">
        <f>ROUND(1-SUM(O16,O20,O25,O27:O36),4)</f>
        <v>0.21560000000000001</v>
      </c>
      <c r="P15" s="162">
        <v>1</v>
      </c>
      <c r="Q15" s="176">
        <f>ROUND(+$F15*P15,0)</f>
        <v>21400</v>
      </c>
      <c r="R15" s="630">
        <f>ROUND(1-SUM(R16,R20,R25,R27:R36),4)</f>
        <v>0.80059999999999998</v>
      </c>
      <c r="S15" s="162">
        <v>0</v>
      </c>
      <c r="T15" s="176">
        <f>ROUND(+$F15*S15,0)</f>
        <v>0</v>
      </c>
      <c r="U15" s="380">
        <f>ROUND(T15/T$38,4)</f>
        <v>0</v>
      </c>
      <c r="V15" s="176">
        <f>'Rate Increases'!W92</f>
        <v>23870689.237511843</v>
      </c>
      <c r="W15" s="630">
        <f>ROUND(1-SUM(W16,W20,W25,W27:W36),4)</f>
        <v>8.3799999999999999E-2</v>
      </c>
      <c r="X15" s="176">
        <f>F15</f>
        <v>21400</v>
      </c>
      <c r="Y15" s="630">
        <f>ROUND(1-SUM(Y16,Y20,Y25,Y27:Y36),4)</f>
        <v>0.3916</v>
      </c>
      <c r="AB15" s="165"/>
      <c r="AC15" s="64"/>
      <c r="AD15" s="165"/>
      <c r="AE15" s="166"/>
      <c r="AF15" s="165"/>
      <c r="AG15" s="64"/>
      <c r="AH15" s="165"/>
      <c r="AI15" s="64"/>
      <c r="AJ15" s="165"/>
      <c r="AK15" s="166"/>
      <c r="AL15" s="165"/>
      <c r="AM15" s="64"/>
      <c r="AN15" s="165"/>
      <c r="AO15" s="64"/>
      <c r="AP15" s="165"/>
      <c r="AQ15" s="166"/>
      <c r="AR15" s="165"/>
      <c r="AS15" s="64"/>
      <c r="AT15" s="165"/>
      <c r="AU15" s="64"/>
      <c r="AV15" s="165"/>
      <c r="AW15" s="166"/>
      <c r="AX15" s="165"/>
      <c r="AY15" s="166"/>
      <c r="AZ15" s="165"/>
      <c r="BA15" s="166"/>
      <c r="BB15" s="17"/>
      <c r="BC15" s="17"/>
      <c r="BD15" s="17"/>
      <c r="BE15" s="17"/>
      <c r="BF15" s="17"/>
    </row>
    <row r="16" spans="1:58" ht="16.5" customHeight="1" thickBot="1">
      <c r="A16" s="411"/>
      <c r="B16" s="86"/>
      <c r="C16" s="261">
        <f>IF(F16="","",MAX(C$14:C15)+1)</f>
        <v>2</v>
      </c>
      <c r="D16" s="14" t="s">
        <v>14</v>
      </c>
      <c r="E16" s="9">
        <f>'COS_Units (sales)'!E20</f>
        <v>5</v>
      </c>
      <c r="F16" s="176">
        <f>TY_Units!E14</f>
        <v>20055</v>
      </c>
      <c r="G16" s="78">
        <v>1.1000000000000001</v>
      </c>
      <c r="H16" s="176">
        <f>ROUND(+$F16*G16,0)</f>
        <v>22061</v>
      </c>
      <c r="I16" s="380">
        <f>ROUND(H16/H$38,4)</f>
        <v>0.34960000000000002</v>
      </c>
      <c r="J16" s="78">
        <v>1.5</v>
      </c>
      <c r="K16" s="176">
        <f>ROUND(+$F16*J16,0)</f>
        <v>30083</v>
      </c>
      <c r="L16" s="380">
        <f>ROUND(K16/K$38,4)</f>
        <v>0.32519999999999999</v>
      </c>
      <c r="M16" s="78">
        <v>1</v>
      </c>
      <c r="N16" s="176">
        <f>ROUND(+$F16*M16,0)</f>
        <v>20055</v>
      </c>
      <c r="O16" s="380">
        <f>ROUND(N16/N$38,4)</f>
        <v>0.2021</v>
      </c>
      <c r="P16" s="78">
        <v>0</v>
      </c>
      <c r="Q16" s="176">
        <f>ROUND(+$F16*P16,0)</f>
        <v>0</v>
      </c>
      <c r="R16" s="380">
        <f>ROUND(Q16/Q$38,4)</f>
        <v>0</v>
      </c>
      <c r="S16" s="78">
        <v>1.5</v>
      </c>
      <c r="T16" s="176">
        <f>ROUND(+$F16*S16,0)</f>
        <v>30083</v>
      </c>
      <c r="U16" s="630">
        <f>ROUND(1-SUM(U15,U20,U25,U27:U36),4)</f>
        <v>0.92220000000000002</v>
      </c>
      <c r="V16" s="176">
        <f>'Rate Increases'!W93</f>
        <v>29619759.682764068</v>
      </c>
      <c r="W16" s="380">
        <f>ROUND(V16/V$38,4)</f>
        <v>0.1042</v>
      </c>
      <c r="X16" s="176">
        <f t="shared" ref="X16:X36" si="1">F16</f>
        <v>20055</v>
      </c>
      <c r="Y16" s="380">
        <f>ROUND(X16/X$38,4)</f>
        <v>0.36699999999999999</v>
      </c>
      <c r="AB16" s="165"/>
      <c r="AC16" s="64"/>
      <c r="AD16" s="165"/>
      <c r="AE16" s="64"/>
      <c r="AF16" s="9"/>
      <c r="AG16" s="64"/>
      <c r="AH16" s="165"/>
      <c r="AI16" s="64"/>
      <c r="AJ16" s="165"/>
      <c r="AK16" s="64"/>
      <c r="AL16" s="165"/>
      <c r="AM16" s="64"/>
      <c r="AN16" s="165"/>
      <c r="AO16" s="64"/>
      <c r="AP16" s="165"/>
      <c r="AQ16" s="64"/>
      <c r="AR16" s="165"/>
      <c r="AS16" s="64"/>
      <c r="AT16" s="165"/>
      <c r="AU16" s="64"/>
      <c r="AV16" s="165"/>
      <c r="AW16" s="64"/>
      <c r="AX16" s="165"/>
      <c r="AY16" s="64"/>
      <c r="AZ16" s="165"/>
      <c r="BA16" s="64"/>
      <c r="BB16" s="17"/>
      <c r="BC16" s="17"/>
      <c r="BD16" s="17"/>
      <c r="BE16" s="17"/>
      <c r="BF16" s="17"/>
    </row>
    <row r="17" spans="1:58" ht="16.5" customHeight="1" thickBot="1">
      <c r="A17" s="411"/>
      <c r="B17" s="86"/>
      <c r="C17" s="261" t="str">
        <f>IF(F17="","",MAX(C$14:C16)+1)</f>
        <v/>
      </c>
      <c r="D17" s="246" t="s">
        <v>15</v>
      </c>
      <c r="E17" s="9"/>
      <c r="F17"/>
      <c r="V17" s="1"/>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row>
    <row r="18" spans="1:58" ht="16.5" customHeight="1">
      <c r="A18" s="411"/>
      <c r="B18" s="86"/>
      <c r="C18" s="261">
        <f>IF(F18="","",MAX(C$14:C17)+1)</f>
        <v>3</v>
      </c>
      <c r="D18" s="15" t="s">
        <v>7</v>
      </c>
      <c r="E18" s="9">
        <f>'COS_Units (sales)'!E23</f>
        <v>8</v>
      </c>
      <c r="F18" s="176">
        <f>TY_Units!E16</f>
        <v>62</v>
      </c>
      <c r="G18" s="162">
        <v>1</v>
      </c>
      <c r="H18" s="176">
        <f>ROUND(+$F18*G18,0)</f>
        <v>62</v>
      </c>
      <c r="I18" s="380">
        <f>ROUND(H18/H$38,4)</f>
        <v>1E-3</v>
      </c>
      <c r="J18" s="162">
        <v>3</v>
      </c>
      <c r="K18" s="176">
        <f>ROUND(+$F18*J18,0)</f>
        <v>186</v>
      </c>
      <c r="L18" s="380">
        <f>ROUND(K18/K$38,4)</f>
        <v>2E-3</v>
      </c>
      <c r="M18" s="162">
        <v>1</v>
      </c>
      <c r="N18" s="176">
        <f>ROUND(+$F18*M18,0)</f>
        <v>62</v>
      </c>
      <c r="O18" s="380">
        <f>ROUND(N18/N$38,4)</f>
        <v>5.9999999999999995E-4</v>
      </c>
      <c r="P18" s="162">
        <v>0</v>
      </c>
      <c r="Q18" s="176">
        <f>ROUND(+$F18*P18,0)</f>
        <v>0</v>
      </c>
      <c r="R18" s="380">
        <f>ROUND(Q18/Q$38,4)</f>
        <v>0</v>
      </c>
      <c r="S18" s="162">
        <v>3</v>
      </c>
      <c r="T18" s="176">
        <f>ROUND(+$F18*S18,0)</f>
        <v>186</v>
      </c>
      <c r="U18" s="380">
        <f>ROUND(T18/T$38,4)</f>
        <v>5.7000000000000002E-3</v>
      </c>
      <c r="V18" s="176">
        <f>'Rate Increases'!W95</f>
        <v>169022.30882450278</v>
      </c>
      <c r="W18" s="380">
        <f>ROUND(V18/V$38,4)</f>
        <v>5.9999999999999995E-4</v>
      </c>
      <c r="X18" s="176">
        <f t="shared" si="1"/>
        <v>62</v>
      </c>
      <c r="Y18" s="380">
        <f>ROUND(X18/X$38,4)</f>
        <v>1.1000000000000001E-3</v>
      </c>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row>
    <row r="19" spans="1:58" ht="16.5" customHeight="1" thickBot="1">
      <c r="A19" s="411"/>
      <c r="B19" s="86"/>
      <c r="C19" s="261">
        <f>IF(F19="","",MAX(C$14:C18)+1)</f>
        <v>4</v>
      </c>
      <c r="D19" s="15" t="s">
        <v>8</v>
      </c>
      <c r="E19" s="9">
        <f>'COS_Units (sales)'!E24</f>
        <v>9</v>
      </c>
      <c r="F19" s="382">
        <f>TY_Units!E18</f>
        <v>4667</v>
      </c>
      <c r="G19" s="78">
        <v>1.1000000000000001</v>
      </c>
      <c r="H19" s="381">
        <f>ROUND(+$F19*G19,0)</f>
        <v>5134</v>
      </c>
      <c r="I19" s="380">
        <f>ROUND(H19/H$38,4)</f>
        <v>8.1299999999999997E-2</v>
      </c>
      <c r="J19" s="78">
        <v>5</v>
      </c>
      <c r="K19" s="381">
        <f>ROUND(+$F19*J19,0)</f>
        <v>23335</v>
      </c>
      <c r="L19" s="380">
        <f>ROUND(K19/K$38,4)</f>
        <v>0.25230000000000002</v>
      </c>
      <c r="M19" s="78">
        <v>5</v>
      </c>
      <c r="N19" s="381">
        <f>ROUND(+$F19*M19,0)</f>
        <v>23335</v>
      </c>
      <c r="O19" s="380">
        <f>ROUND(N19/N$38,4)</f>
        <v>0.2351</v>
      </c>
      <c r="P19" s="78">
        <v>0</v>
      </c>
      <c r="Q19" s="381">
        <f>ROUND(+$F19*P19,0)</f>
        <v>0</v>
      </c>
      <c r="R19" s="380">
        <f>ROUND(Q19/Q$38,4)</f>
        <v>0</v>
      </c>
      <c r="S19" s="78">
        <v>0</v>
      </c>
      <c r="T19" s="381">
        <f>ROUND(+$F19*S19,0)</f>
        <v>0</v>
      </c>
      <c r="U19" s="380">
        <f>ROUND(T19/T$38,4)</f>
        <v>0</v>
      </c>
      <c r="V19" s="382">
        <f>'Rate Increases'!W96</f>
        <v>32324862.618539739</v>
      </c>
      <c r="W19" s="380">
        <f>ROUND(V19/V$38,4)</f>
        <v>0.1137</v>
      </c>
      <c r="X19" s="382">
        <f t="shared" si="1"/>
        <v>4667</v>
      </c>
      <c r="Y19" s="380">
        <f>ROUND(X19/X$38,4)</f>
        <v>8.5400000000000004E-2</v>
      </c>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row>
    <row r="20" spans="1:58" ht="16.5" customHeight="1">
      <c r="A20" s="411"/>
      <c r="B20" s="86"/>
      <c r="C20" s="261">
        <f>IF(F20="","",MAX(C$14:C19)+1)</f>
        <v>5</v>
      </c>
      <c r="D20" s="39" t="s">
        <v>602</v>
      </c>
      <c r="E20" s="9">
        <f>'COS_Units (sales)'!E25</f>
        <v>10</v>
      </c>
      <c r="F20" s="371">
        <f>SUM(F18:F19)</f>
        <v>4729</v>
      </c>
      <c r="G20" s="176">
        <v>0.5</v>
      </c>
      <c r="H20" s="371">
        <f>SUM(H18:H19)</f>
        <v>5196</v>
      </c>
      <c r="I20" s="380">
        <f>ROUND(H20/H$38,4)</f>
        <v>8.2299999999999998E-2</v>
      </c>
      <c r="J20" s="176"/>
      <c r="K20" s="371">
        <f>SUM(K18:K19)</f>
        <v>23521</v>
      </c>
      <c r="L20" s="380">
        <f>ROUND(K20/K$38,4)</f>
        <v>0.25430000000000003</v>
      </c>
      <c r="M20" s="176"/>
      <c r="N20" s="371">
        <f>SUM(N18:N19)</f>
        <v>23397</v>
      </c>
      <c r="O20" s="380">
        <f>ROUND(N20/N$38,4)</f>
        <v>0.23569999999999999</v>
      </c>
      <c r="P20" s="176"/>
      <c r="Q20" s="371">
        <f>SUM(Q18:Q19)</f>
        <v>0</v>
      </c>
      <c r="R20" s="380">
        <f>ROUND(Q20/Q$38,4)</f>
        <v>0</v>
      </c>
      <c r="S20" s="176"/>
      <c r="T20" s="371">
        <f>SUM(T18:T19)</f>
        <v>186</v>
      </c>
      <c r="U20" s="380">
        <f>ROUND(T20/T$38,4)</f>
        <v>5.7000000000000002E-3</v>
      </c>
      <c r="V20" s="1586">
        <f>SUM(V18:V19)</f>
        <v>32493884.927364241</v>
      </c>
      <c r="W20" s="380">
        <f>ROUND(V20/V$38,4)</f>
        <v>0.1143</v>
      </c>
      <c r="X20" s="176">
        <f t="shared" si="1"/>
        <v>4729</v>
      </c>
      <c r="Y20" s="380">
        <f>ROUND(X20/X$38,4)</f>
        <v>8.6499999999999994E-2</v>
      </c>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row>
    <row r="21" spans="1:58" ht="16.5" customHeight="1">
      <c r="A21" s="411"/>
      <c r="B21" s="86"/>
      <c r="C21" s="261" t="str">
        <f>IF(F21="","",MAX(C$14:C20)+1)</f>
        <v/>
      </c>
      <c r="D21" s="39"/>
      <c r="E21" s="9"/>
      <c r="F21" s="176"/>
      <c r="G21" s="176"/>
      <c r="H21" s="176"/>
      <c r="I21" s="176"/>
      <c r="J21" s="176"/>
      <c r="K21" s="176"/>
      <c r="L21" s="176"/>
      <c r="M21" s="176"/>
      <c r="N21" s="176"/>
      <c r="O21" s="176"/>
      <c r="P21" s="176"/>
      <c r="Q21" s="176"/>
      <c r="R21" s="176"/>
      <c r="S21" s="176"/>
      <c r="T21" s="176"/>
      <c r="U21" s="176"/>
      <c r="V21" s="173"/>
      <c r="W21" s="176"/>
      <c r="X21" s="176"/>
      <c r="Y21" s="176"/>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row>
    <row r="22" spans="1:58" ht="16.5" customHeight="1" thickBot="1">
      <c r="A22" s="411"/>
      <c r="B22" s="86"/>
      <c r="C22" s="261" t="str">
        <f>IF(F22="","",MAX(C$14:C21)+1)</f>
        <v/>
      </c>
      <c r="D22" s="246" t="s">
        <v>21</v>
      </c>
      <c r="E22" s="9"/>
      <c r="F22"/>
      <c r="V22" s="86"/>
    </row>
    <row r="23" spans="1:58" ht="16.5" customHeight="1">
      <c r="A23" s="411"/>
      <c r="B23" s="86"/>
      <c r="C23" s="261">
        <f>IF(F23="","",MAX(C$14:C22)+1)</f>
        <v>6</v>
      </c>
      <c r="D23" s="15" t="s">
        <v>7</v>
      </c>
      <c r="E23" s="9">
        <f>'COS_Units (sales)'!E28</f>
        <v>13</v>
      </c>
      <c r="F23" s="176">
        <f>TY_Units!E20</f>
        <v>4963</v>
      </c>
      <c r="G23" s="162">
        <v>1.5</v>
      </c>
      <c r="H23" s="176">
        <f>ROUND(+$F23*G23,0)</f>
        <v>7445</v>
      </c>
      <c r="I23" s="380">
        <f>ROUND(H23/H$38,4)</f>
        <v>0.11799999999999999</v>
      </c>
      <c r="J23" s="162">
        <v>1.5</v>
      </c>
      <c r="K23" s="176">
        <f>ROUND(+$F23*J23,0)</f>
        <v>7445</v>
      </c>
      <c r="L23" s="380">
        <f>ROUND(K23/K$38,4)</f>
        <v>8.0500000000000002E-2</v>
      </c>
      <c r="M23" s="1974">
        <v>3</v>
      </c>
      <c r="N23" s="176">
        <f>ROUND(+$F23*M23,0)</f>
        <v>14889</v>
      </c>
      <c r="O23" s="380">
        <f>ROUND(N23/N$38,4)</f>
        <v>0.15</v>
      </c>
      <c r="P23" s="162">
        <f>1.5*0.7</f>
        <v>1.0499999999999998</v>
      </c>
      <c r="Q23" s="176">
        <f>ROUND(+$F23*P23,0)</f>
        <v>5211</v>
      </c>
      <c r="R23" s="380">
        <f>ROUND(Q23/Q$38,4)</f>
        <v>0.19489999999999999</v>
      </c>
      <c r="S23" s="162">
        <f>1.5*0.3</f>
        <v>0.44999999999999996</v>
      </c>
      <c r="T23" s="176">
        <f>ROUND(+$F23*S23,0)</f>
        <v>2233</v>
      </c>
      <c r="U23" s="380">
        <f>ROUND(T23/T$38,4)</f>
        <v>6.8500000000000005E-2</v>
      </c>
      <c r="V23" s="176">
        <f>'Rate Increases'!W97</f>
        <v>7370755.3092198726</v>
      </c>
      <c r="W23" s="380">
        <f>ROUND(V23/V$38,4)</f>
        <v>2.5899999999999999E-2</v>
      </c>
      <c r="X23" s="176">
        <f t="shared" si="1"/>
        <v>4963</v>
      </c>
      <c r="Y23" s="380">
        <f>ROUND(X23/X$38,4)</f>
        <v>9.0800000000000006E-2</v>
      </c>
    </row>
    <row r="24" spans="1:58" ht="16.5" customHeight="1" thickBot="1">
      <c r="A24" s="411"/>
      <c r="B24" s="86"/>
      <c r="C24" s="261">
        <f>IF(F24="","",MAX(C$14:C23)+1)</f>
        <v>7</v>
      </c>
      <c r="D24" s="15" t="s">
        <v>8</v>
      </c>
      <c r="E24" s="9">
        <f>'COS_Units (sales)'!E29</f>
        <v>14</v>
      </c>
      <c r="F24" s="176">
        <f>TY_Units!E22</f>
        <v>3233</v>
      </c>
      <c r="G24" s="78">
        <v>1.5</v>
      </c>
      <c r="H24" s="381">
        <f>ROUND(+$F24*G24,0)</f>
        <v>4850</v>
      </c>
      <c r="I24" s="380">
        <f>ROUND(H24/H$38,4)</f>
        <v>7.6799999999999993E-2</v>
      </c>
      <c r="J24" s="78">
        <v>2.5</v>
      </c>
      <c r="K24" s="381">
        <f>ROUND(+$F24*J24,0)</f>
        <v>8083</v>
      </c>
      <c r="L24" s="380">
        <f>ROUND(K24/K$38,4)</f>
        <v>8.7400000000000005E-2</v>
      </c>
      <c r="M24" s="1976">
        <v>5</v>
      </c>
      <c r="N24" s="381">
        <f>ROUND(+$F24*M24,0)</f>
        <v>16165</v>
      </c>
      <c r="O24" s="380">
        <f>ROUND(N24/N$38,4)</f>
        <v>0.16289999999999999</v>
      </c>
      <c r="P24" s="78">
        <v>0</v>
      </c>
      <c r="Q24" s="381">
        <f>ROUND(+$F24*P24,0)</f>
        <v>0</v>
      </c>
      <c r="R24" s="380">
        <f>ROUND(Q24/Q$38,4)</f>
        <v>0</v>
      </c>
      <c r="S24" s="78">
        <v>0</v>
      </c>
      <c r="T24" s="381">
        <f>ROUND(+$F24*S24,0)</f>
        <v>0</v>
      </c>
      <c r="U24" s="380">
        <f>ROUND(T24/T$38,4)</f>
        <v>0</v>
      </c>
      <c r="V24" s="176">
        <f>'Rate Increases'!W98</f>
        <v>23414189.858713653</v>
      </c>
      <c r="W24" s="380">
        <f>ROUND(V24/V$38,4)</f>
        <v>8.2299999999999998E-2</v>
      </c>
      <c r="X24" s="382">
        <f t="shared" si="1"/>
        <v>3233</v>
      </c>
      <c r="Y24" s="380">
        <f>ROUND(X24/X$38,4)</f>
        <v>5.9200000000000003E-2</v>
      </c>
    </row>
    <row r="25" spans="1:58" ht="16.5" customHeight="1">
      <c r="A25" s="411"/>
      <c r="B25" s="86"/>
      <c r="C25" s="261">
        <f>IF(F25="","",MAX(C$14:C24)+1)</f>
        <v>8</v>
      </c>
      <c r="D25" s="39" t="s">
        <v>602</v>
      </c>
      <c r="E25" s="9">
        <f>'COS_Units (sales)'!E30</f>
        <v>15</v>
      </c>
      <c r="F25" s="371">
        <f>SUM(F23:F24)</f>
        <v>8196</v>
      </c>
      <c r="G25" s="176"/>
      <c r="H25" s="371">
        <f>SUM(H23:H24)</f>
        <v>12295</v>
      </c>
      <c r="I25" s="380">
        <f>ROUND(H25/H$38,4)</f>
        <v>0.1948</v>
      </c>
      <c r="J25" s="176"/>
      <c r="K25" s="371">
        <f>SUM(K23:K24)</f>
        <v>15528</v>
      </c>
      <c r="L25" s="380">
        <f>ROUND(K25/K$38,4)</f>
        <v>0.16789999999999999</v>
      </c>
      <c r="M25" s="1914"/>
      <c r="N25" s="371">
        <f>SUM(N23:N24)</f>
        <v>31054</v>
      </c>
      <c r="O25" s="380">
        <f>ROUND(N25/N$38,4)</f>
        <v>0.31290000000000001</v>
      </c>
      <c r="P25" s="176"/>
      <c r="Q25" s="371">
        <f>SUM(Q23:Q24)</f>
        <v>5211</v>
      </c>
      <c r="R25" s="380">
        <f>ROUND(Q25/Q$38,4)</f>
        <v>0.19489999999999999</v>
      </c>
      <c r="S25" s="176"/>
      <c r="T25" s="371">
        <f>SUM(T23:T24)</f>
        <v>2233</v>
      </c>
      <c r="U25" s="380">
        <f>ROUND(T25/T$38,4)</f>
        <v>6.8500000000000005E-2</v>
      </c>
      <c r="V25" s="1586">
        <f>SUM(V23:V24)</f>
        <v>30784945.167933524</v>
      </c>
      <c r="W25" s="380">
        <f>ROUND(V25/V$38,4)</f>
        <v>0.10829999999999999</v>
      </c>
      <c r="X25" s="176">
        <f t="shared" si="1"/>
        <v>8196</v>
      </c>
      <c r="Y25" s="380">
        <f>ROUND(X25/X$38,4)</f>
        <v>0.15</v>
      </c>
    </row>
    <row r="26" spans="1:58" ht="16.5" customHeight="1" thickBot="1">
      <c r="A26" s="411"/>
      <c r="B26" s="86"/>
      <c r="C26" s="261" t="str">
        <f>IF(F26="","",MAX(C$14:C25)+1)</f>
        <v/>
      </c>
      <c r="D26" s="246"/>
      <c r="E26" s="9"/>
      <c r="F26" s="176"/>
      <c r="G26" s="176"/>
      <c r="H26" s="176"/>
      <c r="I26" s="176"/>
      <c r="J26" s="176"/>
      <c r="K26" s="176"/>
      <c r="L26" s="176"/>
      <c r="M26" s="1914"/>
      <c r="N26" s="176"/>
      <c r="O26" s="176"/>
      <c r="P26" s="176"/>
      <c r="Q26" s="176"/>
      <c r="R26" s="176"/>
      <c r="S26" s="176"/>
      <c r="T26" s="176"/>
      <c r="U26" s="176"/>
      <c r="V26" s="173"/>
      <c r="W26" s="176"/>
      <c r="X26" s="176"/>
      <c r="Y26" s="176"/>
    </row>
    <row r="27" spans="1:58" ht="16.5" customHeight="1">
      <c r="A27" s="411"/>
      <c r="B27" s="86"/>
      <c r="C27" s="261">
        <f>IF(F27="","",MAX(C$14:C26)+1)</f>
        <v>9</v>
      </c>
      <c r="D27" s="246" t="s">
        <v>22</v>
      </c>
      <c r="E27" s="9">
        <f>'COS_Units (sales)'!E33</f>
        <v>18</v>
      </c>
      <c r="F27" s="176">
        <f>TY_Units!E25</f>
        <v>119</v>
      </c>
      <c r="G27" s="162">
        <v>10</v>
      </c>
      <c r="H27" s="176">
        <f t="shared" ref="H27:H36" si="2">ROUND(+$F27*G27,0)</f>
        <v>1190</v>
      </c>
      <c r="I27" s="380">
        <f t="shared" ref="I27:I36" si="3">ROUND(H27/H$38,4)</f>
        <v>1.89E-2</v>
      </c>
      <c r="J27" s="162">
        <v>15</v>
      </c>
      <c r="K27" s="176">
        <f>ROUND(+$F27*J27,0)</f>
        <v>1785</v>
      </c>
      <c r="L27" s="380">
        <f t="shared" ref="L27:L36" si="4">ROUND(K27/K$38,4)</f>
        <v>1.9300000000000001E-2</v>
      </c>
      <c r="M27" s="1974">
        <v>20</v>
      </c>
      <c r="N27" s="176">
        <f t="shared" ref="N27:N36" si="5">ROUND(+$F27*M27,0)</f>
        <v>2380</v>
      </c>
      <c r="O27" s="380">
        <f t="shared" ref="O27:O36" si="6">ROUND(N27/N$38,4)</f>
        <v>2.4E-2</v>
      </c>
      <c r="P27" s="162">
        <v>0</v>
      </c>
      <c r="Q27" s="176">
        <f t="shared" ref="Q27:Q36" si="7">ROUND(+$F27*P27,0)</f>
        <v>0</v>
      </c>
      <c r="R27" s="380">
        <f t="shared" ref="R27:R36" si="8">ROUND(Q27/Q$38,4)</f>
        <v>0</v>
      </c>
      <c r="S27" s="162">
        <v>0</v>
      </c>
      <c r="T27" s="176">
        <f t="shared" ref="T27:T36" si="9">ROUND(+$F27*S27,0)</f>
        <v>0</v>
      </c>
      <c r="U27" s="380">
        <f t="shared" ref="U27:U36" si="10">ROUND(T27/T$38,4)</f>
        <v>0</v>
      </c>
      <c r="V27" s="176">
        <f>'Rate Increases'!W99</f>
        <v>10285911.025710687</v>
      </c>
      <c r="W27" s="380">
        <f t="shared" ref="W27:W36" si="11">ROUND(V27/V$38,4)</f>
        <v>3.6200000000000003E-2</v>
      </c>
      <c r="X27" s="176">
        <f t="shared" si="1"/>
        <v>119</v>
      </c>
      <c r="Y27" s="380">
        <f t="shared" ref="Y27:Y36" si="12">ROUND(X27/X$38,4)</f>
        <v>2.2000000000000001E-3</v>
      </c>
    </row>
    <row r="28" spans="1:58" ht="16.5" customHeight="1">
      <c r="A28" s="411"/>
      <c r="B28" s="86"/>
      <c r="C28" s="261">
        <f>IF(F28="","",MAX(C$14:C27)+1)</f>
        <v>10</v>
      </c>
      <c r="D28" s="246" t="s">
        <v>16</v>
      </c>
      <c r="E28" s="9">
        <f>'COS_Units (sales)'!E36</f>
        <v>21</v>
      </c>
      <c r="F28" s="176">
        <f>TY_Units!E30</f>
        <v>13</v>
      </c>
      <c r="G28" s="77">
        <v>20</v>
      </c>
      <c r="H28" s="176">
        <f t="shared" si="2"/>
        <v>260</v>
      </c>
      <c r="I28" s="380">
        <f t="shared" si="3"/>
        <v>4.1000000000000003E-3</v>
      </c>
      <c r="J28" s="77">
        <v>0</v>
      </c>
      <c r="K28" s="176">
        <f t="shared" ref="K28:K36" si="13">ROUND(+$F28*J28,0)</f>
        <v>0</v>
      </c>
      <c r="L28" s="380">
        <f t="shared" si="4"/>
        <v>0</v>
      </c>
      <c r="M28" s="1975">
        <v>30</v>
      </c>
      <c r="N28" s="176">
        <f t="shared" si="5"/>
        <v>390</v>
      </c>
      <c r="O28" s="380">
        <f t="shared" si="6"/>
        <v>3.8999999999999998E-3</v>
      </c>
      <c r="P28" s="77">
        <v>0</v>
      </c>
      <c r="Q28" s="176">
        <f t="shared" si="7"/>
        <v>0</v>
      </c>
      <c r="R28" s="380">
        <f t="shared" si="8"/>
        <v>0</v>
      </c>
      <c r="S28" s="77">
        <v>0</v>
      </c>
      <c r="T28" s="176">
        <f t="shared" si="9"/>
        <v>0</v>
      </c>
      <c r="U28" s="380">
        <f t="shared" si="10"/>
        <v>0</v>
      </c>
      <c r="V28" s="176">
        <f>'Rate Increases'!W100</f>
        <v>36974914.605053663</v>
      </c>
      <c r="W28" s="380">
        <f t="shared" si="11"/>
        <v>0.13</v>
      </c>
      <c r="X28" s="176">
        <f t="shared" si="1"/>
        <v>13</v>
      </c>
      <c r="Y28" s="380">
        <f t="shared" si="12"/>
        <v>2.0000000000000001E-4</v>
      </c>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row>
    <row r="29" spans="1:58" ht="16.5" customHeight="1">
      <c r="A29" s="411"/>
      <c r="B29" s="86"/>
      <c r="C29" s="261">
        <f>IF(F29="","",MAX(C$14:C28)+1)</f>
        <v>11</v>
      </c>
      <c r="D29" s="246" t="s">
        <v>17</v>
      </c>
      <c r="E29" s="9">
        <f>'COS_Units (sales)'!E39</f>
        <v>24</v>
      </c>
      <c r="F29" s="176">
        <f>TY_Units!E35</f>
        <v>7</v>
      </c>
      <c r="G29" s="77">
        <v>50</v>
      </c>
      <c r="H29" s="176">
        <f t="shared" si="2"/>
        <v>350</v>
      </c>
      <c r="I29" s="380">
        <f t="shared" si="3"/>
        <v>5.4999999999999997E-3</v>
      </c>
      <c r="J29" s="77">
        <v>0</v>
      </c>
      <c r="K29" s="176">
        <f t="shared" si="13"/>
        <v>0</v>
      </c>
      <c r="L29" s="380">
        <f t="shared" si="4"/>
        <v>0</v>
      </c>
      <c r="M29" s="1975">
        <v>30</v>
      </c>
      <c r="N29" s="176">
        <f t="shared" si="5"/>
        <v>210</v>
      </c>
      <c r="O29" s="380">
        <f t="shared" si="6"/>
        <v>2.0999999999999999E-3</v>
      </c>
      <c r="P29" s="77">
        <v>0</v>
      </c>
      <c r="Q29" s="176">
        <f t="shared" si="7"/>
        <v>0</v>
      </c>
      <c r="R29" s="380">
        <f t="shared" si="8"/>
        <v>0</v>
      </c>
      <c r="S29" s="77">
        <v>0</v>
      </c>
      <c r="T29" s="176">
        <f t="shared" si="9"/>
        <v>0</v>
      </c>
      <c r="U29" s="380">
        <f t="shared" si="10"/>
        <v>0</v>
      </c>
      <c r="V29" s="176">
        <f>'Rate Increases'!W101</f>
        <v>102973786.09443644</v>
      </c>
      <c r="W29" s="380">
        <f t="shared" si="11"/>
        <v>0.36209999999999998</v>
      </c>
      <c r="X29" s="176">
        <f t="shared" si="1"/>
        <v>7</v>
      </c>
      <c r="Y29" s="380">
        <f t="shared" si="12"/>
        <v>1E-4</v>
      </c>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row>
    <row r="30" spans="1:58" ht="16.5" customHeight="1">
      <c r="A30" s="411"/>
      <c r="B30" s="86"/>
      <c r="C30" s="261">
        <f>IF(F30="","",MAX(C$14:C29)+1)</f>
        <v>12</v>
      </c>
      <c r="D30" s="246" t="s">
        <v>18</v>
      </c>
      <c r="E30" s="9">
        <f>'COS_Units (sales)'!E42</f>
        <v>27</v>
      </c>
      <c r="F30" s="176">
        <f>TY_Units!E43</f>
        <v>11</v>
      </c>
      <c r="G30" s="77">
        <v>20</v>
      </c>
      <c r="H30" s="176">
        <f t="shared" si="2"/>
        <v>220</v>
      </c>
      <c r="I30" s="380">
        <f t="shared" si="3"/>
        <v>3.5000000000000001E-3</v>
      </c>
      <c r="J30" s="77">
        <v>0</v>
      </c>
      <c r="K30" s="176">
        <f t="shared" si="13"/>
        <v>0</v>
      </c>
      <c r="L30" s="380">
        <f t="shared" si="4"/>
        <v>0</v>
      </c>
      <c r="M30" s="1975">
        <v>30</v>
      </c>
      <c r="N30" s="176">
        <f t="shared" si="5"/>
        <v>330</v>
      </c>
      <c r="O30" s="380">
        <f t="shared" si="6"/>
        <v>3.3E-3</v>
      </c>
      <c r="P30" s="77">
        <v>0</v>
      </c>
      <c r="Q30" s="176">
        <f t="shared" si="7"/>
        <v>0</v>
      </c>
      <c r="R30" s="380">
        <f t="shared" si="8"/>
        <v>0</v>
      </c>
      <c r="S30" s="77">
        <v>0</v>
      </c>
      <c r="T30" s="176">
        <f t="shared" si="9"/>
        <v>0</v>
      </c>
      <c r="U30" s="380">
        <f t="shared" si="10"/>
        <v>0</v>
      </c>
      <c r="V30" s="176">
        <f>'Rate Increases'!W102</f>
        <v>16300049.923444636</v>
      </c>
      <c r="W30" s="380">
        <f t="shared" si="11"/>
        <v>5.7299999999999997E-2</v>
      </c>
      <c r="X30" s="176">
        <f t="shared" si="1"/>
        <v>11</v>
      </c>
      <c r="Y30" s="380">
        <f t="shared" si="12"/>
        <v>2.0000000000000001E-4</v>
      </c>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row>
    <row r="31" spans="1:58" ht="16.5" customHeight="1">
      <c r="A31" s="411"/>
      <c r="B31" s="86"/>
      <c r="C31" s="261">
        <f>IF(F31="","",MAX(C$14:C30)+1)</f>
        <v>13</v>
      </c>
      <c r="D31" s="246" t="s">
        <v>19</v>
      </c>
      <c r="E31" s="9">
        <f>'COS_Units (sales)'!E45</f>
        <v>30</v>
      </c>
      <c r="F31" s="176">
        <f>TY_Units!E48</f>
        <v>1</v>
      </c>
      <c r="G31" s="77">
        <v>20</v>
      </c>
      <c r="H31" s="176">
        <f t="shared" si="2"/>
        <v>20</v>
      </c>
      <c r="I31" s="380">
        <f t="shared" si="3"/>
        <v>2.9999999999999997E-4</v>
      </c>
      <c r="J31" s="77">
        <v>0</v>
      </c>
      <c r="K31" s="176">
        <f t="shared" si="13"/>
        <v>0</v>
      </c>
      <c r="L31" s="380">
        <f t="shared" si="4"/>
        <v>0</v>
      </c>
      <c r="M31" s="1975">
        <v>30</v>
      </c>
      <c r="N31" s="176">
        <f t="shared" si="5"/>
        <v>30</v>
      </c>
      <c r="O31" s="380">
        <f t="shared" si="6"/>
        <v>2.9999999999999997E-4</v>
      </c>
      <c r="P31" s="77">
        <v>0</v>
      </c>
      <c r="Q31" s="176">
        <f t="shared" si="7"/>
        <v>0</v>
      </c>
      <c r="R31" s="380">
        <f t="shared" si="8"/>
        <v>0</v>
      </c>
      <c r="S31" s="77">
        <v>0</v>
      </c>
      <c r="T31" s="176">
        <f t="shared" si="9"/>
        <v>0</v>
      </c>
      <c r="U31" s="380">
        <f t="shared" si="10"/>
        <v>0</v>
      </c>
      <c r="V31" s="176">
        <f>'Rate Increases'!W103</f>
        <v>18696.862073089371</v>
      </c>
      <c r="W31" s="380">
        <f t="shared" si="11"/>
        <v>1E-4</v>
      </c>
      <c r="X31" s="176">
        <f t="shared" si="1"/>
        <v>1</v>
      </c>
      <c r="Y31" s="380">
        <f t="shared" si="12"/>
        <v>0</v>
      </c>
    </row>
    <row r="32" spans="1:58" ht="16.5" customHeight="1">
      <c r="A32" s="411"/>
      <c r="B32" s="86"/>
      <c r="C32" s="261">
        <f>IF(F32="","",MAX(C$14:C31)+1)</f>
        <v>14</v>
      </c>
      <c r="D32" s="246" t="s">
        <v>20</v>
      </c>
      <c r="E32" s="9">
        <f>'COS_Units (sales)'!E48</f>
        <v>33</v>
      </c>
      <c r="F32" s="176">
        <f>TY_Units!E53</f>
        <v>0</v>
      </c>
      <c r="G32" s="77">
        <v>0</v>
      </c>
      <c r="H32" s="176">
        <f t="shared" si="2"/>
        <v>0</v>
      </c>
      <c r="I32" s="380">
        <f t="shared" si="3"/>
        <v>0</v>
      </c>
      <c r="J32" s="77">
        <v>0</v>
      </c>
      <c r="K32" s="176">
        <f t="shared" si="13"/>
        <v>0</v>
      </c>
      <c r="L32" s="380">
        <f t="shared" si="4"/>
        <v>0</v>
      </c>
      <c r="M32" s="1975">
        <v>30</v>
      </c>
      <c r="N32" s="176">
        <f t="shared" si="5"/>
        <v>0</v>
      </c>
      <c r="O32" s="380">
        <f t="shared" si="6"/>
        <v>0</v>
      </c>
      <c r="P32" s="77">
        <v>0</v>
      </c>
      <c r="Q32" s="176">
        <f t="shared" si="7"/>
        <v>0</v>
      </c>
      <c r="R32" s="380">
        <f t="shared" si="8"/>
        <v>0</v>
      </c>
      <c r="S32" s="77">
        <v>0</v>
      </c>
      <c r="T32" s="176">
        <f t="shared" si="9"/>
        <v>0</v>
      </c>
      <c r="U32" s="380">
        <f t="shared" si="10"/>
        <v>0</v>
      </c>
      <c r="V32" s="176">
        <f>'Rate Increases'!W104</f>
        <v>0</v>
      </c>
      <c r="W32" s="380">
        <f t="shared" si="11"/>
        <v>0</v>
      </c>
      <c r="X32" s="176">
        <f t="shared" si="1"/>
        <v>0</v>
      </c>
      <c r="Y32" s="380">
        <f t="shared" si="12"/>
        <v>0</v>
      </c>
    </row>
    <row r="33" spans="1:26" ht="16.5" customHeight="1">
      <c r="A33" s="411"/>
      <c r="B33" s="86"/>
      <c r="C33" s="261">
        <f>IF(F33="","",MAX(C$14:C32)+1)</f>
        <v>15</v>
      </c>
      <c r="D33" s="246" t="s">
        <v>4</v>
      </c>
      <c r="E33" s="9">
        <f>'COS_Units (sales)'!E51</f>
        <v>36</v>
      </c>
      <c r="F33" s="176">
        <f>TY_Units!E57</f>
        <v>66</v>
      </c>
      <c r="G33" s="77">
        <v>1</v>
      </c>
      <c r="H33" s="176">
        <f t="shared" si="2"/>
        <v>66</v>
      </c>
      <c r="I33" s="380">
        <f t="shared" si="3"/>
        <v>1E-3</v>
      </c>
      <c r="J33" s="77">
        <v>1.5</v>
      </c>
      <c r="K33" s="176">
        <f t="shared" si="13"/>
        <v>99</v>
      </c>
      <c r="L33" s="380">
        <f t="shared" si="4"/>
        <v>1.1000000000000001E-3</v>
      </c>
      <c r="M33" s="1975">
        <v>0</v>
      </c>
      <c r="N33" s="176">
        <f t="shared" si="5"/>
        <v>0</v>
      </c>
      <c r="O33" s="380">
        <f t="shared" si="6"/>
        <v>0</v>
      </c>
      <c r="P33" s="77">
        <v>1</v>
      </c>
      <c r="Q33" s="176">
        <f t="shared" si="7"/>
        <v>66</v>
      </c>
      <c r="R33" s="380">
        <f t="shared" si="8"/>
        <v>2.5000000000000001E-3</v>
      </c>
      <c r="S33" s="77">
        <v>1</v>
      </c>
      <c r="T33" s="176">
        <f t="shared" si="9"/>
        <v>66</v>
      </c>
      <c r="U33" s="380">
        <f t="shared" si="10"/>
        <v>2E-3</v>
      </c>
      <c r="V33" s="176">
        <f>'Rate Increases'!W105</f>
        <v>964740</v>
      </c>
      <c r="W33" s="380">
        <f t="shared" si="11"/>
        <v>3.3999999999999998E-3</v>
      </c>
      <c r="X33" s="176">
        <f t="shared" si="1"/>
        <v>66</v>
      </c>
      <c r="Y33" s="380">
        <f t="shared" si="12"/>
        <v>1.1999999999999999E-3</v>
      </c>
    </row>
    <row r="34" spans="1:26" ht="16.5" customHeight="1">
      <c r="A34" s="411"/>
      <c r="B34" s="86"/>
      <c r="C34" s="261">
        <f>IF(F34="","",MAX(C$14:C33)+1)</f>
        <v>16</v>
      </c>
      <c r="D34" s="246" t="s">
        <v>5</v>
      </c>
      <c r="E34" s="9">
        <f>'COS_Units (sales)'!E54</f>
        <v>39</v>
      </c>
      <c r="F34" s="176">
        <f>TY_Units!E59</f>
        <v>43</v>
      </c>
      <c r="G34" s="77">
        <v>1</v>
      </c>
      <c r="H34" s="176">
        <f t="shared" si="2"/>
        <v>43</v>
      </c>
      <c r="I34" s="380">
        <f t="shared" si="3"/>
        <v>6.9999999999999999E-4</v>
      </c>
      <c r="J34" s="77">
        <v>1.5</v>
      </c>
      <c r="K34" s="176">
        <f t="shared" si="13"/>
        <v>65</v>
      </c>
      <c r="L34" s="380">
        <f t="shared" si="4"/>
        <v>6.9999999999999999E-4</v>
      </c>
      <c r="M34" s="1975">
        <v>0</v>
      </c>
      <c r="N34" s="176">
        <f t="shared" si="5"/>
        <v>0</v>
      </c>
      <c r="O34" s="380">
        <f t="shared" si="6"/>
        <v>0</v>
      </c>
      <c r="P34" s="77">
        <v>1</v>
      </c>
      <c r="Q34" s="176">
        <f t="shared" si="7"/>
        <v>43</v>
      </c>
      <c r="R34" s="380">
        <f t="shared" si="8"/>
        <v>1.6000000000000001E-3</v>
      </c>
      <c r="S34" s="77">
        <v>1</v>
      </c>
      <c r="T34" s="176">
        <f t="shared" si="9"/>
        <v>43</v>
      </c>
      <c r="U34" s="380">
        <f t="shared" si="10"/>
        <v>1.2999999999999999E-3</v>
      </c>
      <c r="V34" s="176">
        <f>'Rate Increases'!W106</f>
        <v>33115.861076429937</v>
      </c>
      <c r="W34" s="380">
        <f t="shared" si="11"/>
        <v>1E-4</v>
      </c>
      <c r="X34" s="176">
        <f t="shared" si="1"/>
        <v>43</v>
      </c>
      <c r="Y34" s="380">
        <f t="shared" si="12"/>
        <v>8.0000000000000004E-4</v>
      </c>
    </row>
    <row r="35" spans="1:26" ht="16.5" customHeight="1">
      <c r="A35" s="411"/>
      <c r="B35" s="86"/>
      <c r="C35" s="261">
        <f>IF(F35="","",MAX(C$14:C34)+1)</f>
        <v>17</v>
      </c>
      <c r="D35" s="246" t="s">
        <v>23</v>
      </c>
      <c r="E35" s="9">
        <f>'COS_Units (sales)'!E57</f>
        <v>42</v>
      </c>
      <c r="F35" s="176">
        <f>TY_Units!E61</f>
        <v>11</v>
      </c>
      <c r="G35" s="77">
        <v>1</v>
      </c>
      <c r="H35" s="176">
        <f t="shared" si="2"/>
        <v>11</v>
      </c>
      <c r="I35" s="380">
        <f t="shared" si="3"/>
        <v>2.0000000000000001E-4</v>
      </c>
      <c r="J35" s="77">
        <v>1.5</v>
      </c>
      <c r="K35" s="176">
        <f t="shared" si="13"/>
        <v>17</v>
      </c>
      <c r="L35" s="380">
        <f t="shared" si="4"/>
        <v>2.0000000000000001E-4</v>
      </c>
      <c r="M35" s="77">
        <v>1</v>
      </c>
      <c r="N35" s="176">
        <f t="shared" si="5"/>
        <v>11</v>
      </c>
      <c r="O35" s="380">
        <f t="shared" si="6"/>
        <v>1E-4</v>
      </c>
      <c r="P35" s="77">
        <v>1</v>
      </c>
      <c r="Q35" s="176">
        <f t="shared" si="7"/>
        <v>11</v>
      </c>
      <c r="R35" s="380">
        <f t="shared" si="8"/>
        <v>4.0000000000000002E-4</v>
      </c>
      <c r="S35" s="77">
        <v>1</v>
      </c>
      <c r="T35" s="176">
        <f t="shared" si="9"/>
        <v>11</v>
      </c>
      <c r="U35" s="380">
        <f t="shared" si="10"/>
        <v>2.9999999999999997E-4</v>
      </c>
      <c r="V35" s="176">
        <f>'Rate Increases'!W107</f>
        <v>58998.97</v>
      </c>
      <c r="W35" s="380">
        <f t="shared" si="11"/>
        <v>2.0000000000000001E-4</v>
      </c>
      <c r="X35" s="176">
        <f t="shared" si="1"/>
        <v>11</v>
      </c>
      <c r="Y35" s="380">
        <f t="shared" si="12"/>
        <v>2.0000000000000001E-4</v>
      </c>
    </row>
    <row r="36" spans="1:26" ht="16.5" customHeight="1" thickBot="1">
      <c r="A36" s="411"/>
      <c r="B36" s="86"/>
      <c r="C36" s="261">
        <f>IF(F36="","",MAX(C$14:C35)+1)</f>
        <v>18</v>
      </c>
      <c r="D36" s="246" t="s">
        <v>66</v>
      </c>
      <c r="E36" s="9">
        <f>'COS_Units (sales)'!E60</f>
        <v>45</v>
      </c>
      <c r="F36" s="382">
        <f>TY_Units!E63</f>
        <v>0</v>
      </c>
      <c r="G36" s="78">
        <v>1</v>
      </c>
      <c r="H36" s="381">
        <f t="shared" si="2"/>
        <v>0</v>
      </c>
      <c r="I36" s="380">
        <f t="shared" si="3"/>
        <v>0</v>
      </c>
      <c r="J36" s="78">
        <v>1.5</v>
      </c>
      <c r="K36" s="381">
        <f t="shared" si="13"/>
        <v>0</v>
      </c>
      <c r="L36" s="380">
        <f t="shared" si="4"/>
        <v>0</v>
      </c>
      <c r="M36" s="78">
        <v>1</v>
      </c>
      <c r="N36" s="381">
        <f t="shared" si="5"/>
        <v>0</v>
      </c>
      <c r="O36" s="380">
        <f t="shared" si="6"/>
        <v>0</v>
      </c>
      <c r="P36" s="78">
        <v>1</v>
      </c>
      <c r="Q36" s="381">
        <f t="shared" si="7"/>
        <v>0</v>
      </c>
      <c r="R36" s="380">
        <f t="shared" si="8"/>
        <v>0</v>
      </c>
      <c r="S36" s="78">
        <v>1</v>
      </c>
      <c r="T36" s="381">
        <f t="shared" si="9"/>
        <v>0</v>
      </c>
      <c r="U36" s="380">
        <f t="shared" si="10"/>
        <v>0</v>
      </c>
      <c r="V36" s="382">
        <f>'Rate Increases'!W108</f>
        <v>0</v>
      </c>
      <c r="W36" s="380">
        <f t="shared" si="11"/>
        <v>0</v>
      </c>
      <c r="X36" s="382">
        <f t="shared" si="1"/>
        <v>0</v>
      </c>
      <c r="Y36" s="380">
        <f t="shared" si="12"/>
        <v>0</v>
      </c>
    </row>
    <row r="37" spans="1:26" ht="16.5" customHeight="1">
      <c r="A37" s="411"/>
      <c r="B37" s="86"/>
      <c r="C37" s="261" t="str">
        <f>IF(F37="","",MAX(C$14:C36)+1)</f>
        <v/>
      </c>
      <c r="D37" s="383"/>
      <c r="E37" s="9"/>
      <c r="F37" s="176"/>
      <c r="G37" s="17"/>
      <c r="H37" s="176"/>
      <c r="I37" s="380"/>
      <c r="J37" s="17"/>
      <c r="K37" s="176"/>
      <c r="L37" s="380"/>
      <c r="M37" s="17"/>
      <c r="N37" s="176"/>
      <c r="O37" s="380"/>
      <c r="P37" s="17"/>
      <c r="Q37" s="176"/>
      <c r="R37" s="380"/>
      <c r="S37" s="17"/>
      <c r="T37" s="176"/>
      <c r="U37" s="380"/>
      <c r="V37" s="1"/>
      <c r="W37" s="1"/>
      <c r="X37" s="1"/>
      <c r="Y37" s="1"/>
      <c r="Z37" s="177"/>
    </row>
    <row r="38" spans="1:26" ht="16.5" customHeight="1">
      <c r="A38" s="411"/>
      <c r="B38" s="86"/>
      <c r="C38" s="261">
        <f>IF(F38="","",MAX(C$14:C37)+1)</f>
        <v>19</v>
      </c>
      <c r="D38" s="40" t="s">
        <v>612</v>
      </c>
      <c r="E38" s="9">
        <f>'COS_Units (sales)'!E62</f>
        <v>47</v>
      </c>
      <c r="F38" s="176">
        <f>SUM(F15:F16,F20,F25,F27:F36)</f>
        <v>54651</v>
      </c>
      <c r="G38" s="176"/>
      <c r="H38" s="176">
        <f>SUM(H15:H16,H20,H25,H27:H36)</f>
        <v>63112</v>
      </c>
      <c r="I38" s="179">
        <f>SUM(I15:I16,I20,I25,I27:I36)</f>
        <v>1</v>
      </c>
      <c r="J38" s="176"/>
      <c r="K38" s="176">
        <f>SUM(K15:K16,K20,K25,K27:K36)</f>
        <v>92498</v>
      </c>
      <c r="L38" s="179">
        <f>SUM(L15:L16,L20,L25,L27:L36)</f>
        <v>0.99999999999999989</v>
      </c>
      <c r="M38" s="176"/>
      <c r="N38" s="176">
        <f>SUM(N15:N16,N20,N25,N27:N36)</f>
        <v>99257</v>
      </c>
      <c r="O38" s="179">
        <f>SUM(O15:O16,O20,O25,O27:O36)</f>
        <v>0.99999999999999989</v>
      </c>
      <c r="P38" s="176"/>
      <c r="Q38" s="176">
        <f>SUM(Q15:Q16,Q20,Q25,Q27:Q36)</f>
        <v>26731</v>
      </c>
      <c r="R38" s="179">
        <f>SUM(R15:R16,R20,R25,R27:R36)</f>
        <v>0.99999999999999989</v>
      </c>
      <c r="S38" s="176"/>
      <c r="T38" s="176">
        <f t="shared" ref="T38:Y38" si="14">SUM(T15:T16,T20,T25,T27:T36)</f>
        <v>32622</v>
      </c>
      <c r="U38" s="179">
        <f t="shared" si="14"/>
        <v>1</v>
      </c>
      <c r="V38" s="176">
        <f>SUM(V15:V16,V20,V25,V27:V36)</f>
        <v>284379492.35736865</v>
      </c>
      <c r="W38" s="179">
        <f t="shared" si="14"/>
        <v>0.99999999999999989</v>
      </c>
      <c r="X38" s="176">
        <f t="shared" si="14"/>
        <v>54651</v>
      </c>
      <c r="Y38" s="179">
        <f t="shared" si="14"/>
        <v>0.99999999999999989</v>
      </c>
      <c r="Z38" s="177"/>
    </row>
    <row r="39" spans="1:26" ht="16.5" customHeight="1">
      <c r="A39" s="411"/>
      <c r="B39" s="86"/>
      <c r="F39"/>
    </row>
    <row r="40" spans="1:26" ht="16.5" customHeight="1">
      <c r="A40" s="411"/>
      <c r="B40" s="86"/>
      <c r="D40" s="874" t="s">
        <v>1031</v>
      </c>
      <c r="E40" s="878"/>
      <c r="F40" s="875">
        <f>TY_Units!E65</f>
        <v>54651</v>
      </c>
    </row>
    <row r="41" spans="1:26" ht="16.5" customHeight="1">
      <c r="A41" s="411"/>
      <c r="B41" s="86"/>
      <c r="D41" s="876" t="s">
        <v>1033</v>
      </c>
      <c r="E41" s="427"/>
      <c r="F41" s="877">
        <f>F40-F38</f>
        <v>0</v>
      </c>
    </row>
    <row r="42" spans="1:26" ht="16.5" customHeight="1">
      <c r="A42" s="411"/>
      <c r="B42" s="86"/>
      <c r="F42"/>
    </row>
    <row r="43" spans="1:26" ht="16.5" hidden="1" customHeight="1">
      <c r="B43" s="86"/>
    </row>
    <row r="44" spans="1:26" ht="16.5" hidden="1" customHeight="1">
      <c r="B44" s="86"/>
    </row>
    <row r="45" spans="1:26" ht="16.5" hidden="1" customHeight="1">
      <c r="B45" s="86"/>
    </row>
    <row r="46" spans="1:26" ht="16.5" hidden="1" customHeight="1">
      <c r="B46" s="86"/>
    </row>
    <row r="47" spans="1:26" ht="16.5" hidden="1" customHeight="1">
      <c r="B47" s="86"/>
    </row>
    <row r="48" spans="1:26" ht="16.5" hidden="1" customHeight="1">
      <c r="B48" s="86"/>
    </row>
    <row r="49" spans="2:2" ht="16.5" hidden="1" customHeight="1">
      <c r="B49" s="86"/>
    </row>
    <row r="50" spans="2:2" ht="16.5" hidden="1" customHeight="1">
      <c r="B50" s="86"/>
    </row>
    <row r="51" spans="2:2" ht="16.5" hidden="1" customHeight="1">
      <c r="B51" s="86"/>
    </row>
    <row r="52" spans="2:2" ht="16.5" hidden="1" customHeight="1">
      <c r="B52" s="86"/>
    </row>
    <row r="53" spans="2:2" ht="16.5" hidden="1" customHeight="1">
      <c r="B53" s="86"/>
    </row>
    <row r="54" spans="2:2" ht="16.5" hidden="1" customHeight="1">
      <c r="B54" s="86"/>
    </row>
    <row r="55" spans="2:2" ht="16.5" hidden="1" customHeight="1">
      <c r="B55" s="86"/>
    </row>
    <row r="56" spans="2:2" ht="16.5" hidden="1" customHeight="1">
      <c r="B56" s="86"/>
    </row>
    <row r="57" spans="2:2" ht="16.5" hidden="1" customHeight="1">
      <c r="B57" s="86"/>
    </row>
    <row r="58" spans="2:2" ht="16.5" hidden="1" customHeight="1">
      <c r="B58" s="86"/>
    </row>
    <row r="59" spans="2:2" ht="16.5" hidden="1" customHeight="1">
      <c r="B59" s="86"/>
    </row>
    <row r="60" spans="2:2" ht="16.5" hidden="1" customHeight="1">
      <c r="B60" s="86"/>
    </row>
    <row r="61" spans="2:2" ht="16.5" hidden="1" customHeight="1">
      <c r="B61" s="86"/>
    </row>
    <row r="62" spans="2:2" ht="16.5" hidden="1" customHeight="1">
      <c r="B62" s="86"/>
    </row>
    <row r="63" spans="2:2" ht="16.5" hidden="1" customHeight="1">
      <c r="B63" s="86"/>
    </row>
    <row r="64" spans="2:2" ht="16.5" hidden="1" customHeight="1">
      <c r="B64" s="86"/>
    </row>
    <row r="65" spans="2:2" ht="16.5" hidden="1" customHeight="1">
      <c r="B65" s="86"/>
    </row>
    <row r="66" spans="2:2" ht="16.5" hidden="1" customHeight="1">
      <c r="B66" s="86"/>
    </row>
    <row r="67" spans="2:2" ht="16.5" hidden="1" customHeight="1">
      <c r="B67" s="86"/>
    </row>
    <row r="68" spans="2:2" ht="16.5" hidden="1" customHeight="1">
      <c r="B68" s="86"/>
    </row>
    <row r="69" spans="2:2" ht="16.5" hidden="1" customHeight="1">
      <c r="B69" s="86"/>
    </row>
    <row r="70" spans="2:2" ht="16.5" hidden="1" customHeight="1">
      <c r="B70" s="86"/>
    </row>
    <row r="71" spans="2:2" ht="16.5" hidden="1" customHeight="1">
      <c r="B71" s="86"/>
    </row>
    <row r="72" spans="2:2" ht="16.5" hidden="1" customHeight="1">
      <c r="B72" s="86"/>
    </row>
    <row r="73" spans="2:2" ht="16.5" hidden="1" customHeight="1">
      <c r="B73" s="86"/>
    </row>
    <row r="74" spans="2:2" ht="16.5" hidden="1" customHeight="1">
      <c r="B74" s="86"/>
    </row>
    <row r="75" spans="2:2" ht="16.5" hidden="1" customHeight="1">
      <c r="B75" s="86"/>
    </row>
    <row r="76" spans="2:2" ht="16.5" hidden="1" customHeight="1">
      <c r="B76" s="86"/>
    </row>
    <row r="77" spans="2:2" ht="16.5" hidden="1" customHeight="1">
      <c r="B77" s="86"/>
    </row>
    <row r="78" spans="2:2" ht="16.5" hidden="1" customHeight="1">
      <c r="B78" s="86"/>
    </row>
    <row r="79" spans="2:2" ht="16.5" hidden="1" customHeight="1">
      <c r="B79" s="86"/>
    </row>
    <row r="80" spans="2:2" ht="16.5" hidden="1" customHeight="1">
      <c r="B80" s="86"/>
    </row>
    <row r="81" spans="2:2" ht="16.5" hidden="1" customHeight="1">
      <c r="B81" s="86"/>
    </row>
    <row r="82" spans="2:2" ht="16.5" hidden="1" customHeight="1">
      <c r="B82" s="86"/>
    </row>
    <row r="83" spans="2:2" ht="16.5" hidden="1" customHeight="1">
      <c r="B83" s="86"/>
    </row>
    <row r="84" spans="2:2" hidden="1">
      <c r="B84" s="86"/>
    </row>
    <row r="85" spans="2:2" hidden="1">
      <c r="B85" s="86"/>
    </row>
    <row r="86" spans="2:2" hidden="1">
      <c r="B86" s="86"/>
    </row>
    <row r="87" spans="2:2" hidden="1">
      <c r="B87" s="86"/>
    </row>
    <row r="88" spans="2:2" hidden="1">
      <c r="B88" s="86"/>
    </row>
    <row r="89" spans="2:2" hidden="1">
      <c r="B89" s="86"/>
    </row>
    <row r="90" spans="2:2" hidden="1">
      <c r="B90" s="86"/>
    </row>
    <row r="91" spans="2:2" hidden="1">
      <c r="B91" s="86"/>
    </row>
    <row r="92" spans="2:2" hidden="1">
      <c r="B92" s="86"/>
    </row>
    <row r="93" spans="2:2" hidden="1">
      <c r="B93" s="86"/>
    </row>
    <row r="94" spans="2:2" hidden="1">
      <c r="B94" s="86"/>
    </row>
    <row r="95" spans="2:2" hidden="1">
      <c r="B95" s="86"/>
    </row>
    <row r="96" spans="2:2" hidden="1">
      <c r="B96" s="86"/>
    </row>
    <row r="97" spans="2:2" hidden="1">
      <c r="B97" s="86"/>
    </row>
    <row r="98" spans="2:2" hidden="1">
      <c r="B98" s="86"/>
    </row>
    <row r="99" spans="2:2" hidden="1">
      <c r="B99" s="86"/>
    </row>
    <row r="100" spans="2:2" hidden="1">
      <c r="B100" s="86"/>
    </row>
    <row r="101" spans="2:2" hidden="1">
      <c r="B101" s="86"/>
    </row>
    <row r="102" spans="2:2" hidden="1">
      <c r="B102" s="86"/>
    </row>
    <row r="103" spans="2:2" hidden="1">
      <c r="B103" s="86"/>
    </row>
    <row r="104" spans="2:2" hidden="1">
      <c r="B104" s="86"/>
    </row>
    <row r="105" spans="2:2" hidden="1">
      <c r="B105" s="86"/>
    </row>
    <row r="106" spans="2:2" hidden="1">
      <c r="B106" s="86"/>
    </row>
    <row r="107" spans="2:2" hidden="1">
      <c r="B107" s="86"/>
    </row>
    <row r="108" spans="2:2" hidden="1">
      <c r="B108" s="86"/>
    </row>
    <row r="109" spans="2:2" hidden="1">
      <c r="B109" s="86"/>
    </row>
    <row r="110" spans="2:2" hidden="1">
      <c r="B110" s="86"/>
    </row>
    <row r="111" spans="2:2" hidden="1">
      <c r="B111" s="86"/>
    </row>
    <row r="112" spans="2:2" hidden="1">
      <c r="B112" s="86"/>
    </row>
    <row r="113" spans="2:2" hidden="1">
      <c r="B113" s="86"/>
    </row>
    <row r="114" spans="2:2" hidden="1">
      <c r="B114" s="86"/>
    </row>
    <row r="115" spans="2:2" hidden="1">
      <c r="B115" s="86"/>
    </row>
    <row r="116" spans="2:2" hidden="1">
      <c r="B116" s="86"/>
    </row>
    <row r="117" spans="2:2" hidden="1">
      <c r="B117" s="86"/>
    </row>
    <row r="118" spans="2:2" hidden="1">
      <c r="B118" s="86"/>
    </row>
    <row r="119" spans="2:2" hidden="1">
      <c r="B119" s="86"/>
    </row>
    <row r="120" spans="2:2" hidden="1">
      <c r="B120" s="86"/>
    </row>
    <row r="121" spans="2:2" hidden="1">
      <c r="B121" s="86"/>
    </row>
    <row r="122" spans="2:2" hidden="1">
      <c r="B122" s="86"/>
    </row>
    <row r="123" spans="2:2" hidden="1">
      <c r="B123" s="86"/>
    </row>
    <row r="124" spans="2:2" hidden="1">
      <c r="B124" s="86"/>
    </row>
    <row r="125" spans="2:2" hidden="1">
      <c r="B125" s="86"/>
    </row>
    <row r="126" spans="2:2" hidden="1">
      <c r="B126" s="86"/>
    </row>
    <row r="127" spans="2:2" hidden="1">
      <c r="B127" s="86"/>
    </row>
    <row r="128" spans="2:2" hidden="1">
      <c r="B128" s="86"/>
    </row>
    <row r="129" spans="2:2" hidden="1">
      <c r="B129" s="86"/>
    </row>
    <row r="130" spans="2:2" hidden="1">
      <c r="B130" s="86"/>
    </row>
    <row r="131" spans="2:2" hidden="1">
      <c r="B131" s="86"/>
    </row>
    <row r="132" spans="2:2" hidden="1">
      <c r="B132" s="86"/>
    </row>
    <row r="133" spans="2:2" hidden="1">
      <c r="B133" s="86"/>
    </row>
    <row r="134" spans="2:2" hidden="1">
      <c r="B134" s="86"/>
    </row>
    <row r="135" spans="2:2" hidden="1">
      <c r="B135" s="86"/>
    </row>
    <row r="136" spans="2:2" hidden="1">
      <c r="B136" s="86"/>
    </row>
    <row r="137" spans="2:2" hidden="1">
      <c r="B137" s="86"/>
    </row>
    <row r="138" spans="2:2" hidden="1">
      <c r="B138" s="86"/>
    </row>
    <row r="139" spans="2:2" hidden="1">
      <c r="B139" s="86"/>
    </row>
    <row r="140" spans="2:2" hidden="1">
      <c r="B140" s="86"/>
    </row>
    <row r="141" spans="2:2" hidden="1">
      <c r="B141" s="86"/>
    </row>
    <row r="142" spans="2:2" hidden="1">
      <c r="B142" s="86"/>
    </row>
    <row r="143" spans="2:2" hidden="1">
      <c r="B143" s="86"/>
    </row>
    <row r="144" spans="2:2" hidden="1">
      <c r="B144" s="86"/>
    </row>
    <row r="145" spans="2:2" hidden="1">
      <c r="B145" s="86"/>
    </row>
    <row r="146" spans="2:2" hidden="1">
      <c r="B146" s="86"/>
    </row>
    <row r="147" spans="2:2" hidden="1">
      <c r="B147" s="86"/>
    </row>
    <row r="148" spans="2:2" hidden="1">
      <c r="B148" s="86"/>
    </row>
    <row r="149" spans="2:2" hidden="1">
      <c r="B149" s="86"/>
    </row>
    <row r="150" spans="2:2" hidden="1">
      <c r="B150" s="86"/>
    </row>
    <row r="151" spans="2:2" hidden="1">
      <c r="B151" s="86"/>
    </row>
    <row r="152" spans="2:2" hidden="1">
      <c r="B152" s="86"/>
    </row>
    <row r="153" spans="2:2" hidden="1">
      <c r="B153" s="86"/>
    </row>
    <row r="154" spans="2:2" hidden="1">
      <c r="B154" s="86"/>
    </row>
    <row r="155" spans="2:2" hidden="1">
      <c r="B155" s="86"/>
    </row>
    <row r="156" spans="2:2" hidden="1">
      <c r="B156" s="86"/>
    </row>
    <row r="157" spans="2:2" hidden="1">
      <c r="B157" s="86"/>
    </row>
    <row r="158" spans="2:2" hidden="1">
      <c r="B158" s="86"/>
    </row>
    <row r="159" spans="2:2" hidden="1">
      <c r="B159" s="86"/>
    </row>
    <row r="160" spans="2:2" hidden="1">
      <c r="B160" s="86"/>
    </row>
    <row r="161" spans="2:2" hidden="1">
      <c r="B161" s="86"/>
    </row>
    <row r="162" spans="2:2" hidden="1">
      <c r="B162" s="86"/>
    </row>
    <row r="163" spans="2:2" hidden="1">
      <c r="B163" s="86"/>
    </row>
    <row r="164" spans="2:2" hidden="1">
      <c r="B164" s="86"/>
    </row>
    <row r="165" spans="2:2" hidden="1">
      <c r="B165" s="86"/>
    </row>
    <row r="166" spans="2:2" hidden="1">
      <c r="B166" s="86"/>
    </row>
    <row r="167" spans="2:2" hidden="1"/>
    <row r="168" spans="2:2" hidden="1"/>
    <row r="169" spans="2:2" hidden="1"/>
    <row r="170" spans="2:2" hidden="1"/>
    <row r="171" spans="2:2" hidden="1"/>
    <row r="172" spans="2:2" hidden="1"/>
    <row r="173" spans="2:2" hidden="1"/>
    <row r="174" spans="2:2" hidden="1"/>
    <row r="175" spans="2:2" hidden="1"/>
    <row r="176" spans="2:2" hidden="1"/>
    <row r="177" spans="30:30" hidden="1"/>
    <row r="178" spans="30:30" hidden="1"/>
    <row r="179" spans="30:30" hidden="1"/>
    <row r="180" spans="30:30" hidden="1"/>
    <row r="181" spans="30:30" hidden="1"/>
    <row r="182" spans="30:30" hidden="1"/>
    <row r="183" spans="30:30" hidden="1">
      <c r="AD183" t="s">
        <v>194</v>
      </c>
    </row>
    <row r="184" spans="30:30" hidden="1"/>
    <row r="185" spans="30:30" hidden="1"/>
    <row r="186" spans="30:30" hidden="1"/>
    <row r="187" spans="30:30" hidden="1"/>
    <row r="188" spans="30:30" hidden="1"/>
    <row r="189" spans="30:30" hidden="1"/>
    <row r="190" spans="30:30" hidden="1"/>
    <row r="191" spans="30:30" hidden="1"/>
    <row r="192" spans="30:30"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sheetData>
  <mergeCells count="2">
    <mergeCell ref="P9:R9"/>
    <mergeCell ref="S9:U9"/>
  </mergeCells>
  <phoneticPr fontId="8" type="noConversion"/>
  <conditionalFormatting sqref="I38 L38 O38 R38 U38 W38 Y38">
    <cfRule type="cellIs" dxfId="22" priority="1" stopIfTrue="1" operator="lessThan">
      <formula>1</formula>
    </cfRule>
    <cfRule type="cellIs" dxfId="21" priority="2" stopIfTrue="1" operator="greaterThan">
      <formula>1</formula>
    </cfRule>
  </conditionalFormatting>
  <printOptions horizontalCentered="1"/>
  <pageMargins left="0.25" right="0.25" top="0.5" bottom="0.5" header="0.25" footer="0.25"/>
  <pageSetup scale="42" fitToHeight="0" orientation="landscape" r:id="rId1"/>
  <headerFooter alignWithMargins="0">
    <oddFooter>&amp;L&amp;"Times New Roman,Bold Italic"Black &amp; Veatch Corporation&amp;C&amp;"Times New Roman,Bold Italic"Date: &amp;D&amp;R&amp;"Times New Roman,Bold Italic"Page: &amp;P of&amp;N</oddFooter>
  </headerFooter>
  <colBreaks count="1" manualBreakCount="1">
    <brk id="26" max="1048575" man="1"/>
  </colBreaks>
  <ignoredErrors>
    <ignoredError sqref="X15:X36 V25:V26 V20:V22 V18:V19 V23:V24 V27:V3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B286"/>
  <sheetViews>
    <sheetView showGridLines="0" zoomScale="89" zoomScaleNormal="89" workbookViewId="0">
      <pane xSplit="1" ySplit="8" topLeftCell="F9" activePane="bottomRight" state="frozen"/>
      <selection activeCell="G45" sqref="G45"/>
      <selection pane="topRight" activeCell="G45" sqref="G45"/>
      <selection pane="bottomLeft" activeCell="G45" sqref="G45"/>
      <selection pane="bottomRight" activeCell="G45" sqref="G45"/>
    </sheetView>
  </sheetViews>
  <sheetFormatPr defaultColWidth="0" defaultRowHeight="15.75" zeroHeight="1"/>
  <cols>
    <col min="1" max="1" width="22.625" customWidth="1"/>
    <col min="2" max="2" width="2" style="1" customWidth="1"/>
    <col min="3" max="3" width="9" customWidth="1"/>
    <col min="4" max="4" width="0.375" customWidth="1"/>
    <col min="5" max="5" width="30.75" customWidth="1"/>
    <col min="6" max="6" width="0.375" customWidth="1"/>
    <col min="7" max="7" width="155.125" customWidth="1"/>
    <col min="8" max="8" width="1.75" customWidth="1"/>
  </cols>
  <sheetData>
    <row r="1" spans="1:8" ht="22.5">
      <c r="A1" s="411"/>
      <c r="C1" s="430" t="s">
        <v>391</v>
      </c>
      <c r="D1" s="430"/>
      <c r="E1" s="109"/>
      <c r="F1" s="109"/>
      <c r="G1" s="430"/>
      <c r="H1" s="53"/>
    </row>
    <row r="2" spans="1:8" ht="22.5">
      <c r="A2" s="411"/>
      <c r="C2" s="430" t="s">
        <v>717</v>
      </c>
      <c r="D2" s="430"/>
      <c r="E2" s="109"/>
      <c r="F2" s="109"/>
      <c r="G2" s="430"/>
      <c r="H2" s="53"/>
    </row>
    <row r="3" spans="1:8" ht="22.5">
      <c r="A3" s="411"/>
      <c r="C3" s="430" t="s">
        <v>167</v>
      </c>
      <c r="D3" s="430"/>
      <c r="E3" s="109"/>
      <c r="F3" s="109"/>
      <c r="G3" s="430"/>
      <c r="H3" s="53"/>
    </row>
    <row r="4" spans="1:8" ht="15.75" customHeight="1">
      <c r="A4" s="411"/>
      <c r="C4" s="7"/>
      <c r="G4" s="50"/>
    </row>
    <row r="5" spans="1:8">
      <c r="A5" s="411"/>
    </row>
    <row r="6" spans="1:8">
      <c r="A6" s="411"/>
      <c r="H6" s="20"/>
    </row>
    <row r="7" spans="1:8">
      <c r="A7" s="411"/>
      <c r="C7" s="431" t="s">
        <v>867</v>
      </c>
      <c r="D7" s="86"/>
      <c r="E7" s="431" t="s">
        <v>201</v>
      </c>
      <c r="F7" s="86"/>
      <c r="G7" s="4341" t="s">
        <v>399</v>
      </c>
      <c r="H7" s="20"/>
    </row>
    <row r="8" spans="1:8">
      <c r="A8" s="411"/>
      <c r="C8" s="432" t="s">
        <v>398</v>
      </c>
      <c r="D8" s="86"/>
      <c r="E8" s="432" t="s">
        <v>202</v>
      </c>
      <c r="F8" s="86"/>
      <c r="G8" s="4342"/>
      <c r="H8" s="20"/>
    </row>
    <row r="9" spans="1:8">
      <c r="A9" s="411"/>
      <c r="C9" s="65"/>
      <c r="D9" s="51"/>
      <c r="E9" s="65"/>
      <c r="F9" s="51"/>
      <c r="G9" s="102"/>
      <c r="H9" s="20"/>
    </row>
    <row r="10" spans="1:8">
      <c r="A10" s="411"/>
      <c r="C10" s="54"/>
      <c r="D10" s="51"/>
      <c r="E10" s="58" t="s">
        <v>579</v>
      </c>
      <c r="F10" s="51"/>
      <c r="G10" s="51"/>
    </row>
    <row r="11" spans="1:8">
      <c r="A11" s="411"/>
      <c r="C11" s="54">
        <f>MAX($C$9:C10)+1</f>
        <v>1</v>
      </c>
      <c r="D11" s="51"/>
      <c r="E11" s="107" t="s">
        <v>580</v>
      </c>
      <c r="F11" s="51"/>
      <c r="G11" s="51" t="s">
        <v>436</v>
      </c>
    </row>
    <row r="12" spans="1:8">
      <c r="A12" s="411"/>
      <c r="C12" s="54">
        <f>MAX($C$9:C11)+1</f>
        <v>2</v>
      </c>
      <c r="D12" s="51"/>
      <c r="E12" s="107" t="s">
        <v>581</v>
      </c>
      <c r="F12" s="51"/>
      <c r="G12" s="51" t="s">
        <v>695</v>
      </c>
    </row>
    <row r="13" spans="1:8">
      <c r="A13" s="411"/>
      <c r="C13" s="54">
        <f>MAX($C$9:C12)+1</f>
        <v>3</v>
      </c>
      <c r="D13" s="51"/>
      <c r="E13" s="107" t="s">
        <v>437</v>
      </c>
      <c r="F13" s="51"/>
      <c r="G13" s="51" t="s">
        <v>438</v>
      </c>
    </row>
    <row r="14" spans="1:8">
      <c r="A14" s="411"/>
      <c r="C14" s="54">
        <f>MAX($C$9:C13)+1</f>
        <v>4</v>
      </c>
      <c r="D14" s="51"/>
      <c r="E14" s="107" t="s">
        <v>652</v>
      </c>
      <c r="F14" s="51"/>
      <c r="G14" s="51" t="s">
        <v>653</v>
      </c>
    </row>
    <row r="15" spans="1:8">
      <c r="A15" s="411"/>
      <c r="C15" s="54">
        <f>MAX($C$9:C14)+1</f>
        <v>5</v>
      </c>
      <c r="D15" s="51"/>
      <c r="E15" s="107" t="s">
        <v>582</v>
      </c>
      <c r="F15" s="51"/>
      <c r="G15" s="51" t="s">
        <v>696</v>
      </c>
    </row>
    <row r="16" spans="1:8">
      <c r="A16" s="411"/>
      <c r="C16" s="54">
        <f>MAX($C$9:C15)+1</f>
        <v>6</v>
      </c>
      <c r="D16" s="51"/>
      <c r="E16" s="107" t="s">
        <v>439</v>
      </c>
      <c r="F16" s="51"/>
      <c r="G16" s="51" t="s">
        <v>658</v>
      </c>
    </row>
    <row r="17" spans="1:7">
      <c r="A17" s="411"/>
      <c r="C17" s="54">
        <f>MAX($C$9:C16)+1</f>
        <v>7</v>
      </c>
      <c r="D17" s="51"/>
      <c r="E17" s="107" t="s">
        <v>440</v>
      </c>
      <c r="F17" s="51"/>
      <c r="G17" s="51" t="s">
        <v>658</v>
      </c>
    </row>
    <row r="18" spans="1:7">
      <c r="A18" s="411"/>
      <c r="C18" s="54">
        <f>MAX($C$9:C17)+1</f>
        <v>8</v>
      </c>
      <c r="D18" s="51"/>
      <c r="E18" s="107" t="s">
        <v>583</v>
      </c>
      <c r="F18" s="51"/>
      <c r="G18" s="51" t="s">
        <v>656</v>
      </c>
    </row>
    <row r="19" spans="1:7">
      <c r="A19" s="411"/>
      <c r="C19" s="54">
        <f>MAX($C$9:C18)+1</f>
        <v>9</v>
      </c>
      <c r="D19" s="51"/>
      <c r="E19" s="107" t="s">
        <v>584</v>
      </c>
      <c r="F19" s="51"/>
      <c r="G19" s="51" t="s">
        <v>657</v>
      </c>
    </row>
    <row r="20" spans="1:7">
      <c r="A20" s="411"/>
      <c r="C20" s="54">
        <f>MAX($C$9:C19)+1</f>
        <v>10</v>
      </c>
      <c r="D20" s="51"/>
      <c r="E20" s="107" t="s">
        <v>586</v>
      </c>
      <c r="F20" s="51"/>
      <c r="G20" s="51" t="s">
        <v>363</v>
      </c>
    </row>
    <row r="21" spans="1:7">
      <c r="A21" s="411"/>
      <c r="C21" s="54">
        <f>MAX($C$9:C20)+1</f>
        <v>11</v>
      </c>
      <c r="D21" s="51"/>
      <c r="E21" s="107" t="s">
        <v>585</v>
      </c>
      <c r="F21" s="51"/>
      <c r="G21" s="51" t="s">
        <v>352</v>
      </c>
    </row>
    <row r="22" spans="1:7">
      <c r="A22" s="411"/>
      <c r="C22" s="54"/>
      <c r="D22" s="51"/>
      <c r="E22" s="52"/>
      <c r="F22" s="51"/>
      <c r="G22" s="51"/>
    </row>
    <row r="23" spans="1:7">
      <c r="A23" s="411"/>
      <c r="C23" s="54"/>
      <c r="D23" s="51"/>
      <c r="E23" s="58"/>
      <c r="F23" s="51"/>
      <c r="G23" s="51"/>
    </row>
    <row r="24" spans="1:7">
      <c r="A24" s="411"/>
      <c r="C24" s="54"/>
      <c r="D24" s="51"/>
      <c r="E24" s="107"/>
      <c r="F24" s="51"/>
      <c r="G24" s="51"/>
    </row>
    <row r="25" spans="1:7">
      <c r="A25" s="411"/>
      <c r="C25" s="54"/>
      <c r="D25" s="51"/>
      <c r="E25" s="52"/>
      <c r="F25" s="51"/>
      <c r="G25" s="51"/>
    </row>
    <row r="26" spans="1:7">
      <c r="A26" s="411"/>
      <c r="C26" s="54"/>
      <c r="D26" s="51"/>
      <c r="E26" s="58"/>
      <c r="F26" s="51"/>
      <c r="G26" s="51"/>
    </row>
    <row r="27" spans="1:7">
      <c r="A27" s="411"/>
      <c r="C27" s="54"/>
      <c r="D27" s="51"/>
      <c r="E27" s="107"/>
      <c r="F27" s="51"/>
      <c r="G27" s="51"/>
    </row>
    <row r="28" spans="1:7">
      <c r="A28" s="411"/>
      <c r="C28" s="54"/>
      <c r="D28" s="51"/>
      <c r="E28" s="107"/>
      <c r="F28" s="51"/>
      <c r="G28" s="51"/>
    </row>
    <row r="29" spans="1:7">
      <c r="A29" s="411"/>
      <c r="C29" s="54"/>
      <c r="D29" s="51"/>
      <c r="E29" s="107"/>
      <c r="F29" s="51"/>
      <c r="G29" s="51"/>
    </row>
    <row r="30" spans="1:7">
      <c r="A30" s="411"/>
      <c r="C30" s="51"/>
      <c r="D30" s="51"/>
      <c r="E30" s="51"/>
      <c r="F30" s="51"/>
      <c r="G30" s="51"/>
    </row>
    <row r="31" spans="1:7">
      <c r="A31" s="411"/>
      <c r="C31" s="51"/>
      <c r="D31" s="51"/>
      <c r="E31" s="58"/>
      <c r="F31" s="51"/>
      <c r="G31" s="51"/>
    </row>
    <row r="32" spans="1:7">
      <c r="A32" s="411"/>
      <c r="C32" s="54"/>
      <c r="D32" s="51"/>
      <c r="E32" s="107"/>
      <c r="F32" s="51"/>
      <c r="G32" s="51"/>
    </row>
    <row r="33" spans="1:7">
      <c r="A33" s="411"/>
      <c r="C33" s="51"/>
      <c r="D33" s="51"/>
      <c r="E33" s="51"/>
      <c r="F33" s="51"/>
      <c r="G33" s="51"/>
    </row>
    <row r="34" spans="1:7">
      <c r="A34" s="415"/>
      <c r="C34" s="51"/>
      <c r="D34" s="51"/>
      <c r="E34" s="51"/>
      <c r="F34" s="51"/>
      <c r="G34" s="51"/>
    </row>
    <row r="35" spans="1:7">
      <c r="A35" s="415"/>
      <c r="C35" s="51"/>
      <c r="D35" s="51"/>
      <c r="E35" s="51"/>
      <c r="F35" s="51"/>
      <c r="G35" s="51"/>
    </row>
    <row r="36" spans="1:7">
      <c r="A36" s="415"/>
      <c r="C36" s="51"/>
      <c r="D36" s="51"/>
      <c r="E36" s="51"/>
      <c r="F36" s="51"/>
      <c r="G36" s="51"/>
    </row>
    <row r="37" spans="1:7">
      <c r="A37" s="415"/>
      <c r="C37" s="51"/>
      <c r="D37" s="51"/>
      <c r="E37" s="51"/>
      <c r="F37" s="51"/>
      <c r="G37" s="51"/>
    </row>
    <row r="38" spans="1:7">
      <c r="A38" s="415"/>
      <c r="C38" s="51"/>
      <c r="D38" s="51"/>
      <c r="E38" s="51"/>
      <c r="F38" s="51"/>
      <c r="G38" s="51"/>
    </row>
    <row r="39" spans="1:7">
      <c r="A39" s="415"/>
      <c r="C39" s="51"/>
      <c r="D39" s="51"/>
      <c r="E39" s="51"/>
      <c r="F39" s="51"/>
      <c r="G39" s="51"/>
    </row>
    <row r="40" spans="1:7">
      <c r="A40" s="415"/>
      <c r="C40" s="51"/>
      <c r="D40" s="51"/>
      <c r="E40" s="51"/>
      <c r="F40" s="51"/>
      <c r="G40" s="51"/>
    </row>
    <row r="41" spans="1:7">
      <c r="A41" s="415"/>
      <c r="C41" s="51"/>
      <c r="D41" s="51"/>
      <c r="E41" s="51"/>
      <c r="F41" s="51"/>
      <c r="G41" s="51"/>
    </row>
    <row r="42" spans="1:7">
      <c r="A42" s="415"/>
      <c r="C42" s="51"/>
      <c r="D42" s="51"/>
      <c r="E42" s="51"/>
      <c r="F42" s="51"/>
      <c r="G42" s="51"/>
    </row>
    <row r="43" spans="1:7">
      <c r="A43" s="415"/>
      <c r="C43" s="51"/>
      <c r="D43" s="51"/>
      <c r="E43" s="51"/>
      <c r="F43" s="51"/>
      <c r="G43" s="51"/>
    </row>
    <row r="44" spans="1:7">
      <c r="A44" s="415"/>
      <c r="C44" s="51"/>
      <c r="D44" s="51"/>
      <c r="E44" s="51"/>
      <c r="F44" s="51"/>
      <c r="G44" s="51"/>
    </row>
    <row r="45" spans="1:7">
      <c r="A45" s="415"/>
      <c r="C45" s="51"/>
      <c r="D45" s="51"/>
      <c r="E45" s="51"/>
      <c r="F45" s="51"/>
      <c r="G45" s="51"/>
    </row>
    <row r="46" spans="1:7">
      <c r="A46" s="415"/>
      <c r="C46" s="51"/>
      <c r="D46" s="51"/>
      <c r="E46" s="51"/>
      <c r="F46" s="51"/>
      <c r="G46" s="51"/>
    </row>
    <row r="47" spans="1:7">
      <c r="A47" s="415"/>
      <c r="C47" s="51"/>
      <c r="D47" s="51"/>
      <c r="E47" s="51"/>
      <c r="F47" s="51"/>
      <c r="G47" s="51"/>
    </row>
    <row r="48" spans="1:7">
      <c r="A48" s="415"/>
      <c r="C48" s="51"/>
      <c r="D48" s="51"/>
      <c r="E48" s="51"/>
      <c r="F48" s="51"/>
      <c r="G48" s="51"/>
    </row>
    <row r="49" spans="1:7">
      <c r="A49" s="415"/>
      <c r="C49" s="51"/>
      <c r="D49" s="51"/>
      <c r="E49" s="51"/>
      <c r="F49" s="51"/>
      <c r="G49" s="51"/>
    </row>
    <row r="50" spans="1:7">
      <c r="A50" s="415"/>
      <c r="C50" s="51"/>
      <c r="D50" s="51"/>
      <c r="E50" s="51"/>
      <c r="F50" s="51"/>
      <c r="G50" s="51"/>
    </row>
    <row r="51" spans="1:7">
      <c r="A51" s="415"/>
      <c r="C51" s="51"/>
      <c r="D51" s="51"/>
      <c r="E51" s="51"/>
      <c r="F51" s="51"/>
      <c r="G51" s="51"/>
    </row>
    <row r="52" spans="1:7">
      <c r="A52" s="415"/>
      <c r="C52" s="51"/>
      <c r="D52" s="51"/>
      <c r="E52" s="51"/>
      <c r="F52" s="51"/>
      <c r="G52" s="51"/>
    </row>
    <row r="53" spans="1:7">
      <c r="A53" s="415"/>
      <c r="C53" s="51"/>
      <c r="D53" s="51"/>
      <c r="E53" s="51"/>
      <c r="F53" s="51"/>
      <c r="G53" s="51"/>
    </row>
    <row r="54" spans="1:7">
      <c r="A54" s="415"/>
      <c r="C54" s="51"/>
      <c r="D54" s="51"/>
      <c r="E54" s="51"/>
      <c r="F54" s="51"/>
      <c r="G54" s="51"/>
    </row>
    <row r="55" spans="1:7">
      <c r="A55" s="415"/>
      <c r="C55" s="51"/>
      <c r="D55" s="51"/>
      <c r="E55" s="51"/>
      <c r="F55" s="51"/>
      <c r="G55" s="51"/>
    </row>
    <row r="56" spans="1:7">
      <c r="A56" s="415"/>
      <c r="C56" s="51"/>
      <c r="D56" s="51"/>
      <c r="E56" s="51"/>
      <c r="F56" s="51"/>
      <c r="G56" s="51"/>
    </row>
    <row r="57" spans="1:7">
      <c r="A57" s="415"/>
      <c r="C57" s="51"/>
      <c r="D57" s="51"/>
      <c r="E57" s="51"/>
      <c r="F57" s="51"/>
      <c r="G57" s="51"/>
    </row>
    <row r="58" spans="1:7">
      <c r="A58" s="415"/>
      <c r="C58" s="51"/>
      <c r="D58" s="51"/>
      <c r="E58" s="51"/>
      <c r="F58" s="51"/>
      <c r="G58" s="51"/>
    </row>
    <row r="59" spans="1:7" ht="7.5" customHeight="1">
      <c r="A59" s="415"/>
    </row>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spans="28:28" hidden="1"/>
    <row r="258" spans="28:28" hidden="1"/>
    <row r="259" spans="28:28" hidden="1"/>
    <row r="260" spans="28:28" hidden="1"/>
    <row r="261" spans="28:28" hidden="1"/>
    <row r="262" spans="28:28" hidden="1"/>
    <row r="263" spans="28:28" hidden="1"/>
    <row r="264" spans="28:28" hidden="1">
      <c r="AB264" t="s">
        <v>194</v>
      </c>
    </row>
    <row r="265" spans="28:28" hidden="1"/>
    <row r="266" spans="28:28" hidden="1"/>
    <row r="267" spans="28:28" hidden="1"/>
    <row r="268" spans="28:28" hidden="1"/>
    <row r="269" spans="28:28" hidden="1"/>
    <row r="270" spans="28:28" hidden="1"/>
    <row r="271" spans="28:28" hidden="1"/>
    <row r="272" spans="28:28" hidden="1"/>
    <row r="273" hidden="1"/>
    <row r="274" hidden="1"/>
    <row r="275" hidden="1"/>
    <row r="276" hidden="1"/>
    <row r="277" hidden="1"/>
    <row r="278" hidden="1"/>
    <row r="279" hidden="1"/>
    <row r="280" hidden="1"/>
    <row r="281" hidden="1"/>
    <row r="282" hidden="1"/>
    <row r="283" hidden="1"/>
    <row r="284" hidden="1"/>
    <row r="285" hidden="1"/>
    <row r="286" hidden="1"/>
  </sheetData>
  <mergeCells count="1">
    <mergeCell ref="G7:G8"/>
  </mergeCells>
  <phoneticPr fontId="8" type="noConversion"/>
  <hyperlinks>
    <hyperlink ref="E11" location="Asset_Sum!A1" display="Asset_Sum"/>
    <hyperlink ref="E12" location="COS_RB!A1" display="COS_RB"/>
    <hyperlink ref="E15" location="COS_RR!A1" display="COS_RR"/>
    <hyperlink ref="E16" location="'COS_Units (sales)'!A1" display="COS_Units (sales)"/>
    <hyperlink ref="E18" location="COS_Alloc.!A1" display="COS_Alloc."/>
    <hyperlink ref="E19" location="COS_Unbun.!A1" display="COS_Unbun."/>
    <hyperlink ref="E21" location="COS_Summ!A1" display="COS_Summ."/>
    <hyperlink ref="E20" location="COS_Unit!A1" display="COS_Unit"/>
    <hyperlink ref="E17" location="'COS_Units (cust)'!A1" display="COS_Units (cust)"/>
    <hyperlink ref="E13" location="'COS_Supervised O&amp;M'!A1" display="COS_Supervised O&amp;M"/>
    <hyperlink ref="E14" location="'COS_RR (top sheet)'!A1" display="COS RR (top sheet)"/>
  </hyperlinks>
  <pageMargins left="0.75" right="0.75" top="0.75" bottom="0.75" header="0.5" footer="0.5"/>
  <pageSetup scale="51"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8000"/>
    <pageSetUpPr fitToPage="1"/>
  </sheetPr>
  <dimension ref="A1:DH321"/>
  <sheetViews>
    <sheetView showGridLines="0" zoomScale="70" zoomScaleNormal="70" workbookViewId="0">
      <pane xSplit="4" ySplit="10" topLeftCell="E11" activePane="bottomRight" state="frozen"/>
      <selection activeCell="D11" sqref="D11"/>
      <selection pane="topRight" activeCell="D11" sqref="D11"/>
      <selection pane="bottomLeft" activeCell="D11" sqref="D11"/>
      <selection pane="bottomRight" activeCell="J36" sqref="J36"/>
    </sheetView>
  </sheetViews>
  <sheetFormatPr defaultColWidth="0" defaultRowHeight="15.75" zeroHeight="1"/>
  <cols>
    <col min="1" max="1" width="22.5" style="86" customWidth="1"/>
    <col min="2" max="2" width="1.5" style="86" customWidth="1"/>
    <col min="3" max="3" width="5.5" style="86" customWidth="1"/>
    <col min="4" max="4" width="30" style="86" customWidth="1"/>
    <col min="5" max="5" width="5.875" style="86" customWidth="1"/>
    <col min="6" max="6" width="17.5" style="86" bestFit="1" customWidth="1"/>
    <col min="7" max="7" width="13.125" style="86" bestFit="1" customWidth="1"/>
    <col min="8" max="8" width="13.75" style="86" bestFit="1" customWidth="1"/>
    <col min="9" max="9" width="12.125" style="86" bestFit="1" customWidth="1"/>
    <col min="10" max="12" width="12.125" style="86" customWidth="1"/>
    <col min="13" max="13" width="13.75" style="86" bestFit="1" customWidth="1"/>
    <col min="14" max="14" width="15.375" style="86" customWidth="1"/>
    <col min="15" max="15" width="14.75" style="86" bestFit="1" customWidth="1"/>
    <col min="16" max="17" width="10.875" style="86" customWidth="1"/>
    <col min="18" max="18" width="11" style="86" customWidth="1"/>
    <col min="19" max="19" width="10.75" style="86" customWidth="1"/>
    <col min="20" max="20" width="12.25" style="86" customWidth="1"/>
    <col min="21" max="21" width="13.375" style="86" bestFit="1" customWidth="1"/>
    <col min="22" max="22" width="14.5" style="86" bestFit="1" customWidth="1"/>
    <col min="23" max="23" width="9.75" style="86" customWidth="1"/>
    <col min="24" max="25" width="9" style="86" customWidth="1"/>
    <col min="26" max="26" width="2.625" style="86" customWidth="1"/>
    <col min="27" max="96" width="0" style="86" hidden="1" customWidth="1"/>
    <col min="97" max="97" width="9.875" style="86" hidden="1" customWidth="1"/>
    <col min="98" max="98" width="11.125" style="86" hidden="1" customWidth="1"/>
    <col min="99" max="99" width="16" style="86" hidden="1" customWidth="1"/>
    <col min="100" max="16384" width="0" style="86" hidden="1"/>
  </cols>
  <sheetData>
    <row r="1" spans="1:112" customFormat="1" ht="22.5">
      <c r="A1" s="411"/>
      <c r="D1" s="4405" t="s">
        <v>167</v>
      </c>
      <c r="E1" s="4405"/>
      <c r="F1" s="4405"/>
      <c r="G1" s="4405"/>
      <c r="H1" s="4405"/>
      <c r="I1" s="4405"/>
      <c r="J1" s="4405"/>
      <c r="K1" s="4405"/>
      <c r="L1" s="4405"/>
      <c r="M1" s="4405"/>
      <c r="N1" s="4405"/>
      <c r="O1" s="4405"/>
      <c r="P1" s="4405"/>
      <c r="Q1" s="4405"/>
      <c r="R1" s="4405"/>
      <c r="S1" s="4405"/>
      <c r="T1" s="4405"/>
      <c r="U1" s="4405"/>
      <c r="V1" s="4405"/>
      <c r="W1" s="4405"/>
    </row>
    <row r="2" spans="1:112" customFormat="1" ht="22.5">
      <c r="A2" s="411"/>
      <c r="C2" s="14"/>
      <c r="D2" s="4405" t="s">
        <v>717</v>
      </c>
      <c r="E2" s="4405"/>
      <c r="F2" s="4405"/>
      <c r="G2" s="4405"/>
      <c r="H2" s="4405"/>
      <c r="I2" s="4405"/>
      <c r="J2" s="4405"/>
      <c r="K2" s="4405"/>
      <c r="L2" s="4405"/>
      <c r="M2" s="4405"/>
      <c r="N2" s="4405"/>
      <c r="O2" s="4405"/>
      <c r="P2" s="4405"/>
      <c r="Q2" s="4405"/>
      <c r="R2" s="4405"/>
      <c r="S2" s="4405"/>
      <c r="T2" s="4405"/>
      <c r="U2" s="4405"/>
      <c r="V2" s="4405"/>
      <c r="W2" s="4405"/>
    </row>
    <row r="3" spans="1:112" customFormat="1" ht="22.5">
      <c r="A3" s="411"/>
      <c r="D3" s="4405" t="s">
        <v>490</v>
      </c>
      <c r="E3" s="4405"/>
      <c r="F3" s="4405"/>
      <c r="G3" s="4405"/>
      <c r="H3" s="4405"/>
      <c r="I3" s="4405"/>
      <c r="J3" s="4405"/>
      <c r="K3" s="4405"/>
      <c r="L3" s="4405"/>
      <c r="M3" s="4405"/>
      <c r="N3" s="4405"/>
      <c r="O3" s="4405"/>
      <c r="P3" s="4405"/>
      <c r="Q3" s="4405"/>
      <c r="R3" s="4405"/>
      <c r="S3" s="4405"/>
      <c r="T3" s="4405"/>
      <c r="U3" s="4405"/>
      <c r="V3" s="4405"/>
      <c r="W3" s="4405"/>
    </row>
    <row r="4" spans="1:112" customFormat="1">
      <c r="A4" s="411"/>
      <c r="D4" s="86"/>
      <c r="E4" s="86"/>
      <c r="H4" s="86"/>
    </row>
    <row r="5" spans="1:112" customFormat="1">
      <c r="A5" s="411"/>
      <c r="C5" s="12"/>
      <c r="D5" s="195"/>
      <c r="E5" s="195"/>
      <c r="F5" s="4445" t="s">
        <v>900</v>
      </c>
      <c r="G5" s="4446"/>
      <c r="H5" s="4412" t="s">
        <v>600</v>
      </c>
      <c r="I5" s="4460" t="s">
        <v>601</v>
      </c>
      <c r="J5" s="4461"/>
      <c r="K5" s="4461"/>
      <c r="L5" s="4461"/>
      <c r="M5" s="4461"/>
      <c r="N5" s="4461"/>
      <c r="O5" s="4461"/>
      <c r="P5" s="4461"/>
      <c r="Q5" s="4461"/>
      <c r="R5" s="4461"/>
      <c r="S5" s="4484"/>
      <c r="T5" s="129" t="s">
        <v>608</v>
      </c>
      <c r="U5" s="5"/>
      <c r="V5" s="5"/>
      <c r="W5" s="5"/>
    </row>
    <row r="6" spans="1:112" customFormat="1">
      <c r="A6" s="411"/>
      <c r="C6" s="18"/>
      <c r="D6" s="195"/>
      <c r="E6" s="195"/>
      <c r="F6" s="4447"/>
      <c r="G6" s="4448"/>
      <c r="H6" s="4404"/>
      <c r="I6" s="4442" t="s">
        <v>168</v>
      </c>
      <c r="J6" s="4443"/>
      <c r="K6" s="4443"/>
      <c r="L6" s="4443"/>
      <c r="M6" s="4443"/>
      <c r="N6" s="4443"/>
      <c r="O6" s="4444"/>
      <c r="P6" s="4437" t="s">
        <v>606</v>
      </c>
      <c r="Q6" s="4438"/>
      <c r="R6" s="4438"/>
      <c r="S6" s="4438"/>
      <c r="T6" s="143" t="s">
        <v>169</v>
      </c>
      <c r="U6" s="5"/>
      <c r="V6" s="5"/>
      <c r="W6" s="5"/>
    </row>
    <row r="7" spans="1:112" customFormat="1" ht="15.75" customHeight="1">
      <c r="A7" s="411"/>
      <c r="B7" s="225"/>
      <c r="C7" s="233"/>
      <c r="D7" s="129"/>
      <c r="E7" s="129"/>
      <c r="F7" s="4433" t="s">
        <v>605</v>
      </c>
      <c r="G7" s="4449" t="s">
        <v>168</v>
      </c>
      <c r="H7" s="4449" t="s">
        <v>168</v>
      </c>
      <c r="I7" s="4486" t="s">
        <v>170</v>
      </c>
      <c r="J7" s="1745" t="s">
        <v>486</v>
      </c>
      <c r="K7" s="1745" t="s">
        <v>2988</v>
      </c>
      <c r="L7" s="1745" t="s">
        <v>2989</v>
      </c>
      <c r="M7" s="142" t="s">
        <v>867</v>
      </c>
      <c r="N7" s="4467" t="s">
        <v>857</v>
      </c>
      <c r="O7" s="4468"/>
      <c r="P7" s="4456" t="s">
        <v>858</v>
      </c>
      <c r="Q7" s="4457"/>
      <c r="R7" s="4449" t="s">
        <v>171</v>
      </c>
      <c r="S7" s="4449" t="s">
        <v>172</v>
      </c>
      <c r="T7" s="143" t="s">
        <v>173</v>
      </c>
      <c r="U7" s="560"/>
      <c r="V7" s="129" t="s">
        <v>683</v>
      </c>
      <c r="W7" s="697" t="s">
        <v>210</v>
      </c>
    </row>
    <row r="8" spans="1:112" customFormat="1" ht="16.5" thickBot="1">
      <c r="A8" s="411"/>
      <c r="B8" s="225"/>
      <c r="C8" s="393" t="s">
        <v>867</v>
      </c>
      <c r="D8" s="226" t="s">
        <v>118</v>
      </c>
      <c r="E8" s="226"/>
      <c r="F8" s="4434"/>
      <c r="G8" s="4450"/>
      <c r="H8" s="4450"/>
      <c r="I8" s="4487"/>
      <c r="J8" s="1746" t="s">
        <v>175</v>
      </c>
      <c r="K8" s="1746" t="s">
        <v>175</v>
      </c>
      <c r="L8" s="1746" t="s">
        <v>175</v>
      </c>
      <c r="M8" s="232" t="s">
        <v>856</v>
      </c>
      <c r="N8" s="594" t="s">
        <v>985</v>
      </c>
      <c r="O8" s="594" t="s">
        <v>986</v>
      </c>
      <c r="P8" s="227" t="s">
        <v>985</v>
      </c>
      <c r="Q8" s="610" t="s">
        <v>986</v>
      </c>
      <c r="R8" s="4450"/>
      <c r="S8" s="4450"/>
      <c r="T8" s="226" t="s">
        <v>603</v>
      </c>
      <c r="U8" s="143" t="str">
        <f>COS_RB!W9</f>
        <v>Street Lights</v>
      </c>
      <c r="V8" s="226" t="s">
        <v>606</v>
      </c>
      <c r="W8" s="223" t="s">
        <v>861</v>
      </c>
    </row>
    <row r="9" spans="1:112" customFormat="1" ht="16.5" thickTop="1">
      <c r="A9" s="411"/>
      <c r="B9" s="17"/>
      <c r="C9" s="634"/>
      <c r="D9" s="64"/>
      <c r="E9" s="64"/>
      <c r="F9" s="384"/>
      <c r="G9" s="9"/>
      <c r="H9" s="9"/>
      <c r="I9" s="385"/>
      <c r="J9" s="385"/>
      <c r="K9" s="385"/>
      <c r="L9" s="385"/>
      <c r="M9" s="385"/>
      <c r="N9" s="9"/>
      <c r="O9" s="9"/>
      <c r="P9" s="9"/>
      <c r="Q9" s="9"/>
      <c r="R9" s="386"/>
      <c r="S9" s="387"/>
      <c r="T9" s="64"/>
      <c r="U9" s="633"/>
      <c r="V9" s="64"/>
      <c r="W9" s="64"/>
    </row>
    <row r="10" spans="1:112" s="35" customFormat="1">
      <c r="A10" s="411"/>
      <c r="B10" s="373"/>
      <c r="C10" s="267">
        <v>1</v>
      </c>
      <c r="D10" s="395" t="s">
        <v>208</v>
      </c>
      <c r="E10" s="395"/>
      <c r="F10" s="389" t="str">
        <f>+'COS_Units (sales)'!I13</f>
        <v>ENR1</v>
      </c>
      <c r="G10" s="1763" t="s">
        <v>2633</v>
      </c>
      <c r="H10" s="1763" t="s">
        <v>984</v>
      </c>
      <c r="I10" s="389" t="str">
        <f>'COS_Units (sales)'!M13</f>
        <v>CAP1</v>
      </c>
      <c r="J10" s="389" t="str">
        <f>+'COS_Units (sales)'!O13</f>
        <v>CAP1-D</v>
      </c>
      <c r="K10" s="372" t="s">
        <v>2992</v>
      </c>
      <c r="L10" s="372" t="s">
        <v>2993</v>
      </c>
      <c r="M10" s="389" t="str">
        <f>'COS_Units (sales)'!R13</f>
        <v>CAP3</v>
      </c>
      <c r="N10" s="389" t="str">
        <f>+'COS_Units (sales)'!T13</f>
        <v>CAP3U</v>
      </c>
      <c r="O10" s="389" t="str">
        <f>'COS_Units (sales)'!V13</f>
        <v>CAP3R</v>
      </c>
      <c r="P10" s="389" t="str">
        <f>'COS_Units (cust)'!R12</f>
        <v>CUS4U</v>
      </c>
      <c r="Q10" s="389" t="str">
        <f>'COS_Units (cust)'!U12</f>
        <v>CUS4R</v>
      </c>
      <c r="R10" s="389" t="str">
        <f>+'COS_Units (cust)'!L12</f>
        <v>CUS2</v>
      </c>
      <c r="S10" s="389" t="str">
        <f>+'COS_Units (cust)'!O12</f>
        <v>CUS3</v>
      </c>
      <c r="T10" s="389" t="str">
        <f>+'COS_Units (cust)'!I12</f>
        <v>CUS1</v>
      </c>
      <c r="U10" s="389" t="s">
        <v>181</v>
      </c>
      <c r="V10" s="389" t="s">
        <v>381</v>
      </c>
      <c r="W10" s="389" t="str">
        <f>+'COS_Units (cust)'!W12</f>
        <v>REV</v>
      </c>
      <c r="Y10"/>
    </row>
    <row r="11" spans="1:112" s="35" customFormat="1" ht="16.5" customHeight="1">
      <c r="A11" s="411"/>
      <c r="B11" s="373"/>
      <c r="C11" s="391"/>
      <c r="D11" s="389"/>
      <c r="E11" s="389"/>
      <c r="F11" s="389"/>
      <c r="G11" s="389"/>
      <c r="H11" s="389"/>
      <c r="I11" s="389"/>
      <c r="J11" s="389"/>
      <c r="K11" s="389"/>
      <c r="L11" s="389"/>
      <c r="M11" s="389"/>
      <c r="N11" s="389"/>
      <c r="O11" s="389"/>
      <c r="P11" s="389"/>
      <c r="Q11" s="389"/>
      <c r="R11" s="389"/>
      <c r="S11" s="389"/>
      <c r="T11" s="389"/>
      <c r="U11" s="389"/>
      <c r="V11" s="389"/>
      <c r="W11" s="389"/>
      <c r="DH11"/>
    </row>
    <row r="12" spans="1:112" customFormat="1" ht="16.5" customHeight="1">
      <c r="A12" s="411"/>
      <c r="B12" s="17"/>
      <c r="C12" s="391"/>
      <c r="D12" s="60" t="s">
        <v>591</v>
      </c>
      <c r="E12" s="48"/>
      <c r="F12" s="86"/>
      <c r="G12" s="86"/>
      <c r="H12" s="86"/>
      <c r="I12" s="86"/>
      <c r="J12" s="86"/>
      <c r="K12" s="86"/>
      <c r="L12" s="86"/>
      <c r="M12" s="86"/>
      <c r="N12" s="86"/>
      <c r="O12" s="86"/>
      <c r="P12" s="86"/>
      <c r="Q12" s="86"/>
      <c r="R12" s="86"/>
      <c r="S12" s="86"/>
      <c r="T12" s="86"/>
      <c r="U12" s="86"/>
      <c r="V12" s="86"/>
      <c r="W12" s="86"/>
    </row>
    <row r="13" spans="1:112" customFormat="1" ht="16.5" customHeight="1">
      <c r="A13" s="411"/>
      <c r="B13" s="17"/>
      <c r="C13" s="391">
        <f>+MAX(C10:C12)+1</f>
        <v>2</v>
      </c>
      <c r="D13" s="206" t="s">
        <v>13</v>
      </c>
      <c r="E13" s="444">
        <f>'COS_Units (sales)'!E16</f>
        <v>1</v>
      </c>
      <c r="F13" s="390"/>
      <c r="G13" s="390"/>
      <c r="H13" s="390"/>
      <c r="I13" s="390"/>
      <c r="J13" s="390"/>
      <c r="K13" s="390"/>
      <c r="L13" s="390"/>
      <c r="M13" s="390"/>
      <c r="N13" s="390"/>
      <c r="O13" s="390"/>
      <c r="P13" s="390"/>
      <c r="Q13" s="390"/>
      <c r="R13" s="390"/>
      <c r="S13" s="390"/>
      <c r="T13" s="390"/>
      <c r="U13" s="17"/>
      <c r="V13" s="391"/>
      <c r="W13" s="390"/>
      <c r="X13" s="20"/>
      <c r="CL13" s="1"/>
      <c r="CM13" s="1"/>
      <c r="CN13" s="1"/>
      <c r="CO13" s="1"/>
      <c r="CP13" s="1"/>
      <c r="CQ13" s="1"/>
      <c r="CR13" s="1"/>
      <c r="CS13" s="1"/>
      <c r="CT13" s="1"/>
      <c r="CU13" s="1"/>
    </row>
    <row r="14" spans="1:112" customFormat="1" ht="16.5" customHeight="1">
      <c r="A14" s="411"/>
      <c r="B14" s="17"/>
      <c r="C14" s="391">
        <f>+MAX(C11:C13)+1</f>
        <v>3</v>
      </c>
      <c r="D14" s="39" t="s">
        <v>30</v>
      </c>
      <c r="E14" s="444">
        <f>'COS_Units (sales)'!E17</f>
        <v>2</v>
      </c>
      <c r="F14" s="796">
        <f>INDEX('COS_Units (sales)'!$F$16:$AI$62,MATCH($E14,'COS_Units (sales)'!$E$16:$E$62,0),MATCH(F$10,'COS_Units (sales)'!$F$13:$AI$13,0))</f>
        <v>5.8099999999999999E-2</v>
      </c>
      <c r="G14" s="796">
        <f>INDEX('COS_Units (sales)'!$F$16:$AI$62,MATCH($E14,'COS_Units (sales)'!$E$16:$E$62,0),MATCH(G$10,'COS_Units (sales)'!$F$13:$AI$13,0))</f>
        <v>6.7799999999999999E-2</v>
      </c>
      <c r="H14" s="796">
        <f>INDEX('COS_Units (sales)'!$F$16:$AI$62,MATCH($E14,'COS_Units (sales)'!$E$16:$E$62,0),MATCH(H$10,'COS_Units (sales)'!$F$13:$AI$13,0))</f>
        <v>0.1103</v>
      </c>
      <c r="I14" s="796">
        <f>INDEX('COS_Units (sales)'!$F$16:$AI$62,MATCH($E14,'COS_Units (sales)'!$E$16:$E$62,0),MATCH(I$10,'COS_Units (sales)'!$F$13:$AI$13,0))</f>
        <v>8.3500000000000005E-2</v>
      </c>
      <c r="J14" s="796">
        <f>INDEX('COS_Units (sales)'!$F$16:$AI$62,MATCH($E14,'COS_Units (sales)'!$E$16:$E$62,0),MATCH(J$10,'COS_Units (sales)'!$F$13:$AI$13,0))</f>
        <v>0</v>
      </c>
      <c r="K14" s="796"/>
      <c r="L14" s="796"/>
      <c r="M14" s="796">
        <f>INDEX('COS_Units (sales)'!$F$16:$AI$62,MATCH($E14,'COS_Units (sales)'!$E$16:$E$62,0),MATCH(M$10,'COS_Units (sales)'!$F$13:$AI$13,0))</f>
        <v>8.6699999999999999E-2</v>
      </c>
      <c r="N14" s="796">
        <f>INDEX('COS_Units (sales)'!$F$16:$AI$62,MATCH($E14,'COS_Units (sales)'!$E$16:$E$62,0),MATCH(N$10,'COS_Units (sales)'!$F$13:$AI$13,0))</f>
        <v>0.12939999999999999</v>
      </c>
      <c r="O14" s="796">
        <f>INDEX('COS_Units (sales)'!$F$16:$AI$62,MATCH($E14,'COS_Units (sales)'!$E$16:$E$62,0),MATCH(O$10,'COS_Units (sales)'!$F$13:$AI$13,0))</f>
        <v>0</v>
      </c>
      <c r="P14" s="796">
        <f>VLOOKUP($E14,'COS_Units (cust)'!$E$15:$Y$38,HLOOKUP(P$10,'COS_Units (cust)'!$E$12:$Y$13,2,FALSE),FALSE)</f>
        <v>0.80059999999999998</v>
      </c>
      <c r="Q14" s="796">
        <f>VLOOKUP($E14,'COS_Units (cust)'!$E$15:$Y$38,HLOOKUP(Q$10,'COS_Units (cust)'!$E$12:$Y$13,2,FALSE),FALSE)</f>
        <v>0</v>
      </c>
      <c r="R14" s="796">
        <f>VLOOKUP($E14,'COS_Units (cust)'!$E$15:$Y$38,HLOOKUP(R$10,'COS_Units (cust)'!$E$12:$Y$13,2,FALSE),FALSE)</f>
        <v>0.23130000000000001</v>
      </c>
      <c r="S14" s="796">
        <f>VLOOKUP($E14,'COS_Units (cust)'!$E$15:$Y$38,HLOOKUP(S$10,'COS_Units (cust)'!$E$12:$Y$13,2,FALSE),FALSE)</f>
        <v>0.21560000000000001</v>
      </c>
      <c r="T14" s="796">
        <f>VLOOKUP($E14,'COS_Units (cust)'!$E$15:$Y$38,HLOOKUP(T$10,'COS_Units (cust)'!$E$12:$Y$13,2,FALSE),FALSE)</f>
        <v>0.33910000000000001</v>
      </c>
      <c r="U14" s="796"/>
      <c r="V14" s="796">
        <f>VLOOKUP($E14,'COS_Units (cust)'!$E$15:$Y$38,HLOOKUP(V$10,'COS_Units (cust)'!$E$12:$Y$13,2,FALSE),FALSE)</f>
        <v>0.3916</v>
      </c>
      <c r="W14" s="796">
        <f>VLOOKUP($E14,'COS_Units (cust)'!$E$15:$Y$38,HLOOKUP(W$10,'COS_Units (cust)'!$E$12:$Y$13,2,FALSE),FALSE)</f>
        <v>8.3799999999999999E-2</v>
      </c>
      <c r="X14" s="20"/>
    </row>
    <row r="15" spans="1:112" customFormat="1" ht="16.5" customHeight="1">
      <c r="A15" s="411"/>
      <c r="B15" s="17"/>
      <c r="C15" s="391">
        <f>+MAX(C11:C14)+1</f>
        <v>4</v>
      </c>
      <c r="D15" s="272"/>
      <c r="E15" s="444">
        <f>'COS_Units (sales)'!E18</f>
        <v>3</v>
      </c>
      <c r="F15" s="796"/>
      <c r="G15" s="796"/>
      <c r="H15" s="796"/>
      <c r="I15" s="796"/>
      <c r="J15" s="796"/>
      <c r="K15" s="796"/>
      <c r="L15" s="796"/>
      <c r="M15" s="796"/>
      <c r="N15" s="796"/>
      <c r="O15" s="796"/>
      <c r="P15" s="796"/>
      <c r="Q15" s="796"/>
      <c r="R15" s="796"/>
      <c r="S15" s="796"/>
      <c r="T15" s="796"/>
      <c r="U15" s="796"/>
      <c r="V15" s="796"/>
      <c r="W15" s="796"/>
      <c r="X15" s="20"/>
    </row>
    <row r="16" spans="1:112" customFormat="1" ht="16.5" customHeight="1">
      <c r="A16" s="411"/>
      <c r="B16" s="17"/>
      <c r="C16" s="391">
        <f t="shared" ref="C16:C21" si="0">+MAX(C11:C15)+1</f>
        <v>5</v>
      </c>
      <c r="D16" s="206" t="s">
        <v>14</v>
      </c>
      <c r="E16" s="444">
        <f>'COS_Units (sales)'!E19</f>
        <v>4</v>
      </c>
      <c r="F16" s="796"/>
      <c r="G16" s="796"/>
      <c r="H16" s="796"/>
      <c r="I16" s="796"/>
      <c r="J16" s="796"/>
      <c r="K16" s="796"/>
      <c r="L16" s="796"/>
      <c r="M16" s="796"/>
      <c r="N16" s="796"/>
      <c r="O16" s="796"/>
      <c r="P16" s="796"/>
      <c r="Q16" s="796"/>
      <c r="R16" s="796"/>
      <c r="S16" s="796"/>
      <c r="T16" s="796"/>
      <c r="U16" s="796"/>
      <c r="V16" s="796"/>
      <c r="W16" s="796"/>
      <c r="X16" s="20"/>
      <c r="CL16" s="1"/>
      <c r="CM16" s="1"/>
      <c r="CN16" s="1"/>
      <c r="CO16" s="1"/>
      <c r="CP16" s="1"/>
      <c r="CQ16" s="1"/>
      <c r="CR16" s="1"/>
      <c r="CS16" s="1"/>
      <c r="CT16" s="1"/>
      <c r="CU16" s="1"/>
    </row>
    <row r="17" spans="1:24" customFormat="1" ht="16.5" customHeight="1">
      <c r="A17" s="411"/>
      <c r="B17" s="17"/>
      <c r="C17" s="391">
        <f t="shared" si="0"/>
        <v>6</v>
      </c>
      <c r="D17" s="39" t="s">
        <v>31</v>
      </c>
      <c r="E17" s="444">
        <f>'COS_Units (sales)'!E20</f>
        <v>5</v>
      </c>
      <c r="F17" s="796">
        <f>INDEX('COS_Units (sales)'!$F$16:$AI$62,MATCH($E17,'COS_Units (sales)'!$E$16:$E$62,0),MATCH(F$10,'COS_Units (sales)'!$F$13:$AI$13,0))</f>
        <v>8.2000000000000003E-2</v>
      </c>
      <c r="G17" s="796">
        <f>INDEX('COS_Units (sales)'!$F$16:$AI$62,MATCH($E17,'COS_Units (sales)'!$E$16:$E$62,0),MATCH(G$10,'COS_Units (sales)'!$F$13:$AI$13,0))</f>
        <v>9.5699999999999993E-2</v>
      </c>
      <c r="H17" s="796">
        <f>INDEX('COS_Units (sales)'!$F$16:$AI$62,MATCH($E17,'COS_Units (sales)'!$E$16:$E$62,0),MATCH(H$10,'COS_Units (sales)'!$F$13:$AI$13,0))</f>
        <v>0.15559999999999999</v>
      </c>
      <c r="I17" s="796">
        <f>INDEX('COS_Units (sales)'!$F$16:$AI$62,MATCH($E17,'COS_Units (sales)'!$E$16:$E$62,0),MATCH(I$10,'COS_Units (sales)'!$F$13:$AI$13,0))</f>
        <v>0.1178</v>
      </c>
      <c r="J17" s="796">
        <f>INDEX('COS_Units (sales)'!$F$16:$AI$62,MATCH($E17,'COS_Units (sales)'!$E$16:$E$62,0),MATCH(J$10,'COS_Units (sales)'!$F$13:$AI$13,0))</f>
        <v>0</v>
      </c>
      <c r="K17" s="796"/>
      <c r="L17" s="796"/>
      <c r="M17" s="796">
        <f>INDEX('COS_Units (sales)'!$F$16:$AI$62,MATCH($E17,'COS_Units (sales)'!$E$16:$E$62,0),MATCH(M$10,'COS_Units (sales)'!$F$13:$AI$13,0))</f>
        <v>0.12230000000000001</v>
      </c>
      <c r="N17" s="796">
        <f>INDEX('COS_Units (sales)'!$F$16:$AI$62,MATCH($E17,'COS_Units (sales)'!$E$16:$E$62,0),MATCH(N$10,'COS_Units (sales)'!$F$13:$AI$13,0))</f>
        <v>9.1000000000000004E-3</v>
      </c>
      <c r="O17" s="796">
        <f>INDEX('COS_Units (sales)'!$F$16:$AI$62,MATCH($E17,'COS_Units (sales)'!$E$16:$E$62,0),MATCH(O$10,'COS_Units (sales)'!$F$13:$AI$13,0))</f>
        <v>0.35270000000000001</v>
      </c>
      <c r="P17" s="796">
        <f>VLOOKUP($E17,'COS_Units (cust)'!$E$15:$Y$38,HLOOKUP(P$10,'COS_Units (cust)'!$E$12:$Y$13,2,FALSE),FALSE)</f>
        <v>0</v>
      </c>
      <c r="Q17" s="796">
        <f>VLOOKUP($E17,'COS_Units (cust)'!$E$15:$Y$38,HLOOKUP(Q$10,'COS_Units (cust)'!$E$12:$Y$13,2,FALSE),FALSE)</f>
        <v>0.92220000000000002</v>
      </c>
      <c r="R17" s="796">
        <f>VLOOKUP($E17,'COS_Units (cust)'!$E$15:$Y$38,HLOOKUP(R$10,'COS_Units (cust)'!$E$12:$Y$13,2,FALSE),FALSE)</f>
        <v>0.32519999999999999</v>
      </c>
      <c r="S17" s="796">
        <f>VLOOKUP($E17,'COS_Units (cust)'!$E$15:$Y$38,HLOOKUP(S$10,'COS_Units (cust)'!$E$12:$Y$13,2,FALSE),FALSE)</f>
        <v>0.2021</v>
      </c>
      <c r="T17" s="796">
        <f>VLOOKUP($E17,'COS_Units (cust)'!$E$15:$Y$38,HLOOKUP(T$10,'COS_Units (cust)'!$E$12:$Y$13,2,FALSE),FALSE)</f>
        <v>0.34960000000000002</v>
      </c>
      <c r="U17" s="796"/>
      <c r="V17" s="796">
        <f>VLOOKUP($E17,'COS_Units (cust)'!$E$15:$Y$38,HLOOKUP(V$10,'COS_Units (cust)'!$E$12:$Y$13,2,FALSE),FALSE)</f>
        <v>0.36699999999999999</v>
      </c>
      <c r="W17" s="796">
        <f>VLOOKUP($E17,'COS_Units (cust)'!$E$15:$Y$38,HLOOKUP(W$10,'COS_Units (cust)'!$E$12:$Y$13,2,FALSE),FALSE)</f>
        <v>0.1042</v>
      </c>
      <c r="X17" s="20"/>
    </row>
    <row r="18" spans="1:24" customFormat="1" ht="16.5" customHeight="1">
      <c r="A18" s="411"/>
      <c r="B18" s="17"/>
      <c r="C18" s="391">
        <f t="shared" si="0"/>
        <v>7</v>
      </c>
      <c r="D18" s="11"/>
      <c r="E18" s="444">
        <f>'COS_Units (sales)'!E21</f>
        <v>6</v>
      </c>
      <c r="F18" s="796"/>
      <c r="G18" s="796"/>
      <c r="H18" s="796"/>
      <c r="I18" s="796"/>
      <c r="J18" s="796"/>
      <c r="K18" s="796"/>
      <c r="L18" s="796"/>
      <c r="M18" s="796"/>
      <c r="N18" s="796"/>
      <c r="O18" s="796"/>
      <c r="P18" s="796"/>
      <c r="Q18" s="796"/>
      <c r="R18" s="796"/>
      <c r="S18" s="796"/>
      <c r="T18" s="796"/>
      <c r="U18" s="796"/>
      <c r="V18" s="796"/>
      <c r="W18" s="796"/>
      <c r="X18" s="20"/>
    </row>
    <row r="19" spans="1:24" customFormat="1" ht="16.5" customHeight="1">
      <c r="A19" s="411"/>
      <c r="B19" s="17"/>
      <c r="C19" s="391">
        <f t="shared" si="0"/>
        <v>8</v>
      </c>
      <c r="D19" s="14" t="s">
        <v>15</v>
      </c>
      <c r="E19" s="444">
        <f>'COS_Units (sales)'!E22</f>
        <v>7</v>
      </c>
      <c r="F19" s="796"/>
      <c r="G19" s="796"/>
      <c r="H19" s="796"/>
      <c r="I19" s="796"/>
      <c r="J19" s="796"/>
      <c r="K19" s="796"/>
      <c r="L19" s="796"/>
      <c r="M19" s="796"/>
      <c r="N19" s="796"/>
      <c r="O19" s="796"/>
      <c r="P19" s="796"/>
      <c r="Q19" s="796"/>
      <c r="R19" s="796"/>
      <c r="S19" s="796"/>
      <c r="T19" s="796"/>
      <c r="U19" s="796"/>
      <c r="V19" s="796"/>
      <c r="W19" s="796"/>
      <c r="X19" s="20"/>
    </row>
    <row r="20" spans="1:24" customFormat="1" ht="16.5" customHeight="1">
      <c r="A20" s="411"/>
      <c r="B20" s="17"/>
      <c r="C20" s="391">
        <f t="shared" si="0"/>
        <v>9</v>
      </c>
      <c r="D20" s="15" t="s">
        <v>7</v>
      </c>
      <c r="E20" s="444">
        <f>'COS_Units (sales)'!E23</f>
        <v>8</v>
      </c>
      <c r="F20" s="796">
        <f>INDEX('COS_Units (sales)'!$F$16:$AI$62,MATCH($E20,'COS_Units (sales)'!$E$16:$E$62,0),MATCH(F$10,'COS_Units (sales)'!$F$13:$AI$13,0))</f>
        <v>5.0000000000000001E-4</v>
      </c>
      <c r="G20" s="796">
        <f>INDEX('COS_Units (sales)'!$F$16:$AI$62,MATCH($E20,'COS_Units (sales)'!$E$16:$E$62,0),MATCH(G$10,'COS_Units (sales)'!$F$13:$AI$13,0))</f>
        <v>5.9999999999999995E-4</v>
      </c>
      <c r="H20" s="796">
        <f>INDEX('COS_Units (sales)'!$F$16:$AI$62,MATCH($E20,'COS_Units (sales)'!$E$16:$E$62,0),MATCH(H$10,'COS_Units (sales)'!$F$13:$AI$13,0))</f>
        <v>5.9999999999999995E-4</v>
      </c>
      <c r="I20" s="796">
        <f>INDEX('COS_Units (sales)'!$F$16:$AI$62,MATCH($E20,'COS_Units (sales)'!$E$16:$E$62,0),MATCH(I$10,'COS_Units (sales)'!$F$13:$AI$13,0))</f>
        <v>8.0000000000000004E-4</v>
      </c>
      <c r="J20" s="796">
        <f>INDEX('COS_Units (sales)'!$F$16:$AI$62,MATCH($E20,'COS_Units (sales)'!$E$16:$E$62,0),MATCH(J$10,'COS_Units (sales)'!$F$13:$AI$13,0))</f>
        <v>0</v>
      </c>
      <c r="K20" s="796"/>
      <c r="L20" s="796"/>
      <c r="M20" s="796">
        <f>INDEX('COS_Units (sales)'!$F$16:$AI$62,MATCH($E20,'COS_Units (sales)'!$E$16:$E$62,0),MATCH(M$10,'COS_Units (sales)'!$F$13:$AI$13,0))</f>
        <v>8.9999999999999998E-4</v>
      </c>
      <c r="N20" s="796">
        <f>INDEX('COS_Units (sales)'!$F$16:$AI$62,MATCH($E20,'COS_Units (sales)'!$E$16:$E$62,0),MATCH(N$10,'COS_Units (sales)'!$F$13:$AI$13,0))</f>
        <v>1E-4</v>
      </c>
      <c r="O20" s="796">
        <f>INDEX('COS_Units (sales)'!$F$16:$AI$62,MATCH($E20,'COS_Units (sales)'!$E$16:$E$62,0),MATCH(O$10,'COS_Units (sales)'!$F$13:$AI$13,0))</f>
        <v>2.5000000000000001E-3</v>
      </c>
      <c r="P20" s="796">
        <f>VLOOKUP($E20,'COS_Units (cust)'!$E$15:$Y$38,HLOOKUP(P$10,'COS_Units (cust)'!$E$12:$Y$13,2,FALSE),FALSE)</f>
        <v>0</v>
      </c>
      <c r="Q20" s="796">
        <f>VLOOKUP($E20,'COS_Units (cust)'!$E$15:$Y$38,HLOOKUP(Q$10,'COS_Units (cust)'!$E$12:$Y$13,2,FALSE),FALSE)</f>
        <v>5.7000000000000002E-3</v>
      </c>
      <c r="R20" s="796">
        <f>VLOOKUP($E20,'COS_Units (cust)'!$E$15:$Y$38,HLOOKUP(R$10,'COS_Units (cust)'!$E$12:$Y$13,2,FALSE),FALSE)</f>
        <v>2E-3</v>
      </c>
      <c r="S20" s="796">
        <f>VLOOKUP($E20,'COS_Units (cust)'!$E$15:$Y$38,HLOOKUP(S$10,'COS_Units (cust)'!$E$12:$Y$13,2,FALSE),FALSE)</f>
        <v>5.9999999999999995E-4</v>
      </c>
      <c r="T20" s="796">
        <f>VLOOKUP($E20,'COS_Units (cust)'!$E$15:$Y$38,HLOOKUP(T$10,'COS_Units (cust)'!$E$12:$Y$13,2,FALSE),FALSE)</f>
        <v>1E-3</v>
      </c>
      <c r="U20" s="796"/>
      <c r="V20" s="796">
        <f>VLOOKUP($E20,'COS_Units (cust)'!$E$15:$Y$38,HLOOKUP(V$10,'COS_Units (cust)'!$E$12:$Y$13,2,FALSE),FALSE)</f>
        <v>1.1000000000000001E-3</v>
      </c>
      <c r="W20" s="796">
        <f>VLOOKUP($E20,'COS_Units (cust)'!$E$15:$Y$38,HLOOKUP(W$10,'COS_Units (cust)'!$E$12:$Y$13,2,FALSE),FALSE)</f>
        <v>5.9999999999999995E-4</v>
      </c>
      <c r="X20" s="20"/>
    </row>
    <row r="21" spans="1:24" customFormat="1" ht="16.5" customHeight="1">
      <c r="A21" s="411"/>
      <c r="B21" s="17"/>
      <c r="C21" s="391">
        <f t="shared" si="0"/>
        <v>10</v>
      </c>
      <c r="D21" s="15" t="s">
        <v>8</v>
      </c>
      <c r="E21" s="444">
        <f>'COS_Units (sales)'!E24</f>
        <v>9</v>
      </c>
      <c r="F21" s="797">
        <f>INDEX('COS_Units (sales)'!$F$16:$AI$62,MATCH($E21,'COS_Units (sales)'!$E$16:$E$62,0),MATCH(F$10,'COS_Units (sales)'!$F$13:$AI$13,0))</f>
        <v>0.1004</v>
      </c>
      <c r="G21" s="797">
        <f>INDEX('COS_Units (sales)'!$F$16:$AI$62,MATCH($E21,'COS_Units (sales)'!$E$16:$E$62,0),MATCH(G$10,'COS_Units (sales)'!$F$13:$AI$13,0))</f>
        <v>0.12189999999999999</v>
      </c>
      <c r="H21" s="797">
        <f>INDEX('COS_Units (sales)'!$F$16:$AI$62,MATCH($E21,'COS_Units (sales)'!$E$16:$E$62,0),MATCH(H$10,'COS_Units (sales)'!$F$13:$AI$13,0))</f>
        <v>0.1152</v>
      </c>
      <c r="I21" s="797">
        <f>INDEX('COS_Units (sales)'!$F$16:$AI$62,MATCH($E21,'COS_Units (sales)'!$E$16:$E$62,0),MATCH(I$10,'COS_Units (sales)'!$F$13:$AI$13,0))</f>
        <v>0.15670000000000001</v>
      </c>
      <c r="J21" s="797">
        <f>INDEX('COS_Units (sales)'!$F$16:$AI$62,MATCH($E21,'COS_Units (sales)'!$E$16:$E$62,0),MATCH(J$10,'COS_Units (sales)'!$F$13:$AI$13,0))</f>
        <v>0</v>
      </c>
      <c r="K21" s="797"/>
      <c r="L21" s="797"/>
      <c r="M21" s="797">
        <f>INDEX('COS_Units (sales)'!$F$16:$AI$62,MATCH($E21,'COS_Units (sales)'!$E$16:$E$62,0),MATCH(M$10,'COS_Units (sales)'!$F$13:$AI$13,0))</f>
        <v>0.17430000000000001</v>
      </c>
      <c r="N21" s="797">
        <f>INDEX('COS_Units (sales)'!$F$16:$AI$62,MATCH($E21,'COS_Units (sales)'!$E$16:$E$62,0),MATCH(N$10,'COS_Units (sales)'!$F$13:$AI$13,0))</f>
        <v>1.2999999999999999E-2</v>
      </c>
      <c r="O21" s="797">
        <f>INDEX('COS_Units (sales)'!$F$16:$AI$62,MATCH($E21,'COS_Units (sales)'!$E$16:$E$62,0),MATCH(O$10,'COS_Units (sales)'!$F$13:$AI$13,0))</f>
        <v>0.50249999999999995</v>
      </c>
      <c r="P21" s="797">
        <f>VLOOKUP($E21,'COS_Units (cust)'!$E$15:$Y$38,HLOOKUP(P$10,'COS_Units (cust)'!$E$12:$Y$13,2,FALSE),FALSE)</f>
        <v>0</v>
      </c>
      <c r="Q21" s="797">
        <f>VLOOKUP($E21,'COS_Units (cust)'!$E$15:$Y$38,HLOOKUP(Q$10,'COS_Units (cust)'!$E$12:$Y$13,2,FALSE),FALSE)</f>
        <v>0</v>
      </c>
      <c r="R21" s="797">
        <f>VLOOKUP($E21,'COS_Units (cust)'!$E$15:$Y$38,HLOOKUP(R$10,'COS_Units (cust)'!$E$12:$Y$13,2,FALSE),FALSE)</f>
        <v>0.25230000000000002</v>
      </c>
      <c r="S21" s="797">
        <f>VLOOKUP($E21,'COS_Units (cust)'!$E$15:$Y$38,HLOOKUP(S$10,'COS_Units (cust)'!$E$12:$Y$13,2,FALSE),FALSE)</f>
        <v>0.2351</v>
      </c>
      <c r="T21" s="797">
        <f>VLOOKUP($E21,'COS_Units (cust)'!$E$15:$Y$38,HLOOKUP(T$10,'COS_Units (cust)'!$E$12:$Y$13,2,FALSE),FALSE)</f>
        <v>8.1299999999999997E-2</v>
      </c>
      <c r="U21" s="797"/>
      <c r="V21" s="797">
        <f>VLOOKUP($E21,'COS_Units (cust)'!$E$15:$Y$38,HLOOKUP(V$10,'COS_Units (cust)'!$E$12:$Y$13,2,FALSE),FALSE)</f>
        <v>8.5400000000000004E-2</v>
      </c>
      <c r="W21" s="797">
        <f>VLOOKUP($E21,'COS_Units (cust)'!$E$15:$Y$38,HLOOKUP(W$10,'COS_Units (cust)'!$E$12:$Y$13,2,FALSE),FALSE)</f>
        <v>0.1137</v>
      </c>
      <c r="X21" s="20"/>
    </row>
    <row r="22" spans="1:24" customFormat="1" ht="16.5" customHeight="1">
      <c r="A22" s="411"/>
      <c r="B22" s="17"/>
      <c r="C22" s="391">
        <f>+MAX(C20:C21)+1</f>
        <v>11</v>
      </c>
      <c r="D22" s="39" t="s">
        <v>32</v>
      </c>
      <c r="E22" s="444">
        <f>'COS_Units (sales)'!E25</f>
        <v>10</v>
      </c>
      <c r="F22" s="796">
        <f>INDEX('COS_Units (sales)'!$F$16:$AI$62,MATCH($E22,'COS_Units (sales)'!$E$16:$E$62,0),MATCH(F$10,'COS_Units (sales)'!$F$13:$AI$13,0))</f>
        <v>0.1009</v>
      </c>
      <c r="G22" s="796">
        <f>INDEX('COS_Units (sales)'!$F$16:$AI$62,MATCH($E22,'COS_Units (sales)'!$E$16:$E$62,0),MATCH(G$10,'COS_Units (sales)'!$F$13:$AI$13,0))</f>
        <v>0.1225</v>
      </c>
      <c r="H22" s="796">
        <f>INDEX('COS_Units (sales)'!$F$16:$AI$62,MATCH($E22,'COS_Units (sales)'!$E$16:$E$62,0),MATCH(H$10,'COS_Units (sales)'!$F$13:$AI$13,0))</f>
        <v>0.1158</v>
      </c>
      <c r="I22" s="796">
        <f>INDEX('COS_Units (sales)'!$F$16:$AI$62,MATCH($E22,'COS_Units (sales)'!$E$16:$E$62,0),MATCH(I$10,'COS_Units (sales)'!$F$13:$AI$13,0))</f>
        <v>0.1575</v>
      </c>
      <c r="J22" s="796">
        <f>INDEX('COS_Units (sales)'!$F$16:$AI$62,MATCH($E22,'COS_Units (sales)'!$E$16:$E$62,0),MATCH(J$10,'COS_Units (sales)'!$F$13:$AI$13,0))</f>
        <v>0</v>
      </c>
      <c r="K22" s="796"/>
      <c r="L22" s="796"/>
      <c r="M22" s="796">
        <f>INDEX('COS_Units (sales)'!$F$16:$AI$62,MATCH($E22,'COS_Units (sales)'!$E$16:$E$62,0),MATCH(M$10,'COS_Units (sales)'!$F$13:$AI$13,0))</f>
        <v>0.17519999999999999</v>
      </c>
      <c r="N22" s="796">
        <f>INDEX('COS_Units (sales)'!$F$16:$AI$62,MATCH($E22,'COS_Units (sales)'!$E$16:$E$62,0),MATCH(N$10,'COS_Units (sales)'!$F$13:$AI$13,0))</f>
        <v>1.3100000000000001E-2</v>
      </c>
      <c r="O22" s="796">
        <f>INDEX('COS_Units (sales)'!$F$16:$AI$62,MATCH($E22,'COS_Units (sales)'!$E$16:$E$62,0),MATCH(O$10,'COS_Units (sales)'!$F$13:$AI$13,0))</f>
        <v>0.505</v>
      </c>
      <c r="P22" s="796">
        <f>VLOOKUP($E22,'COS_Units (cust)'!$E$15:$Y$38,HLOOKUP(P$10,'COS_Units (cust)'!$E$12:$Y$13,2,FALSE),FALSE)</f>
        <v>0</v>
      </c>
      <c r="Q22" s="796">
        <f>VLOOKUP($E22,'COS_Units (cust)'!$E$15:$Y$38,HLOOKUP(Q$10,'COS_Units (cust)'!$E$12:$Y$13,2,FALSE),FALSE)</f>
        <v>5.7000000000000002E-3</v>
      </c>
      <c r="R22" s="796">
        <f>VLOOKUP($E22,'COS_Units (cust)'!$E$15:$Y$38,HLOOKUP(R$10,'COS_Units (cust)'!$E$12:$Y$13,2,FALSE),FALSE)</f>
        <v>0.25430000000000003</v>
      </c>
      <c r="S22" s="796">
        <f>VLOOKUP($E22,'COS_Units (cust)'!$E$15:$Y$38,HLOOKUP(S$10,'COS_Units (cust)'!$E$12:$Y$13,2,FALSE),FALSE)</f>
        <v>0.23569999999999999</v>
      </c>
      <c r="T22" s="796">
        <f>VLOOKUP($E22,'COS_Units (cust)'!$E$15:$Y$38,HLOOKUP(T$10,'COS_Units (cust)'!$E$12:$Y$13,2,FALSE),FALSE)</f>
        <v>8.2299999999999998E-2</v>
      </c>
      <c r="U22" s="796"/>
      <c r="V22" s="796">
        <f>VLOOKUP($E22,'COS_Units (cust)'!$E$15:$Y$38,HLOOKUP(V$10,'COS_Units (cust)'!$E$12:$Y$13,2,FALSE),FALSE)</f>
        <v>8.6499999999999994E-2</v>
      </c>
      <c r="W22" s="796">
        <f>VLOOKUP($E22,'COS_Units (cust)'!$E$15:$Y$38,HLOOKUP(W$10,'COS_Units (cust)'!$E$12:$Y$13,2,FALSE),FALSE)</f>
        <v>0.1143</v>
      </c>
      <c r="X22" s="20"/>
    </row>
    <row r="23" spans="1:24" customFormat="1" ht="16.5" customHeight="1">
      <c r="A23" s="411"/>
      <c r="B23" s="17"/>
      <c r="C23" s="391">
        <f>+MAX(C21:C22)+1</f>
        <v>12</v>
      </c>
      <c r="D23" s="247"/>
      <c r="E23" s="444">
        <f>'COS_Units (sales)'!E26</f>
        <v>11</v>
      </c>
      <c r="F23" s="818"/>
      <c r="G23" s="818"/>
      <c r="H23" s="818"/>
      <c r="I23" s="796"/>
      <c r="J23" s="796"/>
      <c r="K23" s="796"/>
      <c r="L23" s="796"/>
      <c r="M23" s="818"/>
      <c r="N23" s="818"/>
      <c r="O23" s="818"/>
      <c r="P23" s="818"/>
      <c r="Q23" s="818"/>
      <c r="R23" s="818"/>
      <c r="S23" s="818"/>
      <c r="T23" s="818"/>
      <c r="U23" s="796"/>
      <c r="V23" s="818"/>
      <c r="W23" s="818"/>
      <c r="X23" s="20"/>
    </row>
    <row r="24" spans="1:24" customFormat="1" ht="16.5" customHeight="1">
      <c r="A24" s="411"/>
      <c r="B24" s="17"/>
      <c r="C24" s="391">
        <f t="shared" ref="C24:C58" si="1">+MAX(C21:C23)+1</f>
        <v>13</v>
      </c>
      <c r="D24" s="14" t="s">
        <v>21</v>
      </c>
      <c r="E24" s="444">
        <f>'COS_Units (sales)'!E27</f>
        <v>12</v>
      </c>
      <c r="F24" s="796"/>
      <c r="G24" s="796"/>
      <c r="H24" s="796"/>
      <c r="I24" s="796"/>
      <c r="J24" s="796"/>
      <c r="K24" s="796"/>
      <c r="L24" s="796"/>
      <c r="M24" s="796"/>
      <c r="N24" s="796"/>
      <c r="O24" s="796"/>
      <c r="P24" s="796"/>
      <c r="Q24" s="796"/>
      <c r="R24" s="796"/>
      <c r="S24" s="796"/>
      <c r="T24" s="796"/>
      <c r="U24" s="796"/>
      <c r="V24" s="796"/>
      <c r="W24" s="796"/>
      <c r="X24" s="20"/>
    </row>
    <row r="25" spans="1:24" customFormat="1" ht="16.5" customHeight="1">
      <c r="A25" s="411"/>
      <c r="B25" s="17"/>
      <c r="C25" s="391">
        <f t="shared" si="1"/>
        <v>14</v>
      </c>
      <c r="D25" s="15" t="s">
        <v>7</v>
      </c>
      <c r="E25" s="444">
        <f>'COS_Units (sales)'!E28</f>
        <v>13</v>
      </c>
      <c r="F25" s="796">
        <f>INDEX('COS_Units (sales)'!$F$16:$AI$62,MATCH($E25,'COS_Units (sales)'!$E$16:$E$62,0),MATCH(F$10,'COS_Units (sales)'!$F$13:$AI$13,0))</f>
        <v>1.9300000000000001E-2</v>
      </c>
      <c r="G25" s="796">
        <f>INDEX('COS_Units (sales)'!$F$16:$AI$62,MATCH($E25,'COS_Units (sales)'!$E$16:$E$62,0),MATCH(G$10,'COS_Units (sales)'!$F$13:$AI$13,0))</f>
        <v>2.35E-2</v>
      </c>
      <c r="H25" s="796">
        <f>INDEX('COS_Units (sales)'!$F$16:$AI$62,MATCH($E25,'COS_Units (sales)'!$E$16:$E$62,0),MATCH(H$10,'COS_Units (sales)'!$F$13:$AI$13,0))</f>
        <v>3.49E-2</v>
      </c>
      <c r="I25" s="796">
        <f>INDEX('COS_Units (sales)'!$F$16:$AI$62,MATCH($E25,'COS_Units (sales)'!$E$16:$E$62,0),MATCH(I$10,'COS_Units (sales)'!$F$13:$AI$13,0))</f>
        <v>3.0200000000000001E-2</v>
      </c>
      <c r="J25" s="796">
        <f>INDEX('COS_Units (sales)'!$F$16:$AI$62,MATCH($E25,'COS_Units (sales)'!$E$16:$E$62,0),MATCH(J$10,'COS_Units (sales)'!$F$13:$AI$13,0))</f>
        <v>0</v>
      </c>
      <c r="K25" s="796"/>
      <c r="L25" s="796"/>
      <c r="M25" s="796">
        <f>INDEX('COS_Units (sales)'!$F$16:$AI$62,MATCH($E25,'COS_Units (sales)'!$E$16:$E$62,0),MATCH(M$10,'COS_Units (sales)'!$F$13:$AI$13,0))</f>
        <v>3.3599999999999998E-2</v>
      </c>
      <c r="N25" s="796">
        <f>INDEX('COS_Units (sales)'!$F$16:$AI$62,MATCH($E25,'COS_Units (sales)'!$E$16:$E$62,0),MATCH(N$10,'COS_Units (sales)'!$F$13:$AI$13,0))</f>
        <v>3.5000000000000003E-2</v>
      </c>
      <c r="O25" s="796">
        <f>INDEX('COS_Units (sales)'!$F$16:$AI$62,MATCH($E25,'COS_Units (sales)'!$E$16:$E$62,0),MATCH(O$10,'COS_Units (sales)'!$F$13:$AI$13,0))</f>
        <v>3.0599999999999999E-2</v>
      </c>
      <c r="P25" s="796">
        <f>VLOOKUP($E25,'COS_Units (cust)'!$E$15:$Y$38,HLOOKUP(P$10,'COS_Units (cust)'!$E$12:$Y$13,2,FALSE),FALSE)</f>
        <v>0.19489999999999999</v>
      </c>
      <c r="Q25" s="796">
        <f>VLOOKUP($E25,'COS_Units (cust)'!$E$15:$Y$38,HLOOKUP(Q$10,'COS_Units (cust)'!$E$12:$Y$13,2,FALSE),FALSE)</f>
        <v>6.8500000000000005E-2</v>
      </c>
      <c r="R25" s="796">
        <f>VLOOKUP($E25,'COS_Units (cust)'!$E$15:$Y$38,HLOOKUP(R$10,'COS_Units (cust)'!$E$12:$Y$13,2,FALSE),FALSE)</f>
        <v>8.0500000000000002E-2</v>
      </c>
      <c r="S25" s="796">
        <f>VLOOKUP($E25,'COS_Units (cust)'!$E$15:$Y$38,HLOOKUP(S$10,'COS_Units (cust)'!$E$12:$Y$13,2,FALSE),FALSE)</f>
        <v>0.15</v>
      </c>
      <c r="T25" s="796">
        <f>VLOOKUP($E25,'COS_Units (cust)'!$E$15:$Y$38,HLOOKUP(T$10,'COS_Units (cust)'!$E$12:$Y$13,2,FALSE),FALSE)</f>
        <v>0.11799999999999999</v>
      </c>
      <c r="U25" s="796"/>
      <c r="V25" s="796">
        <f>VLOOKUP($E25,'COS_Units (cust)'!$E$15:$Y$38,HLOOKUP(V$10,'COS_Units (cust)'!$E$12:$Y$13,2,FALSE),FALSE)</f>
        <v>9.0800000000000006E-2</v>
      </c>
      <c r="W25" s="796">
        <f>VLOOKUP($E25,'COS_Units (cust)'!$E$15:$Y$38,HLOOKUP(W$10,'COS_Units (cust)'!$E$12:$Y$13,2,FALSE),FALSE)</f>
        <v>2.5899999999999999E-2</v>
      </c>
      <c r="X25" s="20"/>
    </row>
    <row r="26" spans="1:24" customFormat="1" ht="16.5" customHeight="1">
      <c r="A26" s="411"/>
      <c r="B26" s="17"/>
      <c r="C26" s="391">
        <f>+MAX(C24:C25)+1</f>
        <v>15</v>
      </c>
      <c r="D26" s="15" t="s">
        <v>8</v>
      </c>
      <c r="E26" s="444">
        <f>'COS_Units (sales)'!E29</f>
        <v>14</v>
      </c>
      <c r="F26" s="797">
        <f>INDEX('COS_Units (sales)'!$F$16:$AI$62,MATCH($E26,'COS_Units (sales)'!$E$16:$E$62,0),MATCH(F$10,'COS_Units (sales)'!$F$13:$AI$13,0))</f>
        <v>7.0800000000000002E-2</v>
      </c>
      <c r="G26" s="797">
        <f>INDEX('COS_Units (sales)'!$F$16:$AI$62,MATCH($E26,'COS_Units (sales)'!$E$16:$E$62,0),MATCH(G$10,'COS_Units (sales)'!$F$13:$AI$13,0))</f>
        <v>8.5900000000000004E-2</v>
      </c>
      <c r="H26" s="797">
        <f>INDEX('COS_Units (sales)'!$F$16:$AI$62,MATCH($E26,'COS_Units (sales)'!$E$16:$E$62,0),MATCH(H$10,'COS_Units (sales)'!$F$13:$AI$13,0))</f>
        <v>0.1278</v>
      </c>
      <c r="I26" s="797">
        <f>INDEX('COS_Units (sales)'!$F$16:$AI$62,MATCH($E26,'COS_Units (sales)'!$E$16:$E$62,0),MATCH(I$10,'COS_Units (sales)'!$F$13:$AI$13,0))</f>
        <v>0.1104</v>
      </c>
      <c r="J26" s="797">
        <f>INDEX('COS_Units (sales)'!$F$16:$AI$62,MATCH($E26,'COS_Units (sales)'!$E$16:$E$62,0),MATCH(J$10,'COS_Units (sales)'!$F$13:$AI$13,0))</f>
        <v>0</v>
      </c>
      <c r="K26" s="797"/>
      <c r="L26" s="797"/>
      <c r="M26" s="797">
        <f>INDEX('COS_Units (sales)'!$F$16:$AI$62,MATCH($E26,'COS_Units (sales)'!$E$16:$E$62,0),MATCH(M$10,'COS_Units (sales)'!$F$13:$AI$13,0))</f>
        <v>0.12280000000000001</v>
      </c>
      <c r="N26" s="797">
        <f>INDEX('COS_Units (sales)'!$F$16:$AI$62,MATCH($E26,'COS_Units (sales)'!$E$16:$E$62,0),MATCH(N$10,'COS_Units (sales)'!$F$13:$AI$13,0))</f>
        <v>0.12820000000000001</v>
      </c>
      <c r="O26" s="797">
        <f>INDEX('COS_Units (sales)'!$F$16:$AI$62,MATCH($E26,'COS_Units (sales)'!$E$16:$E$62,0),MATCH(O$10,'COS_Units (sales)'!$F$13:$AI$13,0))</f>
        <v>0.1118</v>
      </c>
      <c r="P26" s="797">
        <f>VLOOKUP($E26,'COS_Units (cust)'!$E$15:$Y$38,HLOOKUP(P$10,'COS_Units (cust)'!$E$12:$Y$13,2,FALSE),FALSE)</f>
        <v>0</v>
      </c>
      <c r="Q26" s="797">
        <f>VLOOKUP($E26,'COS_Units (cust)'!$E$15:$Y$38,HLOOKUP(Q$10,'COS_Units (cust)'!$E$12:$Y$13,2,FALSE),FALSE)</f>
        <v>0</v>
      </c>
      <c r="R26" s="797">
        <f>VLOOKUP($E26,'COS_Units (cust)'!$E$15:$Y$38,HLOOKUP(R$10,'COS_Units (cust)'!$E$12:$Y$13,2,FALSE),FALSE)</f>
        <v>8.7400000000000005E-2</v>
      </c>
      <c r="S26" s="797">
        <f>VLOOKUP($E26,'COS_Units (cust)'!$E$15:$Y$38,HLOOKUP(S$10,'COS_Units (cust)'!$E$12:$Y$13,2,FALSE),FALSE)</f>
        <v>0.16289999999999999</v>
      </c>
      <c r="T26" s="797">
        <f>VLOOKUP($E26,'COS_Units (cust)'!$E$15:$Y$38,HLOOKUP(T$10,'COS_Units (cust)'!$E$12:$Y$13,2,FALSE),FALSE)</f>
        <v>7.6799999999999993E-2</v>
      </c>
      <c r="U26" s="797"/>
      <c r="V26" s="797">
        <f>VLOOKUP($E26,'COS_Units (cust)'!$E$15:$Y$38,HLOOKUP(V$10,'COS_Units (cust)'!$E$12:$Y$13,2,FALSE),FALSE)</f>
        <v>5.9200000000000003E-2</v>
      </c>
      <c r="W26" s="797">
        <f>VLOOKUP($E26,'COS_Units (cust)'!$E$15:$Y$38,HLOOKUP(W$10,'COS_Units (cust)'!$E$12:$Y$13,2,FALSE),FALSE)</f>
        <v>8.2299999999999998E-2</v>
      </c>
      <c r="X26" s="20"/>
    </row>
    <row r="27" spans="1:24" customFormat="1" ht="16.5" customHeight="1">
      <c r="A27" s="411"/>
      <c r="B27" s="17"/>
      <c r="C27" s="391">
        <f>+MAX(C25:C26)+1</f>
        <v>16</v>
      </c>
      <c r="D27" s="39" t="s">
        <v>33</v>
      </c>
      <c r="E27" s="444">
        <f>'COS_Units (sales)'!E30</f>
        <v>15</v>
      </c>
      <c r="F27" s="796">
        <f>INDEX('COS_Units (sales)'!$F$16:$AI$62,MATCH($E27,'COS_Units (sales)'!$E$16:$E$62,0),MATCH(F$10,'COS_Units (sales)'!$F$13:$AI$13,0))</f>
        <v>9.01E-2</v>
      </c>
      <c r="G27" s="796">
        <f>INDEX('COS_Units (sales)'!$F$16:$AI$62,MATCH($E27,'COS_Units (sales)'!$E$16:$E$62,0),MATCH(G$10,'COS_Units (sales)'!$F$13:$AI$13,0))</f>
        <v>0.10920000000000001</v>
      </c>
      <c r="H27" s="796">
        <f>INDEX('COS_Units (sales)'!$F$16:$AI$62,MATCH($E27,'COS_Units (sales)'!$E$16:$E$62,0),MATCH(H$10,'COS_Units (sales)'!$F$13:$AI$13,0))</f>
        <v>0.16270000000000001</v>
      </c>
      <c r="I27" s="796">
        <f>INDEX('COS_Units (sales)'!$F$16:$AI$62,MATCH($E27,'COS_Units (sales)'!$E$16:$E$62,0),MATCH(I$10,'COS_Units (sales)'!$F$13:$AI$13,0))</f>
        <v>0.14050000000000001</v>
      </c>
      <c r="J27" s="796">
        <f>INDEX('COS_Units (sales)'!$F$16:$AI$62,MATCH($E27,'COS_Units (sales)'!$E$16:$E$62,0),MATCH(J$10,'COS_Units (sales)'!$F$13:$AI$13,0))</f>
        <v>0</v>
      </c>
      <c r="K27" s="796"/>
      <c r="L27" s="796"/>
      <c r="M27" s="796">
        <f>INDEX('COS_Units (sales)'!$F$16:$AI$62,MATCH($E27,'COS_Units (sales)'!$E$16:$E$62,0),MATCH(M$10,'COS_Units (sales)'!$F$13:$AI$13,0))</f>
        <v>0.15640000000000001</v>
      </c>
      <c r="N27" s="796">
        <f>INDEX('COS_Units (sales)'!$F$16:$AI$62,MATCH($E27,'COS_Units (sales)'!$E$16:$E$62,0),MATCH(N$10,'COS_Units (sales)'!$F$13:$AI$13,0))</f>
        <v>0.16320000000000001</v>
      </c>
      <c r="O27" s="796">
        <f>INDEX('COS_Units (sales)'!$F$16:$AI$62,MATCH($E27,'COS_Units (sales)'!$E$16:$E$62,0),MATCH(O$10,'COS_Units (sales)'!$F$13:$AI$13,0))</f>
        <v>0.14230000000000001</v>
      </c>
      <c r="P27" s="796">
        <f>VLOOKUP($E27,'COS_Units (cust)'!$E$15:$Y$38,HLOOKUP(P$10,'COS_Units (cust)'!$E$12:$Y$13,2,FALSE),FALSE)</f>
        <v>0.19489999999999999</v>
      </c>
      <c r="Q27" s="796">
        <f>VLOOKUP($E27,'COS_Units (cust)'!$E$15:$Y$38,HLOOKUP(Q$10,'COS_Units (cust)'!$E$12:$Y$13,2,FALSE),FALSE)</f>
        <v>6.8500000000000005E-2</v>
      </c>
      <c r="R27" s="796">
        <f>VLOOKUP($E27,'COS_Units (cust)'!$E$15:$Y$38,HLOOKUP(R$10,'COS_Units (cust)'!$E$12:$Y$13,2,FALSE),FALSE)</f>
        <v>0.16789999999999999</v>
      </c>
      <c r="S27" s="796">
        <f>VLOOKUP($E27,'COS_Units (cust)'!$E$15:$Y$38,HLOOKUP(S$10,'COS_Units (cust)'!$E$12:$Y$13,2,FALSE),FALSE)</f>
        <v>0.31290000000000001</v>
      </c>
      <c r="T27" s="796">
        <f>VLOOKUP($E27,'COS_Units (cust)'!$E$15:$Y$38,HLOOKUP(T$10,'COS_Units (cust)'!$E$12:$Y$13,2,FALSE),FALSE)</f>
        <v>0.1948</v>
      </c>
      <c r="U27" s="796"/>
      <c r="V27" s="796">
        <f>VLOOKUP($E27,'COS_Units (cust)'!$E$15:$Y$38,HLOOKUP(V$10,'COS_Units (cust)'!$E$12:$Y$13,2,FALSE),FALSE)</f>
        <v>0.15</v>
      </c>
      <c r="W27" s="796">
        <f>VLOOKUP($E27,'COS_Units (cust)'!$E$15:$Y$38,HLOOKUP(W$10,'COS_Units (cust)'!$E$12:$Y$13,2,FALSE),FALSE)</f>
        <v>0.10829999999999999</v>
      </c>
      <c r="X27" s="20"/>
    </row>
    <row r="28" spans="1:24" customFormat="1" ht="16.5" customHeight="1">
      <c r="A28" s="411"/>
      <c r="B28" s="17"/>
      <c r="C28" s="391">
        <f>+MAX(C26:C27)+1</f>
        <v>17</v>
      </c>
      <c r="D28" s="247"/>
      <c r="E28" s="444">
        <f>'COS_Units (sales)'!E31</f>
        <v>16</v>
      </c>
      <c r="F28" s="818"/>
      <c r="G28" s="818"/>
      <c r="H28" s="818"/>
      <c r="I28" s="796"/>
      <c r="J28" s="796"/>
      <c r="K28" s="796"/>
      <c r="L28" s="796"/>
      <c r="M28" s="818"/>
      <c r="N28" s="818"/>
      <c r="O28" s="818"/>
      <c r="P28" s="818"/>
      <c r="Q28" s="818"/>
      <c r="R28" s="818"/>
      <c r="S28" s="818"/>
      <c r="T28" s="818"/>
      <c r="U28" s="796"/>
      <c r="V28" s="818"/>
      <c r="W28" s="818"/>
      <c r="X28" s="20"/>
    </row>
    <row r="29" spans="1:24" customFormat="1" ht="16.5" customHeight="1">
      <c r="A29" s="411"/>
      <c r="B29" s="17"/>
      <c r="C29" s="391">
        <f t="shared" si="1"/>
        <v>18</v>
      </c>
      <c r="D29" s="14" t="s">
        <v>22</v>
      </c>
      <c r="E29" s="444">
        <f>'COS_Units (sales)'!E32</f>
        <v>17</v>
      </c>
      <c r="F29" s="796"/>
      <c r="G29" s="796"/>
      <c r="H29" s="796"/>
      <c r="I29" s="796"/>
      <c r="J29" s="796"/>
      <c r="K29" s="796"/>
      <c r="L29" s="796"/>
      <c r="M29" s="796"/>
      <c r="N29" s="796"/>
      <c r="O29" s="796"/>
      <c r="P29" s="796"/>
      <c r="Q29" s="796"/>
      <c r="R29" s="796"/>
      <c r="S29" s="796"/>
      <c r="T29" s="796"/>
      <c r="U29" s="796"/>
      <c r="V29" s="796"/>
      <c r="W29" s="796"/>
      <c r="X29" s="20"/>
    </row>
    <row r="30" spans="1:24" customFormat="1" ht="16.5" customHeight="1">
      <c r="A30" s="411"/>
      <c r="B30" s="17"/>
      <c r="C30" s="391">
        <f t="shared" si="1"/>
        <v>19</v>
      </c>
      <c r="D30" s="39" t="s">
        <v>34</v>
      </c>
      <c r="E30" s="444">
        <f>'COS_Units (sales)'!E33</f>
        <v>18</v>
      </c>
      <c r="F30" s="796">
        <f>INDEX('COS_Units (sales)'!$F$16:$AI$62,MATCH($E30,'COS_Units (sales)'!$E$16:$E$62,0),MATCH(F$10,'COS_Units (sales)'!$F$13:$AI$13,0))</f>
        <v>4.6699999999999998E-2</v>
      </c>
      <c r="G30" s="796">
        <f>INDEX('COS_Units (sales)'!$F$16:$AI$62,MATCH($E30,'COS_Units (sales)'!$E$16:$E$62,0),MATCH(G$10,'COS_Units (sales)'!$F$13:$AI$13,0))</f>
        <v>4.5100000000000001E-2</v>
      </c>
      <c r="H30" s="796">
        <f>INDEX('COS_Units (sales)'!$F$16:$AI$62,MATCH($E30,'COS_Units (sales)'!$E$16:$E$62,0),MATCH(H$10,'COS_Units (sales)'!$F$13:$AI$13,0))</f>
        <v>5.1400000000000001E-2</v>
      </c>
      <c r="I30" s="796">
        <f>INDEX('COS_Units (sales)'!$F$16:$AI$62,MATCH($E30,'COS_Units (sales)'!$E$16:$E$62,0),MATCH(I$10,'COS_Units (sales)'!$F$13:$AI$13,0))</f>
        <v>4.2500000000000003E-2</v>
      </c>
      <c r="J30" s="796">
        <f>INDEX('COS_Units (sales)'!$F$16:$AI$62,MATCH($E30,'COS_Units (sales)'!$E$16:$E$62,0),MATCH(J$10,'COS_Units (sales)'!$F$13:$AI$13,0))</f>
        <v>0</v>
      </c>
      <c r="K30" s="796"/>
      <c r="L30" s="796"/>
      <c r="M30" s="796">
        <f>INDEX('COS_Units (sales)'!$F$16:$AI$62,MATCH($E30,'COS_Units (sales)'!$E$16:$E$62,0),MATCH(M$10,'COS_Units (sales)'!$F$13:$AI$13,0))</f>
        <v>4.41E-2</v>
      </c>
      <c r="N30" s="796">
        <f>INDEX('COS_Units (sales)'!$F$16:$AI$62,MATCH($E30,'COS_Units (sales)'!$E$16:$E$62,0),MATCH(N$10,'COS_Units (sales)'!$F$13:$AI$13,0))</f>
        <v>6.5799999999999997E-2</v>
      </c>
      <c r="O30" s="796">
        <f>INDEX('COS_Units (sales)'!$F$16:$AI$62,MATCH($E30,'COS_Units (sales)'!$E$16:$E$62,0),MATCH(O$10,'COS_Units (sales)'!$F$13:$AI$13,0))</f>
        <v>0</v>
      </c>
      <c r="P30" s="796">
        <f>VLOOKUP($E30,'COS_Units (cust)'!$E$15:$Y$38,HLOOKUP(P$10,'COS_Units (cust)'!$E$12:$Y$13,2,FALSE),FALSE)</f>
        <v>0</v>
      </c>
      <c r="Q30" s="796">
        <f>VLOOKUP($E30,'COS_Units (cust)'!$E$15:$Y$38,HLOOKUP(Q$10,'COS_Units (cust)'!$E$12:$Y$13,2,FALSE),FALSE)</f>
        <v>0</v>
      </c>
      <c r="R30" s="796">
        <f>VLOOKUP($E30,'COS_Units (cust)'!$E$15:$Y$38,HLOOKUP(R$10,'COS_Units (cust)'!$E$12:$Y$13,2,FALSE),FALSE)</f>
        <v>1.9300000000000001E-2</v>
      </c>
      <c r="S30" s="796">
        <f>VLOOKUP($E30,'COS_Units (cust)'!$E$15:$Y$38,HLOOKUP(S$10,'COS_Units (cust)'!$E$12:$Y$13,2,FALSE),FALSE)</f>
        <v>2.4E-2</v>
      </c>
      <c r="T30" s="796">
        <f>VLOOKUP($E30,'COS_Units (cust)'!$E$15:$Y$38,HLOOKUP(T$10,'COS_Units (cust)'!$E$12:$Y$13,2,FALSE),FALSE)</f>
        <v>1.89E-2</v>
      </c>
      <c r="U30" s="796"/>
      <c r="V30" s="796">
        <f>VLOOKUP($E30,'COS_Units (cust)'!$E$15:$Y$38,HLOOKUP(V$10,'COS_Units (cust)'!$E$12:$Y$13,2,FALSE),FALSE)</f>
        <v>2.2000000000000001E-3</v>
      </c>
      <c r="W30" s="796">
        <f>VLOOKUP($E30,'COS_Units (cust)'!$E$15:$Y$38,HLOOKUP(W$10,'COS_Units (cust)'!$E$12:$Y$13,2,FALSE),FALSE)</f>
        <v>3.6200000000000003E-2</v>
      </c>
      <c r="X30" s="20"/>
    </row>
    <row r="31" spans="1:24" customFormat="1" ht="16.5" customHeight="1">
      <c r="A31" s="411"/>
      <c r="B31" s="17"/>
      <c r="C31" s="391">
        <f t="shared" si="1"/>
        <v>20</v>
      </c>
      <c r="D31" s="206"/>
      <c r="E31" s="444">
        <f>'COS_Units (sales)'!E34</f>
        <v>19</v>
      </c>
      <c r="F31" s="818"/>
      <c r="G31" s="818"/>
      <c r="H31" s="818"/>
      <c r="I31" s="796"/>
      <c r="J31" s="796"/>
      <c r="K31" s="796"/>
      <c r="L31" s="796"/>
      <c r="M31" s="818"/>
      <c r="N31" s="818"/>
      <c r="O31" s="818"/>
      <c r="P31" s="818"/>
      <c r="Q31" s="818"/>
      <c r="R31" s="818"/>
      <c r="S31" s="818"/>
      <c r="T31" s="818"/>
      <c r="U31" s="796"/>
      <c r="V31" s="818"/>
      <c r="W31" s="818"/>
      <c r="X31" s="20"/>
    </row>
    <row r="32" spans="1:24" customFormat="1" ht="16.5" customHeight="1">
      <c r="A32" s="411"/>
      <c r="B32" s="17"/>
      <c r="C32" s="391">
        <f t="shared" si="1"/>
        <v>21</v>
      </c>
      <c r="D32" s="14" t="s">
        <v>16</v>
      </c>
      <c r="E32" s="444">
        <f>'COS_Units (sales)'!E35</f>
        <v>20</v>
      </c>
      <c r="F32" s="796"/>
      <c r="G32" s="796"/>
      <c r="H32" s="796"/>
      <c r="I32" s="796"/>
      <c r="J32" s="796"/>
      <c r="K32" s="796"/>
      <c r="L32" s="796"/>
      <c r="M32" s="796"/>
      <c r="N32" s="796"/>
      <c r="O32" s="796"/>
      <c r="P32" s="796"/>
      <c r="Q32" s="796"/>
      <c r="R32" s="796"/>
      <c r="S32" s="796"/>
      <c r="T32" s="796"/>
      <c r="U32" s="796"/>
      <c r="V32" s="796"/>
      <c r="W32" s="796"/>
      <c r="X32" s="20"/>
    </row>
    <row r="33" spans="1:24" customFormat="1" ht="16.5" customHeight="1">
      <c r="A33" s="411"/>
      <c r="B33" s="17"/>
      <c r="C33" s="391">
        <f t="shared" si="1"/>
        <v>22</v>
      </c>
      <c r="D33" s="39" t="s">
        <v>35</v>
      </c>
      <c r="E33" s="444">
        <f>'COS_Units (sales)'!E36</f>
        <v>21</v>
      </c>
      <c r="F33" s="796">
        <f>INDEX('COS_Units (sales)'!$F$16:$AI$62,MATCH($E33,'COS_Units (sales)'!$E$16:$E$62,0),MATCH(F$10,'COS_Units (sales)'!$F$13:$AI$13,0))</f>
        <v>0.14449999999999999</v>
      </c>
      <c r="G33" s="796">
        <f>INDEX('COS_Units (sales)'!$F$16:$AI$62,MATCH($E33,'COS_Units (sales)'!$E$16:$E$62,0),MATCH(G$10,'COS_Units (sales)'!$F$13:$AI$13,0))</f>
        <v>0.13569999999999999</v>
      </c>
      <c r="H33" s="796">
        <f>INDEX('COS_Units (sales)'!$F$16:$AI$62,MATCH($E33,'COS_Units (sales)'!$E$16:$E$62,0),MATCH(H$10,'COS_Units (sales)'!$F$13:$AI$13,0))</f>
        <v>8.8200000000000001E-2</v>
      </c>
      <c r="I33" s="796">
        <f>INDEX('COS_Units (sales)'!$F$16:$AI$62,MATCH($E33,'COS_Units (sales)'!$E$16:$E$62,0),MATCH(I$10,'COS_Units (sales)'!$F$13:$AI$13,0))</f>
        <v>0.12139999999999999</v>
      </c>
      <c r="J33" s="796">
        <f>INDEX('COS_Units (sales)'!$F$16:$AI$62,MATCH($E33,'COS_Units (sales)'!$E$16:$E$62,0),MATCH(J$10,'COS_Units (sales)'!$F$13:$AI$13,0))</f>
        <v>0.2104</v>
      </c>
      <c r="K33" s="3008">
        <v>1</v>
      </c>
      <c r="L33" s="796"/>
      <c r="M33" s="796">
        <f>INDEX('COS_Units (sales)'!$F$16:$AI$62,MATCH($E33,'COS_Units (sales)'!$E$16:$E$62,0),MATCH(M$10,'COS_Units (sales)'!$F$13:$AI$13,0))</f>
        <v>0.1181</v>
      </c>
      <c r="N33" s="796">
        <f>INDEX('COS_Units (sales)'!$F$16:$AI$62,MATCH($E33,'COS_Units (sales)'!$E$16:$E$62,0),MATCH(N$10,'COS_Units (sales)'!$F$13:$AI$13,0))</f>
        <v>0.1762</v>
      </c>
      <c r="O33" s="796">
        <f>INDEX('COS_Units (sales)'!$F$16:$AI$62,MATCH($E33,'COS_Units (sales)'!$E$16:$E$62,0),MATCH(O$10,'COS_Units (sales)'!$F$13:$AI$13,0))</f>
        <v>0</v>
      </c>
      <c r="P33" s="796">
        <f>VLOOKUP($E33,'COS_Units (cust)'!$E$15:$Y$38,HLOOKUP(P$10,'COS_Units (cust)'!$E$12:$Y$13,2,FALSE),FALSE)</f>
        <v>0</v>
      </c>
      <c r="Q33" s="796">
        <f>VLOOKUP($E33,'COS_Units (cust)'!$E$15:$Y$38,HLOOKUP(Q$10,'COS_Units (cust)'!$E$12:$Y$13,2,FALSE),FALSE)</f>
        <v>0</v>
      </c>
      <c r="R33" s="796">
        <f>VLOOKUP($E33,'COS_Units (cust)'!$E$15:$Y$38,HLOOKUP(R$10,'COS_Units (cust)'!$E$12:$Y$13,2,FALSE),FALSE)</f>
        <v>0</v>
      </c>
      <c r="S33" s="796">
        <f>VLOOKUP($E33,'COS_Units (cust)'!$E$15:$Y$38,HLOOKUP(S$10,'COS_Units (cust)'!$E$12:$Y$13,2,FALSE),FALSE)</f>
        <v>3.8999999999999998E-3</v>
      </c>
      <c r="T33" s="796">
        <f>VLOOKUP($E33,'COS_Units (cust)'!$E$15:$Y$38,HLOOKUP(T$10,'COS_Units (cust)'!$E$12:$Y$13,2,FALSE),FALSE)</f>
        <v>4.1000000000000003E-3</v>
      </c>
      <c r="U33" s="796"/>
      <c r="V33" s="796">
        <f>VLOOKUP($E33,'COS_Units (cust)'!$E$15:$Y$38,HLOOKUP(V$10,'COS_Units (cust)'!$E$12:$Y$13,2,FALSE),FALSE)</f>
        <v>2.0000000000000001E-4</v>
      </c>
      <c r="W33" s="796">
        <f>VLOOKUP($E33,'COS_Units (cust)'!$E$15:$Y$38,HLOOKUP(W$10,'COS_Units (cust)'!$E$12:$Y$13,2,FALSE),FALSE)</f>
        <v>0.13</v>
      </c>
      <c r="X33" s="20"/>
    </row>
    <row r="34" spans="1:24" customFormat="1" ht="16.5" customHeight="1">
      <c r="A34" s="411"/>
      <c r="B34" s="17"/>
      <c r="C34" s="391">
        <f t="shared" si="1"/>
        <v>23</v>
      </c>
      <c r="D34" s="247"/>
      <c r="E34" s="444">
        <f>'COS_Units (sales)'!E37</f>
        <v>22</v>
      </c>
      <c r="F34" s="818"/>
      <c r="G34" s="818"/>
      <c r="H34" s="818"/>
      <c r="I34" s="796"/>
      <c r="J34" s="796"/>
      <c r="K34" s="796"/>
      <c r="L34" s="796"/>
      <c r="M34" s="818"/>
      <c r="N34" s="818"/>
      <c r="O34" s="818"/>
      <c r="P34" s="818"/>
      <c r="Q34" s="818"/>
      <c r="R34" s="818"/>
      <c r="S34" s="818"/>
      <c r="T34" s="818"/>
      <c r="U34" s="796"/>
      <c r="V34" s="818"/>
      <c r="W34" s="818"/>
      <c r="X34" s="20"/>
    </row>
    <row r="35" spans="1:24" customFormat="1" ht="16.5" customHeight="1">
      <c r="A35" s="411"/>
      <c r="B35" s="17"/>
      <c r="C35" s="391">
        <f t="shared" si="1"/>
        <v>24</v>
      </c>
      <c r="D35" s="246" t="s">
        <v>17</v>
      </c>
      <c r="E35" s="444">
        <f>'COS_Units (sales)'!E38</f>
        <v>23</v>
      </c>
      <c r="F35" s="796"/>
      <c r="G35" s="796"/>
      <c r="H35" s="796"/>
      <c r="I35" s="796"/>
      <c r="J35" s="796"/>
      <c r="K35" s="796"/>
      <c r="L35" s="796"/>
      <c r="M35" s="796"/>
      <c r="N35" s="796"/>
      <c r="O35" s="796"/>
      <c r="P35" s="796"/>
      <c r="Q35" s="796"/>
      <c r="R35" s="796"/>
      <c r="S35" s="796"/>
      <c r="T35" s="796"/>
      <c r="U35" s="796"/>
      <c r="V35" s="796"/>
      <c r="W35" s="796"/>
      <c r="X35" s="20"/>
    </row>
    <row r="36" spans="1:24" customFormat="1" ht="16.5" customHeight="1">
      <c r="A36" s="411"/>
      <c r="B36" s="17"/>
      <c r="C36" s="391">
        <f t="shared" si="1"/>
        <v>25</v>
      </c>
      <c r="D36" s="39" t="s">
        <v>36</v>
      </c>
      <c r="E36" s="444">
        <f>'COS_Units (sales)'!E39</f>
        <v>24</v>
      </c>
      <c r="F36" s="796">
        <f>INDEX('COS_Units (sales)'!$F$16:$AI$62,MATCH($E36,'COS_Units (sales)'!$E$16:$E$62,0),MATCH(F$10,'COS_Units (sales)'!$F$13:$AI$13,0))</f>
        <v>0.41210000000000002</v>
      </c>
      <c r="G36" s="796">
        <f>INDEX('COS_Units (sales)'!$F$16:$AI$62,MATCH($E36,'COS_Units (sales)'!$E$16:$E$62,0),MATCH(G$10,'COS_Units (sales)'!$F$13:$AI$13,0))</f>
        <v>0.36230000000000001</v>
      </c>
      <c r="H36" s="796">
        <f>INDEX('COS_Units (sales)'!$F$16:$AI$62,MATCH($E36,'COS_Units (sales)'!$E$16:$E$62,0),MATCH(H$10,'COS_Units (sales)'!$F$13:$AI$13,0))</f>
        <v>0.24979999999999999</v>
      </c>
      <c r="I36" s="796">
        <f>INDEX('COS_Units (sales)'!$F$16:$AI$62,MATCH($E36,'COS_Units (sales)'!$E$16:$E$62,0),MATCH(I$10,'COS_Units (sales)'!$F$13:$AI$13,0))</f>
        <v>0.28129999999999999</v>
      </c>
      <c r="J36" s="796">
        <f>INDEX('COS_Units (sales)'!$F$16:$AI$62,MATCH($E36,'COS_Units (sales)'!$E$16:$E$62,0),MATCH(J$10,'COS_Units (sales)'!$F$13:$AI$13,0))</f>
        <v>0.70240000000000002</v>
      </c>
      <c r="K36" s="796"/>
      <c r="L36" s="3008">
        <v>1</v>
      </c>
      <c r="M36" s="796">
        <f>INDEX('COS_Units (sales)'!$F$16:$AI$62,MATCH($E36,'COS_Units (sales)'!$E$16:$E$62,0),MATCH(M$10,'COS_Units (sales)'!$F$13:$AI$13,0))</f>
        <v>0.24340000000000001</v>
      </c>
      <c r="N36" s="796">
        <f>INDEX('COS_Units (sales)'!$F$16:$AI$62,MATCH($E36,'COS_Units (sales)'!$E$16:$E$62,0),MATCH(N$10,'COS_Units (sales)'!$F$13:$AI$13,0))</f>
        <v>0.36299999999999999</v>
      </c>
      <c r="O36" s="796">
        <f>INDEX('COS_Units (sales)'!$F$16:$AI$62,MATCH($E36,'COS_Units (sales)'!$E$16:$E$62,0),MATCH(O$10,'COS_Units (sales)'!$F$13:$AI$13,0))</f>
        <v>0</v>
      </c>
      <c r="P36" s="796">
        <f>VLOOKUP($E36,'COS_Units (cust)'!$E$15:$Y$38,HLOOKUP(P$10,'COS_Units (cust)'!$E$12:$Y$13,2,FALSE),FALSE)</f>
        <v>0</v>
      </c>
      <c r="Q36" s="796">
        <f>VLOOKUP($E36,'COS_Units (cust)'!$E$15:$Y$38,HLOOKUP(Q$10,'COS_Units (cust)'!$E$12:$Y$13,2,FALSE),FALSE)</f>
        <v>0</v>
      </c>
      <c r="R36" s="796">
        <f>VLOOKUP($E36,'COS_Units (cust)'!$E$15:$Y$38,HLOOKUP(R$10,'COS_Units (cust)'!$E$12:$Y$13,2,FALSE),FALSE)</f>
        <v>0</v>
      </c>
      <c r="S36" s="796">
        <f>VLOOKUP($E36,'COS_Units (cust)'!$E$15:$Y$38,HLOOKUP(S$10,'COS_Units (cust)'!$E$12:$Y$13,2,FALSE),FALSE)</f>
        <v>2.0999999999999999E-3</v>
      </c>
      <c r="T36" s="796">
        <f>VLOOKUP($E36,'COS_Units (cust)'!$E$15:$Y$38,HLOOKUP(T$10,'COS_Units (cust)'!$E$12:$Y$13,2,FALSE),FALSE)</f>
        <v>5.4999999999999997E-3</v>
      </c>
      <c r="U36" s="796"/>
      <c r="V36" s="796">
        <f>VLOOKUP($E36,'COS_Units (cust)'!$E$15:$Y$38,HLOOKUP(V$10,'COS_Units (cust)'!$E$12:$Y$13,2,FALSE),FALSE)</f>
        <v>1E-4</v>
      </c>
      <c r="W36" s="796">
        <f>VLOOKUP($E36,'COS_Units (cust)'!$E$15:$Y$38,HLOOKUP(W$10,'COS_Units (cust)'!$E$12:$Y$13,2,FALSE),FALSE)</f>
        <v>0.36209999999999998</v>
      </c>
      <c r="X36" s="20"/>
    </row>
    <row r="37" spans="1:24" customFormat="1" ht="16.5" customHeight="1">
      <c r="A37" s="411"/>
      <c r="B37" s="17"/>
      <c r="C37" s="391">
        <f t="shared" si="1"/>
        <v>26</v>
      </c>
      <c r="D37" s="247"/>
      <c r="E37" s="444">
        <f>'COS_Units (sales)'!E40</f>
        <v>25</v>
      </c>
      <c r="F37" s="818"/>
      <c r="G37" s="818"/>
      <c r="H37" s="818"/>
      <c r="I37" s="796"/>
      <c r="J37" s="796"/>
      <c r="K37" s="796"/>
      <c r="L37" s="796"/>
      <c r="M37" s="818"/>
      <c r="N37" s="818"/>
      <c r="O37" s="818"/>
      <c r="P37" s="818"/>
      <c r="Q37" s="818"/>
      <c r="R37" s="818"/>
      <c r="S37" s="818"/>
      <c r="T37" s="818"/>
      <c r="U37" s="796"/>
      <c r="V37" s="818"/>
      <c r="W37" s="818"/>
      <c r="X37" s="20"/>
    </row>
    <row r="38" spans="1:24" customFormat="1" ht="16.5" customHeight="1">
      <c r="A38" s="411"/>
      <c r="B38" s="17"/>
      <c r="C38" s="391">
        <f t="shared" si="1"/>
        <v>27</v>
      </c>
      <c r="D38" s="246" t="s">
        <v>18</v>
      </c>
      <c r="E38" s="444">
        <f>'COS_Units (sales)'!E41</f>
        <v>26</v>
      </c>
      <c r="F38" s="796"/>
      <c r="G38" s="796"/>
      <c r="H38" s="796"/>
      <c r="I38" s="796"/>
      <c r="J38" s="796"/>
      <c r="K38" s="796"/>
      <c r="L38" s="796"/>
      <c r="M38" s="796"/>
      <c r="N38" s="796"/>
      <c r="O38" s="796"/>
      <c r="P38" s="796"/>
      <c r="Q38" s="796"/>
      <c r="R38" s="796"/>
      <c r="S38" s="796"/>
      <c r="T38" s="796"/>
      <c r="U38" s="796"/>
      <c r="V38" s="796"/>
      <c r="W38" s="796"/>
      <c r="X38" s="20"/>
    </row>
    <row r="39" spans="1:24" customFormat="1" ht="16.5" customHeight="1">
      <c r="A39" s="411"/>
      <c r="B39" s="17"/>
      <c r="C39" s="391">
        <f t="shared" si="1"/>
        <v>28</v>
      </c>
      <c r="D39" s="15" t="s">
        <v>37</v>
      </c>
      <c r="E39" s="444">
        <f>'COS_Units (sales)'!E42</f>
        <v>27</v>
      </c>
      <c r="F39" s="796">
        <f>INDEX('COS_Units (sales)'!$F$16:$AI$62,MATCH($E39,'COS_Units (sales)'!$E$16:$E$62,0),MATCH(F$10,'COS_Units (sales)'!$F$13:$AI$13,0))</f>
        <v>6.4600000000000005E-2</v>
      </c>
      <c r="G39" s="796">
        <f>INDEX('COS_Units (sales)'!$F$16:$AI$62,MATCH($E39,'COS_Units (sales)'!$E$16:$E$62,0),MATCH(G$10,'COS_Units (sales)'!$F$13:$AI$13,0))</f>
        <v>6.0600000000000001E-2</v>
      </c>
      <c r="H39" s="796">
        <f>INDEX('COS_Units (sales)'!$F$16:$AI$62,MATCH($E39,'COS_Units (sales)'!$E$16:$E$62,0),MATCH(H$10,'COS_Units (sales)'!$F$13:$AI$13,0))</f>
        <v>6.6199999999999995E-2</v>
      </c>
      <c r="I39" s="796">
        <f>INDEX('COS_Units (sales)'!$F$16:$AI$62,MATCH($E39,'COS_Units (sales)'!$E$16:$E$62,0),MATCH(I$10,'COS_Units (sales)'!$F$13:$AI$13,0))</f>
        <v>5.4300000000000001E-2</v>
      </c>
      <c r="J39" s="796">
        <f>INDEX('COS_Units (sales)'!$F$16:$AI$62,MATCH($E39,'COS_Units (sales)'!$E$16:$E$62,0),MATCH(J$10,'COS_Units (sales)'!$F$13:$AI$13,0))</f>
        <v>7.3499999999999996E-2</v>
      </c>
      <c r="K39" s="796"/>
      <c r="L39" s="796"/>
      <c r="M39" s="796">
        <f>INDEX('COS_Units (sales)'!$F$16:$AI$62,MATCH($E39,'COS_Units (sales)'!$E$16:$E$62,0),MATCH(M$10,'COS_Units (sales)'!$F$13:$AI$13,0))</f>
        <v>5.28E-2</v>
      </c>
      <c r="N39" s="796">
        <f>INDEX('COS_Units (sales)'!$F$16:$AI$62,MATCH($E39,'COS_Units (sales)'!$E$16:$E$62,0),MATCH(N$10,'COS_Units (sales)'!$F$13:$AI$13,0))</f>
        <v>7.8799999999999995E-2</v>
      </c>
      <c r="O39" s="796">
        <f>INDEX('COS_Units (sales)'!$F$16:$AI$62,MATCH($E39,'COS_Units (sales)'!$E$16:$E$62,0),MATCH(O$10,'COS_Units (sales)'!$F$13:$AI$13,0))</f>
        <v>0</v>
      </c>
      <c r="P39" s="796">
        <f>VLOOKUP($E39,'COS_Units (cust)'!$E$15:$Y$38,HLOOKUP(P$10,'COS_Units (cust)'!$E$12:$Y$13,2,FALSE),FALSE)</f>
        <v>0</v>
      </c>
      <c r="Q39" s="796">
        <f>VLOOKUP($E39,'COS_Units (cust)'!$E$15:$Y$38,HLOOKUP(Q$10,'COS_Units (cust)'!$E$12:$Y$13,2,FALSE),FALSE)</f>
        <v>0</v>
      </c>
      <c r="R39" s="796">
        <f>VLOOKUP($E39,'COS_Units (cust)'!$E$15:$Y$38,HLOOKUP(R$10,'COS_Units (cust)'!$E$12:$Y$13,2,FALSE),FALSE)</f>
        <v>0</v>
      </c>
      <c r="S39" s="796">
        <f>VLOOKUP($E39,'COS_Units (cust)'!$E$15:$Y$38,HLOOKUP(S$10,'COS_Units (cust)'!$E$12:$Y$13,2,FALSE),FALSE)</f>
        <v>3.3E-3</v>
      </c>
      <c r="T39" s="796">
        <f>VLOOKUP($E39,'COS_Units (cust)'!$E$15:$Y$38,HLOOKUP(T$10,'COS_Units (cust)'!$E$12:$Y$13,2,FALSE),FALSE)</f>
        <v>3.5000000000000001E-3</v>
      </c>
      <c r="U39" s="796"/>
      <c r="V39" s="796">
        <f>VLOOKUP($E39,'COS_Units (cust)'!$E$15:$Y$38,HLOOKUP(V$10,'COS_Units (cust)'!$E$12:$Y$13,2,FALSE),FALSE)</f>
        <v>2.0000000000000001E-4</v>
      </c>
      <c r="W39" s="796">
        <f>VLOOKUP($E39,'COS_Units (cust)'!$E$15:$Y$38,HLOOKUP(W$10,'COS_Units (cust)'!$E$12:$Y$13,2,FALSE),FALSE)</f>
        <v>5.7299999999999997E-2</v>
      </c>
      <c r="X39" s="20"/>
    </row>
    <row r="40" spans="1:24" customFormat="1" ht="16.5" customHeight="1">
      <c r="A40" s="411"/>
      <c r="B40" s="17"/>
      <c r="C40" s="391">
        <f t="shared" si="1"/>
        <v>29</v>
      </c>
      <c r="D40" s="247"/>
      <c r="E40" s="444">
        <f>'COS_Units (sales)'!E43</f>
        <v>28</v>
      </c>
      <c r="F40" s="818"/>
      <c r="G40" s="818"/>
      <c r="H40" s="818"/>
      <c r="I40" s="796"/>
      <c r="J40" s="796"/>
      <c r="K40" s="796"/>
      <c r="L40" s="796"/>
      <c r="M40" s="818"/>
      <c r="N40" s="818"/>
      <c r="O40" s="818"/>
      <c r="P40" s="818"/>
      <c r="Q40" s="818"/>
      <c r="R40" s="818"/>
      <c r="S40" s="818"/>
      <c r="T40" s="818"/>
      <c r="U40" s="796"/>
      <c r="V40" s="818"/>
      <c r="W40" s="818"/>
      <c r="X40" s="20"/>
    </row>
    <row r="41" spans="1:24" customFormat="1" ht="16.5" customHeight="1">
      <c r="A41" s="411"/>
      <c r="B41" s="17"/>
      <c r="C41" s="391">
        <f t="shared" si="1"/>
        <v>30</v>
      </c>
      <c r="D41" s="246" t="s">
        <v>19</v>
      </c>
      <c r="E41" s="444">
        <f>'COS_Units (sales)'!E44</f>
        <v>29</v>
      </c>
      <c r="F41" s="796"/>
      <c r="G41" s="796"/>
      <c r="H41" s="796"/>
      <c r="I41" s="796"/>
      <c r="J41" s="796"/>
      <c r="K41" s="796"/>
      <c r="L41" s="796"/>
      <c r="M41" s="796"/>
      <c r="N41" s="796"/>
      <c r="O41" s="796"/>
      <c r="P41" s="796"/>
      <c r="Q41" s="796"/>
      <c r="R41" s="796"/>
      <c r="S41" s="796"/>
      <c r="T41" s="796"/>
      <c r="U41" s="796"/>
      <c r="V41" s="796"/>
      <c r="W41" s="796"/>
      <c r="X41" s="20"/>
    </row>
    <row r="42" spans="1:24" customFormat="1" ht="16.5" customHeight="1">
      <c r="A42" s="411"/>
      <c r="B42" s="17"/>
      <c r="C42" s="391">
        <f t="shared" si="1"/>
        <v>31</v>
      </c>
      <c r="D42" s="39" t="s">
        <v>38</v>
      </c>
      <c r="E42" s="444">
        <f>'COS_Units (sales)'!E45</f>
        <v>30</v>
      </c>
      <c r="F42" s="796">
        <f>INDEX('COS_Units (sales)'!$F$16:$AI$62,MATCH($E42,'COS_Units (sales)'!$E$16:$E$62,0),MATCH(F$10,'COS_Units (sales)'!$F$13:$AI$13,0))</f>
        <v>0</v>
      </c>
      <c r="G42" s="796">
        <f>INDEX('COS_Units (sales)'!$F$16:$AI$62,MATCH($E42,'COS_Units (sales)'!$E$16:$E$62,0),MATCH(G$10,'COS_Units (sales)'!$F$13:$AI$13,0))</f>
        <v>0</v>
      </c>
      <c r="H42" s="796">
        <f>INDEX('COS_Units (sales)'!$F$16:$AI$62,MATCH($E42,'COS_Units (sales)'!$E$16:$E$62,0),MATCH(H$10,'COS_Units (sales)'!$F$13:$AI$13,0))</f>
        <v>0</v>
      </c>
      <c r="I42" s="796">
        <f>INDEX('COS_Units (sales)'!$F$16:$AI$62,MATCH($E42,'COS_Units (sales)'!$E$16:$E$62,0),MATCH(I$10,'COS_Units (sales)'!$F$13:$AI$13,0))</f>
        <v>0</v>
      </c>
      <c r="J42" s="796">
        <f>INDEX('COS_Units (sales)'!$F$16:$AI$62,MATCH($E42,'COS_Units (sales)'!$E$16:$E$62,0),MATCH(J$10,'COS_Units (sales)'!$F$13:$AI$13,0))</f>
        <v>1.37E-2</v>
      </c>
      <c r="K42" s="796"/>
      <c r="L42" s="796"/>
      <c r="M42" s="796">
        <f>INDEX('COS_Units (sales)'!$F$16:$AI$62,MATCH($E42,'COS_Units (sales)'!$E$16:$E$62,0),MATCH(M$10,'COS_Units (sales)'!$F$13:$AI$13,0))</f>
        <v>0</v>
      </c>
      <c r="N42" s="796">
        <f>INDEX('COS_Units (sales)'!$F$16:$AI$62,MATCH($E42,'COS_Units (sales)'!$E$16:$E$62,0),MATCH(N$10,'COS_Units (sales)'!$F$13:$AI$13,0))</f>
        <v>0</v>
      </c>
      <c r="O42" s="796">
        <f>INDEX('COS_Units (sales)'!$F$16:$AI$62,MATCH($E42,'COS_Units (sales)'!$E$16:$E$62,0),MATCH(O$10,'COS_Units (sales)'!$F$13:$AI$13,0))</f>
        <v>0</v>
      </c>
      <c r="P42" s="796">
        <f>VLOOKUP($E42,'COS_Units (cust)'!$E$15:$Y$38,HLOOKUP(P$10,'COS_Units (cust)'!$E$12:$Y$13,2,FALSE),FALSE)</f>
        <v>0</v>
      </c>
      <c r="Q42" s="796">
        <f>VLOOKUP($E42,'COS_Units (cust)'!$E$15:$Y$38,HLOOKUP(Q$10,'COS_Units (cust)'!$E$12:$Y$13,2,FALSE),FALSE)</f>
        <v>0</v>
      </c>
      <c r="R42" s="796">
        <f>VLOOKUP($E42,'COS_Units (cust)'!$E$15:$Y$38,HLOOKUP(R$10,'COS_Units (cust)'!$E$12:$Y$13,2,FALSE),FALSE)</f>
        <v>0</v>
      </c>
      <c r="S42" s="796">
        <f>VLOOKUP($E42,'COS_Units (cust)'!$E$15:$Y$38,HLOOKUP(S$10,'COS_Units (cust)'!$E$12:$Y$13,2,FALSE),FALSE)</f>
        <v>2.9999999999999997E-4</v>
      </c>
      <c r="T42" s="796">
        <f>VLOOKUP($E42,'COS_Units (cust)'!$E$15:$Y$38,HLOOKUP(T$10,'COS_Units (cust)'!$E$12:$Y$13,2,FALSE),FALSE)</f>
        <v>2.9999999999999997E-4</v>
      </c>
      <c r="U42" s="796"/>
      <c r="V42" s="796">
        <f>VLOOKUP($E42,'COS_Units (cust)'!$E$15:$Y$38,HLOOKUP(V$10,'COS_Units (cust)'!$E$12:$Y$13,2,FALSE),FALSE)</f>
        <v>0</v>
      </c>
      <c r="W42" s="796">
        <f>VLOOKUP($E42,'COS_Units (cust)'!$E$15:$Y$38,HLOOKUP(W$10,'COS_Units (cust)'!$E$12:$Y$13,2,FALSE),FALSE)</f>
        <v>1E-4</v>
      </c>
      <c r="X42" s="20"/>
    </row>
    <row r="43" spans="1:24" customFormat="1" ht="16.5" customHeight="1">
      <c r="A43" s="411"/>
      <c r="B43" s="17"/>
      <c r="C43" s="391">
        <f t="shared" si="1"/>
        <v>32</v>
      </c>
      <c r="D43" s="247"/>
      <c r="E43" s="444">
        <f>'COS_Units (sales)'!E46</f>
        <v>31</v>
      </c>
      <c r="F43" s="818"/>
      <c r="G43" s="818"/>
      <c r="H43" s="818"/>
      <c r="I43" s="796"/>
      <c r="J43" s="796"/>
      <c r="K43" s="796"/>
      <c r="L43" s="796"/>
      <c r="M43" s="818"/>
      <c r="N43" s="818"/>
      <c r="O43" s="818"/>
      <c r="P43" s="818"/>
      <c r="Q43" s="818"/>
      <c r="R43" s="818"/>
      <c r="S43" s="818"/>
      <c r="T43" s="818"/>
      <c r="U43" s="796"/>
      <c r="V43" s="818"/>
      <c r="W43" s="818"/>
      <c r="X43" s="20"/>
    </row>
    <row r="44" spans="1:24" customFormat="1" ht="16.5" customHeight="1">
      <c r="A44" s="411"/>
      <c r="B44" s="17"/>
      <c r="C44" s="391">
        <f t="shared" si="1"/>
        <v>33</v>
      </c>
      <c r="D44" s="246" t="s">
        <v>20</v>
      </c>
      <c r="E44" s="444">
        <f>'COS_Units (sales)'!E47</f>
        <v>32</v>
      </c>
      <c r="F44" s="796"/>
      <c r="G44" s="796"/>
      <c r="H44" s="796"/>
      <c r="I44" s="796"/>
      <c r="J44" s="796"/>
      <c r="K44" s="796"/>
      <c r="L44" s="796"/>
      <c r="M44" s="796"/>
      <c r="N44" s="796"/>
      <c r="O44" s="796"/>
      <c r="P44" s="796"/>
      <c r="Q44" s="796"/>
      <c r="R44" s="796"/>
      <c r="S44" s="796"/>
      <c r="T44" s="796"/>
      <c r="U44" s="796"/>
      <c r="V44" s="796"/>
      <c r="W44" s="796"/>
      <c r="X44" s="20"/>
    </row>
    <row r="45" spans="1:24" customFormat="1" ht="16.5" customHeight="1">
      <c r="A45" s="411"/>
      <c r="B45" s="17"/>
      <c r="C45" s="391">
        <f t="shared" si="1"/>
        <v>34</v>
      </c>
      <c r="D45" s="39" t="s">
        <v>39</v>
      </c>
      <c r="E45" s="444">
        <f>'COS_Units (sales)'!E48</f>
        <v>33</v>
      </c>
      <c r="F45" s="796">
        <f>INDEX('COS_Units (sales)'!$F$16:$AI$62,MATCH($E45,'COS_Units (sales)'!$E$16:$E$62,0),MATCH(F$10,'COS_Units (sales)'!$F$13:$AI$13,0))</f>
        <v>0</v>
      </c>
      <c r="G45" s="796">
        <f>INDEX('COS_Units (sales)'!$F$16:$AI$62,MATCH($E45,'COS_Units (sales)'!$E$16:$E$62,0),MATCH(G$10,'COS_Units (sales)'!$F$13:$AI$13,0))</f>
        <v>0</v>
      </c>
      <c r="H45" s="796">
        <f>INDEX('COS_Units (sales)'!$F$16:$AI$62,MATCH($E45,'COS_Units (sales)'!$E$16:$E$62,0),MATCH(H$10,'COS_Units (sales)'!$F$13:$AI$13,0))</f>
        <v>0</v>
      </c>
      <c r="I45" s="796">
        <f>INDEX('COS_Units (sales)'!$F$16:$AI$62,MATCH($E45,'COS_Units (sales)'!$E$16:$E$62,0),MATCH(I$10,'COS_Units (sales)'!$F$13:$AI$13,0))</f>
        <v>0</v>
      </c>
      <c r="J45" s="796">
        <f>INDEX('COS_Units (sales)'!$F$16:$AI$62,MATCH($E45,'COS_Units (sales)'!$E$16:$E$62,0),MATCH(J$10,'COS_Units (sales)'!$F$13:$AI$13,0))</f>
        <v>0</v>
      </c>
      <c r="K45" s="796"/>
      <c r="L45" s="796"/>
      <c r="M45" s="796">
        <f>INDEX('COS_Units (sales)'!$F$16:$AI$62,MATCH($E45,'COS_Units (sales)'!$E$16:$E$62,0),MATCH(M$10,'COS_Units (sales)'!$F$13:$AI$13,0))</f>
        <v>0</v>
      </c>
      <c r="N45" s="796">
        <f>INDEX('COS_Units (sales)'!$F$16:$AI$62,MATCH($E45,'COS_Units (sales)'!$E$16:$E$62,0),MATCH(N$10,'COS_Units (sales)'!$F$13:$AI$13,0))</f>
        <v>0</v>
      </c>
      <c r="O45" s="796">
        <f>INDEX('COS_Units (sales)'!$F$16:$AI$62,MATCH($E45,'COS_Units (sales)'!$E$16:$E$62,0),MATCH(O$10,'COS_Units (sales)'!$F$13:$AI$13,0))</f>
        <v>0</v>
      </c>
      <c r="P45" s="796">
        <f>VLOOKUP($E45,'COS_Units (cust)'!$E$15:$Y$38,HLOOKUP(P$10,'COS_Units (cust)'!$E$12:$Y$13,2,FALSE),FALSE)</f>
        <v>0</v>
      </c>
      <c r="Q45" s="796">
        <f>VLOOKUP($E45,'COS_Units (cust)'!$E$15:$Y$38,HLOOKUP(Q$10,'COS_Units (cust)'!$E$12:$Y$13,2,FALSE),FALSE)</f>
        <v>0</v>
      </c>
      <c r="R45" s="796">
        <f>VLOOKUP($E45,'COS_Units (cust)'!$E$15:$Y$38,HLOOKUP(R$10,'COS_Units (cust)'!$E$12:$Y$13,2,FALSE),FALSE)</f>
        <v>0</v>
      </c>
      <c r="S45" s="796">
        <f>VLOOKUP($E45,'COS_Units (cust)'!$E$15:$Y$38,HLOOKUP(S$10,'COS_Units (cust)'!$E$12:$Y$13,2,FALSE),FALSE)</f>
        <v>0</v>
      </c>
      <c r="T45" s="796">
        <f>VLOOKUP($E45,'COS_Units (cust)'!$E$15:$Y$38,HLOOKUP(T$10,'COS_Units (cust)'!$E$12:$Y$13,2,FALSE),FALSE)</f>
        <v>0</v>
      </c>
      <c r="U45" s="796"/>
      <c r="V45" s="796">
        <f>VLOOKUP($E45,'COS_Units (cust)'!$E$15:$Y$38,HLOOKUP(V$10,'COS_Units (cust)'!$E$12:$Y$13,2,FALSE),FALSE)</f>
        <v>0</v>
      </c>
      <c r="W45" s="796">
        <f>VLOOKUP($E45,'COS_Units (cust)'!$E$15:$Y$38,HLOOKUP(W$10,'COS_Units (cust)'!$E$12:$Y$13,2,FALSE),FALSE)</f>
        <v>0</v>
      </c>
      <c r="X45" s="20"/>
    </row>
    <row r="46" spans="1:24" customFormat="1" ht="16.5" customHeight="1">
      <c r="A46" s="411"/>
      <c r="B46" s="17"/>
      <c r="C46" s="391">
        <f t="shared" si="1"/>
        <v>35</v>
      </c>
      <c r="D46" s="206"/>
      <c r="E46" s="444">
        <f>'COS_Units (sales)'!E49</f>
        <v>34</v>
      </c>
      <c r="F46" s="796"/>
      <c r="G46" s="796"/>
      <c r="H46" s="796"/>
      <c r="I46" s="796"/>
      <c r="J46" s="796"/>
      <c r="K46" s="796"/>
      <c r="L46" s="796"/>
      <c r="M46" s="796"/>
      <c r="N46" s="796"/>
      <c r="O46" s="796"/>
      <c r="P46" s="796"/>
      <c r="Q46" s="796"/>
      <c r="R46" s="796"/>
      <c r="S46" s="796"/>
      <c r="T46" s="796"/>
      <c r="U46" s="796"/>
      <c r="V46" s="796"/>
      <c r="W46" s="796"/>
      <c r="X46" s="20"/>
    </row>
    <row r="47" spans="1:24" customFormat="1" ht="16.5" customHeight="1">
      <c r="A47" s="411"/>
      <c r="B47" s="17"/>
      <c r="C47" s="391">
        <f t="shared" si="1"/>
        <v>36</v>
      </c>
      <c r="D47" s="246" t="s">
        <v>4</v>
      </c>
      <c r="E47" s="444">
        <f>'COS_Units (sales)'!E50</f>
        <v>35</v>
      </c>
      <c r="F47" s="796"/>
      <c r="G47" s="796"/>
      <c r="H47" s="796"/>
      <c r="I47" s="796"/>
      <c r="J47" s="796"/>
      <c r="K47" s="796"/>
      <c r="L47" s="796"/>
      <c r="M47" s="796"/>
      <c r="N47" s="796"/>
      <c r="O47" s="796"/>
      <c r="P47" s="796"/>
      <c r="Q47" s="796"/>
      <c r="R47" s="796"/>
      <c r="S47" s="796"/>
      <c r="T47" s="796"/>
      <c r="U47" s="796"/>
      <c r="V47" s="796"/>
      <c r="W47" s="796"/>
      <c r="X47" s="20"/>
    </row>
    <row r="48" spans="1:24" customFormat="1" ht="16.5" customHeight="1">
      <c r="A48" s="411"/>
      <c r="B48" s="17"/>
      <c r="C48" s="391">
        <f t="shared" si="1"/>
        <v>37</v>
      </c>
      <c r="D48" s="39" t="s">
        <v>40</v>
      </c>
      <c r="E48" s="444">
        <f>'COS_Units (sales)'!E51</f>
        <v>36</v>
      </c>
      <c r="F48" s="796">
        <f>INDEX('COS_Units (sales)'!$F$16:$AI$62,MATCH($E48,'COS_Units (sales)'!$E$16:$E$62,0),MATCH(F$10,'COS_Units (sales)'!$F$13:$AI$13,0))</f>
        <v>6.9999999999999999E-4</v>
      </c>
      <c r="G48" s="796">
        <f>INDEX('COS_Units (sales)'!$F$16:$AI$62,MATCH($E48,'COS_Units (sales)'!$E$16:$E$62,0),MATCH(G$10,'COS_Units (sales)'!$F$13:$AI$13,0))</f>
        <v>8.0000000000000004E-4</v>
      </c>
      <c r="H48" s="796">
        <f>INDEX('COS_Units (sales)'!$F$16:$AI$62,MATCH($E48,'COS_Units (sales)'!$E$16:$E$62,0),MATCH(H$10,'COS_Units (sales)'!$F$13:$AI$13,0))</f>
        <v>0</v>
      </c>
      <c r="I48" s="796">
        <f>INDEX('COS_Units (sales)'!$F$16:$AI$62,MATCH($E48,'COS_Units (sales)'!$E$16:$E$62,0),MATCH(I$10,'COS_Units (sales)'!$F$13:$AI$13,0))</f>
        <v>8.9999999999999998E-4</v>
      </c>
      <c r="J48" s="796">
        <f>INDEX('COS_Units (sales)'!$F$16:$AI$62,MATCH($E48,'COS_Units (sales)'!$E$16:$E$62,0),MATCH(J$10,'COS_Units (sales)'!$F$13:$AI$13,0))</f>
        <v>0</v>
      </c>
      <c r="K48" s="796"/>
      <c r="L48" s="796"/>
      <c r="M48" s="796">
        <f>INDEX('COS_Units (sales)'!$F$16:$AI$62,MATCH($E48,'COS_Units (sales)'!$E$16:$E$62,0),MATCH(M$10,'COS_Units (sales)'!$F$13:$AI$13,0))</f>
        <v>6.9999999999999999E-4</v>
      </c>
      <c r="N48" s="796">
        <f>INDEX('COS_Units (sales)'!$F$16:$AI$62,MATCH($E48,'COS_Units (sales)'!$E$16:$E$62,0),MATCH(N$10,'COS_Units (sales)'!$F$13:$AI$13,0))</f>
        <v>1E-3</v>
      </c>
      <c r="O48" s="796">
        <f>INDEX('COS_Units (sales)'!$F$16:$AI$62,MATCH($E48,'COS_Units (sales)'!$E$16:$E$62,0),MATCH(O$10,'COS_Units (sales)'!$F$13:$AI$13,0))</f>
        <v>0</v>
      </c>
      <c r="P48" s="796">
        <f>VLOOKUP($E48,'COS_Units (cust)'!$E$15:$Y$38,HLOOKUP(P$10,'COS_Units (cust)'!$E$12:$Y$13,2,FALSE),FALSE)</f>
        <v>2.5000000000000001E-3</v>
      </c>
      <c r="Q48" s="796">
        <f>VLOOKUP($E48,'COS_Units (cust)'!$E$15:$Y$38,HLOOKUP(Q$10,'COS_Units (cust)'!$E$12:$Y$13,2,FALSE),FALSE)</f>
        <v>2E-3</v>
      </c>
      <c r="R48" s="796">
        <f>VLOOKUP($E48,'COS_Units (cust)'!$E$15:$Y$38,HLOOKUP(R$10,'COS_Units (cust)'!$E$12:$Y$13,2,FALSE),FALSE)</f>
        <v>1.1000000000000001E-3</v>
      </c>
      <c r="S48" s="796">
        <f>VLOOKUP($E48,'COS_Units (cust)'!$E$15:$Y$38,HLOOKUP(S$10,'COS_Units (cust)'!$E$12:$Y$13,2,FALSE),FALSE)</f>
        <v>0</v>
      </c>
      <c r="T48" s="796">
        <f>VLOOKUP($E48,'COS_Units (cust)'!$E$15:$Y$38,HLOOKUP(T$10,'COS_Units (cust)'!$E$12:$Y$13,2,FALSE),FALSE)</f>
        <v>1E-3</v>
      </c>
      <c r="U48" s="798">
        <f>'COS_Units (cust)'!V33/SUM('COS_Units (cust)'!$V$33:$V$34)</f>
        <v>0.96681298134511484</v>
      </c>
      <c r="V48" s="796">
        <f>VLOOKUP($E48,'COS_Units (cust)'!$E$15:$Y$38,HLOOKUP(V$10,'COS_Units (cust)'!$E$12:$Y$13,2,FALSE),FALSE)</f>
        <v>1.1999999999999999E-3</v>
      </c>
      <c r="W48" s="796">
        <f>VLOOKUP($E48,'COS_Units (cust)'!$E$15:$Y$38,HLOOKUP(W$10,'COS_Units (cust)'!$E$12:$Y$13,2,FALSE),FALSE)</f>
        <v>3.3999999999999998E-3</v>
      </c>
      <c r="X48" s="20"/>
    </row>
    <row r="49" spans="1:24" customFormat="1" ht="16.5" customHeight="1">
      <c r="A49" s="411"/>
      <c r="B49" s="17"/>
      <c r="C49" s="391">
        <f t="shared" si="1"/>
        <v>38</v>
      </c>
      <c r="D49" s="247"/>
      <c r="E49" s="444">
        <f>'COS_Units (sales)'!E52</f>
        <v>37</v>
      </c>
      <c r="F49" s="796"/>
      <c r="G49" s="796"/>
      <c r="H49" s="796"/>
      <c r="I49" s="796"/>
      <c r="J49" s="796"/>
      <c r="K49" s="796"/>
      <c r="L49" s="796"/>
      <c r="M49" s="796"/>
      <c r="N49" s="796"/>
      <c r="O49" s="796"/>
      <c r="P49" s="796"/>
      <c r="Q49" s="796"/>
      <c r="R49" s="796"/>
      <c r="S49" s="796"/>
      <c r="T49" s="796"/>
      <c r="U49" s="796"/>
      <c r="V49" s="796"/>
      <c r="W49" s="796"/>
      <c r="X49" s="20"/>
    </row>
    <row r="50" spans="1:24" customFormat="1" ht="16.5" customHeight="1">
      <c r="A50" s="411"/>
      <c r="B50" s="17"/>
      <c r="C50" s="391">
        <f t="shared" si="1"/>
        <v>39</v>
      </c>
      <c r="D50" s="246" t="s">
        <v>5</v>
      </c>
      <c r="E50" s="444">
        <f>'COS_Units (sales)'!E53</f>
        <v>38</v>
      </c>
      <c r="F50" s="796"/>
      <c r="G50" s="796"/>
      <c r="H50" s="796"/>
      <c r="I50" s="796"/>
      <c r="J50" s="796"/>
      <c r="K50" s="796"/>
      <c r="L50" s="796"/>
      <c r="M50" s="796"/>
      <c r="N50" s="796"/>
      <c r="O50" s="796"/>
      <c r="P50" s="796"/>
      <c r="Q50" s="796"/>
      <c r="R50" s="796"/>
      <c r="S50" s="796"/>
      <c r="T50" s="796"/>
      <c r="U50" s="796"/>
      <c r="V50" s="796"/>
      <c r="W50" s="796"/>
      <c r="X50" s="20"/>
    </row>
    <row r="51" spans="1:24" customFormat="1" ht="16.5" customHeight="1">
      <c r="A51" s="411"/>
      <c r="B51" s="17"/>
      <c r="C51" s="391">
        <f t="shared" si="1"/>
        <v>40</v>
      </c>
      <c r="D51" s="39" t="s">
        <v>41</v>
      </c>
      <c r="E51" s="444">
        <f>'COS_Units (sales)'!E54</f>
        <v>39</v>
      </c>
      <c r="F51" s="796">
        <f>INDEX('COS_Units (sales)'!$F$16:$AI$62,MATCH($E51,'COS_Units (sales)'!$E$16:$E$62,0),MATCH(F$10,'COS_Units (sales)'!$F$13:$AI$13,0))</f>
        <v>1E-4</v>
      </c>
      <c r="G51" s="796">
        <f>INDEX('COS_Units (sales)'!$F$16:$AI$62,MATCH($E51,'COS_Units (sales)'!$E$16:$E$62,0),MATCH(G$10,'COS_Units (sales)'!$F$13:$AI$13,0))</f>
        <v>1E-4</v>
      </c>
      <c r="H51" s="796">
        <f>INDEX('COS_Units (sales)'!$F$16:$AI$62,MATCH($E51,'COS_Units (sales)'!$E$16:$E$62,0),MATCH(H$10,'COS_Units (sales)'!$F$13:$AI$13,0))</f>
        <v>0</v>
      </c>
      <c r="I51" s="796">
        <f>INDEX('COS_Units (sales)'!$F$16:$AI$62,MATCH($E51,'COS_Units (sales)'!$E$16:$E$62,0),MATCH(I$10,'COS_Units (sales)'!$F$13:$AI$13,0))</f>
        <v>1E-4</v>
      </c>
      <c r="J51" s="796">
        <f>INDEX('COS_Units (sales)'!$F$16:$AI$62,MATCH($E51,'COS_Units (sales)'!$E$16:$E$62,0),MATCH(J$10,'COS_Units (sales)'!$F$13:$AI$13,0))</f>
        <v>0</v>
      </c>
      <c r="K51" s="796"/>
      <c r="L51" s="796"/>
      <c r="M51" s="796">
        <f>INDEX('COS_Units (sales)'!$F$16:$AI$62,MATCH($E51,'COS_Units (sales)'!$E$16:$E$62,0),MATCH(M$10,'COS_Units (sales)'!$F$13:$AI$13,0))</f>
        <v>1E-4</v>
      </c>
      <c r="N51" s="796">
        <f>INDEX('COS_Units (sales)'!$F$16:$AI$62,MATCH($E51,'COS_Units (sales)'!$E$16:$E$62,0),MATCH(N$10,'COS_Units (sales)'!$F$13:$AI$13,0))</f>
        <v>1E-4</v>
      </c>
      <c r="O51" s="796">
        <f>INDEX('COS_Units (sales)'!$F$16:$AI$62,MATCH($E51,'COS_Units (sales)'!$E$16:$E$62,0),MATCH(O$10,'COS_Units (sales)'!$F$13:$AI$13,0))</f>
        <v>0</v>
      </c>
      <c r="P51" s="796">
        <f>VLOOKUP($E51,'COS_Units (cust)'!$E$15:$Y$38,HLOOKUP(P$10,'COS_Units (cust)'!$E$12:$Y$13,2,FALSE),FALSE)</f>
        <v>1.6000000000000001E-3</v>
      </c>
      <c r="Q51" s="796">
        <f>VLOOKUP($E51,'COS_Units (cust)'!$E$15:$Y$38,HLOOKUP(Q$10,'COS_Units (cust)'!$E$12:$Y$13,2,FALSE),FALSE)</f>
        <v>1.2999999999999999E-3</v>
      </c>
      <c r="R51" s="796">
        <f>VLOOKUP($E51,'COS_Units (cust)'!$E$15:$Y$38,HLOOKUP(R$10,'COS_Units (cust)'!$E$12:$Y$13,2,FALSE),FALSE)</f>
        <v>6.9999999999999999E-4</v>
      </c>
      <c r="S51" s="796">
        <f>VLOOKUP($E51,'COS_Units (cust)'!$E$15:$Y$38,HLOOKUP(S$10,'COS_Units (cust)'!$E$12:$Y$13,2,FALSE),FALSE)</f>
        <v>0</v>
      </c>
      <c r="T51" s="796">
        <f>VLOOKUP($E51,'COS_Units (cust)'!$E$15:$Y$38,HLOOKUP(T$10,'COS_Units (cust)'!$E$12:$Y$13,2,FALSE),FALSE)</f>
        <v>6.9999999999999999E-4</v>
      </c>
      <c r="U51" s="798">
        <f>1-U48</f>
        <v>3.3187018654885159E-2</v>
      </c>
      <c r="V51" s="796">
        <f>VLOOKUP($E51,'COS_Units (cust)'!$E$15:$Y$38,HLOOKUP(V$10,'COS_Units (cust)'!$E$12:$Y$13,2,FALSE),FALSE)</f>
        <v>8.0000000000000004E-4</v>
      </c>
      <c r="W51" s="796">
        <f>VLOOKUP($E51,'COS_Units (cust)'!$E$15:$Y$38,HLOOKUP(W$10,'COS_Units (cust)'!$E$12:$Y$13,2,FALSE),FALSE)</f>
        <v>1E-4</v>
      </c>
      <c r="X51" s="20"/>
    </row>
    <row r="52" spans="1:24" customFormat="1" ht="16.5" customHeight="1">
      <c r="A52" s="411"/>
      <c r="B52" s="17"/>
      <c r="C52" s="391">
        <f t="shared" si="1"/>
        <v>41</v>
      </c>
      <c r="D52" s="206"/>
      <c r="E52" s="444">
        <f>'COS_Units (sales)'!E55</f>
        <v>40</v>
      </c>
      <c r="F52" s="796"/>
      <c r="G52" s="796"/>
      <c r="H52" s="796"/>
      <c r="I52" s="796"/>
      <c r="J52" s="796"/>
      <c r="K52" s="796"/>
      <c r="L52" s="796"/>
      <c r="M52" s="796"/>
      <c r="N52" s="796"/>
      <c r="O52" s="796"/>
      <c r="P52" s="796"/>
      <c r="Q52" s="796"/>
      <c r="R52" s="796"/>
      <c r="S52" s="796"/>
      <c r="T52" s="796"/>
      <c r="U52" s="796"/>
      <c r="V52" s="796"/>
      <c r="W52" s="796"/>
      <c r="X52" s="20"/>
    </row>
    <row r="53" spans="1:24" customFormat="1" ht="16.5" customHeight="1">
      <c r="A53" s="411"/>
      <c r="B53" s="17"/>
      <c r="C53" s="391">
        <f t="shared" si="1"/>
        <v>42</v>
      </c>
      <c r="D53" s="246" t="s">
        <v>23</v>
      </c>
      <c r="E53" s="444">
        <f>'COS_Units (sales)'!E56</f>
        <v>41</v>
      </c>
      <c r="F53" s="796"/>
      <c r="G53" s="796"/>
      <c r="H53" s="796"/>
      <c r="I53" s="796"/>
      <c r="J53" s="796"/>
      <c r="K53" s="796"/>
      <c r="L53" s="796"/>
      <c r="M53" s="796"/>
      <c r="N53" s="796"/>
      <c r="O53" s="796"/>
      <c r="P53" s="796"/>
      <c r="Q53" s="796"/>
      <c r="R53" s="796"/>
      <c r="S53" s="796"/>
      <c r="T53" s="796"/>
      <c r="U53" s="796"/>
      <c r="V53" s="796"/>
      <c r="W53" s="796"/>
      <c r="X53" s="20"/>
    </row>
    <row r="54" spans="1:24" customFormat="1" ht="16.5" customHeight="1">
      <c r="A54" s="411"/>
      <c r="B54" s="17"/>
      <c r="C54" s="391">
        <f t="shared" si="1"/>
        <v>43</v>
      </c>
      <c r="D54" s="39" t="s">
        <v>42</v>
      </c>
      <c r="E54" s="444">
        <f>'COS_Units (sales)'!E57</f>
        <v>42</v>
      </c>
      <c r="F54" s="796">
        <f>INDEX('COS_Units (sales)'!$F$16:$AI$62,MATCH($E54,'COS_Units (sales)'!$E$16:$E$62,0),MATCH(F$10,'COS_Units (sales)'!$F$13:$AI$13,0))</f>
        <v>2.0000000000000001E-4</v>
      </c>
      <c r="G54" s="796">
        <f>INDEX('COS_Units (sales)'!$F$16:$AI$62,MATCH($E54,'COS_Units (sales)'!$E$16:$E$62,0),MATCH(G$10,'COS_Units (sales)'!$F$13:$AI$13,0))</f>
        <v>2.0000000000000001E-4</v>
      </c>
      <c r="H54" s="796">
        <f>INDEX('COS_Units (sales)'!$F$16:$AI$62,MATCH($E54,'COS_Units (sales)'!$E$16:$E$62,0),MATCH(H$10,'COS_Units (sales)'!$F$13:$AI$13,0))</f>
        <v>0</v>
      </c>
      <c r="I54" s="796">
        <f>INDEX('COS_Units (sales)'!$F$16:$AI$62,MATCH($E54,'COS_Units (sales)'!$E$16:$E$62,0),MATCH(I$10,'COS_Units (sales)'!$F$13:$AI$13,0))</f>
        <v>2.0000000000000001E-4</v>
      </c>
      <c r="J54" s="796">
        <f>INDEX('COS_Units (sales)'!$F$16:$AI$62,MATCH($E54,'COS_Units (sales)'!$E$16:$E$62,0),MATCH(J$10,'COS_Units (sales)'!$F$13:$AI$13,0))</f>
        <v>0</v>
      </c>
      <c r="K54" s="796"/>
      <c r="L54" s="796"/>
      <c r="M54" s="796">
        <f>INDEX('COS_Units (sales)'!$F$16:$AI$62,MATCH($E54,'COS_Units (sales)'!$E$16:$E$62,0),MATCH(M$10,'COS_Units (sales)'!$F$13:$AI$13,0))</f>
        <v>2.0000000000000001E-4</v>
      </c>
      <c r="N54" s="796">
        <f>INDEX('COS_Units (sales)'!$F$16:$AI$62,MATCH($E54,'COS_Units (sales)'!$E$16:$E$62,0),MATCH(N$10,'COS_Units (sales)'!$F$13:$AI$13,0))</f>
        <v>2.9999999999999997E-4</v>
      </c>
      <c r="O54" s="796">
        <f>INDEX('COS_Units (sales)'!$F$16:$AI$62,MATCH($E54,'COS_Units (sales)'!$E$16:$E$62,0),MATCH(O$10,'COS_Units (sales)'!$F$13:$AI$13,0))</f>
        <v>0</v>
      </c>
      <c r="P54" s="796">
        <f>VLOOKUP($E54,'COS_Units (cust)'!$E$15:$Y$38,HLOOKUP(P$10,'COS_Units (cust)'!$E$12:$Y$13,2,FALSE),FALSE)</f>
        <v>4.0000000000000002E-4</v>
      </c>
      <c r="Q54" s="796">
        <f>VLOOKUP($E54,'COS_Units (cust)'!$E$15:$Y$38,HLOOKUP(Q$10,'COS_Units (cust)'!$E$12:$Y$13,2,FALSE),FALSE)</f>
        <v>2.9999999999999997E-4</v>
      </c>
      <c r="R54" s="796">
        <f>VLOOKUP($E54,'COS_Units (cust)'!$E$15:$Y$38,HLOOKUP(R$10,'COS_Units (cust)'!$E$12:$Y$13,2,FALSE),FALSE)</f>
        <v>2.0000000000000001E-4</v>
      </c>
      <c r="S54" s="796">
        <f>VLOOKUP($E54,'COS_Units (cust)'!$E$15:$Y$38,HLOOKUP(S$10,'COS_Units (cust)'!$E$12:$Y$13,2,FALSE),FALSE)</f>
        <v>1E-4</v>
      </c>
      <c r="T54" s="796">
        <f>VLOOKUP($E54,'COS_Units (cust)'!$E$15:$Y$38,HLOOKUP(T$10,'COS_Units (cust)'!$E$12:$Y$13,2,FALSE),FALSE)</f>
        <v>2.0000000000000001E-4</v>
      </c>
      <c r="U54" s="796"/>
      <c r="V54" s="796">
        <f>VLOOKUP($E54,'COS_Units (cust)'!$E$15:$Y$38,HLOOKUP(V$10,'COS_Units (cust)'!$E$12:$Y$13,2,FALSE),FALSE)</f>
        <v>2.0000000000000001E-4</v>
      </c>
      <c r="W54" s="796">
        <f>VLOOKUP($E54,'COS_Units (cust)'!$E$15:$Y$38,HLOOKUP(W$10,'COS_Units (cust)'!$E$12:$Y$13,2,FALSE),FALSE)</f>
        <v>2.0000000000000001E-4</v>
      </c>
      <c r="X54" s="20"/>
    </row>
    <row r="55" spans="1:24" customFormat="1" ht="16.5" customHeight="1">
      <c r="A55" s="411"/>
      <c r="B55" s="17"/>
      <c r="C55" s="391">
        <f t="shared" si="1"/>
        <v>44</v>
      </c>
      <c r="D55" s="39"/>
      <c r="E55" s="444">
        <f>'COS_Units (sales)'!E58</f>
        <v>43</v>
      </c>
      <c r="F55" s="796"/>
      <c r="G55" s="796"/>
      <c r="H55" s="796"/>
      <c r="I55" s="796"/>
      <c r="J55" s="796"/>
      <c r="K55" s="796"/>
      <c r="L55" s="796"/>
      <c r="M55" s="796"/>
      <c r="N55" s="796"/>
      <c r="O55" s="796"/>
      <c r="P55" s="796"/>
      <c r="Q55" s="796"/>
      <c r="R55" s="796"/>
      <c r="S55" s="796"/>
      <c r="T55" s="796"/>
      <c r="U55" s="796"/>
      <c r="V55" s="796"/>
      <c r="W55" s="796"/>
      <c r="X55" s="20"/>
    </row>
    <row r="56" spans="1:24" customFormat="1" ht="16.5" customHeight="1">
      <c r="A56" s="411"/>
      <c r="B56" s="796"/>
      <c r="C56" s="391">
        <f t="shared" si="1"/>
        <v>45</v>
      </c>
      <c r="D56" s="796"/>
      <c r="E56" s="444">
        <f>'COS_Units (sales)'!E59</f>
        <v>44</v>
      </c>
      <c r="F56" s="796"/>
      <c r="G56" s="796"/>
      <c r="H56" s="796"/>
      <c r="I56" s="796"/>
      <c r="J56" s="796"/>
      <c r="K56" s="796"/>
      <c r="L56" s="796"/>
      <c r="M56" s="796"/>
      <c r="N56" s="796"/>
      <c r="O56" s="796"/>
      <c r="P56" s="796"/>
      <c r="Q56" s="796"/>
      <c r="R56" s="796"/>
      <c r="S56" s="796"/>
      <c r="T56" s="796"/>
      <c r="U56" s="796"/>
      <c r="V56" s="796"/>
      <c r="W56" s="796"/>
      <c r="X56" s="20"/>
    </row>
    <row r="57" spans="1:24" customFormat="1" ht="16.5" customHeight="1">
      <c r="A57" s="411"/>
      <c r="B57" s="17"/>
      <c r="C57" s="391">
        <f t="shared" si="1"/>
        <v>46</v>
      </c>
      <c r="D57" s="39" t="s">
        <v>83</v>
      </c>
      <c r="E57" s="444">
        <f>'COS_Units (sales)'!E60</f>
        <v>45</v>
      </c>
      <c r="F57" s="796">
        <f>INDEX('COS_Units (sales)'!$F$16:$AI$62,MATCH($E57,'COS_Units (sales)'!$E$16:$E$62,0),MATCH(F$10,'COS_Units (sales)'!$F$13:$AI$13,0))</f>
        <v>0</v>
      </c>
      <c r="G57" s="796">
        <f>INDEX('COS_Units (sales)'!$F$16:$AI$62,MATCH($E57,'COS_Units (sales)'!$E$16:$E$62,0),MATCH(G$10,'COS_Units (sales)'!$F$13:$AI$13,0))</f>
        <v>0</v>
      </c>
      <c r="H57" s="796">
        <f>INDEX('COS_Units (sales)'!$F$16:$AI$62,MATCH($E57,'COS_Units (sales)'!$E$16:$E$62,0),MATCH(H$10,'COS_Units (sales)'!$F$13:$AI$13,0))</f>
        <v>0</v>
      </c>
      <c r="I57" s="796">
        <f>INDEX('COS_Units (sales)'!$F$16:$AI$62,MATCH($E57,'COS_Units (sales)'!$E$16:$E$62,0),MATCH(I$10,'COS_Units (sales)'!$F$13:$AI$13,0))</f>
        <v>0</v>
      </c>
      <c r="J57" s="796">
        <f>INDEX('COS_Units (sales)'!$F$16:$AI$62,MATCH($E57,'COS_Units (sales)'!$E$16:$E$62,0),MATCH(J$10,'COS_Units (sales)'!$F$13:$AI$13,0))</f>
        <v>0</v>
      </c>
      <c r="K57" s="796"/>
      <c r="L57" s="796"/>
      <c r="M57" s="796">
        <f>INDEX('COS_Units (sales)'!$F$16:$AI$62,MATCH($E57,'COS_Units (sales)'!$E$16:$E$62,0),MATCH(M$10,'COS_Units (sales)'!$F$13:$AI$13,0))</f>
        <v>0</v>
      </c>
      <c r="N57" s="796">
        <f>INDEX('COS_Units (sales)'!$F$16:$AI$62,MATCH($E57,'COS_Units (sales)'!$E$16:$E$62,0),MATCH(N$10,'COS_Units (sales)'!$F$13:$AI$13,0))</f>
        <v>0</v>
      </c>
      <c r="O57" s="796">
        <f>INDEX('COS_Units (sales)'!$F$16:$AI$62,MATCH($E57,'COS_Units (sales)'!$E$16:$E$62,0),MATCH(O$10,'COS_Units (sales)'!$F$13:$AI$13,0))</f>
        <v>0</v>
      </c>
      <c r="P57" s="796">
        <f>VLOOKUP($E57,'COS_Units (cust)'!$E$15:$Y$38,HLOOKUP(P$10,'COS_Units (cust)'!$E$12:$Y$13,2,FALSE),FALSE)</f>
        <v>0</v>
      </c>
      <c r="Q57" s="796">
        <f>VLOOKUP($E57,'COS_Units (cust)'!$E$15:$Y$38,HLOOKUP(Q$10,'COS_Units (cust)'!$E$12:$Y$13,2,FALSE),FALSE)</f>
        <v>0</v>
      </c>
      <c r="R57" s="796">
        <f>VLOOKUP($E57,'COS_Units (cust)'!$E$15:$Y$38,HLOOKUP(R$10,'COS_Units (cust)'!$E$12:$Y$13,2,FALSE),FALSE)</f>
        <v>0</v>
      </c>
      <c r="S57" s="796">
        <f>VLOOKUP($E57,'COS_Units (cust)'!$E$15:$Y$38,HLOOKUP(S$10,'COS_Units (cust)'!$E$12:$Y$13,2,FALSE),FALSE)</f>
        <v>0</v>
      </c>
      <c r="T57" s="796">
        <f>VLOOKUP($E57,'COS_Units (cust)'!$E$15:$Y$38,HLOOKUP(T$10,'COS_Units (cust)'!$E$12:$Y$13,2,FALSE),FALSE)</f>
        <v>0</v>
      </c>
      <c r="U57" s="796"/>
      <c r="V57" s="796">
        <f>VLOOKUP($E57,'COS_Units (cust)'!$E$15:$Y$38,HLOOKUP(V$10,'COS_Units (cust)'!$E$12:$Y$13,2,FALSE),FALSE)</f>
        <v>0</v>
      </c>
      <c r="W57" s="796">
        <f>VLOOKUP($E57,'COS_Units (cust)'!$E$15:$Y$38,HLOOKUP(W$10,'COS_Units (cust)'!$E$12:$Y$13,2,FALSE),FALSE)</f>
        <v>0</v>
      </c>
      <c r="X57" s="20"/>
    </row>
    <row r="58" spans="1:24" customFormat="1" ht="16.5" customHeight="1">
      <c r="A58" s="411"/>
      <c r="B58" s="17"/>
      <c r="C58" s="391">
        <f t="shared" si="1"/>
        <v>47</v>
      </c>
      <c r="D58" s="254"/>
      <c r="E58" s="444">
        <f>'COS_Units (sales)'!E61</f>
        <v>46</v>
      </c>
      <c r="F58" s="796"/>
      <c r="G58" s="799"/>
      <c r="H58" s="799"/>
      <c r="I58" s="799"/>
      <c r="J58" s="799"/>
      <c r="K58" s="799"/>
      <c r="L58" s="799"/>
      <c r="M58" s="799"/>
      <c r="N58" s="799"/>
      <c r="O58" s="799"/>
      <c r="P58" s="799"/>
      <c r="Q58" s="799"/>
      <c r="R58" s="799"/>
      <c r="S58" s="799"/>
      <c r="T58" s="799"/>
      <c r="U58" s="800"/>
      <c r="V58" s="799"/>
      <c r="W58" s="799"/>
    </row>
    <row r="59" spans="1:24" customFormat="1" ht="16.5" customHeight="1" thickBot="1">
      <c r="A59" s="411"/>
      <c r="B59" s="17"/>
      <c r="C59" s="391">
        <f>+MAX(C58:C58)+1</f>
        <v>48</v>
      </c>
      <c r="D59" s="392" t="s">
        <v>892</v>
      </c>
      <c r="E59" s="444">
        <f>'COS_Units (sales)'!E62</f>
        <v>47</v>
      </c>
      <c r="F59" s="801">
        <f>SUM(F14,F17,F22,F27,F30,F33,F36,F39,F42,F45,F48,F51,F54,F57)</f>
        <v>1</v>
      </c>
      <c r="G59" s="801">
        <f>SUM(G14,G17,G22,G27,G30,G33,G36,G39,G42,G45,G48,G51,G54,G57)</f>
        <v>1.0000000000000002</v>
      </c>
      <c r="H59" s="801">
        <f>SUM(H14,H17,H22,H27,H30,H33,H36,H39,H42,H45,H48,H51,H54,H57)</f>
        <v>1</v>
      </c>
      <c r="I59" s="801">
        <f t="shared" ref="I59:W59" si="2">SUM(I14,I17,I22,I27,I30,I33,I36,I39,I42,I45,I48,I51,I54,I57)</f>
        <v>1</v>
      </c>
      <c r="J59" s="801">
        <f>SUM(J14,J17,J22,J27,J30,J33,J36,J39,J42,J45,J48,J51,J54,J57)</f>
        <v>1</v>
      </c>
      <c r="K59" s="801">
        <f>SUM(K14,K17,K22,K27,K30,K33,K36,K39,K42,K45,K48,K51,K54,K57)</f>
        <v>1</v>
      </c>
      <c r="L59" s="801">
        <f>SUM(L14,L17,L22,L27,L30,L33,L36,L39,L42,L45,L48,L51,L54,L57)</f>
        <v>1</v>
      </c>
      <c r="M59" s="801">
        <f t="shared" si="2"/>
        <v>0.99999999999999989</v>
      </c>
      <c r="N59" s="801">
        <f t="shared" si="2"/>
        <v>0.99999999999999989</v>
      </c>
      <c r="O59" s="801">
        <f t="shared" si="2"/>
        <v>1</v>
      </c>
      <c r="P59" s="801">
        <f t="shared" si="2"/>
        <v>0.99999999999999989</v>
      </c>
      <c r="Q59" s="801">
        <f t="shared" si="2"/>
        <v>1</v>
      </c>
      <c r="R59" s="801">
        <f t="shared" si="2"/>
        <v>0.99999999999999989</v>
      </c>
      <c r="S59" s="801">
        <f t="shared" si="2"/>
        <v>0.99999999999999989</v>
      </c>
      <c r="T59" s="801">
        <f t="shared" si="2"/>
        <v>1</v>
      </c>
      <c r="U59" s="801">
        <f t="shared" si="2"/>
        <v>1</v>
      </c>
      <c r="V59" s="801">
        <f t="shared" si="2"/>
        <v>0.99999999999999989</v>
      </c>
      <c r="W59" s="801">
        <f t="shared" si="2"/>
        <v>0.99999999999999989</v>
      </c>
    </row>
    <row r="60" spans="1:24">
      <c r="A60" s="411"/>
      <c r="E60" s="1"/>
    </row>
    <row r="61" spans="1:24" hidden="1"/>
    <row r="62" spans="1:24" hidden="1"/>
    <row r="63" spans="1:24" hidden="1">
      <c r="F63" s="203"/>
      <c r="G63" s="203"/>
      <c r="H63" s="203"/>
      <c r="I63" s="203"/>
      <c r="J63" s="203"/>
      <c r="K63" s="203"/>
      <c r="L63" s="203"/>
      <c r="M63" s="203"/>
      <c r="N63" s="203"/>
      <c r="O63" s="203"/>
      <c r="P63" s="203"/>
      <c r="Q63" s="203"/>
      <c r="R63" s="203"/>
      <c r="S63" s="203"/>
      <c r="T63" s="203"/>
      <c r="U63" s="203"/>
      <c r="V63" s="203"/>
      <c r="W63" s="203"/>
    </row>
    <row r="64" spans="1:24" hidden="1">
      <c r="F64" s="203"/>
      <c r="G64" s="203"/>
      <c r="H64" s="203"/>
      <c r="I64" s="203"/>
      <c r="J64" s="203"/>
      <c r="K64" s="203"/>
      <c r="L64" s="203"/>
      <c r="M64" s="203"/>
      <c r="N64" s="203"/>
      <c r="O64" s="203"/>
      <c r="P64" s="203"/>
      <c r="Q64" s="203"/>
      <c r="R64" s="203"/>
      <c r="S64" s="203"/>
      <c r="T64" s="203"/>
      <c r="U64" s="203"/>
      <c r="V64" s="203"/>
      <c r="W64" s="203"/>
    </row>
    <row r="65" spans="6:23" hidden="1">
      <c r="F65" s="203"/>
      <c r="G65" s="203"/>
      <c r="H65" s="203"/>
      <c r="I65" s="203"/>
      <c r="J65" s="203"/>
      <c r="K65" s="203"/>
      <c r="L65" s="203"/>
      <c r="M65" s="203"/>
      <c r="N65" s="203"/>
      <c r="O65" s="203"/>
      <c r="P65" s="203"/>
      <c r="Q65" s="203"/>
      <c r="R65" s="203"/>
      <c r="S65" s="203"/>
      <c r="T65" s="203"/>
      <c r="U65" s="203"/>
      <c r="V65" s="203"/>
      <c r="W65" s="203"/>
    </row>
    <row r="66" spans="6:23" hidden="1"/>
    <row r="67" spans="6:23" hidden="1"/>
    <row r="68" spans="6:23" hidden="1"/>
    <row r="69" spans="6:23" hidden="1"/>
    <row r="70" spans="6:23" hidden="1"/>
    <row r="71" spans="6:23" hidden="1"/>
    <row r="72" spans="6:23" hidden="1"/>
    <row r="73" spans="6:23" hidden="1"/>
    <row r="74" spans="6:23" hidden="1"/>
    <row r="75" spans="6:23" hidden="1"/>
    <row r="76" spans="6:23" hidden="1"/>
    <row r="77" spans="6:23" hidden="1"/>
    <row r="78" spans="6:23" hidden="1"/>
    <row r="79" spans="6:23" hidden="1"/>
    <row r="80" spans="6:23"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row r="310"/>
    <row r="311"/>
    <row r="312"/>
    <row r="313"/>
    <row r="314"/>
    <row r="315"/>
    <row r="316"/>
    <row r="317"/>
    <row r="318"/>
    <row r="319"/>
    <row r="320"/>
    <row r="321"/>
  </sheetData>
  <mergeCells count="16">
    <mergeCell ref="F7:F8"/>
    <mergeCell ref="I7:I8"/>
    <mergeCell ref="S7:S8"/>
    <mergeCell ref="N7:O7"/>
    <mergeCell ref="P7:Q7"/>
    <mergeCell ref="R7:R8"/>
    <mergeCell ref="G7:G8"/>
    <mergeCell ref="H7:H8"/>
    <mergeCell ref="D1:W1"/>
    <mergeCell ref="D2:W2"/>
    <mergeCell ref="D3:W3"/>
    <mergeCell ref="H5:H6"/>
    <mergeCell ref="I6:O6"/>
    <mergeCell ref="F5:G6"/>
    <mergeCell ref="P6:S6"/>
    <mergeCell ref="I5:S5"/>
  </mergeCells>
  <phoneticPr fontId="8" type="noConversion"/>
  <conditionalFormatting sqref="G59">
    <cfRule type="cellIs" dxfId="20" priority="15" stopIfTrue="1" operator="lessThan">
      <formula>1</formula>
    </cfRule>
    <cfRule type="cellIs" dxfId="19" priority="16" stopIfTrue="1" operator="greaterThan">
      <formula>1</formula>
    </cfRule>
  </conditionalFormatting>
  <conditionalFormatting sqref="F59">
    <cfRule type="cellIs" dxfId="18" priority="5" stopIfTrue="1" operator="lessThan">
      <formula>1</formula>
    </cfRule>
    <cfRule type="cellIs" dxfId="17" priority="6" stopIfTrue="1" operator="greaterThan">
      <formula>1</formula>
    </cfRule>
  </conditionalFormatting>
  <conditionalFormatting sqref="I59:W59">
    <cfRule type="cellIs" dxfId="16" priority="3" stopIfTrue="1" operator="lessThan">
      <formula>1</formula>
    </cfRule>
    <cfRule type="cellIs" dxfId="15" priority="4" stopIfTrue="1" operator="greaterThan">
      <formula>1</formula>
    </cfRule>
  </conditionalFormatting>
  <conditionalFormatting sqref="H59">
    <cfRule type="cellIs" dxfId="14" priority="1" stopIfTrue="1" operator="lessThan">
      <formula>1</formula>
    </cfRule>
    <cfRule type="cellIs" dxfId="13" priority="2" stopIfTrue="1" operator="greaterThan">
      <formula>1</formula>
    </cfRule>
  </conditionalFormatting>
  <dataValidations disablePrompts="1" count="1">
    <dataValidation type="list" allowBlank="1" showInputMessage="1" showErrorMessage="1" sqref="G10:H10">
      <formula1>CapacityAlloc</formula1>
    </dataValidation>
  </dataValidations>
  <printOptions horizontalCentered="1"/>
  <pageMargins left="0.25" right="0.25" top="0.5" bottom="0.5" header="0.25" footer="0.25"/>
  <pageSetup scale="41" fitToHeight="0" orientation="landscape" r:id="rId1"/>
  <headerFooter alignWithMargins="0">
    <oddFooter>&amp;L&amp;"Times New Roman,Bold Italic"Black &amp; Veatch Corporation&amp;C&amp;"Times New Roman,Bold Italic"Date: &amp;D&amp;R&amp;"Times New Roman,Bold Italic"Page: &amp;P of&amp;N</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8000"/>
    <pageSetUpPr fitToPage="1"/>
  </sheetPr>
  <dimension ref="A1:AC329"/>
  <sheetViews>
    <sheetView showGridLines="0" zoomScale="130" zoomScaleNormal="130" workbookViewId="0">
      <pane xSplit="4" ySplit="10" topLeftCell="E317" activePane="bottomRight" state="frozen"/>
      <selection activeCell="D11" sqref="D11"/>
      <selection pane="topRight" activeCell="D11" sqref="D11"/>
      <selection pane="bottomLeft" activeCell="D11" sqref="D11"/>
      <selection pane="bottomRight" activeCell="M33" sqref="M33:M39"/>
    </sheetView>
  </sheetViews>
  <sheetFormatPr defaultRowHeight="15.75" zeroHeight="1"/>
  <cols>
    <col min="1" max="1" width="22.5" customWidth="1"/>
    <col min="2" max="2" width="1.875" customWidth="1"/>
    <col min="3" max="3" width="5.5" bestFit="1" customWidth="1"/>
    <col min="4" max="4" width="33.125" bestFit="1" customWidth="1"/>
    <col min="5" max="5" width="15.125" style="1" bestFit="1" customWidth="1"/>
    <col min="6" max="6" width="13.375" bestFit="1" customWidth="1"/>
    <col min="7" max="7" width="14.25" bestFit="1" customWidth="1"/>
    <col min="8" max="8" width="15.25" customWidth="1"/>
    <col min="9" max="9" width="13.375" bestFit="1" customWidth="1"/>
    <col min="10" max="12" width="13.375" customWidth="1"/>
    <col min="13" max="13" width="13.75" bestFit="1" customWidth="1"/>
    <col min="14" max="14" width="12.25" bestFit="1" customWidth="1"/>
    <col min="15" max="15" width="13.375" bestFit="1" customWidth="1"/>
    <col min="16" max="20" width="12.25" bestFit="1" customWidth="1"/>
    <col min="21" max="21" width="13.375" bestFit="1" customWidth="1"/>
    <col min="22" max="22" width="13" bestFit="1" customWidth="1"/>
    <col min="23" max="23" width="9.25" bestFit="1" customWidth="1"/>
    <col min="24" max="24" width="2.625" customWidth="1"/>
    <col min="25" max="25" width="13.375" bestFit="1" customWidth="1"/>
    <col min="26" max="26" width="14.375" bestFit="1" customWidth="1"/>
    <col min="27" max="27" width="13.75" customWidth="1"/>
    <col min="28" max="28" width="12.25" bestFit="1" customWidth="1"/>
    <col min="29" max="29" width="8.125" bestFit="1" customWidth="1"/>
  </cols>
  <sheetData>
    <row r="1" spans="1:29" ht="22.5">
      <c r="A1" s="411"/>
      <c r="D1" s="4405" t="s">
        <v>167</v>
      </c>
      <c r="E1" s="4405"/>
      <c r="F1" s="4405"/>
      <c r="G1" s="4405"/>
      <c r="H1" s="4405"/>
      <c r="I1" s="4405"/>
      <c r="J1" s="4405"/>
      <c r="K1" s="4405"/>
      <c r="L1" s="4405"/>
      <c r="M1" s="4405"/>
      <c r="N1" s="4405"/>
      <c r="O1" s="4405"/>
      <c r="P1" s="4405"/>
      <c r="Q1" s="4405"/>
      <c r="R1" s="4405"/>
      <c r="S1" s="4405"/>
      <c r="T1" s="4405"/>
      <c r="U1" s="4405"/>
      <c r="V1" s="4405"/>
      <c r="W1" s="4405"/>
    </row>
    <row r="2" spans="1:29" ht="22.5">
      <c r="A2" s="411"/>
      <c r="C2" s="14"/>
      <c r="D2" s="4405" t="s">
        <v>717</v>
      </c>
      <c r="E2" s="4405"/>
      <c r="F2" s="4405"/>
      <c r="G2" s="4405"/>
      <c r="H2" s="4405"/>
      <c r="I2" s="4405"/>
      <c r="J2" s="4405"/>
      <c r="K2" s="4405"/>
      <c r="L2" s="4405"/>
      <c r="M2" s="4405"/>
      <c r="N2" s="4405"/>
      <c r="O2" s="4405"/>
      <c r="P2" s="4405"/>
      <c r="Q2" s="4405"/>
      <c r="R2" s="4405"/>
      <c r="S2" s="4405"/>
      <c r="T2" s="4405"/>
      <c r="U2" s="4405"/>
      <c r="V2" s="4405"/>
      <c r="W2" s="4405"/>
    </row>
    <row r="3" spans="1:29" ht="22.5">
      <c r="A3" s="411"/>
      <c r="D3" s="4405" t="s">
        <v>166</v>
      </c>
      <c r="E3" s="4405"/>
      <c r="F3" s="4405"/>
      <c r="G3" s="4405"/>
      <c r="H3" s="4405"/>
      <c r="I3" s="4405"/>
      <c r="J3" s="4405"/>
      <c r="K3" s="4405"/>
      <c r="L3" s="4405"/>
      <c r="M3" s="4405"/>
      <c r="N3" s="4405"/>
      <c r="O3" s="4405"/>
      <c r="P3" s="4405"/>
      <c r="Q3" s="4405"/>
      <c r="R3" s="4405"/>
      <c r="S3" s="4405"/>
      <c r="T3" s="4405"/>
      <c r="U3" s="4405"/>
      <c r="V3" s="4405"/>
      <c r="W3" s="4405"/>
    </row>
    <row r="4" spans="1:29">
      <c r="A4" s="411"/>
    </row>
    <row r="5" spans="1:29">
      <c r="A5" s="411"/>
    </row>
    <row r="6" spans="1:29">
      <c r="A6" s="411"/>
      <c r="C6" s="14"/>
    </row>
    <row r="7" spans="1:29" s="18" customFormat="1">
      <c r="A7" s="411"/>
      <c r="C7" s="12"/>
      <c r="D7" s="5"/>
      <c r="E7" s="12"/>
      <c r="F7" s="4445" t="s">
        <v>900</v>
      </c>
      <c r="G7" s="4446"/>
      <c r="H7" s="4412" t="s">
        <v>600</v>
      </c>
      <c r="I7" s="4460" t="s">
        <v>601</v>
      </c>
      <c r="J7" s="4461"/>
      <c r="K7" s="4461"/>
      <c r="L7" s="4461"/>
      <c r="M7" s="4461"/>
      <c r="N7" s="4461"/>
      <c r="O7" s="4461"/>
      <c r="P7" s="4461"/>
      <c r="Q7" s="4461"/>
      <c r="R7" s="4461"/>
      <c r="S7" s="4484"/>
      <c r="T7" s="129" t="s">
        <v>608</v>
      </c>
      <c r="U7" s="5"/>
      <c r="V7" s="5"/>
      <c r="W7" s="5"/>
    </row>
    <row r="8" spans="1:29" s="18" customFormat="1" ht="16.5" thickBot="1">
      <c r="A8" s="411"/>
      <c r="D8" s="5"/>
      <c r="E8" s="12"/>
      <c r="F8" s="4447"/>
      <c r="G8" s="4448"/>
      <c r="H8" s="4404"/>
      <c r="I8" s="4442" t="s">
        <v>168</v>
      </c>
      <c r="J8" s="4443"/>
      <c r="K8" s="4443"/>
      <c r="L8" s="4443"/>
      <c r="M8" s="4443"/>
      <c r="N8" s="4443"/>
      <c r="O8" s="4444"/>
      <c r="P8" s="4437" t="s">
        <v>606</v>
      </c>
      <c r="Q8" s="4438"/>
      <c r="R8" s="4438"/>
      <c r="S8" s="4438"/>
      <c r="T8" s="143" t="s">
        <v>169</v>
      </c>
      <c r="U8" s="5"/>
      <c r="V8" s="5"/>
      <c r="W8" s="5"/>
    </row>
    <row r="9" spans="1:29" s="18" customFormat="1">
      <c r="A9" s="411"/>
      <c r="B9" s="231"/>
      <c r="C9" s="4488" t="s">
        <v>867</v>
      </c>
      <c r="D9" s="4490" t="s">
        <v>118</v>
      </c>
      <c r="E9" s="4490" t="s">
        <v>602</v>
      </c>
      <c r="F9" s="4433" t="s">
        <v>605</v>
      </c>
      <c r="G9" s="4449" t="s">
        <v>168</v>
      </c>
      <c r="H9" s="4449" t="s">
        <v>168</v>
      </c>
      <c r="I9" s="4491" t="s">
        <v>170</v>
      </c>
      <c r="J9" s="1745" t="s">
        <v>486</v>
      </c>
      <c r="K9" s="1745" t="s">
        <v>2988</v>
      </c>
      <c r="L9" s="1745" t="s">
        <v>2989</v>
      </c>
      <c r="M9" s="142" t="s">
        <v>867</v>
      </c>
      <c r="N9" s="4467" t="s">
        <v>857</v>
      </c>
      <c r="O9" s="4468"/>
      <c r="P9" s="4456" t="s">
        <v>858</v>
      </c>
      <c r="Q9" s="4457"/>
      <c r="R9" s="4449" t="s">
        <v>171</v>
      </c>
      <c r="S9" s="4449" t="s">
        <v>172</v>
      </c>
      <c r="T9" s="143" t="s">
        <v>173</v>
      </c>
      <c r="U9" s="4463" t="str">
        <f>COS_RB!W9</f>
        <v>Street Lights</v>
      </c>
      <c r="V9" s="129" t="s">
        <v>683</v>
      </c>
      <c r="W9" s="230" t="s">
        <v>210</v>
      </c>
      <c r="Y9" s="4490" t="s">
        <v>605</v>
      </c>
      <c r="Z9" s="4490" t="s">
        <v>907</v>
      </c>
      <c r="AA9" s="4490" t="s">
        <v>998</v>
      </c>
      <c r="AB9" s="4490" t="s">
        <v>608</v>
      </c>
    </row>
    <row r="10" spans="1:29" s="18" customFormat="1" ht="16.5" thickBot="1">
      <c r="A10" s="411"/>
      <c r="B10" s="231"/>
      <c r="C10" s="4489"/>
      <c r="D10" s="4462"/>
      <c r="E10" s="4462"/>
      <c r="F10" s="4434"/>
      <c r="G10" s="4450"/>
      <c r="H10" s="4450"/>
      <c r="I10" s="4492"/>
      <c r="J10" s="1746" t="s">
        <v>175</v>
      </c>
      <c r="K10" s="1746" t="s">
        <v>175</v>
      </c>
      <c r="L10" s="1746" t="s">
        <v>175</v>
      </c>
      <c r="M10" s="232" t="s">
        <v>856</v>
      </c>
      <c r="N10" s="594" t="s">
        <v>985</v>
      </c>
      <c r="O10" s="820" t="s">
        <v>986</v>
      </c>
      <c r="P10" s="227" t="s">
        <v>985</v>
      </c>
      <c r="Q10" s="610" t="s">
        <v>986</v>
      </c>
      <c r="R10" s="4450"/>
      <c r="S10" s="4450"/>
      <c r="T10" s="226" t="s">
        <v>603</v>
      </c>
      <c r="U10" s="4464"/>
      <c r="V10" s="226" t="s">
        <v>606</v>
      </c>
      <c r="W10" s="223" t="s">
        <v>861</v>
      </c>
      <c r="Y10" s="4462"/>
      <c r="Z10" s="4462"/>
      <c r="AA10" s="4462"/>
      <c r="AB10" s="4462"/>
    </row>
    <row r="11" spans="1:29" ht="16.5" thickTop="1">
      <c r="A11" s="411"/>
      <c r="B11" s="225"/>
      <c r="C11" s="261"/>
      <c r="D11" s="1"/>
      <c r="F11" s="1"/>
      <c r="G11" s="1"/>
      <c r="H11" s="1"/>
      <c r="I11" s="1"/>
      <c r="J11" s="1"/>
      <c r="K11" s="1"/>
      <c r="L11" s="1"/>
      <c r="M11" s="1"/>
      <c r="N11" s="819"/>
      <c r="O11" s="1"/>
      <c r="P11" s="1"/>
      <c r="Q11" s="1"/>
      <c r="R11" s="1"/>
      <c r="S11" s="1"/>
      <c r="T11" s="1"/>
      <c r="U11" s="1"/>
      <c r="V11" s="1"/>
      <c r="W11" s="325"/>
    </row>
    <row r="12" spans="1:29">
      <c r="A12" s="411"/>
      <c r="B12" s="225"/>
      <c r="C12" s="261"/>
      <c r="D12" s="60" t="s">
        <v>591</v>
      </c>
      <c r="F12" s="457"/>
      <c r="G12" s="1"/>
      <c r="H12" s="1"/>
      <c r="I12" s="1"/>
      <c r="J12" s="1"/>
      <c r="K12" s="1"/>
      <c r="L12" s="1"/>
      <c r="M12" s="1"/>
      <c r="N12" s="1"/>
      <c r="O12" s="1"/>
      <c r="P12" s="1"/>
      <c r="Q12" s="1"/>
      <c r="R12" s="1"/>
      <c r="S12" s="1"/>
      <c r="T12" s="1"/>
      <c r="U12" s="1"/>
      <c r="V12" s="1"/>
      <c r="W12" s="325"/>
    </row>
    <row r="13" spans="1:29">
      <c r="A13" s="411"/>
      <c r="B13" s="325"/>
      <c r="C13" s="236">
        <f>+MAX(C7:C12)+1</f>
        <v>1</v>
      </c>
      <c r="D13" s="206" t="s">
        <v>13</v>
      </c>
      <c r="E13" s="313"/>
      <c r="F13" s="313"/>
      <c r="G13" s="313"/>
      <c r="H13" s="313"/>
      <c r="I13" s="313"/>
      <c r="J13" s="313"/>
      <c r="K13" s="313"/>
      <c r="L13" s="313"/>
      <c r="M13" s="313"/>
      <c r="N13" s="313"/>
      <c r="O13" s="313"/>
      <c r="P13" s="313"/>
      <c r="Q13" s="313"/>
      <c r="R13" s="313"/>
      <c r="S13" s="313"/>
      <c r="T13" s="313"/>
      <c r="U13" s="313"/>
      <c r="V13" s="313"/>
      <c r="W13" s="313"/>
    </row>
    <row r="14" spans="1:29">
      <c r="A14" s="411"/>
      <c r="B14" s="325"/>
      <c r="C14" s="236">
        <f>+MAX(C8:C13)+1</f>
        <v>2</v>
      </c>
      <c r="D14" s="39" t="s">
        <v>30</v>
      </c>
      <c r="E14" s="45">
        <f>SUM(F14:W14)</f>
        <v>25025792</v>
      </c>
      <c r="F14" s="45">
        <f>+ROUND(COS_RR!J$38*COS_Alloc.!F14,0)</f>
        <v>843864</v>
      </c>
      <c r="G14" s="45">
        <f>+ROUND(COS_RR!K$38*COS_Alloc.!G14,0)</f>
        <v>13449198</v>
      </c>
      <c r="H14" s="45">
        <f>+ROUND(COS_RR!L$38*COS_Alloc.!H14,0)</f>
        <v>1813697</v>
      </c>
      <c r="I14" s="45">
        <f>+ROUND(COS_RR!M$38*COS_Alloc.!I14,0)</f>
        <v>873582</v>
      </c>
      <c r="J14" s="45">
        <f>+ROUND(COS_RR!N$38*COS_Alloc.!J14,0)</f>
        <v>0</v>
      </c>
      <c r="K14" s="45">
        <f>+ROUND(COS_RR!O$38*COS_Alloc.!K14,0)</f>
        <v>0</v>
      </c>
      <c r="L14" s="45">
        <f>+ROUND(COS_RR!P$38*COS_Alloc.!L14,0)</f>
        <v>0</v>
      </c>
      <c r="M14" s="45">
        <f>+ROUND(COS_RR!Q$38*COS_Alloc.!M14,0)</f>
        <v>490022</v>
      </c>
      <c r="N14" s="45">
        <f>+ROUND(COS_RR!R$38*COS_Alloc.!N14,0)</f>
        <v>306296</v>
      </c>
      <c r="O14" s="45">
        <f>+ROUND(COS_RR!S$38*COS_Alloc.!O14,0)</f>
        <v>0</v>
      </c>
      <c r="P14" s="45">
        <f>+ROUND(COS_RR!T$38*COS_Alloc.!P14,0)</f>
        <v>1457360</v>
      </c>
      <c r="Q14" s="45">
        <f>+ROUND(COS_RR!U$38*COS_Alloc.!Q14,0)</f>
        <v>0</v>
      </c>
      <c r="R14" s="45">
        <f>+ROUND(COS_RR!V$38*COS_Alloc.!R14,0)</f>
        <v>357738</v>
      </c>
      <c r="S14" s="45">
        <f>+ROUND(COS_RR!W$38*COS_Alloc.!S14,0)</f>
        <v>1140670</v>
      </c>
      <c r="T14" s="45">
        <f>+ROUND(COS_RR!X$38*COS_Alloc.!T14,0)</f>
        <v>3637528</v>
      </c>
      <c r="U14" s="45">
        <f>+ROUND(COS_RR!Y$38*COS_Alloc.!U14,0)</f>
        <v>0</v>
      </c>
      <c r="V14" s="45">
        <f>+ROUND(COS_RR!Z$38*COS_Alloc.!V14,0)</f>
        <v>655837</v>
      </c>
      <c r="W14" s="45">
        <f>+ROUND(COS_RR!AA$38*COS_Alloc.!W14,0)</f>
        <v>0</v>
      </c>
      <c r="Y14" s="45">
        <f>SUM(F14:Q14,V14)</f>
        <v>19889856</v>
      </c>
      <c r="Z14" s="45"/>
      <c r="AA14" s="45"/>
      <c r="AB14" s="45">
        <f>SUM(R14:T14)</f>
        <v>5135936</v>
      </c>
      <c r="AC14" s="811">
        <f>SUM(Y14:AB14)-SUM(F14:W14)</f>
        <v>0</v>
      </c>
    </row>
    <row r="15" spans="1:29">
      <c r="A15" s="411"/>
      <c r="B15" s="325"/>
      <c r="C15" s="236"/>
      <c r="D15" s="272"/>
      <c r="E15" s="397"/>
      <c r="F15" s="397"/>
      <c r="G15" s="397"/>
      <c r="H15" s="397"/>
      <c r="I15" s="397"/>
      <c r="J15" s="397"/>
      <c r="K15" s="397"/>
      <c r="L15" s="397"/>
      <c r="M15" s="397"/>
      <c r="N15" s="397"/>
      <c r="O15" s="397"/>
      <c r="P15" s="397"/>
      <c r="Q15" s="397"/>
      <c r="R15" s="397"/>
      <c r="S15" s="397"/>
      <c r="T15" s="397"/>
      <c r="U15" s="397"/>
      <c r="V15" s="397"/>
      <c r="W15" s="397"/>
      <c r="Y15" s="45"/>
      <c r="Z15" s="45"/>
      <c r="AA15" s="45"/>
      <c r="AB15" s="45"/>
      <c r="AC15" s="811"/>
    </row>
    <row r="16" spans="1:29">
      <c r="A16" s="411"/>
      <c r="B16" s="325"/>
      <c r="C16" s="236">
        <f>+MAX(C11:C15)+1</f>
        <v>3</v>
      </c>
      <c r="D16" s="206" t="s">
        <v>14</v>
      </c>
      <c r="E16" s="313"/>
      <c r="F16" s="313"/>
      <c r="G16" s="313"/>
      <c r="H16" s="313"/>
      <c r="I16" s="313"/>
      <c r="J16" s="313"/>
      <c r="K16" s="313"/>
      <c r="L16" s="313"/>
      <c r="M16" s="313"/>
      <c r="N16" s="313"/>
      <c r="O16" s="313"/>
      <c r="P16" s="313"/>
      <c r="Q16" s="313"/>
      <c r="R16" s="313"/>
      <c r="S16" s="313"/>
      <c r="T16" s="313"/>
      <c r="U16" s="313"/>
      <c r="V16" s="313"/>
      <c r="W16" s="313"/>
      <c r="Y16" s="45"/>
      <c r="Z16" s="45"/>
      <c r="AA16" s="45"/>
      <c r="AB16" s="45"/>
      <c r="AC16" s="811"/>
    </row>
    <row r="17" spans="1:29">
      <c r="A17" s="411"/>
      <c r="B17" s="325"/>
      <c r="C17" s="236">
        <f>+MAX(C12:C16)+1</f>
        <v>4</v>
      </c>
      <c r="D17" s="39" t="s">
        <v>31</v>
      </c>
      <c r="E17" s="45">
        <f>SUM(F17:W17)</f>
        <v>40082143</v>
      </c>
      <c r="F17" s="45">
        <f>+ROUND(COS_RR!J$38*COS_Alloc.!F17,0)</f>
        <v>1190995</v>
      </c>
      <c r="G17" s="45">
        <f>+ROUND(COS_RR!K$38*COS_Alloc.!G17,0)</f>
        <v>18983603</v>
      </c>
      <c r="H17" s="45">
        <f>+ROUND(COS_RR!L$38*COS_Alloc.!H17,0)</f>
        <v>2558579</v>
      </c>
      <c r="I17" s="45">
        <f>+ROUND(COS_RR!M$38*COS_Alloc.!I17,0)</f>
        <v>1232431</v>
      </c>
      <c r="J17" s="45">
        <f>+ROUND(COS_RR!N$38*COS_Alloc.!J17,0)</f>
        <v>0</v>
      </c>
      <c r="K17" s="45">
        <f>+ROUND(COS_RR!O$38*COS_Alloc.!K17,0)</f>
        <v>0</v>
      </c>
      <c r="L17" s="45">
        <f>+ROUND(COS_RR!P$38*COS_Alloc.!L17,0)</f>
        <v>0</v>
      </c>
      <c r="M17" s="45">
        <f>+ROUND(COS_RR!Q$38*COS_Alloc.!M17,0)</f>
        <v>691231</v>
      </c>
      <c r="N17" s="45">
        <f>+ROUND(COS_RR!R$38*COS_Alloc.!N17,0)</f>
        <v>21540</v>
      </c>
      <c r="O17" s="45">
        <f>+ROUND(COS_RR!S$38*COS_Alloc.!O17,0)</f>
        <v>5104463</v>
      </c>
      <c r="P17" s="45">
        <f>+ROUND(COS_RR!T$38*COS_Alloc.!P17,0)</f>
        <v>0</v>
      </c>
      <c r="Q17" s="45">
        <f>+ROUND(COS_RR!U$38*COS_Alloc.!Q17,0)</f>
        <v>4362287</v>
      </c>
      <c r="R17" s="45">
        <f>+ROUND(COS_RR!V$38*COS_Alloc.!R17,0)</f>
        <v>502968</v>
      </c>
      <c r="S17" s="45">
        <f>+ROUND(COS_RR!W$38*COS_Alloc.!S17,0)</f>
        <v>1069246</v>
      </c>
      <c r="T17" s="45">
        <f>+ROUND(COS_RR!X$38*COS_Alloc.!T17,0)</f>
        <v>3750162</v>
      </c>
      <c r="U17" s="45">
        <f>+ROUND(COS_RR!Y$38*COS_Alloc.!U17,0)</f>
        <v>0</v>
      </c>
      <c r="V17" s="45">
        <f>+ROUND(COS_RR!Z$38*COS_Alloc.!V17,0)</f>
        <v>614638</v>
      </c>
      <c r="W17" s="45">
        <f>+ROUND(COS_RR!AA$38*COS_Alloc.!W17,0)</f>
        <v>0</v>
      </c>
      <c r="Y17" s="45">
        <f>SUM(F17:Q17,V17)</f>
        <v>34759767</v>
      </c>
      <c r="Z17" s="45"/>
      <c r="AA17" s="45"/>
      <c r="AB17" s="45">
        <f>SUM(R17:T17)</f>
        <v>5322376</v>
      </c>
      <c r="AC17" s="811">
        <f>SUM(Y17:AB17)-SUM(F17:W17)</f>
        <v>0</v>
      </c>
    </row>
    <row r="18" spans="1:29">
      <c r="A18" s="411"/>
      <c r="B18" s="325"/>
      <c r="C18" s="236"/>
      <c r="D18" s="11"/>
      <c r="E18" s="313"/>
      <c r="F18" s="313"/>
      <c r="G18" s="313"/>
      <c r="H18" s="313"/>
      <c r="I18" s="313"/>
      <c r="J18" s="313"/>
      <c r="K18" s="313"/>
      <c r="L18" s="313"/>
      <c r="M18" s="313"/>
      <c r="N18" s="313"/>
      <c r="O18" s="313"/>
      <c r="P18" s="313"/>
      <c r="Q18" s="313"/>
      <c r="R18" s="313"/>
      <c r="S18" s="313"/>
      <c r="T18" s="313"/>
      <c r="U18" s="313"/>
      <c r="V18" s="313"/>
      <c r="W18" s="313"/>
      <c r="Y18" s="45"/>
      <c r="Z18" s="45"/>
      <c r="AA18" s="45"/>
      <c r="AB18" s="45"/>
      <c r="AC18" s="811"/>
    </row>
    <row r="19" spans="1:29">
      <c r="A19" s="411"/>
      <c r="B19" s="325"/>
      <c r="C19" s="236">
        <f>+MAX(C13:C18)+1</f>
        <v>5</v>
      </c>
      <c r="D19" s="14" t="s">
        <v>15</v>
      </c>
      <c r="E19" s="45"/>
      <c r="F19" s="45"/>
      <c r="G19" s="45"/>
      <c r="H19" s="45"/>
      <c r="I19" s="45"/>
      <c r="J19" s="45"/>
      <c r="K19" s="45"/>
      <c r="L19" s="45"/>
      <c r="M19" s="45"/>
      <c r="N19" s="45"/>
      <c r="O19" s="45"/>
      <c r="P19" s="45"/>
      <c r="Q19" s="45"/>
      <c r="R19" s="45"/>
      <c r="S19" s="45"/>
      <c r="T19" s="45"/>
      <c r="U19" s="45"/>
      <c r="V19" s="45"/>
      <c r="W19" s="45"/>
      <c r="Y19" s="45"/>
      <c r="Z19" s="45"/>
      <c r="AA19" s="45"/>
      <c r="AB19" s="45"/>
      <c r="AC19" s="811"/>
    </row>
    <row r="20" spans="1:29">
      <c r="A20" s="411"/>
      <c r="B20" s="325"/>
      <c r="C20" s="236">
        <f>+MAX(C13:C19)+1</f>
        <v>6</v>
      </c>
      <c r="D20" s="15" t="s">
        <v>7</v>
      </c>
      <c r="E20" s="313"/>
      <c r="F20" s="45">
        <f>+ROUND(COS_RR!J$38*COS_Alloc.!F20,0)</f>
        <v>7262</v>
      </c>
      <c r="G20" s="45">
        <f>+ROUND(COS_RR!K$38*COS_Alloc.!G20,0)</f>
        <v>119019</v>
      </c>
      <c r="H20" s="45">
        <f>+ROUND(COS_RR!L$38*COS_Alloc.!H20,0)</f>
        <v>9866</v>
      </c>
      <c r="I20" s="45">
        <f>+ROUND(COS_RR!M$38*COS_Alloc.!I20,0)</f>
        <v>8370</v>
      </c>
      <c r="J20" s="45">
        <f>+ROUND(COS_RR!N$38*COS_Alloc.!J20,0)</f>
        <v>0</v>
      </c>
      <c r="K20" s="45">
        <f>+ROUND(COS_RR!O$38*COS_Alloc.!K20,0)</f>
        <v>0</v>
      </c>
      <c r="L20" s="45">
        <f>+ROUND(COS_RR!P$38*COS_Alloc.!L20,0)</f>
        <v>0</v>
      </c>
      <c r="M20" s="45">
        <f>+ROUND(COS_RR!Q$38*COS_Alloc.!M20,0)</f>
        <v>5087</v>
      </c>
      <c r="N20" s="45">
        <f>+ROUND(COS_RR!R$38*COS_Alloc.!N20,0)</f>
        <v>237</v>
      </c>
      <c r="O20" s="45">
        <f>+ROUND(COS_RR!S$38*COS_Alloc.!O20,0)</f>
        <v>36181</v>
      </c>
      <c r="P20" s="45">
        <f>+ROUND(COS_RR!T$38*COS_Alloc.!P20,0)</f>
        <v>0</v>
      </c>
      <c r="Q20" s="45">
        <f>+ROUND(COS_RR!U$38*COS_Alloc.!Q20,0)</f>
        <v>26963</v>
      </c>
      <c r="R20" s="45">
        <f>+ROUND(COS_RR!V$38*COS_Alloc.!R20,0)</f>
        <v>3093</v>
      </c>
      <c r="S20" s="45">
        <f>+ROUND(COS_RR!W$38*COS_Alloc.!S20,0)</f>
        <v>3174</v>
      </c>
      <c r="T20" s="45">
        <f>+ROUND(COS_RR!X$38*COS_Alloc.!T20,0)</f>
        <v>10727</v>
      </c>
      <c r="U20" s="45">
        <f>+ROUND(COS_RR!Y$38*COS_Alloc.!U20,0)</f>
        <v>0</v>
      </c>
      <c r="V20" s="45">
        <f>+ROUND(COS_RR!Z$38*COS_Alloc.!V20,0)</f>
        <v>1842</v>
      </c>
      <c r="W20" s="45">
        <f>+ROUND(COS_RR!AA$38*COS_Alloc.!W20,0)</f>
        <v>0</v>
      </c>
      <c r="Y20" s="45">
        <f>SUM(F20:G20,V20)</f>
        <v>128123</v>
      </c>
      <c r="Z20" s="45"/>
      <c r="AA20" s="45">
        <f>SUM(H20:P20)</f>
        <v>59741</v>
      </c>
      <c r="AB20" s="45">
        <f>SUM(Q20:T20)</f>
        <v>43957</v>
      </c>
      <c r="AC20" s="811">
        <f>SUM(Y20:AB20)-SUM(F20:W20)</f>
        <v>0</v>
      </c>
    </row>
    <row r="21" spans="1:29">
      <c r="A21" s="411"/>
      <c r="B21" s="325"/>
      <c r="C21" s="236">
        <f>+MAX(C14:C20)+1</f>
        <v>7</v>
      </c>
      <c r="D21" s="15" t="s">
        <v>8</v>
      </c>
      <c r="E21" s="315"/>
      <c r="F21" s="315">
        <f>+ROUND(COS_RR!J$38*COS_Alloc.!F21,0)</f>
        <v>1458243</v>
      </c>
      <c r="G21" s="315">
        <f>+ROUND(COS_RR!K$38*COS_Alloc.!G21,0)</f>
        <v>24180786</v>
      </c>
      <c r="H21" s="315">
        <f>+ROUND(COS_RR!L$38*COS_Alloc.!H21,0)</f>
        <v>1894269</v>
      </c>
      <c r="I21" s="315">
        <f>+ROUND(COS_RR!M$38*COS_Alloc.!I21,0)</f>
        <v>1639405</v>
      </c>
      <c r="J21" s="315">
        <f>+ROUND(COS_RR!N$38*COS_Alloc.!J21,0)</f>
        <v>0</v>
      </c>
      <c r="K21" s="315">
        <f>+ROUND(COS_RR!O$38*COS_Alloc.!K21,0)</f>
        <v>0</v>
      </c>
      <c r="L21" s="315">
        <f>+ROUND(COS_RR!P$38*COS_Alloc.!L21,0)</f>
        <v>0</v>
      </c>
      <c r="M21" s="315">
        <f>+ROUND(COS_RR!Q$38*COS_Alloc.!M21,0)</f>
        <v>985131</v>
      </c>
      <c r="N21" s="315">
        <f>+ROUND(COS_RR!R$38*COS_Alloc.!N21,0)</f>
        <v>30772</v>
      </c>
      <c r="O21" s="315">
        <f>+ROUND(COS_RR!S$38*COS_Alloc.!O21,0)</f>
        <v>7272449</v>
      </c>
      <c r="P21" s="315">
        <f>+ROUND(COS_RR!T$38*COS_Alloc.!P21,0)</f>
        <v>0</v>
      </c>
      <c r="Q21" s="315">
        <f>+ROUND(COS_RR!U$38*COS_Alloc.!Q21,0)</f>
        <v>0</v>
      </c>
      <c r="R21" s="315">
        <f>+ROUND(COS_RR!V$38*COS_Alloc.!R21,0)</f>
        <v>390218</v>
      </c>
      <c r="S21" s="315">
        <f>+ROUND(COS_RR!W$38*COS_Alloc.!S21,0)</f>
        <v>1243838</v>
      </c>
      <c r="T21" s="315">
        <f>+ROUND(COS_RR!X$38*COS_Alloc.!T21,0)</f>
        <v>872106</v>
      </c>
      <c r="U21" s="315">
        <f>+ROUND(COS_RR!Y$38*COS_Alloc.!U21,0)</f>
        <v>0</v>
      </c>
      <c r="V21" s="315">
        <f>+ROUND(COS_RR!Z$38*COS_Alloc.!V21,0)</f>
        <v>143025</v>
      </c>
      <c r="W21" s="315">
        <f>+ROUND(COS_RR!AA$38*COS_Alloc.!W21,0)</f>
        <v>0</v>
      </c>
      <c r="Y21" s="461">
        <f>SUM(F21:G21,V21)</f>
        <v>25782054</v>
      </c>
      <c r="Z21" s="45"/>
      <c r="AA21" s="461">
        <f>SUM(H21:P21)</f>
        <v>11822026</v>
      </c>
      <c r="AB21" s="461">
        <f>SUM(Q21:T21)</f>
        <v>2506162</v>
      </c>
      <c r="AC21" s="811">
        <f>SUM(Y21:AB21)-SUM(F21:W21)</f>
        <v>0</v>
      </c>
    </row>
    <row r="22" spans="1:29">
      <c r="A22" s="411"/>
      <c r="B22" s="325"/>
      <c r="C22" s="236">
        <f>+MAX(C15:C21)+1</f>
        <v>8</v>
      </c>
      <c r="D22" s="39" t="s">
        <v>32</v>
      </c>
      <c r="E22" s="45">
        <f>SUM(F22:W22)</f>
        <v>40342062</v>
      </c>
      <c r="F22" s="45">
        <f>+ROUND(COS_RR!J$38*COS_Alloc.!F22,0)</f>
        <v>1465505</v>
      </c>
      <c r="G22" s="45">
        <f>+ROUND(COS_RR!K$38*COS_Alloc.!G22,0)</f>
        <v>24299805</v>
      </c>
      <c r="H22" s="45">
        <f>+ROUND(COS_RR!L$38*COS_Alloc.!H22,0)</f>
        <v>1904135</v>
      </c>
      <c r="I22" s="45">
        <f>+ROUND(COS_RR!M$38*COS_Alloc.!I22,0)</f>
        <v>1647775</v>
      </c>
      <c r="J22" s="45">
        <f>+ROUND(COS_RR!N$38*COS_Alloc.!J22,0)</f>
        <v>0</v>
      </c>
      <c r="K22" s="45">
        <f>+ROUND(COS_RR!O$38*COS_Alloc.!K22,0)</f>
        <v>0</v>
      </c>
      <c r="L22" s="45">
        <f>+ROUND(COS_RR!P$38*COS_Alloc.!L22,0)</f>
        <v>0</v>
      </c>
      <c r="M22" s="45">
        <f>+ROUND(COS_RR!Q$38*COS_Alloc.!M22,0)</f>
        <v>990218</v>
      </c>
      <c r="N22" s="45">
        <f>+ROUND(COS_RR!R$38*COS_Alloc.!N22,0)</f>
        <v>31008</v>
      </c>
      <c r="O22" s="45">
        <f>+ROUND(COS_RR!S$38*COS_Alloc.!O22,0)</f>
        <v>7308630</v>
      </c>
      <c r="P22" s="45">
        <f>+ROUND(COS_RR!T$38*COS_Alloc.!P22,0)</f>
        <v>0</v>
      </c>
      <c r="Q22" s="45">
        <f>+ROUND(COS_RR!U$38*COS_Alloc.!Q22,0)</f>
        <v>26963</v>
      </c>
      <c r="R22" s="45">
        <f>+ROUND(COS_RR!V$38*COS_Alloc.!R22,0)</f>
        <v>393311</v>
      </c>
      <c r="S22" s="45">
        <f>+ROUND(COS_RR!W$38*COS_Alloc.!S22,0)</f>
        <v>1247012</v>
      </c>
      <c r="T22" s="45">
        <f>+ROUND(COS_RR!X$38*COS_Alloc.!T22,0)</f>
        <v>882833</v>
      </c>
      <c r="U22" s="45">
        <f>+ROUND(COS_RR!Y$38*COS_Alloc.!U22,0)</f>
        <v>0</v>
      </c>
      <c r="V22" s="45">
        <f>+ROUND(COS_RR!Z$38*COS_Alloc.!V22,0)</f>
        <v>144867</v>
      </c>
      <c r="W22" s="45">
        <f>+ROUND(COS_RR!AA$38*COS_Alloc.!W22,0)</f>
        <v>0</v>
      </c>
      <c r="Y22" s="45">
        <f>SUM(Y20:Y21)</f>
        <v>25910177</v>
      </c>
      <c r="Z22" s="45"/>
      <c r="AA22" s="45">
        <f>SUM(AA20:AA21)</f>
        <v>11881767</v>
      </c>
      <c r="AB22" s="45">
        <f>SUM(AB20:AB21)</f>
        <v>2550119</v>
      </c>
      <c r="AC22" s="811">
        <f>SUM(Y22:AB22)-SUM(F22:W22)</f>
        <v>1</v>
      </c>
    </row>
    <row r="23" spans="1:29">
      <c r="A23" s="411"/>
      <c r="B23" s="325"/>
      <c r="C23" s="236"/>
      <c r="D23" s="247"/>
      <c r="E23" s="313"/>
      <c r="F23" s="313"/>
      <c r="G23" s="313"/>
      <c r="H23" s="313"/>
      <c r="I23" s="313"/>
      <c r="J23" s="313"/>
      <c r="K23" s="313"/>
      <c r="L23" s="313"/>
      <c r="M23" s="313"/>
      <c r="N23" s="313"/>
      <c r="O23" s="313"/>
      <c r="P23" s="313"/>
      <c r="Q23" s="313"/>
      <c r="R23" s="313"/>
      <c r="S23" s="313"/>
      <c r="T23" s="313"/>
      <c r="U23" s="313"/>
      <c r="V23" s="313"/>
      <c r="W23" s="313"/>
      <c r="Y23" s="45"/>
      <c r="Z23" s="45"/>
      <c r="AA23" s="45"/>
      <c r="AB23" s="45"/>
      <c r="AC23" s="811"/>
    </row>
    <row r="24" spans="1:29">
      <c r="A24" s="411"/>
      <c r="B24" s="325"/>
      <c r="C24" s="236">
        <f>+MAX(C16:C23)+1</f>
        <v>9</v>
      </c>
      <c r="D24" s="14" t="s">
        <v>21</v>
      </c>
      <c r="E24" s="45"/>
      <c r="F24" s="45"/>
      <c r="G24" s="45"/>
      <c r="H24" s="45"/>
      <c r="I24" s="45"/>
      <c r="J24" s="45"/>
      <c r="K24" s="45"/>
      <c r="L24" s="45"/>
      <c r="M24" s="45"/>
      <c r="N24" s="45"/>
      <c r="O24" s="45"/>
      <c r="P24" s="45"/>
      <c r="Q24" s="45"/>
      <c r="R24" s="45"/>
      <c r="S24" s="45"/>
      <c r="T24" s="45"/>
      <c r="U24" s="45"/>
      <c r="V24" s="45"/>
      <c r="W24" s="45"/>
      <c r="Y24" s="45"/>
      <c r="Z24" s="45"/>
      <c r="AA24" s="45"/>
      <c r="AB24" s="45"/>
      <c r="AC24" s="811"/>
    </row>
    <row r="25" spans="1:29">
      <c r="A25" s="411"/>
      <c r="B25" s="325"/>
      <c r="C25" s="236">
        <f>+MAX(C16:C24)+1</f>
        <v>10</v>
      </c>
      <c r="D25" s="15" t="s">
        <v>7</v>
      </c>
      <c r="E25" s="313"/>
      <c r="F25" s="45">
        <f>+ROUND(COS_RR!J$38*COS_Alloc.!F25,0)</f>
        <v>280320</v>
      </c>
      <c r="G25" s="45">
        <f>+ROUND(COS_RR!K$38*COS_Alloc.!G25,0)</f>
        <v>4661595</v>
      </c>
      <c r="H25" s="45">
        <f>+ROUND(COS_RR!L$38*COS_Alloc.!H25,0)</f>
        <v>573872</v>
      </c>
      <c r="I25" s="45">
        <f>+ROUND(COS_RR!M$38*COS_Alloc.!I25,0)</f>
        <v>315954</v>
      </c>
      <c r="J25" s="45">
        <f>+ROUND(COS_RR!N$38*COS_Alloc.!J25,0)</f>
        <v>0</v>
      </c>
      <c r="K25" s="45">
        <f>+ROUND(COS_RR!O$38*COS_Alloc.!K25,0)</f>
        <v>0</v>
      </c>
      <c r="L25" s="45">
        <f>+ROUND(COS_RR!P$38*COS_Alloc.!L25,0)</f>
        <v>0</v>
      </c>
      <c r="M25" s="45">
        <f>+ROUND(COS_RR!Q$38*COS_Alloc.!M25,0)</f>
        <v>189905</v>
      </c>
      <c r="N25" s="45">
        <f>+ROUND(COS_RR!R$38*COS_Alloc.!N25,0)</f>
        <v>82847</v>
      </c>
      <c r="O25" s="45">
        <f>+ROUND(COS_RR!S$38*COS_Alloc.!O25,0)</f>
        <v>442860</v>
      </c>
      <c r="P25" s="45">
        <f>+ROUND(COS_RR!T$38*COS_Alloc.!P25,0)</f>
        <v>354783</v>
      </c>
      <c r="Q25" s="45">
        <f>+ROUND(COS_RR!U$38*COS_Alloc.!Q25,0)</f>
        <v>324026</v>
      </c>
      <c r="R25" s="45">
        <f>+ROUND(COS_RR!V$38*COS_Alloc.!R25,0)</f>
        <v>124505</v>
      </c>
      <c r="S25" s="45">
        <f>+ROUND(COS_RR!W$38*COS_Alloc.!S25,0)</f>
        <v>793601</v>
      </c>
      <c r="T25" s="45">
        <f>+ROUND(COS_RR!X$38*COS_Alloc.!T25,0)</f>
        <v>1265787</v>
      </c>
      <c r="U25" s="45">
        <f>+ROUND(COS_RR!Y$38*COS_Alloc.!U25,0)</f>
        <v>0</v>
      </c>
      <c r="V25" s="45">
        <f>+ROUND(COS_RR!Z$38*COS_Alloc.!V25,0)</f>
        <v>152068</v>
      </c>
      <c r="W25" s="45">
        <f>+ROUND(COS_RR!AA$38*COS_Alloc.!W25,0)</f>
        <v>0</v>
      </c>
      <c r="Y25" s="45">
        <f>SUM(F25:Q25,V25)</f>
        <v>7378230</v>
      </c>
      <c r="Z25" s="45"/>
      <c r="AA25" s="45"/>
      <c r="AB25" s="45">
        <f>SUM(R25:T25)</f>
        <v>2183893</v>
      </c>
      <c r="AC25" s="811">
        <f>SUM(Y25:AB25)-SUM(F25:W25)</f>
        <v>0</v>
      </c>
    </row>
    <row r="26" spans="1:29">
      <c r="A26" s="411"/>
      <c r="B26" s="325"/>
      <c r="C26" s="236">
        <f>+MAX(C17:C25)+1</f>
        <v>11</v>
      </c>
      <c r="D26" s="15" t="s">
        <v>8</v>
      </c>
      <c r="E26" s="315"/>
      <c r="F26" s="315">
        <f>+ROUND(COS_RR!J$38*COS_Alloc.!F26,0)</f>
        <v>1028323</v>
      </c>
      <c r="G26" s="315">
        <f>+ROUND(COS_RR!K$38*COS_Alloc.!G26,0)</f>
        <v>17039619</v>
      </c>
      <c r="H26" s="315">
        <f>+ROUND(COS_RR!L$38*COS_Alloc.!H26,0)</f>
        <v>2101455</v>
      </c>
      <c r="I26" s="315">
        <f>+ROUND(COS_RR!M$38*COS_Alloc.!I26,0)</f>
        <v>1155012</v>
      </c>
      <c r="J26" s="315">
        <f>+ROUND(COS_RR!N$38*COS_Alloc.!J26,0)</f>
        <v>0</v>
      </c>
      <c r="K26" s="315">
        <f>+ROUND(COS_RR!O$38*COS_Alloc.!K26,0)</f>
        <v>0</v>
      </c>
      <c r="L26" s="315">
        <f>+ROUND(COS_RR!P$38*COS_Alloc.!L26,0)</f>
        <v>0</v>
      </c>
      <c r="M26" s="315">
        <f>+ROUND(COS_RR!Q$38*COS_Alloc.!M26,0)</f>
        <v>694057</v>
      </c>
      <c r="N26" s="315">
        <f>+ROUND(COS_RR!R$38*COS_Alloc.!N26,0)</f>
        <v>303456</v>
      </c>
      <c r="O26" s="315">
        <f>+ROUND(COS_RR!S$38*COS_Alloc.!O26,0)</f>
        <v>1618029</v>
      </c>
      <c r="P26" s="315">
        <f>+ROUND(COS_RR!T$38*COS_Alloc.!P26,0)</f>
        <v>0</v>
      </c>
      <c r="Q26" s="315">
        <f>+ROUND(COS_RR!U$38*COS_Alloc.!Q26,0)</f>
        <v>0</v>
      </c>
      <c r="R26" s="315">
        <f>+ROUND(COS_RR!V$38*COS_Alloc.!R26,0)</f>
        <v>135176</v>
      </c>
      <c r="S26" s="315">
        <f>+ROUND(COS_RR!W$38*COS_Alloc.!S26,0)</f>
        <v>861851</v>
      </c>
      <c r="T26" s="315">
        <f>+ROUND(COS_RR!X$38*COS_Alloc.!T26,0)</f>
        <v>823834</v>
      </c>
      <c r="U26" s="315">
        <f>+ROUND(COS_RR!Y$38*COS_Alloc.!U26,0)</f>
        <v>0</v>
      </c>
      <c r="V26" s="315">
        <f>+ROUND(COS_RR!Z$38*COS_Alloc.!V26,0)</f>
        <v>99146</v>
      </c>
      <c r="W26" s="315">
        <f>+ROUND(COS_RR!AA$38*COS_Alloc.!W26,0)</f>
        <v>0</v>
      </c>
      <c r="Y26" s="461">
        <f>SUM(F26:G26,V26)</f>
        <v>18167088</v>
      </c>
      <c r="Z26" s="461">
        <f>SUM(H26:Q26)</f>
        <v>5872009</v>
      </c>
      <c r="AA26" s="45"/>
      <c r="AB26" s="461">
        <f>SUM(R26:T26)</f>
        <v>1820861</v>
      </c>
      <c r="AC26" s="811">
        <f>SUM(Y26:AB26)-SUM(F26:W26)</f>
        <v>0</v>
      </c>
    </row>
    <row r="27" spans="1:29">
      <c r="A27" s="411"/>
      <c r="B27" s="325"/>
      <c r="C27" s="236">
        <f>+MAX(C18:C26)+1</f>
        <v>12</v>
      </c>
      <c r="D27" s="39" t="s">
        <v>33</v>
      </c>
      <c r="E27" s="45">
        <f>SUM(F27:W27)</f>
        <v>35379915</v>
      </c>
      <c r="F27" s="45">
        <f>+ROUND(COS_RR!J$38*COS_Alloc.!F27,0)</f>
        <v>1308643</v>
      </c>
      <c r="G27" s="45">
        <f>+ROUND(COS_RR!K$38*COS_Alloc.!G27,0)</f>
        <v>21661541</v>
      </c>
      <c r="H27" s="45">
        <f>+ROUND(COS_RR!L$38*COS_Alloc.!H27,0)</f>
        <v>2675327</v>
      </c>
      <c r="I27" s="45">
        <f>+ROUND(COS_RR!M$38*COS_Alloc.!I27,0)</f>
        <v>1469920</v>
      </c>
      <c r="J27" s="45">
        <f>+ROUND(COS_RR!N$38*COS_Alloc.!J27,0)</f>
        <v>0</v>
      </c>
      <c r="K27" s="45">
        <f>+ROUND(COS_RR!O$38*COS_Alloc.!K27,0)</f>
        <v>0</v>
      </c>
      <c r="L27" s="45">
        <f>+ROUND(COS_RR!P$38*COS_Alloc.!L27,0)</f>
        <v>0</v>
      </c>
      <c r="M27" s="45">
        <f>+ROUND(COS_RR!Q$38*COS_Alloc.!M27,0)</f>
        <v>883962</v>
      </c>
      <c r="N27" s="45">
        <f>+ROUND(COS_RR!R$38*COS_Alloc.!N27,0)</f>
        <v>386302</v>
      </c>
      <c r="O27" s="45">
        <f>+ROUND(COS_RR!S$38*COS_Alloc.!O27,0)</f>
        <v>2059442</v>
      </c>
      <c r="P27" s="45">
        <f>+ROUND(COS_RR!T$38*COS_Alloc.!P27,0)</f>
        <v>354783</v>
      </c>
      <c r="Q27" s="45">
        <f>+ROUND(COS_RR!U$38*COS_Alloc.!Q27,0)</f>
        <v>324026</v>
      </c>
      <c r="R27" s="45">
        <f>+ROUND(COS_RR!V$38*COS_Alloc.!R27,0)</f>
        <v>259681</v>
      </c>
      <c r="S27" s="45">
        <f>+ROUND(COS_RR!W$38*COS_Alloc.!S27,0)</f>
        <v>1655453</v>
      </c>
      <c r="T27" s="45">
        <f>+ROUND(COS_RR!X$38*COS_Alloc.!T27,0)</f>
        <v>2089621</v>
      </c>
      <c r="U27" s="45">
        <f>+ROUND(COS_RR!Y$38*COS_Alloc.!U27,0)</f>
        <v>0</v>
      </c>
      <c r="V27" s="45">
        <f>+ROUND(COS_RR!Z$38*COS_Alloc.!V27,0)</f>
        <v>251214</v>
      </c>
      <c r="W27" s="45">
        <f>+ROUND(COS_RR!AA$38*COS_Alloc.!W27,0)</f>
        <v>0</v>
      </c>
      <c r="Y27" s="45">
        <f>SUM(Y25:Y26)</f>
        <v>25545318</v>
      </c>
      <c r="Z27" s="45">
        <f>SUM(Z25:Z26)</f>
        <v>5872009</v>
      </c>
      <c r="AA27" s="45"/>
      <c r="AB27" s="45">
        <f>SUM(AB25:AB26)</f>
        <v>4004754</v>
      </c>
      <c r="AC27" s="811">
        <f>SUM(Y27:AB27)-SUM(F27:W27)</f>
        <v>42166</v>
      </c>
    </row>
    <row r="28" spans="1:29">
      <c r="A28" s="411"/>
      <c r="B28" s="325"/>
      <c r="C28" s="236"/>
      <c r="D28" s="247"/>
      <c r="E28" s="313"/>
      <c r="F28" s="313"/>
      <c r="G28" s="313"/>
      <c r="H28" s="313"/>
      <c r="I28" s="313"/>
      <c r="J28" s="313"/>
      <c r="K28" s="313"/>
      <c r="L28" s="313"/>
      <c r="M28" s="313"/>
      <c r="N28" s="313"/>
      <c r="O28" s="313"/>
      <c r="P28" s="313"/>
      <c r="Q28" s="313"/>
      <c r="R28" s="313"/>
      <c r="S28" s="313"/>
      <c r="T28" s="313"/>
      <c r="U28" s="313"/>
      <c r="V28" s="313"/>
      <c r="W28" s="313"/>
      <c r="Y28" s="45"/>
      <c r="Z28" s="45"/>
      <c r="AA28" s="45"/>
      <c r="AB28" s="45"/>
      <c r="AC28" s="811"/>
    </row>
    <row r="29" spans="1:29">
      <c r="A29" s="411"/>
      <c r="B29" s="325"/>
      <c r="C29" s="236">
        <f>+MAX(C20:C28)+1</f>
        <v>13</v>
      </c>
      <c r="D29" s="14" t="s">
        <v>22</v>
      </c>
      <c r="E29" s="45"/>
      <c r="F29" s="45"/>
      <c r="G29" s="45"/>
      <c r="H29" s="45"/>
      <c r="I29" s="45"/>
      <c r="J29" s="45"/>
      <c r="K29" s="45"/>
      <c r="L29" s="45"/>
      <c r="M29" s="45"/>
      <c r="N29" s="45"/>
      <c r="O29" s="45"/>
      <c r="P29" s="45"/>
      <c r="Q29" s="45"/>
      <c r="R29" s="45"/>
      <c r="S29" s="45"/>
      <c r="T29" s="45"/>
      <c r="U29" s="45"/>
      <c r="V29" s="45"/>
      <c r="W29" s="45"/>
      <c r="Y29" s="45"/>
      <c r="Z29" s="45"/>
      <c r="AA29" s="45"/>
      <c r="AB29" s="45"/>
      <c r="AC29" s="811"/>
    </row>
    <row r="30" spans="1:29">
      <c r="A30" s="411"/>
      <c r="B30" s="325"/>
      <c r="C30" s="236">
        <f>+MAX(C23:C29)+1</f>
        <v>14</v>
      </c>
      <c r="D30" s="39" t="s">
        <v>34</v>
      </c>
      <c r="E30" s="45">
        <f>SUM(F30:W30)</f>
        <v>11682658</v>
      </c>
      <c r="F30" s="45">
        <f>+ROUND(COS_RR!J$38*COS_Alloc.!F30,0)</f>
        <v>678286</v>
      </c>
      <c r="G30" s="45">
        <f>+ROUND(COS_RR!K$38*COS_Alloc.!G30,0)</f>
        <v>8946296</v>
      </c>
      <c r="H30" s="45">
        <f>+ROUND(COS_RR!L$38*COS_Alloc.!H30,0)</f>
        <v>845186</v>
      </c>
      <c r="I30" s="45">
        <f>+ROUND(COS_RR!M$38*COS_Alloc.!I30,0)</f>
        <v>444638</v>
      </c>
      <c r="J30" s="45">
        <f>+ROUND(COS_RR!N$38*COS_Alloc.!J30,0)</f>
        <v>0</v>
      </c>
      <c r="K30" s="45">
        <f>+ROUND(COS_RR!O$38*COS_Alloc.!K30,0)</f>
        <v>0</v>
      </c>
      <c r="L30" s="45">
        <f>+ROUND(COS_RR!P$38*COS_Alloc.!L30,0)</f>
        <v>0</v>
      </c>
      <c r="M30" s="45">
        <f>+ROUND(COS_RR!Q$38*COS_Alloc.!M30,0)</f>
        <v>249250</v>
      </c>
      <c r="N30" s="45">
        <f>+ROUND(COS_RR!R$38*COS_Alloc.!N30,0)</f>
        <v>155752</v>
      </c>
      <c r="O30" s="45">
        <f>+ROUND(COS_RR!S$38*COS_Alloc.!O30,0)</f>
        <v>0</v>
      </c>
      <c r="P30" s="45">
        <f>+ROUND(COS_RR!T$38*COS_Alloc.!P30,0)</f>
        <v>0</v>
      </c>
      <c r="Q30" s="45">
        <f>+ROUND(COS_RR!U$38*COS_Alloc.!Q30,0)</f>
        <v>0</v>
      </c>
      <c r="R30" s="45">
        <f>+ROUND(COS_RR!V$38*COS_Alloc.!R30,0)</f>
        <v>29850</v>
      </c>
      <c r="S30" s="45">
        <f>+ROUND(COS_RR!W$38*COS_Alloc.!S30,0)</f>
        <v>126976</v>
      </c>
      <c r="T30" s="45">
        <f>+ROUND(COS_RR!X$38*COS_Alloc.!T30,0)</f>
        <v>202740</v>
      </c>
      <c r="U30" s="45">
        <f>+ROUND(COS_RR!Y$38*COS_Alloc.!U30,0)</f>
        <v>0</v>
      </c>
      <c r="V30" s="45">
        <f>+ROUND(COS_RR!Z$38*COS_Alloc.!V30,0)</f>
        <v>3684</v>
      </c>
      <c r="W30" s="45">
        <f>+ROUND(COS_RR!AA$38*COS_Alloc.!W30,0)</f>
        <v>0</v>
      </c>
      <c r="Y30" s="308">
        <f>SUM(F30:G30,V30)</f>
        <v>9628266</v>
      </c>
      <c r="Z30" s="308">
        <f>SUM(H30:Q30)</f>
        <v>1694826</v>
      </c>
      <c r="AA30" s="308"/>
      <c r="AB30" s="308">
        <f>SUM(R30:T30)</f>
        <v>359566</v>
      </c>
      <c r="AC30" s="812">
        <f>SUM(Y30:AB30)-SUM(F30:W30)</f>
        <v>0</v>
      </c>
    </row>
    <row r="31" spans="1:29">
      <c r="A31" s="411"/>
      <c r="B31" s="325"/>
      <c r="C31" s="236"/>
      <c r="D31" s="206"/>
      <c r="E31" s="313"/>
      <c r="F31" s="313"/>
      <c r="G31" s="313"/>
      <c r="H31" s="313"/>
      <c r="I31" s="313"/>
      <c r="J31" s="313"/>
      <c r="K31" s="313"/>
      <c r="L31" s="313"/>
      <c r="M31" s="313"/>
      <c r="N31" s="313"/>
      <c r="O31" s="313"/>
      <c r="P31" s="313"/>
      <c r="Q31" s="313"/>
      <c r="R31" s="313"/>
      <c r="S31" s="313"/>
      <c r="T31" s="313"/>
      <c r="U31" s="313"/>
      <c r="V31" s="313"/>
      <c r="W31" s="313"/>
      <c r="Y31" s="45"/>
      <c r="Z31" s="45"/>
      <c r="AA31" s="45"/>
      <c r="AB31" s="45"/>
      <c r="AC31" s="811"/>
    </row>
    <row r="32" spans="1:29">
      <c r="A32" s="411"/>
      <c r="B32" s="325"/>
      <c r="C32" s="236">
        <f>+MAX(C25:C31)+1</f>
        <v>15</v>
      </c>
      <c r="D32" s="14" t="s">
        <v>16</v>
      </c>
      <c r="E32" s="45"/>
      <c r="F32" s="45"/>
      <c r="G32" s="45"/>
      <c r="H32" s="45"/>
      <c r="I32" s="45"/>
      <c r="J32" s="45"/>
      <c r="K32" s="45"/>
      <c r="L32" s="45"/>
      <c r="M32" s="45"/>
      <c r="N32" s="45"/>
      <c r="O32" s="45"/>
      <c r="P32" s="45"/>
      <c r="Q32" s="45"/>
      <c r="R32" s="45"/>
      <c r="S32" s="45"/>
      <c r="T32" s="45"/>
      <c r="U32" s="45"/>
      <c r="V32" s="45"/>
      <c r="W32" s="45"/>
      <c r="Y32" s="45"/>
      <c r="Z32" s="45"/>
      <c r="AA32" s="45"/>
      <c r="AB32" s="45"/>
      <c r="AC32" s="811"/>
    </row>
    <row r="33" spans="1:29">
      <c r="A33" s="411"/>
      <c r="B33" s="325"/>
      <c r="C33" s="236">
        <f>+MAX(C28:C32)+1</f>
        <v>16</v>
      </c>
      <c r="D33" s="39" t="s">
        <v>35</v>
      </c>
      <c r="E33" s="45">
        <f>SUM(F33:W33)</f>
        <v>33165212</v>
      </c>
      <c r="F33" s="45">
        <f>+ROUND(COS_RR!J$38*COS_Alloc.!F33,0)</f>
        <v>2098766</v>
      </c>
      <c r="G33" s="45">
        <f>+ROUND(COS_RR!K$38*COS_Alloc.!G33,0)</f>
        <v>26918233</v>
      </c>
      <c r="H33" s="45">
        <f>+ROUND(COS_RR!L$38*COS_Alloc.!H33,0)</f>
        <v>1450300</v>
      </c>
      <c r="I33" s="45">
        <f>+ROUND(COS_RR!M$38*COS_Alloc.!I33,0)</f>
        <v>1270095</v>
      </c>
      <c r="J33" s="45">
        <f>+ROUND(COS_RR!N$38*COS_Alloc.!J33,0)</f>
        <v>278301</v>
      </c>
      <c r="K33" s="45">
        <f>+ROUND(COS_RR!O$38*COS_Alloc.!K33,0)</f>
        <v>0</v>
      </c>
      <c r="L33" s="45">
        <f>+ROUND(COS_RR!P$38*COS_Alloc.!L33,0)</f>
        <v>0</v>
      </c>
      <c r="M33" s="45">
        <f>+ROUND(COS_RR!Q$38*COS_Alloc.!M33,0)</f>
        <v>667493</v>
      </c>
      <c r="N33" s="45">
        <f>+ROUND(COS_RR!R$38*COS_Alloc.!N33,0)</f>
        <v>417074</v>
      </c>
      <c r="O33" s="45">
        <f>+ROUND(COS_RR!S$38*COS_Alloc.!O33,0)</f>
        <v>0</v>
      </c>
      <c r="P33" s="45">
        <f>+ROUND(COS_RR!T$38*COS_Alloc.!P33,0)</f>
        <v>0</v>
      </c>
      <c r="Q33" s="45">
        <f>+ROUND(COS_RR!U$38*COS_Alloc.!Q33,0)</f>
        <v>0</v>
      </c>
      <c r="R33" s="45">
        <f>+ROUND(COS_RR!V$38*COS_Alloc.!R33,0)</f>
        <v>0</v>
      </c>
      <c r="S33" s="45">
        <f>+ROUND(COS_RR!W$38*COS_Alloc.!S33,0)</f>
        <v>20634</v>
      </c>
      <c r="T33" s="45">
        <f>+ROUND(COS_RR!X$38*COS_Alloc.!T33,0)</f>
        <v>43981</v>
      </c>
      <c r="U33" s="45">
        <f>+ROUND(COS_RR!Y$38*COS_Alloc.!U33,0)</f>
        <v>0</v>
      </c>
      <c r="V33" s="45">
        <f>+ROUND(COS_RR!Z$38*COS_Alloc.!V33,0)</f>
        <v>335</v>
      </c>
      <c r="W33" s="45">
        <f>+ROUND(COS_RR!AA$38*COS_Alloc.!W33,0)</f>
        <v>0</v>
      </c>
      <c r="Y33" s="45">
        <f>SUM(F33:F33,V33)</f>
        <v>2099101</v>
      </c>
      <c r="Z33" s="45">
        <f>SUM(G33:Q33)</f>
        <v>31001496</v>
      </c>
      <c r="AA33" s="45"/>
      <c r="AB33" s="45">
        <f>SUM(R33:T33)</f>
        <v>64615</v>
      </c>
      <c r="AC33" s="812">
        <f>SUM(Y33:AB33)-SUM(F33:W33)</f>
        <v>0</v>
      </c>
    </row>
    <row r="34" spans="1:29">
      <c r="A34" s="411"/>
      <c r="B34" s="325"/>
      <c r="C34" s="236"/>
      <c r="D34" s="247"/>
      <c r="E34" s="45"/>
      <c r="F34" s="313"/>
      <c r="G34" s="313"/>
      <c r="H34" s="313"/>
      <c r="I34" s="313"/>
      <c r="J34" s="313"/>
      <c r="K34" s="313"/>
      <c r="L34" s="313"/>
      <c r="M34" s="313"/>
      <c r="N34" s="313"/>
      <c r="O34" s="313"/>
      <c r="P34" s="313"/>
      <c r="Q34" s="313"/>
      <c r="R34" s="313"/>
      <c r="S34" s="313"/>
      <c r="T34" s="313"/>
      <c r="U34" s="313"/>
      <c r="V34" s="313"/>
      <c r="W34" s="313"/>
      <c r="Y34" s="45"/>
      <c r="Z34" s="45"/>
      <c r="AA34" s="45"/>
      <c r="AB34" s="45"/>
      <c r="AC34" s="811"/>
    </row>
    <row r="35" spans="1:29">
      <c r="A35" s="411"/>
      <c r="B35" s="325"/>
      <c r="C35" s="236">
        <f>+MAX(C30:C34)+1</f>
        <v>17</v>
      </c>
      <c r="D35" s="1587" t="s">
        <v>17</v>
      </c>
      <c r="E35" s="313"/>
      <c r="F35" s="313"/>
      <c r="G35" s="313"/>
      <c r="H35" s="313"/>
      <c r="I35" s="313"/>
      <c r="J35" s="313"/>
      <c r="K35" s="313"/>
      <c r="L35" s="313"/>
      <c r="M35" s="313"/>
      <c r="N35" s="313"/>
      <c r="O35" s="313"/>
      <c r="P35" s="313"/>
      <c r="Q35" s="313"/>
      <c r="R35" s="313"/>
      <c r="S35" s="313"/>
      <c r="T35" s="313"/>
      <c r="U35" s="313"/>
      <c r="V35" s="313"/>
      <c r="W35" s="313"/>
      <c r="Y35" s="45"/>
      <c r="Z35" s="45"/>
      <c r="AA35" s="45"/>
      <c r="AB35" s="45"/>
      <c r="AC35" s="811"/>
    </row>
    <row r="36" spans="1:29">
      <c r="A36" s="411"/>
      <c r="B36" s="325"/>
      <c r="C36" s="236">
        <f>+MAX(C32:C35)+1</f>
        <v>18</v>
      </c>
      <c r="D36" s="1588" t="s">
        <v>36</v>
      </c>
      <c r="E36" s="45">
        <f>SUM(F36:W36)</f>
        <v>88138185</v>
      </c>
      <c r="F36" s="45">
        <f>+ROUND(COS_RR!J$38*COS_Alloc.!F36,0)</f>
        <v>5985478</v>
      </c>
      <c r="G36" s="45">
        <f>+ROUND(COS_RR!K$38*COS_Alloc.!G36,0)</f>
        <v>71867914</v>
      </c>
      <c r="H36" s="45">
        <f>+ROUND(COS_RR!L$38*COS_Alloc.!H36,0)</f>
        <v>4107539</v>
      </c>
      <c r="I36" s="45">
        <f>+ROUND(COS_RR!M$38*COS_Alloc.!I36,0)</f>
        <v>2942979</v>
      </c>
      <c r="J36" s="45">
        <f>+ROUND(COS_RR!N$38*COS_Alloc.!J36,0)</f>
        <v>929081</v>
      </c>
      <c r="K36" s="45">
        <f>+ROUND(COS_RR!O$38*COS_Alloc.!K36,0)</f>
        <v>0</v>
      </c>
      <c r="L36" s="45">
        <f>+ROUND(COS_RR!P$38*COS_Alloc.!L36,0)</f>
        <v>0</v>
      </c>
      <c r="M36" s="45">
        <f>+ROUND(COS_RR!Q$38*COS_Alloc.!M36,0)</f>
        <v>1375680</v>
      </c>
      <c r="N36" s="45">
        <f>+ROUND(COS_RR!R$38*COS_Alloc.!N36,0)</f>
        <v>859238</v>
      </c>
      <c r="O36" s="45">
        <f>+ROUND(COS_RR!S$38*COS_Alloc.!O36,0)</f>
        <v>0</v>
      </c>
      <c r="P36" s="45">
        <f>+ROUND(COS_RR!T$38*COS_Alloc.!P36,0)</f>
        <v>0</v>
      </c>
      <c r="Q36" s="45">
        <f>+ROUND(COS_RR!U$38*COS_Alloc.!Q36,0)</f>
        <v>0</v>
      </c>
      <c r="R36" s="45">
        <f>+ROUND(COS_RR!V$38*COS_Alloc.!R36,0)</f>
        <v>0</v>
      </c>
      <c r="S36" s="45">
        <f>+ROUND(COS_RR!W$38*COS_Alloc.!S36,0)</f>
        <v>11110</v>
      </c>
      <c r="T36" s="45">
        <f>+ROUND(COS_RR!X$38*COS_Alloc.!T36,0)</f>
        <v>58999</v>
      </c>
      <c r="U36" s="45">
        <f>+ROUND(COS_RR!Y$38*COS_Alloc.!U36,0)</f>
        <v>0</v>
      </c>
      <c r="V36" s="45">
        <f>+ROUND(COS_RR!Z$38*COS_Alloc.!V36,0)</f>
        <v>167</v>
      </c>
      <c r="W36" s="45">
        <f>+ROUND(COS_RR!AA$38*COS_Alloc.!W36,0)</f>
        <v>0</v>
      </c>
      <c r="Y36" s="45">
        <f>SUM(F36:F36,V36)</f>
        <v>5985645</v>
      </c>
      <c r="Z36" s="45">
        <f>SUM(G36:Q36)</f>
        <v>82082431</v>
      </c>
      <c r="AA36" s="45"/>
      <c r="AB36" s="45">
        <f>SUM(R36:T36)</f>
        <v>70109</v>
      </c>
      <c r="AC36" s="812">
        <f>SUM(Y36:AB36)-SUM(F36:W36)</f>
        <v>0</v>
      </c>
    </row>
    <row r="37" spans="1:29">
      <c r="A37" s="411"/>
      <c r="B37" s="325"/>
      <c r="C37" s="236"/>
      <c r="D37" s="247"/>
      <c r="E37" s="313"/>
      <c r="F37" s="313"/>
      <c r="G37" s="313"/>
      <c r="H37" s="313"/>
      <c r="I37" s="313"/>
      <c r="J37" s="313"/>
      <c r="K37" s="313"/>
      <c r="L37" s="313"/>
      <c r="M37" s="313"/>
      <c r="N37" s="313"/>
      <c r="O37" s="313"/>
      <c r="P37" s="313"/>
      <c r="Q37" s="313"/>
      <c r="R37" s="313"/>
      <c r="S37" s="313"/>
      <c r="T37" s="313"/>
      <c r="U37" s="313"/>
      <c r="V37" s="313"/>
      <c r="W37" s="313"/>
      <c r="Y37" s="45"/>
      <c r="Z37" s="45"/>
      <c r="AA37" s="45"/>
      <c r="AB37" s="45"/>
      <c r="AC37" s="811"/>
    </row>
    <row r="38" spans="1:29">
      <c r="A38" s="411"/>
      <c r="B38" s="325"/>
      <c r="C38" s="236">
        <f>+MAX(C33:C37)+1</f>
        <v>19</v>
      </c>
      <c r="D38" s="246" t="s">
        <v>18</v>
      </c>
      <c r="E38" s="313"/>
      <c r="F38" s="313"/>
      <c r="G38" s="313"/>
      <c r="H38" s="313"/>
      <c r="I38" s="313"/>
      <c r="J38" s="313"/>
      <c r="K38" s="313"/>
      <c r="L38" s="313"/>
      <c r="M38" s="313"/>
      <c r="N38" s="313"/>
      <c r="O38" s="313"/>
      <c r="P38" s="313"/>
      <c r="Q38" s="313"/>
      <c r="R38" s="313"/>
      <c r="S38" s="313"/>
      <c r="T38" s="313"/>
      <c r="U38" s="313"/>
      <c r="V38" s="313"/>
      <c r="W38" s="313"/>
      <c r="Y38" s="45"/>
      <c r="Z38" s="45"/>
      <c r="AA38" s="45"/>
      <c r="AB38" s="45"/>
      <c r="AC38" s="811"/>
    </row>
    <row r="39" spans="1:29">
      <c r="A39" s="411"/>
      <c r="B39" s="325"/>
      <c r="C39" s="236">
        <f>+MAX(C35:C38)+1</f>
        <v>20</v>
      </c>
      <c r="D39" s="39" t="s">
        <v>37</v>
      </c>
      <c r="E39" s="45">
        <f>SUM(F39:W39)</f>
        <v>15253378</v>
      </c>
      <c r="F39" s="45">
        <f>+ROUND(COS_RR!J$38*COS_Alloc.!F39,0)</f>
        <v>938272</v>
      </c>
      <c r="G39" s="45">
        <f>+ROUND(COS_RR!K$38*COS_Alloc.!G39,0)</f>
        <v>12020965</v>
      </c>
      <c r="H39" s="45">
        <f>+ROUND(COS_RR!L$38*COS_Alloc.!H39,0)</f>
        <v>1088547</v>
      </c>
      <c r="I39" s="45">
        <f>+ROUND(COS_RR!M$38*COS_Alloc.!I39,0)</f>
        <v>568090</v>
      </c>
      <c r="J39" s="45">
        <f>+ROUND(COS_RR!N$38*COS_Alloc.!J39,0)</f>
        <v>97220</v>
      </c>
      <c r="K39" s="45">
        <f>+ROUND(COS_RR!O$38*COS_Alloc.!K39,0)</f>
        <v>0</v>
      </c>
      <c r="L39" s="45">
        <f>+ROUND(COS_RR!P$38*COS_Alloc.!L39,0)</f>
        <v>0</v>
      </c>
      <c r="M39" s="45">
        <f>+ROUND(COS_RR!Q$38*COS_Alloc.!M39,0)</f>
        <v>298422</v>
      </c>
      <c r="N39" s="45">
        <f>+ROUND(COS_RR!R$38*COS_Alloc.!N39,0)</f>
        <v>186523</v>
      </c>
      <c r="O39" s="45">
        <f>+ROUND(COS_RR!S$38*COS_Alloc.!O39,0)</f>
        <v>0</v>
      </c>
      <c r="P39" s="45">
        <f>+ROUND(COS_RR!T$38*COS_Alloc.!P39,0)</f>
        <v>0</v>
      </c>
      <c r="Q39" s="45">
        <f>+ROUND(COS_RR!U$38*COS_Alloc.!Q39,0)</f>
        <v>0</v>
      </c>
      <c r="R39" s="45">
        <f>+ROUND(COS_RR!V$38*COS_Alloc.!R39,0)</f>
        <v>0</v>
      </c>
      <c r="S39" s="45">
        <f>+ROUND(COS_RR!W$38*COS_Alloc.!S39,0)</f>
        <v>17459</v>
      </c>
      <c r="T39" s="45">
        <f>+ROUND(COS_RR!X$38*COS_Alloc.!T39,0)</f>
        <v>37545</v>
      </c>
      <c r="U39" s="45">
        <f>+ROUND(COS_RR!Y$38*COS_Alloc.!U39,0)</f>
        <v>0</v>
      </c>
      <c r="V39" s="45">
        <f>+ROUND(COS_RR!Z$38*COS_Alloc.!V39,0)</f>
        <v>335</v>
      </c>
      <c r="W39" s="45">
        <f>+ROUND(COS_RR!AA$38*COS_Alloc.!W39,0)</f>
        <v>0</v>
      </c>
      <c r="Y39" s="45">
        <f>SUM(F39:F39,V39)</f>
        <v>938607</v>
      </c>
      <c r="Z39" s="45">
        <f>SUM(G39:Q39)</f>
        <v>14259767</v>
      </c>
      <c r="AA39" s="45"/>
      <c r="AB39" s="45">
        <f>SUM(R39:T39)</f>
        <v>55004</v>
      </c>
      <c r="AC39" s="812">
        <f>SUM(Y39:AB39)-SUM(F39:W39)</f>
        <v>0</v>
      </c>
    </row>
    <row r="40" spans="1:29">
      <c r="A40" s="411"/>
      <c r="B40" s="325"/>
      <c r="C40" s="236"/>
      <c r="D40" s="247"/>
      <c r="E40" s="308"/>
      <c r="F40" s="313"/>
      <c r="G40" s="313"/>
      <c r="H40" s="313"/>
      <c r="I40" s="313"/>
      <c r="J40" s="313"/>
      <c r="K40" s="313"/>
      <c r="L40" s="313"/>
      <c r="M40" s="313"/>
      <c r="N40" s="313"/>
      <c r="O40" s="313"/>
      <c r="P40" s="313"/>
      <c r="Q40" s="313"/>
      <c r="R40" s="313"/>
      <c r="S40" s="313"/>
      <c r="T40" s="313"/>
      <c r="U40" s="313"/>
      <c r="V40" s="313"/>
      <c r="W40" s="313"/>
      <c r="Y40" s="45"/>
      <c r="Z40" s="45"/>
      <c r="AA40" s="45"/>
      <c r="AB40" s="45"/>
      <c r="AC40" s="811"/>
    </row>
    <row r="41" spans="1:29">
      <c r="A41" s="411"/>
      <c r="B41" s="325"/>
      <c r="C41" s="236">
        <f>+MAX(C35:C40)+1</f>
        <v>21</v>
      </c>
      <c r="D41" s="246" t="s">
        <v>19</v>
      </c>
      <c r="E41" s="308"/>
      <c r="F41" s="308"/>
      <c r="G41" s="308"/>
      <c r="H41" s="308"/>
      <c r="I41" s="308"/>
      <c r="J41" s="308"/>
      <c r="K41" s="308"/>
      <c r="L41" s="308"/>
      <c r="M41" s="308"/>
      <c r="N41" s="308"/>
      <c r="O41" s="308"/>
      <c r="P41" s="308"/>
      <c r="Q41" s="308"/>
      <c r="R41" s="308"/>
      <c r="S41" s="308"/>
      <c r="T41" s="308"/>
      <c r="U41" s="308"/>
      <c r="V41" s="308"/>
      <c r="W41" s="308"/>
      <c r="Y41" s="45"/>
      <c r="Z41" s="45"/>
      <c r="AA41" s="45"/>
      <c r="AB41" s="45"/>
      <c r="AC41" s="811"/>
    </row>
    <row r="42" spans="1:29">
      <c r="A42" s="411"/>
      <c r="B42" s="325"/>
      <c r="C42" s="236">
        <f>+MAX(C36:C41)+1</f>
        <v>22</v>
      </c>
      <c r="D42" s="39" t="s">
        <v>38</v>
      </c>
      <c r="E42" s="45">
        <f>SUM(F42:W42)</f>
        <v>22926</v>
      </c>
      <c r="F42" s="45">
        <f>+ROUND(COS_RR!J$38*COS_Alloc.!F42,0)</f>
        <v>0</v>
      </c>
      <c r="G42" s="45">
        <f>+ROUND(COS_RR!K$38*COS_Alloc.!G42,0)</f>
        <v>0</v>
      </c>
      <c r="H42" s="45">
        <f>+ROUND(COS_RR!L$38*COS_Alloc.!H42,0)</f>
        <v>0</v>
      </c>
      <c r="I42" s="45">
        <f>+ROUND(COS_RR!M$38*COS_Alloc.!I42,0)</f>
        <v>0</v>
      </c>
      <c r="J42" s="45">
        <f>+ROUND(COS_RR!N$38*COS_Alloc.!J42,0)</f>
        <v>18121</v>
      </c>
      <c r="K42" s="45">
        <f>+ROUND(COS_RR!O$38*COS_Alloc.!K42,0)</f>
        <v>0</v>
      </c>
      <c r="L42" s="45">
        <f>+ROUND(COS_RR!P$38*COS_Alloc.!L42,0)</f>
        <v>0</v>
      </c>
      <c r="M42" s="45">
        <f>+ROUND(COS_RR!Q$38*COS_Alloc.!M42,0)</f>
        <v>0</v>
      </c>
      <c r="N42" s="45">
        <f>+ROUND(COS_RR!R$38*COS_Alloc.!N42,0)</f>
        <v>0</v>
      </c>
      <c r="O42" s="45">
        <f>+ROUND(COS_RR!S$38*COS_Alloc.!O42,0)</f>
        <v>0</v>
      </c>
      <c r="P42" s="45">
        <f>+ROUND(COS_RR!T$38*COS_Alloc.!P42,0)</f>
        <v>0</v>
      </c>
      <c r="Q42" s="45">
        <f>+ROUND(COS_RR!U$38*COS_Alloc.!Q42,0)</f>
        <v>0</v>
      </c>
      <c r="R42" s="45">
        <f>+ROUND(COS_RR!V$38*COS_Alloc.!R42,0)</f>
        <v>0</v>
      </c>
      <c r="S42" s="45">
        <f>+ROUND(COS_RR!W$38*COS_Alloc.!S42,0)</f>
        <v>1587</v>
      </c>
      <c r="T42" s="45">
        <f>+ROUND(COS_RR!X$38*COS_Alloc.!T42,0)</f>
        <v>3218</v>
      </c>
      <c r="U42" s="45">
        <f>+ROUND(COS_RR!Y$38*COS_Alloc.!U42,0)</f>
        <v>0</v>
      </c>
      <c r="V42" s="45">
        <f>+ROUND(COS_RR!Z$38*COS_Alloc.!V42,0)</f>
        <v>0</v>
      </c>
      <c r="W42" s="45">
        <f>+ROUND(COS_RR!AA$38*COS_Alloc.!W42,0)</f>
        <v>0</v>
      </c>
      <c r="Y42" s="45">
        <f>SUM(F42:F42,V42)</f>
        <v>0</v>
      </c>
      <c r="Z42" s="45">
        <f>SUM(G42:Q42)</f>
        <v>18121</v>
      </c>
      <c r="AA42" s="45"/>
      <c r="AB42" s="45">
        <f>SUM(R42:T42)</f>
        <v>4805</v>
      </c>
      <c r="AC42" s="812">
        <f>SUM(Y42:AB42)-SUM(F42:W42)</f>
        <v>0</v>
      </c>
    </row>
    <row r="43" spans="1:29">
      <c r="A43" s="411"/>
      <c r="B43" s="325"/>
      <c r="C43" s="236"/>
      <c r="D43" s="247"/>
      <c r="E43" s="313"/>
      <c r="F43" s="313"/>
      <c r="G43" s="313"/>
      <c r="H43" s="313"/>
      <c r="I43" s="313"/>
      <c r="J43" s="313"/>
      <c r="K43" s="313"/>
      <c r="L43" s="313"/>
      <c r="M43" s="313"/>
      <c r="N43" s="313"/>
      <c r="O43" s="313"/>
      <c r="P43" s="313"/>
      <c r="Q43" s="313"/>
      <c r="R43" s="313"/>
      <c r="S43" s="313"/>
      <c r="T43" s="313"/>
      <c r="U43" s="313"/>
      <c r="V43" s="313"/>
      <c r="W43" s="313"/>
      <c r="Y43" s="45"/>
      <c r="Z43" s="45"/>
      <c r="AA43" s="45"/>
      <c r="AB43" s="45"/>
      <c r="AC43" s="811"/>
    </row>
    <row r="44" spans="1:29">
      <c r="A44" s="411"/>
      <c r="B44" s="325"/>
      <c r="C44" s="236">
        <f>+MAX(C39:C43)+1</f>
        <v>23</v>
      </c>
      <c r="D44" s="246" t="s">
        <v>20</v>
      </c>
      <c r="E44" s="313"/>
      <c r="F44" s="313"/>
      <c r="G44" s="313"/>
      <c r="H44" s="313"/>
      <c r="I44" s="313"/>
      <c r="J44" s="313"/>
      <c r="K44" s="313"/>
      <c r="L44" s="313"/>
      <c r="M44" s="313"/>
      <c r="N44" s="313"/>
      <c r="O44" s="313"/>
      <c r="P44" s="313"/>
      <c r="Q44" s="313"/>
      <c r="R44" s="313"/>
      <c r="S44" s="313"/>
      <c r="T44" s="313"/>
      <c r="U44" s="313"/>
      <c r="V44" s="313"/>
      <c r="W44" s="313"/>
      <c r="Y44" s="45"/>
      <c r="Z44" s="45"/>
      <c r="AA44" s="45"/>
      <c r="AB44" s="45"/>
      <c r="AC44" s="811"/>
    </row>
    <row r="45" spans="1:29">
      <c r="A45" s="411"/>
      <c r="B45" s="325"/>
      <c r="C45" s="236">
        <f>+MAX(C39:C44)+1</f>
        <v>24</v>
      </c>
      <c r="D45" s="39" t="s">
        <v>39</v>
      </c>
      <c r="E45" s="45">
        <f>SUM(F45:W45)</f>
        <v>0</v>
      </c>
      <c r="F45" s="45">
        <f>+ROUND(COS_RR!J$38*COS_Alloc.!F45,0)</f>
        <v>0</v>
      </c>
      <c r="G45" s="45">
        <f>+ROUND(COS_RR!K$38*COS_Alloc.!G45,0)</f>
        <v>0</v>
      </c>
      <c r="H45" s="45">
        <f>+ROUND(COS_RR!L$38*COS_Alloc.!H45,0)</f>
        <v>0</v>
      </c>
      <c r="I45" s="45">
        <f>+ROUND(COS_RR!M$38*COS_Alloc.!I45,0)</f>
        <v>0</v>
      </c>
      <c r="J45" s="45">
        <f>+ROUND(COS_RR!N$38*COS_Alloc.!J45,0)</f>
        <v>0</v>
      </c>
      <c r="K45" s="45">
        <f>+ROUND(COS_RR!O$38*COS_Alloc.!K45,0)</f>
        <v>0</v>
      </c>
      <c r="L45" s="45">
        <f>+ROUND(COS_RR!P$38*COS_Alloc.!L45,0)</f>
        <v>0</v>
      </c>
      <c r="M45" s="45">
        <f>+ROUND(COS_RR!Q$38*COS_Alloc.!M45,0)</f>
        <v>0</v>
      </c>
      <c r="N45" s="45">
        <f>+ROUND(COS_RR!R$38*COS_Alloc.!N45,0)</f>
        <v>0</v>
      </c>
      <c r="O45" s="45">
        <f>+ROUND(COS_RR!S$38*COS_Alloc.!O45,0)</f>
        <v>0</v>
      </c>
      <c r="P45" s="45">
        <f>+ROUND(COS_RR!T$38*COS_Alloc.!P45,0)</f>
        <v>0</v>
      </c>
      <c r="Q45" s="45">
        <f>+ROUND(COS_RR!U$38*COS_Alloc.!Q45,0)</f>
        <v>0</v>
      </c>
      <c r="R45" s="45">
        <f>+ROUND(COS_RR!V$38*COS_Alloc.!R45,0)</f>
        <v>0</v>
      </c>
      <c r="S45" s="45">
        <f>+ROUND(COS_RR!W$38*COS_Alloc.!S45,0)</f>
        <v>0</v>
      </c>
      <c r="T45" s="45">
        <f>+ROUND(COS_RR!X$38*COS_Alloc.!T45,0)</f>
        <v>0</v>
      </c>
      <c r="U45" s="45">
        <f>+ROUND(COS_RR!Y$38*COS_Alloc.!U45,0)</f>
        <v>0</v>
      </c>
      <c r="V45" s="45">
        <f>+ROUND(COS_RR!Z$38*COS_Alloc.!V45,0)</f>
        <v>0</v>
      </c>
      <c r="W45" s="45">
        <f>+ROUND(COS_RR!AA$38*COS_Alloc.!W45,0)</f>
        <v>0</v>
      </c>
      <c r="Y45" s="45">
        <f>SUM(F45:F45,V45)</f>
        <v>0</v>
      </c>
      <c r="Z45" s="45">
        <f>SUM(G45:Q45)</f>
        <v>0</v>
      </c>
      <c r="AA45" s="45"/>
      <c r="AB45" s="45">
        <f>SUM(R45:T45)</f>
        <v>0</v>
      </c>
      <c r="AC45" s="812">
        <f>SUM(Y45:AB45)-SUM(F45:W45)</f>
        <v>0</v>
      </c>
    </row>
    <row r="46" spans="1:29">
      <c r="A46" s="411"/>
      <c r="B46" s="325"/>
      <c r="C46" s="236"/>
      <c r="D46" s="206"/>
      <c r="E46" s="308"/>
      <c r="F46" s="308"/>
      <c r="G46" s="308"/>
      <c r="H46" s="308"/>
      <c r="I46" s="308"/>
      <c r="J46" s="308"/>
      <c r="K46" s="308"/>
      <c r="L46" s="308"/>
      <c r="M46" s="308"/>
      <c r="N46" s="308"/>
      <c r="O46" s="308"/>
      <c r="P46" s="308"/>
      <c r="Q46" s="308"/>
      <c r="R46" s="308"/>
      <c r="S46" s="308"/>
      <c r="T46" s="308"/>
      <c r="U46" s="308"/>
      <c r="V46" s="308"/>
      <c r="W46" s="308"/>
      <c r="Y46" s="45"/>
      <c r="Z46" s="45"/>
      <c r="AA46" s="45"/>
      <c r="AB46" s="45"/>
      <c r="AC46" s="811"/>
    </row>
    <row r="47" spans="1:29">
      <c r="A47" s="411"/>
      <c r="B47" s="325"/>
      <c r="C47" s="236">
        <f>+MAX(C44:C46)+1</f>
        <v>25</v>
      </c>
      <c r="D47" s="246" t="s">
        <v>4</v>
      </c>
      <c r="E47" s="313"/>
      <c r="F47" s="313"/>
      <c r="G47" s="313"/>
      <c r="H47" s="313"/>
      <c r="I47" s="313"/>
      <c r="J47" s="313"/>
      <c r="K47" s="313"/>
      <c r="L47" s="313"/>
      <c r="M47" s="313"/>
      <c r="N47" s="313"/>
      <c r="O47" s="313"/>
      <c r="P47" s="313"/>
      <c r="Q47" s="313"/>
      <c r="R47" s="313"/>
      <c r="S47" s="313"/>
      <c r="T47" s="313"/>
      <c r="U47" s="313"/>
      <c r="V47" s="313"/>
      <c r="W47" s="313"/>
      <c r="Y47" s="45"/>
      <c r="Z47" s="45"/>
      <c r="AA47" s="45"/>
      <c r="AB47" s="45"/>
      <c r="AC47" s="811"/>
    </row>
    <row r="48" spans="1:29">
      <c r="A48" s="411"/>
      <c r="B48" s="325"/>
      <c r="C48" s="236">
        <f>+MAX(C45:C47)+1</f>
        <v>26</v>
      </c>
      <c r="D48" s="39" t="s">
        <v>40</v>
      </c>
      <c r="E48" s="45">
        <f>SUM(F48:W48)</f>
        <v>724541</v>
      </c>
      <c r="F48" s="45">
        <f>+ROUND(COS_RR!J$38*COS_Alloc.!F48,0)</f>
        <v>10167</v>
      </c>
      <c r="G48" s="45">
        <f>+ROUND(COS_RR!K$38*COS_Alloc.!G48,0)</f>
        <v>158693</v>
      </c>
      <c r="H48" s="45">
        <f>+ROUND(COS_RR!L$38*COS_Alloc.!H48,0)</f>
        <v>0</v>
      </c>
      <c r="I48" s="45">
        <f>+ROUND(COS_RR!M$38*COS_Alloc.!I48,0)</f>
        <v>9416</v>
      </c>
      <c r="J48" s="45">
        <f>+ROUND(COS_RR!N$38*COS_Alloc.!J48,0)</f>
        <v>0</v>
      </c>
      <c r="K48" s="45">
        <f>+ROUND(COS_RR!O$38*COS_Alloc.!K48,0)</f>
        <v>0</v>
      </c>
      <c r="L48" s="45">
        <f>+ROUND(COS_RR!P$38*COS_Alloc.!L48,0)</f>
        <v>0</v>
      </c>
      <c r="M48" s="45">
        <f>+ROUND(COS_RR!Q$38*COS_Alloc.!M48,0)</f>
        <v>3956</v>
      </c>
      <c r="N48" s="45">
        <f>+ROUND(COS_RR!R$38*COS_Alloc.!N48,0)</f>
        <v>2367</v>
      </c>
      <c r="O48" s="45">
        <f>+ROUND(COS_RR!S$38*COS_Alloc.!O48,0)</f>
        <v>0</v>
      </c>
      <c r="P48" s="45">
        <f>+ROUND(COS_RR!T$38*COS_Alloc.!P48,0)</f>
        <v>4551</v>
      </c>
      <c r="Q48" s="45">
        <f>+ROUND(COS_RR!U$38*COS_Alloc.!Q48,0)</f>
        <v>9461</v>
      </c>
      <c r="R48" s="45">
        <f>+ROUND(COS_RR!V$38*COS_Alloc.!R48,0)</f>
        <v>1701</v>
      </c>
      <c r="S48" s="45">
        <f>+ROUND(COS_RR!W$38*COS_Alloc.!S48,0)</f>
        <v>0</v>
      </c>
      <c r="T48" s="45">
        <f>+ROUND(COS_RR!X$38*COS_Alloc.!T48,0)</f>
        <v>10727</v>
      </c>
      <c r="U48" s="45">
        <f>+ROUND(COS_RR!Y$38*COS_Alloc.!U48,0)</f>
        <v>511492</v>
      </c>
      <c r="V48" s="45">
        <f>+ROUND(COS_RR!Z$38*COS_Alloc.!V48,0)</f>
        <v>2010</v>
      </c>
      <c r="W48" s="45">
        <f>+ROUND(COS_RR!AA$38*COS_Alloc.!W48,0)</f>
        <v>0</v>
      </c>
      <c r="Y48" s="45">
        <f>SUM(F48:V48)</f>
        <v>724541</v>
      </c>
      <c r="Z48" s="45"/>
      <c r="AA48" s="45"/>
      <c r="AB48" s="45"/>
      <c r="AC48" s="812">
        <f>SUM(Y48:AB48)-SUM(F48:W48)</f>
        <v>0</v>
      </c>
    </row>
    <row r="49" spans="1:29">
      <c r="A49" s="411"/>
      <c r="B49" s="325"/>
      <c r="C49" s="236"/>
      <c r="D49" s="247"/>
      <c r="E49" s="313"/>
      <c r="F49" s="313"/>
      <c r="G49" s="313"/>
      <c r="H49" s="313"/>
      <c r="I49" s="313"/>
      <c r="J49" s="313"/>
      <c r="K49" s="313"/>
      <c r="L49" s="313"/>
      <c r="M49" s="313"/>
      <c r="N49" s="313"/>
      <c r="O49" s="313"/>
      <c r="P49" s="313"/>
      <c r="Q49" s="313"/>
      <c r="R49" s="313"/>
      <c r="S49" s="313"/>
      <c r="T49" s="313"/>
      <c r="U49" s="313"/>
      <c r="V49" s="313"/>
      <c r="W49" s="313"/>
      <c r="Y49" s="45"/>
      <c r="Z49" s="45"/>
      <c r="AA49" s="45"/>
      <c r="AB49" s="45"/>
      <c r="AC49" s="811"/>
    </row>
    <row r="50" spans="1:29">
      <c r="A50" s="411"/>
      <c r="B50" s="325"/>
      <c r="C50" s="236">
        <f>+MAX(C47:C49)+1</f>
        <v>27</v>
      </c>
      <c r="D50" s="246" t="s">
        <v>5</v>
      </c>
      <c r="E50" s="313"/>
      <c r="F50" s="313"/>
      <c r="G50" s="313"/>
      <c r="H50" s="313"/>
      <c r="I50" s="313"/>
      <c r="J50" s="313"/>
      <c r="K50" s="313"/>
      <c r="L50" s="313"/>
      <c r="M50" s="313"/>
      <c r="N50" s="313"/>
      <c r="O50" s="313"/>
      <c r="P50" s="313"/>
      <c r="Q50" s="313"/>
      <c r="R50" s="313"/>
      <c r="S50" s="313"/>
      <c r="T50" s="313"/>
      <c r="U50" s="313"/>
      <c r="V50" s="313"/>
      <c r="W50" s="313"/>
      <c r="Y50" s="45"/>
      <c r="Z50" s="45"/>
      <c r="AA50" s="45"/>
      <c r="AB50" s="45"/>
      <c r="AC50" s="811"/>
    </row>
    <row r="51" spans="1:29">
      <c r="A51" s="411"/>
      <c r="B51" s="325"/>
      <c r="C51" s="236">
        <f>+MAX(C47:C50)+1</f>
        <v>28</v>
      </c>
      <c r="D51" s="39" t="s">
        <v>41</v>
      </c>
      <c r="E51" s="45">
        <f>SUM(F51:W51)</f>
        <v>59689</v>
      </c>
      <c r="F51" s="45">
        <f>+ROUND(COS_RR!J$38*COS_Alloc.!F51,0)</f>
        <v>1452</v>
      </c>
      <c r="G51" s="45">
        <f>+ROUND(COS_RR!K$38*COS_Alloc.!G51,0)</f>
        <v>19837</v>
      </c>
      <c r="H51" s="45">
        <f>+ROUND(COS_RR!L$38*COS_Alloc.!H51,0)</f>
        <v>0</v>
      </c>
      <c r="I51" s="45">
        <f>+ROUND(COS_RR!M$38*COS_Alloc.!I51,0)</f>
        <v>1046</v>
      </c>
      <c r="J51" s="45">
        <f>+ROUND(COS_RR!N$38*COS_Alloc.!J51,0)</f>
        <v>0</v>
      </c>
      <c r="K51" s="45">
        <f>+ROUND(COS_RR!O$38*COS_Alloc.!K51,0)</f>
        <v>0</v>
      </c>
      <c r="L51" s="45">
        <f>+ROUND(COS_RR!P$38*COS_Alloc.!L51,0)</f>
        <v>0</v>
      </c>
      <c r="M51" s="45">
        <f>+ROUND(COS_RR!Q$38*COS_Alloc.!M51,0)</f>
        <v>565</v>
      </c>
      <c r="N51" s="45">
        <f>+ROUND(COS_RR!R$38*COS_Alloc.!N51,0)</f>
        <v>237</v>
      </c>
      <c r="O51" s="45">
        <f>+ROUND(COS_RR!S$38*COS_Alloc.!O51,0)</f>
        <v>0</v>
      </c>
      <c r="P51" s="45">
        <f>+ROUND(COS_RR!T$38*COS_Alloc.!P51,0)</f>
        <v>2913</v>
      </c>
      <c r="Q51" s="45">
        <f>+ROUND(COS_RR!U$38*COS_Alloc.!Q51,0)</f>
        <v>6149</v>
      </c>
      <c r="R51" s="45">
        <f>+ROUND(COS_RR!V$38*COS_Alloc.!R51,0)</f>
        <v>1083</v>
      </c>
      <c r="S51" s="45">
        <f>+ROUND(COS_RR!W$38*COS_Alloc.!S51,0)</f>
        <v>0</v>
      </c>
      <c r="T51" s="45">
        <f>+ROUND(COS_RR!X$38*COS_Alloc.!T51,0)</f>
        <v>7509</v>
      </c>
      <c r="U51" s="45">
        <f>+ROUND(COS_RR!Y$38*COS_Alloc.!U51,0)</f>
        <v>17558</v>
      </c>
      <c r="V51" s="45">
        <f>+ROUND(COS_RR!Z$38*COS_Alloc.!V51,0)</f>
        <v>1340</v>
      </c>
      <c r="W51" s="45">
        <f>+ROUND(COS_RR!AA$38*COS_Alloc.!W51,0)</f>
        <v>0</v>
      </c>
      <c r="Y51" s="45">
        <f>SUM(F51:V51)</f>
        <v>59689</v>
      </c>
      <c r="Z51" s="45"/>
      <c r="AA51" s="45"/>
      <c r="AB51" s="45"/>
      <c r="AC51" s="812">
        <f>SUM(Y51:AB51)-SUM(F51:W51)</f>
        <v>0</v>
      </c>
    </row>
    <row r="52" spans="1:29">
      <c r="A52" s="411"/>
      <c r="B52" s="325"/>
      <c r="C52" s="236"/>
      <c r="D52" s="206"/>
      <c r="E52" s="308"/>
      <c r="F52" s="308"/>
      <c r="G52" s="308"/>
      <c r="H52" s="308"/>
      <c r="I52" s="308"/>
      <c r="J52" s="308"/>
      <c r="K52" s="308"/>
      <c r="L52" s="308"/>
      <c r="M52" s="308"/>
      <c r="N52" s="308"/>
      <c r="O52" s="308"/>
      <c r="P52" s="308"/>
      <c r="Q52" s="308"/>
      <c r="R52" s="308"/>
      <c r="S52" s="308"/>
      <c r="T52" s="308"/>
      <c r="U52" s="308"/>
      <c r="V52" s="308"/>
      <c r="W52" s="308"/>
      <c r="Y52" s="45"/>
      <c r="Z52" s="45"/>
      <c r="AA52" s="45"/>
      <c r="AB52" s="45"/>
      <c r="AC52" s="811"/>
    </row>
    <row r="53" spans="1:29">
      <c r="A53" s="411"/>
      <c r="B53" s="325"/>
      <c r="C53" s="236">
        <f>+MAX(C47:C52)+1</f>
        <v>29</v>
      </c>
      <c r="D53" s="246" t="s">
        <v>23</v>
      </c>
      <c r="E53" s="313"/>
      <c r="F53" s="313"/>
      <c r="G53" s="313"/>
      <c r="H53" s="313"/>
      <c r="I53" s="313"/>
      <c r="J53" s="313"/>
      <c r="K53" s="313"/>
      <c r="L53" s="313"/>
      <c r="M53" s="313"/>
      <c r="N53" s="313"/>
      <c r="O53" s="313"/>
      <c r="P53" s="313"/>
      <c r="Q53" s="313"/>
      <c r="R53" s="313"/>
      <c r="S53" s="313"/>
      <c r="T53" s="313"/>
      <c r="U53" s="313"/>
      <c r="V53" s="313"/>
      <c r="W53" s="313"/>
      <c r="Y53" s="45"/>
      <c r="Z53" s="45"/>
      <c r="AA53" s="45"/>
      <c r="AB53" s="45"/>
      <c r="AC53" s="811"/>
    </row>
    <row r="54" spans="1:29">
      <c r="A54" s="411"/>
      <c r="B54" s="325"/>
      <c r="C54" s="236">
        <f>+MAX(C47:C53)+1</f>
        <v>30</v>
      </c>
      <c r="D54" s="39" t="s">
        <v>42</v>
      </c>
      <c r="E54" s="45">
        <f>SUM(F54:W54)</f>
        <v>51975</v>
      </c>
      <c r="F54" s="45">
        <f>+ROUND(COS_RR!J$38*COS_Alloc.!F54,0)</f>
        <v>2905</v>
      </c>
      <c r="G54" s="45">
        <f>+ROUND(COS_RR!K$38*COS_Alloc.!G54,0)</f>
        <v>39673</v>
      </c>
      <c r="H54" s="45">
        <f>+ROUND(COS_RR!L$38*COS_Alloc.!H54,0)</f>
        <v>0</v>
      </c>
      <c r="I54" s="45">
        <f>+ROUND(COS_RR!M$38*COS_Alloc.!I54,0)</f>
        <v>2092</v>
      </c>
      <c r="J54" s="45">
        <f>+ROUND(COS_RR!N$38*COS_Alloc.!J54,0)</f>
        <v>0</v>
      </c>
      <c r="K54" s="45">
        <f>+ROUND(COS_RR!O$38*COS_Alloc.!K54,0)</f>
        <v>0</v>
      </c>
      <c r="L54" s="45">
        <f>+ROUND(COS_RR!P$38*COS_Alloc.!L54,0)</f>
        <v>0</v>
      </c>
      <c r="M54" s="45">
        <f>+ROUND(COS_RR!Q$38*COS_Alloc.!M54,0)</f>
        <v>1130</v>
      </c>
      <c r="N54" s="45">
        <f>+ROUND(COS_RR!R$38*COS_Alloc.!N54,0)</f>
        <v>710</v>
      </c>
      <c r="O54" s="45">
        <f>+ROUND(COS_RR!S$38*COS_Alloc.!O54,0)</f>
        <v>0</v>
      </c>
      <c r="P54" s="45">
        <f>+ROUND(COS_RR!T$38*COS_Alloc.!P54,0)</f>
        <v>728</v>
      </c>
      <c r="Q54" s="45">
        <f>+ROUND(COS_RR!U$38*COS_Alloc.!Q54,0)</f>
        <v>1419</v>
      </c>
      <c r="R54" s="45">
        <f>+ROUND(COS_RR!V$38*COS_Alloc.!R54,0)</f>
        <v>309</v>
      </c>
      <c r="S54" s="45">
        <f>+ROUND(COS_RR!W$38*COS_Alloc.!S54,0)</f>
        <v>529</v>
      </c>
      <c r="T54" s="45">
        <f>+ROUND(COS_RR!X$38*COS_Alloc.!T54,0)</f>
        <v>2145</v>
      </c>
      <c r="U54" s="45">
        <f>+ROUND(COS_RR!Y$38*COS_Alloc.!U54,0)</f>
        <v>0</v>
      </c>
      <c r="V54" s="45">
        <f>+ROUND(COS_RR!Z$38*COS_Alloc.!V54,0)</f>
        <v>335</v>
      </c>
      <c r="W54" s="45">
        <f>+ROUND(COS_RR!AA$38*COS_Alloc.!W54,0)</f>
        <v>0</v>
      </c>
      <c r="Y54" s="45">
        <f>SUM(F54:Q54,V54)</f>
        <v>48992</v>
      </c>
      <c r="Z54" s="45"/>
      <c r="AA54" s="45"/>
      <c r="AB54" s="45">
        <f>SUM(R54:T54)</f>
        <v>2983</v>
      </c>
      <c r="AC54" s="811">
        <f>SUM(Y54:AB54)-SUM(F54:W54)</f>
        <v>0</v>
      </c>
    </row>
    <row r="55" spans="1:29">
      <c r="A55" s="411"/>
      <c r="B55" s="325"/>
      <c r="C55" s="236"/>
      <c r="D55" s="39"/>
      <c r="E55" s="45"/>
      <c r="F55" s="45"/>
      <c r="G55" s="45"/>
      <c r="H55" s="45"/>
      <c r="I55" s="45"/>
      <c r="J55" s="45"/>
      <c r="K55" s="45"/>
      <c r="L55" s="45"/>
      <c r="M55" s="45"/>
      <c r="N55" s="45"/>
      <c r="O55" s="45"/>
      <c r="P55" s="45"/>
      <c r="Q55" s="45"/>
      <c r="R55" s="45"/>
      <c r="S55" s="45"/>
      <c r="T55" s="45"/>
      <c r="U55" s="45"/>
      <c r="V55" s="45"/>
      <c r="W55" s="45"/>
      <c r="Y55" s="45"/>
      <c r="Z55" s="45"/>
      <c r="AA55" s="45"/>
      <c r="AB55" s="45"/>
      <c r="AC55" s="811"/>
    </row>
    <row r="56" spans="1:29">
      <c r="A56" s="411"/>
      <c r="B56" s="325"/>
      <c r="C56" s="236">
        <f>+MAX(C49:C55)+1</f>
        <v>31</v>
      </c>
      <c r="D56" s="246" t="s">
        <v>66</v>
      </c>
      <c r="E56" s="45"/>
      <c r="F56" s="45"/>
      <c r="G56" s="45"/>
      <c r="H56" s="45"/>
      <c r="I56" s="45"/>
      <c r="J56" s="45"/>
      <c r="K56" s="45"/>
      <c r="L56" s="45"/>
      <c r="M56" s="45"/>
      <c r="N56" s="45"/>
      <c r="O56" s="45"/>
      <c r="P56" s="45"/>
      <c r="Q56" s="45"/>
      <c r="R56" s="45"/>
      <c r="S56" s="45"/>
      <c r="T56" s="45"/>
      <c r="U56" s="45"/>
      <c r="V56" s="45"/>
      <c r="W56" s="45"/>
      <c r="Y56" s="45"/>
      <c r="Z56" s="45"/>
      <c r="AA56" s="45"/>
      <c r="AB56" s="45"/>
      <c r="AC56" s="811"/>
    </row>
    <row r="57" spans="1:29">
      <c r="A57" s="411"/>
      <c r="B57" s="325"/>
      <c r="C57" s="236">
        <f>+MAX(C50:C56)+1</f>
        <v>32</v>
      </c>
      <c r="D57" s="39" t="s">
        <v>83</v>
      </c>
      <c r="E57" s="45">
        <f>SUM(F57:W57)</f>
        <v>0</v>
      </c>
      <c r="F57" s="45">
        <f>+ROUND(COS_RR!J$38*COS_Alloc.!F57,0)</f>
        <v>0</v>
      </c>
      <c r="G57" s="45">
        <f>+ROUND(COS_RR!K$38*COS_Alloc.!G57,0)</f>
        <v>0</v>
      </c>
      <c r="H57" s="45">
        <f>+ROUND(COS_RR!L$38*COS_Alloc.!H57,0)</f>
        <v>0</v>
      </c>
      <c r="I57" s="45">
        <f>+ROUND(COS_RR!M$38*COS_Alloc.!I57,0)</f>
        <v>0</v>
      </c>
      <c r="J57" s="45">
        <f>+ROUND(COS_RR!N$38*COS_Alloc.!J57,0)</f>
        <v>0</v>
      </c>
      <c r="K57" s="45">
        <f>+ROUND(COS_RR!O$38*COS_Alloc.!K57,0)</f>
        <v>0</v>
      </c>
      <c r="L57" s="45">
        <f>+ROUND(COS_RR!P$38*COS_Alloc.!L57,0)</f>
        <v>0</v>
      </c>
      <c r="M57" s="45">
        <f>+ROUND(COS_RR!Q$38*COS_Alloc.!M57,0)</f>
        <v>0</v>
      </c>
      <c r="N57" s="45">
        <f>+ROUND(COS_RR!R$38*COS_Alloc.!N57,0)</f>
        <v>0</v>
      </c>
      <c r="O57" s="45">
        <f>+ROUND(COS_RR!S$38*COS_Alloc.!O57,0)</f>
        <v>0</v>
      </c>
      <c r="P57" s="45">
        <f>+ROUND(COS_RR!T$38*COS_Alloc.!P57,0)</f>
        <v>0</v>
      </c>
      <c r="Q57" s="45">
        <f>+ROUND(COS_RR!U$38*COS_Alloc.!Q57,0)</f>
        <v>0</v>
      </c>
      <c r="R57" s="45">
        <f>+ROUND(COS_RR!V$38*COS_Alloc.!R57,0)</f>
        <v>0</v>
      </c>
      <c r="S57" s="45">
        <f>+ROUND(COS_RR!W$38*COS_Alloc.!S57,0)</f>
        <v>0</v>
      </c>
      <c r="T57" s="45">
        <f>+ROUND(COS_RR!X$38*COS_Alloc.!T57,0)</f>
        <v>0</v>
      </c>
      <c r="U57" s="45">
        <f>+ROUND(COS_RR!Y$38*COS_Alloc.!U57,0)</f>
        <v>0</v>
      </c>
      <c r="V57" s="45">
        <f>+ROUND(COS_RR!Z$38*COS_Alloc.!V57,0)</f>
        <v>0</v>
      </c>
      <c r="W57" s="45">
        <f>+ROUND(COS_RR!AA$38*COS_Alloc.!W57,0)</f>
        <v>0</v>
      </c>
      <c r="Y57" s="45">
        <f>SUM(F57:V57)</f>
        <v>0</v>
      </c>
      <c r="Z57" s="45"/>
      <c r="AA57" s="45"/>
      <c r="AB57" s="45"/>
      <c r="AC57" s="812">
        <f>SUM(Y57:AB57)-SUM(F57:W57)</f>
        <v>0</v>
      </c>
    </row>
    <row r="58" spans="1:29">
      <c r="A58" s="411"/>
      <c r="B58" s="325"/>
      <c r="C58" s="236"/>
      <c r="D58" s="206"/>
      <c r="E58" s="311"/>
      <c r="F58" s="311"/>
      <c r="G58" s="311"/>
      <c r="H58" s="311"/>
      <c r="I58" s="311"/>
      <c r="J58" s="311"/>
      <c r="K58" s="311"/>
      <c r="L58" s="311"/>
      <c r="M58" s="311"/>
      <c r="N58" s="311"/>
      <c r="O58" s="311"/>
      <c r="P58" s="311"/>
      <c r="Q58" s="311"/>
      <c r="R58" s="311"/>
      <c r="S58" s="311"/>
      <c r="T58" s="311"/>
      <c r="U58" s="311"/>
      <c r="V58" s="311"/>
      <c r="W58" s="311"/>
      <c r="Y58" s="45"/>
      <c r="Z58" s="45"/>
      <c r="AA58" s="45"/>
      <c r="AB58" s="45"/>
    </row>
    <row r="59" spans="1:29">
      <c r="A59" s="411"/>
      <c r="B59" s="325"/>
      <c r="C59" s="236">
        <f>+MAX(C49:C58)+1</f>
        <v>33</v>
      </c>
      <c r="D59" s="254" t="s">
        <v>43</v>
      </c>
      <c r="E59" s="44">
        <f t="shared" ref="E59:W59" si="0">SUM(E14,E17,E22,E27,E30,E33,E36,E42,E45,E39,E48,E51,E54,E57)</f>
        <v>289928476</v>
      </c>
      <c r="F59" s="44">
        <f t="shared" si="0"/>
        <v>14524333</v>
      </c>
      <c r="G59" s="44">
        <f t="shared" ref="G59:L59" si="1">SUM(G14,G17,G22,G27,G30,G33,G36,G42,G45,G39,G48,G51,G54,G57)</f>
        <v>198365758</v>
      </c>
      <c r="H59" s="44">
        <f t="shared" si="1"/>
        <v>16443310</v>
      </c>
      <c r="I59" s="44">
        <f t="shared" si="1"/>
        <v>10462064</v>
      </c>
      <c r="J59" s="44">
        <f t="shared" si="1"/>
        <v>1322723</v>
      </c>
      <c r="K59" s="44">
        <f t="shared" si="1"/>
        <v>0</v>
      </c>
      <c r="L59" s="44">
        <f t="shared" si="1"/>
        <v>0</v>
      </c>
      <c r="M59" s="44">
        <f t="shared" si="0"/>
        <v>5651929</v>
      </c>
      <c r="N59" s="44">
        <f t="shared" si="0"/>
        <v>2367047</v>
      </c>
      <c r="O59" s="44">
        <f t="shared" si="0"/>
        <v>14472535</v>
      </c>
      <c r="P59" s="44">
        <f t="shared" si="0"/>
        <v>1820335</v>
      </c>
      <c r="Q59" s="44">
        <f t="shared" si="0"/>
        <v>4730305</v>
      </c>
      <c r="R59" s="44">
        <f t="shared" si="0"/>
        <v>1546641</v>
      </c>
      <c r="S59" s="44">
        <f t="shared" si="0"/>
        <v>5290676</v>
      </c>
      <c r="T59" s="44">
        <f t="shared" si="0"/>
        <v>10727008</v>
      </c>
      <c r="U59" s="44">
        <f t="shared" si="0"/>
        <v>529050</v>
      </c>
      <c r="V59" s="44">
        <f t="shared" si="0"/>
        <v>1674762</v>
      </c>
      <c r="W59" s="44">
        <f t="shared" si="0"/>
        <v>0</v>
      </c>
      <c r="Y59" s="45"/>
      <c r="Z59" s="45"/>
      <c r="AA59" s="45"/>
      <c r="AB59" s="45"/>
    </row>
    <row r="60" spans="1:29">
      <c r="A60" s="411"/>
      <c r="B60" s="325"/>
      <c r="C60" s="236"/>
      <c r="D60" s="64"/>
      <c r="E60" s="313"/>
      <c r="F60" s="313"/>
      <c r="G60" s="313"/>
      <c r="H60" s="313"/>
      <c r="I60" s="313"/>
      <c r="J60" s="313"/>
      <c r="K60" s="313"/>
      <c r="L60" s="313"/>
      <c r="M60" s="313"/>
      <c r="N60" s="313"/>
      <c r="O60" s="313"/>
      <c r="P60" s="313"/>
      <c r="Q60" s="313"/>
      <c r="R60" s="313"/>
      <c r="S60" s="313"/>
      <c r="T60" s="313"/>
      <c r="U60" s="313"/>
      <c r="V60" s="313"/>
      <c r="W60" s="328"/>
    </row>
    <row r="61" spans="1:29">
      <c r="A61" s="411"/>
      <c r="B61" s="325"/>
      <c r="C61" s="236"/>
      <c r="D61" s="206"/>
      <c r="E61" s="313"/>
      <c r="F61" s="313"/>
      <c r="G61" s="313"/>
      <c r="H61" s="313"/>
      <c r="I61" s="313"/>
      <c r="J61" s="313"/>
      <c r="K61" s="313"/>
      <c r="L61" s="313"/>
      <c r="M61" s="313"/>
      <c r="N61" s="313"/>
      <c r="O61" s="313"/>
      <c r="P61" s="313"/>
      <c r="Q61" s="313"/>
      <c r="R61" s="313"/>
      <c r="S61" s="313"/>
      <c r="T61" s="313"/>
      <c r="U61" s="313"/>
      <c r="V61" s="313"/>
      <c r="W61" s="328"/>
    </row>
    <row r="62" spans="1:29">
      <c r="A62" s="411"/>
      <c r="B62" s="325"/>
      <c r="C62" s="236"/>
      <c r="D62" s="40"/>
      <c r="E62" s="313"/>
      <c r="F62" s="313"/>
      <c r="G62" s="313"/>
      <c r="H62" s="313"/>
      <c r="I62" s="313"/>
      <c r="J62" s="313"/>
      <c r="K62" s="313"/>
      <c r="L62" s="313"/>
      <c r="M62" s="313"/>
      <c r="N62" s="313"/>
      <c r="O62" s="313"/>
      <c r="P62" s="313"/>
      <c r="Q62" s="313"/>
      <c r="R62" s="313"/>
      <c r="S62" s="313"/>
      <c r="T62" s="313"/>
      <c r="U62" s="313"/>
      <c r="V62" s="313"/>
      <c r="W62" s="328"/>
    </row>
    <row r="63" spans="1:29">
      <c r="A63" s="411"/>
      <c r="B63" s="325"/>
      <c r="C63" s="236"/>
      <c r="D63" s="866" t="s">
        <v>1031</v>
      </c>
      <c r="E63" s="870">
        <f>COS_RR!G38</f>
        <v>289928484</v>
      </c>
      <c r="F63" s="870">
        <f>COS_RR!J38</f>
        <v>14524335</v>
      </c>
      <c r="G63" s="870">
        <f>COS_RR!K38</f>
        <v>198365759</v>
      </c>
      <c r="H63" s="870">
        <f>COS_RR!L38</f>
        <v>16443311</v>
      </c>
      <c r="I63" s="870">
        <f>COS_RR!M38</f>
        <v>10462064</v>
      </c>
      <c r="J63" s="870">
        <f>COS_RR!N38</f>
        <v>1322724</v>
      </c>
      <c r="K63" s="870">
        <f>COS_RR!O38</f>
        <v>0</v>
      </c>
      <c r="L63" s="870">
        <f>COS_RR!P38</f>
        <v>0</v>
      </c>
      <c r="M63" s="870">
        <f>COS_RR!Q38</f>
        <v>5651930</v>
      </c>
      <c r="N63" s="870">
        <f>COS_RR!R38</f>
        <v>2367048</v>
      </c>
      <c r="O63" s="870">
        <f>COS_RR!S38</f>
        <v>14472535</v>
      </c>
      <c r="P63" s="870">
        <f>COS_RR!T38</f>
        <v>1820335</v>
      </c>
      <c r="Q63" s="870">
        <f>COS_RR!U38</f>
        <v>4730305</v>
      </c>
      <c r="R63" s="870">
        <f>COS_RR!V38</f>
        <v>1546641</v>
      </c>
      <c r="S63" s="870">
        <f>COS_RR!W38</f>
        <v>5290676</v>
      </c>
      <c r="T63" s="870">
        <f>COS_RR!X38</f>
        <v>10727008</v>
      </c>
      <c r="U63" s="870">
        <f>COS_RR!Y38</f>
        <v>529050</v>
      </c>
      <c r="V63" s="870">
        <f>COS_RR!Z38</f>
        <v>1674763</v>
      </c>
      <c r="W63" s="871">
        <f>COS_RR!AA38</f>
        <v>0</v>
      </c>
    </row>
    <row r="64" spans="1:29">
      <c r="A64" s="411"/>
      <c r="B64" s="325"/>
      <c r="C64" s="236"/>
      <c r="D64" s="868" t="s">
        <v>1033</v>
      </c>
      <c r="E64" s="872">
        <f t="shared" ref="E64:W64" si="2">E63-E59</f>
        <v>8</v>
      </c>
      <c r="F64" s="872">
        <f t="shared" si="2"/>
        <v>2</v>
      </c>
      <c r="G64" s="872">
        <f t="shared" ref="G64:L64" si="3">G63-G59</f>
        <v>1</v>
      </c>
      <c r="H64" s="872">
        <f t="shared" si="3"/>
        <v>1</v>
      </c>
      <c r="I64" s="872">
        <f t="shared" si="3"/>
        <v>0</v>
      </c>
      <c r="J64" s="872">
        <f t="shared" si="3"/>
        <v>1</v>
      </c>
      <c r="K64" s="872">
        <f t="shared" si="3"/>
        <v>0</v>
      </c>
      <c r="L64" s="872">
        <f t="shared" si="3"/>
        <v>0</v>
      </c>
      <c r="M64" s="872">
        <f t="shared" si="2"/>
        <v>1</v>
      </c>
      <c r="N64" s="872">
        <f t="shared" si="2"/>
        <v>1</v>
      </c>
      <c r="O64" s="872">
        <f t="shared" si="2"/>
        <v>0</v>
      </c>
      <c r="P64" s="872">
        <f t="shared" si="2"/>
        <v>0</v>
      </c>
      <c r="Q64" s="872">
        <f t="shared" si="2"/>
        <v>0</v>
      </c>
      <c r="R64" s="872">
        <f t="shared" si="2"/>
        <v>0</v>
      </c>
      <c r="S64" s="872">
        <f t="shared" si="2"/>
        <v>0</v>
      </c>
      <c r="T64" s="872">
        <f t="shared" si="2"/>
        <v>0</v>
      </c>
      <c r="U64" s="872">
        <f t="shared" si="2"/>
        <v>0</v>
      </c>
      <c r="V64" s="872">
        <f t="shared" si="2"/>
        <v>1</v>
      </c>
      <c r="W64" s="873">
        <f t="shared" si="2"/>
        <v>0</v>
      </c>
    </row>
    <row r="65" spans="1:23">
      <c r="A65" s="411"/>
      <c r="B65" s="325"/>
      <c r="C65" s="236"/>
      <c r="D65" s="40"/>
      <c r="E65" s="313"/>
      <c r="F65" s="579"/>
      <c r="G65" s="579"/>
      <c r="H65" s="579"/>
      <c r="I65" s="579"/>
      <c r="J65" s="579"/>
      <c r="K65" s="579"/>
      <c r="L65" s="579"/>
      <c r="M65" s="579"/>
      <c r="N65" s="579"/>
      <c r="O65" s="579"/>
      <c r="P65" s="579"/>
      <c r="Q65" s="579"/>
      <c r="R65" s="579"/>
      <c r="S65" s="579"/>
      <c r="T65" s="579"/>
      <c r="U65" s="579"/>
      <c r="V65" s="579"/>
      <c r="W65" s="579"/>
    </row>
    <row r="66" spans="1:23">
      <c r="A66" s="411"/>
      <c r="B66" s="325"/>
      <c r="C66" s="236">
        <f>+MAX(C56:C65)+1</f>
        <v>34</v>
      </c>
      <c r="D66" s="40" t="s">
        <v>492</v>
      </c>
      <c r="E66" s="313">
        <f>SUM(F59:F59)</f>
        <v>14524333</v>
      </c>
      <c r="F66" s="579"/>
      <c r="G66" s="579"/>
      <c r="H66" s="579"/>
      <c r="I66" s="579"/>
      <c r="J66" s="579"/>
      <c r="K66" s="579"/>
      <c r="L66" s="579"/>
      <c r="M66" s="579"/>
      <c r="N66" s="579"/>
      <c r="O66" s="579"/>
      <c r="P66" s="579"/>
      <c r="Q66" s="579"/>
      <c r="R66" s="579"/>
      <c r="S66" s="579"/>
      <c r="T66" s="579"/>
      <c r="U66" s="579"/>
      <c r="V66" s="579"/>
      <c r="W66" s="579"/>
    </row>
    <row r="67" spans="1:23">
      <c r="A67" s="411"/>
      <c r="B67" s="325"/>
      <c r="C67" s="236">
        <f>+MAX(C57:C66)+1</f>
        <v>35</v>
      </c>
      <c r="D67" s="40" t="s">
        <v>493</v>
      </c>
      <c r="E67" s="313">
        <f>'COS_Units (sales)'!H62</f>
        <v>6654227389</v>
      </c>
      <c r="F67" s="579"/>
      <c r="G67" s="579"/>
      <c r="H67" s="579"/>
      <c r="I67" s="579"/>
      <c r="J67" s="579"/>
      <c r="K67" s="579"/>
      <c r="L67" s="579"/>
      <c r="M67" s="579"/>
      <c r="N67" s="579"/>
      <c r="O67" s="579"/>
      <c r="P67" s="579"/>
      <c r="Q67" s="579"/>
      <c r="R67" s="579"/>
      <c r="S67" s="579"/>
      <c r="T67" s="579"/>
      <c r="U67" s="579"/>
      <c r="V67" s="579"/>
      <c r="W67" s="579"/>
    </row>
    <row r="68" spans="1:23">
      <c r="A68" s="411"/>
      <c r="B68" s="325"/>
      <c r="C68" s="236">
        <f>+MAX(C58:C67)+1</f>
        <v>36</v>
      </c>
      <c r="D68" s="40" t="s">
        <v>494</v>
      </c>
      <c r="E68" s="804">
        <f>E66/E67</f>
        <v>2.1827226740117043E-3</v>
      </c>
      <c r="F68" s="579"/>
      <c r="G68" s="579"/>
      <c r="H68" s="579"/>
      <c r="I68" s="579"/>
      <c r="J68" s="579"/>
      <c r="K68" s="579"/>
      <c r="L68" s="579"/>
      <c r="M68" s="579"/>
      <c r="N68" s="579"/>
      <c r="O68" s="579"/>
      <c r="P68" s="579"/>
      <c r="Q68" s="579"/>
      <c r="R68" s="579"/>
      <c r="S68" s="579"/>
      <c r="T68" s="579"/>
      <c r="U68" s="579"/>
      <c r="V68" s="579"/>
      <c r="W68" s="579"/>
    </row>
    <row r="69" spans="1:23">
      <c r="A69" s="411"/>
      <c r="B69" s="325"/>
      <c r="C69" s="236"/>
      <c r="D69" s="40"/>
      <c r="E69" s="313"/>
      <c r="F69" s="275"/>
      <c r="G69" s="275"/>
      <c r="H69" s="275"/>
      <c r="I69" s="275"/>
      <c r="J69" s="275"/>
      <c r="K69" s="275"/>
      <c r="L69" s="275"/>
      <c r="M69" s="275"/>
      <c r="N69" s="275"/>
      <c r="O69" s="275"/>
      <c r="P69" s="275"/>
      <c r="Q69" s="275"/>
      <c r="R69" s="275"/>
      <c r="S69" s="275"/>
      <c r="T69" s="275"/>
      <c r="U69" s="275"/>
      <c r="V69" s="275"/>
      <c r="W69" s="402"/>
    </row>
    <row r="70" spans="1:23">
      <c r="A70" s="411"/>
      <c r="B70" s="325"/>
      <c r="C70" s="236">
        <f>+MAX(C69)+1</f>
        <v>1</v>
      </c>
      <c r="D70" s="40" t="s">
        <v>13</v>
      </c>
      <c r="E70" s="44">
        <f>E14</f>
        <v>25025792</v>
      </c>
      <c r="F70" s="313"/>
      <c r="G70" s="313"/>
      <c r="H70" s="313"/>
      <c r="I70" s="313"/>
      <c r="J70" s="313"/>
      <c r="K70" s="313"/>
      <c r="L70" s="313"/>
      <c r="M70" s="313"/>
      <c r="N70" s="313"/>
      <c r="O70" s="313"/>
      <c r="P70" s="313"/>
      <c r="Q70" s="313"/>
      <c r="R70" s="313"/>
      <c r="S70" s="313"/>
      <c r="T70" s="313"/>
      <c r="U70" s="313"/>
      <c r="V70" s="313"/>
      <c r="W70" s="328"/>
    </row>
    <row r="71" spans="1:23">
      <c r="A71" s="411"/>
      <c r="B71" s="325"/>
      <c r="C71" s="236">
        <f t="shared" ref="C71:C82" si="4">+MAX(C70)+1</f>
        <v>2</v>
      </c>
      <c r="D71" s="40" t="s">
        <v>14</v>
      </c>
      <c r="E71" s="403">
        <f>E17</f>
        <v>40082143</v>
      </c>
      <c r="F71" s="313"/>
      <c r="G71" s="313"/>
      <c r="H71" s="313"/>
      <c r="I71" s="313"/>
      <c r="J71" s="313"/>
      <c r="K71" s="313"/>
      <c r="L71" s="313"/>
      <c r="M71" s="313"/>
      <c r="N71" s="313"/>
      <c r="O71" s="313"/>
      <c r="P71" s="313"/>
      <c r="Q71" s="313"/>
      <c r="R71" s="313"/>
      <c r="S71" s="313"/>
      <c r="T71" s="313"/>
      <c r="U71" s="313"/>
      <c r="V71" s="313"/>
      <c r="W71" s="328"/>
    </row>
    <row r="72" spans="1:23">
      <c r="A72" s="411"/>
      <c r="B72" s="325"/>
      <c r="C72" s="236">
        <f t="shared" si="4"/>
        <v>3</v>
      </c>
      <c r="D72" s="40" t="s">
        <v>15</v>
      </c>
      <c r="E72" s="403">
        <f>E22</f>
        <v>40342062</v>
      </c>
      <c r="F72" s="313"/>
      <c r="G72" s="313"/>
      <c r="H72" s="313"/>
      <c r="I72" s="313"/>
      <c r="J72" s="313"/>
      <c r="K72" s="313"/>
      <c r="L72" s="313"/>
      <c r="M72" s="313"/>
      <c r="N72" s="313"/>
      <c r="O72" s="313"/>
      <c r="P72" s="313"/>
      <c r="Q72" s="313"/>
      <c r="R72" s="313"/>
      <c r="S72" s="313"/>
      <c r="T72" s="313"/>
      <c r="U72" s="313"/>
      <c r="V72" s="313"/>
      <c r="W72" s="328"/>
    </row>
    <row r="73" spans="1:23">
      <c r="A73" s="411"/>
      <c r="B73" s="325"/>
      <c r="C73" s="236">
        <f t="shared" si="4"/>
        <v>4</v>
      </c>
      <c r="D73" s="40" t="s">
        <v>501</v>
      </c>
      <c r="E73" s="403">
        <f>E27+E54</f>
        <v>35431890</v>
      </c>
      <c r="F73" s="313"/>
      <c r="G73" s="313"/>
      <c r="H73" s="313"/>
      <c r="I73" s="313"/>
      <c r="J73" s="313"/>
      <c r="K73" s="313"/>
      <c r="L73" s="313"/>
      <c r="M73" s="313"/>
      <c r="N73" s="313"/>
      <c r="O73" s="313"/>
      <c r="P73" s="313"/>
      <c r="Q73" s="313"/>
      <c r="R73" s="313"/>
      <c r="S73" s="313"/>
      <c r="T73" s="313"/>
      <c r="U73" s="313"/>
      <c r="V73" s="313"/>
      <c r="W73" s="328"/>
    </row>
    <row r="74" spans="1:23">
      <c r="A74" s="411"/>
      <c r="B74" s="325"/>
      <c r="C74" s="236">
        <f t="shared" si="4"/>
        <v>5</v>
      </c>
      <c r="D74" s="40" t="s">
        <v>22</v>
      </c>
      <c r="E74" s="403">
        <f>E30</f>
        <v>11682658</v>
      </c>
      <c r="F74" s="313"/>
      <c r="G74" s="313"/>
      <c r="H74" s="313"/>
      <c r="I74" s="313"/>
      <c r="J74" s="313"/>
      <c r="K74" s="313"/>
      <c r="L74" s="313"/>
      <c r="M74" s="313"/>
      <c r="N74" s="313"/>
      <c r="O74" s="313"/>
      <c r="P74" s="313"/>
      <c r="Q74" s="313"/>
      <c r="R74" s="313"/>
      <c r="S74" s="313"/>
      <c r="T74" s="313"/>
      <c r="U74" s="313"/>
      <c r="V74" s="313"/>
      <c r="W74" s="328"/>
    </row>
    <row r="75" spans="1:23">
      <c r="A75" s="411"/>
      <c r="B75" s="325"/>
      <c r="C75" s="236">
        <f t="shared" si="4"/>
        <v>6</v>
      </c>
      <c r="D75" s="40" t="s">
        <v>16</v>
      </c>
      <c r="E75" s="403">
        <f>E33</f>
        <v>33165212</v>
      </c>
      <c r="F75" s="313"/>
      <c r="G75" s="313"/>
      <c r="H75" s="313"/>
      <c r="I75" s="313"/>
      <c r="J75" s="313"/>
      <c r="K75" s="313"/>
      <c r="L75" s="313"/>
      <c r="M75" s="313"/>
      <c r="N75" s="313"/>
      <c r="O75" s="313"/>
      <c r="P75" s="313"/>
      <c r="Q75" s="313"/>
      <c r="R75" s="313"/>
      <c r="S75" s="313"/>
      <c r="T75" s="313"/>
      <c r="U75" s="313"/>
      <c r="V75" s="313"/>
      <c r="W75" s="328"/>
    </row>
    <row r="76" spans="1:23">
      <c r="A76" s="411"/>
      <c r="B76" s="325"/>
      <c r="C76" s="236">
        <f t="shared" si="4"/>
        <v>7</v>
      </c>
      <c r="D76" s="40" t="s">
        <v>268</v>
      </c>
      <c r="E76" s="403">
        <f>E36+E45</f>
        <v>88138185</v>
      </c>
      <c r="F76" s="313"/>
      <c r="G76" s="313"/>
      <c r="H76" s="313"/>
      <c r="I76" s="313"/>
      <c r="J76" s="313"/>
      <c r="K76" s="313"/>
      <c r="L76" s="313"/>
      <c r="M76" s="313"/>
      <c r="N76" s="313"/>
      <c r="O76" s="313"/>
      <c r="P76" s="313"/>
      <c r="Q76" s="313"/>
      <c r="R76" s="313"/>
      <c r="S76" s="313"/>
      <c r="T76" s="313"/>
      <c r="U76" s="313"/>
      <c r="V76" s="313"/>
      <c r="W76" s="328"/>
    </row>
    <row r="77" spans="1:23">
      <c r="A77" s="411"/>
      <c r="B77" s="325"/>
      <c r="C77" s="236">
        <f t="shared" si="4"/>
        <v>8</v>
      </c>
      <c r="D77" s="40" t="s">
        <v>18</v>
      </c>
      <c r="E77" s="403">
        <f>E39</f>
        <v>15253378</v>
      </c>
      <c r="F77" s="313"/>
      <c r="G77" s="313"/>
      <c r="H77" s="313"/>
      <c r="I77" s="313"/>
      <c r="J77" s="313"/>
      <c r="K77" s="313"/>
      <c r="L77" s="313"/>
      <c r="M77" s="313"/>
      <c r="N77" s="313"/>
      <c r="O77" s="313"/>
      <c r="P77" s="313"/>
      <c r="Q77" s="313"/>
      <c r="R77" s="313"/>
      <c r="S77" s="313"/>
      <c r="T77" s="313"/>
      <c r="U77" s="313"/>
      <c r="V77" s="313"/>
      <c r="W77" s="328"/>
    </row>
    <row r="78" spans="1:23">
      <c r="A78" s="411"/>
      <c r="B78" s="325"/>
      <c r="C78" s="236">
        <f t="shared" si="4"/>
        <v>9</v>
      </c>
      <c r="D78" s="40" t="s">
        <v>19</v>
      </c>
      <c r="E78" s="403">
        <f>E42</f>
        <v>22926</v>
      </c>
      <c r="F78" s="313"/>
      <c r="G78" s="313"/>
      <c r="H78" s="313"/>
      <c r="I78" s="313"/>
      <c r="J78" s="313"/>
      <c r="K78" s="313"/>
      <c r="L78" s="313"/>
      <c r="M78" s="313"/>
      <c r="N78" s="313"/>
      <c r="O78" s="313"/>
      <c r="P78" s="313"/>
      <c r="Q78" s="313"/>
      <c r="R78" s="313"/>
      <c r="S78" s="313"/>
      <c r="T78" s="313"/>
      <c r="U78" s="313"/>
      <c r="V78" s="313"/>
      <c r="W78" s="328"/>
    </row>
    <row r="79" spans="1:23">
      <c r="A79" s="411"/>
      <c r="B79" s="325"/>
      <c r="C79" s="236">
        <f t="shared" si="4"/>
        <v>10</v>
      </c>
      <c r="D79" s="40" t="s">
        <v>4</v>
      </c>
      <c r="E79" s="403">
        <f>E48</f>
        <v>724541</v>
      </c>
      <c r="F79" s="313"/>
      <c r="G79" s="313"/>
      <c r="H79" s="313"/>
      <c r="I79" s="313"/>
      <c r="J79" s="313"/>
      <c r="K79" s="313"/>
      <c r="L79" s="313"/>
      <c r="M79" s="313"/>
      <c r="N79" s="313"/>
      <c r="O79" s="313"/>
      <c r="P79" s="313"/>
      <c r="Q79" s="313"/>
      <c r="R79" s="313"/>
      <c r="S79" s="313"/>
      <c r="T79" s="313"/>
      <c r="U79" s="313"/>
      <c r="V79" s="313"/>
      <c r="W79" s="328"/>
    </row>
    <row r="80" spans="1:23">
      <c r="A80" s="411"/>
      <c r="B80" s="325"/>
      <c r="C80" s="236">
        <f t="shared" si="4"/>
        <v>11</v>
      </c>
      <c r="D80" s="40" t="s">
        <v>5</v>
      </c>
      <c r="E80" s="403">
        <f>E51</f>
        <v>59689</v>
      </c>
      <c r="F80" s="313"/>
      <c r="G80" s="313"/>
      <c r="H80" s="313"/>
      <c r="I80" s="313"/>
      <c r="J80" s="313"/>
      <c r="K80" s="313"/>
      <c r="L80" s="313"/>
      <c r="M80" s="313"/>
      <c r="N80" s="313"/>
      <c r="O80" s="313"/>
      <c r="P80" s="313"/>
      <c r="Q80" s="313"/>
      <c r="R80" s="313"/>
      <c r="S80" s="313"/>
      <c r="T80" s="313"/>
      <c r="U80" s="313"/>
      <c r="V80" s="313"/>
      <c r="W80" s="328"/>
    </row>
    <row r="81" spans="1:23">
      <c r="A81" s="411"/>
      <c r="B81" s="325"/>
      <c r="C81" s="236">
        <f t="shared" si="4"/>
        <v>12</v>
      </c>
      <c r="D81" s="246" t="s">
        <v>66</v>
      </c>
      <c r="E81" s="404">
        <f>E57</f>
        <v>0</v>
      </c>
      <c r="F81" s="313"/>
      <c r="G81" s="313"/>
      <c r="H81" s="313"/>
      <c r="I81" s="313"/>
      <c r="J81" s="313"/>
      <c r="K81" s="313"/>
      <c r="L81" s="313"/>
      <c r="M81" s="313"/>
      <c r="N81" s="313"/>
      <c r="O81" s="313"/>
      <c r="P81" s="313"/>
      <c r="Q81" s="313"/>
      <c r="R81" s="313"/>
      <c r="S81" s="313"/>
      <c r="T81" s="313"/>
      <c r="U81" s="313"/>
      <c r="V81" s="313"/>
      <c r="W81" s="328"/>
    </row>
    <row r="82" spans="1:23">
      <c r="A82" s="411"/>
      <c r="B82" s="325"/>
      <c r="C82" s="236">
        <f t="shared" si="4"/>
        <v>13</v>
      </c>
      <c r="D82" s="273" t="s">
        <v>602</v>
      </c>
      <c r="E82" s="44">
        <f>SUM(E70:E81)</f>
        <v>289928476</v>
      </c>
      <c r="F82" s="313"/>
      <c r="G82" s="313"/>
      <c r="H82" s="313"/>
      <c r="I82" s="313"/>
      <c r="J82" s="313"/>
      <c r="K82" s="313"/>
      <c r="L82" s="313"/>
      <c r="M82" s="313"/>
      <c r="N82" s="313"/>
      <c r="O82" s="313"/>
      <c r="P82" s="313"/>
      <c r="Q82" s="313"/>
      <c r="R82" s="313"/>
      <c r="S82" s="313"/>
      <c r="T82" s="313"/>
      <c r="U82" s="313"/>
      <c r="V82" s="313"/>
      <c r="W82" s="328"/>
    </row>
    <row r="83" spans="1:23" ht="16.5" thickBot="1">
      <c r="A83" s="411"/>
      <c r="B83" s="325"/>
      <c r="C83" s="408"/>
      <c r="D83" s="409"/>
      <c r="E83" s="405"/>
      <c r="F83" s="406"/>
      <c r="G83" s="406"/>
      <c r="H83" s="406"/>
      <c r="I83" s="406"/>
      <c r="J83" s="406"/>
      <c r="K83" s="406"/>
      <c r="L83" s="406"/>
      <c r="M83" s="406"/>
      <c r="N83" s="406"/>
      <c r="O83" s="406"/>
      <c r="P83" s="406"/>
      <c r="Q83" s="406"/>
      <c r="R83" s="406"/>
      <c r="S83" s="406"/>
      <c r="T83" s="406"/>
      <c r="U83" s="406"/>
      <c r="V83" s="406"/>
      <c r="W83" s="407"/>
    </row>
    <row r="84" spans="1:23" hidden="1"/>
    <row r="85" spans="1:23" hidden="1"/>
    <row r="86" spans="1:23" hidden="1"/>
    <row r="87" spans="1:23" hidden="1"/>
    <row r="88" spans="1:23" hidden="1"/>
    <row r="89" spans="1:23" hidden="1"/>
    <row r="90" spans="1:23" hidden="1"/>
    <row r="91" spans="1:23" hidden="1"/>
    <row r="92" spans="1:23" hidden="1"/>
    <row r="93" spans="1:23" hidden="1"/>
    <row r="94" spans="1:23" hidden="1"/>
    <row r="95" spans="1:23" hidden="1"/>
    <row r="96" spans="1:23"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spans="5:6" hidden="1"/>
    <row r="306" spans="5:6" hidden="1"/>
    <row r="307" spans="5:6" hidden="1"/>
    <row r="308" spans="5:6" hidden="1"/>
    <row r="309" spans="5:6" hidden="1"/>
    <row r="310" spans="5:6" hidden="1"/>
    <row r="311" spans="5:6" hidden="1"/>
    <row r="312" spans="5:6" hidden="1"/>
    <row r="313" spans="5:6" hidden="1"/>
    <row r="314" spans="5:6" hidden="1"/>
    <row r="315" spans="5:6" hidden="1"/>
    <row r="316" spans="5:6" hidden="1"/>
    <row r="317" spans="5:6" ht="16.5" thickBot="1"/>
    <row r="318" spans="5:6">
      <c r="E318" s="4253" t="s">
        <v>3999</v>
      </c>
      <c r="F318" s="4254">
        <f>F59/E59</f>
        <v>5.0096262362307589E-2</v>
      </c>
    </row>
    <row r="319" spans="5:6">
      <c r="E319" s="4255" t="s">
        <v>4000</v>
      </c>
      <c r="F319" s="4256">
        <f>1-F318-F321-F320</f>
        <v>0.86466565649280325</v>
      </c>
    </row>
    <row r="320" spans="5:6">
      <c r="E320" s="4257" t="s">
        <v>4001</v>
      </c>
      <c r="F320" s="4258">
        <f>(N63+O63+P63+Q63)/E59</f>
        <v>8.0675838823089596E-2</v>
      </c>
    </row>
    <row r="321" spans="5:6">
      <c r="E321" s="4257" t="s">
        <v>4002</v>
      </c>
      <c r="F321" s="4258">
        <f>(J63+K63+L63)/E63</f>
        <v>4.5622423217996063E-3</v>
      </c>
    </row>
    <row r="322" spans="5:6">
      <c r="E322" s="4255"/>
      <c r="F322" s="693"/>
    </row>
    <row r="323" spans="5:6" ht="16.5" thickBot="1">
      <c r="E323" s="4259"/>
      <c r="F323" s="4260">
        <f>SUM(F318:F322)</f>
        <v>1</v>
      </c>
    </row>
    <row r="324" spans="5:6"/>
    <row r="325" spans="5:6"/>
    <row r="326" spans="5:6"/>
    <row r="327" spans="5:6"/>
    <row r="328" spans="5:6"/>
    <row r="329" spans="5:6"/>
  </sheetData>
  <mergeCells count="24">
    <mergeCell ref="AA9:AA10"/>
    <mergeCell ref="AB9:AB10"/>
    <mergeCell ref="I9:I10"/>
    <mergeCell ref="Z9:Z10"/>
    <mergeCell ref="Y9:Y10"/>
    <mergeCell ref="D1:W1"/>
    <mergeCell ref="D2:W2"/>
    <mergeCell ref="D3:W3"/>
    <mergeCell ref="I8:O8"/>
    <mergeCell ref="P8:S8"/>
    <mergeCell ref="F7:G8"/>
    <mergeCell ref="H7:H8"/>
    <mergeCell ref="I7:S7"/>
    <mergeCell ref="C9:C10"/>
    <mergeCell ref="D9:D10"/>
    <mergeCell ref="E9:E10"/>
    <mergeCell ref="F9:F10"/>
    <mergeCell ref="U9:U10"/>
    <mergeCell ref="P9:Q9"/>
    <mergeCell ref="S9:S10"/>
    <mergeCell ref="R9:R10"/>
    <mergeCell ref="G9:G10"/>
    <mergeCell ref="H9:H10"/>
    <mergeCell ref="N9:O9"/>
  </mergeCells>
  <phoneticPr fontId="8" type="noConversion"/>
  <printOptions horizontalCentered="1"/>
  <pageMargins left="0.25" right="0.25" top="0.5" bottom="0.5" header="0.25" footer="0.25"/>
  <pageSetup scale="33" fitToHeight="0" orientation="landscape" r:id="rId1"/>
  <headerFooter alignWithMargins="0">
    <oddFooter>&amp;L&amp;"Times New Roman,Bold Italic"Black &amp; Veatch Corporation&amp;C&amp;"Times New Roman,Bold Italic"Date: &amp;D&amp;R&amp;"Times New Roman,Bold Italic"Page: &amp;P of&amp;N</oddFooter>
  </headerFooter>
  <rowBreaks count="1" manualBreakCount="1">
    <brk id="59" min="1" max="24"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8000"/>
    <pageSetUpPr fitToPage="1"/>
  </sheetPr>
  <dimension ref="A1:AF864"/>
  <sheetViews>
    <sheetView showGridLines="0" zoomScale="70" zoomScaleNormal="70" workbookViewId="0">
      <pane xSplit="4" ySplit="10" topLeftCell="E32" activePane="bottomRight" state="frozen"/>
      <selection activeCell="D11" sqref="D11"/>
      <selection pane="topRight" activeCell="D11" sqref="D11"/>
      <selection pane="bottomLeft" activeCell="D11" sqref="D11"/>
      <selection pane="bottomRight" activeCell="I34" sqref="I34"/>
    </sheetView>
  </sheetViews>
  <sheetFormatPr defaultColWidth="9" defaultRowHeight="15.75"/>
  <cols>
    <col min="1" max="1" width="22.5" customWidth="1"/>
    <col min="2" max="2" width="1.875" customWidth="1"/>
    <col min="3" max="3" width="6.125" customWidth="1"/>
    <col min="4" max="4" width="35.25" customWidth="1"/>
    <col min="5" max="5" width="17.625" style="1" bestFit="1" customWidth="1"/>
    <col min="6" max="6" width="14.5" style="474" bestFit="1" customWidth="1"/>
    <col min="7" max="7" width="13.875" style="474" bestFit="1" customWidth="1"/>
    <col min="8" max="8" width="14.5" style="474" bestFit="1" customWidth="1"/>
    <col min="9" max="13" width="14.5" style="474" customWidth="1"/>
    <col min="14" max="14" width="14.75" style="474" bestFit="1" customWidth="1"/>
    <col min="15" max="15" width="16.375" style="474" customWidth="1"/>
    <col min="16" max="16" width="13.5" style="474" bestFit="1" customWidth="1"/>
    <col min="17" max="18" width="14.5" style="474" bestFit="1" customWidth="1"/>
    <col min="19" max="19" width="13.875" style="474" bestFit="1" customWidth="1"/>
    <col min="20" max="21" width="14.5" style="474" bestFit="1" customWidth="1"/>
    <col min="22" max="23" width="13.875" style="474" bestFit="1" customWidth="1"/>
    <col min="24" max="24" width="15.375" style="474" bestFit="1" customWidth="1"/>
    <col min="25" max="25" width="14.5" style="474" bestFit="1" customWidth="1"/>
    <col min="26" max="26" width="12.5" style="474" customWidth="1"/>
    <col min="27" max="27" width="9.125" style="474" bestFit="1" customWidth="1"/>
    <col min="28" max="28" width="2.625" customWidth="1"/>
    <col min="31" max="31" width="9.625" bestFit="1" customWidth="1"/>
    <col min="16384" max="16384" width="12" customWidth="1"/>
  </cols>
  <sheetData>
    <row r="1" spans="1:32" ht="22.5">
      <c r="A1" s="411"/>
      <c r="D1" s="4405" t="s">
        <v>167</v>
      </c>
      <c r="E1" s="4405"/>
      <c r="F1" s="4405"/>
      <c r="G1" s="4405"/>
      <c r="H1" s="4405"/>
      <c r="I1" s="4405"/>
      <c r="J1" s="4405"/>
      <c r="K1" s="4405"/>
      <c r="L1" s="4405"/>
      <c r="M1" s="4405"/>
      <c r="N1" s="4405"/>
      <c r="O1" s="4405"/>
      <c r="P1" s="4405"/>
      <c r="Q1" s="4405"/>
      <c r="R1" s="4405"/>
      <c r="S1" s="4405"/>
      <c r="T1" s="4405"/>
      <c r="U1" s="4405"/>
      <c r="V1" s="4405"/>
      <c r="W1" s="4405"/>
      <c r="X1" s="4405"/>
      <c r="Y1" s="4405"/>
      <c r="Z1" s="56"/>
      <c r="AA1" s="56"/>
    </row>
    <row r="2" spans="1:32" ht="22.5">
      <c r="A2" s="411"/>
      <c r="C2" s="14"/>
      <c r="D2" s="4405" t="s">
        <v>717</v>
      </c>
      <c r="E2" s="4405"/>
      <c r="F2" s="4405"/>
      <c r="G2" s="4405"/>
      <c r="H2" s="4405"/>
      <c r="I2" s="4405"/>
      <c r="J2" s="4405"/>
      <c r="K2" s="4405"/>
      <c r="L2" s="4405"/>
      <c r="M2" s="4405"/>
      <c r="N2" s="4405"/>
      <c r="O2" s="4405"/>
      <c r="P2" s="4405"/>
      <c r="Q2" s="4405"/>
      <c r="R2" s="4405"/>
      <c r="S2" s="4405"/>
      <c r="T2" s="4405"/>
      <c r="U2" s="4405"/>
      <c r="V2" s="4405"/>
      <c r="W2" s="4405"/>
      <c r="X2" s="4405"/>
      <c r="Y2" s="4405"/>
      <c r="Z2" s="56"/>
      <c r="AA2" s="56"/>
    </row>
    <row r="3" spans="1:32" ht="22.5">
      <c r="A3" s="411"/>
      <c r="D3" s="4405" t="s">
        <v>887</v>
      </c>
      <c r="E3" s="4405"/>
      <c r="F3" s="4405"/>
      <c r="G3" s="4405"/>
      <c r="H3" s="4405"/>
      <c r="I3" s="4405"/>
      <c r="J3" s="4405"/>
      <c r="K3" s="4405"/>
      <c r="L3" s="4405"/>
      <c r="M3" s="4405"/>
      <c r="N3" s="4405"/>
      <c r="O3" s="4405"/>
      <c r="P3" s="4405"/>
      <c r="Q3" s="4405"/>
      <c r="R3" s="4405"/>
      <c r="S3" s="4405"/>
      <c r="T3" s="4405"/>
      <c r="U3" s="4405"/>
      <c r="V3" s="4405"/>
      <c r="W3" s="4405"/>
      <c r="X3" s="4405"/>
      <c r="Y3" s="4405"/>
      <c r="Z3" s="56"/>
      <c r="AA3" s="56"/>
    </row>
    <row r="4" spans="1:32">
      <c r="A4" s="411"/>
      <c r="F4"/>
      <c r="G4"/>
      <c r="H4"/>
      <c r="I4"/>
      <c r="J4"/>
      <c r="K4"/>
      <c r="L4"/>
      <c r="M4"/>
      <c r="N4"/>
      <c r="O4"/>
      <c r="P4"/>
      <c r="Q4"/>
      <c r="R4"/>
      <c r="S4"/>
      <c r="T4"/>
      <c r="U4"/>
      <c r="V4"/>
      <c r="W4"/>
      <c r="X4"/>
      <c r="Y4"/>
      <c r="Z4"/>
      <c r="AA4"/>
    </row>
    <row r="5" spans="1:32">
      <c r="A5" s="411"/>
      <c r="F5"/>
      <c r="G5"/>
      <c r="H5"/>
      <c r="I5"/>
      <c r="J5"/>
      <c r="K5"/>
      <c r="L5"/>
      <c r="M5"/>
      <c r="N5"/>
      <c r="O5"/>
      <c r="P5"/>
      <c r="Q5"/>
      <c r="R5"/>
      <c r="S5"/>
      <c r="T5"/>
      <c r="U5"/>
      <c r="V5"/>
      <c r="W5"/>
      <c r="X5"/>
      <c r="Y5"/>
      <c r="Z5"/>
      <c r="AA5"/>
    </row>
    <row r="6" spans="1:32">
      <c r="A6" s="411"/>
      <c r="C6" s="14"/>
      <c r="F6"/>
      <c r="G6"/>
      <c r="H6"/>
      <c r="I6"/>
      <c r="J6"/>
      <c r="K6"/>
      <c r="L6"/>
      <c r="M6"/>
      <c r="N6"/>
      <c r="O6"/>
      <c r="P6"/>
      <c r="Q6"/>
      <c r="R6"/>
      <c r="S6"/>
      <c r="T6"/>
      <c r="U6"/>
      <c r="V6"/>
      <c r="W6"/>
      <c r="X6"/>
      <c r="Y6"/>
      <c r="Z6"/>
      <c r="AA6"/>
    </row>
    <row r="7" spans="1:32" s="18" customFormat="1">
      <c r="A7" s="411"/>
      <c r="C7" s="12"/>
      <c r="D7" s="5"/>
      <c r="E7" s="12"/>
      <c r="F7" s="4445" t="s">
        <v>900</v>
      </c>
      <c r="G7" s="4446"/>
      <c r="H7" s="4412" t="s">
        <v>600</v>
      </c>
      <c r="I7" s="4460" t="s">
        <v>601</v>
      </c>
      <c r="J7" s="4461"/>
      <c r="K7" s="4461"/>
      <c r="L7" s="4461"/>
      <c r="M7" s="4461"/>
      <c r="N7" s="4461"/>
      <c r="O7" s="4461"/>
      <c r="P7" s="4461"/>
      <c r="Q7" s="4461"/>
      <c r="R7" s="4461"/>
      <c r="S7" s="4484"/>
      <c r="T7" s="129" t="s">
        <v>608</v>
      </c>
      <c r="U7" s="5"/>
      <c r="V7" s="5"/>
      <c r="W7" s="5"/>
    </row>
    <row r="8" spans="1:32" s="18" customFormat="1" ht="16.5" thickBot="1">
      <c r="A8" s="411"/>
      <c r="D8" s="5"/>
      <c r="E8" s="12"/>
      <c r="F8" s="4447"/>
      <c r="G8" s="4448"/>
      <c r="H8" s="4404"/>
      <c r="I8" s="4442" t="s">
        <v>168</v>
      </c>
      <c r="J8" s="4443"/>
      <c r="K8" s="4443"/>
      <c r="L8" s="4443"/>
      <c r="M8" s="4443"/>
      <c r="N8" s="4443"/>
      <c r="O8" s="4444"/>
      <c r="P8" s="4437" t="s">
        <v>606</v>
      </c>
      <c r="Q8" s="4438"/>
      <c r="R8" s="4438"/>
      <c r="S8" s="4438"/>
      <c r="T8" s="143" t="s">
        <v>169</v>
      </c>
      <c r="U8" s="5"/>
      <c r="V8" s="5"/>
      <c r="W8" s="5"/>
    </row>
    <row r="9" spans="1:32" s="18" customFormat="1">
      <c r="A9" s="411"/>
      <c r="B9" s="231"/>
      <c r="C9" s="4488" t="s">
        <v>867</v>
      </c>
      <c r="D9" s="4490" t="s">
        <v>118</v>
      </c>
      <c r="E9" s="4490" t="s">
        <v>602</v>
      </c>
      <c r="F9" s="4433" t="s">
        <v>605</v>
      </c>
      <c r="G9" s="4449" t="s">
        <v>168</v>
      </c>
      <c r="H9" s="4449" t="s">
        <v>168</v>
      </c>
      <c r="I9" s="4491" t="s">
        <v>170</v>
      </c>
      <c r="J9" s="1745" t="s">
        <v>486</v>
      </c>
      <c r="K9" s="1745" t="s">
        <v>2988</v>
      </c>
      <c r="L9" s="1745" t="s">
        <v>2989</v>
      </c>
      <c r="M9" s="142" t="s">
        <v>867</v>
      </c>
      <c r="N9" s="4467" t="s">
        <v>857</v>
      </c>
      <c r="O9" s="4468"/>
      <c r="P9" s="4456" t="s">
        <v>858</v>
      </c>
      <c r="Q9" s="4457"/>
      <c r="R9" s="4449" t="s">
        <v>171</v>
      </c>
      <c r="S9" s="4449" t="s">
        <v>172</v>
      </c>
      <c r="T9" s="143" t="s">
        <v>173</v>
      </c>
      <c r="U9" s="129" t="s">
        <v>174</v>
      </c>
      <c r="V9" s="129" t="s">
        <v>683</v>
      </c>
      <c r="W9" s="230" t="s">
        <v>176</v>
      </c>
      <c r="X9" s="469"/>
    </row>
    <row r="10" spans="1:32" s="18" customFormat="1" ht="16.5" thickBot="1">
      <c r="A10" s="411"/>
      <c r="B10" s="231"/>
      <c r="C10" s="4489"/>
      <c r="D10" s="4462"/>
      <c r="E10" s="4462"/>
      <c r="F10" s="4434"/>
      <c r="G10" s="4450"/>
      <c r="H10" s="4450"/>
      <c r="I10" s="4492"/>
      <c r="J10" s="1746" t="s">
        <v>175</v>
      </c>
      <c r="K10" s="1746" t="s">
        <v>175</v>
      </c>
      <c r="L10" s="1746" t="s">
        <v>175</v>
      </c>
      <c r="M10" s="232" t="s">
        <v>856</v>
      </c>
      <c r="N10" s="594" t="s">
        <v>985</v>
      </c>
      <c r="O10" s="594" t="s">
        <v>986</v>
      </c>
      <c r="P10" s="227" t="s">
        <v>985</v>
      </c>
      <c r="Q10" s="610" t="s">
        <v>986</v>
      </c>
      <c r="R10" s="4450"/>
      <c r="S10" s="4450"/>
      <c r="T10" s="226" t="s">
        <v>603</v>
      </c>
      <c r="U10" s="226" t="s">
        <v>859</v>
      </c>
      <c r="V10" s="226" t="s">
        <v>606</v>
      </c>
      <c r="W10" s="223" t="s">
        <v>861</v>
      </c>
      <c r="X10" s="470" t="s">
        <v>602</v>
      </c>
      <c r="Y10" s="74" t="s">
        <v>611</v>
      </c>
    </row>
    <row r="11" spans="1:32" ht="16.5" thickBot="1">
      <c r="A11" s="411"/>
      <c r="B11" s="225"/>
      <c r="C11" s="1"/>
      <c r="D11" s="1"/>
      <c r="F11" s="1"/>
      <c r="G11" s="1"/>
      <c r="H11" s="1"/>
      <c r="I11" s="1"/>
      <c r="J11" s="1"/>
      <c r="K11" s="1"/>
      <c r="L11" s="1"/>
      <c r="M11" s="1"/>
      <c r="N11" s="1"/>
      <c r="O11" s="1"/>
      <c r="P11" s="1"/>
      <c r="Q11" s="1"/>
      <c r="R11" s="1"/>
      <c r="S11" s="1"/>
      <c r="T11" s="1"/>
      <c r="U11" s="1"/>
      <c r="V11" s="1"/>
      <c r="W11" s="325"/>
      <c r="X11"/>
      <c r="Y11" s="79">
        <v>6</v>
      </c>
      <c r="Z11"/>
      <c r="AA11"/>
    </row>
    <row r="12" spans="1:32">
      <c r="A12" s="411"/>
      <c r="B12" s="225"/>
      <c r="C12" s="1"/>
      <c r="D12" s="468" t="s">
        <v>719</v>
      </c>
      <c r="E12" s="48"/>
      <c r="F12" s="3010" t="str">
        <f>COS_Alloc.!F10</f>
        <v>ENR1</v>
      </c>
      <c r="G12" s="3010" t="str">
        <f>COS_Alloc.!G10</f>
        <v>AED 12CP</v>
      </c>
      <c r="H12" s="3010" t="str">
        <f>COS_Alloc.!H10</f>
        <v>12CP</v>
      </c>
      <c r="I12" s="3010" t="str">
        <f>COS_Alloc.!I10</f>
        <v>CAP1</v>
      </c>
      <c r="J12" s="3010" t="str">
        <f>COS_Alloc.!J10</f>
        <v>CAP1-D</v>
      </c>
      <c r="K12" s="3010" t="str">
        <f>COS_Alloc.!K10</f>
        <v>DIR-14</v>
      </c>
      <c r="L12" s="3010" t="str">
        <f>COS_Alloc.!L10</f>
        <v>DIR-15</v>
      </c>
      <c r="M12" s="3010" t="str">
        <f>COS_Alloc.!M10</f>
        <v>CAP3</v>
      </c>
      <c r="N12" s="3010" t="str">
        <f>COS_Alloc.!N10</f>
        <v>CAP3U</v>
      </c>
      <c r="O12" s="3010" t="str">
        <f>COS_Alloc.!O10</f>
        <v>CAP3R</v>
      </c>
      <c r="P12" s="3010" t="str">
        <f>COS_Alloc.!P10</f>
        <v>CUS4U</v>
      </c>
      <c r="Q12" s="3010" t="str">
        <f>COS_Alloc.!Q10</f>
        <v>CUS4R</v>
      </c>
      <c r="R12" s="3010" t="str">
        <f>COS_Alloc.!R10</f>
        <v>CUS2</v>
      </c>
      <c r="S12" s="3010" t="str">
        <f>COS_Alloc.!S10</f>
        <v>CUS3</v>
      </c>
      <c r="T12" s="3010" t="str">
        <f>COS_Alloc.!T10</f>
        <v>CUS1</v>
      </c>
      <c r="U12" s="3010" t="str">
        <f>COS_Alloc.!U10</f>
        <v>SL</v>
      </c>
      <c r="V12" s="3010" t="str">
        <f>COS_Alloc.!V10</f>
        <v>CUST</v>
      </c>
      <c r="W12" s="3010" t="str">
        <f>COS_Alloc.!W10</f>
        <v>REV</v>
      </c>
      <c r="X12"/>
      <c r="Y12"/>
      <c r="Z12" t="s">
        <v>3992</v>
      </c>
      <c r="AA12"/>
    </row>
    <row r="13" spans="1:32">
      <c r="A13" s="411"/>
      <c r="B13" s="225"/>
      <c r="C13" s="261"/>
      <c r="D13" s="1"/>
      <c r="F13" s="1"/>
      <c r="G13" s="1"/>
      <c r="H13" s="1"/>
      <c r="I13" s="1"/>
      <c r="J13" s="1"/>
      <c r="K13" s="1"/>
      <c r="L13" s="1"/>
      <c r="M13" s="1"/>
      <c r="N13" s="1"/>
      <c r="O13" s="1"/>
      <c r="P13" s="1"/>
      <c r="Q13" s="1"/>
      <c r="R13" s="1"/>
      <c r="S13" s="1"/>
      <c r="T13" s="1"/>
      <c r="U13" s="1"/>
      <c r="V13" s="1"/>
      <c r="W13" s="325"/>
      <c r="X13"/>
      <c r="Y13"/>
      <c r="Z13"/>
      <c r="AA13" t="s">
        <v>3993</v>
      </c>
      <c r="AD13" t="s">
        <v>3994</v>
      </c>
    </row>
    <row r="14" spans="1:32">
      <c r="A14" s="411"/>
      <c r="B14" s="325"/>
      <c r="C14" s="236">
        <f>IF(D14="","",MAX(C12:C13)+1)</f>
        <v>1</v>
      </c>
      <c r="D14" s="206" t="s">
        <v>13</v>
      </c>
      <c r="Y14"/>
      <c r="Z14"/>
      <c r="AA14"/>
    </row>
    <row r="15" spans="1:32">
      <c r="A15" s="411"/>
      <c r="B15" s="325"/>
      <c r="C15" s="236">
        <f>IF(D15="","",MAX(C$14:C14)+1)</f>
        <v>2</v>
      </c>
      <c r="D15" s="39" t="s">
        <v>30</v>
      </c>
      <c r="E15" s="313">
        <f>'COS_Units (sales)'!F17</f>
        <v>369330646</v>
      </c>
      <c r="F15" s="449">
        <f>IF($E15=0,0,ROUND(COS_Unbun.!F14/$E15,$Y$11))</f>
        <v>2.2850000000000001E-3</v>
      </c>
      <c r="G15" s="449">
        <f>IF($E15=0,0,ROUND(COS_Unbun.!G14/$E15,$Y$11))</f>
        <v>3.6415000000000003E-2</v>
      </c>
      <c r="H15" s="449">
        <f>IF($E15=0,0,ROUND(COS_Unbun.!H14/$E15,$Y$11))</f>
        <v>4.9109999999999996E-3</v>
      </c>
      <c r="I15" s="449">
        <f>IF($E15=0,0,ROUND(COS_Unbun.!I14/$E15,$Y$11))</f>
        <v>2.3649999999999999E-3</v>
      </c>
      <c r="J15" s="449">
        <f>IF($E15=0,0,ROUND(COS_Unbun.!J14/$E15,$Y$11))</f>
        <v>0</v>
      </c>
      <c r="K15" s="449">
        <f>IF($E15=0,0,ROUND(COS_Unbun.!K14/$E15,$Y$11))</f>
        <v>0</v>
      </c>
      <c r="L15" s="449">
        <f>IF($E15=0,0,ROUND(COS_Unbun.!L14/$E15,$Y$11))</f>
        <v>0</v>
      </c>
      <c r="M15" s="449">
        <f>IF($E15=0,0,ROUND(COS_Unbun.!M14/$E15,$Y$11))</f>
        <v>1.3270000000000001E-3</v>
      </c>
      <c r="N15" s="449">
        <f>IF($E15=0,0,ROUND(COS_Unbun.!N14/$E15,$Y$11))</f>
        <v>8.2899999999999998E-4</v>
      </c>
      <c r="O15" s="449">
        <f>IF($E15=0,0,ROUND(COS_Unbun.!O14/$E15,$Y$11))</f>
        <v>0</v>
      </c>
      <c r="P15" s="449">
        <f>IF($E15=0,0,ROUND(COS_Unbun.!P14/$E15,$Y$11))</f>
        <v>3.9459999999999999E-3</v>
      </c>
      <c r="Q15" s="449">
        <f>IF($E15=0,0,ROUND(COS_Unbun.!Q14/$E15,$Y$11))</f>
        <v>0</v>
      </c>
      <c r="R15" s="449">
        <f>IF($E15=0,0,ROUND(COS_Unbun.!R14/$E15,$Y$11))</f>
        <v>9.6900000000000003E-4</v>
      </c>
      <c r="S15" s="449">
        <f>IF($E15=0,0,ROUND(COS_Unbun.!S14/$E15,$Y$11))</f>
        <v>3.088E-3</v>
      </c>
      <c r="T15" s="449">
        <f>IF($E15=0,0,ROUND(COS_Unbun.!T14/$E15,$Y$11))</f>
        <v>9.8490000000000001E-3</v>
      </c>
      <c r="U15" s="449">
        <f>IF($E15=0,0,ROUND(COS_Unbun.!U14/$E15,$Y$11))</f>
        <v>0</v>
      </c>
      <c r="V15" s="449">
        <f>IF($E15=0,0,ROUND(COS_Unbun.!V14/$E15,$Y$11))</f>
        <v>1.776E-3</v>
      </c>
      <c r="W15" s="449">
        <f>IF($E15=0,0,ROUND(COS_Unbun.!W14/$E15,$Y$11))</f>
        <v>0</v>
      </c>
      <c r="X15" s="705">
        <f>SUM(F15:W15)</f>
        <v>6.7760000000000001E-2</v>
      </c>
      <c r="Y15"/>
      <c r="Z15"/>
      <c r="AA15"/>
      <c r="AD15">
        <f>(COS_Alloc.!G14*(COS_RR!$K$51+COS_RR!$K$61+COS_RR!$K$236)+(COS_Alloc.!F14*COS_RR!$J$60))/COS_Unit!E15*1000</f>
        <v>-10.967249106373913</v>
      </c>
    </row>
    <row r="16" spans="1:32">
      <c r="A16" s="411"/>
      <c r="B16" s="325"/>
      <c r="C16" s="236" t="str">
        <f>IF(D16="","",MAX(C$14:C15)+1)</f>
        <v/>
      </c>
      <c r="D16" s="272"/>
      <c r="E16" s="445"/>
      <c r="F16" s="397"/>
      <c r="G16" s="397"/>
      <c r="H16" s="397"/>
      <c r="I16" s="397"/>
      <c r="J16" s="397"/>
      <c r="K16" s="397"/>
      <c r="L16" s="397"/>
      <c r="M16" s="397"/>
      <c r="N16" s="397"/>
      <c r="O16" s="397"/>
      <c r="P16" s="397"/>
      <c r="Q16" s="397"/>
      <c r="R16" s="397"/>
      <c r="S16" s="397"/>
      <c r="T16" s="397"/>
      <c r="U16" s="397"/>
      <c r="V16" s="397"/>
      <c r="W16" s="398"/>
      <c r="X16"/>
      <c r="Y16"/>
      <c r="Z16"/>
      <c r="AA16"/>
      <c r="AF16" t="s">
        <v>3995</v>
      </c>
    </row>
    <row r="17" spans="1:32">
      <c r="A17" s="411"/>
      <c r="B17" s="325"/>
      <c r="C17" s="236">
        <f>IF(D17="","",MAX(C$14:C16)+1)</f>
        <v>3</v>
      </c>
      <c r="D17" s="206" t="s">
        <v>14</v>
      </c>
      <c r="Y17"/>
      <c r="Z17"/>
      <c r="AA17"/>
      <c r="AE17" s="485">
        <f>(AD18*E18+AD15*E15)/(E15+E18)</f>
        <v>-11.012212050057506</v>
      </c>
      <c r="AF17" s="485">
        <f>(AD18*E18+AD15*E15+AD23*E23+AD28*E28)/(E15+E18+E23+E28)</f>
        <v>-11.296826849317039</v>
      </c>
    </row>
    <row r="18" spans="1:32">
      <c r="A18" s="411"/>
      <c r="B18" s="325"/>
      <c r="C18" s="236">
        <f>IF(D18="","",MAX(C$14:C17)+1)</f>
        <v>4</v>
      </c>
      <c r="D18" s="39" t="s">
        <v>31</v>
      </c>
      <c r="E18" s="313">
        <f>'COS_Units (sales)'!F20</f>
        <v>517691627</v>
      </c>
      <c r="F18" s="449">
        <f>IF($E18=0,0,ROUND(COS_Unbun.!F17/$E18,$Y$11))</f>
        <v>2.3010000000000001E-3</v>
      </c>
      <c r="G18" s="449">
        <f>IF($E18=0,0,ROUND(COS_Unbun.!G17/$E18,$Y$11))</f>
        <v>3.6670000000000001E-2</v>
      </c>
      <c r="H18" s="449">
        <f>IF($E18=0,0,ROUND(COS_Unbun.!H17/$E18,$Y$11))</f>
        <v>4.9420000000000002E-3</v>
      </c>
      <c r="I18" s="449">
        <f>IF($E18=0,0,ROUND(COS_Unbun.!I17/$E18,$Y$11))</f>
        <v>2.3809999999999999E-3</v>
      </c>
      <c r="J18" s="449">
        <f>IF($E18=0,0,ROUND(COS_Unbun.!J17/$E18,$Y$11))</f>
        <v>0</v>
      </c>
      <c r="K18" s="449">
        <f>IF($E18=0,0,ROUND(COS_Unbun.!K17/$E18,$Y$11))</f>
        <v>0</v>
      </c>
      <c r="L18" s="449">
        <f>IF($E18=0,0,ROUND(COS_Unbun.!L17/$E18,$Y$11))</f>
        <v>0</v>
      </c>
      <c r="M18" s="449">
        <f>IF($E18=0,0,ROUND(COS_Unbun.!M17/$E18,$Y$11))</f>
        <v>1.335E-3</v>
      </c>
      <c r="N18" s="449">
        <f>IF($E18=0,0,ROUND(COS_Unbun.!N17/$E18,$Y$11))</f>
        <v>4.1999999999999998E-5</v>
      </c>
      <c r="O18" s="449">
        <f>IF($E18=0,0,ROUND(COS_Unbun.!O17/$E18,$Y$11))</f>
        <v>9.8600000000000007E-3</v>
      </c>
      <c r="P18" s="449">
        <f>IF($E18=0,0,ROUND(COS_Unbun.!P17/$E18,$Y$11))</f>
        <v>0</v>
      </c>
      <c r="Q18" s="449">
        <f>IF($E18=0,0,ROUND(COS_Unbun.!Q17/$E18,$Y$11))</f>
        <v>8.4259999999999995E-3</v>
      </c>
      <c r="R18" s="449">
        <f>IF($E18=0,0,ROUND(COS_Unbun.!R17/$E18,$Y$11))</f>
        <v>9.7199999999999999E-4</v>
      </c>
      <c r="S18" s="449">
        <f>IF($E18=0,0,ROUND(COS_Unbun.!S17/$E18,$Y$11))</f>
        <v>2.065E-3</v>
      </c>
      <c r="T18" s="449">
        <f>IF($E18=0,0,ROUND(COS_Unbun.!T17/$E18,$Y$11))</f>
        <v>7.2439999999999996E-3</v>
      </c>
      <c r="U18" s="449">
        <f>IF($E18=0,0,ROUND(COS_Unbun.!U17/$E18,$Y$11))</f>
        <v>0</v>
      </c>
      <c r="V18" s="449">
        <f>IF($E18=0,0,ROUND(COS_Unbun.!V17/$E18,$Y$11))</f>
        <v>1.1869999999999999E-3</v>
      </c>
      <c r="W18" s="449">
        <f>IF($E18=0,0,ROUND(COS_Unbun.!W17/$E18,$Y$11))</f>
        <v>0</v>
      </c>
      <c r="X18" s="705">
        <f>SUM(F18:W18)</f>
        <v>7.7424999999999994E-2</v>
      </c>
      <c r="Y18"/>
      <c r="Z18" s="485">
        <f>(X18*E18+X15*E15)/(E15+E18)*1000</f>
        <v>73.400771068839887</v>
      </c>
      <c r="AA18" s="485">
        <f>(X18*E18+X15*E15+X23*E23+X28*E28)/(E15+E18+E23+E28)*1000</f>
        <v>66.926037115751384</v>
      </c>
      <c r="AD18" s="3094">
        <f>(COS_Alloc.!G17*(COS_RR!$K$51+COS_RR!$K$61+COS_RR!$K$236)+(COS_Alloc.!F17*COS_RR!$J$60))/COS_Unit!E18*1000</f>
        <v>-11.04428943391043</v>
      </c>
      <c r="AE18" s="485">
        <f>Z18-AE17</f>
        <v>84.412983118897387</v>
      </c>
      <c r="AF18" s="485">
        <f>AA18-AF17</f>
        <v>78.222863965068427</v>
      </c>
    </row>
    <row r="19" spans="1:32">
      <c r="A19" s="411"/>
      <c r="B19" s="325"/>
      <c r="C19" s="236" t="str">
        <f>IF(D19="","",MAX(C$14:C18)+1)</f>
        <v/>
      </c>
      <c r="D19" s="11"/>
      <c r="E19" s="313"/>
      <c r="F19" s="313"/>
      <c r="G19" s="313"/>
      <c r="H19" s="313"/>
      <c r="I19" s="313"/>
      <c r="J19" s="313"/>
      <c r="K19" s="313"/>
      <c r="L19" s="313"/>
      <c r="M19" s="313"/>
      <c r="N19" s="313"/>
      <c r="O19" s="313"/>
      <c r="P19" s="313"/>
      <c r="Q19" s="313"/>
      <c r="R19" s="313"/>
      <c r="S19" s="313"/>
      <c r="T19" s="313"/>
      <c r="U19" s="313"/>
      <c r="V19" s="313"/>
      <c r="W19" s="328"/>
      <c r="X19"/>
      <c r="Y19"/>
      <c r="Z19" s="485">
        <f>((F18+G18)*E18+(F15+G15)*E15)/(E15+E18)*1000</f>
        <v>38.858163368821067</v>
      </c>
      <c r="AA19" s="485">
        <f>((F18+G18)*E18+(F15+G15)*E15+(F23+G23)*E23+(F28+G28)*E28)/(E15+E18+E23+E28)*1000</f>
        <v>39.540401714647658</v>
      </c>
      <c r="AE19" s="485">
        <f>Z19-AE17</f>
        <v>49.870375418878574</v>
      </c>
      <c r="AF19" s="485">
        <f>AA19-AF17</f>
        <v>50.8372285639647</v>
      </c>
    </row>
    <row r="20" spans="1:32">
      <c r="A20" s="411"/>
      <c r="B20" s="325"/>
      <c r="C20" s="236">
        <f>IF(D20="","",MAX(C$14:C19)+1)</f>
        <v>5</v>
      </c>
      <c r="D20" s="14" t="s">
        <v>15</v>
      </c>
      <c r="E20" s="445"/>
      <c r="F20" s="447"/>
      <c r="G20" s="447"/>
      <c r="H20" s="447"/>
      <c r="I20" s="447"/>
      <c r="J20" s="447"/>
      <c r="K20" s="447"/>
      <c r="L20" s="447"/>
      <c r="M20" s="447"/>
      <c r="N20" s="447"/>
      <c r="O20" s="447"/>
      <c r="P20" s="447"/>
      <c r="Q20" s="447"/>
      <c r="R20" s="447"/>
      <c r="S20" s="447"/>
      <c r="T20" s="447"/>
      <c r="U20" s="447"/>
      <c r="V20" s="447"/>
      <c r="W20" s="448"/>
      <c r="X20" s="471"/>
      <c r="Y20"/>
      <c r="Z20"/>
      <c r="AA20"/>
    </row>
    <row r="21" spans="1:32">
      <c r="A21" s="411"/>
      <c r="B21" s="325"/>
      <c r="C21" s="236">
        <f>IF(D21="","",MAX(C$14:C20)+1)</f>
        <v>6</v>
      </c>
      <c r="D21" s="15" t="s">
        <v>7</v>
      </c>
      <c r="E21" s="313">
        <f>'COS_Units (sales)'!F23</f>
        <v>3223283.3445287943</v>
      </c>
      <c r="F21" s="487">
        <f>IF($E21=0,0,ROUND(COS_Unbun.!F20/$E21,$Y$11))</f>
        <v>2.2529999999999998E-3</v>
      </c>
      <c r="G21" s="487">
        <f>IF($E21=0,0,ROUND(COS_Unbun.!G20/$E21,$Y$11))</f>
        <v>3.6924999999999999E-2</v>
      </c>
      <c r="H21" s="487">
        <f>IF($E21=0,0,ROUND(COS_Unbun.!H20/$E21,$Y$11))</f>
        <v>3.0609999999999999E-3</v>
      </c>
      <c r="I21" s="487">
        <f>IF($E21=0,0,ROUND(COS_Unbun.!I20/$E21,$Y$11))</f>
        <v>2.5969999999999999E-3</v>
      </c>
      <c r="J21" s="487">
        <f>IF($E21=0,0,ROUND(COS_Unbun.!J20/$E21,$Y$11))</f>
        <v>0</v>
      </c>
      <c r="K21" s="487">
        <f>IF($E21=0,0,ROUND(COS_Unbun.!K20/$E21,$Y$11))</f>
        <v>0</v>
      </c>
      <c r="L21" s="487">
        <f>IF($E21=0,0,ROUND(COS_Unbun.!L20/$E21,$Y$11))</f>
        <v>0</v>
      </c>
      <c r="M21" s="487">
        <f>IF($E21=0,0,ROUND(COS_Unbun.!M20/$E21,$Y$11))</f>
        <v>1.578E-3</v>
      </c>
      <c r="N21" s="487">
        <f>IF($E21=0,0,ROUND(COS_Unbun.!N20/$E21,$Y$11))</f>
        <v>7.3999999999999996E-5</v>
      </c>
      <c r="O21" s="487">
        <f>IF($E21=0,0,ROUND(COS_Unbun.!O20/$E21,$Y$11))</f>
        <v>1.1225000000000001E-2</v>
      </c>
      <c r="P21" s="487">
        <f>IF($E21=0,0,ROUND(COS_Unbun.!P20/$E21,$Y$11))</f>
        <v>0</v>
      </c>
      <c r="Q21" s="487">
        <f>IF($E21=0,0,ROUND(COS_Unbun.!Q20/$E21,$Y$11))</f>
        <v>8.3649999999999992E-3</v>
      </c>
      <c r="R21" s="487">
        <f>IF($E21=0,0,ROUND(COS_Unbun.!R20/$E21,$Y$11))</f>
        <v>9.6000000000000002E-4</v>
      </c>
      <c r="S21" s="487">
        <f>IF($E21=0,0,ROUND(COS_Unbun.!S20/$E21,$Y$11))</f>
        <v>9.8499999999999998E-4</v>
      </c>
      <c r="T21" s="487">
        <f>IF($E21=0,0,ROUND(COS_Unbun.!T20/$E21,$Y$11))</f>
        <v>3.3279999999999998E-3</v>
      </c>
      <c r="U21" s="487">
        <f>IF($E21=0,0,ROUND(COS_Unbun.!U20/$E21,$Y$11))</f>
        <v>0</v>
      </c>
      <c r="V21" s="487">
        <f>IF($E21=0,0,ROUND(COS_Unbun.!V20/$E21,$Y$11))</f>
        <v>5.71E-4</v>
      </c>
      <c r="W21" s="488">
        <f>IF($E21=0,0,ROUND(COS_Unbun.!W20/$E21,$Y$11))</f>
        <v>0</v>
      </c>
      <c r="X21" s="471">
        <f>SUM(F21:W21)</f>
        <v>7.1922E-2</v>
      </c>
      <c r="Y21"/>
      <c r="Z21"/>
      <c r="AA21"/>
    </row>
    <row r="22" spans="1:32">
      <c r="A22" s="411"/>
      <c r="B22" s="325"/>
      <c r="C22" s="236">
        <f>IF(D22="","",MAX(C$14:C21)+1)</f>
        <v>7</v>
      </c>
      <c r="D22" s="15" t="s">
        <v>8</v>
      </c>
      <c r="E22" s="315">
        <f>'COS_Units (sales)'!F24</f>
        <v>641433385.56123352</v>
      </c>
      <c r="F22" s="451">
        <f>IF($E22=0,0,ROUND(COS_Unbun.!F21/$E22,$Y$11))</f>
        <v>2.2729999999999998E-3</v>
      </c>
      <c r="G22" s="451">
        <f>IF($E22=0,0,ROUND(COS_Unbun.!G21/$E22,$Y$11))</f>
        <v>3.7698000000000002E-2</v>
      </c>
      <c r="H22" s="451">
        <f>IF($E22=0,0,ROUND(COS_Unbun.!H21/$E22,$Y$11))</f>
        <v>2.9529999999999999E-3</v>
      </c>
      <c r="I22" s="451">
        <f>IF($E22=0,0,ROUND(COS_Unbun.!I21/$E22,$Y$11))</f>
        <v>2.5560000000000001E-3</v>
      </c>
      <c r="J22" s="451">
        <f>IF($E22=0,0,ROUND(COS_Unbun.!J21/$E22,$Y$11))</f>
        <v>0</v>
      </c>
      <c r="K22" s="451">
        <f>IF($E22=0,0,ROUND(COS_Unbun.!K21/$E22,$Y$11))</f>
        <v>0</v>
      </c>
      <c r="L22" s="451">
        <f>IF($E22=0,0,ROUND(COS_Unbun.!L21/$E22,$Y$11))</f>
        <v>0</v>
      </c>
      <c r="M22" s="451">
        <f>IF($E22=0,0,ROUND(COS_Unbun.!M21/$E22,$Y$11))</f>
        <v>1.536E-3</v>
      </c>
      <c r="N22" s="451">
        <f>IF($E22=0,0,ROUND(COS_Unbun.!N21/$E22,$Y$11))</f>
        <v>4.8000000000000001E-5</v>
      </c>
      <c r="O22" s="451">
        <f>IF($E22=0,0,ROUND(COS_Unbun.!O21/$E22,$Y$11))</f>
        <v>1.1338000000000001E-2</v>
      </c>
      <c r="P22" s="451">
        <f>IF($E22=0,0,ROUND(COS_Unbun.!P21/$E22,$Y$11))</f>
        <v>0</v>
      </c>
      <c r="Q22" s="451">
        <f>IF($E22=0,0,ROUND(COS_Unbun.!Q21/$E22,$Y$11))</f>
        <v>0</v>
      </c>
      <c r="R22" s="451">
        <f>IF($E22=0,0,ROUND(COS_Unbun.!R21/$E22,$Y$11))</f>
        <v>6.0800000000000003E-4</v>
      </c>
      <c r="S22" s="451">
        <f>IF($E22=0,0,ROUND(COS_Unbun.!S21/$E22,$Y$11))</f>
        <v>1.939E-3</v>
      </c>
      <c r="T22" s="451">
        <f>IF($E22=0,0,ROUND(COS_Unbun.!T21/$E22,$Y$11))</f>
        <v>1.3600000000000001E-3</v>
      </c>
      <c r="U22" s="451">
        <f>IF($E22=0,0,ROUND(COS_Unbun.!U21/$E22,$Y$11))</f>
        <v>0</v>
      </c>
      <c r="V22" s="451">
        <f>IF($E22=0,0,ROUND(COS_Unbun.!V21/$E22,$Y$11))</f>
        <v>2.23E-4</v>
      </c>
      <c r="W22" s="452">
        <f>IF($E22=0,0,ROUND(COS_Unbun.!W21/$E22,$Y$11))</f>
        <v>0</v>
      </c>
      <c r="X22" s="471">
        <f>SUM(F22:W22)</f>
        <v>6.2532000000000004E-2</v>
      </c>
      <c r="Y22"/>
      <c r="Z22"/>
      <c r="AA22"/>
    </row>
    <row r="23" spans="1:32">
      <c r="A23" s="411"/>
      <c r="B23" s="325"/>
      <c r="C23" s="236">
        <f>IF(D23="","",MAX(C$14:C22)+1)</f>
        <v>8</v>
      </c>
      <c r="D23" s="39" t="s">
        <v>32</v>
      </c>
      <c r="E23" s="445">
        <f>SUM(E20:E22)</f>
        <v>644656668.90576231</v>
      </c>
      <c r="F23" s="447">
        <f>IF($E23=0,0,ROUND(COS_Unbun.!F22/$E23,$Y$11))</f>
        <v>2.2729999999999998E-3</v>
      </c>
      <c r="G23" s="447">
        <f>IF($E23=0,0,ROUND(COS_Unbun.!G22/$E23,$Y$11))</f>
        <v>3.7693999999999998E-2</v>
      </c>
      <c r="H23" s="447">
        <f>IF($E23=0,0,ROUND(COS_Unbun.!H22/$E23,$Y$11))</f>
        <v>2.954E-3</v>
      </c>
      <c r="I23" s="447">
        <f>IF($E23=0,0,ROUND(COS_Unbun.!I22/$E23,$Y$11))</f>
        <v>2.5560000000000001E-3</v>
      </c>
      <c r="J23" s="447">
        <f>IF($E23=0,0,ROUND(COS_Unbun.!J22/$E23,$Y$11))</f>
        <v>0</v>
      </c>
      <c r="K23" s="447">
        <f>IF($E23=0,0,ROUND(COS_Unbun.!K22/$E23,$Y$11))</f>
        <v>0</v>
      </c>
      <c r="L23" s="447">
        <f>IF($E23=0,0,ROUND(COS_Unbun.!L22/$E23,$Y$11))</f>
        <v>0</v>
      </c>
      <c r="M23" s="447">
        <f>IF($E23=0,0,ROUND(COS_Unbun.!M22/$E23,$Y$11))</f>
        <v>1.536E-3</v>
      </c>
      <c r="N23" s="447">
        <f>IF($E23=0,0,ROUND(COS_Unbun.!N22/$E23,$Y$11))</f>
        <v>4.8000000000000001E-5</v>
      </c>
      <c r="O23" s="447">
        <f>IF($E23=0,0,ROUND(COS_Unbun.!O22/$E23,$Y$11))</f>
        <v>1.1337E-2</v>
      </c>
      <c r="P23" s="447">
        <f>IF($E23=0,0,ROUND(COS_Unbun.!P22/$E23,$Y$11))</f>
        <v>0</v>
      </c>
      <c r="Q23" s="447">
        <f>IF($E23=0,0,ROUND(COS_Unbun.!Q22/$E23,$Y$11))</f>
        <v>4.1999999999999998E-5</v>
      </c>
      <c r="R23" s="447">
        <f>IF($E23=0,0,ROUND(COS_Unbun.!R22/$E23,$Y$11))</f>
        <v>6.0999999999999997E-4</v>
      </c>
      <c r="S23" s="447">
        <f>IF($E23=0,0,ROUND(COS_Unbun.!S22/$E23,$Y$11))</f>
        <v>1.934E-3</v>
      </c>
      <c r="T23" s="447">
        <f>IF($E23=0,0,ROUND(COS_Unbun.!T22/$E23,$Y$11))</f>
        <v>1.369E-3</v>
      </c>
      <c r="U23" s="447">
        <f>IF($E23=0,0,ROUND(COS_Unbun.!U22/$E23,$Y$11))</f>
        <v>0</v>
      </c>
      <c r="V23" s="447">
        <f>IF($E23=0,0,ROUND(COS_Unbun.!V22/$E23,$Y$11))</f>
        <v>2.2499999999999999E-4</v>
      </c>
      <c r="W23" s="448">
        <f>IF($E23=0,0,ROUND(COS_Unbun.!W22/$E23,$Y$11))</f>
        <v>0</v>
      </c>
      <c r="X23" s="471">
        <f>SUM(F23:W23)</f>
        <v>6.2577999999999995E-2</v>
      </c>
      <c r="Y23"/>
      <c r="Z23" s="4243">
        <f>X23*1000</f>
        <v>62.577999999999996</v>
      </c>
      <c r="AA23"/>
      <c r="AD23" s="3094">
        <f>(COS_Alloc.!G22*(COS_RR!$K$51+COS_RR!$K$61+COS_RR!$K$236)+(COS_Alloc.!F22*COS_RR!$J$60))/COS_Unit!E23*1000</f>
        <v>-11.487305368561289</v>
      </c>
      <c r="AE23" s="4243">
        <f>Z23-AD23</f>
        <v>74.065305368561283</v>
      </c>
    </row>
    <row r="24" spans="1:32">
      <c r="A24" s="411"/>
      <c r="B24" s="325"/>
      <c r="C24" s="236" t="str">
        <f>IF(D24="","",MAX(C$14:C23)+1)</f>
        <v/>
      </c>
      <c r="D24" s="247"/>
      <c r="E24" s="313"/>
      <c r="F24" s="313"/>
      <c r="G24" s="313"/>
      <c r="H24" s="313"/>
      <c r="I24" s="313"/>
      <c r="J24" s="313"/>
      <c r="K24" s="313"/>
      <c r="L24" s="313"/>
      <c r="M24" s="313"/>
      <c r="N24" s="313"/>
      <c r="O24" s="313"/>
      <c r="P24" s="313"/>
      <c r="Q24" s="313"/>
      <c r="R24" s="313"/>
      <c r="S24" s="313"/>
      <c r="T24" s="313"/>
      <c r="U24" s="313"/>
      <c r="V24" s="313"/>
      <c r="W24" s="328"/>
      <c r="X24"/>
      <c r="Y24"/>
      <c r="Z24"/>
      <c r="AA24"/>
      <c r="AD24" s="1672">
        <f>F23*1000+G23*1000-AD23</f>
        <v>51.454305368561286</v>
      </c>
    </row>
    <row r="25" spans="1:32">
      <c r="A25" s="411"/>
      <c r="B25" s="325"/>
      <c r="C25" s="236">
        <f>IF(D25="","",MAX(C$14:C24)+1)</f>
        <v>9</v>
      </c>
      <c r="D25" s="14" t="s">
        <v>21</v>
      </c>
      <c r="E25" s="445"/>
      <c r="F25" s="447"/>
      <c r="G25" s="447"/>
      <c r="H25" s="447"/>
      <c r="I25" s="447"/>
      <c r="J25" s="447"/>
      <c r="K25" s="447"/>
      <c r="L25" s="447"/>
      <c r="M25" s="447"/>
      <c r="N25" s="447"/>
      <c r="O25" s="447"/>
      <c r="P25" s="447"/>
      <c r="Q25" s="447"/>
      <c r="R25" s="447"/>
      <c r="S25" s="447"/>
      <c r="T25" s="447"/>
      <c r="U25" s="447"/>
      <c r="V25" s="447"/>
      <c r="W25" s="448"/>
      <c r="X25" s="471"/>
      <c r="Y25"/>
      <c r="Z25"/>
      <c r="AA25"/>
    </row>
    <row r="26" spans="1:32">
      <c r="A26" s="411"/>
      <c r="B26" s="325"/>
      <c r="C26" s="236">
        <f>IF(D26="","",MAX(C$14:C25)+1)</f>
        <v>10</v>
      </c>
      <c r="D26" s="15" t="s">
        <v>7</v>
      </c>
      <c r="E26" s="313">
        <f>'COS_Units (sales)'!F28</f>
        <v>122896848</v>
      </c>
      <c r="F26" s="487">
        <f>IF($E26=0,0,ROUND(COS_Unbun.!F25/$E26,$Y$11))</f>
        <v>2.281E-3</v>
      </c>
      <c r="G26" s="487">
        <f>IF($E26=0,0,ROUND(COS_Unbun.!G25/$E26,$Y$11))</f>
        <v>3.7930999999999999E-2</v>
      </c>
      <c r="H26" s="487">
        <f>IF($E26=0,0,ROUND(COS_Unbun.!H25/$E26,$Y$11))</f>
        <v>4.6699999999999997E-3</v>
      </c>
      <c r="I26" s="487">
        <f>IF($E26=0,0,ROUND(COS_Unbun.!I25/$E26,$Y$11))</f>
        <v>2.5709999999999999E-3</v>
      </c>
      <c r="J26" s="487">
        <f>IF($E26=0,0,ROUND(COS_Unbun.!J25/$E26,$Y$11))</f>
        <v>0</v>
      </c>
      <c r="K26" s="487">
        <f>IF($E26=0,0,ROUND(COS_Unbun.!K25/$E26,$Y$11))</f>
        <v>0</v>
      </c>
      <c r="L26" s="487">
        <f>IF($E26=0,0,ROUND(COS_Unbun.!L25/$E26,$Y$11))</f>
        <v>0</v>
      </c>
      <c r="M26" s="487">
        <f>IF($E26=0,0,ROUND(COS_Unbun.!M25/$E26,$Y$11))</f>
        <v>1.5449999999999999E-3</v>
      </c>
      <c r="N26" s="487">
        <f>IF($E26=0,0,ROUND(COS_Unbun.!N25/$E26,$Y$11))</f>
        <v>6.7400000000000001E-4</v>
      </c>
      <c r="O26" s="487">
        <f>IF($E26=0,0,ROUND(COS_Unbun.!O25/$E26,$Y$11))</f>
        <v>3.604E-3</v>
      </c>
      <c r="P26" s="487">
        <f>IF($E26=0,0,ROUND(COS_Unbun.!P25/$E26,$Y$11))</f>
        <v>2.8869999999999998E-3</v>
      </c>
      <c r="Q26" s="487">
        <f>IF($E26=0,0,ROUND(COS_Unbun.!Q25/$E26,$Y$11))</f>
        <v>2.637E-3</v>
      </c>
      <c r="R26" s="487">
        <f>IF($E26=0,0,ROUND(COS_Unbun.!R25/$E26,$Y$11))</f>
        <v>1.013E-3</v>
      </c>
      <c r="S26" s="487">
        <f>IF($E26=0,0,ROUND(COS_Unbun.!S25/$E26,$Y$11))</f>
        <v>6.4570000000000001E-3</v>
      </c>
      <c r="T26" s="487">
        <f>IF($E26=0,0,ROUND(COS_Unbun.!T25/$E26,$Y$11))</f>
        <v>1.03E-2</v>
      </c>
      <c r="U26" s="487">
        <f>IF($E26=0,0,ROUND(COS_Unbun.!U25/$E26,$Y$11))</f>
        <v>0</v>
      </c>
      <c r="V26" s="487">
        <f>IF($E26=0,0,ROUND(COS_Unbun.!V25/$E26,$Y$11))</f>
        <v>1.237E-3</v>
      </c>
      <c r="W26" s="488">
        <f>IF($E26=0,0,ROUND(COS_Unbun.!W25/$E26,$Y$11))</f>
        <v>0</v>
      </c>
      <c r="X26" s="471">
        <f>SUM(F26:W26)</f>
        <v>7.7807000000000001E-2</v>
      </c>
      <c r="Y26"/>
      <c r="Z26"/>
      <c r="AA26"/>
    </row>
    <row r="27" spans="1:32">
      <c r="A27" s="411"/>
      <c r="B27" s="325"/>
      <c r="C27" s="236">
        <f>IF(D27="","",MAX(C$14:C26)+1)</f>
        <v>11</v>
      </c>
      <c r="D27" s="15" t="s">
        <v>8</v>
      </c>
      <c r="E27" s="315">
        <f>'COS_Units (sales)'!F29</f>
        <v>449687544</v>
      </c>
      <c r="F27" s="451">
        <f>IF($E27=0,0,ROUND(COS_Unbun.!F26/$E27,$Y$11))</f>
        <v>2.287E-3</v>
      </c>
      <c r="G27" s="451">
        <f>IF($E27=0,0,ROUND(COS_Unbun.!G26/$E27,$Y$11))</f>
        <v>3.7892000000000002E-2</v>
      </c>
      <c r="H27" s="451">
        <f>IF($E27=0,0,ROUND(COS_Unbun.!H26/$E27,$Y$11))</f>
        <v>4.6730000000000001E-3</v>
      </c>
      <c r="I27" s="451">
        <f>IF($E27=0,0,ROUND(COS_Unbun.!I26/$E27,$Y$11))</f>
        <v>2.568E-3</v>
      </c>
      <c r="J27" s="451">
        <f>IF($E27=0,0,ROUND(COS_Unbun.!J26/$E27,$Y$11))</f>
        <v>0</v>
      </c>
      <c r="K27" s="451">
        <f>IF($E27=0,0,ROUND(COS_Unbun.!K26/$E27,$Y$11))</f>
        <v>0</v>
      </c>
      <c r="L27" s="451">
        <f>IF($E27=0,0,ROUND(COS_Unbun.!L26/$E27,$Y$11))</f>
        <v>0</v>
      </c>
      <c r="M27" s="451">
        <f>IF($E27=0,0,ROUND(COS_Unbun.!M26/$E27,$Y$11))</f>
        <v>1.5430000000000001E-3</v>
      </c>
      <c r="N27" s="451">
        <f>IF($E27=0,0,ROUND(COS_Unbun.!N26/$E27,$Y$11))</f>
        <v>6.7500000000000004E-4</v>
      </c>
      <c r="O27" s="451">
        <f>IF($E27=0,0,ROUND(COS_Unbun.!O26/$E27,$Y$11))</f>
        <v>3.5980000000000001E-3</v>
      </c>
      <c r="P27" s="451">
        <f>IF($E27=0,0,ROUND(COS_Unbun.!P26/$E27,$Y$11))</f>
        <v>0</v>
      </c>
      <c r="Q27" s="451">
        <f>IF($E27=0,0,ROUND(COS_Unbun.!Q26/$E27,$Y$11))</f>
        <v>0</v>
      </c>
      <c r="R27" s="451">
        <f>IF($E27=0,0,ROUND(COS_Unbun.!R26/$E27,$Y$11))</f>
        <v>3.01E-4</v>
      </c>
      <c r="S27" s="451">
        <f>IF($E27=0,0,ROUND(COS_Unbun.!S26/$E27,$Y$11))</f>
        <v>1.9170000000000001E-3</v>
      </c>
      <c r="T27" s="451">
        <f>IF($E27=0,0,ROUND(COS_Unbun.!T26/$E27,$Y$11))</f>
        <v>1.8320000000000001E-3</v>
      </c>
      <c r="U27" s="451">
        <f>IF($E27=0,0,ROUND(COS_Unbun.!U26/$E27,$Y$11))</f>
        <v>0</v>
      </c>
      <c r="V27" s="451">
        <f>IF($E27=0,0,ROUND(COS_Unbun.!V26/$E27,$Y$11))</f>
        <v>2.2000000000000001E-4</v>
      </c>
      <c r="W27" s="452">
        <f>IF($E27=0,0,ROUND(COS_Unbun.!W26/$E27,$Y$11))</f>
        <v>0</v>
      </c>
      <c r="X27" s="471">
        <f>SUM(F27:W27)</f>
        <v>5.7506000000000008E-2</v>
      </c>
      <c r="Y27"/>
      <c r="Z27"/>
      <c r="AA27"/>
    </row>
    <row r="28" spans="1:32">
      <c r="A28" s="411"/>
      <c r="B28" s="325"/>
      <c r="C28" s="236">
        <f>IF(D28="","",MAX(C$14:C27)+1)</f>
        <v>12</v>
      </c>
      <c r="D28" s="39" t="s">
        <v>33</v>
      </c>
      <c r="E28" s="445">
        <f>SUM(E25:E27)</f>
        <v>572584392</v>
      </c>
      <c r="F28" s="447">
        <f>IF($E28=0,0,ROUND(COS_Unbun.!F27/$E28,$Y$11))</f>
        <v>2.2859999999999998E-3</v>
      </c>
      <c r="G28" s="447">
        <f>IF($E28=0,0,ROUND(COS_Unbun.!G27/$E28,$Y$11))</f>
        <v>3.7830999999999997E-2</v>
      </c>
      <c r="H28" s="447">
        <f>IF($E28=0,0,ROUND(COS_Unbun.!H27/$E28,$Y$11))</f>
        <v>4.6719999999999999E-3</v>
      </c>
      <c r="I28" s="447">
        <f>IF($E28=0,0,ROUND(COS_Unbun.!I27/$E28,$Y$11))</f>
        <v>2.5669999999999998E-3</v>
      </c>
      <c r="J28" s="447">
        <f>IF($E28=0,0,ROUND(COS_Unbun.!J27/$E28,$Y$11))</f>
        <v>0</v>
      </c>
      <c r="K28" s="447">
        <f>IF($E28=0,0,ROUND(COS_Unbun.!K27/$E28,$Y$11))</f>
        <v>0</v>
      </c>
      <c r="L28" s="447">
        <f>IF($E28=0,0,ROUND(COS_Unbun.!L27/$E28,$Y$11))</f>
        <v>0</v>
      </c>
      <c r="M28" s="447">
        <f>IF($E28=0,0,ROUND(COS_Unbun.!M27/$E28,$Y$11))</f>
        <v>1.544E-3</v>
      </c>
      <c r="N28" s="447">
        <f>IF($E28=0,0,ROUND(COS_Unbun.!N27/$E28,$Y$11))</f>
        <v>6.7500000000000004E-4</v>
      </c>
      <c r="O28" s="447">
        <f>IF($E28=0,0,ROUND(COS_Unbun.!O27/$E28,$Y$11))</f>
        <v>3.5969999999999999E-3</v>
      </c>
      <c r="P28" s="447">
        <f>IF($E28=0,0,ROUND(COS_Unbun.!P27/$E28,$Y$11))</f>
        <v>6.2E-4</v>
      </c>
      <c r="Q28" s="447">
        <f>IF($E28=0,0,ROUND(COS_Unbun.!Q27/$E28,$Y$11))</f>
        <v>5.6599999999999999E-4</v>
      </c>
      <c r="R28" s="447">
        <f>IF($E28=0,0,ROUND(COS_Unbun.!R27/$E28,$Y$11))</f>
        <v>4.5399999999999998E-4</v>
      </c>
      <c r="S28" s="447">
        <f>IF($E28=0,0,ROUND(COS_Unbun.!S27/$E28,$Y$11))</f>
        <v>2.8909999999999999E-3</v>
      </c>
      <c r="T28" s="447">
        <f>IF($E28=0,0,ROUND(COS_Unbun.!T27/$E28,$Y$11))</f>
        <v>3.6489999999999999E-3</v>
      </c>
      <c r="U28" s="447">
        <f>IF($E28=0,0,ROUND(COS_Unbun.!U27/$E28,$Y$11))</f>
        <v>0</v>
      </c>
      <c r="V28" s="447">
        <f>IF($E28=0,0,ROUND(COS_Unbun.!V27/$E28,$Y$11))</f>
        <v>4.3899999999999999E-4</v>
      </c>
      <c r="W28" s="448">
        <f>IF($E28=0,0,ROUND(COS_Unbun.!W27/$E28,$Y$11))</f>
        <v>0</v>
      </c>
      <c r="X28" s="471">
        <f>SUM(F28:W28)</f>
        <v>6.1791000000000006E-2</v>
      </c>
      <c r="Y28"/>
      <c r="Z28" s="4243">
        <f>X28*1000</f>
        <v>61.791000000000004</v>
      </c>
      <c r="AA28"/>
      <c r="AD28" s="3094">
        <f>(COS_Alloc.!G27*(COS_RR!$K$51+COS_RR!$K$61+COS_RR!$K$236)+(COS_Alloc.!F27*COS_RR!$J$60))/COS_Unit!E28*1000</f>
        <v>-11.523285027825208</v>
      </c>
      <c r="AE28" s="4243">
        <f>Z28-AD28</f>
        <v>73.314285027825207</v>
      </c>
    </row>
    <row r="29" spans="1:32">
      <c r="A29" s="411"/>
      <c r="B29" s="325"/>
      <c r="C29" s="236" t="str">
        <f>IF(D29="","",MAX(C$14:C28)+1)</f>
        <v/>
      </c>
      <c r="D29" s="247"/>
      <c r="E29" s="313"/>
      <c r="F29" s="313"/>
      <c r="G29" s="313"/>
      <c r="H29" s="313"/>
      <c r="I29" s="313"/>
      <c r="J29" s="313"/>
      <c r="K29" s="313"/>
      <c r="L29" s="313"/>
      <c r="M29" s="313"/>
      <c r="N29" s="313"/>
      <c r="O29" s="313"/>
      <c r="P29" s="313"/>
      <c r="Q29" s="313"/>
      <c r="R29" s="313"/>
      <c r="S29" s="313"/>
      <c r="T29" s="313"/>
      <c r="U29" s="313"/>
      <c r="V29" s="313"/>
      <c r="W29" s="328"/>
      <c r="X29"/>
      <c r="Y29"/>
      <c r="Z29"/>
      <c r="AA29"/>
      <c r="AD29" s="1672">
        <f>F28*1000+G28*1000-AD28</f>
        <v>51.640285027825207</v>
      </c>
    </row>
    <row r="30" spans="1:32">
      <c r="A30" s="411"/>
      <c r="B30" s="325"/>
      <c r="C30" s="236">
        <f>IF(D30="","",MAX(C$14:C29)+1)</f>
        <v>13</v>
      </c>
      <c r="D30" s="14" t="s">
        <v>22</v>
      </c>
      <c r="E30" s="445">
        <f>'COS_Units (sales)'!F33</f>
        <v>299772792.2890479</v>
      </c>
      <c r="F30" s="447">
        <f>IF($E30=0,0,ROUND(COS_Unbun.!F30/$E30,$Y$11))</f>
        <v>2.2629999999999998E-3</v>
      </c>
      <c r="G30" s="447">
        <f>IF($E30=0,0,ROUND(COS_Unbun.!G30/$E30,$Y$11))</f>
        <v>2.9843999999999999E-2</v>
      </c>
      <c r="H30" s="447">
        <f>IF($E30=0,0,ROUND(COS_Unbun.!H30/$E30,$Y$11))</f>
        <v>2.8189999999999999E-3</v>
      </c>
      <c r="I30" s="447">
        <f>IF($E30=0,0,ROUND(COS_Unbun.!I30/$E30,$Y$11))</f>
        <v>1.4829999999999999E-3</v>
      </c>
      <c r="J30" s="447">
        <f>IF($E30=0,0,ROUND(COS_Unbun.!J30/$E30,$Y$11))</f>
        <v>0</v>
      </c>
      <c r="K30" s="447">
        <f>IF($E30=0,0,ROUND(COS_Unbun.!K30/$E30,$Y$11))</f>
        <v>0</v>
      </c>
      <c r="L30" s="447">
        <f>IF($E30=0,0,ROUND(COS_Unbun.!L30/$E30,$Y$11))</f>
        <v>0</v>
      </c>
      <c r="M30" s="447">
        <f>IF($E30=0,0,ROUND(COS_Unbun.!M30/$E30,$Y$11))</f>
        <v>8.3100000000000003E-4</v>
      </c>
      <c r="N30" s="447">
        <f>IF($E30=0,0,ROUND(COS_Unbun.!N30/$E30,$Y$11))</f>
        <v>5.1999999999999995E-4</v>
      </c>
      <c r="O30" s="447">
        <f>IF($E30=0,0,ROUND(COS_Unbun.!O30/$E30,$Y$11))</f>
        <v>0</v>
      </c>
      <c r="P30" s="447">
        <f>IF($E30=0,0,ROUND(COS_Unbun.!P30/$E30,$Y$11))</f>
        <v>0</v>
      </c>
      <c r="Q30" s="447">
        <f>IF($E30=0,0,ROUND(COS_Unbun.!Q30/$E30,$Y$11))</f>
        <v>0</v>
      </c>
      <c r="R30" s="447">
        <f>IF($E30=0,0,ROUND(COS_Unbun.!R30/$E30,$Y$11))</f>
        <v>1E-4</v>
      </c>
      <c r="S30" s="447">
        <f>IF($E30=0,0,ROUND(COS_Unbun.!S30/$E30,$Y$11))</f>
        <v>4.2400000000000001E-4</v>
      </c>
      <c r="T30" s="447">
        <f>IF($E30=0,0,ROUND(COS_Unbun.!T30/$E30,$Y$11))</f>
        <v>6.7599999999999995E-4</v>
      </c>
      <c r="U30" s="447">
        <f>IF($E30=0,0,ROUND(COS_Unbun.!U30/$E30,$Y$11))</f>
        <v>0</v>
      </c>
      <c r="V30" s="447">
        <f>IF($E30=0,0,ROUND(COS_Unbun.!V30/$E30,$Y$11))</f>
        <v>1.2E-5</v>
      </c>
      <c r="W30" s="448">
        <f>IF($E30=0,0,ROUND(COS_Unbun.!W30/$E30,$Y$11))</f>
        <v>0</v>
      </c>
      <c r="X30" s="471">
        <f>SUM(F30:W30)</f>
        <v>3.8972E-2</v>
      </c>
      <c r="Y30"/>
      <c r="Z30"/>
      <c r="AA30"/>
    </row>
    <row r="31" spans="1:32">
      <c r="A31" s="411"/>
      <c r="B31" s="325"/>
      <c r="C31" s="236" t="str">
        <f>IF(D31="","",MAX(C$14:C30)+1)</f>
        <v/>
      </c>
      <c r="D31" s="206"/>
      <c r="E31" s="313"/>
      <c r="F31" s="313"/>
      <c r="G31" s="313"/>
      <c r="H31" s="313"/>
      <c r="I31" s="313"/>
      <c r="J31" s="313"/>
      <c r="K31" s="313"/>
      <c r="L31" s="313"/>
      <c r="M31" s="313"/>
      <c r="N31" s="313"/>
      <c r="O31" s="313"/>
      <c r="P31" s="313"/>
      <c r="Q31" s="313"/>
      <c r="R31" s="313"/>
      <c r="S31" s="313"/>
      <c r="T31" s="313"/>
      <c r="U31" s="313"/>
      <c r="V31" s="313"/>
      <c r="W31" s="328"/>
      <c r="X31"/>
      <c r="Y31"/>
      <c r="Z31"/>
      <c r="AA31"/>
    </row>
    <row r="32" spans="1:32">
      <c r="A32" s="411"/>
      <c r="B32" s="325"/>
      <c r="C32" s="236">
        <f>IF(D32="","",MAX(C$14:C31)+1)</f>
        <v>14</v>
      </c>
      <c r="D32" s="14" t="s">
        <v>16</v>
      </c>
      <c r="E32" s="445">
        <f>'COS_Units (sales)'!F36</f>
        <v>937116705.50784206</v>
      </c>
      <c r="F32" s="447">
        <f>IF($E32=0,0,ROUND(COS_Unbun.!F33/$E32,$Y$11))</f>
        <v>2.2399999999999998E-3</v>
      </c>
      <c r="G32" s="447">
        <f>IF($E32=0,0,ROUND(COS_Unbun.!G33/$E32,$Y$11))</f>
        <v>2.8725000000000001E-2</v>
      </c>
      <c r="H32" s="447">
        <f>IF($E32=0,0,ROUND(COS_Unbun.!H33/$E32,$Y$11))</f>
        <v>1.5479999999999999E-3</v>
      </c>
      <c r="I32" s="447">
        <f>IF($E32=0,0,ROUND(COS_Unbun.!I33/$E32,$Y$11))</f>
        <v>1.3550000000000001E-3</v>
      </c>
      <c r="J32" s="447">
        <f>IF($E32=0,0,ROUND(COS_Unbun.!J33/$E32,$Y$11))</f>
        <v>2.9700000000000001E-4</v>
      </c>
      <c r="K32" s="447">
        <f>IF($E32=0,0,ROUND(COS_Unbun.!K33/$E32,$Y$11))</f>
        <v>0</v>
      </c>
      <c r="L32" s="447">
        <f>IF($E32=0,0,ROUND(COS_Unbun.!L33/$E32,$Y$11))</f>
        <v>0</v>
      </c>
      <c r="M32" s="447">
        <f>IF($E32=0,0,ROUND(COS_Unbun.!M33/$E32,$Y$11))</f>
        <v>7.1199999999999996E-4</v>
      </c>
      <c r="N32" s="447">
        <f>IF($E32=0,0,ROUND(COS_Unbun.!N33/$E32,$Y$11))</f>
        <v>4.4499999999999997E-4</v>
      </c>
      <c r="O32" s="447">
        <f>IF($E32=0,0,ROUND(COS_Unbun.!O33/$E32,$Y$11))</f>
        <v>0</v>
      </c>
      <c r="P32" s="447">
        <f>IF($E32=0,0,ROUND(COS_Unbun.!P33/$E32,$Y$11))</f>
        <v>0</v>
      </c>
      <c r="Q32" s="447">
        <f>IF($E32=0,0,ROUND(COS_Unbun.!Q33/$E32,$Y$11))</f>
        <v>0</v>
      </c>
      <c r="R32" s="447">
        <f>IF($E32=0,0,ROUND(COS_Unbun.!R33/$E32,$Y$11))</f>
        <v>0</v>
      </c>
      <c r="S32" s="447">
        <f>IF($E32=0,0,ROUND(COS_Unbun.!S33/$E32,$Y$11))</f>
        <v>2.1999999999999999E-5</v>
      </c>
      <c r="T32" s="447">
        <f>IF($E32=0,0,ROUND(COS_Unbun.!T33/$E32,$Y$11))</f>
        <v>4.6999999999999997E-5</v>
      </c>
      <c r="U32" s="447">
        <f>IF($E32=0,0,ROUND(COS_Unbun.!U33/$E32,$Y$11))</f>
        <v>0</v>
      </c>
      <c r="V32" s="447">
        <f>IF($E32=0,0,ROUND(COS_Unbun.!V33/$E32,$Y$11))</f>
        <v>0</v>
      </c>
      <c r="W32" s="448">
        <f>IF($E32=0,0,ROUND(COS_Unbun.!W33/$E32,$Y$11))</f>
        <v>0</v>
      </c>
      <c r="X32" s="471">
        <f>SUM(F32:W32)</f>
        <v>3.5390999999999999E-2</v>
      </c>
      <c r="Y32"/>
      <c r="Z32"/>
      <c r="AA32"/>
    </row>
    <row r="33" spans="1:31">
      <c r="A33" s="411"/>
      <c r="B33" s="325"/>
      <c r="C33" s="236" t="str">
        <f>IF(D33="","",MAX(C$14:C32)+1)</f>
        <v/>
      </c>
      <c r="D33" s="247"/>
      <c r="E33" s="445"/>
      <c r="F33" s="45"/>
      <c r="G33" s="45"/>
      <c r="H33" s="45"/>
      <c r="I33" s="45"/>
      <c r="J33" s="45"/>
      <c r="K33" s="45"/>
      <c r="L33" s="45"/>
      <c r="M33" s="45"/>
      <c r="N33" s="45"/>
      <c r="O33" s="45"/>
      <c r="P33" s="45"/>
      <c r="Q33" s="45"/>
      <c r="R33" s="45"/>
      <c r="S33" s="45"/>
      <c r="T33" s="45"/>
      <c r="U33" s="45"/>
      <c r="V33" s="45"/>
      <c r="W33" s="349"/>
      <c r="X33"/>
      <c r="Y33"/>
      <c r="Z33"/>
      <c r="AA33"/>
    </row>
    <row r="34" spans="1:31">
      <c r="A34" s="411"/>
      <c r="B34" s="325"/>
      <c r="C34" s="236">
        <f>IF(D34="","",MAX(C$14:C33)+1)</f>
        <v>15</v>
      </c>
      <c r="D34" s="246" t="s">
        <v>17</v>
      </c>
      <c r="E34" s="445">
        <f>'COS_Units (sales)'!F39</f>
        <v>2673206552.9506884</v>
      </c>
      <c r="F34" s="447">
        <f>IF($E34=0,0,ROUND(COS_Unbun.!F36/$E34,$Y$11))</f>
        <v>2.2390000000000001E-3</v>
      </c>
      <c r="G34" s="447">
        <f>IF($E34=0,0,ROUND(COS_Unbun.!G36/$E34,$Y$11))</f>
        <v>2.6884999999999999E-2</v>
      </c>
      <c r="H34" s="447">
        <f>IF($E34=0,0,ROUND(COS_Unbun.!H36/$E34,$Y$11))</f>
        <v>1.537E-3</v>
      </c>
      <c r="I34" s="447">
        <f>IF($E34=0,0,ROUND(COS_Unbun.!I36/$E34,$Y$11))</f>
        <v>1.101E-3</v>
      </c>
      <c r="J34" s="447">
        <f>IF($E34=0,0,ROUND(COS_Unbun.!J36/$E34,$Y$11))</f>
        <v>3.48E-4</v>
      </c>
      <c r="K34" s="447">
        <f>IF($E34=0,0,ROUND(COS_Unbun.!K36/$E34,$Y$11))</f>
        <v>0</v>
      </c>
      <c r="L34" s="447">
        <f>IF($E34=0,0,ROUND(COS_Unbun.!L36/$E34,$Y$11))</f>
        <v>0</v>
      </c>
      <c r="M34" s="447">
        <f>IF($E34=0,0,ROUND(COS_Unbun.!M36/$E34,$Y$11))</f>
        <v>5.1500000000000005E-4</v>
      </c>
      <c r="N34" s="447">
        <f>IF($E34=0,0,ROUND(COS_Unbun.!N36/$E34,$Y$11))</f>
        <v>3.21E-4</v>
      </c>
      <c r="O34" s="447">
        <f>IF($E34=0,0,ROUND(COS_Unbun.!O36/$E34,$Y$11))</f>
        <v>0</v>
      </c>
      <c r="P34" s="447">
        <f>IF($E34=0,0,ROUND(COS_Unbun.!P36/$E34,$Y$11))</f>
        <v>0</v>
      </c>
      <c r="Q34" s="447">
        <f>IF($E34=0,0,ROUND(COS_Unbun.!Q36/$E34,$Y$11))</f>
        <v>0</v>
      </c>
      <c r="R34" s="447">
        <f>IF($E34=0,0,ROUND(COS_Unbun.!R36/$E34,$Y$11))</f>
        <v>0</v>
      </c>
      <c r="S34" s="447">
        <f>IF($E34=0,0,ROUND(COS_Unbun.!S36/$E34,$Y$11))</f>
        <v>3.9999999999999998E-6</v>
      </c>
      <c r="T34" s="447">
        <f>IF($E34=0,0,ROUND(COS_Unbun.!T36/$E34,$Y$11))</f>
        <v>2.1999999999999999E-5</v>
      </c>
      <c r="U34" s="447">
        <f>IF($E34=0,0,ROUND(COS_Unbun.!U36/$E34,$Y$11))</f>
        <v>0</v>
      </c>
      <c r="V34" s="447">
        <f>IF($E34=0,0,ROUND(COS_Unbun.!V36/$E34,$Y$11))</f>
        <v>0</v>
      </c>
      <c r="W34" s="448">
        <f>IF($E34=0,0,ROUND(COS_Unbun.!W36/$E34,$Y$11))</f>
        <v>0</v>
      </c>
      <c r="X34" s="471">
        <f>SUM(F34:W34)</f>
        <v>3.2972000000000001E-2</v>
      </c>
      <c r="Y34"/>
      <c r="Z34" s="4649">
        <f>X34-J34-I34</f>
        <v>3.1523000000000002E-2</v>
      </c>
      <c r="AA34" s="1541">
        <f>(J34+I34)/X34</f>
        <v>4.3946378745602324E-2</v>
      </c>
    </row>
    <row r="35" spans="1:31">
      <c r="A35" s="411"/>
      <c r="B35" s="325"/>
      <c r="C35" s="236" t="str">
        <f>IF(D35="","",MAX(C$14:C34)+1)</f>
        <v/>
      </c>
      <c r="D35" s="247"/>
      <c r="E35" s="313"/>
      <c r="F35" s="449"/>
      <c r="G35" s="449"/>
      <c r="H35" s="449"/>
      <c r="I35" s="449"/>
      <c r="J35" s="449"/>
      <c r="K35" s="449"/>
      <c r="L35" s="449"/>
      <c r="M35" s="449"/>
      <c r="N35" s="449"/>
      <c r="O35" s="449"/>
      <c r="P35" s="449"/>
      <c r="Q35" s="449"/>
      <c r="R35" s="449"/>
      <c r="S35" s="449"/>
      <c r="T35" s="449"/>
      <c r="U35" s="449"/>
      <c r="V35" s="449"/>
      <c r="W35" s="450"/>
      <c r="X35"/>
      <c r="Y35"/>
      <c r="Z35"/>
      <c r="AA35"/>
    </row>
    <row r="36" spans="1:31">
      <c r="A36" s="411"/>
      <c r="B36" s="325"/>
      <c r="C36" s="236">
        <f>IF(D36="","",MAX(C$14:C35)+1)</f>
        <v>16</v>
      </c>
      <c r="D36" s="246" t="s">
        <v>18</v>
      </c>
      <c r="E36" s="445">
        <f>'COS_Units (sales)'!F42</f>
        <v>418929393.88013124</v>
      </c>
      <c r="F36" s="447">
        <f>IF($E36=0,0,ROUND(COS_Unbun.!F39/$E36,$Y$11))</f>
        <v>2.2399999999999998E-3</v>
      </c>
      <c r="G36" s="447">
        <f>IF($E36=0,0,ROUND(COS_Unbun.!G39/$E36,$Y$11))</f>
        <v>2.8694000000000001E-2</v>
      </c>
      <c r="H36" s="447">
        <f>IF($E36=0,0,ROUND(COS_Unbun.!H39/$E36,$Y$11))</f>
        <v>2.598E-3</v>
      </c>
      <c r="I36" s="447">
        <f>IF($E36=0,0,ROUND(COS_Unbun.!I39/$E36,$Y$11))</f>
        <v>1.356E-3</v>
      </c>
      <c r="J36" s="447">
        <f>IF($E36=0,0,ROUND(COS_Unbun.!J39/$E36,$Y$11))</f>
        <v>2.32E-4</v>
      </c>
      <c r="K36" s="447">
        <f>IF($E36=0,0,ROUND(COS_Unbun.!K39/$E36,$Y$11))</f>
        <v>0</v>
      </c>
      <c r="L36" s="447">
        <f>IF($E36=0,0,ROUND(COS_Unbun.!L39/$E36,$Y$11))</f>
        <v>0</v>
      </c>
      <c r="M36" s="447">
        <f>IF($E36=0,0,ROUND(COS_Unbun.!M39/$E36,$Y$11))</f>
        <v>7.1199999999999996E-4</v>
      </c>
      <c r="N36" s="447">
        <f>IF($E36=0,0,ROUND(COS_Unbun.!N39/$E36,$Y$11))</f>
        <v>4.4499999999999997E-4</v>
      </c>
      <c r="O36" s="447">
        <f>IF($E36=0,0,ROUND(COS_Unbun.!O39/$E36,$Y$11))</f>
        <v>0</v>
      </c>
      <c r="P36" s="447">
        <f>IF($E36=0,0,ROUND(COS_Unbun.!P39/$E36,$Y$11))</f>
        <v>0</v>
      </c>
      <c r="Q36" s="447">
        <f>IF($E36=0,0,ROUND(COS_Unbun.!Q39/$E36,$Y$11))</f>
        <v>0</v>
      </c>
      <c r="R36" s="447">
        <f>IF($E36=0,0,ROUND(COS_Unbun.!R39/$E36,$Y$11))</f>
        <v>0</v>
      </c>
      <c r="S36" s="447">
        <f>IF($E36=0,0,ROUND(COS_Unbun.!S39/$E36,$Y$11))</f>
        <v>4.1999999999999998E-5</v>
      </c>
      <c r="T36" s="447">
        <f>IF($E36=0,0,ROUND(COS_Unbun.!T39/$E36,$Y$11))</f>
        <v>9.0000000000000006E-5</v>
      </c>
      <c r="U36" s="447">
        <f>IF($E36=0,0,ROUND(COS_Unbun.!U39/$E36,$Y$11))</f>
        <v>0</v>
      </c>
      <c r="V36" s="447">
        <f>IF($E36=0,0,ROUND(COS_Unbun.!V39/$E36,$Y$11))</f>
        <v>9.9999999999999995E-7</v>
      </c>
      <c r="W36" s="448">
        <f>IF($E36=0,0,ROUND(COS_Unbun.!W39/$E36,$Y$11))</f>
        <v>0</v>
      </c>
      <c r="X36" s="471">
        <f>SUM(F36:W36)</f>
        <v>3.6410000000000005E-2</v>
      </c>
      <c r="Y36"/>
      <c r="Z36"/>
      <c r="AA36"/>
    </row>
    <row r="37" spans="1:31">
      <c r="A37" s="411"/>
      <c r="B37" s="325"/>
      <c r="C37" s="236" t="str">
        <f>IF(D37="","",MAX(C$14:C36)+1)</f>
        <v/>
      </c>
      <c r="D37" s="247"/>
      <c r="E37" s="343"/>
      <c r="F37" s="455"/>
      <c r="G37" s="455"/>
      <c r="H37" s="455"/>
      <c r="I37" s="455"/>
      <c r="J37" s="455"/>
      <c r="K37" s="455"/>
      <c r="L37" s="455"/>
      <c r="M37" s="455"/>
      <c r="N37" s="455"/>
      <c r="O37" s="455"/>
      <c r="P37" s="455"/>
      <c r="Q37" s="455"/>
      <c r="R37" s="455"/>
      <c r="S37" s="455"/>
      <c r="T37" s="455"/>
      <c r="U37" s="455"/>
      <c r="V37" s="455"/>
      <c r="W37" s="448"/>
      <c r="X37"/>
      <c r="Y37"/>
      <c r="Z37"/>
      <c r="AA37"/>
    </row>
    <row r="38" spans="1:31">
      <c r="A38" s="411"/>
      <c r="B38" s="325"/>
      <c r="C38" s="236">
        <f>IF(D38="","",MAX(C$14:C37)+1)</f>
        <v>17</v>
      </c>
      <c r="D38" s="246" t="s">
        <v>19</v>
      </c>
      <c r="E38" s="445">
        <f>'COS_Units (sales)'!F45</f>
        <v>0</v>
      </c>
      <c r="F38" s="447">
        <f>IF($E38=0,0,ROUND(COS_Unbun.!F42/$E38,$Y$11))</f>
        <v>0</v>
      </c>
      <c r="G38" s="447">
        <f>IF($E38=0,0,ROUND(COS_Unbun.!G42/$E38,$Y$11))</f>
        <v>0</v>
      </c>
      <c r="H38" s="447">
        <f>IF($E38=0,0,ROUND(COS_Unbun.!H42/$E38,$Y$11))</f>
        <v>0</v>
      </c>
      <c r="I38" s="447">
        <f>IF($E38=0,0,ROUND(COS_Unbun.!I42/$E38,$Y$11))</f>
        <v>0</v>
      </c>
      <c r="J38" s="447">
        <f>IF($E38=0,0,ROUND(COS_Unbun.!J42/$E38,$Y$11))</f>
        <v>0</v>
      </c>
      <c r="K38" s="447">
        <f>IF($E38=0,0,ROUND(COS_Unbun.!K42/$E38,$Y$11))</f>
        <v>0</v>
      </c>
      <c r="L38" s="447">
        <f>IF($E38=0,0,ROUND(COS_Unbun.!L42/$E38,$Y$11))</f>
        <v>0</v>
      </c>
      <c r="M38" s="447">
        <f>IF($E38=0,0,ROUND(COS_Unbun.!M42/$E38,$Y$11))</f>
        <v>0</v>
      </c>
      <c r="N38" s="447">
        <f>IF($E38=0,0,ROUND(COS_Unbun.!N42/$E38,$Y$11))</f>
        <v>0</v>
      </c>
      <c r="O38" s="447">
        <f>IF($E38=0,0,ROUND(COS_Unbun.!O42/$E38,$Y$11))</f>
        <v>0</v>
      </c>
      <c r="P38" s="447">
        <f>IF($E38=0,0,ROUND(COS_Unbun.!P42/$E38,$Y$11))</f>
        <v>0</v>
      </c>
      <c r="Q38" s="447">
        <f>IF($E38=0,0,ROUND(COS_Unbun.!Q42/$E38,$Y$11))</f>
        <v>0</v>
      </c>
      <c r="R38" s="447">
        <f>IF($E38=0,0,ROUND(COS_Unbun.!R42/$E38,$Y$11))</f>
        <v>0</v>
      </c>
      <c r="S38" s="447">
        <f>IF($E38=0,0,ROUND(COS_Unbun.!S42/$E38,$Y$11))</f>
        <v>0</v>
      </c>
      <c r="T38" s="447">
        <f>IF($E38=0,0,ROUND(COS_Unbun.!T42/$E38,$Y$11))</f>
        <v>0</v>
      </c>
      <c r="U38" s="447">
        <f>IF($E38=0,0,ROUND(COS_Unbun.!U42/$E38,$Y$11))</f>
        <v>0</v>
      </c>
      <c r="V38" s="447">
        <f>IF($E38=0,0,ROUND(COS_Unbun.!V42/$E38,$Y$11))</f>
        <v>0</v>
      </c>
      <c r="W38" s="448">
        <f>IF($E38=0,0,ROUND(COS_Unbun.!W42/$E38,$Y$11))</f>
        <v>0</v>
      </c>
      <c r="X38" s="471">
        <f>SUM(F38:W38)</f>
        <v>0</v>
      </c>
      <c r="Y38"/>
      <c r="Z38"/>
      <c r="AA38"/>
    </row>
    <row r="39" spans="1:31">
      <c r="A39" s="411"/>
      <c r="B39" s="325"/>
      <c r="C39" s="236" t="str">
        <f>IF(D39="","",MAX(C$14:C38)+1)</f>
        <v/>
      </c>
      <c r="D39" s="247"/>
      <c r="E39" s="313"/>
      <c r="F39" s="449"/>
      <c r="G39" s="449"/>
      <c r="H39" s="449"/>
      <c r="I39" s="449"/>
      <c r="J39" s="449"/>
      <c r="K39" s="449"/>
      <c r="L39" s="449"/>
      <c r="M39" s="449"/>
      <c r="N39" s="449"/>
      <c r="O39" s="449"/>
      <c r="P39" s="449"/>
      <c r="Q39" s="449"/>
      <c r="R39" s="449"/>
      <c r="S39" s="449"/>
      <c r="T39" s="449"/>
      <c r="U39" s="449"/>
      <c r="V39" s="449"/>
      <c r="W39" s="450"/>
      <c r="X39"/>
      <c r="Y39"/>
      <c r="Z39"/>
      <c r="AA39"/>
    </row>
    <row r="40" spans="1:31">
      <c r="A40" s="411"/>
      <c r="B40" s="325"/>
      <c r="C40" s="236">
        <f>IF(D40="","",MAX(C$14:C39)+1)</f>
        <v>18</v>
      </c>
      <c r="D40" s="246" t="s">
        <v>20</v>
      </c>
      <c r="E40" s="313">
        <f>'COS_Units (sales)'!F48</f>
        <v>0</v>
      </c>
      <c r="F40" s="449">
        <f>IF($E40=0,0,ROUND(COS_Unbun.!F45/$E40,$Y$11))</f>
        <v>0</v>
      </c>
      <c r="G40" s="449">
        <f>IF($E40=0,0,ROUND(COS_Unbun.!G45/$E40,$Y$11))</f>
        <v>0</v>
      </c>
      <c r="H40" s="449">
        <f>IF($E40=0,0,ROUND(COS_Unbun.!H45/$E40,$Y$11))</f>
        <v>0</v>
      </c>
      <c r="I40" s="449">
        <f>IF($E40=0,0,ROUND(COS_Unbun.!I45/$E40,$Y$11))</f>
        <v>0</v>
      </c>
      <c r="J40" s="449">
        <f>IF($E40=0,0,ROUND(COS_Unbun.!J45/$E40,$Y$11))</f>
        <v>0</v>
      </c>
      <c r="K40" s="449">
        <f>IF($E40=0,0,ROUND(COS_Unbun.!K45/$E40,$Y$11))</f>
        <v>0</v>
      </c>
      <c r="L40" s="449">
        <f>IF($E40=0,0,ROUND(COS_Unbun.!L45/$E40,$Y$11))</f>
        <v>0</v>
      </c>
      <c r="M40" s="449">
        <f>IF($E40=0,0,ROUND(COS_Unbun.!M45/$E40,$Y$11))</f>
        <v>0</v>
      </c>
      <c r="N40" s="449">
        <f>IF($E40=0,0,ROUND(COS_Unbun.!N45/$E40,$Y$11))</f>
        <v>0</v>
      </c>
      <c r="O40" s="449">
        <f>IF($E40=0,0,ROUND(COS_Unbun.!O45/$E40,$Y$11))</f>
        <v>0</v>
      </c>
      <c r="P40" s="449">
        <f>IF($E40=0,0,ROUND(COS_Unbun.!P45/$E40,$Y$11))</f>
        <v>0</v>
      </c>
      <c r="Q40" s="449">
        <f>IF($E40=0,0,ROUND(COS_Unbun.!Q45/$E40,$Y$11))</f>
        <v>0</v>
      </c>
      <c r="R40" s="449">
        <f>IF($E40=0,0,ROUND(COS_Unbun.!R45/$E40,$Y$11))</f>
        <v>0</v>
      </c>
      <c r="S40" s="449">
        <f>IF($E40=0,0,ROUND(COS_Unbun.!S45/$E40,$Y$11))</f>
        <v>0</v>
      </c>
      <c r="T40" s="449">
        <f>IF($E40=0,0,ROUND(COS_Unbun.!T45/$E40,$Y$11))</f>
        <v>0</v>
      </c>
      <c r="U40" s="449">
        <f>IF($E40=0,0,ROUND(COS_Unbun.!U45/$E40,$Y$11))</f>
        <v>0</v>
      </c>
      <c r="V40" s="449">
        <f>IF($E40=0,0,ROUND(COS_Unbun.!V45/$E40,$Y$11))</f>
        <v>0</v>
      </c>
      <c r="W40" s="449">
        <f>IF($E40=0,0,ROUND(COS_Unbun.!W45/$E40,$Y$11))</f>
        <v>0</v>
      </c>
      <c r="X40" s="705">
        <f>SUM(F40:W40)</f>
        <v>0</v>
      </c>
      <c r="Y40"/>
      <c r="Z40"/>
      <c r="AA40"/>
    </row>
    <row r="41" spans="1:31">
      <c r="A41" s="411"/>
      <c r="B41" s="325"/>
      <c r="C41" s="236" t="str">
        <f>IF(D41="","",MAX(C$14:C40)+1)</f>
        <v/>
      </c>
      <c r="D41" s="206"/>
      <c r="E41" s="343"/>
      <c r="F41" s="455"/>
      <c r="G41" s="455"/>
      <c r="H41" s="455"/>
      <c r="I41" s="455"/>
      <c r="J41" s="455"/>
      <c r="K41" s="455"/>
      <c r="L41" s="455"/>
      <c r="M41" s="455"/>
      <c r="N41" s="455"/>
      <c r="O41" s="455"/>
      <c r="P41" s="455"/>
      <c r="Q41" s="455"/>
      <c r="R41" s="455"/>
      <c r="S41" s="455"/>
      <c r="T41" s="455"/>
      <c r="U41" s="455"/>
      <c r="V41" s="455"/>
      <c r="W41" s="448"/>
      <c r="X41"/>
      <c r="Y41"/>
      <c r="Z41"/>
      <c r="AA41"/>
    </row>
    <row r="42" spans="1:31">
      <c r="A42" s="411"/>
      <c r="B42" s="325"/>
      <c r="C42" s="236">
        <f>IF(D42="","",MAX(C$14:C41)+1)</f>
        <v>19</v>
      </c>
      <c r="D42" s="246" t="s">
        <v>4</v>
      </c>
      <c r="E42" s="313">
        <f>'COS_Units (sales)'!F51</f>
        <v>4515848</v>
      </c>
      <c r="F42" s="449">
        <f>IF($E42=0,0,ROUND(COS_Unbun.!F48/$E42,$Y$11))</f>
        <v>2.251E-3</v>
      </c>
      <c r="G42" s="449">
        <f>IF($E42=0,0,ROUND(COS_Unbun.!G48/$E42,$Y$11))</f>
        <v>3.5140999999999999E-2</v>
      </c>
      <c r="H42" s="449">
        <f>IF($E42=0,0,ROUND(COS_Unbun.!H48/$E42,$Y$11))</f>
        <v>0</v>
      </c>
      <c r="I42" s="449">
        <f>IF($E42=0,0,ROUND(COS_Unbun.!I48/$E42,$Y$11))</f>
        <v>2.085E-3</v>
      </c>
      <c r="J42" s="449">
        <f>IF($E42=0,0,ROUND(COS_Unbun.!J48/$E42,$Y$11))</f>
        <v>0</v>
      </c>
      <c r="K42" s="449">
        <f>IF($E42=0,0,ROUND(COS_Unbun.!K48/$E42,$Y$11))</f>
        <v>0</v>
      </c>
      <c r="L42" s="449">
        <f>IF($E42=0,0,ROUND(COS_Unbun.!L48/$E42,$Y$11))</f>
        <v>0</v>
      </c>
      <c r="M42" s="449">
        <f>IF($E42=0,0,ROUND(COS_Unbun.!M48/$E42,$Y$11))</f>
        <v>8.7600000000000004E-4</v>
      </c>
      <c r="N42" s="449">
        <f>IF($E42=0,0,ROUND(COS_Unbun.!N48/$E42,$Y$11))</f>
        <v>5.2400000000000005E-4</v>
      </c>
      <c r="O42" s="449">
        <f>IF($E42=0,0,ROUND(COS_Unbun.!O48/$E42,$Y$11))</f>
        <v>0</v>
      </c>
      <c r="P42" s="449">
        <f>IF($E42=0,0,ROUND(COS_Unbun.!P48/$E42,$Y$11))</f>
        <v>1.008E-3</v>
      </c>
      <c r="Q42" s="449">
        <f>IF($E42=0,0,ROUND(COS_Unbun.!Q48/$E42,$Y$11))</f>
        <v>2.0950000000000001E-3</v>
      </c>
      <c r="R42" s="449">
        <f>IF($E42=0,0,ROUND(COS_Unbun.!R48/$E42,$Y$11))</f>
        <v>3.77E-4</v>
      </c>
      <c r="S42" s="449">
        <f>IF($E42=0,0,ROUND(COS_Unbun.!S48/$E42,$Y$11))</f>
        <v>0</v>
      </c>
      <c r="T42" s="449">
        <f>IF($E42=0,0,ROUND(COS_Unbun.!T48/$E42,$Y$11))</f>
        <v>2.3749999999999999E-3</v>
      </c>
      <c r="U42" s="449">
        <f>IF($E42=0,0,ROUND(COS_Unbun.!U48/$E42,$Y$11))</f>
        <v>0.11326600000000001</v>
      </c>
      <c r="V42" s="449">
        <f>IF($E42=0,0,ROUND(COS_Unbun.!V48/$E42,$Y$11))</f>
        <v>4.4499999999999997E-4</v>
      </c>
      <c r="W42" s="449">
        <f>IF($E42=0,0,ROUND(COS_Unbun.!W48/$E42,$Y$11))</f>
        <v>0</v>
      </c>
      <c r="X42" s="705">
        <f>SUM(F42:W42)</f>
        <v>0.160443</v>
      </c>
      <c r="Y42"/>
      <c r="Z42" s="4243">
        <f>X42*1000</f>
        <v>160.44300000000001</v>
      </c>
      <c r="AA42"/>
      <c r="AD42" s="3094">
        <f>(COS_Alloc.!G48*(COS_RR!$K$51+COS_RR!$K$61+COS_RR!$K$236)+(COS_Alloc.!F48*COS_RR!$J$60))/COS_Unit!E42*1000</f>
        <v>-10.515334373521872</v>
      </c>
      <c r="AE42" s="4243">
        <f>Z42-AD42</f>
        <v>170.95833437352189</v>
      </c>
    </row>
    <row r="43" spans="1:31">
      <c r="A43" s="411"/>
      <c r="B43" s="325"/>
      <c r="C43" s="236" t="str">
        <f>IF(D43="","",MAX(C$14:C42)+1)</f>
        <v/>
      </c>
      <c r="D43" s="247"/>
      <c r="E43" s="313"/>
      <c r="F43" s="449"/>
      <c r="G43" s="449"/>
      <c r="H43" s="449"/>
      <c r="I43" s="449"/>
      <c r="J43" s="449"/>
      <c r="K43" s="449"/>
      <c r="L43" s="449"/>
      <c r="M43" s="449"/>
      <c r="N43" s="449"/>
      <c r="O43" s="449"/>
      <c r="P43" s="449"/>
      <c r="Q43" s="449"/>
      <c r="R43" s="449"/>
      <c r="S43" s="449"/>
      <c r="T43" s="449"/>
      <c r="U43" s="449"/>
      <c r="V43" s="449"/>
      <c r="W43" s="450"/>
      <c r="X43"/>
      <c r="Y43"/>
      <c r="Z43"/>
      <c r="AA43"/>
      <c r="AD43" s="1672">
        <f>F42*1000+G42*1000-AD42</f>
        <v>47.90733437352187</v>
      </c>
    </row>
    <row r="44" spans="1:31">
      <c r="A44" s="411"/>
      <c r="B44" s="325"/>
      <c r="C44" s="236">
        <f>IF(D44="","",MAX(C$14:C43)+1)</f>
        <v>20</v>
      </c>
      <c r="D44" s="246" t="s">
        <v>5</v>
      </c>
      <c r="E44" s="313">
        <f>'COS_Units (sales)'!F54</f>
        <v>431238</v>
      </c>
      <c r="F44" s="449">
        <f>IF($E44=0,0,ROUND(COS_Unbun.!F51/$E44,$Y$11))</f>
        <v>3.3670000000000002E-3</v>
      </c>
      <c r="G44" s="449">
        <f>IF($E44=0,0,ROUND(COS_Unbun.!G51/$E44,$Y$11))</f>
        <v>4.5999999999999999E-2</v>
      </c>
      <c r="H44" s="449">
        <f>IF($E44=0,0,ROUND(COS_Unbun.!H51/$E44,$Y$11))</f>
        <v>0</v>
      </c>
      <c r="I44" s="449">
        <f>IF($E44=0,0,ROUND(COS_Unbun.!I51/$E44,$Y$11))</f>
        <v>2.4260000000000002E-3</v>
      </c>
      <c r="J44" s="449">
        <f>IF($E44=0,0,ROUND(COS_Unbun.!J51/$E44,$Y$11))</f>
        <v>0</v>
      </c>
      <c r="K44" s="449">
        <f>IF($E44=0,0,ROUND(COS_Unbun.!K51/$E44,$Y$11))</f>
        <v>0</v>
      </c>
      <c r="L44" s="449">
        <f>IF($E44=0,0,ROUND(COS_Unbun.!L51/$E44,$Y$11))</f>
        <v>0</v>
      </c>
      <c r="M44" s="449">
        <f>IF($E44=0,0,ROUND(COS_Unbun.!M51/$E44,$Y$11))</f>
        <v>1.31E-3</v>
      </c>
      <c r="N44" s="449">
        <f>IF($E44=0,0,ROUND(COS_Unbun.!N51/$E44,$Y$11))</f>
        <v>5.5000000000000003E-4</v>
      </c>
      <c r="O44" s="449">
        <f>IF($E44=0,0,ROUND(COS_Unbun.!O51/$E44,$Y$11))</f>
        <v>0</v>
      </c>
      <c r="P44" s="449">
        <f>IF($E44=0,0,ROUND(COS_Unbun.!P51/$E44,$Y$11))</f>
        <v>6.7549999999999997E-3</v>
      </c>
      <c r="Q44" s="449">
        <f>IF($E44=0,0,ROUND(COS_Unbun.!Q51/$E44,$Y$11))</f>
        <v>1.4259000000000001E-2</v>
      </c>
      <c r="R44" s="449">
        <f>IF($E44=0,0,ROUND(COS_Unbun.!R51/$E44,$Y$11))</f>
        <v>2.5110000000000002E-3</v>
      </c>
      <c r="S44" s="449">
        <f>IF($E44=0,0,ROUND(COS_Unbun.!S51/$E44,$Y$11))</f>
        <v>0</v>
      </c>
      <c r="T44" s="449">
        <f>IF($E44=0,0,ROUND(COS_Unbun.!T51/$E44,$Y$11))</f>
        <v>1.7413000000000001E-2</v>
      </c>
      <c r="U44" s="449">
        <f>IF($E44=0,0,ROUND(COS_Unbun.!U51/$E44,$Y$11))</f>
        <v>4.0715000000000001E-2</v>
      </c>
      <c r="V44" s="449">
        <f>IF($E44=0,0,ROUND(COS_Unbun.!V51/$E44,$Y$11))</f>
        <v>3.107E-3</v>
      </c>
      <c r="W44" s="449">
        <f>IF($E44=0,0,ROUND(COS_Unbun.!W51/$E44,$Y$11))</f>
        <v>0</v>
      </c>
      <c r="X44" s="705">
        <f>SUM(F44:W44)</f>
        <v>0.13841299999999998</v>
      </c>
      <c r="Y44"/>
      <c r="Z44"/>
      <c r="AA44"/>
    </row>
    <row r="45" spans="1:31">
      <c r="A45" s="411"/>
      <c r="B45" s="325"/>
      <c r="C45" s="236" t="str">
        <f>IF(D45="","",MAX(C$14:C44)+1)</f>
        <v/>
      </c>
      <c r="D45" s="206"/>
      <c r="E45" s="343"/>
      <c r="F45" s="455"/>
      <c r="G45" s="455"/>
      <c r="H45" s="455"/>
      <c r="I45" s="455"/>
      <c r="J45" s="455"/>
      <c r="K45" s="455"/>
      <c r="L45" s="455"/>
      <c r="M45" s="455"/>
      <c r="N45" s="455"/>
      <c r="O45" s="455"/>
      <c r="P45" s="455"/>
      <c r="Q45" s="455"/>
      <c r="R45" s="455"/>
      <c r="S45" s="455"/>
      <c r="T45" s="455"/>
      <c r="U45" s="455"/>
      <c r="V45" s="455"/>
      <c r="W45" s="448"/>
      <c r="X45"/>
      <c r="Y45"/>
      <c r="Z45"/>
      <c r="AA45"/>
    </row>
    <row r="46" spans="1:31">
      <c r="A46" s="411"/>
      <c r="B46" s="325"/>
      <c r="C46" s="236">
        <f>IF(D46="","",MAX(C$14:C45)+1)</f>
        <v>21</v>
      </c>
      <c r="D46" s="246" t="s">
        <v>23</v>
      </c>
      <c r="E46" s="313">
        <f>'COS_Units (sales)'!F57</f>
        <v>1190607</v>
      </c>
      <c r="F46" s="449">
        <f>IF($E46=0,0,ROUND(COS_Unbun.!F54/$E46,$Y$11))</f>
        <v>2.4399999999999999E-3</v>
      </c>
      <c r="G46" s="449">
        <f>IF($E46=0,0,ROUND(COS_Unbun.!G54/$E46,$Y$11))</f>
        <v>3.3321999999999997E-2</v>
      </c>
      <c r="H46" s="449">
        <f>IF($E46=0,0,ROUND(COS_Unbun.!H54/$E46,$Y$11))</f>
        <v>0</v>
      </c>
      <c r="I46" s="449">
        <f>IF($E46=0,0,ROUND(COS_Unbun.!I54/$E46,$Y$11))</f>
        <v>1.7570000000000001E-3</v>
      </c>
      <c r="J46" s="449">
        <f>IF($E46=0,0,ROUND(COS_Unbun.!J54/$E46,$Y$11))</f>
        <v>0</v>
      </c>
      <c r="K46" s="449">
        <f>IF($E46=0,0,ROUND(COS_Unbun.!K54/$E46,$Y$11))</f>
        <v>0</v>
      </c>
      <c r="L46" s="449">
        <f>IF($E46=0,0,ROUND(COS_Unbun.!L54/$E46,$Y$11))</f>
        <v>0</v>
      </c>
      <c r="M46" s="449">
        <f>IF($E46=0,0,ROUND(COS_Unbun.!M54/$E46,$Y$11))</f>
        <v>9.4899999999999997E-4</v>
      </c>
      <c r="N46" s="449">
        <f>IF($E46=0,0,ROUND(COS_Unbun.!N54/$E46,$Y$11))</f>
        <v>5.9599999999999996E-4</v>
      </c>
      <c r="O46" s="449">
        <f>IF($E46=0,0,ROUND(COS_Unbun.!O54/$E46,$Y$11))</f>
        <v>0</v>
      </c>
      <c r="P46" s="449">
        <f>IF($E46=0,0,ROUND(COS_Unbun.!P54/$E46,$Y$11))</f>
        <v>6.11E-4</v>
      </c>
      <c r="Q46" s="449">
        <f>IF($E46=0,0,ROUND(COS_Unbun.!Q54/$E46,$Y$11))</f>
        <v>1.1919999999999999E-3</v>
      </c>
      <c r="R46" s="449">
        <f>IF($E46=0,0,ROUND(COS_Unbun.!R54/$E46,$Y$11))</f>
        <v>2.5999999999999998E-4</v>
      </c>
      <c r="S46" s="449">
        <f>IF($E46=0,0,ROUND(COS_Unbun.!S54/$E46,$Y$11))</f>
        <v>4.44E-4</v>
      </c>
      <c r="T46" s="449">
        <f>IF($E46=0,0,ROUND(COS_Unbun.!T54/$E46,$Y$11))</f>
        <v>1.802E-3</v>
      </c>
      <c r="U46" s="449">
        <f>IF($E46=0,0,ROUND(COS_Unbun.!U54/$E46,$Y$11))</f>
        <v>0</v>
      </c>
      <c r="V46" s="449">
        <f>IF($E46=0,0,ROUND(COS_Unbun.!V54/$E46,$Y$11))</f>
        <v>2.81E-4</v>
      </c>
      <c r="W46" s="449">
        <f>IF($E46=0,0,ROUND(COS_Unbun.!W54/$E46,$Y$11))</f>
        <v>0</v>
      </c>
      <c r="X46" s="705">
        <f>SUM(F46:W46)</f>
        <v>4.3653999999999998E-2</v>
      </c>
      <c r="Y46"/>
      <c r="Z46"/>
      <c r="AA46"/>
    </row>
    <row r="47" spans="1:31">
      <c r="A47" s="411"/>
      <c r="B47" s="325"/>
      <c r="C47" s="236" t="str">
        <f>IF(D47="","",MAX(C$14:C46)+1)</f>
        <v/>
      </c>
      <c r="D47" s="206"/>
      <c r="E47" s="403"/>
      <c r="F47" s="456"/>
      <c r="G47" s="456"/>
      <c r="H47" s="456"/>
      <c r="I47" s="456"/>
      <c r="J47" s="456"/>
      <c r="K47" s="456"/>
      <c r="L47" s="456"/>
      <c r="M47" s="456"/>
      <c r="N47" s="456"/>
      <c r="O47" s="456"/>
      <c r="P47" s="456"/>
      <c r="Q47" s="456"/>
      <c r="R47" s="456"/>
      <c r="S47" s="456"/>
      <c r="T47" s="456"/>
      <c r="U47" s="456"/>
      <c r="V47" s="456"/>
      <c r="W47" s="454"/>
      <c r="X47"/>
      <c r="Y47"/>
      <c r="Z47"/>
      <c r="AA47"/>
    </row>
    <row r="48" spans="1:31">
      <c r="A48" s="411"/>
      <c r="B48" s="325"/>
      <c r="C48" s="236">
        <f>IF(D48="","",MAX(C$14:C47)+1)</f>
        <v>22</v>
      </c>
      <c r="D48" s="246" t="s">
        <v>66</v>
      </c>
      <c r="E48" s="313">
        <f>'COS_Units (sales)'!F60</f>
        <v>0</v>
      </c>
      <c r="F48" s="449">
        <f>IF($E48=0,0,ROUND(COS_Unbun.!F57/$E48,$Y$11))</f>
        <v>0</v>
      </c>
      <c r="G48" s="449">
        <f>IF($E48=0,0,ROUND(COS_Unbun.!G57/$E48,$Y$11))</f>
        <v>0</v>
      </c>
      <c r="H48" s="449">
        <f>IF($E48=0,0,ROUND(COS_Unbun.!H57/$E48,$Y$11))</f>
        <v>0</v>
      </c>
      <c r="I48" s="449">
        <f>IF($E48=0,0,ROUND(COS_Unbun.!I57/$E48,$Y$11))</f>
        <v>0</v>
      </c>
      <c r="J48" s="449">
        <f>IF($E48=0,0,ROUND(COS_Unbun.!J57/$E48,$Y$11))</f>
        <v>0</v>
      </c>
      <c r="K48" s="449">
        <f>IF($E48=0,0,ROUND(COS_Unbun.!K57/$E48,$Y$11))</f>
        <v>0</v>
      </c>
      <c r="L48" s="449">
        <f>IF($E48=0,0,ROUND(COS_Unbun.!L57/$E48,$Y$11))</f>
        <v>0</v>
      </c>
      <c r="M48" s="449">
        <f>IF($E48=0,0,ROUND(COS_Unbun.!M57/$E48,$Y$11))</f>
        <v>0</v>
      </c>
      <c r="N48" s="449">
        <f>IF($E48=0,0,ROUND(COS_Unbun.!N57/$E48,$Y$11))</f>
        <v>0</v>
      </c>
      <c r="O48" s="449">
        <f>IF($E48=0,0,ROUND(COS_Unbun.!O57/$E48,$Y$11))</f>
        <v>0</v>
      </c>
      <c r="P48" s="449">
        <f>IF($E48=0,0,ROUND(COS_Unbun.!P57/$E48,$Y$11))</f>
        <v>0</v>
      </c>
      <c r="Q48" s="449">
        <f>IF($E48=0,0,ROUND(COS_Unbun.!Q57/$E48,$Y$11))</f>
        <v>0</v>
      </c>
      <c r="R48" s="449">
        <f>IF($E48=0,0,ROUND(COS_Unbun.!R57/$E48,$Y$11))</f>
        <v>0</v>
      </c>
      <c r="S48" s="449">
        <f>IF($E48=0,0,ROUND(COS_Unbun.!S57/$E48,$Y$11))</f>
        <v>0</v>
      </c>
      <c r="T48" s="449">
        <f>IF($E48=0,0,ROUND(COS_Unbun.!T57/$E48,$Y$11))</f>
        <v>0</v>
      </c>
      <c r="U48" s="449">
        <f>IF($E48=0,0,ROUND(COS_Unbun.!U57/$E48,$Y$11))</f>
        <v>0</v>
      </c>
      <c r="V48" s="449">
        <f>IF($E48=0,0,ROUND(COS_Unbun.!V57/$E48,$Y$11))</f>
        <v>0</v>
      </c>
      <c r="W48" s="449">
        <f>IF($E48=0,0,ROUND(COS_Unbun.!W57/$E48,$Y$11))</f>
        <v>0</v>
      </c>
      <c r="X48" s="705">
        <f>SUM(F48:W48)</f>
        <v>0</v>
      </c>
      <c r="Y48"/>
      <c r="Z48"/>
      <c r="AA48"/>
    </row>
    <row r="49" spans="1:27">
      <c r="A49" s="411"/>
      <c r="B49" s="325"/>
      <c r="C49" s="236" t="str">
        <f>IF(D49="","",MAX(C$14:C48)+1)</f>
        <v/>
      </c>
      <c r="D49" s="254"/>
      <c r="E49" s="343"/>
      <c r="F49" s="455"/>
      <c r="G49" s="455"/>
      <c r="H49" s="455"/>
      <c r="I49" s="455"/>
      <c r="J49" s="455"/>
      <c r="K49" s="455"/>
      <c r="L49" s="455"/>
      <c r="M49" s="455"/>
      <c r="N49" s="455"/>
      <c r="O49" s="455"/>
      <c r="P49" s="455"/>
      <c r="Q49" s="455"/>
      <c r="R49" s="455"/>
      <c r="S49" s="455"/>
      <c r="T49" s="455"/>
      <c r="U49" s="455"/>
      <c r="V49" s="455"/>
      <c r="W49" s="448"/>
      <c r="X49"/>
      <c r="Y49"/>
      <c r="Z49"/>
      <c r="AA49"/>
    </row>
    <row r="50" spans="1:27">
      <c r="A50" s="411"/>
      <c r="B50" s="325"/>
      <c r="C50" s="236">
        <f>IF(D50="","",MAX(C$14:C49)+1)</f>
        <v>23</v>
      </c>
      <c r="D50" s="254" t="s">
        <v>92</v>
      </c>
      <c r="E50" s="446">
        <f>SUM(E15,E18,E23,E28,E30,E32,E34,E36,E38,E40,E42,E44,E46,E48)</f>
        <v>6439426471.5334721</v>
      </c>
      <c r="F50" s="456">
        <f>ROUND(COS_Unbun.!F59/$E50,$Y$11)</f>
        <v>2.2560000000000002E-3</v>
      </c>
      <c r="G50" s="456">
        <f>ROUND(COS_Unbun.!G59/$E50,$Y$11)</f>
        <v>3.0804999999999999E-2</v>
      </c>
      <c r="H50" s="456">
        <f>ROUND(COS_Unbun.!H59/$E50,$Y$11)</f>
        <v>2.5539999999999998E-3</v>
      </c>
      <c r="I50" s="456">
        <f>ROUND(COS_Unbun.!I59/$E50,$Y$11)</f>
        <v>1.6249999999999999E-3</v>
      </c>
      <c r="J50" s="456">
        <f>ROUND(COS_Unbun.!J59/$E50,$Y$11)</f>
        <v>2.05E-4</v>
      </c>
      <c r="K50" s="456">
        <f>ROUND(COS_Unbun.!K59/$E50,$Y$11)</f>
        <v>0</v>
      </c>
      <c r="L50" s="456">
        <f>ROUND(COS_Unbun.!L59/$E50,$Y$11)</f>
        <v>0</v>
      </c>
      <c r="M50" s="456">
        <f>ROUND(COS_Unbun.!M59/$E50,$Y$11)</f>
        <v>8.7799999999999998E-4</v>
      </c>
      <c r="N50" s="456">
        <f>ROUND(COS_Unbun.!N59/$E50,$Y$11)</f>
        <v>3.68E-4</v>
      </c>
      <c r="O50" s="456">
        <f>ROUND(COS_Unbun.!O59/$E50,$Y$11)</f>
        <v>2.2469999999999999E-3</v>
      </c>
      <c r="P50" s="456">
        <f>ROUND(COS_Unbun.!P59/$E50,$Y$11)</f>
        <v>2.8299999999999999E-4</v>
      </c>
      <c r="Q50" s="456">
        <f>ROUND(COS_Unbun.!Q59/$E50,$Y$11)</f>
        <v>7.3499999999999998E-4</v>
      </c>
      <c r="R50" s="456">
        <f>ROUND(COS_Unbun.!R59/$E50,$Y$11)</f>
        <v>2.4000000000000001E-4</v>
      </c>
      <c r="S50" s="456">
        <f>ROUND(COS_Unbun.!S59/$E50,$Y$11)</f>
        <v>8.2200000000000003E-4</v>
      </c>
      <c r="T50" s="456">
        <f>ROUND(COS_Unbun.!T59/$E50,$Y$11)</f>
        <v>1.6659999999999999E-3</v>
      </c>
      <c r="U50" s="456">
        <f>ROUND(COS_Unbun.!U59/$E50,$Y$11)</f>
        <v>8.2000000000000001E-5</v>
      </c>
      <c r="V50" s="456">
        <f>ROUND(COS_Unbun.!V59/$E50,$Y$11)</f>
        <v>2.5999999999999998E-4</v>
      </c>
      <c r="W50" s="456">
        <f>ROUND(COS_Unbun.!W59/$E50,$Y$11)</f>
        <v>0</v>
      </c>
      <c r="X50" s="706">
        <f>SUM(F50:W50)</f>
        <v>4.5025999999999997E-2</v>
      </c>
      <c r="Y50"/>
      <c r="Z50"/>
      <c r="AA50"/>
    </row>
    <row r="51" spans="1:27">
      <c r="A51" s="411"/>
      <c r="B51" s="325"/>
      <c r="C51" s="236" t="str">
        <f>IF(D51="","",MAX(C$14:C50)+1)</f>
        <v/>
      </c>
      <c r="D51" s="64"/>
      <c r="E51" s="313"/>
      <c r="F51" s="449"/>
      <c r="G51" s="449"/>
      <c r="H51" s="449"/>
      <c r="I51" s="449"/>
      <c r="J51" s="449"/>
      <c r="K51" s="449"/>
      <c r="L51" s="449"/>
      <c r="M51" s="449"/>
      <c r="N51" s="449"/>
      <c r="O51" s="449"/>
      <c r="P51" s="449"/>
      <c r="Q51" s="449"/>
      <c r="R51" s="449"/>
      <c r="S51" s="449"/>
      <c r="T51" s="449"/>
      <c r="U51" s="449"/>
      <c r="V51" s="449"/>
      <c r="W51" s="450"/>
      <c r="X51"/>
      <c r="Y51"/>
      <c r="Z51"/>
      <c r="AA51"/>
    </row>
    <row r="52" spans="1:27">
      <c r="A52" s="411"/>
      <c r="B52" s="325"/>
      <c r="C52" s="236"/>
      <c r="D52" s="866" t="s">
        <v>1031</v>
      </c>
      <c r="E52" s="867">
        <f>TY_Units!F65</f>
        <v>6439426471.5334721</v>
      </c>
      <c r="F52" s="449"/>
      <c r="G52" s="449"/>
      <c r="H52" s="449"/>
      <c r="I52" s="449"/>
      <c r="J52" s="449"/>
      <c r="K52" s="449"/>
      <c r="L52" s="449"/>
      <c r="M52" s="449"/>
      <c r="N52" s="449"/>
      <c r="O52" s="449"/>
      <c r="P52" s="449"/>
      <c r="Q52" s="449"/>
      <c r="R52" s="449"/>
      <c r="S52" s="449"/>
      <c r="T52" s="449"/>
      <c r="U52" s="449"/>
      <c r="V52" s="449"/>
      <c r="W52" s="450"/>
      <c r="X52"/>
      <c r="Y52"/>
      <c r="Z52"/>
      <c r="AA52"/>
    </row>
    <row r="53" spans="1:27">
      <c r="A53" s="411"/>
      <c r="B53" s="325"/>
      <c r="C53" s="236"/>
      <c r="D53" s="868" t="s">
        <v>1033</v>
      </c>
      <c r="E53" s="869">
        <f>E52-E50</f>
        <v>0</v>
      </c>
      <c r="F53" s="449"/>
      <c r="G53" s="449"/>
      <c r="H53" s="449"/>
      <c r="I53" s="449"/>
      <c r="J53" s="449"/>
      <c r="K53" s="449"/>
      <c r="L53" s="449"/>
      <c r="M53" s="449"/>
      <c r="N53" s="449"/>
      <c r="O53" s="449"/>
      <c r="P53" s="449"/>
      <c r="Q53" s="449"/>
      <c r="R53" s="449"/>
      <c r="S53" s="449"/>
      <c r="T53" s="449"/>
      <c r="U53" s="449"/>
      <c r="V53" s="449"/>
      <c r="W53" s="450"/>
      <c r="X53"/>
      <c r="Y53"/>
      <c r="Z53"/>
      <c r="AA53"/>
    </row>
    <row r="54" spans="1:27">
      <c r="A54" s="411"/>
      <c r="B54" s="325"/>
      <c r="C54" s="236" t="str">
        <f>IF(D54="","",MAX(C$14:C51)+1)</f>
        <v/>
      </c>
      <c r="D54" s="206"/>
      <c r="E54" s="313"/>
      <c r="F54" s="449"/>
      <c r="G54" s="449"/>
      <c r="H54" s="449"/>
      <c r="I54" s="449"/>
      <c r="J54" s="449"/>
      <c r="K54" s="449"/>
      <c r="L54" s="449"/>
      <c r="M54" s="449"/>
      <c r="N54" s="449"/>
      <c r="O54" s="449"/>
      <c r="P54" s="449"/>
      <c r="Q54" s="449"/>
      <c r="R54" s="449"/>
      <c r="S54" s="449"/>
      <c r="T54" s="449"/>
      <c r="U54" s="449"/>
      <c r="V54" s="449"/>
      <c r="W54" s="450"/>
      <c r="X54"/>
      <c r="Y54"/>
      <c r="Z54"/>
      <c r="AA54"/>
    </row>
    <row r="55" spans="1:27">
      <c r="A55" s="411"/>
      <c r="B55" s="225"/>
      <c r="C55" s="236">
        <f>IF(D55="","",MAX(C$14:C54)+1)</f>
        <v>24</v>
      </c>
      <c r="D55" s="468" t="s">
        <v>720</v>
      </c>
      <c r="E55" s="486" t="s">
        <v>607</v>
      </c>
      <c r="F55" s="400"/>
      <c r="G55" s="400"/>
      <c r="H55" s="400"/>
      <c r="I55" s="400"/>
      <c r="J55" s="400"/>
      <c r="K55" s="400"/>
      <c r="L55" s="400"/>
      <c r="M55" s="400"/>
      <c r="N55" s="400"/>
      <c r="O55" s="400"/>
      <c r="P55" s="400"/>
      <c r="Q55" s="400"/>
      <c r="R55" s="400"/>
      <c r="S55" s="400"/>
      <c r="T55" s="400"/>
      <c r="U55" s="400"/>
      <c r="V55" s="400"/>
      <c r="W55" s="401"/>
      <c r="X55"/>
      <c r="Y55"/>
      <c r="Z55"/>
      <c r="AA55"/>
    </row>
    <row r="56" spans="1:27">
      <c r="A56" s="411"/>
      <c r="B56" s="325"/>
      <c r="C56" s="236" t="str">
        <f>IF(D56="","",MAX(C$14:C55)+1)</f>
        <v/>
      </c>
      <c r="F56" s="1"/>
      <c r="G56" s="1"/>
      <c r="H56" s="1"/>
      <c r="I56" s="1"/>
      <c r="J56" s="1"/>
      <c r="K56" s="1"/>
      <c r="L56" s="1"/>
      <c r="M56" s="1"/>
      <c r="N56" s="1"/>
      <c r="O56" s="1"/>
      <c r="P56" s="1"/>
      <c r="Q56" s="1"/>
      <c r="R56" s="1"/>
      <c r="S56" s="1"/>
      <c r="T56" s="1"/>
      <c r="U56" s="1"/>
      <c r="V56" s="1"/>
      <c r="W56" s="325"/>
      <c r="X56"/>
      <c r="Y56"/>
      <c r="Z56"/>
      <c r="AA56"/>
    </row>
    <row r="57" spans="1:27">
      <c r="A57" s="411"/>
      <c r="B57" s="325"/>
      <c r="C57" s="236">
        <f>IF(D57="","",MAX(C$14:C56)+1)</f>
        <v>25</v>
      </c>
      <c r="D57" s="206" t="s">
        <v>13</v>
      </c>
      <c r="E57" s="445">
        <f>TY_Units!G12</f>
        <v>0</v>
      </c>
      <c r="F57" s="472"/>
      <c r="G57" s="472">
        <f>IF($E57=0,0,ROUND(COS_Unbun.!G14/$E57,$Y$11))</f>
        <v>0</v>
      </c>
      <c r="H57" s="472">
        <f>IF($E57=0,0,ROUND(COS_Unbun.!H14/$E57,$Y$11))</f>
        <v>0</v>
      </c>
      <c r="I57" s="472">
        <f>IF($E57=0,0,ROUND(COS_Unbun.!I14/$E57,$Y$11))</f>
        <v>0</v>
      </c>
      <c r="J57" s="472">
        <f>IF($E57=0,0,ROUND(COS_Unbun.!J14/$E57,$Y$11))</f>
        <v>0</v>
      </c>
      <c r="K57" s="472">
        <f>IF($E57=0,0,ROUND(COS_Unbun.!K14/$E57,$Y$11))</f>
        <v>0</v>
      </c>
      <c r="L57" s="472">
        <f>IF($E57=0,0,ROUND(COS_Unbun.!L14/$E57,$Y$11))</f>
        <v>0</v>
      </c>
      <c r="M57" s="472">
        <f>IF($E57=0,0,ROUND(COS_Unbun.!M14/$E57,$Y$11))</f>
        <v>0</v>
      </c>
      <c r="N57" s="472">
        <f>IF($E57=0,0,ROUND(COS_Unbun.!N14/$E57,$Y$11))</f>
        <v>0</v>
      </c>
      <c r="O57" s="472">
        <f>IF($E57=0,0,ROUND(COS_Unbun.!O14/$E57,$Y$11))</f>
        <v>0</v>
      </c>
      <c r="P57" s="472"/>
      <c r="Q57" s="472"/>
      <c r="R57" s="472"/>
      <c r="S57" s="472"/>
      <c r="T57" s="472"/>
      <c r="U57" s="472"/>
      <c r="V57" s="472"/>
      <c r="W57" s="473"/>
      <c r="X57" s="474">
        <f>SUM(F57:W57)</f>
        <v>0</v>
      </c>
      <c r="Z57"/>
      <c r="AA57"/>
    </row>
    <row r="58" spans="1:27">
      <c r="A58" s="411"/>
      <c r="B58" s="325"/>
      <c r="C58" s="236" t="str">
        <f>IF(D58="","",MAX(C$14:C57)+1)</f>
        <v/>
      </c>
      <c r="D58" s="272"/>
      <c r="E58" s="445"/>
      <c r="F58" s="472"/>
      <c r="G58" s="472"/>
      <c r="H58" s="472"/>
      <c r="I58" s="472"/>
      <c r="J58" s="472"/>
      <c r="K58" s="472"/>
      <c r="L58" s="472"/>
      <c r="M58" s="472"/>
      <c r="N58" s="472"/>
      <c r="O58" s="472"/>
      <c r="P58" s="472"/>
      <c r="Q58" s="472"/>
      <c r="R58" s="472"/>
      <c r="S58" s="472"/>
      <c r="T58" s="472"/>
      <c r="U58" s="472"/>
      <c r="V58" s="472"/>
      <c r="W58" s="473"/>
      <c r="Z58"/>
      <c r="AA58"/>
    </row>
    <row r="59" spans="1:27">
      <c r="A59" s="411"/>
      <c r="B59" s="325"/>
      <c r="C59" s="236">
        <f>IF(D59="","",MAX(C$14:C58)+1)</f>
        <v>26</v>
      </c>
      <c r="D59" s="206" t="s">
        <v>14</v>
      </c>
      <c r="E59" s="445">
        <f>TY_Units!G14</f>
        <v>0</v>
      </c>
      <c r="F59" s="472"/>
      <c r="G59" s="472">
        <f>IF($E59=0,0,ROUND(COS_Unbun.!G17/$E59,$Y$11))</f>
        <v>0</v>
      </c>
      <c r="H59" s="472">
        <f>IF($E59=0,0,ROUND(COS_Unbun.!H17/$E59,$Y$11))</f>
        <v>0</v>
      </c>
      <c r="I59" s="472">
        <f>IF($E59=0,0,ROUND(COS_Unbun.!I17/$E59,$Y$11))</f>
        <v>0</v>
      </c>
      <c r="J59" s="472">
        <f>IF($E59=0,0,ROUND(COS_Unbun.!J17/$E59,$Y$11))</f>
        <v>0</v>
      </c>
      <c r="K59" s="472">
        <f>IF($E59=0,0,ROUND(COS_Unbun.!K17/$E59,$Y$11))</f>
        <v>0</v>
      </c>
      <c r="L59" s="472">
        <f>IF($E59=0,0,ROUND(COS_Unbun.!L17/$E59,$Y$11))</f>
        <v>0</v>
      </c>
      <c r="M59" s="472">
        <f>IF($E59=0,0,ROUND(COS_Unbun.!M17/$E59,$Y$11))</f>
        <v>0</v>
      </c>
      <c r="N59" s="472">
        <f>IF($E59=0,0,ROUND(COS_Unbun.!N17/$E59,$Y$11))</f>
        <v>0</v>
      </c>
      <c r="O59" s="472">
        <f>IF($E59=0,0,ROUND(COS_Unbun.!O17/$E59,$Y$11))</f>
        <v>0</v>
      </c>
      <c r="P59" s="472"/>
      <c r="Q59" s="472"/>
      <c r="R59" s="472"/>
      <c r="S59" s="472"/>
      <c r="T59" s="472"/>
      <c r="U59" s="472"/>
      <c r="V59" s="472"/>
      <c r="W59" s="473"/>
      <c r="X59" s="474">
        <f>SUM(F59:W59)</f>
        <v>0</v>
      </c>
      <c r="Z59"/>
      <c r="AA59"/>
    </row>
    <row r="60" spans="1:27">
      <c r="A60" s="411"/>
      <c r="B60" s="325"/>
      <c r="C60" s="236" t="str">
        <f>IF(D60="","",MAX(C$14:C59)+1)</f>
        <v/>
      </c>
      <c r="D60" s="11"/>
      <c r="E60" s="313"/>
      <c r="F60" s="475"/>
      <c r="G60" s="475"/>
      <c r="H60" s="475"/>
      <c r="I60" s="475"/>
      <c r="J60" s="475"/>
      <c r="K60" s="475"/>
      <c r="L60" s="475"/>
      <c r="M60" s="475"/>
      <c r="N60" s="475"/>
      <c r="O60" s="475"/>
      <c r="P60" s="475"/>
      <c r="Q60" s="475"/>
      <c r="R60" s="475"/>
      <c r="S60" s="475"/>
      <c r="T60" s="475"/>
      <c r="U60" s="475"/>
      <c r="V60" s="475"/>
      <c r="W60" s="476"/>
      <c r="Z60"/>
      <c r="AA60"/>
    </row>
    <row r="61" spans="1:27">
      <c r="A61" s="411"/>
      <c r="B61" s="325"/>
      <c r="C61" s="236">
        <f>IF(D61="","",MAX(C$14:C60)+1)</f>
        <v>27</v>
      </c>
      <c r="D61" s="14" t="s">
        <v>15</v>
      </c>
      <c r="Z61"/>
      <c r="AA61"/>
    </row>
    <row r="62" spans="1:27">
      <c r="A62" s="411"/>
      <c r="B62" s="325"/>
      <c r="C62" s="236">
        <f>IF(D62="","",MAX(C$14:C61)+1)</f>
        <v>28</v>
      </c>
      <c r="D62" s="15" t="s">
        <v>7</v>
      </c>
      <c r="E62" s="445">
        <f>TY_Units!H16</f>
        <v>2045.0842764825516</v>
      </c>
      <c r="F62" s="472"/>
      <c r="G62" s="472">
        <f>IF($E62=0,0,ROUND(COS_Unbun.!G20/$E62,$Y$11))</f>
        <v>58.197602000000003</v>
      </c>
      <c r="H62" s="472">
        <f>IF($E62=0,0,ROUND(COS_Unbun.!H20/$E62,$Y$11))</f>
        <v>4.8242510000000003</v>
      </c>
      <c r="I62" s="472">
        <f>IF($E62=0,0,ROUND(COS_Unbun.!I20/$E62,$Y$11))</f>
        <v>4.0927410000000002</v>
      </c>
      <c r="J62" s="472">
        <f>IF($E62=0,0,ROUND(COS_Unbun.!J20/$E62,$Y$11))</f>
        <v>0</v>
      </c>
      <c r="K62" s="472">
        <f>IF($E62=0,0,ROUND(COS_Unbun.!K20/$E62,$Y$11))</f>
        <v>0</v>
      </c>
      <c r="L62" s="472">
        <f>IF($E62=0,0,ROUND(COS_Unbun.!L20/$E62,$Y$11))</f>
        <v>0</v>
      </c>
      <c r="M62" s="472">
        <f>IF($E62=0,0,ROUND(COS_Unbun.!M20/$E62,$Y$11))</f>
        <v>2.487428</v>
      </c>
      <c r="N62" s="472">
        <f>IF($E62=0,0,ROUND(COS_Unbun.!N20/$E62,$Y$11))</f>
        <v>0.115888</v>
      </c>
      <c r="O62" s="472">
        <f>IF($E62=0,0,ROUND(COS_Unbun.!O20/$E62,$Y$11))</f>
        <v>17.691690999999999</v>
      </c>
      <c r="P62" s="472"/>
      <c r="Q62" s="472"/>
      <c r="R62" s="472"/>
      <c r="S62" s="472"/>
      <c r="T62" s="472"/>
      <c r="U62" s="472"/>
      <c r="V62" s="472"/>
      <c r="W62" s="473"/>
      <c r="X62" s="474">
        <f>SUM(F62:W62)</f>
        <v>87.409601000000009</v>
      </c>
      <c r="Z62"/>
      <c r="AA62"/>
    </row>
    <row r="63" spans="1:27">
      <c r="A63" s="411"/>
      <c r="B63" s="325"/>
      <c r="C63" s="236">
        <f>IF(D63="","",MAX(C$14:C62)+1)</f>
        <v>29</v>
      </c>
      <c r="D63" s="15" t="s">
        <v>8</v>
      </c>
      <c r="E63" s="805">
        <f>TY_Units!H18</f>
        <v>406971.7710200299</v>
      </c>
      <c r="F63" s="806"/>
      <c r="G63" s="806">
        <f>IF($E63=0,0,ROUND(COS_Unbun.!G21/$E63,$Y$11))</f>
        <v>59.416372000000003</v>
      </c>
      <c r="H63" s="806">
        <f>IF($E63=0,0,ROUND(COS_Unbun.!H21/$E63,$Y$11))</f>
        <v>4.6545459999999999</v>
      </c>
      <c r="I63" s="806">
        <f>IF($E63=0,0,ROUND(COS_Unbun.!I21/$E63,$Y$11))</f>
        <v>4.028302</v>
      </c>
      <c r="J63" s="806">
        <f>IF($E63=0,0,ROUND(COS_Unbun.!J21/$E63,$Y$11))</f>
        <v>0</v>
      </c>
      <c r="K63" s="806">
        <f>IF($E63=0,0,ROUND(COS_Unbun.!K21/$E63,$Y$11))</f>
        <v>0</v>
      </c>
      <c r="L63" s="806">
        <f>IF($E63=0,0,ROUND(COS_Unbun.!L21/$E63,$Y$11))</f>
        <v>0</v>
      </c>
      <c r="M63" s="806">
        <f>IF($E63=0,0,ROUND(COS_Unbun.!M21/$E63,$Y$11))</f>
        <v>2.4206370000000001</v>
      </c>
      <c r="N63" s="806">
        <f>IF($E63=0,0,ROUND(COS_Unbun.!N21/$E63,$Y$11))</f>
        <v>7.5611999999999999E-2</v>
      </c>
      <c r="O63" s="806">
        <f>IF($E63=0,0,ROUND(COS_Unbun.!O21/$E63,$Y$11))</f>
        <v>17.869664</v>
      </c>
      <c r="P63" s="472"/>
      <c r="Q63" s="472"/>
      <c r="R63" s="472"/>
      <c r="S63" s="472"/>
      <c r="T63" s="472"/>
      <c r="U63" s="472"/>
      <c r="V63" s="472"/>
      <c r="W63" s="473"/>
      <c r="X63" s="807">
        <f>SUM(F63:W63)</f>
        <v>88.465133000000009</v>
      </c>
      <c r="Z63"/>
      <c r="AA63"/>
    </row>
    <row r="64" spans="1:27">
      <c r="A64" s="411"/>
      <c r="B64" s="325"/>
      <c r="C64" s="236">
        <f>IF(D64="","",MAX(C$14:C63)+1)</f>
        <v>30</v>
      </c>
      <c r="D64" s="39" t="s">
        <v>32</v>
      </c>
      <c r="E64" s="445">
        <f>SUM(E62:E63)</f>
        <v>409016.85529651248</v>
      </c>
      <c r="F64" s="472"/>
      <c r="G64" s="472">
        <f>IF($E64=0,0,ROUND(COS_Unbun.!G22/$E64,$Y$11))</f>
        <v>59.410277999999998</v>
      </c>
      <c r="H64" s="472">
        <f>IF($E64=0,0,ROUND(COS_Unbun.!H22/$E64,$Y$11))</f>
        <v>4.6553950000000004</v>
      </c>
      <c r="I64" s="472">
        <f>IF($E64=0,0,ROUND(COS_Unbun.!I22/$E64,$Y$11))</f>
        <v>4.0286239999999998</v>
      </c>
      <c r="J64" s="472">
        <f>IF($E64=0,0,ROUND(COS_Unbun.!J22/$E64,$Y$11))</f>
        <v>0</v>
      </c>
      <c r="K64" s="472">
        <f>IF($E64=0,0,ROUND(COS_Unbun.!K22/$E64,$Y$11))</f>
        <v>0</v>
      </c>
      <c r="L64" s="472">
        <f>IF($E64=0,0,ROUND(COS_Unbun.!L22/$E64,$Y$11))</f>
        <v>0</v>
      </c>
      <c r="M64" s="472">
        <f>IF($E64=0,0,ROUND(COS_Unbun.!M22/$E64,$Y$11))</f>
        <v>2.4209710000000002</v>
      </c>
      <c r="N64" s="472">
        <f>IF($E64=0,0,ROUND(COS_Unbun.!N22/$E64,$Y$11))</f>
        <v>7.5811000000000003E-2</v>
      </c>
      <c r="O64" s="472">
        <f>IF($E64=0,0,ROUND(COS_Unbun.!O22/$E64,$Y$11))</f>
        <v>17.868774999999999</v>
      </c>
      <c r="P64" s="472"/>
      <c r="Q64" s="472"/>
      <c r="R64" s="472"/>
      <c r="S64" s="472"/>
      <c r="T64" s="472"/>
      <c r="U64" s="472"/>
      <c r="V64" s="472"/>
      <c r="W64" s="473"/>
      <c r="X64" s="474">
        <f>SUM(F64:W64)</f>
        <v>88.459853999999993</v>
      </c>
      <c r="Z64"/>
      <c r="AA64"/>
    </row>
    <row r="65" spans="1:27">
      <c r="A65" s="411"/>
      <c r="B65" s="325"/>
      <c r="C65" s="236" t="str">
        <f>IF(D65="","",MAX(C$14:C64)+1)</f>
        <v/>
      </c>
      <c r="D65" s="247"/>
      <c r="E65" s="313"/>
      <c r="F65" s="475"/>
      <c r="G65" s="475"/>
      <c r="H65" s="475"/>
      <c r="I65" s="475"/>
      <c r="J65" s="475"/>
      <c r="K65" s="475"/>
      <c r="L65" s="475"/>
      <c r="M65" s="475"/>
      <c r="N65" s="475"/>
      <c r="O65" s="475"/>
      <c r="P65" s="475"/>
      <c r="Q65" s="475"/>
      <c r="R65" s="475"/>
      <c r="S65" s="475"/>
      <c r="T65" s="475"/>
      <c r="U65" s="475"/>
      <c r="V65" s="475"/>
      <c r="W65" s="476"/>
      <c r="Z65"/>
      <c r="AA65"/>
    </row>
    <row r="66" spans="1:27">
      <c r="A66" s="411"/>
      <c r="B66" s="325"/>
      <c r="C66" s="236">
        <f>IF(D66="","",MAX(C$14:C65)+1)</f>
        <v>31</v>
      </c>
      <c r="D66" s="14" t="s">
        <v>21</v>
      </c>
      <c r="Z66"/>
      <c r="AA66"/>
    </row>
    <row r="67" spans="1:27">
      <c r="A67" s="411"/>
      <c r="B67" s="325"/>
      <c r="C67" s="236">
        <f>IF(D67="","",MAX(C$14:C66)+1)</f>
        <v>32</v>
      </c>
      <c r="D67" s="15" t="s">
        <v>7</v>
      </c>
      <c r="E67" s="445">
        <f>TY_Units!G20</f>
        <v>117591</v>
      </c>
      <c r="F67" s="472"/>
      <c r="G67" s="472">
        <f>IF($E67=0,0,ROUND(COS_Unbun.!G25/$E67,$Y$11))</f>
        <v>39.642446999999997</v>
      </c>
      <c r="H67" s="472">
        <f>IF($E67=0,0,ROUND(COS_Unbun.!H25/$E67,$Y$11))</f>
        <v>4.8802370000000002</v>
      </c>
      <c r="I67" s="472">
        <f>IF($E67=0,0,ROUND(COS_Unbun.!I25/$E67,$Y$11))</f>
        <v>2.6868889999999999</v>
      </c>
      <c r="J67" s="472">
        <f>IF($E67=0,0,ROUND(COS_Unbun.!J25/$E67,$Y$11))</f>
        <v>0</v>
      </c>
      <c r="K67" s="472">
        <f>IF($E67=0,0,ROUND(COS_Unbun.!K25/$E67,$Y$11))</f>
        <v>0</v>
      </c>
      <c r="L67" s="472">
        <f>IF($E67=0,0,ROUND(COS_Unbun.!L25/$E67,$Y$11))</f>
        <v>0</v>
      </c>
      <c r="M67" s="472">
        <f>IF($E67=0,0,ROUND(COS_Unbun.!M25/$E67,$Y$11))</f>
        <v>1.614962</v>
      </c>
      <c r="N67" s="472">
        <f>IF($E67=0,0,ROUND(COS_Unbun.!N25/$E67,$Y$11))</f>
        <v>0.70453500000000002</v>
      </c>
      <c r="O67" s="472">
        <f>IF($E67=0,0,ROUND(COS_Unbun.!O25/$E67,$Y$11))</f>
        <v>3.766105</v>
      </c>
      <c r="P67" s="472"/>
      <c r="Q67" s="472"/>
      <c r="R67" s="472"/>
      <c r="S67" s="472"/>
      <c r="T67" s="472"/>
      <c r="U67" s="472"/>
      <c r="V67" s="472"/>
      <c r="W67" s="473"/>
      <c r="X67" s="474">
        <f>SUM(F67:W67)</f>
        <v>53.295175</v>
      </c>
      <c r="Z67"/>
      <c r="AA67"/>
    </row>
    <row r="68" spans="1:27">
      <c r="A68" s="411"/>
      <c r="B68" s="325"/>
      <c r="C68" s="236">
        <f>IF(D68="","",MAX(C$14:C67)+1)</f>
        <v>33</v>
      </c>
      <c r="D68" s="15" t="s">
        <v>8</v>
      </c>
      <c r="E68" s="805">
        <f>TY_Units!G22</f>
        <v>1343971</v>
      </c>
      <c r="F68" s="806"/>
      <c r="G68" s="806">
        <f>IF($E68=0,0,ROUND(COS_Unbun.!G26/$E68,$Y$11))</f>
        <v>12.678561999999999</v>
      </c>
      <c r="H68" s="806">
        <f>IF($E68=0,0,ROUND(COS_Unbun.!H26/$E68,$Y$11))</f>
        <v>1.5636159999999999</v>
      </c>
      <c r="I68" s="806">
        <f>IF($E68=0,0,ROUND(COS_Unbun.!I26/$E68,$Y$11))</f>
        <v>0.859402</v>
      </c>
      <c r="J68" s="806">
        <f>IF($E68=0,0,ROUND(COS_Unbun.!J26/$E68,$Y$11))</f>
        <v>0</v>
      </c>
      <c r="K68" s="806">
        <f>IF($E68=0,0,ROUND(COS_Unbun.!K26/$E68,$Y$11))</f>
        <v>0</v>
      </c>
      <c r="L68" s="806">
        <f>IF($E68=0,0,ROUND(COS_Unbun.!L26/$E68,$Y$11))</f>
        <v>0</v>
      </c>
      <c r="M68" s="806">
        <f>IF($E68=0,0,ROUND(COS_Unbun.!M26/$E68,$Y$11))</f>
        <v>0.51642299999999997</v>
      </c>
      <c r="N68" s="806">
        <f>IF($E68=0,0,ROUND(COS_Unbun.!N26/$E68,$Y$11))</f>
        <v>0.22579099999999999</v>
      </c>
      <c r="O68" s="806">
        <f>IF($E68=0,0,ROUND(COS_Unbun.!O26/$E68,$Y$11))</f>
        <v>1.2039169999999999</v>
      </c>
      <c r="P68" s="472"/>
      <c r="Q68" s="472"/>
      <c r="R68" s="472"/>
      <c r="S68" s="472"/>
      <c r="T68" s="472"/>
      <c r="U68" s="472"/>
      <c r="V68" s="472"/>
      <c r="W68" s="473"/>
      <c r="X68" s="807">
        <f>SUM(F68:W68)</f>
        <v>17.047710999999996</v>
      </c>
      <c r="Z68"/>
      <c r="AA68"/>
    </row>
    <row r="69" spans="1:27">
      <c r="A69" s="411"/>
      <c r="B69" s="325"/>
      <c r="C69" s="236">
        <f>IF(D69="","",MAX(C$14:C68)+1)</f>
        <v>34</v>
      </c>
      <c r="D69" s="39" t="s">
        <v>33</v>
      </c>
      <c r="E69" s="445">
        <f>SUM(E67:E68)</f>
        <v>1461562</v>
      </c>
      <c r="F69" s="472"/>
      <c r="G69" s="472">
        <f>IF($E69=0,0,ROUND(COS_Unbun.!G27/$E69,$Y$11))</f>
        <v>14.820816000000001</v>
      </c>
      <c r="H69" s="472">
        <f>IF($E69=0,0,ROUND(COS_Unbun.!H27/$E69,$Y$11))</f>
        <v>1.830457</v>
      </c>
      <c r="I69" s="472">
        <f>IF($E69=0,0,ROUND(COS_Unbun.!I27/$E69,$Y$11))</f>
        <v>1.005719</v>
      </c>
      <c r="J69" s="472">
        <f>IF($E69=0,0,ROUND(COS_Unbun.!J27/$E69,$Y$11))</f>
        <v>0</v>
      </c>
      <c r="K69" s="472">
        <f>IF($E69=0,0,ROUND(COS_Unbun.!K27/$E69,$Y$11))</f>
        <v>0</v>
      </c>
      <c r="L69" s="472">
        <f>IF($E69=0,0,ROUND(COS_Unbun.!L27/$E69,$Y$11))</f>
        <v>0</v>
      </c>
      <c r="M69" s="472">
        <f>IF($E69=0,0,ROUND(COS_Unbun.!M27/$E69,$Y$11))</f>
        <v>0.60480599999999995</v>
      </c>
      <c r="N69" s="472">
        <f>IF($E69=0,0,ROUND(COS_Unbun.!N27/$E69,$Y$11))</f>
        <v>0.26430799999999999</v>
      </c>
      <c r="O69" s="472">
        <f>IF($E69=0,0,ROUND(COS_Unbun.!O27/$E69,$Y$11))</f>
        <v>1.4090689999999999</v>
      </c>
      <c r="P69" s="472"/>
      <c r="Q69" s="472"/>
      <c r="R69" s="472"/>
      <c r="S69" s="472"/>
      <c r="T69" s="472"/>
      <c r="U69" s="472"/>
      <c r="V69" s="472"/>
      <c r="W69" s="473"/>
      <c r="X69" s="474">
        <f>SUM(F69:W69)</f>
        <v>19.935174999999997</v>
      </c>
      <c r="Z69"/>
      <c r="AA69"/>
    </row>
    <row r="70" spans="1:27">
      <c r="A70" s="411"/>
      <c r="B70" s="325"/>
      <c r="C70" s="236" t="str">
        <f>IF(D70="","",MAX(C$14:C69)+1)</f>
        <v/>
      </c>
      <c r="D70" s="247"/>
      <c r="E70" s="313"/>
      <c r="F70" s="475"/>
      <c r="G70" s="475"/>
      <c r="H70" s="475"/>
      <c r="I70" s="475"/>
      <c r="J70" s="475"/>
      <c r="K70" s="475"/>
      <c r="L70" s="475"/>
      <c r="M70" s="475"/>
      <c r="N70" s="475"/>
      <c r="O70" s="475"/>
      <c r="P70" s="475"/>
      <c r="Q70" s="475"/>
      <c r="R70" s="475"/>
      <c r="S70" s="475"/>
      <c r="T70" s="475"/>
      <c r="U70" s="475"/>
      <c r="V70" s="475"/>
      <c r="W70" s="476"/>
      <c r="Z70"/>
      <c r="AA70"/>
    </row>
    <row r="71" spans="1:27">
      <c r="A71" s="411"/>
      <c r="B71" s="325"/>
      <c r="C71" s="236">
        <f>IF(D71="","",MAX(C$14:C70)+1)</f>
        <v>35</v>
      </c>
      <c r="D71" s="14" t="s">
        <v>22</v>
      </c>
      <c r="E71" s="445">
        <f>TY_Units!G25</f>
        <v>747039.01136328001</v>
      </c>
      <c r="F71" s="472"/>
      <c r="G71" s="472">
        <f>IF($E71=0,0,ROUND(COS_Unbun.!G30/$E71,$Y$11))</f>
        <v>11.975674</v>
      </c>
      <c r="H71" s="472">
        <f>IF($E71=0,0,ROUND(COS_Unbun.!H30/$E71,$Y$11))</f>
        <v>1.131381</v>
      </c>
      <c r="I71" s="472">
        <f>IF($E71=0,0,ROUND(COS_Unbun.!I30/$E71,$Y$11))</f>
        <v>0.59520099999999998</v>
      </c>
      <c r="J71" s="472">
        <f>IF($E71=0,0,ROUND(COS_Unbun.!J30/$E71,$Y$11))</f>
        <v>0</v>
      </c>
      <c r="K71" s="472">
        <f>IF($E71=0,0,ROUND(COS_Unbun.!K30/$E71,$Y$11))</f>
        <v>0</v>
      </c>
      <c r="L71" s="472">
        <f>IF($E71=0,0,ROUND(COS_Unbun.!L30/$E71,$Y$11))</f>
        <v>0</v>
      </c>
      <c r="M71" s="472">
        <f>IF($E71=0,0,ROUND(COS_Unbun.!M30/$E71,$Y$11))</f>
        <v>0.33365099999999998</v>
      </c>
      <c r="N71" s="472">
        <f>IF($E71=0,0,ROUND(COS_Unbun.!N30/$E71,$Y$11))</f>
        <v>0.20849200000000001</v>
      </c>
      <c r="O71" s="472">
        <f>IF($E71=0,0,ROUND(COS_Unbun.!O30/$E71,$Y$11))</f>
        <v>0</v>
      </c>
      <c r="P71" s="472"/>
      <c r="Q71" s="472"/>
      <c r="R71" s="472"/>
      <c r="S71" s="472"/>
      <c r="T71" s="472"/>
      <c r="U71" s="472"/>
      <c r="V71" s="472"/>
      <c r="W71" s="473"/>
      <c r="X71" s="474">
        <f>SUM(F71:W71)</f>
        <v>14.244398999999998</v>
      </c>
      <c r="Z71"/>
      <c r="AA71"/>
    </row>
    <row r="72" spans="1:27">
      <c r="A72" s="411"/>
      <c r="B72" s="325"/>
      <c r="C72" s="236" t="str">
        <f>IF(D72="","",MAX(C$14:C71)+1)</f>
        <v/>
      </c>
      <c r="D72" s="206"/>
      <c r="E72" s="313"/>
      <c r="F72" s="475"/>
      <c r="G72" s="475"/>
      <c r="H72" s="475"/>
      <c r="I72" s="475"/>
      <c r="J72" s="475"/>
      <c r="K72" s="475"/>
      <c r="L72" s="475"/>
      <c r="M72" s="475"/>
      <c r="N72" s="475"/>
      <c r="O72" s="475"/>
      <c r="P72" s="475"/>
      <c r="Q72" s="475"/>
      <c r="R72" s="475"/>
      <c r="S72" s="475"/>
      <c r="T72" s="475"/>
      <c r="U72" s="475"/>
      <c r="V72" s="475"/>
      <c r="W72" s="476"/>
      <c r="Z72"/>
      <c r="AA72"/>
    </row>
    <row r="73" spans="1:27">
      <c r="A73" s="411"/>
      <c r="B73" s="325"/>
      <c r="C73" s="236">
        <f>IF(D73="","",MAX(C$14:C72)+1)</f>
        <v>36</v>
      </c>
      <c r="D73" s="14" t="s">
        <v>16</v>
      </c>
      <c r="E73" s="445">
        <f>TY_Units!G30</f>
        <v>1585555.6584887304</v>
      </c>
      <c r="F73" s="472"/>
      <c r="G73" s="472">
        <f>IF($E73=0,0,ROUND(COS_Unbun.!G33/$E73,$Y$11))</f>
        <v>16.977160999999999</v>
      </c>
      <c r="H73" s="472">
        <f>IF($E73=0,0,ROUND(COS_Unbun.!H33/$E73,$Y$11))</f>
        <v>0.91469500000000004</v>
      </c>
      <c r="I73" s="472">
        <f>IF($E73=0,0,ROUND(COS_Unbun.!I33/$E73,$Y$11))</f>
        <v>0.801041</v>
      </c>
      <c r="J73" s="472">
        <f>IF($E73=0,0,ROUND(COS_Unbun.!J33/$E73,$Y$11))</f>
        <v>0.17552300000000001</v>
      </c>
      <c r="K73" s="472">
        <f>IF($E73=0,0,ROUND(COS_Unbun.!K33/$E73,$Y$11))</f>
        <v>0</v>
      </c>
      <c r="L73" s="472">
        <f>IF($E73=0,0,ROUND(COS_Unbun.!L33/$E73,$Y$11))</f>
        <v>0</v>
      </c>
      <c r="M73" s="472">
        <f>IF($E73=0,0,ROUND(COS_Unbun.!M33/$E73,$Y$11))</f>
        <v>0.42098400000000002</v>
      </c>
      <c r="N73" s="472">
        <f>IF($E73=0,0,ROUND(COS_Unbun.!N33/$E73,$Y$11))</f>
        <v>0.263046</v>
      </c>
      <c r="O73" s="472">
        <f>IF($E73=0,0,ROUND(COS_Unbun.!O33/$E73,$Y$11))</f>
        <v>0</v>
      </c>
      <c r="P73" s="472"/>
      <c r="Q73" s="472"/>
      <c r="R73" s="472"/>
      <c r="S73" s="472"/>
      <c r="T73" s="472"/>
      <c r="U73" s="472"/>
      <c r="V73" s="472"/>
      <c r="W73" s="473"/>
      <c r="X73" s="474">
        <f>SUM(F73:W73)</f>
        <v>19.552449999999997</v>
      </c>
      <c r="Z73"/>
      <c r="AA73"/>
    </row>
    <row r="74" spans="1:27">
      <c r="A74" s="411"/>
      <c r="B74" s="325"/>
      <c r="C74" s="236" t="str">
        <f>IF(D74="","",MAX(C$14:C73)+1)</f>
        <v/>
      </c>
      <c r="D74" s="247"/>
      <c r="E74" s="445"/>
      <c r="F74" s="472"/>
      <c r="G74" s="472"/>
      <c r="H74" s="472"/>
      <c r="I74" s="472"/>
      <c r="J74" s="472"/>
      <c r="K74" s="472"/>
      <c r="L74" s="472"/>
      <c r="M74" s="472"/>
      <c r="N74" s="472"/>
      <c r="O74" s="472"/>
      <c r="P74" s="472"/>
      <c r="Q74" s="472"/>
      <c r="R74" s="472"/>
      <c r="S74" s="472"/>
      <c r="T74" s="472"/>
      <c r="U74" s="472"/>
      <c r="V74" s="472"/>
      <c r="W74" s="473"/>
      <c r="Z74"/>
      <c r="AA74"/>
    </row>
    <row r="75" spans="1:27">
      <c r="A75" s="411"/>
      <c r="B75" s="325"/>
      <c r="C75" s="236">
        <f>IF(D75="","",MAX(C$14:C74)+1)</f>
        <v>37</v>
      </c>
      <c r="D75" s="246" t="s">
        <v>17</v>
      </c>
      <c r="E75" s="445">
        <f>TY_Units!G35</f>
        <v>4199125.9893269576</v>
      </c>
      <c r="F75" s="472"/>
      <c r="G75" s="472">
        <f>IF($E75=0,0,ROUND(COS_Unbun.!G36/$E75,$Y$11))</f>
        <v>17.11497</v>
      </c>
      <c r="H75" s="472">
        <f>IF($E75=0,0,ROUND(COS_Unbun.!H36/$E75,$Y$11))</f>
        <v>0.97818899999999998</v>
      </c>
      <c r="I75" s="472">
        <f>IF($E75=0,0,ROUND(COS_Unbun.!I36/$E75,$Y$11))</f>
        <v>0.70085500000000001</v>
      </c>
      <c r="J75" s="472">
        <f>IF($E75=0,0,ROUND(COS_Unbun.!J36/$E75,$Y$11))</f>
        <v>0.22125600000000001</v>
      </c>
      <c r="K75" s="472">
        <f>IF($E75=0,0,ROUND(COS_Unbun.!K36/$E75,$Y$11))</f>
        <v>0</v>
      </c>
      <c r="L75" s="472">
        <f>IF($E75=0,0,ROUND(COS_Unbun.!L36/$E75,$Y$11))</f>
        <v>0</v>
      </c>
      <c r="M75" s="472">
        <f>IF($E75=0,0,ROUND(COS_Unbun.!M36/$E75,$Y$11))</f>
        <v>0.32761099999999999</v>
      </c>
      <c r="N75" s="472">
        <f>IF($E75=0,0,ROUND(COS_Unbun.!N36/$E75,$Y$11))</f>
        <v>0.204623</v>
      </c>
      <c r="O75" s="472">
        <f>IF($E75=0,0,ROUND(COS_Unbun.!O36/$E75,$Y$11))</f>
        <v>0</v>
      </c>
      <c r="P75" s="472"/>
      <c r="Q75" s="472"/>
      <c r="R75" s="472"/>
      <c r="S75" s="472"/>
      <c r="T75" s="472"/>
      <c r="U75" s="472"/>
      <c r="V75" s="472"/>
      <c r="W75" s="473"/>
      <c r="X75" s="474">
        <f>SUM(F75:W75)</f>
        <v>19.547504000000004</v>
      </c>
      <c r="Z75"/>
      <c r="AA75"/>
    </row>
    <row r="76" spans="1:27">
      <c r="A76" s="411"/>
      <c r="B76" s="325"/>
      <c r="C76" s="236" t="str">
        <f>IF(D76="","",MAX(C$14:C75)+1)</f>
        <v/>
      </c>
      <c r="D76" s="247"/>
      <c r="E76" s="313"/>
      <c r="F76" s="475"/>
      <c r="G76" s="475"/>
      <c r="H76" s="475"/>
      <c r="I76" s="475"/>
      <c r="J76" s="475"/>
      <c r="K76" s="475"/>
      <c r="L76" s="475"/>
      <c r="M76" s="475"/>
      <c r="N76" s="475"/>
      <c r="O76" s="475"/>
      <c r="P76" s="475"/>
      <c r="Q76" s="475"/>
      <c r="R76" s="475"/>
      <c r="S76" s="475"/>
      <c r="T76" s="475"/>
      <c r="U76" s="475"/>
      <c r="V76" s="475"/>
      <c r="W76" s="476"/>
      <c r="Z76"/>
      <c r="AA76"/>
    </row>
    <row r="77" spans="1:27">
      <c r="A77" s="411"/>
      <c r="B77" s="325"/>
      <c r="C77" s="236">
        <f>IF(D77="","",MAX(C$14:C76)+1)</f>
        <v>38</v>
      </c>
      <c r="D77" s="246" t="s">
        <v>18</v>
      </c>
      <c r="E77" s="445">
        <f>TY_Units!G43</f>
        <v>813612.58963019704</v>
      </c>
      <c r="F77" s="472"/>
      <c r="G77" s="472">
        <f>IF($E77=0,0,ROUND(COS_Unbun.!G39/$E77,$Y$11))</f>
        <v>14.774801999999999</v>
      </c>
      <c r="H77" s="472">
        <f>IF($E77=0,0,ROUND(COS_Unbun.!H39/$E77,$Y$11))</f>
        <v>1.3379179999999999</v>
      </c>
      <c r="I77" s="472">
        <f>IF($E77=0,0,ROUND(COS_Unbun.!I39/$E77,$Y$11))</f>
        <v>0.69823199999999996</v>
      </c>
      <c r="J77" s="472">
        <f>IF($E77=0,0,ROUND(COS_Unbun.!J39/$E77,$Y$11))</f>
        <v>0.119492</v>
      </c>
      <c r="K77" s="472">
        <f>IF($E77=0,0,ROUND(COS_Unbun.!K39/$E77,$Y$11))</f>
        <v>0</v>
      </c>
      <c r="L77" s="472">
        <f>IF($E77=0,0,ROUND(COS_Unbun.!L39/$E77,$Y$11))</f>
        <v>0</v>
      </c>
      <c r="M77" s="472">
        <f>IF($E77=0,0,ROUND(COS_Unbun.!M39/$E77,$Y$11))</f>
        <v>0.366786</v>
      </c>
      <c r="N77" s="472">
        <f>IF($E77=0,0,ROUND(COS_Unbun.!N39/$E77,$Y$11))</f>
        <v>0.22925300000000001</v>
      </c>
      <c r="O77" s="472">
        <f>IF($E77=0,0,ROUND(COS_Unbun.!O39/$E77,$Y$11))</f>
        <v>0</v>
      </c>
      <c r="P77" s="472"/>
      <c r="Q77" s="472"/>
      <c r="R77" s="472"/>
      <c r="S77" s="472"/>
      <c r="T77" s="472"/>
      <c r="U77" s="472"/>
      <c r="V77" s="472"/>
      <c r="W77" s="473"/>
      <c r="X77" s="474">
        <f>SUM(F77:W77)</f>
        <v>17.526483000000002</v>
      </c>
      <c r="Z77"/>
      <c r="AA77"/>
    </row>
    <row r="78" spans="1:27">
      <c r="A78" s="411"/>
      <c r="B78" s="325"/>
      <c r="C78" s="236" t="str">
        <f>IF(D78="","",MAX(C$14:C77)+1)</f>
        <v/>
      </c>
      <c r="D78" s="247"/>
      <c r="E78" s="343"/>
      <c r="F78" s="477"/>
      <c r="G78" s="477"/>
      <c r="H78" s="477"/>
      <c r="I78" s="477"/>
      <c r="J78" s="477"/>
      <c r="K78" s="477"/>
      <c r="L78" s="477"/>
      <c r="M78" s="477"/>
      <c r="N78" s="477"/>
      <c r="O78" s="477"/>
      <c r="P78" s="477"/>
      <c r="Q78" s="477"/>
      <c r="R78" s="477"/>
      <c r="S78" s="477"/>
      <c r="T78" s="477"/>
      <c r="U78" s="477"/>
      <c r="V78" s="477"/>
      <c r="W78" s="473"/>
      <c r="Z78"/>
      <c r="AA78"/>
    </row>
    <row r="79" spans="1:27">
      <c r="A79" s="411"/>
      <c r="B79" s="325"/>
      <c r="C79" s="236">
        <f>IF(D79="","",MAX(C$14:C78)+1)</f>
        <v>39</v>
      </c>
      <c r="D79" s="246" t="s">
        <v>19</v>
      </c>
      <c r="E79" s="445">
        <f>TY_Units!G48</f>
        <v>0</v>
      </c>
      <c r="F79" s="472"/>
      <c r="G79" s="472">
        <f>IF($E79=0,0,ROUND(COS_Unbun.!G42/$E79,$Y$11))</f>
        <v>0</v>
      </c>
      <c r="H79" s="472">
        <f>IF($E79=0,0,ROUND(COS_Unbun.!H42/$E79,$Y$11))</f>
        <v>0</v>
      </c>
      <c r="I79" s="472">
        <f>IF($E79=0,0,ROUND(COS_Unbun.!I42/$E79,$Y$11))</f>
        <v>0</v>
      </c>
      <c r="J79" s="472">
        <f>IF($E79=0,0,ROUND(COS_Unbun.!J42/$E79,$Y$11))</f>
        <v>0</v>
      </c>
      <c r="K79" s="472">
        <f>IF($E79=0,0,ROUND(COS_Unbun.!K42/$E79,$Y$11))</f>
        <v>0</v>
      </c>
      <c r="L79" s="472">
        <f>IF($E79=0,0,ROUND(COS_Unbun.!L42/$E79,$Y$11))</f>
        <v>0</v>
      </c>
      <c r="M79" s="472">
        <f>IF($E79=0,0,ROUND(COS_Unbun.!M42/$E79,$Y$11))</f>
        <v>0</v>
      </c>
      <c r="N79" s="472">
        <f>IF($E79=0,0,ROUND(COS_Unbun.!N42/$E79,$Y$11))</f>
        <v>0</v>
      </c>
      <c r="O79" s="472">
        <f>IF($E79=0,0,ROUND(COS_Unbun.!O42/$E79,$Y$11))</f>
        <v>0</v>
      </c>
      <c r="P79" s="472"/>
      <c r="Q79" s="472"/>
      <c r="R79" s="472"/>
      <c r="S79" s="472"/>
      <c r="T79" s="472"/>
      <c r="U79" s="472"/>
      <c r="V79" s="472"/>
      <c r="W79" s="473"/>
      <c r="X79" s="474">
        <f>SUM(F79:W79)</f>
        <v>0</v>
      </c>
      <c r="Z79"/>
      <c r="AA79"/>
    </row>
    <row r="80" spans="1:27">
      <c r="A80" s="411"/>
      <c r="B80" s="325"/>
      <c r="C80" s="236" t="str">
        <f>IF(D80="","",MAX(C$14:C79)+1)</f>
        <v/>
      </c>
      <c r="D80" s="247"/>
      <c r="E80" s="313"/>
      <c r="F80" s="475"/>
      <c r="G80" s="475"/>
      <c r="H80" s="475"/>
      <c r="I80" s="475"/>
      <c r="J80" s="475"/>
      <c r="K80" s="475"/>
      <c r="L80" s="475"/>
      <c r="M80" s="475"/>
      <c r="N80" s="475"/>
      <c r="O80" s="475"/>
      <c r="P80" s="475"/>
      <c r="Q80" s="475"/>
      <c r="R80" s="475"/>
      <c r="S80" s="475"/>
      <c r="T80" s="475"/>
      <c r="U80" s="475"/>
      <c r="V80" s="475"/>
      <c r="W80" s="476"/>
      <c r="Z80"/>
      <c r="AA80"/>
    </row>
    <row r="81" spans="1:27">
      <c r="A81" s="411"/>
      <c r="B81" s="325"/>
      <c r="C81" s="236">
        <f>IF(D81="","",MAX(C$14:C80)+1)</f>
        <v>40</v>
      </c>
      <c r="D81" s="246" t="s">
        <v>20</v>
      </c>
      <c r="E81" s="445">
        <f>TY_Units!G53</f>
        <v>0</v>
      </c>
      <c r="F81" s="472"/>
      <c r="G81" s="472">
        <f>IF($E81=0,0,ROUND(COS_Unbun.!G45/$E81,$Y$11))</f>
        <v>0</v>
      </c>
      <c r="H81" s="472">
        <f>IF($E81=0,0,ROUND(COS_Unbun.!H45/$E81,$Y$11))</f>
        <v>0</v>
      </c>
      <c r="I81" s="472">
        <f>IF($E81=0,0,ROUND(COS_Unbun.!I45/$E81,$Y$11))</f>
        <v>0</v>
      </c>
      <c r="J81" s="472">
        <f>IF($E81=0,0,ROUND(COS_Unbun.!J45/$E81,$Y$11))</f>
        <v>0</v>
      </c>
      <c r="K81" s="472">
        <f>IF($E81=0,0,ROUND(COS_Unbun.!K45/$E81,$Y$11))</f>
        <v>0</v>
      </c>
      <c r="L81" s="472">
        <f>IF($E81=0,0,ROUND(COS_Unbun.!L45/$E81,$Y$11))</f>
        <v>0</v>
      </c>
      <c r="M81" s="472">
        <f>IF($E81=0,0,ROUND(COS_Unbun.!M45/$E81,$Y$11))</f>
        <v>0</v>
      </c>
      <c r="N81" s="472">
        <f>IF($E81=0,0,ROUND(COS_Unbun.!N45/$E81,$Y$11))</f>
        <v>0</v>
      </c>
      <c r="O81" s="472">
        <f>IF($E81=0,0,ROUND(COS_Unbun.!O45/$E81,$Y$11))</f>
        <v>0</v>
      </c>
      <c r="P81" s="472"/>
      <c r="Q81" s="472"/>
      <c r="R81" s="472"/>
      <c r="S81" s="472"/>
      <c r="T81" s="472"/>
      <c r="U81" s="472"/>
      <c r="V81" s="472"/>
      <c r="W81" s="473"/>
      <c r="X81" s="474">
        <f>SUM(F81:W81)</f>
        <v>0</v>
      </c>
      <c r="Z81"/>
      <c r="AA81"/>
    </row>
    <row r="82" spans="1:27">
      <c r="A82" s="411"/>
      <c r="B82" s="325"/>
      <c r="C82" s="236" t="str">
        <f>IF(D82="","",MAX(C$14:C81)+1)</f>
        <v/>
      </c>
      <c r="D82" s="206"/>
      <c r="E82" s="343"/>
      <c r="F82" s="477"/>
      <c r="G82" s="477"/>
      <c r="H82" s="477"/>
      <c r="I82" s="477"/>
      <c r="J82" s="477"/>
      <c r="K82" s="477"/>
      <c r="L82" s="477"/>
      <c r="M82" s="477"/>
      <c r="N82" s="477"/>
      <c r="O82" s="477"/>
      <c r="P82" s="477"/>
      <c r="Q82" s="477"/>
      <c r="R82" s="477"/>
      <c r="S82" s="477"/>
      <c r="T82" s="477"/>
      <c r="U82" s="477"/>
      <c r="V82" s="477"/>
      <c r="W82" s="473"/>
      <c r="Z82"/>
      <c r="AA82"/>
    </row>
    <row r="83" spans="1:27">
      <c r="A83" s="411"/>
      <c r="B83" s="325"/>
      <c r="C83" s="236">
        <f>IF(D83="","",MAX(C$14:C82)+1)</f>
        <v>41</v>
      </c>
      <c r="D83" s="246" t="s">
        <v>4</v>
      </c>
      <c r="E83" s="445">
        <f>TY_Units!G57</f>
        <v>0</v>
      </c>
      <c r="F83" s="472"/>
      <c r="G83" s="472">
        <f>IF($E83=0,0,ROUND(COS_Unbun.!G48/$E83,$Y$11))</f>
        <v>0</v>
      </c>
      <c r="H83" s="472">
        <f>IF($E83=0,0,ROUND(COS_Unbun.!H48/$E83,$Y$11))</f>
        <v>0</v>
      </c>
      <c r="I83" s="472">
        <f>IF($E83=0,0,ROUND(COS_Unbun.!I48/$E83,$Y$11))</f>
        <v>0</v>
      </c>
      <c r="J83" s="472">
        <f>IF($E83=0,0,ROUND(COS_Unbun.!J48/$E83,$Y$11))</f>
        <v>0</v>
      </c>
      <c r="K83" s="472">
        <f>IF($E83=0,0,ROUND(COS_Unbun.!K48/$E83,$Y$11))</f>
        <v>0</v>
      </c>
      <c r="L83" s="472">
        <f>IF($E83=0,0,ROUND(COS_Unbun.!L48/$E83,$Y$11))</f>
        <v>0</v>
      </c>
      <c r="M83" s="472">
        <f>IF($E83=0,0,ROUND(COS_Unbun.!M48/$E83,$Y$11))</f>
        <v>0</v>
      </c>
      <c r="N83" s="472">
        <f>IF($E83=0,0,ROUND(COS_Unbun.!N48/$E83,$Y$11))</f>
        <v>0</v>
      </c>
      <c r="O83" s="472">
        <f>IF($E83=0,0,ROUND(COS_Unbun.!O48/$E83,$Y$11))</f>
        <v>0</v>
      </c>
      <c r="P83" s="472"/>
      <c r="Q83" s="472"/>
      <c r="R83" s="472"/>
      <c r="S83" s="472"/>
      <c r="T83" s="472"/>
      <c r="U83" s="472"/>
      <c r="V83" s="472"/>
      <c r="W83" s="473"/>
      <c r="X83" s="474">
        <f>SUM(F83:W83)</f>
        <v>0</v>
      </c>
      <c r="Z83"/>
      <c r="AA83"/>
    </row>
    <row r="84" spans="1:27">
      <c r="A84" s="411"/>
      <c r="B84" s="325"/>
      <c r="C84" s="236" t="str">
        <f>IF(D84="","",MAX(C$14:C83)+1)</f>
        <v/>
      </c>
      <c r="D84" s="247"/>
      <c r="E84" s="313"/>
      <c r="F84" s="475"/>
      <c r="G84" s="475"/>
      <c r="H84" s="475"/>
      <c r="I84" s="475"/>
      <c r="J84" s="475"/>
      <c r="K84" s="475"/>
      <c r="L84" s="475"/>
      <c r="M84" s="475"/>
      <c r="N84" s="475"/>
      <c r="O84" s="475"/>
      <c r="P84" s="475"/>
      <c r="Q84" s="475"/>
      <c r="R84" s="475"/>
      <c r="S84" s="475"/>
      <c r="T84" s="475"/>
      <c r="U84" s="475"/>
      <c r="V84" s="475"/>
      <c r="W84" s="476"/>
      <c r="Z84"/>
      <c r="AA84"/>
    </row>
    <row r="85" spans="1:27">
      <c r="A85" s="411"/>
      <c r="B85" s="325"/>
      <c r="C85" s="236">
        <f>IF(D85="","",MAX(C$14:C84)+1)</f>
        <v>42</v>
      </c>
      <c r="D85" s="246" t="s">
        <v>5</v>
      </c>
      <c r="E85" s="445">
        <f>TY_Units!G59</f>
        <v>0</v>
      </c>
      <c r="F85" s="472"/>
      <c r="G85" s="472">
        <f>IF($E85=0,0,ROUND(COS_Unbun.!G51/$E85,$Y$11))</f>
        <v>0</v>
      </c>
      <c r="H85" s="472">
        <f>IF($E85=0,0,ROUND(COS_Unbun.!H51/$E85,$Y$11))</f>
        <v>0</v>
      </c>
      <c r="I85" s="472">
        <f>IF($E85=0,0,ROUND(COS_Unbun.!I51/$E85,$Y$11))</f>
        <v>0</v>
      </c>
      <c r="J85" s="472">
        <f>IF($E85=0,0,ROUND(COS_Unbun.!J51/$E85,$Y$11))</f>
        <v>0</v>
      </c>
      <c r="K85" s="472">
        <f>IF($E85=0,0,ROUND(COS_Unbun.!K51/$E85,$Y$11))</f>
        <v>0</v>
      </c>
      <c r="L85" s="472">
        <f>IF($E85=0,0,ROUND(COS_Unbun.!L51/$E85,$Y$11))</f>
        <v>0</v>
      </c>
      <c r="M85" s="472">
        <f>IF($E85=0,0,ROUND(COS_Unbun.!M51/$E85,$Y$11))</f>
        <v>0</v>
      </c>
      <c r="N85" s="472">
        <f>IF($E85=0,0,ROUND(COS_Unbun.!N51/$E85,$Y$11))</f>
        <v>0</v>
      </c>
      <c r="O85" s="472">
        <f>IF($E85=0,0,ROUND(COS_Unbun.!O51/$E85,$Y$11))</f>
        <v>0</v>
      </c>
      <c r="P85" s="472"/>
      <c r="Q85" s="472"/>
      <c r="R85" s="472"/>
      <c r="S85" s="472"/>
      <c r="T85" s="472"/>
      <c r="U85" s="472"/>
      <c r="V85" s="472"/>
      <c r="W85" s="473"/>
      <c r="X85" s="474">
        <f>SUM(F85:W85)</f>
        <v>0</v>
      </c>
      <c r="Z85"/>
      <c r="AA85"/>
    </row>
    <row r="86" spans="1:27">
      <c r="A86" s="411"/>
      <c r="B86" s="325"/>
      <c r="C86" s="236" t="str">
        <f>IF(D86="","",MAX(C$14:C85)+1)</f>
        <v/>
      </c>
      <c r="D86" s="247"/>
      <c r="E86" s="313"/>
      <c r="F86" s="475"/>
      <c r="G86" s="475"/>
      <c r="H86" s="475"/>
      <c r="I86" s="475"/>
      <c r="J86" s="475"/>
      <c r="K86" s="475"/>
      <c r="L86" s="475"/>
      <c r="M86" s="475"/>
      <c r="N86" s="475"/>
      <c r="O86" s="475"/>
      <c r="P86" s="475"/>
      <c r="Q86" s="475"/>
      <c r="R86" s="475"/>
      <c r="S86" s="475"/>
      <c r="T86" s="475"/>
      <c r="U86" s="475"/>
      <c r="V86" s="475"/>
      <c r="W86" s="476"/>
      <c r="Z86"/>
      <c r="AA86"/>
    </row>
    <row r="87" spans="1:27">
      <c r="A87" s="411"/>
      <c r="B87" s="325"/>
      <c r="C87" s="236">
        <f>IF(D87="","",MAX(C$14:C86)+1)</f>
        <v>43</v>
      </c>
      <c r="D87" s="246" t="s">
        <v>23</v>
      </c>
      <c r="E87" s="445">
        <f>TY_Units!G61</f>
        <v>0</v>
      </c>
      <c r="F87" s="472"/>
      <c r="G87" s="472">
        <f>IF($E87=0,0,ROUND(COS_Unbun.!G54/$E87,$Y$11))</f>
        <v>0</v>
      </c>
      <c r="H87" s="472">
        <f>IF($E87=0,0,ROUND(COS_Unbun.!H54/$E87,$Y$11))</f>
        <v>0</v>
      </c>
      <c r="I87" s="472">
        <f>IF($E87=0,0,ROUND(COS_Unbun.!I54/$E87,$Y$11))</f>
        <v>0</v>
      </c>
      <c r="J87" s="472">
        <f>IF($E87=0,0,ROUND(COS_Unbun.!J54/$E87,$Y$11))</f>
        <v>0</v>
      </c>
      <c r="K87" s="472">
        <f>IF($E87=0,0,ROUND(COS_Unbun.!K54/$E87,$Y$11))</f>
        <v>0</v>
      </c>
      <c r="L87" s="472">
        <f>IF($E87=0,0,ROUND(COS_Unbun.!L54/$E87,$Y$11))</f>
        <v>0</v>
      </c>
      <c r="M87" s="472">
        <f>IF($E87=0,0,ROUND(COS_Unbun.!M54/$E87,$Y$11))</f>
        <v>0</v>
      </c>
      <c r="N87" s="472">
        <f>IF($E87=0,0,ROUND(COS_Unbun.!N54/$E87,$Y$11))</f>
        <v>0</v>
      </c>
      <c r="O87" s="472">
        <f>IF($E87=0,0,ROUND(COS_Unbun.!O54/$E87,$Y$11))</f>
        <v>0</v>
      </c>
      <c r="P87" s="472"/>
      <c r="Q87" s="472"/>
      <c r="R87" s="472"/>
      <c r="S87" s="472"/>
      <c r="T87" s="472"/>
      <c r="U87" s="472"/>
      <c r="V87" s="472"/>
      <c r="W87" s="473"/>
      <c r="X87" s="474">
        <f>SUM(F87:W87)</f>
        <v>0</v>
      </c>
      <c r="Z87"/>
      <c r="AA87"/>
    </row>
    <row r="88" spans="1:27">
      <c r="A88" s="411"/>
      <c r="B88" s="325"/>
      <c r="C88" s="236" t="str">
        <f>IF(D88="","",MAX(C$14:C87)+1)</f>
        <v/>
      </c>
      <c r="D88" s="206"/>
      <c r="E88" s="343"/>
      <c r="F88" s="477"/>
      <c r="G88" s="477"/>
      <c r="H88" s="477"/>
      <c r="I88" s="477"/>
      <c r="J88" s="477"/>
      <c r="K88" s="477"/>
      <c r="L88" s="477"/>
      <c r="M88" s="477"/>
      <c r="N88" s="477"/>
      <c r="O88" s="477"/>
      <c r="P88" s="477"/>
      <c r="Q88" s="477"/>
      <c r="R88" s="477"/>
      <c r="S88" s="477"/>
      <c r="T88" s="477"/>
      <c r="U88" s="477"/>
      <c r="V88" s="477"/>
      <c r="W88" s="473"/>
      <c r="Z88"/>
      <c r="AA88"/>
    </row>
    <row r="89" spans="1:27">
      <c r="A89" s="411"/>
      <c r="B89" s="325"/>
      <c r="C89" s="236">
        <f>IF(D89="","",MAX(C$14:C88)+1)</f>
        <v>44</v>
      </c>
      <c r="D89" s="246" t="s">
        <v>66</v>
      </c>
      <c r="E89" s="445">
        <f>TY_Units!G63</f>
        <v>0</v>
      </c>
      <c r="F89" s="472"/>
      <c r="G89" s="472">
        <f>IF($E89=0,0,ROUND(COS_Unbun.!G57/$E89,$Y$11))</f>
        <v>0</v>
      </c>
      <c r="H89" s="472">
        <f>IF($E89=0,0,ROUND(COS_Unbun.!H57/$E89,$Y$11))</f>
        <v>0</v>
      </c>
      <c r="I89" s="472">
        <f>IF($E89=0,0,ROUND(COS_Unbun.!I57/$E89,$Y$11))</f>
        <v>0</v>
      </c>
      <c r="J89" s="472">
        <f>IF($E89=0,0,ROUND(COS_Unbun.!J57/$E89,$Y$11))</f>
        <v>0</v>
      </c>
      <c r="K89" s="472">
        <f>IF($E89=0,0,ROUND(COS_Unbun.!K57/$E89,$Y$11))</f>
        <v>0</v>
      </c>
      <c r="L89" s="472">
        <f>IF($E89=0,0,ROUND(COS_Unbun.!L57/$E89,$Y$11))</f>
        <v>0</v>
      </c>
      <c r="M89" s="472">
        <f>IF($E89=0,0,ROUND(COS_Unbun.!M57/$E89,$Y$11))</f>
        <v>0</v>
      </c>
      <c r="N89" s="472">
        <f>IF($E89=0,0,ROUND(COS_Unbun.!N57/$E89,$Y$11))</f>
        <v>0</v>
      </c>
      <c r="O89" s="472">
        <f>IF($E89=0,0,ROUND(COS_Unbun.!O57/$E89,$Y$11))</f>
        <v>0</v>
      </c>
      <c r="P89" s="472"/>
      <c r="Q89" s="472"/>
      <c r="R89" s="472"/>
      <c r="S89" s="472"/>
      <c r="T89" s="472"/>
      <c r="U89" s="472"/>
      <c r="V89" s="472"/>
      <c r="W89" s="473"/>
      <c r="X89" s="474">
        <f>SUM(F89:W89)</f>
        <v>0</v>
      </c>
      <c r="Z89"/>
      <c r="AA89"/>
    </row>
    <row r="90" spans="1:27">
      <c r="A90" s="411"/>
      <c r="B90" s="325"/>
      <c r="C90" s="236" t="str">
        <f>IF(D90="","",MAX(C$14:C89)+1)</f>
        <v/>
      </c>
      <c r="D90" s="206"/>
      <c r="E90" s="403"/>
      <c r="F90" s="478"/>
      <c r="G90" s="478"/>
      <c r="H90" s="478"/>
      <c r="I90" s="478"/>
      <c r="J90" s="478"/>
      <c r="K90" s="478"/>
      <c r="L90" s="478"/>
      <c r="M90" s="478"/>
      <c r="N90" s="478"/>
      <c r="O90" s="478"/>
      <c r="P90" s="478"/>
      <c r="Q90" s="478"/>
      <c r="R90" s="478"/>
      <c r="S90" s="478"/>
      <c r="T90" s="478"/>
      <c r="U90" s="478"/>
      <c r="V90" s="478"/>
      <c r="W90" s="479"/>
      <c r="Z90"/>
      <c r="AA90"/>
    </row>
    <row r="91" spans="1:27">
      <c r="A91" s="411"/>
      <c r="B91" s="325"/>
      <c r="C91" s="236">
        <f>IF(D91="","",MAX(C$14:C90)+1)</f>
        <v>45</v>
      </c>
      <c r="D91" s="254" t="s">
        <v>93</v>
      </c>
      <c r="E91" s="446">
        <f>SUM(E57,E59,E69,E71,E73,E75,E77,E79,E81,E83,E85,E87,E89)</f>
        <v>8806895.2488091663</v>
      </c>
      <c r="F91" s="472"/>
      <c r="G91" s="472">
        <f>IF($E91=0,0,ROUND((COS_Unbun.!G59-COS_Unbun.!G22)/$E91,$Y$11))</f>
        <v>19.764735000000002</v>
      </c>
      <c r="H91" s="472">
        <f>IF($E91=0,0,ROUND((COS_Unbun.!H59-COS_Unbun.!H22)/$E91,$Y$11))</f>
        <v>1.6508849999999999</v>
      </c>
      <c r="I91" s="472">
        <f>IF($E91=0,0,ROUND((COS_Unbun.!I59-COS_Unbun.!I22)/$E91,$Y$11))</f>
        <v>1.00084</v>
      </c>
      <c r="J91" s="472">
        <f>IF($E91=0,0,ROUND((COS_Unbun.!J59-COS_Unbun.!J22)/$E91,$Y$11))</f>
        <v>0.15019199999999999</v>
      </c>
      <c r="K91" s="472">
        <f>IF($E91=0,0,ROUND((COS_Unbun.!K59-COS_Unbun.!K22)/$E91,$Y$11))</f>
        <v>0</v>
      </c>
      <c r="L91" s="472">
        <f>IF($E91=0,0,ROUND((COS_Unbun.!L59-COS_Unbun.!L22)/$E91,$Y$11))</f>
        <v>0</v>
      </c>
      <c r="M91" s="472">
        <f>IF($E91=0,0,ROUND((COS_Unbun.!M59-COS_Unbun.!M22)/$E91,$Y$11))</f>
        <v>0.52932500000000005</v>
      </c>
      <c r="N91" s="472">
        <f>IF($E91=0,0,ROUND((COS_Unbun.!N59-COS_Unbun.!N22)/$E91,$Y$11))</f>
        <v>0.26525100000000001</v>
      </c>
      <c r="O91" s="472">
        <f>IF($E91=0,0,ROUND((COS_Unbun.!O59-COS_Unbun.!O22)/$E91,$Y$11))</f>
        <v>0.81344300000000003</v>
      </c>
      <c r="P91" s="472"/>
      <c r="Q91" s="472"/>
      <c r="R91" s="472"/>
      <c r="S91" s="472"/>
      <c r="T91" s="472"/>
      <c r="U91" s="472"/>
      <c r="V91" s="472"/>
      <c r="W91" s="473"/>
      <c r="X91" s="474">
        <f>SUM(F91:W91)</f>
        <v>24.174671</v>
      </c>
      <c r="Z91"/>
      <c r="AA91"/>
    </row>
    <row r="92" spans="1:27">
      <c r="A92" s="411"/>
      <c r="B92" s="325"/>
      <c r="C92" s="236"/>
      <c r="D92" s="254"/>
      <c r="E92" s="446"/>
      <c r="F92" s="472"/>
      <c r="G92" s="472"/>
      <c r="H92" s="472"/>
      <c r="I92" s="472"/>
      <c r="J92" s="472"/>
      <c r="K92" s="472"/>
      <c r="L92" s="472"/>
      <c r="M92" s="472"/>
      <c r="N92" s="472"/>
      <c r="O92" s="472"/>
      <c r="P92" s="472"/>
      <c r="Q92" s="472"/>
      <c r="R92" s="472"/>
      <c r="S92" s="472"/>
      <c r="T92" s="472"/>
      <c r="U92" s="472"/>
      <c r="V92" s="472"/>
      <c r="W92" s="473"/>
      <c r="Z92"/>
      <c r="AA92"/>
    </row>
    <row r="93" spans="1:27">
      <c r="A93" s="411"/>
      <c r="B93" s="325"/>
      <c r="C93" s="236">
        <f>IF(D93="","",MAX(C$14:C92)+1)</f>
        <v>46</v>
      </c>
      <c r="D93" s="254" t="s">
        <v>94</v>
      </c>
      <c r="E93" s="446">
        <f>E64</f>
        <v>409016.85529651248</v>
      </c>
      <c r="F93" s="472"/>
      <c r="G93" s="472">
        <f>IF($E93=0,0,ROUND(COS_Unbun.!G22/$E93,$Y$11))</f>
        <v>59.410277999999998</v>
      </c>
      <c r="H93" s="472">
        <f>IF($E93=0,0,ROUND(COS_Unbun.!H22/$E93,$Y$11))</f>
        <v>4.6553950000000004</v>
      </c>
      <c r="I93" s="472">
        <f>IF($E93=0,0,ROUND(COS_Unbun.!I22/$E93,$Y$11))</f>
        <v>4.0286239999999998</v>
      </c>
      <c r="J93" s="472">
        <f>IF($E93=0,0,ROUND(COS_Unbun.!J22/$E93,$Y$11))</f>
        <v>0</v>
      </c>
      <c r="K93" s="472">
        <f>IF($E93=0,0,ROUND(COS_Unbun.!K22/$E93,$Y$11))</f>
        <v>0</v>
      </c>
      <c r="L93" s="472">
        <f>IF($E93=0,0,ROUND(COS_Unbun.!L22/$E93,$Y$11))</f>
        <v>0</v>
      </c>
      <c r="M93" s="472">
        <f>IF($E93=0,0,ROUND(COS_Unbun.!M22/$E93,$Y$11))</f>
        <v>2.4209710000000002</v>
      </c>
      <c r="N93" s="472">
        <f>IF($E93=0,0,ROUND(COS_Unbun.!N22/$E93,$Y$11))</f>
        <v>7.5811000000000003E-2</v>
      </c>
      <c r="O93" s="472">
        <f>IF($E93=0,0,ROUND(COS_Unbun.!O22/$E93,$Y$11))</f>
        <v>17.868774999999999</v>
      </c>
      <c r="P93" s="472"/>
      <c r="Q93" s="472"/>
      <c r="R93" s="472"/>
      <c r="S93" s="472"/>
      <c r="T93" s="472"/>
      <c r="U93" s="472"/>
      <c r="V93" s="472"/>
      <c r="W93" s="473"/>
      <c r="Z93"/>
      <c r="AA93"/>
    </row>
    <row r="94" spans="1:27">
      <c r="A94" s="411"/>
      <c r="B94" s="325"/>
      <c r="C94" s="236"/>
      <c r="D94" s="254"/>
      <c r="E94" s="446"/>
      <c r="F94" s="472"/>
      <c r="G94" s="472"/>
      <c r="H94" s="472"/>
      <c r="I94" s="472"/>
      <c r="J94" s="472"/>
      <c r="K94" s="472"/>
      <c r="L94" s="472"/>
      <c r="M94" s="472"/>
      <c r="N94" s="472"/>
      <c r="O94" s="472"/>
      <c r="P94" s="472"/>
      <c r="Q94" s="472"/>
      <c r="R94" s="472"/>
      <c r="S94" s="472"/>
      <c r="T94" s="472"/>
      <c r="U94" s="472"/>
      <c r="V94" s="472"/>
      <c r="W94" s="473"/>
      <c r="Z94"/>
      <c r="AA94"/>
    </row>
    <row r="95" spans="1:27">
      <c r="A95" s="411"/>
      <c r="B95" s="325"/>
      <c r="C95" s="236"/>
      <c r="D95" s="866" t="s">
        <v>1034</v>
      </c>
      <c r="E95" s="867">
        <f>TY_Units!G65</f>
        <v>8806895.2488091663</v>
      </c>
      <c r="F95" s="449"/>
      <c r="G95" s="449"/>
      <c r="H95" s="449"/>
      <c r="I95" s="449"/>
      <c r="J95" s="449"/>
      <c r="K95" s="449"/>
      <c r="L95" s="449"/>
      <c r="M95" s="449"/>
      <c r="N95" s="449"/>
      <c r="O95" s="449"/>
      <c r="P95" s="449"/>
      <c r="Q95" s="449"/>
      <c r="R95" s="449"/>
      <c r="S95" s="449"/>
      <c r="T95" s="449"/>
      <c r="U95" s="449"/>
      <c r="V95" s="449"/>
      <c r="W95" s="450"/>
      <c r="X95"/>
      <c r="Y95"/>
      <c r="Z95"/>
      <c r="AA95"/>
    </row>
    <row r="96" spans="1:27">
      <c r="A96" s="411"/>
      <c r="B96" s="325"/>
      <c r="C96" s="236"/>
      <c r="D96" s="868" t="s">
        <v>1035</v>
      </c>
      <c r="E96" s="869">
        <f>E95-E91</f>
        <v>0</v>
      </c>
      <c r="F96" s="449"/>
      <c r="G96" s="449"/>
      <c r="H96" s="449"/>
      <c r="I96" s="449"/>
      <c r="J96" s="449"/>
      <c r="K96" s="449"/>
      <c r="L96" s="449"/>
      <c r="M96" s="449"/>
      <c r="N96" s="449"/>
      <c r="O96" s="449"/>
      <c r="P96" s="449"/>
      <c r="Q96" s="449"/>
      <c r="R96" s="449"/>
      <c r="S96" s="449"/>
      <c r="T96" s="449"/>
      <c r="U96" s="449"/>
      <c r="V96" s="449"/>
      <c r="W96" s="450"/>
      <c r="X96"/>
      <c r="Y96"/>
      <c r="Z96"/>
      <c r="AA96"/>
    </row>
    <row r="97" spans="1:27">
      <c r="A97" s="411"/>
      <c r="B97" s="325"/>
      <c r="C97" s="236"/>
      <c r="D97" s="866" t="s">
        <v>1036</v>
      </c>
      <c r="E97" s="867">
        <f>TY_Units!$H$65</f>
        <v>409016.85529651248</v>
      </c>
      <c r="F97" s="449"/>
      <c r="G97" s="449"/>
      <c r="H97" s="449"/>
      <c r="I97" s="449"/>
      <c r="J97" s="449"/>
      <c r="K97" s="449"/>
      <c r="L97" s="449"/>
      <c r="M97" s="449"/>
      <c r="N97" s="449"/>
      <c r="O97" s="449"/>
      <c r="P97" s="449"/>
      <c r="Q97" s="449"/>
      <c r="R97" s="449"/>
      <c r="S97" s="449"/>
      <c r="T97" s="449"/>
      <c r="U97" s="449"/>
      <c r="V97" s="449"/>
      <c r="W97" s="450"/>
      <c r="X97"/>
      <c r="Y97"/>
      <c r="Z97"/>
      <c r="AA97"/>
    </row>
    <row r="98" spans="1:27">
      <c r="A98" s="411"/>
      <c r="B98" s="325"/>
      <c r="C98" s="236"/>
      <c r="D98" s="868" t="s">
        <v>1037</v>
      </c>
      <c r="E98" s="869">
        <f>E97-E93</f>
        <v>0</v>
      </c>
      <c r="F98" s="449"/>
      <c r="G98" s="449"/>
      <c r="H98" s="449"/>
      <c r="I98" s="449"/>
      <c r="J98" s="449"/>
      <c r="K98" s="449"/>
      <c r="L98" s="449"/>
      <c r="M98" s="449"/>
      <c r="N98" s="449"/>
      <c r="O98" s="449"/>
      <c r="P98" s="449"/>
      <c r="Q98" s="449"/>
      <c r="R98" s="449"/>
      <c r="S98" s="449"/>
      <c r="T98" s="449"/>
      <c r="U98" s="449"/>
      <c r="V98" s="449"/>
      <c r="W98" s="450"/>
      <c r="X98"/>
      <c r="Y98"/>
      <c r="Z98"/>
      <c r="AA98"/>
    </row>
    <row r="99" spans="1:27">
      <c r="A99" s="411"/>
      <c r="B99" s="325"/>
      <c r="C99" s="236" t="str">
        <f>IF(D99="","",MAX(C$14:C93)+1)</f>
        <v/>
      </c>
      <c r="D99" s="64"/>
      <c r="E99" s="313"/>
      <c r="F99" s="475"/>
      <c r="G99" s="475"/>
      <c r="H99" s="475"/>
      <c r="I99" s="475"/>
      <c r="J99" s="475"/>
      <c r="K99" s="475"/>
      <c r="L99" s="475"/>
      <c r="M99" s="475"/>
      <c r="N99" s="475"/>
      <c r="O99" s="475"/>
      <c r="P99" s="475"/>
      <c r="Q99" s="475"/>
      <c r="R99" s="475"/>
      <c r="S99" s="475"/>
      <c r="T99" s="475"/>
      <c r="U99" s="475"/>
      <c r="V99" s="475"/>
      <c r="W99" s="476"/>
      <c r="Z99"/>
      <c r="AA99"/>
    </row>
    <row r="100" spans="1:27">
      <c r="A100" s="411"/>
      <c r="B100" s="225"/>
      <c r="C100" s="236">
        <f>IF(D100="","",MAX(C$14:C99)+1)</f>
        <v>47</v>
      </c>
      <c r="D100" s="468" t="s">
        <v>721</v>
      </c>
      <c r="E100" s="48"/>
      <c r="F100" s="480"/>
      <c r="G100" s="480"/>
      <c r="H100" s="480"/>
      <c r="I100" s="480"/>
      <c r="J100" s="480"/>
      <c r="K100" s="480"/>
      <c r="L100" s="480"/>
      <c r="M100" s="480"/>
      <c r="N100" s="480"/>
      <c r="O100" s="480"/>
      <c r="P100" s="480"/>
      <c r="Q100" s="480"/>
      <c r="R100" s="480"/>
      <c r="S100" s="480"/>
      <c r="T100" s="480"/>
      <c r="U100" s="480"/>
      <c r="V100" s="480"/>
      <c r="W100" s="481"/>
      <c r="Z100"/>
      <c r="AA100"/>
    </row>
    <row r="101" spans="1:27">
      <c r="A101" s="411"/>
      <c r="B101" s="325"/>
      <c r="C101" s="236" t="str">
        <f>IF(D101="","",MAX(C$14:C100)+1)</f>
        <v/>
      </c>
      <c r="F101" s="472"/>
      <c r="G101" s="472"/>
      <c r="H101" s="472"/>
      <c r="I101" s="472"/>
      <c r="J101" s="472"/>
      <c r="K101" s="472"/>
      <c r="L101" s="472"/>
      <c r="M101" s="472"/>
      <c r="N101" s="472"/>
      <c r="O101" s="472"/>
      <c r="P101" s="472"/>
      <c r="Q101" s="472"/>
      <c r="R101" s="472"/>
      <c r="S101" s="472"/>
      <c r="T101" s="472"/>
      <c r="U101" s="472"/>
      <c r="V101" s="472"/>
      <c r="W101" s="473"/>
      <c r="Z101"/>
      <c r="AA101"/>
    </row>
    <row r="102" spans="1:27">
      <c r="A102" s="411"/>
      <c r="B102" s="325"/>
      <c r="C102" s="236">
        <f>IF(D102="","",MAX(C$14:C101)+1)</f>
        <v>48</v>
      </c>
      <c r="D102" s="206" t="s">
        <v>13</v>
      </c>
      <c r="E102" s="445">
        <f>'COS_Units (cust)'!F15*12</f>
        <v>256800</v>
      </c>
      <c r="F102" s="339"/>
      <c r="G102" s="472"/>
      <c r="H102" s="472"/>
      <c r="I102" s="472"/>
      <c r="J102" s="472"/>
      <c r="K102" s="472"/>
      <c r="L102" s="472"/>
      <c r="M102" s="472"/>
      <c r="N102" s="472"/>
      <c r="O102" s="472"/>
      <c r="P102" s="472">
        <f>IF($E102=0,0,ROUND(COS_Unbun.!P14/$E102,$Y$11))</f>
        <v>5.6750780000000001</v>
      </c>
      <c r="Q102" s="472">
        <f>IF($E102=0,0,ROUND(COS_Unbun.!Q14/$E102,$Y$11))</f>
        <v>0</v>
      </c>
      <c r="R102" s="472">
        <f>IF($E102=0,0,ROUND(COS_Unbun.!R14/$E102,$Y$11))</f>
        <v>1.3930610000000001</v>
      </c>
      <c r="S102" s="472">
        <f>IF($E102=0,0,ROUND(COS_Unbun.!S14/$E102,$Y$11))</f>
        <v>4.4418610000000003</v>
      </c>
      <c r="T102" s="472">
        <f>IF($E102=0,0,ROUND(COS_Unbun.!T14/$E102,$Y$11))</f>
        <v>14.164828999999999</v>
      </c>
      <c r="U102" s="472"/>
      <c r="V102" s="472"/>
      <c r="W102" s="473"/>
      <c r="X102" s="474">
        <f>SUM(F102:W102)</f>
        <v>25.674829000000003</v>
      </c>
      <c r="Z102"/>
      <c r="AA102"/>
    </row>
    <row r="103" spans="1:27">
      <c r="A103" s="411"/>
      <c r="B103" s="325"/>
      <c r="C103" s="236" t="str">
        <f>IF(D103="","",MAX(C$14:C102)+1)</f>
        <v/>
      </c>
      <c r="D103" s="272"/>
      <c r="E103" s="445"/>
      <c r="F103" s="472"/>
      <c r="G103" s="472"/>
      <c r="H103" s="472"/>
      <c r="I103" s="472"/>
      <c r="J103" s="472"/>
      <c r="K103" s="472"/>
      <c r="L103" s="472"/>
      <c r="M103" s="472"/>
      <c r="N103" s="472"/>
      <c r="O103" s="472"/>
      <c r="P103" s="472"/>
      <c r="Q103" s="472"/>
      <c r="R103" s="472"/>
      <c r="S103" s="472"/>
      <c r="T103" s="472"/>
      <c r="U103" s="472"/>
      <c r="V103" s="472"/>
      <c r="W103" s="473"/>
      <c r="Z103"/>
      <c r="AA103"/>
    </row>
    <row r="104" spans="1:27">
      <c r="A104" s="411"/>
      <c r="B104" s="325"/>
      <c r="C104" s="236">
        <f>IF(D104="","",MAX(C$14:C103)+1)</f>
        <v>49</v>
      </c>
      <c r="D104" s="206" t="s">
        <v>14</v>
      </c>
      <c r="E104" s="445">
        <f>'COS_Units (cust)'!F16*12</f>
        <v>240660</v>
      </c>
      <c r="F104" s="339"/>
      <c r="G104" s="472"/>
      <c r="H104" s="472"/>
      <c r="I104" s="472"/>
      <c r="J104" s="472"/>
      <c r="K104" s="472"/>
      <c r="L104" s="472"/>
      <c r="M104" s="472"/>
      <c r="N104" s="472"/>
      <c r="O104" s="472"/>
      <c r="P104" s="472">
        <f>IF($E104=0,0,ROUND(COS_Unbun.!P17/$E104,$Y$11))</f>
        <v>0</v>
      </c>
      <c r="Q104" s="472">
        <f>IF($E104=0,0,ROUND(COS_Unbun.!Q17/$E104,$Y$11))</f>
        <v>18.126348</v>
      </c>
      <c r="R104" s="472">
        <f>IF($E104=0,0,ROUND(COS_Unbun.!R17/$E104,$Y$11))</f>
        <v>2.0899529999999999</v>
      </c>
      <c r="S104" s="472">
        <f>IF($E104=0,0,ROUND(COS_Unbun.!S17/$E104,$Y$11))</f>
        <v>4.4429730000000003</v>
      </c>
      <c r="T104" s="472">
        <f>IF($E104=0,0,ROUND(COS_Unbun.!T17/$E104,$Y$11))</f>
        <v>15.582822</v>
      </c>
      <c r="U104" s="472"/>
      <c r="V104" s="472"/>
      <c r="W104" s="473"/>
      <c r="X104" s="474">
        <f>SUM(F104:W104)</f>
        <v>40.242096000000004</v>
      </c>
      <c r="Z104"/>
      <c r="AA104"/>
    </row>
    <row r="105" spans="1:27">
      <c r="A105" s="411"/>
      <c r="B105" s="325"/>
      <c r="C105" s="236" t="str">
        <f>IF(D105="","",MAX(C$14:C104)+1)</f>
        <v/>
      </c>
      <c r="D105" s="11"/>
      <c r="E105" s="313"/>
      <c r="F105" s="475"/>
      <c r="G105" s="475"/>
      <c r="H105" s="475"/>
      <c r="I105" s="475"/>
      <c r="J105" s="475"/>
      <c r="K105" s="475"/>
      <c r="L105" s="475"/>
      <c r="M105" s="475"/>
      <c r="N105" s="475"/>
      <c r="O105" s="475"/>
      <c r="P105" s="475"/>
      <c r="Q105" s="475"/>
      <c r="R105" s="475"/>
      <c r="S105" s="475"/>
      <c r="T105" s="475"/>
      <c r="U105" s="475"/>
      <c r="V105" s="475"/>
      <c r="W105" s="476"/>
      <c r="Z105"/>
      <c r="AA105"/>
    </row>
    <row r="106" spans="1:27">
      <c r="A106" s="411"/>
      <c r="B106" s="325"/>
      <c r="C106" s="236">
        <f>IF(D106="","",MAX(C$14:C105)+1)</f>
        <v>50</v>
      </c>
      <c r="D106" s="14" t="s">
        <v>15</v>
      </c>
      <c r="E106" s="313"/>
      <c r="F106" s="475"/>
      <c r="G106" s="475"/>
      <c r="H106" s="475"/>
      <c r="I106" s="475"/>
      <c r="J106" s="475"/>
      <c r="K106" s="475"/>
      <c r="L106" s="475"/>
      <c r="M106" s="475"/>
      <c r="N106" s="475"/>
      <c r="O106" s="475"/>
      <c r="P106" s="475"/>
      <c r="Q106" s="475"/>
      <c r="R106" s="475"/>
      <c r="S106" s="475"/>
      <c r="T106" s="475"/>
      <c r="U106" s="475"/>
      <c r="V106" s="475"/>
      <c r="W106" s="476"/>
      <c r="Z106"/>
      <c r="AA106"/>
    </row>
    <row r="107" spans="1:27">
      <c r="A107" s="411"/>
      <c r="B107" s="325"/>
      <c r="C107" s="236">
        <f>IF(D107="","",MAX(C$14:C106)+1)</f>
        <v>51</v>
      </c>
      <c r="D107" s="15" t="s">
        <v>7</v>
      </c>
      <c r="E107" s="445">
        <f>'COS_Units (cust)'!F18*7</f>
        <v>434</v>
      </c>
      <c r="F107" s="339"/>
      <c r="G107" s="475"/>
      <c r="H107" s="475"/>
      <c r="I107" s="475"/>
      <c r="J107" s="475"/>
      <c r="K107" s="475"/>
      <c r="L107" s="475"/>
      <c r="M107" s="475"/>
      <c r="N107" s="475"/>
      <c r="O107" s="475"/>
      <c r="P107" s="472">
        <f>IF($E107=0,0,ROUND(COS_Unbun.!P20/$E107,$Y$11))</f>
        <v>0</v>
      </c>
      <c r="Q107" s="472">
        <f>IF($E107=0,0,ROUND(COS_Unbun.!Q20/$E107,$Y$11))</f>
        <v>62.126728</v>
      </c>
      <c r="R107" s="472">
        <f>IF($E107=0,0,ROUND(COS_Unbun.!R20/$E107,$Y$11))</f>
        <v>7.126728</v>
      </c>
      <c r="S107" s="472">
        <f>IF($E107=0,0,ROUND(COS_Unbun.!S20/$E107,$Y$11))</f>
        <v>7.313364</v>
      </c>
      <c r="T107" s="472">
        <f>IF($E107=0,0,ROUND(COS_Unbun.!T20/$E107,$Y$11))</f>
        <v>24.71659</v>
      </c>
      <c r="U107" s="475"/>
      <c r="V107" s="475"/>
      <c r="W107" s="476"/>
      <c r="X107" s="474">
        <f>SUM(F107:W107)</f>
        <v>101.28341</v>
      </c>
      <c r="Z107"/>
      <c r="AA107"/>
    </row>
    <row r="108" spans="1:27">
      <c r="A108" s="411"/>
      <c r="B108" s="325"/>
      <c r="C108" s="236">
        <f>IF(D108="","",MAX(C$14:C107)+1)</f>
        <v>52</v>
      </c>
      <c r="D108" s="15" t="s">
        <v>8</v>
      </c>
      <c r="E108" s="805">
        <f>'COS_Units (cust)'!F19*7</f>
        <v>32669</v>
      </c>
      <c r="F108" s="339"/>
      <c r="G108" s="475"/>
      <c r="H108" s="475"/>
      <c r="I108" s="475"/>
      <c r="J108" s="475"/>
      <c r="K108" s="475"/>
      <c r="L108" s="475"/>
      <c r="M108" s="475"/>
      <c r="N108" s="475"/>
      <c r="O108" s="475"/>
      <c r="P108" s="806">
        <f>IF($E108=0,0,ROUND(COS_Unbun.!P21/$E108,$Y$11))</f>
        <v>0</v>
      </c>
      <c r="Q108" s="806">
        <f>IF($E108=0,0,ROUND(COS_Unbun.!Q21/$E108,$Y$11))</f>
        <v>0</v>
      </c>
      <c r="R108" s="806">
        <f>IF($E108=0,0,ROUND(COS_Unbun.!R21/$E108,$Y$11))</f>
        <v>11.944596000000001</v>
      </c>
      <c r="S108" s="806">
        <f>IF($E108=0,0,ROUND(COS_Unbun.!S21/$E108,$Y$11))</f>
        <v>38.073954000000001</v>
      </c>
      <c r="T108" s="806">
        <f>IF($E108=0,0,ROUND(COS_Unbun.!T21/$E108,$Y$11))</f>
        <v>26.695215999999999</v>
      </c>
      <c r="U108" s="475"/>
      <c r="V108" s="475"/>
      <c r="W108" s="476"/>
      <c r="X108" s="807">
        <f>SUM(F108:W108)</f>
        <v>76.713766000000007</v>
      </c>
      <c r="Z108"/>
      <c r="AA108"/>
    </row>
    <row r="109" spans="1:27">
      <c r="A109" s="411"/>
      <c r="B109" s="325"/>
      <c r="C109" s="236">
        <f>IF(D109="","",MAX(C$14:C108)+1)</f>
        <v>53</v>
      </c>
      <c r="D109" s="39" t="s">
        <v>32</v>
      </c>
      <c r="E109" s="445">
        <f>'COS_Units (cust)'!F20*7</f>
        <v>33103</v>
      </c>
      <c r="F109" s="339"/>
      <c r="G109" s="472"/>
      <c r="H109" s="472"/>
      <c r="I109" s="472"/>
      <c r="J109" s="472"/>
      <c r="K109" s="472"/>
      <c r="L109" s="472"/>
      <c r="M109" s="472"/>
      <c r="N109" s="472"/>
      <c r="O109" s="472"/>
      <c r="P109" s="472">
        <f>IF($E109=0,0,ROUND(COS_Unbun.!P22/$E109,$Y$11))</f>
        <v>0</v>
      </c>
      <c r="Q109" s="472">
        <f>IF($E109=0,0,ROUND(COS_Unbun.!Q22/$E109,$Y$11))</f>
        <v>0.81451799999999996</v>
      </c>
      <c r="R109" s="472">
        <f>IF($E109=0,0,ROUND(COS_Unbun.!R22/$E109,$Y$11))</f>
        <v>11.881430999999999</v>
      </c>
      <c r="S109" s="472">
        <f>IF($E109=0,0,ROUND(COS_Unbun.!S22/$E109,$Y$11))</f>
        <v>37.670664000000002</v>
      </c>
      <c r="T109" s="472">
        <f>IF($E109=0,0,ROUND(COS_Unbun.!T22/$E109,$Y$11))</f>
        <v>26.669274999999999</v>
      </c>
      <c r="U109" s="472"/>
      <c r="V109" s="472"/>
      <c r="W109" s="473"/>
      <c r="X109" s="474">
        <f>SUM(F109:W109)</f>
        <v>77.035888</v>
      </c>
      <c r="Z109"/>
      <c r="AA109"/>
    </row>
    <row r="110" spans="1:27">
      <c r="A110" s="411"/>
      <c r="B110" s="325"/>
      <c r="C110" s="236" t="str">
        <f>IF(D110="","",MAX(C$14:C109)+1)</f>
        <v/>
      </c>
      <c r="D110" s="247"/>
      <c r="E110" s="313"/>
      <c r="F110" s="475"/>
      <c r="G110" s="475"/>
      <c r="H110" s="475"/>
      <c r="I110" s="475"/>
      <c r="J110" s="475"/>
      <c r="K110" s="475"/>
      <c r="L110" s="475"/>
      <c r="M110" s="475"/>
      <c r="N110" s="475"/>
      <c r="O110" s="475"/>
      <c r="P110" s="475"/>
      <c r="Q110" s="475"/>
      <c r="R110" s="475"/>
      <c r="S110" s="475"/>
      <c r="T110" s="475"/>
      <c r="U110" s="475"/>
      <c r="V110" s="475"/>
      <c r="W110" s="476"/>
      <c r="Z110"/>
      <c r="AA110"/>
    </row>
    <row r="111" spans="1:27">
      <c r="A111" s="411"/>
      <c r="B111" s="325"/>
      <c r="C111" s="236">
        <f>IF(D111="","",MAX(C$14:C110)+1)</f>
        <v>54</v>
      </c>
      <c r="D111" s="14" t="s">
        <v>21</v>
      </c>
      <c r="E111" s="313"/>
      <c r="F111" s="475"/>
      <c r="G111" s="475"/>
      <c r="H111" s="475"/>
      <c r="I111" s="475"/>
      <c r="J111" s="475"/>
      <c r="K111" s="475"/>
      <c r="L111" s="475"/>
      <c r="M111" s="475"/>
      <c r="N111" s="475"/>
      <c r="O111" s="475"/>
      <c r="P111" s="475"/>
      <c r="Q111" s="475"/>
      <c r="R111" s="475"/>
      <c r="S111" s="475"/>
      <c r="T111" s="475"/>
      <c r="U111" s="475"/>
      <c r="V111" s="475"/>
      <c r="W111" s="476"/>
      <c r="Z111"/>
      <c r="AA111"/>
    </row>
    <row r="112" spans="1:27">
      <c r="A112" s="411"/>
      <c r="B112" s="325"/>
      <c r="C112" s="236">
        <f>IF(D112="","",MAX(C$14:C111)+1)</f>
        <v>55</v>
      </c>
      <c r="D112" s="15" t="s">
        <v>7</v>
      </c>
      <c r="E112" s="445">
        <f>'COS_Units (cust)'!F23*12</f>
        <v>59556</v>
      </c>
      <c r="F112" s="339"/>
      <c r="G112" s="475"/>
      <c r="H112" s="475"/>
      <c r="I112" s="475"/>
      <c r="J112" s="475"/>
      <c r="K112" s="475"/>
      <c r="L112" s="475"/>
      <c r="M112" s="475"/>
      <c r="N112" s="475"/>
      <c r="O112" s="475"/>
      <c r="P112" s="472">
        <f>IF($E112=0,0,ROUND(COS_Unbun.!P25/$E112,$Y$11))</f>
        <v>5.9571329999999998</v>
      </c>
      <c r="Q112" s="472">
        <f>IF($E112=0,0,ROUND(COS_Unbun.!Q25/$E112,$Y$11))</f>
        <v>5.4406939999999997</v>
      </c>
      <c r="R112" s="472">
        <f>IF($E112=0,0,ROUND(COS_Unbun.!R25/$E112,$Y$11))</f>
        <v>2.0905529999999999</v>
      </c>
      <c r="S112" s="472">
        <f>IF($E112=0,0,ROUND(COS_Unbun.!S25/$E112,$Y$11))</f>
        <v>13.325290000000001</v>
      </c>
      <c r="T112" s="472">
        <f>IF($E112=0,0,ROUND(COS_Unbun.!T25/$E112,$Y$11))</f>
        <v>21.253727999999999</v>
      </c>
      <c r="U112" s="475"/>
      <c r="V112" s="475"/>
      <c r="W112" s="476"/>
      <c r="X112" s="474">
        <f>SUM(F112:W112)</f>
        <v>48.067397999999997</v>
      </c>
      <c r="Z112"/>
      <c r="AA112"/>
    </row>
    <row r="113" spans="1:27">
      <c r="A113" s="411"/>
      <c r="B113" s="325"/>
      <c r="C113" s="236">
        <f>IF(D113="","",MAX(C$14:C112)+1)</f>
        <v>56</v>
      </c>
      <c r="D113" s="15" t="s">
        <v>8</v>
      </c>
      <c r="E113" s="805">
        <f>'COS_Units (cust)'!F24*12</f>
        <v>38796</v>
      </c>
      <c r="F113" s="339"/>
      <c r="G113" s="475"/>
      <c r="H113" s="475"/>
      <c r="I113" s="475"/>
      <c r="J113" s="475"/>
      <c r="K113" s="475"/>
      <c r="L113" s="475"/>
      <c r="M113" s="475"/>
      <c r="N113" s="475"/>
      <c r="O113" s="475"/>
      <c r="P113" s="806">
        <f>IF($E113=0,0,ROUND(COS_Unbun.!P26/$E113,$Y$11))</f>
        <v>0</v>
      </c>
      <c r="Q113" s="806">
        <f>IF($E113=0,0,ROUND(COS_Unbun.!Q26/$E113,$Y$11))</f>
        <v>0</v>
      </c>
      <c r="R113" s="806">
        <f>IF($E113=0,0,ROUND(COS_Unbun.!R26/$E113,$Y$11))</f>
        <v>3.4842770000000001</v>
      </c>
      <c r="S113" s="806">
        <f>IF($E113=0,0,ROUND(COS_Unbun.!S26/$E113,$Y$11))</f>
        <v>22.214945</v>
      </c>
      <c r="T113" s="806">
        <f>IF($E113=0,0,ROUND(COS_Unbun.!T26/$E113,$Y$11))</f>
        <v>21.235023999999999</v>
      </c>
      <c r="U113" s="475"/>
      <c r="V113" s="475"/>
      <c r="W113" s="476"/>
      <c r="X113" s="807">
        <f>SUM(F113:W113)</f>
        <v>46.934246000000002</v>
      </c>
      <c r="Z113"/>
      <c r="AA113"/>
    </row>
    <row r="114" spans="1:27">
      <c r="A114" s="411"/>
      <c r="B114" s="325"/>
      <c r="C114" s="236">
        <f>IF(D114="","",MAX(C$14:C113)+1)</f>
        <v>57</v>
      </c>
      <c r="D114" s="39" t="s">
        <v>33</v>
      </c>
      <c r="E114" s="445">
        <f>'COS_Units (cust)'!F25*12</f>
        <v>98352</v>
      </c>
      <c r="F114" s="339"/>
      <c r="G114" s="472"/>
      <c r="H114" s="472"/>
      <c r="I114" s="472"/>
      <c r="J114" s="472"/>
      <c r="K114" s="472"/>
      <c r="L114" s="472"/>
      <c r="M114" s="472"/>
      <c r="N114" s="472"/>
      <c r="O114" s="472"/>
      <c r="P114" s="472">
        <f>IF($E114=0,0,ROUND(COS_Unbun.!P27/$E114,$Y$11))</f>
        <v>3.607278</v>
      </c>
      <c r="Q114" s="472">
        <f>IF($E114=0,0,ROUND(COS_Unbun.!Q27/$E114,$Y$11))</f>
        <v>3.2945540000000002</v>
      </c>
      <c r="R114" s="472">
        <f>IF($E114=0,0,ROUND(COS_Unbun.!R27/$E114,$Y$11))</f>
        <v>2.640323</v>
      </c>
      <c r="S114" s="472">
        <f>IF($E114=0,0,ROUND(COS_Unbun.!S27/$E114,$Y$11))</f>
        <v>16.83192</v>
      </c>
      <c r="T114" s="472">
        <f>IF($E114=0,0,ROUND(COS_Unbun.!T27/$E114,$Y$11))</f>
        <v>21.24635</v>
      </c>
      <c r="U114" s="472"/>
      <c r="V114" s="472"/>
      <c r="W114" s="473"/>
      <c r="X114" s="474">
        <f>SUM(F114:W114)</f>
        <v>47.620424999999997</v>
      </c>
      <c r="Z114"/>
      <c r="AA114"/>
    </row>
    <row r="115" spans="1:27">
      <c r="A115" s="411"/>
      <c r="B115" s="325"/>
      <c r="C115" s="236" t="str">
        <f>IF(D115="","",MAX(C$14:C114)+1)</f>
        <v/>
      </c>
      <c r="D115" s="247"/>
      <c r="E115" s="313"/>
      <c r="F115" s="475"/>
      <c r="G115" s="475"/>
      <c r="H115" s="475"/>
      <c r="I115" s="475"/>
      <c r="J115" s="475"/>
      <c r="K115" s="475"/>
      <c r="L115" s="475"/>
      <c r="M115" s="475"/>
      <c r="N115" s="475"/>
      <c r="O115" s="475"/>
      <c r="P115" s="475"/>
      <c r="Q115" s="475"/>
      <c r="R115" s="475"/>
      <c r="S115" s="475"/>
      <c r="T115" s="475"/>
      <c r="U115" s="475"/>
      <c r="V115" s="475"/>
      <c r="W115" s="476"/>
      <c r="Z115"/>
      <c r="AA115"/>
    </row>
    <row r="116" spans="1:27">
      <c r="A116" s="411"/>
      <c r="B116" s="325"/>
      <c r="C116" s="236">
        <f>IF(D116="","",MAX(C$14:C115)+1)</f>
        <v>58</v>
      </c>
      <c r="D116" s="14" t="s">
        <v>22</v>
      </c>
      <c r="E116" s="445">
        <f>'COS_Units (cust)'!F27*12</f>
        <v>1428</v>
      </c>
      <c r="F116" s="339"/>
      <c r="G116" s="472"/>
      <c r="H116" s="472"/>
      <c r="I116" s="472"/>
      <c r="J116" s="472"/>
      <c r="K116" s="472"/>
      <c r="L116" s="472"/>
      <c r="M116" s="472"/>
      <c r="N116" s="472"/>
      <c r="O116" s="472"/>
      <c r="P116" s="472">
        <f>IF($E116=0,0,ROUND(COS_Unbun.!P30/$E116,$Y$11))</f>
        <v>0</v>
      </c>
      <c r="Q116" s="472">
        <f>IF($E116=0,0,ROUND(COS_Unbun.!Q30/$E116,$Y$11))</f>
        <v>0</v>
      </c>
      <c r="R116" s="472">
        <f>IF($E116=0,0,ROUND(COS_Unbun.!R30/$E116,$Y$11))</f>
        <v>20.903361</v>
      </c>
      <c r="S116" s="472">
        <f>IF($E116=0,0,ROUND(COS_Unbun.!S30/$E116,$Y$11))</f>
        <v>88.918768</v>
      </c>
      <c r="T116" s="472">
        <f>IF($E116=0,0,ROUND(COS_Unbun.!T30/$E116,$Y$11))</f>
        <v>141.97479000000001</v>
      </c>
      <c r="U116" s="472"/>
      <c r="V116" s="472"/>
      <c r="W116" s="473"/>
      <c r="X116" s="474">
        <f>SUM(F116:W116)</f>
        <v>251.796919</v>
      </c>
      <c r="Z116"/>
      <c r="AA116"/>
    </row>
    <row r="117" spans="1:27">
      <c r="A117" s="411"/>
      <c r="B117" s="325"/>
      <c r="C117" s="236" t="str">
        <f>IF(D117="","",MAX(C$14:C116)+1)</f>
        <v/>
      </c>
      <c r="D117" s="206"/>
      <c r="E117" s="313"/>
      <c r="F117" s="475"/>
      <c r="G117" s="475"/>
      <c r="H117" s="475"/>
      <c r="I117" s="475"/>
      <c r="J117" s="475"/>
      <c r="K117" s="475"/>
      <c r="L117" s="475"/>
      <c r="M117" s="475"/>
      <c r="N117" s="475"/>
      <c r="O117" s="475"/>
      <c r="P117" s="475"/>
      <c r="Q117" s="475"/>
      <c r="R117" s="475"/>
      <c r="S117" s="475"/>
      <c r="T117" s="475"/>
      <c r="U117" s="475"/>
      <c r="V117" s="475"/>
      <c r="W117" s="476"/>
      <c r="Z117"/>
      <c r="AA117"/>
    </row>
    <row r="118" spans="1:27">
      <c r="A118" s="411"/>
      <c r="B118" s="325"/>
      <c r="C118" s="236">
        <f>IF(D118="","",MAX(C$14:C117)+1)</f>
        <v>59</v>
      </c>
      <c r="D118" s="14" t="s">
        <v>16</v>
      </c>
      <c r="E118" s="445">
        <f>'COS_Units (cust)'!F28*12</f>
        <v>156</v>
      </c>
      <c r="F118" s="339"/>
      <c r="G118" s="472"/>
      <c r="H118" s="472"/>
      <c r="I118" s="472"/>
      <c r="J118" s="472"/>
      <c r="K118" s="472"/>
      <c r="L118" s="472"/>
      <c r="M118" s="472"/>
      <c r="N118" s="472"/>
      <c r="O118" s="472"/>
      <c r="P118" s="472">
        <f>IF($E118=0,0,ROUND(COS_Unbun.!P33/$E118,$Y$11))</f>
        <v>0</v>
      </c>
      <c r="Q118" s="472">
        <f>IF($E118=0,0,ROUND(COS_Unbun.!Q33/$E118,$Y$11))</f>
        <v>0</v>
      </c>
      <c r="R118" s="472">
        <f>IF($E118=0,0,ROUND(COS_Unbun.!R33/$E118,$Y$11))</f>
        <v>0</v>
      </c>
      <c r="S118" s="472">
        <f>IF($E118=0,0,ROUND(COS_Unbun.!S33/$E118,$Y$11))</f>
        <v>132.26923099999999</v>
      </c>
      <c r="T118" s="472">
        <f>IF($E118=0,0,ROUND(COS_Unbun.!T33/$E118,$Y$11))</f>
        <v>281.92948699999999</v>
      </c>
      <c r="U118" s="472"/>
      <c r="V118" s="472"/>
      <c r="W118" s="473"/>
      <c r="X118" s="474">
        <f>SUM(F118:W118)</f>
        <v>414.19871799999999</v>
      </c>
      <c r="Z118"/>
      <c r="AA118"/>
    </row>
    <row r="119" spans="1:27">
      <c r="A119" s="411"/>
      <c r="B119" s="325"/>
      <c r="C119" s="236" t="str">
        <f>IF(D119="","",MAX(C$14:C118)+1)</f>
        <v/>
      </c>
      <c r="D119" s="247"/>
      <c r="E119" s="445"/>
      <c r="F119" s="472"/>
      <c r="G119" s="472"/>
      <c r="H119" s="472"/>
      <c r="I119" s="472"/>
      <c r="J119" s="472"/>
      <c r="K119" s="472"/>
      <c r="L119" s="472"/>
      <c r="M119" s="472"/>
      <c r="N119" s="472"/>
      <c r="O119" s="472"/>
      <c r="P119" s="472"/>
      <c r="Q119" s="472"/>
      <c r="R119" s="472"/>
      <c r="S119" s="472"/>
      <c r="T119" s="472"/>
      <c r="U119" s="472"/>
      <c r="V119" s="472"/>
      <c r="W119" s="473"/>
      <c r="Z119"/>
      <c r="AA119"/>
    </row>
    <row r="120" spans="1:27">
      <c r="A120" s="411"/>
      <c r="B120" s="325"/>
      <c r="C120" s="236">
        <f>IF(D120="","",MAX(C$14:C119)+1)</f>
        <v>60</v>
      </c>
      <c r="D120" s="246" t="s">
        <v>17</v>
      </c>
      <c r="E120" s="445">
        <f>'COS_Units (cust)'!F29*12</f>
        <v>84</v>
      </c>
      <c r="F120" s="339"/>
      <c r="G120" s="472"/>
      <c r="H120" s="472"/>
      <c r="I120" s="472"/>
      <c r="J120" s="472"/>
      <c r="K120" s="472"/>
      <c r="L120" s="472"/>
      <c r="M120" s="472"/>
      <c r="N120" s="472"/>
      <c r="O120" s="472"/>
      <c r="P120" s="472">
        <f>IF($E120=0,0,ROUND(COS_Unbun.!P36/$E120,$Y$11))</f>
        <v>0</v>
      </c>
      <c r="Q120" s="472">
        <f>IF($E120=0,0,ROUND(COS_Unbun.!Q36/$E120,$Y$11))</f>
        <v>0</v>
      </c>
      <c r="R120" s="472">
        <f>IF($E120=0,0,ROUND(COS_Unbun.!R36/$E120,$Y$11))</f>
        <v>0</v>
      </c>
      <c r="S120" s="472">
        <f>IF($E120=0,0,ROUND(COS_Unbun.!S36/$E120,$Y$11))</f>
        <v>132.26190500000001</v>
      </c>
      <c r="T120" s="472">
        <f>IF($E120=0,0,ROUND(COS_Unbun.!T36/$E120,$Y$11))</f>
        <v>702.36904800000002</v>
      </c>
      <c r="U120" s="472"/>
      <c r="V120" s="472"/>
      <c r="W120" s="473"/>
      <c r="X120" s="474">
        <f>SUM(F120:W120)</f>
        <v>834.63095300000009</v>
      </c>
      <c r="Z120"/>
      <c r="AA120"/>
    </row>
    <row r="121" spans="1:27">
      <c r="A121" s="411"/>
      <c r="B121" s="325"/>
      <c r="C121" s="236" t="str">
        <f>IF(D121="","",MAX(C$14:C120)+1)</f>
        <v/>
      </c>
      <c r="D121" s="247"/>
      <c r="E121" s="313"/>
      <c r="F121" s="475"/>
      <c r="G121" s="475"/>
      <c r="H121" s="475"/>
      <c r="I121" s="475"/>
      <c r="J121" s="475"/>
      <c r="K121" s="475"/>
      <c r="L121" s="475"/>
      <c r="M121" s="475"/>
      <c r="N121" s="475"/>
      <c r="O121" s="475"/>
      <c r="P121" s="475"/>
      <c r="Q121" s="475"/>
      <c r="R121" s="475"/>
      <c r="S121" s="475"/>
      <c r="T121" s="475"/>
      <c r="U121" s="475"/>
      <c r="V121" s="475"/>
      <c r="W121" s="476"/>
      <c r="Z121"/>
      <c r="AA121"/>
    </row>
    <row r="122" spans="1:27">
      <c r="A122" s="411"/>
      <c r="B122" s="325"/>
      <c r="C122" s="236">
        <f>IF(D122="","",MAX(C$14:C121)+1)</f>
        <v>61</v>
      </c>
      <c r="D122" s="246" t="s">
        <v>18</v>
      </c>
      <c r="E122" s="445">
        <f>'COS_Units (cust)'!F30*12</f>
        <v>132</v>
      </c>
      <c r="F122" s="339"/>
      <c r="G122" s="472"/>
      <c r="H122" s="472"/>
      <c r="I122" s="472"/>
      <c r="J122" s="472"/>
      <c r="K122" s="472"/>
      <c r="L122" s="472"/>
      <c r="M122" s="472"/>
      <c r="N122" s="472"/>
      <c r="O122" s="472"/>
      <c r="P122" s="472">
        <f>IF($E122=0,0,ROUND(COS_Unbun.!P39/$E122,$Y$11))</f>
        <v>0</v>
      </c>
      <c r="Q122" s="472">
        <f>IF($E122=0,0,ROUND(COS_Unbun.!Q39/$E122,$Y$11))</f>
        <v>0</v>
      </c>
      <c r="R122" s="472">
        <f>IF($E122=0,0,ROUND(COS_Unbun.!R39/$E122,$Y$11))</f>
        <v>0</v>
      </c>
      <c r="S122" s="472">
        <f>IF($E122=0,0,ROUND(COS_Unbun.!S39/$E122,$Y$11))</f>
        <v>132.265152</v>
      </c>
      <c r="T122" s="472">
        <f>IF($E122=0,0,ROUND(COS_Unbun.!T39/$E122,$Y$11))</f>
        <v>284.43181800000002</v>
      </c>
      <c r="U122" s="472"/>
      <c r="V122" s="472"/>
      <c r="W122" s="473"/>
      <c r="X122" s="474">
        <f>SUM(F122:W122)</f>
        <v>416.69697000000002</v>
      </c>
      <c r="Z122"/>
      <c r="AA122"/>
    </row>
    <row r="123" spans="1:27">
      <c r="A123" s="411"/>
      <c r="B123" s="325"/>
      <c r="C123" s="236" t="str">
        <f>IF(D123="","",MAX(C$14:C122)+1)</f>
        <v/>
      </c>
      <c r="D123" s="247"/>
      <c r="E123" s="343"/>
      <c r="F123" s="477"/>
      <c r="G123" s="477"/>
      <c r="H123" s="477"/>
      <c r="I123" s="477"/>
      <c r="J123" s="477"/>
      <c r="K123" s="477"/>
      <c r="L123" s="477"/>
      <c r="M123" s="477"/>
      <c r="N123" s="477"/>
      <c r="O123" s="477"/>
      <c r="P123" s="477"/>
      <c r="Q123" s="477"/>
      <c r="R123" s="477"/>
      <c r="S123" s="477"/>
      <c r="T123" s="477"/>
      <c r="U123" s="477"/>
      <c r="V123" s="477"/>
      <c r="W123" s="473"/>
      <c r="Z123"/>
      <c r="AA123"/>
    </row>
    <row r="124" spans="1:27">
      <c r="A124" s="411"/>
      <c r="B124" s="325"/>
      <c r="C124" s="236">
        <f>IF(D124="","",MAX(C$14:C123)+1)</f>
        <v>62</v>
      </c>
      <c r="D124" s="246" t="s">
        <v>19</v>
      </c>
      <c r="E124" s="445">
        <f>'COS_Units (cust)'!F31*12</f>
        <v>12</v>
      </c>
      <c r="F124" s="339"/>
      <c r="G124" s="472"/>
      <c r="H124" s="472"/>
      <c r="I124" s="472"/>
      <c r="J124" s="472"/>
      <c r="K124" s="472"/>
      <c r="L124" s="472"/>
      <c r="M124" s="472"/>
      <c r="N124" s="472"/>
      <c r="O124" s="472"/>
      <c r="P124" s="472">
        <f>IF($E124=0,0,ROUND(COS_Unbun.!P42/$E124,$Y$11))</f>
        <v>0</v>
      </c>
      <c r="Q124" s="472">
        <f>IF($E124=0,0,ROUND(COS_Unbun.!Q42/$E124,$Y$11))</f>
        <v>0</v>
      </c>
      <c r="R124" s="472">
        <f>IF($E124=0,0,ROUND(COS_Unbun.!R42/$E124,$Y$11))</f>
        <v>0</v>
      </c>
      <c r="S124" s="472">
        <f>IF($E124=0,0,ROUND(COS_Unbun.!S42/$E124,$Y$11))</f>
        <v>132.25</v>
      </c>
      <c r="T124" s="472">
        <f>IF($E124=0,0,ROUND(COS_Unbun.!T42/$E124,$Y$11))</f>
        <v>268.16666700000002</v>
      </c>
      <c r="U124" s="472"/>
      <c r="V124" s="472"/>
      <c r="W124" s="473"/>
      <c r="X124" s="474">
        <f>SUM(F124:W124)</f>
        <v>400.41666700000002</v>
      </c>
      <c r="Z124"/>
      <c r="AA124"/>
    </row>
    <row r="125" spans="1:27">
      <c r="A125" s="411"/>
      <c r="B125" s="325"/>
      <c r="C125" s="236" t="str">
        <f>IF(D125="","",MAX(C$14:C124)+1)</f>
        <v/>
      </c>
      <c r="D125" s="247"/>
      <c r="E125" s="313"/>
      <c r="F125" s="475"/>
      <c r="G125" s="475"/>
      <c r="H125" s="475"/>
      <c r="I125" s="475"/>
      <c r="J125" s="475"/>
      <c r="K125" s="475"/>
      <c r="L125" s="475"/>
      <c r="M125" s="475"/>
      <c r="N125" s="475"/>
      <c r="O125" s="475"/>
      <c r="P125" s="475"/>
      <c r="Q125" s="475"/>
      <c r="R125" s="475"/>
      <c r="S125" s="475"/>
      <c r="T125" s="475"/>
      <c r="U125" s="475"/>
      <c r="V125" s="475"/>
      <c r="W125" s="476"/>
      <c r="Z125"/>
      <c r="AA125"/>
    </row>
    <row r="126" spans="1:27">
      <c r="A126" s="411"/>
      <c r="B126" s="325"/>
      <c r="C126" s="236">
        <f>IF(D126="","",MAX(C$14:C125)+1)</f>
        <v>63</v>
      </c>
      <c r="D126" s="246" t="s">
        <v>20</v>
      </c>
      <c r="E126" s="445">
        <f>'COS_Units (cust)'!F32*12</f>
        <v>0</v>
      </c>
      <c r="F126" s="339"/>
      <c r="G126" s="472"/>
      <c r="H126" s="472"/>
      <c r="I126" s="472"/>
      <c r="J126" s="472"/>
      <c r="K126" s="472"/>
      <c r="L126" s="472"/>
      <c r="M126" s="472"/>
      <c r="N126" s="472"/>
      <c r="O126" s="472"/>
      <c r="P126" s="472">
        <f>IF($E126=0,0,ROUND(COS_Unbun.!P45/$E126,$Y$11))</f>
        <v>0</v>
      </c>
      <c r="Q126" s="472">
        <f>IF($E126=0,0,ROUND(COS_Unbun.!Q45/$E126,$Y$11))</f>
        <v>0</v>
      </c>
      <c r="R126" s="472">
        <f>IF($E126=0,0,ROUND(COS_Unbun.!R45/$E126,$Y$11))</f>
        <v>0</v>
      </c>
      <c r="S126" s="472">
        <f>IF($E126=0,0,ROUND(COS_Unbun.!S45/$E126,$Y$11))</f>
        <v>0</v>
      </c>
      <c r="T126" s="472">
        <f>IF($E126=0,0,ROUND(COS_Unbun.!T45/$E126,$Y$11))</f>
        <v>0</v>
      </c>
      <c r="U126" s="472"/>
      <c r="V126" s="472"/>
      <c r="W126" s="473"/>
      <c r="X126" s="474">
        <f>SUM(F126:W126)</f>
        <v>0</v>
      </c>
      <c r="Z126"/>
      <c r="AA126"/>
    </row>
    <row r="127" spans="1:27">
      <c r="A127" s="411"/>
      <c r="B127" s="325"/>
      <c r="C127" s="236" t="str">
        <f>IF(D127="","",MAX(C$14:C126)+1)</f>
        <v/>
      </c>
      <c r="E127" s="313"/>
      <c r="F127" s="475"/>
      <c r="G127" s="475"/>
      <c r="H127" s="475"/>
      <c r="I127" s="475"/>
      <c r="J127" s="475"/>
      <c r="K127" s="475"/>
      <c r="L127" s="475"/>
      <c r="M127" s="475"/>
      <c r="N127" s="475"/>
      <c r="O127" s="475"/>
      <c r="P127" s="475"/>
      <c r="Q127" s="475"/>
      <c r="R127" s="475"/>
      <c r="S127" s="475"/>
      <c r="T127" s="475"/>
      <c r="U127" s="475"/>
      <c r="V127" s="475"/>
      <c r="W127" s="476"/>
      <c r="Z127"/>
      <c r="AA127"/>
    </row>
    <row r="128" spans="1:27">
      <c r="A128" s="411"/>
      <c r="B128" s="325"/>
      <c r="C128" s="236">
        <f>IF(D128="","",MAX(C$14:C127)+1)</f>
        <v>64</v>
      </c>
      <c r="D128" s="246" t="s">
        <v>4</v>
      </c>
      <c r="E128" s="445">
        <f>'COS_Units (cust)'!F33*12</f>
        <v>792</v>
      </c>
      <c r="F128" s="339"/>
      <c r="G128" s="472"/>
      <c r="H128" s="472"/>
      <c r="I128" s="472"/>
      <c r="J128" s="472"/>
      <c r="K128" s="472"/>
      <c r="L128" s="472"/>
      <c r="M128" s="472"/>
      <c r="N128" s="472"/>
      <c r="O128" s="472"/>
      <c r="P128" s="472">
        <f>IF($E128=0,0,ROUND(COS_Unbun.!P48/$E128,$Y$11))</f>
        <v>5.7462119999999999</v>
      </c>
      <c r="Q128" s="472">
        <f>IF($E128=0,0,ROUND(COS_Unbun.!Q48/$E128,$Y$11))</f>
        <v>11.945707000000001</v>
      </c>
      <c r="R128" s="472">
        <f>IF($E128=0,0,ROUND(COS_Unbun.!R48/$E128,$Y$11))</f>
        <v>2.1477270000000002</v>
      </c>
      <c r="S128" s="472">
        <f>IF($E128=0,0,ROUND(COS_Unbun.!S48/$E128,$Y$11))</f>
        <v>0</v>
      </c>
      <c r="T128" s="472">
        <f>IF($E128=0,0,ROUND(COS_Unbun.!T48/$E128,$Y$11))</f>
        <v>13.544192000000001</v>
      </c>
      <c r="U128" s="472"/>
      <c r="V128" s="472"/>
      <c r="W128" s="473"/>
      <c r="X128" s="474">
        <f>SUM(F128:W128)</f>
        <v>33.383837999999997</v>
      </c>
      <c r="Z128"/>
      <c r="AA128"/>
    </row>
    <row r="129" spans="1:27">
      <c r="A129" s="411"/>
      <c r="B129" s="325"/>
      <c r="C129" s="236" t="str">
        <f>IF(D129="","",MAX(C$14:C128)+1)</f>
        <v/>
      </c>
      <c r="D129" s="247"/>
      <c r="E129" s="313"/>
      <c r="F129" s="475"/>
      <c r="G129" s="475"/>
      <c r="H129" s="475"/>
      <c r="I129" s="475"/>
      <c r="J129" s="475"/>
      <c r="K129" s="475"/>
      <c r="L129" s="475"/>
      <c r="M129" s="475"/>
      <c r="N129" s="475"/>
      <c r="O129" s="475"/>
      <c r="P129" s="475"/>
      <c r="Q129" s="475"/>
      <c r="R129" s="475"/>
      <c r="S129" s="475"/>
      <c r="T129" s="475"/>
      <c r="U129" s="475"/>
      <c r="V129" s="475"/>
      <c r="W129" s="476"/>
      <c r="Z129"/>
      <c r="AA129"/>
    </row>
    <row r="130" spans="1:27">
      <c r="A130" s="411"/>
      <c r="B130" s="325"/>
      <c r="C130" s="236">
        <f>IF(D130="","",MAX(C$14:C129)+1)</f>
        <v>65</v>
      </c>
      <c r="D130" s="246" t="s">
        <v>5</v>
      </c>
      <c r="E130" s="445">
        <f>'COS_Units (cust)'!F34*12</f>
        <v>516</v>
      </c>
      <c r="F130" s="339"/>
      <c r="G130" s="472"/>
      <c r="H130" s="472"/>
      <c r="I130" s="472"/>
      <c r="J130" s="472"/>
      <c r="K130" s="472"/>
      <c r="L130" s="472"/>
      <c r="M130" s="472"/>
      <c r="N130" s="472"/>
      <c r="O130" s="472"/>
      <c r="P130" s="472">
        <f>IF($E130=0,0,ROUND(COS_Unbun.!P51/$E130,$Y$11))</f>
        <v>5.6453490000000004</v>
      </c>
      <c r="Q130" s="472">
        <f>IF($E130=0,0,ROUND(COS_Unbun.!Q51/$E130,$Y$11))</f>
        <v>11.916667</v>
      </c>
      <c r="R130" s="472">
        <f>IF($E130=0,0,ROUND(COS_Unbun.!R51/$E130,$Y$11))</f>
        <v>2.0988370000000001</v>
      </c>
      <c r="S130" s="472">
        <f>IF($E130=0,0,ROUND(COS_Unbun.!S51/$E130,$Y$11))</f>
        <v>0</v>
      </c>
      <c r="T130" s="472">
        <f>IF($E130=0,0,ROUND(COS_Unbun.!T51/$E130,$Y$11))</f>
        <v>14.552326000000001</v>
      </c>
      <c r="U130" s="472"/>
      <c r="V130" s="472"/>
      <c r="W130" s="473"/>
      <c r="X130" s="474">
        <f>SUM(F130:W130)</f>
        <v>34.213178999999997</v>
      </c>
      <c r="Z130"/>
      <c r="AA130"/>
    </row>
    <row r="131" spans="1:27">
      <c r="A131" s="411"/>
      <c r="B131" s="325"/>
      <c r="C131" s="236" t="str">
        <f>IF(D131="","",MAX(C$14:C130)+1)</f>
        <v/>
      </c>
      <c r="D131" s="247"/>
      <c r="E131" s="343"/>
      <c r="F131" s="477"/>
      <c r="G131" s="477"/>
      <c r="H131" s="477"/>
      <c r="I131" s="477"/>
      <c r="J131" s="477"/>
      <c r="K131" s="477"/>
      <c r="L131" s="477"/>
      <c r="M131" s="477"/>
      <c r="N131" s="477"/>
      <c r="O131" s="477"/>
      <c r="P131" s="477"/>
      <c r="Q131" s="477"/>
      <c r="R131" s="477"/>
      <c r="S131" s="477"/>
      <c r="T131" s="477"/>
      <c r="U131" s="477"/>
      <c r="V131" s="477"/>
      <c r="W131" s="473"/>
      <c r="Z131"/>
      <c r="AA131"/>
    </row>
    <row r="132" spans="1:27">
      <c r="A132" s="411"/>
      <c r="B132" s="325"/>
      <c r="C132" s="236">
        <f>IF(D132="","",MAX(C$14:C131)+1)</f>
        <v>66</v>
      </c>
      <c r="D132" s="246" t="s">
        <v>23</v>
      </c>
      <c r="E132" s="445">
        <f>'COS_Units (cust)'!F35*12</f>
        <v>132</v>
      </c>
      <c r="F132" s="339"/>
      <c r="G132" s="472"/>
      <c r="H132" s="472"/>
      <c r="I132" s="472"/>
      <c r="J132" s="472"/>
      <c r="K132" s="472"/>
      <c r="L132" s="472"/>
      <c r="M132" s="472"/>
      <c r="N132" s="472"/>
      <c r="O132" s="472"/>
      <c r="P132" s="472">
        <f>IF($E132=0,0,ROUND(COS_Unbun.!P54/$E132,$Y$11))</f>
        <v>5.5151519999999996</v>
      </c>
      <c r="Q132" s="472">
        <f>IF($E132=0,0,ROUND(COS_Unbun.!Q54/$E132,$Y$11))</f>
        <v>10.75</v>
      </c>
      <c r="R132" s="472">
        <f>IF($E132=0,0,ROUND(COS_Unbun.!R54/$E132,$Y$11))</f>
        <v>2.3409089999999999</v>
      </c>
      <c r="S132" s="472">
        <f>IF($E132=0,0,ROUND(COS_Unbun.!S54/$E132,$Y$11))</f>
        <v>4.0075760000000002</v>
      </c>
      <c r="T132" s="472">
        <f>IF($E132=0,0,ROUND(COS_Unbun.!T54/$E132,$Y$11))</f>
        <v>16.25</v>
      </c>
      <c r="U132" s="472"/>
      <c r="V132" s="472"/>
      <c r="W132" s="473"/>
      <c r="X132" s="474">
        <f>SUM(F132:W132)</f>
        <v>38.863636999999997</v>
      </c>
      <c r="Z132"/>
      <c r="AA132"/>
    </row>
    <row r="133" spans="1:27">
      <c r="A133" s="411"/>
      <c r="B133" s="325"/>
      <c r="C133" s="236" t="str">
        <f>IF(D133="","",MAX(C$14:C132)+1)</f>
        <v/>
      </c>
      <c r="D133" s="206"/>
      <c r="E133" s="403"/>
      <c r="F133" s="478"/>
      <c r="G133" s="478"/>
      <c r="H133" s="478"/>
      <c r="I133" s="478"/>
      <c r="J133" s="478"/>
      <c r="K133" s="478"/>
      <c r="L133" s="478"/>
      <c r="M133" s="478"/>
      <c r="N133" s="478"/>
      <c r="O133" s="478"/>
      <c r="P133" s="478"/>
      <c r="Q133" s="478"/>
      <c r="R133" s="478"/>
      <c r="S133" s="478"/>
      <c r="T133" s="478"/>
      <c r="U133" s="478"/>
      <c r="V133" s="478"/>
      <c r="W133" s="479"/>
      <c r="Z133"/>
      <c r="AA133"/>
    </row>
    <row r="134" spans="1:27">
      <c r="A134" s="411"/>
      <c r="B134" s="325"/>
      <c r="C134" s="236">
        <f>IF(D134="","",MAX(C$14:C133)+1)</f>
        <v>67</v>
      </c>
      <c r="D134" s="246" t="s">
        <v>66</v>
      </c>
      <c r="E134" s="445">
        <f>'COS_Units (cust)'!F36*12</f>
        <v>0</v>
      </c>
      <c r="F134" s="339"/>
      <c r="G134" s="472"/>
      <c r="H134" s="472"/>
      <c r="I134" s="472"/>
      <c r="J134" s="472"/>
      <c r="K134" s="472"/>
      <c r="L134" s="472"/>
      <c r="M134" s="472"/>
      <c r="N134" s="472"/>
      <c r="O134" s="472"/>
      <c r="P134" s="472">
        <f>IF($E134=0,0,ROUND(COS_Unbun.!P57/$E134,$Y$11))</f>
        <v>0</v>
      </c>
      <c r="Q134" s="472">
        <f>IF($E134=0,0,ROUND(COS_Unbun.!Q57/$E134,$Y$11))</f>
        <v>0</v>
      </c>
      <c r="R134" s="472">
        <f>IF($E134=0,0,ROUND(COS_Unbun.!R57/$E134,$Y$11))</f>
        <v>0</v>
      </c>
      <c r="S134" s="472">
        <f>IF($E134=0,0,ROUND(COS_Unbun.!S57/$E134,$Y$11))</f>
        <v>0</v>
      </c>
      <c r="T134" s="472">
        <f>IF($E134=0,0,ROUND(COS_Unbun.!T57/$E134,$Y$11))</f>
        <v>0</v>
      </c>
      <c r="U134" s="472"/>
      <c r="V134" s="472"/>
      <c r="W134" s="473"/>
      <c r="X134" s="474">
        <f>SUM(F134:W134)</f>
        <v>0</v>
      </c>
      <c r="Z134"/>
      <c r="AA134"/>
    </row>
    <row r="135" spans="1:27">
      <c r="A135" s="411"/>
      <c r="B135" s="325"/>
      <c r="C135" s="236" t="str">
        <f>IF(D135="","",MAX(C$14:C134)+1)</f>
        <v/>
      </c>
      <c r="D135" s="206"/>
      <c r="E135" s="343"/>
      <c r="F135" s="339"/>
      <c r="G135" s="477"/>
      <c r="H135" s="477"/>
      <c r="I135" s="477"/>
      <c r="J135" s="477"/>
      <c r="K135" s="477"/>
      <c r="L135" s="477"/>
      <c r="M135" s="477"/>
      <c r="N135" s="477"/>
      <c r="O135" s="477"/>
      <c r="P135" s="477"/>
      <c r="Q135" s="477"/>
      <c r="R135" s="477"/>
      <c r="S135" s="477"/>
      <c r="T135" s="477"/>
      <c r="U135" s="477"/>
      <c r="V135" s="477"/>
      <c r="W135" s="473"/>
      <c r="Z135"/>
      <c r="AA135"/>
    </row>
    <row r="136" spans="1:27">
      <c r="A136" s="411"/>
      <c r="B136" s="325"/>
      <c r="C136" s="236">
        <f>IF(D136="","",MAX(C$14:C135)+1)</f>
        <v>68</v>
      </c>
      <c r="D136" s="254" t="s">
        <v>43</v>
      </c>
      <c r="E136" s="446">
        <f>SUM(E102,E104,E109,E114,E116,E118,E120,E122,E124,E126,E128,E130,E132,E134)</f>
        <v>632167</v>
      </c>
      <c r="F136" s="472"/>
      <c r="G136" s="472"/>
      <c r="H136" s="472"/>
      <c r="I136" s="472"/>
      <c r="J136" s="472"/>
      <c r="K136" s="472"/>
      <c r="L136" s="472"/>
      <c r="M136" s="472"/>
      <c r="N136" s="472"/>
      <c r="O136" s="472"/>
      <c r="P136" s="472">
        <f>IF($E136=0,0,ROUND(COS_Unbun.!P59/$E136,$Y$11))</f>
        <v>2.8795160000000002</v>
      </c>
      <c r="Q136" s="472">
        <f>IF($E136=0,0,ROUND(COS_Unbun.!Q59/$E136,$Y$11))</f>
        <v>7.4826829999999998</v>
      </c>
      <c r="R136" s="472">
        <f>IF($E136=0,0,ROUND(COS_Unbun.!R59/$E136,$Y$11))</f>
        <v>2.4465699999999999</v>
      </c>
      <c r="S136" s="472">
        <f>IF($E136=0,0,ROUND(COS_Unbun.!S59/$E136,$Y$11))</f>
        <v>8.3691110000000002</v>
      </c>
      <c r="T136" s="472">
        <f>IF($E136=0,0,ROUND(COS_Unbun.!T59/$E136,$Y$11))</f>
        <v>16.968630000000001</v>
      </c>
      <c r="U136" s="472"/>
      <c r="V136" s="472"/>
      <c r="W136" s="473"/>
      <c r="X136" s="474">
        <f>SUM(F136:W136)</f>
        <v>38.146510000000006</v>
      </c>
      <c r="Z136"/>
      <c r="AA136"/>
    </row>
    <row r="137" spans="1:27">
      <c r="A137" s="411"/>
      <c r="B137" s="325"/>
      <c r="C137" s="236"/>
      <c r="D137" s="254"/>
      <c r="E137" s="446"/>
      <c r="F137" s="472"/>
      <c r="G137" s="472"/>
      <c r="H137" s="472"/>
      <c r="I137" s="472"/>
      <c r="J137" s="472"/>
      <c r="K137" s="472"/>
      <c r="L137" s="472"/>
      <c r="M137" s="472"/>
      <c r="N137" s="472"/>
      <c r="O137" s="472"/>
      <c r="P137" s="472"/>
      <c r="Q137" s="472"/>
      <c r="R137" s="472"/>
      <c r="S137" s="472"/>
      <c r="T137" s="472"/>
      <c r="U137" s="472"/>
      <c r="V137" s="472"/>
      <c r="W137" s="473"/>
      <c r="Z137"/>
      <c r="AA137"/>
    </row>
    <row r="138" spans="1:27">
      <c r="A138" s="411"/>
      <c r="B138" s="325"/>
      <c r="C138" s="236"/>
      <c r="D138" s="866" t="s">
        <v>1031</v>
      </c>
      <c r="E138" s="867">
        <f>(TY_Units!E65-TY_Units!E16-TY_Units!E18)*12+(TY_Units!E16+TY_Units!E18)*7</f>
        <v>632167</v>
      </c>
      <c r="F138" s="449"/>
      <c r="G138" s="449"/>
      <c r="H138" s="449"/>
      <c r="I138" s="449"/>
      <c r="J138" s="449"/>
      <c r="K138" s="449"/>
      <c r="L138" s="449"/>
      <c r="M138" s="449"/>
      <c r="N138" s="449"/>
      <c r="O138" s="449"/>
      <c r="P138" s="449"/>
      <c r="Q138" s="449"/>
      <c r="R138" s="449"/>
      <c r="S138" s="449"/>
      <c r="T138" s="449"/>
      <c r="U138" s="449"/>
      <c r="V138" s="449"/>
      <c r="W138" s="450"/>
      <c r="X138"/>
      <c r="Y138"/>
      <c r="Z138"/>
      <c r="AA138"/>
    </row>
    <row r="139" spans="1:27">
      <c r="A139" s="411"/>
      <c r="B139" s="325"/>
      <c r="C139" s="236"/>
      <c r="D139" s="868" t="s">
        <v>1033</v>
      </c>
      <c r="E139" s="869">
        <f>E138-E136</f>
        <v>0</v>
      </c>
      <c r="F139" s="570"/>
      <c r="G139" s="449"/>
      <c r="H139" s="449"/>
      <c r="I139" s="449"/>
      <c r="J139" s="449"/>
      <c r="K139" s="449"/>
      <c r="L139" s="449"/>
      <c r="M139" s="449"/>
      <c r="N139" s="449"/>
      <c r="O139" s="449"/>
      <c r="P139" s="449"/>
      <c r="Q139" s="449"/>
      <c r="R139" s="449"/>
      <c r="S139" s="449"/>
      <c r="T139" s="449"/>
      <c r="U139" s="449"/>
      <c r="V139" s="449"/>
      <c r="W139" s="450"/>
      <c r="X139"/>
      <c r="Y139"/>
      <c r="Z139"/>
      <c r="AA139"/>
    </row>
    <row r="140" spans="1:27" ht="16.5" thickBot="1">
      <c r="A140" s="411"/>
      <c r="B140" s="325"/>
      <c r="C140" s="236"/>
      <c r="D140" s="254"/>
      <c r="E140" s="446"/>
      <c r="F140" s="472"/>
      <c r="G140" s="472"/>
      <c r="H140" s="472"/>
      <c r="I140" s="472"/>
      <c r="J140" s="472"/>
      <c r="K140" s="472"/>
      <c r="L140" s="472"/>
      <c r="M140" s="472"/>
      <c r="N140" s="472"/>
      <c r="O140" s="472"/>
      <c r="P140" s="472"/>
      <c r="Q140" s="472"/>
      <c r="R140" s="472"/>
      <c r="S140" s="472"/>
      <c r="T140" s="472"/>
      <c r="U140" s="472"/>
      <c r="V140" s="472"/>
      <c r="W140" s="473"/>
      <c r="Z140"/>
      <c r="AA140"/>
    </row>
    <row r="141" spans="1:27">
      <c r="A141" s="411"/>
      <c r="B141" s="325"/>
      <c r="C141" s="4488" t="s">
        <v>867</v>
      </c>
      <c r="D141" s="4490" t="s">
        <v>118</v>
      </c>
      <c r="E141" s="4490" t="s">
        <v>605</v>
      </c>
      <c r="F141" s="4490" t="s">
        <v>907</v>
      </c>
      <c r="G141" s="4490" t="s">
        <v>998</v>
      </c>
      <c r="H141" s="4490" t="s">
        <v>608</v>
      </c>
      <c r="I141" s="472"/>
      <c r="J141" s="472"/>
      <c r="K141" s="472"/>
      <c r="L141" s="472"/>
      <c r="M141" s="472"/>
      <c r="N141" s="472"/>
      <c r="O141" s="472"/>
      <c r="P141" s="472"/>
      <c r="Q141" s="472"/>
      <c r="R141" s="472"/>
      <c r="S141" s="472"/>
      <c r="T141" s="472"/>
      <c r="U141" s="472"/>
      <c r="V141" s="472"/>
      <c r="W141" s="472"/>
      <c r="X141" s="472"/>
      <c r="Y141" s="473"/>
    </row>
    <row r="142" spans="1:27" ht="16.5" thickBot="1">
      <c r="A142" s="411"/>
      <c r="B142" s="325"/>
      <c r="C142" s="4489"/>
      <c r="D142" s="4462"/>
      <c r="E142" s="4462"/>
      <c r="F142" s="4462"/>
      <c r="G142" s="4462"/>
      <c r="H142" s="4462"/>
      <c r="I142" s="433"/>
      <c r="J142" s="433"/>
      <c r="K142" s="433"/>
      <c r="L142" s="433"/>
      <c r="M142" s="472"/>
      <c r="N142" s="472"/>
      <c r="O142" s="472"/>
      <c r="P142" s="472"/>
      <c r="Q142" s="472"/>
      <c r="R142" s="472"/>
      <c r="S142" s="472"/>
      <c r="T142" s="472"/>
      <c r="U142" s="472"/>
      <c r="V142" s="472"/>
      <c r="W142" s="472"/>
      <c r="X142" s="472"/>
      <c r="Y142" s="473"/>
    </row>
    <row r="143" spans="1:27">
      <c r="A143" s="411"/>
      <c r="B143" s="325"/>
      <c r="C143" s="236"/>
      <c r="D143" s="206"/>
      <c r="E143" s="313"/>
      <c r="F143" s="475"/>
      <c r="G143" s="475"/>
      <c r="H143" s="475"/>
      <c r="I143" s="475"/>
      <c r="J143" s="475"/>
      <c r="K143" s="475"/>
      <c r="L143" s="475"/>
      <c r="M143" s="475"/>
      <c r="N143" s="475"/>
      <c r="O143" s="475"/>
      <c r="P143" s="475"/>
      <c r="Q143" s="475"/>
      <c r="R143" s="475"/>
      <c r="S143" s="475"/>
      <c r="T143" s="475"/>
      <c r="U143" s="475"/>
      <c r="V143" s="475"/>
      <c r="W143" s="475"/>
      <c r="X143" s="475"/>
      <c r="Y143" s="476"/>
    </row>
    <row r="144" spans="1:27">
      <c r="A144" s="411"/>
      <c r="C144" s="236">
        <f>IF(D144="","",MAX(C$143:C143)+1)</f>
        <v>1</v>
      </c>
      <c r="D144" s="206" t="s">
        <v>13</v>
      </c>
      <c r="E144" s="447">
        <f>COS_Unbun.!Y14/E15</f>
        <v>5.385379257154848E-2</v>
      </c>
      <c r="H144" s="474">
        <f>COS_Unbun.!AB14/E102</f>
        <v>19.9997507788162</v>
      </c>
      <c r="Z144" s="18"/>
    </row>
    <row r="145" spans="1:12">
      <c r="A145" s="411"/>
      <c r="C145" s="236" t="str">
        <f>IF(D145="","",MAX(C$143:C144)+1)</f>
        <v/>
      </c>
      <c r="D145" s="272"/>
    </row>
    <row r="146" spans="1:12">
      <c r="A146" s="411"/>
      <c r="C146" s="236">
        <f>IF(D146="","",MAX(C$143:C145)+1)</f>
        <v>2</v>
      </c>
      <c r="D146" s="206" t="s">
        <v>14</v>
      </c>
      <c r="E146" s="447">
        <f>COS_Unbun.!Y17/E18</f>
        <v>6.7143768968084938E-2</v>
      </c>
      <c r="H146" s="474">
        <f>COS_Unbun.!AB17/E104</f>
        <v>22.115748358680296</v>
      </c>
    </row>
    <row r="147" spans="1:12">
      <c r="A147" s="411"/>
      <c r="C147" s="236" t="str">
        <f>IF(D147="","",MAX(C$143:C146)+1)</f>
        <v/>
      </c>
      <c r="D147" s="11"/>
    </row>
    <row r="148" spans="1:12">
      <c r="A148" s="411"/>
      <c r="C148" s="236">
        <f>IF(D148="","",MAX(C$143:C147)+1)</f>
        <v>3</v>
      </c>
      <c r="D148" s="14" t="s">
        <v>15</v>
      </c>
    </row>
    <row r="149" spans="1:12">
      <c r="A149" s="411"/>
      <c r="C149" s="236">
        <f>IF(D149="","",MAX(C$143:C148)+1)</f>
        <v>4</v>
      </c>
      <c r="D149" s="15" t="s">
        <v>7</v>
      </c>
      <c r="E149" s="447">
        <f>COS_Unbun.!Y20/E21</f>
        <v>3.9749220377251711E-2</v>
      </c>
      <c r="G149" s="474">
        <f>COS_Unbun.!AA20/E62</f>
        <v>29.211999078469127</v>
      </c>
      <c r="H149" s="474">
        <f>COS_Unbun.!AB20/E107</f>
        <v>101.28341013824885</v>
      </c>
    </row>
    <row r="150" spans="1:12">
      <c r="A150" s="411"/>
      <c r="C150" s="236">
        <f>IF(D150="","",MAX(C$143:C149)+1)</f>
        <v>5</v>
      </c>
      <c r="D150" s="15" t="s">
        <v>8</v>
      </c>
      <c r="E150" s="813">
        <f>COS_Unbun.!Y21/E22</f>
        <v>4.0194437303012434E-2</v>
      </c>
      <c r="G150" s="814">
        <f>COS_Unbun.!AA21/E63</f>
        <v>29.048761712315805</v>
      </c>
      <c r="H150" s="814">
        <f>COS_Unbun.!AB21/E108</f>
        <v>76.713765343291811</v>
      </c>
      <c r="I150" s="1751"/>
      <c r="J150" s="1751"/>
      <c r="K150" s="1751"/>
      <c r="L150" s="1751"/>
    </row>
    <row r="151" spans="1:12">
      <c r="A151" s="411"/>
      <c r="C151" s="236">
        <f>IF(D151="","",MAX(C$143:C150)+1)</f>
        <v>6</v>
      </c>
      <c r="D151" s="39" t="s">
        <v>32</v>
      </c>
      <c r="E151" s="447">
        <f>COS_Unbun.!Y22/E23</f>
        <v>4.0192211218383629E-2</v>
      </c>
      <c r="G151" s="474">
        <f>COS_Unbun.!AA22/E64</f>
        <v>29.04957789914657</v>
      </c>
      <c r="H151" s="474">
        <f>COS_Unbun.!AB22/E109</f>
        <v>77.035887985983138</v>
      </c>
    </row>
    <row r="152" spans="1:12">
      <c r="A152" s="411"/>
      <c r="C152" s="236" t="str">
        <f>IF(D152="","",MAX(C$143:C151)+1)</f>
        <v/>
      </c>
      <c r="D152" s="247"/>
    </row>
    <row r="153" spans="1:12">
      <c r="A153" s="411"/>
      <c r="C153" s="236">
        <f>IF(D153="","",MAX(C$143:C152)+1)</f>
        <v>7</v>
      </c>
      <c r="D153" s="14" t="s">
        <v>21</v>
      </c>
    </row>
    <row r="154" spans="1:12">
      <c r="A154" s="411"/>
      <c r="C154" s="236">
        <f>IF(D154="","",MAX(C$143:C153)+1)</f>
        <v>8</v>
      </c>
      <c r="D154" s="15" t="s">
        <v>7</v>
      </c>
      <c r="E154" s="447">
        <f>COS_Unbun.!Y25/E26</f>
        <v>6.0035957960451518E-2</v>
      </c>
      <c r="H154" s="474">
        <f>COS_Unbun.!AB25/E112</f>
        <v>36.669571495735106</v>
      </c>
    </row>
    <row r="155" spans="1:12">
      <c r="A155" s="411"/>
      <c r="C155" s="236">
        <f>IF(D155="","",MAX(C$143:C154)+1)</f>
        <v>9</v>
      </c>
      <c r="D155" s="15" t="s">
        <v>8</v>
      </c>
      <c r="E155" s="813">
        <f>COS_Unbun.!Y26/E27</f>
        <v>4.0399357826108699E-2</v>
      </c>
      <c r="F155" s="814">
        <f>COS_Unbun.!Z26/E68</f>
        <v>4.3691485902597602</v>
      </c>
      <c r="H155" s="814">
        <f>COS_Unbun.!AB26/E113</f>
        <v>46.934245798535933</v>
      </c>
      <c r="I155" s="1751"/>
      <c r="J155" s="1751"/>
      <c r="K155" s="1751"/>
      <c r="L155" s="1751"/>
    </row>
    <row r="156" spans="1:12">
      <c r="A156" s="411"/>
      <c r="C156" s="236">
        <f>IF(D156="","",MAX(C$143:C155)+1)</f>
        <v>10</v>
      </c>
      <c r="D156" s="39" t="s">
        <v>33</v>
      </c>
      <c r="E156" s="447">
        <f>COS_Unbun.!Y27/E28</f>
        <v>4.4614066252787417E-2</v>
      </c>
      <c r="F156" s="474">
        <f>F155</f>
        <v>4.3691485902597602</v>
      </c>
      <c r="H156" s="474">
        <f>COS_Unbun.!AB27/E114</f>
        <v>40.718582235236703</v>
      </c>
    </row>
    <row r="157" spans="1:12">
      <c r="A157" s="411"/>
      <c r="C157" s="236" t="str">
        <f>IF(D157="","",MAX(C$143:C156)+1)</f>
        <v/>
      </c>
      <c r="D157" s="247"/>
    </row>
    <row r="158" spans="1:12">
      <c r="A158" s="411"/>
      <c r="C158" s="236">
        <f>IF(D158="","",MAX(C$143:C157)+1)</f>
        <v>11</v>
      </c>
      <c r="D158" s="14" t="s">
        <v>22</v>
      </c>
      <c r="E158" s="447">
        <f>COS_Unbun.!Y30/E30</f>
        <v>3.2118545270500072E-2</v>
      </c>
      <c r="F158" s="474">
        <f>COS_Unbun.!Z30/E71</f>
        <v>2.2687248914980929</v>
      </c>
      <c r="H158" s="474">
        <f>COS_Unbun.!AB30/E116</f>
        <v>251.79691876750701</v>
      </c>
    </row>
    <row r="159" spans="1:12">
      <c r="A159" s="411"/>
      <c r="C159" s="236" t="str">
        <f>IF(D159="","",MAX(C$143:C158)+1)</f>
        <v/>
      </c>
      <c r="D159" s="206"/>
    </row>
    <row r="160" spans="1:12">
      <c r="A160" s="411"/>
      <c r="C160" s="236">
        <f>IF(D160="","",MAX(C$143:C159)+1)</f>
        <v>12</v>
      </c>
      <c r="D160" s="14" t="s">
        <v>16</v>
      </c>
      <c r="E160" s="447">
        <f>COS_Unbun.!Y33/E32</f>
        <v>2.2399568673385837E-3</v>
      </c>
      <c r="F160" s="474">
        <f>COS_Unbun.!Z33/E73</f>
        <v>19.552448905861194</v>
      </c>
      <c r="H160" s="474">
        <f>COS_Unbun.!AB33/E118</f>
        <v>414.19871794871796</v>
      </c>
    </row>
    <row r="161" spans="1:8">
      <c r="A161" s="411"/>
      <c r="C161" s="236" t="str">
        <f>IF(D161="","",MAX(C$143:C160)+1)</f>
        <v/>
      </c>
      <c r="D161" s="247"/>
      <c r="E161" s="447"/>
    </row>
    <row r="162" spans="1:8">
      <c r="A162" s="411"/>
      <c r="C162" s="236">
        <f>IF(D162="","",MAX(C$143:C161)+1)</f>
        <v>13</v>
      </c>
      <c r="D162" s="246" t="s">
        <v>17</v>
      </c>
      <c r="E162" s="447">
        <f>COS_Unbun.!Y36/E34</f>
        <v>2.2391255151582054E-3</v>
      </c>
      <c r="F162" s="474">
        <f>COS_Unbun.!Z36/E75</f>
        <v>19.547503744500961</v>
      </c>
      <c r="H162" s="474">
        <f>COS_Unbun.!AB36/E120</f>
        <v>834.63095238095241</v>
      </c>
    </row>
    <row r="163" spans="1:8">
      <c r="A163" s="411"/>
      <c r="C163" s="236" t="str">
        <f>IF(D163="","",MAX(C$143:C162)+1)</f>
        <v/>
      </c>
      <c r="D163" s="247"/>
    </row>
    <row r="164" spans="1:8">
      <c r="A164" s="411"/>
      <c r="C164" s="236">
        <f>IF(D164="","",MAX(C$143:C163)+1)</f>
        <v>14</v>
      </c>
      <c r="D164" s="246" t="s">
        <v>18</v>
      </c>
      <c r="E164" s="447">
        <f>COS_Unbun.!Y39/E36</f>
        <v>2.240489719058875E-3</v>
      </c>
      <c r="F164" s="474">
        <f>COS_Unbun.!Z39/E77</f>
        <v>17.526482728691974</v>
      </c>
      <c r="H164" s="474">
        <f>COS_Unbun.!AB39/E122</f>
        <v>416.69696969696969</v>
      </c>
    </row>
    <row r="165" spans="1:8">
      <c r="A165" s="411"/>
      <c r="C165" s="236" t="str">
        <f>IF(D165="","",MAX(C$143:C164)+1)</f>
        <v/>
      </c>
      <c r="D165" s="247"/>
    </row>
    <row r="166" spans="1:8">
      <c r="A166" s="411"/>
      <c r="C166" s="236">
        <f>IF(D166="","",MAX(C$143:C165)+1)</f>
        <v>15</v>
      </c>
      <c r="D166" s="246" t="s">
        <v>19</v>
      </c>
      <c r="E166" s="447" t="e">
        <f>COS_Unbun.!Y42/E38</f>
        <v>#DIV/0!</v>
      </c>
      <c r="F166" s="474" t="e">
        <f>COS_Unbun.!Z42/E79</f>
        <v>#DIV/0!</v>
      </c>
      <c r="H166" s="474">
        <f>COS_Unbun.!AB42/E124</f>
        <v>400.41666666666669</v>
      </c>
    </row>
    <row r="167" spans="1:8">
      <c r="A167" s="411"/>
      <c r="C167" s="236" t="str">
        <f>IF(D167="","",MAX(C$143:C166)+1)</f>
        <v/>
      </c>
      <c r="D167" s="247"/>
    </row>
    <row r="168" spans="1:8">
      <c r="A168" s="411"/>
      <c r="C168" s="236">
        <f>IF(D168="","",MAX(C$143:C167)+1)</f>
        <v>16</v>
      </c>
      <c r="D168" s="246" t="s">
        <v>20</v>
      </c>
      <c r="E168" s="447" t="e">
        <f>COS_Unbun.!Y45/E40</f>
        <v>#DIV/0!</v>
      </c>
      <c r="F168" s="474" t="e">
        <f>COS_Unbun.!Z45/E81</f>
        <v>#DIV/0!</v>
      </c>
      <c r="H168" s="474" t="e">
        <f>COS_Unbun.!AB45/E126</f>
        <v>#DIV/0!</v>
      </c>
    </row>
    <row r="169" spans="1:8">
      <c r="A169" s="411"/>
      <c r="C169" s="236" t="str">
        <f>IF(D169="","",MAX(C$143:C168)+1)</f>
        <v/>
      </c>
      <c r="D169" s="206"/>
    </row>
    <row r="170" spans="1:8">
      <c r="A170" s="411"/>
      <c r="C170" s="236">
        <f>IF(D170="","",MAX(C$143:C169)+1)</f>
        <v>17</v>
      </c>
      <c r="D170" s="246" t="s">
        <v>4</v>
      </c>
      <c r="E170" s="447">
        <f>COS_Unbun.!Y48/E42</f>
        <v>0.16044406277624934</v>
      </c>
    </row>
    <row r="171" spans="1:8">
      <c r="A171" s="411"/>
      <c r="C171" s="236" t="str">
        <f>IF(D171="","",MAX(C$143:C170)+1)</f>
        <v/>
      </c>
      <c r="D171" s="247"/>
    </row>
    <row r="172" spans="1:8">
      <c r="A172" s="411"/>
      <c r="C172" s="236">
        <f>IF(D172="","",MAX(C$143:C171)+1)</f>
        <v>18</v>
      </c>
      <c r="D172" s="246" t="s">
        <v>5</v>
      </c>
      <c r="E172" s="447">
        <f>COS_Unbun.!Y51/E44</f>
        <v>0.13841312685802271</v>
      </c>
    </row>
    <row r="173" spans="1:8">
      <c r="A173" s="411"/>
      <c r="C173" s="236" t="str">
        <f>IF(D173="","",MAX(C$143:C172)+1)</f>
        <v/>
      </c>
      <c r="D173" s="247"/>
    </row>
    <row r="174" spans="1:8">
      <c r="A174" s="411"/>
      <c r="C174" s="236">
        <f>IF(D174="","",MAX(C$143:C173)+1)</f>
        <v>19</v>
      </c>
      <c r="D174" s="246" t="s">
        <v>23</v>
      </c>
      <c r="E174" s="447">
        <f>COS_Unbun.!Y54/E46</f>
        <v>4.1148758574407841E-2</v>
      </c>
      <c r="H174" s="474">
        <f>COS_Unbun.!AB54/E132</f>
        <v>22.598484848484848</v>
      </c>
    </row>
    <row r="175" spans="1:8">
      <c r="A175" s="411"/>
      <c r="C175" s="236" t="str">
        <f>IF(D175="","",MAX(C$143:C174)+1)</f>
        <v/>
      </c>
      <c r="D175" s="206"/>
    </row>
    <row r="176" spans="1:8">
      <c r="A176" s="411"/>
      <c r="C176" s="236">
        <f>IF(D176="","",MAX(C$143:C175)+1)</f>
        <v>20</v>
      </c>
      <c r="D176" s="246" t="s">
        <v>66</v>
      </c>
      <c r="E176" s="447">
        <f>IF(ISERROR(COS_Unbun.!Y57/E48),0,COS_Unbun.!Y57/E48)</f>
        <v>0</v>
      </c>
    </row>
    <row r="177" spans="1:5">
      <c r="A177" s="411"/>
      <c r="D177" s="206"/>
    </row>
    <row r="178" spans="1:5">
      <c r="A178" s="411"/>
      <c r="D178" s="254"/>
    </row>
    <row r="179" spans="1:5">
      <c r="A179" s="411"/>
      <c r="D179" s="254"/>
    </row>
    <row r="180" spans="1:5">
      <c r="A180" s="411"/>
      <c r="D180" s="254" t="s">
        <v>3488</v>
      </c>
      <c r="E180" s="12" t="s">
        <v>3489</v>
      </c>
    </row>
    <row r="181" spans="1:5">
      <c r="A181" s="411"/>
      <c r="D181" t="s">
        <v>900</v>
      </c>
      <c r="E181" s="447">
        <f>SUM(F$50:G$50)</f>
        <v>3.3061E-2</v>
      </c>
    </row>
    <row r="182" spans="1:5">
      <c r="D182" t="s">
        <v>600</v>
      </c>
      <c r="E182" s="447">
        <f>$H$50</f>
        <v>2.5539999999999998E-3</v>
      </c>
    </row>
    <row r="183" spans="1:5">
      <c r="D183" t="s">
        <v>601</v>
      </c>
      <c r="E183" s="447">
        <f>SUM(I$50:S$50)</f>
        <v>7.402999999999999E-3</v>
      </c>
    </row>
    <row r="184" spans="1:5">
      <c r="D184" t="s">
        <v>608</v>
      </c>
      <c r="E184" s="447">
        <f>$T$50</f>
        <v>1.6659999999999999E-3</v>
      </c>
    </row>
    <row r="185" spans="1:5">
      <c r="D185" t="s">
        <v>503</v>
      </c>
      <c r="E185" s="813">
        <f>SUM(U$50:W$50)</f>
        <v>3.4199999999999996E-4</v>
      </c>
    </row>
    <row r="186" spans="1:5">
      <c r="E186" s="447">
        <f>SUM(E181:E185)</f>
        <v>4.5026000000000004E-2</v>
      </c>
    </row>
    <row r="832" spans="4:4">
      <c r="D832" s="206"/>
    </row>
    <row r="833" spans="4:4">
      <c r="D833" s="272"/>
    </row>
    <row r="834" spans="4:4">
      <c r="D834" s="206"/>
    </row>
    <row r="835" spans="4:4">
      <c r="D835" s="11"/>
    </row>
    <row r="836" spans="4:4">
      <c r="D836" s="14"/>
    </row>
    <row r="837" spans="4:4">
      <c r="D837" s="15"/>
    </row>
    <row r="838" spans="4:4">
      <c r="D838" s="15"/>
    </row>
    <row r="839" spans="4:4">
      <c r="D839" s="39"/>
    </row>
    <row r="840" spans="4:4">
      <c r="D840" s="247"/>
    </row>
    <row r="841" spans="4:4">
      <c r="D841" s="14"/>
    </row>
    <row r="842" spans="4:4">
      <c r="D842" s="15"/>
    </row>
    <row r="843" spans="4:4">
      <c r="D843" s="15"/>
    </row>
    <row r="844" spans="4:4">
      <c r="D844" s="39"/>
    </row>
    <row r="845" spans="4:4">
      <c r="D845" s="247"/>
    </row>
    <row r="846" spans="4:4">
      <c r="D846" s="14"/>
    </row>
    <row r="847" spans="4:4">
      <c r="D847" s="206"/>
    </row>
    <row r="848" spans="4:4">
      <c r="D848" s="14"/>
    </row>
    <row r="849" spans="4:4">
      <c r="D849" s="247"/>
    </row>
    <row r="850" spans="4:4">
      <c r="D850" s="246"/>
    </row>
    <row r="851" spans="4:4">
      <c r="D851" s="247"/>
    </row>
    <row r="852" spans="4:4">
      <c r="D852" s="246"/>
    </row>
    <row r="853" spans="4:4">
      <c r="D853" s="247"/>
    </row>
    <row r="854" spans="4:4">
      <c r="D854" s="246"/>
    </row>
    <row r="855" spans="4:4">
      <c r="D855" s="247"/>
    </row>
    <row r="856" spans="4:4">
      <c r="D856" s="246"/>
    </row>
    <row r="857" spans="4:4">
      <c r="D857" s="206"/>
    </row>
    <row r="858" spans="4:4">
      <c r="D858" s="246"/>
    </row>
    <row r="859" spans="4:4">
      <c r="D859" s="247"/>
    </row>
    <row r="860" spans="4:4">
      <c r="D860" s="246"/>
    </row>
    <row r="861" spans="4:4">
      <c r="D861" s="247"/>
    </row>
    <row r="862" spans="4:4">
      <c r="D862" s="246"/>
    </row>
    <row r="863" spans="4:4">
      <c r="D863" s="206"/>
    </row>
    <row r="864" spans="4:4">
      <c r="D864" s="246"/>
    </row>
  </sheetData>
  <mergeCells count="25">
    <mergeCell ref="H141:H142"/>
    <mergeCell ref="D141:D142"/>
    <mergeCell ref="N9:O9"/>
    <mergeCell ref="C9:C10"/>
    <mergeCell ref="D9:D10"/>
    <mergeCell ref="E9:E10"/>
    <mergeCell ref="F9:F10"/>
    <mergeCell ref="I9:I10"/>
    <mergeCell ref="G9:G10"/>
    <mergeCell ref="H9:H10"/>
    <mergeCell ref="C141:C142"/>
    <mergeCell ref="E141:E142"/>
    <mergeCell ref="F141:F142"/>
    <mergeCell ref="G141:G142"/>
    <mergeCell ref="S9:S10"/>
    <mergeCell ref="H7:H8"/>
    <mergeCell ref="D1:Y1"/>
    <mergeCell ref="D2:Y2"/>
    <mergeCell ref="D3:Y3"/>
    <mergeCell ref="I8:O8"/>
    <mergeCell ref="P8:S8"/>
    <mergeCell ref="R9:R10"/>
    <mergeCell ref="P9:Q9"/>
    <mergeCell ref="F7:G8"/>
    <mergeCell ref="I7:S7"/>
  </mergeCells>
  <phoneticPr fontId="8" type="noConversion"/>
  <printOptions horizontalCentered="1"/>
  <pageMargins left="0.25" right="0.25" top="0.5" bottom="0.5" header="0.25" footer="0.25"/>
  <pageSetup scale="34" fitToHeight="0" orientation="landscape" r:id="rId1"/>
  <headerFooter alignWithMargins="0">
    <oddFooter>&amp;L&amp;"Times New Roman,Bold Italic"Black &amp; Veatch Corporation&amp;C&amp;"Times New Roman,Bold Italic"Date: &amp;D&amp;R&amp;"Times New Roman,Bold Italic"Page: &amp;P of&amp;N</oddFooter>
  </headerFooter>
  <rowBreaks count="1" manualBreakCount="1">
    <brk id="50" min="2" max="23" man="1"/>
  </rowBreaks>
  <colBreaks count="1" manualBreakCount="1">
    <brk id="26" max="1048575" man="1"/>
  </colBreaks>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008000"/>
    <pageSetUpPr fitToPage="1"/>
  </sheetPr>
  <dimension ref="A1:IU261"/>
  <sheetViews>
    <sheetView showGridLines="0" zoomScale="90" zoomScaleNormal="90" zoomScaleSheetLayoutView="85" workbookViewId="0">
      <selection activeCell="F26" sqref="F26:I28"/>
    </sheetView>
  </sheetViews>
  <sheetFormatPr defaultColWidth="52" defaultRowHeight="15.75" zeroHeight="1"/>
  <cols>
    <col min="1" max="1" width="22.5" style="196" customWidth="1"/>
    <col min="2" max="2" width="1.625" style="196" customWidth="1"/>
    <col min="3" max="3" width="5.25" style="196" bestFit="1" customWidth="1"/>
    <col min="4" max="4" width="27.125" style="196" customWidth="1"/>
    <col min="5" max="5" width="13.125" style="196" customWidth="1"/>
    <col min="6" max="6" width="18.75" style="196" bestFit="1" customWidth="1"/>
    <col min="7" max="7" width="14.25" style="196" bestFit="1" customWidth="1"/>
    <col min="8" max="8" width="13.75" style="196" bestFit="1" customWidth="1"/>
    <col min="9" max="9" width="10.5" style="196" customWidth="1"/>
    <col min="10" max="10" width="12.5" style="196" customWidth="1"/>
    <col min="11" max="11" width="12.875" style="196" customWidth="1"/>
    <col min="12" max="12" width="11.25" style="196" customWidth="1"/>
    <col min="13" max="13" width="10.625" style="196" bestFit="1" customWidth="1"/>
    <col min="14" max="14" width="6.75" style="196" customWidth="1"/>
    <col min="15" max="15" width="22.5" style="196" bestFit="1" customWidth="1"/>
    <col min="16" max="22" width="9" style="196" customWidth="1"/>
    <col min="23" max="23" width="35" style="196" bestFit="1" customWidth="1"/>
    <col min="24" max="24" width="11.25" style="196" bestFit="1" customWidth="1"/>
    <col min="25" max="25" width="11.875" style="196" bestFit="1" customWidth="1"/>
    <col min="26" max="254" width="9" style="196" customWidth="1"/>
    <col min="255" max="16384" width="52" style="196"/>
  </cols>
  <sheetData>
    <row r="1" spans="1:27" ht="22.5">
      <c r="A1" s="411"/>
      <c r="B1" s="29"/>
      <c r="C1" s="29"/>
      <c r="D1" s="4343"/>
      <c r="E1" s="4343"/>
      <c r="F1" s="4343"/>
      <c r="G1" s="4343"/>
      <c r="H1" s="4343"/>
      <c r="I1" s="4343"/>
    </row>
    <row r="2" spans="1:27" ht="22.5">
      <c r="A2" s="411"/>
      <c r="B2" s="29"/>
      <c r="C2" s="6"/>
      <c r="D2" s="4343" t="s">
        <v>878</v>
      </c>
      <c r="E2" s="4343"/>
      <c r="F2" s="4343"/>
      <c r="G2" s="4343"/>
      <c r="H2" s="4343"/>
      <c r="I2" s="4343"/>
    </row>
    <row r="3" spans="1:27" ht="22.5">
      <c r="A3" s="411"/>
      <c r="B3" s="29"/>
      <c r="D3" s="4493" t="s">
        <v>717</v>
      </c>
      <c r="E3" s="4493"/>
      <c r="F3" s="4493"/>
      <c r="G3" s="4493"/>
      <c r="H3" s="4493"/>
      <c r="I3" s="4493"/>
    </row>
    <row r="4" spans="1:27" ht="16.5" thickBot="1">
      <c r="A4" s="411"/>
      <c r="B4" s="29"/>
      <c r="D4" s="2"/>
      <c r="E4" s="2"/>
      <c r="F4" s="2"/>
      <c r="G4" s="2"/>
      <c r="H4" s="2"/>
      <c r="I4" s="5" t="s">
        <v>114</v>
      </c>
    </row>
    <row r="5" spans="1:27" ht="16.5" thickBot="1">
      <c r="A5" s="411"/>
      <c r="B5" s="29"/>
      <c r="D5" s="2"/>
      <c r="E5" s="2"/>
      <c r="F5" s="2"/>
      <c r="G5" s="2"/>
      <c r="H5" s="198"/>
      <c r="I5" s="2948">
        <f>'COS_Units (sales)'!D6</f>
        <v>2024</v>
      </c>
    </row>
    <row r="6" spans="1:27" s="200" customFormat="1">
      <c r="A6" s="411"/>
      <c r="B6" s="199"/>
      <c r="D6" s="84"/>
      <c r="E6" s="374" t="s">
        <v>674</v>
      </c>
      <c r="F6" s="374" t="s">
        <v>155</v>
      </c>
      <c r="G6" s="374" t="s">
        <v>675</v>
      </c>
      <c r="H6" s="374" t="s">
        <v>676</v>
      </c>
      <c r="I6" s="374" t="s">
        <v>677</v>
      </c>
      <c r="K6" s="196"/>
      <c r="L6" s="196"/>
      <c r="M6" s="196"/>
      <c r="N6" s="196"/>
    </row>
    <row r="7" spans="1:27">
      <c r="A7" s="411"/>
      <c r="B7" s="29"/>
      <c r="C7" s="2925"/>
      <c r="D7" s="2925"/>
      <c r="E7" s="2925">
        <f>I5</f>
        <v>2024</v>
      </c>
      <c r="F7" s="2925"/>
      <c r="G7" s="2925"/>
      <c r="H7" s="4494" t="s">
        <v>2738</v>
      </c>
      <c r="I7" s="4495"/>
    </row>
    <row r="8" spans="1:27">
      <c r="A8" s="411"/>
      <c r="B8" s="29"/>
      <c r="C8" s="2926"/>
      <c r="D8" s="2926"/>
      <c r="E8" s="2926" t="s">
        <v>712</v>
      </c>
      <c r="F8" s="2926" t="s">
        <v>2737</v>
      </c>
      <c r="G8" s="2926" t="s">
        <v>874</v>
      </c>
      <c r="H8" s="4496"/>
      <c r="I8" s="4497"/>
      <c r="J8" s="946"/>
      <c r="K8" s="517" t="s">
        <v>2761</v>
      </c>
    </row>
    <row r="9" spans="1:27" ht="20.25">
      <c r="A9" s="411"/>
      <c r="B9" s="29"/>
      <c r="C9" s="2927" t="s">
        <v>867</v>
      </c>
      <c r="D9" s="2927" t="s">
        <v>399</v>
      </c>
      <c r="E9" s="2927" t="s">
        <v>176</v>
      </c>
      <c r="F9" s="2927" t="s">
        <v>708</v>
      </c>
      <c r="G9" s="2927" t="s">
        <v>710</v>
      </c>
      <c r="H9" s="2927" t="s">
        <v>121</v>
      </c>
      <c r="I9" s="2927" t="s">
        <v>122</v>
      </c>
      <c r="J9" s="946"/>
      <c r="K9" s="1940" t="s">
        <v>470</v>
      </c>
      <c r="L9" s="1940" t="s">
        <v>1476</v>
      </c>
      <c r="P9" s="1277" t="s">
        <v>2744</v>
      </c>
    </row>
    <row r="10" spans="1:27">
      <c r="A10" s="411"/>
      <c r="B10" s="29"/>
      <c r="C10" s="314"/>
      <c r="D10" s="1"/>
      <c r="E10" s="261" t="s">
        <v>383</v>
      </c>
      <c r="F10" s="1"/>
      <c r="G10" s="1"/>
      <c r="H10" s="261" t="s">
        <v>3990</v>
      </c>
      <c r="I10" s="261" t="s">
        <v>84</v>
      </c>
    </row>
    <row r="11" spans="1:27">
      <c r="A11" s="411"/>
      <c r="B11" s="29"/>
      <c r="C11" s="236"/>
      <c r="D11" s="1"/>
      <c r="E11" s="1"/>
      <c r="F11" s="1"/>
      <c r="G11" s="1"/>
      <c r="H11" s="1"/>
      <c r="I11" s="1"/>
      <c r="P11" s="1277" t="s">
        <v>707</v>
      </c>
      <c r="Q11" s="1277" t="s">
        <v>874</v>
      </c>
    </row>
    <row r="12" spans="1:27">
      <c r="A12" s="411"/>
      <c r="B12" s="29"/>
      <c r="C12" s="236">
        <f>+MAX(C7:C11)+1</f>
        <v>1</v>
      </c>
      <c r="D12" s="1941" t="str">
        <f>COS_Unbun.!D70</f>
        <v>Residential-Urban (1)</v>
      </c>
      <c r="E12" s="1942">
        <f>'COS_Units (sales)'!F17/1000</f>
        <v>369330.64600000001</v>
      </c>
      <c r="F12" s="1943">
        <f>'COS_Units (cust)'!V15</f>
        <v>23870689.237511843</v>
      </c>
      <c r="G12" s="1943">
        <f>COS_Unbun.!E70</f>
        <v>25025792</v>
      </c>
      <c r="H12" s="1943">
        <f>F12-G12</f>
        <v>-1155102.7624881566</v>
      </c>
      <c r="I12" s="1944">
        <f>IFERROR(H12/F12,0)</f>
        <v>-4.8390004620099458E-2</v>
      </c>
      <c r="J12" s="1935"/>
      <c r="K12" s="3011">
        <v>-1.2496800895882605E-2</v>
      </c>
      <c r="L12" s="2578">
        <f>I12-K12</f>
        <v>-3.5893203724216852E-2</v>
      </c>
      <c r="M12" s="1277"/>
      <c r="N12" s="1886"/>
      <c r="O12" s="196" t="str">
        <f>D12</f>
        <v>Residential-Urban (1)</v>
      </c>
      <c r="P12" s="1917">
        <f>F12/$E12</f>
        <v>64.632300341282388</v>
      </c>
      <c r="Q12" s="1917">
        <f t="shared" ref="Q12:Q20" si="0">G12/$E12</f>
        <v>67.759857653404694</v>
      </c>
      <c r="R12" s="1917"/>
    </row>
    <row r="13" spans="1:27">
      <c r="A13" s="411"/>
      <c r="B13" s="29"/>
      <c r="C13" s="236">
        <f>+MAX(C7:C12)+1</f>
        <v>2</v>
      </c>
      <c r="D13" s="1941" t="str">
        <f>COS_Unbun.!D71</f>
        <v>Residential-Rural (1)</v>
      </c>
      <c r="E13" s="1942">
        <f>'COS_Units (sales)'!F20/1000</f>
        <v>517691.62699999998</v>
      </c>
      <c r="F13" s="1945">
        <f>'COS_Units (cust)'!V16</f>
        <v>29619759.682764068</v>
      </c>
      <c r="G13" s="1945">
        <f>COS_Unbun.!E71</f>
        <v>40082143</v>
      </c>
      <c r="H13" s="1945">
        <f t="shared" ref="H13:H24" si="1">F13-G13</f>
        <v>-10462383.317235932</v>
      </c>
      <c r="I13" s="1944">
        <f t="shared" ref="I13:I24" si="2">IFERROR(H13/F13,0)</f>
        <v>-0.35322309935296542</v>
      </c>
      <c r="J13" s="1935"/>
      <c r="K13" s="3012">
        <v>0.49087963890587294</v>
      </c>
      <c r="L13" s="2578">
        <f t="shared" ref="L13:L24" si="3">I13-K13</f>
        <v>-0.84410273825883841</v>
      </c>
      <c r="O13" s="196" t="str">
        <f t="shared" ref="O13:O25" si="4">D13</f>
        <v>Residential-Rural (1)</v>
      </c>
      <c r="P13" s="1917">
        <f t="shared" ref="P13:P20" si="5">F13/$E13</f>
        <v>57.215064215755746</v>
      </c>
      <c r="Q13" s="1917">
        <f t="shared" si="0"/>
        <v>77.424746527723926</v>
      </c>
      <c r="X13" s="196">
        <f>I5</f>
        <v>2024</v>
      </c>
    </row>
    <row r="14" spans="1:27">
      <c r="A14" s="411"/>
      <c r="B14" s="29"/>
      <c r="C14" s="236">
        <f>+MAX(C8:C13)+1</f>
        <v>3</v>
      </c>
      <c r="D14" s="4" t="s">
        <v>2763</v>
      </c>
      <c r="E14" s="563">
        <f>E12+E13</f>
        <v>887022.27300000004</v>
      </c>
      <c r="F14" s="563">
        <f>F12+F13</f>
        <v>53490448.920275912</v>
      </c>
      <c r="G14" s="563">
        <f>G12+G13</f>
        <v>65107935</v>
      </c>
      <c r="H14" s="257">
        <f t="shared" si="1"/>
        <v>-11617486.079724088</v>
      </c>
      <c r="I14" s="564">
        <f>IFERROR(H14/F14,0)</f>
        <v>-0.21718804598254929</v>
      </c>
      <c r="J14" s="1935"/>
      <c r="K14" s="3012">
        <v>0.25010380020545142</v>
      </c>
      <c r="L14" s="2578">
        <f t="shared" si="3"/>
        <v>-0.46729184618800068</v>
      </c>
      <c r="O14" s="196" t="str">
        <f t="shared" si="4"/>
        <v>Residential-Total (1)</v>
      </c>
      <c r="P14" s="1917">
        <f t="shared" si="5"/>
        <v>60.303388706763521</v>
      </c>
      <c r="Q14" s="1917">
        <f t="shared" si="0"/>
        <v>73.400563866111625</v>
      </c>
      <c r="W14" s="4" t="s">
        <v>2763</v>
      </c>
      <c r="X14" s="3313">
        <f>G14</f>
        <v>65107935</v>
      </c>
      <c r="Y14" s="3313">
        <f t="shared" ref="Y14:AA14" si="6">H14</f>
        <v>-11617486.079724088</v>
      </c>
      <c r="Z14" s="4241">
        <f t="shared" si="6"/>
        <v>-0.21718804598254929</v>
      </c>
      <c r="AA14" s="3313">
        <f t="shared" si="6"/>
        <v>0</v>
      </c>
    </row>
    <row r="15" spans="1:27">
      <c r="A15" s="411"/>
      <c r="B15" s="29"/>
      <c r="C15" s="236">
        <f>+MAX(C8:C13)+1</f>
        <v>3</v>
      </c>
      <c r="D15" s="1" t="str">
        <f>COS_Unbun.!D72</f>
        <v>Irrigation (3)</v>
      </c>
      <c r="E15" s="563">
        <f>'COS_Units (sales)'!F25/1000</f>
        <v>644656.66890576226</v>
      </c>
      <c r="F15" s="257">
        <f>'COS_Units (cust)'!V20</f>
        <v>32493884.927364241</v>
      </c>
      <c r="G15" s="257">
        <f>COS_Unbun.!E72</f>
        <v>40342062</v>
      </c>
      <c r="H15" s="257">
        <f t="shared" si="1"/>
        <v>-7848177.0726357587</v>
      </c>
      <c r="I15" s="564">
        <f t="shared" si="2"/>
        <v>-0.2415278163931249</v>
      </c>
      <c r="J15" s="1935"/>
      <c r="K15" s="3012">
        <v>0.4221030924526184</v>
      </c>
      <c r="L15" s="2578">
        <f t="shared" si="3"/>
        <v>-0.66363090884574327</v>
      </c>
      <c r="O15" s="196" t="str">
        <f t="shared" si="4"/>
        <v>Irrigation (3)</v>
      </c>
      <c r="P15" s="1917">
        <f t="shared" si="5"/>
        <v>50.404946531491305</v>
      </c>
      <c r="Q15" s="1917">
        <f t="shared" si="0"/>
        <v>62.579143202654613</v>
      </c>
      <c r="W15" s="197" t="s">
        <v>3516</v>
      </c>
      <c r="X15" s="3314">
        <f>G16+G23</f>
        <v>35491579</v>
      </c>
      <c r="Y15" s="3314">
        <f t="shared" ref="Y15:AA15" si="7">H16+H23</f>
        <v>-4614519.0009900481</v>
      </c>
      <c r="Z15" s="4241">
        <f>((I16*F16)+(I23*F23))/(F16+F23)</f>
        <v>-0.14944813402370591</v>
      </c>
      <c r="AA15" s="3314">
        <f t="shared" si="7"/>
        <v>0</v>
      </c>
    </row>
    <row r="16" spans="1:27">
      <c r="A16" s="411"/>
      <c r="B16" s="29"/>
      <c r="C16" s="236">
        <f>+MAX(C9:C15)+1</f>
        <v>4</v>
      </c>
      <c r="D16" s="1" t="str">
        <f>COS_Unbun.!D73</f>
        <v>General Service (2) &amp; (PA)</v>
      </c>
      <c r="E16" s="563">
        <f>('COS_Units (sales)'!F30+'COS_Units (sales)'!F57)/1000</f>
        <v>573774.99899999995</v>
      </c>
      <c r="F16" s="257">
        <f>'COS_Units (cust)'!V25+'COS_Units (cust)'!V35</f>
        <v>30843944.137933522</v>
      </c>
      <c r="G16" s="257">
        <f>COS_Unbun.!E73</f>
        <v>35431890</v>
      </c>
      <c r="H16" s="257">
        <f t="shared" si="1"/>
        <v>-4587945.8620664775</v>
      </c>
      <c r="I16" s="564">
        <f t="shared" si="2"/>
        <v>-0.14874705522579318</v>
      </c>
      <c r="J16" s="1935"/>
      <c r="K16" s="3012">
        <v>0.16120774313293021</v>
      </c>
      <c r="L16" s="2578">
        <f t="shared" si="3"/>
        <v>-0.30995479835872342</v>
      </c>
      <c r="O16" s="196" t="str">
        <f t="shared" si="4"/>
        <v>General Service (2) &amp; (PA)</v>
      </c>
      <c r="P16" s="1917">
        <f t="shared" si="5"/>
        <v>53.756166078497131</v>
      </c>
      <c r="Q16" s="1917">
        <f t="shared" si="0"/>
        <v>61.752237482902252</v>
      </c>
      <c r="W16" s="1" t="s">
        <v>15</v>
      </c>
      <c r="X16" s="3314">
        <f>G15</f>
        <v>40342062</v>
      </c>
      <c r="Y16" s="3314">
        <f t="shared" ref="Y16:AA16" si="8">H15</f>
        <v>-7848177.0726357587</v>
      </c>
      <c r="Z16" s="4241">
        <f t="shared" si="8"/>
        <v>-0.2415278163931249</v>
      </c>
      <c r="AA16" s="3314">
        <f t="shared" si="8"/>
        <v>0</v>
      </c>
    </row>
    <row r="17" spans="1:255">
      <c r="A17" s="411"/>
      <c r="B17" s="29"/>
      <c r="C17" s="236">
        <f>+MAX(C10:C16)+1</f>
        <v>5</v>
      </c>
      <c r="D17" s="1" t="str">
        <f>COS_Unbun.!D74</f>
        <v>Large General Service (7)</v>
      </c>
      <c r="E17" s="563">
        <f>'COS_Units (sales)'!F33/1000</f>
        <v>299772.79228904791</v>
      </c>
      <c r="F17" s="257">
        <f>'COS_Units (cust)'!V27</f>
        <v>10285911.025710687</v>
      </c>
      <c r="G17" s="257">
        <f>COS_Unbun.!E74</f>
        <v>11682658</v>
      </c>
      <c r="H17" s="257">
        <f t="shared" si="1"/>
        <v>-1396746.974289313</v>
      </c>
      <c r="I17" s="564">
        <f t="shared" si="2"/>
        <v>-0.1357922473564083</v>
      </c>
      <c r="J17" s="1935"/>
      <c r="K17" s="3012">
        <v>-7.065963127844202E-2</v>
      </c>
      <c r="L17" s="2578">
        <f t="shared" si="3"/>
        <v>-6.5132616077966277E-2</v>
      </c>
      <c r="O17" s="196" t="str">
        <f t="shared" si="4"/>
        <v>Large General Service (7)</v>
      </c>
      <c r="P17" s="1917">
        <f t="shared" si="5"/>
        <v>34.312356859233482</v>
      </c>
      <c r="Q17" s="1917">
        <f t="shared" si="0"/>
        <v>38.971708909243866</v>
      </c>
      <c r="W17" s="1" t="s">
        <v>4</v>
      </c>
      <c r="X17" s="3314">
        <f>G22</f>
        <v>724541</v>
      </c>
      <c r="Y17" s="3314">
        <f t="shared" ref="Y17:AA17" si="9">H22</f>
        <v>240199</v>
      </c>
      <c r="Z17" s="4241">
        <f t="shared" si="9"/>
        <v>0.24897796297448016</v>
      </c>
      <c r="AA17" s="3314">
        <f t="shared" si="9"/>
        <v>0</v>
      </c>
    </row>
    <row r="18" spans="1:255">
      <c r="A18" s="411"/>
      <c r="B18" s="29"/>
      <c r="C18" s="236">
        <f>+MAX(C11:C17)+1</f>
        <v>6</v>
      </c>
      <c r="D18" s="1" t="str">
        <f>COS_Unbun.!D75</f>
        <v>Industrial (14)</v>
      </c>
      <c r="E18" s="563">
        <f>'COS_Units (sales)'!F36/1000</f>
        <v>937116.70550784201</v>
      </c>
      <c r="F18" s="257">
        <f>'COS_Units (cust)'!V28</f>
        <v>36974914.605053663</v>
      </c>
      <c r="G18" s="257">
        <f>COS_Unbun.!E75</f>
        <v>33165212</v>
      </c>
      <c r="H18" s="257">
        <f t="shared" si="1"/>
        <v>3809702.6050536633</v>
      </c>
      <c r="I18" s="564">
        <f t="shared" si="2"/>
        <v>0.10303479117522993</v>
      </c>
      <c r="J18" s="1935"/>
      <c r="K18" s="3012">
        <v>1.8072030186298983E-2</v>
      </c>
      <c r="L18" s="2578">
        <f t="shared" si="3"/>
        <v>8.4962760988930949E-2</v>
      </c>
      <c r="O18" s="196" t="str">
        <f t="shared" si="4"/>
        <v>Industrial (14)</v>
      </c>
      <c r="P18" s="1917">
        <f t="shared" si="5"/>
        <v>39.456040413895117</v>
      </c>
      <c r="Q18" s="1917">
        <f t="shared" si="0"/>
        <v>35.390695529247999</v>
      </c>
      <c r="W18" s="1" t="s">
        <v>22</v>
      </c>
      <c r="X18" s="3314">
        <f>G17</f>
        <v>11682658</v>
      </c>
      <c r="Y18" s="3314">
        <f t="shared" ref="Y18:AA22" si="10">H17</f>
        <v>-1396746.974289313</v>
      </c>
      <c r="Z18" s="4241">
        <f t="shared" si="10"/>
        <v>-0.1357922473564083</v>
      </c>
      <c r="AA18" s="3314">
        <f t="shared" si="10"/>
        <v>0</v>
      </c>
    </row>
    <row r="19" spans="1:255">
      <c r="A19" s="411"/>
      <c r="B19" s="29"/>
      <c r="C19" s="236">
        <f>+MAX(C12:C18)+1</f>
        <v>7</v>
      </c>
      <c r="D19" s="1" t="str">
        <f>COS_Unbun.!D76</f>
        <v>Large Industrial (15) &amp; (94)</v>
      </c>
      <c r="E19" s="563">
        <f>('COS_Units (sales)'!F39+'COS_Units (sales)'!F48)/1000</f>
        <v>2673206.5529506882</v>
      </c>
      <c r="F19" s="257">
        <f>'COS_Units (cust)'!V29+'COS_Units (cust)'!V32</f>
        <v>102973786.09443644</v>
      </c>
      <c r="G19" s="257">
        <f>COS_Unbun.!E76</f>
        <v>88138185</v>
      </c>
      <c r="H19" s="257">
        <f t="shared" si="1"/>
        <v>14835601.094436437</v>
      </c>
      <c r="I19" s="564">
        <f t="shared" si="2"/>
        <v>0.14407162887874031</v>
      </c>
      <c r="J19" s="1935"/>
      <c r="K19" s="3012">
        <v>-0.33690830867925192</v>
      </c>
      <c r="L19" s="2578">
        <f t="shared" si="3"/>
        <v>0.48097993755799223</v>
      </c>
      <c r="O19" s="196" t="str">
        <f t="shared" si="4"/>
        <v>Large Industrial (15) &amp; (94)</v>
      </c>
      <c r="P19" s="1917">
        <f t="shared" si="5"/>
        <v>38.520699412761005</v>
      </c>
      <c r="Q19" s="1917">
        <f t="shared" si="0"/>
        <v>32.970959502816186</v>
      </c>
      <c r="W19" s="1" t="s">
        <v>16</v>
      </c>
      <c r="X19" s="3314">
        <f>G18</f>
        <v>33165212</v>
      </c>
      <c r="Y19" s="3314">
        <f t="shared" si="10"/>
        <v>3809702.6050536633</v>
      </c>
      <c r="Z19" s="4241">
        <f t="shared" si="10"/>
        <v>0.10303479117522993</v>
      </c>
      <c r="AA19" s="3314">
        <f t="shared" si="10"/>
        <v>0</v>
      </c>
    </row>
    <row r="20" spans="1:255">
      <c r="A20" s="411"/>
      <c r="B20" s="29"/>
      <c r="C20" s="236">
        <f>+MAX(C13:C19)+1</f>
        <v>8</v>
      </c>
      <c r="D20" s="1" t="str">
        <f>COS_Unbun.!D77</f>
        <v>Agricultural Processing (16)</v>
      </c>
      <c r="E20" s="563">
        <f>'COS_Units (sales)'!F42/1000</f>
        <v>418929.39388013125</v>
      </c>
      <c r="F20" s="257">
        <f>'COS_Units (cust)'!V30</f>
        <v>16300049.923444636</v>
      </c>
      <c r="G20" s="257">
        <f>COS_Unbun.!E77</f>
        <v>15253378</v>
      </c>
      <c r="H20" s="257">
        <f t="shared" si="1"/>
        <v>1046671.9234446362</v>
      </c>
      <c r="I20" s="564">
        <f t="shared" si="2"/>
        <v>6.4212804768112419E-2</v>
      </c>
      <c r="J20" s="1935"/>
      <c r="K20" s="3012">
        <v>-3.2540147389406651E-2</v>
      </c>
      <c r="L20" s="2578">
        <f t="shared" si="3"/>
        <v>9.675295215751907E-2</v>
      </c>
      <c r="O20" s="196" t="str">
        <f t="shared" si="4"/>
        <v>Agricultural Processing (16)</v>
      </c>
      <c r="P20" s="1917">
        <f t="shared" si="5"/>
        <v>38.908823686190395</v>
      </c>
      <c r="Q20" s="1917">
        <f t="shared" si="0"/>
        <v>36.410378987072143</v>
      </c>
      <c r="W20" s="1" t="s">
        <v>268</v>
      </c>
      <c r="X20" s="3314">
        <f>G19</f>
        <v>88138185</v>
      </c>
      <c r="Y20" s="3314">
        <f t="shared" si="10"/>
        <v>14835601.094436437</v>
      </c>
      <c r="Z20" s="4241">
        <f t="shared" si="10"/>
        <v>0.14407162887874031</v>
      </c>
      <c r="AA20" s="3314">
        <f t="shared" si="10"/>
        <v>0</v>
      </c>
    </row>
    <row r="21" spans="1:255">
      <c r="A21" s="411"/>
      <c r="B21" s="29"/>
      <c r="C21" s="236">
        <f>+MAX(C15:C20)+1</f>
        <v>9</v>
      </c>
      <c r="D21" s="1" t="str">
        <f>COS_Unbun.!D78</f>
        <v>Agricultural Boiler (85)</v>
      </c>
      <c r="E21" s="563">
        <f>'COS_Units (sales)'!F45/1000</f>
        <v>0</v>
      </c>
      <c r="F21" s="257">
        <f>'COS_Units (cust)'!V31</f>
        <v>18696.862073089371</v>
      </c>
      <c r="G21" s="257">
        <f>COS_Unbun.!E78</f>
        <v>22926</v>
      </c>
      <c r="H21" s="257">
        <f t="shared" si="1"/>
        <v>-4229.1379269106292</v>
      </c>
      <c r="I21" s="564">
        <f t="shared" si="2"/>
        <v>-0.22619506473215528</v>
      </c>
      <c r="J21" s="1935"/>
      <c r="K21" s="3012">
        <v>0.23085344670638899</v>
      </c>
      <c r="L21" s="2578">
        <f t="shared" si="3"/>
        <v>-0.4570485114385443</v>
      </c>
      <c r="O21" s="196" t="str">
        <f t="shared" si="4"/>
        <v>Agricultural Boiler (85)</v>
      </c>
      <c r="P21" s="1917"/>
      <c r="Q21" s="1917"/>
      <c r="W21" s="1" t="s">
        <v>18</v>
      </c>
      <c r="X21" s="3314">
        <f>G20</f>
        <v>15253378</v>
      </c>
      <c r="Y21" s="3314">
        <f t="shared" si="10"/>
        <v>1046671.9234446362</v>
      </c>
      <c r="Z21" s="4241">
        <f t="shared" si="10"/>
        <v>6.4212804768112419E-2</v>
      </c>
      <c r="AA21" s="3314">
        <f t="shared" si="10"/>
        <v>0</v>
      </c>
    </row>
    <row r="22" spans="1:255">
      <c r="A22" s="411"/>
      <c r="B22" s="29"/>
      <c r="C22" s="236">
        <f>+MAX(C13:C21)+1</f>
        <v>10</v>
      </c>
      <c r="D22" s="1" t="str">
        <f>COS_Unbun.!D79</f>
        <v>Street Lights (6)</v>
      </c>
      <c r="E22" s="563">
        <f>'COS_Units (sales)'!F51/1000</f>
        <v>4515.848</v>
      </c>
      <c r="F22" s="257">
        <f>'COS_Units (cust)'!V33</f>
        <v>964740</v>
      </c>
      <c r="G22" s="257">
        <f>COS_Unbun.!E79</f>
        <v>724541</v>
      </c>
      <c r="H22" s="257">
        <f t="shared" si="1"/>
        <v>240199</v>
      </c>
      <c r="I22" s="564">
        <f t="shared" si="2"/>
        <v>0.24897796297448016</v>
      </c>
      <c r="J22" s="1935"/>
      <c r="K22" s="3012">
        <v>-3.9702768307254006E-2</v>
      </c>
      <c r="L22" s="2578">
        <f t="shared" si="3"/>
        <v>0.28868073128173416</v>
      </c>
      <c r="O22" s="196" t="str">
        <f t="shared" si="4"/>
        <v>Street Lights (6)</v>
      </c>
      <c r="P22" s="1917">
        <f>F22/$E22</f>
        <v>213.63429415693355</v>
      </c>
      <c r="Q22" s="1917">
        <f>G22/$E22</f>
        <v>160.44406277624932</v>
      </c>
      <c r="W22" s="1" t="s">
        <v>19</v>
      </c>
      <c r="X22" s="3314">
        <f>G21</f>
        <v>22926</v>
      </c>
      <c r="Y22" s="3314">
        <f t="shared" si="10"/>
        <v>-4229.1379269106292</v>
      </c>
      <c r="Z22" s="4241">
        <f t="shared" si="10"/>
        <v>-0.22619506473215528</v>
      </c>
      <c r="AA22" s="3314">
        <f t="shared" si="10"/>
        <v>0</v>
      </c>
    </row>
    <row r="23" spans="1:255" ht="14.25" customHeight="1">
      <c r="A23" s="411"/>
      <c r="B23" s="29"/>
      <c r="C23" s="236">
        <f>+MAX(C15:C22)+1</f>
        <v>11</v>
      </c>
      <c r="D23" s="1" t="str">
        <f>COS_Unbun.!D80</f>
        <v>Street Lights (2)</v>
      </c>
      <c r="E23" s="563">
        <f>'COS_Units (sales)'!F54/1000</f>
        <v>431.238</v>
      </c>
      <c r="F23" s="565">
        <f>'COS_Units (cust)'!V34</f>
        <v>33115.861076429937</v>
      </c>
      <c r="G23" s="565">
        <f>COS_Unbun.!E80</f>
        <v>59689</v>
      </c>
      <c r="H23" s="565">
        <f t="shared" si="1"/>
        <v>-26573.138923570063</v>
      </c>
      <c r="I23" s="564">
        <f t="shared" si="2"/>
        <v>-0.80242935136853111</v>
      </c>
      <c r="J23" s="1935"/>
      <c r="K23" s="3012">
        <v>1.053557477563821</v>
      </c>
      <c r="L23" s="2578">
        <f t="shared" si="3"/>
        <v>-1.8559868289323522</v>
      </c>
      <c r="O23" s="196" t="str">
        <f t="shared" si="4"/>
        <v>Street Lights (2)</v>
      </c>
      <c r="P23" s="1917">
        <f>F23/$E23</f>
        <v>76.792539331946486</v>
      </c>
      <c r="Q23" s="1917">
        <f>G23/$E23</f>
        <v>138.41312685802271</v>
      </c>
      <c r="W23" s="1" t="s">
        <v>66</v>
      </c>
      <c r="X23" s="3314">
        <f>G24</f>
        <v>0</v>
      </c>
      <c r="Y23" s="3314">
        <f t="shared" ref="Y23:AA23" si="11">H24</f>
        <v>0</v>
      </c>
      <c r="Z23" s="3314">
        <f t="shared" si="11"/>
        <v>0</v>
      </c>
      <c r="AA23" s="3314">
        <f t="shared" si="11"/>
        <v>0</v>
      </c>
    </row>
    <row r="24" spans="1:255">
      <c r="A24" s="411"/>
      <c r="B24" s="29"/>
      <c r="C24" s="236">
        <f>+MAX(C23:C23)+1</f>
        <v>12</v>
      </c>
      <c r="D24" s="1" t="s">
        <v>66</v>
      </c>
      <c r="E24" s="635">
        <f>'COS_Units (sales)'!F60/1000</f>
        <v>0</v>
      </c>
      <c r="F24" s="566">
        <f>'COS_Units (cust)'!V36</f>
        <v>0</v>
      </c>
      <c r="G24" s="566">
        <f>COS_Unbun.!E81</f>
        <v>0</v>
      </c>
      <c r="H24" s="566">
        <f t="shared" si="1"/>
        <v>0</v>
      </c>
      <c r="I24" s="696">
        <f t="shared" si="2"/>
        <v>0</v>
      </c>
      <c r="J24" s="1935"/>
      <c r="K24" s="3013">
        <v>0</v>
      </c>
      <c r="L24" s="2578">
        <f t="shared" si="3"/>
        <v>0</v>
      </c>
      <c r="O24" s="196" t="str">
        <f t="shared" si="4"/>
        <v>Alternate Power Sales</v>
      </c>
      <c r="P24" s="1917"/>
      <c r="Q24" s="1917"/>
      <c r="W24" s="1"/>
    </row>
    <row r="25" spans="1:255">
      <c r="A25" s="411"/>
      <c r="B25" s="29"/>
      <c r="C25" s="236">
        <f>+MAX(C24:C24)+1</f>
        <v>13</v>
      </c>
      <c r="D25" s="309" t="s">
        <v>602</v>
      </c>
      <c r="E25" s="339">
        <f>SUM(E14:E24)</f>
        <v>6439426.4715334717</v>
      </c>
      <c r="F25" s="339">
        <f>SUM(F14:F24)</f>
        <v>284379492.35736859</v>
      </c>
      <c r="G25" s="339">
        <f>SUM(G14:G24)</f>
        <v>289928476</v>
      </c>
      <c r="H25" s="339">
        <f>SUM(H14:H24)</f>
        <v>-5548983.6426313827</v>
      </c>
      <c r="I25" s="467">
        <f>H25/F25</f>
        <v>-1.9512601266121511E-2</v>
      </c>
      <c r="O25" s="196" t="str">
        <f t="shared" si="4"/>
        <v>Total</v>
      </c>
      <c r="P25" s="1917">
        <f>F25/$E25</f>
        <v>44.162239232719593</v>
      </c>
      <c r="Q25" s="1917">
        <f>G25/$E25</f>
        <v>45.023959397886721</v>
      </c>
    </row>
    <row r="26" spans="1:255">
      <c r="A26" s="411"/>
      <c r="B26" s="29"/>
      <c r="C26" s="236"/>
      <c r="D26" s="1"/>
      <c r="E26" s="339"/>
      <c r="F26" s="339"/>
      <c r="G26" s="339"/>
      <c r="H26" s="339"/>
      <c r="I26" s="467"/>
    </row>
    <row r="27" spans="1:255">
      <c r="A27" s="411"/>
      <c r="B27" s="29"/>
      <c r="C27" s="236"/>
      <c r="D27" s="1"/>
      <c r="E27" s="339"/>
      <c r="F27" s="339"/>
      <c r="G27" s="339"/>
      <c r="H27" s="339"/>
      <c r="I27" s="467"/>
      <c r="J27" s="1929"/>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411"/>
      <c r="B28" s="29"/>
      <c r="C28" s="236"/>
      <c r="D28" s="1"/>
      <c r="E28" s="1"/>
      <c r="F28" s="1"/>
      <c r="G28" s="3311"/>
      <c r="H28" s="379"/>
      <c r="I28" s="1"/>
    </row>
    <row r="29" spans="1:255" s="200" customFormat="1">
      <c r="A29" s="411"/>
      <c r="B29" s="199"/>
      <c r="C29" s="4502" t="s">
        <v>2668</v>
      </c>
      <c r="D29" s="4502"/>
      <c r="E29" s="4502"/>
      <c r="F29" s="4502"/>
      <c r="G29" s="4502"/>
      <c r="H29" s="4502"/>
      <c r="I29" s="4502"/>
    </row>
    <row r="30" spans="1:255" s="200" customFormat="1" ht="15.75" customHeight="1">
      <c r="A30" s="411"/>
      <c r="B30" s="199"/>
      <c r="C30" s="3014"/>
      <c r="D30" s="3014"/>
      <c r="E30" s="3014" t="s">
        <v>2669</v>
      </c>
      <c r="F30" s="3014"/>
      <c r="G30" s="3014"/>
      <c r="H30" s="4498" t="s">
        <v>2738</v>
      </c>
      <c r="I30" s="4499"/>
    </row>
    <row r="31" spans="1:255" s="200" customFormat="1" ht="15.75" customHeight="1">
      <c r="A31" s="411"/>
      <c r="B31" s="199"/>
      <c r="C31" s="594"/>
      <c r="D31" s="594"/>
      <c r="E31" s="594" t="s">
        <v>712</v>
      </c>
      <c r="F31" s="594" t="s">
        <v>2737</v>
      </c>
      <c r="G31" s="594" t="s">
        <v>874</v>
      </c>
      <c r="H31" s="4500"/>
      <c r="I31" s="4501"/>
    </row>
    <row r="32" spans="1:255" s="200" customFormat="1" ht="20.25">
      <c r="A32" s="411"/>
      <c r="B32" s="199"/>
      <c r="C32" s="3015" t="s">
        <v>867</v>
      </c>
      <c r="D32" s="3015" t="s">
        <v>399</v>
      </c>
      <c r="E32" s="3015" t="s">
        <v>176</v>
      </c>
      <c r="F32" s="3015" t="s">
        <v>708</v>
      </c>
      <c r="G32" s="3015" t="s">
        <v>710</v>
      </c>
      <c r="H32" s="3015" t="s">
        <v>121</v>
      </c>
      <c r="I32" s="3015" t="s">
        <v>122</v>
      </c>
    </row>
    <row r="33" spans="1:18" s="200" customFormat="1">
      <c r="A33" s="411"/>
      <c r="B33" s="199"/>
      <c r="C33" s="3016"/>
      <c r="D33" s="51"/>
      <c r="E33" s="54" t="s">
        <v>383</v>
      </c>
      <c r="F33" s="51"/>
      <c r="G33" s="51"/>
      <c r="H33" s="54" t="s">
        <v>82</v>
      </c>
      <c r="I33" s="54" t="s">
        <v>84</v>
      </c>
    </row>
    <row r="34" spans="1:18" s="200" customFormat="1">
      <c r="A34" s="411"/>
      <c r="B34" s="199"/>
      <c r="C34" s="2660"/>
      <c r="D34" s="51"/>
      <c r="E34" s="51"/>
      <c r="F34" s="51"/>
      <c r="G34" s="51"/>
      <c r="H34" s="51"/>
      <c r="I34" s="51"/>
      <c r="P34" s="1277" t="s">
        <v>707</v>
      </c>
      <c r="Q34" s="1277" t="s">
        <v>874</v>
      </c>
    </row>
    <row r="35" spans="1:18" s="200" customFormat="1">
      <c r="A35" s="411"/>
      <c r="B35" s="199"/>
      <c r="C35" s="2660">
        <v>1</v>
      </c>
      <c r="D35" s="51" t="s">
        <v>13</v>
      </c>
      <c r="E35" s="3017">
        <v>346141.39731376205</v>
      </c>
      <c r="F35" s="3018">
        <v>15850902.212273762</v>
      </c>
      <c r="G35" s="3018">
        <v>19164897</v>
      </c>
      <c r="H35" s="3018">
        <v>3313994.7877262384</v>
      </c>
      <c r="I35" s="3019">
        <v>0.20907294382020267</v>
      </c>
      <c r="M35" s="1277"/>
      <c r="N35" s="1886"/>
      <c r="O35" s="196" t="s">
        <v>13</v>
      </c>
      <c r="P35" s="1917">
        <f t="shared" ref="P35:P43" si="12">F35/$E35</f>
        <v>45.793142153134639</v>
      </c>
      <c r="Q35" s="1917">
        <f t="shared" ref="Q35:Q43" si="13">G35/$E35</f>
        <v>55.367249189867508</v>
      </c>
      <c r="R35" s="1917">
        <f>(G35+G36)/(E35+E36)</f>
        <v>63.892712363756942</v>
      </c>
    </row>
    <row r="36" spans="1:18" s="200" customFormat="1">
      <c r="A36" s="411"/>
      <c r="B36" s="199"/>
      <c r="C36" s="2660">
        <v>2</v>
      </c>
      <c r="D36" s="51" t="s">
        <v>14</v>
      </c>
      <c r="E36" s="3017">
        <v>424305.45302097738</v>
      </c>
      <c r="F36" s="3020">
        <v>18764829.641416758</v>
      </c>
      <c r="G36" s="3020">
        <v>30061042</v>
      </c>
      <c r="H36" s="3020">
        <v>11296212.358583242</v>
      </c>
      <c r="I36" s="3019">
        <v>0.60198853783627371</v>
      </c>
      <c r="O36" s="196" t="s">
        <v>14</v>
      </c>
      <c r="P36" s="1917">
        <f t="shared" si="12"/>
        <v>44.224813769925881</v>
      </c>
      <c r="Q36" s="1917">
        <f t="shared" si="13"/>
        <v>70.847644747365052</v>
      </c>
      <c r="R36" s="196"/>
    </row>
    <row r="37" spans="1:18">
      <c r="A37" s="411"/>
      <c r="B37" s="29"/>
      <c r="C37" s="2660">
        <f>+MAX(C31:C36)+1</f>
        <v>3</v>
      </c>
      <c r="D37" s="51" t="s">
        <v>2763</v>
      </c>
      <c r="E37" s="3017">
        <f>E35+E36</f>
        <v>770446.85033473943</v>
      </c>
      <c r="F37" s="3020">
        <f>F35+F36</f>
        <v>34615731.85369052</v>
      </c>
      <c r="G37" s="3020">
        <f>G35+G36</f>
        <v>49225939</v>
      </c>
      <c r="H37" s="3020">
        <f>G37-F37</f>
        <v>14610207.14630948</v>
      </c>
      <c r="I37" s="3019">
        <f>IFERROR(H37/F37,0)</f>
        <v>0.42206841698630237</v>
      </c>
      <c r="J37" s="1935"/>
      <c r="K37" s="200"/>
      <c r="L37" s="200"/>
      <c r="O37" s="196" t="str">
        <f>D37</f>
        <v>Residential-Total (1)</v>
      </c>
      <c r="P37" s="1917">
        <f t="shared" si="12"/>
        <v>44.929422241976681</v>
      </c>
      <c r="Q37" s="1917">
        <f t="shared" si="13"/>
        <v>63.892712363756942</v>
      </c>
    </row>
    <row r="38" spans="1:18" s="200" customFormat="1">
      <c r="A38" s="411"/>
      <c r="B38" s="199"/>
      <c r="C38" s="2660">
        <v>3</v>
      </c>
      <c r="D38" s="51" t="s">
        <v>15</v>
      </c>
      <c r="E38" s="3017">
        <v>532280.82166361948</v>
      </c>
      <c r="F38" s="3020">
        <v>16947051.534285244</v>
      </c>
      <c r="G38" s="3020">
        <v>28730786</v>
      </c>
      <c r="H38" s="3020">
        <v>11783734.465714756</v>
      </c>
      <c r="I38" s="3019">
        <v>0.69532652578977039</v>
      </c>
      <c r="O38" s="196" t="s">
        <v>15</v>
      </c>
      <c r="P38" s="1917">
        <f t="shared" si="12"/>
        <v>31.838553719290516</v>
      </c>
      <c r="Q38" s="1917">
        <f t="shared" si="13"/>
        <v>53.976744663095765</v>
      </c>
      <c r="R38" s="196"/>
    </row>
    <row r="39" spans="1:18" s="200" customFormat="1">
      <c r="A39" s="411"/>
      <c r="B39" s="199"/>
      <c r="C39" s="2660">
        <v>4</v>
      </c>
      <c r="D39" s="51" t="s">
        <v>501</v>
      </c>
      <c r="E39" s="3017">
        <v>457513.77862367727</v>
      </c>
      <c r="F39" s="3020">
        <v>16734702.892349508</v>
      </c>
      <c r="G39" s="3020">
        <v>22827319</v>
      </c>
      <c r="H39" s="3020">
        <v>6092616.1076504923</v>
      </c>
      <c r="I39" s="3019">
        <v>0.36407076640935243</v>
      </c>
      <c r="O39" s="196" t="s">
        <v>501</v>
      </c>
      <c r="P39" s="1917">
        <f t="shared" si="12"/>
        <v>36.577483945274679</v>
      </c>
      <c r="Q39" s="1917">
        <f t="shared" si="13"/>
        <v>49.894276558556612</v>
      </c>
      <c r="R39" s="196"/>
    </row>
    <row r="40" spans="1:18" s="200" customFormat="1">
      <c r="A40" s="411"/>
      <c r="B40" s="199"/>
      <c r="C40" s="2660">
        <v>5</v>
      </c>
      <c r="D40" s="51" t="s">
        <v>22</v>
      </c>
      <c r="E40" s="3017">
        <v>304081.48669926665</v>
      </c>
      <c r="F40" s="3020">
        <v>8003319.6051324327</v>
      </c>
      <c r="G40" s="3020">
        <v>10177097</v>
      </c>
      <c r="H40" s="3020">
        <v>2173777.3948675673</v>
      </c>
      <c r="I40" s="3019">
        <v>0.27160946983468587</v>
      </c>
      <c r="O40" s="196" t="s">
        <v>22</v>
      </c>
      <c r="P40" s="1917">
        <f t="shared" si="12"/>
        <v>26.319654287429969</v>
      </c>
      <c r="Q40" s="1917">
        <f t="shared" si="13"/>
        <v>33.468321634671042</v>
      </c>
      <c r="R40" s="196"/>
    </row>
    <row r="41" spans="1:18" s="200" customFormat="1">
      <c r="A41" s="411"/>
      <c r="B41" s="199"/>
      <c r="C41" s="2660">
        <v>6</v>
      </c>
      <c r="D41" s="51" t="s">
        <v>16</v>
      </c>
      <c r="E41" s="3017">
        <v>200428.41235329743</v>
      </c>
      <c r="F41" s="3020">
        <v>4496199.92015904</v>
      </c>
      <c r="G41" s="3020">
        <v>5547207</v>
      </c>
      <c r="H41" s="3020">
        <v>1051007.07984096</v>
      </c>
      <c r="I41" s="3019">
        <v>0.23375452571152211</v>
      </c>
      <c r="O41" s="196" t="s">
        <v>16</v>
      </c>
      <c r="P41" s="1917">
        <f t="shared" si="12"/>
        <v>22.432946843053056</v>
      </c>
      <c r="Q41" s="1917">
        <f t="shared" si="13"/>
        <v>27.67674969266271</v>
      </c>
      <c r="R41" s="196"/>
    </row>
    <row r="42" spans="1:18" s="200" customFormat="1">
      <c r="A42" s="411"/>
      <c r="B42" s="199"/>
      <c r="C42" s="2660">
        <v>7</v>
      </c>
      <c r="D42" s="51" t="s">
        <v>268</v>
      </c>
      <c r="E42" s="3017">
        <v>1651814.9192033531</v>
      </c>
      <c r="F42" s="3020">
        <v>49421239.16871462</v>
      </c>
      <c r="G42" s="3020">
        <v>36255502</v>
      </c>
      <c r="H42" s="3020">
        <v>-13165737.16871462</v>
      </c>
      <c r="I42" s="3019">
        <v>-0.26639836212461854</v>
      </c>
      <c r="O42" s="196" t="s">
        <v>268</v>
      </c>
      <c r="P42" s="1917">
        <f t="shared" si="12"/>
        <v>29.919356335968793</v>
      </c>
      <c r="Q42" s="1917">
        <f t="shared" si="13"/>
        <v>21.948888812243876</v>
      </c>
      <c r="R42" s="196"/>
    </row>
    <row r="43" spans="1:18" s="200" customFormat="1">
      <c r="A43" s="411"/>
      <c r="B43" s="199"/>
      <c r="C43" s="2660">
        <v>8</v>
      </c>
      <c r="D43" s="51" t="s">
        <v>18</v>
      </c>
      <c r="E43" s="3017">
        <v>248193.03700000001</v>
      </c>
      <c r="F43" s="3020">
        <v>5510393.2308841394</v>
      </c>
      <c r="G43" s="3020">
        <v>7102278</v>
      </c>
      <c r="H43" s="3020">
        <v>1591884.7691158606</v>
      </c>
      <c r="I43" s="3019">
        <v>0.28888768957427807</v>
      </c>
      <c r="O43" s="196" t="s">
        <v>18</v>
      </c>
      <c r="P43" s="1917">
        <f t="shared" si="12"/>
        <v>22.202046026311926</v>
      </c>
      <c r="Q43" s="1917">
        <f t="shared" si="13"/>
        <v>28.615943806674963</v>
      </c>
      <c r="R43" s="196"/>
    </row>
    <row r="44" spans="1:18" s="200" customFormat="1">
      <c r="A44" s="411"/>
      <c r="B44" s="199"/>
      <c r="C44" s="2660">
        <v>9</v>
      </c>
      <c r="D44" s="51" t="s">
        <v>19</v>
      </c>
      <c r="E44" s="3017">
        <v>26310.216</v>
      </c>
      <c r="F44" s="3020">
        <v>1907660.6899361587</v>
      </c>
      <c r="G44" s="3020">
        <v>807264</v>
      </c>
      <c r="H44" s="3020">
        <v>-1100396.6899361587</v>
      </c>
      <c r="I44" s="3019">
        <v>-0.57683040581655232</v>
      </c>
      <c r="O44" s="196" t="s">
        <v>19</v>
      </c>
      <c r="P44" s="1917"/>
      <c r="Q44" s="1917"/>
      <c r="R44" s="196"/>
    </row>
    <row r="45" spans="1:18" s="200" customFormat="1">
      <c r="A45" s="411"/>
      <c r="B45" s="199"/>
      <c r="C45" s="2660">
        <v>10</v>
      </c>
      <c r="D45" s="51" t="s">
        <v>4</v>
      </c>
      <c r="E45" s="3017">
        <v>4096.1219538461546</v>
      </c>
      <c r="F45" s="3020">
        <v>940121.22742178547</v>
      </c>
      <c r="G45" s="3020">
        <v>771605</v>
      </c>
      <c r="H45" s="3020">
        <v>-168516.22742178547</v>
      </c>
      <c r="I45" s="3019">
        <v>-0.17924946539493533</v>
      </c>
      <c r="O45" s="196" t="s">
        <v>4</v>
      </c>
      <c r="P45" s="1917">
        <f>F45/$E45</f>
        <v>229.51495048604096</v>
      </c>
      <c r="Q45" s="1917">
        <f>G45/$E45</f>
        <v>188.37451831127305</v>
      </c>
      <c r="R45" s="196"/>
    </row>
    <row r="46" spans="1:18" s="200" customFormat="1">
      <c r="A46" s="411"/>
      <c r="B46" s="199"/>
      <c r="C46" s="2660">
        <v>11</v>
      </c>
      <c r="D46" s="51" t="s">
        <v>5</v>
      </c>
      <c r="E46" s="3017">
        <v>407.995</v>
      </c>
      <c r="F46" s="2661">
        <v>24698.557884329704</v>
      </c>
      <c r="G46" s="2661">
        <v>46508</v>
      </c>
      <c r="H46" s="2661">
        <v>21809.442115670296</v>
      </c>
      <c r="I46" s="3019">
        <v>0.88302492063747406</v>
      </c>
      <c r="O46" s="196" t="s">
        <v>5</v>
      </c>
      <c r="P46" s="1917">
        <f>F46/$E46</f>
        <v>60.536422956971784</v>
      </c>
      <c r="Q46" s="1917">
        <f>G46/$E46</f>
        <v>113.99159303422836</v>
      </c>
      <c r="R46" s="196"/>
    </row>
    <row r="47" spans="1:18" s="200" customFormat="1">
      <c r="A47" s="411"/>
      <c r="B47" s="199"/>
      <c r="C47" s="2660">
        <v>12</v>
      </c>
      <c r="D47" s="51" t="s">
        <v>66</v>
      </c>
      <c r="E47" s="3021">
        <v>0</v>
      </c>
      <c r="F47" s="3022">
        <v>4263.5272568630289</v>
      </c>
      <c r="G47" s="3022">
        <v>0</v>
      </c>
      <c r="H47" s="3022">
        <v>-4263.5272568630289</v>
      </c>
      <c r="I47" s="3023">
        <v>-1</v>
      </c>
      <c r="O47" s="196" t="s">
        <v>66</v>
      </c>
      <c r="P47" s="1917"/>
      <c r="Q47" s="1917"/>
      <c r="R47" s="196"/>
    </row>
    <row r="48" spans="1:18" s="200" customFormat="1">
      <c r="A48" s="411"/>
      <c r="B48" s="199"/>
      <c r="C48" s="2660">
        <v>13</v>
      </c>
      <c r="D48" s="3024" t="s">
        <v>602</v>
      </c>
      <c r="E48" s="3025">
        <f>SUM(E35:E47)</f>
        <v>4966020.4891665392</v>
      </c>
      <c r="F48" s="3026">
        <f>SUM(F35:F47)</f>
        <v>173221114.06140518</v>
      </c>
      <c r="G48" s="3026">
        <f>SUM(G35:G47)</f>
        <v>210717444</v>
      </c>
      <c r="H48" s="3026">
        <f>SUM(H35:H47)</f>
        <v>37496329.938594833</v>
      </c>
      <c r="I48" s="3027">
        <f>H48/F48</f>
        <v>0.21646512402236803</v>
      </c>
      <c r="O48" s="196" t="s">
        <v>602</v>
      </c>
      <c r="P48" s="1917">
        <f>F48/$E48</f>
        <v>34.881272527829893</v>
      </c>
      <c r="Q48" s="1917">
        <f>G48/$E48</f>
        <v>42.431851511624608</v>
      </c>
      <c r="R48" s="196"/>
    </row>
    <row r="49" spans="1:9" s="200" customFormat="1">
      <c r="A49" s="411"/>
      <c r="B49" s="199"/>
      <c r="C49" s="83"/>
      <c r="D49" s="1"/>
      <c r="E49" s="1"/>
      <c r="F49" s="86"/>
      <c r="G49" s="86"/>
      <c r="H49" s="86"/>
      <c r="I49" s="86"/>
    </row>
    <row r="50" spans="1:9" s="200" customFormat="1">
      <c r="A50" s="411"/>
      <c r="B50" s="199"/>
      <c r="C50" s="83"/>
      <c r="D50" s="1"/>
      <c r="E50" s="1"/>
      <c r="F50" s="86"/>
      <c r="G50" s="86"/>
      <c r="H50" s="86"/>
      <c r="I50" s="86"/>
    </row>
    <row r="51" spans="1:9" s="200" customFormat="1">
      <c r="A51" s="411"/>
      <c r="B51" s="199"/>
      <c r="C51" s="83"/>
      <c r="D51" s="1"/>
      <c r="E51" s="1"/>
      <c r="F51" s="86"/>
      <c r="G51" s="86"/>
      <c r="H51" s="86"/>
      <c r="I51" s="86"/>
    </row>
    <row r="52" spans="1:9" s="200" customFormat="1">
      <c r="A52" s="411"/>
      <c r="B52" s="199"/>
      <c r="C52" s="83"/>
      <c r="D52" s="1"/>
      <c r="E52" s="1"/>
      <c r="F52" s="86"/>
      <c r="G52" s="86"/>
      <c r="H52" s="86"/>
      <c r="I52" s="86"/>
    </row>
    <row r="53" spans="1:9" s="200" customFormat="1">
      <c r="A53" s="411"/>
      <c r="B53" s="199"/>
      <c r="C53" s="83"/>
      <c r="D53" s="1"/>
      <c r="E53" s="1"/>
      <c r="F53" s="86"/>
      <c r="G53" s="86"/>
      <c r="H53" s="86"/>
      <c r="I53" s="86"/>
    </row>
    <row r="54" spans="1:9" s="200" customFormat="1">
      <c r="A54" s="411"/>
      <c r="B54" s="199"/>
      <c r="C54" s="83"/>
      <c r="D54" s="1"/>
      <c r="E54" s="1"/>
      <c r="F54" s="86"/>
      <c r="G54" s="86"/>
      <c r="H54" s="86"/>
      <c r="I54" s="86"/>
    </row>
    <row r="55" spans="1:9" s="200" customFormat="1">
      <c r="A55" s="411"/>
      <c r="B55" s="199"/>
      <c r="C55" s="83"/>
      <c r="D55" s="1"/>
      <c r="E55" s="1"/>
      <c r="F55" s="86"/>
      <c r="G55" s="580" t="s">
        <v>703</v>
      </c>
      <c r="H55" s="204"/>
      <c r="I55" s="203"/>
    </row>
    <row r="56" spans="1:9" s="200" customFormat="1">
      <c r="A56" s="411"/>
      <c r="B56" s="199"/>
      <c r="C56" s="83"/>
      <c r="D56" s="1"/>
      <c r="E56" s="1"/>
      <c r="F56" s="86"/>
      <c r="G56" s="581">
        <f>'COS_RR (top sheet)'!I57</f>
        <v>289928473.24963951</v>
      </c>
      <c r="H56" s="204"/>
      <c r="I56" s="203"/>
    </row>
    <row r="57" spans="1:9" s="200" customFormat="1">
      <c r="A57" s="411"/>
      <c r="B57" s="199"/>
      <c r="C57" s="83"/>
      <c r="D57" s="1"/>
      <c r="E57" s="1"/>
      <c r="F57" s="86"/>
      <c r="G57" s="582">
        <f>SUM(G14:G24)-G56</f>
        <v>2.7503604888916016</v>
      </c>
      <c r="H57" s="86"/>
      <c r="I57" s="203"/>
    </row>
    <row r="58" spans="1:9" s="200" customFormat="1">
      <c r="A58" s="411"/>
      <c r="B58"/>
      <c r="C58"/>
      <c r="D58" s="1"/>
      <c r="E58" s="1"/>
      <c r="F58" s="86"/>
      <c r="G58"/>
      <c r="H58"/>
      <c r="I58" s="203"/>
    </row>
    <row r="59" spans="1:9" s="200" customFormat="1">
      <c r="A59" s="411"/>
      <c r="B59"/>
      <c r="C59"/>
      <c r="D59" s="1"/>
      <c r="E59" s="1"/>
      <c r="F59" s="86"/>
      <c r="G59"/>
      <c r="H59"/>
      <c r="I59" s="203"/>
    </row>
    <row r="60" spans="1:9" s="200" customFormat="1">
      <c r="A60" s="411"/>
      <c r="B60"/>
      <c r="C60"/>
      <c r="D60"/>
      <c r="E60"/>
      <c r="F60" s="485"/>
      <c r="G60"/>
      <c r="H60"/>
      <c r="I60" s="203"/>
    </row>
    <row r="61" spans="1:9" s="200" customFormat="1" hidden="1">
      <c r="A61" s="411"/>
      <c r="B61"/>
      <c r="C61"/>
      <c r="D61"/>
      <c r="E61"/>
      <c r="F61" s="485"/>
      <c r="G61"/>
      <c r="H61"/>
      <c r="I61" s="203"/>
    </row>
    <row r="62" spans="1:9" s="200" customFormat="1" hidden="1">
      <c r="A62" s="411"/>
      <c r="B62"/>
      <c r="C62"/>
      <c r="D62"/>
      <c r="E62"/>
      <c r="F62" s="485"/>
      <c r="G62"/>
      <c r="H62"/>
      <c r="I62"/>
    </row>
    <row r="63" spans="1:9" s="200" customFormat="1" hidden="1">
      <c r="A63" s="411"/>
      <c r="B63"/>
      <c r="C63"/>
      <c r="D63"/>
      <c r="E63"/>
      <c r="F63" s="485"/>
      <c r="G63"/>
      <c r="H63"/>
      <c r="I63"/>
    </row>
    <row r="64" spans="1:9" s="200" customFormat="1" hidden="1">
      <c r="B64"/>
      <c r="C64"/>
      <c r="D64"/>
      <c r="E64"/>
      <c r="F64" s="485"/>
      <c r="G64"/>
      <c r="H64"/>
      <c r="I64"/>
    </row>
    <row r="65" spans="5:5" hidden="1"/>
    <row r="66" spans="5:5" hidden="1"/>
    <row r="67" spans="5:5" hidden="1"/>
    <row r="68" spans="5:5" hidden="1"/>
    <row r="69" spans="5:5" hidden="1"/>
    <row r="70" spans="5:5" hidden="1"/>
    <row r="71" spans="5:5" hidden="1">
      <c r="E71" s="575" t="s">
        <v>402</v>
      </c>
    </row>
    <row r="72" spans="5:5" hidden="1">
      <c r="E72" s="575" t="s">
        <v>196</v>
      </c>
    </row>
    <row r="73" spans="5:5" hidden="1"/>
    <row r="74" spans="5:5" hidden="1"/>
    <row r="75" spans="5:5" hidden="1"/>
    <row r="76" spans="5:5" hidden="1"/>
    <row r="77" spans="5:5" hidden="1"/>
    <row r="78" spans="5:5" hidden="1"/>
    <row r="79" spans="5:5" hidden="1"/>
    <row r="80" spans="5:5"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sheetData>
  <mergeCells count="6">
    <mergeCell ref="D1:I1"/>
    <mergeCell ref="D2:I2"/>
    <mergeCell ref="D3:I3"/>
    <mergeCell ref="H7:I8"/>
    <mergeCell ref="H30:I31"/>
    <mergeCell ref="C29:I29"/>
  </mergeCells>
  <phoneticPr fontId="8" type="noConversion"/>
  <printOptions horizontalCentered="1"/>
  <pageMargins left="0.25" right="0.25" top="0.5" bottom="0.5" header="0.25" footer="0.25"/>
  <pageSetup scale="75" orientation="portrait" r:id="rId1"/>
  <headerFooter alignWithMargins="0">
    <oddFooter>&amp;L&amp;"Times New Roman,Bold Italic"Black &amp; Veatch Corporation&amp;C&amp;"Times New Roman,Bold Italic"Date: &amp;D&amp;R&amp;"Times New Roman,Bold Italic"Page: &amp;P of&amp;N</oddFooter>
  </headerFooter>
  <drawing r:id="rId2"/>
  <legacy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8000"/>
    <pageSetUpPr fitToPage="1"/>
  </sheetPr>
  <dimension ref="A1:AO401"/>
  <sheetViews>
    <sheetView showGridLines="0" zoomScale="70" zoomScaleNormal="70" zoomScaleSheetLayoutView="85" workbookViewId="0">
      <pane xSplit="5" ySplit="8" topLeftCell="F9" activePane="bottomRight" state="frozen"/>
      <selection pane="topRight" activeCell="F1" sqref="F1"/>
      <selection pane="bottomLeft" activeCell="A9" sqref="A9"/>
      <selection pane="bottomRight" activeCell="I106" sqref="I106"/>
    </sheetView>
  </sheetViews>
  <sheetFormatPr defaultRowHeight="15.75" customHeight="1" zeroHeight="1" outlineLevelCol="1"/>
  <cols>
    <col min="1" max="1" width="22.5" style="196" customWidth="1"/>
    <col min="2" max="2" width="1.625" style="196" customWidth="1"/>
    <col min="3" max="3" width="12.25" style="196" customWidth="1"/>
    <col min="4" max="4" width="35.25" style="196" customWidth="1"/>
    <col min="5" max="5" width="3" style="196" customWidth="1"/>
    <col min="6" max="6" width="11.25" style="196" bestFit="1" customWidth="1"/>
    <col min="7" max="7" width="18.25" style="196" bestFit="1" customWidth="1"/>
    <col min="8" max="12" width="14.625" style="196" customWidth="1" outlineLevel="1"/>
    <col min="13" max="13" width="15.625" style="196" customWidth="1" outlineLevel="1"/>
    <col min="14" max="14" width="16.875" style="196" customWidth="1" outlineLevel="1"/>
    <col min="15" max="15" width="14.625" style="196" customWidth="1" outlineLevel="1"/>
    <col min="16" max="16" width="15.625" style="196" customWidth="1" outlineLevel="1"/>
    <col min="17" max="17" width="14.625" style="196" customWidth="1" outlineLevel="1"/>
    <col min="18" max="19" width="15.625" style="196" customWidth="1" outlineLevel="1"/>
    <col min="20" max="21" width="14.625" style="196" customWidth="1" outlineLevel="1"/>
    <col min="22" max="24" width="15.625" style="196" customWidth="1" outlineLevel="1"/>
    <col min="25" max="25" width="9" style="196" customWidth="1"/>
    <col min="26" max="26" width="3.25" style="196" customWidth="1"/>
    <col min="27" max="28" width="15.625" style="196" bestFit="1" customWidth="1"/>
    <col min="29" max="29" width="14.625" style="196" bestFit="1" customWidth="1"/>
    <col min="30" max="30" width="11" style="196" bestFit="1" customWidth="1"/>
    <col min="31" max="31" width="9" style="196" customWidth="1"/>
    <col min="32" max="32" width="17.875" style="196" bestFit="1" customWidth="1"/>
    <col min="33" max="33" width="15.625" style="196" bestFit="1" customWidth="1"/>
    <col min="34" max="34" width="14.625" style="196" bestFit="1" customWidth="1"/>
    <col min="35" max="35" width="11" style="196" bestFit="1" customWidth="1"/>
    <col min="36" max="37" width="9" style="196" customWidth="1"/>
    <col min="38" max="38" width="13.375" style="196" customWidth="1"/>
    <col min="39" max="16384" width="9" style="196"/>
  </cols>
  <sheetData>
    <row r="1" spans="1:41" ht="22.5">
      <c r="A1" s="411"/>
      <c r="B1" s="29"/>
      <c r="C1" s="29"/>
      <c r="D1" s="4343"/>
      <c r="E1" s="4343"/>
      <c r="F1" s="4343"/>
      <c r="G1" s="4343"/>
      <c r="H1" s="4343"/>
      <c r="I1" s="4343"/>
      <c r="J1" s="4343"/>
    </row>
    <row r="2" spans="1:41" ht="22.5">
      <c r="A2" s="411"/>
      <c r="B2" s="29"/>
      <c r="C2" s="6"/>
      <c r="D2" s="4343" t="s">
        <v>878</v>
      </c>
      <c r="E2" s="4343"/>
      <c r="F2" s="4343"/>
      <c r="G2" s="4343"/>
      <c r="H2" s="4343"/>
      <c r="I2" s="4343"/>
      <c r="J2" s="4343"/>
    </row>
    <row r="3" spans="1:41" ht="22.5">
      <c r="A3" s="411"/>
      <c r="B3" s="29"/>
      <c r="D3" s="4493" t="s">
        <v>717</v>
      </c>
      <c r="E3" s="4493"/>
      <c r="F3" s="4493"/>
      <c r="G3" s="4493"/>
      <c r="H3" s="4493"/>
      <c r="I3" s="4493"/>
      <c r="J3" s="4493"/>
    </row>
    <row r="4" spans="1:41" ht="16.5" thickBot="1">
      <c r="A4" s="411"/>
      <c r="B4" s="29"/>
      <c r="D4" s="2"/>
      <c r="E4" s="2"/>
      <c r="F4" s="2"/>
      <c r="Z4" s="2"/>
      <c r="AA4" s="2"/>
      <c r="AB4" s="2"/>
      <c r="AC4" s="5" t="s">
        <v>114</v>
      </c>
    </row>
    <row r="5" spans="1:41" ht="17.25" thickTop="1" thickBot="1">
      <c r="A5" s="411"/>
      <c r="B5" s="29"/>
      <c r="C5" s="2554" t="s">
        <v>882</v>
      </c>
      <c r="D5" s="2555">
        <v>2024</v>
      </c>
      <c r="E5" s="2"/>
      <c r="F5" s="2"/>
      <c r="Z5" s="2"/>
      <c r="AA5" s="2"/>
      <c r="AB5" s="198"/>
      <c r="AC5" s="43">
        <f>D5</f>
        <v>2024</v>
      </c>
    </row>
    <row r="6" spans="1:41" s="200" customFormat="1" ht="16.5" thickBot="1">
      <c r="A6" s="411"/>
      <c r="B6" s="199"/>
      <c r="C6" s="2554" t="s">
        <v>3005</v>
      </c>
      <c r="D6" s="2555" t="s">
        <v>3008</v>
      </c>
      <c r="E6" s="84"/>
      <c r="F6" s="374"/>
      <c r="I6" s="1990">
        <f>Dashboard!H$7</f>
        <v>2015</v>
      </c>
      <c r="J6" s="1990">
        <f>Dashboard!I$7</f>
        <v>2016</v>
      </c>
      <c r="K6" s="1990">
        <f>Dashboard!J$7</f>
        <v>2017</v>
      </c>
      <c r="L6" s="1990">
        <f>Dashboard!K$7</f>
        <v>2018</v>
      </c>
      <c r="M6" s="1990">
        <f>Dashboard!L$7</f>
        <v>2019</v>
      </c>
      <c r="N6" s="1990">
        <f>Dashboard!M$7</f>
        <v>2020</v>
      </c>
      <c r="O6" s="1990">
        <f>Dashboard!N$7</f>
        <v>2021</v>
      </c>
      <c r="P6" s="1990">
        <f>Dashboard!O$7</f>
        <v>2022</v>
      </c>
      <c r="Q6" s="1990">
        <f>Dashboard!P$7</f>
        <v>2023</v>
      </c>
      <c r="R6" s="1990">
        <f>Dashboard!Q$7</f>
        <v>2024</v>
      </c>
      <c r="S6" s="1990">
        <f>Dashboard!R$7</f>
        <v>2025</v>
      </c>
      <c r="T6" s="1990">
        <f>Dashboard!S$7</f>
        <v>2026</v>
      </c>
      <c r="U6" s="1990" t="e">
        <f>Dashboard!#REF!</f>
        <v>#REF!</v>
      </c>
      <c r="V6" s="1990" t="e">
        <f>Dashboard!#REF!</f>
        <v>#REF!</v>
      </c>
      <c r="W6" s="1990" t="e">
        <f>Dashboard!#REF!</f>
        <v>#REF!</v>
      </c>
      <c r="X6" s="1990" t="e">
        <f>Dashboard!#REF!</f>
        <v>#REF!</v>
      </c>
      <c r="AA6" s="374"/>
      <c r="AB6" s="374"/>
      <c r="AC6" s="374"/>
      <c r="AD6" s="374"/>
    </row>
    <row r="7" spans="1:41">
      <c r="A7" s="411"/>
      <c r="B7" s="29"/>
      <c r="E7" s="9"/>
      <c r="F7" s="1"/>
      <c r="G7" s="4509" t="s">
        <v>3009</v>
      </c>
      <c r="H7" s="4509"/>
      <c r="I7" s="2556">
        <f t="shared" ref="I7:X7" si="0">I30</f>
        <v>0</v>
      </c>
      <c r="J7" s="2556">
        <f t="shared" si="0"/>
        <v>0</v>
      </c>
      <c r="K7" s="2556">
        <f t="shared" si="0"/>
        <v>113400</v>
      </c>
      <c r="L7" s="2556">
        <f t="shared" si="0"/>
        <v>244900</v>
      </c>
      <c r="M7" s="2556">
        <f t="shared" si="0"/>
        <v>295200</v>
      </c>
      <c r="N7" s="2556">
        <f t="shared" si="0"/>
        <v>162300</v>
      </c>
      <c r="O7" s="2556">
        <f>O30</f>
        <v>50400</v>
      </c>
      <c r="P7" s="2556">
        <f t="shared" si="0"/>
        <v>-248600</v>
      </c>
      <c r="Q7" s="2556">
        <f t="shared" si="0"/>
        <v>-339200</v>
      </c>
      <c r="R7" s="2556">
        <f t="shared" si="0"/>
        <v>-442100</v>
      </c>
      <c r="S7" s="2556">
        <f t="shared" si="0"/>
        <v>-425900</v>
      </c>
      <c r="T7" s="2556">
        <f t="shared" si="0"/>
        <v>-356500</v>
      </c>
      <c r="U7" s="2556" t="e">
        <f t="shared" si="0"/>
        <v>#REF!</v>
      </c>
      <c r="V7" s="2556" t="e">
        <f t="shared" si="0"/>
        <v>#REF!</v>
      </c>
      <c r="W7" s="2556" t="e">
        <f t="shared" si="0"/>
        <v>#REF!</v>
      </c>
      <c r="X7" s="2556" t="e">
        <f t="shared" si="0"/>
        <v>#REF!</v>
      </c>
      <c r="Y7" s="200"/>
      <c r="AG7" s="200"/>
      <c r="AH7" s="200"/>
      <c r="AI7" s="200"/>
      <c r="AJ7" s="200"/>
    </row>
    <row r="8" spans="1:41" ht="20.25">
      <c r="A8" s="411"/>
      <c r="B8" s="29"/>
      <c r="C8" s="569" t="s">
        <v>867</v>
      </c>
      <c r="D8" s="569" t="s">
        <v>399</v>
      </c>
      <c r="E8" s="1979"/>
      <c r="F8"/>
      <c r="H8"/>
      <c r="I8" s="1926">
        <f>'Rate Increases'!J110</f>
        <v>0</v>
      </c>
      <c r="J8" s="1926">
        <f>'Rate Increases'!K110</f>
        <v>0</v>
      </c>
      <c r="K8" s="1926">
        <f>'Rate Increases'!L110</f>
        <v>1.9400000000000001E-2</v>
      </c>
      <c r="L8" s="1926">
        <f>'Rate Increases'!M110</f>
        <v>1.95E-2</v>
      </c>
      <c r="M8" s="1926">
        <f>'Rate Increases'!N110</f>
        <v>1.9779999999999999E-2</v>
      </c>
      <c r="N8" s="1926">
        <f>'Rate Increases'!O110</f>
        <v>2.018E-2</v>
      </c>
      <c r="O8" s="1926">
        <f>'Rate Increases'!P110</f>
        <v>2.044E-2</v>
      </c>
      <c r="P8" s="1926">
        <f>'Rate Increases'!Q110</f>
        <v>2.077E-2</v>
      </c>
      <c r="Q8" s="1926">
        <f>'Rate Increases'!R110</f>
        <v>2.0920000000000001E-2</v>
      </c>
      <c r="R8" s="1926">
        <f>'Rate Increases'!S110</f>
        <v>2.1069999999999998E-2</v>
      </c>
      <c r="S8" s="1926">
        <f>'Rate Increases'!T110</f>
        <v>1.9959999999999999E-2</v>
      </c>
      <c r="T8" s="1926">
        <f>'Rate Increases'!U110</f>
        <v>2.0049999999999998E-2</v>
      </c>
      <c r="U8" s="1926" t="e">
        <f>'Rate Increases'!#REF!</f>
        <v>#REF!</v>
      </c>
      <c r="V8" s="1926" t="e">
        <f>'Rate Increases'!#REF!</f>
        <v>#REF!</v>
      </c>
      <c r="W8" s="1926" t="e">
        <f>'Rate Increases'!#REF!</f>
        <v>#REF!</v>
      </c>
      <c r="X8" s="1926" t="e">
        <f>'Rate Increases'!#REF!</f>
        <v>#REF!</v>
      </c>
      <c r="Y8"/>
      <c r="Z8"/>
      <c r="AA8"/>
      <c r="AB8"/>
      <c r="AC8"/>
      <c r="AD8"/>
      <c r="AE8"/>
      <c r="AF8"/>
      <c r="AG8"/>
      <c r="AH8"/>
      <c r="AI8"/>
      <c r="AJ8"/>
      <c r="AK8"/>
      <c r="AL8"/>
      <c r="AM8"/>
      <c r="AN8"/>
      <c r="AO8"/>
    </row>
    <row r="9" spans="1:41">
      <c r="A9" s="411"/>
      <c r="B9" s="29"/>
      <c r="C9" s="314"/>
      <c r="D9" s="1"/>
      <c r="E9" s="1"/>
      <c r="F9" s="1"/>
      <c r="H9" s="200"/>
      <c r="I9" s="4508" t="s">
        <v>2233</v>
      </c>
      <c r="J9" s="4508"/>
      <c r="K9" s="4508"/>
      <c r="L9" s="4508"/>
      <c r="M9" s="4508"/>
      <c r="N9" s="4508"/>
      <c r="O9" s="4508"/>
      <c r="P9" s="4508"/>
      <c r="Q9" s="4508"/>
      <c r="R9" s="4508"/>
      <c r="S9" s="4508"/>
      <c r="T9" s="4508"/>
      <c r="U9" s="4508"/>
      <c r="V9" s="4508"/>
      <c r="W9" s="4508"/>
      <c r="X9" s="4508"/>
      <c r="Y9" s="200"/>
      <c r="AG9" s="200"/>
      <c r="AH9" s="200"/>
      <c r="AI9" s="200"/>
      <c r="AJ9" s="200"/>
    </row>
    <row r="10" spans="1:41">
      <c r="A10" s="411"/>
      <c r="B10" s="29"/>
      <c r="C10" s="236"/>
      <c r="D10" s="1"/>
      <c r="E10" s="1"/>
      <c r="F10" s="1"/>
      <c r="G10" s="2000" t="s">
        <v>2782</v>
      </c>
      <c r="H10" s="200"/>
      <c r="I10" s="200"/>
      <c r="J10" s="200"/>
      <c r="K10" s="200"/>
      <c r="L10" s="200"/>
      <c r="M10" s="200"/>
      <c r="N10" s="200"/>
      <c r="O10" s="200"/>
      <c r="P10" s="200"/>
      <c r="Q10" s="200"/>
      <c r="R10" s="200"/>
      <c r="S10" s="200"/>
      <c r="T10" s="200"/>
      <c r="U10" s="200"/>
      <c r="V10" s="200"/>
      <c r="W10" s="200"/>
      <c r="X10" s="200"/>
      <c r="Y10" s="200"/>
      <c r="AG10" s="200"/>
      <c r="AH10" s="200"/>
      <c r="AI10" s="200"/>
      <c r="AJ10" s="200"/>
    </row>
    <row r="11" spans="1:41">
      <c r="A11" s="411"/>
      <c r="B11" s="29"/>
      <c r="C11" s="236">
        <v>1</v>
      </c>
      <c r="D11" s="1" t="str">
        <f t="shared" ref="D11:D23" si="1">D39</f>
        <v>Residential-Urban (1)</v>
      </c>
      <c r="E11" s="2549" t="str">
        <f>E13</f>
        <v>What it Takes for COSResidential-Total (1)</v>
      </c>
      <c r="F11" s="4" t="s">
        <v>871</v>
      </c>
      <c r="G11" s="3009">
        <f>$AI$39</f>
        <v>-3.3308550729425922E-2</v>
      </c>
      <c r="H11" s="200"/>
      <c r="I11" s="1553">
        <f>SUMIF($E$62:$E$97,$E11,I$62:I$97)</f>
        <v>0</v>
      </c>
      <c r="J11" s="1553">
        <f t="shared" ref="J11:X11" si="2">SUMIF($E$62:$E$97,$E11,J$62:J$97)</f>
        <v>0</v>
      </c>
      <c r="K11" s="1553">
        <f t="shared" si="2"/>
        <v>1.4596877915346E-2</v>
      </c>
      <c r="L11" s="1553">
        <f t="shared" si="2"/>
        <v>1.4596877915346E-2</v>
      </c>
      <c r="M11" s="1553">
        <f t="shared" si="2"/>
        <v>1.4596877915346E-2</v>
      </c>
      <c r="N11" s="1553">
        <f t="shared" si="2"/>
        <v>1.4596877915346E-2</v>
      </c>
      <c r="O11" s="1553">
        <f t="shared" si="2"/>
        <v>1.4596877915346E-2</v>
      </c>
      <c r="P11" s="1553">
        <f t="shared" si="2"/>
        <v>1.4596877915346E-2</v>
      </c>
      <c r="Q11" s="1553">
        <f t="shared" si="2"/>
        <v>1.4596877915346E-2</v>
      </c>
      <c r="R11" s="1553">
        <f t="shared" si="2"/>
        <v>1.4596877915346E-2</v>
      </c>
      <c r="S11" s="1553">
        <f t="shared" si="2"/>
        <v>4.3548301635403788E-3</v>
      </c>
      <c r="T11" s="1553">
        <f t="shared" si="2"/>
        <v>2.2412295278799999E-2</v>
      </c>
      <c r="U11" s="1553">
        <f t="shared" si="2"/>
        <v>0</v>
      </c>
      <c r="V11" s="1553">
        <f t="shared" si="2"/>
        <v>0</v>
      </c>
      <c r="W11" s="1553">
        <f t="shared" si="2"/>
        <v>0</v>
      </c>
      <c r="X11" s="1553">
        <f t="shared" si="2"/>
        <v>0</v>
      </c>
      <c r="Y11" s="200"/>
      <c r="AG11" s="200"/>
      <c r="AI11" s="1917"/>
      <c r="AJ11" s="1917"/>
    </row>
    <row r="12" spans="1:41">
      <c r="A12" s="411"/>
      <c r="B12" s="29"/>
      <c r="C12" s="236">
        <v>2</v>
      </c>
      <c r="D12" s="1" t="str">
        <f t="shared" si="1"/>
        <v>Residential-Rural (1)</v>
      </c>
      <c r="E12" s="2549" t="str">
        <f>E13</f>
        <v>What it Takes for COSResidential-Total (1)</v>
      </c>
      <c r="F12" s="4" t="s">
        <v>871</v>
      </c>
      <c r="G12" s="3009">
        <f>$AI$40</f>
        <v>-0.3337524964300142</v>
      </c>
      <c r="H12" s="200"/>
      <c r="I12" s="1553">
        <f t="shared" ref="I12:I23" si="3">SUMIF($E$62:$E$97,$E12,I$62:I$97)</f>
        <v>0</v>
      </c>
      <c r="J12" s="1553">
        <f t="shared" ref="J12:X23" si="4">SUMIF($E$62:$E$97,$E12,J$62:J$97)</f>
        <v>0</v>
      </c>
      <c r="K12" s="1553">
        <f t="shared" si="4"/>
        <v>1.4596877915346E-2</v>
      </c>
      <c r="L12" s="1553">
        <f t="shared" si="4"/>
        <v>1.4596877915346E-2</v>
      </c>
      <c r="M12" s="1553">
        <f t="shared" si="4"/>
        <v>1.4596877915346E-2</v>
      </c>
      <c r="N12" s="1553">
        <f t="shared" si="4"/>
        <v>1.4596877915346E-2</v>
      </c>
      <c r="O12" s="1553">
        <f t="shared" si="4"/>
        <v>1.4596877915346E-2</v>
      </c>
      <c r="P12" s="1553">
        <f t="shared" si="4"/>
        <v>1.4596877915346E-2</v>
      </c>
      <c r="Q12" s="1553">
        <f t="shared" si="4"/>
        <v>1.4596877915346E-2</v>
      </c>
      <c r="R12" s="1553">
        <f t="shared" si="4"/>
        <v>1.4596877915346E-2</v>
      </c>
      <c r="S12" s="1553">
        <f t="shared" si="4"/>
        <v>4.3548301635403788E-3</v>
      </c>
      <c r="T12" s="1553">
        <f t="shared" si="4"/>
        <v>2.2412295278799999E-2</v>
      </c>
      <c r="U12" s="1553">
        <f t="shared" si="4"/>
        <v>0</v>
      </c>
      <c r="V12" s="1553">
        <f t="shared" si="4"/>
        <v>0</v>
      </c>
      <c r="W12" s="1553">
        <f t="shared" si="4"/>
        <v>0</v>
      </c>
      <c r="X12" s="1553">
        <f t="shared" si="4"/>
        <v>0</v>
      </c>
      <c r="Y12" s="200"/>
      <c r="AG12" s="200"/>
      <c r="AI12" s="1917"/>
      <c r="AJ12" s="1917"/>
    </row>
    <row r="13" spans="1:41">
      <c r="A13" s="411"/>
      <c r="B13" s="29"/>
      <c r="C13" s="236">
        <v>3</v>
      </c>
      <c r="D13" s="1962" t="str">
        <f t="shared" si="1"/>
        <v>Residential-Total (1)</v>
      </c>
      <c r="E13" s="2549" t="str">
        <f t="shared" ref="E13:E21" si="5">$D$6&amp;D13</f>
        <v>What it Takes for COSResidential-Total (1)</v>
      </c>
      <c r="F13" s="4" t="s">
        <v>871</v>
      </c>
      <c r="G13" s="3009">
        <f>$AI$41</f>
        <v>-0.19967637184180348</v>
      </c>
      <c r="H13" s="200"/>
      <c r="I13" s="1553">
        <f t="shared" si="3"/>
        <v>0</v>
      </c>
      <c r="J13" s="1553">
        <f t="shared" si="4"/>
        <v>0</v>
      </c>
      <c r="K13" s="1553">
        <f t="shared" si="4"/>
        <v>1.4596877915346E-2</v>
      </c>
      <c r="L13" s="1553">
        <f t="shared" si="4"/>
        <v>1.4596877915346E-2</v>
      </c>
      <c r="M13" s="1553">
        <f t="shared" si="4"/>
        <v>1.4596877915346E-2</v>
      </c>
      <c r="N13" s="1553">
        <f t="shared" si="4"/>
        <v>1.4596877915346E-2</v>
      </c>
      <c r="O13" s="1553">
        <f t="shared" si="4"/>
        <v>1.4596877915346E-2</v>
      </c>
      <c r="P13" s="1553">
        <f t="shared" si="4"/>
        <v>1.4596877915346E-2</v>
      </c>
      <c r="Q13" s="1553">
        <f t="shared" si="4"/>
        <v>1.4596877915346E-2</v>
      </c>
      <c r="R13" s="1553">
        <f t="shared" si="4"/>
        <v>1.4596877915346E-2</v>
      </c>
      <c r="S13" s="1553">
        <f t="shared" si="4"/>
        <v>4.3548301635403788E-3</v>
      </c>
      <c r="T13" s="1553">
        <f t="shared" si="4"/>
        <v>2.2412295278799999E-2</v>
      </c>
      <c r="U13" s="1553">
        <f t="shared" si="4"/>
        <v>0</v>
      </c>
      <c r="V13" s="1553">
        <f t="shared" si="4"/>
        <v>0</v>
      </c>
      <c r="W13" s="1553">
        <f t="shared" si="4"/>
        <v>0</v>
      </c>
      <c r="X13" s="1553">
        <f t="shared" si="4"/>
        <v>0</v>
      </c>
      <c r="Y13" s="200"/>
      <c r="AG13" s="200"/>
      <c r="AI13" s="1917"/>
      <c r="AJ13" s="1917"/>
    </row>
    <row r="14" spans="1:41">
      <c r="A14" s="411"/>
      <c r="B14" s="29"/>
      <c r="C14" s="236">
        <v>4</v>
      </c>
      <c r="D14" s="1" t="str">
        <f t="shared" si="1"/>
        <v>Irrigation (3)</v>
      </c>
      <c r="E14" s="2549" t="str">
        <f t="shared" si="5"/>
        <v>What it Takes for COSIrrigation (3)</v>
      </c>
      <c r="F14" s="4" t="s">
        <v>871</v>
      </c>
      <c r="G14" s="3009">
        <f>$AI$42</f>
        <v>-0.20025705987996489</v>
      </c>
      <c r="H14" s="200"/>
      <c r="I14" s="1553">
        <f t="shared" si="3"/>
        <v>0</v>
      </c>
      <c r="J14" s="1553">
        <f t="shared" si="4"/>
        <v>0</v>
      </c>
      <c r="K14" s="1553">
        <f t="shared" si="4"/>
        <v>3.4384489117059158E-2</v>
      </c>
      <c r="L14" s="1553">
        <f t="shared" si="4"/>
        <v>3.4384489117059158E-2</v>
      </c>
      <c r="M14" s="1553">
        <f t="shared" si="4"/>
        <v>3.4384489117059158E-2</v>
      </c>
      <c r="N14" s="1553">
        <f t="shared" si="4"/>
        <v>3.4384489117059158E-2</v>
      </c>
      <c r="O14" s="1553">
        <f t="shared" si="4"/>
        <v>3.4384489117059158E-2</v>
      </c>
      <c r="P14" s="1553">
        <f t="shared" si="4"/>
        <v>3.4384489117059158E-2</v>
      </c>
      <c r="Q14" s="1553">
        <f t="shared" si="4"/>
        <v>3.4384489117059158E-2</v>
      </c>
      <c r="R14" s="1553">
        <f t="shared" si="4"/>
        <v>3.4384489117059158E-2</v>
      </c>
      <c r="S14" s="1553">
        <f t="shared" si="4"/>
        <v>1.2985681684782676E-2</v>
      </c>
      <c r="T14" s="1553">
        <f t="shared" si="4"/>
        <v>2.2366809049865499E-2</v>
      </c>
      <c r="U14" s="1553">
        <f t="shared" si="4"/>
        <v>0</v>
      </c>
      <c r="V14" s="1553">
        <f t="shared" si="4"/>
        <v>0</v>
      </c>
      <c r="W14" s="1553">
        <f t="shared" si="4"/>
        <v>0</v>
      </c>
      <c r="X14" s="1553">
        <f t="shared" si="4"/>
        <v>0</v>
      </c>
      <c r="Y14" s="200"/>
      <c r="AG14" s="200"/>
      <c r="AI14" s="1917"/>
      <c r="AJ14" s="1917"/>
    </row>
    <row r="15" spans="1:41">
      <c r="A15" s="411"/>
      <c r="B15" s="29"/>
      <c r="C15" s="236">
        <v>5</v>
      </c>
      <c r="D15" s="1" t="str">
        <f t="shared" si="1"/>
        <v>General Service (2) &amp; (PA)</v>
      </c>
      <c r="E15" s="2549" t="str">
        <f t="shared" si="5"/>
        <v>What it Takes for COSGeneral Service (2) &amp; (PA)</v>
      </c>
      <c r="F15" s="4" t="s">
        <v>871</v>
      </c>
      <c r="G15" s="3009">
        <f>$AI$43</f>
        <v>-0.12500247166098935</v>
      </c>
      <c r="H15" s="200"/>
      <c r="I15" s="1553">
        <f t="shared" si="3"/>
        <v>0</v>
      </c>
      <c r="J15" s="1553">
        <f t="shared" si="4"/>
        <v>0</v>
      </c>
      <c r="K15" s="1553">
        <f t="shared" si="4"/>
        <v>2.1108180556527703E-2</v>
      </c>
      <c r="L15" s="1553">
        <f t="shared" si="4"/>
        <v>2.1108180556527703E-2</v>
      </c>
      <c r="M15" s="1553">
        <f t="shared" si="4"/>
        <v>2.1108180556527703E-2</v>
      </c>
      <c r="N15" s="1553">
        <f t="shared" si="4"/>
        <v>2.1108180556527703E-2</v>
      </c>
      <c r="O15" s="1553">
        <f t="shared" si="4"/>
        <v>2.1108180556527703E-2</v>
      </c>
      <c r="P15" s="1553">
        <f t="shared" si="4"/>
        <v>2.1108180556527703E-2</v>
      </c>
      <c r="Q15" s="1553">
        <f t="shared" si="4"/>
        <v>2.1108180556527703E-2</v>
      </c>
      <c r="R15" s="1553">
        <f t="shared" si="4"/>
        <v>2.1108180556527703E-2</v>
      </c>
      <c r="S15" s="1553">
        <f t="shared" si="4"/>
        <v>5.0000000000000001E-3</v>
      </c>
      <c r="T15" s="1553">
        <f t="shared" si="4"/>
        <v>5.0000000000000001E-3</v>
      </c>
      <c r="U15" s="1553">
        <f t="shared" si="4"/>
        <v>0</v>
      </c>
      <c r="V15" s="1553">
        <f t="shared" si="4"/>
        <v>0</v>
      </c>
      <c r="W15" s="1553">
        <f t="shared" si="4"/>
        <v>0</v>
      </c>
      <c r="X15" s="1553">
        <f t="shared" si="4"/>
        <v>0</v>
      </c>
      <c r="Y15" s="200"/>
      <c r="AG15" s="200"/>
      <c r="AI15" s="1917"/>
      <c r="AJ15" s="1917"/>
    </row>
    <row r="16" spans="1:41">
      <c r="A16" s="411"/>
      <c r="B16" s="29"/>
      <c r="C16" s="236">
        <v>6</v>
      </c>
      <c r="D16" s="1" t="str">
        <f t="shared" si="1"/>
        <v>Large General Service (7)</v>
      </c>
      <c r="E16" s="2549" t="str">
        <f t="shared" si="5"/>
        <v>What it Takes for COSLarge General Service (7)</v>
      </c>
      <c r="F16" s="4" t="s">
        <v>871</v>
      </c>
      <c r="G16" s="3009">
        <f>$AI$44</f>
        <v>-0.12495383693639457</v>
      </c>
      <c r="H16" s="200"/>
      <c r="I16" s="1553">
        <f t="shared" si="3"/>
        <v>0</v>
      </c>
      <c r="J16" s="1553">
        <f t="shared" si="4"/>
        <v>0</v>
      </c>
      <c r="K16" s="1553">
        <f t="shared" si="4"/>
        <v>9.631294852342466E-3</v>
      </c>
      <c r="L16" s="1553">
        <f t="shared" si="4"/>
        <v>9.631294852342466E-3</v>
      </c>
      <c r="M16" s="1553">
        <f t="shared" si="4"/>
        <v>9.631294852342466E-3</v>
      </c>
      <c r="N16" s="1553">
        <f t="shared" si="4"/>
        <v>9.631294852342466E-3</v>
      </c>
      <c r="O16" s="1553">
        <f t="shared" si="4"/>
        <v>9.631294852342466E-3</v>
      </c>
      <c r="P16" s="1553">
        <f t="shared" si="4"/>
        <v>9.631294852342466E-3</v>
      </c>
      <c r="Q16" s="1553">
        <f t="shared" si="4"/>
        <v>9.631294852342466E-3</v>
      </c>
      <c r="R16" s="1553">
        <f t="shared" si="4"/>
        <v>9.631294852342466E-3</v>
      </c>
      <c r="S16" s="1553">
        <f t="shared" si="4"/>
        <v>5.0000000000000001E-3</v>
      </c>
      <c r="T16" s="1553">
        <f t="shared" si="4"/>
        <v>5.0000000000000001E-3</v>
      </c>
      <c r="U16" s="1553">
        <f t="shared" si="4"/>
        <v>0</v>
      </c>
      <c r="V16" s="1553">
        <f t="shared" si="4"/>
        <v>0</v>
      </c>
      <c r="W16" s="1553">
        <f t="shared" si="4"/>
        <v>0</v>
      </c>
      <c r="X16" s="1553">
        <f t="shared" si="4"/>
        <v>0</v>
      </c>
      <c r="Y16" s="200"/>
      <c r="AG16" s="200"/>
      <c r="AI16" s="1917"/>
      <c r="AJ16" s="1917"/>
    </row>
    <row r="17" spans="1:36">
      <c r="A17" s="411"/>
      <c r="B17" s="29"/>
      <c r="C17" s="236">
        <v>7</v>
      </c>
      <c r="D17" s="1" t="str">
        <f t="shared" si="1"/>
        <v>Industrial (14)</v>
      </c>
      <c r="E17" s="2549" t="str">
        <f t="shared" si="5"/>
        <v>What it Takes for COSIndustrial (14)</v>
      </c>
      <c r="F17" s="4" t="s">
        <v>871</v>
      </c>
      <c r="G17" s="3009">
        <f>$AI$45</f>
        <v>0.14574641394459725</v>
      </c>
      <c r="H17" s="200"/>
      <c r="I17" s="1553">
        <f t="shared" si="3"/>
        <v>0</v>
      </c>
      <c r="J17" s="1553">
        <f t="shared" si="4"/>
        <v>0</v>
      </c>
      <c r="K17" s="1553">
        <f t="shared" si="4"/>
        <v>0.05</v>
      </c>
      <c r="L17" s="1553">
        <f t="shared" si="4"/>
        <v>0.05</v>
      </c>
      <c r="M17" s="1553">
        <f t="shared" si="4"/>
        <v>0.05</v>
      </c>
      <c r="N17" s="1553">
        <f t="shared" si="4"/>
        <v>0.05</v>
      </c>
      <c r="O17" s="1553">
        <f t="shared" si="4"/>
        <v>0.05</v>
      </c>
      <c r="P17" s="1553">
        <f t="shared" si="4"/>
        <v>0.05</v>
      </c>
      <c r="Q17" s="1553">
        <f t="shared" si="4"/>
        <v>0.05</v>
      </c>
      <c r="R17" s="1553">
        <f t="shared" si="4"/>
        <v>0.05</v>
      </c>
      <c r="S17" s="1553">
        <f t="shared" si="4"/>
        <v>2.8337231155420601E-2</v>
      </c>
      <c r="T17" s="1553">
        <f t="shared" si="4"/>
        <v>1.9E-2</v>
      </c>
      <c r="U17" s="1553">
        <f t="shared" si="4"/>
        <v>0</v>
      </c>
      <c r="V17" s="1553">
        <f t="shared" si="4"/>
        <v>0</v>
      </c>
      <c r="W17" s="1553">
        <f t="shared" si="4"/>
        <v>0</v>
      </c>
      <c r="X17" s="1553">
        <f t="shared" si="4"/>
        <v>0</v>
      </c>
      <c r="Y17" s="200"/>
      <c r="AG17" s="200"/>
      <c r="AI17" s="1917"/>
      <c r="AJ17" s="1917"/>
    </row>
    <row r="18" spans="1:36">
      <c r="A18" s="411"/>
      <c r="B18" s="29"/>
      <c r="C18" s="236">
        <v>8</v>
      </c>
      <c r="D18" s="1" t="str">
        <f t="shared" si="1"/>
        <v>Large Industrial (15) &amp; (94)</v>
      </c>
      <c r="E18" s="2549" t="str">
        <f t="shared" si="5"/>
        <v>What it Takes for COSLarge Industrial (15) &amp; (94)</v>
      </c>
      <c r="F18" s="4" t="s">
        <v>871</v>
      </c>
      <c r="G18" s="3009">
        <f>$AI$46</f>
        <v>0.14964165524459141</v>
      </c>
      <c r="H18" s="200"/>
      <c r="I18" s="1553">
        <f t="shared" si="3"/>
        <v>0</v>
      </c>
      <c r="J18" s="1553">
        <f t="shared" si="4"/>
        <v>0</v>
      </c>
      <c r="K18" s="1553">
        <f t="shared" si="4"/>
        <v>6.5499999999999994E-3</v>
      </c>
      <c r="L18" s="1553">
        <f t="shared" si="4"/>
        <v>6.5499999999999994E-3</v>
      </c>
      <c r="M18" s="1553">
        <f t="shared" si="4"/>
        <v>6.5499999999999994E-3</v>
      </c>
      <c r="N18" s="1553">
        <f t="shared" si="4"/>
        <v>6.5499999999999994E-3</v>
      </c>
      <c r="O18" s="1553">
        <f t="shared" si="4"/>
        <v>6.5499999999999994E-3</v>
      </c>
      <c r="P18" s="1553">
        <f t="shared" si="4"/>
        <v>6.5499999999999994E-3</v>
      </c>
      <c r="Q18" s="1553">
        <f t="shared" si="4"/>
        <v>6.5499999999999994E-3</v>
      </c>
      <c r="R18" s="1553">
        <f t="shared" si="4"/>
        <v>6.5499999999999994E-3</v>
      </c>
      <c r="S18" s="1553">
        <f t="shared" si="4"/>
        <v>2.8337231155420601E-2</v>
      </c>
      <c r="T18" s="1553">
        <f t="shared" si="4"/>
        <v>0.02</v>
      </c>
      <c r="U18" s="1553">
        <f t="shared" si="4"/>
        <v>0</v>
      </c>
      <c r="V18" s="1553">
        <f t="shared" si="4"/>
        <v>0</v>
      </c>
      <c r="W18" s="1553">
        <f t="shared" si="4"/>
        <v>0</v>
      </c>
      <c r="X18" s="1553">
        <f t="shared" si="4"/>
        <v>0</v>
      </c>
      <c r="Y18" s="200"/>
      <c r="AG18" s="200"/>
      <c r="AI18" s="1917"/>
      <c r="AJ18" s="1917"/>
    </row>
    <row r="19" spans="1:36">
      <c r="A19" s="411"/>
      <c r="B19" s="29"/>
      <c r="C19" s="236">
        <v>9</v>
      </c>
      <c r="D19" s="1" t="str">
        <f t="shared" si="1"/>
        <v>Agricultural Processing (16)</v>
      </c>
      <c r="E19" s="2549" t="str">
        <f t="shared" si="5"/>
        <v>What it Takes for COSAgricultural Processing (16)</v>
      </c>
      <c r="F19" s="4" t="s">
        <v>871</v>
      </c>
      <c r="G19" s="3009">
        <f>$AI$47</f>
        <v>0.1087739697968669</v>
      </c>
      <c r="H19" s="200"/>
      <c r="I19" s="1553">
        <f t="shared" si="3"/>
        <v>0</v>
      </c>
      <c r="J19" s="1553">
        <f t="shared" si="4"/>
        <v>0</v>
      </c>
      <c r="K19" s="1553">
        <f t="shared" si="4"/>
        <v>0.05</v>
      </c>
      <c r="L19" s="1553">
        <f t="shared" si="4"/>
        <v>0.05</v>
      </c>
      <c r="M19" s="1553">
        <f t="shared" si="4"/>
        <v>0.05</v>
      </c>
      <c r="N19" s="1553">
        <f t="shared" si="4"/>
        <v>0.05</v>
      </c>
      <c r="O19" s="1553">
        <f t="shared" si="4"/>
        <v>0.05</v>
      </c>
      <c r="P19" s="1553">
        <f t="shared" si="4"/>
        <v>0.05</v>
      </c>
      <c r="Q19" s="1553">
        <f t="shared" si="4"/>
        <v>0.05</v>
      </c>
      <c r="R19" s="1553">
        <f t="shared" si="4"/>
        <v>0.05</v>
      </c>
      <c r="S19" s="1553">
        <f t="shared" si="4"/>
        <v>0.05</v>
      </c>
      <c r="T19" s="1553">
        <f t="shared" si="4"/>
        <v>4.8000000000000001E-2</v>
      </c>
      <c r="U19" s="1553">
        <f t="shared" si="4"/>
        <v>0</v>
      </c>
      <c r="V19" s="1553">
        <f t="shared" si="4"/>
        <v>0</v>
      </c>
      <c r="W19" s="1553">
        <f t="shared" si="4"/>
        <v>0</v>
      </c>
      <c r="X19" s="1553">
        <f t="shared" si="4"/>
        <v>0</v>
      </c>
      <c r="Y19" s="200"/>
      <c r="AG19" s="200"/>
      <c r="AI19" s="1917"/>
      <c r="AJ19" s="1917"/>
    </row>
    <row r="20" spans="1:36">
      <c r="A20" s="411"/>
      <c r="B20" s="29"/>
      <c r="C20" s="236">
        <v>10</v>
      </c>
      <c r="D20" s="1" t="str">
        <f t="shared" si="1"/>
        <v>Agricultural Boiler (85)</v>
      </c>
      <c r="E20" s="2549" t="str">
        <f t="shared" si="5"/>
        <v>What it Takes for COSAgricultural Boiler (85)</v>
      </c>
      <c r="F20" s="4" t="s">
        <v>871</v>
      </c>
      <c r="G20" s="3009">
        <f>$AI$48</f>
        <v>-0.16988117355187382</v>
      </c>
      <c r="H20" s="200"/>
      <c r="I20" s="1553">
        <f t="shared" si="3"/>
        <v>0</v>
      </c>
      <c r="J20" s="1553">
        <f t="shared" si="4"/>
        <v>0</v>
      </c>
      <c r="K20" s="1553">
        <f t="shared" si="4"/>
        <v>0.05</v>
      </c>
      <c r="L20" s="1553">
        <f t="shared" si="4"/>
        <v>0.05</v>
      </c>
      <c r="M20" s="1553">
        <f t="shared" si="4"/>
        <v>0.05</v>
      </c>
      <c r="N20" s="1553">
        <f t="shared" si="4"/>
        <v>0.05</v>
      </c>
      <c r="O20" s="1553">
        <f t="shared" si="4"/>
        <v>0.05</v>
      </c>
      <c r="P20" s="1553">
        <f t="shared" si="4"/>
        <v>0.05</v>
      </c>
      <c r="Q20" s="1553">
        <f t="shared" si="4"/>
        <v>0.05</v>
      </c>
      <c r="R20" s="1553">
        <f t="shared" si="4"/>
        <v>0.05</v>
      </c>
      <c r="S20" s="1553">
        <f t="shared" si="4"/>
        <v>0.05</v>
      </c>
      <c r="T20" s="1553">
        <f t="shared" si="4"/>
        <v>0.05</v>
      </c>
      <c r="U20" s="1553">
        <f t="shared" si="4"/>
        <v>0</v>
      </c>
      <c r="V20" s="1553">
        <f t="shared" si="4"/>
        <v>0</v>
      </c>
      <c r="W20" s="1553">
        <f t="shared" si="4"/>
        <v>0</v>
      </c>
      <c r="X20" s="1553">
        <f t="shared" si="4"/>
        <v>0</v>
      </c>
      <c r="Y20" s="200"/>
      <c r="AG20" s="200"/>
      <c r="AI20" s="1917"/>
      <c r="AJ20" s="1917"/>
    </row>
    <row r="21" spans="1:36">
      <c r="A21" s="411"/>
      <c r="B21" s="29"/>
      <c r="C21" s="236">
        <v>11</v>
      </c>
      <c r="D21" s="1" t="str">
        <f t="shared" si="1"/>
        <v>Street Lights (6)</v>
      </c>
      <c r="E21" s="2549" t="str">
        <f t="shared" si="5"/>
        <v>What it Takes for COSStreet Lights (6)</v>
      </c>
      <c r="F21" s="4" t="s">
        <v>871</v>
      </c>
      <c r="G21" s="3009">
        <f>$AI$49</f>
        <v>0.25269612393506197</v>
      </c>
      <c r="H21" s="200"/>
      <c r="I21" s="1553">
        <f t="shared" si="3"/>
        <v>0</v>
      </c>
      <c r="J21" s="1553">
        <f t="shared" si="4"/>
        <v>0</v>
      </c>
      <c r="K21" s="1553">
        <f t="shared" si="4"/>
        <v>5.0000000000000001E-3</v>
      </c>
      <c r="L21" s="1553">
        <f t="shared" si="4"/>
        <v>5.0000000000000001E-3</v>
      </c>
      <c r="M21" s="1553">
        <f t="shared" si="4"/>
        <v>5.0000000000000001E-3</v>
      </c>
      <c r="N21" s="1553">
        <f t="shared" si="4"/>
        <v>5.0000000000000001E-3</v>
      </c>
      <c r="O21" s="1553">
        <f t="shared" si="4"/>
        <v>5.0000000000000001E-3</v>
      </c>
      <c r="P21" s="1553">
        <f t="shared" si="4"/>
        <v>5.0000000000000001E-3</v>
      </c>
      <c r="Q21" s="1553">
        <f t="shared" si="4"/>
        <v>5.0000000000000001E-3</v>
      </c>
      <c r="R21" s="1553">
        <f t="shared" si="4"/>
        <v>5.0000000000000001E-3</v>
      </c>
      <c r="S21" s="1553">
        <f t="shared" si="4"/>
        <v>5.0000000000000001E-3</v>
      </c>
      <c r="T21" s="1553">
        <f t="shared" si="4"/>
        <v>5.0000000000000001E-3</v>
      </c>
      <c r="U21" s="1553">
        <f t="shared" si="4"/>
        <v>0</v>
      </c>
      <c r="V21" s="1553">
        <f t="shared" si="4"/>
        <v>0</v>
      </c>
      <c r="W21" s="1553">
        <f t="shared" si="4"/>
        <v>0</v>
      </c>
      <c r="X21" s="1553">
        <f t="shared" si="4"/>
        <v>0</v>
      </c>
      <c r="Y21" s="200"/>
      <c r="AG21" s="200"/>
      <c r="AI21" s="1917"/>
      <c r="AJ21" s="1917"/>
    </row>
    <row r="22" spans="1:36">
      <c r="A22" s="411"/>
      <c r="B22" s="29"/>
      <c r="C22" s="236">
        <v>12</v>
      </c>
      <c r="D22" s="1" t="str">
        <f t="shared" si="1"/>
        <v>Street Lights (2)</v>
      </c>
      <c r="E22" s="2549" t="str">
        <f>E15</f>
        <v>What it Takes for COSGeneral Service (2) &amp; (PA)</v>
      </c>
      <c r="F22" s="4" t="s">
        <v>871</v>
      </c>
      <c r="G22" s="3009">
        <f>$AI$50</f>
        <v>-0.76511844146426167</v>
      </c>
      <c r="H22" s="200"/>
      <c r="I22" s="1553">
        <f t="shared" si="3"/>
        <v>0</v>
      </c>
      <c r="J22" s="1553">
        <f t="shared" si="4"/>
        <v>0</v>
      </c>
      <c r="K22" s="1553">
        <f t="shared" si="4"/>
        <v>2.1108180556527703E-2</v>
      </c>
      <c r="L22" s="1553">
        <f t="shared" si="4"/>
        <v>2.1108180556527703E-2</v>
      </c>
      <c r="M22" s="1553">
        <f t="shared" si="4"/>
        <v>2.1108180556527703E-2</v>
      </c>
      <c r="N22" s="1553">
        <f t="shared" si="4"/>
        <v>2.1108180556527703E-2</v>
      </c>
      <c r="O22" s="1553">
        <f t="shared" si="4"/>
        <v>2.1108180556527703E-2</v>
      </c>
      <c r="P22" s="1553">
        <f t="shared" si="4"/>
        <v>2.1108180556527703E-2</v>
      </c>
      <c r="Q22" s="1553">
        <f t="shared" si="4"/>
        <v>2.1108180556527703E-2</v>
      </c>
      <c r="R22" s="1553">
        <f t="shared" si="4"/>
        <v>2.1108180556527703E-2</v>
      </c>
      <c r="S22" s="1553">
        <f t="shared" si="4"/>
        <v>5.0000000000000001E-3</v>
      </c>
      <c r="T22" s="1553">
        <f t="shared" si="4"/>
        <v>5.0000000000000001E-3</v>
      </c>
      <c r="U22" s="1553">
        <f t="shared" si="4"/>
        <v>0</v>
      </c>
      <c r="V22" s="1553">
        <f t="shared" si="4"/>
        <v>0</v>
      </c>
      <c r="W22" s="1553">
        <f t="shared" si="4"/>
        <v>0</v>
      </c>
      <c r="X22" s="1553">
        <f t="shared" si="4"/>
        <v>0</v>
      </c>
      <c r="Y22" s="200"/>
      <c r="AG22" s="200"/>
      <c r="AI22" s="1917"/>
      <c r="AJ22" s="1917"/>
    </row>
    <row r="23" spans="1:36">
      <c r="A23" s="411"/>
      <c r="B23" s="29"/>
      <c r="C23" s="236">
        <v>13</v>
      </c>
      <c r="D23" s="1" t="str">
        <f t="shared" si="1"/>
        <v>Alternate Power Sales</v>
      </c>
      <c r="E23" s="2549" t="str">
        <f>$D$6&amp;D23</f>
        <v>What it Takes for COSAlternate Power Sales</v>
      </c>
      <c r="F23" s="4" t="s">
        <v>871</v>
      </c>
      <c r="G23" s="3009">
        <f>$AI$51</f>
        <v>0</v>
      </c>
      <c r="H23" s="200"/>
      <c r="I23" s="1553">
        <f t="shared" si="3"/>
        <v>0</v>
      </c>
      <c r="J23" s="1553">
        <f t="shared" si="4"/>
        <v>0</v>
      </c>
      <c r="K23" s="1553">
        <f t="shared" si="4"/>
        <v>0</v>
      </c>
      <c r="L23" s="1553">
        <f t="shared" si="4"/>
        <v>0</v>
      </c>
      <c r="M23" s="1553">
        <f t="shared" si="4"/>
        <v>0</v>
      </c>
      <c r="N23" s="1553">
        <f t="shared" si="4"/>
        <v>0</v>
      </c>
      <c r="O23" s="1553">
        <f t="shared" si="4"/>
        <v>0</v>
      </c>
      <c r="P23" s="1553">
        <f t="shared" si="4"/>
        <v>0</v>
      </c>
      <c r="Q23" s="1553">
        <f t="shared" si="4"/>
        <v>0</v>
      </c>
      <c r="R23" s="1553">
        <f t="shared" si="4"/>
        <v>0</v>
      </c>
      <c r="S23" s="1553">
        <f t="shared" si="4"/>
        <v>0</v>
      </c>
      <c r="T23" s="1553">
        <f t="shared" si="4"/>
        <v>0</v>
      </c>
      <c r="U23" s="1553">
        <f t="shared" si="4"/>
        <v>0</v>
      </c>
      <c r="V23" s="1553">
        <f t="shared" si="4"/>
        <v>0</v>
      </c>
      <c r="W23" s="1553">
        <f t="shared" si="4"/>
        <v>0</v>
      </c>
      <c r="X23" s="1553">
        <f t="shared" si="4"/>
        <v>0</v>
      </c>
      <c r="Y23" s="200"/>
      <c r="AG23" s="200"/>
      <c r="AI23" s="1917"/>
      <c r="AJ23" s="1917"/>
    </row>
    <row r="24" spans="1:36">
      <c r="A24" s="411"/>
      <c r="B24" s="29"/>
      <c r="C24" s="236"/>
      <c r="H24" s="200"/>
      <c r="I24" s="200"/>
      <c r="J24" s="200"/>
      <c r="K24" s="200"/>
      <c r="L24" s="200"/>
      <c r="M24" s="200"/>
      <c r="N24" s="200"/>
      <c r="O24" s="200"/>
      <c r="P24" s="200"/>
      <c r="Q24" s="200"/>
      <c r="R24" s="200"/>
      <c r="S24" s="200"/>
      <c r="T24" s="200"/>
      <c r="U24" s="200"/>
      <c r="V24" s="200"/>
      <c r="W24" s="200"/>
      <c r="X24" s="200"/>
      <c r="Y24" s="200"/>
      <c r="AG24" s="200"/>
      <c r="AI24" s="1917"/>
      <c r="AJ24" s="1917"/>
    </row>
    <row r="25" spans="1:36">
      <c r="A25" s="411"/>
      <c r="B25" s="29"/>
      <c r="C25" s="83"/>
      <c r="D25" s="39" t="s">
        <v>2785</v>
      </c>
      <c r="E25" s="39"/>
      <c r="F25" s="1"/>
      <c r="G25" s="2009">
        <f>INDEX('Rate Increases'!$G$110:$U$110,1,MATCH($D$5,'Rate Increases'!$G$91:$U$91,0))</f>
        <v>2.1069999999999998E-2</v>
      </c>
      <c r="H25" s="200"/>
      <c r="I25" s="86"/>
      <c r="J25" s="86"/>
      <c r="K25" s="86"/>
      <c r="L25" s="86"/>
      <c r="M25" s="200"/>
      <c r="N25" s="200"/>
      <c r="O25" s="200"/>
      <c r="P25" s="200"/>
      <c r="Q25" s="200"/>
      <c r="R25" s="200"/>
      <c r="S25" s="200"/>
      <c r="T25" s="200"/>
      <c r="U25" s="200"/>
      <c r="V25" s="200"/>
      <c r="W25" s="200"/>
      <c r="X25" s="200"/>
      <c r="Y25" s="200"/>
      <c r="AG25" s="200"/>
      <c r="AH25" s="200"/>
      <c r="AI25" s="200"/>
      <c r="AJ25" s="200"/>
    </row>
    <row r="26" spans="1:36">
      <c r="A26" s="411"/>
      <c r="B26" s="29"/>
      <c r="C26" s="83"/>
      <c r="D26" s="39" t="s">
        <v>167</v>
      </c>
      <c r="E26" s="39"/>
      <c r="F26" s="1"/>
      <c r="G26" s="2011">
        <f>-AD52</f>
        <v>1.9512601266121612E-2</v>
      </c>
      <c r="H26" s="200"/>
      <c r="I26" s="86"/>
      <c r="J26" s="86"/>
      <c r="K26" s="86"/>
      <c r="L26" s="86"/>
      <c r="M26" s="200"/>
      <c r="N26" s="200"/>
      <c r="O26" s="200"/>
      <c r="P26" s="200"/>
      <c r="Q26" s="200"/>
      <c r="R26" s="200"/>
      <c r="S26" s="200"/>
      <c r="T26" s="200"/>
      <c r="U26" s="200"/>
      <c r="V26" s="200"/>
      <c r="W26" s="200"/>
      <c r="X26" s="200"/>
      <c r="Y26" s="200"/>
      <c r="AG26" s="200"/>
      <c r="AH26" s="200"/>
      <c r="AI26" s="200"/>
      <c r="AJ26" s="200"/>
    </row>
    <row r="27" spans="1:36">
      <c r="A27" s="411"/>
      <c r="B27" s="29"/>
      <c r="C27" s="83"/>
      <c r="D27" s="1"/>
      <c r="E27" s="1"/>
      <c r="F27" s="1"/>
      <c r="G27" s="200"/>
      <c r="H27" s="200"/>
      <c r="I27" s="86"/>
      <c r="J27" s="86"/>
      <c r="K27" s="86"/>
      <c r="L27" s="86"/>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row>
    <row r="28" spans="1:36">
      <c r="A28" s="411"/>
      <c r="B28" s="29"/>
      <c r="C28" s="83"/>
      <c r="D28" s="4" t="s">
        <v>3485</v>
      </c>
      <c r="E28" s="4"/>
      <c r="F28" s="1"/>
      <c r="G28" s="200"/>
      <c r="H28" s="200"/>
      <c r="I28" s="2012">
        <f>'Fin Forecast - Elec'!J58</f>
        <v>0</v>
      </c>
      <c r="J28" s="2012">
        <f>'Fin Forecast - Elec'!K58</f>
        <v>0</v>
      </c>
      <c r="K28" s="2012">
        <f>'Fin Forecast - Elec'!L58</f>
        <v>3783000</v>
      </c>
      <c r="L28" s="2012">
        <f>'Fin Forecast - Elec'!M58</f>
        <v>8040400</v>
      </c>
      <c r="M28" s="2012">
        <f>'Fin Forecast - Elec'!N58</f>
        <v>12957800</v>
      </c>
      <c r="N28" s="2012">
        <f>'Fin Forecast - Elec'!O58</f>
        <v>18191200</v>
      </c>
      <c r="O28" s="2012">
        <f>'Fin Forecast - Elec'!P58</f>
        <v>23695400</v>
      </c>
      <c r="P28" s="2012">
        <f>'Fin Forecast - Elec'!Q58</f>
        <v>29453900</v>
      </c>
      <c r="Q28" s="2012">
        <f>'Fin Forecast - Elec'!R58</f>
        <v>35703700</v>
      </c>
      <c r="R28" s="2012">
        <f>'Fin Forecast - Elec'!S58</f>
        <v>42477600</v>
      </c>
      <c r="S28" s="2012">
        <f>'Fin Forecast - Elec'!T58</f>
        <v>49294500</v>
      </c>
      <c r="T28" s="2012">
        <f>'Fin Forecast - Elec'!U58</f>
        <v>56510200</v>
      </c>
      <c r="U28" s="2012" t="e">
        <f>'Fin Forecast - Elec'!#REF!</f>
        <v>#REF!</v>
      </c>
      <c r="V28" s="2012" t="e">
        <f>'Fin Forecast - Elec'!#REF!</f>
        <v>#REF!</v>
      </c>
      <c r="W28" s="2012" t="e">
        <f>'Fin Forecast - Elec'!#REF!</f>
        <v>#REF!</v>
      </c>
      <c r="X28" s="2012" t="e">
        <f>'Fin Forecast - Elec'!#REF!</f>
        <v>#REF!</v>
      </c>
      <c r="Y28" s="200"/>
      <c r="Z28" s="200"/>
      <c r="AA28" s="200"/>
      <c r="AB28" s="200"/>
      <c r="AC28" s="200"/>
      <c r="AD28" s="200"/>
      <c r="AE28" s="200"/>
      <c r="AF28" s="200"/>
      <c r="AG28" s="200"/>
      <c r="AH28" s="200"/>
      <c r="AI28" s="200"/>
      <c r="AJ28" s="200"/>
    </row>
    <row r="29" spans="1:36" s="200" customFormat="1">
      <c r="A29" s="411"/>
      <c r="B29" s="199"/>
      <c r="C29" s="83"/>
      <c r="D29" s="4" t="s">
        <v>2786</v>
      </c>
      <c r="E29" s="4"/>
      <c r="F29" s="1"/>
      <c r="I29" s="2012">
        <f>'Rate Increases'!J46</f>
        <v>0</v>
      </c>
      <c r="J29" s="2012">
        <f>'Rate Increases'!K46</f>
        <v>0</v>
      </c>
      <c r="K29" s="2012">
        <f>'Rate Increases'!L46</f>
        <v>3669600</v>
      </c>
      <c r="L29" s="2012">
        <f>'Rate Increases'!M46</f>
        <v>7795500</v>
      </c>
      <c r="M29" s="2012">
        <f>'Rate Increases'!N46</f>
        <v>12662600</v>
      </c>
      <c r="N29" s="2012">
        <f>'Rate Increases'!O46</f>
        <v>18028900</v>
      </c>
      <c r="O29" s="2012">
        <f>'Rate Increases'!P46</f>
        <v>23645000</v>
      </c>
      <c r="P29" s="2012">
        <f>'Rate Increases'!Q46</f>
        <v>29702500</v>
      </c>
      <c r="Q29" s="2012">
        <f>'Rate Increases'!R46</f>
        <v>36042900</v>
      </c>
      <c r="R29" s="2012">
        <f>'Rate Increases'!S46</f>
        <v>42919700</v>
      </c>
      <c r="S29" s="2012">
        <f>'Rate Increases'!T46</f>
        <v>49720400</v>
      </c>
      <c r="T29" s="2012">
        <f>'Rate Increases'!U46</f>
        <v>56866700</v>
      </c>
      <c r="U29" s="2012" t="e">
        <f>'Rate Increases'!#REF!</f>
        <v>#REF!</v>
      </c>
      <c r="V29" s="2012" t="e">
        <f>'Rate Increases'!#REF!</f>
        <v>#REF!</v>
      </c>
      <c r="W29" s="2012" t="e">
        <f>'Rate Increases'!#REF!</f>
        <v>#REF!</v>
      </c>
      <c r="X29" s="2012" t="e">
        <f>'Rate Increases'!#REF!</f>
        <v>#REF!</v>
      </c>
    </row>
    <row r="30" spans="1:36" s="200" customFormat="1">
      <c r="A30" s="411"/>
      <c r="B30" s="199"/>
      <c r="C30" s="83"/>
      <c r="D30" s="4" t="s">
        <v>1476</v>
      </c>
      <c r="E30" s="4"/>
      <c r="F30" s="1"/>
      <c r="I30" s="2014">
        <f>ROUND(I28-I29,-2)</f>
        <v>0</v>
      </c>
      <c r="J30" s="2014">
        <f t="shared" ref="J30:X30" si="6">ROUND(J28-J29,-2)</f>
        <v>0</v>
      </c>
      <c r="K30" s="2014">
        <f t="shared" si="6"/>
        <v>113400</v>
      </c>
      <c r="L30" s="2014">
        <f t="shared" si="6"/>
        <v>244900</v>
      </c>
      <c r="M30" s="2014">
        <f t="shared" si="6"/>
        <v>295200</v>
      </c>
      <c r="N30" s="2014">
        <f t="shared" si="6"/>
        <v>162300</v>
      </c>
      <c r="O30" s="2014">
        <f t="shared" si="6"/>
        <v>50400</v>
      </c>
      <c r="P30" s="2014">
        <f t="shared" si="6"/>
        <v>-248600</v>
      </c>
      <c r="Q30" s="2014">
        <f t="shared" si="6"/>
        <v>-339200</v>
      </c>
      <c r="R30" s="2014">
        <f t="shared" si="6"/>
        <v>-442100</v>
      </c>
      <c r="S30" s="2014">
        <f t="shared" si="6"/>
        <v>-425900</v>
      </c>
      <c r="T30" s="2014">
        <f t="shared" si="6"/>
        <v>-356500</v>
      </c>
      <c r="U30" s="2014" t="e">
        <f t="shared" si="6"/>
        <v>#REF!</v>
      </c>
      <c r="V30" s="2014" t="e">
        <f t="shared" si="6"/>
        <v>#REF!</v>
      </c>
      <c r="W30" s="2014" t="e">
        <f t="shared" si="6"/>
        <v>#REF!</v>
      </c>
      <c r="X30" s="2014" t="e">
        <f t="shared" si="6"/>
        <v>#REF!</v>
      </c>
    </row>
    <row r="31" spans="1:36" s="200" customFormat="1">
      <c r="A31" s="411"/>
      <c r="B31" s="199"/>
      <c r="C31" s="83"/>
      <c r="D31" s="1"/>
      <c r="E31" s="1"/>
      <c r="F31" s="1"/>
      <c r="I31" s="86"/>
      <c r="J31" s="86"/>
      <c r="K31" s="86"/>
      <c r="L31" s="86"/>
    </row>
    <row r="32" spans="1:36" s="200" customFormat="1" hidden="1">
      <c r="A32" s="411"/>
      <c r="B32" s="199"/>
      <c r="C32" s="83"/>
      <c r="D32" s="1"/>
      <c r="E32" s="1"/>
      <c r="F32" s="1"/>
      <c r="I32" s="86"/>
      <c r="J32" s="86"/>
      <c r="K32" s="86"/>
      <c r="L32" s="86"/>
    </row>
    <row r="33" spans="1:38" hidden="1">
      <c r="A33" s="411"/>
      <c r="B33" s="29"/>
      <c r="C33" s="200"/>
      <c r="D33" s="84"/>
      <c r="E33" s="84"/>
      <c r="F33" s="374" t="s">
        <v>674</v>
      </c>
      <c r="G33" s="200"/>
      <c r="H33" s="200"/>
      <c r="I33" s="200"/>
      <c r="J33" s="200"/>
      <c r="K33" s="200"/>
      <c r="L33" s="200"/>
      <c r="M33" s="200"/>
      <c r="N33" s="200"/>
      <c r="O33" s="200"/>
      <c r="P33" s="200"/>
      <c r="Q33" s="200"/>
      <c r="R33" s="200"/>
      <c r="S33" s="200"/>
      <c r="T33" s="200"/>
      <c r="U33" s="200"/>
      <c r="V33" s="200"/>
      <c r="W33" s="200"/>
      <c r="X33" s="200"/>
      <c r="Y33" s="200"/>
      <c r="Z33" s="200"/>
      <c r="AA33" s="374" t="s">
        <v>155</v>
      </c>
      <c r="AB33" s="374" t="s">
        <v>675</v>
      </c>
      <c r="AC33" s="374" t="s">
        <v>676</v>
      </c>
      <c r="AD33" s="374" t="s">
        <v>677</v>
      </c>
      <c r="AE33" s="200"/>
      <c r="AF33" s="374" t="s">
        <v>155</v>
      </c>
      <c r="AG33" s="374" t="s">
        <v>675</v>
      </c>
      <c r="AH33" s="374" t="s">
        <v>676</v>
      </c>
      <c r="AI33" s="374" t="s">
        <v>677</v>
      </c>
      <c r="AJ33" s="200"/>
    </row>
    <row r="34" spans="1:38" ht="20.25" hidden="1">
      <c r="A34" s="411"/>
      <c r="B34" s="29"/>
      <c r="C34" s="567"/>
      <c r="D34" s="567"/>
      <c r="E34" s="567"/>
      <c r="F34" s="567">
        <f>$AC$5</f>
        <v>2024</v>
      </c>
      <c r="AA34" s="567"/>
      <c r="AB34" s="567"/>
      <c r="AD34" s="1915"/>
      <c r="AF34" s="567"/>
      <c r="AG34" s="567"/>
      <c r="AI34" s="1915"/>
    </row>
    <row r="35" spans="1:38" ht="20.25" hidden="1">
      <c r="A35" s="411"/>
      <c r="B35" s="29"/>
      <c r="C35" s="568"/>
      <c r="D35" s="568"/>
      <c r="E35" s="568"/>
      <c r="F35" s="568" t="s">
        <v>712</v>
      </c>
      <c r="G35" s="568" t="str">
        <f>$AC$5&amp;" Revenue"</f>
        <v>2024 Revenue</v>
      </c>
      <c r="H35" s="1991" t="s">
        <v>2781</v>
      </c>
      <c r="I35" s="4506" t="s">
        <v>3012</v>
      </c>
      <c r="J35" s="4507"/>
      <c r="K35" s="4507"/>
      <c r="L35" s="4507"/>
      <c r="M35" s="4507"/>
      <c r="N35" s="4507"/>
      <c r="O35" s="4507"/>
      <c r="P35" s="4507"/>
      <c r="Q35" s="4507"/>
      <c r="R35" s="4507"/>
      <c r="S35" s="4507"/>
      <c r="T35" s="4507"/>
      <c r="U35" s="4507"/>
      <c r="V35" s="4507"/>
      <c r="W35" s="4507"/>
      <c r="X35" s="4507"/>
      <c r="AA35" s="568" t="str">
        <f>$AC$5&amp;" Revenue"</f>
        <v>2024 Revenue</v>
      </c>
      <c r="AB35" s="568" t="s">
        <v>874</v>
      </c>
      <c r="AC35" s="2001" t="s">
        <v>2738</v>
      </c>
      <c r="AD35" s="1916"/>
      <c r="AF35" s="568" t="str">
        <f>$AC$5&amp;" Revenue"</f>
        <v>2024 Revenue</v>
      </c>
      <c r="AG35" s="568" t="s">
        <v>874</v>
      </c>
      <c r="AH35" s="2001" t="s">
        <v>2738</v>
      </c>
      <c r="AI35" s="1916"/>
    </row>
    <row r="36" spans="1:38" ht="20.25" hidden="1">
      <c r="A36" s="411"/>
      <c r="B36" s="29"/>
      <c r="C36" s="569" t="s">
        <v>867</v>
      </c>
      <c r="D36" s="569" t="s">
        <v>399</v>
      </c>
      <c r="E36" s="569"/>
      <c r="F36" s="569" t="s">
        <v>176</v>
      </c>
      <c r="G36" s="569" t="s">
        <v>2749</v>
      </c>
      <c r="H36" s="1992" t="s">
        <v>2749</v>
      </c>
      <c r="I36" s="1990">
        <f>I$6</f>
        <v>2015</v>
      </c>
      <c r="J36" s="1990">
        <f t="shared" ref="J36:X36" si="7">J$6</f>
        <v>2016</v>
      </c>
      <c r="K36" s="1990">
        <f t="shared" si="7"/>
        <v>2017</v>
      </c>
      <c r="L36" s="1990">
        <f t="shared" si="7"/>
        <v>2018</v>
      </c>
      <c r="M36" s="1990">
        <f t="shared" si="7"/>
        <v>2019</v>
      </c>
      <c r="N36" s="1990">
        <f t="shared" si="7"/>
        <v>2020</v>
      </c>
      <c r="O36" s="1990">
        <f t="shared" si="7"/>
        <v>2021</v>
      </c>
      <c r="P36" s="1990">
        <f t="shared" si="7"/>
        <v>2022</v>
      </c>
      <c r="Q36" s="1990">
        <f t="shared" si="7"/>
        <v>2023</v>
      </c>
      <c r="R36" s="1990">
        <f t="shared" si="7"/>
        <v>2024</v>
      </c>
      <c r="S36" s="1990">
        <f t="shared" si="7"/>
        <v>2025</v>
      </c>
      <c r="T36" s="1990">
        <f t="shared" si="7"/>
        <v>2026</v>
      </c>
      <c r="U36" s="1990" t="e">
        <f t="shared" si="7"/>
        <v>#REF!</v>
      </c>
      <c r="V36" s="1990" t="e">
        <f t="shared" si="7"/>
        <v>#REF!</v>
      </c>
      <c r="W36" s="1990" t="e">
        <f t="shared" si="7"/>
        <v>#REF!</v>
      </c>
      <c r="X36" s="1990" t="e">
        <f t="shared" si="7"/>
        <v>#REF!</v>
      </c>
      <c r="AA36" s="569" t="str">
        <f>$AC$5-1&amp;" Rates"</f>
        <v>2023 Rates</v>
      </c>
      <c r="AB36" s="569" t="s">
        <v>710</v>
      </c>
      <c r="AC36" s="569" t="s">
        <v>121</v>
      </c>
      <c r="AD36" s="569" t="s">
        <v>122</v>
      </c>
      <c r="AF36" s="568" t="str">
        <f>$AC$5&amp;" Rates"</f>
        <v>2024 Rates</v>
      </c>
      <c r="AG36" s="569" t="s">
        <v>710</v>
      </c>
      <c r="AH36" s="569" t="s">
        <v>121</v>
      </c>
      <c r="AI36" s="569" t="s">
        <v>122</v>
      </c>
    </row>
    <row r="37" spans="1:38" hidden="1">
      <c r="A37" s="411"/>
      <c r="B37" s="29"/>
      <c r="C37" s="314"/>
      <c r="D37" s="1"/>
      <c r="E37" s="1"/>
      <c r="F37" s="261" t="s">
        <v>383</v>
      </c>
      <c r="AA37" s="1"/>
      <c r="AB37" s="1"/>
      <c r="AC37" s="261" t="s">
        <v>82</v>
      </c>
      <c r="AD37" s="261" t="s">
        <v>84</v>
      </c>
      <c r="AF37" s="1"/>
      <c r="AG37" s="1"/>
      <c r="AH37" s="261" t="s">
        <v>82</v>
      </c>
      <c r="AI37" s="261" t="s">
        <v>84</v>
      </c>
    </row>
    <row r="38" spans="1:38" hidden="1">
      <c r="A38" s="411"/>
      <c r="B38" s="29"/>
      <c r="C38" s="236"/>
      <c r="D38" s="39"/>
      <c r="E38" s="39"/>
      <c r="F38" s="205"/>
      <c r="G38" s="410"/>
      <c r="I38" s="339"/>
      <c r="J38" s="339"/>
      <c r="K38" s="339"/>
      <c r="L38" s="339"/>
      <c r="M38" s="339"/>
      <c r="N38" s="339"/>
      <c r="O38" s="339"/>
      <c r="P38" s="339"/>
      <c r="Q38" s="339"/>
      <c r="R38" s="339"/>
      <c r="S38" s="339"/>
      <c r="T38" s="339"/>
      <c r="U38" s="339"/>
      <c r="V38" s="339"/>
      <c r="W38" s="339"/>
      <c r="X38" s="339"/>
      <c r="AA38" s="410"/>
      <c r="AB38" s="410"/>
      <c r="AC38" s="410"/>
      <c r="AD38" s="467"/>
      <c r="AF38" s="410"/>
      <c r="AG38" s="410"/>
      <c r="AH38" s="410"/>
      <c r="AI38" s="467"/>
    </row>
    <row r="39" spans="1:38" hidden="1">
      <c r="A39" s="411"/>
      <c r="B39" s="29"/>
      <c r="C39" s="236">
        <v>1</v>
      </c>
      <c r="D39" s="4" t="str">
        <f>COS_Unbun.!D70</f>
        <v>Residential-Urban (1)</v>
      </c>
      <c r="E39" s="4"/>
      <c r="F39" s="1980">
        <f>'COS_Units (sales)'!F17/1000</f>
        <v>369330.64600000001</v>
      </c>
      <c r="G39" s="279">
        <f>'COS_Units (cust)'!$V15</f>
        <v>23870689.237511843</v>
      </c>
      <c r="H39" s="1993">
        <f>'Rate Increases'!J8</f>
        <v>18472179.041710887</v>
      </c>
      <c r="I39" s="1977">
        <f>'Rate Increases'!J50</f>
        <v>18472179.041710887</v>
      </c>
      <c r="J39" s="1977">
        <f>'Rate Increases'!K50</f>
        <v>19336694.712858964</v>
      </c>
      <c r="K39" s="1977">
        <f>'Rate Increases'!L50</f>
        <v>19876733.990148757</v>
      </c>
      <c r="L39" s="1977">
        <f>'Rate Increases'!M50</f>
        <v>20443268.915104184</v>
      </c>
      <c r="M39" s="1977">
        <f>'Rate Increases'!N50</f>
        <v>21026134.527240977</v>
      </c>
      <c r="N39" s="1977">
        <f>'Rate Increases'!O50</f>
        <v>21637770.625645872</v>
      </c>
      <c r="O39" s="1977">
        <f>'Rate Increases'!P50</f>
        <v>22243538.406242598</v>
      </c>
      <c r="P39" s="1977">
        <f>'Rate Increases'!Q50</f>
        <v>22879176.150653373</v>
      </c>
      <c r="Q39" s="1977">
        <f>'Rate Increases'!R50</f>
        <v>23533139.872481164</v>
      </c>
      <c r="R39" s="1977">
        <f>'Rate Increases'!S50</f>
        <v>24219089.237511843</v>
      </c>
      <c r="S39" s="1977">
        <f>'Rate Increases'!T50</f>
        <v>24647845.06943683</v>
      </c>
      <c r="T39" s="1977">
        <f>'Rate Increases'!U50</f>
        <v>25548495.785932973</v>
      </c>
      <c r="U39" s="1977" t="e">
        <f>'Rate Increases'!#REF!</f>
        <v>#REF!</v>
      </c>
      <c r="V39" s="1977" t="e">
        <f>'Rate Increases'!#REF!</f>
        <v>#REF!</v>
      </c>
      <c r="W39" s="1977" t="e">
        <f>'Rate Increases'!#REF!</f>
        <v>#REF!</v>
      </c>
      <c r="X39" s="1977" t="e">
        <f>'Rate Increases'!#REF!</f>
        <v>#REF!</v>
      </c>
      <c r="AA39" s="1964">
        <f>INDEX('Rate Increases'!$G92:$U92,1,MATCH($AC$5,'Rate Increases'!$G$91:$U$91,0))</f>
        <v>23870689.237511843</v>
      </c>
      <c r="AB39" s="524">
        <f>COS_Unbun.!$E70</f>
        <v>25025792</v>
      </c>
      <c r="AC39" s="524">
        <f>AA39-AB39</f>
        <v>-1155102.7624881566</v>
      </c>
      <c r="AD39" s="564">
        <f>IFERROR(AC39/AA39,0)</f>
        <v>-4.8390004620099458E-2</v>
      </c>
      <c r="AF39" s="1964">
        <f t="shared" ref="AF39:AF51" si="8">INDEX($I39:$X39,1,MATCH($AC$5,$I$36:$X$36,0))</f>
        <v>24219089.237511843</v>
      </c>
      <c r="AG39" s="524">
        <f>COS_Unbun.!$E70</f>
        <v>25025792</v>
      </c>
      <c r="AH39" s="524">
        <f>AF39-AG39</f>
        <v>-806702.76248815656</v>
      </c>
      <c r="AI39" s="564">
        <f>IFERROR(AH39/AF39,0)</f>
        <v>-3.3308550729425922E-2</v>
      </c>
      <c r="AL39" s="580" t="s">
        <v>703</v>
      </c>
    </row>
    <row r="40" spans="1:38" hidden="1">
      <c r="A40" s="411"/>
      <c r="B40" s="29"/>
      <c r="C40" s="236">
        <f>+MAX(C$39:C39)+1</f>
        <v>2</v>
      </c>
      <c r="D40" s="4" t="str">
        <f>COS_Unbun.!D71</f>
        <v>Residential-Rural (1)</v>
      </c>
      <c r="E40" s="4"/>
      <c r="F40" s="1980">
        <f>'COS_Units (sales)'!F20/1000</f>
        <v>517691.62699999998</v>
      </c>
      <c r="G40" s="16">
        <f>'COS_Units (cust)'!$V16</f>
        <v>29619759.682764068</v>
      </c>
      <c r="H40" s="1993">
        <f>'Rate Increases'!J9</f>
        <v>22952601.947685834</v>
      </c>
      <c r="I40" s="1977">
        <f>'Rate Increases'!J51</f>
        <v>22952601.947685834</v>
      </c>
      <c r="J40" s="1977">
        <f>'Rate Increases'!K51</f>
        <v>23993912.742000487</v>
      </c>
      <c r="K40" s="1977">
        <f>'Rate Increases'!L51</f>
        <v>24667860.822319925</v>
      </c>
      <c r="L40" s="1977">
        <f>'Rate Increases'!M51</f>
        <v>25370943.987634547</v>
      </c>
      <c r="M40" s="1977">
        <f>'Rate Increases'!N51</f>
        <v>26094285.534128118</v>
      </c>
      <c r="N40" s="1977">
        <f>'Rate Increases'!O51</f>
        <v>26849003.257363044</v>
      </c>
      <c r="O40" s="1977">
        <f>'Rate Increases'!P51</f>
        <v>27605160.273892164</v>
      </c>
      <c r="P40" s="1977">
        <f>'Rate Increases'!Q51</f>
        <v>28393625.385239583</v>
      </c>
      <c r="Q40" s="1977">
        <f>'Rate Increases'!R51</f>
        <v>29205398.611573271</v>
      </c>
      <c r="R40" s="1977">
        <f>'Rate Increases'!S51</f>
        <v>30052159.682764068</v>
      </c>
      <c r="S40" s="1977">
        <f>'Rate Increases'!T51</f>
        <v>30588444.364543937</v>
      </c>
      <c r="T40" s="1977">
        <f>'Rate Increases'!U51</f>
        <v>31706556.904028587</v>
      </c>
      <c r="U40" s="1977" t="e">
        <f>'Rate Increases'!#REF!</f>
        <v>#REF!</v>
      </c>
      <c r="V40" s="1977" t="e">
        <f>'Rate Increases'!#REF!</f>
        <v>#REF!</v>
      </c>
      <c r="W40" s="1977" t="e">
        <f>'Rate Increases'!#REF!</f>
        <v>#REF!</v>
      </c>
      <c r="X40" s="1977" t="e">
        <f>'Rate Increases'!#REF!</f>
        <v>#REF!</v>
      </c>
      <c r="AA40" s="1964">
        <f>INDEX('Rate Increases'!$G93:$U93,1,MATCH($AC$5,'Rate Increases'!$G$91:$U$91,0))</f>
        <v>29619759.682764068</v>
      </c>
      <c r="AB40" s="257">
        <f>COS_Unbun.!$E71</f>
        <v>40082143</v>
      </c>
      <c r="AC40" s="257">
        <f t="shared" ref="AC40:AC51" si="9">AA40-AB40</f>
        <v>-10462383.317235932</v>
      </c>
      <c r="AD40" s="564">
        <f>IFERROR(AC40/AA40,0)</f>
        <v>-0.35322309935296542</v>
      </c>
      <c r="AF40" s="1964">
        <f t="shared" si="8"/>
        <v>30052159.682764068</v>
      </c>
      <c r="AG40" s="257">
        <f>COS_Unbun.!$E71</f>
        <v>40082143</v>
      </c>
      <c r="AH40" s="257">
        <f t="shared" ref="AH40:AH52" si="10">AF40-AG40</f>
        <v>-10029983.317235932</v>
      </c>
      <c r="AI40" s="564">
        <f>IFERROR(AH40/AF40,0)</f>
        <v>-0.3337524964300142</v>
      </c>
      <c r="AL40" s="581">
        <f>'COS_RR (top sheet)'!I57</f>
        <v>289928473.24963951</v>
      </c>
    </row>
    <row r="41" spans="1:38" hidden="1">
      <c r="A41" s="411"/>
      <c r="B41" s="29"/>
      <c r="C41" s="236">
        <f>+MAX(C$39:C40)+1</f>
        <v>3</v>
      </c>
      <c r="D41" s="1962" t="s">
        <v>2763</v>
      </c>
      <c r="E41" s="4"/>
      <c r="F41" s="1980">
        <f>SUM(F39:F40)</f>
        <v>887022.27300000004</v>
      </c>
      <c r="G41" s="1786">
        <f>SUM(G39:G40)</f>
        <v>53490448.920275912</v>
      </c>
      <c r="H41" s="1994">
        <f>SUM(H39:H40)</f>
        <v>41424780.989396721</v>
      </c>
      <c r="I41" s="1786">
        <f>SUM(I39:I40)</f>
        <v>41424780.989396721</v>
      </c>
      <c r="J41" s="1786">
        <f t="shared" ref="J41:X41" si="11">SUM(J39:J40)</f>
        <v>43330607.45485945</v>
      </c>
      <c r="K41" s="1786">
        <f t="shared" si="11"/>
        <v>44544594.812468678</v>
      </c>
      <c r="L41" s="1786">
        <f t="shared" si="11"/>
        <v>45814212.902738735</v>
      </c>
      <c r="M41" s="1786">
        <f t="shared" si="11"/>
        <v>47120420.061369091</v>
      </c>
      <c r="N41" s="1786">
        <f t="shared" si="11"/>
        <v>48486773.883008912</v>
      </c>
      <c r="O41" s="1786">
        <f t="shared" si="11"/>
        <v>49848698.680134758</v>
      </c>
      <c r="P41" s="1786">
        <f t="shared" si="11"/>
        <v>51272801.535892956</v>
      </c>
      <c r="Q41" s="1786">
        <f t="shared" si="11"/>
        <v>52738538.484054431</v>
      </c>
      <c r="R41" s="1786">
        <f t="shared" si="11"/>
        <v>54271248.920275912</v>
      </c>
      <c r="S41" s="1786">
        <f t="shared" si="11"/>
        <v>55236289.433980763</v>
      </c>
      <c r="T41" s="1786">
        <f t="shared" si="11"/>
        <v>57255052.68996156</v>
      </c>
      <c r="U41" s="1786" t="e">
        <f t="shared" si="11"/>
        <v>#REF!</v>
      </c>
      <c r="V41" s="1786" t="e">
        <f t="shared" si="11"/>
        <v>#REF!</v>
      </c>
      <c r="W41" s="1786" t="e">
        <f t="shared" si="11"/>
        <v>#REF!</v>
      </c>
      <c r="X41" s="1786" t="e">
        <f t="shared" si="11"/>
        <v>#REF!</v>
      </c>
      <c r="AA41" s="1786">
        <f>SUM(AA39:AA40)</f>
        <v>53490448.920275912</v>
      </c>
      <c r="AB41" s="1964">
        <f>SUM(AB39:AB40)</f>
        <v>65107935</v>
      </c>
      <c r="AC41" s="257">
        <f t="shared" si="9"/>
        <v>-11617486.079724088</v>
      </c>
      <c r="AD41" s="564">
        <f>IFERROR(AC41/AA41,0)</f>
        <v>-0.21718804598254929</v>
      </c>
      <c r="AF41" s="1964">
        <f t="shared" si="8"/>
        <v>54271248.920275912</v>
      </c>
      <c r="AG41" s="1964">
        <f>SUM(AG39:AG40)</f>
        <v>65107935</v>
      </c>
      <c r="AH41" s="257">
        <f t="shared" si="10"/>
        <v>-10836686.079724088</v>
      </c>
      <c r="AI41" s="564">
        <f>IFERROR(AH41/AF41,0)</f>
        <v>-0.19967637184180348</v>
      </c>
      <c r="AL41" s="582">
        <f>SUM(AB41:AB51)-AL40</f>
        <v>2.7503604888916016</v>
      </c>
    </row>
    <row r="42" spans="1:38" hidden="1">
      <c r="A42" s="411"/>
      <c r="B42" s="29"/>
      <c r="C42" s="236">
        <f>+MAX(C$39:C41)+1</f>
        <v>4</v>
      </c>
      <c r="D42" s="4" t="str">
        <f>COS_Unbun.!D72</f>
        <v>Irrigation (3)</v>
      </c>
      <c r="E42" s="4"/>
      <c r="F42" s="1980">
        <f>'COS_Units (sales)'!F25/1000</f>
        <v>644656.66890576226</v>
      </c>
      <c r="G42" s="257">
        <f>'COS_Units (cust)'!$V20</f>
        <v>32493884.927364241</v>
      </c>
      <c r="H42" s="1993">
        <f>'Rate Increases'!J11+'Rate Increases'!J12</f>
        <v>21928955.920960672</v>
      </c>
      <c r="I42" s="1977">
        <f>'Rate Increases'!J53+'Rate Increases'!J54</f>
        <v>21928955.920960672</v>
      </c>
      <c r="J42" s="1977">
        <f>'Rate Increases'!K53+'Rate Increases'!K54</f>
        <v>24640276.399856191</v>
      </c>
      <c r="K42" s="1977">
        <f>'Rate Increases'!L53+'Rate Increases'!L54</f>
        <v>24750810.324111272</v>
      </c>
      <c r="L42" s="1977">
        <f>'Rate Increases'!M53+'Rate Increases'!M54</f>
        <v>25863926.454235099</v>
      </c>
      <c r="M42" s="1977">
        <f>'Rate Increases'!N53+'Rate Increases'!N54</f>
        <v>27024342.584358923</v>
      </c>
      <c r="N42" s="1977">
        <f>'Rate Increases'!O53+'Rate Increases'!O54</f>
        <v>28234058.714482747</v>
      </c>
      <c r="O42" s="1977">
        <f>'Rate Increases'!P53+'Rate Increases'!P54</f>
        <v>29495174.844606567</v>
      </c>
      <c r="P42" s="1977">
        <f>'Rate Increases'!Q53+'Rate Increases'!Q54</f>
        <v>30811471.820923492</v>
      </c>
      <c r="Q42" s="1977">
        <f>'Rate Increases'!R53+'Rate Increases'!R54</f>
        <v>32181387.951047327</v>
      </c>
      <c r="R42" s="1977">
        <f>'Rate Increases'!S53+'Rate Increases'!S54</f>
        <v>33611184.927364245</v>
      </c>
      <c r="S42" s="1977">
        <f>'Rate Increases'!T53+'Rate Increases'!T54</f>
        <v>34373001.057488069</v>
      </c>
      <c r="T42" s="1977">
        <f>'Rate Increases'!U53+'Rate Increases'!U54</f>
        <v>35476298.033804983</v>
      </c>
      <c r="U42" s="1977" t="e">
        <f>'Rate Increases'!#REF!+'Rate Increases'!#REF!</f>
        <v>#REF!</v>
      </c>
      <c r="V42" s="1977" t="e">
        <f>'Rate Increases'!#REF!+'Rate Increases'!#REF!</f>
        <v>#REF!</v>
      </c>
      <c r="W42" s="1977" t="e">
        <f>'Rate Increases'!#REF!+'Rate Increases'!#REF!</f>
        <v>#REF!</v>
      </c>
      <c r="X42" s="1977" t="e">
        <f>'Rate Increases'!#REF!+'Rate Increases'!#REF!</f>
        <v>#REF!</v>
      </c>
      <c r="AA42" s="1964">
        <f>INDEX('Rate Increases'!$G95:$U95,1,MATCH($AC$5,'Rate Increases'!$G$91:$U$91,0))+INDEX('Rate Increases'!$G96:$U96,1,MATCH($AC$5,'Rate Increases'!$G$91:$U$91,0))</f>
        <v>32493884.927364241</v>
      </c>
      <c r="AB42" s="257">
        <f>COS_Unbun.!$E72</f>
        <v>40342062</v>
      </c>
      <c r="AC42" s="257">
        <f t="shared" si="9"/>
        <v>-7848177.0726357587</v>
      </c>
      <c r="AD42" s="564">
        <f>IFERROR(AC42/AA42,0)</f>
        <v>-0.2415278163931249</v>
      </c>
      <c r="AF42" s="1964">
        <f t="shared" si="8"/>
        <v>33611184.927364245</v>
      </c>
      <c r="AG42" s="257">
        <f>COS_Unbun.!$E72</f>
        <v>40342062</v>
      </c>
      <c r="AH42" s="257">
        <f t="shared" si="10"/>
        <v>-6730877.0726357549</v>
      </c>
      <c r="AI42" s="564">
        <f>IFERROR(AH42/AF42,0)</f>
        <v>-0.20025705987996489</v>
      </c>
    </row>
    <row r="43" spans="1:38" hidden="1">
      <c r="A43" s="411"/>
      <c r="B43" s="29"/>
      <c r="C43" s="236">
        <f>+MAX(C$39:C42)+1</f>
        <v>5</v>
      </c>
      <c r="D43" s="4" t="str">
        <f>COS_Unbun.!D73</f>
        <v>General Service (2) &amp; (PA)</v>
      </c>
      <c r="E43" s="4"/>
      <c r="F43" s="1980">
        <f>('COS_Units (sales)'!F30+'COS_Units (sales)'!F57)/1000</f>
        <v>573774.99899999995</v>
      </c>
      <c r="G43" s="257">
        <f>'COS_Units (cust)'!$V25+'COS_Units (cust)'!$V35</f>
        <v>30843944.137933522</v>
      </c>
      <c r="H43" s="1993">
        <f>'Rate Increases'!J13+'Rate Increases'!J14+'Rate Increases'!J23</f>
        <v>21363089.617101662</v>
      </c>
      <c r="I43" s="1977">
        <f>'Rate Increases'!J55+'Rate Increases'!J56+'Rate Increases'!J65</f>
        <v>21363089.617101662</v>
      </c>
      <c r="J43" s="1977">
        <f>'Rate Increases'!K55+'Rate Increases'!K56+'Rate Increases'!K65</f>
        <v>23347095.657842599</v>
      </c>
      <c r="K43" s="1977">
        <f>'Rate Increases'!L55+'Rate Increases'!L56+'Rate Increases'!L65</f>
        <v>24257175.307456985</v>
      </c>
      <c r="L43" s="1977">
        <f>'Rate Increases'!M55+'Rate Increases'!M56+'Rate Increases'!M65</f>
        <v>25197460.995245732</v>
      </c>
      <c r="M43" s="1977">
        <f>'Rate Increases'!N55+'Rate Increases'!N56+'Rate Increases'!N65</f>
        <v>26167199.492084082</v>
      </c>
      <c r="N43" s="1977">
        <f>'Rate Increases'!O55+'Rate Increases'!O56+'Rate Increases'!O65</f>
        <v>27167838.871716872</v>
      </c>
      <c r="O43" s="1977">
        <f>'Rate Increases'!P55+'Rate Increases'!P56+'Rate Increases'!P65</f>
        <v>28200142.304368813</v>
      </c>
      <c r="P43" s="1977">
        <f>'Rate Increases'!Q55+'Rate Increases'!Q56+'Rate Increases'!Q65</f>
        <v>29264680.333181154</v>
      </c>
      <c r="Q43" s="1977">
        <f>'Rate Increases'!R55+'Rate Increases'!R56+'Rate Increases'!R65</f>
        <v>30362986.085385725</v>
      </c>
      <c r="R43" s="1977">
        <f>'Rate Increases'!S55+'Rate Increases'!S56+'Rate Increases'!S65</f>
        <v>31494944.137933522</v>
      </c>
      <c r="S43" s="1977">
        <f>'Rate Increases'!T55+'Rate Increases'!T56+'Rate Increases'!T65</f>
        <v>32147816.96106261</v>
      </c>
      <c r="T43" s="1977">
        <f>'Rate Increases'!U55+'Rate Increases'!U56+'Rate Increases'!U65</f>
        <v>32807277.855486937</v>
      </c>
      <c r="U43" s="1977" t="e">
        <f>'Rate Increases'!#REF!+'Rate Increases'!#REF!+'Rate Increases'!#REF!</f>
        <v>#REF!</v>
      </c>
      <c r="V43" s="1977" t="e">
        <f>'Rate Increases'!#REF!+'Rate Increases'!#REF!+'Rate Increases'!#REF!</f>
        <v>#REF!</v>
      </c>
      <c r="W43" s="1977" t="e">
        <f>'Rate Increases'!#REF!+'Rate Increases'!#REF!+'Rate Increases'!#REF!</f>
        <v>#REF!</v>
      </c>
      <c r="X43" s="1977" t="e">
        <f>'Rate Increases'!#REF!+'Rate Increases'!#REF!+'Rate Increases'!#REF!</f>
        <v>#REF!</v>
      </c>
      <c r="AA43" s="1964">
        <f>INDEX('Rate Increases'!$G97:$U97,1,MATCH($AC$5,'Rate Increases'!$G$91:$U$91,0))+INDEX('Rate Increases'!$G98:$U98,1,MATCH($AC$5,'Rate Increases'!$G$91:$U$91,0))+INDEX('Rate Increases'!$G107:$U107,1,MATCH($AC$5,'Rate Increases'!$G$91:$U$91,0))</f>
        <v>30843944.137933522</v>
      </c>
      <c r="AB43" s="257">
        <f>COS_Unbun.!$E73</f>
        <v>35431890</v>
      </c>
      <c r="AC43" s="257">
        <f t="shared" si="9"/>
        <v>-4587945.8620664775</v>
      </c>
      <c r="AD43" s="564">
        <f t="shared" ref="AD43:AD51" si="12">IFERROR(AC43/AA43,0)</f>
        <v>-0.14874705522579318</v>
      </c>
      <c r="AF43" s="1964">
        <f t="shared" si="8"/>
        <v>31494944.137933522</v>
      </c>
      <c r="AG43" s="257">
        <f>COS_Unbun.!$E73</f>
        <v>35431890</v>
      </c>
      <c r="AH43" s="257">
        <f t="shared" si="10"/>
        <v>-3936945.8620664775</v>
      </c>
      <c r="AI43" s="564">
        <f t="shared" ref="AI43:AI51" si="13">IFERROR(AH43/AF43,0)</f>
        <v>-0.12500247166098935</v>
      </c>
    </row>
    <row r="44" spans="1:38" hidden="1">
      <c r="A44" s="411"/>
      <c r="B44" s="29"/>
      <c r="C44" s="236">
        <f>+MAX(C$39:C43)+1</f>
        <v>6</v>
      </c>
      <c r="D44" s="4" t="str">
        <f>COS_Unbun.!D74</f>
        <v>Large General Service (7)</v>
      </c>
      <c r="E44" s="4"/>
      <c r="F44" s="1980">
        <f>'COS_Units (sales)'!F33/1000</f>
        <v>299772.79228904791</v>
      </c>
      <c r="G44" s="257">
        <f>'COS_Units (cust)'!$V27</f>
        <v>10285911.025710687</v>
      </c>
      <c r="H44" s="1995">
        <f>'Rate Increases'!J15</f>
        <v>8766062.0633190237</v>
      </c>
      <c r="I44" s="500">
        <f>'Rate Increases'!J57</f>
        <v>8766062.0633190237</v>
      </c>
      <c r="J44" s="500">
        <f>'Rate Increases'!K57</f>
        <v>8163610.1982922778</v>
      </c>
      <c r="K44" s="500">
        <f>'Rate Increases'!L57</f>
        <v>8416145.0008362718</v>
      </c>
      <c r="L44" s="500">
        <f>'Rate Increases'!M57</f>
        <v>8662106.0688136742</v>
      </c>
      <c r="M44" s="500">
        <f>'Rate Increases'!N57</f>
        <v>8912167.1367910709</v>
      </c>
      <c r="N44" s="500">
        <f>'Rate Increases'!O57</f>
        <v>9154632.7882560082</v>
      </c>
      <c r="O44" s="500">
        <f>'Rate Increases'!P57</f>
        <v>9509119.8067345899</v>
      </c>
      <c r="P44" s="500">
        <f>'Rate Increases'!Q57</f>
        <v>9772280.8747119885</v>
      </c>
      <c r="Q44" s="500">
        <f>'Rate Increases'!R57</f>
        <v>10039641.942689387</v>
      </c>
      <c r="R44" s="500">
        <f>'Rate Increases'!S57</f>
        <v>10385011.025710687</v>
      </c>
      <c r="S44" s="500">
        <f>'Rate Increases'!T57</f>
        <v>10625894.612632906</v>
      </c>
      <c r="T44" s="500">
        <f>'Rate Increases'!U57</f>
        <v>10943886.214599004</v>
      </c>
      <c r="U44" s="500" t="e">
        <f>'Rate Increases'!#REF!</f>
        <v>#REF!</v>
      </c>
      <c r="V44" s="500" t="e">
        <f>'Rate Increases'!#REF!</f>
        <v>#REF!</v>
      </c>
      <c r="W44" s="500" t="e">
        <f>'Rate Increases'!#REF!</f>
        <v>#REF!</v>
      </c>
      <c r="X44" s="500" t="e">
        <f>'Rate Increases'!#REF!</f>
        <v>#REF!</v>
      </c>
      <c r="AA44" s="1964">
        <f>INDEX('Rate Increases'!$G99:$U99,1,MATCH($AC$5,'Rate Increases'!$G$91:$U$91,0))</f>
        <v>10285911.025710687</v>
      </c>
      <c r="AB44" s="257">
        <f>COS_Unbun.!$E74</f>
        <v>11682658</v>
      </c>
      <c r="AC44" s="257">
        <f t="shared" si="9"/>
        <v>-1396746.974289313</v>
      </c>
      <c r="AD44" s="564">
        <f t="shared" si="12"/>
        <v>-0.1357922473564083</v>
      </c>
      <c r="AF44" s="1964">
        <f t="shared" si="8"/>
        <v>10385011.025710687</v>
      </c>
      <c r="AG44" s="257">
        <f>COS_Unbun.!$E74</f>
        <v>11682658</v>
      </c>
      <c r="AH44" s="257">
        <f t="shared" si="10"/>
        <v>-1297646.974289313</v>
      </c>
      <c r="AI44" s="564">
        <f t="shared" si="13"/>
        <v>-0.12495383693639457</v>
      </c>
    </row>
    <row r="45" spans="1:38" hidden="1">
      <c r="A45" s="411"/>
      <c r="B45" s="29"/>
      <c r="C45" s="236">
        <f>+MAX(C$39:C44)+1</f>
        <v>7</v>
      </c>
      <c r="D45" s="4" t="str">
        <f>COS_Unbun.!D75</f>
        <v>Industrial (14)</v>
      </c>
      <c r="E45" s="4"/>
      <c r="F45" s="1980">
        <f>'COS_Units (sales)'!F36/1000</f>
        <v>937116.70550784201</v>
      </c>
      <c r="G45" s="257">
        <f>'COS_Units (cust)'!$V28</f>
        <v>36974914.605053663</v>
      </c>
      <c r="H45" s="1995">
        <f>'Rate Increases'!J16</f>
        <v>10707815.790265961</v>
      </c>
      <c r="I45" s="500">
        <f>'Rate Increases'!J58</f>
        <v>10707815.790265961</v>
      </c>
      <c r="J45" s="500">
        <f>'Rate Increases'!K58</f>
        <v>11291095.306770664</v>
      </c>
      <c r="K45" s="500">
        <f>'Rate Increases'!L58</f>
        <v>14595883.269670105</v>
      </c>
      <c r="L45" s="500">
        <f>'Rate Increases'!M58</f>
        <v>17411410.970608942</v>
      </c>
      <c r="M45" s="500">
        <f>'Rate Increases'!N58</f>
        <v>21004557.128910389</v>
      </c>
      <c r="N45" s="500">
        <f>'Rate Increases'!O58</f>
        <v>25579236.33062144</v>
      </c>
      <c r="O45" s="500">
        <f>'Rate Increases'!P58</f>
        <v>28969496.339451</v>
      </c>
      <c r="P45" s="500">
        <f>'Rate Increases'!Q58</f>
        <v>32609664.593313333</v>
      </c>
      <c r="Q45" s="500">
        <f>'Rate Increases'!R58</f>
        <v>35534972.775753453</v>
      </c>
      <c r="R45" s="500">
        <f>'Rate Increases'!S58</f>
        <v>38823614.605053663</v>
      </c>
      <c r="S45" s="500">
        <f>'Rate Increases'!T58</f>
        <v>41433188.738364697</v>
      </c>
      <c r="T45" s="500">
        <f>'Rate Increases'!U58</f>
        <v>43458154.563841105</v>
      </c>
      <c r="U45" s="500" t="e">
        <f>'Rate Increases'!#REF!</f>
        <v>#REF!</v>
      </c>
      <c r="V45" s="500" t="e">
        <f>'Rate Increases'!#REF!</f>
        <v>#REF!</v>
      </c>
      <c r="W45" s="500" t="e">
        <f>'Rate Increases'!#REF!</f>
        <v>#REF!</v>
      </c>
      <c r="X45" s="500" t="e">
        <f>'Rate Increases'!#REF!</f>
        <v>#REF!</v>
      </c>
      <c r="AA45" s="1964">
        <f>INDEX('Rate Increases'!$G100:$U100,1,MATCH($AC$5,'Rate Increases'!$G$91:$U$91,0))</f>
        <v>36974914.605053663</v>
      </c>
      <c r="AB45" s="257">
        <f>COS_Unbun.!$E75</f>
        <v>33165212</v>
      </c>
      <c r="AC45" s="257">
        <f t="shared" si="9"/>
        <v>3809702.6050536633</v>
      </c>
      <c r="AD45" s="564">
        <f t="shared" si="12"/>
        <v>0.10303479117522993</v>
      </c>
      <c r="AF45" s="1964">
        <f t="shared" si="8"/>
        <v>38823614.605053663</v>
      </c>
      <c r="AG45" s="257">
        <f>COS_Unbun.!$E75</f>
        <v>33165212</v>
      </c>
      <c r="AH45" s="257">
        <f t="shared" si="10"/>
        <v>5658402.6050536633</v>
      </c>
      <c r="AI45" s="564">
        <f t="shared" si="13"/>
        <v>0.14574641394459725</v>
      </c>
    </row>
    <row r="46" spans="1:38" hidden="1">
      <c r="A46" s="411"/>
      <c r="B46" s="29"/>
      <c r="C46" s="236">
        <f>+MAX(C$39:C45)+1</f>
        <v>8</v>
      </c>
      <c r="D46" s="4" t="str">
        <f>COS_Unbun.!D76</f>
        <v>Large Industrial (15) &amp; (94)</v>
      </c>
      <c r="E46" s="4"/>
      <c r="F46" s="1980">
        <f>('COS_Units (sales)'!F39+'COS_Units (sales)'!F48)/1000</f>
        <v>2673206.5529506882</v>
      </c>
      <c r="G46" s="257">
        <f>'COS_Units (cust)'!$V29+'COS_Units (cust)'!$V32</f>
        <v>102973786.09443644</v>
      </c>
      <c r="H46" s="1995">
        <f>'Rate Increases'!J17+'Rate Increases'!J20</f>
        <v>57093260.338718966</v>
      </c>
      <c r="I46" s="500">
        <f>'Rate Increases'!J59+'Rate Increases'!J62</f>
        <v>57093260.338718966</v>
      </c>
      <c r="J46" s="500">
        <f>'Rate Increases'!K59+'Rate Increases'!K62</f>
        <v>56612242.099814743</v>
      </c>
      <c r="K46" s="500">
        <f>'Rate Increases'!L59+'Rate Increases'!L62</f>
        <v>64736754.343939871</v>
      </c>
      <c r="L46" s="500">
        <f>'Rate Increases'!M59+'Rate Increases'!M62</f>
        <v>71696826.779791951</v>
      </c>
      <c r="M46" s="500">
        <f>'Rate Increases'!N59+'Rate Increases'!N62</f>
        <v>80081694.485206187</v>
      </c>
      <c r="N46" s="500">
        <f>'Rate Increases'!O59+'Rate Increases'!O62</f>
        <v>85284934.286793634</v>
      </c>
      <c r="O46" s="500">
        <f>'Rate Increases'!P59+'Rate Increases'!P62</f>
        <v>89738185.222205281</v>
      </c>
      <c r="P46" s="500">
        <f>'Rate Increases'!Q59+'Rate Increases'!Q62</f>
        <v>93074029.959206671</v>
      </c>
      <c r="Q46" s="500">
        <f>'Rate Increases'!R59+'Rate Increases'!R62</f>
        <v>98104063.406699643</v>
      </c>
      <c r="R46" s="500">
        <f>'Rate Increases'!S59+'Rate Increases'!S62</f>
        <v>103648286.09443644</v>
      </c>
      <c r="S46" s="500">
        <f>'Rate Increases'!T59+'Rate Increases'!T62</f>
        <v>109517680.51590812</v>
      </c>
      <c r="T46" s="500">
        <f>'Rate Increases'!U59+'Rate Increases'!U62</f>
        <v>114943735.46382579</v>
      </c>
      <c r="U46" s="500" t="e">
        <f>'Rate Increases'!#REF!+'Rate Increases'!#REF!</f>
        <v>#REF!</v>
      </c>
      <c r="V46" s="500" t="e">
        <f>'Rate Increases'!#REF!+'Rate Increases'!#REF!</f>
        <v>#REF!</v>
      </c>
      <c r="W46" s="500" t="e">
        <f>'Rate Increases'!#REF!+'Rate Increases'!#REF!</f>
        <v>#REF!</v>
      </c>
      <c r="X46" s="500" t="e">
        <f>'Rate Increases'!#REF!+'Rate Increases'!#REF!</f>
        <v>#REF!</v>
      </c>
      <c r="AA46" s="1964">
        <f>INDEX('Rate Increases'!$G101:$U101,1,MATCH($AC$5,'Rate Increases'!$G$91:$U$91,0))+INDEX('Rate Increases'!$G104:$U104,1,MATCH($AC$5,'Rate Increases'!$G$91:$U$91,0))</f>
        <v>102973786.09443644</v>
      </c>
      <c r="AB46" s="257">
        <f>COS_Unbun.!$E76</f>
        <v>88138185</v>
      </c>
      <c r="AC46" s="257">
        <f t="shared" si="9"/>
        <v>14835601.094436437</v>
      </c>
      <c r="AD46" s="564">
        <f t="shared" si="12"/>
        <v>0.14407162887874031</v>
      </c>
      <c r="AF46" s="1964">
        <f t="shared" si="8"/>
        <v>103648286.09443644</v>
      </c>
      <c r="AG46" s="257">
        <f>COS_Unbun.!$E76</f>
        <v>88138185</v>
      </c>
      <c r="AH46" s="257">
        <f t="shared" si="10"/>
        <v>15510101.094436437</v>
      </c>
      <c r="AI46" s="564">
        <f t="shared" si="13"/>
        <v>0.14964165524459141</v>
      </c>
    </row>
    <row r="47" spans="1:38" hidden="1">
      <c r="A47" s="411"/>
      <c r="B47" s="29"/>
      <c r="C47" s="236">
        <f>+MAX(C$39:C46)+1</f>
        <v>9</v>
      </c>
      <c r="D47" s="4" t="str">
        <f>COS_Unbun.!D77</f>
        <v>Agricultural Processing (16)</v>
      </c>
      <c r="E47" s="4"/>
      <c r="F47" s="1980">
        <f>'COS_Units (sales)'!F42/1000</f>
        <v>418929.39388013125</v>
      </c>
      <c r="G47" s="257">
        <f>'COS_Units (cust)'!$V30</f>
        <v>16300049.923444636</v>
      </c>
      <c r="H47" s="1995">
        <f>'Rate Increases'!J18</f>
        <v>8984245.1695211921</v>
      </c>
      <c r="I47" s="500">
        <f>'Rate Increases'!J60</f>
        <v>8984245.1695211921</v>
      </c>
      <c r="J47" s="500">
        <f>'Rate Increases'!K60</f>
        <v>9530339.7387739029</v>
      </c>
      <c r="K47" s="500">
        <f>'Rate Increases'!L60</f>
        <v>10540393.700286243</v>
      </c>
      <c r="L47" s="500">
        <f>'Rate Increases'!M60</f>
        <v>11182845.318966553</v>
      </c>
      <c r="M47" s="500">
        <f>'Rate Increases'!N60</f>
        <v>13062656.471414171</v>
      </c>
      <c r="N47" s="500">
        <f>'Rate Increases'!O60</f>
        <v>13805418.262523709</v>
      </c>
      <c r="O47" s="500">
        <f>'Rate Increases'!P60</f>
        <v>14544469.178446734</v>
      </c>
      <c r="P47" s="500">
        <f>'Rate Increases'!Q60</f>
        <v>15347145.553469464</v>
      </c>
      <c r="Q47" s="500">
        <f>'Rate Increases'!R60</f>
        <v>16194403.810367303</v>
      </c>
      <c r="R47" s="500">
        <f>'Rate Increases'!S60</f>
        <v>17115049.923444636</v>
      </c>
      <c r="S47" s="500">
        <f>'Rate Increases'!T60</f>
        <v>18031271.614472874</v>
      </c>
      <c r="T47" s="500">
        <f>'Rate Increases'!U60</f>
        <v>18990384.001675732</v>
      </c>
      <c r="U47" s="500" t="e">
        <f>'Rate Increases'!#REF!</f>
        <v>#REF!</v>
      </c>
      <c r="V47" s="500" t="e">
        <f>'Rate Increases'!#REF!</f>
        <v>#REF!</v>
      </c>
      <c r="W47" s="500" t="e">
        <f>'Rate Increases'!#REF!</f>
        <v>#REF!</v>
      </c>
      <c r="X47" s="500" t="e">
        <f>'Rate Increases'!#REF!</f>
        <v>#REF!</v>
      </c>
      <c r="AA47" s="1964">
        <f>INDEX('Rate Increases'!$G102:$U102,1,MATCH($AC$5,'Rate Increases'!$G$91:$U$91,0))</f>
        <v>16300049.923444636</v>
      </c>
      <c r="AB47" s="257">
        <f>COS_Unbun.!$E77</f>
        <v>15253378</v>
      </c>
      <c r="AC47" s="257">
        <f t="shared" si="9"/>
        <v>1046671.9234446362</v>
      </c>
      <c r="AD47" s="564">
        <f t="shared" si="12"/>
        <v>6.4212804768112419E-2</v>
      </c>
      <c r="AF47" s="1964">
        <f t="shared" si="8"/>
        <v>17115049.923444636</v>
      </c>
      <c r="AG47" s="257">
        <f>COS_Unbun.!$E77</f>
        <v>15253378</v>
      </c>
      <c r="AH47" s="257">
        <f t="shared" si="10"/>
        <v>1861671.9234446362</v>
      </c>
      <c r="AI47" s="564">
        <f t="shared" si="13"/>
        <v>0.1087739697968669</v>
      </c>
    </row>
    <row r="48" spans="1:38" hidden="1">
      <c r="A48" s="411"/>
      <c r="B48" s="29"/>
      <c r="C48" s="236">
        <f>+MAX(C$39:C47)+1</f>
        <v>10</v>
      </c>
      <c r="D48" s="4" t="str">
        <f>COS_Unbun.!D78</f>
        <v>Agricultural Boiler (85)</v>
      </c>
      <c r="E48" s="4"/>
      <c r="F48" s="1980">
        <f>'COS_Units (sales)'!F45/1000</f>
        <v>0</v>
      </c>
      <c r="G48" s="257">
        <f>'COS_Units (cust)'!$V31</f>
        <v>18696.862073089371</v>
      </c>
      <c r="H48" s="1995">
        <f>'Rate Increases'!J19</f>
        <v>12661.214900686282</v>
      </c>
      <c r="I48" s="500">
        <f>'Rate Increases'!J61</f>
        <v>12661.214900686282</v>
      </c>
      <c r="J48" s="500">
        <f>'Rate Increases'!K61</f>
        <v>13296.862073089371</v>
      </c>
      <c r="K48" s="500">
        <f>'Rate Increases'!L61</f>
        <v>13996.862073089371</v>
      </c>
      <c r="L48" s="500">
        <f>'Rate Increases'!M61</f>
        <v>14696.862073089371</v>
      </c>
      <c r="M48" s="500">
        <f>'Rate Increases'!N61</f>
        <v>15396.862073089371</v>
      </c>
      <c r="N48" s="500">
        <f>'Rate Increases'!O61</f>
        <v>16196.862073089371</v>
      </c>
      <c r="O48" s="500">
        <f>'Rate Increases'!P61</f>
        <v>16996.862073089371</v>
      </c>
      <c r="P48" s="500">
        <f>'Rate Increases'!Q61</f>
        <v>17796.862073089371</v>
      </c>
      <c r="Q48" s="500">
        <f>'Rate Increases'!R61</f>
        <v>18696.862073089371</v>
      </c>
      <c r="R48" s="500">
        <f>'Rate Increases'!S61</f>
        <v>19596.862073089371</v>
      </c>
      <c r="S48" s="500">
        <f>'Rate Increases'!T61</f>
        <v>20596.862073089371</v>
      </c>
      <c r="T48" s="500">
        <f>'Rate Increases'!U61</f>
        <v>21596.862073089371</v>
      </c>
      <c r="U48" s="500" t="e">
        <f>'Rate Increases'!#REF!</f>
        <v>#REF!</v>
      </c>
      <c r="V48" s="500" t="e">
        <f>'Rate Increases'!#REF!</f>
        <v>#REF!</v>
      </c>
      <c r="W48" s="500" t="e">
        <f>'Rate Increases'!#REF!</f>
        <v>#REF!</v>
      </c>
      <c r="X48" s="500" t="e">
        <f>'Rate Increases'!#REF!</f>
        <v>#REF!</v>
      </c>
      <c r="AA48" s="1964">
        <f>INDEX('Rate Increases'!$G103:$U103,1,MATCH($AC$5,'Rate Increases'!$G$91:$U$91,0))</f>
        <v>18696.862073089371</v>
      </c>
      <c r="AB48" s="257">
        <f>COS_Unbun.!$E78</f>
        <v>22926</v>
      </c>
      <c r="AC48" s="257">
        <f t="shared" si="9"/>
        <v>-4229.1379269106292</v>
      </c>
      <c r="AD48" s="564">
        <f t="shared" si="12"/>
        <v>-0.22619506473215528</v>
      </c>
      <c r="AF48" s="1964">
        <f t="shared" si="8"/>
        <v>19596.862073089371</v>
      </c>
      <c r="AG48" s="257">
        <f>COS_Unbun.!$E78</f>
        <v>22926</v>
      </c>
      <c r="AH48" s="257">
        <f t="shared" si="10"/>
        <v>-3329.1379269106292</v>
      </c>
      <c r="AI48" s="564">
        <f t="shared" si="13"/>
        <v>-0.16988117355187382</v>
      </c>
    </row>
    <row r="49" spans="1:36" hidden="1">
      <c r="A49" s="411"/>
      <c r="B49" s="29"/>
      <c r="C49" s="236">
        <f>+MAX(C$39:C48)+1</f>
        <v>11</v>
      </c>
      <c r="D49" s="4" t="str">
        <f>COS_Unbun.!D79</f>
        <v>Street Lights (6)</v>
      </c>
      <c r="E49" s="4"/>
      <c r="F49" s="1980">
        <f>'COS_Units (sales)'!F51/1000</f>
        <v>4515.848</v>
      </c>
      <c r="G49" s="257">
        <f>'COS_Units (cust)'!$V33</f>
        <v>964740</v>
      </c>
      <c r="H49" s="1995">
        <f>'Rate Increases'!J21</f>
        <v>950421</v>
      </c>
      <c r="I49" s="500">
        <f>'Rate Increases'!J63</f>
        <v>950421</v>
      </c>
      <c r="J49" s="500">
        <f>'Rate Increases'!K63</f>
        <v>931540</v>
      </c>
      <c r="K49" s="500">
        <f>'Rate Increases'!L63</f>
        <v>936240</v>
      </c>
      <c r="L49" s="500">
        <f>'Rate Increases'!M63</f>
        <v>940940</v>
      </c>
      <c r="M49" s="500">
        <f>'Rate Increases'!N63</f>
        <v>945640</v>
      </c>
      <c r="N49" s="500">
        <f>'Rate Increases'!O63</f>
        <v>950340</v>
      </c>
      <c r="O49" s="500">
        <f>'Rate Increases'!P63</f>
        <v>955140</v>
      </c>
      <c r="P49" s="500">
        <f>'Rate Increases'!Q63</f>
        <v>959940</v>
      </c>
      <c r="Q49" s="500">
        <f>'Rate Increases'!R63</f>
        <v>964740</v>
      </c>
      <c r="R49" s="500">
        <f>'Rate Increases'!S63</f>
        <v>969540</v>
      </c>
      <c r="S49" s="500">
        <f>'Rate Increases'!T63</f>
        <v>974340</v>
      </c>
      <c r="T49" s="500">
        <f>'Rate Increases'!U63</f>
        <v>979240</v>
      </c>
      <c r="U49" s="500" t="e">
        <f>'Rate Increases'!#REF!</f>
        <v>#REF!</v>
      </c>
      <c r="V49" s="500" t="e">
        <f>'Rate Increases'!#REF!</f>
        <v>#REF!</v>
      </c>
      <c r="W49" s="500" t="e">
        <f>'Rate Increases'!#REF!</f>
        <v>#REF!</v>
      </c>
      <c r="X49" s="500" t="e">
        <f>'Rate Increases'!#REF!</f>
        <v>#REF!</v>
      </c>
      <c r="AA49" s="1964">
        <f>INDEX('Rate Increases'!$G105:$U105,1,MATCH($AC$5,'Rate Increases'!$G$91:$U$91,0))</f>
        <v>964740</v>
      </c>
      <c r="AB49" s="257">
        <f>COS_Unbun.!$E79</f>
        <v>724541</v>
      </c>
      <c r="AC49" s="257">
        <f t="shared" si="9"/>
        <v>240199</v>
      </c>
      <c r="AD49" s="564">
        <f t="shared" si="12"/>
        <v>0.24897796297448016</v>
      </c>
      <c r="AF49" s="1964">
        <f t="shared" si="8"/>
        <v>969540</v>
      </c>
      <c r="AG49" s="257">
        <f>COS_Unbun.!$E79</f>
        <v>724541</v>
      </c>
      <c r="AH49" s="257">
        <f t="shared" si="10"/>
        <v>244999</v>
      </c>
      <c r="AI49" s="564">
        <f t="shared" si="13"/>
        <v>0.25269612393506197</v>
      </c>
    </row>
    <row r="50" spans="1:36" hidden="1">
      <c r="A50" s="411"/>
      <c r="B50" s="29"/>
      <c r="C50" s="236">
        <f>+MAX(C$39:C49)+1</f>
        <v>12</v>
      </c>
      <c r="D50" s="4" t="str">
        <f>COS_Unbun.!D80</f>
        <v>Street Lights (2)</v>
      </c>
      <c r="E50" s="4"/>
      <c r="F50" s="1980">
        <f>'COS_Units (sales)'!F54/1000</f>
        <v>431.238</v>
      </c>
      <c r="G50" s="257">
        <f>'COS_Units (cust)'!$V34</f>
        <v>33115.861076429937</v>
      </c>
      <c r="H50" s="1995">
        <f>'Rate Increases'!J22</f>
        <v>27962.174384723989</v>
      </c>
      <c r="I50" s="500">
        <f>'Rate Increases'!J64</f>
        <v>27962.174384723989</v>
      </c>
      <c r="J50" s="500">
        <f>'Rate Increases'!K64</f>
        <v>28615.861076429941</v>
      </c>
      <c r="K50" s="500">
        <f>'Rate Increases'!L64</f>
        <v>29215.861076429941</v>
      </c>
      <c r="L50" s="500">
        <f>'Rate Increases'!M64</f>
        <v>29815.861076429941</v>
      </c>
      <c r="M50" s="500">
        <f>'Rate Increases'!N64</f>
        <v>30415.861076429941</v>
      </c>
      <c r="N50" s="500">
        <f>'Rate Increases'!O64</f>
        <v>31015.861076429941</v>
      </c>
      <c r="O50" s="500">
        <f>'Rate Increases'!P64</f>
        <v>31715.861076429941</v>
      </c>
      <c r="P50" s="500">
        <f>'Rate Increases'!Q64</f>
        <v>32415.861076429941</v>
      </c>
      <c r="Q50" s="500">
        <f>'Rate Increases'!R64</f>
        <v>33115.861076429937</v>
      </c>
      <c r="R50" s="500">
        <f>'Rate Increases'!S64</f>
        <v>33815.861076429937</v>
      </c>
      <c r="S50" s="500">
        <f>'Rate Increases'!T64</f>
        <v>34015.861076429937</v>
      </c>
      <c r="T50" s="500">
        <f>'Rate Increases'!U64</f>
        <v>34215.861076429937</v>
      </c>
      <c r="U50" s="500" t="e">
        <f>'Rate Increases'!#REF!</f>
        <v>#REF!</v>
      </c>
      <c r="V50" s="500" t="e">
        <f>'Rate Increases'!#REF!</f>
        <v>#REF!</v>
      </c>
      <c r="W50" s="500" t="e">
        <f>'Rate Increases'!#REF!</f>
        <v>#REF!</v>
      </c>
      <c r="X50" s="500" t="e">
        <f>'Rate Increases'!#REF!</f>
        <v>#REF!</v>
      </c>
      <c r="AA50" s="1964">
        <f>INDEX('Rate Increases'!$G106:$U106,1,MATCH($AC$5,'Rate Increases'!$G$91:$U$91,0))</f>
        <v>33115.861076429937</v>
      </c>
      <c r="AB50" s="257">
        <f>COS_Unbun.!$E80</f>
        <v>59689</v>
      </c>
      <c r="AC50" s="565">
        <f t="shared" si="9"/>
        <v>-26573.138923570063</v>
      </c>
      <c r="AD50" s="564">
        <f t="shared" si="12"/>
        <v>-0.80242935136853111</v>
      </c>
      <c r="AF50" s="1964">
        <f t="shared" si="8"/>
        <v>33815.861076429937</v>
      </c>
      <c r="AG50" s="257">
        <f>COS_Unbun.!$E80</f>
        <v>59689</v>
      </c>
      <c r="AH50" s="565">
        <f t="shared" si="10"/>
        <v>-25873.138923570063</v>
      </c>
      <c r="AI50" s="564">
        <f t="shared" si="13"/>
        <v>-0.76511844146426167</v>
      </c>
    </row>
    <row r="51" spans="1:36" hidden="1">
      <c r="A51" s="411"/>
      <c r="B51" s="29"/>
      <c r="C51" s="236">
        <f>+MAX(C$39:C50)+1</f>
        <v>13</v>
      </c>
      <c r="D51" s="4" t="str">
        <f>COS_Unbun.!D81</f>
        <v>Alternate Power Sales</v>
      </c>
      <c r="E51" s="4"/>
      <c r="F51" s="270">
        <f>'COS_Units (sales)'!F60/1000</f>
        <v>0</v>
      </c>
      <c r="G51" s="565">
        <f>'COS_Units (cust)'!$V36</f>
        <v>0</v>
      </c>
      <c r="H51" s="1996">
        <f>'Rate Increases'!J24</f>
        <v>0</v>
      </c>
      <c r="I51" s="1981">
        <f>'Rate Increases'!J66</f>
        <v>0</v>
      </c>
      <c r="J51" s="1981">
        <f>'Rate Increases'!K66</f>
        <v>0</v>
      </c>
      <c r="K51" s="1981">
        <f>'Rate Increases'!L66</f>
        <v>0</v>
      </c>
      <c r="L51" s="1981">
        <f>'Rate Increases'!M66</f>
        <v>0</v>
      </c>
      <c r="M51" s="1981">
        <f>'Rate Increases'!N66</f>
        <v>0</v>
      </c>
      <c r="N51" s="1981">
        <f>'Rate Increases'!O66</f>
        <v>0</v>
      </c>
      <c r="O51" s="1981">
        <f>'Rate Increases'!P66</f>
        <v>0</v>
      </c>
      <c r="P51" s="1981">
        <f>'Rate Increases'!Q66</f>
        <v>0</v>
      </c>
      <c r="Q51" s="1981">
        <f>'Rate Increases'!R66</f>
        <v>0</v>
      </c>
      <c r="R51" s="1981">
        <f>'Rate Increases'!S66</f>
        <v>0</v>
      </c>
      <c r="S51" s="1981">
        <f>'Rate Increases'!T66</f>
        <v>0</v>
      </c>
      <c r="T51" s="1981">
        <f>'Rate Increases'!U66</f>
        <v>0</v>
      </c>
      <c r="U51" s="1981" t="e">
        <f>'Rate Increases'!#REF!</f>
        <v>#REF!</v>
      </c>
      <c r="V51" s="1981" t="e">
        <f>'Rate Increases'!#REF!</f>
        <v>#REF!</v>
      </c>
      <c r="W51" s="1981" t="e">
        <f>'Rate Increases'!#REF!</f>
        <v>#REF!</v>
      </c>
      <c r="X51" s="1981" t="e">
        <f>'Rate Increases'!#REF!</f>
        <v>#REF!</v>
      </c>
      <c r="AA51" s="1964">
        <f>INDEX('Rate Increases'!$G108:$U108,1,MATCH($AC$5,'Rate Increases'!$G$91:$U$91,0))</f>
        <v>0</v>
      </c>
      <c r="AB51" s="565">
        <f>COS_Unbun.!$E81</f>
        <v>0</v>
      </c>
      <c r="AC51" s="565">
        <f t="shared" si="9"/>
        <v>0</v>
      </c>
      <c r="AD51" s="564">
        <f t="shared" si="12"/>
        <v>0</v>
      </c>
      <c r="AF51" s="1998">
        <f t="shared" si="8"/>
        <v>0</v>
      </c>
      <c r="AG51" s="566">
        <f>COS_Unbun.!$E81</f>
        <v>0</v>
      </c>
      <c r="AH51" s="566">
        <f t="shared" si="10"/>
        <v>0</v>
      </c>
      <c r="AI51" s="696">
        <f t="shared" si="13"/>
        <v>0</v>
      </c>
    </row>
    <row r="52" spans="1:36" hidden="1">
      <c r="A52" s="411"/>
      <c r="B52" s="29"/>
      <c r="C52" s="236">
        <f>+MAX(C$39:C51)+1</f>
        <v>14</v>
      </c>
      <c r="D52" s="309" t="s">
        <v>602</v>
      </c>
      <c r="E52" s="309"/>
      <c r="F52" s="371">
        <f t="shared" ref="F52:X52" si="14">SUM(F41:F51)</f>
        <v>6439426.4715334717</v>
      </c>
      <c r="G52" s="1982">
        <f t="shared" si="14"/>
        <v>284379492.35736859</v>
      </c>
      <c r="H52" s="1982">
        <f t="shared" si="14"/>
        <v>171259254.27856958</v>
      </c>
      <c r="I52" s="1982">
        <f t="shared" si="14"/>
        <v>171259254.27856958</v>
      </c>
      <c r="J52" s="1982">
        <f t="shared" si="14"/>
        <v>177888719.57935938</v>
      </c>
      <c r="K52" s="1982">
        <f t="shared" si="14"/>
        <v>192821209.48191896</v>
      </c>
      <c r="L52" s="1982">
        <f t="shared" si="14"/>
        <v>206814242.21355021</v>
      </c>
      <c r="M52" s="1982">
        <f t="shared" si="14"/>
        <v>224364490.08328345</v>
      </c>
      <c r="N52" s="1982">
        <f t="shared" si="14"/>
        <v>238710445.86055285</v>
      </c>
      <c r="O52" s="1982">
        <f t="shared" si="14"/>
        <v>251309139.09909728</v>
      </c>
      <c r="P52" s="1982">
        <f t="shared" si="14"/>
        <v>263162227.3938486</v>
      </c>
      <c r="Q52" s="1982">
        <f t="shared" si="14"/>
        <v>276172547.17914677</v>
      </c>
      <c r="R52" s="1982">
        <f t="shared" si="14"/>
        <v>290372292.35736853</v>
      </c>
      <c r="S52" s="1982">
        <f t="shared" si="14"/>
        <v>302394095.65705949</v>
      </c>
      <c r="T52" s="1982">
        <f t="shared" si="14"/>
        <v>314909841.54634458</v>
      </c>
      <c r="U52" s="1982" t="e">
        <f t="shared" si="14"/>
        <v>#REF!</v>
      </c>
      <c r="V52" s="1982" t="e">
        <f t="shared" si="14"/>
        <v>#REF!</v>
      </c>
      <c r="W52" s="1982" t="e">
        <f t="shared" si="14"/>
        <v>#REF!</v>
      </c>
      <c r="X52" s="1982" t="e">
        <f t="shared" si="14"/>
        <v>#REF!</v>
      </c>
      <c r="AA52" s="1982">
        <f>SUM(AA41:AA51)</f>
        <v>284379492.35736859</v>
      </c>
      <c r="AB52" s="1982">
        <f>SUM(AB41:AB51)</f>
        <v>289928476</v>
      </c>
      <c r="AC52" s="1999">
        <f>AA52-AB52</f>
        <v>-5548983.6426314116</v>
      </c>
      <c r="AD52" s="2006">
        <f>AC52/AA52</f>
        <v>-1.9512601266121612E-2</v>
      </c>
      <c r="AF52" s="410">
        <f>SUM(AF41:AF51)</f>
        <v>290372292.35736853</v>
      </c>
      <c r="AG52" s="410">
        <f>SUM(AG41:AG51)</f>
        <v>289928476</v>
      </c>
      <c r="AH52" s="565">
        <f t="shared" si="10"/>
        <v>443816.35736852884</v>
      </c>
      <c r="AI52" s="2005">
        <f>AH52/AF52</f>
        <v>1.5284390730445894E-3</v>
      </c>
    </row>
    <row r="53" spans="1:36" hidden="1">
      <c r="A53" s="411"/>
      <c r="B53" s="29"/>
      <c r="C53" s="236"/>
      <c r="D53" s="309"/>
      <c r="E53" s="309"/>
      <c r="F53" s="339"/>
      <c r="G53" s="410"/>
      <c r="I53" s="339"/>
      <c r="J53" s="1929"/>
      <c r="K53" s="1929"/>
      <c r="L53" s="1929"/>
      <c r="M53" s="1929"/>
      <c r="N53" s="1929"/>
      <c r="O53" s="1929"/>
      <c r="P53" s="1929"/>
      <c r="Q53" s="1929"/>
      <c r="R53" s="339"/>
      <c r="S53" s="339"/>
      <c r="T53" s="339"/>
      <c r="U53" s="339"/>
      <c r="V53" s="339"/>
      <c r="W53" s="339"/>
      <c r="X53" s="339"/>
      <c r="AA53" s="410"/>
      <c r="AB53" s="410"/>
      <c r="AC53" s="410"/>
      <c r="AD53" s="467"/>
    </row>
    <row r="54" spans="1:36">
      <c r="A54" s="411"/>
      <c r="B54" s="29"/>
      <c r="C54" s="236"/>
      <c r="D54" s="1"/>
      <c r="E54" s="1"/>
      <c r="F54" s="1"/>
      <c r="G54" s="2"/>
      <c r="I54" s="1928">
        <f>Dashboard!H10</f>
        <v>0</v>
      </c>
      <c r="J54" s="1928">
        <f>Dashboard!I10</f>
        <v>0</v>
      </c>
      <c r="K54" s="1928">
        <f>Dashboard!J10</f>
        <v>0.02</v>
      </c>
      <c r="L54" s="1928">
        <f>Dashboard!K10</f>
        <v>0.02</v>
      </c>
      <c r="M54" s="1928">
        <f>Dashboard!L10</f>
        <v>0.02</v>
      </c>
      <c r="N54" s="1928">
        <f>Dashboard!M10</f>
        <v>0.02</v>
      </c>
      <c r="O54" s="1928">
        <f>Dashboard!N10</f>
        <v>0.02</v>
      </c>
      <c r="P54" s="1928">
        <f>Dashboard!O10</f>
        <v>0.02</v>
      </c>
      <c r="Q54" s="1928">
        <f>Dashboard!P10</f>
        <v>0.02</v>
      </c>
      <c r="R54" s="1928">
        <f>Dashboard!Q10</f>
        <v>0.02</v>
      </c>
      <c r="S54" s="1928">
        <f>Dashboard!R10</f>
        <v>0.02</v>
      </c>
      <c r="T54" s="1928">
        <f>Dashboard!S10</f>
        <v>0.02</v>
      </c>
      <c r="U54" s="1928" t="e">
        <f>Dashboard!#REF!</f>
        <v>#REF!</v>
      </c>
      <c r="V54" s="1928" t="e">
        <f>Dashboard!#REF!</f>
        <v>#REF!</v>
      </c>
      <c r="W54" s="1928" t="e">
        <f>Dashboard!#REF!</f>
        <v>#REF!</v>
      </c>
      <c r="X54" s="1928" t="e">
        <f>Dashboard!#REF!</f>
        <v>#REF!</v>
      </c>
      <c r="Z54" s="1"/>
      <c r="AA54" s="1"/>
      <c r="AB54" s="1"/>
      <c r="AC54" s="1"/>
      <c r="AD54" s="1"/>
      <c r="AE54" s="1"/>
      <c r="AF54" s="1"/>
      <c r="AG54" s="1"/>
      <c r="AH54" s="1"/>
      <c r="AI54" s="1"/>
      <c r="AJ54" s="1"/>
    </row>
    <row r="55" spans="1:36">
      <c r="A55" s="411"/>
      <c r="B55" s="29"/>
      <c r="C55" s="236"/>
      <c r="D55" s="1"/>
      <c r="E55" s="1"/>
      <c r="F55" s="1"/>
      <c r="G55" s="1766" t="s">
        <v>2751</v>
      </c>
      <c r="I55" s="1929">
        <f t="shared" ref="I55:X55" si="15">IF(I54&lt;0,0,I54*0.25)</f>
        <v>0</v>
      </c>
      <c r="J55" s="1929">
        <f t="shared" si="15"/>
        <v>0</v>
      </c>
      <c r="K55" s="1929">
        <f t="shared" si="15"/>
        <v>5.0000000000000001E-3</v>
      </c>
      <c r="L55" s="1929">
        <f t="shared" si="15"/>
        <v>5.0000000000000001E-3</v>
      </c>
      <c r="M55" s="1929">
        <f t="shared" si="15"/>
        <v>5.0000000000000001E-3</v>
      </c>
      <c r="N55" s="1929">
        <f t="shared" si="15"/>
        <v>5.0000000000000001E-3</v>
      </c>
      <c r="O55" s="1929">
        <f t="shared" si="15"/>
        <v>5.0000000000000001E-3</v>
      </c>
      <c r="P55" s="1929">
        <f t="shared" si="15"/>
        <v>5.0000000000000001E-3</v>
      </c>
      <c r="Q55" s="1929">
        <f t="shared" si="15"/>
        <v>5.0000000000000001E-3</v>
      </c>
      <c r="R55" s="1929">
        <f t="shared" si="15"/>
        <v>5.0000000000000001E-3</v>
      </c>
      <c r="S55" s="1929">
        <f t="shared" si="15"/>
        <v>5.0000000000000001E-3</v>
      </c>
      <c r="T55" s="1929">
        <f t="shared" si="15"/>
        <v>5.0000000000000001E-3</v>
      </c>
      <c r="U55" s="1929" t="e">
        <f t="shared" si="15"/>
        <v>#REF!</v>
      </c>
      <c r="V55" s="1929" t="e">
        <f t="shared" si="15"/>
        <v>#REF!</v>
      </c>
      <c r="W55" s="1929" t="e">
        <f t="shared" si="15"/>
        <v>#REF!</v>
      </c>
      <c r="X55" s="1929" t="e">
        <f t="shared" si="15"/>
        <v>#REF!</v>
      </c>
    </row>
    <row r="56" spans="1:36">
      <c r="A56" s="411"/>
      <c r="B56" s="29"/>
      <c r="C56" s="236"/>
      <c r="D56" s="1"/>
      <c r="E56" s="1"/>
      <c r="F56" s="1"/>
      <c r="G56" s="1766" t="s">
        <v>2752</v>
      </c>
      <c r="I56" s="1929">
        <f>IF(I54&lt;0,0,I54*2.5)</f>
        <v>0</v>
      </c>
      <c r="J56" s="1929">
        <f t="shared" ref="J56:X56" si="16">IF(J54&lt;0,0,J54*2.5)</f>
        <v>0</v>
      </c>
      <c r="K56" s="1929">
        <f t="shared" si="16"/>
        <v>0.05</v>
      </c>
      <c r="L56" s="1929">
        <f t="shared" si="16"/>
        <v>0.05</v>
      </c>
      <c r="M56" s="1929">
        <f t="shared" si="16"/>
        <v>0.05</v>
      </c>
      <c r="N56" s="1929">
        <f t="shared" si="16"/>
        <v>0.05</v>
      </c>
      <c r="O56" s="1929">
        <f t="shared" si="16"/>
        <v>0.05</v>
      </c>
      <c r="P56" s="1929">
        <f t="shared" si="16"/>
        <v>0.05</v>
      </c>
      <c r="Q56" s="1929">
        <f t="shared" si="16"/>
        <v>0.05</v>
      </c>
      <c r="R56" s="1929">
        <f t="shared" si="16"/>
        <v>0.05</v>
      </c>
      <c r="S56" s="1929">
        <f t="shared" si="16"/>
        <v>0.05</v>
      </c>
      <c r="T56" s="1929">
        <f t="shared" si="16"/>
        <v>0.05</v>
      </c>
      <c r="U56" s="1929" t="e">
        <f t="shared" si="16"/>
        <v>#REF!</v>
      </c>
      <c r="V56" s="1929" t="e">
        <f t="shared" si="16"/>
        <v>#REF!</v>
      </c>
      <c r="W56" s="1929" t="e">
        <f t="shared" si="16"/>
        <v>#REF!</v>
      </c>
      <c r="X56" s="1929" t="e">
        <f t="shared" si="16"/>
        <v>#REF!</v>
      </c>
    </row>
    <row r="57" spans="1:36" s="200" customFormat="1">
      <c r="A57" s="411"/>
      <c r="B57" s="199"/>
      <c r="C57" s="1997"/>
      <c r="D57" s="1997"/>
      <c r="E57" s="2551"/>
      <c r="F57" s="1"/>
      <c r="Z57" s="196"/>
      <c r="AA57" s="196"/>
      <c r="AB57" s="196"/>
      <c r="AC57" s="196"/>
      <c r="AD57" s="196"/>
      <c r="AE57" s="196"/>
      <c r="AF57" s="196"/>
    </row>
    <row r="58" spans="1:36" s="200" customFormat="1" ht="16.5" thickBot="1">
      <c r="A58" s="411"/>
      <c r="B58" s="199"/>
      <c r="C58" s="567"/>
      <c r="D58" s="567"/>
      <c r="E58" s="9"/>
      <c r="F58" s="1"/>
      <c r="Z58" s="196"/>
      <c r="AA58" s="196"/>
      <c r="AB58" s="196"/>
      <c r="AC58" s="196"/>
      <c r="AD58" s="196"/>
      <c r="AE58" s="196"/>
      <c r="AF58" s="196"/>
    </row>
    <row r="59" spans="1:36" s="200" customFormat="1" ht="16.5" thickBot="1">
      <c r="A59" s="411"/>
      <c r="B59" s="199"/>
      <c r="C59" s="4503" t="s">
        <v>3004</v>
      </c>
      <c r="D59" s="4504"/>
      <c r="E59" s="4505"/>
      <c r="F59" s="1"/>
      <c r="G59" s="91" t="s">
        <v>3013</v>
      </c>
      <c r="I59" s="86"/>
      <c r="J59" s="86"/>
      <c r="K59" s="86"/>
      <c r="L59" s="86"/>
    </row>
    <row r="60" spans="1:36" s="200" customFormat="1">
      <c r="A60" s="411"/>
      <c r="B60" s="199"/>
      <c r="C60"/>
      <c r="D60" s="1"/>
      <c r="E60" s="1"/>
      <c r="F60" s="1"/>
      <c r="G60" s="40" t="s">
        <v>3010</v>
      </c>
      <c r="I60" s="86"/>
      <c r="J60" s="86"/>
      <c r="K60" s="86"/>
      <c r="L60" s="86"/>
    </row>
    <row r="61" spans="1:36" s="200" customFormat="1">
      <c r="A61" s="411"/>
      <c r="B61" s="199"/>
      <c r="C61" s="196"/>
      <c r="D61" s="2553" t="str">
        <f>$D$104</f>
        <v>Across the Board</v>
      </c>
      <c r="E61" s="2549"/>
      <c r="F61" s="2550" t="s">
        <v>871</v>
      </c>
      <c r="G61" s="84"/>
      <c r="H61" s="196"/>
      <c r="I61" s="1990">
        <f>I$6</f>
        <v>2015</v>
      </c>
      <c r="J61" s="1990">
        <f t="shared" ref="J61:X61" si="17">J$6</f>
        <v>2016</v>
      </c>
      <c r="K61" s="1990">
        <f t="shared" si="17"/>
        <v>2017</v>
      </c>
      <c r="L61" s="1990">
        <f t="shared" si="17"/>
        <v>2018</v>
      </c>
      <c r="M61" s="1990">
        <f t="shared" si="17"/>
        <v>2019</v>
      </c>
      <c r="N61" s="1990">
        <f t="shared" si="17"/>
        <v>2020</v>
      </c>
      <c r="O61" s="1990">
        <f t="shared" si="17"/>
        <v>2021</v>
      </c>
      <c r="P61" s="1990">
        <f t="shared" si="17"/>
        <v>2022</v>
      </c>
      <c r="Q61" s="1990">
        <f t="shared" si="17"/>
        <v>2023</v>
      </c>
      <c r="R61" s="1990">
        <f t="shared" si="17"/>
        <v>2024</v>
      </c>
      <c r="S61" s="1990">
        <f t="shared" si="17"/>
        <v>2025</v>
      </c>
      <c r="T61" s="1990">
        <f t="shared" si="17"/>
        <v>2026</v>
      </c>
      <c r="U61" s="1990" t="e">
        <f t="shared" si="17"/>
        <v>#REF!</v>
      </c>
      <c r="V61" s="1990" t="e">
        <f t="shared" si="17"/>
        <v>#REF!</v>
      </c>
      <c r="W61" s="1990" t="e">
        <f t="shared" si="17"/>
        <v>#REF!</v>
      </c>
      <c r="X61" s="1990" t="e">
        <f t="shared" si="17"/>
        <v>#REF!</v>
      </c>
      <c r="Y61" s="196"/>
      <c r="Z61" s="196"/>
      <c r="AA61" s="196"/>
      <c r="AB61" s="196"/>
      <c r="AC61" s="196"/>
      <c r="AD61" s="196"/>
      <c r="AE61" s="196"/>
      <c r="AF61" s="196"/>
      <c r="AG61" s="196"/>
      <c r="AH61" s="196"/>
      <c r="AI61" s="196"/>
      <c r="AJ61" s="196"/>
    </row>
    <row r="62" spans="1:36" s="200" customFormat="1">
      <c r="A62" s="411"/>
      <c r="B62" s="199"/>
      <c r="C62"/>
      <c r="D62" s="4" t="str">
        <f t="shared" ref="D62:D71" si="18">D75</f>
        <v>Residential-Total (1)</v>
      </c>
      <c r="E62" s="2549" t="str">
        <f t="shared" ref="E62:E71" si="19">$D$61&amp;D62</f>
        <v>Across the BoardResidential-Total (1)</v>
      </c>
      <c r="F62" s="2550" t="s">
        <v>871</v>
      </c>
      <c r="G62" s="2557" t="str">
        <f>IF($D$61=$D$6,INDEX($G$11:$G$23,MATCH($D62,$D$11:$D$23,0),1),"")</f>
        <v/>
      </c>
      <c r="I62" s="2560">
        <f t="shared" ref="I62:I71" si="20">I$54</f>
        <v>0</v>
      </c>
      <c r="J62" s="2561">
        <f t="shared" ref="J62:X62" si="21">J$54</f>
        <v>0</v>
      </c>
      <c r="K62" s="2561">
        <f t="shared" si="21"/>
        <v>0.02</v>
      </c>
      <c r="L62" s="2561">
        <f t="shared" si="21"/>
        <v>0.02</v>
      </c>
      <c r="M62" s="2561">
        <f t="shared" si="21"/>
        <v>0.02</v>
      </c>
      <c r="N62" s="2561">
        <f t="shared" si="21"/>
        <v>0.02</v>
      </c>
      <c r="O62" s="2561">
        <f t="shared" si="21"/>
        <v>0.02</v>
      </c>
      <c r="P62" s="2561">
        <f t="shared" si="21"/>
        <v>0.02</v>
      </c>
      <c r="Q62" s="2561">
        <f t="shared" si="21"/>
        <v>0.02</v>
      </c>
      <c r="R62" s="2561">
        <f t="shared" si="21"/>
        <v>0.02</v>
      </c>
      <c r="S62" s="2561">
        <f t="shared" si="21"/>
        <v>0.02</v>
      </c>
      <c r="T62" s="2561">
        <f t="shared" si="21"/>
        <v>0.02</v>
      </c>
      <c r="U62" s="2561" t="e">
        <f t="shared" si="21"/>
        <v>#REF!</v>
      </c>
      <c r="V62" s="2561" t="e">
        <f t="shared" si="21"/>
        <v>#REF!</v>
      </c>
      <c r="W62" s="2561" t="e">
        <f t="shared" si="21"/>
        <v>#REF!</v>
      </c>
      <c r="X62" s="2562" t="e">
        <f t="shared" si="21"/>
        <v>#REF!</v>
      </c>
    </row>
    <row r="63" spans="1:36" s="200" customFormat="1">
      <c r="A63" s="411"/>
      <c r="B63" s="199"/>
      <c r="C63" s="196"/>
      <c r="D63" s="1" t="str">
        <f t="shared" si="18"/>
        <v>Irrigation (3)</v>
      </c>
      <c r="E63" s="2549" t="str">
        <f t="shared" si="19"/>
        <v>Across the BoardIrrigation (3)</v>
      </c>
      <c r="F63" s="2550" t="s">
        <v>871</v>
      </c>
      <c r="G63" s="2558" t="str">
        <f t="shared" ref="G63:G71" si="22">IF($D$61=$D$6,INDEX($G$11:$G$23,MATCH($D63,$D$11:$D$23,0),1),"")</f>
        <v/>
      </c>
      <c r="H63" s="196"/>
      <c r="I63" s="2563">
        <f t="shared" si="20"/>
        <v>0</v>
      </c>
      <c r="J63" s="2564">
        <f t="shared" ref="J63:X71" si="23">J$54</f>
        <v>0</v>
      </c>
      <c r="K63" s="2564">
        <f t="shared" si="23"/>
        <v>0.02</v>
      </c>
      <c r="L63" s="2564">
        <f t="shared" si="23"/>
        <v>0.02</v>
      </c>
      <c r="M63" s="2564">
        <f t="shared" si="23"/>
        <v>0.02</v>
      </c>
      <c r="N63" s="2564">
        <f t="shared" si="23"/>
        <v>0.02</v>
      </c>
      <c r="O63" s="2564">
        <f t="shared" si="23"/>
        <v>0.02</v>
      </c>
      <c r="P63" s="2564">
        <f t="shared" si="23"/>
        <v>0.02</v>
      </c>
      <c r="Q63" s="2564">
        <f t="shared" si="23"/>
        <v>0.02</v>
      </c>
      <c r="R63" s="2564">
        <f t="shared" si="23"/>
        <v>0.02</v>
      </c>
      <c r="S63" s="2564">
        <f t="shared" si="23"/>
        <v>0.02</v>
      </c>
      <c r="T63" s="2564">
        <f t="shared" si="23"/>
        <v>0.02</v>
      </c>
      <c r="U63" s="2564" t="e">
        <f t="shared" si="23"/>
        <v>#REF!</v>
      </c>
      <c r="V63" s="2564" t="e">
        <f t="shared" si="23"/>
        <v>#REF!</v>
      </c>
      <c r="W63" s="2564" t="e">
        <f t="shared" si="23"/>
        <v>#REF!</v>
      </c>
      <c r="X63" s="2565" t="e">
        <f t="shared" si="23"/>
        <v>#REF!</v>
      </c>
      <c r="Y63" s="196"/>
      <c r="Z63" s="196"/>
      <c r="AA63" s="196"/>
      <c r="AB63" s="196"/>
      <c r="AC63" s="196"/>
      <c r="AD63" s="196"/>
      <c r="AE63" s="196"/>
      <c r="AF63" s="196"/>
      <c r="AG63" s="196"/>
      <c r="AH63" s="196"/>
      <c r="AI63" s="196"/>
      <c r="AJ63" s="196"/>
    </row>
    <row r="64" spans="1:36" s="200" customFormat="1">
      <c r="A64" s="411"/>
      <c r="B64" s="199"/>
      <c r="C64" s="196"/>
      <c r="D64" s="1" t="str">
        <f t="shared" si="18"/>
        <v>General Service (2) &amp; (PA)</v>
      </c>
      <c r="E64" s="2549" t="str">
        <f t="shared" si="19"/>
        <v>Across the BoardGeneral Service (2) &amp; (PA)</v>
      </c>
      <c r="F64" s="2550" t="s">
        <v>871</v>
      </c>
      <c r="G64" s="2558" t="str">
        <f t="shared" si="22"/>
        <v/>
      </c>
      <c r="H64" s="196"/>
      <c r="I64" s="2563">
        <f t="shared" si="20"/>
        <v>0</v>
      </c>
      <c r="J64" s="2564">
        <f t="shared" si="23"/>
        <v>0</v>
      </c>
      <c r="K64" s="2564">
        <f t="shared" si="23"/>
        <v>0.02</v>
      </c>
      <c r="L64" s="2564">
        <f t="shared" si="23"/>
        <v>0.02</v>
      </c>
      <c r="M64" s="2564">
        <f t="shared" si="23"/>
        <v>0.02</v>
      </c>
      <c r="N64" s="2564">
        <f t="shared" si="23"/>
        <v>0.02</v>
      </c>
      <c r="O64" s="2564">
        <f t="shared" si="23"/>
        <v>0.02</v>
      </c>
      <c r="P64" s="2564">
        <f t="shared" si="23"/>
        <v>0.02</v>
      </c>
      <c r="Q64" s="2564">
        <f t="shared" si="23"/>
        <v>0.02</v>
      </c>
      <c r="R64" s="2564">
        <f t="shared" si="23"/>
        <v>0.02</v>
      </c>
      <c r="S64" s="2564">
        <f t="shared" si="23"/>
        <v>0.02</v>
      </c>
      <c r="T64" s="2564">
        <f t="shared" si="23"/>
        <v>0.02</v>
      </c>
      <c r="U64" s="2564" t="e">
        <f t="shared" si="23"/>
        <v>#REF!</v>
      </c>
      <c r="V64" s="2564" t="e">
        <f t="shared" si="23"/>
        <v>#REF!</v>
      </c>
      <c r="W64" s="2564" t="e">
        <f t="shared" si="23"/>
        <v>#REF!</v>
      </c>
      <c r="X64" s="2565" t="e">
        <f t="shared" si="23"/>
        <v>#REF!</v>
      </c>
      <c r="Y64" s="196"/>
      <c r="Z64" s="196"/>
      <c r="AA64" s="196"/>
      <c r="AB64" s="196"/>
      <c r="AC64" s="196"/>
      <c r="AD64" s="196"/>
      <c r="AE64" s="196"/>
      <c r="AF64" s="196"/>
      <c r="AG64" s="196"/>
      <c r="AH64" s="196"/>
      <c r="AI64" s="196"/>
      <c r="AJ64" s="196"/>
    </row>
    <row r="65" spans="1:36" s="200" customFormat="1">
      <c r="A65" s="411"/>
      <c r="B65" s="199"/>
      <c r="C65" s="196"/>
      <c r="D65" s="1" t="str">
        <f t="shared" si="18"/>
        <v>Large General Service (7)</v>
      </c>
      <c r="E65" s="2549" t="str">
        <f t="shared" si="19"/>
        <v>Across the BoardLarge General Service (7)</v>
      </c>
      <c r="F65" s="2550" t="s">
        <v>871</v>
      </c>
      <c r="G65" s="2558" t="str">
        <f t="shared" si="22"/>
        <v/>
      </c>
      <c r="H65" s="196"/>
      <c r="I65" s="2563">
        <f t="shared" si="20"/>
        <v>0</v>
      </c>
      <c r="J65" s="2564">
        <f t="shared" si="23"/>
        <v>0</v>
      </c>
      <c r="K65" s="2564">
        <f t="shared" si="23"/>
        <v>0.02</v>
      </c>
      <c r="L65" s="2564">
        <f t="shared" si="23"/>
        <v>0.02</v>
      </c>
      <c r="M65" s="2564">
        <f t="shared" si="23"/>
        <v>0.02</v>
      </c>
      <c r="N65" s="2564">
        <f t="shared" si="23"/>
        <v>0.02</v>
      </c>
      <c r="O65" s="2564">
        <f t="shared" si="23"/>
        <v>0.02</v>
      </c>
      <c r="P65" s="2564">
        <f t="shared" si="23"/>
        <v>0.02</v>
      </c>
      <c r="Q65" s="2564">
        <f t="shared" si="23"/>
        <v>0.02</v>
      </c>
      <c r="R65" s="2564">
        <f t="shared" si="23"/>
        <v>0.02</v>
      </c>
      <c r="S65" s="2564">
        <f t="shared" si="23"/>
        <v>0.02</v>
      </c>
      <c r="T65" s="2564">
        <f t="shared" si="23"/>
        <v>0.02</v>
      </c>
      <c r="U65" s="2564" t="e">
        <f t="shared" si="23"/>
        <v>#REF!</v>
      </c>
      <c r="V65" s="2564" t="e">
        <f t="shared" si="23"/>
        <v>#REF!</v>
      </c>
      <c r="W65" s="2564" t="e">
        <f t="shared" si="23"/>
        <v>#REF!</v>
      </c>
      <c r="X65" s="2565" t="e">
        <f t="shared" si="23"/>
        <v>#REF!</v>
      </c>
      <c r="Y65" s="196"/>
      <c r="Z65" s="196"/>
      <c r="AA65" s="196"/>
      <c r="AB65" s="196"/>
      <c r="AC65" s="196"/>
      <c r="AD65" s="196"/>
      <c r="AE65" s="196"/>
      <c r="AF65" s="196"/>
      <c r="AG65" s="196"/>
      <c r="AH65" s="196"/>
      <c r="AI65" s="196"/>
      <c r="AJ65" s="196"/>
    </row>
    <row r="66" spans="1:36" s="200" customFormat="1">
      <c r="A66" s="411"/>
      <c r="B66" s="199"/>
      <c r="C66" s="196"/>
      <c r="D66" s="1" t="str">
        <f t="shared" si="18"/>
        <v>Industrial (14)</v>
      </c>
      <c r="E66" s="2549" t="str">
        <f t="shared" si="19"/>
        <v>Across the BoardIndustrial (14)</v>
      </c>
      <c r="F66" s="2550" t="s">
        <v>871</v>
      </c>
      <c r="G66" s="2558" t="str">
        <f t="shared" si="22"/>
        <v/>
      </c>
      <c r="H66" s="196"/>
      <c r="I66" s="2563">
        <f t="shared" si="20"/>
        <v>0</v>
      </c>
      <c r="J66" s="2564">
        <f t="shared" si="23"/>
        <v>0</v>
      </c>
      <c r="K66" s="2564">
        <f t="shared" si="23"/>
        <v>0.02</v>
      </c>
      <c r="L66" s="2564">
        <f t="shared" si="23"/>
        <v>0.02</v>
      </c>
      <c r="M66" s="2564">
        <f t="shared" si="23"/>
        <v>0.02</v>
      </c>
      <c r="N66" s="2564">
        <f t="shared" si="23"/>
        <v>0.02</v>
      </c>
      <c r="O66" s="2564">
        <f t="shared" si="23"/>
        <v>0.02</v>
      </c>
      <c r="P66" s="2564">
        <f t="shared" si="23"/>
        <v>0.02</v>
      </c>
      <c r="Q66" s="2564">
        <f t="shared" si="23"/>
        <v>0.02</v>
      </c>
      <c r="R66" s="2564">
        <f t="shared" si="23"/>
        <v>0.02</v>
      </c>
      <c r="S66" s="2564">
        <f t="shared" si="23"/>
        <v>0.02</v>
      </c>
      <c r="T66" s="2564">
        <f t="shared" si="23"/>
        <v>0.02</v>
      </c>
      <c r="U66" s="2564" t="e">
        <f t="shared" si="23"/>
        <v>#REF!</v>
      </c>
      <c r="V66" s="2564" t="e">
        <f t="shared" si="23"/>
        <v>#REF!</v>
      </c>
      <c r="W66" s="2564" t="e">
        <f t="shared" si="23"/>
        <v>#REF!</v>
      </c>
      <c r="X66" s="2565" t="e">
        <f t="shared" si="23"/>
        <v>#REF!</v>
      </c>
      <c r="Y66" s="196"/>
      <c r="Z66" s="196"/>
      <c r="AA66" s="196"/>
      <c r="AB66" s="196"/>
      <c r="AC66" s="196"/>
      <c r="AD66" s="196"/>
      <c r="AE66" s="196"/>
      <c r="AF66" s="196"/>
      <c r="AG66" s="196"/>
      <c r="AH66" s="196"/>
      <c r="AI66" s="196"/>
      <c r="AJ66" s="196"/>
    </row>
    <row r="67" spans="1:36" s="200" customFormat="1">
      <c r="A67" s="411"/>
      <c r="B67" s="199"/>
      <c r="C67" s="196"/>
      <c r="D67" s="1" t="str">
        <f t="shared" si="18"/>
        <v>Large Industrial (15) &amp; (94)</v>
      </c>
      <c r="E67" s="2549" t="str">
        <f t="shared" si="19"/>
        <v>Across the BoardLarge Industrial (15) &amp; (94)</v>
      </c>
      <c r="F67" s="2550" t="s">
        <v>871</v>
      </c>
      <c r="G67" s="2558" t="str">
        <f t="shared" si="22"/>
        <v/>
      </c>
      <c r="H67" s="196"/>
      <c r="I67" s="2563">
        <f t="shared" si="20"/>
        <v>0</v>
      </c>
      <c r="J67" s="2564">
        <f t="shared" si="23"/>
        <v>0</v>
      </c>
      <c r="K67" s="2564">
        <f t="shared" si="23"/>
        <v>0.02</v>
      </c>
      <c r="L67" s="2564">
        <f t="shared" si="23"/>
        <v>0.02</v>
      </c>
      <c r="M67" s="2564">
        <f t="shared" si="23"/>
        <v>0.02</v>
      </c>
      <c r="N67" s="2564">
        <f t="shared" si="23"/>
        <v>0.02</v>
      </c>
      <c r="O67" s="2564">
        <f t="shared" si="23"/>
        <v>0.02</v>
      </c>
      <c r="P67" s="2564">
        <f t="shared" si="23"/>
        <v>0.02</v>
      </c>
      <c r="Q67" s="2564">
        <f t="shared" si="23"/>
        <v>0.02</v>
      </c>
      <c r="R67" s="2564">
        <f t="shared" si="23"/>
        <v>0.02</v>
      </c>
      <c r="S67" s="2564">
        <f t="shared" si="23"/>
        <v>0.02</v>
      </c>
      <c r="T67" s="2564">
        <f t="shared" si="23"/>
        <v>0.02</v>
      </c>
      <c r="U67" s="2564" t="e">
        <f t="shared" si="23"/>
        <v>#REF!</v>
      </c>
      <c r="V67" s="2564" t="e">
        <f t="shared" si="23"/>
        <v>#REF!</v>
      </c>
      <c r="W67" s="2564" t="e">
        <f t="shared" si="23"/>
        <v>#REF!</v>
      </c>
      <c r="X67" s="2565" t="e">
        <f t="shared" si="23"/>
        <v>#REF!</v>
      </c>
      <c r="Y67" s="196"/>
      <c r="Z67" s="196"/>
      <c r="AA67" s="196"/>
      <c r="AB67" s="196"/>
      <c r="AC67" s="196"/>
      <c r="AD67" s="196"/>
      <c r="AE67" s="196"/>
      <c r="AF67" s="196"/>
      <c r="AG67" s="196"/>
      <c r="AH67" s="196"/>
      <c r="AI67" s="196"/>
      <c r="AJ67" s="196"/>
    </row>
    <row r="68" spans="1:36" s="200" customFormat="1">
      <c r="A68" s="411"/>
      <c r="B68" s="199"/>
      <c r="C68" s="196"/>
      <c r="D68" s="1" t="str">
        <f t="shared" si="18"/>
        <v>Agricultural Processing (16)</v>
      </c>
      <c r="E68" s="2549" t="str">
        <f t="shared" si="19"/>
        <v>Across the BoardAgricultural Processing (16)</v>
      </c>
      <c r="F68" s="2550" t="s">
        <v>871</v>
      </c>
      <c r="G68" s="2558" t="str">
        <f t="shared" si="22"/>
        <v/>
      </c>
      <c r="H68" s="196"/>
      <c r="I68" s="2563">
        <f t="shared" si="20"/>
        <v>0</v>
      </c>
      <c r="J68" s="2564">
        <f t="shared" si="23"/>
        <v>0</v>
      </c>
      <c r="K68" s="2564">
        <f t="shared" si="23"/>
        <v>0.02</v>
      </c>
      <c r="L68" s="2564">
        <f t="shared" si="23"/>
        <v>0.02</v>
      </c>
      <c r="M68" s="2564">
        <f t="shared" si="23"/>
        <v>0.02</v>
      </c>
      <c r="N68" s="2564">
        <f t="shared" si="23"/>
        <v>0.02</v>
      </c>
      <c r="O68" s="2564">
        <f t="shared" si="23"/>
        <v>0.02</v>
      </c>
      <c r="P68" s="2564">
        <f t="shared" si="23"/>
        <v>0.02</v>
      </c>
      <c r="Q68" s="2564">
        <f t="shared" si="23"/>
        <v>0.02</v>
      </c>
      <c r="R68" s="2564">
        <f t="shared" si="23"/>
        <v>0.02</v>
      </c>
      <c r="S68" s="2564">
        <f t="shared" si="23"/>
        <v>0.02</v>
      </c>
      <c r="T68" s="2564">
        <f t="shared" si="23"/>
        <v>0.02</v>
      </c>
      <c r="U68" s="2564" t="e">
        <f t="shared" si="23"/>
        <v>#REF!</v>
      </c>
      <c r="V68" s="2564" t="e">
        <f t="shared" si="23"/>
        <v>#REF!</v>
      </c>
      <c r="W68" s="2564" t="e">
        <f t="shared" si="23"/>
        <v>#REF!</v>
      </c>
      <c r="X68" s="2565" t="e">
        <f t="shared" si="23"/>
        <v>#REF!</v>
      </c>
      <c r="Y68" s="196"/>
      <c r="Z68" s="196"/>
      <c r="AA68" s="196"/>
      <c r="AB68" s="196"/>
      <c r="AC68" s="196"/>
      <c r="AD68" s="196"/>
      <c r="AE68" s="196"/>
      <c r="AF68" s="196"/>
      <c r="AG68" s="196"/>
      <c r="AH68" s="196"/>
      <c r="AI68" s="196"/>
      <c r="AJ68" s="196"/>
    </row>
    <row r="69" spans="1:36" s="200" customFormat="1">
      <c r="A69" s="411"/>
      <c r="B69" s="199"/>
      <c r="C69" s="196"/>
      <c r="D69" s="1" t="str">
        <f t="shared" si="18"/>
        <v>Agricultural Boiler (85)</v>
      </c>
      <c r="E69" s="2549" t="str">
        <f t="shared" si="19"/>
        <v>Across the BoardAgricultural Boiler (85)</v>
      </c>
      <c r="F69" s="2550" t="s">
        <v>871</v>
      </c>
      <c r="G69" s="2558" t="str">
        <f t="shared" si="22"/>
        <v/>
      </c>
      <c r="H69" s="196"/>
      <c r="I69" s="2563">
        <f t="shared" si="20"/>
        <v>0</v>
      </c>
      <c r="J69" s="2564">
        <f t="shared" si="23"/>
        <v>0</v>
      </c>
      <c r="K69" s="2564">
        <f t="shared" si="23"/>
        <v>0.02</v>
      </c>
      <c r="L69" s="2564">
        <f t="shared" si="23"/>
        <v>0.02</v>
      </c>
      <c r="M69" s="2564">
        <f t="shared" si="23"/>
        <v>0.02</v>
      </c>
      <c r="N69" s="2564">
        <f t="shared" si="23"/>
        <v>0.02</v>
      </c>
      <c r="O69" s="2564">
        <f t="shared" si="23"/>
        <v>0.02</v>
      </c>
      <c r="P69" s="2564">
        <f t="shared" si="23"/>
        <v>0.02</v>
      </c>
      <c r="Q69" s="2564">
        <f t="shared" si="23"/>
        <v>0.02</v>
      </c>
      <c r="R69" s="2564">
        <f t="shared" si="23"/>
        <v>0.02</v>
      </c>
      <c r="S69" s="2564">
        <f t="shared" si="23"/>
        <v>0.02</v>
      </c>
      <c r="T69" s="2564">
        <f t="shared" si="23"/>
        <v>0.02</v>
      </c>
      <c r="U69" s="2564" t="e">
        <f t="shared" si="23"/>
        <v>#REF!</v>
      </c>
      <c r="V69" s="2564" t="e">
        <f t="shared" si="23"/>
        <v>#REF!</v>
      </c>
      <c r="W69" s="2564" t="e">
        <f t="shared" si="23"/>
        <v>#REF!</v>
      </c>
      <c r="X69" s="2565" t="e">
        <f t="shared" si="23"/>
        <v>#REF!</v>
      </c>
      <c r="Y69" s="196"/>
      <c r="Z69" s="196"/>
      <c r="AA69" s="196"/>
      <c r="AB69" s="196"/>
      <c r="AC69" s="196"/>
      <c r="AD69" s="196"/>
      <c r="AE69" s="196"/>
      <c r="AF69" s="196"/>
      <c r="AG69" s="196"/>
      <c r="AH69" s="196"/>
      <c r="AI69" s="196"/>
      <c r="AJ69" s="196"/>
    </row>
    <row r="70" spans="1:36" s="200" customFormat="1">
      <c r="A70" s="411"/>
      <c r="B70" s="199"/>
      <c r="C70" s="196"/>
      <c r="D70" s="1" t="str">
        <f t="shared" si="18"/>
        <v>Street Lights (6)</v>
      </c>
      <c r="E70" s="2549" t="str">
        <f t="shared" si="19"/>
        <v>Across the BoardStreet Lights (6)</v>
      </c>
      <c r="F70" s="2550" t="s">
        <v>871</v>
      </c>
      <c r="G70" s="2558" t="str">
        <f t="shared" si="22"/>
        <v/>
      </c>
      <c r="H70" s="196"/>
      <c r="I70" s="2563">
        <f t="shared" si="20"/>
        <v>0</v>
      </c>
      <c r="J70" s="2564">
        <f t="shared" si="23"/>
        <v>0</v>
      </c>
      <c r="K70" s="2564">
        <f t="shared" si="23"/>
        <v>0.02</v>
      </c>
      <c r="L70" s="2564">
        <f t="shared" si="23"/>
        <v>0.02</v>
      </c>
      <c r="M70" s="2564">
        <f t="shared" si="23"/>
        <v>0.02</v>
      </c>
      <c r="N70" s="2564">
        <f t="shared" si="23"/>
        <v>0.02</v>
      </c>
      <c r="O70" s="2564">
        <f t="shared" si="23"/>
        <v>0.02</v>
      </c>
      <c r="P70" s="2564">
        <f t="shared" si="23"/>
        <v>0.02</v>
      </c>
      <c r="Q70" s="2564">
        <f t="shared" si="23"/>
        <v>0.02</v>
      </c>
      <c r="R70" s="2564">
        <f t="shared" si="23"/>
        <v>0.02</v>
      </c>
      <c r="S70" s="2564">
        <f t="shared" si="23"/>
        <v>0.02</v>
      </c>
      <c r="T70" s="2564">
        <f t="shared" si="23"/>
        <v>0.02</v>
      </c>
      <c r="U70" s="2564" t="e">
        <f t="shared" si="23"/>
        <v>#REF!</v>
      </c>
      <c r="V70" s="2564" t="e">
        <f t="shared" si="23"/>
        <v>#REF!</v>
      </c>
      <c r="W70" s="2564" t="e">
        <f t="shared" si="23"/>
        <v>#REF!</v>
      </c>
      <c r="X70" s="2565" t="e">
        <f t="shared" si="23"/>
        <v>#REF!</v>
      </c>
      <c r="Y70" s="196"/>
      <c r="Z70" s="196"/>
      <c r="AA70" s="196"/>
      <c r="AB70" s="196"/>
      <c r="AC70" s="196"/>
      <c r="AD70" s="196"/>
      <c r="AE70" s="196"/>
      <c r="AF70" s="196"/>
      <c r="AG70" s="196"/>
      <c r="AH70" s="196"/>
      <c r="AI70" s="196"/>
      <c r="AJ70" s="196"/>
    </row>
    <row r="71" spans="1:36" s="200" customFormat="1">
      <c r="A71" s="411"/>
      <c r="B71" s="199"/>
      <c r="C71" s="196"/>
      <c r="D71" s="1" t="str">
        <f t="shared" si="18"/>
        <v>Alternate Power Sales</v>
      </c>
      <c r="E71" s="2549" t="str">
        <f t="shared" si="19"/>
        <v>Across the BoardAlternate Power Sales</v>
      </c>
      <c r="F71" s="2550" t="s">
        <v>871</v>
      </c>
      <c r="G71" s="2559" t="str">
        <f t="shared" si="22"/>
        <v/>
      </c>
      <c r="H71" s="196"/>
      <c r="I71" s="2566">
        <f t="shared" si="20"/>
        <v>0</v>
      </c>
      <c r="J71" s="2567">
        <f t="shared" si="23"/>
        <v>0</v>
      </c>
      <c r="K71" s="2567">
        <f t="shared" si="23"/>
        <v>0.02</v>
      </c>
      <c r="L71" s="2567">
        <f t="shared" si="23"/>
        <v>0.02</v>
      </c>
      <c r="M71" s="2567">
        <f t="shared" si="23"/>
        <v>0.02</v>
      </c>
      <c r="N71" s="2567">
        <f t="shared" si="23"/>
        <v>0.02</v>
      </c>
      <c r="O71" s="2567">
        <f t="shared" si="23"/>
        <v>0.02</v>
      </c>
      <c r="P71" s="2567">
        <f t="shared" si="23"/>
        <v>0.02</v>
      </c>
      <c r="Q71" s="2567">
        <f t="shared" si="23"/>
        <v>0.02</v>
      </c>
      <c r="R71" s="2567">
        <f t="shared" si="23"/>
        <v>0.02</v>
      </c>
      <c r="S71" s="2567">
        <f t="shared" si="23"/>
        <v>0.02</v>
      </c>
      <c r="T71" s="2567">
        <f t="shared" si="23"/>
        <v>0.02</v>
      </c>
      <c r="U71" s="2567" t="e">
        <f t="shared" si="23"/>
        <v>#REF!</v>
      </c>
      <c r="V71" s="2567" t="e">
        <f t="shared" si="23"/>
        <v>#REF!</v>
      </c>
      <c r="W71" s="2567" t="e">
        <f t="shared" si="23"/>
        <v>#REF!</v>
      </c>
      <c r="X71" s="2568" t="e">
        <f t="shared" si="23"/>
        <v>#REF!</v>
      </c>
      <c r="Y71" s="196"/>
      <c r="Z71" s="196"/>
      <c r="AA71" s="196"/>
      <c r="AB71" s="196"/>
      <c r="AC71" s="196"/>
      <c r="AD71" s="196"/>
      <c r="AE71" s="196"/>
      <c r="AF71" s="196"/>
      <c r="AG71" s="196"/>
      <c r="AH71" s="196"/>
      <c r="AI71" s="196"/>
      <c r="AJ71" s="196"/>
    </row>
    <row r="72" spans="1:36" s="200" customFormat="1">
      <c r="A72" s="411"/>
      <c r="B72" s="199"/>
      <c r="C72" s="196"/>
      <c r="D72" s="196"/>
      <c r="E72" s="196"/>
      <c r="F72" s="196"/>
      <c r="G72" s="84"/>
      <c r="H72" s="196"/>
      <c r="I72" s="575"/>
      <c r="J72" s="575"/>
      <c r="K72" s="575"/>
      <c r="L72" s="575"/>
      <c r="M72" s="575"/>
      <c r="N72" s="575"/>
      <c r="O72" s="575"/>
      <c r="P72" s="575"/>
      <c r="Q72" s="575"/>
      <c r="R72" s="575"/>
      <c r="S72" s="575"/>
      <c r="T72" s="575"/>
      <c r="U72" s="575"/>
      <c r="V72" s="575"/>
      <c r="W72" s="575"/>
      <c r="X72" s="575"/>
      <c r="Y72" s="196"/>
      <c r="Z72" s="196"/>
      <c r="AA72" s="196"/>
      <c r="AB72" s="196"/>
      <c r="AC72" s="196"/>
      <c r="AD72" s="196"/>
      <c r="AE72" s="196"/>
      <c r="AF72" s="196"/>
      <c r="AG72" s="196"/>
      <c r="AH72" s="196"/>
      <c r="AI72" s="196"/>
      <c r="AJ72" s="196"/>
    </row>
    <row r="73" spans="1:36" s="200" customFormat="1">
      <c r="A73" s="411"/>
      <c r="B73" s="199"/>
      <c r="C73" s="196"/>
      <c r="D73" s="196"/>
      <c r="E73" s="196"/>
      <c r="F73" s="196"/>
      <c r="G73" s="84"/>
      <c r="H73" s="196"/>
      <c r="I73" s="575"/>
      <c r="J73" s="575"/>
      <c r="K73" s="575"/>
      <c r="L73" s="575"/>
      <c r="M73" s="575"/>
      <c r="N73" s="575"/>
      <c r="O73" s="575"/>
      <c r="P73" s="575"/>
      <c r="Q73" s="575"/>
      <c r="R73" s="575"/>
      <c r="S73" s="575"/>
      <c r="T73" s="575"/>
      <c r="U73" s="575"/>
      <c r="V73" s="575"/>
      <c r="W73" s="575"/>
      <c r="X73" s="575"/>
      <c r="Y73" s="196"/>
      <c r="Z73" s="196"/>
      <c r="AA73" s="196"/>
      <c r="AB73" s="196"/>
      <c r="AC73" s="196"/>
      <c r="AD73" s="196"/>
      <c r="AE73" s="196"/>
      <c r="AF73" s="196"/>
      <c r="AG73" s="196"/>
      <c r="AH73" s="196"/>
      <c r="AI73" s="196"/>
      <c r="AJ73" s="196"/>
    </row>
    <row r="74" spans="1:36" s="200" customFormat="1">
      <c r="A74" s="411"/>
      <c r="B74" s="199"/>
      <c r="C74"/>
      <c r="D74" s="2553" t="str">
        <f>$D$105</f>
        <v>Following Rate Policy</v>
      </c>
      <c r="E74" s="206"/>
      <c r="F74" s="1"/>
      <c r="G74" s="2550"/>
      <c r="I74" s="1990">
        <f>I$6</f>
        <v>2015</v>
      </c>
      <c r="J74" s="1990">
        <f t="shared" ref="J74:X74" si="24">J$6</f>
        <v>2016</v>
      </c>
      <c r="K74" s="1990">
        <f t="shared" si="24"/>
        <v>2017</v>
      </c>
      <c r="L74" s="1990">
        <f t="shared" si="24"/>
        <v>2018</v>
      </c>
      <c r="M74" s="1990">
        <f t="shared" si="24"/>
        <v>2019</v>
      </c>
      <c r="N74" s="1990">
        <f t="shared" si="24"/>
        <v>2020</v>
      </c>
      <c r="O74" s="1990">
        <f t="shared" si="24"/>
        <v>2021</v>
      </c>
      <c r="P74" s="1990">
        <f t="shared" si="24"/>
        <v>2022</v>
      </c>
      <c r="Q74" s="1990">
        <f t="shared" si="24"/>
        <v>2023</v>
      </c>
      <c r="R74" s="1990">
        <f t="shared" si="24"/>
        <v>2024</v>
      </c>
      <c r="S74" s="1990">
        <f t="shared" si="24"/>
        <v>2025</v>
      </c>
      <c r="T74" s="1990">
        <f t="shared" si="24"/>
        <v>2026</v>
      </c>
      <c r="U74" s="1990" t="e">
        <f t="shared" si="24"/>
        <v>#REF!</v>
      </c>
      <c r="V74" s="1990" t="e">
        <f t="shared" si="24"/>
        <v>#REF!</v>
      </c>
      <c r="W74" s="1990" t="e">
        <f t="shared" si="24"/>
        <v>#REF!</v>
      </c>
      <c r="X74" s="1990" t="e">
        <f t="shared" si="24"/>
        <v>#REF!</v>
      </c>
    </row>
    <row r="75" spans="1:36" s="200" customFormat="1">
      <c r="A75" s="411"/>
      <c r="B75" s="199"/>
      <c r="C75"/>
      <c r="D75" s="4" t="str">
        <f t="shared" ref="D75:D83" si="25">D13</f>
        <v>Residential-Total (1)</v>
      </c>
      <c r="E75" s="2549" t="str">
        <f t="shared" ref="E75:E84" si="26">$D$74&amp;D75</f>
        <v>Following Rate PolicyResidential-Total (1)</v>
      </c>
      <c r="F75" s="2550" t="s">
        <v>871</v>
      </c>
      <c r="G75" s="2557" t="str">
        <f t="shared" ref="G75:G84" si="27">IF($D$74=$D$6,INDEX($G$11:$G$23,MATCH($D75,$D$11:$D$23,0),1),"")</f>
        <v/>
      </c>
      <c r="H75" s="3309"/>
      <c r="I75" s="2569"/>
      <c r="J75" s="2570"/>
      <c r="K75" s="2570"/>
      <c r="L75" s="2570"/>
      <c r="M75" s="2570"/>
      <c r="N75" s="2570"/>
      <c r="O75" s="2570"/>
      <c r="P75" s="2570"/>
      <c r="Q75" s="2570"/>
      <c r="R75" s="2570"/>
      <c r="S75" s="2570"/>
      <c r="T75" s="2570"/>
      <c r="U75" s="2570"/>
      <c r="V75" s="2570"/>
      <c r="W75" s="2570"/>
      <c r="X75" s="2571"/>
    </row>
    <row r="76" spans="1:36" s="200" customFormat="1">
      <c r="A76" s="411"/>
      <c r="B76" s="199"/>
      <c r="C76" s="196"/>
      <c r="D76" s="1" t="str">
        <f t="shared" si="25"/>
        <v>Irrigation (3)</v>
      </c>
      <c r="E76" s="2549" t="str">
        <f t="shared" si="26"/>
        <v>Following Rate PolicyIrrigation (3)</v>
      </c>
      <c r="F76" s="2550" t="s">
        <v>871</v>
      </c>
      <c r="G76" s="2558" t="str">
        <f t="shared" si="27"/>
        <v/>
      </c>
      <c r="H76" s="3309"/>
      <c r="I76" s="2572"/>
      <c r="J76" s="2573"/>
      <c r="K76" s="2573"/>
      <c r="L76" s="2573"/>
      <c r="M76" s="2573"/>
      <c r="N76" s="2573"/>
      <c r="O76" s="2573"/>
      <c r="P76" s="2573"/>
      <c r="Q76" s="2573"/>
      <c r="R76" s="2573"/>
      <c r="S76" s="2573"/>
      <c r="T76" s="2573"/>
      <c r="U76" s="2573"/>
      <c r="V76" s="2573"/>
      <c r="W76" s="2573"/>
      <c r="X76" s="2574"/>
      <c r="Y76" s="196"/>
      <c r="Z76" s="196"/>
      <c r="AA76" s="196"/>
      <c r="AB76" s="196"/>
      <c r="AC76" s="196"/>
      <c r="AD76" s="196"/>
      <c r="AE76" s="196"/>
      <c r="AF76" s="196"/>
      <c r="AG76" s="196"/>
      <c r="AH76" s="196"/>
      <c r="AI76" s="196"/>
      <c r="AJ76" s="196"/>
    </row>
    <row r="77" spans="1:36" s="200" customFormat="1">
      <c r="A77" s="411"/>
      <c r="B77" s="199"/>
      <c r="C77" s="196"/>
      <c r="D77" s="1" t="str">
        <f t="shared" si="25"/>
        <v>General Service (2) &amp; (PA)</v>
      </c>
      <c r="E77" s="2549" t="str">
        <f t="shared" si="26"/>
        <v>Following Rate PolicyGeneral Service (2) &amp; (PA)</v>
      </c>
      <c r="F77" s="2550" t="s">
        <v>871</v>
      </c>
      <c r="G77" s="2558" t="str">
        <f t="shared" si="27"/>
        <v/>
      </c>
      <c r="H77" s="3309"/>
      <c r="I77" s="2572"/>
      <c r="J77" s="2573"/>
      <c r="K77" s="2573"/>
      <c r="L77" s="2573"/>
      <c r="M77" s="2573"/>
      <c r="N77" s="2573"/>
      <c r="O77" s="2573"/>
      <c r="P77" s="2573"/>
      <c r="Q77" s="2573"/>
      <c r="R77" s="2573"/>
      <c r="S77" s="2573"/>
      <c r="T77" s="2573"/>
      <c r="U77" s="2573"/>
      <c r="V77" s="2573"/>
      <c r="W77" s="2573"/>
      <c r="X77" s="2574"/>
      <c r="Y77" s="196"/>
      <c r="Z77" s="196"/>
      <c r="AA77" s="196"/>
      <c r="AB77" s="196"/>
      <c r="AC77" s="196"/>
      <c r="AD77" s="196"/>
      <c r="AE77" s="196"/>
      <c r="AF77" s="196"/>
      <c r="AG77" s="196"/>
      <c r="AH77" s="196"/>
      <c r="AI77" s="196"/>
      <c r="AJ77" s="196"/>
    </row>
    <row r="78" spans="1:36" s="200" customFormat="1">
      <c r="A78" s="411"/>
      <c r="B78" s="199"/>
      <c r="C78" s="196"/>
      <c r="D78" s="1" t="str">
        <f t="shared" si="25"/>
        <v>Large General Service (7)</v>
      </c>
      <c r="E78" s="2549" t="str">
        <f t="shared" si="26"/>
        <v>Following Rate PolicyLarge General Service (7)</v>
      </c>
      <c r="F78" s="2550" t="s">
        <v>871</v>
      </c>
      <c r="G78" s="2558" t="str">
        <f t="shared" si="27"/>
        <v/>
      </c>
      <c r="H78" s="3309"/>
      <c r="I78" s="2572"/>
      <c r="J78" s="2573"/>
      <c r="K78" s="2573"/>
      <c r="L78" s="2573"/>
      <c r="M78" s="2573"/>
      <c r="N78" s="2573"/>
      <c r="O78" s="2573"/>
      <c r="P78" s="2573"/>
      <c r="Q78" s="2573"/>
      <c r="R78" s="2573"/>
      <c r="S78" s="2573"/>
      <c r="T78" s="2573"/>
      <c r="U78" s="2573"/>
      <c r="V78" s="2573"/>
      <c r="W78" s="2573"/>
      <c r="X78" s="2574"/>
      <c r="Y78" s="196"/>
      <c r="Z78" s="196"/>
      <c r="AA78" s="196"/>
      <c r="AB78" s="196"/>
      <c r="AC78" s="196"/>
      <c r="AD78" s="196"/>
      <c r="AE78" s="196"/>
      <c r="AF78" s="196"/>
      <c r="AG78" s="196"/>
      <c r="AH78" s="196"/>
      <c r="AI78" s="196"/>
      <c r="AJ78" s="196"/>
    </row>
    <row r="79" spans="1:36" s="200" customFormat="1">
      <c r="A79" s="411"/>
      <c r="B79" s="199"/>
      <c r="C79" s="196"/>
      <c r="D79" s="1" t="str">
        <f t="shared" si="25"/>
        <v>Industrial (14)</v>
      </c>
      <c r="E79" s="2549" t="str">
        <f t="shared" si="26"/>
        <v>Following Rate PolicyIndustrial (14)</v>
      </c>
      <c r="F79" s="2550" t="s">
        <v>871</v>
      </c>
      <c r="G79" s="2558" t="str">
        <f t="shared" si="27"/>
        <v/>
      </c>
      <c r="H79" s="3309"/>
      <c r="I79" s="2572"/>
      <c r="J79" s="2573"/>
      <c r="K79" s="2573"/>
      <c r="L79" s="2573"/>
      <c r="M79" s="2573"/>
      <c r="N79" s="2573"/>
      <c r="O79" s="2573"/>
      <c r="P79" s="2573"/>
      <c r="Q79" s="2573"/>
      <c r="R79" s="2573"/>
      <c r="S79" s="2573"/>
      <c r="T79" s="2573"/>
      <c r="U79" s="2573"/>
      <c r="V79" s="2573"/>
      <c r="W79" s="2573"/>
      <c r="X79" s="2574"/>
      <c r="Y79" s="196"/>
      <c r="Z79" s="196"/>
      <c r="AA79" s="196"/>
      <c r="AB79" s="196"/>
      <c r="AC79" s="196"/>
      <c r="AD79" s="196"/>
      <c r="AE79" s="196"/>
      <c r="AF79" s="196"/>
      <c r="AG79" s="196"/>
      <c r="AH79" s="196"/>
      <c r="AI79" s="196"/>
      <c r="AJ79" s="196"/>
    </row>
    <row r="80" spans="1:36" s="200" customFormat="1">
      <c r="A80" s="411"/>
      <c r="B80" s="199"/>
      <c r="C80" s="196"/>
      <c r="D80" s="1" t="str">
        <f t="shared" si="25"/>
        <v>Large Industrial (15) &amp; (94)</v>
      </c>
      <c r="E80" s="2549" t="str">
        <f t="shared" si="26"/>
        <v>Following Rate PolicyLarge Industrial (15) &amp; (94)</v>
      </c>
      <c r="F80" s="2550" t="s">
        <v>871</v>
      </c>
      <c r="G80" s="2558" t="str">
        <f t="shared" si="27"/>
        <v/>
      </c>
      <c r="H80" s="196"/>
      <c r="I80" s="2572"/>
      <c r="J80" s="2573"/>
      <c r="K80" s="2573"/>
      <c r="L80" s="2573"/>
      <c r="M80" s="2573"/>
      <c r="N80" s="2573"/>
      <c r="O80" s="2573"/>
      <c r="P80" s="2573"/>
      <c r="Q80" s="2573"/>
      <c r="R80" s="2573"/>
      <c r="S80" s="2573"/>
      <c r="T80" s="2573"/>
      <c r="U80" s="2573"/>
      <c r="V80" s="2573"/>
      <c r="W80" s="2573"/>
      <c r="X80" s="2574"/>
      <c r="Y80" s="196"/>
      <c r="Z80" s="196"/>
      <c r="AA80" s="196"/>
      <c r="AB80" s="196"/>
      <c r="AC80" s="196"/>
      <c r="AD80" s="196"/>
      <c r="AE80" s="196"/>
      <c r="AF80" s="196"/>
      <c r="AG80" s="196"/>
      <c r="AH80" s="196"/>
      <c r="AI80" s="196"/>
      <c r="AJ80" s="196"/>
    </row>
    <row r="81" spans="1:36" s="200" customFormat="1">
      <c r="A81" s="411"/>
      <c r="B81" s="199"/>
      <c r="C81" s="196"/>
      <c r="D81" s="1" t="str">
        <f t="shared" si="25"/>
        <v>Agricultural Processing (16)</v>
      </c>
      <c r="E81" s="2549" t="str">
        <f t="shared" si="26"/>
        <v>Following Rate PolicyAgricultural Processing (16)</v>
      </c>
      <c r="F81" s="2550" t="s">
        <v>871</v>
      </c>
      <c r="G81" s="2558" t="str">
        <f t="shared" si="27"/>
        <v/>
      </c>
      <c r="H81" s="3309"/>
      <c r="I81" s="2572"/>
      <c r="J81" s="2573"/>
      <c r="K81" s="2573"/>
      <c r="L81" s="2573"/>
      <c r="M81" s="2573"/>
      <c r="N81" s="2573"/>
      <c r="O81" s="2573"/>
      <c r="P81" s="2573"/>
      <c r="Q81" s="2573"/>
      <c r="R81" s="2573"/>
      <c r="S81" s="2573"/>
      <c r="T81" s="2573"/>
      <c r="U81" s="2573"/>
      <c r="V81" s="2573"/>
      <c r="W81" s="2573"/>
      <c r="X81" s="2574"/>
      <c r="Y81" s="196"/>
      <c r="Z81" s="196"/>
      <c r="AA81" s="196"/>
      <c r="AB81" s="196"/>
      <c r="AC81" s="196"/>
      <c r="AD81" s="196"/>
      <c r="AE81" s="196"/>
      <c r="AF81" s="196"/>
      <c r="AG81" s="196"/>
      <c r="AH81" s="196"/>
      <c r="AI81" s="196"/>
      <c r="AJ81" s="196"/>
    </row>
    <row r="82" spans="1:36" s="200" customFormat="1">
      <c r="A82" s="411"/>
      <c r="B82" s="199"/>
      <c r="C82" s="196"/>
      <c r="D82" s="1" t="str">
        <f t="shared" si="25"/>
        <v>Agricultural Boiler (85)</v>
      </c>
      <c r="E82" s="2549" t="str">
        <f t="shared" si="26"/>
        <v>Following Rate PolicyAgricultural Boiler (85)</v>
      </c>
      <c r="F82" s="2550" t="s">
        <v>871</v>
      </c>
      <c r="G82" s="2558" t="str">
        <f t="shared" si="27"/>
        <v/>
      </c>
      <c r="H82" s="196"/>
      <c r="I82" s="2572"/>
      <c r="J82" s="2573"/>
      <c r="K82" s="2573"/>
      <c r="L82" s="2573"/>
      <c r="M82" s="2573"/>
      <c r="N82" s="2573"/>
      <c r="O82" s="2573"/>
      <c r="P82" s="2573"/>
      <c r="Q82" s="2573"/>
      <c r="R82" s="2573"/>
      <c r="S82" s="2573"/>
      <c r="T82" s="2573"/>
      <c r="U82" s="2573"/>
      <c r="V82" s="2573"/>
      <c r="W82" s="2573"/>
      <c r="X82" s="2574"/>
      <c r="Y82" s="196"/>
      <c r="Z82" s="196"/>
      <c r="AA82" s="196"/>
      <c r="AB82" s="196"/>
      <c r="AC82" s="196"/>
      <c r="AD82" s="196"/>
      <c r="AE82" s="196"/>
      <c r="AF82" s="196"/>
      <c r="AG82" s="196"/>
      <c r="AH82" s="196"/>
      <c r="AI82" s="196"/>
      <c r="AJ82" s="196"/>
    </row>
    <row r="83" spans="1:36" s="200" customFormat="1">
      <c r="A83" s="411"/>
      <c r="B83" s="199"/>
      <c r="C83" s="196"/>
      <c r="D83" s="1" t="str">
        <f t="shared" si="25"/>
        <v>Street Lights (6)</v>
      </c>
      <c r="E83" s="2549" t="str">
        <f t="shared" si="26"/>
        <v>Following Rate PolicyStreet Lights (6)</v>
      </c>
      <c r="F83" s="2550" t="s">
        <v>871</v>
      </c>
      <c r="G83" s="2558" t="str">
        <f t="shared" si="27"/>
        <v/>
      </c>
      <c r="H83" s="196"/>
      <c r="I83" s="2572"/>
      <c r="J83" s="2573"/>
      <c r="K83" s="2573"/>
      <c r="L83" s="2573"/>
      <c r="M83" s="2573"/>
      <c r="N83" s="2573"/>
      <c r="O83" s="2573"/>
      <c r="P83" s="2573"/>
      <c r="Q83" s="2573"/>
      <c r="R83" s="2573"/>
      <c r="S83" s="2573"/>
      <c r="T83" s="2573"/>
      <c r="U83" s="2573"/>
      <c r="V83" s="2573"/>
      <c r="W83" s="2573"/>
      <c r="X83" s="2574"/>
      <c r="Y83" s="196"/>
      <c r="Z83" s="196"/>
      <c r="AA83" s="196"/>
      <c r="AB83" s="196"/>
      <c r="AC83" s="196"/>
      <c r="AD83" s="196"/>
      <c r="AE83" s="196"/>
      <c r="AF83" s="196"/>
      <c r="AG83" s="196"/>
      <c r="AH83" s="196"/>
      <c r="AI83" s="196"/>
      <c r="AJ83" s="196"/>
    </row>
    <row r="84" spans="1:36" s="200" customFormat="1">
      <c r="A84" s="411"/>
      <c r="B84" s="199"/>
      <c r="C84" s="196"/>
      <c r="D84" s="1" t="str">
        <f>D23</f>
        <v>Alternate Power Sales</v>
      </c>
      <c r="E84" s="2549" t="str">
        <f t="shared" si="26"/>
        <v>Following Rate PolicyAlternate Power Sales</v>
      </c>
      <c r="F84" s="2550" t="s">
        <v>871</v>
      </c>
      <c r="G84" s="2559" t="str">
        <f t="shared" si="27"/>
        <v/>
      </c>
      <c r="H84" s="196"/>
      <c r="I84" s="2575"/>
      <c r="J84" s="1765"/>
      <c r="K84" s="1765"/>
      <c r="L84" s="1765"/>
      <c r="M84" s="1765"/>
      <c r="N84" s="1765"/>
      <c r="O84" s="1765"/>
      <c r="P84" s="1765"/>
      <c r="Q84" s="1765"/>
      <c r="R84" s="1765"/>
      <c r="S84" s="1765"/>
      <c r="T84" s="1765"/>
      <c r="U84" s="1765"/>
      <c r="V84" s="1765"/>
      <c r="W84" s="1765"/>
      <c r="X84" s="2576"/>
      <c r="Y84" s="196"/>
      <c r="Z84" s="196"/>
      <c r="AA84" s="196"/>
      <c r="AB84" s="196"/>
      <c r="AC84" s="196"/>
      <c r="AD84" s="196"/>
      <c r="AE84" s="196"/>
      <c r="AF84" s="196"/>
      <c r="AG84" s="196"/>
      <c r="AH84" s="196"/>
      <c r="AI84" s="196"/>
      <c r="AJ84" s="196"/>
    </row>
    <row r="85" spans="1:36" s="200" customFormat="1">
      <c r="A85" s="411"/>
      <c r="B85" s="199"/>
      <c r="C85" s="196"/>
      <c r="D85" s="196"/>
      <c r="E85" s="2549"/>
      <c r="F85" s="2550" t="s">
        <v>871</v>
      </c>
      <c r="G85" s="84"/>
      <c r="H85" s="196"/>
      <c r="I85" s="575"/>
      <c r="J85" s="575"/>
      <c r="K85" s="575"/>
      <c r="L85" s="575"/>
      <c r="M85" s="575"/>
      <c r="N85" s="575"/>
      <c r="O85" s="575"/>
      <c r="P85" s="575"/>
      <c r="Q85" s="575"/>
      <c r="R85" s="575"/>
      <c r="S85" s="575"/>
      <c r="T85" s="575"/>
      <c r="U85" s="575"/>
      <c r="V85" s="575"/>
      <c r="W85" s="575"/>
      <c r="X85" s="575"/>
      <c r="Y85" s="196"/>
      <c r="Z85" s="196"/>
      <c r="AA85" s="196"/>
      <c r="AB85" s="196"/>
      <c r="AC85" s="196"/>
      <c r="AD85" s="196"/>
      <c r="AE85" s="196"/>
      <c r="AF85" s="196"/>
      <c r="AG85" s="196"/>
      <c r="AH85" s="196"/>
      <c r="AI85" s="196"/>
      <c r="AJ85" s="196"/>
    </row>
    <row r="86" spans="1:36" s="200" customFormat="1">
      <c r="A86" s="411"/>
      <c r="B86" s="199"/>
      <c r="C86" s="196"/>
      <c r="D86" s="196"/>
      <c r="E86" s="2549"/>
      <c r="F86" s="2550" t="s">
        <v>871</v>
      </c>
      <c r="G86" s="84"/>
      <c r="H86" s="196"/>
      <c r="I86" s="575"/>
      <c r="J86" s="575"/>
      <c r="K86" s="575"/>
      <c r="L86" s="575"/>
      <c r="M86" s="575"/>
      <c r="N86" s="575"/>
      <c r="O86" s="575"/>
      <c r="P86" s="575"/>
      <c r="Q86" s="575"/>
      <c r="R86" s="575"/>
      <c r="S86" s="575"/>
      <c r="T86" s="575"/>
      <c r="U86" s="575"/>
      <c r="V86" s="575"/>
      <c r="W86" s="575"/>
      <c r="X86" s="575"/>
      <c r="Y86" s="196"/>
      <c r="Z86" s="196"/>
      <c r="AA86" s="196"/>
      <c r="AB86" s="196"/>
      <c r="AC86" s="196"/>
      <c r="AD86" s="196"/>
      <c r="AE86" s="196"/>
      <c r="AF86" s="196"/>
      <c r="AG86" s="196"/>
      <c r="AH86" s="196"/>
      <c r="AI86" s="196"/>
      <c r="AJ86" s="196"/>
    </row>
    <row r="87" spans="1:36" s="200" customFormat="1">
      <c r="A87" s="411"/>
      <c r="B87" s="199"/>
      <c r="C87" s="196"/>
      <c r="D87" s="2553" t="str">
        <f>$D$106</f>
        <v>What it Takes for COS</v>
      </c>
      <c r="E87" s="2549"/>
      <c r="F87" s="2550" t="s">
        <v>871</v>
      </c>
      <c r="G87" s="84"/>
      <c r="H87" s="196"/>
      <c r="I87" s="1990">
        <f>I$6</f>
        <v>2015</v>
      </c>
      <c r="J87" s="1990">
        <f t="shared" ref="J87:X87" si="28">J$6</f>
        <v>2016</v>
      </c>
      <c r="K87" s="1990">
        <f t="shared" si="28"/>
        <v>2017</v>
      </c>
      <c r="L87" s="1990">
        <f t="shared" si="28"/>
        <v>2018</v>
      </c>
      <c r="M87" s="1990">
        <f t="shared" si="28"/>
        <v>2019</v>
      </c>
      <c r="N87" s="1990">
        <f t="shared" si="28"/>
        <v>2020</v>
      </c>
      <c r="O87" s="1990">
        <f t="shared" si="28"/>
        <v>2021</v>
      </c>
      <c r="P87" s="1990">
        <f t="shared" si="28"/>
        <v>2022</v>
      </c>
      <c r="Q87" s="1990">
        <f t="shared" si="28"/>
        <v>2023</v>
      </c>
      <c r="R87" s="1990">
        <f t="shared" si="28"/>
        <v>2024</v>
      </c>
      <c r="S87" s="1990">
        <f t="shared" si="28"/>
        <v>2025</v>
      </c>
      <c r="T87" s="1990">
        <f t="shared" si="28"/>
        <v>2026</v>
      </c>
      <c r="U87" s="1990" t="e">
        <f t="shared" si="28"/>
        <v>#REF!</v>
      </c>
      <c r="V87" s="1990" t="e">
        <f t="shared" si="28"/>
        <v>#REF!</v>
      </c>
      <c r="W87" s="1990" t="e">
        <f t="shared" si="28"/>
        <v>#REF!</v>
      </c>
      <c r="X87" s="1990" t="e">
        <f t="shared" si="28"/>
        <v>#REF!</v>
      </c>
      <c r="Y87" s="196"/>
      <c r="Z87" s="196"/>
      <c r="AA87" s="196"/>
      <c r="AB87" s="196"/>
      <c r="AC87" s="196"/>
      <c r="AD87" s="196"/>
      <c r="AE87" s="196"/>
      <c r="AF87" s="196"/>
      <c r="AG87" s="196"/>
      <c r="AH87" s="196"/>
      <c r="AI87" s="196"/>
      <c r="AJ87" s="196"/>
    </row>
    <row r="88" spans="1:36" s="200" customFormat="1">
      <c r="A88" s="411"/>
      <c r="B88" s="199"/>
      <c r="C88"/>
      <c r="D88" s="4" t="str">
        <f t="shared" ref="D88:D97" si="29">D62</f>
        <v>Residential-Total (1)</v>
      </c>
      <c r="E88" s="2549" t="str">
        <f t="shared" ref="E88:E97" si="30">$D$87&amp;D88</f>
        <v>What it Takes for COSResidential-Total (1)</v>
      </c>
      <c r="F88" s="2550" t="s">
        <v>871</v>
      </c>
      <c r="G88" s="2557">
        <f>IF($D$87=$D$6,INDEX($G$11:$G$23,MATCH($D88,$D$11:$D$23,0),1),"")</f>
        <v>-0.19967637184180348</v>
      </c>
      <c r="H88" s="3309">
        <v>1.4596877915346E-2</v>
      </c>
      <c r="I88" s="2569"/>
      <c r="J88" s="2570"/>
      <c r="K88" s="2570">
        <v>1.4596877915346E-2</v>
      </c>
      <c r="L88" s="2570">
        <v>1.4596877915346E-2</v>
      </c>
      <c r="M88" s="2570">
        <v>1.4596877915346E-2</v>
      </c>
      <c r="N88" s="2570">
        <v>1.4596877915346E-2</v>
      </c>
      <c r="O88" s="2570">
        <v>1.4596877915346E-2</v>
      </c>
      <c r="P88" s="2570">
        <v>1.4596877915346E-2</v>
      </c>
      <c r="Q88" s="2570">
        <v>1.4596877915346E-2</v>
      </c>
      <c r="R88" s="2570">
        <v>1.4596877915346E-2</v>
      </c>
      <c r="S88" s="2570">
        <v>4.3548301635403788E-3</v>
      </c>
      <c r="T88" s="2570">
        <v>2.2412295278799999E-2</v>
      </c>
      <c r="U88" s="2570"/>
      <c r="V88" s="2570"/>
      <c r="W88" s="2570"/>
      <c r="X88" s="2571"/>
    </row>
    <row r="89" spans="1:36" s="200" customFormat="1">
      <c r="A89" s="411"/>
      <c r="B89" s="199"/>
      <c r="C89" s="196"/>
      <c r="D89" s="1" t="str">
        <f t="shared" si="29"/>
        <v>Irrigation (3)</v>
      </c>
      <c r="E89" s="2549" t="str">
        <f t="shared" si="30"/>
        <v>What it Takes for COSIrrigation (3)</v>
      </c>
      <c r="F89" s="2550" t="s">
        <v>871</v>
      </c>
      <c r="G89" s="2558">
        <f t="shared" ref="G89:G97" si="31">IF($D$87=$D$6,INDEX($G$11:$G$23,MATCH($D89,$D$11:$D$23,0),1),"")</f>
        <v>-0.20025705987996489</v>
      </c>
      <c r="H89" s="3309">
        <v>3.4384489117059158E-2</v>
      </c>
      <c r="I89" s="2572"/>
      <c r="J89" s="2573"/>
      <c r="K89" s="2573">
        <v>3.4384489117059158E-2</v>
      </c>
      <c r="L89" s="2573">
        <v>3.4384489117059158E-2</v>
      </c>
      <c r="M89" s="2573">
        <v>3.4384489117059158E-2</v>
      </c>
      <c r="N89" s="2573">
        <v>3.4384489117059158E-2</v>
      </c>
      <c r="O89" s="2573">
        <v>3.4384489117059158E-2</v>
      </c>
      <c r="P89" s="2573">
        <v>3.4384489117059158E-2</v>
      </c>
      <c r="Q89" s="2573">
        <v>3.4384489117059158E-2</v>
      </c>
      <c r="R89" s="2573">
        <v>3.4384489117059158E-2</v>
      </c>
      <c r="S89" s="2573">
        <v>1.2985681684782676E-2</v>
      </c>
      <c r="T89" s="2573">
        <v>2.2366809049865499E-2</v>
      </c>
      <c r="U89" s="2573"/>
      <c r="V89" s="2573"/>
      <c r="W89" s="2573"/>
      <c r="X89" s="2574"/>
      <c r="Y89" s="196"/>
      <c r="Z89" s="196"/>
      <c r="AA89" s="196"/>
      <c r="AB89" s="196"/>
      <c r="AC89" s="196"/>
      <c r="AD89" s="196"/>
      <c r="AE89" s="196"/>
      <c r="AF89" s="196"/>
      <c r="AG89" s="196"/>
      <c r="AH89" s="196"/>
      <c r="AI89" s="196"/>
      <c r="AJ89" s="196"/>
    </row>
    <row r="90" spans="1:36" s="200" customFormat="1">
      <c r="A90" s="411"/>
      <c r="B90" s="199"/>
      <c r="C90" s="196"/>
      <c r="D90" s="1" t="str">
        <f t="shared" si="29"/>
        <v>General Service (2) &amp; (PA)</v>
      </c>
      <c r="E90" s="2549" t="str">
        <f t="shared" si="30"/>
        <v>What it Takes for COSGeneral Service (2) &amp; (PA)</v>
      </c>
      <c r="F90" s="2550" t="s">
        <v>871</v>
      </c>
      <c r="G90" s="2558">
        <f t="shared" si="31"/>
        <v>-0.12500247166098935</v>
      </c>
      <c r="H90" s="3309">
        <v>2.1108180556527703E-2</v>
      </c>
      <c r="I90" s="2572"/>
      <c r="J90" s="2573"/>
      <c r="K90" s="2573">
        <v>2.1108180556527703E-2</v>
      </c>
      <c r="L90" s="2573">
        <v>2.1108180556527703E-2</v>
      </c>
      <c r="M90" s="2573">
        <v>2.1108180556527703E-2</v>
      </c>
      <c r="N90" s="2573">
        <v>2.1108180556527703E-2</v>
      </c>
      <c r="O90" s="2573">
        <v>2.1108180556527703E-2</v>
      </c>
      <c r="P90" s="2573">
        <v>2.1108180556527703E-2</v>
      </c>
      <c r="Q90" s="2573">
        <v>2.1108180556527703E-2</v>
      </c>
      <c r="R90" s="2573">
        <v>2.1108180556527703E-2</v>
      </c>
      <c r="S90" s="2573">
        <v>5.0000000000000001E-3</v>
      </c>
      <c r="T90" s="2573">
        <v>5.0000000000000001E-3</v>
      </c>
      <c r="U90" s="2573"/>
      <c r="V90" s="2573"/>
      <c r="W90" s="2573"/>
      <c r="X90" s="2574"/>
      <c r="Y90" s="196"/>
      <c r="Z90" s="196"/>
      <c r="AA90" s="196"/>
      <c r="AB90" s="196"/>
      <c r="AC90" s="196"/>
      <c r="AD90" s="196"/>
      <c r="AE90" s="196"/>
      <c r="AF90" s="196"/>
      <c r="AG90" s="196"/>
      <c r="AH90" s="196"/>
      <c r="AI90" s="196"/>
      <c r="AJ90" s="196"/>
    </row>
    <row r="91" spans="1:36" s="200" customFormat="1">
      <c r="A91" s="411"/>
      <c r="B91" s="199"/>
      <c r="C91" s="196"/>
      <c r="D91" s="1" t="str">
        <f t="shared" si="29"/>
        <v>Large General Service (7)</v>
      </c>
      <c r="E91" s="2549" t="str">
        <f t="shared" si="30"/>
        <v>What it Takes for COSLarge General Service (7)</v>
      </c>
      <c r="F91" s="2550" t="s">
        <v>871</v>
      </c>
      <c r="G91" s="2558">
        <f t="shared" si="31"/>
        <v>-0.12495383693639457</v>
      </c>
      <c r="H91" s="3309">
        <v>9.631294852342466E-3</v>
      </c>
      <c r="I91" s="2572"/>
      <c r="J91" s="2573"/>
      <c r="K91" s="2573">
        <v>9.631294852342466E-3</v>
      </c>
      <c r="L91" s="2573">
        <v>9.631294852342466E-3</v>
      </c>
      <c r="M91" s="2573">
        <v>9.631294852342466E-3</v>
      </c>
      <c r="N91" s="2573">
        <v>9.631294852342466E-3</v>
      </c>
      <c r="O91" s="2573">
        <v>9.631294852342466E-3</v>
      </c>
      <c r="P91" s="2573">
        <v>9.631294852342466E-3</v>
      </c>
      <c r="Q91" s="2573">
        <v>9.631294852342466E-3</v>
      </c>
      <c r="R91" s="2573">
        <v>9.631294852342466E-3</v>
      </c>
      <c r="S91" s="2573">
        <v>5.0000000000000001E-3</v>
      </c>
      <c r="T91" s="2573">
        <v>5.0000000000000001E-3</v>
      </c>
      <c r="U91" s="2573"/>
      <c r="V91" s="2573"/>
      <c r="W91" s="2573"/>
      <c r="X91" s="2574"/>
      <c r="Y91" s="196"/>
      <c r="Z91" s="196"/>
      <c r="AA91" s="196"/>
      <c r="AB91" s="196"/>
      <c r="AC91" s="196"/>
      <c r="AD91" s="196"/>
      <c r="AE91" s="196"/>
      <c r="AF91" s="196"/>
      <c r="AG91" s="196"/>
      <c r="AH91" s="196"/>
      <c r="AI91" s="196"/>
      <c r="AJ91" s="196"/>
    </row>
    <row r="92" spans="1:36" s="200" customFormat="1">
      <c r="A92" s="411"/>
      <c r="B92" s="199"/>
      <c r="C92" s="196"/>
      <c r="D92" s="1" t="str">
        <f t="shared" si="29"/>
        <v>Industrial (14)</v>
      </c>
      <c r="E92" s="2549" t="str">
        <f t="shared" si="30"/>
        <v>What it Takes for COSIndustrial (14)</v>
      </c>
      <c r="F92" s="2550" t="s">
        <v>871</v>
      </c>
      <c r="G92" s="2558">
        <f t="shared" si="31"/>
        <v>0.14574641394459725</v>
      </c>
      <c r="H92" s="3309">
        <v>0.05</v>
      </c>
      <c r="I92" s="2572"/>
      <c r="J92" s="2573"/>
      <c r="K92" s="2573">
        <v>0.05</v>
      </c>
      <c r="L92" s="2573">
        <v>0.05</v>
      </c>
      <c r="M92" s="2573">
        <v>0.05</v>
      </c>
      <c r="N92" s="2573">
        <v>0.05</v>
      </c>
      <c r="O92" s="2573">
        <v>0.05</v>
      </c>
      <c r="P92" s="2573">
        <v>0.05</v>
      </c>
      <c r="Q92" s="2573">
        <v>0.05</v>
      </c>
      <c r="R92" s="2573">
        <v>0.05</v>
      </c>
      <c r="S92" s="2573">
        <v>2.8337231155420601E-2</v>
      </c>
      <c r="T92" s="2573">
        <v>1.9E-2</v>
      </c>
      <c r="U92" s="2573"/>
      <c r="V92" s="2573"/>
      <c r="W92" s="2573"/>
      <c r="X92" s="2574"/>
      <c r="Y92" s="196"/>
      <c r="Z92" s="196"/>
      <c r="AA92" s="196"/>
      <c r="AB92" s="196"/>
      <c r="AC92" s="196"/>
      <c r="AD92" s="196"/>
      <c r="AE92" s="196"/>
      <c r="AF92" s="196"/>
      <c r="AG92" s="196"/>
      <c r="AH92" s="196"/>
      <c r="AI92" s="196"/>
      <c r="AJ92" s="196"/>
    </row>
    <row r="93" spans="1:36" s="200" customFormat="1">
      <c r="A93" s="411"/>
      <c r="B93" s="199"/>
      <c r="C93" s="196"/>
      <c r="D93" s="1" t="str">
        <f t="shared" si="29"/>
        <v>Large Industrial (15) &amp; (94)</v>
      </c>
      <c r="E93" s="2549" t="str">
        <f t="shared" si="30"/>
        <v>What it Takes for COSLarge Industrial (15) &amp; (94)</v>
      </c>
      <c r="F93" s="2550" t="s">
        <v>871</v>
      </c>
      <c r="G93" s="2558">
        <f t="shared" si="31"/>
        <v>0.14964165524459141</v>
      </c>
      <c r="H93" s="3309">
        <v>6.5499999999999994E-3</v>
      </c>
      <c r="I93" s="2572"/>
      <c r="J93" s="2573"/>
      <c r="K93" s="2573">
        <v>6.5499999999999994E-3</v>
      </c>
      <c r="L93" s="2573">
        <v>6.5499999999999994E-3</v>
      </c>
      <c r="M93" s="2573">
        <v>6.5499999999999994E-3</v>
      </c>
      <c r="N93" s="2573">
        <v>6.5499999999999994E-3</v>
      </c>
      <c r="O93" s="2573">
        <v>6.5499999999999994E-3</v>
      </c>
      <c r="P93" s="2573">
        <v>6.5499999999999994E-3</v>
      </c>
      <c r="Q93" s="2573">
        <v>6.5499999999999994E-3</v>
      </c>
      <c r="R93" s="2573">
        <v>6.5499999999999994E-3</v>
      </c>
      <c r="S93" s="2573">
        <v>2.8337231155420601E-2</v>
      </c>
      <c r="T93" s="2573">
        <v>0.02</v>
      </c>
      <c r="U93" s="2573"/>
      <c r="V93" s="2573"/>
      <c r="W93" s="2573"/>
      <c r="X93" s="2574"/>
      <c r="Y93" s="196"/>
      <c r="Z93" s="196"/>
      <c r="AA93" s="196"/>
      <c r="AB93" s="196"/>
      <c r="AC93" s="196"/>
      <c r="AD93" s="196"/>
      <c r="AE93" s="196"/>
      <c r="AF93" s="196"/>
      <c r="AG93" s="196"/>
      <c r="AH93" s="196"/>
      <c r="AI93" s="196"/>
      <c r="AJ93" s="196"/>
    </row>
    <row r="94" spans="1:36" s="200" customFormat="1">
      <c r="A94" s="411"/>
      <c r="B94" s="199"/>
      <c r="C94" s="196"/>
      <c r="D94" s="1" t="str">
        <f t="shared" si="29"/>
        <v>Agricultural Processing (16)</v>
      </c>
      <c r="E94" s="2549" t="str">
        <f t="shared" si="30"/>
        <v>What it Takes for COSAgricultural Processing (16)</v>
      </c>
      <c r="F94" s="2550" t="s">
        <v>871</v>
      </c>
      <c r="G94" s="2558">
        <f t="shared" si="31"/>
        <v>0.1087739697968669</v>
      </c>
      <c r="H94" s="3309">
        <v>0.05</v>
      </c>
      <c r="I94" s="2572"/>
      <c r="J94" s="2573"/>
      <c r="K94" s="2573">
        <v>0.05</v>
      </c>
      <c r="L94" s="2573">
        <v>0.05</v>
      </c>
      <c r="M94" s="2573">
        <v>0.05</v>
      </c>
      <c r="N94" s="2573">
        <v>0.05</v>
      </c>
      <c r="O94" s="2573">
        <v>0.05</v>
      </c>
      <c r="P94" s="2573">
        <v>0.05</v>
      </c>
      <c r="Q94" s="2573">
        <v>0.05</v>
      </c>
      <c r="R94" s="2573">
        <v>0.05</v>
      </c>
      <c r="S94" s="2573">
        <v>0.05</v>
      </c>
      <c r="T94" s="2573">
        <v>4.8000000000000001E-2</v>
      </c>
      <c r="U94" s="2573"/>
      <c r="V94" s="2573"/>
      <c r="W94" s="2573"/>
      <c r="X94" s="2574"/>
      <c r="Y94" s="196"/>
      <c r="Z94" s="196"/>
      <c r="AA94" s="196"/>
      <c r="AB94" s="196"/>
      <c r="AC94" s="196"/>
      <c r="AD94" s="196"/>
      <c r="AE94" s="196"/>
      <c r="AF94" s="196"/>
      <c r="AG94" s="196"/>
      <c r="AH94" s="196"/>
      <c r="AI94" s="196"/>
      <c r="AJ94" s="196"/>
    </row>
    <row r="95" spans="1:36" s="200" customFormat="1">
      <c r="A95" s="411"/>
      <c r="B95" s="199"/>
      <c r="C95" s="196"/>
      <c r="D95" s="1" t="str">
        <f t="shared" si="29"/>
        <v>Agricultural Boiler (85)</v>
      </c>
      <c r="E95" s="2549" t="str">
        <f t="shared" si="30"/>
        <v>What it Takes for COSAgricultural Boiler (85)</v>
      </c>
      <c r="F95" s="2550" t="s">
        <v>871</v>
      </c>
      <c r="G95" s="2558">
        <f t="shared" si="31"/>
        <v>-0.16988117355187382</v>
      </c>
      <c r="H95" s="3309">
        <v>0.05</v>
      </c>
      <c r="I95" s="2572"/>
      <c r="J95" s="2573"/>
      <c r="K95" s="2573">
        <v>0.05</v>
      </c>
      <c r="L95" s="2573">
        <v>0.05</v>
      </c>
      <c r="M95" s="2573">
        <v>0.05</v>
      </c>
      <c r="N95" s="2573">
        <v>0.05</v>
      </c>
      <c r="O95" s="2573">
        <v>0.05</v>
      </c>
      <c r="P95" s="2573">
        <v>0.05</v>
      </c>
      <c r="Q95" s="2573">
        <v>0.05</v>
      </c>
      <c r="R95" s="2573">
        <v>0.05</v>
      </c>
      <c r="S95" s="2573">
        <v>0.05</v>
      </c>
      <c r="T95" s="2573">
        <v>0.05</v>
      </c>
      <c r="U95" s="2573"/>
      <c r="V95" s="2573"/>
      <c r="W95" s="2573"/>
      <c r="X95" s="2574"/>
      <c r="Y95" s="196"/>
      <c r="Z95" s="196"/>
      <c r="AA95" s="196"/>
      <c r="AB95" s="196"/>
      <c r="AC95" s="196"/>
      <c r="AD95" s="196"/>
      <c r="AE95" s="196"/>
      <c r="AF95" s="196"/>
      <c r="AG95" s="196"/>
      <c r="AH95" s="196"/>
      <c r="AI95" s="196"/>
      <c r="AJ95" s="196"/>
    </row>
    <row r="96" spans="1:36" s="200" customFormat="1">
      <c r="A96" s="411"/>
      <c r="B96" s="199"/>
      <c r="C96" s="196"/>
      <c r="D96" s="1" t="str">
        <f t="shared" si="29"/>
        <v>Street Lights (6)</v>
      </c>
      <c r="E96" s="2549" t="str">
        <f t="shared" si="30"/>
        <v>What it Takes for COSStreet Lights (6)</v>
      </c>
      <c r="F96" s="2550" t="s">
        <v>871</v>
      </c>
      <c r="G96" s="2558">
        <f>IF($D$87=$D$6,INDEX($G$11:$G$23,MATCH($D96,$D$11:$D$23,0),1),"")</f>
        <v>0.25269612393506197</v>
      </c>
      <c r="H96" s="3309">
        <v>5.0000000000000001E-3</v>
      </c>
      <c r="I96" s="2572"/>
      <c r="J96" s="2573"/>
      <c r="K96" s="2573">
        <v>5.0000000000000001E-3</v>
      </c>
      <c r="L96" s="2573">
        <v>5.0000000000000001E-3</v>
      </c>
      <c r="M96" s="2573">
        <v>5.0000000000000001E-3</v>
      </c>
      <c r="N96" s="2573">
        <v>5.0000000000000001E-3</v>
      </c>
      <c r="O96" s="2573">
        <v>5.0000000000000001E-3</v>
      </c>
      <c r="P96" s="2573">
        <v>5.0000000000000001E-3</v>
      </c>
      <c r="Q96" s="2573">
        <v>5.0000000000000001E-3</v>
      </c>
      <c r="R96" s="2573">
        <v>5.0000000000000001E-3</v>
      </c>
      <c r="S96" s="2573">
        <v>5.0000000000000001E-3</v>
      </c>
      <c r="T96" s="2573">
        <v>5.0000000000000001E-3</v>
      </c>
      <c r="U96" s="2573"/>
      <c r="V96" s="2573"/>
      <c r="W96" s="2573"/>
      <c r="X96" s="2574"/>
      <c r="Y96" s="196"/>
      <c r="Z96" s="196"/>
      <c r="AA96" s="196"/>
      <c r="AB96" s="196"/>
      <c r="AC96" s="196"/>
      <c r="AD96" s="196"/>
      <c r="AE96" s="196"/>
      <c r="AF96" s="196"/>
      <c r="AG96" s="196"/>
      <c r="AH96" s="196"/>
      <c r="AI96" s="196"/>
      <c r="AJ96" s="196"/>
    </row>
    <row r="97" spans="1:36" s="200" customFormat="1">
      <c r="A97" s="411"/>
      <c r="B97" s="199"/>
      <c r="C97" s="196"/>
      <c r="D97" s="1" t="str">
        <f t="shared" si="29"/>
        <v>Alternate Power Sales</v>
      </c>
      <c r="E97" s="2549" t="str">
        <f t="shared" si="30"/>
        <v>What it Takes for COSAlternate Power Sales</v>
      </c>
      <c r="F97" s="2550" t="s">
        <v>871</v>
      </c>
      <c r="G97" s="2559">
        <f t="shared" si="31"/>
        <v>0</v>
      </c>
      <c r="H97" s="196"/>
      <c r="I97" s="2575"/>
      <c r="J97" s="1765"/>
      <c r="K97" s="1765"/>
      <c r="L97" s="1765"/>
      <c r="M97" s="1765"/>
      <c r="N97" s="1765"/>
      <c r="O97" s="1765"/>
      <c r="P97" s="1765"/>
      <c r="Q97" s="1765"/>
      <c r="R97" s="1765"/>
      <c r="S97" s="1765"/>
      <c r="T97" s="1765"/>
      <c r="U97" s="1765"/>
      <c r="V97" s="1765"/>
      <c r="W97" s="1765"/>
      <c r="X97" s="2576"/>
      <c r="Y97" s="196"/>
      <c r="Z97" s="196"/>
      <c r="AA97" s="196"/>
      <c r="AB97" s="196"/>
      <c r="AC97" s="196"/>
      <c r="AD97" s="196"/>
      <c r="AE97" s="196"/>
      <c r="AF97" s="196"/>
      <c r="AG97" s="196"/>
      <c r="AH97" s="196"/>
      <c r="AI97" s="196"/>
      <c r="AJ97" s="196"/>
    </row>
    <row r="98" spans="1:36" s="200" customFormat="1">
      <c r="A98" s="411"/>
      <c r="B98" s="199"/>
      <c r="C98" s="196"/>
      <c r="D98" s="196"/>
      <c r="E98" s="196"/>
      <c r="F98" s="196"/>
      <c r="G98" s="84"/>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row>
    <row r="99" spans="1:36" s="200" customFormat="1">
      <c r="A99" s="411"/>
      <c r="B99" s="199"/>
      <c r="C99" s="196"/>
      <c r="D99" s="196"/>
      <c r="E99" s="196"/>
      <c r="F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row>
    <row r="100" spans="1:36" s="200" customFormat="1">
      <c r="A100" s="411"/>
      <c r="B100" s="199"/>
      <c r="C100" s="196"/>
      <c r="D100" s="196"/>
      <c r="E100" s="196"/>
      <c r="F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row>
    <row r="101" spans="1:36" s="200" customFormat="1">
      <c r="A101" s="411"/>
      <c r="B101" s="199"/>
      <c r="C101" s="196"/>
      <c r="D101" s="196"/>
      <c r="E101" s="196"/>
      <c r="F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row>
    <row r="102" spans="1:36" s="200" customFormat="1">
      <c r="A102" s="411"/>
      <c r="B102" s="199"/>
      <c r="C102" s="196"/>
      <c r="D102" s="196"/>
      <c r="E102" s="196"/>
      <c r="F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row>
    <row r="103" spans="1:36" s="200" customFormat="1">
      <c r="A103" s="411"/>
      <c r="B103" s="199"/>
      <c r="C103" s="196"/>
      <c r="D103" s="2552" t="s">
        <v>3003</v>
      </c>
      <c r="E103" s="196"/>
      <c r="F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row>
    <row r="104" spans="1:36" s="200" customFormat="1">
      <c r="A104" s="411"/>
      <c r="B104"/>
      <c r="C104" s="196"/>
      <c r="D104" s="2" t="s">
        <v>3007</v>
      </c>
      <c r="E104" s="196"/>
      <c r="F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row>
    <row r="105" spans="1:36" s="200" customFormat="1">
      <c r="A105" s="411"/>
      <c r="B105"/>
      <c r="C105" s="196"/>
      <c r="D105" s="2" t="s">
        <v>3006</v>
      </c>
      <c r="E105" s="196"/>
      <c r="F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row>
    <row r="106" spans="1:36" s="200" customFormat="1">
      <c r="A106" s="411"/>
      <c r="B106"/>
      <c r="C106" s="196"/>
      <c r="D106" s="2" t="s">
        <v>3008</v>
      </c>
      <c r="E106" s="196"/>
      <c r="F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row>
    <row r="107" spans="1:36" s="200" customFormat="1" hidden="1">
      <c r="A107" s="411"/>
      <c r="B107"/>
      <c r="C107" s="196"/>
      <c r="D107" s="196"/>
      <c r="E107" s="196"/>
      <c r="F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row>
    <row r="108" spans="1:36" s="200" customFormat="1" hidden="1">
      <c r="A108" s="411"/>
      <c r="B108"/>
      <c r="C108" s="196"/>
      <c r="D108" s="196"/>
      <c r="E108" s="196"/>
      <c r="F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row>
    <row r="109" spans="1:36" s="200" customFormat="1" hidden="1">
      <c r="A109" s="411"/>
      <c r="B109"/>
      <c r="C109" s="196"/>
      <c r="D109" s="196"/>
      <c r="E109" s="196"/>
      <c r="F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row>
    <row r="110" spans="1:36" s="200" customFormat="1" hidden="1">
      <c r="B110"/>
      <c r="C110" s="196"/>
      <c r="D110" s="196"/>
      <c r="E110" s="196"/>
      <c r="F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row>
    <row r="111" spans="1:36" hidden="1"/>
    <row r="112" spans="1:3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spans="4:11" hidden="1"/>
    <row r="306" spans="4:11" hidden="1"/>
    <row r="307" spans="4:11" hidden="1"/>
    <row r="308" spans="4:11" ht="15.75" customHeight="1"/>
    <row r="309" spans="4:11" ht="15.75" customHeight="1"/>
    <row r="310" spans="4:11" ht="15.75" customHeight="1"/>
    <row r="311" spans="4:11" ht="15.75" customHeight="1">
      <c r="D311" s="2"/>
    </row>
    <row r="312" spans="4:11" ht="15.75" customHeight="1"/>
    <row r="313" spans="4:11" ht="15.75" customHeight="1">
      <c r="I313" s="2577"/>
      <c r="J313" s="2577"/>
      <c r="K313" s="2577"/>
    </row>
    <row r="314" spans="4:11" ht="15.75" customHeight="1">
      <c r="I314" s="2577"/>
      <c r="J314" s="2577"/>
      <c r="K314" s="2577"/>
    </row>
    <row r="315" spans="4:11" ht="15.75" customHeight="1">
      <c r="I315" s="2577"/>
      <c r="J315" s="2577"/>
      <c r="K315" s="2577"/>
    </row>
    <row r="316" spans="4:11" ht="15.75" customHeight="1">
      <c r="I316" s="2577"/>
      <c r="J316" s="2577"/>
      <c r="K316" s="2577"/>
    </row>
    <row r="317" spans="4:11" ht="15.75" customHeight="1">
      <c r="I317" s="2577"/>
      <c r="J317" s="2577"/>
      <c r="K317" s="2577"/>
    </row>
    <row r="318" spans="4:11" ht="15.75" customHeight="1">
      <c r="I318" s="2577"/>
      <c r="J318" s="2577"/>
      <c r="K318" s="2577"/>
    </row>
    <row r="319" spans="4:11" ht="15.75" customHeight="1">
      <c r="I319" s="2577"/>
      <c r="J319" s="2577"/>
      <c r="K319" s="2577"/>
    </row>
    <row r="320" spans="4:11" ht="15.75" customHeight="1">
      <c r="I320" s="2577"/>
      <c r="J320" s="2577"/>
      <c r="K320" s="2577"/>
    </row>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sheetData>
  <mergeCells count="7">
    <mergeCell ref="C59:E59"/>
    <mergeCell ref="D1:J1"/>
    <mergeCell ref="D2:J2"/>
    <mergeCell ref="D3:J3"/>
    <mergeCell ref="I35:X35"/>
    <mergeCell ref="I9:X9"/>
    <mergeCell ref="G7:H7"/>
  </mergeCells>
  <conditionalFormatting sqref="G11:G23">
    <cfRule type="cellIs" dxfId="12" priority="8" stopIfTrue="1" operator="lessThan">
      <formula>0</formula>
    </cfRule>
  </conditionalFormatting>
  <conditionalFormatting sqref="G62:G71">
    <cfRule type="cellIs" dxfId="11" priority="6" stopIfTrue="1" operator="lessThan">
      <formula>0</formula>
    </cfRule>
  </conditionalFormatting>
  <conditionalFormatting sqref="G89:G97">
    <cfRule type="cellIs" dxfId="10" priority="5" stopIfTrue="1" operator="lessThan">
      <formula>0</formula>
    </cfRule>
  </conditionalFormatting>
  <conditionalFormatting sqref="G76:G84">
    <cfRule type="cellIs" dxfId="9" priority="4" stopIfTrue="1" operator="lessThan">
      <formula>0</formula>
    </cfRule>
  </conditionalFormatting>
  <conditionalFormatting sqref="U88:X97">
    <cfRule type="cellIs" dxfId="8" priority="3" stopIfTrue="1" operator="lessThan">
      <formula>0</formula>
    </cfRule>
  </conditionalFormatting>
  <conditionalFormatting sqref="G75">
    <cfRule type="cellIs" dxfId="7" priority="2" stopIfTrue="1" operator="lessThan">
      <formula>0</formula>
    </cfRule>
  </conditionalFormatting>
  <conditionalFormatting sqref="G88">
    <cfRule type="cellIs" dxfId="6" priority="1" stopIfTrue="1" operator="lessThan">
      <formula>0</formula>
    </cfRule>
  </conditionalFormatting>
  <dataValidations count="3">
    <dataValidation type="list" allowBlank="1" showInputMessage="1" showErrorMessage="1" sqref="D5">
      <formula1>$I$36:$X$36</formula1>
    </dataValidation>
    <dataValidation type="decimal" allowBlank="1" showInputMessage="1" showErrorMessage="1" sqref="I11:X23 I62:X71 I75:X84 I88:T97">
      <formula1>I$55</formula1>
      <formula2>I$56</formula2>
    </dataValidation>
    <dataValidation type="list" allowBlank="1" showInputMessage="1" showErrorMessage="1" sqref="D6">
      <formula1>COSScenario</formula1>
    </dataValidation>
  </dataValidations>
  <printOptions horizontalCentered="1"/>
  <pageMargins left="0.25" right="0.25" top="0.5" bottom="0.5" header="0.25" footer="0.25"/>
  <pageSetup scale="55" orientation="portrait" r:id="rId1"/>
  <headerFooter alignWithMargins="0">
    <oddFooter>&amp;L&amp;"Times New Roman,Bold Italic"Black &amp; Veatch Corporation&amp;C&amp;"Times New Roman,Bold Italic"Date: &amp;D&amp;R&amp;"Times New Roman,Bold Italic"Page: &amp;P of&amp;N</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9"/>
  <sheetViews>
    <sheetView tabSelected="1" zoomScale="70" zoomScaleNormal="70" zoomScaleSheetLayoutView="70" zoomScalePageLayoutView="85" workbookViewId="0">
      <selection activeCell="O11" sqref="O11"/>
    </sheetView>
  </sheetViews>
  <sheetFormatPr defaultRowHeight="15.75"/>
  <cols>
    <col min="1" max="1" width="4.25" customWidth="1"/>
    <col min="2" max="2" width="25.375" customWidth="1"/>
    <col min="3" max="11" width="13.75" bestFit="1" customWidth="1"/>
    <col min="12" max="13" width="13.75" style="3094" customWidth="1"/>
    <col min="14" max="14" width="17.375" bestFit="1" customWidth="1"/>
    <col min="15" max="16" width="33.625" bestFit="1" customWidth="1"/>
    <col min="17" max="17" width="11.75" bestFit="1" customWidth="1"/>
    <col min="18" max="18" width="14.125" bestFit="1" customWidth="1"/>
  </cols>
  <sheetData>
    <row r="1" spans="2:25">
      <c r="B1" s="4510" t="s">
        <v>3517</v>
      </c>
      <c r="C1" s="4511"/>
      <c r="D1" s="4511"/>
      <c r="E1" s="4511"/>
      <c r="F1" s="4511"/>
      <c r="G1" s="4511"/>
      <c r="H1" s="4511"/>
      <c r="I1" s="4511"/>
      <c r="J1" s="4511"/>
      <c r="K1" s="4511"/>
      <c r="L1" s="4511"/>
      <c r="M1" s="4511"/>
      <c r="N1" s="4513"/>
    </row>
    <row r="2" spans="2:25">
      <c r="B2" s="1696"/>
      <c r="C2" s="20">
        <v>2016</v>
      </c>
      <c r="D2" s="20">
        <v>2017</v>
      </c>
      <c r="E2" s="20">
        <v>2018</v>
      </c>
      <c r="F2" s="20">
        <v>2019</v>
      </c>
      <c r="G2" s="20">
        <v>2020</v>
      </c>
      <c r="H2" s="20">
        <v>2021</v>
      </c>
      <c r="I2" s="20">
        <v>2022</v>
      </c>
      <c r="J2" s="20">
        <v>2023</v>
      </c>
      <c r="K2" s="20">
        <v>2024</v>
      </c>
      <c r="L2" s="20">
        <v>2025</v>
      </c>
      <c r="M2" s="3339">
        <v>2026</v>
      </c>
      <c r="N2" s="1781" t="s">
        <v>3522</v>
      </c>
    </row>
    <row r="3" spans="2:25">
      <c r="B3" s="3315" t="s">
        <v>2763</v>
      </c>
      <c r="C3" s="2162">
        <f>Cust_Detail!M13/1000+Cust_Detail!M17/1000</f>
        <v>795252.55</v>
      </c>
      <c r="D3" s="2162">
        <f>Cust_Detail!N13/1000+Cust_Detail!N17/1000</f>
        <v>806135</v>
      </c>
      <c r="E3" s="2162">
        <f>Cust_Detail!O13/1000+Cust_Detail!O17/1000</f>
        <v>817180.65599999996</v>
      </c>
      <c r="F3" s="2162">
        <f>Cust_Detail!P13/1000+Cust_Detail!P17/1000</f>
        <v>828391.99699999997</v>
      </c>
      <c r="G3" s="2162">
        <f>Cust_Detail!Q13/1000+Cust_Detail!Q17/1000</f>
        <v>839771.50800000003</v>
      </c>
      <c r="H3" s="2162">
        <f>Cust_Detail!R13/1000+Cust_Detail!R17/1000</f>
        <v>851321.71100000001</v>
      </c>
      <c r="I3" s="2162">
        <f>Cust_Detail!S13/1000+Cust_Detail!S17/1000</f>
        <v>863045.16700000002</v>
      </c>
      <c r="J3" s="2162">
        <f>Cust_Detail!T13/1000+Cust_Detail!T17/1000</f>
        <v>874944.47500000009</v>
      </c>
      <c r="K3" s="2162">
        <f>Cust_Detail!U13/1000+Cust_Detail!U17/1000</f>
        <v>887022.27300000004</v>
      </c>
      <c r="L3" s="2162">
        <f>Cust_Detail!V13/1000+Cust_Detail!V17/1000</f>
        <v>899281.23700000008</v>
      </c>
      <c r="M3" s="3316">
        <f>Cust_Detail!W13/1000+Cust_Detail!W17/1000</f>
        <v>911724.08599999989</v>
      </c>
      <c r="N3" s="3316">
        <f>M3-C3</f>
        <v>116471.53599999985</v>
      </c>
    </row>
    <row r="4" spans="2:25">
      <c r="B4" s="3317" t="s">
        <v>3516</v>
      </c>
      <c r="C4" s="2162">
        <f>(Cust_Detail!M50+Cust_Detail!M57+Cust_Detail!M64+Cust_Detail!M71+Cust_Detail!M124+Cust_Detail!M128+Cust_Detail!M132)/1000</f>
        <v>507372.39399999997</v>
      </c>
      <c r="D4" s="2162">
        <f>(Cust_Detail!N50+Cust_Detail!N57+Cust_Detail!N64+Cust_Detail!N71+Cust_Detail!N124+Cust_Detail!N128+Cust_Detail!N132)/1000</f>
        <v>515705.11800000002</v>
      </c>
      <c r="E4" s="2162">
        <f>(Cust_Detail!O50+Cust_Detail!O57+Cust_Detail!O64+Cust_Detail!O71+Cust_Detail!O124+Cust_Detail!O128+Cust_Detail!O132)/1000</f>
        <v>524065.51699999999</v>
      </c>
      <c r="F4" s="2162">
        <f>(Cust_Detail!P50+Cust_Detail!P57+Cust_Detail!P64+Cust_Detail!P71+Cust_Detail!P124+Cust_Detail!P128+Cust_Detail!P132)/1000</f>
        <v>532427.24600000004</v>
      </c>
      <c r="G4" s="2162">
        <f>(Cust_Detail!Q50+Cust_Detail!Q57+Cust_Detail!Q64+Cust_Detail!Q71+Cust_Detail!Q124+Cust_Detail!Q128+Cust_Detail!Q132)/1000</f>
        <v>540778.84699999995</v>
      </c>
      <c r="H4" s="2162">
        <f>(Cust_Detail!R50+Cust_Detail!R57+Cust_Detail!R64+Cust_Detail!R71+Cust_Detail!R124+Cust_Detail!R128+Cust_Detail!R132)/1000</f>
        <v>549136.76399999997</v>
      </c>
      <c r="I4" s="2162">
        <f>(Cust_Detail!S50+Cust_Detail!S57+Cust_Detail!S64+Cust_Detail!S71+Cust_Detail!S124+Cust_Detail!S128+Cust_Detail!S132)/1000</f>
        <v>557493.85100000002</v>
      </c>
      <c r="J4" s="2162">
        <f>(Cust_Detail!T50+Cust_Detail!T57+Cust_Detail!T64+Cust_Detail!T71+Cust_Detail!T124+Cust_Detail!T128+Cust_Detail!T132)/1000</f>
        <v>565849.38500000001</v>
      </c>
      <c r="K4" s="2162">
        <f>(Cust_Detail!U50+Cust_Detail!U57+Cust_Detail!U64+Cust_Detail!U71+Cust_Detail!U124+Cust_Detail!U128+Cust_Detail!U132)/1000</f>
        <v>574206.23699999996</v>
      </c>
      <c r="L4" s="2162">
        <f>(Cust_Detail!V50+Cust_Detail!V57+Cust_Detail!V64+Cust_Detail!V71+Cust_Detail!V124+Cust_Detail!V128+Cust_Detail!V132)/1000</f>
        <v>582562.73</v>
      </c>
      <c r="M4" s="3316">
        <f>(Cust_Detail!W50+Cust_Detail!W57+Cust_Detail!W64+Cust_Detail!W71+Cust_Detail!W124+Cust_Detail!W128+Cust_Detail!W132)/1000</f>
        <v>590919.02500000002</v>
      </c>
      <c r="N4" s="3316">
        <f t="shared" ref="N4:N12" si="0">M4-C4</f>
        <v>83546.631000000052</v>
      </c>
    </row>
    <row r="5" spans="2:25">
      <c r="B5" s="3318" t="s">
        <v>15</v>
      </c>
      <c r="C5" s="2162">
        <f>Cust_Detail!M30/1000+Cust_Detail!M43/1000</f>
        <v>619331.50100000016</v>
      </c>
      <c r="D5" s="2162">
        <f>Cust_Detail!N30/1000+Cust_Detail!N43/1000</f>
        <v>592039.60090576252</v>
      </c>
      <c r="E5" s="2162">
        <f>Cust_Detail!O30/1000+Cust_Detail!O43/1000</f>
        <v>599556.32490576245</v>
      </c>
      <c r="F5" s="2162">
        <f>Cust_Detail!P30/1000+Cust_Detail!P43/1000</f>
        <v>607073.04890576238</v>
      </c>
      <c r="G5" s="2162">
        <f>Cust_Detail!Q30/1000+Cust_Detail!Q43/1000</f>
        <v>614589.77290576231</v>
      </c>
      <c r="H5" s="2162">
        <f>Cust_Detail!R30/1000+Cust_Detail!R43/1000</f>
        <v>622106.49690576212</v>
      </c>
      <c r="I5" s="2162">
        <f>Cust_Detail!S30/1000+Cust_Detail!S43/1000</f>
        <v>629623.22090576217</v>
      </c>
      <c r="J5" s="2162">
        <f>Cust_Detail!T30/1000+Cust_Detail!T43/1000</f>
        <v>637139.94490576244</v>
      </c>
      <c r="K5" s="2162">
        <f>Cust_Detail!U30/1000+Cust_Detail!U43/1000</f>
        <v>644656.66890576226</v>
      </c>
      <c r="L5" s="2162">
        <f>Cust_Detail!V30/1000+Cust_Detail!V43/1000</f>
        <v>652173.39290576242</v>
      </c>
      <c r="M5" s="3316">
        <f>Cust_Detail!W30/1000+Cust_Detail!W43/1000</f>
        <v>659690.11690576235</v>
      </c>
      <c r="N5" s="3316">
        <f t="shared" si="0"/>
        <v>40358.615905762184</v>
      </c>
    </row>
    <row r="6" spans="2:25">
      <c r="B6" s="3318" t="s">
        <v>4</v>
      </c>
      <c r="C6" s="2162">
        <f>Cust_Detail!M120/1000</f>
        <v>4515.848</v>
      </c>
      <c r="D6" s="2162">
        <f>Cust_Detail!N120/1000</f>
        <v>4515.848</v>
      </c>
      <c r="E6" s="2162">
        <f>Cust_Detail!O120/1000</f>
        <v>4515.848</v>
      </c>
      <c r="F6" s="2162">
        <f>Cust_Detail!P120/1000</f>
        <v>4515.848</v>
      </c>
      <c r="G6" s="2162">
        <f>Cust_Detail!Q120/1000</f>
        <v>4515.848</v>
      </c>
      <c r="H6" s="2162">
        <f>Cust_Detail!R120/1000</f>
        <v>4515.848</v>
      </c>
      <c r="I6" s="2162">
        <f>Cust_Detail!S120/1000</f>
        <v>4515.848</v>
      </c>
      <c r="J6" s="2162">
        <f>Cust_Detail!T120/1000</f>
        <v>4515.848</v>
      </c>
      <c r="K6" s="2162">
        <f>Cust_Detail!U120/1000</f>
        <v>4515.848</v>
      </c>
      <c r="L6" s="2162">
        <f>Cust_Detail!V120/1000</f>
        <v>4515.848</v>
      </c>
      <c r="M6" s="3316">
        <f>Cust_Detail!W120/1000</f>
        <v>4515.848</v>
      </c>
      <c r="N6" s="3316">
        <f t="shared" si="0"/>
        <v>0</v>
      </c>
    </row>
    <row r="7" spans="2:25">
      <c r="B7" s="3318" t="s">
        <v>22</v>
      </c>
      <c r="C7" s="2162">
        <f>Cust_Detail!M78/1000</f>
        <v>254429.00858146162</v>
      </c>
      <c r="D7" s="2162">
        <f>Cust_Detail!N78/1000</f>
        <v>259467.20677119331</v>
      </c>
      <c r="E7" s="2162">
        <f>Cust_Detail!O78/1000</f>
        <v>264505.40496092499</v>
      </c>
      <c r="F7" s="2162">
        <f>Cust_Detail!P78/1000</f>
        <v>269543.60315065668</v>
      </c>
      <c r="G7" s="2162">
        <f>Cust_Detail!Q78/1000</f>
        <v>274581.80134038843</v>
      </c>
      <c r="H7" s="2162">
        <f>Cust_Detail!R78/1000</f>
        <v>282139.09862498689</v>
      </c>
      <c r="I7" s="2162">
        <f>Cust_Detail!S78/1000</f>
        <v>287177.29681471863</v>
      </c>
      <c r="J7" s="2162">
        <f>Cust_Detail!T78/1000</f>
        <v>292215.49500445032</v>
      </c>
      <c r="K7" s="2162">
        <f>Cust_Detail!U78/1000</f>
        <v>299772.79228904791</v>
      </c>
      <c r="L7" s="2162">
        <f>Cust_Detail!V78/1000</f>
        <v>304810.99047878064</v>
      </c>
      <c r="M7" s="3316">
        <f>Cust_Detail!W78/1000</f>
        <v>312368.28776337812</v>
      </c>
      <c r="N7" s="3316">
        <f t="shared" si="0"/>
        <v>57939.2791819165</v>
      </c>
    </row>
    <row r="8" spans="2:25">
      <c r="B8" s="3318" t="s">
        <v>16</v>
      </c>
      <c r="C8" s="2162">
        <f>Cust_Detail!M85/1000</f>
        <v>426975.86644766544</v>
      </c>
      <c r="D8" s="2162">
        <f>Cust_Detail!N85/1000</f>
        <v>525621.95540271373</v>
      </c>
      <c r="E8" s="2162">
        <f>Cust_Detail!O85/1000</f>
        <v>588337.98759130086</v>
      </c>
      <c r="F8" s="2162">
        <f>Cust_Detail!P85/1000</f>
        <v>668446.16618804459</v>
      </c>
      <c r="G8" s="2162">
        <f>Cust_Detail!Q85/1000</f>
        <v>767307.88685150212</v>
      </c>
      <c r="H8" s="2162">
        <f>Cust_Detail!R85/1000</f>
        <v>819385.6413341692</v>
      </c>
      <c r="I8" s="2162">
        <f>Cust_Detail!S85/1000</f>
        <v>870334.27499279007</v>
      </c>
      <c r="J8" s="2162">
        <f>Cust_Detail!T85/1000</f>
        <v>902438.18066460185</v>
      </c>
      <c r="K8" s="2162">
        <f>Cust_Detail!U85/1000</f>
        <v>937116.70550784201</v>
      </c>
      <c r="L8" s="2162">
        <f>Cust_Detail!V85/1000</f>
        <v>966846.20768326905</v>
      </c>
      <c r="M8" s="3316">
        <f>Cust_Detail!W85/1000</f>
        <v>992589.53404694307</v>
      </c>
      <c r="N8" s="3316">
        <f t="shared" si="0"/>
        <v>565613.66759927757</v>
      </c>
    </row>
    <row r="9" spans="2:25">
      <c r="B9" s="3318" t="s">
        <v>268</v>
      </c>
      <c r="C9" s="2162">
        <f>(Cust_Detail!M95+Cust_Detail!M116)/1000</f>
        <v>1568079.3525847057</v>
      </c>
      <c r="D9" s="2162">
        <f>(Cust_Detail!N95+Cust_Detail!N116)/1000</f>
        <v>1765161.2672466822</v>
      </c>
      <c r="E9" s="2162">
        <f>(Cust_Detail!O95+Cust_Detail!O116)/1000</f>
        <v>1929872.1281876429</v>
      </c>
      <c r="F9" s="2162">
        <f>(Cust_Detail!P95+Cust_Detail!P116)/1000</f>
        <v>2132765.8489073967</v>
      </c>
      <c r="G9" s="2162">
        <f>(Cust_Detail!Q95+Cust_Detail!Q116)/1000</f>
        <v>2259360.397454706</v>
      </c>
      <c r="H9" s="2162">
        <f>(Cust_Detail!R95+Cust_Detail!R116)/1000</f>
        <v>2367677.7432458559</v>
      </c>
      <c r="I9" s="2162">
        <f>(Cust_Detail!S95+Cust_Detail!S116)/1000</f>
        <v>2438851.7515735645</v>
      </c>
      <c r="J9" s="2162">
        <f>(Cust_Detail!T95+Cust_Detail!T116)/1000</f>
        <v>2550030.7904962855</v>
      </c>
      <c r="K9" s="2162">
        <f>(Cust_Detail!U95+Cust_Detail!U116)/1000</f>
        <v>2673206.5529506882</v>
      </c>
      <c r="L9" s="2162">
        <f>(Cust_Detail!V95+Cust_Detail!V116)/1000</f>
        <v>2741332.3314324422</v>
      </c>
      <c r="M9" s="3316">
        <f>(Cust_Detail!W95+Cust_Detail!W116)/1000</f>
        <v>2816278.743960991</v>
      </c>
      <c r="N9" s="3316">
        <f t="shared" si="0"/>
        <v>1248199.3913762853</v>
      </c>
    </row>
    <row r="10" spans="2:25">
      <c r="B10" s="3318" t="s">
        <v>18</v>
      </c>
      <c r="C10" s="2162">
        <f>Cust_Detail!M102/1000</f>
        <v>345675.70904028433</v>
      </c>
      <c r="D10" s="2162">
        <f>Cust_Detail!N102/1000</f>
        <v>363477.025280756</v>
      </c>
      <c r="E10" s="2162">
        <f>Cust_Detail!O102/1000</f>
        <v>367305.81405429426</v>
      </c>
      <c r="F10" s="2162">
        <f>Cust_Detail!P102/1000</f>
        <v>407639.39099949365</v>
      </c>
      <c r="G10" s="2162">
        <f>Cust_Detail!Q102/1000</f>
        <v>410654.50011882756</v>
      </c>
      <c r="H10" s="2162">
        <f>Cust_Detail!R102/1000</f>
        <v>411725.97589426348</v>
      </c>
      <c r="I10" s="2162">
        <f>Cust_Detail!S102/1000</f>
        <v>413784.60577373498</v>
      </c>
      <c r="J10" s="2162">
        <f>Cust_Detail!T102/1000</f>
        <v>415853.52880260366</v>
      </c>
      <c r="K10" s="2162">
        <f>Cust_Detail!U102/1000</f>
        <v>418929.39388013125</v>
      </c>
      <c r="L10" s="2162">
        <f>Cust_Detail!V102/1000</f>
        <v>420022.46042884968</v>
      </c>
      <c r="M10" s="3316">
        <f>Cust_Detail!W102/1000</f>
        <v>422122.57273099403</v>
      </c>
      <c r="N10" s="3316">
        <f t="shared" si="0"/>
        <v>76446.863690709695</v>
      </c>
    </row>
    <row r="11" spans="2:25">
      <c r="B11" s="3318" t="s">
        <v>19</v>
      </c>
      <c r="C11" s="2162">
        <f>Cust_Detail!M109/1000</f>
        <v>0</v>
      </c>
      <c r="D11" s="2162">
        <f>Cust_Detail!N109/1000</f>
        <v>0</v>
      </c>
      <c r="E11" s="2162">
        <f>Cust_Detail!O109/1000</f>
        <v>0</v>
      </c>
      <c r="F11" s="2162">
        <f>Cust_Detail!P109/1000</f>
        <v>0</v>
      </c>
      <c r="G11" s="2162">
        <f>Cust_Detail!Q109/1000</f>
        <v>0</v>
      </c>
      <c r="H11" s="2162">
        <f>Cust_Detail!R109/1000</f>
        <v>0</v>
      </c>
      <c r="I11" s="2162">
        <f>Cust_Detail!S109/1000</f>
        <v>0</v>
      </c>
      <c r="J11" s="2162">
        <f>Cust_Detail!T109/1000</f>
        <v>0</v>
      </c>
      <c r="K11" s="2162">
        <f>Cust_Detail!U109/1000</f>
        <v>0</v>
      </c>
      <c r="L11" s="2162">
        <f>Cust_Detail!V109/1000</f>
        <v>0</v>
      </c>
      <c r="M11" s="3316">
        <f>Cust_Detail!W109/1000</f>
        <v>0</v>
      </c>
      <c r="N11" s="3316">
        <f t="shared" si="0"/>
        <v>0</v>
      </c>
    </row>
    <row r="12" spans="2:25">
      <c r="B12" s="3319" t="s">
        <v>66</v>
      </c>
      <c r="C12" s="1709">
        <f>Cust_Detail!M136/1000</f>
        <v>0</v>
      </c>
      <c r="D12" s="1709">
        <f>Cust_Detail!N136/1000</f>
        <v>0</v>
      </c>
      <c r="E12" s="1709">
        <f>Cust_Detail!O136/1000</f>
        <v>0</v>
      </c>
      <c r="F12" s="1709">
        <f>Cust_Detail!P136/1000</f>
        <v>0</v>
      </c>
      <c r="G12" s="1709">
        <f>Cust_Detail!Q136/1000</f>
        <v>0</v>
      </c>
      <c r="H12" s="1709">
        <f>Cust_Detail!R136/1000</f>
        <v>0</v>
      </c>
      <c r="I12" s="1709">
        <f>Cust_Detail!S136/1000</f>
        <v>0</v>
      </c>
      <c r="J12" s="1709">
        <f>Cust_Detail!T136/1000</f>
        <v>0</v>
      </c>
      <c r="K12" s="1709">
        <f>Cust_Detail!U136/1000</f>
        <v>0</v>
      </c>
      <c r="L12" s="1709">
        <f>Cust_Detail!V136/1000</f>
        <v>0</v>
      </c>
      <c r="M12" s="3320">
        <f>Cust_Detail!W136/1000</f>
        <v>0</v>
      </c>
      <c r="N12" s="3320">
        <f t="shared" si="0"/>
        <v>0</v>
      </c>
    </row>
    <row r="13" spans="2:25">
      <c r="B13" s="3321" t="s">
        <v>452</v>
      </c>
      <c r="C13" s="3322">
        <f t="shared" ref="C13:K13" si="1">SUM(C3:C12)</f>
        <v>4521632.2296541175</v>
      </c>
      <c r="D13" s="3322">
        <f t="shared" si="1"/>
        <v>4832123.0216071075</v>
      </c>
      <c r="E13" s="3322">
        <f t="shared" si="1"/>
        <v>5095339.6806999249</v>
      </c>
      <c r="F13" s="3322">
        <f t="shared" si="1"/>
        <v>5450803.149151355</v>
      </c>
      <c r="G13" s="3322">
        <f t="shared" si="1"/>
        <v>5711560.5616711862</v>
      </c>
      <c r="H13" s="3322">
        <f t="shared" si="1"/>
        <v>5908009.2790050376</v>
      </c>
      <c r="I13" s="3322">
        <f t="shared" si="1"/>
        <v>6064826.0160605703</v>
      </c>
      <c r="J13" s="3322">
        <f t="shared" si="1"/>
        <v>6242987.6478737034</v>
      </c>
      <c r="K13" s="3322">
        <f t="shared" si="1"/>
        <v>6439426.4715334726</v>
      </c>
      <c r="L13" s="3322">
        <f t="shared" ref="L13:M13" si="2">SUM(L3:L12)</f>
        <v>6571545.1979291039</v>
      </c>
      <c r="M13" s="3323">
        <f t="shared" si="2"/>
        <v>6710208.214408068</v>
      </c>
      <c r="N13" s="3323">
        <f>SUM(N3:N12)</f>
        <v>2188575.9847539514</v>
      </c>
    </row>
    <row r="14" spans="2:25" s="3094" customFormat="1">
      <c r="B14" s="3332"/>
      <c r="C14" s="3333"/>
      <c r="D14" s="3333"/>
      <c r="E14" s="3333"/>
      <c r="F14" s="3333"/>
      <c r="G14" s="3333"/>
      <c r="H14" s="3333"/>
      <c r="I14" s="3333"/>
      <c r="J14" s="3333"/>
      <c r="K14" s="3333"/>
      <c r="L14" s="3333"/>
      <c r="M14" s="3333"/>
      <c r="O14" s="3332"/>
      <c r="P14" s="20"/>
      <c r="Q14" s="3324"/>
      <c r="R14" s="3324"/>
      <c r="S14" s="3324"/>
      <c r="T14" s="3324"/>
      <c r="U14" s="3324"/>
      <c r="V14" s="3324"/>
      <c r="W14" s="3324"/>
      <c r="X14" s="3324"/>
      <c r="Y14" s="3324"/>
    </row>
    <row r="15" spans="2:25" s="3094" customFormat="1">
      <c r="B15" s="4510" t="s">
        <v>3518</v>
      </c>
      <c r="C15" s="4511"/>
      <c r="D15" s="4511"/>
      <c r="E15" s="4511"/>
      <c r="F15" s="4511"/>
      <c r="G15" s="4511"/>
      <c r="H15" s="4511"/>
      <c r="I15" s="4511"/>
      <c r="J15" s="4512"/>
      <c r="K15" s="4512"/>
      <c r="L15" s="4512"/>
      <c r="M15" s="4512"/>
      <c r="N15" s="4513"/>
      <c r="O15" s="3332"/>
      <c r="P15" s="20"/>
      <c r="Q15" s="3324"/>
      <c r="R15" s="3324"/>
      <c r="S15" s="3324"/>
      <c r="T15" s="3324"/>
      <c r="U15" s="3324"/>
      <c r="V15" s="3324"/>
      <c r="W15" s="3324"/>
      <c r="X15" s="3324"/>
      <c r="Y15" s="3324"/>
    </row>
    <row r="16" spans="2:25" s="3094" customFormat="1">
      <c r="B16" s="1696"/>
      <c r="C16" s="20">
        <v>2016</v>
      </c>
      <c r="D16" s="20">
        <v>2017</v>
      </c>
      <c r="E16" s="20">
        <v>2018</v>
      </c>
      <c r="F16" s="20">
        <v>2019</v>
      </c>
      <c r="G16" s="20">
        <v>2020</v>
      </c>
      <c r="H16" s="20">
        <v>2021</v>
      </c>
      <c r="I16" s="20">
        <v>2022</v>
      </c>
      <c r="J16" s="4239">
        <v>2023</v>
      </c>
      <c r="K16" s="4239">
        <v>2024</v>
      </c>
      <c r="L16" s="4239">
        <v>2025</v>
      </c>
      <c r="M16" s="3339">
        <v>2026</v>
      </c>
      <c r="N16" s="1781" t="s">
        <v>3522</v>
      </c>
      <c r="O16" s="3332"/>
      <c r="P16" s="20"/>
      <c r="Q16" s="3324"/>
      <c r="R16" s="3324"/>
      <c r="S16" s="3324"/>
      <c r="T16" s="3324"/>
      <c r="U16" s="3324"/>
      <c r="V16" s="3324"/>
      <c r="W16" s="3324"/>
      <c r="X16" s="3324"/>
      <c r="Y16" s="3324"/>
    </row>
    <row r="17" spans="2:25" s="3094" customFormat="1">
      <c r="B17" s="3315" t="s">
        <v>2763</v>
      </c>
      <c r="C17" s="3324"/>
      <c r="D17" s="3324">
        <f t="shared" ref="D17:K17" si="3">D3/C3-1</f>
        <v>1.368426922994459E-2</v>
      </c>
      <c r="E17" s="3324">
        <f t="shared" si="3"/>
        <v>1.3701992842389821E-2</v>
      </c>
      <c r="F17" s="3324">
        <f t="shared" si="3"/>
        <v>1.3719537923080782E-2</v>
      </c>
      <c r="G17" s="3324">
        <f t="shared" si="3"/>
        <v>1.3736867378258966E-2</v>
      </c>
      <c r="H17" s="3324">
        <f t="shared" si="3"/>
        <v>1.3753982946513643E-2</v>
      </c>
      <c r="I17" s="3324">
        <f t="shared" si="3"/>
        <v>1.3770888077351051E-2</v>
      </c>
      <c r="J17" s="3324">
        <f t="shared" si="3"/>
        <v>1.3787584306117928E-2</v>
      </c>
      <c r="K17" s="3324">
        <f t="shared" si="3"/>
        <v>1.3804073681361162E-2</v>
      </c>
      <c r="L17" s="3324">
        <f t="shared" ref="L17:L24" si="4">L3/K3-1</f>
        <v>1.38203564590762E-2</v>
      </c>
      <c r="M17" s="3325">
        <f t="shared" ref="M17:M24" si="5">M3/L3-1</f>
        <v>1.3836437910691002E-2</v>
      </c>
      <c r="N17" s="3325">
        <f>N3/C3</f>
        <v>0.14645855080879633</v>
      </c>
      <c r="O17" s="3332"/>
      <c r="P17" s="20"/>
      <c r="Q17" s="3324"/>
      <c r="R17" s="3324"/>
      <c r="S17" s="3324"/>
      <c r="T17" s="3324"/>
      <c r="U17" s="3324"/>
      <c r="V17" s="3324"/>
      <c r="W17" s="3324"/>
      <c r="X17" s="3324"/>
      <c r="Y17" s="3324"/>
    </row>
    <row r="18" spans="2:25" s="3094" customFormat="1">
      <c r="B18" s="3317" t="s">
        <v>3516</v>
      </c>
      <c r="C18" s="3324"/>
      <c r="D18" s="3324">
        <f t="shared" ref="D18:K18" si="6">D4/C4-1</f>
        <v>1.6423290069660368E-2</v>
      </c>
      <c r="E18" s="3324">
        <f t="shared" si="6"/>
        <v>1.6211588189047221E-2</v>
      </c>
      <c r="F18" s="3324">
        <f t="shared" si="6"/>
        <v>1.5955503136070748E-2</v>
      </c>
      <c r="G18" s="3324">
        <f t="shared" si="6"/>
        <v>1.5685900867665081E-2</v>
      </c>
      <c r="H18" s="3324">
        <f t="shared" si="6"/>
        <v>1.5455332704609415E-2</v>
      </c>
      <c r="I18" s="3324">
        <f t="shared" si="6"/>
        <v>1.5218589516982517E-2</v>
      </c>
      <c r="J18" s="3324">
        <f t="shared" si="6"/>
        <v>1.4987670240689255E-2</v>
      </c>
      <c r="K18" s="3324">
        <f t="shared" si="6"/>
        <v>1.4768686193765035E-2</v>
      </c>
      <c r="L18" s="3324">
        <f t="shared" si="4"/>
        <v>1.45531212681691E-2</v>
      </c>
      <c r="M18" s="3325">
        <f t="shared" si="5"/>
        <v>1.4344026093121354E-2</v>
      </c>
      <c r="N18" s="3325">
        <f t="shared" ref="N18:N24" si="7">N4/C4</f>
        <v>0.1646653069579502</v>
      </c>
      <c r="O18" s="3332"/>
      <c r="P18" s="20"/>
      <c r="Q18" s="3324"/>
      <c r="R18" s="3324"/>
      <c r="S18" s="3324"/>
      <c r="T18" s="3324"/>
      <c r="U18" s="3324"/>
      <c r="V18" s="3324"/>
      <c r="W18" s="3324"/>
      <c r="X18" s="3324"/>
      <c r="Y18" s="3324"/>
    </row>
    <row r="19" spans="2:25" s="3094" customFormat="1">
      <c r="B19" s="3318" t="s">
        <v>15</v>
      </c>
      <c r="C19" s="3324"/>
      <c r="D19" s="3324">
        <f t="shared" ref="D19:K19" si="8">D5/C5-1</f>
        <v>-4.4066707490529544E-2</v>
      </c>
      <c r="E19" s="3324">
        <f t="shared" si="8"/>
        <v>1.2696319618654028E-2</v>
      </c>
      <c r="F19" s="3324">
        <f t="shared" si="8"/>
        <v>1.2537144030932312E-2</v>
      </c>
      <c r="G19" s="3324">
        <f t="shared" si="8"/>
        <v>1.2381910238889127E-2</v>
      </c>
      <c r="H19" s="3324">
        <f t="shared" si="8"/>
        <v>1.2230473612440562E-2</v>
      </c>
      <c r="I19" s="3324">
        <f t="shared" si="8"/>
        <v>1.2082696511588997E-2</v>
      </c>
      <c r="J19" s="3324">
        <f t="shared" si="8"/>
        <v>1.1938447869166646E-2</v>
      </c>
      <c r="K19" s="3324">
        <f t="shared" si="8"/>
        <v>1.17976028031197E-2</v>
      </c>
      <c r="L19" s="3324">
        <f t="shared" si="4"/>
        <v>1.1660042255917435E-2</v>
      </c>
      <c r="M19" s="3325">
        <f t="shared" si="5"/>
        <v>1.1525652658887386E-2</v>
      </c>
      <c r="N19" s="3325">
        <f t="shared" si="7"/>
        <v>6.5164804051783848E-2</v>
      </c>
      <c r="O19" s="3332"/>
      <c r="P19" s="20"/>
      <c r="Q19" s="3324"/>
      <c r="R19" s="3324"/>
      <c r="S19" s="3324"/>
      <c r="T19" s="3324"/>
      <c r="U19" s="3324"/>
      <c r="V19" s="3324"/>
      <c r="W19" s="3324"/>
      <c r="X19" s="3324"/>
      <c r="Y19" s="3324"/>
    </row>
    <row r="20" spans="2:25" s="3094" customFormat="1">
      <c r="B20" s="3318" t="s">
        <v>4</v>
      </c>
      <c r="C20" s="3324"/>
      <c r="D20" s="3324">
        <f t="shared" ref="D20:K20" si="9">D6/C6-1</f>
        <v>0</v>
      </c>
      <c r="E20" s="3324">
        <f t="shared" si="9"/>
        <v>0</v>
      </c>
      <c r="F20" s="3324">
        <f t="shared" si="9"/>
        <v>0</v>
      </c>
      <c r="G20" s="3324">
        <f t="shared" si="9"/>
        <v>0</v>
      </c>
      <c r="H20" s="3324">
        <f t="shared" si="9"/>
        <v>0</v>
      </c>
      <c r="I20" s="3324">
        <f t="shared" si="9"/>
        <v>0</v>
      </c>
      <c r="J20" s="3324">
        <f t="shared" si="9"/>
        <v>0</v>
      </c>
      <c r="K20" s="3324">
        <f t="shared" si="9"/>
        <v>0</v>
      </c>
      <c r="L20" s="3324">
        <f t="shared" si="4"/>
        <v>0</v>
      </c>
      <c r="M20" s="3325">
        <f t="shared" si="5"/>
        <v>0</v>
      </c>
      <c r="N20" s="3325">
        <f t="shared" si="7"/>
        <v>0</v>
      </c>
      <c r="O20" s="3332"/>
      <c r="P20" s="20"/>
      <c r="Q20" s="3324"/>
      <c r="R20" s="3324"/>
      <c r="S20" s="3324"/>
      <c r="T20" s="3324"/>
      <c r="U20" s="3324"/>
      <c r="V20" s="3324"/>
      <c r="W20" s="3324"/>
      <c r="X20" s="3324"/>
      <c r="Y20" s="3324"/>
    </row>
    <row r="21" spans="2:25" s="3094" customFormat="1">
      <c r="B21" s="3318" t="s">
        <v>22</v>
      </c>
      <c r="C21" s="3324"/>
      <c r="D21" s="3324">
        <f t="shared" ref="D21:K21" si="10">D7/C7-1</f>
        <v>1.9801980198018931E-2</v>
      </c>
      <c r="E21" s="3324">
        <f t="shared" si="10"/>
        <v>1.9417475728154443E-2</v>
      </c>
      <c r="F21" s="3324">
        <f t="shared" si="10"/>
        <v>1.9047619047618314E-2</v>
      </c>
      <c r="G21" s="3324">
        <f t="shared" si="10"/>
        <v>1.8691588785046065E-2</v>
      </c>
      <c r="H21" s="3324">
        <f t="shared" si="10"/>
        <v>2.7522935779818791E-2</v>
      </c>
      <c r="I21" s="3324">
        <f t="shared" si="10"/>
        <v>1.785714285714235E-2</v>
      </c>
      <c r="J21" s="3324">
        <f t="shared" si="10"/>
        <v>1.7543859649121973E-2</v>
      </c>
      <c r="K21" s="3324">
        <f t="shared" si="10"/>
        <v>2.5862068965516238E-2</v>
      </c>
      <c r="L21" s="3324">
        <f t="shared" si="4"/>
        <v>1.6806722689078457E-2</v>
      </c>
      <c r="M21" s="3325">
        <f t="shared" si="5"/>
        <v>2.4793388429750873E-2</v>
      </c>
      <c r="N21" s="3325">
        <f t="shared" si="7"/>
        <v>0.22772277227722576</v>
      </c>
      <c r="O21" s="3332"/>
      <c r="P21" s="20"/>
      <c r="Q21" s="3324"/>
      <c r="R21" s="3324"/>
      <c r="S21" s="3324"/>
      <c r="T21" s="3324"/>
      <c r="U21" s="3324"/>
      <c r="V21" s="3324"/>
      <c r="W21" s="3324"/>
      <c r="X21" s="3324"/>
      <c r="Y21" s="3324"/>
    </row>
    <row r="22" spans="2:25" s="3094" customFormat="1">
      <c r="B22" s="3318" t="s">
        <v>16</v>
      </c>
      <c r="C22" s="3324"/>
      <c r="D22" s="3324">
        <f t="shared" ref="D22:K22" si="11">D8/C8-1</f>
        <v>0.2310343434062434</v>
      </c>
      <c r="E22" s="3324">
        <f t="shared" si="11"/>
        <v>0.11931775593455995</v>
      </c>
      <c r="F22" s="3324">
        <f t="shared" si="11"/>
        <v>0.13616013292752438</v>
      </c>
      <c r="G22" s="3324">
        <f t="shared" si="11"/>
        <v>0.14789780488567583</v>
      </c>
      <c r="H22" s="3324">
        <f t="shared" si="11"/>
        <v>6.7870740513769512E-2</v>
      </c>
      <c r="I22" s="3324">
        <f t="shared" si="11"/>
        <v>6.2179065739623507E-2</v>
      </c>
      <c r="J22" s="3324">
        <f t="shared" si="11"/>
        <v>3.6886868177261833E-2</v>
      </c>
      <c r="K22" s="3324">
        <f t="shared" si="11"/>
        <v>3.8427590483484542E-2</v>
      </c>
      <c r="L22" s="3324">
        <f t="shared" si="4"/>
        <v>3.1724439443554742E-2</v>
      </c>
      <c r="M22" s="3325">
        <f t="shared" si="5"/>
        <v>2.6626081955019032E-2</v>
      </c>
      <c r="N22" s="3325">
        <f t="shared" si="7"/>
        <v>1.324697042727601</v>
      </c>
      <c r="O22" s="3332"/>
      <c r="P22" s="20"/>
      <c r="Q22" s="3324"/>
      <c r="R22" s="3324"/>
      <c r="S22" s="3324"/>
      <c r="T22" s="3324"/>
      <c r="U22" s="3324"/>
      <c r="V22" s="3324"/>
      <c r="W22" s="3324"/>
      <c r="X22" s="3324"/>
      <c r="Y22" s="3324"/>
    </row>
    <row r="23" spans="2:25" s="3094" customFormat="1">
      <c r="B23" s="3318" t="s">
        <v>268</v>
      </c>
      <c r="C23" s="3324"/>
      <c r="D23" s="3324">
        <f t="shared" ref="D23:K23" si="12">D9/C9-1</f>
        <v>0.12568363605905608</v>
      </c>
      <c r="E23" s="3324">
        <f t="shared" si="12"/>
        <v>9.3312075217851564E-2</v>
      </c>
      <c r="F23" s="3324">
        <f t="shared" si="12"/>
        <v>0.10513324575048033</v>
      </c>
      <c r="G23" s="3324">
        <f t="shared" si="12"/>
        <v>5.9356984083444031E-2</v>
      </c>
      <c r="H23" s="3324">
        <f t="shared" si="12"/>
        <v>4.7941597061352148E-2</v>
      </c>
      <c r="I23" s="3324">
        <f t="shared" si="12"/>
        <v>3.0060682257432525E-2</v>
      </c>
      <c r="J23" s="3324">
        <f t="shared" si="12"/>
        <v>4.5586632664731397E-2</v>
      </c>
      <c r="K23" s="3324">
        <f t="shared" si="12"/>
        <v>4.8303637318210635E-2</v>
      </c>
      <c r="L23" s="3324">
        <f t="shared" si="4"/>
        <v>2.5484666871909534E-2</v>
      </c>
      <c r="M23" s="3325">
        <f t="shared" si="5"/>
        <v>2.733941144939056E-2</v>
      </c>
      <c r="N23" s="3325">
        <f t="shared" si="7"/>
        <v>0.79600524636642023</v>
      </c>
      <c r="O23" s="3332"/>
      <c r="P23" s="20"/>
      <c r="Q23" s="3324"/>
      <c r="R23" s="3324"/>
      <c r="S23" s="3324"/>
      <c r="T23" s="3324"/>
      <c r="U23" s="3324"/>
      <c r="V23" s="3324"/>
      <c r="W23" s="3324"/>
      <c r="X23" s="3324"/>
      <c r="Y23" s="3324"/>
    </row>
    <row r="24" spans="2:25" s="3094" customFormat="1">
      <c r="B24" s="3318" t="s">
        <v>18</v>
      </c>
      <c r="C24" s="3324"/>
      <c r="D24" s="3324">
        <f t="shared" ref="D24:K24" si="13">D10/C10-1</f>
        <v>5.1497156944855238E-2</v>
      </c>
      <c r="E24" s="3324">
        <f t="shared" si="13"/>
        <v>1.0533784826099568E-2</v>
      </c>
      <c r="F24" s="3324">
        <f t="shared" si="13"/>
        <v>0.10980925267694608</v>
      </c>
      <c r="G24" s="3324">
        <f t="shared" si="13"/>
        <v>7.3965107050648626E-3</v>
      </c>
      <c r="H24" s="3324">
        <f t="shared" si="13"/>
        <v>2.6091903902816238E-3</v>
      </c>
      <c r="I24" s="3324">
        <f t="shared" si="13"/>
        <v>5.0000000000003375E-3</v>
      </c>
      <c r="J24" s="3324">
        <f t="shared" si="13"/>
        <v>5.0000000000001155E-3</v>
      </c>
      <c r="K24" s="3324">
        <f t="shared" si="13"/>
        <v>7.3965107050650847E-3</v>
      </c>
      <c r="L24" s="3324">
        <f t="shared" si="4"/>
        <v>2.6091903902814018E-3</v>
      </c>
      <c r="M24" s="3325">
        <f t="shared" si="5"/>
        <v>5.0000000000003375E-3</v>
      </c>
      <c r="N24" s="3325">
        <f t="shared" si="7"/>
        <v>0.22115196900283421</v>
      </c>
      <c r="O24" s="3332"/>
      <c r="P24" s="20"/>
      <c r="Q24" s="3324"/>
      <c r="R24" s="3324"/>
      <c r="S24" s="3324"/>
      <c r="T24" s="3324"/>
      <c r="U24" s="3324"/>
      <c r="V24" s="3324"/>
      <c r="W24" s="3324"/>
      <c r="X24" s="3324"/>
      <c r="Y24" s="3324"/>
    </row>
    <row r="25" spans="2:25" s="3094" customFormat="1">
      <c r="B25" s="3318" t="s">
        <v>19</v>
      </c>
      <c r="C25" s="3324"/>
      <c r="D25" s="3324">
        <v>0</v>
      </c>
      <c r="E25" s="3324">
        <v>0</v>
      </c>
      <c r="F25" s="3324">
        <v>0</v>
      </c>
      <c r="G25" s="3324">
        <v>0</v>
      </c>
      <c r="H25" s="3324">
        <v>0</v>
      </c>
      <c r="I25" s="3324">
        <v>0</v>
      </c>
      <c r="J25" s="3324">
        <v>0</v>
      </c>
      <c r="K25" s="3324">
        <v>0</v>
      </c>
      <c r="L25" s="3324">
        <v>0</v>
      </c>
      <c r="M25" s="3325">
        <v>0</v>
      </c>
      <c r="N25" s="3325">
        <v>0</v>
      </c>
      <c r="O25" s="3332"/>
      <c r="P25" s="20"/>
      <c r="Q25" s="3324"/>
      <c r="R25" s="3324"/>
      <c r="S25" s="3324"/>
      <c r="T25" s="3324"/>
      <c r="U25" s="3324"/>
      <c r="V25" s="3324"/>
      <c r="W25" s="3324"/>
      <c r="X25" s="3324"/>
      <c r="Y25" s="3324"/>
    </row>
    <row r="26" spans="2:25" s="3094" customFormat="1">
      <c r="B26" s="3319" t="s">
        <v>66</v>
      </c>
      <c r="C26" s="3310"/>
      <c r="D26" s="3310">
        <v>0</v>
      </c>
      <c r="E26" s="3310">
        <v>0</v>
      </c>
      <c r="F26" s="3310">
        <v>0</v>
      </c>
      <c r="G26" s="3310">
        <v>0</v>
      </c>
      <c r="H26" s="3310">
        <v>0</v>
      </c>
      <c r="I26" s="3310">
        <v>0</v>
      </c>
      <c r="J26" s="3310">
        <v>0</v>
      </c>
      <c r="K26" s="3310">
        <v>0</v>
      </c>
      <c r="L26" s="3310">
        <v>0</v>
      </c>
      <c r="M26" s="3326">
        <v>0</v>
      </c>
      <c r="N26" s="3326">
        <v>0</v>
      </c>
      <c r="O26" s="3332"/>
      <c r="P26" s="20"/>
      <c r="Q26" s="3324"/>
      <c r="R26" s="3324"/>
      <c r="S26" s="3324"/>
      <c r="T26" s="3324"/>
      <c r="U26" s="3324"/>
      <c r="V26" s="3324"/>
      <c r="W26" s="3324"/>
      <c r="X26" s="3324"/>
      <c r="Y26" s="3324"/>
    </row>
    <row r="27" spans="2:25" s="3094" customFormat="1">
      <c r="B27" s="3321" t="s">
        <v>452</v>
      </c>
      <c r="C27" s="3310"/>
      <c r="D27" s="3310">
        <f t="shared" ref="D27:K27" si="14">D13/C13-1</f>
        <v>6.8667856248171955E-2</v>
      </c>
      <c r="E27" s="3310">
        <f t="shared" si="14"/>
        <v>5.4472259484253494E-2</v>
      </c>
      <c r="F27" s="3310">
        <f t="shared" si="14"/>
        <v>6.9762467416618179E-2</v>
      </c>
      <c r="G27" s="3310">
        <f t="shared" si="14"/>
        <v>4.7838347007711945E-2</v>
      </c>
      <c r="H27" s="3310">
        <f t="shared" si="14"/>
        <v>3.4394928533572511E-2</v>
      </c>
      <c r="I27" s="3310">
        <f t="shared" si="14"/>
        <v>2.6543075619871459E-2</v>
      </c>
      <c r="J27" s="3310">
        <f t="shared" si="14"/>
        <v>2.9376214806712486E-2</v>
      </c>
      <c r="K27" s="3310">
        <f t="shared" si="14"/>
        <v>3.1465515349317519E-2</v>
      </c>
      <c r="L27" s="3310">
        <f t="shared" ref="L27" si="15">L13/K13-1</f>
        <v>2.0517157386559681E-2</v>
      </c>
      <c r="M27" s="3326">
        <f t="shared" ref="M27" si="16">M13/L13-1</f>
        <v>2.1100519330318424E-2</v>
      </c>
      <c r="N27" s="3326">
        <f>N13/C13</f>
        <v>0.48402343967752698</v>
      </c>
      <c r="O27" s="3332"/>
      <c r="P27" s="20"/>
      <c r="Q27" s="3324"/>
      <c r="R27" s="3324"/>
      <c r="S27" s="3324"/>
      <c r="T27" s="3324"/>
      <c r="U27" s="3324"/>
      <c r="V27" s="3324"/>
      <c r="W27" s="3324"/>
      <c r="X27" s="3324"/>
      <c r="Y27" s="3324"/>
    </row>
    <row r="28" spans="2:25" s="3094" customFormat="1">
      <c r="B28" s="3332"/>
      <c r="C28" s="3333"/>
      <c r="D28" s="3333"/>
      <c r="E28" s="3333"/>
      <c r="F28" s="3333"/>
      <c r="G28" s="3333"/>
      <c r="H28" s="3333"/>
      <c r="I28" s="3333"/>
      <c r="J28" s="3333"/>
      <c r="K28" s="3333"/>
      <c r="L28" s="3333"/>
      <c r="M28" s="3333"/>
      <c r="O28" s="3332"/>
      <c r="P28" s="20"/>
      <c r="Q28" s="3324"/>
      <c r="R28" s="3324"/>
      <c r="S28" s="3324"/>
      <c r="T28" s="3324"/>
      <c r="U28" s="3324"/>
      <c r="V28" s="3324"/>
      <c r="W28" s="3324"/>
      <c r="X28" s="3324"/>
      <c r="Y28" s="3324"/>
    </row>
    <row r="29" spans="2:25" s="3094" customFormat="1">
      <c r="B29" s="4510" t="s">
        <v>3523</v>
      </c>
      <c r="C29" s="4511"/>
      <c r="D29" s="4511"/>
      <c r="E29" s="4511"/>
      <c r="F29" s="4511"/>
      <c r="G29" s="4511"/>
      <c r="H29" s="4511"/>
      <c r="I29" s="4511"/>
      <c r="J29" s="4511"/>
      <c r="K29" s="4512"/>
      <c r="L29" s="4512"/>
      <c r="M29" s="4511"/>
      <c r="N29" s="4513"/>
      <c r="O29" s="3332"/>
      <c r="P29" s="20"/>
      <c r="Q29" s="3324"/>
      <c r="R29" s="3324"/>
      <c r="S29" s="3324"/>
      <c r="T29" s="3324"/>
      <c r="U29" s="3324"/>
      <c r="V29" s="3324"/>
      <c r="W29" s="3324"/>
      <c r="X29" s="3324"/>
      <c r="Y29" s="3324"/>
    </row>
    <row r="30" spans="2:25" s="3094" customFormat="1">
      <c r="B30" s="1696"/>
      <c r="C30" s="20">
        <v>2016</v>
      </c>
      <c r="D30" s="20">
        <v>2017</v>
      </c>
      <c r="E30" s="20">
        <v>2018</v>
      </c>
      <c r="F30" s="20">
        <v>2019</v>
      </c>
      <c r="G30" s="20">
        <v>2020</v>
      </c>
      <c r="H30" s="20">
        <v>2021</v>
      </c>
      <c r="I30" s="20">
        <v>2022</v>
      </c>
      <c r="J30" s="20">
        <v>2023</v>
      </c>
      <c r="K30" s="4239">
        <v>2024</v>
      </c>
      <c r="L30" s="4239">
        <v>2025</v>
      </c>
      <c r="M30" s="1781">
        <v>2026</v>
      </c>
      <c r="N30" s="1781" t="s">
        <v>3522</v>
      </c>
      <c r="O30" s="3332"/>
      <c r="P30" s="20"/>
      <c r="Q30" s="3324"/>
      <c r="R30" s="3324"/>
      <c r="S30" s="3324"/>
      <c r="T30" s="3324"/>
      <c r="U30" s="3324"/>
      <c r="V30" s="3324"/>
      <c r="W30" s="3324"/>
      <c r="X30" s="3324"/>
      <c r="Y30" s="3324"/>
    </row>
    <row r="31" spans="2:25" s="3094" customFormat="1">
      <c r="B31" s="3315" t="s">
        <v>2763</v>
      </c>
      <c r="C31" s="2162">
        <f>'Rate Increases'!K10</f>
        <v>43330607.45485945</v>
      </c>
      <c r="D31" s="2162">
        <f>'Rate Increases'!L10</f>
        <v>43903694.812468678</v>
      </c>
      <c r="E31" s="2162">
        <f>'Rate Increases'!M10</f>
        <v>44505412.902738735</v>
      </c>
      <c r="F31" s="2162">
        <f>'Rate Increases'!N10</f>
        <v>45115820.061369091</v>
      </c>
      <c r="G31" s="2162">
        <f>'Rate Increases'!O10</f>
        <v>45756173.883008912</v>
      </c>
      <c r="H31" s="2162">
        <f>'Rate Increases'!P10</f>
        <v>46364498.680134758</v>
      </c>
      <c r="I31" s="2162">
        <f>'Rate Increases'!Q10</f>
        <v>47003001.535892956</v>
      </c>
      <c r="J31" s="2162">
        <f>'Rate Increases'!R10</f>
        <v>47651038.484054431</v>
      </c>
      <c r="K31" s="2162">
        <f>'Rate Increases'!S10</f>
        <v>48330648.920275912</v>
      </c>
      <c r="L31" s="2162">
        <f>'Rate Increases'!T10</f>
        <v>48976589.433980763</v>
      </c>
      <c r="M31" s="3316">
        <f>'Rate Increases'!U10</f>
        <v>49654152.68996156</v>
      </c>
      <c r="N31" s="3316">
        <f>M31-C31</f>
        <v>6323545.2351021096</v>
      </c>
      <c r="O31" s="3332"/>
      <c r="P31" s="20"/>
      <c r="Q31" s="3324"/>
      <c r="R31" s="3324"/>
      <c r="S31" s="3324"/>
      <c r="T31" s="3324"/>
      <c r="U31" s="3324"/>
      <c r="V31" s="3324"/>
      <c r="W31" s="3324"/>
      <c r="X31" s="3324"/>
      <c r="Y31" s="3324"/>
    </row>
    <row r="32" spans="2:25" s="3094" customFormat="1">
      <c r="B32" s="3317" t="s">
        <v>3516</v>
      </c>
      <c r="C32" s="2162">
        <f>'Rate Increases'!K13+'Rate Increases'!K14+'Rate Increases'!K22+'Rate Increases'!K23</f>
        <v>23375711.518919028</v>
      </c>
      <c r="D32" s="2162">
        <f>'Rate Increases'!L13+'Rate Increases'!L14+'Rate Increases'!L22+'Rate Increases'!L23</f>
        <v>23784391.168533415</v>
      </c>
      <c r="E32" s="2162">
        <f>'Rate Increases'!M13+'Rate Increases'!M14+'Rate Increases'!M22+'Rate Increases'!M23</f>
        <v>24195076.856322162</v>
      </c>
      <c r="F32" s="2162">
        <f>'Rate Increases'!N13+'Rate Increases'!N14+'Rate Increases'!N22+'Rate Increases'!N23</f>
        <v>24606415.353160512</v>
      </c>
      <c r="G32" s="2162">
        <f>'Rate Increases'!O13+'Rate Increases'!O14+'Rate Increases'!O22+'Rate Increases'!O23</f>
        <v>25018754.732793301</v>
      </c>
      <c r="H32" s="2162">
        <f>'Rate Increases'!P13+'Rate Increases'!P14+'Rate Increases'!P22+'Rate Increases'!P23</f>
        <v>25431958.165445242</v>
      </c>
      <c r="I32" s="2162">
        <f>'Rate Increases'!Q13+'Rate Increases'!Q14+'Rate Increases'!Q22+'Rate Increases'!Q23</f>
        <v>25846196.194257583</v>
      </c>
      <c r="J32" s="2162">
        <f>'Rate Increases'!R13+'Rate Increases'!R14+'Rate Increases'!R22+'Rate Increases'!R23</f>
        <v>26261201.946462154</v>
      </c>
      <c r="K32" s="2162">
        <f>'Rate Increases'!S13+'Rate Increases'!S14+'Rate Increases'!S22+'Rate Increases'!S23</f>
        <v>26676859.999009952</v>
      </c>
      <c r="L32" s="2162">
        <f>'Rate Increases'!T13+'Rate Increases'!T14+'Rate Increases'!T22+'Rate Increases'!T23</f>
        <v>27093932.82213904</v>
      </c>
      <c r="M32" s="3316">
        <f>'Rate Increases'!U13+'Rate Increases'!U14+'Rate Increases'!U22+'Rate Increases'!U23</f>
        <v>27511593.716563366</v>
      </c>
      <c r="N32" s="3316">
        <f t="shared" ref="N32:N41" si="17">M32-C32</f>
        <v>4135882.197644338</v>
      </c>
      <c r="O32" s="3332"/>
      <c r="P32" s="20"/>
      <c r="Q32" s="3324"/>
      <c r="R32" s="3324"/>
      <c r="S32" s="3324"/>
      <c r="T32" s="3324"/>
      <c r="U32" s="3324"/>
      <c r="V32" s="3324"/>
      <c r="W32" s="3324"/>
      <c r="X32" s="3324"/>
      <c r="Y32" s="3324"/>
    </row>
    <row r="33" spans="2:25" s="3094" customFormat="1">
      <c r="B33" s="3318" t="s">
        <v>15</v>
      </c>
      <c r="C33" s="2162">
        <f>'Rate Increases'!K11+'Rate Increases'!K12</f>
        <v>24640276.399856191</v>
      </c>
      <c r="D33" s="2162">
        <f>'Rate Increases'!L11+'Rate Increases'!L12</f>
        <v>23928010.324111272</v>
      </c>
      <c r="E33" s="2162">
        <f>'Rate Increases'!M11+'Rate Increases'!M12</f>
        <v>24173026.454235099</v>
      </c>
      <c r="F33" s="2162">
        <f>'Rate Increases'!N11+'Rate Increases'!N12</f>
        <v>24418042.584358923</v>
      </c>
      <c r="G33" s="2162">
        <f>'Rate Increases'!O11+'Rate Increases'!O12</f>
        <v>24663058.714482747</v>
      </c>
      <c r="H33" s="2162">
        <f>'Rate Increases'!P11+'Rate Increases'!P12</f>
        <v>24908074.844606567</v>
      </c>
      <c r="I33" s="2162">
        <f>'Rate Increases'!Q11+'Rate Increases'!Q12</f>
        <v>25154771.820923492</v>
      </c>
      <c r="J33" s="2162">
        <f>'Rate Increases'!R11+'Rate Increases'!R12</f>
        <v>25399787.951047327</v>
      </c>
      <c r="K33" s="2162">
        <f>'Rate Increases'!S11+'Rate Increases'!S12</f>
        <v>25646484.927364241</v>
      </c>
      <c r="L33" s="2162">
        <f>'Rate Increases'!T11+'Rate Increases'!T12</f>
        <v>25891501.057488065</v>
      </c>
      <c r="M33" s="3316">
        <f>'Rate Increases'!U11+'Rate Increases'!U12</f>
        <v>26138198.033804983</v>
      </c>
      <c r="N33" s="3316">
        <f t="shared" si="17"/>
        <v>1497921.6339487918</v>
      </c>
      <c r="O33" s="3332"/>
      <c r="P33" s="20"/>
      <c r="Q33" s="3324"/>
      <c r="R33" s="3324"/>
      <c r="S33" s="3324"/>
      <c r="T33" s="3324"/>
      <c r="U33" s="3324"/>
      <c r="V33" s="3324"/>
      <c r="W33" s="3324"/>
      <c r="X33" s="3324"/>
      <c r="Y33" s="3324"/>
    </row>
    <row r="34" spans="2:25" s="3094" customFormat="1">
      <c r="B34" s="3318" t="s">
        <v>4</v>
      </c>
      <c r="C34" s="2162">
        <f>'Rate Increases'!K21</f>
        <v>931540</v>
      </c>
      <c r="D34" s="2162">
        <f>'Rate Increases'!L21</f>
        <v>931540</v>
      </c>
      <c r="E34" s="2162">
        <f>'Rate Increases'!M21</f>
        <v>931540</v>
      </c>
      <c r="F34" s="2162">
        <f>'Rate Increases'!N21</f>
        <v>931540</v>
      </c>
      <c r="G34" s="2162">
        <f>'Rate Increases'!O21</f>
        <v>931540</v>
      </c>
      <c r="H34" s="2162">
        <f>'Rate Increases'!P21</f>
        <v>931540</v>
      </c>
      <c r="I34" s="2162">
        <f>'Rate Increases'!Q21</f>
        <v>931540</v>
      </c>
      <c r="J34" s="2162">
        <f>'Rate Increases'!R21</f>
        <v>931540</v>
      </c>
      <c r="K34" s="2162">
        <f>'Rate Increases'!S21</f>
        <v>931540</v>
      </c>
      <c r="L34" s="2162">
        <f>'Rate Increases'!T21</f>
        <v>931540</v>
      </c>
      <c r="M34" s="3316">
        <f>'Rate Increases'!U21</f>
        <v>931540</v>
      </c>
      <c r="N34" s="3316">
        <f t="shared" si="17"/>
        <v>0</v>
      </c>
      <c r="O34" s="3332"/>
      <c r="P34" s="20"/>
      <c r="Q34" s="3324"/>
      <c r="R34" s="3324"/>
      <c r="S34" s="3324"/>
      <c r="T34" s="3324"/>
      <c r="U34" s="3324"/>
      <c r="V34" s="3324"/>
      <c r="W34" s="3324"/>
      <c r="X34" s="3324"/>
      <c r="Y34" s="3324"/>
    </row>
    <row r="35" spans="2:25" s="3094" customFormat="1">
      <c r="B35" s="3318" t="s">
        <v>22</v>
      </c>
      <c r="C35" s="2162">
        <f>'Rate Increases'!K15</f>
        <v>8163610.1982922778</v>
      </c>
      <c r="D35" s="2162">
        <f>'Rate Increases'!L15</f>
        <v>8335845.0008362718</v>
      </c>
      <c r="E35" s="2162">
        <f>'Rate Increases'!M15</f>
        <v>8497706.0688136742</v>
      </c>
      <c r="F35" s="2162">
        <f>'Rate Increases'!N15</f>
        <v>8659567.1367910709</v>
      </c>
      <c r="G35" s="2162">
        <f>'Rate Increases'!O15</f>
        <v>8810232.7882560082</v>
      </c>
      <c r="H35" s="2162">
        <f>'Rate Increases'!P15</f>
        <v>9064219.8067345899</v>
      </c>
      <c r="I35" s="2162">
        <f>'Rate Increases'!Q15</f>
        <v>9226080.8747119885</v>
      </c>
      <c r="J35" s="2162">
        <f>'Rate Increases'!R15</f>
        <v>9387941.9426893871</v>
      </c>
      <c r="K35" s="2162">
        <f>'Rate Increases'!S15</f>
        <v>9618511.025710687</v>
      </c>
      <c r="L35" s="2162">
        <f>'Rate Increases'!T15</f>
        <v>9792594.6126329061</v>
      </c>
      <c r="M35" s="3316">
        <f>'Rate Increases'!U15</f>
        <v>10035386.214599004</v>
      </c>
      <c r="N35" s="3316">
        <f t="shared" si="17"/>
        <v>1871776.0163067263</v>
      </c>
      <c r="O35" s="3332"/>
      <c r="P35" s="20"/>
      <c r="Q35" s="3324"/>
      <c r="R35" s="3324"/>
      <c r="S35" s="3324"/>
      <c r="T35" s="3324"/>
      <c r="U35" s="3324"/>
      <c r="V35" s="3324"/>
      <c r="W35" s="3324"/>
      <c r="X35" s="3324"/>
      <c r="Y35" s="3324"/>
    </row>
    <row r="36" spans="2:25" s="3094" customFormat="1">
      <c r="B36" s="3318" t="s">
        <v>16</v>
      </c>
      <c r="C36" s="2162">
        <f>'Rate Increases'!K16</f>
        <v>11291095.306770664</v>
      </c>
      <c r="D36" s="2162">
        <f>'Rate Increases'!L16</f>
        <v>13900883.269670105</v>
      </c>
      <c r="E36" s="2162">
        <f>'Rate Increases'!M16</f>
        <v>15792710.970608944</v>
      </c>
      <c r="F36" s="2162">
        <f>'Rate Increases'!N16</f>
        <v>18144557.128910389</v>
      </c>
      <c r="G36" s="2162">
        <f>'Rate Increases'!O16</f>
        <v>21044036.33062144</v>
      </c>
      <c r="H36" s="2162">
        <f>'Rate Increases'!P16</f>
        <v>22698396.339451</v>
      </c>
      <c r="I36" s="2162">
        <f>'Rate Increases'!Q16</f>
        <v>24333864.593313333</v>
      </c>
      <c r="J36" s="2162">
        <f>'Rate Increases'!R16</f>
        <v>25254172.77575345</v>
      </c>
      <c r="K36" s="2162">
        <f>'Rate Increases'!S16</f>
        <v>26277314.605053663</v>
      </c>
      <c r="L36" s="2162">
        <f>'Rate Increases'!T16</f>
        <v>27270888.7383647</v>
      </c>
      <c r="M36" s="3316">
        <f>'Rate Increases'!U16</f>
        <v>28070354.563841108</v>
      </c>
      <c r="N36" s="3316">
        <f t="shared" si="17"/>
        <v>16779259.257070445</v>
      </c>
      <c r="O36" s="3332"/>
      <c r="P36" s="20"/>
      <c r="Q36" s="3324"/>
      <c r="R36" s="3324"/>
      <c r="S36" s="3324"/>
      <c r="T36" s="3324"/>
      <c r="U36" s="3324"/>
      <c r="V36" s="3324"/>
      <c r="W36" s="3324"/>
      <c r="X36" s="3324"/>
      <c r="Y36" s="3324"/>
    </row>
    <row r="37" spans="2:25" s="3094" customFormat="1">
      <c r="B37" s="3318" t="s">
        <v>268</v>
      </c>
      <c r="C37" s="2162">
        <f>'Rate Increases'!K17+'Rate Increases'!K20</f>
        <v>56612242.099814743</v>
      </c>
      <c r="D37" s="2162">
        <f>'Rate Increases'!L17+'Rate Increases'!L20</f>
        <v>64315454.343939871</v>
      </c>
      <c r="E37" s="2162">
        <f>'Rate Increases'!M17+'Rate Increases'!M20</f>
        <v>70766826.779791951</v>
      </c>
      <c r="F37" s="2162">
        <f>'Rate Increases'!N17+'Rate Increases'!N20</f>
        <v>78528594.485206187</v>
      </c>
      <c r="G37" s="2162">
        <f>'Rate Increases'!O17+'Rate Increases'!O20</f>
        <v>83086734.286793634</v>
      </c>
      <c r="H37" s="2162">
        <f>'Rate Increases'!P17+'Rate Increases'!P20</f>
        <v>86856185.222205281</v>
      </c>
      <c r="I37" s="2162">
        <f>'Rate Increases'!Q17+'Rate Increases'!Q20</f>
        <v>89498629.959206671</v>
      </c>
      <c r="J37" s="2162">
        <f>'Rate Increases'!R17+'Rate Increases'!R20</f>
        <v>93721663.406699643</v>
      </c>
      <c r="K37" s="2162">
        <f>'Rate Increases'!S17+'Rate Increases'!S20</f>
        <v>98373786.094436437</v>
      </c>
      <c r="L37" s="2162">
        <f>'Rate Increases'!T17+'Rate Increases'!T20</f>
        <v>101080180.51590812</v>
      </c>
      <c r="M37" s="3316">
        <f>'Rate Increases'!U17+'Rate Increases'!U20</f>
        <v>104007935.46382579</v>
      </c>
      <c r="N37" s="3316">
        <f t="shared" si="17"/>
        <v>47395693.364011049</v>
      </c>
      <c r="O37" s="3332"/>
      <c r="P37" s="20"/>
      <c r="Q37" s="3324"/>
      <c r="R37" s="3324"/>
      <c r="S37" s="3324"/>
      <c r="T37" s="3324"/>
      <c r="U37" s="3324"/>
      <c r="V37" s="3324"/>
      <c r="W37" s="3324"/>
      <c r="X37" s="3324"/>
      <c r="Y37" s="3324"/>
    </row>
    <row r="38" spans="2:25" s="3094" customFormat="1">
      <c r="B38" s="3318" t="s">
        <v>18</v>
      </c>
      <c r="C38" s="2162">
        <f>'Rate Increases'!K18</f>
        <v>9530339.7387739029</v>
      </c>
      <c r="D38" s="2162">
        <f>'Rate Increases'!L18</f>
        <v>10038493.700286243</v>
      </c>
      <c r="E38" s="2162">
        <f>'Rate Increases'!M18</f>
        <v>10143145.318966553</v>
      </c>
      <c r="F38" s="2162">
        <f>'Rate Increases'!N18</f>
        <v>11284056.471414171</v>
      </c>
      <c r="G38" s="2162">
        <f>'Rate Increases'!O18</f>
        <v>11357718.262523709</v>
      </c>
      <c r="H38" s="2162">
        <f>'Rate Increases'!P18</f>
        <v>11395969.178446734</v>
      </c>
      <c r="I38" s="2162">
        <f>'Rate Increases'!Q18</f>
        <v>11452345.553469464</v>
      </c>
      <c r="J38" s="2162">
        <f>'Rate Increases'!R18</f>
        <v>11509003.810367303</v>
      </c>
      <c r="K38" s="2162">
        <f>'Rate Increases'!S18</f>
        <v>11584149.923444636</v>
      </c>
      <c r="L38" s="2162">
        <f>'Rate Increases'!T18</f>
        <v>11623171.614472874</v>
      </c>
      <c r="M38" s="3316">
        <f>'Rate Increases'!U18</f>
        <v>11680684.001675732</v>
      </c>
      <c r="N38" s="3316">
        <f t="shared" si="17"/>
        <v>2150344.2629018296</v>
      </c>
      <c r="O38" s="3332"/>
      <c r="P38" s="20"/>
      <c r="Q38" s="3324"/>
      <c r="R38" s="3324"/>
      <c r="S38" s="3324"/>
      <c r="T38" s="3324"/>
      <c r="U38" s="3324"/>
      <c r="V38" s="3324"/>
      <c r="W38" s="3324"/>
      <c r="X38" s="3324"/>
      <c r="Y38" s="3324"/>
    </row>
    <row r="39" spans="2:25" s="3094" customFormat="1">
      <c r="B39" s="3318" t="s">
        <v>19</v>
      </c>
      <c r="C39" s="2162">
        <f>'Rate Increases'!K19</f>
        <v>13296.862073089371</v>
      </c>
      <c r="D39" s="2162">
        <f>'Rate Increases'!L19</f>
        <v>13296.862073089371</v>
      </c>
      <c r="E39" s="2162">
        <f>'Rate Increases'!M19</f>
        <v>13296.862073089371</v>
      </c>
      <c r="F39" s="2162">
        <f>'Rate Increases'!N19</f>
        <v>13296.862073089371</v>
      </c>
      <c r="G39" s="2162">
        <f>'Rate Increases'!O19</f>
        <v>13296.862073089371</v>
      </c>
      <c r="H39" s="2162">
        <f>'Rate Increases'!P19</f>
        <v>13296.862073089371</v>
      </c>
      <c r="I39" s="2162">
        <f>'Rate Increases'!Q19</f>
        <v>13296.862073089371</v>
      </c>
      <c r="J39" s="2162">
        <f>'Rate Increases'!R19</f>
        <v>13296.862073089371</v>
      </c>
      <c r="K39" s="2162">
        <f>'Rate Increases'!S19</f>
        <v>13296.862073089371</v>
      </c>
      <c r="L39" s="2162">
        <f>'Rate Increases'!T19</f>
        <v>13296.862073089371</v>
      </c>
      <c r="M39" s="3316">
        <f>'Rate Increases'!U19</f>
        <v>13296.862073089371</v>
      </c>
      <c r="N39" s="3316">
        <f t="shared" si="17"/>
        <v>0</v>
      </c>
      <c r="O39" s="3332"/>
      <c r="P39" s="20"/>
      <c r="Q39" s="3324"/>
      <c r="R39" s="3324"/>
      <c r="S39" s="3324"/>
      <c r="T39" s="3324"/>
      <c r="U39" s="3324"/>
      <c r="V39" s="3324"/>
      <c r="W39" s="3324"/>
      <c r="X39" s="3324"/>
      <c r="Y39" s="3324"/>
    </row>
    <row r="40" spans="2:25" s="3094" customFormat="1">
      <c r="B40" s="3319" t="s">
        <v>66</v>
      </c>
      <c r="C40" s="1709">
        <f>'Rate Increases'!K24</f>
        <v>0</v>
      </c>
      <c r="D40" s="1709">
        <f>'Rate Increases'!L24</f>
        <v>0</v>
      </c>
      <c r="E40" s="1709">
        <f>'Rate Increases'!M24</f>
        <v>0</v>
      </c>
      <c r="F40" s="1709">
        <f>'Rate Increases'!N24</f>
        <v>0</v>
      </c>
      <c r="G40" s="1709">
        <f>'Rate Increases'!O24</f>
        <v>0</v>
      </c>
      <c r="H40" s="1709">
        <f>'Rate Increases'!P24</f>
        <v>0</v>
      </c>
      <c r="I40" s="1709">
        <f>'Rate Increases'!Q24</f>
        <v>0</v>
      </c>
      <c r="J40" s="1709">
        <f>'Rate Increases'!R24</f>
        <v>0</v>
      </c>
      <c r="K40" s="2162">
        <f>'Rate Increases'!S24</f>
        <v>0</v>
      </c>
      <c r="L40" s="1709">
        <f>'Rate Increases'!T24</f>
        <v>0</v>
      </c>
      <c r="M40" s="3320">
        <f>'Rate Increases'!U24</f>
        <v>0</v>
      </c>
      <c r="N40" s="3320">
        <f t="shared" si="17"/>
        <v>0</v>
      </c>
      <c r="O40" s="3332"/>
      <c r="P40" s="20"/>
      <c r="Q40" s="3324"/>
      <c r="R40" s="3324"/>
      <c r="S40" s="3324"/>
      <c r="T40" s="3324"/>
      <c r="U40" s="3324"/>
      <c r="V40" s="3324"/>
      <c r="W40" s="3324"/>
      <c r="X40" s="3324"/>
      <c r="Y40" s="3324"/>
    </row>
    <row r="41" spans="2:25" s="3094" customFormat="1">
      <c r="B41" s="3321" t="s">
        <v>452</v>
      </c>
      <c r="C41" s="3322">
        <f t="shared" ref="C41:K41" si="18">SUM(C31:C40)</f>
        <v>177888719.57935935</v>
      </c>
      <c r="D41" s="3322">
        <f t="shared" si="18"/>
        <v>189151609.48191893</v>
      </c>
      <c r="E41" s="3322">
        <f t="shared" si="18"/>
        <v>199018742.21355024</v>
      </c>
      <c r="F41" s="3322">
        <f t="shared" si="18"/>
        <v>211701890.08328342</v>
      </c>
      <c r="G41" s="3322">
        <f t="shared" si="18"/>
        <v>220681545.86055282</v>
      </c>
      <c r="H41" s="3322">
        <f t="shared" si="18"/>
        <v>227664139.09909725</v>
      </c>
      <c r="I41" s="3322">
        <f t="shared" si="18"/>
        <v>233459727.39384857</v>
      </c>
      <c r="J41" s="3322">
        <f t="shared" si="18"/>
        <v>240129647.17914683</v>
      </c>
      <c r="K41" s="4240">
        <f t="shared" si="18"/>
        <v>247452592.35736862</v>
      </c>
      <c r="L41" s="3322">
        <f t="shared" ref="L41:M41" si="19">SUM(L31:L40)</f>
        <v>252673695.65705955</v>
      </c>
      <c r="M41" s="3323">
        <f t="shared" si="19"/>
        <v>258043141.54634464</v>
      </c>
      <c r="N41" s="3323">
        <f t="shared" si="17"/>
        <v>80154421.966985285</v>
      </c>
      <c r="O41" s="3332"/>
      <c r="P41" s="20"/>
      <c r="Q41" s="3324"/>
      <c r="R41" s="3324"/>
      <c r="S41" s="3324"/>
      <c r="T41" s="3324"/>
      <c r="U41" s="3324"/>
      <c r="V41" s="3324"/>
      <c r="W41" s="3324"/>
      <c r="X41" s="3324"/>
      <c r="Y41" s="3324"/>
    </row>
    <row r="42" spans="2:25" s="3094" customFormat="1">
      <c r="B42" s="3332"/>
      <c r="C42" s="3333"/>
      <c r="D42" s="3333"/>
      <c r="E42" s="3333"/>
      <c r="F42" s="3333"/>
      <c r="G42" s="3333"/>
      <c r="H42" s="3333"/>
      <c r="I42" s="3333"/>
      <c r="J42" s="3333"/>
      <c r="K42" s="3333"/>
      <c r="L42" s="3333"/>
      <c r="M42" s="3333"/>
      <c r="O42" s="3332"/>
      <c r="P42" s="20"/>
      <c r="Q42" s="3324"/>
      <c r="R42" s="3324"/>
      <c r="S42" s="3324"/>
      <c r="T42" s="3324"/>
      <c r="U42" s="3324"/>
      <c r="V42" s="3324"/>
      <c r="W42" s="3324"/>
      <c r="X42" s="3324"/>
      <c r="Y42" s="3324"/>
    </row>
    <row r="43" spans="2:25">
      <c r="B43" s="4510" t="s">
        <v>3520</v>
      </c>
      <c r="C43" s="4511"/>
      <c r="D43" s="4511"/>
      <c r="E43" s="4511"/>
      <c r="F43" s="4511"/>
      <c r="G43" s="4511"/>
      <c r="H43" s="4511"/>
      <c r="I43" s="4511"/>
      <c r="J43" s="4511"/>
      <c r="K43" s="4512"/>
      <c r="L43" s="4511"/>
      <c r="M43" s="4511"/>
      <c r="N43" s="4513"/>
    </row>
    <row r="44" spans="2:25">
      <c r="B44" s="1696"/>
      <c r="C44" s="20">
        <v>2016</v>
      </c>
      <c r="D44" s="20">
        <v>2017</v>
      </c>
      <c r="E44" s="20">
        <v>2018</v>
      </c>
      <c r="F44" s="20">
        <v>2019</v>
      </c>
      <c r="G44" s="20">
        <v>2020</v>
      </c>
      <c r="H44" s="20">
        <v>2021</v>
      </c>
      <c r="I44" s="20">
        <v>2022</v>
      </c>
      <c r="J44" s="20">
        <v>2023</v>
      </c>
      <c r="K44" s="4239">
        <v>2024</v>
      </c>
      <c r="L44" s="20">
        <v>2025</v>
      </c>
      <c r="M44" s="1781">
        <v>2026</v>
      </c>
      <c r="N44" s="1781" t="s">
        <v>3522</v>
      </c>
    </row>
    <row r="45" spans="2:25">
      <c r="B45" s="3315" t="s">
        <v>2763</v>
      </c>
      <c r="C45" s="2162">
        <f>'Rate Increases'!K10+'Rate Increases'!K31</f>
        <v>43330607.45485945</v>
      </c>
      <c r="D45" s="2162">
        <f>'Rate Increases'!L10+'Rate Increases'!L31</f>
        <v>44544594.812468678</v>
      </c>
      <c r="E45" s="2162">
        <f>'Rate Increases'!M10+'Rate Increases'!M31</f>
        <v>45814212.902738735</v>
      </c>
      <c r="F45" s="2162">
        <f>'Rate Increases'!N10+'Rate Increases'!N31</f>
        <v>47120420.061369091</v>
      </c>
      <c r="G45" s="2162">
        <f>'Rate Increases'!O10+'Rate Increases'!O31</f>
        <v>48486773.883008912</v>
      </c>
      <c r="H45" s="2162">
        <f>'Rate Increases'!P10+'Rate Increases'!P31</f>
        <v>49848698.680134758</v>
      </c>
      <c r="I45" s="2162">
        <f>'Rate Increases'!Q10+'Rate Increases'!Q31</f>
        <v>51272801.535892956</v>
      </c>
      <c r="J45" s="2162">
        <f>'Rate Increases'!R10+'Rate Increases'!R31</f>
        <v>52738538.484054431</v>
      </c>
      <c r="K45" s="2162">
        <f>'Rate Increases'!S10+'Rate Increases'!S31</f>
        <v>54271248.920275912</v>
      </c>
      <c r="L45" s="2162">
        <f>'Rate Increases'!T10+'Rate Increases'!T31</f>
        <v>55236289.433980763</v>
      </c>
      <c r="M45" s="3316">
        <f>'Rate Increases'!U10+'Rate Increases'!U31</f>
        <v>57255052.68996156</v>
      </c>
      <c r="N45" s="3316">
        <f>M45-C31</f>
        <v>13924445.23510211</v>
      </c>
    </row>
    <row r="46" spans="2:25">
      <c r="B46" s="3317" t="s">
        <v>3516</v>
      </c>
      <c r="C46" s="2162">
        <f>'Rate Increases'!K13+'Rate Increases'!K14+'Rate Increases'!K22+'Rate Increases'!K23+'Rate Increases'!K34+'Rate Increases'!K35+'Rate Increases'!K43+'Rate Increases'!K44</f>
        <v>23375711.518919028</v>
      </c>
      <c r="D46" s="2162">
        <f>'Rate Increases'!L13+'Rate Increases'!L14+'Rate Increases'!L22+'Rate Increases'!L23+'Rate Increases'!L34+'Rate Increases'!L35+'Rate Increases'!L43+'Rate Increases'!L44</f>
        <v>24286391.168533415</v>
      </c>
      <c r="E46" s="2162">
        <f>'Rate Increases'!M13+'Rate Increases'!M14+'Rate Increases'!M22+'Rate Increases'!M23+'Rate Increases'!M34+'Rate Increases'!M35+'Rate Increases'!M43+'Rate Increases'!M44</f>
        <v>25227276.856322162</v>
      </c>
      <c r="F46" s="2162">
        <f>'Rate Increases'!N13+'Rate Increases'!N14+'Rate Increases'!N22+'Rate Increases'!N23+'Rate Increases'!N34+'Rate Increases'!N35+'Rate Increases'!N43+'Rate Increases'!N44</f>
        <v>26197615.353160512</v>
      </c>
      <c r="G46" s="2162">
        <f>'Rate Increases'!O13+'Rate Increases'!O14+'Rate Increases'!O22+'Rate Increases'!O23+'Rate Increases'!O34+'Rate Increases'!O35+'Rate Increases'!O43+'Rate Increases'!O44</f>
        <v>27198854.732793301</v>
      </c>
      <c r="H46" s="2162">
        <f>'Rate Increases'!P13+'Rate Increases'!P14+'Rate Increases'!P22+'Rate Increases'!P23+'Rate Increases'!P34+'Rate Increases'!P35+'Rate Increases'!P43+'Rate Increases'!P44</f>
        <v>28231858.165445242</v>
      </c>
      <c r="I46" s="2162">
        <f>'Rate Increases'!Q13+'Rate Increases'!Q14+'Rate Increases'!Q22+'Rate Increases'!Q23+'Rate Increases'!Q34+'Rate Increases'!Q35+'Rate Increases'!Q43+'Rate Increases'!Q44</f>
        <v>29297096.194257583</v>
      </c>
      <c r="J46" s="2162">
        <f>'Rate Increases'!R13+'Rate Increases'!R14+'Rate Increases'!R22+'Rate Increases'!R23+'Rate Increases'!R34+'Rate Increases'!R35+'Rate Increases'!R43+'Rate Increases'!R44</f>
        <v>30396101.946462154</v>
      </c>
      <c r="K46" s="2162">
        <f>'Rate Increases'!S13+'Rate Increases'!S14+'Rate Increases'!S22+'Rate Increases'!S23+'Rate Increases'!S34+'Rate Increases'!S35+'Rate Increases'!S43+'Rate Increases'!S44</f>
        <v>31528759.999009952</v>
      </c>
      <c r="L46" s="2162">
        <f>'Rate Increases'!T13+'Rate Increases'!T14+'Rate Increases'!T22+'Rate Increases'!T23+'Rate Increases'!T34+'Rate Increases'!T35+'Rate Increases'!T43+'Rate Increases'!T44</f>
        <v>32181832.82213904</v>
      </c>
      <c r="M46" s="3316">
        <f>'Rate Increases'!U13+'Rate Increases'!U14+'Rate Increases'!U22+'Rate Increases'!U23+'Rate Increases'!U34+'Rate Increases'!U35+'Rate Increases'!U43+'Rate Increases'!U44</f>
        <v>32841493.716563366</v>
      </c>
      <c r="N46" s="3316">
        <f t="shared" ref="N46:N54" si="20">M46-C32</f>
        <v>9465782.197644338</v>
      </c>
    </row>
    <row r="47" spans="2:25">
      <c r="B47" s="3318" t="s">
        <v>15</v>
      </c>
      <c r="C47" s="2162">
        <f>'Rate Increases'!K11+'Rate Increases'!K12+'Rate Increases'!K32+'Rate Increases'!K33</f>
        <v>24640276.399856191</v>
      </c>
      <c r="D47" s="2162">
        <f>'Rate Increases'!L11+'Rate Increases'!L12+'Rate Increases'!L32+'Rate Increases'!L33</f>
        <v>24750810.324111272</v>
      </c>
      <c r="E47" s="2162">
        <f>'Rate Increases'!M11+'Rate Increases'!M12+'Rate Increases'!M32+'Rate Increases'!M33</f>
        <v>25863926.454235099</v>
      </c>
      <c r="F47" s="2162">
        <f>'Rate Increases'!N11+'Rate Increases'!N12+'Rate Increases'!N32+'Rate Increases'!N33</f>
        <v>27024342.584358923</v>
      </c>
      <c r="G47" s="2162">
        <f>'Rate Increases'!O11+'Rate Increases'!O12+'Rate Increases'!O32+'Rate Increases'!O33</f>
        <v>28234058.714482747</v>
      </c>
      <c r="H47" s="2162">
        <f>'Rate Increases'!P11+'Rate Increases'!P12+'Rate Increases'!P32+'Rate Increases'!P33</f>
        <v>29495174.844606567</v>
      </c>
      <c r="I47" s="2162">
        <f>'Rate Increases'!Q11+'Rate Increases'!Q12+'Rate Increases'!Q32+'Rate Increases'!Q33</f>
        <v>30811471.820923492</v>
      </c>
      <c r="J47" s="2162">
        <f>'Rate Increases'!R11+'Rate Increases'!R12+'Rate Increases'!R32+'Rate Increases'!R33</f>
        <v>32181387.951047327</v>
      </c>
      <c r="K47" s="2162">
        <f>'Rate Increases'!S11+'Rate Increases'!S12+'Rate Increases'!S32+'Rate Increases'!S33</f>
        <v>33611184.927364245</v>
      </c>
      <c r="L47" s="2162">
        <f>'Rate Increases'!T11+'Rate Increases'!T12+'Rate Increases'!T32+'Rate Increases'!T33</f>
        <v>34373001.057488069</v>
      </c>
      <c r="M47" s="3316">
        <f>'Rate Increases'!U11+'Rate Increases'!U12+'Rate Increases'!U32+'Rate Increases'!U33</f>
        <v>35476298.033804983</v>
      </c>
      <c r="N47" s="3316">
        <f t="shared" si="20"/>
        <v>10836021.633948792</v>
      </c>
    </row>
    <row r="48" spans="2:25">
      <c r="B48" s="3318" t="s">
        <v>4</v>
      </c>
      <c r="C48" s="2162">
        <f>'Rate Increases'!K21+'Rate Increases'!K42</f>
        <v>931540</v>
      </c>
      <c r="D48" s="2162">
        <f>'Rate Increases'!L21+'Rate Increases'!L42</f>
        <v>936240</v>
      </c>
      <c r="E48" s="2162">
        <f>'Rate Increases'!M21+'Rate Increases'!M42</f>
        <v>940940</v>
      </c>
      <c r="F48" s="2162">
        <f>'Rate Increases'!N21+'Rate Increases'!N42</f>
        <v>945640</v>
      </c>
      <c r="G48" s="2162">
        <f>'Rate Increases'!O21+'Rate Increases'!O42</f>
        <v>950340</v>
      </c>
      <c r="H48" s="2162">
        <f>'Rate Increases'!P21+'Rate Increases'!P42</f>
        <v>955140</v>
      </c>
      <c r="I48" s="2162">
        <f>'Rate Increases'!Q21+'Rate Increases'!Q42</f>
        <v>959940</v>
      </c>
      <c r="J48" s="2162">
        <f>'Rate Increases'!R21+'Rate Increases'!R42</f>
        <v>964740</v>
      </c>
      <c r="K48" s="2162">
        <f>'Rate Increases'!S21+'Rate Increases'!S42</f>
        <v>969540</v>
      </c>
      <c r="L48" s="2162">
        <f>'Rate Increases'!T21+'Rate Increases'!T42</f>
        <v>974340</v>
      </c>
      <c r="M48" s="3316">
        <f>'Rate Increases'!U21+'Rate Increases'!U42</f>
        <v>979240</v>
      </c>
      <c r="N48" s="3316">
        <f t="shared" si="20"/>
        <v>47700</v>
      </c>
    </row>
    <row r="49" spans="2:25">
      <c r="B49" s="3318" t="s">
        <v>22</v>
      </c>
      <c r="C49" s="2162">
        <f>'Rate Increases'!K15+'Rate Increases'!K36</f>
        <v>8163610.1982922778</v>
      </c>
      <c r="D49" s="2162">
        <f>'Rate Increases'!L15+'Rate Increases'!L36</f>
        <v>8416145.0008362718</v>
      </c>
      <c r="E49" s="2162">
        <f>'Rate Increases'!M15+'Rate Increases'!M36</f>
        <v>8662106.0688136742</v>
      </c>
      <c r="F49" s="2162">
        <f>'Rate Increases'!N15+'Rate Increases'!N36</f>
        <v>8912167.1367910709</v>
      </c>
      <c r="G49" s="2162">
        <f>'Rate Increases'!O15+'Rate Increases'!O36</f>
        <v>9154632.7882560082</v>
      </c>
      <c r="H49" s="2162">
        <f>'Rate Increases'!P15+'Rate Increases'!P36</f>
        <v>9509119.8067345899</v>
      </c>
      <c r="I49" s="2162">
        <f>'Rate Increases'!Q15+'Rate Increases'!Q36</f>
        <v>9772280.8747119885</v>
      </c>
      <c r="J49" s="2162">
        <f>'Rate Increases'!R15+'Rate Increases'!R36</f>
        <v>10039641.942689387</v>
      </c>
      <c r="K49" s="2162">
        <f>'Rate Increases'!S15+'Rate Increases'!S36</f>
        <v>10385011.025710687</v>
      </c>
      <c r="L49" s="2162">
        <f>'Rate Increases'!T15+'Rate Increases'!T36</f>
        <v>10625894.612632906</v>
      </c>
      <c r="M49" s="3316">
        <f>'Rate Increases'!U15+'Rate Increases'!U36</f>
        <v>10943886.214599004</v>
      </c>
      <c r="N49" s="3316">
        <f t="shared" si="20"/>
        <v>2780276.0163067263</v>
      </c>
    </row>
    <row r="50" spans="2:25">
      <c r="B50" s="3318" t="s">
        <v>16</v>
      </c>
      <c r="C50" s="2162">
        <f>'Rate Increases'!K16+'Rate Increases'!K37</f>
        <v>11291095.306770664</v>
      </c>
      <c r="D50" s="2162">
        <f>'Rate Increases'!L16+'Rate Increases'!L37</f>
        <v>14595883.269670105</v>
      </c>
      <c r="E50" s="2162">
        <f>'Rate Increases'!M16+'Rate Increases'!M37</f>
        <v>17411410.970608942</v>
      </c>
      <c r="F50" s="2162">
        <f>'Rate Increases'!N16+'Rate Increases'!N37</f>
        <v>21004557.128910389</v>
      </c>
      <c r="G50" s="2162">
        <f>'Rate Increases'!O16+'Rate Increases'!O37</f>
        <v>25579236.33062144</v>
      </c>
      <c r="H50" s="2162">
        <f>'Rate Increases'!P16+'Rate Increases'!P37</f>
        <v>28969496.339451</v>
      </c>
      <c r="I50" s="2162">
        <f>'Rate Increases'!Q16+'Rate Increases'!Q37</f>
        <v>32609664.593313333</v>
      </c>
      <c r="J50" s="2162">
        <f>'Rate Increases'!R16+'Rate Increases'!R37</f>
        <v>35534972.775753453</v>
      </c>
      <c r="K50" s="2162">
        <f>'Rate Increases'!S16+'Rate Increases'!S37</f>
        <v>38823614.605053663</v>
      </c>
      <c r="L50" s="2162">
        <f>'Rate Increases'!T16+'Rate Increases'!T37</f>
        <v>41433188.738364697</v>
      </c>
      <c r="M50" s="3316">
        <f>'Rate Increases'!U16+'Rate Increases'!U37</f>
        <v>43458154.563841105</v>
      </c>
      <c r="N50" s="3316">
        <f t="shared" si="20"/>
        <v>32167059.257070441</v>
      </c>
    </row>
    <row r="51" spans="2:25">
      <c r="B51" s="3318" t="s">
        <v>268</v>
      </c>
      <c r="C51" s="2162">
        <f>'Rate Increases'!K17+'Rate Increases'!K20+'Rate Increases'!K38+'Rate Increases'!K41</f>
        <v>56612242.099814743</v>
      </c>
      <c r="D51" s="2162">
        <f>'Rate Increases'!L17+'Rate Increases'!L20+'Rate Increases'!L38+'Rate Increases'!L41</f>
        <v>64736754.343939871</v>
      </c>
      <c r="E51" s="2162">
        <f>'Rate Increases'!M17+'Rate Increases'!M20+'Rate Increases'!M38+'Rate Increases'!M41</f>
        <v>71696826.779791951</v>
      </c>
      <c r="F51" s="2162">
        <f>'Rate Increases'!N17+'Rate Increases'!N20+'Rate Increases'!N38+'Rate Increases'!N41</f>
        <v>80081694.485206187</v>
      </c>
      <c r="G51" s="2162">
        <f>'Rate Increases'!O17+'Rate Increases'!O20+'Rate Increases'!O38+'Rate Increases'!O41</f>
        <v>85284934.286793634</v>
      </c>
      <c r="H51" s="2162">
        <f>'Rate Increases'!P17+'Rate Increases'!P20+'Rate Increases'!P38+'Rate Increases'!P41</f>
        <v>89738185.222205281</v>
      </c>
      <c r="I51" s="2162">
        <f>'Rate Increases'!Q17+'Rate Increases'!Q20+'Rate Increases'!Q38+'Rate Increases'!Q41</f>
        <v>93074029.959206671</v>
      </c>
      <c r="J51" s="2162">
        <f>'Rate Increases'!R17+'Rate Increases'!R20+'Rate Increases'!R38+'Rate Increases'!R41</f>
        <v>98104063.406699643</v>
      </c>
      <c r="K51" s="2162">
        <f>'Rate Increases'!S17+'Rate Increases'!S20+'Rate Increases'!S38+'Rate Increases'!S41</f>
        <v>103648286.09443644</v>
      </c>
      <c r="L51" s="2162">
        <f>'Rate Increases'!T17+'Rate Increases'!T20+'Rate Increases'!T38+'Rate Increases'!T41</f>
        <v>109517680.51590812</v>
      </c>
      <c r="M51" s="3316">
        <f>'Rate Increases'!U17+'Rate Increases'!U20+'Rate Increases'!U38+'Rate Increases'!U41</f>
        <v>114943735.46382579</v>
      </c>
      <c r="N51" s="3316">
        <f t="shared" si="20"/>
        <v>58331493.364011049</v>
      </c>
    </row>
    <row r="52" spans="2:25">
      <c r="B52" s="3318" t="s">
        <v>18</v>
      </c>
      <c r="C52" s="2162">
        <f>'Rate Increases'!K18+'Rate Increases'!K39</f>
        <v>9530339.7387739029</v>
      </c>
      <c r="D52" s="2162">
        <f>'Rate Increases'!L18+'Rate Increases'!L39</f>
        <v>10540393.700286243</v>
      </c>
      <c r="E52" s="2162">
        <f>'Rate Increases'!M18+'Rate Increases'!M39</f>
        <v>11182845.318966553</v>
      </c>
      <c r="F52" s="2162">
        <f>'Rate Increases'!N18+'Rate Increases'!N39</f>
        <v>13062656.471414171</v>
      </c>
      <c r="G52" s="2162">
        <f>'Rate Increases'!O18+'Rate Increases'!O39</f>
        <v>13805418.262523709</v>
      </c>
      <c r="H52" s="2162">
        <f>'Rate Increases'!P18+'Rate Increases'!P39</f>
        <v>14544469.178446734</v>
      </c>
      <c r="I52" s="2162">
        <f>'Rate Increases'!Q18+'Rate Increases'!Q39</f>
        <v>15347145.553469464</v>
      </c>
      <c r="J52" s="2162">
        <f>'Rate Increases'!R18+'Rate Increases'!R39</f>
        <v>16194403.810367303</v>
      </c>
      <c r="K52" s="2162">
        <f>'Rate Increases'!S18+'Rate Increases'!S39</f>
        <v>17115049.923444636</v>
      </c>
      <c r="L52" s="2162">
        <f>'Rate Increases'!T18+'Rate Increases'!T39</f>
        <v>18031271.614472874</v>
      </c>
      <c r="M52" s="3316">
        <f>'Rate Increases'!U18+'Rate Increases'!U39</f>
        <v>18990384.001675732</v>
      </c>
      <c r="N52" s="3316">
        <f t="shared" si="20"/>
        <v>9460044.2629018296</v>
      </c>
    </row>
    <row r="53" spans="2:25">
      <c r="B53" s="3318" t="s">
        <v>19</v>
      </c>
      <c r="C53" s="2162">
        <f>'Rate Increases'!K19+'Rate Increases'!K40</f>
        <v>13296.862073089371</v>
      </c>
      <c r="D53" s="2162">
        <f>'Rate Increases'!L19+'Rate Increases'!L40</f>
        <v>13996.862073089371</v>
      </c>
      <c r="E53" s="2162">
        <f>'Rate Increases'!M19+'Rate Increases'!M40</f>
        <v>14696.862073089371</v>
      </c>
      <c r="F53" s="2162">
        <f>'Rate Increases'!N19+'Rate Increases'!N40</f>
        <v>15396.862073089371</v>
      </c>
      <c r="G53" s="2162">
        <f>'Rate Increases'!O19+'Rate Increases'!O40</f>
        <v>16196.862073089371</v>
      </c>
      <c r="H53" s="2162">
        <f>'Rate Increases'!P19+'Rate Increases'!P40</f>
        <v>16996.862073089371</v>
      </c>
      <c r="I53" s="2162">
        <f>'Rate Increases'!Q19+'Rate Increases'!Q40</f>
        <v>17796.862073089371</v>
      </c>
      <c r="J53" s="2162">
        <f>'Rate Increases'!R19+'Rate Increases'!R40</f>
        <v>18696.862073089371</v>
      </c>
      <c r="K53" s="2162">
        <f>'Rate Increases'!S19+'Rate Increases'!S40</f>
        <v>19596.862073089371</v>
      </c>
      <c r="L53" s="2162">
        <f>'Rate Increases'!T19+'Rate Increases'!T40</f>
        <v>20596.862073089371</v>
      </c>
      <c r="M53" s="3316">
        <f>'Rate Increases'!U19+'Rate Increases'!U40</f>
        <v>21596.862073089371</v>
      </c>
      <c r="N53" s="3316">
        <f t="shared" si="20"/>
        <v>8300</v>
      </c>
      <c r="P53" s="3094"/>
      <c r="Q53" s="3094"/>
      <c r="R53" s="3094"/>
      <c r="S53" s="3094"/>
    </row>
    <row r="54" spans="2:25">
      <c r="B54" s="3319" t="s">
        <v>66</v>
      </c>
      <c r="C54" s="1709">
        <f>'Rate Increases'!K24+'Rate Increases'!K45</f>
        <v>0</v>
      </c>
      <c r="D54" s="1709">
        <f>'Rate Increases'!L24+'Rate Increases'!L45</f>
        <v>0</v>
      </c>
      <c r="E54" s="1709">
        <f>'Rate Increases'!M24+'Rate Increases'!M45</f>
        <v>0</v>
      </c>
      <c r="F54" s="1709">
        <f>'Rate Increases'!N24+'Rate Increases'!N45</f>
        <v>0</v>
      </c>
      <c r="G54" s="1709">
        <f>'Rate Increases'!O24+'Rate Increases'!O45</f>
        <v>0</v>
      </c>
      <c r="H54" s="1709">
        <f>'Rate Increases'!P24+'Rate Increases'!P45</f>
        <v>0</v>
      </c>
      <c r="I54" s="1709">
        <f>'Rate Increases'!Q24+'Rate Increases'!Q45</f>
        <v>0</v>
      </c>
      <c r="J54" s="1709">
        <f>'Rate Increases'!R24+'Rate Increases'!R45</f>
        <v>0</v>
      </c>
      <c r="K54" s="1709">
        <f>'Rate Increases'!S24+'Rate Increases'!S45</f>
        <v>0</v>
      </c>
      <c r="L54" s="1709">
        <f>'Rate Increases'!T24+'Rate Increases'!T45</f>
        <v>0</v>
      </c>
      <c r="M54" s="3320">
        <f>'Rate Increases'!U24+'Rate Increases'!U45</f>
        <v>0</v>
      </c>
      <c r="N54" s="3320">
        <f t="shared" si="20"/>
        <v>0</v>
      </c>
      <c r="P54" s="3094"/>
      <c r="Q54" s="3094"/>
      <c r="R54" s="3094"/>
      <c r="S54" s="3094"/>
    </row>
    <row r="55" spans="2:25">
      <c r="B55" s="3321" t="s">
        <v>452</v>
      </c>
      <c r="C55" s="3322">
        <f t="shared" ref="C55:N55" si="21">SUM(C45:C54)</f>
        <v>177888719.57935935</v>
      </c>
      <c r="D55" s="3322">
        <f t="shared" si="21"/>
        <v>192821209.48191893</v>
      </c>
      <c r="E55" s="3322">
        <f t="shared" si="21"/>
        <v>206814242.21355024</v>
      </c>
      <c r="F55" s="3322">
        <f t="shared" si="21"/>
        <v>224364490.08328342</v>
      </c>
      <c r="G55" s="3322">
        <f t="shared" si="21"/>
        <v>238710445.86055282</v>
      </c>
      <c r="H55" s="3322">
        <f t="shared" si="21"/>
        <v>251309139.09909725</v>
      </c>
      <c r="I55" s="3322">
        <f t="shared" si="21"/>
        <v>263162227.39384857</v>
      </c>
      <c r="J55" s="3322">
        <f t="shared" si="21"/>
        <v>276172547.17914677</v>
      </c>
      <c r="K55" s="3322">
        <f t="shared" si="21"/>
        <v>290372292.35736859</v>
      </c>
      <c r="L55" s="3322">
        <f t="shared" ref="L55:M55" si="22">SUM(L45:L54)</f>
        <v>302394095.65705955</v>
      </c>
      <c r="M55" s="3323">
        <f t="shared" si="22"/>
        <v>314909841.54634464</v>
      </c>
      <c r="N55" s="3323">
        <f t="shared" si="21"/>
        <v>137021121.96698529</v>
      </c>
      <c r="P55" s="3094"/>
      <c r="Q55" s="3094"/>
      <c r="R55" s="3094"/>
      <c r="S55" s="3094"/>
    </row>
    <row r="56" spans="2:25" s="3094" customFormat="1">
      <c r="B56" s="3332"/>
      <c r="C56" s="3333"/>
      <c r="D56" s="3333"/>
      <c r="E56" s="3333"/>
      <c r="F56" s="3333"/>
      <c r="G56" s="3333"/>
      <c r="H56" s="3333"/>
      <c r="I56" s="3333"/>
      <c r="J56" s="3333"/>
      <c r="K56" s="3333"/>
      <c r="L56" s="3333"/>
      <c r="M56" s="3333"/>
      <c r="O56" s="3332"/>
      <c r="T56" s="3334"/>
      <c r="U56" s="3334"/>
      <c r="V56" s="3334"/>
      <c r="W56" s="3334"/>
      <c r="X56" s="3334"/>
      <c r="Y56" s="3334"/>
    </row>
    <row r="57" spans="2:25" s="3094" customFormat="1">
      <c r="B57" s="4510" t="s">
        <v>3519</v>
      </c>
      <c r="C57" s="4511"/>
      <c r="D57" s="4511"/>
      <c r="E57" s="4511"/>
      <c r="F57" s="4511"/>
      <c r="G57" s="4511"/>
      <c r="H57" s="4511"/>
      <c r="I57" s="4511"/>
      <c r="J57" s="4511"/>
      <c r="K57" s="4512"/>
      <c r="L57" s="4511"/>
      <c r="M57" s="4511"/>
      <c r="N57" s="4513"/>
      <c r="O57" s="3332"/>
      <c r="T57" s="3334"/>
      <c r="U57" s="3334"/>
      <c r="V57" s="3334"/>
      <c r="W57" s="3334"/>
      <c r="X57" s="3334"/>
      <c r="Y57" s="3334"/>
    </row>
    <row r="58" spans="2:25" s="3094" customFormat="1">
      <c r="B58" s="1696"/>
      <c r="C58" s="20">
        <v>2016</v>
      </c>
      <c r="D58" s="20">
        <v>2017</v>
      </c>
      <c r="E58" s="20">
        <v>2018</v>
      </c>
      <c r="F58" s="20">
        <v>2019</v>
      </c>
      <c r="G58" s="20">
        <v>2020</v>
      </c>
      <c r="H58" s="20">
        <v>2021</v>
      </c>
      <c r="I58" s="20">
        <v>2022</v>
      </c>
      <c r="J58" s="20">
        <v>2023</v>
      </c>
      <c r="K58" s="4239">
        <v>2024</v>
      </c>
      <c r="L58" s="20">
        <v>2025</v>
      </c>
      <c r="M58" s="1781">
        <v>2026</v>
      </c>
      <c r="N58" s="3337" t="s">
        <v>3524</v>
      </c>
      <c r="O58" s="3332"/>
      <c r="T58" s="3334"/>
      <c r="U58" s="3334"/>
      <c r="V58" s="3334"/>
      <c r="W58" s="3334"/>
      <c r="X58" s="3334"/>
      <c r="Y58" s="3334"/>
    </row>
    <row r="59" spans="2:25" s="3094" customFormat="1">
      <c r="B59" s="3315" t="s">
        <v>2763</v>
      </c>
      <c r="C59" s="3327"/>
      <c r="D59" s="3327">
        <f>'COS_Summ (cumulative)'!K88</f>
        <v>1.4596877915346E-2</v>
      </c>
      <c r="E59" s="3327">
        <f>'COS_Summ (cumulative)'!L88</f>
        <v>1.4596877915346E-2</v>
      </c>
      <c r="F59" s="3327">
        <f>'COS_Summ (cumulative)'!M88</f>
        <v>1.4596877915346E-2</v>
      </c>
      <c r="G59" s="3327">
        <f>'COS_Summ (cumulative)'!N88</f>
        <v>1.4596877915346E-2</v>
      </c>
      <c r="H59" s="3327">
        <f>'COS_Summ (cumulative)'!O88</f>
        <v>1.4596877915346E-2</v>
      </c>
      <c r="I59" s="3327">
        <f>'COS_Summ (cumulative)'!P88</f>
        <v>1.4596877915346E-2</v>
      </c>
      <c r="J59" s="3327">
        <f>'COS_Summ (cumulative)'!Q88</f>
        <v>1.4596877915346E-2</v>
      </c>
      <c r="K59" s="3327">
        <f>'COS_Summ (cumulative)'!R88</f>
        <v>1.4596877915346E-2</v>
      </c>
      <c r="L59" s="3327">
        <f>'COS_Summ (cumulative)'!S88</f>
        <v>4.3548301635403788E-3</v>
      </c>
      <c r="M59" s="3328">
        <f>'COS_Summ (cumulative)'!T88</f>
        <v>2.2412295278799999E-2</v>
      </c>
      <c r="N59" s="3325">
        <f>(1+D59)*(1+E59)*(1+F59)*(1+G59)*(1+H59)*(1+I59)*(1+J59)*(1+K59)*(1+L59)*(1+M59)-1</f>
        <v>0.15308522877214159</v>
      </c>
      <c r="O59" s="3332"/>
      <c r="T59" s="3334"/>
      <c r="U59" s="3334"/>
      <c r="V59" s="3334"/>
      <c r="W59" s="3334"/>
      <c r="X59" s="3334"/>
      <c r="Y59" s="3334"/>
    </row>
    <row r="60" spans="2:25" s="3094" customFormat="1">
      <c r="B60" s="3317" t="s">
        <v>3516</v>
      </c>
      <c r="C60" s="3327"/>
      <c r="D60" s="3327">
        <f>'COS_Summ (cumulative)'!K90</f>
        <v>2.1108180556527703E-2</v>
      </c>
      <c r="E60" s="3327">
        <f>'COS_Summ (cumulative)'!L90</f>
        <v>2.1108180556527703E-2</v>
      </c>
      <c r="F60" s="3327">
        <f>'COS_Summ (cumulative)'!M90</f>
        <v>2.1108180556527703E-2</v>
      </c>
      <c r="G60" s="3327">
        <f>'COS_Summ (cumulative)'!N90</f>
        <v>2.1108180556527703E-2</v>
      </c>
      <c r="H60" s="3327">
        <f>'COS_Summ (cumulative)'!O90</f>
        <v>2.1108180556527703E-2</v>
      </c>
      <c r="I60" s="3327">
        <f>'COS_Summ (cumulative)'!P90</f>
        <v>2.1108180556527703E-2</v>
      </c>
      <c r="J60" s="3327">
        <f>'COS_Summ (cumulative)'!Q90</f>
        <v>2.1108180556527703E-2</v>
      </c>
      <c r="K60" s="3327">
        <f>'COS_Summ (cumulative)'!R90</f>
        <v>2.1108180556527703E-2</v>
      </c>
      <c r="L60" s="3327">
        <f>'COS_Summ (cumulative)'!S90</f>
        <v>5.0000000000000001E-3</v>
      </c>
      <c r="M60" s="3328">
        <f>'COS_Summ (cumulative)'!T90</f>
        <v>5.0000000000000001E-3</v>
      </c>
      <c r="N60" s="3325">
        <f t="shared" ref="N60:N69" si="23">(1+D60)*(1+E60)*(1+F60)*(1+G60)*(1+H60)*(1+I60)*(1+J60)*(1+K60)*(1+L60)*(1+M60)-1</f>
        <v>0.19373016325829595</v>
      </c>
      <c r="O60" s="3332"/>
      <c r="T60" s="3334"/>
      <c r="U60" s="3334"/>
      <c r="V60" s="3334"/>
      <c r="W60" s="3334"/>
      <c r="X60" s="3334"/>
      <c r="Y60" s="3334"/>
    </row>
    <row r="61" spans="2:25" s="3094" customFormat="1">
      <c r="B61" s="3318" t="s">
        <v>15</v>
      </c>
      <c r="C61" s="3327"/>
      <c r="D61" s="3327">
        <f>'COS_Summ (cumulative)'!K89</f>
        <v>3.4384489117059158E-2</v>
      </c>
      <c r="E61" s="3327">
        <f>'COS_Summ (cumulative)'!L89</f>
        <v>3.4384489117059158E-2</v>
      </c>
      <c r="F61" s="3327">
        <f>'COS_Summ (cumulative)'!M89</f>
        <v>3.4384489117059158E-2</v>
      </c>
      <c r="G61" s="3327">
        <f>'COS_Summ (cumulative)'!N89</f>
        <v>3.4384489117059158E-2</v>
      </c>
      <c r="H61" s="3327">
        <f>'COS_Summ (cumulative)'!O89</f>
        <v>3.4384489117059158E-2</v>
      </c>
      <c r="I61" s="3327">
        <f>'COS_Summ (cumulative)'!P89</f>
        <v>3.4384489117059158E-2</v>
      </c>
      <c r="J61" s="3327">
        <f>'COS_Summ (cumulative)'!Q89</f>
        <v>3.4384489117059158E-2</v>
      </c>
      <c r="K61" s="3327">
        <f>'COS_Summ (cumulative)'!R89</f>
        <v>3.4384489117059158E-2</v>
      </c>
      <c r="L61" s="3327">
        <f>'COS_Summ (cumulative)'!S89</f>
        <v>1.2985681684782676E-2</v>
      </c>
      <c r="M61" s="3328">
        <f>'COS_Summ (cumulative)'!T89</f>
        <v>2.2366809049865499E-2</v>
      </c>
      <c r="N61" s="3325">
        <f t="shared" si="23"/>
        <v>0.35726935944911453</v>
      </c>
      <c r="O61" s="3332"/>
      <c r="T61" s="3334"/>
      <c r="U61" s="3334"/>
      <c r="V61" s="3334"/>
      <c r="W61" s="3334"/>
      <c r="X61" s="3334"/>
      <c r="Y61" s="3334"/>
    </row>
    <row r="62" spans="2:25" s="3094" customFormat="1">
      <c r="B62" s="3318" t="s">
        <v>4</v>
      </c>
      <c r="C62" s="3327"/>
      <c r="D62" s="3327">
        <f>'COS_Summ (cumulative)'!K96</f>
        <v>5.0000000000000001E-3</v>
      </c>
      <c r="E62" s="3327">
        <f>'COS_Summ (cumulative)'!L96</f>
        <v>5.0000000000000001E-3</v>
      </c>
      <c r="F62" s="3327">
        <f>'COS_Summ (cumulative)'!M96</f>
        <v>5.0000000000000001E-3</v>
      </c>
      <c r="G62" s="3327">
        <f>'COS_Summ (cumulative)'!N96</f>
        <v>5.0000000000000001E-3</v>
      </c>
      <c r="H62" s="3327">
        <f>'COS_Summ (cumulative)'!O96</f>
        <v>5.0000000000000001E-3</v>
      </c>
      <c r="I62" s="3327">
        <f>'COS_Summ (cumulative)'!P96</f>
        <v>5.0000000000000001E-3</v>
      </c>
      <c r="J62" s="3327">
        <f>'COS_Summ (cumulative)'!Q96</f>
        <v>5.0000000000000001E-3</v>
      </c>
      <c r="K62" s="3327">
        <f>'COS_Summ (cumulative)'!R96</f>
        <v>5.0000000000000001E-3</v>
      </c>
      <c r="L62" s="3327">
        <f>'COS_Summ (cumulative)'!S96</f>
        <v>5.0000000000000001E-3</v>
      </c>
      <c r="M62" s="3328">
        <f>'COS_Summ (cumulative)'!T96</f>
        <v>5.0000000000000001E-3</v>
      </c>
      <c r="N62" s="3325">
        <f t="shared" si="23"/>
        <v>5.1140132040789377E-2</v>
      </c>
      <c r="O62" s="3332"/>
      <c r="T62" s="3334"/>
      <c r="U62" s="3334"/>
      <c r="V62" s="3334"/>
      <c r="W62" s="3334"/>
      <c r="X62" s="3334"/>
      <c r="Y62" s="3334"/>
    </row>
    <row r="63" spans="2:25" s="3094" customFormat="1">
      <c r="B63" s="3318" t="s">
        <v>22</v>
      </c>
      <c r="C63" s="3327"/>
      <c r="D63" s="3327">
        <f>'COS_Summ (cumulative)'!K91</f>
        <v>9.631294852342466E-3</v>
      </c>
      <c r="E63" s="3327">
        <f>'COS_Summ (cumulative)'!L91</f>
        <v>9.631294852342466E-3</v>
      </c>
      <c r="F63" s="3327">
        <f>'COS_Summ (cumulative)'!M91</f>
        <v>9.631294852342466E-3</v>
      </c>
      <c r="G63" s="3327">
        <f>'COS_Summ (cumulative)'!N91</f>
        <v>9.631294852342466E-3</v>
      </c>
      <c r="H63" s="3327">
        <f>'COS_Summ (cumulative)'!O91</f>
        <v>9.631294852342466E-3</v>
      </c>
      <c r="I63" s="3327">
        <f>'COS_Summ (cumulative)'!P91</f>
        <v>9.631294852342466E-3</v>
      </c>
      <c r="J63" s="3327">
        <f>'COS_Summ (cumulative)'!Q91</f>
        <v>9.631294852342466E-3</v>
      </c>
      <c r="K63" s="3327">
        <f>'COS_Summ (cumulative)'!R91</f>
        <v>9.631294852342466E-3</v>
      </c>
      <c r="L63" s="3327">
        <f>'COS_Summ (cumulative)'!S91</f>
        <v>5.0000000000000001E-3</v>
      </c>
      <c r="M63" s="3328">
        <f>'COS_Summ (cumulative)'!T91</f>
        <v>5.0000000000000001E-3</v>
      </c>
      <c r="N63" s="3325">
        <f t="shared" si="23"/>
        <v>9.0522304426920552E-2</v>
      </c>
      <c r="O63" s="3332"/>
      <c r="T63" s="3334"/>
      <c r="U63" s="3334"/>
      <c r="V63" s="3334"/>
      <c r="W63" s="3334"/>
      <c r="X63" s="3334"/>
      <c r="Y63" s="3334"/>
    </row>
    <row r="64" spans="2:25" s="3094" customFormat="1">
      <c r="B64" s="3318" t="s">
        <v>16</v>
      </c>
      <c r="C64" s="3327"/>
      <c r="D64" s="3327">
        <f>'COS_Summ (cumulative)'!K92</f>
        <v>0.05</v>
      </c>
      <c r="E64" s="3327">
        <f>'COS_Summ (cumulative)'!L92</f>
        <v>0.05</v>
      </c>
      <c r="F64" s="3327">
        <f>'COS_Summ (cumulative)'!M92</f>
        <v>0.05</v>
      </c>
      <c r="G64" s="3327">
        <f>'COS_Summ (cumulative)'!N92</f>
        <v>0.05</v>
      </c>
      <c r="H64" s="3327">
        <f>'COS_Summ (cumulative)'!O92</f>
        <v>0.05</v>
      </c>
      <c r="I64" s="3327">
        <f>'COS_Summ (cumulative)'!P92</f>
        <v>0.05</v>
      </c>
      <c r="J64" s="3327">
        <f>'COS_Summ (cumulative)'!Q92</f>
        <v>0.05</v>
      </c>
      <c r="K64" s="3327">
        <f>'COS_Summ (cumulative)'!R92</f>
        <v>0.05</v>
      </c>
      <c r="L64" s="3327">
        <f>'COS_Summ (cumulative)'!S92</f>
        <v>2.8337231155420601E-2</v>
      </c>
      <c r="M64" s="3328">
        <f>'COS_Summ (cumulative)'!T92</f>
        <v>1.9E-2</v>
      </c>
      <c r="N64" s="3325">
        <f t="shared" si="23"/>
        <v>0.54818956658575768</v>
      </c>
      <c r="O64" s="3332"/>
      <c r="T64" s="3334"/>
      <c r="U64" s="3334"/>
      <c r="V64" s="3334"/>
      <c r="W64" s="3334"/>
      <c r="X64" s="3334"/>
      <c r="Y64" s="3334"/>
    </row>
    <row r="65" spans="2:25" s="3094" customFormat="1">
      <c r="B65" s="3318" t="s">
        <v>268</v>
      </c>
      <c r="C65" s="3327"/>
      <c r="D65" s="3327">
        <f>'COS_Summ (cumulative)'!K93</f>
        <v>6.5499999999999994E-3</v>
      </c>
      <c r="E65" s="3327">
        <f>'COS_Summ (cumulative)'!L93</f>
        <v>6.5499999999999994E-3</v>
      </c>
      <c r="F65" s="3327">
        <f>'COS_Summ (cumulative)'!M93</f>
        <v>6.5499999999999994E-3</v>
      </c>
      <c r="G65" s="3327">
        <f>'COS_Summ (cumulative)'!N93</f>
        <v>6.5499999999999994E-3</v>
      </c>
      <c r="H65" s="3327">
        <f>'COS_Summ (cumulative)'!O93</f>
        <v>6.5499999999999994E-3</v>
      </c>
      <c r="I65" s="3327">
        <f>'COS_Summ (cumulative)'!P93</f>
        <v>6.5499999999999994E-3</v>
      </c>
      <c r="J65" s="3327">
        <f>'COS_Summ (cumulative)'!Q93</f>
        <v>6.5499999999999994E-3</v>
      </c>
      <c r="K65" s="3327">
        <f>'COS_Summ (cumulative)'!R93</f>
        <v>6.5499999999999994E-3</v>
      </c>
      <c r="L65" s="3327">
        <f>'COS_Summ (cumulative)'!S93</f>
        <v>2.8337231155420601E-2</v>
      </c>
      <c r="M65" s="3328">
        <f>'COS_Summ (cumulative)'!T93</f>
        <v>0.02</v>
      </c>
      <c r="N65" s="3325">
        <f t="shared" si="23"/>
        <v>0.10514320306459002</v>
      </c>
      <c r="O65" s="3332"/>
      <c r="T65" s="3334"/>
      <c r="U65" s="3334"/>
      <c r="V65" s="3334"/>
      <c r="W65" s="3334"/>
      <c r="X65" s="3334"/>
      <c r="Y65" s="3334"/>
    </row>
    <row r="66" spans="2:25" s="3094" customFormat="1">
      <c r="B66" s="3318" t="s">
        <v>18</v>
      </c>
      <c r="C66" s="3327"/>
      <c r="D66" s="3327">
        <f>'COS_Summ (cumulative)'!K94</f>
        <v>0.05</v>
      </c>
      <c r="E66" s="3327">
        <f>'COS_Summ (cumulative)'!L94</f>
        <v>0.05</v>
      </c>
      <c r="F66" s="3327">
        <f>'COS_Summ (cumulative)'!M94</f>
        <v>0.05</v>
      </c>
      <c r="G66" s="3327">
        <f>'COS_Summ (cumulative)'!N94</f>
        <v>0.05</v>
      </c>
      <c r="H66" s="3327">
        <f>'COS_Summ (cumulative)'!O94</f>
        <v>0.05</v>
      </c>
      <c r="I66" s="3327">
        <f>'COS_Summ (cumulative)'!P94</f>
        <v>0.05</v>
      </c>
      <c r="J66" s="3327">
        <f>'COS_Summ (cumulative)'!Q94</f>
        <v>0.05</v>
      </c>
      <c r="K66" s="3327">
        <f>'COS_Summ (cumulative)'!R94</f>
        <v>0.05</v>
      </c>
      <c r="L66" s="3327">
        <f>'COS_Summ (cumulative)'!S94</f>
        <v>0.05</v>
      </c>
      <c r="M66" s="3328">
        <f>'COS_Summ (cumulative)'!T94</f>
        <v>4.8000000000000001E-2</v>
      </c>
      <c r="N66" s="3325">
        <f t="shared" si="23"/>
        <v>0.62579197034548506</v>
      </c>
      <c r="O66" s="3332"/>
      <c r="T66" s="3334"/>
      <c r="U66" s="3334"/>
      <c r="V66" s="3334"/>
      <c r="W66" s="3334"/>
      <c r="X66" s="3334"/>
      <c r="Y66" s="3334"/>
    </row>
    <row r="67" spans="2:25" s="3094" customFormat="1">
      <c r="B67" s="3318" t="s">
        <v>19</v>
      </c>
      <c r="C67" s="3327"/>
      <c r="D67" s="3327">
        <f>'COS_Summ (cumulative)'!K95</f>
        <v>0.05</v>
      </c>
      <c r="E67" s="3327">
        <f>'COS_Summ (cumulative)'!L95</f>
        <v>0.05</v>
      </c>
      <c r="F67" s="3327">
        <f>'COS_Summ (cumulative)'!M95</f>
        <v>0.05</v>
      </c>
      <c r="G67" s="3327">
        <f>'COS_Summ (cumulative)'!N95</f>
        <v>0.05</v>
      </c>
      <c r="H67" s="3327">
        <f>'COS_Summ (cumulative)'!O95</f>
        <v>0.05</v>
      </c>
      <c r="I67" s="3327">
        <f>'COS_Summ (cumulative)'!P95</f>
        <v>0.05</v>
      </c>
      <c r="J67" s="3327">
        <f>'COS_Summ (cumulative)'!Q95</f>
        <v>0.05</v>
      </c>
      <c r="K67" s="3327">
        <f>'COS_Summ (cumulative)'!R95</f>
        <v>0.05</v>
      </c>
      <c r="L67" s="3327">
        <f>'COS_Summ (cumulative)'!S95</f>
        <v>0.05</v>
      </c>
      <c r="M67" s="3328">
        <f>'COS_Summ (cumulative)'!T95</f>
        <v>0.05</v>
      </c>
      <c r="N67" s="3325">
        <f t="shared" si="23"/>
        <v>0.62889462677744201</v>
      </c>
      <c r="O67" s="3332"/>
      <c r="T67" s="3334"/>
      <c r="U67" s="3334"/>
      <c r="V67" s="3334"/>
      <c r="W67" s="3334"/>
      <c r="X67" s="3334"/>
      <c r="Y67" s="3334"/>
    </row>
    <row r="68" spans="2:25" s="3094" customFormat="1">
      <c r="B68" s="3319" t="s">
        <v>66</v>
      </c>
      <c r="C68" s="3312"/>
      <c r="D68" s="3312">
        <f>'COS_Summ (cumulative)'!K97</f>
        <v>0</v>
      </c>
      <c r="E68" s="3312">
        <f>'COS_Summ (cumulative)'!L97</f>
        <v>0</v>
      </c>
      <c r="F68" s="3312">
        <f>'COS_Summ (cumulative)'!M97</f>
        <v>0</v>
      </c>
      <c r="G68" s="3312">
        <f>'COS_Summ (cumulative)'!N97</f>
        <v>0</v>
      </c>
      <c r="H68" s="3312">
        <f>'COS_Summ (cumulative)'!O97</f>
        <v>0</v>
      </c>
      <c r="I68" s="3312">
        <f>'COS_Summ (cumulative)'!P97</f>
        <v>0</v>
      </c>
      <c r="J68" s="3312">
        <f>'COS_Summ (cumulative)'!Q97</f>
        <v>0</v>
      </c>
      <c r="K68" s="3312">
        <f>'COS_Summ (cumulative)'!R97</f>
        <v>0</v>
      </c>
      <c r="L68" s="3312">
        <f>'COS_Summ (cumulative)'!S97</f>
        <v>0</v>
      </c>
      <c r="M68" s="3329">
        <f>'COS_Summ (cumulative)'!T97</f>
        <v>0</v>
      </c>
      <c r="N68" s="3326">
        <f t="shared" si="23"/>
        <v>0</v>
      </c>
      <c r="O68" s="3332"/>
      <c r="T68" s="3334"/>
      <c r="U68" s="3334"/>
      <c r="V68" s="3334"/>
      <c r="W68" s="3334"/>
      <c r="X68" s="3334"/>
      <c r="Y68" s="3334"/>
    </row>
    <row r="69" spans="2:25" s="3094" customFormat="1">
      <c r="B69" s="3321" t="s">
        <v>452</v>
      </c>
      <c r="C69" s="3312"/>
      <c r="D69" s="3312">
        <f>'COS_Summ (cumulative)'!K8</f>
        <v>1.9400000000000001E-2</v>
      </c>
      <c r="E69" s="3312">
        <f>'COS_Summ (cumulative)'!L8</f>
        <v>1.95E-2</v>
      </c>
      <c r="F69" s="3312">
        <f>'COS_Summ (cumulative)'!M8</f>
        <v>1.9779999999999999E-2</v>
      </c>
      <c r="G69" s="3312">
        <f>'COS_Summ (cumulative)'!N8</f>
        <v>2.018E-2</v>
      </c>
      <c r="H69" s="3312">
        <f>'COS_Summ (cumulative)'!O8</f>
        <v>2.044E-2</v>
      </c>
      <c r="I69" s="3312">
        <f>'COS_Summ (cumulative)'!P8</f>
        <v>2.077E-2</v>
      </c>
      <c r="J69" s="3312">
        <f>'COS_Summ (cumulative)'!Q8</f>
        <v>2.0920000000000001E-2</v>
      </c>
      <c r="K69" s="3312">
        <f>'COS_Summ (cumulative)'!R8</f>
        <v>2.1069999999999998E-2</v>
      </c>
      <c r="L69" s="3312">
        <f>'COS_Summ (cumulative)'!S8</f>
        <v>1.9959999999999999E-2</v>
      </c>
      <c r="M69" s="3329">
        <f>'COS_Summ (cumulative)'!T8</f>
        <v>2.0049999999999998E-2</v>
      </c>
      <c r="N69" s="3326">
        <f t="shared" si="23"/>
        <v>0.22146873583370996</v>
      </c>
      <c r="O69" s="3332"/>
      <c r="T69" s="3334"/>
      <c r="U69" s="3334"/>
      <c r="V69" s="3334"/>
      <c r="W69" s="3334"/>
      <c r="X69" s="3334"/>
      <c r="Y69" s="3334"/>
    </row>
    <row r="70" spans="2:25" s="3094" customFormat="1">
      <c r="B70" s="3332"/>
      <c r="C70" s="3333"/>
      <c r="D70" s="3333"/>
      <c r="E70" s="3333"/>
      <c r="F70" s="3333"/>
      <c r="G70" s="3333"/>
      <c r="H70" s="3333"/>
      <c r="I70" s="3333"/>
      <c r="J70" s="3333"/>
      <c r="K70" s="3333"/>
      <c r="L70" s="3333"/>
      <c r="M70" s="3333"/>
      <c r="O70" s="3332"/>
      <c r="P70" s="3334"/>
      <c r="Q70" s="3334"/>
      <c r="R70" s="3334"/>
      <c r="S70" s="3334"/>
      <c r="T70" s="3334"/>
      <c r="U70" s="3334"/>
      <c r="V70" s="3334"/>
      <c r="W70" s="3334"/>
      <c r="X70" s="3334"/>
      <c r="Y70" s="3334"/>
    </row>
    <row r="71" spans="2:25" s="3094" customFormat="1">
      <c r="B71" s="4510" t="s">
        <v>3526</v>
      </c>
      <c r="C71" s="4511"/>
      <c r="D71" s="4511"/>
      <c r="E71" s="4511"/>
      <c r="F71" s="4511"/>
      <c r="G71" s="4511"/>
      <c r="H71" s="4511"/>
      <c r="I71" s="4511"/>
      <c r="J71" s="4511"/>
      <c r="K71" s="4512"/>
      <c r="L71" s="4511"/>
      <c r="M71" s="4511"/>
      <c r="N71" s="4513"/>
      <c r="O71" s="3332"/>
      <c r="P71" s="3334"/>
      <c r="Q71" s="3334"/>
      <c r="R71" s="3334"/>
      <c r="S71" s="3334"/>
      <c r="T71" s="3334"/>
      <c r="U71" s="3334"/>
      <c r="V71" s="3334"/>
      <c r="W71" s="3334"/>
      <c r="X71" s="3334"/>
      <c r="Y71" s="3334"/>
    </row>
    <row r="72" spans="2:25" s="3094" customFormat="1">
      <c r="B72" s="1784"/>
      <c r="C72" s="878">
        <v>2016</v>
      </c>
      <c r="D72" s="878">
        <v>2017</v>
      </c>
      <c r="E72" s="878">
        <v>2018</v>
      </c>
      <c r="F72" s="878">
        <v>2019</v>
      </c>
      <c r="G72" s="878">
        <v>2020</v>
      </c>
      <c r="H72" s="878">
        <v>2021</v>
      </c>
      <c r="I72" s="878">
        <v>2022</v>
      </c>
      <c r="J72" s="878">
        <v>2023</v>
      </c>
      <c r="K72" s="4239">
        <v>2024</v>
      </c>
      <c r="L72" s="878">
        <v>2025</v>
      </c>
      <c r="M72" s="3339">
        <v>2026</v>
      </c>
      <c r="N72" s="3343" t="s">
        <v>3522</v>
      </c>
      <c r="O72" s="3332"/>
      <c r="P72" s="3334"/>
      <c r="Q72" s="3334"/>
      <c r="R72" s="3334"/>
      <c r="S72" s="3334"/>
      <c r="T72" s="3334"/>
      <c r="U72" s="3334"/>
      <c r="V72" s="3334"/>
      <c r="W72" s="3334"/>
      <c r="X72" s="3334"/>
      <c r="Y72" s="3334"/>
    </row>
    <row r="73" spans="2:25" s="3094" customFormat="1">
      <c r="B73" s="3315" t="s">
        <v>2763</v>
      </c>
      <c r="C73" s="3338">
        <f t="shared" ref="C73:K73" si="24">C45/C3/1000</f>
        <v>5.4486599829022174E-2</v>
      </c>
      <c r="D73" s="3338">
        <f t="shared" si="24"/>
        <v>5.5256991462309266E-2</v>
      </c>
      <c r="E73" s="3338">
        <f t="shared" si="24"/>
        <v>5.6063751101248213E-2</v>
      </c>
      <c r="F73" s="3338">
        <f t="shared" si="24"/>
        <v>5.6881790543624841E-2</v>
      </c>
      <c r="G73" s="3338">
        <f t="shared" si="24"/>
        <v>5.7738055436633018E-2</v>
      </c>
      <c r="H73" s="3338">
        <f t="shared" si="24"/>
        <v>5.8554478331793371E-2</v>
      </c>
      <c r="I73" s="3338">
        <f t="shared" si="24"/>
        <v>5.9409175204723615E-2</v>
      </c>
      <c r="J73" s="3338">
        <f t="shared" si="24"/>
        <v>6.0276440381036099E-2</v>
      </c>
      <c r="K73" s="3338">
        <f t="shared" si="24"/>
        <v>6.1183637178269495E-2</v>
      </c>
      <c r="L73" s="3338">
        <f t="shared" ref="L73:M73" si="25">L45/L3/1000</f>
        <v>6.1422708671481779E-2</v>
      </c>
      <c r="M73" s="3340">
        <f t="shared" si="25"/>
        <v>6.279866197366378E-2</v>
      </c>
      <c r="N73" s="3344">
        <f>M73-C73</f>
        <v>8.3120621446416063E-3</v>
      </c>
      <c r="O73" s="3332"/>
      <c r="P73" s="3334"/>
      <c r="Q73" s="3334"/>
      <c r="R73" s="3334"/>
      <c r="S73" s="3334"/>
      <c r="T73" s="3334"/>
      <c r="U73" s="3334"/>
      <c r="V73" s="3334"/>
      <c r="W73" s="3334"/>
      <c r="X73" s="3334"/>
      <c r="Y73" s="3334"/>
    </row>
    <row r="74" spans="2:25" s="3094" customFormat="1">
      <c r="B74" s="3317" t="s">
        <v>3516</v>
      </c>
      <c r="C74" s="3338">
        <f t="shared" ref="C74:K74" si="26">C46/C4/1000</f>
        <v>4.6072099695118676E-2</v>
      </c>
      <c r="D74" s="3338">
        <f t="shared" si="26"/>
        <v>4.7093562427149335E-2</v>
      </c>
      <c r="E74" s="3338">
        <f t="shared" si="26"/>
        <v>4.813763935611539E-2</v>
      </c>
      <c r="F74" s="3338">
        <f t="shared" si="26"/>
        <v>4.9204122347188274E-2</v>
      </c>
      <c r="G74" s="3338">
        <f t="shared" si="26"/>
        <v>5.0295707540486151E-2</v>
      </c>
      <c r="H74" s="3338">
        <f t="shared" si="26"/>
        <v>5.1411342339929812E-2</v>
      </c>
      <c r="I74" s="3338">
        <f t="shared" si="26"/>
        <v>5.2551424812500011E-2</v>
      </c>
      <c r="J74" s="3338">
        <f t="shared" si="26"/>
        <v>5.3717654825165453E-2</v>
      </c>
      <c r="K74" s="3338">
        <f t="shared" si="26"/>
        <v>5.4908424826130814E-2</v>
      </c>
      <c r="L74" s="3338">
        <f t="shared" ref="L74:M74" si="27">L46/L4/1000</f>
        <v>5.5241832621422661E-2</v>
      </c>
      <c r="M74" s="3340">
        <f t="shared" si="27"/>
        <v>5.5576978108909873E-2</v>
      </c>
      <c r="N74" s="3344">
        <f t="shared" ref="N74:N83" si="28">M74-C74</f>
        <v>9.5048784137911971E-3</v>
      </c>
      <c r="O74" s="3332"/>
      <c r="P74" s="3334"/>
      <c r="Q74" s="3334"/>
      <c r="R74" s="3334"/>
      <c r="S74" s="3334"/>
      <c r="T74" s="3334"/>
      <c r="U74" s="3334"/>
      <c r="V74" s="3334"/>
      <c r="W74" s="3334"/>
      <c r="X74" s="3334"/>
      <c r="Y74" s="3334"/>
    </row>
    <row r="75" spans="2:25" s="3094" customFormat="1">
      <c r="B75" s="3318" t="s">
        <v>15</v>
      </c>
      <c r="C75" s="3338">
        <f t="shared" ref="C75:K75" si="29">C47/C5/1000</f>
        <v>3.9785278740175345E-2</v>
      </c>
      <c r="D75" s="3338">
        <f t="shared" si="29"/>
        <v>4.1806004676452319E-2</v>
      </c>
      <c r="E75" s="3338">
        <f t="shared" si="29"/>
        <v>4.3138443178462611E-2</v>
      </c>
      <c r="F75" s="3338">
        <f t="shared" si="29"/>
        <v>4.4515800253478205E-2</v>
      </c>
      <c r="G75" s="3338">
        <f t="shared" si="29"/>
        <v>4.5939681978424324E-2</v>
      </c>
      <c r="H75" s="3338">
        <f t="shared" si="29"/>
        <v>4.7411777551448001E-2</v>
      </c>
      <c r="I75" s="3338">
        <f t="shared" si="29"/>
        <v>4.8936365111500783E-2</v>
      </c>
      <c r="J75" s="3338">
        <f t="shared" si="29"/>
        <v>5.0509135721834526E-2</v>
      </c>
      <c r="K75" s="3338">
        <f t="shared" si="29"/>
        <v>5.2138117153764561E-2</v>
      </c>
      <c r="L75" s="3338">
        <f t="shared" ref="L75:M75" si="30">L47/L5/1000</f>
        <v>5.2705310322978621E-2</v>
      </c>
      <c r="M75" s="3340">
        <f t="shared" si="30"/>
        <v>5.3777216187813261E-2</v>
      </c>
      <c r="N75" s="3344">
        <f t="shared" si="28"/>
        <v>1.3991937447637916E-2</v>
      </c>
      <c r="O75" s="3332"/>
      <c r="P75" s="3334"/>
      <c r="Q75" s="3334"/>
      <c r="R75" s="3334"/>
      <c r="S75" s="3334"/>
      <c r="T75" s="3334"/>
      <c r="U75" s="3334"/>
      <c r="V75" s="3334"/>
      <c r="W75" s="3334"/>
      <c r="X75" s="3334"/>
      <c r="Y75" s="3334"/>
    </row>
    <row r="76" spans="2:25" s="3094" customFormat="1">
      <c r="B76" s="3318" t="s">
        <v>4</v>
      </c>
      <c r="C76" s="3338">
        <f t="shared" ref="C76:K76" si="31">C48/C6/1000</f>
        <v>0.20628240808813761</v>
      </c>
      <c r="D76" s="3338">
        <f t="shared" si="31"/>
        <v>0.20732318714004547</v>
      </c>
      <c r="E76" s="3338">
        <f t="shared" si="31"/>
        <v>0.20836396619195333</v>
      </c>
      <c r="F76" s="3338">
        <f t="shared" si="31"/>
        <v>0.20940474524386118</v>
      </c>
      <c r="G76" s="3338">
        <f t="shared" si="31"/>
        <v>0.21044552429576904</v>
      </c>
      <c r="H76" s="3338">
        <f t="shared" si="31"/>
        <v>0.21150844758282386</v>
      </c>
      <c r="I76" s="3338">
        <f t="shared" si="31"/>
        <v>0.21257137086987871</v>
      </c>
      <c r="J76" s="3338">
        <f t="shared" si="31"/>
        <v>0.21363429415693355</v>
      </c>
      <c r="K76" s="3338">
        <f t="shared" si="31"/>
        <v>0.21469721744398837</v>
      </c>
      <c r="L76" s="3338">
        <f t="shared" ref="L76:M76" si="32">L48/L6/1000</f>
        <v>0.21576014073104322</v>
      </c>
      <c r="M76" s="3340">
        <f t="shared" si="32"/>
        <v>0.21684520825324499</v>
      </c>
      <c r="N76" s="3344">
        <f t="shared" si="28"/>
        <v>1.0562800165107383E-2</v>
      </c>
      <c r="O76" s="3332"/>
      <c r="P76" s="3334"/>
      <c r="Q76" s="3334"/>
      <c r="R76" s="3334"/>
      <c r="S76" s="3334"/>
      <c r="T76" s="3334"/>
      <c r="U76" s="3334"/>
      <c r="V76" s="3334"/>
      <c r="W76" s="3334"/>
      <c r="X76" s="3334"/>
      <c r="Y76" s="3334"/>
    </row>
    <row r="77" spans="2:25" s="3094" customFormat="1">
      <c r="B77" s="3318" t="s">
        <v>22</v>
      </c>
      <c r="C77" s="3338">
        <f t="shared" ref="C77:K77" si="33">C49/C7/1000</f>
        <v>3.2086004044143815E-2</v>
      </c>
      <c r="D77" s="3338">
        <f t="shared" si="33"/>
        <v>3.2436256995890443E-2</v>
      </c>
      <c r="E77" s="3338">
        <f t="shared" si="33"/>
        <v>3.2748314047092213E-2</v>
      </c>
      <c r="F77" s="3338">
        <f t="shared" si="33"/>
        <v>3.3063916311194264E-2</v>
      </c>
      <c r="G77" s="3338">
        <f t="shared" si="33"/>
        <v>3.3340275078563436E-2</v>
      </c>
      <c r="H77" s="3338">
        <f t="shared" si="33"/>
        <v>3.3703658419118661E-2</v>
      </c>
      <c r="I77" s="3338">
        <f t="shared" si="33"/>
        <v>3.4028737588601511E-2</v>
      </c>
      <c r="J77" s="3338">
        <f t="shared" si="33"/>
        <v>3.4356980086002929E-2</v>
      </c>
      <c r="K77" s="3338">
        <f t="shared" si="33"/>
        <v>3.4642940563122282E-2</v>
      </c>
      <c r="L77" s="3338">
        <f t="shared" ref="L77:M77" si="34">L49/L7/1000</f>
        <v>3.4860601961701987E-2</v>
      </c>
      <c r="M77" s="3340">
        <f t="shared" si="34"/>
        <v>3.5035202494336101E-2</v>
      </c>
      <c r="N77" s="3344">
        <f t="shared" si="28"/>
        <v>2.9491984501922863E-3</v>
      </c>
      <c r="O77" s="3332"/>
      <c r="P77" s="3334"/>
      <c r="Q77" s="3334"/>
      <c r="R77" s="3334"/>
      <c r="S77" s="3334"/>
      <c r="T77" s="3334"/>
      <c r="U77" s="3334"/>
      <c r="V77" s="3334"/>
      <c r="W77" s="3334"/>
      <c r="X77" s="3334"/>
      <c r="Y77" s="3334"/>
    </row>
    <row r="78" spans="2:25" s="3094" customFormat="1">
      <c r="B78" s="3318" t="s">
        <v>16</v>
      </c>
      <c r="C78" s="3338">
        <f t="shared" ref="C78:K78" si="35">C50/C8/1000</f>
        <v>2.6444340755625861E-2</v>
      </c>
      <c r="D78" s="3338">
        <f t="shared" si="35"/>
        <v>2.776878537824249E-2</v>
      </c>
      <c r="E78" s="3338">
        <f t="shared" si="35"/>
        <v>2.9594232121390875E-2</v>
      </c>
      <c r="F78" s="3338">
        <f t="shared" si="35"/>
        <v>3.1422959979998555E-2</v>
      </c>
      <c r="G78" s="3338">
        <f t="shared" si="35"/>
        <v>3.3336339647935635E-2</v>
      </c>
      <c r="H78" s="3338">
        <f t="shared" si="35"/>
        <v>3.5355142777802717E-2</v>
      </c>
      <c r="I78" s="3338">
        <f t="shared" si="35"/>
        <v>3.7467976994912069E-2</v>
      </c>
      <c r="J78" s="3338">
        <f t="shared" si="35"/>
        <v>3.9376628268967602E-2</v>
      </c>
      <c r="K78" s="3338">
        <f t="shared" si="35"/>
        <v>4.1428793635702378E-2</v>
      </c>
      <c r="L78" s="3338">
        <f t="shared" ref="L78:M78" si="36">L50/L8/1000</f>
        <v>4.285396002911962E-2</v>
      </c>
      <c r="M78" s="3340">
        <f t="shared" si="36"/>
        <v>4.3782604060568116E-2</v>
      </c>
      <c r="N78" s="3344">
        <f t="shared" si="28"/>
        <v>1.7338263304942255E-2</v>
      </c>
      <c r="O78" s="3332"/>
      <c r="P78" s="3334"/>
      <c r="Q78" s="3334"/>
      <c r="R78" s="3334"/>
      <c r="S78" s="3334"/>
      <c r="T78" s="3334"/>
      <c r="U78" s="3334"/>
      <c r="V78" s="3334"/>
      <c r="W78" s="3334"/>
      <c r="X78" s="3334"/>
      <c r="Y78" s="3334"/>
    </row>
    <row r="79" spans="2:25" s="3094" customFormat="1">
      <c r="B79" s="3318" t="s">
        <v>268</v>
      </c>
      <c r="C79" s="3338">
        <f t="shared" ref="C79:K79" si="37">C51/C9/1000</f>
        <v>3.6102919158076612E-2</v>
      </c>
      <c r="D79" s="3338">
        <f t="shared" si="37"/>
        <v>3.6674696836576842E-2</v>
      </c>
      <c r="E79" s="3338">
        <f t="shared" si="37"/>
        <v>3.7151076349873483E-2</v>
      </c>
      <c r="F79" s="3338">
        <f t="shared" si="37"/>
        <v>3.7548282445647542E-2</v>
      </c>
      <c r="G79" s="3338">
        <f t="shared" si="37"/>
        <v>3.7747379472027491E-2</v>
      </c>
      <c r="H79" s="3338">
        <f t="shared" si="37"/>
        <v>3.7901351008682013E-2</v>
      </c>
      <c r="I79" s="3338">
        <f t="shared" si="37"/>
        <v>3.8163053534990249E-2</v>
      </c>
      <c r="J79" s="3338">
        <f t="shared" si="37"/>
        <v>3.8471717193503646E-2</v>
      </c>
      <c r="K79" s="3338">
        <f t="shared" si="37"/>
        <v>3.8773018111911084E-2</v>
      </c>
      <c r="L79" s="3338">
        <f t="shared" ref="L79:M79" si="38">L51/L9/1000</f>
        <v>3.9950530353494676E-2</v>
      </c>
      <c r="M79" s="3340">
        <f t="shared" si="38"/>
        <v>4.0814047867350559E-2</v>
      </c>
      <c r="N79" s="3344">
        <f t="shared" si="28"/>
        <v>4.7111287092739471E-3</v>
      </c>
      <c r="O79" s="3332"/>
      <c r="P79" s="3334"/>
      <c r="Q79" s="3334"/>
      <c r="R79" s="3334"/>
      <c r="S79" s="3334"/>
      <c r="T79" s="3334"/>
      <c r="U79" s="3334"/>
      <c r="V79" s="3334"/>
      <c r="W79" s="3334"/>
      <c r="X79" s="3334"/>
      <c r="Y79" s="3334"/>
    </row>
    <row r="80" spans="2:25" s="3094" customFormat="1">
      <c r="B80" s="3318" t="s">
        <v>18</v>
      </c>
      <c r="C80" s="3338">
        <f t="shared" ref="C80:K80" si="39">C52/C10/1000</f>
        <v>2.7570174847499209E-2</v>
      </c>
      <c r="D80" s="3338">
        <f t="shared" si="39"/>
        <v>2.8998789379176465E-2</v>
      </c>
      <c r="E80" s="3338">
        <f t="shared" si="39"/>
        <v>3.0445598438889755E-2</v>
      </c>
      <c r="F80" s="3338">
        <f t="shared" si="39"/>
        <v>3.204463739234268E-2</v>
      </c>
      <c r="G80" s="3338">
        <f t="shared" si="39"/>
        <v>3.3618085905618843E-2</v>
      </c>
      <c r="H80" s="3338">
        <f t="shared" si="39"/>
        <v>3.5325604965429587E-2</v>
      </c>
      <c r="I80" s="3338">
        <f t="shared" si="39"/>
        <v>3.7089696763299998E-2</v>
      </c>
      <c r="J80" s="3338">
        <f t="shared" si="39"/>
        <v>3.8942566766228939E-2</v>
      </c>
      <c r="K80" s="3338">
        <f t="shared" si="39"/>
        <v>4.0854258912044222E-2</v>
      </c>
      <c r="L80" s="3338">
        <f t="shared" ref="L80:M80" si="40">L52/L10/1000</f>
        <v>4.2929303342641861E-2</v>
      </c>
      <c r="M80" s="3340">
        <f t="shared" si="40"/>
        <v>4.4987842935795171E-2</v>
      </c>
      <c r="N80" s="3344">
        <f t="shared" si="28"/>
        <v>1.7417668088295962E-2</v>
      </c>
      <c r="O80" s="3332"/>
      <c r="P80" s="3334"/>
      <c r="Q80" s="3334"/>
      <c r="R80" s="3334"/>
      <c r="S80" s="3334"/>
      <c r="T80" s="3334"/>
      <c r="U80" s="3334"/>
      <c r="V80" s="3334"/>
      <c r="W80" s="3334"/>
      <c r="X80" s="3334"/>
      <c r="Y80" s="3334"/>
    </row>
    <row r="81" spans="2:25" s="3094" customFormat="1">
      <c r="B81" s="3318" t="s">
        <v>19</v>
      </c>
      <c r="C81" s="3338">
        <v>0</v>
      </c>
      <c r="D81" s="3338">
        <v>0</v>
      </c>
      <c r="E81" s="3338">
        <v>0</v>
      </c>
      <c r="F81" s="3338">
        <v>0</v>
      </c>
      <c r="G81" s="3338">
        <v>0</v>
      </c>
      <c r="H81" s="3338">
        <v>0</v>
      </c>
      <c r="I81" s="3338">
        <v>0</v>
      </c>
      <c r="J81" s="3338">
        <v>0</v>
      </c>
      <c r="K81" s="3338">
        <v>0</v>
      </c>
      <c r="L81" s="3338">
        <v>0</v>
      </c>
      <c r="M81" s="3340">
        <v>0</v>
      </c>
      <c r="N81" s="3344">
        <f t="shared" si="28"/>
        <v>0</v>
      </c>
      <c r="O81" s="3332"/>
      <c r="P81" s="3334"/>
      <c r="Q81" s="3334"/>
      <c r="R81" s="3334"/>
      <c r="S81" s="3334"/>
      <c r="T81" s="3334"/>
      <c r="U81" s="3334"/>
      <c r="V81" s="3334"/>
      <c r="W81" s="3334"/>
      <c r="X81" s="3334"/>
      <c r="Y81" s="3334"/>
    </row>
    <row r="82" spans="2:25" s="3094" customFormat="1">
      <c r="B82" s="3319" t="s">
        <v>66</v>
      </c>
      <c r="C82" s="3341">
        <v>0</v>
      </c>
      <c r="D82" s="3341">
        <v>0</v>
      </c>
      <c r="E82" s="3341">
        <v>0</v>
      </c>
      <c r="F82" s="3341">
        <v>0</v>
      </c>
      <c r="G82" s="3341">
        <v>0</v>
      </c>
      <c r="H82" s="3341">
        <v>0</v>
      </c>
      <c r="I82" s="3341">
        <v>0</v>
      </c>
      <c r="J82" s="3341">
        <v>0</v>
      </c>
      <c r="K82" s="3341">
        <v>0</v>
      </c>
      <c r="L82" s="3341">
        <v>0</v>
      </c>
      <c r="M82" s="3342">
        <v>0</v>
      </c>
      <c r="N82" s="3345">
        <f t="shared" si="28"/>
        <v>0</v>
      </c>
      <c r="O82" s="3332"/>
      <c r="P82" s="3334"/>
      <c r="Q82" s="3334"/>
      <c r="R82" s="3334"/>
      <c r="S82" s="3334"/>
      <c r="T82" s="3334"/>
      <c r="U82" s="3334"/>
      <c r="V82" s="3334"/>
      <c r="W82" s="3334"/>
      <c r="X82" s="3334"/>
      <c r="Y82" s="3334"/>
    </row>
    <row r="83" spans="2:25" s="3094" customFormat="1">
      <c r="B83" s="3321" t="s">
        <v>452</v>
      </c>
      <c r="C83" s="3341">
        <f t="shared" ref="C83:K83" si="41">C55/C13/1000</f>
        <v>3.9341704620007752E-2</v>
      </c>
      <c r="D83" s="3341">
        <f t="shared" si="41"/>
        <v>3.9904035683633904E-2</v>
      </c>
      <c r="E83" s="3341">
        <f t="shared" si="41"/>
        <v>4.0588901854162758E-2</v>
      </c>
      <c r="F83" s="3341">
        <f t="shared" si="41"/>
        <v>4.1161730472364447E-2</v>
      </c>
      <c r="G83" s="3341">
        <f t="shared" si="41"/>
        <v>4.1794259779451032E-2</v>
      </c>
      <c r="H83" s="3341">
        <f t="shared" si="41"/>
        <v>4.2537025118115586E-2</v>
      </c>
      <c r="I83" s="3341">
        <f t="shared" si="41"/>
        <v>4.3391554299654342E-2</v>
      </c>
      <c r="J83" s="3341">
        <f t="shared" si="41"/>
        <v>4.4237240686069317E-2</v>
      </c>
      <c r="K83" s="3341">
        <f t="shared" si="41"/>
        <v>4.5092881119305629E-2</v>
      </c>
      <c r="L83" s="3341">
        <f t="shared" ref="L83:M83" si="42">L55/L13/1000</f>
        <v>4.6015676153662192E-2</v>
      </c>
      <c r="M83" s="3342">
        <f t="shared" si="42"/>
        <v>4.6929965730448504E-2</v>
      </c>
      <c r="N83" s="3345">
        <f t="shared" si="28"/>
        <v>7.5882611104407527E-3</v>
      </c>
      <c r="O83" s="3332"/>
      <c r="P83" s="3334"/>
      <c r="Q83" s="3334"/>
      <c r="R83" s="3334"/>
      <c r="S83" s="3334"/>
      <c r="T83" s="3334"/>
      <c r="U83" s="3334"/>
      <c r="V83" s="3334"/>
      <c r="W83" s="3334"/>
      <c r="X83" s="3334"/>
      <c r="Y83" s="3334"/>
    </row>
    <row r="84" spans="2:25" s="3094" customFormat="1">
      <c r="B84" s="3332"/>
      <c r="C84" s="3333"/>
      <c r="D84" s="3333"/>
      <c r="E84" s="3333"/>
      <c r="F84" s="3333"/>
      <c r="G84" s="3333"/>
      <c r="H84" s="3333"/>
      <c r="I84" s="3333"/>
      <c r="J84" s="3333"/>
      <c r="K84" s="3333"/>
      <c r="L84" s="3333"/>
      <c r="M84" s="3333"/>
      <c r="O84" s="3332"/>
      <c r="P84" s="3334"/>
      <c r="Q84" s="3334"/>
      <c r="R84" s="3334"/>
      <c r="S84" s="3334"/>
      <c r="T84" s="3334"/>
      <c r="U84" s="3334"/>
      <c r="V84" s="3334"/>
      <c r="W84" s="3334"/>
      <c r="X84" s="3334"/>
      <c r="Y84" s="3334"/>
    </row>
    <row r="85" spans="2:25">
      <c r="B85" s="4510" t="s">
        <v>3521</v>
      </c>
      <c r="C85" s="4511"/>
      <c r="D85" s="4511"/>
      <c r="E85" s="4511"/>
      <c r="F85" s="4511"/>
      <c r="G85" s="4511"/>
      <c r="H85" s="4511"/>
      <c r="I85" s="4511"/>
      <c r="J85" s="4511"/>
      <c r="K85" s="4512"/>
      <c r="L85" s="4511"/>
      <c r="M85" s="4511"/>
      <c r="N85" s="4513"/>
    </row>
    <row r="86" spans="2:25">
      <c r="B86" s="1696"/>
      <c r="C86" s="20">
        <v>2016</v>
      </c>
      <c r="D86" s="20">
        <v>2017</v>
      </c>
      <c r="E86" s="20">
        <v>2018</v>
      </c>
      <c r="F86" s="20">
        <v>2019</v>
      </c>
      <c r="G86" s="20">
        <v>2020</v>
      </c>
      <c r="H86" s="20">
        <v>2021</v>
      </c>
      <c r="I86" s="20">
        <v>2022</v>
      </c>
      <c r="J86" s="20">
        <v>2023</v>
      </c>
      <c r="K86" s="4239">
        <v>2024</v>
      </c>
      <c r="L86" s="20">
        <v>2025</v>
      </c>
      <c r="M86" s="1781">
        <v>2026</v>
      </c>
      <c r="N86" s="1781" t="s">
        <v>3522</v>
      </c>
    </row>
    <row r="87" spans="2:25">
      <c r="B87" s="3315" t="s">
        <v>2763</v>
      </c>
      <c r="C87" s="2162"/>
      <c r="D87" s="2162">
        <v>58898740</v>
      </c>
      <c r="E87" s="2162">
        <v>58052794</v>
      </c>
      <c r="F87" s="2162">
        <v>61066894</v>
      </c>
      <c r="G87" s="2162">
        <v>61046931</v>
      </c>
      <c r="H87" s="2162">
        <v>62241340</v>
      </c>
      <c r="I87" s="2162">
        <v>64352125</v>
      </c>
      <c r="J87" s="2162">
        <v>66678942</v>
      </c>
      <c r="K87" s="2162">
        <v>65107935</v>
      </c>
      <c r="L87" s="2162">
        <v>66286624</v>
      </c>
      <c r="M87" s="3316">
        <v>68717008</v>
      </c>
      <c r="N87" s="3316">
        <f>M87-D87</f>
        <v>9818268</v>
      </c>
    </row>
    <row r="88" spans="2:25">
      <c r="B88" s="3317" t="s">
        <v>3516</v>
      </c>
      <c r="C88" s="2162"/>
      <c r="D88" s="2162">
        <v>27979950</v>
      </c>
      <c r="E88" s="2162">
        <v>28877079</v>
      </c>
      <c r="F88" s="2162">
        <v>30486543</v>
      </c>
      <c r="G88" s="2162">
        <v>31305013</v>
      </c>
      <c r="H88" s="2162">
        <v>32365177</v>
      </c>
      <c r="I88" s="2162">
        <v>33630103</v>
      </c>
      <c r="J88" s="2162">
        <v>34990967</v>
      </c>
      <c r="K88" s="2162">
        <v>35491579</v>
      </c>
      <c r="L88" s="2162">
        <v>36613513</v>
      </c>
      <c r="M88" s="3316">
        <v>38072596</v>
      </c>
      <c r="N88" s="3316">
        <f t="shared" ref="N88:N97" si="43">M88-D88</f>
        <v>10092646</v>
      </c>
    </row>
    <row r="89" spans="2:25">
      <c r="B89" s="3318" t="s">
        <v>15</v>
      </c>
      <c r="C89" s="2162"/>
      <c r="D89" s="2162">
        <v>34769448</v>
      </c>
      <c r="E89" s="2162">
        <v>34908863</v>
      </c>
      <c r="F89" s="2162">
        <v>36766432</v>
      </c>
      <c r="G89" s="2162">
        <v>37098001</v>
      </c>
      <c r="H89" s="2162">
        <v>38025583</v>
      </c>
      <c r="I89" s="2162">
        <v>39323827</v>
      </c>
      <c r="J89" s="2162">
        <v>40666103</v>
      </c>
      <c r="K89" s="2162">
        <v>40342062</v>
      </c>
      <c r="L89" s="2162">
        <v>41255184</v>
      </c>
      <c r="M89" s="3316">
        <v>42571948</v>
      </c>
      <c r="N89" s="3316">
        <f t="shared" si="43"/>
        <v>7802500</v>
      </c>
    </row>
    <row r="90" spans="2:25">
      <c r="B90" s="3318" t="s">
        <v>4</v>
      </c>
      <c r="C90" s="2162"/>
      <c r="D90" s="2162">
        <v>1068999</v>
      </c>
      <c r="E90" s="2162">
        <v>900763</v>
      </c>
      <c r="F90" s="2162">
        <v>960588</v>
      </c>
      <c r="G90" s="2162">
        <v>871357</v>
      </c>
      <c r="H90" s="2162">
        <v>845548</v>
      </c>
      <c r="I90" s="2162">
        <v>871021</v>
      </c>
      <c r="J90" s="2162">
        <v>888743</v>
      </c>
      <c r="K90" s="2162">
        <v>724541</v>
      </c>
      <c r="L90" s="2162">
        <v>672939</v>
      </c>
      <c r="M90" s="3316">
        <v>687500</v>
      </c>
      <c r="N90" s="3316">
        <f t="shared" si="43"/>
        <v>-381499</v>
      </c>
    </row>
    <row r="91" spans="2:25">
      <c r="B91" s="3318" t="s">
        <v>22</v>
      </c>
      <c r="C91" s="2162"/>
      <c r="D91" s="2162">
        <v>7387700</v>
      </c>
      <c r="E91" s="2162">
        <v>8247151</v>
      </c>
      <c r="F91" s="2162">
        <v>8720798</v>
      </c>
      <c r="G91" s="2162">
        <v>9360144</v>
      </c>
      <c r="H91" s="2162">
        <v>9942000</v>
      </c>
      <c r="I91" s="2162">
        <v>10357280</v>
      </c>
      <c r="J91" s="2162">
        <v>10799761</v>
      </c>
      <c r="K91" s="2162">
        <v>11682658</v>
      </c>
      <c r="L91" s="2162">
        <v>12245301</v>
      </c>
      <c r="M91" s="3316">
        <v>12793116</v>
      </c>
      <c r="N91" s="3316">
        <f t="shared" si="43"/>
        <v>5405416</v>
      </c>
    </row>
    <row r="92" spans="2:25">
      <c r="B92" s="3318" t="s">
        <v>16</v>
      </c>
      <c r="C92" s="2162"/>
      <c r="D92" s="2162">
        <v>13449028</v>
      </c>
      <c r="E92" s="2162">
        <v>16513564</v>
      </c>
      <c r="F92" s="2162">
        <v>19146739</v>
      </c>
      <c r="G92" s="2162">
        <v>23206111</v>
      </c>
      <c r="H92" s="2162">
        <v>25692461</v>
      </c>
      <c r="I92" s="2162">
        <v>27890637</v>
      </c>
      <c r="J92" s="2162">
        <v>29654849</v>
      </c>
      <c r="K92" s="2162">
        <v>33165212</v>
      </c>
      <c r="L92" s="2162">
        <v>35426057</v>
      </c>
      <c r="M92" s="3316">
        <v>37158308</v>
      </c>
      <c r="N92" s="3316">
        <f t="shared" si="43"/>
        <v>23709280</v>
      </c>
    </row>
    <row r="93" spans="2:25">
      <c r="B93" s="3318" t="s">
        <v>268</v>
      </c>
      <c r="C93" s="2162"/>
      <c r="D93" s="2162">
        <v>39964578</v>
      </c>
      <c r="E93" s="2162">
        <v>49005134</v>
      </c>
      <c r="F93" s="2162">
        <v>55524470</v>
      </c>
      <c r="G93" s="2162">
        <v>63131884</v>
      </c>
      <c r="H93" s="2162">
        <v>68852587</v>
      </c>
      <c r="I93" s="2162">
        <v>72668723</v>
      </c>
      <c r="J93" s="2162">
        <v>77875738</v>
      </c>
      <c r="K93" s="2162">
        <v>88138185</v>
      </c>
      <c r="L93" s="2162">
        <v>93638373</v>
      </c>
      <c r="M93" s="3316">
        <v>98286770</v>
      </c>
      <c r="N93" s="3316">
        <f t="shared" si="43"/>
        <v>58322192</v>
      </c>
    </row>
    <row r="94" spans="2:25">
      <c r="B94" s="3318" t="s">
        <v>18</v>
      </c>
      <c r="C94" s="2162"/>
      <c r="D94" s="2162">
        <v>9394911</v>
      </c>
      <c r="E94" s="2162">
        <v>10537015</v>
      </c>
      <c r="F94" s="2162">
        <v>11970072</v>
      </c>
      <c r="G94" s="2162">
        <v>12836559</v>
      </c>
      <c r="H94" s="2162">
        <v>13382950</v>
      </c>
      <c r="I94" s="2162">
        <v>13806112</v>
      </c>
      <c r="J94" s="2162">
        <v>14255990</v>
      </c>
      <c r="K94" s="2162">
        <v>15253378</v>
      </c>
      <c r="L94" s="2162">
        <v>15807774</v>
      </c>
      <c r="M94" s="3316">
        <v>16240645</v>
      </c>
      <c r="N94" s="3316">
        <f t="shared" si="43"/>
        <v>6845734</v>
      </c>
    </row>
    <row r="95" spans="2:25">
      <c r="B95" s="3318" t="s">
        <v>19</v>
      </c>
      <c r="C95" s="2162"/>
      <c r="D95" s="2162">
        <v>19581</v>
      </c>
      <c r="E95" s="2162">
        <v>19526</v>
      </c>
      <c r="F95" s="2162">
        <v>19984</v>
      </c>
      <c r="G95" s="2162">
        <v>20642</v>
      </c>
      <c r="H95" s="2162">
        <v>20985</v>
      </c>
      <c r="I95" s="2162">
        <v>21525</v>
      </c>
      <c r="J95" s="2162">
        <v>22534</v>
      </c>
      <c r="K95" s="2162">
        <v>22926</v>
      </c>
      <c r="L95" s="2162">
        <v>23485</v>
      </c>
      <c r="M95" s="3316">
        <v>24718</v>
      </c>
      <c r="N95" s="3316">
        <f t="shared" si="43"/>
        <v>5137</v>
      </c>
    </row>
    <row r="96" spans="2:25">
      <c r="B96" s="3319" t="s">
        <v>66</v>
      </c>
      <c r="C96" s="1709"/>
      <c r="D96" s="1709">
        <v>0</v>
      </c>
      <c r="E96" s="1709">
        <v>0</v>
      </c>
      <c r="F96" s="1709">
        <v>0</v>
      </c>
      <c r="G96" s="1709">
        <v>0</v>
      </c>
      <c r="H96" s="1709">
        <v>0</v>
      </c>
      <c r="I96" s="1709">
        <v>0</v>
      </c>
      <c r="J96" s="1709">
        <v>0</v>
      </c>
      <c r="K96" s="1709">
        <v>0</v>
      </c>
      <c r="L96" s="1709">
        <v>0</v>
      </c>
      <c r="M96" s="3320">
        <v>0</v>
      </c>
      <c r="N96" s="3320">
        <f t="shared" si="43"/>
        <v>0</v>
      </c>
    </row>
    <row r="97" spans="2:19">
      <c r="B97" s="3321" t="s">
        <v>452</v>
      </c>
      <c r="C97" s="3322"/>
      <c r="D97" s="3322">
        <f t="shared" ref="D97:K97" si="44">SUM(D87:D96)</f>
        <v>192932935</v>
      </c>
      <c r="E97" s="3322">
        <f t="shared" si="44"/>
        <v>207061889</v>
      </c>
      <c r="F97" s="3322">
        <f t="shared" si="44"/>
        <v>224662520</v>
      </c>
      <c r="G97" s="3322">
        <f t="shared" si="44"/>
        <v>238876642</v>
      </c>
      <c r="H97" s="3322">
        <f t="shared" si="44"/>
        <v>251368631</v>
      </c>
      <c r="I97" s="3322">
        <f t="shared" si="44"/>
        <v>262921353</v>
      </c>
      <c r="J97" s="3322">
        <f t="shared" si="44"/>
        <v>275833627</v>
      </c>
      <c r="K97" s="3322">
        <f t="shared" si="44"/>
        <v>289928476</v>
      </c>
      <c r="L97" s="3322">
        <f t="shared" ref="L97:M97" si="45">SUM(L87:L96)</f>
        <v>301969250</v>
      </c>
      <c r="M97" s="3323">
        <f t="shared" si="45"/>
        <v>314552609</v>
      </c>
      <c r="N97" s="3323">
        <f t="shared" si="43"/>
        <v>121619674</v>
      </c>
    </row>
    <row r="99" spans="2:19">
      <c r="B99" s="4510" t="s">
        <v>3536</v>
      </c>
      <c r="C99" s="4511"/>
      <c r="D99" s="4511"/>
      <c r="E99" s="4511"/>
      <c r="F99" s="4511"/>
      <c r="G99" s="4511"/>
      <c r="H99" s="4511"/>
      <c r="I99" s="4511"/>
      <c r="J99" s="4511"/>
      <c r="K99" s="4511"/>
      <c r="L99" s="4511"/>
      <c r="M99" s="4511"/>
      <c r="N99" s="4513"/>
    </row>
    <row r="100" spans="2:19">
      <c r="B100" s="1696"/>
      <c r="C100" s="20">
        <v>2016</v>
      </c>
      <c r="D100" s="20">
        <v>2017</v>
      </c>
      <c r="E100" s="20">
        <v>2018</v>
      </c>
      <c r="F100" s="20">
        <v>2019</v>
      </c>
      <c r="G100" s="20">
        <v>2020</v>
      </c>
      <c r="H100" s="20">
        <v>2021</v>
      </c>
      <c r="I100" s="20">
        <v>2022</v>
      </c>
      <c r="J100" s="20">
        <v>2023</v>
      </c>
      <c r="K100" s="20">
        <v>2024</v>
      </c>
      <c r="L100" s="20">
        <v>2025</v>
      </c>
      <c r="M100" s="1781">
        <v>2026</v>
      </c>
      <c r="N100" s="3337" t="s">
        <v>3534</v>
      </c>
    </row>
    <row r="101" spans="2:19">
      <c r="B101" s="3315" t="s">
        <v>2763</v>
      </c>
      <c r="C101" s="2162"/>
      <c r="D101" s="2162">
        <f t="shared" ref="D101:K101" si="46">D45-D87</f>
        <v>-14354145.187531322</v>
      </c>
      <c r="E101" s="2162">
        <f t="shared" si="46"/>
        <v>-12238581.097261265</v>
      </c>
      <c r="F101" s="2162">
        <f t="shared" si="46"/>
        <v>-13946473.938630909</v>
      </c>
      <c r="G101" s="2162">
        <f t="shared" si="46"/>
        <v>-12560157.116991088</v>
      </c>
      <c r="H101" s="2162">
        <f t="shared" si="46"/>
        <v>-12392641.319865242</v>
      </c>
      <c r="I101" s="2162">
        <f t="shared" si="46"/>
        <v>-13079323.464107044</v>
      </c>
      <c r="J101" s="2162">
        <f t="shared" si="46"/>
        <v>-13940403.515945569</v>
      </c>
      <c r="K101" s="2162">
        <f t="shared" si="46"/>
        <v>-10836686.079724088</v>
      </c>
      <c r="L101" s="2162">
        <f t="shared" ref="L101:M101" si="47">L45-L87</f>
        <v>-11050334.566019237</v>
      </c>
      <c r="M101" s="3316">
        <f t="shared" si="47"/>
        <v>-11461955.31003844</v>
      </c>
      <c r="N101" s="3316">
        <f>SUM(D101:M101)</f>
        <v>-125860701.59611422</v>
      </c>
    </row>
    <row r="102" spans="2:19">
      <c r="B102" s="3317" t="s">
        <v>3516</v>
      </c>
      <c r="C102" s="2162"/>
      <c r="D102" s="2162">
        <f t="shared" ref="D102:K102" si="48">D46-D88</f>
        <v>-3693558.8314665854</v>
      </c>
      <c r="E102" s="2162">
        <f t="shared" si="48"/>
        <v>-3649802.1436778381</v>
      </c>
      <c r="F102" s="2162">
        <f t="shared" si="48"/>
        <v>-4288927.6468394883</v>
      </c>
      <c r="G102" s="2162">
        <f t="shared" si="48"/>
        <v>-4106158.2672066987</v>
      </c>
      <c r="H102" s="2162">
        <f t="shared" si="48"/>
        <v>-4133318.8345547579</v>
      </c>
      <c r="I102" s="2162">
        <f t="shared" si="48"/>
        <v>-4333006.8057424165</v>
      </c>
      <c r="J102" s="2162">
        <f t="shared" si="48"/>
        <v>-4594865.0535378456</v>
      </c>
      <c r="K102" s="2162">
        <f t="shared" si="48"/>
        <v>-3962819.0009900481</v>
      </c>
      <c r="L102" s="2162">
        <f t="shared" ref="L102:M102" si="49">L46-L88</f>
        <v>-4431680.1778609604</v>
      </c>
      <c r="M102" s="3316">
        <f t="shared" si="49"/>
        <v>-5231102.2834366336</v>
      </c>
      <c r="N102" s="3316">
        <f t="shared" ref="N102:N110" si="50">SUM(D102:M102)</f>
        <v>-42425239.045313276</v>
      </c>
    </row>
    <row r="103" spans="2:19">
      <c r="B103" s="3318" t="s">
        <v>15</v>
      </c>
      <c r="C103" s="2162"/>
      <c r="D103" s="2162">
        <f t="shared" ref="D103:K103" si="51">D47-D89</f>
        <v>-10018637.675888728</v>
      </c>
      <c r="E103" s="2162">
        <f t="shared" si="51"/>
        <v>-9044936.5457649007</v>
      </c>
      <c r="F103" s="2162">
        <f t="shared" si="51"/>
        <v>-9742089.4156410769</v>
      </c>
      <c r="G103" s="2162">
        <f t="shared" si="51"/>
        <v>-8863942.285517253</v>
      </c>
      <c r="H103" s="2162">
        <f t="shared" si="51"/>
        <v>-8530408.1553934328</v>
      </c>
      <c r="I103" s="2162">
        <f t="shared" si="51"/>
        <v>-8512355.1790765077</v>
      </c>
      <c r="J103" s="2162">
        <f t="shared" si="51"/>
        <v>-8484715.0489526726</v>
      </c>
      <c r="K103" s="2162">
        <f t="shared" si="51"/>
        <v>-6730877.0726357549</v>
      </c>
      <c r="L103" s="2162">
        <f t="shared" ref="L103:M103" si="52">L47-L89</f>
        <v>-6882182.9425119311</v>
      </c>
      <c r="M103" s="3316">
        <f t="shared" si="52"/>
        <v>-7095649.9661950171</v>
      </c>
      <c r="N103" s="3316">
        <f t="shared" si="50"/>
        <v>-83905794.287577271</v>
      </c>
    </row>
    <row r="104" spans="2:19">
      <c r="B104" s="3318" t="s">
        <v>4</v>
      </c>
      <c r="C104" s="2162"/>
      <c r="D104" s="2162">
        <f t="shared" ref="D104:K104" si="53">D48-D90</f>
        <v>-132759</v>
      </c>
      <c r="E104" s="2162">
        <f t="shared" si="53"/>
        <v>40177</v>
      </c>
      <c r="F104" s="2162">
        <f t="shared" si="53"/>
        <v>-14948</v>
      </c>
      <c r="G104" s="2162">
        <f t="shared" si="53"/>
        <v>78983</v>
      </c>
      <c r="H104" s="2162">
        <f t="shared" si="53"/>
        <v>109592</v>
      </c>
      <c r="I104" s="2162">
        <f t="shared" si="53"/>
        <v>88919</v>
      </c>
      <c r="J104" s="2162">
        <f t="shared" si="53"/>
        <v>75997</v>
      </c>
      <c r="K104" s="2162">
        <f t="shared" si="53"/>
        <v>244999</v>
      </c>
      <c r="L104" s="2162">
        <f t="shared" ref="L104:M104" si="54">L48-L90</f>
        <v>301401</v>
      </c>
      <c r="M104" s="3316">
        <f t="shared" si="54"/>
        <v>291740</v>
      </c>
      <c r="N104" s="3316">
        <f t="shared" si="50"/>
        <v>1084101</v>
      </c>
    </row>
    <row r="105" spans="2:19">
      <c r="B105" s="3318" t="s">
        <v>22</v>
      </c>
      <c r="C105" s="2162"/>
      <c r="D105" s="2162">
        <f t="shared" ref="D105:K105" si="55">D49-D91</f>
        <v>1028445.0008362718</v>
      </c>
      <c r="E105" s="2162">
        <f t="shared" si="55"/>
        <v>414955.06881367415</v>
      </c>
      <c r="F105" s="2162">
        <f t="shared" si="55"/>
        <v>191369.13679107092</v>
      </c>
      <c r="G105" s="2162">
        <f t="shared" si="55"/>
        <v>-205511.21174399182</v>
      </c>
      <c r="H105" s="2162">
        <f t="shared" si="55"/>
        <v>-432880.19326541014</v>
      </c>
      <c r="I105" s="2162">
        <f t="shared" si="55"/>
        <v>-584999.12528801151</v>
      </c>
      <c r="J105" s="2162">
        <f t="shared" si="55"/>
        <v>-760119.05731061287</v>
      </c>
      <c r="K105" s="2162">
        <f t="shared" si="55"/>
        <v>-1297646.974289313</v>
      </c>
      <c r="L105" s="2162">
        <f t="shared" ref="L105:M105" si="56">L49-L91</f>
        <v>-1619406.3873670939</v>
      </c>
      <c r="M105" s="3316">
        <f t="shared" si="56"/>
        <v>-1849229.785400996</v>
      </c>
      <c r="N105" s="3316">
        <f t="shared" si="50"/>
        <v>-5115023.5282244124</v>
      </c>
    </row>
    <row r="106" spans="2:19">
      <c r="B106" s="3318" t="s">
        <v>16</v>
      </c>
      <c r="C106" s="2162"/>
      <c r="D106" s="2162">
        <f t="shared" ref="D106:K106" si="57">D50-D92</f>
        <v>1146855.2696701046</v>
      </c>
      <c r="E106" s="2162">
        <f t="shared" si="57"/>
        <v>897846.97060894221</v>
      </c>
      <c r="F106" s="2162">
        <f t="shared" si="57"/>
        <v>1857818.1289103888</v>
      </c>
      <c r="G106" s="2162">
        <f t="shared" si="57"/>
        <v>2373125.33062144</v>
      </c>
      <c r="H106" s="2162">
        <f t="shared" si="57"/>
        <v>3277035.3394510001</v>
      </c>
      <c r="I106" s="2162">
        <f t="shared" si="57"/>
        <v>4719027.5933133326</v>
      </c>
      <c r="J106" s="2162">
        <f t="shared" si="57"/>
        <v>5880123.7757534534</v>
      </c>
      <c r="K106" s="2162">
        <f t="shared" si="57"/>
        <v>5658402.6050536633</v>
      </c>
      <c r="L106" s="2162">
        <f t="shared" ref="L106:M106" si="58">L50-L92</f>
        <v>6007131.7383646965</v>
      </c>
      <c r="M106" s="3316">
        <f t="shared" si="58"/>
        <v>6299846.5638411045</v>
      </c>
      <c r="N106" s="3316">
        <f t="shared" si="50"/>
        <v>38117213.315588124</v>
      </c>
    </row>
    <row r="107" spans="2:19">
      <c r="B107" s="3318" t="s">
        <v>268</v>
      </c>
      <c r="C107" s="2162"/>
      <c r="D107" s="2162">
        <f t="shared" ref="D107:K107" si="59">D51-D93</f>
        <v>24772176.343939871</v>
      </c>
      <c r="E107" s="2162">
        <f t="shared" si="59"/>
        <v>22691692.779791951</v>
      </c>
      <c r="F107" s="2162">
        <f t="shared" si="59"/>
        <v>24557224.485206187</v>
      </c>
      <c r="G107" s="2162">
        <f t="shared" si="59"/>
        <v>22153050.286793634</v>
      </c>
      <c r="H107" s="2162">
        <f t="shared" si="59"/>
        <v>20885598.222205281</v>
      </c>
      <c r="I107" s="2162">
        <f t="shared" si="59"/>
        <v>20405306.959206671</v>
      </c>
      <c r="J107" s="2162">
        <f t="shared" si="59"/>
        <v>20228325.406699643</v>
      </c>
      <c r="K107" s="2162">
        <f t="shared" si="59"/>
        <v>15510101.094436437</v>
      </c>
      <c r="L107" s="2162">
        <f t="shared" ref="L107:M107" si="60">L51-L93</f>
        <v>15879307.515908122</v>
      </c>
      <c r="M107" s="3316">
        <f t="shared" si="60"/>
        <v>16656965.463825792</v>
      </c>
      <c r="N107" s="3316">
        <f t="shared" si="50"/>
        <v>203739748.55801362</v>
      </c>
    </row>
    <row r="108" spans="2:19">
      <c r="B108" s="3318" t="s">
        <v>18</v>
      </c>
      <c r="C108" s="2162"/>
      <c r="D108" s="2162">
        <f t="shared" ref="D108:K108" si="61">D52-D94</f>
        <v>1145482.7002862431</v>
      </c>
      <c r="E108" s="2162">
        <f t="shared" si="61"/>
        <v>645830.31896655262</v>
      </c>
      <c r="F108" s="2162">
        <f t="shared" si="61"/>
        <v>1092584.4714141712</v>
      </c>
      <c r="G108" s="2162">
        <f t="shared" si="61"/>
        <v>968859.26252370887</v>
      </c>
      <c r="H108" s="2162">
        <f t="shared" si="61"/>
        <v>1161519.1784467343</v>
      </c>
      <c r="I108" s="2162">
        <f t="shared" si="61"/>
        <v>1541033.5534694642</v>
      </c>
      <c r="J108" s="2162">
        <f t="shared" si="61"/>
        <v>1938413.810367303</v>
      </c>
      <c r="K108" s="2162">
        <f t="shared" si="61"/>
        <v>1861671.9234446362</v>
      </c>
      <c r="L108" s="2162">
        <f t="shared" ref="L108:M108" si="62">L52-L94</f>
        <v>2223497.6144728735</v>
      </c>
      <c r="M108" s="3316">
        <f t="shared" si="62"/>
        <v>2749739.0016757324</v>
      </c>
      <c r="N108" s="3316">
        <f t="shared" si="50"/>
        <v>15328631.835067419</v>
      </c>
    </row>
    <row r="109" spans="2:19">
      <c r="B109" s="3318" t="s">
        <v>19</v>
      </c>
      <c r="C109" s="2162"/>
      <c r="D109" s="2162">
        <f t="shared" ref="D109:K109" si="63">D53-D95</f>
        <v>-5584.1379269106292</v>
      </c>
      <c r="E109" s="2162">
        <f t="shared" si="63"/>
        <v>-4829.1379269106292</v>
      </c>
      <c r="F109" s="2162">
        <f t="shared" si="63"/>
        <v>-4587.1379269106292</v>
      </c>
      <c r="G109" s="2162">
        <f t="shared" si="63"/>
        <v>-4445.1379269106292</v>
      </c>
      <c r="H109" s="2162">
        <f t="shared" si="63"/>
        <v>-3988.1379269106292</v>
      </c>
      <c r="I109" s="2162">
        <f t="shared" si="63"/>
        <v>-3728.1379269106292</v>
      </c>
      <c r="J109" s="2162">
        <f t="shared" si="63"/>
        <v>-3837.1379269106292</v>
      </c>
      <c r="K109" s="2162">
        <f t="shared" si="63"/>
        <v>-3329.1379269106292</v>
      </c>
      <c r="L109" s="2162">
        <f t="shared" ref="L109:M109" si="64">L53-L95</f>
        <v>-2888.1379269106292</v>
      </c>
      <c r="M109" s="3316">
        <f t="shared" si="64"/>
        <v>-3121.1379269106292</v>
      </c>
      <c r="N109" s="3316">
        <f t="shared" si="50"/>
        <v>-40337.379269106284</v>
      </c>
    </row>
    <row r="110" spans="2:19">
      <c r="B110" s="3319" t="s">
        <v>66</v>
      </c>
      <c r="C110" s="1709"/>
      <c r="D110" s="1709">
        <f t="shared" ref="D110:K110" si="65">D54-D96</f>
        <v>0</v>
      </c>
      <c r="E110" s="1709">
        <f t="shared" si="65"/>
        <v>0</v>
      </c>
      <c r="F110" s="1709">
        <f t="shared" si="65"/>
        <v>0</v>
      </c>
      <c r="G110" s="1709">
        <f t="shared" si="65"/>
        <v>0</v>
      </c>
      <c r="H110" s="1709">
        <f t="shared" si="65"/>
        <v>0</v>
      </c>
      <c r="I110" s="1709">
        <f t="shared" si="65"/>
        <v>0</v>
      </c>
      <c r="J110" s="1709">
        <f t="shared" si="65"/>
        <v>0</v>
      </c>
      <c r="K110" s="1709">
        <f t="shared" si="65"/>
        <v>0</v>
      </c>
      <c r="L110" s="1709">
        <f t="shared" ref="L110:M110" si="66">L54-L96</f>
        <v>0</v>
      </c>
      <c r="M110" s="3320">
        <f t="shared" si="66"/>
        <v>0</v>
      </c>
      <c r="N110" s="3320">
        <f t="shared" si="50"/>
        <v>0</v>
      </c>
    </row>
    <row r="111" spans="2:19">
      <c r="B111" s="3321" t="s">
        <v>452</v>
      </c>
      <c r="C111" s="3322"/>
      <c r="D111" s="3322">
        <f t="shared" ref="D111:N111" si="67">SUM(D101:D110)</f>
        <v>-111725.51808105464</v>
      </c>
      <c r="E111" s="3322">
        <f t="shared" si="67"/>
        <v>-247646.78644979428</v>
      </c>
      <c r="F111" s="3322">
        <f t="shared" si="67"/>
        <v>-298029.91671656875</v>
      </c>
      <c r="G111" s="3322">
        <f t="shared" si="67"/>
        <v>-166196.13944715876</v>
      </c>
      <c r="H111" s="3322">
        <f t="shared" si="67"/>
        <v>-59491.900902735622</v>
      </c>
      <c r="I111" s="3322">
        <f t="shared" si="67"/>
        <v>240874.3938485751</v>
      </c>
      <c r="J111" s="3322">
        <f t="shared" si="67"/>
        <v>338920.17914678657</v>
      </c>
      <c r="K111" s="4240">
        <f t="shared" si="67"/>
        <v>443816.35736862139</v>
      </c>
      <c r="L111" s="3322">
        <f t="shared" ref="L111:M111" si="68">SUM(L101:L110)</f>
        <v>424845.65705956088</v>
      </c>
      <c r="M111" s="3323">
        <f t="shared" si="68"/>
        <v>357232.54634463356</v>
      </c>
      <c r="N111" s="3323">
        <f t="shared" si="67"/>
        <v>922598.87217088044</v>
      </c>
      <c r="P111" s="3094"/>
      <c r="Q111" s="3094"/>
      <c r="R111" s="3094"/>
      <c r="S111" s="3094"/>
    </row>
    <row r="112" spans="2:19">
      <c r="P112" s="3094"/>
      <c r="Q112" s="3094"/>
      <c r="R112" s="3094"/>
      <c r="S112" s="3094"/>
    </row>
    <row r="113" spans="2:19">
      <c r="B113" s="4510" t="s">
        <v>3535</v>
      </c>
      <c r="C113" s="4511"/>
      <c r="D113" s="4511"/>
      <c r="E113" s="4511"/>
      <c r="F113" s="4511"/>
      <c r="G113" s="4511"/>
      <c r="H113" s="4511"/>
      <c r="I113" s="4511"/>
      <c r="J113" s="4511"/>
      <c r="K113" s="4512"/>
      <c r="L113" s="4511"/>
      <c r="M113" s="4511"/>
      <c r="N113" s="4513"/>
      <c r="P113" s="3094"/>
      <c r="Q113" s="3094"/>
      <c r="R113" s="3094"/>
      <c r="S113" s="3094"/>
    </row>
    <row r="114" spans="2:19">
      <c r="B114" s="1696"/>
      <c r="C114" s="20">
        <v>2016</v>
      </c>
      <c r="D114" s="20">
        <v>2017</v>
      </c>
      <c r="E114" s="20">
        <v>2018</v>
      </c>
      <c r="F114" s="20">
        <v>2019</v>
      </c>
      <c r="G114" s="20">
        <v>2020</v>
      </c>
      <c r="H114" s="20">
        <v>2021</v>
      </c>
      <c r="I114" s="20">
        <v>2022</v>
      </c>
      <c r="J114" s="20">
        <v>2023</v>
      </c>
      <c r="K114" s="4239">
        <v>2024</v>
      </c>
      <c r="L114" s="20">
        <v>2025</v>
      </c>
      <c r="M114" s="1781">
        <v>2026</v>
      </c>
      <c r="N114" s="3337" t="s">
        <v>3525</v>
      </c>
      <c r="P114" s="3094"/>
      <c r="Q114" s="3094"/>
      <c r="R114" s="3094"/>
      <c r="S114" s="3094"/>
    </row>
    <row r="115" spans="2:19">
      <c r="B115" s="3315" t="s">
        <v>2763</v>
      </c>
      <c r="C115" s="3334"/>
      <c r="D115" s="3334">
        <f t="shared" ref="D115:K115" si="69">D101/D45</f>
        <v>-0.32224213168762261</v>
      </c>
      <c r="E115" s="3334">
        <f t="shared" si="69"/>
        <v>-0.26713502910642939</v>
      </c>
      <c r="F115" s="3334">
        <f t="shared" si="69"/>
        <v>-0.29597516152163289</v>
      </c>
      <c r="G115" s="3334">
        <f t="shared" si="69"/>
        <v>-0.25904295359589824</v>
      </c>
      <c r="H115" s="3334">
        <f t="shared" si="69"/>
        <v>-0.24860511202880894</v>
      </c>
      <c r="I115" s="3334">
        <f t="shared" si="69"/>
        <v>-0.25509281865456501</v>
      </c>
      <c r="J115" s="3334">
        <f t="shared" si="69"/>
        <v>-0.26433048614269938</v>
      </c>
      <c r="K115" s="3334">
        <f t="shared" si="69"/>
        <v>-0.19967637184180348</v>
      </c>
      <c r="L115" s="3334">
        <f t="shared" ref="L115:M115" si="70">L101/L45</f>
        <v>-0.20005570032409151</v>
      </c>
      <c r="M115" s="3360">
        <f t="shared" si="70"/>
        <v>-0.20019115818660396</v>
      </c>
      <c r="N115" s="3325">
        <f>D115-M115</f>
        <v>-0.12205097350101865</v>
      </c>
      <c r="P115" s="3094"/>
      <c r="Q115" s="3094"/>
      <c r="R115" s="3094"/>
      <c r="S115" s="3094"/>
    </row>
    <row r="116" spans="2:19">
      <c r="B116" s="3317" t="s">
        <v>3516</v>
      </c>
      <c r="C116" s="3334"/>
      <c r="D116" s="3334">
        <f t="shared" ref="D116:K116" si="71">D102/D46</f>
        <v>-0.15208347777302267</v>
      </c>
      <c r="E116" s="3334">
        <f t="shared" si="71"/>
        <v>-0.14467681805153568</v>
      </c>
      <c r="F116" s="3334">
        <f t="shared" si="71"/>
        <v>-0.16371442931053137</v>
      </c>
      <c r="G116" s="3334">
        <f t="shared" si="71"/>
        <v>-0.15096805757251086</v>
      </c>
      <c r="H116" s="3334">
        <f t="shared" si="71"/>
        <v>-0.14640619155609774</v>
      </c>
      <c r="I116" s="3334">
        <f t="shared" si="71"/>
        <v>-0.14789884898530364</v>
      </c>
      <c r="J116" s="3334">
        <f t="shared" si="71"/>
        <v>-0.15116626012213544</v>
      </c>
      <c r="K116" s="3334">
        <f t="shared" si="71"/>
        <v>-0.12568902174124469</v>
      </c>
      <c r="L116" s="3334">
        <f t="shared" ref="L116:M116" si="72">L102/L46</f>
        <v>-0.13770751350160046</v>
      </c>
      <c r="M116" s="3360">
        <f t="shared" si="72"/>
        <v>-0.1592833239737316</v>
      </c>
      <c r="N116" s="3325">
        <f t="shared" ref="N116:N125" si="73">D116-M116</f>
        <v>7.1998462007089314E-3</v>
      </c>
      <c r="P116" s="3094"/>
      <c r="Q116" s="3094"/>
      <c r="R116" s="3094"/>
      <c r="S116" s="3094"/>
    </row>
    <row r="117" spans="2:19">
      <c r="B117" s="3318" t="s">
        <v>15</v>
      </c>
      <c r="C117" s="3334"/>
      <c r="D117" s="3334">
        <f t="shared" ref="D117:K117" si="74">D103/D47</f>
        <v>-0.40478018879765576</v>
      </c>
      <c r="E117" s="3334">
        <f t="shared" si="74"/>
        <v>-0.34971242907643801</v>
      </c>
      <c r="F117" s="3334">
        <f t="shared" si="74"/>
        <v>-0.36049311413331392</v>
      </c>
      <c r="G117" s="3334">
        <f t="shared" si="74"/>
        <v>-0.31394502558608289</v>
      </c>
      <c r="H117" s="3334">
        <f t="shared" si="74"/>
        <v>-0.28921368326634239</v>
      </c>
      <c r="I117" s="3334">
        <f t="shared" si="74"/>
        <v>-0.27627226730843563</v>
      </c>
      <c r="J117" s="3334">
        <f t="shared" si="74"/>
        <v>-0.26365286238925384</v>
      </c>
      <c r="K117" s="3334">
        <f t="shared" si="74"/>
        <v>-0.20025705987996489</v>
      </c>
      <c r="L117" s="3334">
        <f t="shared" ref="L117:M117" si="75">L103/L47</f>
        <v>-0.2002206013668005</v>
      </c>
      <c r="M117" s="3360">
        <f t="shared" si="75"/>
        <v>-0.20001100338692748</v>
      </c>
      <c r="N117" s="3325">
        <f t="shared" si="73"/>
        <v>-0.20476918541072828</v>
      </c>
      <c r="P117" s="3094"/>
      <c r="Q117" s="3094"/>
      <c r="R117" s="3094"/>
      <c r="S117" s="3094"/>
    </row>
    <row r="118" spans="2:19">
      <c r="B118" s="3318" t="s">
        <v>4</v>
      </c>
      <c r="C118" s="3334"/>
      <c r="D118" s="3334">
        <f t="shared" ref="D118:K118" si="76">D104/D48</f>
        <v>-0.14180017944116893</v>
      </c>
      <c r="E118" s="3334">
        <f t="shared" si="76"/>
        <v>4.2698790571130997E-2</v>
      </c>
      <c r="F118" s="3334">
        <f t="shared" si="76"/>
        <v>-1.580728395583943E-2</v>
      </c>
      <c r="G118" s="3334">
        <f t="shared" si="76"/>
        <v>8.3110255277058731E-2</v>
      </c>
      <c r="H118" s="3334">
        <f t="shared" si="76"/>
        <v>0.11473920053604707</v>
      </c>
      <c r="I118" s="3334">
        <f t="shared" si="76"/>
        <v>9.2629747692564116E-2</v>
      </c>
      <c r="J118" s="3334">
        <f t="shared" si="76"/>
        <v>7.8774592118083631E-2</v>
      </c>
      <c r="K118" s="3334">
        <f t="shared" si="76"/>
        <v>0.25269612393506197</v>
      </c>
      <c r="L118" s="3334">
        <f t="shared" ref="L118:M118" si="77">L104/L48</f>
        <v>0.30933862922593758</v>
      </c>
      <c r="M118" s="3360">
        <f t="shared" si="77"/>
        <v>0.29792492136759119</v>
      </c>
      <c r="N118" s="3325">
        <f t="shared" si="73"/>
        <v>-0.43972510080876015</v>
      </c>
      <c r="P118" s="3094"/>
      <c r="Q118" s="3094"/>
      <c r="R118" s="3094"/>
      <c r="S118" s="3094"/>
    </row>
    <row r="119" spans="2:19">
      <c r="B119" s="3318" t="s">
        <v>22</v>
      </c>
      <c r="C119" s="3334"/>
      <c r="D119" s="3334">
        <f t="shared" ref="D119:K119" si="78">D105/D49</f>
        <v>0.12219905915761672</v>
      </c>
      <c r="E119" s="3334">
        <f t="shared" si="78"/>
        <v>4.790463953190828E-2</v>
      </c>
      <c r="F119" s="3334">
        <f t="shared" si="78"/>
        <v>2.1472794871750533E-2</v>
      </c>
      <c r="G119" s="3334">
        <f t="shared" si="78"/>
        <v>-2.2448875503518966E-2</v>
      </c>
      <c r="H119" s="3334">
        <f t="shared" si="78"/>
        <v>-4.5522635329384942E-2</v>
      </c>
      <c r="I119" s="3334">
        <f t="shared" si="78"/>
        <v>-5.9863110034201999E-2</v>
      </c>
      <c r="J119" s="3334">
        <f t="shared" si="78"/>
        <v>-7.5711769568048426E-2</v>
      </c>
      <c r="K119" s="3334">
        <f t="shared" si="78"/>
        <v>-0.12495383693639457</v>
      </c>
      <c r="L119" s="3334">
        <f t="shared" ref="L119:M119" si="79">L105/L49</f>
        <v>-0.15240188674954627</v>
      </c>
      <c r="M119" s="3360">
        <f t="shared" si="79"/>
        <v>-0.16897377669498675</v>
      </c>
      <c r="N119" s="3325">
        <f t="shared" si="73"/>
        <v>0.29117283585260345</v>
      </c>
      <c r="P119" s="3094"/>
      <c r="Q119" s="3094"/>
      <c r="R119" s="3094"/>
      <c r="S119" s="3094"/>
    </row>
    <row r="120" spans="2:19">
      <c r="B120" s="3318" t="s">
        <v>16</v>
      </c>
      <c r="C120" s="3334"/>
      <c r="D120" s="3334">
        <f t="shared" ref="D120:K120" si="80">D106/D50</f>
        <v>7.8573886107546662E-2</v>
      </c>
      <c r="E120" s="3334">
        <f t="shared" si="80"/>
        <v>5.156658309453143E-2</v>
      </c>
      <c r="F120" s="3334">
        <f t="shared" si="80"/>
        <v>8.844833611622846E-2</v>
      </c>
      <c r="G120" s="3334">
        <f t="shared" si="80"/>
        <v>9.2775456622233937E-2</v>
      </c>
      <c r="H120" s="3334">
        <f t="shared" si="80"/>
        <v>0.11312020412962082</v>
      </c>
      <c r="I120" s="3334">
        <f t="shared" si="80"/>
        <v>0.14471254617813448</v>
      </c>
      <c r="J120" s="3334">
        <f t="shared" si="80"/>
        <v>0.16547427270763615</v>
      </c>
      <c r="K120" s="3334">
        <f t="shared" si="80"/>
        <v>0.14574641394459725</v>
      </c>
      <c r="L120" s="3334">
        <f t="shared" ref="L120:M120" si="81">L106/L50</f>
        <v>0.14498357286226551</v>
      </c>
      <c r="M120" s="3360">
        <f t="shared" si="81"/>
        <v>0.14496350862267918</v>
      </c>
      <c r="N120" s="3325">
        <f t="shared" si="73"/>
        <v>-6.6389622515132515E-2</v>
      </c>
      <c r="P120" s="3094"/>
      <c r="Q120" s="3094"/>
      <c r="R120" s="3094"/>
      <c r="S120" s="3094"/>
    </row>
    <row r="121" spans="2:19">
      <c r="B121" s="3318" t="s">
        <v>268</v>
      </c>
      <c r="C121" s="3334"/>
      <c r="D121" s="3334">
        <f t="shared" ref="D121:K121" si="82">D107/D51</f>
        <v>0.38266015333928832</v>
      </c>
      <c r="E121" s="3334">
        <f t="shared" si="82"/>
        <v>0.31649507794099052</v>
      </c>
      <c r="F121" s="3334">
        <f t="shared" si="82"/>
        <v>0.30665215868706103</v>
      </c>
      <c r="G121" s="3334">
        <f t="shared" si="82"/>
        <v>0.25975338401854209</v>
      </c>
      <c r="H121" s="3334">
        <f t="shared" si="82"/>
        <v>0.23273925331217019</v>
      </c>
      <c r="I121" s="3334">
        <f t="shared" si="82"/>
        <v>0.21923738520992475</v>
      </c>
      <c r="J121" s="3334">
        <f t="shared" si="82"/>
        <v>0.2061925337673447</v>
      </c>
      <c r="K121" s="3334">
        <f t="shared" si="82"/>
        <v>0.14964165524459141</v>
      </c>
      <c r="L121" s="3334">
        <f t="shared" ref="L121:M121" si="83">L107/L51</f>
        <v>0.14499309555411516</v>
      </c>
      <c r="M121" s="3360">
        <f t="shared" si="83"/>
        <v>0.14491407814972174</v>
      </c>
      <c r="N121" s="3325">
        <f t="shared" si="73"/>
        <v>0.23774607518956659</v>
      </c>
      <c r="P121" s="3094"/>
      <c r="Q121" s="3094"/>
      <c r="R121" s="3094"/>
      <c r="S121" s="3094"/>
    </row>
    <row r="122" spans="2:19">
      <c r="B122" s="3318" t="s">
        <v>18</v>
      </c>
      <c r="C122" s="3334"/>
      <c r="D122" s="3334">
        <f t="shared" ref="D122:K122" si="84">D108/D52</f>
        <v>0.10867551372916322</v>
      </c>
      <c r="E122" s="3334">
        <f t="shared" si="84"/>
        <v>5.7751878036906991E-2</v>
      </c>
      <c r="F122" s="3334">
        <f t="shared" si="84"/>
        <v>8.3641828429396589E-2</v>
      </c>
      <c r="G122" s="3334">
        <f t="shared" si="84"/>
        <v>7.0179638465122166E-2</v>
      </c>
      <c r="H122" s="3334">
        <f t="shared" si="84"/>
        <v>7.9859853542676898E-2</v>
      </c>
      <c r="I122" s="3334">
        <f t="shared" si="84"/>
        <v>0.10041173768115395</v>
      </c>
      <c r="J122" s="3334">
        <f t="shared" si="84"/>
        <v>0.11969652190137267</v>
      </c>
      <c r="K122" s="3334">
        <f t="shared" si="84"/>
        <v>0.1087739697968669</v>
      </c>
      <c r="L122" s="3334">
        <f t="shared" ref="L122:M122" si="85">L108/L52</f>
        <v>0.12331341138958686</v>
      </c>
      <c r="M122" s="3360">
        <f t="shared" si="85"/>
        <v>0.14479638755241034</v>
      </c>
      <c r="N122" s="3325">
        <f t="shared" si="73"/>
        <v>-3.6120873823247121E-2</v>
      </c>
      <c r="P122" s="3094"/>
      <c r="Q122" s="3094"/>
      <c r="R122" s="3094"/>
      <c r="S122" s="3094"/>
    </row>
    <row r="123" spans="2:19">
      <c r="B123" s="3318" t="s">
        <v>19</v>
      </c>
      <c r="C123" s="3334"/>
      <c r="D123" s="3334">
        <f t="shared" ref="D123:K123" si="86">D109/D53</f>
        <v>-0.39895641592745257</v>
      </c>
      <c r="E123" s="3334">
        <f t="shared" si="86"/>
        <v>-0.32858292490565061</v>
      </c>
      <c r="F123" s="3334">
        <f t="shared" si="86"/>
        <v>-0.29792680515908671</v>
      </c>
      <c r="G123" s="3334">
        <f t="shared" si="86"/>
        <v>-0.27444438971275187</v>
      </c>
      <c r="H123" s="3334">
        <f t="shared" si="86"/>
        <v>-0.234639659353648</v>
      </c>
      <c r="I123" s="3334">
        <f t="shared" si="86"/>
        <v>-0.20948288027404255</v>
      </c>
      <c r="J123" s="3334">
        <f t="shared" si="86"/>
        <v>-0.20522897970314871</v>
      </c>
      <c r="K123" s="3334">
        <f t="shared" si="86"/>
        <v>-0.16988117355187382</v>
      </c>
      <c r="L123" s="3334">
        <f t="shared" ref="L123:M123" si="87">L109/L53</f>
        <v>-0.14022222980674798</v>
      </c>
      <c r="M123" s="3360">
        <f t="shared" si="87"/>
        <v>-0.1445181210283184</v>
      </c>
      <c r="N123" s="3325">
        <f t="shared" si="73"/>
        <v>-0.25443829489913417</v>
      </c>
      <c r="P123" s="3094"/>
      <c r="Q123" s="3094"/>
      <c r="R123" s="3094"/>
      <c r="S123" s="3094"/>
    </row>
    <row r="124" spans="2:19">
      <c r="B124" s="3319" t="s">
        <v>66</v>
      </c>
      <c r="C124" s="3362"/>
      <c r="D124" s="3362">
        <v>0</v>
      </c>
      <c r="E124" s="3362">
        <v>0</v>
      </c>
      <c r="F124" s="3362">
        <v>0</v>
      </c>
      <c r="G124" s="3362">
        <v>0</v>
      </c>
      <c r="H124" s="3362">
        <v>0</v>
      </c>
      <c r="I124" s="3362">
        <v>0</v>
      </c>
      <c r="J124" s="3362">
        <v>0</v>
      </c>
      <c r="K124" s="3362">
        <v>0</v>
      </c>
      <c r="L124" s="3362">
        <v>0</v>
      </c>
      <c r="M124" s="3361">
        <v>0</v>
      </c>
      <c r="N124" s="3326">
        <f t="shared" si="73"/>
        <v>0</v>
      </c>
      <c r="P124" s="3094"/>
      <c r="Q124" s="3094"/>
      <c r="R124" s="3094"/>
      <c r="S124" s="3094"/>
    </row>
    <row r="125" spans="2:19">
      <c r="B125" s="3321" t="s">
        <v>452</v>
      </c>
      <c r="C125" s="3312"/>
      <c r="D125" s="3312">
        <f t="shared" ref="D125:K125" si="88">D111/D55</f>
        <v>-5.7942546041093719E-4</v>
      </c>
      <c r="E125" s="3312">
        <f t="shared" si="88"/>
        <v>-1.197435842905256E-3</v>
      </c>
      <c r="F125" s="3312">
        <f t="shared" si="88"/>
        <v>-1.3283292583685634E-3</v>
      </c>
      <c r="G125" s="3312">
        <f t="shared" si="88"/>
        <v>-6.9622482940794863E-4</v>
      </c>
      <c r="H125" s="3312">
        <f t="shared" si="88"/>
        <v>-2.3672796427541193E-4</v>
      </c>
      <c r="I125" s="3312">
        <f t="shared" si="88"/>
        <v>9.1530762691137467E-4</v>
      </c>
      <c r="J125" s="3312">
        <f t="shared" si="88"/>
        <v>1.2272044510164034E-3</v>
      </c>
      <c r="K125" s="3312">
        <f t="shared" si="88"/>
        <v>1.5284390730449077E-3</v>
      </c>
      <c r="L125" s="3312">
        <f t="shared" ref="L125:M125" si="89">L111/L55</f>
        <v>1.4049403184821828E-3</v>
      </c>
      <c r="M125" s="3329">
        <f t="shared" si="89"/>
        <v>1.1343962595467515E-3</v>
      </c>
      <c r="N125" s="3326">
        <f t="shared" si="73"/>
        <v>-1.7138217199576887E-3</v>
      </c>
      <c r="P125" s="3094"/>
      <c r="Q125" s="3094"/>
      <c r="R125" s="3094"/>
      <c r="S125" s="3094"/>
    </row>
    <row r="127" spans="2:19">
      <c r="B127" s="3335" t="s">
        <v>3539</v>
      </c>
      <c r="C127" s="3336"/>
      <c r="D127" s="3336"/>
      <c r="E127" s="3336"/>
      <c r="F127" s="3336"/>
    </row>
    <row r="129" spans="2:6">
      <c r="B129" s="3331" t="s">
        <v>3540</v>
      </c>
      <c r="C129" s="3330"/>
      <c r="D129" s="3330"/>
      <c r="E129" s="3330"/>
      <c r="F129" s="3330"/>
    </row>
  </sheetData>
  <mergeCells count="9">
    <mergeCell ref="B113:N113"/>
    <mergeCell ref="B71:N71"/>
    <mergeCell ref="B1:N1"/>
    <mergeCell ref="B15:N15"/>
    <mergeCell ref="B43:N43"/>
    <mergeCell ref="B29:N29"/>
    <mergeCell ref="B57:N57"/>
    <mergeCell ref="B85:N85"/>
    <mergeCell ref="B99:N99"/>
  </mergeCells>
  <conditionalFormatting sqref="C115:M124">
    <cfRule type="cellIs" dxfId="5" priority="7" operator="greaterThan">
      <formula>0.15049</formula>
    </cfRule>
    <cfRule type="cellIs" dxfId="4" priority="8" operator="lessThan">
      <formula>-0.20049</formula>
    </cfRule>
  </conditionalFormatting>
  <conditionalFormatting sqref="R115:R124">
    <cfRule type="cellIs" dxfId="3" priority="3" operator="greaterThan">
      <formula>0.15</formula>
    </cfRule>
    <cfRule type="cellIs" dxfId="2" priority="4" operator="lessThan">
      <formula>-0.2</formula>
    </cfRule>
  </conditionalFormatting>
  <printOptions horizontalCentered="1"/>
  <pageMargins left="0.7" right="0.7" top="0.75" bottom="0.75" header="0.3" footer="0.3"/>
  <pageSetup scale="56" orientation="landscape" r:id="rId1"/>
  <headerFooter>
    <oddHeader>&amp;CRate Trajectory to present to Grant PUD Commission March 6, 2017</oddHeader>
    <oddFooter>&amp;CPage &amp;P of &amp;N     &amp;D</oddFooter>
  </headerFooter>
  <rowBreaks count="2" manualBreakCount="2">
    <brk id="41" min="1" max="13" man="1"/>
    <brk id="84" min="1" max="1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M21"/>
  <sheetViews>
    <sheetView workbookViewId="0">
      <selection activeCell="C18" sqref="C18"/>
    </sheetView>
  </sheetViews>
  <sheetFormatPr defaultRowHeight="15"/>
  <cols>
    <col min="1" max="1" width="9" style="3347"/>
    <col min="2" max="2" width="16.875" style="3347" customWidth="1"/>
    <col min="3" max="12" width="11.75" style="3348" customWidth="1"/>
    <col min="13" max="13" width="57.25" style="3358" customWidth="1"/>
    <col min="14" max="16384" width="9" style="3348"/>
  </cols>
  <sheetData>
    <row r="1" spans="1:13" ht="28.5">
      <c r="A1" s="3346" t="s">
        <v>4025</v>
      </c>
      <c r="M1" s="3349" t="s">
        <v>3527</v>
      </c>
    </row>
    <row r="2" spans="1:13" ht="29.25" thickBot="1">
      <c r="A2" s="3346"/>
      <c r="M2" s="3350"/>
    </row>
    <row r="3" spans="1:13" ht="15.75" customHeight="1" thickTop="1" thickBot="1">
      <c r="B3" s="3351" t="s">
        <v>4024</v>
      </c>
      <c r="C3" s="3348" t="s">
        <v>3528</v>
      </c>
      <c r="M3" s="3352"/>
    </row>
    <row r="4" spans="1:13" ht="15.75" customHeight="1" thickTop="1" thickBot="1">
      <c r="M4" s="3352"/>
    </row>
    <row r="5" spans="1:13" ht="16.5" thickTop="1" thickBot="1">
      <c r="B5" s="3359" t="s">
        <v>3208</v>
      </c>
      <c r="C5" s="4337" t="s">
        <v>4026</v>
      </c>
      <c r="M5" s="3350"/>
    </row>
    <row r="6" spans="1:13" ht="16.5" thickTop="1" thickBot="1">
      <c r="M6" s="3350"/>
    </row>
    <row r="7" spans="1:13" ht="16.5" thickTop="1" thickBot="1">
      <c r="B7" s="3351" t="s">
        <v>3529</v>
      </c>
      <c r="C7" s="4338" t="s">
        <v>4033</v>
      </c>
      <c r="M7" s="3352"/>
    </row>
    <row r="8" spans="1:13" ht="16.5" thickTop="1" thickBot="1">
      <c r="C8" s="3353"/>
      <c r="M8" s="3352"/>
    </row>
    <row r="9" spans="1:13" ht="16.5" thickTop="1" thickBot="1">
      <c r="B9" s="3351" t="s">
        <v>213</v>
      </c>
      <c r="C9" s="4650" t="s">
        <v>4033</v>
      </c>
      <c r="M9" s="3352"/>
    </row>
    <row r="10" spans="1:13" ht="15.75" thickTop="1">
      <c r="C10" s="4650" t="s">
        <v>4042</v>
      </c>
      <c r="M10" s="3352"/>
    </row>
    <row r="11" spans="1:13">
      <c r="C11" s="4650" t="s">
        <v>4041</v>
      </c>
      <c r="M11" s="3352"/>
    </row>
    <row r="12" spans="1:13">
      <c r="C12" s="3353" t="s">
        <v>3533</v>
      </c>
      <c r="M12" s="3352"/>
    </row>
    <row r="13" spans="1:13" ht="15.75" thickBot="1">
      <c r="C13" s="3353"/>
      <c r="M13" s="3352"/>
    </row>
    <row r="14" spans="1:13" ht="16.5" thickTop="1" thickBot="1">
      <c r="B14" s="3354" t="s">
        <v>3530</v>
      </c>
      <c r="C14" s="4338" t="s">
        <v>4034</v>
      </c>
      <c r="M14" s="3350"/>
    </row>
    <row r="15" spans="1:13" ht="16.5" thickTop="1" thickBot="1">
      <c r="B15" s="3355"/>
      <c r="C15" s="3353"/>
      <c r="M15" s="3350"/>
    </row>
    <row r="16" spans="1:13" ht="16.5" thickTop="1" thickBot="1">
      <c r="B16" s="3351" t="s">
        <v>3532</v>
      </c>
      <c r="C16" s="3356" t="s">
        <v>4043</v>
      </c>
      <c r="M16" s="3352"/>
    </row>
    <row r="17" spans="3:13" ht="18" customHeight="1" thickTop="1">
      <c r="C17" s="3356" t="s">
        <v>4044</v>
      </c>
      <c r="M17" s="3352"/>
    </row>
    <row r="18" spans="3:13" ht="18" customHeight="1">
      <c r="C18" s="3356" t="s">
        <v>4035</v>
      </c>
      <c r="D18" s="3357"/>
      <c r="E18" s="3357"/>
      <c r="M18" s="3352"/>
    </row>
    <row r="19" spans="3:13" ht="18" customHeight="1">
      <c r="C19" s="3356"/>
      <c r="M19" s="3350"/>
    </row>
    <row r="20" spans="3:13" ht="18" customHeight="1">
      <c r="M20" s="3350"/>
    </row>
    <row r="21" spans="3:13">
      <c r="M21" s="3350"/>
    </row>
  </sheetData>
  <pageMargins left="0.2" right="0.2" top="0.25" bottom="0.25" header="0.3" footer="0.3"/>
  <pageSetup scale="88"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00"/>
  <sheetViews>
    <sheetView zoomScale="70" zoomScaleNormal="70" workbookViewId="0">
      <selection activeCell="AJ31" sqref="AJ31"/>
    </sheetView>
  </sheetViews>
  <sheetFormatPr defaultRowHeight="15.75"/>
  <cols>
    <col min="1" max="1" width="22.5" style="196" customWidth="1"/>
    <col min="2" max="2" width="2.5" style="20" customWidth="1"/>
    <col min="4" max="4" width="7.375" customWidth="1"/>
    <col min="5" max="5" width="24.625" customWidth="1"/>
    <col min="6" max="6" width="13.375" hidden="1" customWidth="1"/>
    <col min="7" max="7" width="13.625" customWidth="1"/>
    <col min="8" max="8" width="13.375" bestFit="1" customWidth="1"/>
    <col min="9" max="9" width="14.25" customWidth="1"/>
    <col min="10" max="10" width="9.125" bestFit="1" customWidth="1"/>
    <col min="11" max="11" width="11.125" customWidth="1"/>
    <col min="13" max="13" width="8.625" customWidth="1"/>
    <col min="14" max="14" width="25" bestFit="1" customWidth="1"/>
    <col min="15" max="15" width="12.75" customWidth="1"/>
    <col min="16" max="16" width="10.625" customWidth="1"/>
    <col min="17" max="17" width="16.125" bestFit="1" customWidth="1"/>
    <col min="20" max="20" width="39.625" bestFit="1" customWidth="1"/>
    <col min="21" max="21" width="12.5" bestFit="1" customWidth="1"/>
  </cols>
  <sheetData>
    <row r="1" spans="1:32">
      <c r="A1" s="411"/>
      <c r="D1" s="2" t="s">
        <v>3020</v>
      </c>
    </row>
    <row r="2" spans="1:32">
      <c r="A2" s="411"/>
      <c r="D2" s="200"/>
      <c r="E2" s="84"/>
      <c r="F2" s="2579" t="s">
        <v>674</v>
      </c>
      <c r="G2" s="2579" t="s">
        <v>155</v>
      </c>
      <c r="H2" s="2579" t="s">
        <v>675</v>
      </c>
      <c r="I2" s="2579" t="s">
        <v>676</v>
      </c>
      <c r="J2" s="2579" t="s">
        <v>677</v>
      </c>
      <c r="K2" s="86"/>
    </row>
    <row r="3" spans="1:32">
      <c r="A3" s="411"/>
      <c r="D3" s="3281"/>
      <c r="E3" s="3281"/>
      <c r="F3" s="3281">
        <f>COS_Summ!E7</f>
        <v>2024</v>
      </c>
      <c r="G3" s="3281"/>
      <c r="H3" s="3281"/>
      <c r="I3" s="4514" t="s">
        <v>2738</v>
      </c>
      <c r="J3" s="4515"/>
      <c r="K3" s="86"/>
    </row>
    <row r="4" spans="1:32">
      <c r="A4" s="411"/>
      <c r="D4" s="3282"/>
      <c r="E4" s="3282"/>
      <c r="F4" s="3282" t="s">
        <v>712</v>
      </c>
      <c r="G4" s="3282" t="s">
        <v>2737</v>
      </c>
      <c r="H4" s="3282" t="s">
        <v>874</v>
      </c>
      <c r="I4" s="4516"/>
      <c r="J4" s="4517"/>
      <c r="K4" s="86"/>
      <c r="T4" s="2602" t="s">
        <v>3027</v>
      </c>
      <c r="U4" s="2602">
        <v>2015</v>
      </c>
      <c r="V4" s="2602">
        <v>2016</v>
      </c>
      <c r="W4" s="2602">
        <v>2017</v>
      </c>
      <c r="X4" s="2602">
        <v>2018</v>
      </c>
      <c r="Y4" s="2602">
        <v>2019</v>
      </c>
      <c r="Z4" s="2602">
        <v>2020</v>
      </c>
      <c r="AA4" s="2602">
        <v>2021</v>
      </c>
      <c r="AB4" s="2602">
        <v>2022</v>
      </c>
      <c r="AC4" s="2602">
        <v>2023</v>
      </c>
      <c r="AD4" s="2602">
        <v>2024</v>
      </c>
      <c r="AE4" s="2602">
        <v>2025</v>
      </c>
      <c r="AF4" s="2602">
        <v>2026</v>
      </c>
    </row>
    <row r="5" spans="1:32">
      <c r="A5" s="411"/>
      <c r="D5" s="3283" t="s">
        <v>867</v>
      </c>
      <c r="E5" s="3283" t="s">
        <v>399</v>
      </c>
      <c r="F5" s="3283" t="s">
        <v>176</v>
      </c>
      <c r="G5" s="3283" t="s">
        <v>708</v>
      </c>
      <c r="H5" s="3283" t="s">
        <v>710</v>
      </c>
      <c r="I5" s="3283" t="s">
        <v>121</v>
      </c>
      <c r="J5" s="3283" t="s">
        <v>122</v>
      </c>
      <c r="K5" s="86"/>
      <c r="T5" s="84" t="s">
        <v>2216</v>
      </c>
      <c r="U5" s="2603">
        <f>Dashboard!H52</f>
        <v>10.798615840978993</v>
      </c>
      <c r="V5" s="2603">
        <f>Dashboard!I52</f>
        <v>11.243122201029101</v>
      </c>
      <c r="W5" s="2603">
        <f>Dashboard!J52</f>
        <v>8.4798079072927042</v>
      </c>
      <c r="X5" s="2603">
        <f>Dashboard!K52</f>
        <v>7.9555256540120292</v>
      </c>
      <c r="Y5" s="2603">
        <f>Dashboard!L52</f>
        <v>3.848557892321915</v>
      </c>
      <c r="Z5" s="2603">
        <f>Dashboard!M52</f>
        <v>3.7364266022950554</v>
      </c>
      <c r="AA5" s="2603">
        <f>Dashboard!N52</f>
        <v>4.2579358136207075</v>
      </c>
      <c r="AB5" s="2603">
        <f>Dashboard!O52</f>
        <v>4.8026126119241077</v>
      </c>
      <c r="AC5" s="2603">
        <f>Dashboard!P52</f>
        <v>5.8687348926906138</v>
      </c>
      <c r="AD5" s="2603">
        <f>Dashboard!Q52</f>
        <v>16.601835252575203</v>
      </c>
      <c r="AE5" s="2603">
        <f>Dashboard!R52</f>
        <v>18.394165563597618</v>
      </c>
      <c r="AF5" s="2603">
        <f>Dashboard!S52</f>
        <v>21.429906934160154</v>
      </c>
    </row>
    <row r="6" spans="1:32">
      <c r="A6" s="411"/>
      <c r="D6" s="3290"/>
      <c r="E6" s="3291"/>
      <c r="F6" s="3109" t="s">
        <v>383</v>
      </c>
      <c r="G6" s="3291"/>
      <c r="H6" s="3291"/>
      <c r="I6" s="3109" t="s">
        <v>82</v>
      </c>
      <c r="J6" s="3109" t="s">
        <v>84</v>
      </c>
      <c r="K6" s="86"/>
      <c r="T6" s="2681" t="s">
        <v>2217</v>
      </c>
      <c r="U6" s="2766">
        <f>Dashboard!H54</f>
        <v>2.2053877093106844</v>
      </c>
      <c r="V6" s="2766">
        <f>Dashboard!I54</f>
        <v>2.0326194378707929</v>
      </c>
      <c r="W6" s="2766">
        <f>Dashboard!J54</f>
        <v>1.8347171154084658</v>
      </c>
      <c r="X6" s="2766">
        <f>Dashboard!K54</f>
        <v>1.8335806561984245</v>
      </c>
      <c r="Y6" s="2766">
        <f>Dashboard!L54</f>
        <v>1.6768128507708637</v>
      </c>
      <c r="Z6" s="2766">
        <f>Dashboard!M54</f>
        <v>1.6401311104624678</v>
      </c>
      <c r="AA6" s="2766">
        <f>Dashboard!N54</f>
        <v>1.7605063054862371</v>
      </c>
      <c r="AB6" s="2766">
        <f>Dashboard!O54</f>
        <v>1.8471894676830956</v>
      </c>
      <c r="AC6" s="2766">
        <f>Dashboard!P54</f>
        <v>2.0207666882606268</v>
      </c>
      <c r="AD6" s="2766">
        <f>Dashboard!Q54</f>
        <v>2.3287728596312101</v>
      </c>
      <c r="AE6" s="2766">
        <f>Dashboard!R54</f>
        <v>2.3017753193014703</v>
      </c>
      <c r="AF6" s="2766">
        <f>Dashboard!S54</f>
        <v>2.3180316451599361</v>
      </c>
    </row>
    <row r="7" spans="1:32">
      <c r="A7" s="411"/>
      <c r="D7" s="83"/>
      <c r="E7" s="86"/>
      <c r="F7" s="86"/>
      <c r="G7" s="86"/>
      <c r="H7" s="86"/>
      <c r="I7" s="86"/>
      <c r="J7" s="86"/>
      <c r="K7" s="86"/>
      <c r="T7" s="84" t="s">
        <v>3032</v>
      </c>
      <c r="U7" s="2604">
        <f>Dashboard!H46/1000000</f>
        <v>177.45345026407597</v>
      </c>
      <c r="V7" s="2604">
        <f>Dashboard!I46/1000000</f>
        <v>179.92658336583997</v>
      </c>
      <c r="W7" s="2604">
        <f>Dashboard!J46/1000000</f>
        <v>173.53924210615153</v>
      </c>
      <c r="X7" s="2604">
        <f>Dashboard!K46/1000000</f>
        <v>223.84986525562954</v>
      </c>
      <c r="Y7" s="2604">
        <f>Dashboard!L46/1000000</f>
        <v>171.81419409747556</v>
      </c>
      <c r="Z7" s="2604">
        <f>Dashboard!M46/1000000</f>
        <v>173.84758487104148</v>
      </c>
      <c r="AA7" s="2604">
        <f>Dashboard!N46/1000000</f>
        <v>175.91347736273201</v>
      </c>
      <c r="AB7" s="2604">
        <f>Dashboard!O46/1000000</f>
        <v>178.01239108000988</v>
      </c>
      <c r="AC7" s="2604">
        <f>Dashboard!P46/1000000</f>
        <v>180.14485383414461</v>
      </c>
      <c r="AD7" s="2604">
        <f>Dashboard!Q46/1000000</f>
        <v>182.31140187294156</v>
      </c>
      <c r="AE7" s="2604">
        <f>Dashboard!R46/1000000</f>
        <v>184.5125800155904</v>
      </c>
      <c r="AF7" s="2604">
        <f>Dashboard!S46/1000000</f>
        <v>186.74894178967156</v>
      </c>
    </row>
    <row r="8" spans="1:32">
      <c r="A8" s="411"/>
      <c r="D8" s="83">
        <f>+MAX(D3:D7)+1</f>
        <v>1</v>
      </c>
      <c r="E8" s="84" t="str">
        <f>COS_Summ!D12</f>
        <v>Residential-Urban (1)</v>
      </c>
      <c r="F8" s="2591">
        <f>COS_Summ!E12</f>
        <v>369330.64600000001</v>
      </c>
      <c r="G8" s="216">
        <f>COS_Summ!F12</f>
        <v>23870689.237511843</v>
      </c>
      <c r="H8" s="216">
        <f>COS_Summ!G12</f>
        <v>25025792</v>
      </c>
      <c r="I8" s="216">
        <f>COS_Summ!H12</f>
        <v>-1155102.7624881566</v>
      </c>
      <c r="J8" s="2592">
        <f>COS_Summ!I12</f>
        <v>-4.8390004620099458E-2</v>
      </c>
      <c r="K8" s="86"/>
      <c r="T8" s="2681" t="s">
        <v>2246</v>
      </c>
      <c r="U8" s="2767">
        <f>Dashboard!H50</f>
        <v>503.40853222346601</v>
      </c>
      <c r="V8" s="2767">
        <f>Dashboard!I50</f>
        <v>668.61169565992668</v>
      </c>
      <c r="W8" s="2767">
        <f>Dashboard!J50</f>
        <v>645.89729702976501</v>
      </c>
      <c r="X8" s="2767">
        <f>Dashboard!K50</f>
        <v>782.78565190073198</v>
      </c>
      <c r="Y8" s="2767">
        <f>Dashboard!L50</f>
        <v>591.25862350361615</v>
      </c>
      <c r="Z8" s="2767">
        <f>Dashboard!M50</f>
        <v>514.92676725908757</v>
      </c>
      <c r="AA8" s="2767">
        <f>Dashboard!N50</f>
        <v>362.28626969767527</v>
      </c>
      <c r="AB8" s="2767">
        <f>Dashboard!O50</f>
        <v>360.56700225281645</v>
      </c>
      <c r="AC8" s="2767">
        <f>Dashboard!P50</f>
        <v>352.07482099879809</v>
      </c>
      <c r="AD8" s="2767">
        <f>Dashboard!Q50</f>
        <v>345.62076028784321</v>
      </c>
      <c r="AE8" s="2767">
        <f>Dashboard!R50</f>
        <v>330.5165900536083</v>
      </c>
      <c r="AF8" s="2767">
        <f>Dashboard!S50</f>
        <v>313.65222875579309</v>
      </c>
    </row>
    <row r="9" spans="1:32">
      <c r="A9" s="411"/>
      <c r="D9" s="2660">
        <f t="shared" ref="D9:D14" si="0">+MAX(D3:D8)+1</f>
        <v>2</v>
      </c>
      <c r="E9" s="2681" t="str">
        <f>COS_Summ!D13</f>
        <v>Residential-Rural (1)</v>
      </c>
      <c r="F9" s="2753">
        <f>COS_Summ!E13</f>
        <v>517691.62699999998</v>
      </c>
      <c r="G9" s="2661">
        <f>COS_Summ!F13</f>
        <v>29619759.682764068</v>
      </c>
      <c r="H9" s="2661">
        <f>COS_Summ!G13</f>
        <v>40082143</v>
      </c>
      <c r="I9" s="2661">
        <f>COS_Summ!H13</f>
        <v>-10462383.317235932</v>
      </c>
      <c r="J9" s="2754">
        <f>COS_Summ!I13</f>
        <v>-0.35322309935296542</v>
      </c>
      <c r="K9" s="86"/>
      <c r="T9" s="84"/>
      <c r="U9" s="2603"/>
      <c r="V9" s="2603"/>
      <c r="W9" s="2603"/>
      <c r="X9" s="2603"/>
      <c r="Y9" s="2603"/>
      <c r="Z9" s="2603"/>
      <c r="AA9" s="2603"/>
      <c r="AB9" s="2603"/>
      <c r="AC9" s="2603"/>
      <c r="AD9" s="2603"/>
      <c r="AE9" s="2603"/>
      <c r="AF9" s="2603"/>
    </row>
    <row r="10" spans="1:32">
      <c r="A10" s="411"/>
      <c r="D10" s="83">
        <f t="shared" si="0"/>
        <v>3</v>
      </c>
      <c r="E10" s="84" t="str">
        <f>COS_Summ!D14</f>
        <v>Residential-Total (1)</v>
      </c>
      <c r="F10" s="2593">
        <f>COS_Summ!E14</f>
        <v>887022.27300000004</v>
      </c>
      <c r="G10" s="2593">
        <f>COS_Summ!F14</f>
        <v>53490448.920275912</v>
      </c>
      <c r="H10" s="2593">
        <f>COS_Summ!G14</f>
        <v>65107935</v>
      </c>
      <c r="I10" s="2594">
        <f>COS_Summ!H14</f>
        <v>-11617486.079724088</v>
      </c>
      <c r="J10" s="2595">
        <f>COS_Summ!I14</f>
        <v>-0.21718804598254929</v>
      </c>
      <c r="K10" s="86"/>
    </row>
    <row r="11" spans="1:32">
      <c r="A11" s="411"/>
      <c r="D11" s="2660">
        <f t="shared" si="0"/>
        <v>4</v>
      </c>
      <c r="E11" s="51" t="str">
        <f>COS_Summ!D15</f>
        <v>Irrigation (3)</v>
      </c>
      <c r="F11" s="2755">
        <f>COS_Summ!E15</f>
        <v>644656.66890576226</v>
      </c>
      <c r="G11" s="1996">
        <f>COS_Summ!F15</f>
        <v>32493884.927364241</v>
      </c>
      <c r="H11" s="1996">
        <f>COS_Summ!G15</f>
        <v>40342062</v>
      </c>
      <c r="I11" s="1996">
        <f>COS_Summ!H15</f>
        <v>-7848177.0726357587</v>
      </c>
      <c r="J11" s="2756">
        <f>COS_Summ!I15</f>
        <v>-0.2415278163931249</v>
      </c>
      <c r="K11" s="86"/>
    </row>
    <row r="12" spans="1:32">
      <c r="A12" s="411"/>
      <c r="D12" s="83">
        <f t="shared" si="0"/>
        <v>5</v>
      </c>
      <c r="E12" s="86" t="str">
        <f>COS_Summ!D16</f>
        <v>General Service (2) &amp; (PA)</v>
      </c>
      <c r="F12" s="2593">
        <f>COS_Summ!E16</f>
        <v>573774.99899999995</v>
      </c>
      <c r="G12" s="2594">
        <f>COS_Summ!F16</f>
        <v>30843944.137933522</v>
      </c>
      <c r="H12" s="2594">
        <f>COS_Summ!G16</f>
        <v>35431890</v>
      </c>
      <c r="I12" s="2594">
        <f>COS_Summ!H16</f>
        <v>-4587945.8620664775</v>
      </c>
      <c r="J12" s="2595">
        <f>COS_Summ!I16</f>
        <v>-0.14874705522579318</v>
      </c>
      <c r="K12" s="86"/>
      <c r="T12" s="2602"/>
      <c r="U12" s="2602">
        <v>2015</v>
      </c>
      <c r="V12" s="2602">
        <v>2016</v>
      </c>
      <c r="W12" s="2602">
        <v>2017</v>
      </c>
      <c r="X12" s="2602">
        <v>2018</v>
      </c>
      <c r="Y12" s="2602">
        <v>2019</v>
      </c>
      <c r="Z12" s="2602">
        <v>2020</v>
      </c>
      <c r="AA12" s="2602">
        <v>2021</v>
      </c>
      <c r="AB12" s="2602">
        <v>2022</v>
      </c>
      <c r="AC12" s="2602">
        <v>2023</v>
      </c>
      <c r="AD12" s="2602">
        <v>2024</v>
      </c>
      <c r="AE12" s="2602">
        <v>2025</v>
      </c>
      <c r="AF12" s="2602">
        <v>2026</v>
      </c>
    </row>
    <row r="13" spans="1:32">
      <c r="A13" s="411"/>
      <c r="D13" s="2660">
        <f t="shared" si="0"/>
        <v>6</v>
      </c>
      <c r="E13" s="51" t="str">
        <f>COS_Summ!D17</f>
        <v>Large General Service (7)</v>
      </c>
      <c r="F13" s="2755">
        <f>COS_Summ!E17</f>
        <v>299772.79228904791</v>
      </c>
      <c r="G13" s="1996">
        <f>COS_Summ!F17</f>
        <v>10285911.025710687</v>
      </c>
      <c r="H13" s="1996">
        <f>COS_Summ!G17</f>
        <v>11682658</v>
      </c>
      <c r="I13" s="1996">
        <f>COS_Summ!H17</f>
        <v>-1396746.974289313</v>
      </c>
      <c r="J13" s="2756">
        <f>COS_Summ!I17</f>
        <v>-0.1357922473564083</v>
      </c>
      <c r="K13" s="86"/>
      <c r="T13" s="84" t="s">
        <v>3024</v>
      </c>
      <c r="U13" s="2605">
        <f>Dashboard!H10</f>
        <v>0</v>
      </c>
      <c r="V13" s="2605">
        <f>Dashboard!I10</f>
        <v>0</v>
      </c>
      <c r="W13" s="2605">
        <f>Dashboard!J10</f>
        <v>0.02</v>
      </c>
      <c r="X13" s="2605">
        <f>Dashboard!K10</f>
        <v>0.02</v>
      </c>
      <c r="Y13" s="2605">
        <f>Dashboard!L10</f>
        <v>0.02</v>
      </c>
      <c r="Z13" s="2605">
        <f>Dashboard!M10</f>
        <v>0.02</v>
      </c>
      <c r="AA13" s="2605">
        <f>Dashboard!N10</f>
        <v>0.02</v>
      </c>
      <c r="AB13" s="2605">
        <f>Dashboard!O10</f>
        <v>0.02</v>
      </c>
      <c r="AC13" s="2605">
        <f>Dashboard!P10</f>
        <v>0.02</v>
      </c>
      <c r="AD13" s="2605">
        <f>Dashboard!Q10</f>
        <v>0.02</v>
      </c>
      <c r="AE13" s="2605">
        <f>Dashboard!R10</f>
        <v>0.02</v>
      </c>
      <c r="AF13" s="2605">
        <f>Dashboard!S10</f>
        <v>0.02</v>
      </c>
    </row>
    <row r="14" spans="1:32">
      <c r="A14" s="411"/>
      <c r="D14" s="83">
        <f t="shared" si="0"/>
        <v>7</v>
      </c>
      <c r="E14" s="86" t="str">
        <f>COS_Summ!D18</f>
        <v>Industrial (14)</v>
      </c>
      <c r="F14" s="2593">
        <f>COS_Summ!E18</f>
        <v>937116.70550784201</v>
      </c>
      <c r="G14" s="2594">
        <f>COS_Summ!F18</f>
        <v>36974914.605053663</v>
      </c>
      <c r="H14" s="2594">
        <f>COS_Summ!G18</f>
        <v>33165212</v>
      </c>
      <c r="I14" s="2594">
        <f>COS_Summ!H18</f>
        <v>3809702.6050536633</v>
      </c>
      <c r="J14" s="2595">
        <f>COS_Summ!I18</f>
        <v>0.10303479117522993</v>
      </c>
      <c r="K14" s="86"/>
      <c r="T14" s="84" t="s">
        <v>3025</v>
      </c>
      <c r="U14" s="2603">
        <f ca="1">OFFSET('Fin Forecast - Elec'!$J$41,U$19,U$19)/1000000</f>
        <v>0</v>
      </c>
      <c r="V14" s="2603">
        <f ca="1">OFFSET('Fin Forecast - Elec'!$J$41,V$19,V$19)/1000000</f>
        <v>0</v>
      </c>
      <c r="W14" s="2603">
        <f ca="1">OFFSET('Fin Forecast - Elec'!$J$41,W$19,W$19)/1000000</f>
        <v>3.7829999999999999</v>
      </c>
      <c r="X14" s="2603">
        <f ca="1">OFFSET('Fin Forecast - Elec'!$J$41,X$19,X$19)/1000000</f>
        <v>4.0599999999999996</v>
      </c>
      <c r="Y14" s="2603">
        <f ca="1">OFFSET('Fin Forecast - Elec'!$J$41,Y$19,Y$19)/1000000</f>
        <v>4.4051</v>
      </c>
      <c r="Z14" s="2603">
        <f ca="1">OFFSET('Fin Forecast - Elec'!$J$41,Z$19,Z$19)/1000000</f>
        <v>4.6837999999999997</v>
      </c>
      <c r="AA14" s="2603">
        <f ca="1">OFFSET('Fin Forecast - Elec'!$J$41,AA$19,AA$19)/1000000</f>
        <v>4.9286000000000003</v>
      </c>
      <c r="AB14" s="2603">
        <f ca="1">OFFSET('Fin Forecast - Elec'!$J$41,AB$19,AB$19)/1000000</f>
        <v>5.1551999999999998</v>
      </c>
      <c r="AC14" s="2603">
        <f ca="1">OFFSET('Fin Forecast - Elec'!$J$41,AC$19,AC$19)/1000000</f>
        <v>5.4085000000000001</v>
      </c>
      <c r="AD14" s="2603">
        <f ca="1">OFFSET('Fin Forecast - Elec'!$J$41,AD$19,AD$19)/1000000</f>
        <v>5.6848999999999998</v>
      </c>
      <c r="AE14" s="2603">
        <f ca="1">OFFSET('Fin Forecast - Elec'!$J$41,AE$19,AE$19)/1000000</f>
        <v>5.9208999999999996</v>
      </c>
      <c r="AF14" s="2603">
        <f ca="1">OFFSET('Fin Forecast - Elec'!$J$41,AF$19,AF$19)/1000000</f>
        <v>6.1677</v>
      </c>
    </row>
    <row r="15" spans="1:32">
      <c r="A15" s="411"/>
      <c r="D15" s="2660">
        <f>+MAX(D8:D14)+1</f>
        <v>8</v>
      </c>
      <c r="E15" s="51" t="str">
        <f>COS_Summ!D19</f>
        <v>Large Industrial (15) &amp; (94)</v>
      </c>
      <c r="F15" s="2755">
        <f>COS_Summ!E19</f>
        <v>2673206.5529506882</v>
      </c>
      <c r="G15" s="1996">
        <f>COS_Summ!F19</f>
        <v>102973786.09443644</v>
      </c>
      <c r="H15" s="1996">
        <f>COS_Summ!G19</f>
        <v>88138185</v>
      </c>
      <c r="I15" s="1996">
        <f>COS_Summ!H19</f>
        <v>14835601.094436437</v>
      </c>
      <c r="J15" s="2756">
        <f>COS_Summ!I19</f>
        <v>0.14407162887874031</v>
      </c>
      <c r="K15" s="86"/>
      <c r="T15" s="4"/>
      <c r="U15" s="113"/>
      <c r="V15" s="113"/>
      <c r="W15" s="113"/>
      <c r="X15" s="113"/>
      <c r="Y15" s="113"/>
      <c r="Z15" s="113"/>
      <c r="AA15" s="113"/>
      <c r="AB15" s="113"/>
      <c r="AC15" s="113"/>
      <c r="AD15" s="113"/>
      <c r="AE15" s="113"/>
      <c r="AF15" s="113"/>
    </row>
    <row r="16" spans="1:32">
      <c r="A16" s="411"/>
      <c r="D16" s="83">
        <f>+MAX(D9:D15)+1</f>
        <v>9</v>
      </c>
      <c r="E16" s="86" t="str">
        <f>COS_Summ!D20</f>
        <v>Agricultural Processing (16)</v>
      </c>
      <c r="F16" s="2593">
        <f>COS_Summ!E20</f>
        <v>418929.39388013125</v>
      </c>
      <c r="G16" s="2594">
        <f>COS_Summ!F20</f>
        <v>16300049.923444636</v>
      </c>
      <c r="H16" s="2594">
        <f>COS_Summ!G20</f>
        <v>15253378</v>
      </c>
      <c r="I16" s="2594">
        <f>COS_Summ!H20</f>
        <v>1046671.9234446362</v>
      </c>
      <c r="J16" s="2595">
        <f>COS_Summ!I20</f>
        <v>6.4212804768112419E-2</v>
      </c>
      <c r="K16" s="86"/>
    </row>
    <row r="17" spans="1:32">
      <c r="A17" s="411"/>
      <c r="D17" s="2660">
        <f>+MAX(D11:D16)+1</f>
        <v>10</v>
      </c>
      <c r="E17" s="51" t="str">
        <f>COS_Summ!D21</f>
        <v>Agricultural Boiler (85)</v>
      </c>
      <c r="F17" s="2755">
        <f>COS_Summ!E21</f>
        <v>0</v>
      </c>
      <c r="G17" s="1996">
        <f>COS_Summ!F21</f>
        <v>18696.862073089371</v>
      </c>
      <c r="H17" s="1996">
        <f>COS_Summ!G21</f>
        <v>22926</v>
      </c>
      <c r="I17" s="1996">
        <f>COS_Summ!H21</f>
        <v>-4229.1379269106292</v>
      </c>
      <c r="J17" s="2756">
        <f>COS_Summ!I21</f>
        <v>-0.22619506473215528</v>
      </c>
      <c r="K17" s="86"/>
      <c r="T17" s="4"/>
      <c r="U17" s="113"/>
      <c r="V17" s="113"/>
      <c r="W17" s="113"/>
      <c r="X17" s="113"/>
      <c r="Y17" s="113"/>
      <c r="Z17" s="113"/>
      <c r="AA17" s="113"/>
      <c r="AB17" s="113"/>
      <c r="AC17" s="113"/>
      <c r="AD17" s="113"/>
      <c r="AE17" s="113"/>
      <c r="AF17" s="113"/>
    </row>
    <row r="18" spans="1:32">
      <c r="A18" s="411"/>
      <c r="D18" s="83">
        <f>+MAX(D9:D17)+1</f>
        <v>11</v>
      </c>
      <c r="E18" s="86" t="str">
        <f>COS_Summ!D22</f>
        <v>Street Lights (6)</v>
      </c>
      <c r="F18" s="2593">
        <f>COS_Summ!E22</f>
        <v>4515.848</v>
      </c>
      <c r="G18" s="2594">
        <f>COS_Summ!F22</f>
        <v>964740</v>
      </c>
      <c r="H18" s="2594">
        <f>COS_Summ!G22</f>
        <v>724541</v>
      </c>
      <c r="I18" s="2594">
        <f>COS_Summ!H22</f>
        <v>240199</v>
      </c>
      <c r="J18" s="2595">
        <f>COS_Summ!I22</f>
        <v>0.24897796297448016</v>
      </c>
      <c r="K18" s="86"/>
      <c r="T18" s="1962" t="s">
        <v>3025</v>
      </c>
      <c r="U18" s="2606">
        <f>'Fin Forecast - Elec'!J58/1000000</f>
        <v>0</v>
      </c>
      <c r="V18" s="2606">
        <f>'Fin Forecast - Elec'!K58/1000000</f>
        <v>0</v>
      </c>
      <c r="W18" s="2606">
        <f>'Fin Forecast - Elec'!L58/1000000</f>
        <v>3.7829999999999999</v>
      </c>
      <c r="X18" s="2606">
        <f>'Fin Forecast - Elec'!M58/1000000</f>
        <v>8.0404</v>
      </c>
      <c r="Y18" s="2606">
        <f>'Fin Forecast - Elec'!N58/1000000</f>
        <v>12.957800000000001</v>
      </c>
      <c r="Z18" s="2606">
        <f>'Fin Forecast - Elec'!O58/1000000</f>
        <v>18.191199999999998</v>
      </c>
      <c r="AA18" s="2606">
        <f>'Fin Forecast - Elec'!P58/1000000</f>
        <v>23.695399999999999</v>
      </c>
      <c r="AB18" s="2606">
        <f>'Fin Forecast - Elec'!Q58/1000000</f>
        <v>29.453900000000001</v>
      </c>
      <c r="AC18" s="2606">
        <f>'Fin Forecast - Elec'!R58/1000000</f>
        <v>35.703699999999998</v>
      </c>
      <c r="AD18" s="2606">
        <f>'Fin Forecast - Elec'!S58/1000000</f>
        <v>42.477600000000002</v>
      </c>
      <c r="AE18" s="2606">
        <f>'Fin Forecast - Elec'!T58/1000000</f>
        <v>49.294499999999999</v>
      </c>
      <c r="AF18" s="2606">
        <f>'Fin Forecast - Elec'!U58/1000000</f>
        <v>56.510199999999998</v>
      </c>
    </row>
    <row r="19" spans="1:32">
      <c r="A19" s="411"/>
      <c r="D19" s="2660">
        <f>+MAX(D11:D18)+1</f>
        <v>12</v>
      </c>
      <c r="E19" s="51" t="str">
        <f>COS_Summ!D23</f>
        <v>Street Lights (2)</v>
      </c>
      <c r="F19" s="2755">
        <f>COS_Summ!E23</f>
        <v>431.238</v>
      </c>
      <c r="G19" s="2757">
        <f>COS_Summ!F23</f>
        <v>33115.861076429937</v>
      </c>
      <c r="H19" s="2757">
        <f>COS_Summ!G23</f>
        <v>59689</v>
      </c>
      <c r="I19" s="2757">
        <f>COS_Summ!H23</f>
        <v>-26573.138923570063</v>
      </c>
      <c r="J19" s="2756">
        <f>COS_Summ!I23</f>
        <v>-0.80242935136853111</v>
      </c>
      <c r="K19" s="86"/>
      <c r="T19" s="1962" t="s">
        <v>3026</v>
      </c>
      <c r="U19" s="2606">
        <v>0</v>
      </c>
      <c r="V19" s="2606">
        <f>U19+1</f>
        <v>1</v>
      </c>
      <c r="W19" s="2606">
        <f t="shared" ref="W19:AF19" si="1">V19+1</f>
        <v>2</v>
      </c>
      <c r="X19" s="2606">
        <f t="shared" si="1"/>
        <v>3</v>
      </c>
      <c r="Y19" s="2606">
        <f t="shared" si="1"/>
        <v>4</v>
      </c>
      <c r="Z19" s="2606">
        <f t="shared" si="1"/>
        <v>5</v>
      </c>
      <c r="AA19" s="2606">
        <f t="shared" si="1"/>
        <v>6</v>
      </c>
      <c r="AB19" s="2606">
        <f t="shared" si="1"/>
        <v>7</v>
      </c>
      <c r="AC19" s="2606">
        <f t="shared" si="1"/>
        <v>8</v>
      </c>
      <c r="AD19" s="2606">
        <f t="shared" si="1"/>
        <v>9</v>
      </c>
      <c r="AE19" s="2606">
        <f t="shared" si="1"/>
        <v>10</v>
      </c>
      <c r="AF19" s="2606">
        <f t="shared" si="1"/>
        <v>11</v>
      </c>
    </row>
    <row r="20" spans="1:32">
      <c r="A20" s="411"/>
      <c r="D20" s="83">
        <f>+MAX(D19:D19)+1</f>
        <v>13</v>
      </c>
      <c r="E20" s="86" t="str">
        <f>COS_Summ!D24</f>
        <v>Alternate Power Sales</v>
      </c>
      <c r="F20" s="2596">
        <f>COS_Summ!E24</f>
        <v>0</v>
      </c>
      <c r="G20" s="2597">
        <f>COS_Summ!F24</f>
        <v>0</v>
      </c>
      <c r="H20" s="2597">
        <f>COS_Summ!G24</f>
        <v>0</v>
      </c>
      <c r="I20" s="2597">
        <f>COS_Summ!H24</f>
        <v>0</v>
      </c>
      <c r="J20" s="2598">
        <f>COS_Summ!I24</f>
        <v>0</v>
      </c>
      <c r="K20" s="86"/>
      <c r="T20" s="4"/>
      <c r="U20" s="113"/>
      <c r="V20" s="113"/>
      <c r="W20" s="113"/>
      <c r="X20" s="113"/>
      <c r="Y20" s="113"/>
      <c r="Z20" s="113"/>
      <c r="AA20" s="113"/>
      <c r="AB20" s="113"/>
      <c r="AC20" s="113"/>
      <c r="AD20" s="113"/>
      <c r="AE20" s="113"/>
      <c r="AF20" s="113"/>
    </row>
    <row r="21" spans="1:32">
      <c r="A21" s="411"/>
      <c r="D21" s="2660">
        <f>+MAX(D20:D20)+1</f>
        <v>14</v>
      </c>
      <c r="E21" s="2663" t="str">
        <f>COS_Summ!D25</f>
        <v>Total</v>
      </c>
      <c r="F21" s="2758">
        <f>COS_Summ!E25</f>
        <v>6439426.4715334717</v>
      </c>
      <c r="G21" s="2758">
        <f>COS_Summ!F25</f>
        <v>284379492.35736859</v>
      </c>
      <c r="H21" s="2758">
        <f>COS_Summ!G25</f>
        <v>289928476</v>
      </c>
      <c r="I21" s="2758">
        <f>COS_Summ!H25</f>
        <v>-5548983.6426313827</v>
      </c>
      <c r="J21" s="2759">
        <f>COS_Summ!I25</f>
        <v>-1.9512601266121511E-2</v>
      </c>
      <c r="K21" s="86"/>
      <c r="M21" s="86"/>
      <c r="N21" s="86"/>
      <c r="O21" s="86"/>
      <c r="P21" s="86"/>
      <c r="Q21" s="86"/>
      <c r="T21" s="4"/>
      <c r="U21" s="113"/>
      <c r="V21" s="113"/>
      <c r="W21" s="113"/>
      <c r="X21" s="113"/>
      <c r="Y21" s="113"/>
      <c r="Z21" s="113"/>
      <c r="AA21" s="113"/>
      <c r="AB21" s="113"/>
      <c r="AC21" s="113"/>
      <c r="AD21" s="113"/>
      <c r="AE21" s="113"/>
      <c r="AF21" s="113"/>
    </row>
    <row r="22" spans="1:32">
      <c r="A22" s="411"/>
      <c r="D22" s="86"/>
      <c r="E22" s="86"/>
      <c r="F22" s="86"/>
      <c r="G22" s="86"/>
      <c r="H22" s="86"/>
      <c r="I22" s="86"/>
      <c r="J22" s="86"/>
      <c r="K22" s="86"/>
    </row>
    <row r="23" spans="1:32">
      <c r="A23" s="411"/>
      <c r="D23" s="86"/>
      <c r="E23" s="86"/>
      <c r="F23" s="86"/>
      <c r="G23" s="86"/>
      <c r="H23" s="86"/>
      <c r="I23" s="86"/>
      <c r="J23" s="86"/>
      <c r="K23" s="86"/>
      <c r="L23" s="86"/>
      <c r="M23" s="86"/>
      <c r="N23" s="86"/>
      <c r="O23" s="86"/>
      <c r="P23" s="86"/>
      <c r="Q23" s="86"/>
      <c r="R23" s="86"/>
    </row>
    <row r="24" spans="1:32">
      <c r="A24" s="411"/>
      <c r="D24" s="200"/>
      <c r="E24" s="84"/>
      <c r="F24" s="2579" t="s">
        <v>674</v>
      </c>
      <c r="G24" s="2579" t="s">
        <v>155</v>
      </c>
      <c r="H24" s="2579" t="s">
        <v>675</v>
      </c>
      <c r="I24" s="2579" t="s">
        <v>676</v>
      </c>
      <c r="J24" s="2579" t="s">
        <v>677</v>
      </c>
      <c r="L24" s="86"/>
      <c r="M24" s="86"/>
      <c r="N24" s="86"/>
      <c r="O24" s="2579"/>
      <c r="P24" s="2579"/>
      <c r="Q24" s="2579"/>
      <c r="R24" s="86"/>
    </row>
    <row r="25" spans="1:32">
      <c r="A25" s="411"/>
      <c r="D25" s="3281"/>
      <c r="E25" s="3281"/>
      <c r="F25" s="3281">
        <v>2015</v>
      </c>
      <c r="G25" s="3281"/>
      <c r="H25" s="3281"/>
      <c r="I25" s="4514" t="s">
        <v>2738</v>
      </c>
      <c r="J25" s="4515"/>
      <c r="L25" s="86"/>
      <c r="M25" s="2768">
        <v>0.15</v>
      </c>
      <c r="N25" s="2554" t="s">
        <v>3021</v>
      </c>
      <c r="O25" s="2579" t="s">
        <v>674</v>
      </c>
      <c r="P25" s="2579" t="s">
        <v>155</v>
      </c>
      <c r="Q25" s="2579" t="s">
        <v>675</v>
      </c>
      <c r="R25" s="86"/>
    </row>
    <row r="26" spans="1:32">
      <c r="A26" s="411"/>
      <c r="D26" s="3282"/>
      <c r="E26" s="3282"/>
      <c r="F26" s="3282" t="s">
        <v>712</v>
      </c>
      <c r="G26" s="3282" t="s">
        <v>2737</v>
      </c>
      <c r="H26" s="3282" t="s">
        <v>874</v>
      </c>
      <c r="I26" s="4516"/>
      <c r="J26" s="4517"/>
      <c r="L26" s="86"/>
      <c r="M26" s="2768">
        <v>-0.2</v>
      </c>
      <c r="N26" s="2554" t="s">
        <v>3022</v>
      </c>
      <c r="O26" s="3235"/>
      <c r="P26" s="3235"/>
      <c r="Q26" s="3235"/>
      <c r="R26" s="86"/>
    </row>
    <row r="27" spans="1:32">
      <c r="A27" s="411"/>
      <c r="D27" s="3283" t="s">
        <v>867</v>
      </c>
      <c r="E27" s="3283" t="s">
        <v>399</v>
      </c>
      <c r="F27" s="3283" t="s">
        <v>176</v>
      </c>
      <c r="G27" s="3283" t="s">
        <v>708</v>
      </c>
      <c r="H27" s="3283" t="s">
        <v>710</v>
      </c>
      <c r="I27" s="3283" t="s">
        <v>121</v>
      </c>
      <c r="J27" s="3283" t="s">
        <v>122</v>
      </c>
      <c r="L27" s="86"/>
      <c r="M27" s="4518"/>
      <c r="N27" s="4518"/>
      <c r="O27" s="3286">
        <v>2015</v>
      </c>
      <c r="P27" s="3286">
        <v>2024</v>
      </c>
      <c r="Q27" s="3287"/>
      <c r="R27" s="86"/>
    </row>
    <row r="28" spans="1:32">
      <c r="A28" s="411"/>
      <c r="D28" s="3284"/>
      <c r="E28" s="3285"/>
      <c r="F28" s="3109" t="s">
        <v>383</v>
      </c>
      <c r="G28" s="3285"/>
      <c r="H28" s="3285"/>
      <c r="I28" s="3109" t="s">
        <v>82</v>
      </c>
      <c r="J28" s="3109" t="s">
        <v>84</v>
      </c>
      <c r="L28" s="86"/>
      <c r="M28" s="4519"/>
      <c r="N28" s="4519"/>
      <c r="O28" s="3288" t="s">
        <v>1476</v>
      </c>
      <c r="P28" s="3288" t="s">
        <v>1476</v>
      </c>
      <c r="Q28" s="3288" t="s">
        <v>3030</v>
      </c>
      <c r="R28" s="86"/>
    </row>
    <row r="29" spans="1:32">
      <c r="A29" s="411"/>
      <c r="D29" s="83"/>
      <c r="E29" s="86"/>
      <c r="F29" s="86"/>
      <c r="G29" s="86"/>
      <c r="H29" s="86"/>
      <c r="I29" s="86"/>
      <c r="J29" s="86"/>
      <c r="L29" s="86"/>
      <c r="M29" s="3289" t="s">
        <v>3023</v>
      </c>
      <c r="N29" s="3289" t="s">
        <v>2285</v>
      </c>
      <c r="O29" s="3289" t="s">
        <v>393</v>
      </c>
      <c r="P29" s="3289" t="s">
        <v>393</v>
      </c>
      <c r="Q29" s="3289" t="s">
        <v>3031</v>
      </c>
      <c r="R29" s="86"/>
    </row>
    <row r="30" spans="1:32">
      <c r="A30" s="411"/>
      <c r="D30" s="83">
        <v>1</v>
      </c>
      <c r="E30" s="84" t="s">
        <v>13</v>
      </c>
      <c r="F30" s="2591">
        <v>363525.80099999998</v>
      </c>
      <c r="G30" s="216">
        <v>19968424.424234133</v>
      </c>
      <c r="H30" s="216">
        <v>20169456</v>
      </c>
      <c r="I30" s="216">
        <v>-201031.57576586679</v>
      </c>
      <c r="J30" s="2592">
        <v>-1.006747310127735E-2</v>
      </c>
      <c r="L30" s="86"/>
      <c r="M30" s="137">
        <v>1</v>
      </c>
      <c r="N30" s="2760" t="str">
        <f t="shared" ref="N30:N42" si="2">E8</f>
        <v>Residential-Urban (1)</v>
      </c>
      <c r="O30" s="2761">
        <v>1.006747310127735E-2</v>
      </c>
      <c r="P30" s="2762">
        <v>-9.6536138202042612E-2</v>
      </c>
      <c r="Q30" s="137" t="str">
        <f t="shared" ref="Q30:Q42" si="3">IF(AND(P30&gt;=$M$26,P30&lt;=$M$25),"Yes","No")</f>
        <v>Yes</v>
      </c>
      <c r="R30" s="86"/>
    </row>
    <row r="31" spans="1:32">
      <c r="A31" s="411"/>
      <c r="D31" s="2660">
        <f>D30+1</f>
        <v>2</v>
      </c>
      <c r="E31" s="2681" t="s">
        <v>14</v>
      </c>
      <c r="F31" s="2753">
        <v>433291.45199999999</v>
      </c>
      <c r="G31" s="2661">
        <v>21778432.109937709</v>
      </c>
      <c r="H31" s="2661">
        <v>33008993</v>
      </c>
      <c r="I31" s="2661">
        <v>-11230560.890062291</v>
      </c>
      <c r="J31" s="2754">
        <v>-0.51567352660514432</v>
      </c>
      <c r="L31" s="86"/>
      <c r="M31" s="2687">
        <v>2</v>
      </c>
      <c r="N31" s="2763" t="str">
        <f t="shared" si="2"/>
        <v>Residential-Rural (1)</v>
      </c>
      <c r="O31" s="2764">
        <v>0.51567352660514432</v>
      </c>
      <c r="P31" s="2765">
        <v>0.26477684142558328</v>
      </c>
      <c r="Q31" s="2687" t="str">
        <f t="shared" si="3"/>
        <v>No</v>
      </c>
      <c r="R31" s="86"/>
    </row>
    <row r="32" spans="1:32">
      <c r="A32" s="411"/>
      <c r="D32" s="83">
        <f t="shared" ref="D32:D43" si="4">D31+1</f>
        <v>3</v>
      </c>
      <c r="E32" s="84" t="s">
        <v>2763</v>
      </c>
      <c r="F32" s="2593">
        <v>796817.25300000003</v>
      </c>
      <c r="G32" s="2593">
        <v>41746856.534171842</v>
      </c>
      <c r="H32" s="2593">
        <v>53178449</v>
      </c>
      <c r="I32" s="2594">
        <v>-11431592.465828158</v>
      </c>
      <c r="J32" s="2595">
        <v>-0.27383121544662509</v>
      </c>
      <c r="L32" s="86"/>
      <c r="M32" s="137">
        <v>3</v>
      </c>
      <c r="N32" s="2760" t="str">
        <f t="shared" si="2"/>
        <v>Residential-Total (1)</v>
      </c>
      <c r="O32" s="2761">
        <v>0.27383121544662509</v>
      </c>
      <c r="P32" s="2762">
        <v>9.1946526338314807E-2</v>
      </c>
      <c r="Q32" s="137" t="str">
        <f t="shared" si="3"/>
        <v>Yes</v>
      </c>
      <c r="R32" s="86"/>
    </row>
    <row r="33" spans="1:18">
      <c r="A33" s="411"/>
      <c r="D33" s="2660">
        <f t="shared" si="4"/>
        <v>4</v>
      </c>
      <c r="E33" s="51" t="s">
        <v>15</v>
      </c>
      <c r="F33" s="2755">
        <v>540663.67799999996</v>
      </c>
      <c r="G33" s="1996">
        <v>21374537.58544074</v>
      </c>
      <c r="H33" s="1996">
        <v>31287214</v>
      </c>
      <c r="I33" s="1996">
        <v>-9912676.41455926</v>
      </c>
      <c r="J33" s="2756">
        <v>-0.46376097611165523</v>
      </c>
      <c r="L33" s="86"/>
      <c r="M33" s="2687">
        <v>4</v>
      </c>
      <c r="N33" s="2763" t="str">
        <f t="shared" si="2"/>
        <v>Irrigation (3)</v>
      </c>
      <c r="O33" s="2764">
        <v>0.46376097611165523</v>
      </c>
      <c r="P33" s="2765">
        <v>0.20163782581501494</v>
      </c>
      <c r="Q33" s="2687" t="str">
        <f t="shared" si="3"/>
        <v>No</v>
      </c>
      <c r="R33" s="86"/>
    </row>
    <row r="34" spans="1:18">
      <c r="A34" s="411"/>
      <c r="D34" s="83">
        <f t="shared" si="4"/>
        <v>5</v>
      </c>
      <c r="E34" s="86" t="s">
        <v>501</v>
      </c>
      <c r="F34" s="2593">
        <v>474306.467</v>
      </c>
      <c r="G34" s="2594">
        <v>20619354.410607874</v>
      </c>
      <c r="H34" s="2594">
        <v>24719340</v>
      </c>
      <c r="I34" s="2594">
        <v>-4099985.5893921256</v>
      </c>
      <c r="J34" s="2595">
        <v>-0.1988416081195461</v>
      </c>
      <c r="L34" s="86"/>
      <c r="M34" s="137">
        <v>5</v>
      </c>
      <c r="N34" s="2760" t="str">
        <f t="shared" si="2"/>
        <v>General Service (2) &amp; (PA)</v>
      </c>
      <c r="O34" s="2761">
        <v>0.1988416081195461</v>
      </c>
      <c r="P34" s="2762">
        <v>0.17505481956763672</v>
      </c>
      <c r="Q34" s="137" t="str">
        <f t="shared" si="3"/>
        <v>No</v>
      </c>
      <c r="R34" s="86"/>
    </row>
    <row r="35" spans="1:18">
      <c r="A35" s="411"/>
      <c r="D35" s="2660">
        <f t="shared" si="4"/>
        <v>6</v>
      </c>
      <c r="E35" s="51" t="s">
        <v>22</v>
      </c>
      <c r="F35" s="2755">
        <v>294153.049</v>
      </c>
      <c r="G35" s="1996">
        <v>9016820.1899240445</v>
      </c>
      <c r="H35" s="1996">
        <v>8225927</v>
      </c>
      <c r="I35" s="1996">
        <v>790893.18992404453</v>
      </c>
      <c r="J35" s="2756">
        <v>8.7713093226350208E-2</v>
      </c>
      <c r="L35" s="86"/>
      <c r="M35" s="2687">
        <v>6</v>
      </c>
      <c r="N35" s="2763" t="str">
        <f t="shared" si="2"/>
        <v>Large General Service (7)</v>
      </c>
      <c r="O35" s="2764">
        <v>-8.7713093226350208E-2</v>
      </c>
      <c r="P35" s="2765">
        <v>4.1811158970237045E-2</v>
      </c>
      <c r="Q35" s="2687" t="str">
        <f t="shared" si="3"/>
        <v>Yes</v>
      </c>
      <c r="R35" s="86"/>
    </row>
    <row r="36" spans="1:18">
      <c r="A36" s="411"/>
      <c r="D36" s="83">
        <f t="shared" si="4"/>
        <v>7</v>
      </c>
      <c r="E36" s="86" t="s">
        <v>16</v>
      </c>
      <c r="F36" s="2593">
        <v>329488.342</v>
      </c>
      <c r="G36" s="2594">
        <v>8228266.5190861616</v>
      </c>
      <c r="H36" s="2594">
        <v>8126649</v>
      </c>
      <c r="I36" s="2594">
        <v>101617.51908616163</v>
      </c>
      <c r="J36" s="2595">
        <v>1.2349808899657198E-2</v>
      </c>
      <c r="L36" s="86"/>
      <c r="M36" s="137">
        <v>7</v>
      </c>
      <c r="N36" s="2760" t="str">
        <f t="shared" si="2"/>
        <v>Industrial (14)</v>
      </c>
      <c r="O36" s="2761">
        <v>-1.2349808899657198E-2</v>
      </c>
      <c r="P36" s="2762">
        <v>0.1651230924806803</v>
      </c>
      <c r="Q36" s="137" t="str">
        <f t="shared" si="3"/>
        <v>No</v>
      </c>
      <c r="R36" s="86"/>
    </row>
    <row r="37" spans="1:18">
      <c r="A37" s="411"/>
      <c r="D37" s="2660">
        <f t="shared" si="4"/>
        <v>8</v>
      </c>
      <c r="E37" s="51" t="s">
        <v>268</v>
      </c>
      <c r="F37" s="2755">
        <v>1582021.9280000001</v>
      </c>
      <c r="G37" s="1996">
        <v>55478025.862045571</v>
      </c>
      <c r="H37" s="1996">
        <v>34770169</v>
      </c>
      <c r="I37" s="1996">
        <v>20707856.862045571</v>
      </c>
      <c r="J37" s="2756">
        <v>0.37326232396117992</v>
      </c>
      <c r="L37" s="86"/>
      <c r="M37" s="2687">
        <v>8</v>
      </c>
      <c r="N37" s="2763" t="str">
        <f t="shared" si="2"/>
        <v>Large Industrial (15) &amp; (94)</v>
      </c>
      <c r="O37" s="2764">
        <v>-0.37326232396117992</v>
      </c>
      <c r="P37" s="2765">
        <v>-0.24295609519978323</v>
      </c>
      <c r="Q37" s="2687" t="str">
        <f t="shared" si="3"/>
        <v>No</v>
      </c>
      <c r="R37" s="86"/>
    </row>
    <row r="38" spans="1:18">
      <c r="A38" s="411"/>
      <c r="D38" s="83">
        <f t="shared" si="4"/>
        <v>9</v>
      </c>
      <c r="E38" s="86" t="s">
        <v>18</v>
      </c>
      <c r="F38" s="2593">
        <v>319156.07</v>
      </c>
      <c r="G38" s="2594">
        <v>8573763.5289127398</v>
      </c>
      <c r="H38" s="2594">
        <v>8055181</v>
      </c>
      <c r="I38" s="2594">
        <v>518582.52891273983</v>
      </c>
      <c r="J38" s="2595">
        <v>6.0484818267258947E-2</v>
      </c>
      <c r="L38" s="86"/>
      <c r="M38" s="137">
        <v>9</v>
      </c>
      <c r="N38" s="2760" t="str">
        <f t="shared" si="2"/>
        <v>Agricultural Processing (16)</v>
      </c>
      <c r="O38" s="2761">
        <v>-6.0484818267258947E-2</v>
      </c>
      <c r="P38" s="2762">
        <v>9.6424000080026939E-2</v>
      </c>
      <c r="Q38" s="137" t="str">
        <f t="shared" si="3"/>
        <v>Yes</v>
      </c>
      <c r="R38" s="86"/>
    </row>
    <row r="39" spans="1:18">
      <c r="A39" s="411"/>
      <c r="D39" s="2660">
        <f t="shared" si="4"/>
        <v>10</v>
      </c>
      <c r="E39" s="51" t="s">
        <v>19</v>
      </c>
      <c r="F39" s="2755">
        <v>0</v>
      </c>
      <c r="G39" s="1996">
        <v>12058.299905415506</v>
      </c>
      <c r="H39" s="1996">
        <v>14842</v>
      </c>
      <c r="I39" s="1996">
        <v>-2783.7000945844939</v>
      </c>
      <c r="J39" s="2756">
        <v>-0.23085344670638899</v>
      </c>
      <c r="L39" s="86"/>
      <c r="M39" s="2687">
        <v>10</v>
      </c>
      <c r="N39" s="2763" t="str">
        <f t="shared" si="2"/>
        <v>Agricultural Boiler (85)</v>
      </c>
      <c r="O39" s="2764">
        <v>0.23085344670638899</v>
      </c>
      <c r="P39" s="2765">
        <v>0.48728158261350069</v>
      </c>
      <c r="Q39" s="2687" t="str">
        <f t="shared" si="3"/>
        <v>No</v>
      </c>
      <c r="R39" s="86"/>
    </row>
    <row r="40" spans="1:18">
      <c r="A40" s="411"/>
      <c r="D40" s="83">
        <f t="shared" si="4"/>
        <v>11</v>
      </c>
      <c r="E40" s="86" t="s">
        <v>4</v>
      </c>
      <c r="F40" s="2593">
        <v>4461.2340000000004</v>
      </c>
      <c r="G40" s="2594">
        <v>952660.24914743134</v>
      </c>
      <c r="H40" s="2594">
        <v>918412</v>
      </c>
      <c r="I40" s="2594">
        <v>34248.249147431343</v>
      </c>
      <c r="J40" s="2595">
        <v>3.5950118815266288E-2</v>
      </c>
      <c r="L40" s="86"/>
      <c r="M40" s="137">
        <v>11</v>
      </c>
      <c r="N40" s="2760" t="str">
        <f t="shared" si="2"/>
        <v>Street Lights (6)</v>
      </c>
      <c r="O40" s="2761">
        <v>-3.5950118815266288E-2</v>
      </c>
      <c r="P40" s="2762">
        <v>-0.1309690337649059</v>
      </c>
      <c r="Q40" s="137" t="str">
        <f t="shared" si="3"/>
        <v>Yes</v>
      </c>
      <c r="R40" s="86"/>
    </row>
    <row r="41" spans="1:18">
      <c r="A41" s="411"/>
      <c r="D41" s="2660">
        <f t="shared" si="4"/>
        <v>12</v>
      </c>
      <c r="E41" s="51" t="s">
        <v>5</v>
      </c>
      <c r="F41" s="2755">
        <v>395.95299999999997</v>
      </c>
      <c r="G41" s="2757">
        <v>25552.730115083519</v>
      </c>
      <c r="H41" s="2757">
        <v>52474</v>
      </c>
      <c r="I41" s="2757">
        <v>-26921.269884916481</v>
      </c>
      <c r="J41" s="2756">
        <v>-1.053557477563821</v>
      </c>
      <c r="L41" s="86"/>
      <c r="M41" s="2687">
        <v>12</v>
      </c>
      <c r="N41" s="2763" t="str">
        <f t="shared" si="2"/>
        <v>Street Lights (2)</v>
      </c>
      <c r="O41" s="2764">
        <v>1.053557477563821</v>
      </c>
      <c r="P41" s="2765">
        <v>0.98917663622483509</v>
      </c>
      <c r="Q41" s="2687" t="str">
        <f t="shared" si="3"/>
        <v>No</v>
      </c>
      <c r="R41" s="86"/>
    </row>
    <row r="42" spans="1:18">
      <c r="A42" s="411"/>
      <c r="D42" s="83">
        <f t="shared" si="4"/>
        <v>13</v>
      </c>
      <c r="E42" s="86" t="s">
        <v>66</v>
      </c>
      <c r="F42" s="2596">
        <v>0</v>
      </c>
      <c r="G42" s="2597">
        <v>0</v>
      </c>
      <c r="H42" s="2597">
        <v>0</v>
      </c>
      <c r="I42" s="2597">
        <v>0</v>
      </c>
      <c r="J42" s="2598">
        <v>0</v>
      </c>
      <c r="L42" s="86"/>
      <c r="M42" s="137">
        <v>13</v>
      </c>
      <c r="N42" s="2760" t="str">
        <f t="shared" si="2"/>
        <v>Alternate Power Sales</v>
      </c>
      <c r="O42" s="2761">
        <v>0</v>
      </c>
      <c r="P42" s="2762">
        <v>0</v>
      </c>
      <c r="Q42" s="137" t="str">
        <f t="shared" si="3"/>
        <v>Yes</v>
      </c>
      <c r="R42" s="86"/>
    </row>
    <row r="43" spans="1:18">
      <c r="A43" s="411"/>
      <c r="D43" s="2660">
        <f t="shared" si="4"/>
        <v>14</v>
      </c>
      <c r="E43" s="2663" t="s">
        <v>602</v>
      </c>
      <c r="F43" s="2758">
        <v>4341463.9740000004</v>
      </c>
      <c r="G43" s="2758">
        <v>166027895.90935692</v>
      </c>
      <c r="H43" s="2758">
        <v>169348657</v>
      </c>
      <c r="I43" s="2758">
        <v>-3320761.0906430958</v>
      </c>
      <c r="J43" s="2759">
        <v>-2.0001223724813499E-2</v>
      </c>
      <c r="L43" s="86"/>
      <c r="M43" s="86"/>
      <c r="N43" s="86"/>
      <c r="O43" s="86"/>
      <c r="P43" s="86"/>
      <c r="Q43" s="86"/>
      <c r="R43" s="86"/>
    </row>
    <row r="44" spans="1:18">
      <c r="A44" s="411"/>
    </row>
    <row r="45" spans="1:18">
      <c r="A45" s="411"/>
    </row>
    <row r="46" spans="1:18">
      <c r="A46" s="411"/>
    </row>
    <row r="47" spans="1:18">
      <c r="A47" s="411"/>
    </row>
    <row r="48" spans="1:18">
      <c r="A48" s="411"/>
    </row>
    <row r="49" spans="1:18">
      <c r="A49" s="411"/>
      <c r="E49" s="206" t="s">
        <v>661</v>
      </c>
      <c r="F49" s="206"/>
      <c r="G49" s="17"/>
    </row>
    <row r="50" spans="1:18">
      <c r="A50" s="411"/>
      <c r="E50" s="247" t="s">
        <v>3028</v>
      </c>
      <c r="F50" s="308">
        <f>SUM(COS_RR!G16:G22)/1000</f>
        <v>290534.77399999998</v>
      </c>
    </row>
    <row r="51" spans="1:18">
      <c r="A51" s="411"/>
      <c r="E51" s="247" t="s">
        <v>879</v>
      </c>
      <c r="F51" s="19">
        <f>COS_RR!G23/1000</f>
        <v>4720.76</v>
      </c>
    </row>
    <row r="52" spans="1:18">
      <c r="A52" s="411"/>
      <c r="E52" s="247" t="s">
        <v>2746</v>
      </c>
      <c r="F52" s="19">
        <f>COS_RR!G24/1000</f>
        <v>0</v>
      </c>
    </row>
    <row r="53" spans="1:18">
      <c r="A53" s="411"/>
      <c r="E53" s="247" t="s">
        <v>880</v>
      </c>
      <c r="F53" s="19">
        <f>COS_RR!G25/1000</f>
        <v>3787.5030000000002</v>
      </c>
    </row>
    <row r="54" spans="1:18">
      <c r="A54" s="411"/>
      <c r="E54" s="247" t="s">
        <v>489</v>
      </c>
      <c r="F54" s="19">
        <f>COS_RR!G26/1000</f>
        <v>118743.414</v>
      </c>
    </row>
    <row r="55" spans="1:18">
      <c r="A55" s="411"/>
      <c r="E55" s="247" t="s">
        <v>711</v>
      </c>
      <c r="F55" s="19">
        <f>COS_RR!G27/1000</f>
        <v>31901.861000000001</v>
      </c>
    </row>
    <row r="56" spans="1:18">
      <c r="A56" s="411"/>
      <c r="E56" s="206" t="s">
        <v>662</v>
      </c>
      <c r="F56" s="340">
        <f>SUM(F50:F55)</f>
        <v>449688.31199999998</v>
      </c>
    </row>
    <row r="57" spans="1:18">
      <c r="A57" s="411"/>
      <c r="E57" s="206"/>
      <c r="F57" s="308"/>
    </row>
    <row r="58" spans="1:18">
      <c r="E58" s="206" t="s">
        <v>3029</v>
      </c>
      <c r="F58" s="308"/>
    </row>
    <row r="59" spans="1:18">
      <c r="E59" s="252" t="s">
        <v>389</v>
      </c>
      <c r="F59" s="308">
        <f>COS_RR!G32/1000</f>
        <v>-157416.095</v>
      </c>
      <c r="L59" s="86"/>
      <c r="M59" s="86"/>
      <c r="N59" s="86"/>
      <c r="O59" s="86"/>
      <c r="P59" s="86"/>
      <c r="Q59" s="86"/>
      <c r="R59" s="86"/>
    </row>
    <row r="60" spans="1:18">
      <c r="E60" s="247" t="s">
        <v>2750</v>
      </c>
      <c r="F60" s="308">
        <f>COS_RR!G33/1000</f>
        <v>-2343.7330000000002</v>
      </c>
    </row>
    <row r="61" spans="1:18">
      <c r="E61" s="206" t="s">
        <v>305</v>
      </c>
      <c r="F61" s="340">
        <f>SUM(F59:F60)</f>
        <v>-159759.82800000001</v>
      </c>
    </row>
    <row r="62" spans="1:18">
      <c r="E62" s="206"/>
      <c r="F62" s="308"/>
    </row>
    <row r="63" spans="1:18">
      <c r="E63" s="206" t="s">
        <v>881</v>
      </c>
      <c r="F63" s="311">
        <f>F56+F61</f>
        <v>289928.48399999994</v>
      </c>
    </row>
    <row r="83" spans="4:14">
      <c r="D83" s="200"/>
      <c r="E83" s="200"/>
      <c r="F83" s="4262" t="s">
        <v>674</v>
      </c>
      <c r="G83" s="4262" t="s">
        <v>155</v>
      </c>
      <c r="H83" s="4262" t="s">
        <v>675</v>
      </c>
      <c r="I83" s="4262" t="s">
        <v>676</v>
      </c>
      <c r="J83" s="4262" t="s">
        <v>677</v>
      </c>
      <c r="K83" s="4262" t="s">
        <v>140</v>
      </c>
      <c r="L83" s="4262" t="s">
        <v>141</v>
      </c>
    </row>
    <row r="84" spans="4:14">
      <c r="D84" s="4263"/>
      <c r="E84" s="4263"/>
      <c r="F84" s="4263">
        <v>2017</v>
      </c>
      <c r="G84" s="4263"/>
      <c r="H84" s="4263"/>
      <c r="I84" s="4520" t="s">
        <v>2738</v>
      </c>
      <c r="J84" s="4521"/>
      <c r="K84" s="4524" t="s">
        <v>4005</v>
      </c>
      <c r="L84" s="4525"/>
    </row>
    <row r="85" spans="4:14">
      <c r="D85" s="4264"/>
      <c r="E85" s="4264"/>
      <c r="F85" s="4264" t="s">
        <v>712</v>
      </c>
      <c r="G85" s="4264" t="s">
        <v>2737</v>
      </c>
      <c r="H85" s="4264" t="s">
        <v>874</v>
      </c>
      <c r="I85" s="4522"/>
      <c r="J85" s="4523"/>
      <c r="K85" s="4526"/>
      <c r="L85" s="4527"/>
    </row>
    <row r="86" spans="4:14">
      <c r="D86" s="4265" t="s">
        <v>867</v>
      </c>
      <c r="E86" s="4265" t="s">
        <v>399</v>
      </c>
      <c r="F86" s="4265" t="s">
        <v>176</v>
      </c>
      <c r="G86" s="4265" t="s">
        <v>708</v>
      </c>
      <c r="H86" s="4265" t="s">
        <v>710</v>
      </c>
      <c r="I86" s="4265" t="s">
        <v>121</v>
      </c>
      <c r="J86" s="4265" t="s">
        <v>122</v>
      </c>
      <c r="K86" s="4266" t="s">
        <v>4006</v>
      </c>
      <c r="L86" s="4266" t="s">
        <v>122</v>
      </c>
    </row>
    <row r="87" spans="4:14">
      <c r="D87" s="3290"/>
      <c r="E87" s="4267"/>
      <c r="F87" s="4268" t="s">
        <v>383</v>
      </c>
      <c r="G87" s="4267"/>
      <c r="H87" s="4267"/>
      <c r="I87" s="4268" t="s">
        <v>3990</v>
      </c>
      <c r="J87" s="4268" t="s">
        <v>84</v>
      </c>
      <c r="K87" s="4267"/>
      <c r="L87" s="4269" t="s">
        <v>4004</v>
      </c>
    </row>
    <row r="88" spans="4:14">
      <c r="D88" s="4270">
        <f t="shared" ref="D88:D95" si="5">D87+1</f>
        <v>1</v>
      </c>
      <c r="E88" s="200" t="str">
        <f>E10</f>
        <v>Residential-Total (1)</v>
      </c>
      <c r="F88" s="2593">
        <f t="shared" ref="F88:H88" si="6">F10</f>
        <v>887022.27300000004</v>
      </c>
      <c r="G88" s="4271">
        <f t="shared" si="6"/>
        <v>53490448.920275912</v>
      </c>
      <c r="H88" s="4271">
        <f t="shared" si="6"/>
        <v>65107935</v>
      </c>
      <c r="I88" s="4271">
        <f>G88-H88</f>
        <v>-11617486.079724088</v>
      </c>
      <c r="J88" s="2595">
        <f>I88/G88</f>
        <v>-0.21718804598254929</v>
      </c>
      <c r="K88" s="4273">
        <f>L88*G88</f>
        <v>780793.5525263187</v>
      </c>
      <c r="L88" s="2595">
        <f>'COS_Summ (cumulative)'!H88</f>
        <v>1.4596877915346E-2</v>
      </c>
      <c r="N88" s="3094"/>
    </row>
    <row r="89" spans="4:14">
      <c r="D89" s="2676">
        <f t="shared" si="5"/>
        <v>2</v>
      </c>
      <c r="E89" s="51" t="str">
        <f t="shared" ref="E89:H95" si="7">E11</f>
        <v>Irrigation (3)</v>
      </c>
      <c r="F89" s="2755">
        <f t="shared" si="7"/>
        <v>644656.66890576226</v>
      </c>
      <c r="G89" s="1996">
        <f t="shared" si="7"/>
        <v>32493884.927364241</v>
      </c>
      <c r="H89" s="1996">
        <f t="shared" si="7"/>
        <v>40342062</v>
      </c>
      <c r="I89" s="1996">
        <f t="shared" ref="I89:I96" si="8">G89-H89</f>
        <v>-7848177.0726357587</v>
      </c>
      <c r="J89" s="2756">
        <f t="shared" ref="J89:J96" si="9">I89/G89</f>
        <v>-0.2415278163931249</v>
      </c>
      <c r="K89" s="4274">
        <f>L89*G89</f>
        <v>1117285.6326559284</v>
      </c>
      <c r="L89" s="2756">
        <f>'COS_Summ (cumulative)'!H89</f>
        <v>3.4384489117059158E-2</v>
      </c>
      <c r="N89" s="3094"/>
    </row>
    <row r="90" spans="4:14">
      <c r="D90" s="4270">
        <f t="shared" si="5"/>
        <v>3</v>
      </c>
      <c r="E90" s="86" t="str">
        <f t="shared" si="7"/>
        <v>General Service (2) &amp; (PA)</v>
      </c>
      <c r="F90" s="2593">
        <f>F12+F19</f>
        <v>574206.23699999996</v>
      </c>
      <c r="G90" s="2594">
        <f t="shared" ref="G90:H90" si="10">G12+G19</f>
        <v>30877059.999009952</v>
      </c>
      <c r="H90" s="2594">
        <f t="shared" si="10"/>
        <v>35491579</v>
      </c>
      <c r="I90" s="2594">
        <f t="shared" si="8"/>
        <v>-4614519.0009900481</v>
      </c>
      <c r="J90" s="2595">
        <f t="shared" si="9"/>
        <v>-0.14944813402370591</v>
      </c>
      <c r="K90" s="4275">
        <f>L90*G90</f>
        <v>651758.5575138412</v>
      </c>
      <c r="L90" s="2595">
        <f>'COS_Summ (cumulative)'!H90</f>
        <v>2.1108180556527703E-2</v>
      </c>
      <c r="N90" s="3094"/>
    </row>
    <row r="91" spans="4:14">
      <c r="D91" s="2676">
        <f t="shared" si="5"/>
        <v>4</v>
      </c>
      <c r="E91" s="51" t="str">
        <f t="shared" si="7"/>
        <v>Large General Service (7)</v>
      </c>
      <c r="F91" s="2755">
        <f t="shared" si="7"/>
        <v>299772.79228904791</v>
      </c>
      <c r="G91" s="1996">
        <f t="shared" si="7"/>
        <v>10285911.025710687</v>
      </c>
      <c r="H91" s="1996">
        <f t="shared" si="7"/>
        <v>11682658</v>
      </c>
      <c r="I91" s="1996">
        <f t="shared" si="8"/>
        <v>-1396746.974289313</v>
      </c>
      <c r="J91" s="2756">
        <f t="shared" si="9"/>
        <v>-0.1357922473564083</v>
      </c>
      <c r="K91" s="4274">
        <f t="shared" ref="K91:K96" si="11">L91*G91</f>
        <v>99066.641913579952</v>
      </c>
      <c r="L91" s="2756">
        <f>'COS_Summ (cumulative)'!H91</f>
        <v>9.631294852342466E-3</v>
      </c>
      <c r="N91" s="3094"/>
    </row>
    <row r="92" spans="4:14">
      <c r="D92" s="4270">
        <f t="shared" si="5"/>
        <v>5</v>
      </c>
      <c r="E92" s="86" t="str">
        <f t="shared" si="7"/>
        <v>Industrial (14)</v>
      </c>
      <c r="F92" s="2593">
        <f t="shared" si="7"/>
        <v>937116.70550784201</v>
      </c>
      <c r="G92" s="2594">
        <f t="shared" si="7"/>
        <v>36974914.605053663</v>
      </c>
      <c r="H92" s="2594">
        <f t="shared" si="7"/>
        <v>33165212</v>
      </c>
      <c r="I92" s="2594">
        <f t="shared" si="8"/>
        <v>3809702.6050536633</v>
      </c>
      <c r="J92" s="2595">
        <f t="shared" si="9"/>
        <v>0.10303479117522993</v>
      </c>
      <c r="K92" s="4275">
        <f t="shared" si="11"/>
        <v>1848745.7302526832</v>
      </c>
      <c r="L92" s="2595">
        <f>'COS_Summ (cumulative)'!H92</f>
        <v>0.05</v>
      </c>
      <c r="N92" s="3094"/>
    </row>
    <row r="93" spans="4:14">
      <c r="D93" s="2676">
        <f t="shared" si="5"/>
        <v>6</v>
      </c>
      <c r="E93" s="51" t="str">
        <f t="shared" si="7"/>
        <v>Large Industrial (15) &amp; (94)</v>
      </c>
      <c r="F93" s="2755">
        <f t="shared" si="7"/>
        <v>2673206.5529506882</v>
      </c>
      <c r="G93" s="1996">
        <f t="shared" si="7"/>
        <v>102973786.09443644</v>
      </c>
      <c r="H93" s="1996">
        <f t="shared" si="7"/>
        <v>88138185</v>
      </c>
      <c r="I93" s="1996">
        <f t="shared" si="8"/>
        <v>14835601.094436437</v>
      </c>
      <c r="J93" s="2756">
        <f t="shared" si="9"/>
        <v>0.14407162887874031</v>
      </c>
      <c r="K93" s="4274">
        <f t="shared" si="11"/>
        <v>674478.29891855863</v>
      </c>
      <c r="L93" s="2756">
        <f>'COS_Summ (cumulative)'!H93</f>
        <v>6.5499999999999994E-3</v>
      </c>
      <c r="N93" s="3094"/>
    </row>
    <row r="94" spans="4:14">
      <c r="D94" s="4270">
        <f t="shared" si="5"/>
        <v>7</v>
      </c>
      <c r="E94" s="86" t="str">
        <f t="shared" si="7"/>
        <v>Agricultural Processing (16)</v>
      </c>
      <c r="F94" s="2593">
        <f t="shared" si="7"/>
        <v>418929.39388013125</v>
      </c>
      <c r="G94" s="2594">
        <f t="shared" si="7"/>
        <v>16300049.923444636</v>
      </c>
      <c r="H94" s="2594">
        <f t="shared" si="7"/>
        <v>15253378</v>
      </c>
      <c r="I94" s="2594">
        <f t="shared" si="8"/>
        <v>1046671.9234446362</v>
      </c>
      <c r="J94" s="2595">
        <f t="shared" si="9"/>
        <v>6.4212804768112419E-2</v>
      </c>
      <c r="K94" s="4275">
        <f t="shared" si="11"/>
        <v>815002.49617223185</v>
      </c>
      <c r="L94" s="2595">
        <f>'COS_Summ (cumulative)'!H94</f>
        <v>0.05</v>
      </c>
      <c r="N94" s="3094"/>
    </row>
    <row r="95" spans="4:14">
      <c r="D95" s="2676">
        <f t="shared" si="5"/>
        <v>8</v>
      </c>
      <c r="E95" s="51" t="str">
        <f t="shared" si="7"/>
        <v>Agricultural Boiler (85)</v>
      </c>
      <c r="F95" s="2755">
        <f t="shared" si="7"/>
        <v>0</v>
      </c>
      <c r="G95" s="1996">
        <f>G17</f>
        <v>18696.862073089371</v>
      </c>
      <c r="H95" s="1996">
        <f t="shared" si="7"/>
        <v>22926</v>
      </c>
      <c r="I95" s="1996">
        <f t="shared" si="8"/>
        <v>-4229.1379269106292</v>
      </c>
      <c r="J95" s="2756">
        <f t="shared" si="9"/>
        <v>-0.22619506473215528</v>
      </c>
      <c r="K95" s="4274">
        <f t="shared" si="11"/>
        <v>934.84310365446856</v>
      </c>
      <c r="L95" s="2756">
        <f>'COS_Summ (cumulative)'!H95</f>
        <v>0.05</v>
      </c>
      <c r="N95" s="3094"/>
    </row>
    <row r="96" spans="4:14">
      <c r="D96" s="4270">
        <f>D95+1</f>
        <v>9</v>
      </c>
      <c r="E96" s="86" t="str">
        <f>E18</f>
        <v>Street Lights (6)</v>
      </c>
      <c r="F96" s="2596">
        <f>F18</f>
        <v>4515.848</v>
      </c>
      <c r="G96" s="4272">
        <f>G18</f>
        <v>964740</v>
      </c>
      <c r="H96" s="4272">
        <f>H18</f>
        <v>724541</v>
      </c>
      <c r="I96" s="4272">
        <f t="shared" si="8"/>
        <v>240199</v>
      </c>
      <c r="J96" s="2598">
        <f t="shared" si="9"/>
        <v>0.24897796297448016</v>
      </c>
      <c r="K96" s="4276">
        <f t="shared" si="11"/>
        <v>4823.7</v>
      </c>
      <c r="L96" s="2598">
        <f>'COS_Summ (cumulative)'!H96</f>
        <v>5.0000000000000001E-3</v>
      </c>
      <c r="N96" s="3094"/>
    </row>
    <row r="97" spans="4:14">
      <c r="D97" s="2676">
        <v>10</v>
      </c>
      <c r="E97" s="2663" t="s">
        <v>602</v>
      </c>
      <c r="F97" s="2758">
        <f>SUM(F88:F96)</f>
        <v>6439426.4715334717</v>
      </c>
      <c r="G97" s="2758">
        <f>SUM(G88:G96)</f>
        <v>284379492.35736859</v>
      </c>
      <c r="H97" s="2758">
        <f>SUM(H88:H96)</f>
        <v>289928476</v>
      </c>
      <c r="I97" s="2758">
        <f>SUM(I88:I96)</f>
        <v>-5548983.6426313827</v>
      </c>
      <c r="J97" s="2759">
        <v>-2.0001223724813499E-2</v>
      </c>
      <c r="K97" s="4277">
        <f>SUM(K88:K96)</f>
        <v>5992889.4530567955</v>
      </c>
      <c r="L97" s="2759">
        <f>'COS_Summ (cumulative)'!K8</f>
        <v>1.9400000000000001E-2</v>
      </c>
      <c r="N97" s="3094"/>
    </row>
    <row r="98" spans="4:14">
      <c r="N98" s="3094"/>
    </row>
    <row r="99" spans="4:14">
      <c r="N99" s="3094"/>
    </row>
    <row r="100" spans="4:14">
      <c r="N100" s="3094"/>
    </row>
  </sheetData>
  <mergeCells count="6">
    <mergeCell ref="I25:J26"/>
    <mergeCell ref="I3:J4"/>
    <mergeCell ref="M27:M28"/>
    <mergeCell ref="N27:N28"/>
    <mergeCell ref="I84:J85"/>
    <mergeCell ref="K84:L85"/>
  </mergeCells>
  <pageMargins left="0.7" right="0.7" top="0.75" bottom="0.75" header="0.3" footer="0.3"/>
  <pageSetup orientation="portrait" r:id="rId1"/>
  <ignoredErrors>
    <ignoredError sqref="G90:H90" formula="1"/>
  </ignoredError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37"/>
  <sheetViews>
    <sheetView zoomScale="85" zoomScaleNormal="85" workbookViewId="0">
      <pane xSplit="6" ySplit="7" topLeftCell="G8" activePane="bottomRight" state="frozen"/>
      <selection activeCell="I91" sqref="I91"/>
      <selection pane="topRight" activeCell="I91" sqref="I91"/>
      <selection pane="bottomLeft" activeCell="I91" sqref="I91"/>
      <selection pane="bottomRight" activeCell="G27" sqref="G27:U27"/>
    </sheetView>
  </sheetViews>
  <sheetFormatPr defaultRowHeight="15.75"/>
  <cols>
    <col min="1" max="1" width="22.5" style="196" customWidth="1"/>
    <col min="2" max="2" width="2.5" style="20" customWidth="1"/>
    <col min="3" max="3" width="6.75" hidden="1" customWidth="1"/>
    <col min="4" max="4" width="38.25" bestFit="1" customWidth="1"/>
    <col min="5" max="6" width="11.5" bestFit="1" customWidth="1"/>
    <col min="7" max="7" width="13.5" bestFit="1" customWidth="1"/>
    <col min="8" max="8" width="13.125" bestFit="1" customWidth="1"/>
    <col min="9" max="13" width="13.5" bestFit="1" customWidth="1"/>
    <col min="14" max="15" width="14" bestFit="1" customWidth="1"/>
    <col min="16" max="16" width="13.5" bestFit="1" customWidth="1"/>
    <col min="17" max="17" width="14" bestFit="1" customWidth="1"/>
    <col min="18" max="18" width="13.5" bestFit="1" customWidth="1"/>
    <col min="19" max="21" width="14" bestFit="1" customWidth="1"/>
    <col min="23" max="23" width="13.5" bestFit="1" customWidth="1"/>
  </cols>
  <sheetData>
    <row r="1" spans="1:27" ht="22.5">
      <c r="A1" s="411"/>
      <c r="C1" s="53"/>
      <c r="D1" s="53"/>
      <c r="E1" s="53"/>
      <c r="F1" s="53"/>
      <c r="G1" s="53"/>
      <c r="H1" s="53"/>
      <c r="I1" s="53"/>
      <c r="J1" s="53"/>
      <c r="K1" s="53"/>
      <c r="L1" s="196"/>
      <c r="M1" s="196"/>
      <c r="N1" s="196"/>
      <c r="O1" s="196"/>
      <c r="P1" s="196"/>
      <c r="Q1" s="196"/>
      <c r="R1" s="196"/>
      <c r="S1" s="196"/>
      <c r="T1" s="196"/>
      <c r="U1" s="196"/>
      <c r="V1" s="196"/>
      <c r="W1" s="196"/>
      <c r="X1" s="196"/>
      <c r="Y1" s="196"/>
      <c r="Z1" s="196"/>
      <c r="AA1" s="196"/>
    </row>
    <row r="2" spans="1:27" ht="23.25" thickBot="1">
      <c r="A2" s="411"/>
      <c r="D2" s="53" t="s">
        <v>878</v>
      </c>
      <c r="E2" s="53"/>
      <c r="F2" s="53"/>
      <c r="G2" s="53"/>
      <c r="H2" s="53"/>
      <c r="I2" s="53"/>
      <c r="J2" s="53"/>
      <c r="K2" s="53"/>
      <c r="L2" s="196"/>
      <c r="W2" s="5" t="s">
        <v>114</v>
      </c>
    </row>
    <row r="3" spans="1:27" ht="24" thickTop="1" thickBot="1">
      <c r="A3" s="411"/>
      <c r="D3" s="492" t="s">
        <v>717</v>
      </c>
      <c r="E3" s="492"/>
      <c r="F3" s="492"/>
      <c r="G3" s="492"/>
      <c r="H3" s="492"/>
      <c r="I3" s="492"/>
      <c r="J3" s="492"/>
      <c r="K3" s="492"/>
      <c r="L3" s="196"/>
      <c r="W3" s="43">
        <f>'COS_RR (top sheet)'!$I$6</f>
        <v>2024</v>
      </c>
    </row>
    <row r="4" spans="1:27" ht="16.5" thickTop="1">
      <c r="A4" s="411"/>
      <c r="C4" s="2"/>
      <c r="D4" s="2"/>
      <c r="E4" s="5"/>
      <c r="F4" s="5"/>
      <c r="G4" s="5"/>
      <c r="H4" s="5"/>
      <c r="I4" s="5"/>
      <c r="J4" s="196"/>
      <c r="K4" s="196"/>
      <c r="L4" s="196"/>
    </row>
    <row r="5" spans="1:27">
      <c r="A5" s="411"/>
      <c r="E5" s="5"/>
      <c r="F5" s="5"/>
      <c r="G5" s="5"/>
      <c r="H5" s="5"/>
      <c r="I5" s="5"/>
    </row>
    <row r="6" spans="1:27">
      <c r="A6" s="411"/>
      <c r="G6" s="4531" t="s">
        <v>3486</v>
      </c>
      <c r="H6" s="4531"/>
      <c r="I6" s="4531"/>
      <c r="J6" s="4531"/>
      <c r="K6" s="4531"/>
      <c r="L6" s="4531"/>
      <c r="M6" s="4531"/>
      <c r="N6" s="4531"/>
      <c r="O6" s="4531"/>
      <c r="P6" s="4531"/>
      <c r="Q6" s="4531"/>
      <c r="R6" s="4531"/>
      <c r="S6" s="4531"/>
      <c r="T6" s="4531"/>
      <c r="U6" s="4531"/>
    </row>
    <row r="7" spans="1:27" ht="20.25">
      <c r="A7" s="411"/>
      <c r="C7" s="569" t="s">
        <v>867</v>
      </c>
      <c r="D7" s="569" t="s">
        <v>399</v>
      </c>
      <c r="E7" s="1940"/>
      <c r="F7" s="1940"/>
      <c r="G7" s="2004">
        <f>H7-1</f>
        <v>2012</v>
      </c>
      <c r="H7" s="1990">
        <f>Dashboard!F$7</f>
        <v>2013</v>
      </c>
      <c r="I7" s="1990">
        <f>Dashboard!G$7</f>
        <v>2014</v>
      </c>
      <c r="J7" s="1990">
        <f>Dashboard!H$7</f>
        <v>2015</v>
      </c>
      <c r="K7" s="1990">
        <f>Dashboard!I$7</f>
        <v>2016</v>
      </c>
      <c r="L7" s="1990">
        <f>Dashboard!J$7</f>
        <v>2017</v>
      </c>
      <c r="M7" s="1990">
        <f>Dashboard!K$7</f>
        <v>2018</v>
      </c>
      <c r="N7" s="1990">
        <f>Dashboard!L$7</f>
        <v>2019</v>
      </c>
      <c r="O7" s="1990">
        <f>Dashboard!M$7</f>
        <v>2020</v>
      </c>
      <c r="P7" s="1990">
        <f>Dashboard!N$7</f>
        <v>2021</v>
      </c>
      <c r="Q7" s="1990">
        <f>Dashboard!O$7</f>
        <v>2022</v>
      </c>
      <c r="R7" s="1990">
        <f>Dashboard!P$7</f>
        <v>2023</v>
      </c>
      <c r="S7" s="1990">
        <f>Dashboard!Q$7</f>
        <v>2024</v>
      </c>
      <c r="T7" s="1990">
        <f>Dashboard!R$7</f>
        <v>2025</v>
      </c>
      <c r="U7" s="1990">
        <f>Dashboard!S$7</f>
        <v>2026</v>
      </c>
      <c r="V7" s="1978"/>
      <c r="W7" s="1979" t="s">
        <v>3011</v>
      </c>
      <c r="X7" s="1979"/>
      <c r="Y7" s="1979"/>
      <c r="Z7" s="1979"/>
      <c r="AA7" s="1978"/>
    </row>
    <row r="8" spans="1:27">
      <c r="A8" s="411"/>
      <c r="C8" s="236">
        <v>1</v>
      </c>
      <c r="D8" s="4" t="str">
        <f>Rev!D249</f>
        <v>Residential-Urban (1)</v>
      </c>
      <c r="E8" s="4"/>
      <c r="F8" s="4"/>
      <c r="G8" s="1977">
        <f>INDEX(Rev!$E$249:$V$264,MATCH($D8,Rev!$D$249:$D$264,0),MATCH(G$7,Rev!$E$8:$V$8,0))</f>
        <v>17166552.616957277</v>
      </c>
      <c r="H8" s="1977">
        <f>INDEX(Rev!$E$249:$V$264,MATCH($D8,Rev!$D$249:$D$264,0),MATCH(H$7,Rev!$E$8:$V$8,0))</f>
        <v>18904435.365022231</v>
      </c>
      <c r="I8" s="1977">
        <f>INDEX(Rev!$E$249:$V$264,MATCH($D8,Rev!$D$249:$D$264,0),MATCH(I$7,Rev!$E$8:$V$8,0))</f>
        <v>19136168.310945936</v>
      </c>
      <c r="J8" s="1977">
        <f>INDEX(Rev!$E$249:$V$264,MATCH($D8,Rev!$D$249:$D$264,0),MATCH(J$7,Rev!$E$8:$V$8,0))</f>
        <v>18472179.041710887</v>
      </c>
      <c r="K8" s="1977">
        <f>INDEX(Rev!$E$249:$V$264,MATCH($D8,Rev!$D$249:$D$264,0),MATCH(K$7,Rev!$E$8:$V$8,0))</f>
        <v>19336694.712858964</v>
      </c>
      <c r="L8" s="1977">
        <f>INDEX(Rev!$E$249:$V$264,MATCH($D8,Rev!$D$249:$D$264,0),MATCH(L$7,Rev!$E$8:$V$8,0))</f>
        <v>19590733.990148757</v>
      </c>
      <c r="M8" s="1977">
        <f>INDEX(Rev!$E$249:$V$264,MATCH($D8,Rev!$D$249:$D$264,0),MATCH(M$7,Rev!$E$8:$V$8,0))</f>
        <v>19859268.915104184</v>
      </c>
      <c r="N8" s="1977">
        <f>INDEX(Rev!$E$249:$V$264,MATCH($D8,Rev!$D$249:$D$264,0),MATCH(N$7,Rev!$E$8:$V$8,0))</f>
        <v>20131634.527240977</v>
      </c>
      <c r="O8" s="1977">
        <f>INDEX(Rev!$E$249:$V$264,MATCH($D8,Rev!$D$249:$D$264,0),MATCH(O$7,Rev!$E$8:$V$8,0))</f>
        <v>20419170.625645872</v>
      </c>
      <c r="P8" s="1977">
        <f>INDEX(Rev!$E$249:$V$264,MATCH($D8,Rev!$D$249:$D$264,0),MATCH(P$7,Rev!$E$8:$V$8,0))</f>
        <v>20688838.406242598</v>
      </c>
      <c r="Q8" s="1977">
        <f>INDEX(Rev!$E$249:$V$264,MATCH($D8,Rev!$D$249:$D$264,0),MATCH(Q$7,Rev!$E$8:$V$8,0))</f>
        <v>20973776.150653373</v>
      </c>
      <c r="R8" s="1977">
        <f>INDEX(Rev!$E$249:$V$264,MATCH($D8,Rev!$D$249:$D$264,0),MATCH(R$7,Rev!$E$8:$V$8,0))</f>
        <v>21262939.872481164</v>
      </c>
      <c r="S8" s="1977">
        <f>INDEX(Rev!$E$249:$V$264,MATCH($D8,Rev!$D$249:$D$264,0),MATCH(S$7,Rev!$E$8:$V$8,0))</f>
        <v>21568089.237511843</v>
      </c>
      <c r="T8" s="1977">
        <f>INDEX(Rev!$E$249:$V$264,MATCH($D8,Rev!$D$249:$D$264,0),MATCH(T$7,Rev!$E$8:$V$8,0))</f>
        <v>21854545.06943683</v>
      </c>
      <c r="U8" s="1977">
        <f>INDEX(Rev!$E$249:$V$264,MATCH($D8,Rev!$D$249:$D$264,0),MATCH(U$7,Rev!$E$8:$V$8,0))</f>
        <v>22156895.785932973</v>
      </c>
      <c r="V8" s="1978"/>
      <c r="W8" s="257">
        <f t="shared" ref="W8:W24" si="0">INDEX($G8:$U8,1,MATCH($W$3,$G$7:$U$7,0))</f>
        <v>21568089.237511843</v>
      </c>
      <c r="X8" s="524"/>
      <c r="Y8" s="524"/>
      <c r="Z8" s="564"/>
      <c r="AA8" s="1978"/>
    </row>
    <row r="9" spans="1:27">
      <c r="A9" s="411"/>
      <c r="C9" s="1476">
        <f>IF(D9="","",MAX(C$7:C8)+1)</f>
        <v>2</v>
      </c>
      <c r="D9" s="4" t="str">
        <f>Rev!D250</f>
        <v>Residential-Rural (1)</v>
      </c>
      <c r="E9" s="4"/>
      <c r="F9" s="4"/>
      <c r="G9" s="1977">
        <f>INDEX(Rev!$E$249:$V$264,MATCH($D9,Rev!$D$249:$D$264,0),MATCH(G$7,Rev!$E$8:$V$8,0))</f>
        <v>18950419.145152789</v>
      </c>
      <c r="H9" s="1977">
        <f>INDEX(Rev!$E$249:$V$264,MATCH($D9,Rev!$D$249:$D$264,0),MATCH(H$7,Rev!$E$8:$V$8,0))</f>
        <v>20639017.209508725</v>
      </c>
      <c r="I9" s="1977">
        <f>INDEX(Rev!$E$249:$V$264,MATCH($D9,Rev!$D$249:$D$264,0),MATCH(I$7,Rev!$E$8:$V$8,0))</f>
        <v>20990467.340879861</v>
      </c>
      <c r="J9" s="1977">
        <f>INDEX(Rev!$E$249:$V$264,MATCH($D9,Rev!$D$249:$D$264,0),MATCH(J$7,Rev!$E$8:$V$8,0))</f>
        <v>22952601.947685834</v>
      </c>
      <c r="K9" s="1977">
        <f>INDEX(Rev!$E$249:$V$264,MATCH($D9,Rev!$D$249:$D$264,0),MATCH(K$7,Rev!$E$8:$V$8,0))</f>
        <v>23993912.742000487</v>
      </c>
      <c r="L9" s="1977">
        <f>INDEX(Rev!$E$249:$V$264,MATCH($D9,Rev!$D$249:$D$264,0),MATCH(L$7,Rev!$E$8:$V$8,0))</f>
        <v>24312960.822319925</v>
      </c>
      <c r="M9" s="1977">
        <f>INDEX(Rev!$E$249:$V$264,MATCH($D9,Rev!$D$249:$D$264,0),MATCH(M$7,Rev!$E$8:$V$8,0))</f>
        <v>24646143.987634547</v>
      </c>
      <c r="N9" s="1977">
        <f>INDEX(Rev!$E$249:$V$264,MATCH($D9,Rev!$D$249:$D$264,0),MATCH(N$7,Rev!$E$8:$V$8,0))</f>
        <v>24984185.534128118</v>
      </c>
      <c r="O9" s="1977">
        <f>INDEX(Rev!$E$249:$V$264,MATCH($D9,Rev!$D$249:$D$264,0),MATCH(O$7,Rev!$E$8:$V$8,0))</f>
        <v>25337003.257363044</v>
      </c>
      <c r="P9" s="1977">
        <f>INDEX(Rev!$E$249:$V$264,MATCH($D9,Rev!$D$249:$D$264,0),MATCH(P$7,Rev!$E$8:$V$8,0))</f>
        <v>25675660.273892164</v>
      </c>
      <c r="Q9" s="1977">
        <f>INDEX(Rev!$E$249:$V$264,MATCH($D9,Rev!$D$249:$D$264,0),MATCH(Q$7,Rev!$E$8:$V$8,0))</f>
        <v>26029225.385239583</v>
      </c>
      <c r="R9" s="1977">
        <f>INDEX(Rev!$E$249:$V$264,MATCH($D9,Rev!$D$249:$D$264,0),MATCH(R$7,Rev!$E$8:$V$8,0))</f>
        <v>26388098.611573271</v>
      </c>
      <c r="S9" s="1977">
        <f>INDEX(Rev!$E$249:$V$264,MATCH($D9,Rev!$D$249:$D$264,0),MATCH(S$7,Rev!$E$8:$V$8,0))</f>
        <v>26762559.682764068</v>
      </c>
      <c r="T9" s="1977">
        <f>INDEX(Rev!$E$249:$V$264,MATCH($D9,Rev!$D$249:$D$264,0),MATCH(T$7,Rev!$E$8:$V$8,0))</f>
        <v>27122044.364543937</v>
      </c>
      <c r="U9" s="1977">
        <f>INDEX(Rev!$E$249:$V$264,MATCH($D9,Rev!$D$249:$D$264,0),MATCH(U$7,Rev!$E$8:$V$8,0))</f>
        <v>27497256.904028587</v>
      </c>
      <c r="V9" s="1978"/>
      <c r="W9" s="257">
        <f t="shared" si="0"/>
        <v>26762559.682764068</v>
      </c>
      <c r="X9" s="257"/>
      <c r="Y9" s="257"/>
      <c r="Z9" s="564"/>
      <c r="AA9" s="1978"/>
    </row>
    <row r="10" spans="1:27">
      <c r="A10" s="411"/>
      <c r="C10" s="1476">
        <f>IF(D10="","",MAX(C$7:C9)+1)</f>
        <v>3</v>
      </c>
      <c r="D10" s="1962" t="s">
        <v>2763</v>
      </c>
      <c r="E10" s="1962"/>
      <c r="F10" s="1962"/>
      <c r="G10" s="1963">
        <f>SUM(G8:G9)</f>
        <v>36116971.762110069</v>
      </c>
      <c r="H10" s="1963">
        <f>SUM(H8:H9)</f>
        <v>39543452.574530959</v>
      </c>
      <c r="I10" s="1963">
        <f>SUM(I8:I9)</f>
        <v>40126635.651825801</v>
      </c>
      <c r="J10" s="1963">
        <f t="shared" ref="J10:U10" si="1">SUM(J8:J9)</f>
        <v>41424780.989396721</v>
      </c>
      <c r="K10" s="1963">
        <f t="shared" si="1"/>
        <v>43330607.45485945</v>
      </c>
      <c r="L10" s="1963">
        <f t="shared" si="1"/>
        <v>43903694.812468678</v>
      </c>
      <c r="M10" s="1963">
        <f t="shared" si="1"/>
        <v>44505412.902738735</v>
      </c>
      <c r="N10" s="1963">
        <f t="shared" si="1"/>
        <v>45115820.061369091</v>
      </c>
      <c r="O10" s="1963">
        <f t="shared" si="1"/>
        <v>45756173.883008912</v>
      </c>
      <c r="P10" s="1963">
        <f t="shared" si="1"/>
        <v>46364498.680134758</v>
      </c>
      <c r="Q10" s="1963">
        <f t="shared" si="1"/>
        <v>47003001.535892956</v>
      </c>
      <c r="R10" s="1963">
        <f t="shared" si="1"/>
        <v>47651038.484054431</v>
      </c>
      <c r="S10" s="1963">
        <f t="shared" si="1"/>
        <v>48330648.920275912</v>
      </c>
      <c r="T10" s="1963">
        <f t="shared" si="1"/>
        <v>48976589.433980763</v>
      </c>
      <c r="U10" s="1963">
        <f t="shared" si="1"/>
        <v>49654152.68996156</v>
      </c>
      <c r="V10" s="1978"/>
      <c r="W10" s="257">
        <f t="shared" si="0"/>
        <v>48330648.920275912</v>
      </c>
      <c r="X10" s="257"/>
      <c r="Y10" s="257"/>
      <c r="Z10" s="564"/>
      <c r="AA10" s="1978"/>
    </row>
    <row r="11" spans="1:27">
      <c r="A11" s="411"/>
      <c r="C11" s="1476">
        <f>IF(D11="","",MAX(C$7:C10)+1)</f>
        <v>4</v>
      </c>
      <c r="D11" s="4" t="str">
        <f>Rev!D251</f>
        <v>Irrigation 1PH (3)</v>
      </c>
      <c r="E11" s="4"/>
      <c r="F11" s="4"/>
      <c r="G11" s="500">
        <f>INDEX(Rev!$E$249:$V$264,MATCH($D11,Rev!$D$249:$D$264,0),MATCH(G$7,Rev!$E$8:$V$8,0))</f>
        <v>107371.76383914506</v>
      </c>
      <c r="H11" s="500">
        <f>INDEX(Rev!$E$249:$V$264,MATCH($D11,Rev!$D$249:$D$264,0),MATCH(H$7,Rev!$E$8:$V$8,0))</f>
        <v>119918.27523401253</v>
      </c>
      <c r="I11" s="500">
        <f>INDEX(Rev!$E$249:$V$264,MATCH($D11,Rev!$D$249:$D$264,0),MATCH(I$7,Rev!$E$8:$V$8,0))</f>
        <v>120111.37862680378</v>
      </c>
      <c r="J11" s="500">
        <f>INDEX(Rev!$E$249:$V$264,MATCH($D11,Rev!$D$249:$D$264,0),MATCH(J$7,Rev!$E$8:$V$8,0))</f>
        <v>114623.49474349229</v>
      </c>
      <c r="K11" s="500">
        <f>INDEX(Rev!$E$249:$V$264,MATCH($D11,Rev!$D$249:$D$264,0),MATCH(K$7,Rev!$E$8:$V$8,0))</f>
        <v>128449.55351881217</v>
      </c>
      <c r="L11" s="500">
        <f>INDEX(Rev!$E$249:$V$264,MATCH($D11,Rev!$D$249:$D$264,0),MATCH(L$7,Rev!$E$8:$V$8,0))</f>
        <v>125042.81266601148</v>
      </c>
      <c r="M11" s="500">
        <f>INDEX(Rev!$E$249:$V$264,MATCH($D11,Rev!$D$249:$D$264,0),MATCH(M$7,Rev!$E$8:$V$8,0))</f>
        <v>126237.85547780368</v>
      </c>
      <c r="N11" s="500">
        <f>INDEX(Rev!$E$249:$V$264,MATCH($D11,Rev!$D$249:$D$264,0),MATCH(N$7,Rev!$E$8:$V$8,0))</f>
        <v>127432.89828959585</v>
      </c>
      <c r="O11" s="500">
        <f>INDEX(Rev!$E$249:$V$264,MATCH($D11,Rev!$D$249:$D$264,0),MATCH(O$7,Rev!$E$8:$V$8,0))</f>
        <v>128627.94110138806</v>
      </c>
      <c r="P11" s="500">
        <f>INDEX(Rev!$E$249:$V$264,MATCH($D11,Rev!$D$249:$D$264,0),MATCH(P$7,Rev!$E$8:$V$8,0))</f>
        <v>129822.98391318023</v>
      </c>
      <c r="Q11" s="500">
        <f>INDEX(Rev!$E$249:$V$264,MATCH($D11,Rev!$D$249:$D$264,0),MATCH(Q$7,Rev!$E$8:$V$8,0))</f>
        <v>131025.12496294543</v>
      </c>
      <c r="R11" s="500">
        <f>INDEX(Rev!$E$249:$V$264,MATCH($D11,Rev!$D$249:$D$264,0),MATCH(R$7,Rev!$E$8:$V$8,0))</f>
        <v>132220.16777473761</v>
      </c>
      <c r="S11" s="500">
        <f>INDEX(Rev!$E$249:$V$264,MATCH($D11,Rev!$D$249:$D$264,0),MATCH(S$7,Rev!$E$8:$V$8,0))</f>
        <v>133422.30882450278</v>
      </c>
      <c r="T11" s="500">
        <f>INDEX(Rev!$E$249:$V$264,MATCH($D11,Rev!$D$249:$D$264,0),MATCH(T$7,Rev!$E$8:$V$8,0))</f>
        <v>134617.35163629492</v>
      </c>
      <c r="U11" s="500">
        <f>INDEX(Rev!$E$249:$V$264,MATCH($D11,Rev!$D$249:$D$264,0),MATCH(U$7,Rev!$E$8:$V$8,0))</f>
        <v>135819.49268606011</v>
      </c>
      <c r="V11" s="1978"/>
      <c r="W11" s="257">
        <f t="shared" si="0"/>
        <v>133422.30882450278</v>
      </c>
      <c r="X11" s="257"/>
      <c r="Y11" s="257"/>
      <c r="Z11" s="564"/>
      <c r="AA11" s="1978"/>
    </row>
    <row r="12" spans="1:27">
      <c r="A12" s="411"/>
      <c r="C12" s="1476">
        <f>IF(D12="","",MAX(C$7:C11)+1)</f>
        <v>5</v>
      </c>
      <c r="D12" s="4" t="str">
        <f>Rev!D252</f>
        <v>Irrigation 3PH (3)</v>
      </c>
      <c r="E12" s="4"/>
      <c r="F12" s="4"/>
      <c r="G12" s="500">
        <f>INDEX(Rev!$E$249:$V$264,MATCH($D12,Rev!$D$249:$D$264,0),MATCH(G$7,Rev!$E$8:$V$8,0))</f>
        <v>19403672.826194827</v>
      </c>
      <c r="H12" s="500">
        <f>INDEX(Rev!$E$249:$V$264,MATCH($D12,Rev!$D$249:$D$264,0),MATCH(H$7,Rev!$E$8:$V$8,0))</f>
        <v>20778895.542416293</v>
      </c>
      <c r="I12" s="500">
        <f>INDEX(Rev!$E$249:$V$264,MATCH($D12,Rev!$D$249:$D$264,0),MATCH(I$7,Rev!$E$8:$V$8,0))</f>
        <v>22908868.701116808</v>
      </c>
      <c r="J12" s="500">
        <f>INDEX(Rev!$E$249:$V$264,MATCH($D12,Rev!$D$249:$D$264,0),MATCH(J$7,Rev!$E$8:$V$8,0))</f>
        <v>21814332.42621718</v>
      </c>
      <c r="K12" s="500">
        <f>INDEX(Rev!$E$249:$V$264,MATCH($D12,Rev!$D$249:$D$264,0),MATCH(K$7,Rev!$E$8:$V$8,0))</f>
        <v>24511826.846337378</v>
      </c>
      <c r="L12" s="500">
        <f>INDEX(Rev!$E$249:$V$264,MATCH($D12,Rev!$D$249:$D$264,0),MATCH(L$7,Rev!$E$8:$V$8,0))</f>
        <v>23802967.511445262</v>
      </c>
      <c r="M12" s="500">
        <f>INDEX(Rev!$E$249:$V$264,MATCH($D12,Rev!$D$249:$D$264,0),MATCH(M$7,Rev!$E$8:$V$8,0))</f>
        <v>24046788.598757297</v>
      </c>
      <c r="N12" s="500">
        <f>INDEX(Rev!$E$249:$V$264,MATCH($D12,Rev!$D$249:$D$264,0),MATCH(N$7,Rev!$E$8:$V$8,0))</f>
        <v>24290609.686069328</v>
      </c>
      <c r="O12" s="500">
        <f>INDEX(Rev!$E$249:$V$264,MATCH($D12,Rev!$D$249:$D$264,0),MATCH(O$7,Rev!$E$8:$V$8,0))</f>
        <v>24534430.77338136</v>
      </c>
      <c r="P12" s="500">
        <f>INDEX(Rev!$E$249:$V$264,MATCH($D12,Rev!$D$249:$D$264,0),MATCH(P$7,Rev!$E$8:$V$8,0))</f>
        <v>24778251.860693388</v>
      </c>
      <c r="Q12" s="500">
        <f>INDEX(Rev!$E$249:$V$264,MATCH($D12,Rev!$D$249:$D$264,0),MATCH(Q$7,Rev!$E$8:$V$8,0))</f>
        <v>25023746.695960548</v>
      </c>
      <c r="R12" s="500">
        <f>INDEX(Rev!$E$249:$V$264,MATCH($D12,Rev!$D$249:$D$264,0),MATCH(R$7,Rev!$E$8:$V$8,0))</f>
        <v>25267567.78327259</v>
      </c>
      <c r="S12" s="500">
        <f>INDEX(Rev!$E$249:$V$264,MATCH($D12,Rev!$D$249:$D$264,0),MATCH(S$7,Rev!$E$8:$V$8,0))</f>
        <v>25513062.618539739</v>
      </c>
      <c r="T12" s="500">
        <f>INDEX(Rev!$E$249:$V$264,MATCH($D12,Rev!$D$249:$D$264,0),MATCH(T$7,Rev!$E$8:$V$8,0))</f>
        <v>25756883.705851771</v>
      </c>
      <c r="U12" s="500">
        <f>INDEX(Rev!$E$249:$V$264,MATCH($D12,Rev!$D$249:$D$264,0),MATCH(U$7,Rev!$E$8:$V$8,0))</f>
        <v>26002378.541118924</v>
      </c>
      <c r="V12" s="1978"/>
      <c r="W12" s="257">
        <f t="shared" si="0"/>
        <v>25513062.618539739</v>
      </c>
      <c r="X12" s="257"/>
      <c r="Y12" s="257"/>
      <c r="Z12" s="564"/>
      <c r="AA12" s="1978"/>
    </row>
    <row r="13" spans="1:27">
      <c r="A13" s="411"/>
      <c r="C13" s="1476">
        <f>IF(D13="","",MAX(C$7:C12)+1)</f>
        <v>6</v>
      </c>
      <c r="D13" s="4" t="str">
        <f>Rev!D253</f>
        <v>General Service 1PH (2)</v>
      </c>
      <c r="E13" s="4"/>
      <c r="F13" s="4"/>
      <c r="G13" s="500">
        <f>INDEX(Rev!$E$249:$V$264,MATCH($D13,Rev!$D$249:$D$264,0),MATCH(G$7,Rev!$E$8:$V$8,0))</f>
        <v>4725560.5448806863</v>
      </c>
      <c r="H13" s="500">
        <f>INDEX(Rev!$E$249:$V$264,MATCH($D13,Rev!$D$249:$D$264,0),MATCH(H$7,Rev!$E$8:$V$8,0))</f>
        <v>5115872.840530253</v>
      </c>
      <c r="I13" s="500">
        <f>INDEX(Rev!$E$249:$V$264,MATCH($D13,Rev!$D$249:$D$264,0),MATCH(I$7,Rev!$E$8:$V$8,0))</f>
        <v>5227059.1380780386</v>
      </c>
      <c r="J13" s="500">
        <f>INDEX(Rev!$E$249:$V$264,MATCH($D13,Rev!$D$249:$D$264,0),MATCH(J$7,Rev!$E$8:$V$8,0))</f>
        <v>5153647.285265848</v>
      </c>
      <c r="K13" s="500">
        <f>INDEX(Rev!$E$249:$V$264,MATCH($D13,Rev!$D$249:$D$264,0),MATCH(K$7,Rev!$E$8:$V$8,0))</f>
        <v>5525746.9312623013</v>
      </c>
      <c r="L13" s="500">
        <f>INDEX(Rev!$E$249:$V$264,MATCH($D13,Rev!$D$249:$D$264,0),MATCH(L$7,Rev!$E$8:$V$8,0))</f>
        <v>5629270.2527403878</v>
      </c>
      <c r="M13" s="500">
        <f>INDEX(Rev!$E$249:$V$264,MATCH($D13,Rev!$D$249:$D$264,0),MATCH(M$7,Rev!$E$8:$V$8,0))</f>
        <v>5733518.6684612539</v>
      </c>
      <c r="N13" s="500">
        <f>INDEX(Rev!$E$249:$V$264,MATCH($D13,Rev!$D$249:$D$264,0),MATCH(N$7,Rev!$E$8:$V$8,0))</f>
        <v>5838016.1836531507</v>
      </c>
      <c r="O13" s="500">
        <f>INDEX(Rev!$E$249:$V$264,MATCH($D13,Rev!$D$249:$D$264,0),MATCH(O$7,Rev!$E$8:$V$8,0))</f>
        <v>5943133.0394708626</v>
      </c>
      <c r="P13" s="500">
        <f>INDEX(Rev!$E$249:$V$264,MATCH($D13,Rev!$D$249:$D$264,0),MATCH(P$7,Rev!$E$8:$V$8,0))</f>
        <v>6048544.1960220532</v>
      </c>
      <c r="Q13" s="500">
        <f>INDEX(Rev!$E$249:$V$264,MATCH($D13,Rev!$D$249:$D$264,0),MATCH(Q$7,Rev!$E$8:$V$8,0))</f>
        <v>6154658.1939055948</v>
      </c>
      <c r="R13" s="500">
        <f>INDEX(Rev!$E$249:$V$264,MATCH($D13,Rev!$D$249:$D$264,0),MATCH(R$7,Rev!$E$8:$V$8,0))</f>
        <v>6261232.2441678811</v>
      </c>
      <c r="S13" s="500">
        <f>INDEX(Rev!$E$249:$V$264,MATCH($D13,Rev!$D$249:$D$264,0),MATCH(S$7,Rev!$E$8:$V$8,0))</f>
        <v>6368055.3092198726</v>
      </c>
      <c r="T13" s="500">
        <f>INDEX(Rev!$E$249:$V$264,MATCH($D13,Rev!$D$249:$D$264,0),MATCH(T$7,Rev!$E$8:$V$8,0))</f>
        <v>6475586.2588644642</v>
      </c>
      <c r="U13" s="500">
        <f>INDEX(Rev!$E$249:$V$264,MATCH($D13,Rev!$D$249:$D$264,0),MATCH(U$7,Rev!$E$8:$V$8,0))</f>
        <v>6583352.4940176811</v>
      </c>
      <c r="V13" s="1978"/>
      <c r="W13" s="257">
        <f t="shared" si="0"/>
        <v>6368055.3092198726</v>
      </c>
      <c r="X13" s="257"/>
      <c r="Y13" s="257"/>
      <c r="Z13" s="564"/>
      <c r="AA13" s="1978"/>
    </row>
    <row r="14" spans="1:27">
      <c r="A14" s="411"/>
      <c r="C14" s="1476">
        <f>IF(D14="","",MAX(C$7:C13)+1)</f>
        <v>7</v>
      </c>
      <c r="D14" s="4" t="str">
        <f>Rev!D254</f>
        <v>General Service 3PH (2)</v>
      </c>
      <c r="E14" s="4"/>
      <c r="F14" s="4"/>
      <c r="G14" s="500">
        <f>INDEX(Rev!$E$249:$V$264,MATCH($D14,Rev!$D$249:$D$264,0),MATCH(G$7,Rev!$E$8:$V$8,0))</f>
        <v>13574496.204319455</v>
      </c>
      <c r="H14" s="500">
        <f>INDEX(Rev!$E$249:$V$264,MATCH($D14,Rev!$D$249:$D$264,0),MATCH(H$7,Rev!$E$8:$V$8,0))</f>
        <v>14939137.70937879</v>
      </c>
      <c r="I14" s="500">
        <f>INDEX(Rev!$E$249:$V$264,MATCH($D14,Rev!$D$249:$D$264,0),MATCH(I$7,Rev!$E$8:$V$8,0))</f>
        <v>15445983.00985509</v>
      </c>
      <c r="J14" s="500">
        <f>INDEX(Rev!$E$249:$V$264,MATCH($D14,Rev!$D$249:$D$264,0),MATCH(J$7,Rev!$E$8:$V$8,0))</f>
        <v>16158443.361835815</v>
      </c>
      <c r="K14" s="500">
        <f>INDEX(Rev!$E$249:$V$264,MATCH($D14,Rev!$D$249:$D$264,0),MATCH(K$7,Rev!$E$8:$V$8,0))</f>
        <v>17770349.756580301</v>
      </c>
      <c r="L14" s="500">
        <f>INDEX(Rev!$E$249:$V$264,MATCH($D14,Rev!$D$249:$D$264,0),MATCH(L$7,Rev!$E$8:$V$8,0))</f>
        <v>18075506.084716599</v>
      </c>
      <c r="M14" s="500">
        <f>INDEX(Rev!$E$249:$V$264,MATCH($D14,Rev!$D$249:$D$264,0),MATCH(M$7,Rev!$E$8:$V$8,0))</f>
        <v>18381943.356784482</v>
      </c>
      <c r="N14" s="500">
        <f>INDEX(Rev!$E$249:$V$264,MATCH($D14,Rev!$D$249:$D$264,0),MATCH(N$7,Rev!$E$8:$V$8,0))</f>
        <v>18688784.338430934</v>
      </c>
      <c r="O14" s="500">
        <f>INDEX(Rev!$E$249:$V$264,MATCH($D14,Rev!$D$249:$D$264,0),MATCH(O$7,Rev!$E$8:$V$8,0))</f>
        <v>18996006.86224601</v>
      </c>
      <c r="P14" s="500">
        <f>INDEX(Rev!$E$249:$V$264,MATCH($D14,Rev!$D$249:$D$264,0),MATCH(P$7,Rev!$E$8:$V$8,0))</f>
        <v>19303799.138346761</v>
      </c>
      <c r="Q14" s="500">
        <f>INDEX(Rev!$E$249:$V$264,MATCH($D14,Rev!$D$249:$D$264,0),MATCH(Q$7,Rev!$E$8:$V$8,0))</f>
        <v>19611923.169275559</v>
      </c>
      <c r="R14" s="500">
        <f>INDEX(Rev!$E$249:$V$264,MATCH($D14,Rev!$D$249:$D$264,0),MATCH(R$7,Rev!$E$8:$V$8,0))</f>
        <v>19920354.871217843</v>
      </c>
      <c r="S14" s="500">
        <f>INDEX(Rev!$E$249:$V$264,MATCH($D14,Rev!$D$249:$D$264,0),MATCH(S$7,Rev!$E$8:$V$8,0))</f>
        <v>20229189.858713653</v>
      </c>
      <c r="T14" s="500">
        <f>INDEX(Rev!$E$249:$V$264,MATCH($D14,Rev!$D$249:$D$264,0),MATCH(T$7,Rev!$E$8:$V$8,0))</f>
        <v>20538731.732198149</v>
      </c>
      <c r="U14" s="500">
        <f>INDEX(Rev!$E$249:$V$264,MATCH($D14,Rev!$D$249:$D$264,0),MATCH(U$7,Rev!$E$8:$V$8,0))</f>
        <v>20848626.391469259</v>
      </c>
      <c r="V14" s="1978"/>
      <c r="W14" s="257">
        <f t="shared" si="0"/>
        <v>20229189.858713653</v>
      </c>
      <c r="X14" s="257"/>
      <c r="Y14" s="257"/>
      <c r="Z14" s="564"/>
      <c r="AA14" s="1978"/>
    </row>
    <row r="15" spans="1:27">
      <c r="A15" s="411"/>
      <c r="C15" s="1476">
        <f>IF(D15="","",MAX(C$7:C14)+1)</f>
        <v>8</v>
      </c>
      <c r="D15" s="4" t="str">
        <f>Rev!D255</f>
        <v>Large General Service (7)</v>
      </c>
      <c r="E15" s="4"/>
      <c r="F15" s="4"/>
      <c r="G15" s="500">
        <f>INDEX(Rev!$E$249:$V$264,MATCH($D15,Rev!$D$249:$D$264,0),MATCH(G$7,Rev!$E$8:$V$8,0))</f>
        <v>7438935.5642427718</v>
      </c>
      <c r="H15" s="500">
        <f>INDEX(Rev!$E$249:$V$264,MATCH($D15,Rev!$D$249:$D$264,0),MATCH(H$7,Rev!$E$8:$V$8,0))</f>
        <v>8170856.7544106143</v>
      </c>
      <c r="I15" s="500">
        <f>INDEX(Rev!$E$249:$V$264,MATCH($D15,Rev!$D$249:$D$264,0),MATCH(I$7,Rev!$E$8:$V$8,0))</f>
        <v>6665093.6592082828</v>
      </c>
      <c r="J15" s="500">
        <f>INDEX(Rev!$E$249:$V$264,MATCH($D15,Rev!$D$249:$D$264,0),MATCH(J$7,Rev!$E$8:$V$8,0))</f>
        <v>8766062.0633190237</v>
      </c>
      <c r="K15" s="500">
        <f>INDEX(Rev!$E$249:$V$264,MATCH($D15,Rev!$D$249:$D$264,0),MATCH(K$7,Rev!$E$8:$V$8,0))</f>
        <v>8163610.1982922778</v>
      </c>
      <c r="L15" s="500">
        <f>INDEX(Rev!$E$249:$V$264,MATCH($D15,Rev!$D$249:$D$264,0),MATCH(L$7,Rev!$E$8:$V$8,0))</f>
        <v>8335845.0008362718</v>
      </c>
      <c r="M15" s="500">
        <f>INDEX(Rev!$E$249:$V$264,MATCH($D15,Rev!$D$249:$D$264,0),MATCH(M$7,Rev!$E$8:$V$8,0))</f>
        <v>8497706.0688136742</v>
      </c>
      <c r="N15" s="500">
        <f>INDEX(Rev!$E$249:$V$264,MATCH($D15,Rev!$D$249:$D$264,0),MATCH(N$7,Rev!$E$8:$V$8,0))</f>
        <v>8659567.1367910709</v>
      </c>
      <c r="O15" s="500">
        <f>INDEX(Rev!$E$249:$V$264,MATCH($D15,Rev!$D$249:$D$264,0),MATCH(O$7,Rev!$E$8:$V$8,0))</f>
        <v>8810232.7882560082</v>
      </c>
      <c r="P15" s="500">
        <f>INDEX(Rev!$E$249:$V$264,MATCH($D15,Rev!$D$249:$D$264,0),MATCH(P$7,Rev!$E$8:$V$8,0))</f>
        <v>9064219.8067345899</v>
      </c>
      <c r="Q15" s="500">
        <f>INDEX(Rev!$E$249:$V$264,MATCH($D15,Rev!$D$249:$D$264,0),MATCH(Q$7,Rev!$E$8:$V$8,0))</f>
        <v>9226080.8747119885</v>
      </c>
      <c r="R15" s="500">
        <f>INDEX(Rev!$E$249:$V$264,MATCH($D15,Rev!$D$249:$D$264,0),MATCH(R$7,Rev!$E$8:$V$8,0))</f>
        <v>9387941.9426893871</v>
      </c>
      <c r="S15" s="500">
        <f>INDEX(Rev!$E$249:$V$264,MATCH($D15,Rev!$D$249:$D$264,0),MATCH(S$7,Rev!$E$8:$V$8,0))</f>
        <v>9618511.025710687</v>
      </c>
      <c r="T15" s="500">
        <f>INDEX(Rev!$E$249:$V$264,MATCH($D15,Rev!$D$249:$D$264,0),MATCH(T$7,Rev!$E$8:$V$8,0))</f>
        <v>9792594.6126329061</v>
      </c>
      <c r="U15" s="500">
        <f>INDEX(Rev!$E$249:$V$264,MATCH($D15,Rev!$D$249:$D$264,0),MATCH(U$7,Rev!$E$8:$V$8,0))</f>
        <v>10035386.214599004</v>
      </c>
      <c r="V15" s="1978"/>
      <c r="W15" s="257">
        <f t="shared" si="0"/>
        <v>9618511.025710687</v>
      </c>
      <c r="X15" s="257"/>
      <c r="Y15" s="257"/>
      <c r="Z15" s="564"/>
      <c r="AA15" s="1978"/>
    </row>
    <row r="16" spans="1:27">
      <c r="A16" s="411"/>
      <c r="C16" s="1476">
        <f>IF(D16="","",MAX(C$7:C15)+1)</f>
        <v>9</v>
      </c>
      <c r="D16" s="4" t="str">
        <f>Rev!D256</f>
        <v>Industrial (14)</v>
      </c>
      <c r="E16" s="4"/>
      <c r="F16" s="4"/>
      <c r="G16" s="500">
        <f>INDEX(Rev!$E$249:$V$264,MATCH($D16,Rev!$D$249:$D$264,0),MATCH(G$7,Rev!$E$8:$V$8,0))</f>
        <v>4674033.6654059952</v>
      </c>
      <c r="H16" s="500">
        <f>INDEX(Rev!$E$249:$V$264,MATCH($D16,Rev!$D$249:$D$264,0),MATCH(H$7,Rev!$E$8:$V$8,0))</f>
        <v>6364288.438032195</v>
      </c>
      <c r="I16" s="500">
        <f>INDEX(Rev!$E$249:$V$264,MATCH($D16,Rev!$D$249:$D$264,0),MATCH(I$7,Rev!$E$8:$V$8,0))</f>
        <v>9498049.0266200192</v>
      </c>
      <c r="J16" s="500">
        <f>INDEX(Rev!$E$249:$V$264,MATCH($D16,Rev!$D$249:$D$264,0),MATCH(J$7,Rev!$E$8:$V$8,0))</f>
        <v>10707815.790265961</v>
      </c>
      <c r="K16" s="500">
        <f>INDEX(Rev!$E$249:$V$264,MATCH($D16,Rev!$D$249:$D$264,0),MATCH(K$7,Rev!$E$8:$V$8,0))</f>
        <v>11291095.306770664</v>
      </c>
      <c r="L16" s="500">
        <f>INDEX(Rev!$E$249:$V$264,MATCH($D16,Rev!$D$249:$D$264,0),MATCH(L$7,Rev!$E$8:$V$8,0))</f>
        <v>13900883.269670105</v>
      </c>
      <c r="M16" s="500">
        <f>INDEX(Rev!$E$249:$V$264,MATCH($D16,Rev!$D$249:$D$264,0),MATCH(M$7,Rev!$E$8:$V$8,0))</f>
        <v>15792710.970608944</v>
      </c>
      <c r="N16" s="500">
        <f>INDEX(Rev!$E$249:$V$264,MATCH($D16,Rev!$D$249:$D$264,0),MATCH(N$7,Rev!$E$8:$V$8,0))</f>
        <v>18144557.128910389</v>
      </c>
      <c r="O16" s="500">
        <f>INDEX(Rev!$E$249:$V$264,MATCH($D16,Rev!$D$249:$D$264,0),MATCH(O$7,Rev!$E$8:$V$8,0))</f>
        <v>21044036.33062144</v>
      </c>
      <c r="P16" s="500">
        <f>INDEX(Rev!$E$249:$V$264,MATCH($D16,Rev!$D$249:$D$264,0),MATCH(P$7,Rev!$E$8:$V$8,0))</f>
        <v>22698396.339451</v>
      </c>
      <c r="Q16" s="500">
        <f>INDEX(Rev!$E$249:$V$264,MATCH($D16,Rev!$D$249:$D$264,0),MATCH(Q$7,Rev!$E$8:$V$8,0))</f>
        <v>24333864.593313333</v>
      </c>
      <c r="R16" s="500">
        <f>INDEX(Rev!$E$249:$V$264,MATCH($D16,Rev!$D$249:$D$264,0),MATCH(R$7,Rev!$E$8:$V$8,0))</f>
        <v>25254172.77575345</v>
      </c>
      <c r="S16" s="500">
        <f>INDEX(Rev!$E$249:$V$264,MATCH($D16,Rev!$D$249:$D$264,0),MATCH(S$7,Rev!$E$8:$V$8,0))</f>
        <v>26277314.605053663</v>
      </c>
      <c r="T16" s="500">
        <f>INDEX(Rev!$E$249:$V$264,MATCH($D16,Rev!$D$249:$D$264,0),MATCH(T$7,Rev!$E$8:$V$8,0))</f>
        <v>27270888.7383647</v>
      </c>
      <c r="U16" s="500">
        <f>INDEX(Rev!$E$249:$V$264,MATCH($D16,Rev!$D$249:$D$264,0),MATCH(U$7,Rev!$E$8:$V$8,0))</f>
        <v>28070354.563841108</v>
      </c>
      <c r="V16" s="1978"/>
      <c r="W16" s="257">
        <f t="shared" si="0"/>
        <v>26277314.605053663</v>
      </c>
      <c r="X16" s="257"/>
      <c r="Y16" s="257"/>
      <c r="Z16" s="564"/>
      <c r="AA16" s="1978"/>
    </row>
    <row r="17" spans="1:27">
      <c r="A17" s="411"/>
      <c r="C17" s="1476">
        <f>IF(D17="","",MAX(C$7:C16)+1)</f>
        <v>10</v>
      </c>
      <c r="D17" s="4" t="str">
        <f>Rev!D257</f>
        <v>Large Industrial (15)</v>
      </c>
      <c r="E17" s="4"/>
      <c r="F17" s="4"/>
      <c r="G17" s="500">
        <f>INDEX(Rev!$E$249:$V$264,MATCH($D17,Rev!$D$249:$D$264,0),MATCH(G$7,Rev!$E$8:$V$8,0))</f>
        <v>49739861.890301749</v>
      </c>
      <c r="H17" s="500">
        <f>INDEX(Rev!$E$249:$V$264,MATCH($D17,Rev!$D$249:$D$264,0),MATCH(H$7,Rev!$E$8:$V$8,0))</f>
        <v>45475796.683017857</v>
      </c>
      <c r="I17" s="500">
        <f>INDEX(Rev!$E$249:$V$264,MATCH($D17,Rev!$D$249:$D$264,0),MATCH(I$7,Rev!$E$8:$V$8,0))</f>
        <v>49337820.498001933</v>
      </c>
      <c r="J17" s="500">
        <f>INDEX(Rev!$E$249:$V$264,MATCH($D17,Rev!$D$249:$D$264,0),MATCH(J$7,Rev!$E$8:$V$8,0))</f>
        <v>57093260.338718966</v>
      </c>
      <c r="K17" s="500">
        <f>INDEX(Rev!$E$249:$V$264,MATCH($D17,Rev!$D$249:$D$264,0),MATCH(K$7,Rev!$E$8:$V$8,0))</f>
        <v>55537498.876017138</v>
      </c>
      <c r="L17" s="500">
        <f>INDEX(Rev!$E$249:$V$264,MATCH($D17,Rev!$D$249:$D$264,0),MATCH(L$7,Rev!$E$8:$V$8,0))</f>
        <v>60104173.471371785</v>
      </c>
      <c r="M17" s="500">
        <f>INDEX(Rev!$E$249:$V$264,MATCH($D17,Rev!$D$249:$D$264,0),MATCH(M$7,Rev!$E$8:$V$8,0))</f>
        <v>65147546.868791394</v>
      </c>
      <c r="N17" s="500">
        <f>INDEX(Rev!$E$249:$V$264,MATCH($D17,Rev!$D$249:$D$264,0),MATCH(N$7,Rev!$E$8:$V$8,0))</f>
        <v>71363776.061670348</v>
      </c>
      <c r="O17" s="500">
        <f>INDEX(Rev!$E$249:$V$264,MATCH($D17,Rev!$D$249:$D$264,0),MATCH(O$7,Rev!$E$8:$V$8,0))</f>
        <v>78181787.415281668</v>
      </c>
      <c r="P17" s="500">
        <f>INDEX(Rev!$E$249:$V$264,MATCH($D17,Rev!$D$249:$D$264,0),MATCH(P$7,Rev!$E$8:$V$8,0))</f>
        <v>85840264.840078488</v>
      </c>
      <c r="Q17" s="500">
        <f>INDEX(Rev!$E$249:$V$264,MATCH($D17,Rev!$D$249:$D$264,0),MATCH(Q$7,Rev!$E$8:$V$8,0))</f>
        <v>89498629.959206671</v>
      </c>
      <c r="R17" s="500">
        <f>INDEX(Rev!$E$249:$V$264,MATCH($D17,Rev!$D$249:$D$264,0),MATCH(R$7,Rev!$E$8:$V$8,0))</f>
        <v>93721663.406699643</v>
      </c>
      <c r="S17" s="500">
        <f>INDEX(Rev!$E$249:$V$264,MATCH($D17,Rev!$D$249:$D$264,0),MATCH(S$7,Rev!$E$8:$V$8,0))</f>
        <v>98373786.094436437</v>
      </c>
      <c r="T17" s="500">
        <f>INDEX(Rev!$E$249:$V$264,MATCH($D17,Rev!$D$249:$D$264,0),MATCH(T$7,Rev!$E$8:$V$8,0))</f>
        <v>101080180.51590812</v>
      </c>
      <c r="U17" s="500">
        <f>INDEX(Rev!$E$249:$V$264,MATCH($D17,Rev!$D$249:$D$264,0),MATCH(U$7,Rev!$E$8:$V$8,0))</f>
        <v>104007935.46382579</v>
      </c>
      <c r="V17" s="1978"/>
      <c r="W17" s="257">
        <f t="shared" si="0"/>
        <v>98373786.094436437</v>
      </c>
      <c r="X17" s="257"/>
      <c r="Y17" s="257"/>
      <c r="Z17" s="564"/>
      <c r="AA17" s="1978"/>
    </row>
    <row r="18" spans="1:27">
      <c r="A18" s="411"/>
      <c r="C18" s="1476">
        <f>IF(D18="","",MAX(C$7:C17)+1)</f>
        <v>11</v>
      </c>
      <c r="D18" s="4" t="str">
        <f>Rev!D258</f>
        <v>Agricultural Processing (16)</v>
      </c>
      <c r="E18" s="4"/>
      <c r="F18" s="4"/>
      <c r="G18" s="500">
        <f>INDEX(Rev!$E$249:$V$264,MATCH($D18,Rev!$D$249:$D$264,0),MATCH(G$7,Rev!$E$8:$V$8,0))</f>
        <v>5661514.5857013334</v>
      </c>
      <c r="H18" s="500">
        <f>INDEX(Rev!$E$249:$V$264,MATCH($D18,Rev!$D$249:$D$264,0),MATCH(H$7,Rev!$E$8:$V$8,0))</f>
        <v>7021301.1308399132</v>
      </c>
      <c r="I18" s="500">
        <f>INDEX(Rev!$E$249:$V$264,MATCH($D18,Rev!$D$249:$D$264,0),MATCH(I$7,Rev!$E$8:$V$8,0))</f>
        <v>7919688.2089324063</v>
      </c>
      <c r="J18" s="500">
        <f>INDEX(Rev!$E$249:$V$264,MATCH($D18,Rev!$D$249:$D$264,0),MATCH(J$7,Rev!$E$8:$V$8,0))</f>
        <v>8984245.1695211921</v>
      </c>
      <c r="K18" s="500">
        <f>INDEX(Rev!$E$249:$V$264,MATCH($D18,Rev!$D$249:$D$264,0),MATCH(K$7,Rev!$E$8:$V$8,0))</f>
        <v>9530339.7387739029</v>
      </c>
      <c r="L18" s="500">
        <f>INDEX(Rev!$E$249:$V$264,MATCH($D18,Rev!$D$249:$D$264,0),MATCH(L$7,Rev!$E$8:$V$8,0))</f>
        <v>10038493.700286243</v>
      </c>
      <c r="M18" s="500">
        <f>INDEX(Rev!$E$249:$V$264,MATCH($D18,Rev!$D$249:$D$264,0),MATCH(M$7,Rev!$E$8:$V$8,0))</f>
        <v>10143145.318966553</v>
      </c>
      <c r="N18" s="500">
        <f>INDEX(Rev!$E$249:$V$264,MATCH($D18,Rev!$D$249:$D$264,0),MATCH(N$7,Rev!$E$8:$V$8,0))</f>
        <v>11284056.471414171</v>
      </c>
      <c r="O18" s="500">
        <f>INDEX(Rev!$E$249:$V$264,MATCH($D18,Rev!$D$249:$D$264,0),MATCH(O$7,Rev!$E$8:$V$8,0))</f>
        <v>11357718.262523709</v>
      </c>
      <c r="P18" s="500">
        <f>INDEX(Rev!$E$249:$V$264,MATCH($D18,Rev!$D$249:$D$264,0),MATCH(P$7,Rev!$E$8:$V$8,0))</f>
        <v>11395969.178446734</v>
      </c>
      <c r="Q18" s="500">
        <f>INDEX(Rev!$E$249:$V$264,MATCH($D18,Rev!$D$249:$D$264,0),MATCH(Q$7,Rev!$E$8:$V$8,0))</f>
        <v>11452345.553469464</v>
      </c>
      <c r="R18" s="500">
        <f>INDEX(Rev!$E$249:$V$264,MATCH($D18,Rev!$D$249:$D$264,0),MATCH(R$7,Rev!$E$8:$V$8,0))</f>
        <v>11509003.810367303</v>
      </c>
      <c r="S18" s="500">
        <f>INDEX(Rev!$E$249:$V$264,MATCH($D18,Rev!$D$249:$D$264,0),MATCH(S$7,Rev!$E$8:$V$8,0))</f>
        <v>11584149.923444636</v>
      </c>
      <c r="T18" s="500">
        <f>INDEX(Rev!$E$249:$V$264,MATCH($D18,Rev!$D$249:$D$264,0),MATCH(T$7,Rev!$E$8:$V$8,0))</f>
        <v>11623171.614472874</v>
      </c>
      <c r="U18" s="500">
        <f>INDEX(Rev!$E$249:$V$264,MATCH($D18,Rev!$D$249:$D$264,0),MATCH(U$7,Rev!$E$8:$V$8,0))</f>
        <v>11680684.001675732</v>
      </c>
      <c r="V18" s="1978"/>
      <c r="W18" s="257">
        <f t="shared" si="0"/>
        <v>11584149.923444636</v>
      </c>
      <c r="X18" s="257"/>
      <c r="Y18" s="257"/>
      <c r="Z18" s="564"/>
      <c r="AA18" s="1978"/>
    </row>
    <row r="19" spans="1:27">
      <c r="A19" s="411"/>
      <c r="C19" s="1476">
        <f>IF(D19="","",MAX(C$7:C18)+1)</f>
        <v>12</v>
      </c>
      <c r="D19" s="4" t="str">
        <f>Rev!D259</f>
        <v>Agricultural Boiler (85)</v>
      </c>
      <c r="E19" s="4"/>
      <c r="F19" s="4"/>
      <c r="G19" s="500">
        <f>INDEX(Rev!$E$249:$V$264,MATCH($D19,Rev!$D$249:$D$264,0),MATCH(G$7,Rev!$E$8:$V$8,0))</f>
        <v>136377.04905569571</v>
      </c>
      <c r="H19" s="500">
        <f>INDEX(Rev!$E$249:$V$264,MATCH($D19,Rev!$D$249:$D$264,0),MATCH(H$7,Rev!$E$8:$V$8,0))</f>
        <v>12058.299905415506</v>
      </c>
      <c r="I19" s="500">
        <f>INDEX(Rev!$E$249:$V$264,MATCH($D19,Rev!$D$249:$D$264,0),MATCH(I$7,Rev!$E$8:$V$8,0))</f>
        <v>12058.299905415506</v>
      </c>
      <c r="J19" s="500">
        <f>INDEX(Rev!$E$249:$V$264,MATCH($D19,Rev!$D$249:$D$264,0),MATCH(J$7,Rev!$E$8:$V$8,0))</f>
        <v>12661.214900686282</v>
      </c>
      <c r="K19" s="500">
        <f>INDEX(Rev!$E$249:$V$264,MATCH($D19,Rev!$D$249:$D$264,0),MATCH(K$7,Rev!$E$8:$V$8,0))</f>
        <v>13296.862073089371</v>
      </c>
      <c r="L19" s="500">
        <f>INDEX(Rev!$E$249:$V$264,MATCH($D19,Rev!$D$249:$D$264,0),MATCH(L$7,Rev!$E$8:$V$8,0))</f>
        <v>13296.862073089371</v>
      </c>
      <c r="M19" s="500">
        <f>INDEX(Rev!$E$249:$V$264,MATCH($D19,Rev!$D$249:$D$264,0),MATCH(M$7,Rev!$E$8:$V$8,0))</f>
        <v>13296.862073089371</v>
      </c>
      <c r="N19" s="500">
        <f>INDEX(Rev!$E$249:$V$264,MATCH($D19,Rev!$D$249:$D$264,0),MATCH(N$7,Rev!$E$8:$V$8,0))</f>
        <v>13296.862073089371</v>
      </c>
      <c r="O19" s="500">
        <f>INDEX(Rev!$E$249:$V$264,MATCH($D19,Rev!$D$249:$D$264,0),MATCH(O$7,Rev!$E$8:$V$8,0))</f>
        <v>13296.862073089371</v>
      </c>
      <c r="P19" s="500">
        <f>INDEX(Rev!$E$249:$V$264,MATCH($D19,Rev!$D$249:$D$264,0),MATCH(P$7,Rev!$E$8:$V$8,0))</f>
        <v>13296.862073089371</v>
      </c>
      <c r="Q19" s="500">
        <f>INDEX(Rev!$E$249:$V$264,MATCH($D19,Rev!$D$249:$D$264,0),MATCH(Q$7,Rev!$E$8:$V$8,0))</f>
        <v>13296.862073089371</v>
      </c>
      <c r="R19" s="500">
        <f>INDEX(Rev!$E$249:$V$264,MATCH($D19,Rev!$D$249:$D$264,0),MATCH(R$7,Rev!$E$8:$V$8,0))</f>
        <v>13296.862073089371</v>
      </c>
      <c r="S19" s="500">
        <f>INDEX(Rev!$E$249:$V$264,MATCH($D19,Rev!$D$249:$D$264,0),MATCH(S$7,Rev!$E$8:$V$8,0))</f>
        <v>13296.862073089371</v>
      </c>
      <c r="T19" s="500">
        <f>INDEX(Rev!$E$249:$V$264,MATCH($D19,Rev!$D$249:$D$264,0),MATCH(T$7,Rev!$E$8:$V$8,0))</f>
        <v>13296.862073089371</v>
      </c>
      <c r="U19" s="500">
        <f>INDEX(Rev!$E$249:$V$264,MATCH($D19,Rev!$D$249:$D$264,0),MATCH(U$7,Rev!$E$8:$V$8,0))</f>
        <v>13296.862073089371</v>
      </c>
      <c r="V19" s="1978"/>
      <c r="W19" s="257">
        <f t="shared" si="0"/>
        <v>13296.862073089371</v>
      </c>
      <c r="X19" s="257"/>
      <c r="Y19" s="257"/>
      <c r="Z19" s="564"/>
      <c r="AA19" s="1978"/>
    </row>
    <row r="20" spans="1:27">
      <c r="A20" s="411"/>
      <c r="C20" s="1476">
        <f>IF(D20="","",MAX(C$7:C19)+1)</f>
        <v>13</v>
      </c>
      <c r="D20" s="4" t="str">
        <f>Rev!D260</f>
        <v>Industrial (94)</v>
      </c>
      <c r="E20" s="4"/>
      <c r="F20" s="4"/>
      <c r="G20" s="500">
        <f>INDEX(Rev!$E$249:$V$264,MATCH($D20,Rev!$D$249:$D$264,0),MATCH(G$7,Rev!$E$8:$V$8,0))</f>
        <v>0</v>
      </c>
      <c r="H20" s="500">
        <f>INDEX(Rev!$E$249:$V$264,MATCH($D20,Rev!$D$249:$D$264,0),MATCH(H$7,Rev!$E$8:$V$8,0))</f>
        <v>342388.76242103451</v>
      </c>
      <c r="I20" s="500">
        <f>INDEX(Rev!$E$249:$V$264,MATCH($D20,Rev!$D$249:$D$264,0),MATCH(I$7,Rev!$E$8:$V$8,0))</f>
        <v>1314486.2935280628</v>
      </c>
      <c r="J20" s="500">
        <f>INDEX(Rev!$E$249:$V$264,MATCH($D20,Rev!$D$249:$D$264,0),MATCH(J$7,Rev!$E$8:$V$8,0))</f>
        <v>0</v>
      </c>
      <c r="K20" s="500">
        <f>INDEX(Rev!$E$249:$V$264,MATCH($D20,Rev!$D$249:$D$264,0),MATCH(K$7,Rev!$E$8:$V$8,0))</f>
        <v>1074743.2237976061</v>
      </c>
      <c r="L20" s="500">
        <f>INDEX(Rev!$E$249:$V$264,MATCH($D20,Rev!$D$249:$D$264,0),MATCH(L$7,Rev!$E$8:$V$8,0))</f>
        <v>4211280.8725680821</v>
      </c>
      <c r="M20" s="500">
        <f>INDEX(Rev!$E$249:$V$264,MATCH($D20,Rev!$D$249:$D$264,0),MATCH(M$7,Rev!$E$8:$V$8,0))</f>
        <v>5619279.9110005591</v>
      </c>
      <c r="N20" s="500">
        <f>INDEX(Rev!$E$249:$V$264,MATCH($D20,Rev!$D$249:$D$264,0),MATCH(N$7,Rev!$E$8:$V$8,0))</f>
        <v>7164818.423535835</v>
      </c>
      <c r="O20" s="500">
        <f>INDEX(Rev!$E$249:$V$264,MATCH($D20,Rev!$D$249:$D$264,0),MATCH(O$7,Rev!$E$8:$V$8,0))</f>
        <v>4904946.8715119669</v>
      </c>
      <c r="P20" s="500">
        <f>INDEX(Rev!$E$249:$V$264,MATCH($D20,Rev!$D$249:$D$264,0),MATCH(P$7,Rev!$E$8:$V$8,0))</f>
        <v>1015920.3821267956</v>
      </c>
      <c r="Q20" s="500">
        <f>INDEX(Rev!$E$249:$V$264,MATCH($D20,Rev!$D$249:$D$264,0),MATCH(Q$7,Rev!$E$8:$V$8,0))</f>
        <v>0</v>
      </c>
      <c r="R20" s="500">
        <f>INDEX(Rev!$E$249:$V$264,MATCH($D20,Rev!$D$249:$D$264,0),MATCH(R$7,Rev!$E$8:$V$8,0))</f>
        <v>0</v>
      </c>
      <c r="S20" s="500">
        <f>INDEX(Rev!$E$249:$V$264,MATCH($D20,Rev!$D$249:$D$264,0),MATCH(S$7,Rev!$E$8:$V$8,0))</f>
        <v>0</v>
      </c>
      <c r="T20" s="500">
        <f>INDEX(Rev!$E$249:$V$264,MATCH($D20,Rev!$D$249:$D$264,0),MATCH(T$7,Rev!$E$8:$V$8,0))</f>
        <v>0</v>
      </c>
      <c r="U20" s="500">
        <f>INDEX(Rev!$E$249:$V$264,MATCH($D20,Rev!$D$249:$D$264,0),MATCH(U$7,Rev!$E$8:$V$8,0))</f>
        <v>0</v>
      </c>
      <c r="V20" s="1978"/>
      <c r="W20" s="257">
        <f t="shared" si="0"/>
        <v>0</v>
      </c>
      <c r="X20" s="257"/>
      <c r="Y20" s="257"/>
      <c r="Z20" s="564"/>
      <c r="AA20" s="1978"/>
    </row>
    <row r="21" spans="1:27">
      <c r="A21" s="411"/>
      <c r="C21" s="1476">
        <f>IF(D21="","",MAX(C$7:C20)+1)</f>
        <v>14</v>
      </c>
      <c r="D21" s="4" t="str">
        <f>Rev!D261</f>
        <v>Street Lights (6)</v>
      </c>
      <c r="E21" s="4"/>
      <c r="F21" s="4"/>
      <c r="G21" s="500">
        <f>INDEX(Rev!$E$249:$V$264,MATCH($D21,Rev!$D$249:$D$264,0),MATCH(G$7,Rev!$E$8:$V$8,0))</f>
        <v>950581.95000000007</v>
      </c>
      <c r="H21" s="500">
        <f>INDEX(Rev!$E$249:$V$264,MATCH($D21,Rev!$D$249:$D$264,0),MATCH(H$7,Rev!$E$8:$V$8,0))</f>
        <v>953995.74</v>
      </c>
      <c r="I21" s="500">
        <f>INDEX(Rev!$E$249:$V$264,MATCH($D21,Rev!$D$249:$D$264,0),MATCH(I$7,Rev!$E$8:$V$8,0))</f>
        <v>921118</v>
      </c>
      <c r="J21" s="500">
        <f>INDEX(Rev!$E$249:$V$264,MATCH($D21,Rev!$D$249:$D$264,0),MATCH(J$7,Rev!$E$8:$V$8,0))</f>
        <v>950421</v>
      </c>
      <c r="K21" s="500">
        <f>INDEX(Rev!$E$249:$V$264,MATCH($D21,Rev!$D$249:$D$264,0),MATCH(K$7,Rev!$E$8:$V$8,0))</f>
        <v>931540</v>
      </c>
      <c r="L21" s="500">
        <f>INDEX(Rev!$E$249:$V$264,MATCH($D21,Rev!$D$249:$D$264,0),MATCH(L$7,Rev!$E$8:$V$8,0))</f>
        <v>931540</v>
      </c>
      <c r="M21" s="500">
        <f>INDEX(Rev!$E$249:$V$264,MATCH($D21,Rev!$D$249:$D$264,0),MATCH(M$7,Rev!$E$8:$V$8,0))</f>
        <v>931540</v>
      </c>
      <c r="N21" s="500">
        <f>INDEX(Rev!$E$249:$V$264,MATCH($D21,Rev!$D$249:$D$264,0),MATCH(N$7,Rev!$E$8:$V$8,0))</f>
        <v>931540</v>
      </c>
      <c r="O21" s="500">
        <f>INDEX(Rev!$E$249:$V$264,MATCH($D21,Rev!$D$249:$D$264,0),MATCH(O$7,Rev!$E$8:$V$8,0))</f>
        <v>931540</v>
      </c>
      <c r="P21" s="500">
        <f>INDEX(Rev!$E$249:$V$264,MATCH($D21,Rev!$D$249:$D$264,0),MATCH(P$7,Rev!$E$8:$V$8,0))</f>
        <v>931540</v>
      </c>
      <c r="Q21" s="500">
        <f>INDEX(Rev!$E$249:$V$264,MATCH($D21,Rev!$D$249:$D$264,0),MATCH(Q$7,Rev!$E$8:$V$8,0))</f>
        <v>931540</v>
      </c>
      <c r="R21" s="500">
        <f>INDEX(Rev!$E$249:$V$264,MATCH($D21,Rev!$D$249:$D$264,0),MATCH(R$7,Rev!$E$8:$V$8,0))</f>
        <v>931540</v>
      </c>
      <c r="S21" s="500">
        <f>INDEX(Rev!$E$249:$V$264,MATCH($D21,Rev!$D$249:$D$264,0),MATCH(S$7,Rev!$E$8:$V$8,0))</f>
        <v>931540</v>
      </c>
      <c r="T21" s="500">
        <f>INDEX(Rev!$E$249:$V$264,MATCH($D21,Rev!$D$249:$D$264,0),MATCH(T$7,Rev!$E$8:$V$8,0))</f>
        <v>931540</v>
      </c>
      <c r="U21" s="500">
        <f>INDEX(Rev!$E$249:$V$264,MATCH($D21,Rev!$D$249:$D$264,0),MATCH(U$7,Rev!$E$8:$V$8,0))</f>
        <v>931540</v>
      </c>
      <c r="V21" s="1978"/>
      <c r="W21" s="257">
        <f t="shared" si="0"/>
        <v>931540</v>
      </c>
      <c r="X21" s="257"/>
      <c r="Y21" s="257"/>
      <c r="Z21" s="564"/>
      <c r="AA21" s="1978"/>
    </row>
    <row r="22" spans="1:27">
      <c r="A22" s="411"/>
      <c r="C22" s="1476">
        <f>IF(D22="","",MAX(C$7:C21)+1)</f>
        <v>15</v>
      </c>
      <c r="D22" s="4" t="str">
        <f>Rev!D262</f>
        <v>Street Lights (2)</v>
      </c>
      <c r="E22" s="4"/>
      <c r="F22" s="4"/>
      <c r="G22" s="500">
        <f>INDEX(Rev!$E$249:$V$264,MATCH($D22,Rev!$D$249:$D$264,0),MATCH(G$7,Rev!$E$8:$V$8,0))</f>
        <v>24098.990855741904</v>
      </c>
      <c r="H22" s="500">
        <f>INDEX(Rev!$E$249:$V$264,MATCH($D22,Rev!$D$249:$D$264,0),MATCH(H$7,Rev!$E$8:$V$8,0))</f>
        <v>25497.912826336025</v>
      </c>
      <c r="I22" s="500">
        <f>INDEX(Rev!$E$249:$V$264,MATCH($D22,Rev!$D$249:$D$264,0),MATCH(I$7,Rev!$E$8:$V$8,0))</f>
        <v>23961.962811111789</v>
      </c>
      <c r="J22" s="500">
        <f>INDEX(Rev!$E$249:$V$264,MATCH($D22,Rev!$D$249:$D$264,0),MATCH(J$7,Rev!$E$8:$V$8,0))</f>
        <v>27962.174384723989</v>
      </c>
      <c r="K22" s="500">
        <f>INDEX(Rev!$E$249:$V$264,MATCH($D22,Rev!$D$249:$D$264,0),MATCH(K$7,Rev!$E$8:$V$8,0))</f>
        <v>28615.861076429941</v>
      </c>
      <c r="L22" s="500">
        <f>INDEX(Rev!$E$249:$V$264,MATCH($D22,Rev!$D$249:$D$264,0),MATCH(L$7,Rev!$E$8:$V$8,0))</f>
        <v>28615.861076429941</v>
      </c>
      <c r="M22" s="500">
        <f>INDEX(Rev!$E$249:$V$264,MATCH($D22,Rev!$D$249:$D$264,0),MATCH(M$7,Rev!$E$8:$V$8,0))</f>
        <v>28615.861076429941</v>
      </c>
      <c r="N22" s="500">
        <f>INDEX(Rev!$E$249:$V$264,MATCH($D22,Rev!$D$249:$D$264,0),MATCH(N$7,Rev!$E$8:$V$8,0))</f>
        <v>28615.861076429941</v>
      </c>
      <c r="O22" s="500">
        <f>INDEX(Rev!$E$249:$V$264,MATCH($D22,Rev!$D$249:$D$264,0),MATCH(O$7,Rev!$E$8:$V$8,0))</f>
        <v>28615.861076429941</v>
      </c>
      <c r="P22" s="500">
        <f>INDEX(Rev!$E$249:$V$264,MATCH($D22,Rev!$D$249:$D$264,0),MATCH(P$7,Rev!$E$8:$V$8,0))</f>
        <v>28615.861076429941</v>
      </c>
      <c r="Q22" s="500">
        <f>INDEX(Rev!$E$249:$V$264,MATCH($D22,Rev!$D$249:$D$264,0),MATCH(Q$7,Rev!$E$8:$V$8,0))</f>
        <v>28615.861076429941</v>
      </c>
      <c r="R22" s="500">
        <f>INDEX(Rev!$E$249:$V$264,MATCH($D22,Rev!$D$249:$D$264,0),MATCH(R$7,Rev!$E$8:$V$8,0))</f>
        <v>28615.861076429941</v>
      </c>
      <c r="S22" s="500">
        <f>INDEX(Rev!$E$249:$V$264,MATCH($D22,Rev!$D$249:$D$264,0),MATCH(S$7,Rev!$E$8:$V$8,0))</f>
        <v>28615.861076429941</v>
      </c>
      <c r="T22" s="500">
        <f>INDEX(Rev!$E$249:$V$264,MATCH($D22,Rev!$D$249:$D$264,0),MATCH(T$7,Rev!$E$8:$V$8,0))</f>
        <v>28615.861076429941</v>
      </c>
      <c r="U22" s="500">
        <f>INDEX(Rev!$E$249:$V$264,MATCH($D22,Rev!$D$249:$D$264,0),MATCH(U$7,Rev!$E$8:$V$8,0))</f>
        <v>28615.861076429941</v>
      </c>
      <c r="V22" s="1978"/>
      <c r="W22" s="257">
        <f t="shared" si="0"/>
        <v>28615.861076429941</v>
      </c>
      <c r="X22" s="565"/>
      <c r="Y22" s="565"/>
      <c r="Z22" s="564"/>
      <c r="AA22" s="1978"/>
    </row>
    <row r="23" spans="1:27">
      <c r="A23" s="411"/>
      <c r="C23" s="1476">
        <f>IF(D23="","",MAX(C$7:C22)+1)</f>
        <v>16</v>
      </c>
      <c r="D23" s="4" t="str">
        <f>Rev!D263</f>
        <v>Total Other Sales (PA)</v>
      </c>
      <c r="E23" s="4"/>
      <c r="F23" s="4"/>
      <c r="G23" s="500">
        <f>INDEX(Rev!$E$249:$V$264,MATCH($D23,Rev!$D$249:$D$264,0),MATCH(G$7,Rev!$E$8:$V$8,0))</f>
        <v>45359.34</v>
      </c>
      <c r="H23" s="500">
        <f>INDEX(Rev!$E$249:$V$264,MATCH($D23,Rev!$D$249:$D$264,0),MATCH(H$7,Rev!$E$8:$V$8,0))</f>
        <v>50998.97</v>
      </c>
      <c r="I23" s="500">
        <f>INDEX(Rev!$E$249:$V$264,MATCH($D23,Rev!$D$249:$D$264,0),MATCH(I$7,Rev!$E$8:$V$8,0))</f>
        <v>50998.97</v>
      </c>
      <c r="J23" s="500">
        <f>INDEX(Rev!$E$249:$V$264,MATCH($D23,Rev!$D$249:$D$264,0),MATCH(J$7,Rev!$E$8:$V$8,0))</f>
        <v>50998.97</v>
      </c>
      <c r="K23" s="500">
        <f>INDEX(Rev!$E$249:$V$264,MATCH($D23,Rev!$D$249:$D$264,0),MATCH(K$7,Rev!$E$8:$V$8,0))</f>
        <v>50998.97</v>
      </c>
      <c r="L23" s="500">
        <f>INDEX(Rev!$E$249:$V$264,MATCH($D23,Rev!$D$249:$D$264,0),MATCH(L$7,Rev!$E$8:$V$8,0))</f>
        <v>50998.97</v>
      </c>
      <c r="M23" s="500">
        <f>INDEX(Rev!$E$249:$V$264,MATCH($D23,Rev!$D$249:$D$264,0),MATCH(M$7,Rev!$E$8:$V$8,0))</f>
        <v>50998.97</v>
      </c>
      <c r="N23" s="500">
        <f>INDEX(Rev!$E$249:$V$264,MATCH($D23,Rev!$D$249:$D$264,0),MATCH(N$7,Rev!$E$8:$V$8,0))</f>
        <v>50998.97</v>
      </c>
      <c r="O23" s="500">
        <f>INDEX(Rev!$E$249:$V$264,MATCH($D23,Rev!$D$249:$D$264,0),MATCH(O$7,Rev!$E$8:$V$8,0))</f>
        <v>50998.97</v>
      </c>
      <c r="P23" s="500">
        <f>INDEX(Rev!$E$249:$V$264,MATCH($D23,Rev!$D$249:$D$264,0),MATCH(P$7,Rev!$E$8:$V$8,0))</f>
        <v>50998.97</v>
      </c>
      <c r="Q23" s="500">
        <f>INDEX(Rev!$E$249:$V$264,MATCH($D23,Rev!$D$249:$D$264,0),MATCH(Q$7,Rev!$E$8:$V$8,0))</f>
        <v>50998.97</v>
      </c>
      <c r="R23" s="500">
        <f>INDEX(Rev!$E$249:$V$264,MATCH($D23,Rev!$D$249:$D$264,0),MATCH(R$7,Rev!$E$8:$V$8,0))</f>
        <v>50998.97</v>
      </c>
      <c r="S23" s="500">
        <f>INDEX(Rev!$E$249:$V$264,MATCH($D23,Rev!$D$249:$D$264,0),MATCH(S$7,Rev!$E$8:$V$8,0))</f>
        <v>50998.97</v>
      </c>
      <c r="T23" s="500">
        <f>INDEX(Rev!$E$249:$V$264,MATCH($D23,Rev!$D$249:$D$264,0),MATCH(T$7,Rev!$E$8:$V$8,0))</f>
        <v>50998.97</v>
      </c>
      <c r="U23" s="500">
        <f>INDEX(Rev!$E$249:$V$264,MATCH($D23,Rev!$D$249:$D$264,0),MATCH(U$7,Rev!$E$8:$V$8,0))</f>
        <v>50998.97</v>
      </c>
      <c r="V23" s="1978"/>
      <c r="W23" s="257">
        <f t="shared" si="0"/>
        <v>50998.97</v>
      </c>
      <c r="X23" s="565"/>
      <c r="Y23" s="565"/>
      <c r="Z23" s="564"/>
      <c r="AA23" s="1978"/>
    </row>
    <row r="24" spans="1:27">
      <c r="A24" s="411"/>
      <c r="C24" s="1476">
        <f>IF(D24="","",MAX(C$7:C23)+1)</f>
        <v>17</v>
      </c>
      <c r="D24" s="4" t="str">
        <f>Rev!D264</f>
        <v>Alternate Power Sales</v>
      </c>
      <c r="E24" s="4"/>
      <c r="F24" s="4"/>
      <c r="G24" s="500">
        <f>INDEX(Rev!$E$249:$V$264,MATCH($D24,Rev!$D$249:$D$264,0),MATCH(G$7,Rev!$E$8:$V$8,0))</f>
        <v>988.80000000000007</v>
      </c>
      <c r="H24" s="500">
        <f>INDEX(Rev!$E$249:$V$264,MATCH($D24,Rev!$D$249:$D$264,0),MATCH(H$7,Rev!$E$8:$V$8,0))</f>
        <v>0</v>
      </c>
      <c r="I24" s="500">
        <f>INDEX(Rev!$E$249:$V$264,MATCH($D24,Rev!$D$249:$D$264,0),MATCH(I$7,Rev!$E$8:$V$8,0))</f>
        <v>0</v>
      </c>
      <c r="J24" s="500">
        <f>INDEX(Rev!$E$249:$V$264,MATCH($D24,Rev!$D$249:$D$264,0),MATCH(J$7,Rev!$E$8:$V$8,0))</f>
        <v>0</v>
      </c>
      <c r="K24" s="500">
        <f>INDEX(Rev!$E$249:$V$264,MATCH($D24,Rev!$D$249:$D$264,0),MATCH(K$7,Rev!$E$8:$V$8,0))</f>
        <v>0</v>
      </c>
      <c r="L24" s="500">
        <f>INDEX(Rev!$E$249:$V$264,MATCH($D24,Rev!$D$249:$D$264,0),MATCH(L$7,Rev!$E$8:$V$8,0))</f>
        <v>0</v>
      </c>
      <c r="M24" s="500">
        <f>INDEX(Rev!$E$249:$V$264,MATCH($D24,Rev!$D$249:$D$264,0),MATCH(M$7,Rev!$E$8:$V$8,0))</f>
        <v>0</v>
      </c>
      <c r="N24" s="500">
        <f>INDEX(Rev!$E$249:$V$264,MATCH($D24,Rev!$D$249:$D$264,0),MATCH(N$7,Rev!$E$8:$V$8,0))</f>
        <v>0</v>
      </c>
      <c r="O24" s="500">
        <f>INDEX(Rev!$E$249:$V$264,MATCH($D24,Rev!$D$249:$D$264,0),MATCH(O$7,Rev!$E$8:$V$8,0))</f>
        <v>0</v>
      </c>
      <c r="P24" s="500">
        <f>INDEX(Rev!$E$249:$V$264,MATCH($D24,Rev!$D$249:$D$264,0),MATCH(P$7,Rev!$E$8:$V$8,0))</f>
        <v>0</v>
      </c>
      <c r="Q24" s="500">
        <f>INDEX(Rev!$E$249:$V$264,MATCH($D24,Rev!$D$249:$D$264,0),MATCH(Q$7,Rev!$E$8:$V$8,0))</f>
        <v>0</v>
      </c>
      <c r="R24" s="500">
        <f>INDEX(Rev!$E$249:$V$264,MATCH($D24,Rev!$D$249:$D$264,0),MATCH(R$7,Rev!$E$8:$V$8,0))</f>
        <v>0</v>
      </c>
      <c r="S24" s="500">
        <f>INDEX(Rev!$E$249:$V$264,MATCH($D24,Rev!$D$249:$D$264,0),MATCH(S$7,Rev!$E$8:$V$8,0))</f>
        <v>0</v>
      </c>
      <c r="T24" s="500">
        <f>INDEX(Rev!$E$249:$V$264,MATCH($D24,Rev!$D$249:$D$264,0),MATCH(T$7,Rev!$E$8:$V$8,0))</f>
        <v>0</v>
      </c>
      <c r="U24" s="500">
        <f>INDEX(Rev!$E$249:$V$264,MATCH($D24,Rev!$D$249:$D$264,0),MATCH(U$7,Rev!$E$8:$V$8,0))</f>
        <v>0</v>
      </c>
      <c r="V24" s="1978"/>
      <c r="W24" s="257">
        <f t="shared" si="0"/>
        <v>0</v>
      </c>
      <c r="X24" s="565"/>
      <c r="Y24" s="565"/>
      <c r="Z24" s="564"/>
      <c r="AA24" s="1978"/>
    </row>
    <row r="25" spans="1:27">
      <c r="A25" s="411"/>
      <c r="C25" s="1476">
        <f>IF(D25="","",MAX(C$7:C24)+1)</f>
        <v>18</v>
      </c>
      <c r="D25" s="309" t="s">
        <v>602</v>
      </c>
      <c r="E25" s="309"/>
      <c r="F25" s="309"/>
      <c r="G25" s="371">
        <f>SUM(G10:G24)</f>
        <v>142599824.9369075</v>
      </c>
      <c r="H25" s="371">
        <f>SUM(H10:H24)</f>
        <v>148914459.63354367</v>
      </c>
      <c r="I25" s="371">
        <f>SUM(I10:I24)</f>
        <v>159571932.79850975</v>
      </c>
      <c r="J25" s="371">
        <f t="shared" ref="J25:W25" si="2">SUM(J10:J24)</f>
        <v>171259254.27856958</v>
      </c>
      <c r="K25" s="371">
        <f t="shared" si="2"/>
        <v>177888719.57935941</v>
      </c>
      <c r="L25" s="371">
        <f t="shared" si="2"/>
        <v>189151609.48191893</v>
      </c>
      <c r="M25" s="371">
        <f t="shared" si="2"/>
        <v>199018742.21355024</v>
      </c>
      <c r="N25" s="371">
        <f t="shared" si="2"/>
        <v>211701890.08328345</v>
      </c>
      <c r="O25" s="371">
        <f t="shared" si="2"/>
        <v>220681545.86055285</v>
      </c>
      <c r="P25" s="371">
        <f t="shared" si="2"/>
        <v>227664139.09909731</v>
      </c>
      <c r="Q25" s="371">
        <f t="shared" si="2"/>
        <v>233459727.39384863</v>
      </c>
      <c r="R25" s="371">
        <f t="shared" si="2"/>
        <v>240129647.17914683</v>
      </c>
      <c r="S25" s="371">
        <f t="shared" si="2"/>
        <v>247452592.35736865</v>
      </c>
      <c r="T25" s="371">
        <f t="shared" si="2"/>
        <v>252673695.65705958</v>
      </c>
      <c r="U25" s="371">
        <f t="shared" si="2"/>
        <v>258043141.54634464</v>
      </c>
      <c r="V25" s="1978"/>
      <c r="W25" s="371">
        <f t="shared" si="2"/>
        <v>247452592.35736865</v>
      </c>
      <c r="X25" s="332"/>
      <c r="Y25" s="332"/>
      <c r="Z25" s="1797"/>
      <c r="AA25" s="1978"/>
    </row>
    <row r="26" spans="1:27">
      <c r="A26" s="411"/>
      <c r="C26" s="1476" t="str">
        <f>IF(D26="","",MAX(C$7:C25)+1)</f>
        <v/>
      </c>
    </row>
    <row r="27" spans="1:27">
      <c r="A27" s="411"/>
      <c r="C27" s="1476" t="str">
        <f>IF(D27="","",MAX(C$7:C26)+1)</f>
        <v/>
      </c>
      <c r="G27" s="4532" t="s">
        <v>2774</v>
      </c>
      <c r="H27" s="4532"/>
      <c r="I27" s="4532"/>
      <c r="J27" s="4532"/>
      <c r="K27" s="4532"/>
      <c r="L27" s="4532"/>
      <c r="M27" s="4532"/>
      <c r="N27" s="4532"/>
      <c r="O27" s="4532"/>
      <c r="P27" s="4532"/>
      <c r="Q27" s="4532"/>
      <c r="R27" s="4532"/>
      <c r="S27" s="4532"/>
      <c r="T27" s="4532"/>
      <c r="U27" s="4532"/>
    </row>
    <row r="28" spans="1:27" ht="20.25">
      <c r="A28" s="411"/>
      <c r="C28" s="1476">
        <f>IF(D28="","",MAX(C$7:C27)+1)</f>
        <v>19</v>
      </c>
      <c r="D28" s="569" t="s">
        <v>399</v>
      </c>
      <c r="E28" s="1940"/>
      <c r="F28" s="1940"/>
      <c r="G28" s="2004">
        <f>G$7</f>
        <v>2012</v>
      </c>
      <c r="H28" s="2004">
        <f t="shared" ref="H28:U28" si="3">H$7</f>
        <v>2013</v>
      </c>
      <c r="I28" s="2004">
        <f t="shared" si="3"/>
        <v>2014</v>
      </c>
      <c r="J28" s="2004">
        <f t="shared" si="3"/>
        <v>2015</v>
      </c>
      <c r="K28" s="2004">
        <f t="shared" si="3"/>
        <v>2016</v>
      </c>
      <c r="L28" s="2004">
        <f t="shared" si="3"/>
        <v>2017</v>
      </c>
      <c r="M28" s="2004">
        <f t="shared" si="3"/>
        <v>2018</v>
      </c>
      <c r="N28" s="2004">
        <f t="shared" si="3"/>
        <v>2019</v>
      </c>
      <c r="O28" s="2004">
        <f t="shared" si="3"/>
        <v>2020</v>
      </c>
      <c r="P28" s="2004">
        <f t="shared" si="3"/>
        <v>2021</v>
      </c>
      <c r="Q28" s="2004">
        <f t="shared" si="3"/>
        <v>2022</v>
      </c>
      <c r="R28" s="2004">
        <f t="shared" si="3"/>
        <v>2023</v>
      </c>
      <c r="S28" s="2004">
        <f t="shared" si="3"/>
        <v>2024</v>
      </c>
      <c r="T28" s="2004">
        <f t="shared" si="3"/>
        <v>2025</v>
      </c>
      <c r="U28" s="2004">
        <f t="shared" si="3"/>
        <v>2026</v>
      </c>
      <c r="V28" s="1978"/>
      <c r="W28" s="1979" t="s">
        <v>3011</v>
      </c>
      <c r="X28" s="1979"/>
      <c r="Y28" s="1979"/>
      <c r="Z28" s="1979"/>
      <c r="AA28" s="1978"/>
    </row>
    <row r="29" spans="1:27">
      <c r="A29" s="411"/>
      <c r="C29" s="1476">
        <f>IF(D29="","",MAX(C$7:C28)+1)</f>
        <v>20</v>
      </c>
      <c r="D29" s="4" t="str">
        <f>D8</f>
        <v>Residential-Urban (1)</v>
      </c>
      <c r="E29" s="4"/>
      <c r="F29" s="4"/>
      <c r="G29" s="1977">
        <f>G135</f>
        <v>0</v>
      </c>
      <c r="H29" s="1977">
        <f t="shared" ref="H29:U29" si="4">H135</f>
        <v>0</v>
      </c>
      <c r="I29" s="1977">
        <f t="shared" si="4"/>
        <v>0</v>
      </c>
      <c r="J29" s="1977">
        <f t="shared" si="4"/>
        <v>0</v>
      </c>
      <c r="K29" s="1977">
        <f t="shared" si="4"/>
        <v>0</v>
      </c>
      <c r="L29" s="1977">
        <f t="shared" si="4"/>
        <v>286000</v>
      </c>
      <c r="M29" s="1977">
        <f t="shared" si="4"/>
        <v>584000</v>
      </c>
      <c r="N29" s="1977">
        <f>N135</f>
        <v>894500</v>
      </c>
      <c r="O29" s="1977">
        <f t="shared" si="4"/>
        <v>1218600</v>
      </c>
      <c r="P29" s="1977">
        <f t="shared" si="4"/>
        <v>1554700</v>
      </c>
      <c r="Q29" s="1977">
        <f t="shared" si="4"/>
        <v>1905400</v>
      </c>
      <c r="R29" s="1977">
        <f t="shared" si="4"/>
        <v>2270200</v>
      </c>
      <c r="S29" s="1977">
        <f t="shared" si="4"/>
        <v>2651000</v>
      </c>
      <c r="T29" s="1977">
        <f t="shared" si="4"/>
        <v>2793300</v>
      </c>
      <c r="U29" s="1977">
        <f t="shared" si="4"/>
        <v>3391600</v>
      </c>
      <c r="V29" s="1978"/>
      <c r="W29" s="257">
        <f t="shared" ref="W29:W45" si="5">INDEX($G29:$U29,1,MATCH($W$3,$G$7:$U$7,0))</f>
        <v>2651000</v>
      </c>
      <c r="X29" s="524"/>
      <c r="Y29" s="524"/>
      <c r="Z29" s="564"/>
      <c r="AA29" s="1978"/>
    </row>
    <row r="30" spans="1:27">
      <c r="A30" s="411"/>
      <c r="C30" s="1476">
        <f>IF(D30="","",MAX(C$7:C29)+1)</f>
        <v>21</v>
      </c>
      <c r="D30" s="4" t="str">
        <f>D9</f>
        <v>Residential-Rural (1)</v>
      </c>
      <c r="E30" s="4"/>
      <c r="F30" s="4"/>
      <c r="G30" s="1977">
        <f>G160</f>
        <v>0</v>
      </c>
      <c r="H30" s="1977">
        <f t="shared" ref="H30:U30" si="6">H160</f>
        <v>0</v>
      </c>
      <c r="I30" s="1977">
        <f t="shared" si="6"/>
        <v>0</v>
      </c>
      <c r="J30" s="1977">
        <f t="shared" si="6"/>
        <v>0</v>
      </c>
      <c r="K30" s="1977">
        <f t="shared" si="6"/>
        <v>0</v>
      </c>
      <c r="L30" s="1977">
        <f t="shared" si="6"/>
        <v>354900</v>
      </c>
      <c r="M30" s="1977">
        <f t="shared" si="6"/>
        <v>724800</v>
      </c>
      <c r="N30" s="1977">
        <f t="shared" si="6"/>
        <v>1110100</v>
      </c>
      <c r="O30" s="1977">
        <f t="shared" si="6"/>
        <v>1512000</v>
      </c>
      <c r="P30" s="1977">
        <f t="shared" si="6"/>
        <v>1929500</v>
      </c>
      <c r="Q30" s="1977">
        <f t="shared" si="6"/>
        <v>2364400</v>
      </c>
      <c r="R30" s="1977">
        <f t="shared" si="6"/>
        <v>2817300</v>
      </c>
      <c r="S30" s="1977">
        <f t="shared" si="6"/>
        <v>3289600</v>
      </c>
      <c r="T30" s="1977">
        <f t="shared" si="6"/>
        <v>3466400</v>
      </c>
      <c r="U30" s="1977">
        <f t="shared" si="6"/>
        <v>4209300</v>
      </c>
      <c r="V30" s="1978"/>
      <c r="W30" s="257">
        <f t="shared" si="5"/>
        <v>3289600</v>
      </c>
      <c r="X30" s="257"/>
      <c r="Y30" s="257"/>
      <c r="Z30" s="564"/>
      <c r="AA30" s="1978"/>
    </row>
    <row r="31" spans="1:27">
      <c r="A31" s="411"/>
      <c r="C31" s="1476">
        <f>IF(D31="","",MAX(C$7:C30)+1)</f>
        <v>22</v>
      </c>
      <c r="D31" s="1962" t="str">
        <f>D10</f>
        <v>Residential-Total (1)</v>
      </c>
      <c r="E31" s="1962"/>
      <c r="F31" s="1962"/>
      <c r="G31" s="1963">
        <f t="shared" ref="G31:U31" si="7">SUM(G29:G30)</f>
        <v>0</v>
      </c>
      <c r="H31" s="1963">
        <f t="shared" si="7"/>
        <v>0</v>
      </c>
      <c r="I31" s="1963">
        <f t="shared" si="7"/>
        <v>0</v>
      </c>
      <c r="J31" s="1963">
        <f t="shared" si="7"/>
        <v>0</v>
      </c>
      <c r="K31" s="1963">
        <f t="shared" si="7"/>
        <v>0</v>
      </c>
      <c r="L31" s="1963">
        <f t="shared" si="7"/>
        <v>640900</v>
      </c>
      <c r="M31" s="1963">
        <f t="shared" si="7"/>
        <v>1308800</v>
      </c>
      <c r="N31" s="1963">
        <f t="shared" si="7"/>
        <v>2004600</v>
      </c>
      <c r="O31" s="1963">
        <f t="shared" si="7"/>
        <v>2730600</v>
      </c>
      <c r="P31" s="1963">
        <f t="shared" si="7"/>
        <v>3484200</v>
      </c>
      <c r="Q31" s="1963">
        <f t="shared" si="7"/>
        <v>4269800</v>
      </c>
      <c r="R31" s="1963">
        <f t="shared" si="7"/>
        <v>5087500</v>
      </c>
      <c r="S31" s="1963">
        <f t="shared" si="7"/>
        <v>5940600</v>
      </c>
      <c r="T31" s="1963">
        <f t="shared" si="7"/>
        <v>6259700</v>
      </c>
      <c r="U31" s="1963">
        <f t="shared" si="7"/>
        <v>7600900</v>
      </c>
      <c r="V31" s="1978"/>
      <c r="W31" s="257">
        <f t="shared" si="5"/>
        <v>5940600</v>
      </c>
      <c r="X31" s="257"/>
      <c r="Y31" s="257"/>
      <c r="Z31" s="564"/>
      <c r="AA31" s="1978"/>
    </row>
    <row r="32" spans="1:27">
      <c r="A32" s="411"/>
      <c r="C32" s="1476">
        <f>IF(D32="","",MAX(C$7:C31)+1)</f>
        <v>23</v>
      </c>
      <c r="D32" s="4" t="str">
        <f>D11</f>
        <v>Irrigation 1PH (3)</v>
      </c>
      <c r="E32" s="4"/>
      <c r="F32" s="4"/>
      <c r="G32" s="500">
        <f>G185</f>
        <v>0</v>
      </c>
      <c r="H32" s="500">
        <f t="shared" ref="H32:U32" si="8">H185</f>
        <v>0</v>
      </c>
      <c r="I32" s="500">
        <f t="shared" si="8"/>
        <v>0</v>
      </c>
      <c r="J32" s="500">
        <f t="shared" si="8"/>
        <v>0</v>
      </c>
      <c r="K32" s="500">
        <f t="shared" si="8"/>
        <v>0</v>
      </c>
      <c r="L32" s="500">
        <f t="shared" si="8"/>
        <v>4300</v>
      </c>
      <c r="M32" s="500">
        <f t="shared" si="8"/>
        <v>8800</v>
      </c>
      <c r="N32" s="500">
        <f t="shared" si="8"/>
        <v>13600</v>
      </c>
      <c r="O32" s="500">
        <f t="shared" si="8"/>
        <v>18600</v>
      </c>
      <c r="P32" s="500">
        <f t="shared" si="8"/>
        <v>23900</v>
      </c>
      <c r="Q32" s="500">
        <f t="shared" si="8"/>
        <v>29500</v>
      </c>
      <c r="R32" s="500">
        <f t="shared" si="8"/>
        <v>35300</v>
      </c>
      <c r="S32" s="500">
        <f t="shared" si="8"/>
        <v>41400</v>
      </c>
      <c r="T32" s="500">
        <f t="shared" si="8"/>
        <v>44200</v>
      </c>
      <c r="U32" s="500">
        <f t="shared" si="8"/>
        <v>48400</v>
      </c>
      <c r="V32" s="1978"/>
      <c r="W32" s="257">
        <f t="shared" si="5"/>
        <v>41400</v>
      </c>
      <c r="X32" s="257"/>
      <c r="Y32" s="257"/>
      <c r="Z32" s="564"/>
      <c r="AA32" s="1978"/>
    </row>
    <row r="33" spans="1:27">
      <c r="A33" s="411"/>
      <c r="C33" s="1476">
        <f>IF(D33="","",MAX(C$7:C32)+1)</f>
        <v>24</v>
      </c>
      <c r="D33" s="4" t="str">
        <f>D12</f>
        <v>Irrigation 3PH (3)</v>
      </c>
      <c r="E33" s="4"/>
      <c r="F33" s="4"/>
      <c r="G33" s="500">
        <f>G210</f>
        <v>0</v>
      </c>
      <c r="H33" s="500">
        <f t="shared" ref="H33:U33" si="9">H210</f>
        <v>0</v>
      </c>
      <c r="I33" s="500">
        <f t="shared" si="9"/>
        <v>0</v>
      </c>
      <c r="J33" s="500">
        <f t="shared" si="9"/>
        <v>0</v>
      </c>
      <c r="K33" s="500">
        <f t="shared" si="9"/>
        <v>0</v>
      </c>
      <c r="L33" s="500">
        <f t="shared" si="9"/>
        <v>818500</v>
      </c>
      <c r="M33" s="500">
        <f t="shared" si="9"/>
        <v>1682100</v>
      </c>
      <c r="N33" s="500">
        <f t="shared" si="9"/>
        <v>2592700</v>
      </c>
      <c r="O33" s="500">
        <f t="shared" si="9"/>
        <v>3552400</v>
      </c>
      <c r="P33" s="500">
        <f t="shared" si="9"/>
        <v>4563200</v>
      </c>
      <c r="Q33" s="500">
        <f t="shared" si="9"/>
        <v>5627200</v>
      </c>
      <c r="R33" s="500">
        <f t="shared" si="9"/>
        <v>6746300</v>
      </c>
      <c r="S33" s="500">
        <f t="shared" si="9"/>
        <v>7923300</v>
      </c>
      <c r="T33" s="500">
        <f t="shared" si="9"/>
        <v>8437300</v>
      </c>
      <c r="U33" s="500">
        <f t="shared" si="9"/>
        <v>9289700</v>
      </c>
      <c r="V33" s="1978"/>
      <c r="W33" s="257">
        <f t="shared" si="5"/>
        <v>7923300</v>
      </c>
      <c r="X33" s="257"/>
      <c r="Y33" s="257"/>
      <c r="Z33" s="564"/>
      <c r="AA33" s="1978"/>
    </row>
    <row r="34" spans="1:27">
      <c r="A34" s="411"/>
      <c r="C34" s="1476">
        <f>IF(D34="","",MAX(C$7:C33)+1)</f>
        <v>25</v>
      </c>
      <c r="D34" s="4" t="str">
        <f t="shared" ref="D34:D45" si="10">D13</f>
        <v>General Service 1PH (2)</v>
      </c>
      <c r="E34" s="4"/>
      <c r="F34" s="4"/>
      <c r="G34" s="500">
        <f>G235</f>
        <v>0</v>
      </c>
      <c r="H34" s="500">
        <f t="shared" ref="H34:U34" si="11">H235</f>
        <v>0</v>
      </c>
      <c r="I34" s="500">
        <f t="shared" si="11"/>
        <v>0</v>
      </c>
      <c r="J34" s="500">
        <f t="shared" si="11"/>
        <v>0</v>
      </c>
      <c r="K34" s="500">
        <f t="shared" si="11"/>
        <v>0</v>
      </c>
      <c r="L34" s="500">
        <f t="shared" si="11"/>
        <v>118800</v>
      </c>
      <c r="M34" s="500">
        <f t="shared" si="11"/>
        <v>244600</v>
      </c>
      <c r="N34" s="500">
        <f t="shared" si="11"/>
        <v>377500</v>
      </c>
      <c r="O34" s="500">
        <f t="shared" si="11"/>
        <v>517900</v>
      </c>
      <c r="P34" s="500">
        <f t="shared" si="11"/>
        <v>665900</v>
      </c>
      <c r="Q34" s="500">
        <f t="shared" si="11"/>
        <v>821800</v>
      </c>
      <c r="R34" s="500">
        <f t="shared" si="11"/>
        <v>985900</v>
      </c>
      <c r="S34" s="500">
        <f t="shared" si="11"/>
        <v>1158300</v>
      </c>
      <c r="T34" s="500">
        <f t="shared" si="11"/>
        <v>1216000</v>
      </c>
      <c r="U34" s="500">
        <f t="shared" si="11"/>
        <v>1275500</v>
      </c>
      <c r="V34" s="1978"/>
      <c r="W34" s="257">
        <f t="shared" si="5"/>
        <v>1158300</v>
      </c>
      <c r="X34" s="257"/>
      <c r="Y34" s="257"/>
      <c r="Z34" s="564"/>
      <c r="AA34" s="1978"/>
    </row>
    <row r="35" spans="1:27">
      <c r="A35" s="411"/>
      <c r="C35" s="1476">
        <f>IF(D35="","",MAX(C$7:C34)+1)</f>
        <v>26</v>
      </c>
      <c r="D35" s="4" t="str">
        <f t="shared" si="10"/>
        <v>General Service 3PH (2)</v>
      </c>
      <c r="E35" s="4"/>
      <c r="F35" s="4"/>
      <c r="G35" s="500">
        <f>G260</f>
        <v>0</v>
      </c>
      <c r="H35" s="500">
        <f t="shared" ref="H35:U35" si="12">H260</f>
        <v>0</v>
      </c>
      <c r="I35" s="500">
        <f t="shared" si="12"/>
        <v>0</v>
      </c>
      <c r="J35" s="500">
        <f t="shared" si="12"/>
        <v>0</v>
      </c>
      <c r="K35" s="500">
        <f t="shared" si="12"/>
        <v>0</v>
      </c>
      <c r="L35" s="500">
        <f t="shared" si="12"/>
        <v>381500</v>
      </c>
      <c r="M35" s="500">
        <f t="shared" si="12"/>
        <v>784200</v>
      </c>
      <c r="N35" s="500">
        <f t="shared" si="12"/>
        <v>1208600</v>
      </c>
      <c r="O35" s="500">
        <f t="shared" si="12"/>
        <v>1655400</v>
      </c>
      <c r="P35" s="500">
        <f t="shared" si="12"/>
        <v>2125300</v>
      </c>
      <c r="Q35" s="500">
        <f t="shared" si="12"/>
        <v>2618500</v>
      </c>
      <c r="R35" s="500">
        <f t="shared" si="12"/>
        <v>3136500</v>
      </c>
      <c r="S35" s="500">
        <f t="shared" si="12"/>
        <v>3679200</v>
      </c>
      <c r="T35" s="500">
        <f t="shared" si="12"/>
        <v>3857000</v>
      </c>
      <c r="U35" s="500">
        <f t="shared" si="12"/>
        <v>4039000</v>
      </c>
      <c r="V35" s="1978"/>
      <c r="W35" s="257">
        <f t="shared" si="5"/>
        <v>3679200</v>
      </c>
      <c r="X35" s="257"/>
      <c r="Y35" s="257"/>
      <c r="Z35" s="564"/>
      <c r="AA35" s="1978"/>
    </row>
    <row r="36" spans="1:27">
      <c r="A36" s="411"/>
      <c r="C36" s="1476">
        <f>IF(D36="","",MAX(C$7:C35)+1)</f>
        <v>27</v>
      </c>
      <c r="D36" s="4" t="str">
        <f t="shared" si="10"/>
        <v>Large General Service (7)</v>
      </c>
      <c r="E36" s="4"/>
      <c r="F36" s="4"/>
      <c r="G36" s="500">
        <f>G285</f>
        <v>0</v>
      </c>
      <c r="H36" s="500">
        <f t="shared" ref="H36:U36" si="13">H285</f>
        <v>0</v>
      </c>
      <c r="I36" s="500">
        <f t="shared" si="13"/>
        <v>0</v>
      </c>
      <c r="J36" s="500">
        <f t="shared" si="13"/>
        <v>0</v>
      </c>
      <c r="K36" s="500">
        <f t="shared" si="13"/>
        <v>0</v>
      </c>
      <c r="L36" s="500">
        <f t="shared" si="13"/>
        <v>80300</v>
      </c>
      <c r="M36" s="500">
        <f t="shared" si="13"/>
        <v>164400</v>
      </c>
      <c r="N36" s="500">
        <f t="shared" si="13"/>
        <v>252600</v>
      </c>
      <c r="O36" s="500">
        <f t="shared" si="13"/>
        <v>344400</v>
      </c>
      <c r="P36" s="500">
        <f t="shared" si="13"/>
        <v>444900</v>
      </c>
      <c r="Q36" s="500">
        <f t="shared" si="13"/>
        <v>546200</v>
      </c>
      <c r="R36" s="500">
        <f t="shared" si="13"/>
        <v>651700</v>
      </c>
      <c r="S36" s="500">
        <f t="shared" si="13"/>
        <v>766500</v>
      </c>
      <c r="T36" s="500">
        <f t="shared" si="13"/>
        <v>833300</v>
      </c>
      <c r="U36" s="500">
        <f t="shared" si="13"/>
        <v>908500</v>
      </c>
      <c r="V36" s="1978"/>
      <c r="W36" s="257">
        <f t="shared" si="5"/>
        <v>766500</v>
      </c>
      <c r="X36" s="257"/>
      <c r="Y36" s="257"/>
      <c r="Z36" s="564"/>
      <c r="AA36" s="1978"/>
    </row>
    <row r="37" spans="1:27">
      <c r="A37" s="411"/>
      <c r="C37" s="1476">
        <f>IF(D37="","",MAX(C$7:C36)+1)</f>
        <v>28</v>
      </c>
      <c r="D37" s="4" t="str">
        <f t="shared" si="10"/>
        <v>Industrial (14)</v>
      </c>
      <c r="E37" s="4"/>
      <c r="F37" s="4"/>
      <c r="G37" s="500">
        <f>G310</f>
        <v>0</v>
      </c>
      <c r="H37" s="500">
        <f t="shared" ref="H37:U37" si="14">H310</f>
        <v>0</v>
      </c>
      <c r="I37" s="500">
        <f t="shared" si="14"/>
        <v>0</v>
      </c>
      <c r="J37" s="500">
        <f t="shared" si="14"/>
        <v>0</v>
      </c>
      <c r="K37" s="500">
        <f t="shared" si="14"/>
        <v>0</v>
      </c>
      <c r="L37" s="500">
        <f t="shared" si="14"/>
        <v>695000</v>
      </c>
      <c r="M37" s="500">
        <f t="shared" si="14"/>
        <v>1618700</v>
      </c>
      <c r="N37" s="500">
        <f t="shared" si="14"/>
        <v>2860000</v>
      </c>
      <c r="O37" s="500">
        <f t="shared" si="14"/>
        <v>4535200</v>
      </c>
      <c r="P37" s="500">
        <f t="shared" si="14"/>
        <v>6271100</v>
      </c>
      <c r="Q37" s="500">
        <f t="shared" si="14"/>
        <v>8275800</v>
      </c>
      <c r="R37" s="500">
        <f t="shared" si="14"/>
        <v>10280800</v>
      </c>
      <c r="S37" s="500">
        <f t="shared" si="14"/>
        <v>12546300</v>
      </c>
      <c r="T37" s="500">
        <f t="shared" si="14"/>
        <v>14162300</v>
      </c>
      <c r="U37" s="500">
        <f t="shared" si="14"/>
        <v>15387800</v>
      </c>
      <c r="V37" s="1978"/>
      <c r="W37" s="257">
        <f t="shared" si="5"/>
        <v>12546300</v>
      </c>
      <c r="X37" s="257"/>
      <c r="Y37" s="257"/>
      <c r="Z37" s="564"/>
      <c r="AA37" s="1978"/>
    </row>
    <row r="38" spans="1:27">
      <c r="A38" s="411"/>
      <c r="C38" s="1476">
        <f>IF(D38="","",MAX(C$7:C37)+1)</f>
        <v>29</v>
      </c>
      <c r="D38" s="4" t="str">
        <f t="shared" si="10"/>
        <v>Large Industrial (15)</v>
      </c>
      <c r="E38" s="4"/>
      <c r="F38" s="4"/>
      <c r="G38" s="500">
        <f>G335</f>
        <v>0</v>
      </c>
      <c r="H38" s="500">
        <f t="shared" ref="H38:U38" si="15">H335</f>
        <v>0</v>
      </c>
      <c r="I38" s="500">
        <f t="shared" si="15"/>
        <v>0</v>
      </c>
      <c r="J38" s="500">
        <f t="shared" si="15"/>
        <v>0</v>
      </c>
      <c r="K38" s="500">
        <f t="shared" si="15"/>
        <v>0</v>
      </c>
      <c r="L38" s="500">
        <f t="shared" si="15"/>
        <v>393700</v>
      </c>
      <c r="M38" s="500">
        <f t="shared" si="15"/>
        <v>856200</v>
      </c>
      <c r="N38" s="500">
        <f t="shared" si="15"/>
        <v>1411500</v>
      </c>
      <c r="O38" s="500">
        <f t="shared" si="15"/>
        <v>2068500</v>
      </c>
      <c r="P38" s="500">
        <f t="shared" si="15"/>
        <v>2848300</v>
      </c>
      <c r="Q38" s="500">
        <f t="shared" si="15"/>
        <v>3575400</v>
      </c>
      <c r="R38" s="500">
        <f t="shared" si="15"/>
        <v>4382400</v>
      </c>
      <c r="S38" s="500">
        <f t="shared" si="15"/>
        <v>5274500</v>
      </c>
      <c r="T38" s="500">
        <f t="shared" si="15"/>
        <v>8437500</v>
      </c>
      <c r="U38" s="500">
        <f t="shared" si="15"/>
        <v>10935800</v>
      </c>
      <c r="V38" s="1978"/>
      <c r="W38" s="257">
        <f t="shared" si="5"/>
        <v>5274500</v>
      </c>
      <c r="X38" s="257"/>
      <c r="Y38" s="257"/>
      <c r="Z38" s="564"/>
      <c r="AA38" s="1978"/>
    </row>
    <row r="39" spans="1:27">
      <c r="A39" s="411"/>
      <c r="C39" s="1476">
        <f>IF(D39="","",MAX(C$7:C38)+1)</f>
        <v>30</v>
      </c>
      <c r="D39" s="4" t="str">
        <f t="shared" si="10"/>
        <v>Agricultural Processing (16)</v>
      </c>
      <c r="E39" s="4"/>
      <c r="F39" s="4"/>
      <c r="G39" s="500">
        <f>G360</f>
        <v>0</v>
      </c>
      <c r="H39" s="500">
        <f t="shared" ref="H39:U39" si="16">H360</f>
        <v>0</v>
      </c>
      <c r="I39" s="500">
        <f t="shared" si="16"/>
        <v>0</v>
      </c>
      <c r="J39" s="500">
        <f t="shared" si="16"/>
        <v>0</v>
      </c>
      <c r="K39" s="500">
        <f t="shared" si="16"/>
        <v>0</v>
      </c>
      <c r="L39" s="500">
        <f t="shared" si="16"/>
        <v>501900</v>
      </c>
      <c r="M39" s="500">
        <f t="shared" si="16"/>
        <v>1039700</v>
      </c>
      <c r="N39" s="500">
        <f t="shared" si="16"/>
        <v>1778600</v>
      </c>
      <c r="O39" s="500">
        <f t="shared" si="16"/>
        <v>2447700</v>
      </c>
      <c r="P39" s="500">
        <f t="shared" si="16"/>
        <v>3148500</v>
      </c>
      <c r="Q39" s="500">
        <f t="shared" si="16"/>
        <v>3894800</v>
      </c>
      <c r="R39" s="500">
        <f t="shared" si="16"/>
        <v>4685400</v>
      </c>
      <c r="S39" s="500">
        <f t="shared" si="16"/>
        <v>5530900</v>
      </c>
      <c r="T39" s="500">
        <f t="shared" si="16"/>
        <v>6408100</v>
      </c>
      <c r="U39" s="500">
        <f t="shared" si="16"/>
        <v>7309700</v>
      </c>
      <c r="V39" s="1978"/>
      <c r="W39" s="257">
        <f t="shared" si="5"/>
        <v>5530900</v>
      </c>
      <c r="X39" s="257"/>
      <c r="Y39" s="257"/>
      <c r="Z39" s="564"/>
      <c r="AA39" s="1978"/>
    </row>
    <row r="40" spans="1:27">
      <c r="A40" s="411"/>
      <c r="C40" s="1476">
        <f>IF(D40="","",MAX(C$7:C39)+1)</f>
        <v>31</v>
      </c>
      <c r="D40" s="4" t="str">
        <f t="shared" si="10"/>
        <v>Agricultural Boiler (85)</v>
      </c>
      <c r="E40" s="4"/>
      <c r="F40" s="4"/>
      <c r="G40" s="500">
        <f>G385</f>
        <v>0</v>
      </c>
      <c r="H40" s="500">
        <f t="shared" ref="H40:U40" si="17">H385</f>
        <v>0</v>
      </c>
      <c r="I40" s="500">
        <f t="shared" si="17"/>
        <v>0</v>
      </c>
      <c r="J40" s="500">
        <f t="shared" si="17"/>
        <v>0</v>
      </c>
      <c r="K40" s="500">
        <f t="shared" si="17"/>
        <v>0</v>
      </c>
      <c r="L40" s="500">
        <f t="shared" si="17"/>
        <v>700</v>
      </c>
      <c r="M40" s="500">
        <f t="shared" si="17"/>
        <v>1400</v>
      </c>
      <c r="N40" s="500">
        <f t="shared" si="17"/>
        <v>2100</v>
      </c>
      <c r="O40" s="500">
        <f t="shared" si="17"/>
        <v>2900</v>
      </c>
      <c r="P40" s="500">
        <f t="shared" si="17"/>
        <v>3700</v>
      </c>
      <c r="Q40" s="500">
        <f t="shared" si="17"/>
        <v>4500</v>
      </c>
      <c r="R40" s="500">
        <f t="shared" si="17"/>
        <v>5400</v>
      </c>
      <c r="S40" s="500">
        <f t="shared" si="17"/>
        <v>6300</v>
      </c>
      <c r="T40" s="500">
        <f t="shared" si="17"/>
        <v>7300</v>
      </c>
      <c r="U40" s="500">
        <f t="shared" si="17"/>
        <v>8300</v>
      </c>
      <c r="V40" s="1978"/>
      <c r="W40" s="257">
        <f t="shared" si="5"/>
        <v>6300</v>
      </c>
      <c r="X40" s="257"/>
      <c r="Y40" s="257"/>
      <c r="Z40" s="564"/>
      <c r="AA40" s="1978"/>
    </row>
    <row r="41" spans="1:27">
      <c r="A41" s="411"/>
      <c r="C41" s="1476">
        <f>IF(D41="","",MAX(C$7:C40)+1)</f>
        <v>32</v>
      </c>
      <c r="D41" s="4" t="str">
        <f t="shared" si="10"/>
        <v>Industrial (94)</v>
      </c>
      <c r="E41" s="4"/>
      <c r="F41" s="4"/>
      <c r="G41" s="500">
        <f>G410</f>
        <v>0</v>
      </c>
      <c r="H41" s="500">
        <f t="shared" ref="H41:U41" si="18">H410</f>
        <v>0</v>
      </c>
      <c r="I41" s="500">
        <f t="shared" si="18"/>
        <v>0</v>
      </c>
      <c r="J41" s="500">
        <f t="shared" si="18"/>
        <v>0</v>
      </c>
      <c r="K41" s="500">
        <f t="shared" si="18"/>
        <v>0</v>
      </c>
      <c r="L41" s="500">
        <f t="shared" si="18"/>
        <v>27600</v>
      </c>
      <c r="M41" s="500">
        <f t="shared" si="18"/>
        <v>73800</v>
      </c>
      <c r="N41" s="500">
        <f t="shared" si="18"/>
        <v>141600</v>
      </c>
      <c r="O41" s="500">
        <f t="shared" si="18"/>
        <v>129700</v>
      </c>
      <c r="P41" s="500">
        <f t="shared" si="18"/>
        <v>33700</v>
      </c>
      <c r="Q41" s="500">
        <f t="shared" si="18"/>
        <v>0</v>
      </c>
      <c r="R41" s="500">
        <f t="shared" si="18"/>
        <v>0</v>
      </c>
      <c r="S41" s="500">
        <f t="shared" si="18"/>
        <v>0</v>
      </c>
      <c r="T41" s="500">
        <f t="shared" si="18"/>
        <v>0</v>
      </c>
      <c r="U41" s="500">
        <f t="shared" si="18"/>
        <v>0</v>
      </c>
      <c r="V41" s="1978"/>
      <c r="W41" s="257">
        <f t="shared" si="5"/>
        <v>0</v>
      </c>
      <c r="X41" s="257"/>
      <c r="Y41" s="257"/>
      <c r="Z41" s="564"/>
      <c r="AA41" s="1978"/>
    </row>
    <row r="42" spans="1:27">
      <c r="A42" s="411"/>
      <c r="C42" s="1476">
        <f>IF(D42="","",MAX(C$7:C41)+1)</f>
        <v>33</v>
      </c>
      <c r="D42" s="4" t="str">
        <f t="shared" si="10"/>
        <v>Street Lights (6)</v>
      </c>
      <c r="E42" s="4"/>
      <c r="F42" s="4"/>
      <c r="G42" s="500">
        <f>G435</f>
        <v>0</v>
      </c>
      <c r="H42" s="500">
        <f t="shared" ref="H42:U42" si="19">H435</f>
        <v>0</v>
      </c>
      <c r="I42" s="500">
        <f t="shared" si="19"/>
        <v>0</v>
      </c>
      <c r="J42" s="500">
        <f t="shared" si="19"/>
        <v>0</v>
      </c>
      <c r="K42" s="500">
        <f t="shared" si="19"/>
        <v>0</v>
      </c>
      <c r="L42" s="500">
        <f t="shared" si="19"/>
        <v>4700</v>
      </c>
      <c r="M42" s="500">
        <f t="shared" si="19"/>
        <v>9400</v>
      </c>
      <c r="N42" s="500">
        <f t="shared" si="19"/>
        <v>14100</v>
      </c>
      <c r="O42" s="500">
        <f t="shared" si="19"/>
        <v>18800</v>
      </c>
      <c r="P42" s="500">
        <f t="shared" si="19"/>
        <v>23600</v>
      </c>
      <c r="Q42" s="500">
        <f t="shared" si="19"/>
        <v>28400</v>
      </c>
      <c r="R42" s="500">
        <f t="shared" si="19"/>
        <v>33200</v>
      </c>
      <c r="S42" s="500">
        <f t="shared" si="19"/>
        <v>38000</v>
      </c>
      <c r="T42" s="500">
        <f t="shared" si="19"/>
        <v>42800</v>
      </c>
      <c r="U42" s="500">
        <f t="shared" si="19"/>
        <v>47700</v>
      </c>
      <c r="V42" s="1978"/>
      <c r="W42" s="257">
        <f t="shared" si="5"/>
        <v>38000</v>
      </c>
      <c r="X42" s="257"/>
      <c r="Y42" s="257"/>
      <c r="Z42" s="564"/>
      <c r="AA42" s="1978"/>
    </row>
    <row r="43" spans="1:27">
      <c r="A43" s="411"/>
      <c r="C43" s="1476">
        <f>IF(D43="","",MAX(C$7:C42)+1)</f>
        <v>34</v>
      </c>
      <c r="D43" s="4" t="str">
        <f t="shared" si="10"/>
        <v>Street Lights (2)</v>
      </c>
      <c r="E43" s="4"/>
      <c r="F43" s="4"/>
      <c r="G43" s="500">
        <f>G460</f>
        <v>0</v>
      </c>
      <c r="H43" s="500">
        <f t="shared" ref="H43:U43" si="20">H460</f>
        <v>0</v>
      </c>
      <c r="I43" s="500">
        <f t="shared" si="20"/>
        <v>0</v>
      </c>
      <c r="J43" s="500">
        <f t="shared" si="20"/>
        <v>0</v>
      </c>
      <c r="K43" s="500">
        <f t="shared" si="20"/>
        <v>0</v>
      </c>
      <c r="L43" s="500">
        <f t="shared" si="20"/>
        <v>600</v>
      </c>
      <c r="M43" s="500">
        <f t="shared" si="20"/>
        <v>1200</v>
      </c>
      <c r="N43" s="500">
        <f t="shared" si="20"/>
        <v>1800</v>
      </c>
      <c r="O43" s="500">
        <f t="shared" si="20"/>
        <v>2400</v>
      </c>
      <c r="P43" s="500">
        <f t="shared" si="20"/>
        <v>3100</v>
      </c>
      <c r="Q43" s="500">
        <f t="shared" si="20"/>
        <v>3800</v>
      </c>
      <c r="R43" s="500">
        <f t="shared" si="20"/>
        <v>4500</v>
      </c>
      <c r="S43" s="500">
        <f t="shared" si="20"/>
        <v>5200</v>
      </c>
      <c r="T43" s="500">
        <f t="shared" si="20"/>
        <v>5400</v>
      </c>
      <c r="U43" s="500">
        <f t="shared" si="20"/>
        <v>5600</v>
      </c>
      <c r="V43" s="1978"/>
      <c r="W43" s="257">
        <f t="shared" si="5"/>
        <v>5200</v>
      </c>
      <c r="X43" s="565"/>
      <c r="Y43" s="565"/>
      <c r="Z43" s="564"/>
      <c r="AA43" s="1978"/>
    </row>
    <row r="44" spans="1:27">
      <c r="A44" s="411"/>
      <c r="C44" s="1476">
        <f>IF(D44="","",MAX(C$7:C43)+1)</f>
        <v>35</v>
      </c>
      <c r="D44" s="4" t="str">
        <f t="shared" si="10"/>
        <v>Total Other Sales (PA)</v>
      </c>
      <c r="E44" s="4"/>
      <c r="F44" s="4"/>
      <c r="G44" s="500">
        <f>G485</f>
        <v>0</v>
      </c>
      <c r="H44" s="500">
        <f t="shared" ref="H44:U44" si="21">H485</f>
        <v>0</v>
      </c>
      <c r="I44" s="500">
        <f t="shared" si="21"/>
        <v>0</v>
      </c>
      <c r="J44" s="500">
        <f t="shared" si="21"/>
        <v>0</v>
      </c>
      <c r="K44" s="500">
        <f t="shared" si="21"/>
        <v>0</v>
      </c>
      <c r="L44" s="500">
        <f t="shared" si="21"/>
        <v>1100</v>
      </c>
      <c r="M44" s="500">
        <f t="shared" si="21"/>
        <v>2200</v>
      </c>
      <c r="N44" s="500">
        <f t="shared" si="21"/>
        <v>3300</v>
      </c>
      <c r="O44" s="500">
        <f t="shared" si="21"/>
        <v>4400</v>
      </c>
      <c r="P44" s="500">
        <f t="shared" si="21"/>
        <v>5600</v>
      </c>
      <c r="Q44" s="500">
        <f t="shared" si="21"/>
        <v>6800</v>
      </c>
      <c r="R44" s="500">
        <f t="shared" si="21"/>
        <v>8000</v>
      </c>
      <c r="S44" s="500">
        <f t="shared" si="21"/>
        <v>9200</v>
      </c>
      <c r="T44" s="500">
        <f t="shared" si="21"/>
        <v>9500</v>
      </c>
      <c r="U44" s="500">
        <f t="shared" si="21"/>
        <v>9800</v>
      </c>
      <c r="V44" s="1978"/>
      <c r="W44" s="257">
        <f t="shared" si="5"/>
        <v>9200</v>
      </c>
      <c r="X44" s="565"/>
      <c r="Y44" s="565"/>
      <c r="Z44" s="564"/>
      <c r="AA44" s="1978"/>
    </row>
    <row r="45" spans="1:27">
      <c r="A45" s="411"/>
      <c r="C45" s="1476">
        <f>IF(D45="","",MAX(C$7:C44)+1)</f>
        <v>36</v>
      </c>
      <c r="D45" s="4" t="str">
        <f t="shared" si="10"/>
        <v>Alternate Power Sales</v>
      </c>
      <c r="E45" s="4"/>
      <c r="F45" s="4"/>
      <c r="G45" s="1927">
        <f>G510</f>
        <v>0</v>
      </c>
      <c r="H45" s="1927">
        <f t="shared" ref="H45:U45" si="22">H510</f>
        <v>0</v>
      </c>
      <c r="I45" s="1927">
        <f t="shared" si="22"/>
        <v>0</v>
      </c>
      <c r="J45" s="1927">
        <f t="shared" si="22"/>
        <v>0</v>
      </c>
      <c r="K45" s="1927">
        <f t="shared" si="22"/>
        <v>0</v>
      </c>
      <c r="L45" s="1927">
        <f t="shared" si="22"/>
        <v>0</v>
      </c>
      <c r="M45" s="1927">
        <f t="shared" si="22"/>
        <v>0</v>
      </c>
      <c r="N45" s="1927">
        <f t="shared" si="22"/>
        <v>0</v>
      </c>
      <c r="O45" s="1927">
        <f t="shared" si="22"/>
        <v>0</v>
      </c>
      <c r="P45" s="1927">
        <f t="shared" si="22"/>
        <v>0</v>
      </c>
      <c r="Q45" s="1927">
        <f t="shared" si="22"/>
        <v>0</v>
      </c>
      <c r="R45" s="1927">
        <f t="shared" si="22"/>
        <v>0</v>
      </c>
      <c r="S45" s="1927">
        <f t="shared" si="22"/>
        <v>0</v>
      </c>
      <c r="T45" s="1927">
        <f t="shared" si="22"/>
        <v>0</v>
      </c>
      <c r="U45" s="1927">
        <f t="shared" si="22"/>
        <v>0</v>
      </c>
      <c r="V45" s="1978"/>
      <c r="W45" s="257">
        <f t="shared" si="5"/>
        <v>0</v>
      </c>
      <c r="X45" s="565"/>
      <c r="Y45" s="565"/>
      <c r="Z45" s="564"/>
      <c r="AA45" s="1978"/>
    </row>
    <row r="46" spans="1:27">
      <c r="A46" s="411"/>
      <c r="C46" s="1476">
        <f>IF(D46="","",MAX(C$7:C45)+1)</f>
        <v>37</v>
      </c>
      <c r="D46" s="309" t="s">
        <v>602</v>
      </c>
      <c r="E46" s="309"/>
      <c r="F46" s="309"/>
      <c r="G46" s="339">
        <f>SUM(G31:G45)</f>
        <v>0</v>
      </c>
      <c r="H46" s="339">
        <f t="shared" ref="H46:U46" si="23">SUM(H31:H45)</f>
        <v>0</v>
      </c>
      <c r="I46" s="339">
        <f t="shared" si="23"/>
        <v>0</v>
      </c>
      <c r="J46" s="339">
        <f t="shared" si="23"/>
        <v>0</v>
      </c>
      <c r="K46" s="339">
        <f t="shared" si="23"/>
        <v>0</v>
      </c>
      <c r="L46" s="339">
        <f t="shared" si="23"/>
        <v>3669600</v>
      </c>
      <c r="M46" s="339">
        <f t="shared" si="23"/>
        <v>7795500</v>
      </c>
      <c r="N46" s="339">
        <f t="shared" si="23"/>
        <v>12662600</v>
      </c>
      <c r="O46" s="339">
        <f t="shared" si="23"/>
        <v>18028900</v>
      </c>
      <c r="P46" s="339">
        <f t="shared" si="23"/>
        <v>23645000</v>
      </c>
      <c r="Q46" s="339">
        <f t="shared" si="23"/>
        <v>29702500</v>
      </c>
      <c r="R46" s="339">
        <f t="shared" si="23"/>
        <v>36042900</v>
      </c>
      <c r="S46" s="339">
        <f t="shared" si="23"/>
        <v>42919700</v>
      </c>
      <c r="T46" s="339">
        <f t="shared" si="23"/>
        <v>49720400</v>
      </c>
      <c r="U46" s="339">
        <f t="shared" si="23"/>
        <v>56866700</v>
      </c>
      <c r="V46" s="1978"/>
      <c r="W46" s="371">
        <f>SUM(W31:W45)</f>
        <v>42919700</v>
      </c>
      <c r="X46" s="332"/>
      <c r="Y46" s="332"/>
      <c r="Z46" s="1797"/>
      <c r="AA46" s="1978"/>
    </row>
    <row r="47" spans="1:27">
      <c r="A47" s="411"/>
      <c r="C47" s="1476" t="str">
        <f>IF(D47="","",MAX(C$7:C46)+1)</f>
        <v/>
      </c>
    </row>
    <row r="48" spans="1:27">
      <c r="A48" s="411"/>
      <c r="C48" s="1476" t="str">
        <f>IF(D48="","",MAX(C$7:C47)+1)</f>
        <v/>
      </c>
      <c r="G48" s="4532" t="s">
        <v>2775</v>
      </c>
      <c r="H48" s="4532"/>
      <c r="I48" s="4532"/>
      <c r="J48" s="4532"/>
      <c r="K48" s="4532"/>
      <c r="L48" s="4532"/>
      <c r="M48" s="4532"/>
      <c r="N48" s="4532"/>
      <c r="O48" s="4532"/>
      <c r="P48" s="4532"/>
      <c r="Q48" s="4532"/>
      <c r="R48" s="4532"/>
      <c r="S48" s="4532"/>
      <c r="T48" s="4532"/>
      <c r="U48" s="4532"/>
    </row>
    <row r="49" spans="1:27" ht="20.25">
      <c r="A49" s="411"/>
      <c r="C49" s="1476">
        <f>IF(D49="","",MAX(C$7:C48)+1)</f>
        <v>38</v>
      </c>
      <c r="D49" s="569" t="s">
        <v>399</v>
      </c>
      <c r="E49" s="1940"/>
      <c r="F49" s="1940"/>
      <c r="G49" s="2004">
        <f>G$7</f>
        <v>2012</v>
      </c>
      <c r="H49" s="2004">
        <f t="shared" ref="H49:U49" si="24">H$7</f>
        <v>2013</v>
      </c>
      <c r="I49" s="2004">
        <f t="shared" si="24"/>
        <v>2014</v>
      </c>
      <c r="J49" s="2004">
        <f t="shared" si="24"/>
        <v>2015</v>
      </c>
      <c r="K49" s="2004">
        <f t="shared" si="24"/>
        <v>2016</v>
      </c>
      <c r="L49" s="2004">
        <f t="shared" si="24"/>
        <v>2017</v>
      </c>
      <c r="M49" s="2004">
        <f t="shared" si="24"/>
        <v>2018</v>
      </c>
      <c r="N49" s="2004">
        <f t="shared" si="24"/>
        <v>2019</v>
      </c>
      <c r="O49" s="2004">
        <f t="shared" si="24"/>
        <v>2020</v>
      </c>
      <c r="P49" s="2004">
        <f t="shared" si="24"/>
        <v>2021</v>
      </c>
      <c r="Q49" s="2004">
        <f t="shared" si="24"/>
        <v>2022</v>
      </c>
      <c r="R49" s="2004">
        <f t="shared" si="24"/>
        <v>2023</v>
      </c>
      <c r="S49" s="2004">
        <f t="shared" si="24"/>
        <v>2024</v>
      </c>
      <c r="T49" s="2004">
        <f t="shared" si="24"/>
        <v>2025</v>
      </c>
      <c r="U49" s="2004">
        <f t="shared" si="24"/>
        <v>2026</v>
      </c>
      <c r="V49" s="1978"/>
      <c r="W49" s="1979" t="s">
        <v>3011</v>
      </c>
      <c r="X49" s="1979"/>
      <c r="Y49" s="1979"/>
      <c r="Z49" s="1979"/>
      <c r="AA49" s="1978"/>
    </row>
    <row r="50" spans="1:27">
      <c r="A50" s="411"/>
      <c r="C50" s="1476">
        <f>IF(D50="","",MAX(C$7:C49)+1)</f>
        <v>39</v>
      </c>
      <c r="D50" s="4" t="str">
        <f>D8</f>
        <v>Residential-Urban (1)</v>
      </c>
      <c r="E50" s="4"/>
      <c r="F50" s="4"/>
      <c r="G50" s="1977">
        <f>G8+G29</f>
        <v>17166552.616957277</v>
      </c>
      <c r="H50" s="1977">
        <f t="shared" ref="H50:U50" si="25">H8+H29</f>
        <v>18904435.365022231</v>
      </c>
      <c r="I50" s="1977">
        <f t="shared" si="25"/>
        <v>19136168.310945936</v>
      </c>
      <c r="J50" s="1977">
        <f>J8+J29</f>
        <v>18472179.041710887</v>
      </c>
      <c r="K50" s="1977">
        <f>K8+K29</f>
        <v>19336694.712858964</v>
      </c>
      <c r="L50" s="1977">
        <f t="shared" si="25"/>
        <v>19876733.990148757</v>
      </c>
      <c r="M50" s="1977">
        <f t="shared" si="25"/>
        <v>20443268.915104184</v>
      </c>
      <c r="N50" s="1977">
        <f t="shared" si="25"/>
        <v>21026134.527240977</v>
      </c>
      <c r="O50" s="1977">
        <f t="shared" si="25"/>
        <v>21637770.625645872</v>
      </c>
      <c r="P50" s="1977">
        <f t="shared" si="25"/>
        <v>22243538.406242598</v>
      </c>
      <c r="Q50" s="1977">
        <f t="shared" si="25"/>
        <v>22879176.150653373</v>
      </c>
      <c r="R50" s="1977">
        <f t="shared" si="25"/>
        <v>23533139.872481164</v>
      </c>
      <c r="S50" s="1977">
        <f t="shared" si="25"/>
        <v>24219089.237511843</v>
      </c>
      <c r="T50" s="1977">
        <f t="shared" si="25"/>
        <v>24647845.06943683</v>
      </c>
      <c r="U50" s="1977">
        <f t="shared" si="25"/>
        <v>25548495.785932973</v>
      </c>
      <c r="V50" s="1978"/>
      <c r="W50" s="257">
        <f t="shared" ref="W50:W66" si="26">INDEX($G50:$U50,1,MATCH($W$3,$G$7:$U$7,0))</f>
        <v>24219089.237511843</v>
      </c>
      <c r="X50" s="524"/>
      <c r="Y50" s="524"/>
      <c r="Z50" s="564"/>
      <c r="AA50" s="1978"/>
    </row>
    <row r="51" spans="1:27">
      <c r="A51" s="411"/>
      <c r="C51" s="1476">
        <f>IF(D51="","",MAX(C$7:C50)+1)</f>
        <v>40</v>
      </c>
      <c r="D51" s="4" t="str">
        <f>D9</f>
        <v>Residential-Rural (1)</v>
      </c>
      <c r="E51" s="4"/>
      <c r="F51" s="4"/>
      <c r="G51" s="1977">
        <f>G9+G30</f>
        <v>18950419.145152789</v>
      </c>
      <c r="H51" s="1977">
        <f t="shared" ref="H51:U51" si="27">H9+H30</f>
        <v>20639017.209508725</v>
      </c>
      <c r="I51" s="1977">
        <f t="shared" si="27"/>
        <v>20990467.340879861</v>
      </c>
      <c r="J51" s="1977">
        <f t="shared" si="27"/>
        <v>22952601.947685834</v>
      </c>
      <c r="K51" s="1977">
        <f t="shared" si="27"/>
        <v>23993912.742000487</v>
      </c>
      <c r="L51" s="1977">
        <f t="shared" si="27"/>
        <v>24667860.822319925</v>
      </c>
      <c r="M51" s="1977">
        <f t="shared" si="27"/>
        <v>25370943.987634547</v>
      </c>
      <c r="N51" s="1977">
        <f t="shared" si="27"/>
        <v>26094285.534128118</v>
      </c>
      <c r="O51" s="1977">
        <f t="shared" si="27"/>
        <v>26849003.257363044</v>
      </c>
      <c r="P51" s="1977">
        <f t="shared" si="27"/>
        <v>27605160.273892164</v>
      </c>
      <c r="Q51" s="1977">
        <f t="shared" si="27"/>
        <v>28393625.385239583</v>
      </c>
      <c r="R51" s="1977">
        <f t="shared" si="27"/>
        <v>29205398.611573271</v>
      </c>
      <c r="S51" s="1977">
        <f t="shared" si="27"/>
        <v>30052159.682764068</v>
      </c>
      <c r="T51" s="1977">
        <f t="shared" si="27"/>
        <v>30588444.364543937</v>
      </c>
      <c r="U51" s="1977">
        <f t="shared" si="27"/>
        <v>31706556.904028587</v>
      </c>
      <c r="V51" s="1978"/>
      <c r="W51" s="257">
        <f t="shared" si="26"/>
        <v>30052159.682764068</v>
      </c>
      <c r="X51" s="257"/>
      <c r="Y51" s="257"/>
      <c r="Z51" s="564"/>
      <c r="AA51" s="1978"/>
    </row>
    <row r="52" spans="1:27">
      <c r="A52" s="411"/>
      <c r="C52" s="1476">
        <f>IF(D52="","",MAX(C$7:C51)+1)</f>
        <v>41</v>
      </c>
      <c r="D52" s="1962" t="str">
        <f>D10</f>
        <v>Residential-Total (1)</v>
      </c>
      <c r="E52" s="1962"/>
      <c r="F52" s="1962"/>
      <c r="G52" s="1963">
        <f t="shared" ref="G52:U52" si="28">SUM(G50:G51)</f>
        <v>36116971.762110069</v>
      </c>
      <c r="H52" s="1963">
        <f t="shared" si="28"/>
        <v>39543452.574530959</v>
      </c>
      <c r="I52" s="1963">
        <f t="shared" si="28"/>
        <v>40126635.651825801</v>
      </c>
      <c r="J52" s="1963">
        <f t="shared" si="28"/>
        <v>41424780.989396721</v>
      </c>
      <c r="K52" s="1963">
        <f t="shared" si="28"/>
        <v>43330607.45485945</v>
      </c>
      <c r="L52" s="1963">
        <f t="shared" si="28"/>
        <v>44544594.812468678</v>
      </c>
      <c r="M52" s="1963">
        <f t="shared" si="28"/>
        <v>45814212.902738735</v>
      </c>
      <c r="N52" s="1963">
        <f t="shared" si="28"/>
        <v>47120420.061369091</v>
      </c>
      <c r="O52" s="1963">
        <f t="shared" si="28"/>
        <v>48486773.883008912</v>
      </c>
      <c r="P52" s="1963">
        <f t="shared" si="28"/>
        <v>49848698.680134758</v>
      </c>
      <c r="Q52" s="1963">
        <f t="shared" si="28"/>
        <v>51272801.535892956</v>
      </c>
      <c r="R52" s="1963">
        <f t="shared" si="28"/>
        <v>52738538.484054431</v>
      </c>
      <c r="S52" s="1963">
        <f t="shared" si="28"/>
        <v>54271248.920275912</v>
      </c>
      <c r="T52" s="1963">
        <f t="shared" si="28"/>
        <v>55236289.433980763</v>
      </c>
      <c r="U52" s="1963">
        <f t="shared" si="28"/>
        <v>57255052.68996156</v>
      </c>
      <c r="V52" s="1978"/>
      <c r="W52" s="257">
        <f t="shared" si="26"/>
        <v>54271248.920275912</v>
      </c>
      <c r="X52" s="257"/>
      <c r="Y52" s="257"/>
      <c r="Z52" s="564"/>
      <c r="AA52" s="1978"/>
    </row>
    <row r="53" spans="1:27">
      <c r="A53" s="411"/>
      <c r="C53" s="1476">
        <f>IF(D53="","",MAX(C$7:C52)+1)</f>
        <v>42</v>
      </c>
      <c r="D53" s="4" t="str">
        <f>D11</f>
        <v>Irrigation 1PH (3)</v>
      </c>
      <c r="E53" s="4"/>
      <c r="F53" s="4"/>
      <c r="G53" s="1977">
        <f t="shared" ref="G53:U53" si="29">G11+G32</f>
        <v>107371.76383914506</v>
      </c>
      <c r="H53" s="1977">
        <f t="shared" si="29"/>
        <v>119918.27523401253</v>
      </c>
      <c r="I53" s="1977">
        <f t="shared" si="29"/>
        <v>120111.37862680378</v>
      </c>
      <c r="J53" s="1977">
        <f t="shared" si="29"/>
        <v>114623.49474349229</v>
      </c>
      <c r="K53" s="1977">
        <f t="shared" si="29"/>
        <v>128449.55351881217</v>
      </c>
      <c r="L53" s="1977">
        <f t="shared" si="29"/>
        <v>129342.81266601148</v>
      </c>
      <c r="M53" s="1977">
        <f t="shared" si="29"/>
        <v>135037.85547780368</v>
      </c>
      <c r="N53" s="1977">
        <f t="shared" si="29"/>
        <v>141032.89828959585</v>
      </c>
      <c r="O53" s="1977">
        <f t="shared" si="29"/>
        <v>147227.94110138807</v>
      </c>
      <c r="P53" s="1977">
        <f t="shared" si="29"/>
        <v>153722.98391318024</v>
      </c>
      <c r="Q53" s="1977">
        <f t="shared" si="29"/>
        <v>160525.12496294541</v>
      </c>
      <c r="R53" s="1977">
        <f t="shared" si="29"/>
        <v>167520.16777473761</v>
      </c>
      <c r="S53" s="1977">
        <f t="shared" si="29"/>
        <v>174822.30882450278</v>
      </c>
      <c r="T53" s="1977">
        <f t="shared" si="29"/>
        <v>178817.35163629492</v>
      </c>
      <c r="U53" s="1977">
        <f t="shared" si="29"/>
        <v>184219.49268606011</v>
      </c>
      <c r="V53" s="1978"/>
      <c r="W53" s="257">
        <f t="shared" si="26"/>
        <v>174822.30882450278</v>
      </c>
      <c r="X53" s="257"/>
      <c r="Y53" s="257"/>
      <c r="Z53" s="564"/>
      <c r="AA53" s="1978"/>
    </row>
    <row r="54" spans="1:27">
      <c r="A54" s="411"/>
      <c r="C54" s="1476">
        <f>IF(D54="","",MAX(C$7:C53)+1)</f>
        <v>43</v>
      </c>
      <c r="D54" s="4" t="str">
        <f t="shared" ref="D54:D66" si="30">D12</f>
        <v>Irrigation 3PH (3)</v>
      </c>
      <c r="E54" s="4"/>
      <c r="F54" s="4"/>
      <c r="G54" s="1977">
        <f t="shared" ref="G54:U54" si="31">G12+G33</f>
        <v>19403672.826194827</v>
      </c>
      <c r="H54" s="1977">
        <f t="shared" si="31"/>
        <v>20778895.542416293</v>
      </c>
      <c r="I54" s="1977">
        <f t="shared" si="31"/>
        <v>22908868.701116808</v>
      </c>
      <c r="J54" s="1977">
        <f t="shared" si="31"/>
        <v>21814332.42621718</v>
      </c>
      <c r="K54" s="1977">
        <f t="shared" si="31"/>
        <v>24511826.846337378</v>
      </c>
      <c r="L54" s="1977">
        <f t="shared" si="31"/>
        <v>24621467.511445262</v>
      </c>
      <c r="M54" s="1977">
        <f t="shared" si="31"/>
        <v>25728888.598757297</v>
      </c>
      <c r="N54" s="1977">
        <f t="shared" si="31"/>
        <v>26883309.686069328</v>
      </c>
      <c r="O54" s="1977">
        <f t="shared" si="31"/>
        <v>28086830.77338136</v>
      </c>
      <c r="P54" s="1977">
        <f t="shared" si="31"/>
        <v>29341451.860693388</v>
      </c>
      <c r="Q54" s="1977">
        <f t="shared" si="31"/>
        <v>30650946.695960548</v>
      </c>
      <c r="R54" s="1977">
        <f t="shared" si="31"/>
        <v>32013867.78327259</v>
      </c>
      <c r="S54" s="1977">
        <f t="shared" si="31"/>
        <v>33436362.618539739</v>
      </c>
      <c r="T54" s="1977">
        <f t="shared" si="31"/>
        <v>34194183.705851771</v>
      </c>
      <c r="U54" s="1977">
        <f t="shared" si="31"/>
        <v>35292078.54111892</v>
      </c>
      <c r="V54" s="1978"/>
      <c r="W54" s="257">
        <f t="shared" si="26"/>
        <v>33436362.618539739</v>
      </c>
      <c r="X54" s="257"/>
      <c r="Y54" s="257"/>
      <c r="Z54" s="564"/>
      <c r="AA54" s="1978"/>
    </row>
    <row r="55" spans="1:27">
      <c r="A55" s="411"/>
      <c r="C55" s="1476">
        <f>IF(D55="","",MAX(C$7:C54)+1)</f>
        <v>44</v>
      </c>
      <c r="D55" s="4" t="str">
        <f t="shared" si="30"/>
        <v>General Service 1PH (2)</v>
      </c>
      <c r="E55" s="4"/>
      <c r="F55" s="4"/>
      <c r="G55" s="1977">
        <f t="shared" ref="G55:U55" si="32">G13+G34</f>
        <v>4725560.5448806863</v>
      </c>
      <c r="H55" s="1977">
        <f t="shared" si="32"/>
        <v>5115872.840530253</v>
      </c>
      <c r="I55" s="1977">
        <f t="shared" si="32"/>
        <v>5227059.1380780386</v>
      </c>
      <c r="J55" s="1977">
        <f t="shared" si="32"/>
        <v>5153647.285265848</v>
      </c>
      <c r="K55" s="1977">
        <f t="shared" si="32"/>
        <v>5525746.9312623013</v>
      </c>
      <c r="L55" s="1977">
        <f t="shared" si="32"/>
        <v>5748070.2527403878</v>
      </c>
      <c r="M55" s="1977">
        <f t="shared" si="32"/>
        <v>5978118.6684612539</v>
      </c>
      <c r="N55" s="1977">
        <f t="shared" si="32"/>
        <v>6215516.1836531507</v>
      </c>
      <c r="O55" s="1977">
        <f t="shared" si="32"/>
        <v>6461033.0394708626</v>
      </c>
      <c r="P55" s="1977">
        <f t="shared" si="32"/>
        <v>6714444.1960220532</v>
      </c>
      <c r="Q55" s="1977">
        <f t="shared" si="32"/>
        <v>6976458.1939055948</v>
      </c>
      <c r="R55" s="1977">
        <f t="shared" si="32"/>
        <v>7247132.2441678811</v>
      </c>
      <c r="S55" s="1977">
        <f t="shared" si="32"/>
        <v>7526355.3092198726</v>
      </c>
      <c r="T55" s="1977">
        <f t="shared" si="32"/>
        <v>7691586.2588644642</v>
      </c>
      <c r="U55" s="1977">
        <f t="shared" si="32"/>
        <v>7858852.4940176811</v>
      </c>
      <c r="V55" s="1978"/>
      <c r="W55" s="257">
        <f t="shared" si="26"/>
        <v>7526355.3092198726</v>
      </c>
      <c r="X55" s="257"/>
      <c r="Y55" s="257"/>
      <c r="Z55" s="564"/>
      <c r="AA55" s="1978"/>
    </row>
    <row r="56" spans="1:27">
      <c r="A56" s="411"/>
      <c r="C56" s="1476">
        <f>IF(D56="","",MAX(C$7:C55)+1)</f>
        <v>45</v>
      </c>
      <c r="D56" s="4" t="str">
        <f t="shared" si="30"/>
        <v>General Service 3PH (2)</v>
      </c>
      <c r="E56" s="4"/>
      <c r="F56" s="4"/>
      <c r="G56" s="1977">
        <f t="shared" ref="G56:U56" si="33">G14+G35</f>
        <v>13574496.204319455</v>
      </c>
      <c r="H56" s="1977">
        <f t="shared" si="33"/>
        <v>14939137.70937879</v>
      </c>
      <c r="I56" s="1977">
        <f t="shared" si="33"/>
        <v>15445983.00985509</v>
      </c>
      <c r="J56" s="1977">
        <f t="shared" si="33"/>
        <v>16158443.361835815</v>
      </c>
      <c r="K56" s="1977">
        <f t="shared" si="33"/>
        <v>17770349.756580301</v>
      </c>
      <c r="L56" s="1977">
        <f t="shared" si="33"/>
        <v>18457006.084716599</v>
      </c>
      <c r="M56" s="1977">
        <f t="shared" si="33"/>
        <v>19166143.356784482</v>
      </c>
      <c r="N56" s="1977">
        <f t="shared" si="33"/>
        <v>19897384.338430934</v>
      </c>
      <c r="O56" s="1977">
        <f t="shared" si="33"/>
        <v>20651406.86224601</v>
      </c>
      <c r="P56" s="1977">
        <f t="shared" si="33"/>
        <v>21429099.138346761</v>
      </c>
      <c r="Q56" s="1977">
        <f t="shared" si="33"/>
        <v>22230423.169275559</v>
      </c>
      <c r="R56" s="1977">
        <f t="shared" si="33"/>
        <v>23056854.871217843</v>
      </c>
      <c r="S56" s="1977">
        <f t="shared" si="33"/>
        <v>23908389.858713653</v>
      </c>
      <c r="T56" s="1977">
        <f t="shared" si="33"/>
        <v>24395731.732198149</v>
      </c>
      <c r="U56" s="1977">
        <f t="shared" si="33"/>
        <v>24887626.391469259</v>
      </c>
      <c r="V56" s="1978"/>
      <c r="W56" s="257">
        <f t="shared" si="26"/>
        <v>23908389.858713653</v>
      </c>
      <c r="X56" s="257"/>
      <c r="Y56" s="257"/>
      <c r="Z56" s="564"/>
      <c r="AA56" s="1978"/>
    </row>
    <row r="57" spans="1:27">
      <c r="A57" s="411"/>
      <c r="C57" s="1476">
        <f>IF(D57="","",MAX(C$7:C56)+1)</f>
        <v>46</v>
      </c>
      <c r="D57" s="4" t="str">
        <f t="shared" si="30"/>
        <v>Large General Service (7)</v>
      </c>
      <c r="E57" s="4"/>
      <c r="F57" s="4"/>
      <c r="G57" s="1977">
        <f t="shared" ref="G57:U57" si="34">G15+G36</f>
        <v>7438935.5642427718</v>
      </c>
      <c r="H57" s="1977">
        <f t="shared" si="34"/>
        <v>8170856.7544106143</v>
      </c>
      <c r="I57" s="1977">
        <f t="shared" si="34"/>
        <v>6665093.6592082828</v>
      </c>
      <c r="J57" s="1977">
        <f t="shared" si="34"/>
        <v>8766062.0633190237</v>
      </c>
      <c r="K57" s="1977">
        <f t="shared" si="34"/>
        <v>8163610.1982922778</v>
      </c>
      <c r="L57" s="1977">
        <f t="shared" si="34"/>
        <v>8416145.0008362718</v>
      </c>
      <c r="M57" s="1977">
        <f t="shared" si="34"/>
        <v>8662106.0688136742</v>
      </c>
      <c r="N57" s="1977">
        <f t="shared" si="34"/>
        <v>8912167.1367910709</v>
      </c>
      <c r="O57" s="1977">
        <f t="shared" si="34"/>
        <v>9154632.7882560082</v>
      </c>
      <c r="P57" s="1977">
        <f t="shared" si="34"/>
        <v>9509119.8067345899</v>
      </c>
      <c r="Q57" s="1977">
        <f t="shared" si="34"/>
        <v>9772280.8747119885</v>
      </c>
      <c r="R57" s="1977">
        <f t="shared" si="34"/>
        <v>10039641.942689387</v>
      </c>
      <c r="S57" s="1977">
        <f t="shared" si="34"/>
        <v>10385011.025710687</v>
      </c>
      <c r="T57" s="1977">
        <f t="shared" si="34"/>
        <v>10625894.612632906</v>
      </c>
      <c r="U57" s="1977">
        <f t="shared" si="34"/>
        <v>10943886.214599004</v>
      </c>
      <c r="V57" s="1978"/>
      <c r="W57" s="257">
        <f t="shared" si="26"/>
        <v>10385011.025710687</v>
      </c>
      <c r="X57" s="257"/>
      <c r="Y57" s="257"/>
      <c r="Z57" s="564"/>
      <c r="AA57" s="1978"/>
    </row>
    <row r="58" spans="1:27">
      <c r="C58" s="1476">
        <f>IF(D58="","",MAX(C$7:C57)+1)</f>
        <v>47</v>
      </c>
      <c r="D58" s="4" t="str">
        <f t="shared" si="30"/>
        <v>Industrial (14)</v>
      </c>
      <c r="E58" s="4"/>
      <c r="F58" s="4"/>
      <c r="G58" s="1977">
        <f t="shared" ref="G58:U58" si="35">G16+G37</f>
        <v>4674033.6654059952</v>
      </c>
      <c r="H58" s="1977">
        <f t="shared" si="35"/>
        <v>6364288.438032195</v>
      </c>
      <c r="I58" s="1977">
        <f t="shared" si="35"/>
        <v>9498049.0266200192</v>
      </c>
      <c r="J58" s="1977">
        <f t="shared" si="35"/>
        <v>10707815.790265961</v>
      </c>
      <c r="K58" s="1977">
        <f t="shared" si="35"/>
        <v>11291095.306770664</v>
      </c>
      <c r="L58" s="1977">
        <f t="shared" si="35"/>
        <v>14595883.269670105</v>
      </c>
      <c r="M58" s="1977">
        <f t="shared" si="35"/>
        <v>17411410.970608942</v>
      </c>
      <c r="N58" s="1977">
        <f t="shared" si="35"/>
        <v>21004557.128910389</v>
      </c>
      <c r="O58" s="1977">
        <f t="shared" si="35"/>
        <v>25579236.33062144</v>
      </c>
      <c r="P58" s="1977">
        <f t="shared" si="35"/>
        <v>28969496.339451</v>
      </c>
      <c r="Q58" s="1977">
        <f t="shared" si="35"/>
        <v>32609664.593313333</v>
      </c>
      <c r="R58" s="1977">
        <f t="shared" si="35"/>
        <v>35534972.775753453</v>
      </c>
      <c r="S58" s="1977">
        <f t="shared" si="35"/>
        <v>38823614.605053663</v>
      </c>
      <c r="T58" s="1977">
        <f t="shared" si="35"/>
        <v>41433188.738364697</v>
      </c>
      <c r="U58" s="1977">
        <f t="shared" si="35"/>
        <v>43458154.563841105</v>
      </c>
      <c r="V58" s="1978"/>
      <c r="W58" s="257">
        <f t="shared" si="26"/>
        <v>38823614.605053663</v>
      </c>
      <c r="X58" s="257"/>
      <c r="Y58" s="257"/>
      <c r="Z58" s="564"/>
      <c r="AA58" s="1978"/>
    </row>
    <row r="59" spans="1:27">
      <c r="C59" s="1476">
        <f>IF(D59="","",MAX(C$7:C58)+1)</f>
        <v>48</v>
      </c>
      <c r="D59" s="4" t="str">
        <f t="shared" si="30"/>
        <v>Large Industrial (15)</v>
      </c>
      <c r="E59" s="4"/>
      <c r="F59" s="4"/>
      <c r="G59" s="1977">
        <f t="shared" ref="G59:U59" si="36">G17+G38</f>
        <v>49739861.890301749</v>
      </c>
      <c r="H59" s="1977">
        <f t="shared" si="36"/>
        <v>45475796.683017857</v>
      </c>
      <c r="I59" s="1977">
        <f t="shared" si="36"/>
        <v>49337820.498001933</v>
      </c>
      <c r="J59" s="1977">
        <f t="shared" si="36"/>
        <v>57093260.338718966</v>
      </c>
      <c r="K59" s="1977">
        <f t="shared" si="36"/>
        <v>55537498.876017138</v>
      </c>
      <c r="L59" s="1977">
        <f t="shared" si="36"/>
        <v>60497873.471371785</v>
      </c>
      <c r="M59" s="1977">
        <f t="shared" si="36"/>
        <v>66003746.868791394</v>
      </c>
      <c r="N59" s="1977">
        <f t="shared" si="36"/>
        <v>72775276.061670348</v>
      </c>
      <c r="O59" s="1977">
        <f t="shared" si="36"/>
        <v>80250287.415281668</v>
      </c>
      <c r="P59" s="1977">
        <f t="shared" si="36"/>
        <v>88688564.840078488</v>
      </c>
      <c r="Q59" s="1977">
        <f t="shared" si="36"/>
        <v>93074029.959206671</v>
      </c>
      <c r="R59" s="1977">
        <f t="shared" si="36"/>
        <v>98104063.406699643</v>
      </c>
      <c r="S59" s="1977">
        <f t="shared" si="36"/>
        <v>103648286.09443644</v>
      </c>
      <c r="T59" s="1977">
        <f t="shared" si="36"/>
        <v>109517680.51590812</v>
      </c>
      <c r="U59" s="1977">
        <f t="shared" si="36"/>
        <v>114943735.46382579</v>
      </c>
      <c r="V59" s="1978"/>
      <c r="W59" s="257">
        <f t="shared" si="26"/>
        <v>103648286.09443644</v>
      </c>
      <c r="X59" s="257"/>
      <c r="Y59" s="257"/>
      <c r="Z59" s="564"/>
      <c r="AA59" s="1978"/>
    </row>
    <row r="60" spans="1:27">
      <c r="C60" s="1476">
        <f>IF(D60="","",MAX(C$7:C59)+1)</f>
        <v>49</v>
      </c>
      <c r="D60" s="4" t="str">
        <f t="shared" si="30"/>
        <v>Agricultural Processing (16)</v>
      </c>
      <c r="E60" s="4"/>
      <c r="F60" s="4"/>
      <c r="G60" s="1977">
        <f t="shared" ref="G60:U60" si="37">G18+G39</f>
        <v>5661514.5857013334</v>
      </c>
      <c r="H60" s="1977">
        <f t="shared" si="37"/>
        <v>7021301.1308399132</v>
      </c>
      <c r="I60" s="1977">
        <f t="shared" si="37"/>
        <v>7919688.2089324063</v>
      </c>
      <c r="J60" s="1977">
        <f t="shared" si="37"/>
        <v>8984245.1695211921</v>
      </c>
      <c r="K60" s="1977">
        <f t="shared" si="37"/>
        <v>9530339.7387739029</v>
      </c>
      <c r="L60" s="1977">
        <f t="shared" si="37"/>
        <v>10540393.700286243</v>
      </c>
      <c r="M60" s="1977">
        <f t="shared" si="37"/>
        <v>11182845.318966553</v>
      </c>
      <c r="N60" s="1977">
        <f t="shared" si="37"/>
        <v>13062656.471414171</v>
      </c>
      <c r="O60" s="1977">
        <f t="shared" si="37"/>
        <v>13805418.262523709</v>
      </c>
      <c r="P60" s="1977">
        <f t="shared" si="37"/>
        <v>14544469.178446734</v>
      </c>
      <c r="Q60" s="1977">
        <f t="shared" si="37"/>
        <v>15347145.553469464</v>
      </c>
      <c r="R60" s="1977">
        <f t="shared" si="37"/>
        <v>16194403.810367303</v>
      </c>
      <c r="S60" s="1977">
        <f t="shared" si="37"/>
        <v>17115049.923444636</v>
      </c>
      <c r="T60" s="1977">
        <f t="shared" si="37"/>
        <v>18031271.614472874</v>
      </c>
      <c r="U60" s="1977">
        <f t="shared" si="37"/>
        <v>18990384.001675732</v>
      </c>
      <c r="V60" s="1978"/>
      <c r="W60" s="257">
        <f t="shared" si="26"/>
        <v>17115049.923444636</v>
      </c>
      <c r="X60" s="257"/>
      <c r="Y60" s="257"/>
      <c r="Z60" s="564"/>
      <c r="AA60" s="1978"/>
    </row>
    <row r="61" spans="1:27">
      <c r="C61" s="1476">
        <f>IF(D61="","",MAX(C$7:C60)+1)</f>
        <v>50</v>
      </c>
      <c r="D61" s="4" t="str">
        <f t="shared" si="30"/>
        <v>Agricultural Boiler (85)</v>
      </c>
      <c r="E61" s="4"/>
      <c r="F61" s="4"/>
      <c r="G61" s="1977">
        <f t="shared" ref="G61:U61" si="38">G19+G40</f>
        <v>136377.04905569571</v>
      </c>
      <c r="H61" s="1977">
        <f t="shared" si="38"/>
        <v>12058.299905415506</v>
      </c>
      <c r="I61" s="1977">
        <f t="shared" si="38"/>
        <v>12058.299905415506</v>
      </c>
      <c r="J61" s="1977">
        <f t="shared" si="38"/>
        <v>12661.214900686282</v>
      </c>
      <c r="K61" s="1977">
        <f t="shared" si="38"/>
        <v>13296.862073089371</v>
      </c>
      <c r="L61" s="1977">
        <f t="shared" si="38"/>
        <v>13996.862073089371</v>
      </c>
      <c r="M61" s="1977">
        <f t="shared" si="38"/>
        <v>14696.862073089371</v>
      </c>
      <c r="N61" s="1977">
        <f t="shared" si="38"/>
        <v>15396.862073089371</v>
      </c>
      <c r="O61" s="1977">
        <f t="shared" si="38"/>
        <v>16196.862073089371</v>
      </c>
      <c r="P61" s="1977">
        <f t="shared" si="38"/>
        <v>16996.862073089371</v>
      </c>
      <c r="Q61" s="1977">
        <f t="shared" si="38"/>
        <v>17796.862073089371</v>
      </c>
      <c r="R61" s="1977">
        <f t="shared" si="38"/>
        <v>18696.862073089371</v>
      </c>
      <c r="S61" s="1977">
        <f t="shared" si="38"/>
        <v>19596.862073089371</v>
      </c>
      <c r="T61" s="1977">
        <f t="shared" si="38"/>
        <v>20596.862073089371</v>
      </c>
      <c r="U61" s="1977">
        <f t="shared" si="38"/>
        <v>21596.862073089371</v>
      </c>
      <c r="V61" s="1978"/>
      <c r="W61" s="257">
        <f t="shared" si="26"/>
        <v>19596.862073089371</v>
      </c>
      <c r="X61" s="257"/>
      <c r="Y61" s="257"/>
      <c r="Z61" s="564"/>
      <c r="AA61" s="1978"/>
    </row>
    <row r="62" spans="1:27">
      <c r="C62" s="1476">
        <f>IF(D62="","",MAX(C$7:C61)+1)</f>
        <v>51</v>
      </c>
      <c r="D62" s="4" t="str">
        <f t="shared" si="30"/>
        <v>Industrial (94)</v>
      </c>
      <c r="E62" s="4"/>
      <c r="F62" s="4"/>
      <c r="G62" s="1977">
        <f t="shared" ref="G62:U62" si="39">G20+G41</f>
        <v>0</v>
      </c>
      <c r="H62" s="1977">
        <f t="shared" si="39"/>
        <v>342388.76242103451</v>
      </c>
      <c r="I62" s="1977">
        <f t="shared" si="39"/>
        <v>1314486.2935280628</v>
      </c>
      <c r="J62" s="1977">
        <f t="shared" si="39"/>
        <v>0</v>
      </c>
      <c r="K62" s="1977">
        <f t="shared" si="39"/>
        <v>1074743.2237976061</v>
      </c>
      <c r="L62" s="1977">
        <f t="shared" si="39"/>
        <v>4238880.8725680821</v>
      </c>
      <c r="M62" s="1977">
        <f t="shared" si="39"/>
        <v>5693079.9110005591</v>
      </c>
      <c r="N62" s="1977">
        <f t="shared" si="39"/>
        <v>7306418.423535835</v>
      </c>
      <c r="O62" s="1977">
        <f t="shared" si="39"/>
        <v>5034646.8715119669</v>
      </c>
      <c r="P62" s="1977">
        <f t="shared" si="39"/>
        <v>1049620.3821267956</v>
      </c>
      <c r="Q62" s="1977">
        <f t="shared" si="39"/>
        <v>0</v>
      </c>
      <c r="R62" s="1977">
        <f t="shared" si="39"/>
        <v>0</v>
      </c>
      <c r="S62" s="1977">
        <f t="shared" si="39"/>
        <v>0</v>
      </c>
      <c r="T62" s="1977">
        <f t="shared" si="39"/>
        <v>0</v>
      </c>
      <c r="U62" s="1977">
        <f t="shared" si="39"/>
        <v>0</v>
      </c>
      <c r="V62" s="1978"/>
      <c r="W62" s="257">
        <f t="shared" si="26"/>
        <v>0</v>
      </c>
      <c r="X62" s="257"/>
      <c r="Y62" s="257"/>
      <c r="Z62" s="564"/>
      <c r="AA62" s="1978"/>
    </row>
    <row r="63" spans="1:27">
      <c r="C63" s="1476">
        <f>IF(D63="","",MAX(C$7:C62)+1)</f>
        <v>52</v>
      </c>
      <c r="D63" s="4" t="str">
        <f t="shared" si="30"/>
        <v>Street Lights (6)</v>
      </c>
      <c r="E63" s="4"/>
      <c r="F63" s="4"/>
      <c r="G63" s="1977">
        <f t="shared" ref="G63:U63" si="40">G21+G42</f>
        <v>950581.95000000007</v>
      </c>
      <c r="H63" s="1977">
        <f t="shared" si="40"/>
        <v>953995.74</v>
      </c>
      <c r="I63" s="1977">
        <f t="shared" si="40"/>
        <v>921118</v>
      </c>
      <c r="J63" s="1977">
        <f t="shared" si="40"/>
        <v>950421</v>
      </c>
      <c r="K63" s="1977">
        <f t="shared" si="40"/>
        <v>931540</v>
      </c>
      <c r="L63" s="1977">
        <f t="shared" si="40"/>
        <v>936240</v>
      </c>
      <c r="M63" s="1977">
        <f t="shared" si="40"/>
        <v>940940</v>
      </c>
      <c r="N63" s="1977">
        <f t="shared" si="40"/>
        <v>945640</v>
      </c>
      <c r="O63" s="1977">
        <f t="shared" si="40"/>
        <v>950340</v>
      </c>
      <c r="P63" s="1977">
        <f t="shared" si="40"/>
        <v>955140</v>
      </c>
      <c r="Q63" s="1977">
        <f t="shared" si="40"/>
        <v>959940</v>
      </c>
      <c r="R63" s="1977">
        <f t="shared" si="40"/>
        <v>964740</v>
      </c>
      <c r="S63" s="1977">
        <f t="shared" si="40"/>
        <v>969540</v>
      </c>
      <c r="T63" s="1977">
        <f t="shared" si="40"/>
        <v>974340</v>
      </c>
      <c r="U63" s="1977">
        <f t="shared" si="40"/>
        <v>979240</v>
      </c>
      <c r="V63" s="1978"/>
      <c r="W63" s="257">
        <f t="shared" si="26"/>
        <v>969540</v>
      </c>
      <c r="X63" s="257"/>
      <c r="Y63" s="257"/>
      <c r="Z63" s="564"/>
      <c r="AA63" s="1978"/>
    </row>
    <row r="64" spans="1:27">
      <c r="C64" s="1476">
        <f>IF(D64="","",MAX(C$7:C63)+1)</f>
        <v>53</v>
      </c>
      <c r="D64" s="4" t="str">
        <f t="shared" si="30"/>
        <v>Street Lights (2)</v>
      </c>
      <c r="E64" s="4"/>
      <c r="F64" s="4"/>
      <c r="G64" s="1977">
        <f t="shared" ref="G64:U64" si="41">G22+G43</f>
        <v>24098.990855741904</v>
      </c>
      <c r="H64" s="1977">
        <f t="shared" si="41"/>
        <v>25497.912826336025</v>
      </c>
      <c r="I64" s="1977">
        <f t="shared" si="41"/>
        <v>23961.962811111789</v>
      </c>
      <c r="J64" s="1977">
        <f t="shared" si="41"/>
        <v>27962.174384723989</v>
      </c>
      <c r="K64" s="1977">
        <f t="shared" si="41"/>
        <v>28615.861076429941</v>
      </c>
      <c r="L64" s="1977">
        <f t="shared" si="41"/>
        <v>29215.861076429941</v>
      </c>
      <c r="M64" s="1977">
        <f t="shared" si="41"/>
        <v>29815.861076429941</v>
      </c>
      <c r="N64" s="1977">
        <f t="shared" si="41"/>
        <v>30415.861076429941</v>
      </c>
      <c r="O64" s="1977">
        <f t="shared" si="41"/>
        <v>31015.861076429941</v>
      </c>
      <c r="P64" s="1977">
        <f t="shared" si="41"/>
        <v>31715.861076429941</v>
      </c>
      <c r="Q64" s="1977">
        <f t="shared" si="41"/>
        <v>32415.861076429941</v>
      </c>
      <c r="R64" s="1977">
        <f t="shared" si="41"/>
        <v>33115.861076429937</v>
      </c>
      <c r="S64" s="1977">
        <f t="shared" si="41"/>
        <v>33815.861076429937</v>
      </c>
      <c r="T64" s="1977">
        <f t="shared" si="41"/>
        <v>34015.861076429937</v>
      </c>
      <c r="U64" s="1977">
        <f t="shared" si="41"/>
        <v>34215.861076429937</v>
      </c>
      <c r="V64" s="1978"/>
      <c r="W64" s="257">
        <f t="shared" si="26"/>
        <v>33815.861076429937</v>
      </c>
      <c r="X64" s="565"/>
      <c r="Y64" s="565"/>
      <c r="Z64" s="564"/>
      <c r="AA64" s="1978"/>
    </row>
    <row r="65" spans="3:27">
      <c r="C65" s="1476">
        <f>IF(D65="","",MAX(C$7:C64)+1)</f>
        <v>54</v>
      </c>
      <c r="D65" s="4" t="str">
        <f t="shared" si="30"/>
        <v>Total Other Sales (PA)</v>
      </c>
      <c r="E65" s="4"/>
      <c r="F65" s="4"/>
      <c r="G65" s="1977">
        <f t="shared" ref="G65:U65" si="42">G23+G44</f>
        <v>45359.34</v>
      </c>
      <c r="H65" s="1977">
        <f t="shared" si="42"/>
        <v>50998.97</v>
      </c>
      <c r="I65" s="1977">
        <f t="shared" si="42"/>
        <v>50998.97</v>
      </c>
      <c r="J65" s="1977">
        <f t="shared" si="42"/>
        <v>50998.97</v>
      </c>
      <c r="K65" s="1977">
        <f t="shared" si="42"/>
        <v>50998.97</v>
      </c>
      <c r="L65" s="1977">
        <f t="shared" si="42"/>
        <v>52098.97</v>
      </c>
      <c r="M65" s="1977">
        <f t="shared" si="42"/>
        <v>53198.97</v>
      </c>
      <c r="N65" s="1977">
        <f t="shared" si="42"/>
        <v>54298.97</v>
      </c>
      <c r="O65" s="1977">
        <f t="shared" si="42"/>
        <v>55398.97</v>
      </c>
      <c r="P65" s="1977">
        <f t="shared" si="42"/>
        <v>56598.97</v>
      </c>
      <c r="Q65" s="1977">
        <f t="shared" si="42"/>
        <v>57798.97</v>
      </c>
      <c r="R65" s="1977">
        <f t="shared" si="42"/>
        <v>58998.97</v>
      </c>
      <c r="S65" s="1977">
        <f t="shared" si="42"/>
        <v>60198.97</v>
      </c>
      <c r="T65" s="1977">
        <f t="shared" si="42"/>
        <v>60498.97</v>
      </c>
      <c r="U65" s="1977">
        <f t="shared" si="42"/>
        <v>60798.97</v>
      </c>
      <c r="V65" s="1978"/>
      <c r="W65" s="257">
        <f t="shared" si="26"/>
        <v>60198.97</v>
      </c>
      <c r="X65" s="565"/>
      <c r="Y65" s="565"/>
      <c r="Z65" s="564"/>
      <c r="AA65" s="1978"/>
    </row>
    <row r="66" spans="3:27">
      <c r="C66" s="1476">
        <f>IF(D66="","",MAX(C$7:C65)+1)</f>
        <v>55</v>
      </c>
      <c r="D66" s="4" t="str">
        <f t="shared" si="30"/>
        <v>Alternate Power Sales</v>
      </c>
      <c r="E66" s="4"/>
      <c r="F66" s="4"/>
      <c r="G66" s="1977">
        <f t="shared" ref="G66:U66" si="43">G24+G45</f>
        <v>988.80000000000007</v>
      </c>
      <c r="H66" s="1977">
        <f t="shared" si="43"/>
        <v>0</v>
      </c>
      <c r="I66" s="1977">
        <f t="shared" si="43"/>
        <v>0</v>
      </c>
      <c r="J66" s="1977">
        <f t="shared" si="43"/>
        <v>0</v>
      </c>
      <c r="K66" s="1977">
        <f t="shared" si="43"/>
        <v>0</v>
      </c>
      <c r="L66" s="1977">
        <f t="shared" si="43"/>
        <v>0</v>
      </c>
      <c r="M66" s="1977">
        <f t="shared" si="43"/>
        <v>0</v>
      </c>
      <c r="N66" s="1977">
        <f t="shared" si="43"/>
        <v>0</v>
      </c>
      <c r="O66" s="1977">
        <f t="shared" si="43"/>
        <v>0</v>
      </c>
      <c r="P66" s="1977">
        <f t="shared" si="43"/>
        <v>0</v>
      </c>
      <c r="Q66" s="1977">
        <f t="shared" si="43"/>
        <v>0</v>
      </c>
      <c r="R66" s="1977">
        <f t="shared" si="43"/>
        <v>0</v>
      </c>
      <c r="S66" s="1977">
        <f t="shared" si="43"/>
        <v>0</v>
      </c>
      <c r="T66" s="1977">
        <f t="shared" si="43"/>
        <v>0</v>
      </c>
      <c r="U66" s="1977">
        <f t="shared" si="43"/>
        <v>0</v>
      </c>
      <c r="V66" s="1978"/>
      <c r="W66" s="257">
        <f t="shared" si="26"/>
        <v>0</v>
      </c>
      <c r="X66" s="565"/>
      <c r="Y66" s="565"/>
      <c r="Z66" s="564"/>
      <c r="AA66" s="1978"/>
    </row>
    <row r="67" spans="3:27">
      <c r="C67" s="1476">
        <f>IF(D67="","",MAX(C$7:C66)+1)</f>
        <v>56</v>
      </c>
      <c r="D67" s="309" t="s">
        <v>602</v>
      </c>
      <c r="E67" s="309"/>
      <c r="F67" s="309"/>
      <c r="G67" s="371">
        <f t="shared" ref="G67:U67" si="44">SUM(G52:G66)</f>
        <v>142599824.9369075</v>
      </c>
      <c r="H67" s="371">
        <f t="shared" si="44"/>
        <v>148914459.63354367</v>
      </c>
      <c r="I67" s="371">
        <f t="shared" si="44"/>
        <v>159571932.79850975</v>
      </c>
      <c r="J67" s="371">
        <f t="shared" si="44"/>
        <v>171259254.27856958</v>
      </c>
      <c r="K67" s="371">
        <f t="shared" si="44"/>
        <v>177888719.57935941</v>
      </c>
      <c r="L67" s="371">
        <f t="shared" si="44"/>
        <v>192821209.48191893</v>
      </c>
      <c r="M67" s="371">
        <f t="shared" si="44"/>
        <v>206814242.21355024</v>
      </c>
      <c r="N67" s="371">
        <f t="shared" si="44"/>
        <v>224364490.08328345</v>
      </c>
      <c r="O67" s="371">
        <f t="shared" si="44"/>
        <v>238710445.86055285</v>
      </c>
      <c r="P67" s="371">
        <f t="shared" si="44"/>
        <v>251309139.09909731</v>
      </c>
      <c r="Q67" s="371">
        <f t="shared" si="44"/>
        <v>263162227.39384863</v>
      </c>
      <c r="R67" s="371">
        <f t="shared" si="44"/>
        <v>276172547.17914677</v>
      </c>
      <c r="S67" s="371">
        <f t="shared" si="44"/>
        <v>290372292.35736865</v>
      </c>
      <c r="T67" s="371">
        <f t="shared" si="44"/>
        <v>302394095.65705955</v>
      </c>
      <c r="U67" s="371">
        <f t="shared" si="44"/>
        <v>314909841.54634458</v>
      </c>
      <c r="V67" s="1978"/>
      <c r="W67" s="371">
        <f>SUM(W52:W66)</f>
        <v>290372292.35736865</v>
      </c>
      <c r="X67" s="332"/>
      <c r="Y67" s="332"/>
      <c r="Z67" s="1797"/>
      <c r="AA67" s="1978"/>
    </row>
    <row r="68" spans="3:27">
      <c r="C68" s="1476" t="str">
        <f>IF(D68="","",MAX(C$7:C67)+1)</f>
        <v/>
      </c>
    </row>
    <row r="69" spans="3:27">
      <c r="C69" s="1476" t="str">
        <f>IF(D69="","",MAX(C$7:C68)+1)</f>
        <v/>
      </c>
      <c r="G69" s="4533" t="s">
        <v>2773</v>
      </c>
      <c r="H69" s="4533"/>
      <c r="I69" s="4533"/>
      <c r="J69" s="4533"/>
      <c r="K69" s="4533"/>
      <c r="L69" s="4533"/>
      <c r="M69" s="4533"/>
      <c r="N69" s="4533"/>
      <c r="O69" s="4533"/>
      <c r="P69" s="4533"/>
      <c r="Q69" s="4533"/>
      <c r="R69" s="4533"/>
      <c r="S69" s="4533"/>
      <c r="T69" s="4533"/>
      <c r="U69" s="4533"/>
    </row>
    <row r="70" spans="3:27" ht="20.25">
      <c r="C70" s="1476">
        <f>IF(D70="","",MAX(C$7:C69)+1)</f>
        <v>57</v>
      </c>
      <c r="D70" s="569" t="s">
        <v>399</v>
      </c>
      <c r="E70" s="1940"/>
      <c r="F70" s="1940"/>
      <c r="G70" s="2004">
        <f>G$7</f>
        <v>2012</v>
      </c>
      <c r="H70" s="2004">
        <f t="shared" ref="H70:U70" si="45">H$7</f>
        <v>2013</v>
      </c>
      <c r="I70" s="2004">
        <f t="shared" si="45"/>
        <v>2014</v>
      </c>
      <c r="J70" s="2004">
        <f t="shared" si="45"/>
        <v>2015</v>
      </c>
      <c r="K70" s="2004">
        <f t="shared" si="45"/>
        <v>2016</v>
      </c>
      <c r="L70" s="2004">
        <f t="shared" si="45"/>
        <v>2017</v>
      </c>
      <c r="M70" s="2004">
        <f t="shared" si="45"/>
        <v>2018</v>
      </c>
      <c r="N70" s="2004">
        <f t="shared" si="45"/>
        <v>2019</v>
      </c>
      <c r="O70" s="2004">
        <f t="shared" si="45"/>
        <v>2020</v>
      </c>
      <c r="P70" s="2004">
        <f t="shared" si="45"/>
        <v>2021</v>
      </c>
      <c r="Q70" s="2004">
        <f t="shared" si="45"/>
        <v>2022</v>
      </c>
      <c r="R70" s="2004">
        <f t="shared" si="45"/>
        <v>2023</v>
      </c>
      <c r="S70" s="2004">
        <f t="shared" si="45"/>
        <v>2024</v>
      </c>
      <c r="T70" s="2004">
        <f t="shared" si="45"/>
        <v>2025</v>
      </c>
      <c r="U70" s="2004">
        <f t="shared" si="45"/>
        <v>2026</v>
      </c>
      <c r="V70" s="1978"/>
      <c r="W70" s="1979" t="s">
        <v>3011</v>
      </c>
      <c r="X70" s="1979"/>
      <c r="Y70" s="1979"/>
      <c r="Z70" s="1979"/>
      <c r="AA70" s="1978"/>
    </row>
    <row r="71" spans="3:27">
      <c r="C71" s="1476">
        <f>IF(D71="","",MAX(C$7:C70)+1)</f>
        <v>58</v>
      </c>
      <c r="D71" s="4" t="str">
        <f>D8</f>
        <v>Residential-Urban (1)</v>
      </c>
      <c r="E71" s="4"/>
      <c r="F71" s="4"/>
      <c r="G71" s="1977">
        <f>G136</f>
        <v>0</v>
      </c>
      <c r="H71" s="1977">
        <f t="shared" ref="H71:U71" si="46">H136</f>
        <v>0</v>
      </c>
      <c r="I71" s="1977">
        <f t="shared" si="46"/>
        <v>0</v>
      </c>
      <c r="J71" s="1977">
        <f t="shared" si="46"/>
        <v>0</v>
      </c>
      <c r="K71" s="1977">
        <f t="shared" si="46"/>
        <v>0</v>
      </c>
      <c r="L71" s="1977">
        <f t="shared" si="46"/>
        <v>0</v>
      </c>
      <c r="M71" s="1977">
        <f t="shared" si="46"/>
        <v>289900</v>
      </c>
      <c r="N71" s="1977">
        <f t="shared" si="46"/>
        <v>592000</v>
      </c>
      <c r="O71" s="1977">
        <f t="shared" si="46"/>
        <v>907300</v>
      </c>
      <c r="P71" s="1977">
        <f t="shared" si="46"/>
        <v>1234700</v>
      </c>
      <c r="Q71" s="1977">
        <f t="shared" si="46"/>
        <v>1576200</v>
      </c>
      <c r="R71" s="1977">
        <f t="shared" si="46"/>
        <v>1931600</v>
      </c>
      <c r="S71" s="1977">
        <f t="shared" si="46"/>
        <v>2302600</v>
      </c>
      <c r="T71" s="1977">
        <f t="shared" si="46"/>
        <v>2686400</v>
      </c>
      <c r="U71" s="1977">
        <f t="shared" si="46"/>
        <v>2831600</v>
      </c>
      <c r="V71" s="1978"/>
      <c r="W71" s="257">
        <f t="shared" ref="W71:W87" si="47">INDEX($G71:$U71,1,MATCH($W$3,$G$7:$U$7,0))</f>
        <v>2302600</v>
      </c>
      <c r="X71" s="524"/>
      <c r="Y71" s="524"/>
      <c r="Z71" s="564"/>
      <c r="AA71" s="1978"/>
    </row>
    <row r="72" spans="3:27">
      <c r="C72" s="1476">
        <f>IF(D72="","",MAX(C$7:C71)+1)</f>
        <v>59</v>
      </c>
      <c r="D72" s="4" t="str">
        <f>D9</f>
        <v>Residential-Rural (1)</v>
      </c>
      <c r="E72" s="4"/>
      <c r="F72" s="4"/>
      <c r="G72" s="1977">
        <f>G161</f>
        <v>0</v>
      </c>
      <c r="H72" s="1977">
        <f t="shared" ref="H72:U72" si="48">H161</f>
        <v>0</v>
      </c>
      <c r="I72" s="1977">
        <f t="shared" si="48"/>
        <v>0</v>
      </c>
      <c r="J72" s="1977">
        <f t="shared" si="48"/>
        <v>0</v>
      </c>
      <c r="K72" s="1977">
        <f t="shared" si="48"/>
        <v>0</v>
      </c>
      <c r="L72" s="1977">
        <f t="shared" si="48"/>
        <v>0</v>
      </c>
      <c r="M72" s="1977">
        <f t="shared" si="48"/>
        <v>359800</v>
      </c>
      <c r="N72" s="1977">
        <f t="shared" si="48"/>
        <v>734700</v>
      </c>
      <c r="O72" s="1977">
        <f t="shared" si="48"/>
        <v>1125700</v>
      </c>
      <c r="P72" s="1977">
        <f t="shared" si="48"/>
        <v>1532300</v>
      </c>
      <c r="Q72" s="1977">
        <f t="shared" si="48"/>
        <v>1955900</v>
      </c>
      <c r="R72" s="1977">
        <f t="shared" si="48"/>
        <v>2397100</v>
      </c>
      <c r="S72" s="1977">
        <f t="shared" si="48"/>
        <v>2857200</v>
      </c>
      <c r="T72" s="1977">
        <f t="shared" si="48"/>
        <v>3333800</v>
      </c>
      <c r="U72" s="1977">
        <f t="shared" si="48"/>
        <v>3514300</v>
      </c>
      <c r="V72" s="1978"/>
      <c r="W72" s="257">
        <f t="shared" si="47"/>
        <v>2857200</v>
      </c>
      <c r="X72" s="257"/>
      <c r="Y72" s="257"/>
      <c r="Z72" s="564"/>
      <c r="AA72" s="1978"/>
    </row>
    <row r="73" spans="3:27">
      <c r="C73" s="1476">
        <f>IF(D73="","",MAX(C$7:C72)+1)</f>
        <v>60</v>
      </c>
      <c r="D73" s="1962" t="str">
        <f>D10</f>
        <v>Residential-Total (1)</v>
      </c>
      <c r="E73" s="1962"/>
      <c r="F73" s="1962"/>
      <c r="G73" s="1963">
        <f t="shared" ref="G73:U73" si="49">SUM(G71:G72)</f>
        <v>0</v>
      </c>
      <c r="H73" s="1963">
        <f t="shared" si="49"/>
        <v>0</v>
      </c>
      <c r="I73" s="1963">
        <f t="shared" si="49"/>
        <v>0</v>
      </c>
      <c r="J73" s="1963">
        <f t="shared" si="49"/>
        <v>0</v>
      </c>
      <c r="K73" s="1963">
        <f t="shared" si="49"/>
        <v>0</v>
      </c>
      <c r="L73" s="1963">
        <f t="shared" si="49"/>
        <v>0</v>
      </c>
      <c r="M73" s="1963">
        <f t="shared" si="49"/>
        <v>649700</v>
      </c>
      <c r="N73" s="1963">
        <f t="shared" si="49"/>
        <v>1326700</v>
      </c>
      <c r="O73" s="1963">
        <f t="shared" si="49"/>
        <v>2033000</v>
      </c>
      <c r="P73" s="1963">
        <f t="shared" si="49"/>
        <v>2767000</v>
      </c>
      <c r="Q73" s="1963">
        <f t="shared" si="49"/>
        <v>3532100</v>
      </c>
      <c r="R73" s="1963">
        <f t="shared" si="49"/>
        <v>4328700</v>
      </c>
      <c r="S73" s="1963">
        <f t="shared" si="49"/>
        <v>5159800</v>
      </c>
      <c r="T73" s="1963">
        <f t="shared" si="49"/>
        <v>6020200</v>
      </c>
      <c r="U73" s="1963">
        <f t="shared" si="49"/>
        <v>6345900</v>
      </c>
      <c r="V73" s="1978"/>
      <c r="W73" s="257">
        <f t="shared" si="47"/>
        <v>5159800</v>
      </c>
      <c r="X73" s="257"/>
      <c r="Y73" s="257"/>
      <c r="Z73" s="564"/>
      <c r="AA73" s="1978"/>
    </row>
    <row r="74" spans="3:27">
      <c r="C74" s="1476">
        <f>IF(D74="","",MAX(C$7:C73)+1)</f>
        <v>61</v>
      </c>
      <c r="D74" s="4" t="str">
        <f>D11</f>
        <v>Irrigation 1PH (3)</v>
      </c>
      <c r="E74" s="4"/>
      <c r="F74" s="4"/>
      <c r="G74" s="500">
        <f>G186</f>
        <v>0</v>
      </c>
      <c r="H74" s="500">
        <f t="shared" ref="H74:U74" si="50">H186</f>
        <v>0</v>
      </c>
      <c r="I74" s="500">
        <f t="shared" si="50"/>
        <v>0</v>
      </c>
      <c r="J74" s="500">
        <f t="shared" si="50"/>
        <v>0</v>
      </c>
      <c r="K74" s="500">
        <f t="shared" si="50"/>
        <v>0</v>
      </c>
      <c r="L74" s="500">
        <f t="shared" si="50"/>
        <v>0</v>
      </c>
      <c r="M74" s="500">
        <f t="shared" si="50"/>
        <v>4300</v>
      </c>
      <c r="N74" s="500">
        <f t="shared" si="50"/>
        <v>8900</v>
      </c>
      <c r="O74" s="500">
        <f t="shared" si="50"/>
        <v>13700</v>
      </c>
      <c r="P74" s="500">
        <f t="shared" si="50"/>
        <v>18800</v>
      </c>
      <c r="Q74" s="500">
        <f t="shared" si="50"/>
        <v>24200</v>
      </c>
      <c r="R74" s="500">
        <f t="shared" si="50"/>
        <v>29700</v>
      </c>
      <c r="S74" s="500">
        <f t="shared" si="50"/>
        <v>35600</v>
      </c>
      <c r="T74" s="500">
        <f t="shared" si="50"/>
        <v>41900</v>
      </c>
      <c r="U74" s="500">
        <f t="shared" si="50"/>
        <v>44400</v>
      </c>
      <c r="V74" s="1978"/>
      <c r="W74" s="257">
        <f t="shared" si="47"/>
        <v>35600</v>
      </c>
      <c r="X74" s="257"/>
      <c r="Y74" s="257"/>
      <c r="Z74" s="564"/>
      <c r="AA74" s="1978"/>
    </row>
    <row r="75" spans="3:27">
      <c r="C75" s="1476">
        <f>IF(D75="","",MAX(C$7:C74)+1)</f>
        <v>62</v>
      </c>
      <c r="D75" s="4" t="str">
        <f t="shared" ref="D75:D87" si="51">D12</f>
        <v>Irrigation 3PH (3)</v>
      </c>
      <c r="E75" s="4"/>
      <c r="F75" s="4"/>
      <c r="G75" s="500">
        <f>G211</f>
        <v>0</v>
      </c>
      <c r="H75" s="500">
        <f t="shared" ref="H75:U75" si="52">H211</f>
        <v>0</v>
      </c>
      <c r="I75" s="500">
        <f t="shared" si="52"/>
        <v>0</v>
      </c>
      <c r="J75" s="500">
        <f t="shared" si="52"/>
        <v>0</v>
      </c>
      <c r="K75" s="500">
        <f t="shared" si="52"/>
        <v>0</v>
      </c>
      <c r="L75" s="500">
        <f t="shared" si="52"/>
        <v>0</v>
      </c>
      <c r="M75" s="500">
        <f t="shared" si="52"/>
        <v>826800</v>
      </c>
      <c r="N75" s="500">
        <f t="shared" si="52"/>
        <v>1699100</v>
      </c>
      <c r="O75" s="500">
        <f t="shared" si="52"/>
        <v>2618800</v>
      </c>
      <c r="P75" s="500">
        <f t="shared" si="52"/>
        <v>3587800</v>
      </c>
      <c r="Q75" s="500">
        <f t="shared" si="52"/>
        <v>4608300</v>
      </c>
      <c r="R75" s="500">
        <f t="shared" si="52"/>
        <v>5682100</v>
      </c>
      <c r="S75" s="500">
        <f t="shared" si="52"/>
        <v>6811800</v>
      </c>
      <c r="T75" s="500">
        <f t="shared" si="52"/>
        <v>7999000</v>
      </c>
      <c r="U75" s="500">
        <f t="shared" si="52"/>
        <v>8517600</v>
      </c>
      <c r="V75" s="1978"/>
      <c r="W75" s="257">
        <f t="shared" si="47"/>
        <v>6811800</v>
      </c>
      <c r="X75" s="257"/>
      <c r="Y75" s="257"/>
      <c r="Z75" s="564"/>
      <c r="AA75" s="1978"/>
    </row>
    <row r="76" spans="3:27">
      <c r="C76" s="1476">
        <f>IF(D76="","",MAX(C$7:C75)+1)</f>
        <v>63</v>
      </c>
      <c r="D76" s="4" t="str">
        <f t="shared" si="51"/>
        <v>General Service 1PH (2)</v>
      </c>
      <c r="E76" s="4"/>
      <c r="F76" s="4"/>
      <c r="G76" s="500">
        <f>G236</f>
        <v>0</v>
      </c>
      <c r="H76" s="500">
        <f t="shared" ref="H76:U76" si="53">H236</f>
        <v>0</v>
      </c>
      <c r="I76" s="500">
        <f t="shared" si="53"/>
        <v>0</v>
      </c>
      <c r="J76" s="500">
        <f t="shared" si="53"/>
        <v>0</v>
      </c>
      <c r="K76" s="500">
        <f t="shared" si="53"/>
        <v>0</v>
      </c>
      <c r="L76" s="500">
        <f t="shared" si="53"/>
        <v>0</v>
      </c>
      <c r="M76" s="500">
        <f t="shared" si="53"/>
        <v>121000</v>
      </c>
      <c r="N76" s="500">
        <f t="shared" si="53"/>
        <v>249000</v>
      </c>
      <c r="O76" s="500">
        <f t="shared" si="53"/>
        <v>384300</v>
      </c>
      <c r="P76" s="500">
        <f t="shared" si="53"/>
        <v>527100</v>
      </c>
      <c r="Q76" s="500">
        <f t="shared" si="53"/>
        <v>677600</v>
      </c>
      <c r="R76" s="500">
        <f t="shared" si="53"/>
        <v>836100</v>
      </c>
      <c r="S76" s="500">
        <f t="shared" si="53"/>
        <v>1002700</v>
      </c>
      <c r="T76" s="500">
        <f t="shared" si="53"/>
        <v>1177700</v>
      </c>
      <c r="U76" s="500">
        <f t="shared" si="53"/>
        <v>1236400</v>
      </c>
      <c r="V76" s="1978"/>
      <c r="W76" s="257">
        <f t="shared" si="47"/>
        <v>1002700</v>
      </c>
      <c r="X76" s="257"/>
      <c r="Y76" s="257"/>
      <c r="Z76" s="564"/>
      <c r="AA76" s="1978"/>
    </row>
    <row r="77" spans="3:27">
      <c r="C77" s="1476">
        <f>IF(D77="","",MAX(C$7:C76)+1)</f>
        <v>64</v>
      </c>
      <c r="D77" s="4" t="str">
        <f t="shared" si="51"/>
        <v>General Service 3PH (2)</v>
      </c>
      <c r="E77" s="4"/>
      <c r="F77" s="4"/>
      <c r="G77" s="500">
        <f>G261</f>
        <v>0</v>
      </c>
      <c r="H77" s="500">
        <f t="shared" ref="H77:U77" si="54">H261</f>
        <v>0</v>
      </c>
      <c r="I77" s="500">
        <f t="shared" si="54"/>
        <v>0</v>
      </c>
      <c r="J77" s="500">
        <f t="shared" si="54"/>
        <v>0</v>
      </c>
      <c r="K77" s="500">
        <f t="shared" si="54"/>
        <v>0</v>
      </c>
      <c r="L77" s="500">
        <f t="shared" si="54"/>
        <v>0</v>
      </c>
      <c r="M77" s="500">
        <f t="shared" si="54"/>
        <v>388000</v>
      </c>
      <c r="N77" s="500">
        <f t="shared" si="54"/>
        <v>797300</v>
      </c>
      <c r="O77" s="500">
        <f t="shared" si="54"/>
        <v>1228500</v>
      </c>
      <c r="P77" s="500">
        <f t="shared" si="54"/>
        <v>1682300</v>
      </c>
      <c r="Q77" s="500">
        <f t="shared" si="54"/>
        <v>2159000</v>
      </c>
      <c r="R77" s="500">
        <f t="shared" si="54"/>
        <v>2659900</v>
      </c>
      <c r="S77" s="500">
        <f t="shared" si="54"/>
        <v>3185000</v>
      </c>
      <c r="T77" s="500">
        <f t="shared" si="54"/>
        <v>3735600</v>
      </c>
      <c r="U77" s="500">
        <f t="shared" si="54"/>
        <v>3915200</v>
      </c>
      <c r="V77" s="1978"/>
      <c r="W77" s="257">
        <f t="shared" si="47"/>
        <v>3185000</v>
      </c>
      <c r="X77" s="257"/>
      <c r="Y77" s="257"/>
      <c r="Z77" s="564"/>
      <c r="AA77" s="1978"/>
    </row>
    <row r="78" spans="3:27">
      <c r="C78" s="1476">
        <f>IF(D78="","",MAX(C$7:C77)+1)</f>
        <v>65</v>
      </c>
      <c r="D78" s="4" t="str">
        <f t="shared" si="51"/>
        <v>Large General Service (7)</v>
      </c>
      <c r="E78" s="4"/>
      <c r="F78" s="4"/>
      <c r="G78" s="500">
        <f>G286</f>
        <v>0</v>
      </c>
      <c r="H78" s="500">
        <f t="shared" ref="H78:U78" si="55">H286</f>
        <v>0</v>
      </c>
      <c r="I78" s="500">
        <f t="shared" si="55"/>
        <v>0</v>
      </c>
      <c r="J78" s="500">
        <f t="shared" si="55"/>
        <v>0</v>
      </c>
      <c r="K78" s="500">
        <f t="shared" si="55"/>
        <v>0</v>
      </c>
      <c r="L78" s="500">
        <f t="shared" si="55"/>
        <v>0</v>
      </c>
      <c r="M78" s="500">
        <f t="shared" si="55"/>
        <v>81800</v>
      </c>
      <c r="N78" s="500">
        <f t="shared" si="55"/>
        <v>167600</v>
      </c>
      <c r="O78" s="500">
        <f t="shared" si="55"/>
        <v>257100</v>
      </c>
      <c r="P78" s="500">
        <f t="shared" si="55"/>
        <v>354200</v>
      </c>
      <c r="Q78" s="500">
        <f t="shared" si="55"/>
        <v>453000</v>
      </c>
      <c r="R78" s="500">
        <f t="shared" si="55"/>
        <v>555900</v>
      </c>
      <c r="S78" s="500">
        <f t="shared" si="55"/>
        <v>667400</v>
      </c>
      <c r="T78" s="500">
        <f t="shared" si="55"/>
        <v>780400</v>
      </c>
      <c r="U78" s="500">
        <f t="shared" si="55"/>
        <v>854100</v>
      </c>
      <c r="V78" s="1978"/>
      <c r="W78" s="257">
        <f t="shared" si="47"/>
        <v>667400</v>
      </c>
      <c r="X78" s="257"/>
      <c r="Y78" s="257"/>
      <c r="Z78" s="564"/>
      <c r="AA78" s="1978"/>
    </row>
    <row r="79" spans="3:27">
      <c r="C79" s="1476">
        <f>IF(D79="","",MAX(C$7:C78)+1)</f>
        <v>66</v>
      </c>
      <c r="D79" s="4" t="str">
        <f t="shared" si="51"/>
        <v>Industrial (14)</v>
      </c>
      <c r="E79" s="4"/>
      <c r="F79" s="4"/>
      <c r="G79" s="500">
        <f>G311</f>
        <v>0</v>
      </c>
      <c r="H79" s="500">
        <f t="shared" ref="H79:U79" si="56">H311</f>
        <v>0</v>
      </c>
      <c r="I79" s="500">
        <f t="shared" si="56"/>
        <v>0</v>
      </c>
      <c r="J79" s="500">
        <f t="shared" si="56"/>
        <v>0</v>
      </c>
      <c r="K79" s="500">
        <f t="shared" si="56"/>
        <v>0</v>
      </c>
      <c r="L79" s="500">
        <f t="shared" si="56"/>
        <v>0</v>
      </c>
      <c r="M79" s="500">
        <f t="shared" si="56"/>
        <v>789600</v>
      </c>
      <c r="N79" s="500">
        <f t="shared" si="56"/>
        <v>1859800</v>
      </c>
      <c r="O79" s="500">
        <f t="shared" si="56"/>
        <v>3317100</v>
      </c>
      <c r="P79" s="500">
        <f t="shared" si="56"/>
        <v>4891600</v>
      </c>
      <c r="Q79" s="500">
        <f t="shared" si="56"/>
        <v>6723000</v>
      </c>
      <c r="R79" s="500">
        <f t="shared" si="56"/>
        <v>8588700</v>
      </c>
      <c r="S79" s="500">
        <f t="shared" si="56"/>
        <v>10697600</v>
      </c>
      <c r="T79" s="500">
        <f t="shared" si="56"/>
        <v>13020600</v>
      </c>
      <c r="U79" s="500">
        <f t="shared" si="56"/>
        <v>14577500</v>
      </c>
      <c r="V79" s="1978"/>
      <c r="W79" s="257">
        <f t="shared" si="47"/>
        <v>10697600</v>
      </c>
      <c r="X79" s="257"/>
      <c r="Y79" s="257"/>
      <c r="Z79" s="564"/>
      <c r="AA79" s="1978"/>
    </row>
    <row r="80" spans="3:27">
      <c r="C80" s="1476">
        <f>IF(D80="","",MAX(C$7:C79)+1)</f>
        <v>67</v>
      </c>
      <c r="D80" s="4" t="str">
        <f t="shared" si="51"/>
        <v>Large Industrial (15)</v>
      </c>
      <c r="E80" s="4"/>
      <c r="F80" s="4"/>
      <c r="G80" s="500">
        <f>G336</f>
        <v>0</v>
      </c>
      <c r="H80" s="500">
        <f t="shared" ref="H80:U80" si="57">H336</f>
        <v>0</v>
      </c>
      <c r="I80" s="500">
        <f t="shared" si="57"/>
        <v>0</v>
      </c>
      <c r="J80" s="500">
        <f t="shared" si="57"/>
        <v>0</v>
      </c>
      <c r="K80" s="500">
        <f t="shared" si="57"/>
        <v>0</v>
      </c>
      <c r="L80" s="500">
        <f t="shared" si="57"/>
        <v>0</v>
      </c>
      <c r="M80" s="500">
        <f t="shared" si="57"/>
        <v>426700</v>
      </c>
      <c r="N80" s="500">
        <f t="shared" si="57"/>
        <v>937900</v>
      </c>
      <c r="O80" s="500">
        <f t="shared" si="57"/>
        <v>1546300</v>
      </c>
      <c r="P80" s="500">
        <f t="shared" si="57"/>
        <v>2271200</v>
      </c>
      <c r="Q80" s="500">
        <f t="shared" si="57"/>
        <v>2969700</v>
      </c>
      <c r="R80" s="500">
        <f t="shared" si="57"/>
        <v>3744000</v>
      </c>
      <c r="S80" s="500">
        <f t="shared" si="57"/>
        <v>4600000</v>
      </c>
      <c r="T80" s="500">
        <f t="shared" si="57"/>
        <v>5419600</v>
      </c>
      <c r="U80" s="500">
        <f t="shared" si="57"/>
        <v>8682000</v>
      </c>
      <c r="V80" s="1978"/>
      <c r="W80" s="257">
        <f t="shared" si="47"/>
        <v>4600000</v>
      </c>
      <c r="X80" s="257"/>
      <c r="Y80" s="257"/>
      <c r="Z80" s="564"/>
      <c r="AA80" s="1978"/>
    </row>
    <row r="81" spans="3:27">
      <c r="C81" s="1476">
        <f>IF(D81="","",MAX(C$7:C80)+1)</f>
        <v>68</v>
      </c>
      <c r="D81" s="4" t="str">
        <f t="shared" si="51"/>
        <v>Agricultural Processing (16)</v>
      </c>
      <c r="E81" s="4"/>
      <c r="F81" s="4"/>
      <c r="G81" s="500">
        <f>G361</f>
        <v>0</v>
      </c>
      <c r="H81" s="500">
        <f t="shared" ref="H81:U81" si="58">H361</f>
        <v>0</v>
      </c>
      <c r="I81" s="500">
        <f t="shared" si="58"/>
        <v>0</v>
      </c>
      <c r="J81" s="500">
        <f t="shared" si="58"/>
        <v>0</v>
      </c>
      <c r="K81" s="500">
        <f t="shared" si="58"/>
        <v>0</v>
      </c>
      <c r="L81" s="500">
        <f t="shared" si="58"/>
        <v>0</v>
      </c>
      <c r="M81" s="500">
        <f t="shared" si="58"/>
        <v>507200</v>
      </c>
      <c r="N81" s="500">
        <f t="shared" si="58"/>
        <v>1156600</v>
      </c>
      <c r="O81" s="500">
        <f t="shared" si="58"/>
        <v>1790300</v>
      </c>
      <c r="P81" s="500">
        <f t="shared" si="58"/>
        <v>2455900</v>
      </c>
      <c r="Q81" s="500">
        <f t="shared" si="58"/>
        <v>3164000</v>
      </c>
      <c r="R81" s="500">
        <f t="shared" si="58"/>
        <v>3914200</v>
      </c>
      <c r="S81" s="500">
        <f t="shared" si="58"/>
        <v>4715900</v>
      </c>
      <c r="T81" s="500">
        <f t="shared" si="58"/>
        <v>5549500</v>
      </c>
      <c r="U81" s="500">
        <f t="shared" si="58"/>
        <v>6439900</v>
      </c>
      <c r="V81" s="1978"/>
      <c r="W81" s="257">
        <f t="shared" si="47"/>
        <v>4715900</v>
      </c>
      <c r="X81" s="257"/>
      <c r="Y81" s="257"/>
      <c r="Z81" s="564"/>
      <c r="AA81" s="1978"/>
    </row>
    <row r="82" spans="3:27">
      <c r="C82" s="1476">
        <f>IF(D82="","",MAX(C$7:C81)+1)</f>
        <v>69</v>
      </c>
      <c r="D82" s="4" t="str">
        <f t="shared" si="51"/>
        <v>Agricultural Boiler (85)</v>
      </c>
      <c r="E82" s="4"/>
      <c r="F82" s="4"/>
      <c r="G82" s="500">
        <f>G386</f>
        <v>0</v>
      </c>
      <c r="H82" s="500">
        <f t="shared" ref="H82:U82" si="59">H386</f>
        <v>0</v>
      </c>
      <c r="I82" s="500">
        <f t="shared" si="59"/>
        <v>0</v>
      </c>
      <c r="J82" s="500">
        <f t="shared" si="59"/>
        <v>0</v>
      </c>
      <c r="K82" s="500">
        <f t="shared" si="59"/>
        <v>0</v>
      </c>
      <c r="L82" s="500">
        <f t="shared" si="59"/>
        <v>0</v>
      </c>
      <c r="M82" s="500">
        <f t="shared" si="59"/>
        <v>700</v>
      </c>
      <c r="N82" s="500">
        <f t="shared" si="59"/>
        <v>1400</v>
      </c>
      <c r="O82" s="500">
        <f t="shared" si="59"/>
        <v>2100</v>
      </c>
      <c r="P82" s="500">
        <f t="shared" si="59"/>
        <v>2900</v>
      </c>
      <c r="Q82" s="500">
        <f t="shared" si="59"/>
        <v>3700</v>
      </c>
      <c r="R82" s="500">
        <f t="shared" si="59"/>
        <v>4500</v>
      </c>
      <c r="S82" s="500">
        <f t="shared" si="59"/>
        <v>5400</v>
      </c>
      <c r="T82" s="500">
        <f t="shared" si="59"/>
        <v>6300</v>
      </c>
      <c r="U82" s="500">
        <f t="shared" si="59"/>
        <v>7300</v>
      </c>
      <c r="V82" s="1978"/>
      <c r="W82" s="257">
        <f t="shared" si="47"/>
        <v>5400</v>
      </c>
      <c r="X82" s="257"/>
      <c r="Y82" s="257"/>
      <c r="Z82" s="564"/>
      <c r="AA82" s="1978"/>
    </row>
    <row r="83" spans="3:27">
      <c r="C83" s="1476">
        <f>IF(D83="","",MAX(C$7:C82)+1)</f>
        <v>70</v>
      </c>
      <c r="D83" s="4" t="str">
        <f t="shared" si="51"/>
        <v>Industrial (94)</v>
      </c>
      <c r="E83" s="4"/>
      <c r="F83" s="4"/>
      <c r="G83" s="500">
        <f>G411</f>
        <v>0</v>
      </c>
      <c r="H83" s="500">
        <f t="shared" ref="H83:U83" si="60">H411</f>
        <v>0</v>
      </c>
      <c r="I83" s="500">
        <f t="shared" si="60"/>
        <v>0</v>
      </c>
      <c r="J83" s="500">
        <f t="shared" si="60"/>
        <v>0</v>
      </c>
      <c r="K83" s="500">
        <f t="shared" si="60"/>
        <v>0</v>
      </c>
      <c r="L83" s="500">
        <f t="shared" si="60"/>
        <v>0</v>
      </c>
      <c r="M83" s="500">
        <f t="shared" si="60"/>
        <v>36800</v>
      </c>
      <c r="N83" s="500">
        <f t="shared" si="60"/>
        <v>94100</v>
      </c>
      <c r="O83" s="500">
        <f t="shared" si="60"/>
        <v>96900</v>
      </c>
      <c r="P83" s="500">
        <f t="shared" si="60"/>
        <v>26900</v>
      </c>
      <c r="Q83" s="500">
        <f t="shared" si="60"/>
        <v>0</v>
      </c>
      <c r="R83" s="500">
        <f t="shared" si="60"/>
        <v>0</v>
      </c>
      <c r="S83" s="500">
        <f t="shared" si="60"/>
        <v>0</v>
      </c>
      <c r="T83" s="500">
        <f t="shared" si="60"/>
        <v>0</v>
      </c>
      <c r="U83" s="500">
        <f t="shared" si="60"/>
        <v>0</v>
      </c>
      <c r="V83" s="1978"/>
      <c r="W83" s="257">
        <f t="shared" si="47"/>
        <v>0</v>
      </c>
      <c r="X83" s="257"/>
      <c r="Y83" s="257"/>
      <c r="Z83" s="564"/>
      <c r="AA83" s="1978"/>
    </row>
    <row r="84" spans="3:27">
      <c r="C84" s="1476">
        <f>IF(D84="","",MAX(C$7:C83)+1)</f>
        <v>71</v>
      </c>
      <c r="D84" s="4" t="str">
        <f t="shared" si="51"/>
        <v>Street Lights (6)</v>
      </c>
      <c r="E84" s="4"/>
      <c r="F84" s="4"/>
      <c r="G84" s="500">
        <f>G436</f>
        <v>0</v>
      </c>
      <c r="H84" s="500">
        <f t="shared" ref="H84:U84" si="61">H436</f>
        <v>0</v>
      </c>
      <c r="I84" s="500">
        <f t="shared" si="61"/>
        <v>0</v>
      </c>
      <c r="J84" s="500">
        <f t="shared" si="61"/>
        <v>0</v>
      </c>
      <c r="K84" s="500">
        <f t="shared" si="61"/>
        <v>0</v>
      </c>
      <c r="L84" s="500">
        <f t="shared" si="61"/>
        <v>0</v>
      </c>
      <c r="M84" s="500">
        <f t="shared" si="61"/>
        <v>4700</v>
      </c>
      <c r="N84" s="500">
        <f t="shared" si="61"/>
        <v>9400</v>
      </c>
      <c r="O84" s="500">
        <f t="shared" si="61"/>
        <v>14100</v>
      </c>
      <c r="P84" s="500">
        <f t="shared" si="61"/>
        <v>18800</v>
      </c>
      <c r="Q84" s="500">
        <f t="shared" si="61"/>
        <v>23600</v>
      </c>
      <c r="R84" s="500">
        <f t="shared" si="61"/>
        <v>28400</v>
      </c>
      <c r="S84" s="500">
        <f t="shared" si="61"/>
        <v>33200</v>
      </c>
      <c r="T84" s="500">
        <f t="shared" si="61"/>
        <v>38000</v>
      </c>
      <c r="U84" s="500">
        <f t="shared" si="61"/>
        <v>42800</v>
      </c>
      <c r="V84" s="1978"/>
      <c r="W84" s="257">
        <f t="shared" si="47"/>
        <v>33200</v>
      </c>
      <c r="X84" s="257"/>
      <c r="Y84" s="257"/>
      <c r="Z84" s="564"/>
      <c r="AA84" s="1978"/>
    </row>
    <row r="85" spans="3:27">
      <c r="C85" s="1476">
        <f>IF(D85="","",MAX(C$7:C84)+1)</f>
        <v>72</v>
      </c>
      <c r="D85" s="4" t="str">
        <f t="shared" si="51"/>
        <v>Street Lights (2)</v>
      </c>
      <c r="E85" s="4"/>
      <c r="F85" s="4"/>
      <c r="G85" s="500">
        <f>G461</f>
        <v>0</v>
      </c>
      <c r="H85" s="500">
        <f t="shared" ref="H85:U85" si="62">H461</f>
        <v>0</v>
      </c>
      <c r="I85" s="500">
        <f t="shared" si="62"/>
        <v>0</v>
      </c>
      <c r="J85" s="500">
        <f t="shared" si="62"/>
        <v>0</v>
      </c>
      <c r="K85" s="500">
        <f t="shared" si="62"/>
        <v>0</v>
      </c>
      <c r="L85" s="500">
        <f t="shared" si="62"/>
        <v>0</v>
      </c>
      <c r="M85" s="500">
        <f t="shared" si="62"/>
        <v>600</v>
      </c>
      <c r="N85" s="500">
        <f t="shared" si="62"/>
        <v>1200</v>
      </c>
      <c r="O85" s="500">
        <f t="shared" si="62"/>
        <v>1800</v>
      </c>
      <c r="P85" s="500">
        <f t="shared" si="62"/>
        <v>2400</v>
      </c>
      <c r="Q85" s="500">
        <f t="shared" si="62"/>
        <v>3100</v>
      </c>
      <c r="R85" s="500">
        <f t="shared" si="62"/>
        <v>3800</v>
      </c>
      <c r="S85" s="500">
        <f t="shared" si="62"/>
        <v>4500</v>
      </c>
      <c r="T85" s="500">
        <f t="shared" si="62"/>
        <v>5200</v>
      </c>
      <c r="U85" s="500">
        <f t="shared" si="62"/>
        <v>5400</v>
      </c>
      <c r="V85" s="1978"/>
      <c r="W85" s="257">
        <f t="shared" si="47"/>
        <v>4500</v>
      </c>
      <c r="X85" s="565"/>
      <c r="Y85" s="565"/>
      <c r="Z85" s="564"/>
      <c r="AA85" s="1978"/>
    </row>
    <row r="86" spans="3:27">
      <c r="C86" s="1476">
        <f>IF(D86="","",MAX(C$7:C85)+1)</f>
        <v>73</v>
      </c>
      <c r="D86" s="4" t="str">
        <f t="shared" si="51"/>
        <v>Total Other Sales (PA)</v>
      </c>
      <c r="E86" s="4"/>
      <c r="F86" s="4"/>
      <c r="G86" s="500">
        <f>G486</f>
        <v>0</v>
      </c>
      <c r="H86" s="500">
        <f t="shared" ref="H86:U86" si="63">H486</f>
        <v>0</v>
      </c>
      <c r="I86" s="500">
        <f t="shared" si="63"/>
        <v>0</v>
      </c>
      <c r="J86" s="500">
        <f t="shared" si="63"/>
        <v>0</v>
      </c>
      <c r="K86" s="500">
        <f t="shared" si="63"/>
        <v>0</v>
      </c>
      <c r="L86" s="500">
        <f t="shared" si="63"/>
        <v>0</v>
      </c>
      <c r="M86" s="500">
        <f t="shared" si="63"/>
        <v>1100</v>
      </c>
      <c r="N86" s="500">
        <f t="shared" si="63"/>
        <v>2200</v>
      </c>
      <c r="O86" s="500">
        <f t="shared" si="63"/>
        <v>3300</v>
      </c>
      <c r="P86" s="500">
        <f t="shared" si="63"/>
        <v>4400</v>
      </c>
      <c r="Q86" s="500">
        <f t="shared" si="63"/>
        <v>5600</v>
      </c>
      <c r="R86" s="500">
        <f t="shared" si="63"/>
        <v>6800</v>
      </c>
      <c r="S86" s="500">
        <f t="shared" si="63"/>
        <v>8000</v>
      </c>
      <c r="T86" s="500">
        <f t="shared" si="63"/>
        <v>9200</v>
      </c>
      <c r="U86" s="500">
        <f t="shared" si="63"/>
        <v>9500</v>
      </c>
      <c r="V86" s="1978"/>
      <c r="W86" s="257">
        <f t="shared" si="47"/>
        <v>8000</v>
      </c>
      <c r="X86" s="565"/>
      <c r="Y86" s="565"/>
      <c r="Z86" s="564"/>
      <c r="AA86" s="1978"/>
    </row>
    <row r="87" spans="3:27">
      <c r="C87" s="1476">
        <f>IF(D87="","",MAX(C$7:C86)+1)</f>
        <v>74</v>
      </c>
      <c r="D87" s="4" t="str">
        <f t="shared" si="51"/>
        <v>Alternate Power Sales</v>
      </c>
      <c r="E87" s="4"/>
      <c r="F87" s="4"/>
      <c r="G87" s="1927">
        <f>G511</f>
        <v>0</v>
      </c>
      <c r="H87" s="1927">
        <f t="shared" ref="H87:U87" si="64">H511</f>
        <v>0</v>
      </c>
      <c r="I87" s="1927">
        <f t="shared" si="64"/>
        <v>0</v>
      </c>
      <c r="J87" s="1927">
        <f t="shared" si="64"/>
        <v>0</v>
      </c>
      <c r="K87" s="1927">
        <f t="shared" si="64"/>
        <v>0</v>
      </c>
      <c r="L87" s="1927">
        <f t="shared" si="64"/>
        <v>0</v>
      </c>
      <c r="M87" s="1927">
        <f t="shared" si="64"/>
        <v>0</v>
      </c>
      <c r="N87" s="1927">
        <f t="shared" si="64"/>
        <v>0</v>
      </c>
      <c r="O87" s="1927">
        <f t="shared" si="64"/>
        <v>0</v>
      </c>
      <c r="P87" s="1927">
        <f t="shared" si="64"/>
        <v>0</v>
      </c>
      <c r="Q87" s="1927">
        <f t="shared" si="64"/>
        <v>0</v>
      </c>
      <c r="R87" s="1927">
        <f t="shared" si="64"/>
        <v>0</v>
      </c>
      <c r="S87" s="1927">
        <f t="shared" si="64"/>
        <v>0</v>
      </c>
      <c r="T87" s="1927">
        <f t="shared" si="64"/>
        <v>0</v>
      </c>
      <c r="U87" s="1927">
        <f t="shared" si="64"/>
        <v>0</v>
      </c>
      <c r="V87" s="1978"/>
      <c r="W87" s="257">
        <f t="shared" si="47"/>
        <v>0</v>
      </c>
      <c r="X87" s="565"/>
      <c r="Y87" s="565"/>
      <c r="Z87" s="564"/>
      <c r="AA87" s="1978"/>
    </row>
    <row r="88" spans="3:27">
      <c r="C88" s="1476">
        <f>IF(D88="","",MAX(C$7:C87)+1)</f>
        <v>75</v>
      </c>
      <c r="D88" s="309" t="s">
        <v>602</v>
      </c>
      <c r="E88" s="309"/>
      <c r="F88" s="309"/>
      <c r="G88" s="339">
        <f t="shared" ref="G88:U88" si="65">SUM(G73:G87)</f>
        <v>0</v>
      </c>
      <c r="H88" s="339">
        <f t="shared" si="65"/>
        <v>0</v>
      </c>
      <c r="I88" s="339">
        <f t="shared" si="65"/>
        <v>0</v>
      </c>
      <c r="J88" s="339">
        <f t="shared" si="65"/>
        <v>0</v>
      </c>
      <c r="K88" s="339">
        <f>SUM(K73:K87)</f>
        <v>0</v>
      </c>
      <c r="L88" s="339">
        <f t="shared" si="65"/>
        <v>0</v>
      </c>
      <c r="M88" s="339">
        <f t="shared" si="65"/>
        <v>3839000</v>
      </c>
      <c r="N88" s="339">
        <f t="shared" si="65"/>
        <v>8311200</v>
      </c>
      <c r="O88" s="339">
        <f t="shared" si="65"/>
        <v>13307300</v>
      </c>
      <c r="P88" s="339">
        <f t="shared" si="65"/>
        <v>18611300</v>
      </c>
      <c r="Q88" s="339">
        <f t="shared" si="65"/>
        <v>24346900</v>
      </c>
      <c r="R88" s="339">
        <f t="shared" si="65"/>
        <v>30382800</v>
      </c>
      <c r="S88" s="339">
        <f t="shared" si="65"/>
        <v>36926900</v>
      </c>
      <c r="T88" s="339">
        <f t="shared" si="65"/>
        <v>43803200</v>
      </c>
      <c r="U88" s="339">
        <f t="shared" si="65"/>
        <v>50678000</v>
      </c>
      <c r="V88" s="1978"/>
      <c r="W88" s="371">
        <f>SUM(W73:W87)</f>
        <v>36926900</v>
      </c>
      <c r="X88" s="332"/>
      <c r="Y88" s="332"/>
      <c r="Z88" s="1797"/>
      <c r="AA88" s="1978"/>
    </row>
    <row r="89" spans="3:27">
      <c r="C89" s="1476" t="str">
        <f>IF(D89="","",MAX(C$7:C88)+1)</f>
        <v/>
      </c>
      <c r="K89" s="424"/>
    </row>
    <row r="90" spans="3:27">
      <c r="C90" s="1476" t="str">
        <f>IF(D90="","",MAX(C$7:C89)+1)</f>
        <v/>
      </c>
      <c r="G90" s="4533" t="s">
        <v>2776</v>
      </c>
      <c r="H90" s="4533"/>
      <c r="I90" s="4533"/>
      <c r="J90" s="4533"/>
      <c r="K90" s="4533"/>
      <c r="L90" s="4533"/>
      <c r="M90" s="4533"/>
      <c r="N90" s="4533"/>
      <c r="O90" s="4533"/>
      <c r="P90" s="4533"/>
      <c r="Q90" s="4533"/>
      <c r="R90" s="4533"/>
      <c r="S90" s="4533"/>
      <c r="T90" s="4533"/>
      <c r="U90" s="4533"/>
    </row>
    <row r="91" spans="3:27" ht="20.25">
      <c r="C91" s="1476">
        <f>IF(D91="","",MAX(C$7:C90)+1)</f>
        <v>76</v>
      </c>
      <c r="D91" s="569" t="s">
        <v>399</v>
      </c>
      <c r="G91" s="2004">
        <f>G$7</f>
        <v>2012</v>
      </c>
      <c r="H91" s="2004">
        <f t="shared" ref="H91:U91" si="66">H$7</f>
        <v>2013</v>
      </c>
      <c r="I91" s="2004">
        <f t="shared" si="66"/>
        <v>2014</v>
      </c>
      <c r="J91" s="2004">
        <f t="shared" si="66"/>
        <v>2015</v>
      </c>
      <c r="K91" s="2004">
        <f t="shared" si="66"/>
        <v>2016</v>
      </c>
      <c r="L91" s="2004">
        <f t="shared" si="66"/>
        <v>2017</v>
      </c>
      <c r="M91" s="2004">
        <f t="shared" si="66"/>
        <v>2018</v>
      </c>
      <c r="N91" s="2004">
        <f t="shared" si="66"/>
        <v>2019</v>
      </c>
      <c r="O91" s="2004">
        <f t="shared" si="66"/>
        <v>2020</v>
      </c>
      <c r="P91" s="2004">
        <f t="shared" si="66"/>
        <v>2021</v>
      </c>
      <c r="Q91" s="2004">
        <f t="shared" si="66"/>
        <v>2022</v>
      </c>
      <c r="R91" s="2004">
        <f t="shared" si="66"/>
        <v>2023</v>
      </c>
      <c r="S91" s="2004">
        <f t="shared" si="66"/>
        <v>2024</v>
      </c>
      <c r="T91" s="2004">
        <f t="shared" si="66"/>
        <v>2025</v>
      </c>
      <c r="U91" s="2004">
        <f t="shared" si="66"/>
        <v>2026</v>
      </c>
      <c r="V91" s="1978"/>
      <c r="W91" s="1979" t="s">
        <v>3011</v>
      </c>
      <c r="X91" s="1979"/>
      <c r="Y91" s="1979"/>
      <c r="Z91" s="1979"/>
      <c r="AA91" s="1978"/>
    </row>
    <row r="92" spans="3:27">
      <c r="C92" s="1476">
        <f>IF(D92="","",MAX(C$7:C91)+1)</f>
        <v>77</v>
      </c>
      <c r="D92" s="4" t="str">
        <f>D8</f>
        <v>Residential-Urban (1)</v>
      </c>
      <c r="E92" s="4"/>
      <c r="F92" s="4"/>
      <c r="G92" s="1977">
        <f>G8+G71</f>
        <v>17166552.616957277</v>
      </c>
      <c r="H92" s="1977">
        <f t="shared" ref="H92:U92" si="67">H8+H71</f>
        <v>18904435.365022231</v>
      </c>
      <c r="I92" s="1977">
        <f t="shared" si="67"/>
        <v>19136168.310945936</v>
      </c>
      <c r="J92" s="1977">
        <f>J8+J71</f>
        <v>18472179.041710887</v>
      </c>
      <c r="K92" s="1977">
        <f t="shared" si="67"/>
        <v>19336694.712858964</v>
      </c>
      <c r="L92" s="1977">
        <f t="shared" si="67"/>
        <v>19590733.990148757</v>
      </c>
      <c r="M92" s="1977">
        <f t="shared" si="67"/>
        <v>20149168.915104184</v>
      </c>
      <c r="N92" s="1977">
        <f t="shared" si="67"/>
        <v>20723634.527240977</v>
      </c>
      <c r="O92" s="1977">
        <f t="shared" si="67"/>
        <v>21326470.625645872</v>
      </c>
      <c r="P92" s="1977">
        <f t="shared" si="67"/>
        <v>21923538.406242598</v>
      </c>
      <c r="Q92" s="1977">
        <f t="shared" si="67"/>
        <v>22549976.150653373</v>
      </c>
      <c r="R92" s="1977">
        <f t="shared" si="67"/>
        <v>23194539.872481164</v>
      </c>
      <c r="S92" s="1977">
        <f>S8+S71</f>
        <v>23870689.237511843</v>
      </c>
      <c r="T92" s="1977">
        <f t="shared" si="67"/>
        <v>24540945.06943683</v>
      </c>
      <c r="U92" s="1977">
        <f t="shared" si="67"/>
        <v>24988495.785932973</v>
      </c>
      <c r="V92" s="1978"/>
      <c r="W92" s="257">
        <f t="shared" ref="W92:W108" si="68">INDEX($G92:$U92,1,MATCH($W$3,$G$7:$U$7,0))</f>
        <v>23870689.237511843</v>
      </c>
      <c r="X92" s="524"/>
      <c r="Y92" s="524"/>
      <c r="Z92" s="564"/>
      <c r="AA92" s="1978"/>
    </row>
    <row r="93" spans="3:27">
      <c r="C93" s="1476">
        <f>IF(D93="","",MAX(C$7:C92)+1)</f>
        <v>78</v>
      </c>
      <c r="D93" s="4" t="str">
        <f>D9</f>
        <v>Residential-Rural (1)</v>
      </c>
      <c r="E93" s="4"/>
      <c r="F93" s="4"/>
      <c r="G93" s="1977">
        <f>G9+G72</f>
        <v>18950419.145152789</v>
      </c>
      <c r="H93" s="1977">
        <f t="shared" ref="H93:U93" si="69">H9+H72</f>
        <v>20639017.209508725</v>
      </c>
      <c r="I93" s="1977">
        <f t="shared" si="69"/>
        <v>20990467.340879861</v>
      </c>
      <c r="J93" s="1977">
        <f t="shared" si="69"/>
        <v>22952601.947685834</v>
      </c>
      <c r="K93" s="1977">
        <f t="shared" si="69"/>
        <v>23993912.742000487</v>
      </c>
      <c r="L93" s="1977">
        <f t="shared" si="69"/>
        <v>24312960.822319925</v>
      </c>
      <c r="M93" s="1977">
        <f t="shared" si="69"/>
        <v>25005943.987634547</v>
      </c>
      <c r="N93" s="1977">
        <f t="shared" si="69"/>
        <v>25718885.534128118</v>
      </c>
      <c r="O93" s="1977">
        <f t="shared" si="69"/>
        <v>26462703.257363044</v>
      </c>
      <c r="P93" s="1977">
        <f t="shared" si="69"/>
        <v>27207960.273892164</v>
      </c>
      <c r="Q93" s="1977">
        <f t="shared" si="69"/>
        <v>27985125.385239583</v>
      </c>
      <c r="R93" s="1977">
        <f t="shared" si="69"/>
        <v>28785198.611573271</v>
      </c>
      <c r="S93" s="1977">
        <f t="shared" si="69"/>
        <v>29619759.682764068</v>
      </c>
      <c r="T93" s="1977">
        <f t="shared" si="69"/>
        <v>30455844.364543937</v>
      </c>
      <c r="U93" s="1977">
        <f t="shared" si="69"/>
        <v>31011556.904028587</v>
      </c>
      <c r="V93" s="1978"/>
      <c r="W93" s="257">
        <f t="shared" si="68"/>
        <v>29619759.682764068</v>
      </c>
      <c r="X93" s="257"/>
      <c r="Y93" s="257"/>
      <c r="Z93" s="564"/>
      <c r="AA93" s="1978"/>
    </row>
    <row r="94" spans="3:27">
      <c r="C94" s="1476">
        <f>IF(D94="","",MAX(C$7:C93)+1)</f>
        <v>79</v>
      </c>
      <c r="D94" s="1962" t="str">
        <f>D10</f>
        <v>Residential-Total (1)</v>
      </c>
      <c r="E94" s="1962"/>
      <c r="F94" s="1962"/>
      <c r="G94" s="1963">
        <f t="shared" ref="G94:U94" si="70">SUM(G92:G93)</f>
        <v>36116971.762110069</v>
      </c>
      <c r="H94" s="1963">
        <f t="shared" si="70"/>
        <v>39543452.574530959</v>
      </c>
      <c r="I94" s="1963">
        <f t="shared" si="70"/>
        <v>40126635.651825801</v>
      </c>
      <c r="J94" s="1963">
        <f t="shared" si="70"/>
        <v>41424780.989396721</v>
      </c>
      <c r="K94" s="1963">
        <f t="shared" si="70"/>
        <v>43330607.45485945</v>
      </c>
      <c r="L94" s="1963">
        <f t="shared" si="70"/>
        <v>43903694.812468678</v>
      </c>
      <c r="M94" s="1963">
        <f t="shared" si="70"/>
        <v>45155112.902738735</v>
      </c>
      <c r="N94" s="1963">
        <f t="shared" si="70"/>
        <v>46442520.061369091</v>
      </c>
      <c r="O94" s="1963">
        <f t="shared" si="70"/>
        <v>47789173.883008912</v>
      </c>
      <c r="P94" s="1963">
        <f t="shared" si="70"/>
        <v>49131498.680134758</v>
      </c>
      <c r="Q94" s="1963">
        <f t="shared" si="70"/>
        <v>50535101.535892956</v>
      </c>
      <c r="R94" s="1963">
        <f t="shared" si="70"/>
        <v>51979738.484054431</v>
      </c>
      <c r="S94" s="1963">
        <f t="shared" si="70"/>
        <v>53490448.920275912</v>
      </c>
      <c r="T94" s="1963">
        <f t="shared" si="70"/>
        <v>54996789.433980763</v>
      </c>
      <c r="U94" s="1963">
        <f t="shared" si="70"/>
        <v>56000052.68996156</v>
      </c>
      <c r="V94" s="1978"/>
      <c r="W94" s="257">
        <f t="shared" si="68"/>
        <v>53490448.920275912</v>
      </c>
      <c r="X94" s="257"/>
      <c r="Y94" s="257"/>
      <c r="Z94" s="564"/>
      <c r="AA94" s="1978"/>
    </row>
    <row r="95" spans="3:27">
      <c r="C95" s="1476">
        <f>IF(D95="","",MAX(C$7:C94)+1)</f>
        <v>80</v>
      </c>
      <c r="D95" s="4" t="str">
        <f>D11</f>
        <v>Irrigation 1PH (3)</v>
      </c>
      <c r="E95" s="4"/>
      <c r="F95" s="4"/>
      <c r="G95" s="1977">
        <f t="shared" ref="G95:U95" si="71">G11+G74</f>
        <v>107371.76383914506</v>
      </c>
      <c r="H95" s="1977">
        <f t="shared" si="71"/>
        <v>119918.27523401253</v>
      </c>
      <c r="I95" s="1977">
        <f t="shared" si="71"/>
        <v>120111.37862680378</v>
      </c>
      <c r="J95" s="1977">
        <f t="shared" si="71"/>
        <v>114623.49474349229</v>
      </c>
      <c r="K95" s="1977">
        <f t="shared" si="71"/>
        <v>128449.55351881217</v>
      </c>
      <c r="L95" s="1977">
        <f t="shared" si="71"/>
        <v>125042.81266601148</v>
      </c>
      <c r="M95" s="1977">
        <f t="shared" si="71"/>
        <v>130537.85547780368</v>
      </c>
      <c r="N95" s="1977">
        <f t="shared" si="71"/>
        <v>136332.89828959585</v>
      </c>
      <c r="O95" s="1977">
        <f t="shared" si="71"/>
        <v>142327.94110138807</v>
      </c>
      <c r="P95" s="1977">
        <f t="shared" si="71"/>
        <v>148622.98391318024</v>
      </c>
      <c r="Q95" s="1977">
        <f t="shared" si="71"/>
        <v>155225.12496294541</v>
      </c>
      <c r="R95" s="1977">
        <f t="shared" si="71"/>
        <v>161920.16777473761</v>
      </c>
      <c r="S95" s="1977">
        <f t="shared" si="71"/>
        <v>169022.30882450278</v>
      </c>
      <c r="T95" s="1977">
        <f t="shared" si="71"/>
        <v>176517.35163629492</v>
      </c>
      <c r="U95" s="1977">
        <f t="shared" si="71"/>
        <v>180219.49268606011</v>
      </c>
      <c r="V95" s="1978"/>
      <c r="W95" s="257">
        <f t="shared" si="68"/>
        <v>169022.30882450278</v>
      </c>
      <c r="X95" s="257"/>
      <c r="Y95" s="257"/>
      <c r="Z95" s="564"/>
      <c r="AA95" s="1978"/>
    </row>
    <row r="96" spans="3:27">
      <c r="C96" s="1476">
        <f>IF(D96="","",MAX(C$7:C95)+1)</f>
        <v>81</v>
      </c>
      <c r="D96" s="4" t="str">
        <f t="shared" ref="D96:D108" si="72">D12</f>
        <v>Irrigation 3PH (3)</v>
      </c>
      <c r="E96" s="4"/>
      <c r="F96" s="4"/>
      <c r="G96" s="1977">
        <f t="shared" ref="G96:U96" si="73">G12+G75</f>
        <v>19403672.826194827</v>
      </c>
      <c r="H96" s="1977">
        <f t="shared" si="73"/>
        <v>20778895.542416293</v>
      </c>
      <c r="I96" s="1977">
        <f t="shared" si="73"/>
        <v>22908868.701116808</v>
      </c>
      <c r="J96" s="1977">
        <f t="shared" si="73"/>
        <v>21814332.42621718</v>
      </c>
      <c r="K96" s="1977">
        <f t="shared" si="73"/>
        <v>24511826.846337378</v>
      </c>
      <c r="L96" s="1977">
        <f t="shared" si="73"/>
        <v>23802967.511445262</v>
      </c>
      <c r="M96" s="1977">
        <f t="shared" si="73"/>
        <v>24873588.598757297</v>
      </c>
      <c r="N96" s="1977">
        <f t="shared" si="73"/>
        <v>25989709.686069328</v>
      </c>
      <c r="O96" s="1977">
        <f t="shared" si="73"/>
        <v>27153230.77338136</v>
      </c>
      <c r="P96" s="1977">
        <f t="shared" si="73"/>
        <v>28366051.860693388</v>
      </c>
      <c r="Q96" s="1977">
        <f t="shared" si="73"/>
        <v>29632046.695960548</v>
      </c>
      <c r="R96" s="1977">
        <f t="shared" si="73"/>
        <v>30949667.78327259</v>
      </c>
      <c r="S96" s="1977">
        <f t="shared" si="73"/>
        <v>32324862.618539739</v>
      </c>
      <c r="T96" s="1977">
        <f t="shared" si="73"/>
        <v>33755883.705851771</v>
      </c>
      <c r="U96" s="1977">
        <f t="shared" si="73"/>
        <v>34519978.54111892</v>
      </c>
      <c r="V96" s="1978"/>
      <c r="W96" s="257">
        <f t="shared" si="68"/>
        <v>32324862.618539739</v>
      </c>
      <c r="X96" s="257"/>
      <c r="Y96" s="257"/>
      <c r="Z96" s="564"/>
      <c r="AA96" s="1978"/>
    </row>
    <row r="97" spans="3:27">
      <c r="C97" s="1476">
        <f>IF(D97="","",MAX(C$7:C96)+1)</f>
        <v>82</v>
      </c>
      <c r="D97" s="4" t="str">
        <f t="shared" si="72"/>
        <v>General Service 1PH (2)</v>
      </c>
      <c r="E97" s="4"/>
      <c r="F97" s="4"/>
      <c r="G97" s="1977">
        <f t="shared" ref="G97:U97" si="74">G13+G76</f>
        <v>4725560.5448806863</v>
      </c>
      <c r="H97" s="1977">
        <f t="shared" si="74"/>
        <v>5115872.840530253</v>
      </c>
      <c r="I97" s="1977">
        <f t="shared" si="74"/>
        <v>5227059.1380780386</v>
      </c>
      <c r="J97" s="1977">
        <f t="shared" si="74"/>
        <v>5153647.285265848</v>
      </c>
      <c r="K97" s="1977">
        <f t="shared" si="74"/>
        <v>5525746.9312623013</v>
      </c>
      <c r="L97" s="1977">
        <f t="shared" si="74"/>
        <v>5629270.2527403878</v>
      </c>
      <c r="M97" s="1977">
        <f t="shared" si="74"/>
        <v>5854518.6684612539</v>
      </c>
      <c r="N97" s="1977">
        <f t="shared" si="74"/>
        <v>6087016.1836531507</v>
      </c>
      <c r="O97" s="1977">
        <f t="shared" si="74"/>
        <v>6327433.0394708626</v>
      </c>
      <c r="P97" s="1977">
        <f t="shared" si="74"/>
        <v>6575644.1960220532</v>
      </c>
      <c r="Q97" s="1977">
        <f t="shared" si="74"/>
        <v>6832258.1939055948</v>
      </c>
      <c r="R97" s="1977">
        <f t="shared" si="74"/>
        <v>7097332.2441678811</v>
      </c>
      <c r="S97" s="1977">
        <f t="shared" si="74"/>
        <v>7370755.3092198726</v>
      </c>
      <c r="T97" s="1977">
        <f t="shared" si="74"/>
        <v>7653286.2588644642</v>
      </c>
      <c r="U97" s="1977">
        <f t="shared" si="74"/>
        <v>7819752.4940176811</v>
      </c>
      <c r="V97" s="1978"/>
      <c r="W97" s="257">
        <f t="shared" si="68"/>
        <v>7370755.3092198726</v>
      </c>
      <c r="X97" s="257"/>
      <c r="Y97" s="257"/>
      <c r="Z97" s="564"/>
      <c r="AA97" s="1978"/>
    </row>
    <row r="98" spans="3:27">
      <c r="C98" s="1476">
        <f>IF(D98="","",MAX(C$7:C97)+1)</f>
        <v>83</v>
      </c>
      <c r="D98" s="4" t="str">
        <f t="shared" si="72"/>
        <v>General Service 3PH (2)</v>
      </c>
      <c r="E98" s="4"/>
      <c r="F98" s="4"/>
      <c r="G98" s="1977">
        <f t="shared" ref="G98:U98" si="75">G14+G77</f>
        <v>13574496.204319455</v>
      </c>
      <c r="H98" s="1977">
        <f t="shared" si="75"/>
        <v>14939137.70937879</v>
      </c>
      <c r="I98" s="1977">
        <f t="shared" si="75"/>
        <v>15445983.00985509</v>
      </c>
      <c r="J98" s="1977">
        <f t="shared" si="75"/>
        <v>16158443.361835815</v>
      </c>
      <c r="K98" s="1977">
        <f t="shared" si="75"/>
        <v>17770349.756580301</v>
      </c>
      <c r="L98" s="1977">
        <f t="shared" si="75"/>
        <v>18075506.084716599</v>
      </c>
      <c r="M98" s="1977">
        <f t="shared" si="75"/>
        <v>18769943.356784482</v>
      </c>
      <c r="N98" s="1977">
        <f t="shared" si="75"/>
        <v>19486084.338430934</v>
      </c>
      <c r="O98" s="1977">
        <f t="shared" si="75"/>
        <v>20224506.86224601</v>
      </c>
      <c r="P98" s="1977">
        <f t="shared" si="75"/>
        <v>20986099.138346761</v>
      </c>
      <c r="Q98" s="1977">
        <f t="shared" si="75"/>
        <v>21770923.169275559</v>
      </c>
      <c r="R98" s="1977">
        <f t="shared" si="75"/>
        <v>22580254.871217843</v>
      </c>
      <c r="S98" s="1977">
        <f t="shared" si="75"/>
        <v>23414189.858713653</v>
      </c>
      <c r="T98" s="1977">
        <f t="shared" si="75"/>
        <v>24274331.732198149</v>
      </c>
      <c r="U98" s="1977">
        <f t="shared" si="75"/>
        <v>24763826.391469259</v>
      </c>
      <c r="V98" s="1978"/>
      <c r="W98" s="257">
        <f t="shared" si="68"/>
        <v>23414189.858713653</v>
      </c>
      <c r="X98" s="257"/>
      <c r="Y98" s="257"/>
      <c r="Z98" s="564"/>
      <c r="AA98" s="1978"/>
    </row>
    <row r="99" spans="3:27">
      <c r="C99" s="1476">
        <f>IF(D99="","",MAX(C$7:C98)+1)</f>
        <v>84</v>
      </c>
      <c r="D99" s="4" t="str">
        <f t="shared" si="72"/>
        <v>Large General Service (7)</v>
      </c>
      <c r="E99" s="4"/>
      <c r="F99" s="4"/>
      <c r="G99" s="1977">
        <f t="shared" ref="G99:U99" si="76">G15+G78</f>
        <v>7438935.5642427718</v>
      </c>
      <c r="H99" s="1977">
        <f t="shared" si="76"/>
        <v>8170856.7544106143</v>
      </c>
      <c r="I99" s="1977">
        <f t="shared" si="76"/>
        <v>6665093.6592082828</v>
      </c>
      <c r="J99" s="1977">
        <f t="shared" si="76"/>
        <v>8766062.0633190237</v>
      </c>
      <c r="K99" s="1977">
        <f t="shared" si="76"/>
        <v>8163610.1982922778</v>
      </c>
      <c r="L99" s="1977">
        <f t="shared" si="76"/>
        <v>8335845.0008362718</v>
      </c>
      <c r="M99" s="1977">
        <f t="shared" si="76"/>
        <v>8579506.0688136742</v>
      </c>
      <c r="N99" s="1977">
        <f t="shared" si="76"/>
        <v>8827167.1367910709</v>
      </c>
      <c r="O99" s="1977">
        <f t="shared" si="76"/>
        <v>9067332.7882560082</v>
      </c>
      <c r="P99" s="1977">
        <f t="shared" si="76"/>
        <v>9418419.8067345899</v>
      </c>
      <c r="Q99" s="1977">
        <f t="shared" si="76"/>
        <v>9679080.8747119885</v>
      </c>
      <c r="R99" s="1977">
        <f t="shared" si="76"/>
        <v>9943841.9426893871</v>
      </c>
      <c r="S99" s="1977">
        <f t="shared" si="76"/>
        <v>10285911.025710687</v>
      </c>
      <c r="T99" s="1977">
        <f t="shared" si="76"/>
        <v>10572994.612632906</v>
      </c>
      <c r="U99" s="1977">
        <f t="shared" si="76"/>
        <v>10889486.214599004</v>
      </c>
      <c r="V99" s="1978"/>
      <c r="W99" s="257">
        <f t="shared" si="68"/>
        <v>10285911.025710687</v>
      </c>
      <c r="X99" s="257"/>
      <c r="Y99" s="257"/>
      <c r="Z99" s="564"/>
      <c r="AA99" s="1978"/>
    </row>
    <row r="100" spans="3:27">
      <c r="C100" s="1476">
        <f>IF(D100="","",MAX(C$7:C99)+1)</f>
        <v>85</v>
      </c>
      <c r="D100" s="4" t="str">
        <f t="shared" si="72"/>
        <v>Industrial (14)</v>
      </c>
      <c r="E100" s="4"/>
      <c r="F100" s="4"/>
      <c r="G100" s="1977">
        <f t="shared" ref="G100:U100" si="77">G16+G79</f>
        <v>4674033.6654059952</v>
      </c>
      <c r="H100" s="1977">
        <f t="shared" si="77"/>
        <v>6364288.438032195</v>
      </c>
      <c r="I100" s="1977">
        <f t="shared" si="77"/>
        <v>9498049.0266200192</v>
      </c>
      <c r="J100" s="1977">
        <f t="shared" si="77"/>
        <v>10707815.790265961</v>
      </c>
      <c r="K100" s="1977">
        <f t="shared" si="77"/>
        <v>11291095.306770664</v>
      </c>
      <c r="L100" s="1977">
        <f t="shared" si="77"/>
        <v>13900883.269670105</v>
      </c>
      <c r="M100" s="1977">
        <f t="shared" si="77"/>
        <v>16582310.970608944</v>
      </c>
      <c r="N100" s="1977">
        <f t="shared" si="77"/>
        <v>20004357.128910389</v>
      </c>
      <c r="O100" s="1977">
        <f t="shared" si="77"/>
        <v>24361136.33062144</v>
      </c>
      <c r="P100" s="1977">
        <f t="shared" si="77"/>
        <v>27589996.339451</v>
      </c>
      <c r="Q100" s="1977">
        <f t="shared" si="77"/>
        <v>31056864.593313333</v>
      </c>
      <c r="R100" s="1977">
        <f t="shared" si="77"/>
        <v>33842872.775753453</v>
      </c>
      <c r="S100" s="1977">
        <f t="shared" si="77"/>
        <v>36974914.605053663</v>
      </c>
      <c r="T100" s="1977">
        <f t="shared" si="77"/>
        <v>40291488.738364697</v>
      </c>
      <c r="U100" s="1977">
        <f t="shared" si="77"/>
        <v>42647854.563841105</v>
      </c>
      <c r="V100" s="1978"/>
      <c r="W100" s="257">
        <f t="shared" si="68"/>
        <v>36974914.605053663</v>
      </c>
      <c r="X100" s="257"/>
      <c r="Y100" s="257"/>
      <c r="Z100" s="564"/>
      <c r="AA100" s="1978"/>
    </row>
    <row r="101" spans="3:27">
      <c r="C101" s="1476">
        <f>IF(D101="","",MAX(C$7:C100)+1)</f>
        <v>86</v>
      </c>
      <c r="D101" s="4" t="str">
        <f t="shared" si="72"/>
        <v>Large Industrial (15)</v>
      </c>
      <c r="E101" s="4"/>
      <c r="F101" s="4"/>
      <c r="G101" s="1977">
        <f t="shared" ref="G101:U101" si="78">G17+G80</f>
        <v>49739861.890301749</v>
      </c>
      <c r="H101" s="1977">
        <f t="shared" si="78"/>
        <v>45475796.683017857</v>
      </c>
      <c r="I101" s="1977">
        <f t="shared" si="78"/>
        <v>49337820.498001933</v>
      </c>
      <c r="J101" s="1977">
        <f t="shared" si="78"/>
        <v>57093260.338718966</v>
      </c>
      <c r="K101" s="1977">
        <f t="shared" si="78"/>
        <v>55537498.876017138</v>
      </c>
      <c r="L101" s="1977">
        <f t="shared" si="78"/>
        <v>60104173.471371785</v>
      </c>
      <c r="M101" s="1977">
        <f t="shared" si="78"/>
        <v>65574246.868791394</v>
      </c>
      <c r="N101" s="1977">
        <f t="shared" si="78"/>
        <v>72301676.061670348</v>
      </c>
      <c r="O101" s="1977">
        <f t="shared" si="78"/>
        <v>79728087.415281668</v>
      </c>
      <c r="P101" s="1977">
        <f t="shared" si="78"/>
        <v>88111464.840078488</v>
      </c>
      <c r="Q101" s="1977">
        <f t="shared" si="78"/>
        <v>92468329.959206671</v>
      </c>
      <c r="R101" s="1977">
        <f t="shared" si="78"/>
        <v>97465663.406699643</v>
      </c>
      <c r="S101" s="1977">
        <f t="shared" si="78"/>
        <v>102973786.09443644</v>
      </c>
      <c r="T101" s="1977">
        <f t="shared" si="78"/>
        <v>106499780.51590812</v>
      </c>
      <c r="U101" s="1977">
        <f t="shared" si="78"/>
        <v>112689935.46382579</v>
      </c>
      <c r="V101" s="1978"/>
      <c r="W101" s="257">
        <f t="shared" si="68"/>
        <v>102973786.09443644</v>
      </c>
      <c r="X101" s="257"/>
      <c r="Y101" s="257"/>
      <c r="Z101" s="564"/>
      <c r="AA101" s="1978"/>
    </row>
    <row r="102" spans="3:27">
      <c r="C102" s="1476">
        <f>IF(D102="","",MAX(C$7:C101)+1)</f>
        <v>87</v>
      </c>
      <c r="D102" s="4" t="str">
        <f t="shared" si="72"/>
        <v>Agricultural Processing (16)</v>
      </c>
      <c r="E102" s="4"/>
      <c r="F102" s="4"/>
      <c r="G102" s="1977">
        <f t="shared" ref="G102:U102" si="79">G18+G81</f>
        <v>5661514.5857013334</v>
      </c>
      <c r="H102" s="1977">
        <f t="shared" si="79"/>
        <v>7021301.1308399132</v>
      </c>
      <c r="I102" s="1977">
        <f t="shared" si="79"/>
        <v>7919688.2089324063</v>
      </c>
      <c r="J102" s="1977">
        <f t="shared" si="79"/>
        <v>8984245.1695211921</v>
      </c>
      <c r="K102" s="1977">
        <f t="shared" si="79"/>
        <v>9530339.7387739029</v>
      </c>
      <c r="L102" s="1977">
        <f t="shared" si="79"/>
        <v>10038493.700286243</v>
      </c>
      <c r="M102" s="1977">
        <f t="shared" si="79"/>
        <v>10650345.318966553</v>
      </c>
      <c r="N102" s="1977">
        <f t="shared" si="79"/>
        <v>12440656.471414171</v>
      </c>
      <c r="O102" s="1977">
        <f t="shared" si="79"/>
        <v>13148018.262523709</v>
      </c>
      <c r="P102" s="1977">
        <f t="shared" si="79"/>
        <v>13851869.178446734</v>
      </c>
      <c r="Q102" s="1977">
        <f t="shared" si="79"/>
        <v>14616345.553469464</v>
      </c>
      <c r="R102" s="1977">
        <f t="shared" si="79"/>
        <v>15423203.810367303</v>
      </c>
      <c r="S102" s="1977">
        <f t="shared" si="79"/>
        <v>16300049.923444636</v>
      </c>
      <c r="T102" s="1977">
        <f t="shared" si="79"/>
        <v>17172671.614472874</v>
      </c>
      <c r="U102" s="1977">
        <f t="shared" si="79"/>
        <v>18120584.001675732</v>
      </c>
      <c r="V102" s="1978"/>
      <c r="W102" s="257">
        <f t="shared" si="68"/>
        <v>16300049.923444636</v>
      </c>
      <c r="X102" s="257"/>
      <c r="Y102" s="257"/>
      <c r="Z102" s="564"/>
      <c r="AA102" s="1978"/>
    </row>
    <row r="103" spans="3:27">
      <c r="C103" s="1476">
        <f>IF(D103="","",MAX(C$7:C102)+1)</f>
        <v>88</v>
      </c>
      <c r="D103" s="4" t="str">
        <f t="shared" si="72"/>
        <v>Agricultural Boiler (85)</v>
      </c>
      <c r="E103" s="4"/>
      <c r="F103" s="4"/>
      <c r="G103" s="1977">
        <f t="shared" ref="G103:U103" si="80">G19+G82</f>
        <v>136377.04905569571</v>
      </c>
      <c r="H103" s="1977">
        <f t="shared" si="80"/>
        <v>12058.299905415506</v>
      </c>
      <c r="I103" s="1977">
        <f t="shared" si="80"/>
        <v>12058.299905415506</v>
      </c>
      <c r="J103" s="1977">
        <f t="shared" si="80"/>
        <v>12661.214900686282</v>
      </c>
      <c r="K103" s="1977">
        <f t="shared" si="80"/>
        <v>13296.862073089371</v>
      </c>
      <c r="L103" s="1977">
        <f t="shared" si="80"/>
        <v>13296.862073089371</v>
      </c>
      <c r="M103" s="1977">
        <f t="shared" si="80"/>
        <v>13996.862073089371</v>
      </c>
      <c r="N103" s="1977">
        <f t="shared" si="80"/>
        <v>14696.862073089371</v>
      </c>
      <c r="O103" s="1977">
        <f t="shared" si="80"/>
        <v>15396.862073089371</v>
      </c>
      <c r="P103" s="1977">
        <f t="shared" si="80"/>
        <v>16196.862073089371</v>
      </c>
      <c r="Q103" s="1977">
        <f t="shared" si="80"/>
        <v>16996.862073089371</v>
      </c>
      <c r="R103" s="1977">
        <f t="shared" si="80"/>
        <v>17796.862073089371</v>
      </c>
      <c r="S103" s="1977">
        <f t="shared" si="80"/>
        <v>18696.862073089371</v>
      </c>
      <c r="T103" s="1977">
        <f t="shared" si="80"/>
        <v>19596.862073089371</v>
      </c>
      <c r="U103" s="1977">
        <f t="shared" si="80"/>
        <v>20596.862073089371</v>
      </c>
      <c r="V103" s="1978"/>
      <c r="W103" s="257">
        <f t="shared" si="68"/>
        <v>18696.862073089371</v>
      </c>
      <c r="X103" s="257"/>
      <c r="Y103" s="257"/>
      <c r="Z103" s="564"/>
      <c r="AA103" s="1978"/>
    </row>
    <row r="104" spans="3:27">
      <c r="C104" s="1476">
        <f>IF(D104="","",MAX(C$7:C103)+1)</f>
        <v>89</v>
      </c>
      <c r="D104" s="4" t="str">
        <f t="shared" si="72"/>
        <v>Industrial (94)</v>
      </c>
      <c r="E104" s="4"/>
      <c r="F104" s="4"/>
      <c r="G104" s="1977">
        <f t="shared" ref="G104:U104" si="81">G20+G83</f>
        <v>0</v>
      </c>
      <c r="H104" s="1977">
        <f t="shared" si="81"/>
        <v>342388.76242103451</v>
      </c>
      <c r="I104" s="1977">
        <f t="shared" si="81"/>
        <v>1314486.2935280628</v>
      </c>
      <c r="J104" s="1977">
        <f t="shared" si="81"/>
        <v>0</v>
      </c>
      <c r="K104" s="1977">
        <f t="shared" si="81"/>
        <v>1074743.2237976061</v>
      </c>
      <c r="L104" s="1977">
        <f t="shared" si="81"/>
        <v>4211280.8725680821</v>
      </c>
      <c r="M104" s="1977">
        <f t="shared" si="81"/>
        <v>5656079.9110005591</v>
      </c>
      <c r="N104" s="1977">
        <f t="shared" si="81"/>
        <v>7258918.423535835</v>
      </c>
      <c r="O104" s="1977">
        <f t="shared" si="81"/>
        <v>5001846.8715119669</v>
      </c>
      <c r="P104" s="1977">
        <f t="shared" si="81"/>
        <v>1042820.3821267956</v>
      </c>
      <c r="Q104" s="1977">
        <f t="shared" si="81"/>
        <v>0</v>
      </c>
      <c r="R104" s="1977">
        <f t="shared" si="81"/>
        <v>0</v>
      </c>
      <c r="S104" s="1977">
        <f t="shared" si="81"/>
        <v>0</v>
      </c>
      <c r="T104" s="1977">
        <f t="shared" si="81"/>
        <v>0</v>
      </c>
      <c r="U104" s="1977">
        <f t="shared" si="81"/>
        <v>0</v>
      </c>
      <c r="V104" s="1978"/>
      <c r="W104" s="257">
        <f t="shared" si="68"/>
        <v>0</v>
      </c>
      <c r="X104" s="257"/>
      <c r="Y104" s="257"/>
      <c r="Z104" s="564"/>
      <c r="AA104" s="1978"/>
    </row>
    <row r="105" spans="3:27">
      <c r="C105" s="1476">
        <f>IF(D105="","",MAX(C$7:C104)+1)</f>
        <v>90</v>
      </c>
      <c r="D105" s="4" t="str">
        <f t="shared" si="72"/>
        <v>Street Lights (6)</v>
      </c>
      <c r="E105" s="4"/>
      <c r="F105" s="4"/>
      <c r="G105" s="1977">
        <f t="shared" ref="G105:U105" si="82">G21+G84</f>
        <v>950581.95000000007</v>
      </c>
      <c r="H105" s="1977">
        <f t="shared" si="82"/>
        <v>953995.74</v>
      </c>
      <c r="I105" s="1977">
        <f t="shared" si="82"/>
        <v>921118</v>
      </c>
      <c r="J105" s="1977">
        <f t="shared" si="82"/>
        <v>950421</v>
      </c>
      <c r="K105" s="1977">
        <f t="shared" si="82"/>
        <v>931540</v>
      </c>
      <c r="L105" s="1977">
        <f t="shared" si="82"/>
        <v>931540</v>
      </c>
      <c r="M105" s="1977">
        <f t="shared" si="82"/>
        <v>936240</v>
      </c>
      <c r="N105" s="1977">
        <f t="shared" si="82"/>
        <v>940940</v>
      </c>
      <c r="O105" s="1977">
        <f t="shared" si="82"/>
        <v>945640</v>
      </c>
      <c r="P105" s="1977">
        <f t="shared" si="82"/>
        <v>950340</v>
      </c>
      <c r="Q105" s="1977">
        <f t="shared" si="82"/>
        <v>955140</v>
      </c>
      <c r="R105" s="1977">
        <f t="shared" si="82"/>
        <v>959940</v>
      </c>
      <c r="S105" s="1977">
        <f t="shared" si="82"/>
        <v>964740</v>
      </c>
      <c r="T105" s="1977">
        <f t="shared" si="82"/>
        <v>969540</v>
      </c>
      <c r="U105" s="1977">
        <f t="shared" si="82"/>
        <v>974340</v>
      </c>
      <c r="V105" s="1978"/>
      <c r="W105" s="257">
        <f t="shared" si="68"/>
        <v>964740</v>
      </c>
      <c r="X105" s="257"/>
      <c r="Y105" s="257"/>
      <c r="Z105" s="564"/>
      <c r="AA105" s="1978"/>
    </row>
    <row r="106" spans="3:27">
      <c r="C106" s="1476">
        <f>IF(D106="","",MAX(C$7:C105)+1)</f>
        <v>91</v>
      </c>
      <c r="D106" s="4" t="str">
        <f t="shared" si="72"/>
        <v>Street Lights (2)</v>
      </c>
      <c r="E106" s="4"/>
      <c r="F106" s="4"/>
      <c r="G106" s="1977">
        <f t="shared" ref="G106:U106" si="83">G22+G85</f>
        <v>24098.990855741904</v>
      </c>
      <c r="H106" s="1977">
        <f t="shared" si="83"/>
        <v>25497.912826336025</v>
      </c>
      <c r="I106" s="1977">
        <f t="shared" si="83"/>
        <v>23961.962811111789</v>
      </c>
      <c r="J106" s="1977">
        <f t="shared" si="83"/>
        <v>27962.174384723989</v>
      </c>
      <c r="K106" s="1977">
        <f t="shared" si="83"/>
        <v>28615.861076429941</v>
      </c>
      <c r="L106" s="1977">
        <f t="shared" si="83"/>
        <v>28615.861076429941</v>
      </c>
      <c r="M106" s="1977">
        <f t="shared" si="83"/>
        <v>29215.861076429941</v>
      </c>
      <c r="N106" s="1977">
        <f t="shared" si="83"/>
        <v>29815.861076429941</v>
      </c>
      <c r="O106" s="1977">
        <f t="shared" si="83"/>
        <v>30415.861076429941</v>
      </c>
      <c r="P106" s="1977">
        <f t="shared" si="83"/>
        <v>31015.861076429941</v>
      </c>
      <c r="Q106" s="1977">
        <f t="shared" si="83"/>
        <v>31715.861076429941</v>
      </c>
      <c r="R106" s="1977">
        <f t="shared" si="83"/>
        <v>32415.861076429941</v>
      </c>
      <c r="S106" s="1977">
        <f t="shared" si="83"/>
        <v>33115.861076429937</v>
      </c>
      <c r="T106" s="1977">
        <f t="shared" si="83"/>
        <v>33815.861076429937</v>
      </c>
      <c r="U106" s="1977">
        <f t="shared" si="83"/>
        <v>34015.861076429937</v>
      </c>
      <c r="V106" s="1978"/>
      <c r="W106" s="257">
        <f t="shared" si="68"/>
        <v>33115.861076429937</v>
      </c>
      <c r="X106" s="565"/>
      <c r="Y106" s="565"/>
      <c r="Z106" s="564"/>
      <c r="AA106" s="1978"/>
    </row>
    <row r="107" spans="3:27">
      <c r="C107" s="1476">
        <f>IF(D107="","",MAX(C$7:C106)+1)</f>
        <v>92</v>
      </c>
      <c r="D107" s="4" t="str">
        <f t="shared" si="72"/>
        <v>Total Other Sales (PA)</v>
      </c>
      <c r="E107" s="4"/>
      <c r="F107" s="4"/>
      <c r="G107" s="1977">
        <f t="shared" ref="G107:U107" si="84">G23+G86</f>
        <v>45359.34</v>
      </c>
      <c r="H107" s="1977">
        <f t="shared" si="84"/>
        <v>50998.97</v>
      </c>
      <c r="I107" s="1977">
        <f t="shared" si="84"/>
        <v>50998.97</v>
      </c>
      <c r="J107" s="1977">
        <f t="shared" si="84"/>
        <v>50998.97</v>
      </c>
      <c r="K107" s="1977">
        <f t="shared" si="84"/>
        <v>50998.97</v>
      </c>
      <c r="L107" s="1977">
        <f t="shared" si="84"/>
        <v>50998.97</v>
      </c>
      <c r="M107" s="1977">
        <f t="shared" si="84"/>
        <v>52098.97</v>
      </c>
      <c r="N107" s="1977">
        <f t="shared" si="84"/>
        <v>53198.97</v>
      </c>
      <c r="O107" s="1977">
        <f t="shared" si="84"/>
        <v>54298.97</v>
      </c>
      <c r="P107" s="1977">
        <f t="shared" si="84"/>
        <v>55398.97</v>
      </c>
      <c r="Q107" s="1977">
        <f t="shared" si="84"/>
        <v>56598.97</v>
      </c>
      <c r="R107" s="1977">
        <f t="shared" si="84"/>
        <v>57798.97</v>
      </c>
      <c r="S107" s="1977">
        <f t="shared" si="84"/>
        <v>58998.97</v>
      </c>
      <c r="T107" s="1977">
        <f t="shared" si="84"/>
        <v>60198.97</v>
      </c>
      <c r="U107" s="1977">
        <f t="shared" si="84"/>
        <v>60498.97</v>
      </c>
      <c r="V107" s="1978"/>
      <c r="W107" s="257">
        <f t="shared" si="68"/>
        <v>58998.97</v>
      </c>
      <c r="X107" s="565"/>
      <c r="Y107" s="565"/>
      <c r="Z107" s="564"/>
      <c r="AA107" s="1978"/>
    </row>
    <row r="108" spans="3:27">
      <c r="C108" s="1476">
        <f>IF(D108="","",MAX(C$7:C107)+1)</f>
        <v>93</v>
      </c>
      <c r="D108" s="4" t="str">
        <f t="shared" si="72"/>
        <v>Alternate Power Sales</v>
      </c>
      <c r="E108" s="4"/>
      <c r="F108" s="4"/>
      <c r="G108" s="1977">
        <f t="shared" ref="G108:U108" si="85">G24+G87</f>
        <v>988.80000000000007</v>
      </c>
      <c r="H108" s="1977">
        <f t="shared" si="85"/>
        <v>0</v>
      </c>
      <c r="I108" s="1977">
        <f t="shared" si="85"/>
        <v>0</v>
      </c>
      <c r="J108" s="1977">
        <f t="shared" si="85"/>
        <v>0</v>
      </c>
      <c r="K108" s="1977">
        <f t="shared" si="85"/>
        <v>0</v>
      </c>
      <c r="L108" s="1977">
        <f t="shared" si="85"/>
        <v>0</v>
      </c>
      <c r="M108" s="1977">
        <f t="shared" si="85"/>
        <v>0</v>
      </c>
      <c r="N108" s="1977">
        <f t="shared" si="85"/>
        <v>0</v>
      </c>
      <c r="O108" s="1977">
        <f t="shared" si="85"/>
        <v>0</v>
      </c>
      <c r="P108" s="1977">
        <f t="shared" si="85"/>
        <v>0</v>
      </c>
      <c r="Q108" s="1977">
        <f t="shared" si="85"/>
        <v>0</v>
      </c>
      <c r="R108" s="1977">
        <f t="shared" si="85"/>
        <v>0</v>
      </c>
      <c r="S108" s="1977">
        <f t="shared" si="85"/>
        <v>0</v>
      </c>
      <c r="T108" s="1977">
        <f t="shared" si="85"/>
        <v>0</v>
      </c>
      <c r="U108" s="1977">
        <f t="shared" si="85"/>
        <v>0</v>
      </c>
      <c r="V108" s="1978"/>
      <c r="W108" s="257">
        <f t="shared" si="68"/>
        <v>0</v>
      </c>
      <c r="X108" s="565"/>
      <c r="Y108" s="565"/>
      <c r="Z108" s="564"/>
      <c r="AA108" s="1978"/>
    </row>
    <row r="109" spans="3:27">
      <c r="C109" s="1476">
        <f>IF(D109="","",MAX(C$7:C108)+1)</f>
        <v>94</v>
      </c>
      <c r="D109" s="309" t="s">
        <v>602</v>
      </c>
      <c r="E109" s="309"/>
      <c r="F109" s="309"/>
      <c r="G109" s="371">
        <f t="shared" ref="G109:U109" si="86">SUM(G94:G108)</f>
        <v>142599824.9369075</v>
      </c>
      <c r="H109" s="371">
        <f t="shared" si="86"/>
        <v>148914459.63354367</v>
      </c>
      <c r="I109" s="371">
        <f t="shared" si="86"/>
        <v>159571932.79850975</v>
      </c>
      <c r="J109" s="371">
        <f t="shared" si="86"/>
        <v>171259254.27856958</v>
      </c>
      <c r="K109" s="371">
        <f t="shared" si="86"/>
        <v>177888719.57935941</v>
      </c>
      <c r="L109" s="371">
        <f t="shared" si="86"/>
        <v>189151609.48191893</v>
      </c>
      <c r="M109" s="371">
        <f t="shared" si="86"/>
        <v>202857742.21355024</v>
      </c>
      <c r="N109" s="371">
        <f t="shared" si="86"/>
        <v>220013090.08328345</v>
      </c>
      <c r="O109" s="371">
        <f t="shared" si="86"/>
        <v>233988845.86055285</v>
      </c>
      <c r="P109" s="371">
        <f t="shared" si="86"/>
        <v>246275439.09909731</v>
      </c>
      <c r="Q109" s="371">
        <f t="shared" si="86"/>
        <v>257806627.39384863</v>
      </c>
      <c r="R109" s="371">
        <f t="shared" si="86"/>
        <v>270512447.17914677</v>
      </c>
      <c r="S109" s="371">
        <f t="shared" si="86"/>
        <v>284379492.35736865</v>
      </c>
      <c r="T109" s="371">
        <f t="shared" si="86"/>
        <v>296476895.65705955</v>
      </c>
      <c r="U109" s="371">
        <f t="shared" si="86"/>
        <v>308721141.54634458</v>
      </c>
      <c r="V109" s="1978"/>
      <c r="W109" s="371">
        <f>SUM(W94:W108)</f>
        <v>284379492.35736865</v>
      </c>
      <c r="X109" s="332"/>
      <c r="Y109" s="332"/>
      <c r="Z109" s="1797"/>
      <c r="AA109" s="1978"/>
    </row>
    <row r="110" spans="3:27">
      <c r="C110" s="1476">
        <f>IF(D110="","",MAX(C$7:C109)+1)</f>
        <v>95</v>
      </c>
      <c r="D110" s="2" t="s">
        <v>2783</v>
      </c>
      <c r="G110" s="2010">
        <f>ROUND(G67/G109-1,5)</f>
        <v>0</v>
      </c>
      <c r="H110" s="2010">
        <f t="shared" ref="H110:U110" si="87">ROUND(H67/H109-1,5)</f>
        <v>0</v>
      </c>
      <c r="I110" s="2010">
        <f t="shared" si="87"/>
        <v>0</v>
      </c>
      <c r="J110" s="2010">
        <f t="shared" si="87"/>
        <v>0</v>
      </c>
      <c r="K110" s="2010">
        <f t="shared" si="87"/>
        <v>0</v>
      </c>
      <c r="L110" s="2010">
        <f t="shared" si="87"/>
        <v>1.9400000000000001E-2</v>
      </c>
      <c r="M110" s="2010">
        <f t="shared" si="87"/>
        <v>1.95E-2</v>
      </c>
      <c r="N110" s="2010">
        <f t="shared" si="87"/>
        <v>1.9779999999999999E-2</v>
      </c>
      <c r="O110" s="2010">
        <f t="shared" si="87"/>
        <v>2.018E-2</v>
      </c>
      <c r="P110" s="2010">
        <f t="shared" si="87"/>
        <v>2.044E-2</v>
      </c>
      <c r="Q110" s="2010">
        <f t="shared" si="87"/>
        <v>2.077E-2</v>
      </c>
      <c r="R110" s="2010">
        <f t="shared" si="87"/>
        <v>2.0920000000000001E-2</v>
      </c>
      <c r="S110" s="2010">
        <f t="shared" si="87"/>
        <v>2.1069999999999998E-2</v>
      </c>
      <c r="T110" s="2010">
        <f t="shared" si="87"/>
        <v>1.9959999999999999E-2</v>
      </c>
      <c r="U110" s="2010">
        <f t="shared" si="87"/>
        <v>2.0049999999999998E-2</v>
      </c>
    </row>
    <row r="111" spans="3:27">
      <c r="C111" s="1476" t="str">
        <f>IF(D111="","",MAX(C$7:C110)+1)</f>
        <v/>
      </c>
      <c r="I111" s="424"/>
      <c r="J111" s="424"/>
      <c r="K111" s="424"/>
      <c r="L111" s="424"/>
      <c r="M111" s="424"/>
      <c r="N111" s="424"/>
      <c r="O111" s="424"/>
      <c r="P111" s="424"/>
      <c r="Q111" s="424"/>
      <c r="R111" s="424"/>
      <c r="S111" s="424"/>
      <c r="T111" s="424"/>
      <c r="U111" s="424"/>
    </row>
    <row r="112" spans="3:27" ht="16.5" thickBot="1">
      <c r="C112" s="1476"/>
    </row>
    <row r="113" spans="3:26" ht="16.5" thickBot="1">
      <c r="C113" s="1476">
        <f>IF(D113="","",MAX(C$7:C111)+1)</f>
        <v>96</v>
      </c>
      <c r="D113" s="4528" t="str">
        <f>$D$8</f>
        <v>Residential-Urban (1)</v>
      </c>
      <c r="E113" s="4529"/>
      <c r="F113" s="4530"/>
      <c r="G113" s="1"/>
      <c r="H113" s="1"/>
    </row>
    <row r="114" spans="3:26">
      <c r="C114" s="1476">
        <f>IF(D114="","",MAX(C$7:C113)+1)</f>
        <v>97</v>
      </c>
      <c r="D114" s="1491" t="s">
        <v>1042</v>
      </c>
      <c r="E114" s="1468"/>
      <c r="F114" s="1983" t="s">
        <v>1043</v>
      </c>
      <c r="G114" s="1490"/>
      <c r="H114" s="1490"/>
      <c r="I114" s="1490"/>
      <c r="J114" s="1490"/>
      <c r="K114" s="1490"/>
      <c r="L114" s="1490"/>
      <c r="M114" s="1490"/>
      <c r="N114" s="1490"/>
      <c r="O114" s="1490"/>
      <c r="P114" s="1490"/>
      <c r="Q114" s="1490"/>
      <c r="R114" s="1490"/>
      <c r="S114" s="1490"/>
      <c r="T114" s="1490"/>
      <c r="U114" s="1490"/>
    </row>
    <row r="115" spans="3:26">
      <c r="C115" s="1476">
        <f>IF(D115="","",MAX(C$7:C114)+1)</f>
        <v>98</v>
      </c>
      <c r="D115" s="1984" t="s">
        <v>1044</v>
      </c>
      <c r="E115" s="1985" t="s">
        <v>1045</v>
      </c>
      <c r="F115" s="1985" t="s">
        <v>1046</v>
      </c>
      <c r="G115" s="1490"/>
      <c r="H115" s="1490"/>
      <c r="I115" s="1490"/>
      <c r="J115" s="1490"/>
      <c r="K115" s="1490"/>
      <c r="L115" s="1490"/>
      <c r="M115" s="1490"/>
      <c r="N115" s="1490"/>
      <c r="O115" s="1490"/>
      <c r="P115" s="1490"/>
      <c r="Q115" s="1490"/>
      <c r="R115" s="1490"/>
      <c r="S115" s="1490"/>
      <c r="T115" s="1490"/>
      <c r="U115" s="1490"/>
    </row>
    <row r="116" spans="3:26" ht="16.5" thickBot="1">
      <c r="C116" s="1476" t="str">
        <f>IF(D116="","",MAX(C$7:C115)+1)</f>
        <v/>
      </c>
      <c r="D116" s="1489"/>
      <c r="E116" s="1489"/>
      <c r="F116" s="1489"/>
      <c r="G116" s="1490"/>
      <c r="H116" s="1490"/>
      <c r="I116" s="1490"/>
      <c r="J116" s="1490"/>
      <c r="K116" s="1490"/>
      <c r="L116" s="1490"/>
      <c r="M116" s="1490"/>
      <c r="N116" s="1490"/>
      <c r="O116" s="1490"/>
      <c r="P116" s="1490"/>
      <c r="Q116" s="1490"/>
      <c r="R116" s="1490"/>
      <c r="S116" s="1490"/>
      <c r="T116" s="1490"/>
      <c r="U116" s="1490"/>
    </row>
    <row r="117" spans="3:26">
      <c r="C117" s="1476">
        <f>IF(D117="","",MAX(C$7:C116)+1)</f>
        <v>99</v>
      </c>
      <c r="D117" s="1986">
        <f t="array" ref="D117:D133">TRANSPOSE(Dashboard!$G$11:$S$11)</f>
        <v>41640</v>
      </c>
      <c r="E117" s="1989">
        <f>INDEX(Dashboard!$F$10:$S$10,1,MATCH($D117,Dashboard!$F$11:$S$11,0))</f>
        <v>0</v>
      </c>
      <c r="F117" s="1546">
        <f>INDEX(Dashboard!$F$12:$S$12,1,MATCH($D117,Dashboard!$F$11:$S$11,0))</f>
        <v>12</v>
      </c>
      <c r="G117" s="1502"/>
      <c r="H117" s="1490"/>
      <c r="I117" s="1988">
        <f>ROUND((I$8+SUM(I116:I$116))*$E117*$F117/12,-2)</f>
        <v>0</v>
      </c>
      <c r="J117" s="1502">
        <f>ROUND((J$8+SUM(J116:J$116))*$E117,-2)</f>
        <v>0</v>
      </c>
      <c r="K117" s="1502">
        <f>ROUND((K$8+SUM(K116:K$116))*$E117,-2)</f>
        <v>0</v>
      </c>
      <c r="L117" s="1502">
        <f>ROUND((L$8+SUM(L116:L$116))*$E117,-2)</f>
        <v>0</v>
      </c>
      <c r="M117" s="1502">
        <f>ROUND((M$8+SUM(M116:M$116))*$E117,-2)</f>
        <v>0</v>
      </c>
      <c r="N117" s="1502">
        <f>ROUND((N$8+SUM(N116:N$116))*$E117,-2)</f>
        <v>0</v>
      </c>
      <c r="O117" s="1502">
        <f>ROUND((O$8+SUM(O116:O$116))*$E117,-2)</f>
        <v>0</v>
      </c>
      <c r="P117" s="1502">
        <f>ROUND((P$8+SUM(P116:P$116))*$E117,-2)</f>
        <v>0</v>
      </c>
      <c r="Q117" s="1502">
        <f>ROUND((Q$8+SUM(Q116:Q$116))*$E117,-2)</f>
        <v>0</v>
      </c>
      <c r="R117" s="1502">
        <f>ROUND((R$8+SUM(R116:R$116))*$E117,-2)</f>
        <v>0</v>
      </c>
      <c r="S117" s="1502">
        <f>ROUND((S$8+SUM(S116:S$116))*$E117,-2)</f>
        <v>0</v>
      </c>
      <c r="T117" s="1502">
        <f>ROUND((T$8+SUM(T116:T$116))*$E117,-2)</f>
        <v>0</v>
      </c>
      <c r="U117" s="1502">
        <f>ROUND((U$8+SUM(U116:U$116))*$E117,-2)</f>
        <v>0</v>
      </c>
    </row>
    <row r="118" spans="3:26">
      <c r="C118" s="1476">
        <f>IF(D118="","",MAX(C$7:C117)+1)</f>
        <v>100</v>
      </c>
      <c r="D118" s="1986">
        <v>42005</v>
      </c>
      <c r="E118" s="1547">
        <f t="array" ref="E118:E133">TRANSPOSE('COS_Summ (cumulative)'!$I$11:$X$11)</f>
        <v>0</v>
      </c>
      <c r="F118" s="1548">
        <f>INDEX(Dashboard!$F$12:$S$12,1,MATCH($D118,Dashboard!$F$11:$S$11,0))</f>
        <v>12</v>
      </c>
      <c r="G118" s="1502"/>
      <c r="H118" s="1490"/>
      <c r="I118" s="1502"/>
      <c r="J118" s="1988">
        <f>ROUND((J$8+SUM(J$116:J117))*$E118*$F118/12,-2)</f>
        <v>0</v>
      </c>
      <c r="K118" s="1502">
        <f>ROUND((K$8+SUM(K$116:K117))*$E118,-2)</f>
        <v>0</v>
      </c>
      <c r="L118" s="1502">
        <f>ROUND((L$8+SUM(L$116:L117))*$E118,-2)</f>
        <v>0</v>
      </c>
      <c r="M118" s="1502">
        <f>ROUND((M$8+SUM(M$116:M117))*$E118,-2)</f>
        <v>0</v>
      </c>
      <c r="N118" s="1502">
        <f>ROUND((N$8+SUM(N$116:N117))*$E118,-2)</f>
        <v>0</v>
      </c>
      <c r="O118" s="1502">
        <f>ROUND((O$8+SUM(O$116:O117))*$E118,-2)</f>
        <v>0</v>
      </c>
      <c r="P118" s="1502">
        <f>ROUND((P$8+SUM(P$116:P117))*$E118,-2)</f>
        <v>0</v>
      </c>
      <c r="Q118" s="1502">
        <f>ROUND((Q$8+SUM(Q$116:Q117))*$E118,-2)</f>
        <v>0</v>
      </c>
      <c r="R118" s="1502">
        <f>ROUND((R$8+SUM(R$116:R117))*$E118,-2)</f>
        <v>0</v>
      </c>
      <c r="S118" s="1502">
        <f>ROUND((S$8+SUM(S$116:S117))*$E118,-2)</f>
        <v>0</v>
      </c>
      <c r="T118" s="1502">
        <f>ROUND((T$8+SUM(T$116:T117))*$E118,-2)</f>
        <v>0</v>
      </c>
      <c r="U118" s="1502">
        <f>ROUND((U$8+SUM(U$116:U117))*$E118,-2)</f>
        <v>0</v>
      </c>
    </row>
    <row r="119" spans="3:26">
      <c r="C119" s="1476">
        <f>IF(D119="","",MAX(C$7:C118)+1)</f>
        <v>101</v>
      </c>
      <c r="D119" s="1986">
        <v>42370</v>
      </c>
      <c r="E119" s="1547">
        <v>0</v>
      </c>
      <c r="F119" s="1548">
        <f>INDEX(Dashboard!$F$12:$S$12,1,MATCH($D119,Dashboard!$F$11:$S$11,0))</f>
        <v>12</v>
      </c>
      <c r="G119" s="1502"/>
      <c r="H119" s="1490"/>
      <c r="I119" s="1502"/>
      <c r="J119" s="1502"/>
      <c r="K119" s="1988">
        <f>ROUND((K$8+SUM(K$116:K118))*$E119*$F119/12,-2)</f>
        <v>0</v>
      </c>
      <c r="L119" s="1502">
        <f>ROUND((L$8+SUM(L$116:L118))*$E119,-2)</f>
        <v>0</v>
      </c>
      <c r="M119" s="1502">
        <f>ROUND((M$8+SUM(M$116:M118))*$E119,-2)</f>
        <v>0</v>
      </c>
      <c r="N119" s="1502">
        <f>ROUND((N$8+SUM(N$116:N118))*$E119,-2)</f>
        <v>0</v>
      </c>
      <c r="O119" s="1502">
        <f>ROUND((O$8+SUM(O$116:O118))*$E119,-2)</f>
        <v>0</v>
      </c>
      <c r="P119" s="1502">
        <f>ROUND((P$8+SUM(P$116:P118))*$E119,-2)</f>
        <v>0</v>
      </c>
      <c r="Q119" s="1502">
        <f>ROUND((Q$8+SUM(Q$116:Q118))*$E119,-2)</f>
        <v>0</v>
      </c>
      <c r="R119" s="1502">
        <f>ROUND((R$8+SUM(R$116:R118))*$E119,-2)</f>
        <v>0</v>
      </c>
      <c r="S119" s="1502">
        <f>ROUND((S$8+SUM(S$116:S118))*$E119,-2)</f>
        <v>0</v>
      </c>
      <c r="T119" s="1502">
        <f>ROUND((T$8+SUM(T$116:T118))*$E119,-2)</f>
        <v>0</v>
      </c>
      <c r="U119" s="1502">
        <f>ROUND((U$8+SUM(U$116:U118))*$E119,-2)</f>
        <v>0</v>
      </c>
    </row>
    <row r="120" spans="3:26">
      <c r="C120" s="1476">
        <f>IF(D120="","",MAX(C$7:C119)+1)</f>
        <v>102</v>
      </c>
      <c r="D120" s="1986">
        <v>42736</v>
      </c>
      <c r="E120" s="1547">
        <v>1.4596877915346E-2</v>
      </c>
      <c r="F120" s="1548">
        <f>INDEX(Dashboard!$F$12:$S$12,1,MATCH($D120,Dashboard!$F$11:$S$11,0))</f>
        <v>12</v>
      </c>
      <c r="G120" s="1502"/>
      <c r="H120" s="1490"/>
      <c r="I120" s="1502"/>
      <c r="J120" s="1502"/>
      <c r="K120" s="1502"/>
      <c r="L120" s="1988">
        <f>ROUND((L$8+SUM(L$116:L119))*$E120*$F120/12,-2)</f>
        <v>286000</v>
      </c>
      <c r="M120" s="1502">
        <f>ROUND((M$8+SUM(M$116:M119))*$E120,-2)</f>
        <v>289900</v>
      </c>
      <c r="N120" s="1502">
        <f>ROUND((N$8+SUM(N$116:N119))*$E120,-2)</f>
        <v>293900</v>
      </c>
      <c r="O120" s="1502">
        <f>ROUND((O$8+SUM(O$116:O119))*$E120,-2)</f>
        <v>298100</v>
      </c>
      <c r="P120" s="1502">
        <f>ROUND((P$8+SUM(P$116:P119))*$E120,-2)</f>
        <v>302000</v>
      </c>
      <c r="Q120" s="1502">
        <f>ROUND((Q$8+SUM(Q$116:Q119))*$E120,-2)</f>
        <v>306200</v>
      </c>
      <c r="R120" s="1502">
        <f>ROUND((R$8+SUM(R$116:R119))*$E120,-2)</f>
        <v>310400</v>
      </c>
      <c r="S120" s="1502">
        <f>ROUND((S$8+SUM(S$116:S119))*$E120,-2)</f>
        <v>314800</v>
      </c>
      <c r="T120" s="1502">
        <f>ROUND((T$8+SUM(T$116:T119))*$E120,-2)</f>
        <v>319000</v>
      </c>
      <c r="U120" s="1502">
        <f>ROUND((U$8+SUM(U$116:U119))*$E120,-2)</f>
        <v>323400</v>
      </c>
    </row>
    <row r="121" spans="3:26">
      <c r="C121" s="1476">
        <f>IF(D121="","",MAX(C$7:C120)+1)</f>
        <v>103</v>
      </c>
      <c r="D121" s="1986">
        <v>43101</v>
      </c>
      <c r="E121" s="1547">
        <v>1.4596877915346E-2</v>
      </c>
      <c r="F121" s="1548">
        <f>INDEX(Dashboard!$F$12:$S$12,1,MATCH($D121,Dashboard!$F$11:$S$11,0))</f>
        <v>12</v>
      </c>
      <c r="G121" s="1502"/>
      <c r="H121" s="1490"/>
      <c r="I121" s="1502"/>
      <c r="J121" s="1502"/>
      <c r="K121" s="1502"/>
      <c r="L121" s="1502"/>
      <c r="M121" s="1988">
        <f>ROUND((M$8+SUM(M$116:M120))*$E121*$F121/12,-2)</f>
        <v>294100</v>
      </c>
      <c r="N121" s="1502">
        <f>ROUND((N$8+SUM(N$116:N120))*$E121,-2)</f>
        <v>298100</v>
      </c>
      <c r="O121" s="1502">
        <f>ROUND((O$8+SUM(O$116:O120))*$E121,-2)</f>
        <v>302400</v>
      </c>
      <c r="P121" s="1502">
        <f>ROUND((P$8+SUM(P$116:P120))*$E121,-2)</f>
        <v>306400</v>
      </c>
      <c r="Q121" s="1502">
        <f>ROUND((Q$8+SUM(Q$116:Q120))*$E121,-2)</f>
        <v>310600</v>
      </c>
      <c r="R121" s="1502">
        <f>ROUND((R$8+SUM(R$116:R120))*$E121,-2)</f>
        <v>314900</v>
      </c>
      <c r="S121" s="1502">
        <f>ROUND((S$8+SUM(S$116:S120))*$E121,-2)</f>
        <v>319400</v>
      </c>
      <c r="T121" s="1502">
        <f>ROUND((T$8+SUM(T$116:T120))*$E121,-2)</f>
        <v>323700</v>
      </c>
      <c r="U121" s="1502">
        <f>ROUND((U$8+SUM(U$116:U120))*$E121,-2)</f>
        <v>328100</v>
      </c>
    </row>
    <row r="122" spans="3:26">
      <c r="C122" s="1476">
        <f>IF(D122="","",MAX(C$7:C121)+1)</f>
        <v>104</v>
      </c>
      <c r="D122" s="1986">
        <v>43466</v>
      </c>
      <c r="E122" s="1547">
        <v>1.4596877915346E-2</v>
      </c>
      <c r="F122" s="1548">
        <f>INDEX(Dashboard!$F$12:$S$12,1,MATCH($D122,Dashboard!$F$11:$S$11,0))</f>
        <v>12</v>
      </c>
      <c r="G122" s="1502"/>
      <c r="H122" s="1490"/>
      <c r="I122" s="1502"/>
      <c r="J122" s="1502"/>
      <c r="K122" s="1502"/>
      <c r="L122" s="1502"/>
      <c r="M122" s="1502"/>
      <c r="N122" s="1988">
        <f>ROUND((N$8+SUM(N$116:N121))*$E122*$F122/12,-2)</f>
        <v>302500</v>
      </c>
      <c r="O122" s="1502">
        <f>ROUND((O$8+SUM(O$116:O121))*$E122,-2)</f>
        <v>306800</v>
      </c>
      <c r="P122" s="1502">
        <f>ROUND((P$8+SUM(P$116:P121))*$E122,-2)</f>
        <v>310900</v>
      </c>
      <c r="Q122" s="1502">
        <f>ROUND((Q$8+SUM(Q$116:Q121))*$E122,-2)</f>
        <v>315200</v>
      </c>
      <c r="R122" s="1502">
        <f>ROUND((R$8+SUM(R$116:R121))*$E122,-2)</f>
        <v>319500</v>
      </c>
      <c r="S122" s="1502">
        <f>ROUND((S$8+SUM(S$116:S121))*$E122,-2)</f>
        <v>324100</v>
      </c>
      <c r="T122" s="1502">
        <f>ROUND((T$8+SUM(T$116:T121))*$E122,-2)</f>
        <v>328400</v>
      </c>
      <c r="U122" s="1502">
        <f>ROUND((U$8+SUM(U$116:U121))*$E122,-2)</f>
        <v>332900</v>
      </c>
    </row>
    <row r="123" spans="3:26">
      <c r="C123" s="1476">
        <f>IF(D123="","",MAX(C$7:C122)+1)</f>
        <v>105</v>
      </c>
      <c r="D123" s="1986">
        <v>43831</v>
      </c>
      <c r="E123" s="1547">
        <v>1.4596877915346E-2</v>
      </c>
      <c r="F123" s="1548">
        <f>INDEX(Dashboard!$F$12:$S$12,1,MATCH($D123,Dashboard!$F$11:$S$11,0))</f>
        <v>12</v>
      </c>
      <c r="G123" s="1502"/>
      <c r="H123" s="1490"/>
      <c r="I123" s="1502"/>
      <c r="J123" s="1502"/>
      <c r="K123" s="1502"/>
      <c r="L123" s="1502"/>
      <c r="M123" s="1502"/>
      <c r="N123" s="1502"/>
      <c r="O123" s="1988">
        <f>ROUND((O$8+SUM(O$116:O122))*$E123*$F123/12,-2)</f>
        <v>311300</v>
      </c>
      <c r="P123" s="1502">
        <f>ROUND((P$8+SUM(P$116:P122))*$E123,-2)</f>
        <v>315400</v>
      </c>
      <c r="Q123" s="1502">
        <f>ROUND((Q$8+SUM(Q$116:Q122))*$E123,-2)</f>
        <v>319800</v>
      </c>
      <c r="R123" s="1502">
        <f>ROUND((R$8+SUM(R$116:R122))*$E123,-2)</f>
        <v>324200</v>
      </c>
      <c r="S123" s="1502">
        <f>ROUND((S$8+SUM(S$116:S122))*$E123,-2)</f>
        <v>328800</v>
      </c>
      <c r="T123" s="1502">
        <f>ROUND((T$8+SUM(T$116:T122))*$E123,-2)</f>
        <v>333200</v>
      </c>
      <c r="U123" s="1502">
        <f>ROUND((U$8+SUM(U$116:U122))*$E123,-2)</f>
        <v>337800</v>
      </c>
    </row>
    <row r="124" spans="3:26">
      <c r="C124" s="1476">
        <f>IF(D124="","",MAX(C$7:C123)+1)</f>
        <v>106</v>
      </c>
      <c r="D124" s="1986">
        <v>44197</v>
      </c>
      <c r="E124" s="1547">
        <v>1.4596877915346E-2</v>
      </c>
      <c r="F124" s="1548">
        <f>INDEX(Dashboard!$F$12:$S$12,1,MATCH($D124,Dashboard!$F$11:$S$11,0))</f>
        <v>12</v>
      </c>
      <c r="G124" s="1502"/>
      <c r="H124" s="1490"/>
      <c r="I124" s="1502"/>
      <c r="J124" s="1502"/>
      <c r="K124" s="1502"/>
      <c r="L124" s="1502"/>
      <c r="M124" s="1502"/>
      <c r="N124" s="1502"/>
      <c r="O124" s="1502"/>
      <c r="P124" s="1988">
        <f>ROUND((P$8+SUM(P$116:P123))*$E124*$F124/12,-2)</f>
        <v>320000</v>
      </c>
      <c r="Q124" s="1502">
        <f>ROUND((Q$8+SUM(Q$116:Q123))*$E124,-2)</f>
        <v>324400</v>
      </c>
      <c r="R124" s="1502">
        <f>ROUND((R$8+SUM(R$116:R123))*$E124,-2)</f>
        <v>328900</v>
      </c>
      <c r="S124" s="1502">
        <f>ROUND((S$8+SUM(S$116:S123))*$E124,-2)</f>
        <v>333600</v>
      </c>
      <c r="T124" s="1502">
        <f>ROUND((T$8+SUM(T$116:T123))*$E124,-2)</f>
        <v>338000</v>
      </c>
      <c r="U124" s="1502">
        <f>ROUND((U$8+SUM(U$116:U123))*$E124,-2)</f>
        <v>342700</v>
      </c>
    </row>
    <row r="125" spans="3:26">
      <c r="C125" s="1476">
        <f>IF(D125="","",MAX(C$7:C124)+1)</f>
        <v>107</v>
      </c>
      <c r="D125" s="1986">
        <v>44562</v>
      </c>
      <c r="E125" s="1547">
        <v>1.4596877915346E-2</v>
      </c>
      <c r="F125" s="1548">
        <f>INDEX(Dashboard!$F$12:$S$12,1,MATCH($D125,Dashboard!$F$11:$S$11,0))</f>
        <v>12</v>
      </c>
      <c r="G125" s="1502"/>
      <c r="H125" s="1490"/>
      <c r="I125" s="1502"/>
      <c r="J125" s="1502"/>
      <c r="K125" s="1502"/>
      <c r="L125" s="1502"/>
      <c r="M125" s="1502"/>
      <c r="N125" s="1502"/>
      <c r="O125" s="1502"/>
      <c r="P125" s="1502"/>
      <c r="Q125" s="1988">
        <f>ROUND((Q$8+SUM(Q$116:Q124))*$E125*$F125/12,-2)</f>
        <v>329200</v>
      </c>
      <c r="R125" s="1502">
        <f>ROUND((R$8+SUM(R$116:R124))*$E125,-2)</f>
        <v>333700</v>
      </c>
      <c r="S125" s="1502">
        <f>ROUND((S$8+SUM(S$116:S124))*$E125,-2)</f>
        <v>338500</v>
      </c>
      <c r="T125" s="1502">
        <f>ROUND((T$8+SUM(T$116:T124))*$E125,-2)</f>
        <v>343000</v>
      </c>
      <c r="U125" s="1502">
        <f>ROUND((U$8+SUM(U$116:U124))*$E125,-2)</f>
        <v>347700</v>
      </c>
    </row>
    <row r="126" spans="3:26">
      <c r="C126" s="1476">
        <f>IF(D126="","",MAX(C$7:C125)+1)</f>
        <v>108</v>
      </c>
      <c r="D126" s="1986">
        <v>44927</v>
      </c>
      <c r="E126" s="1547">
        <v>1.4596877915346E-2</v>
      </c>
      <c r="F126" s="1548">
        <f>INDEX(Dashboard!$F$12:$S$12,1,MATCH($D126,Dashboard!$F$11:$S$11,0))</f>
        <v>12</v>
      </c>
      <c r="G126" s="1502"/>
      <c r="H126" s="1490"/>
      <c r="I126" s="1502"/>
      <c r="J126" s="1502"/>
      <c r="K126" s="1502"/>
      <c r="L126" s="1502"/>
      <c r="M126" s="1502"/>
      <c r="N126" s="1502"/>
      <c r="O126" s="1502"/>
      <c r="P126" s="1502"/>
      <c r="Q126" s="1502"/>
      <c r="R126" s="1988">
        <f>ROUND((R$8+SUM(R$116:R125))*$E126*$F126/12,-2)</f>
        <v>338600</v>
      </c>
      <c r="S126" s="1502">
        <f>ROUND((S$8+SUM(S$116:S125))*$E126,-2)</f>
        <v>343400</v>
      </c>
      <c r="T126" s="1502">
        <f>ROUND((T$8+SUM(T$116:T125))*$E126,-2)</f>
        <v>348000</v>
      </c>
      <c r="U126" s="1502">
        <f>ROUND((U$8+SUM(U$116:U125))*$E126,-2)</f>
        <v>352800</v>
      </c>
    </row>
    <row r="127" spans="3:26" ht="16.5" thickBot="1">
      <c r="C127" s="1476">
        <f>IF(D127="","",MAX(C$7:C126)+1)</f>
        <v>109</v>
      </c>
      <c r="D127" s="1986">
        <v>45292</v>
      </c>
      <c r="E127" s="1549">
        <v>1.4596877915346E-2</v>
      </c>
      <c r="F127" s="1550">
        <f>INDEX(Dashboard!$F$12:$S$12,1,MATCH($D127,Dashboard!$F$11:$S$11,0))</f>
        <v>12</v>
      </c>
      <c r="G127" s="1502"/>
      <c r="H127" s="1490"/>
      <c r="I127" s="1502"/>
      <c r="J127" s="1502"/>
      <c r="K127" s="1502"/>
      <c r="L127" s="1502"/>
      <c r="M127" s="1502"/>
      <c r="N127" s="1502"/>
      <c r="O127" s="1502"/>
      <c r="P127" s="1502"/>
      <c r="Q127" s="1502"/>
      <c r="R127" s="1502"/>
      <c r="S127" s="1988">
        <f>ROUND((S$8+SUM(S$116:S126))*$E127*$F127/12,-2)</f>
        <v>348400</v>
      </c>
      <c r="T127" s="1502">
        <f>ROUND((T$8+SUM(T$116:T126))*$E127,-2)</f>
        <v>353100</v>
      </c>
      <c r="U127" s="1502">
        <f>ROUND((U$8+SUM(U$116:U126))*$E127,-2)</f>
        <v>357900</v>
      </c>
      <c r="Z127" s="2008"/>
    </row>
    <row r="128" spans="3:26">
      <c r="C128" s="1476">
        <f>IF(D128="","",MAX(C$7:C127)+1)</f>
        <v>110</v>
      </c>
      <c r="D128" s="1986">
        <v>45658</v>
      </c>
      <c r="E128" s="1545">
        <v>4.3548301635403788E-3</v>
      </c>
      <c r="F128" s="1546">
        <f>INDEX(Dashboard!$F$12:$S$12,1,MATCH($D128,Dashboard!$F$11:$S$11,0))</f>
        <v>12</v>
      </c>
      <c r="G128" s="1502"/>
      <c r="H128" s="1490"/>
      <c r="I128" s="1502"/>
      <c r="J128" s="1502"/>
      <c r="K128" s="1502"/>
      <c r="L128" s="1502"/>
      <c r="M128" s="1502"/>
      <c r="N128" s="1502"/>
      <c r="O128" s="1502"/>
      <c r="P128" s="1502"/>
      <c r="Q128" s="1502"/>
      <c r="R128" s="1502"/>
      <c r="S128" s="1502"/>
      <c r="T128" s="1988">
        <f>ROUND((T$8+SUM(T$116:T127))*$E128*$F128/12,-2)</f>
        <v>106900</v>
      </c>
      <c r="U128" s="1502">
        <f>ROUND((U$8+SUM(U$116:U127))*$E128,-2)</f>
        <v>108300</v>
      </c>
    </row>
    <row r="129" spans="3:21" ht="16.5" thickBot="1">
      <c r="C129" s="1476">
        <f>IF(D129="","",MAX(C$7:C128)+1)</f>
        <v>111</v>
      </c>
      <c r="D129" s="1986">
        <v>46023</v>
      </c>
      <c r="E129" s="1549">
        <v>2.2412295278799999E-2</v>
      </c>
      <c r="F129" s="1550">
        <f>INDEX(Dashboard!$F$12:$S$12,1,MATCH($D129,Dashboard!$F$11:$S$11,0))</f>
        <v>12</v>
      </c>
      <c r="G129" s="1502"/>
      <c r="H129" s="1490"/>
      <c r="I129" s="1502"/>
      <c r="J129" s="1502"/>
      <c r="K129" s="1502"/>
      <c r="L129" s="1502"/>
      <c r="M129" s="1502"/>
      <c r="N129" s="1502"/>
      <c r="O129" s="1502"/>
      <c r="P129" s="1502"/>
      <c r="Q129" s="1502"/>
      <c r="R129" s="1502"/>
      <c r="S129" s="1502"/>
      <c r="T129" s="1502"/>
      <c r="U129" s="1988">
        <f>ROUND((U$8+SUM(U$116:U128))*$E129*$F129/12,-2)</f>
        <v>560000</v>
      </c>
    </row>
    <row r="130" spans="3:21" hidden="1">
      <c r="C130" s="1476" t="e">
        <f>IF(D130="","",MAX(C$7:C129)+1)</f>
        <v>#N/A</v>
      </c>
      <c r="D130" s="1986" t="e">
        <v>#N/A</v>
      </c>
      <c r="E130" s="1547">
        <v>0</v>
      </c>
      <c r="F130" s="1548" t="e">
        <f>INDEX(Dashboard!$F$12:$S$12,1,MATCH($D130,Dashboard!$F$11:$S$11,0))</f>
        <v>#N/A</v>
      </c>
      <c r="G130" s="1502"/>
      <c r="H130" s="1490"/>
      <c r="I130" s="1502"/>
      <c r="J130" s="1502"/>
      <c r="K130" s="1502"/>
      <c r="L130" s="1502"/>
      <c r="M130" s="1502"/>
      <c r="N130" s="1502"/>
      <c r="O130" s="1502"/>
      <c r="P130" s="1502"/>
      <c r="Q130" s="1502"/>
      <c r="R130" s="1502"/>
      <c r="S130" s="1502"/>
      <c r="T130" s="1502"/>
      <c r="U130" s="1502"/>
    </row>
    <row r="131" spans="3:21" hidden="1">
      <c r="C131" s="1476" t="e">
        <f>IF(D131="","",MAX(C$7:C130)+1)</f>
        <v>#N/A</v>
      </c>
      <c r="D131" s="1986" t="e">
        <v>#N/A</v>
      </c>
      <c r="E131" s="1547">
        <v>0</v>
      </c>
      <c r="F131" s="1548" t="e">
        <f>INDEX(Dashboard!$F$12:$S$12,1,MATCH($D131,Dashboard!$F$11:$S$11,0))</f>
        <v>#N/A</v>
      </c>
      <c r="G131" s="1502"/>
      <c r="H131" s="1490"/>
      <c r="I131" s="1502"/>
      <c r="J131" s="1502"/>
      <c r="K131" s="1502"/>
      <c r="L131" s="1502"/>
      <c r="M131" s="1502"/>
      <c r="N131" s="1502"/>
      <c r="O131" s="1502"/>
      <c r="P131" s="1502"/>
      <c r="Q131" s="1502"/>
      <c r="R131" s="1502"/>
      <c r="S131" s="1502"/>
      <c r="T131" s="1502"/>
      <c r="U131" s="1502"/>
    </row>
    <row r="132" spans="3:21" hidden="1">
      <c r="C132" s="1476" t="e">
        <f>IF(D132="","",MAX(C$7:C131)+1)</f>
        <v>#N/A</v>
      </c>
      <c r="D132" s="1986" t="e">
        <v>#N/A</v>
      </c>
      <c r="E132" s="1547">
        <v>0</v>
      </c>
      <c r="F132" s="1548" t="e">
        <f>INDEX(Dashboard!$F$12:$S$12,1,MATCH($D132,Dashboard!$F$11:$S$11,0))</f>
        <v>#N/A</v>
      </c>
      <c r="G132" s="1502"/>
      <c r="H132" s="1490"/>
      <c r="I132" s="1502"/>
      <c r="J132" s="1502"/>
      <c r="K132" s="1502"/>
      <c r="L132" s="1502"/>
      <c r="M132" s="1502"/>
      <c r="N132" s="1502"/>
      <c r="O132" s="1502"/>
      <c r="P132" s="1502"/>
      <c r="Q132" s="1502"/>
      <c r="R132" s="1502"/>
      <c r="S132" s="1502"/>
      <c r="T132" s="1502"/>
      <c r="U132" s="1502"/>
    </row>
    <row r="133" spans="3:21" ht="16.5" hidden="1" thickBot="1">
      <c r="C133" s="1476" t="e">
        <f>IF(D133="","",MAX(C$7:C132)+1)</f>
        <v>#N/A</v>
      </c>
      <c r="D133" s="1986" t="e">
        <v>#N/A</v>
      </c>
      <c r="E133" s="1549">
        <v>0</v>
      </c>
      <c r="F133" s="1550" t="e">
        <f>INDEX(Dashboard!$F$12:$S$12,1,MATCH($D133,Dashboard!$F$11:$S$11,0))</f>
        <v>#N/A</v>
      </c>
      <c r="G133" s="1502"/>
      <c r="H133" s="1490"/>
      <c r="I133" s="1502"/>
      <c r="J133" s="1502"/>
      <c r="K133" s="1502"/>
      <c r="L133" s="1502"/>
      <c r="M133" s="1502"/>
      <c r="N133" s="1502"/>
      <c r="O133" s="1502"/>
      <c r="P133" s="1502"/>
      <c r="Q133" s="1502"/>
      <c r="R133" s="1502"/>
      <c r="S133" s="1502"/>
      <c r="T133" s="1502"/>
      <c r="U133" s="1502"/>
    </row>
    <row r="134" spans="3:21">
      <c r="C134" s="1476" t="str">
        <f>IF(D134="","",MAX(C$7:C133)+1)</f>
        <v/>
      </c>
      <c r="D134" s="1468"/>
      <c r="E134" s="1468"/>
      <c r="F134" s="1468"/>
      <c r="G134" s="1987"/>
      <c r="H134" s="1987"/>
      <c r="I134" s="1502"/>
      <c r="J134" s="1502"/>
      <c r="K134" s="1502"/>
      <c r="L134" s="1502"/>
      <c r="M134" s="1502"/>
      <c r="N134" s="1502"/>
      <c r="O134" s="1502"/>
      <c r="P134" s="1502"/>
      <c r="Q134" s="1502"/>
      <c r="R134" s="1502"/>
      <c r="S134" s="1502"/>
      <c r="T134" s="1502"/>
      <c r="U134" s="1502"/>
    </row>
    <row r="135" spans="3:21">
      <c r="C135" s="1476" t="e">
        <f>IF(D135="","",MAX(C$7:C134)+1)</f>
        <v>#N/A</v>
      </c>
      <c r="D135" s="1468" t="s">
        <v>1047</v>
      </c>
      <c r="E135" s="1468"/>
      <c r="F135" s="1468"/>
      <c r="G135" s="1504">
        <f t="shared" ref="G135:U135" si="88">SUM(G117:G134)</f>
        <v>0</v>
      </c>
      <c r="H135" s="1504">
        <f t="shared" si="88"/>
        <v>0</v>
      </c>
      <c r="I135" s="1504">
        <f t="shared" si="88"/>
        <v>0</v>
      </c>
      <c r="J135" s="1504">
        <f t="shared" si="88"/>
        <v>0</v>
      </c>
      <c r="K135" s="1504">
        <f t="shared" si="88"/>
        <v>0</v>
      </c>
      <c r="L135" s="1504">
        <f t="shared" si="88"/>
        <v>286000</v>
      </c>
      <c r="M135" s="1504">
        <f t="shared" si="88"/>
        <v>584000</v>
      </c>
      <c r="N135" s="1504">
        <f t="shared" si="88"/>
        <v>894500</v>
      </c>
      <c r="O135" s="1504">
        <f t="shared" si="88"/>
        <v>1218600</v>
      </c>
      <c r="P135" s="1504">
        <f t="shared" si="88"/>
        <v>1554700</v>
      </c>
      <c r="Q135" s="1504">
        <f>SUM(Q117:Q134)</f>
        <v>1905400</v>
      </c>
      <c r="R135" s="1504">
        <f t="shared" si="88"/>
        <v>2270200</v>
      </c>
      <c r="S135" s="1504">
        <f t="shared" si="88"/>
        <v>2651000</v>
      </c>
      <c r="T135" s="1504">
        <f t="shared" si="88"/>
        <v>2793300</v>
      </c>
      <c r="U135" s="1504">
        <f t="shared" si="88"/>
        <v>3391600</v>
      </c>
    </row>
    <row r="136" spans="3:21">
      <c r="C136" s="1476" t="e">
        <f>IF(D136="","",MAX(C$7:C135)+1)</f>
        <v>#N/A</v>
      </c>
      <c r="D136" s="1468" t="s">
        <v>2772</v>
      </c>
      <c r="E136" s="1"/>
      <c r="F136" s="1"/>
      <c r="G136" s="1"/>
      <c r="H136" s="1"/>
      <c r="J136" s="424">
        <f>J135-J118</f>
        <v>0</v>
      </c>
      <c r="K136" s="424">
        <f>K135-K119</f>
        <v>0</v>
      </c>
      <c r="L136" s="424">
        <f>L135-L120</f>
        <v>0</v>
      </c>
      <c r="M136" s="424">
        <f>M135-M121</f>
        <v>289900</v>
      </c>
      <c r="N136" s="424">
        <f>N135-N122</f>
        <v>592000</v>
      </c>
      <c r="O136" s="424">
        <f>O135-O123</f>
        <v>907300</v>
      </c>
      <c r="P136" s="424">
        <f>P135-P124</f>
        <v>1234700</v>
      </c>
      <c r="Q136" s="424">
        <f>Q135-Q125</f>
        <v>1576200</v>
      </c>
      <c r="R136" s="424">
        <f>R135-R126</f>
        <v>1931600</v>
      </c>
      <c r="S136" s="424">
        <f>S135-S127</f>
        <v>2302600</v>
      </c>
      <c r="T136" s="424">
        <f>T135-T128</f>
        <v>2686400</v>
      </c>
      <c r="U136" s="424">
        <f>U135-U129</f>
        <v>2831600</v>
      </c>
    </row>
    <row r="137" spans="3:21" ht="16.5" thickBot="1">
      <c r="C137" s="1"/>
      <c r="D137" s="1"/>
      <c r="E137" s="1"/>
      <c r="F137" s="1"/>
      <c r="G137" s="1"/>
      <c r="H137" s="1"/>
    </row>
    <row r="138" spans="3:21" ht="16.5" thickBot="1">
      <c r="C138" s="1"/>
      <c r="D138" s="4528" t="str">
        <f>$D$9</f>
        <v>Residential-Rural (1)</v>
      </c>
      <c r="E138" s="4529"/>
      <c r="F138" s="4530"/>
      <c r="G138" s="1"/>
      <c r="H138" s="1"/>
    </row>
    <row r="139" spans="3:21">
      <c r="C139" s="1476" t="e">
        <f>IF(D139="","",MAX(C$7:C136)+1)</f>
        <v>#N/A</v>
      </c>
      <c r="D139" s="1491" t="s">
        <v>1042</v>
      </c>
      <c r="E139" s="1468"/>
      <c r="F139" s="1983" t="s">
        <v>1043</v>
      </c>
      <c r="G139" s="1490"/>
      <c r="H139" s="1490"/>
      <c r="I139" s="1490"/>
      <c r="J139" s="1490"/>
      <c r="K139" s="1490"/>
      <c r="L139" s="1490"/>
      <c r="M139" s="1490"/>
      <c r="N139" s="1490"/>
      <c r="O139" s="1490"/>
      <c r="P139" s="1490"/>
      <c r="Q139" s="1490"/>
      <c r="R139" s="1490"/>
      <c r="S139" s="1490"/>
      <c r="T139" s="1490"/>
      <c r="U139" s="1490"/>
    </row>
    <row r="140" spans="3:21">
      <c r="C140" s="1476" t="e">
        <f>IF(D140="","",MAX(C$7:C139)+1)</f>
        <v>#N/A</v>
      </c>
      <c r="D140" s="1984" t="s">
        <v>1044</v>
      </c>
      <c r="E140" s="1985" t="s">
        <v>1045</v>
      </c>
      <c r="F140" s="1985" t="s">
        <v>1046</v>
      </c>
      <c r="G140" s="1490"/>
      <c r="H140" s="1490"/>
      <c r="I140" s="1490"/>
      <c r="J140" s="1490"/>
      <c r="K140" s="1490"/>
      <c r="L140" s="1490"/>
      <c r="M140" s="1490"/>
      <c r="N140" s="1490"/>
      <c r="O140" s="1490"/>
      <c r="P140" s="1490"/>
      <c r="Q140" s="1490"/>
      <c r="R140" s="1490"/>
      <c r="S140" s="1490"/>
      <c r="T140" s="1490"/>
      <c r="U140" s="1490"/>
    </row>
    <row r="141" spans="3:21" ht="16.5" thickBot="1">
      <c r="C141" s="1476" t="str">
        <f>IF(D141="","",MAX(C$7:C140)+1)</f>
        <v/>
      </c>
      <c r="D141" s="1489"/>
      <c r="E141" s="1489"/>
      <c r="F141" s="1489"/>
      <c r="G141" s="1490"/>
      <c r="H141" s="1490"/>
      <c r="I141" s="1490"/>
      <c r="J141" s="1490"/>
      <c r="K141" s="1490"/>
      <c r="L141" s="1490"/>
      <c r="M141" s="1490"/>
      <c r="N141" s="1490"/>
      <c r="O141" s="1490"/>
      <c r="P141" s="1490"/>
      <c r="Q141" s="1490"/>
      <c r="R141" s="1490"/>
      <c r="S141" s="1490"/>
      <c r="T141" s="1490"/>
      <c r="U141" s="1490"/>
    </row>
    <row r="142" spans="3:21">
      <c r="C142" s="1476" t="e">
        <f>IF(D142="","",MAX(C$7:C141)+1)</f>
        <v>#N/A</v>
      </c>
      <c r="D142" s="1986">
        <f t="array" ref="D142:D158">TRANSPOSE(Dashboard!$G$11:$S$11)</f>
        <v>41640</v>
      </c>
      <c r="E142" s="1989">
        <f>INDEX(Dashboard!$F$10:$S$10,1,MATCH($D142,Dashboard!$F$11:$S$11,0))</f>
        <v>0</v>
      </c>
      <c r="F142" s="1546">
        <f>INDEX(Dashboard!$F$12:$S$12,1,MATCH($D142,Dashboard!$F$11:$S$11,0))</f>
        <v>12</v>
      </c>
      <c r="G142" s="1502"/>
      <c r="H142" s="1490"/>
      <c r="I142" s="1988">
        <f>ROUND((I$9+SUM(I141:I141))*$E142*$F142/12,-2)</f>
        <v>0</v>
      </c>
      <c r="J142" s="1502">
        <f t="shared" ref="J142:U142" si="89">ROUND((J$9+SUM(J141:J141))*$E142,-2)</f>
        <v>0</v>
      </c>
      <c r="K142" s="1502">
        <f t="shared" si="89"/>
        <v>0</v>
      </c>
      <c r="L142" s="1502">
        <f t="shared" si="89"/>
        <v>0</v>
      </c>
      <c r="M142" s="1502">
        <f t="shared" si="89"/>
        <v>0</v>
      </c>
      <c r="N142" s="1502">
        <f t="shared" si="89"/>
        <v>0</v>
      </c>
      <c r="O142" s="1502">
        <f t="shared" si="89"/>
        <v>0</v>
      </c>
      <c r="P142" s="1502">
        <f t="shared" si="89"/>
        <v>0</v>
      </c>
      <c r="Q142" s="1502">
        <f t="shared" si="89"/>
        <v>0</v>
      </c>
      <c r="R142" s="1502">
        <f t="shared" si="89"/>
        <v>0</v>
      </c>
      <c r="S142" s="1502">
        <f t="shared" si="89"/>
        <v>0</v>
      </c>
      <c r="T142" s="1502">
        <f t="shared" si="89"/>
        <v>0</v>
      </c>
      <c r="U142" s="1502">
        <f t="shared" si="89"/>
        <v>0</v>
      </c>
    </row>
    <row r="143" spans="3:21">
      <c r="C143" s="1476" t="e">
        <f>IF(D143="","",MAX(C$7:C142)+1)</f>
        <v>#N/A</v>
      </c>
      <c r="D143" s="1986">
        <v>42005</v>
      </c>
      <c r="E143" s="1547">
        <f t="array" ref="E143:E158">TRANSPOSE('COS_Summ (cumulative)'!$I$12:$X$12)</f>
        <v>0</v>
      </c>
      <c r="F143" s="1548">
        <f>INDEX(Dashboard!$F$12:$S$12,1,MATCH($D143,Dashboard!$F$11:$S$11,0))</f>
        <v>12</v>
      </c>
      <c r="G143" s="1502"/>
      <c r="H143" s="1490"/>
      <c r="I143" s="1502"/>
      <c r="J143" s="1988">
        <f>ROUND((J$9+SUM(J142:J142))*$E143*$F143/12,-2)</f>
        <v>0</v>
      </c>
      <c r="K143" s="1502">
        <f>ROUND((K$9+SUM(K141:K142))*$E143,-2)</f>
        <v>0</v>
      </c>
      <c r="L143" s="1502">
        <f>ROUND((L$9+SUM(L141:L142))*$E143,-2)</f>
        <v>0</v>
      </c>
      <c r="M143" s="1502">
        <f t="shared" ref="M143:U143" si="90">ROUND((M$9+SUM(M141:M142))*$E143,-2)</f>
        <v>0</v>
      </c>
      <c r="N143" s="1502">
        <f t="shared" si="90"/>
        <v>0</v>
      </c>
      <c r="O143" s="1502">
        <f t="shared" si="90"/>
        <v>0</v>
      </c>
      <c r="P143" s="1502">
        <f t="shared" si="90"/>
        <v>0</v>
      </c>
      <c r="Q143" s="1502">
        <f t="shared" si="90"/>
        <v>0</v>
      </c>
      <c r="R143" s="1502">
        <f t="shared" si="90"/>
        <v>0</v>
      </c>
      <c r="S143" s="1502">
        <f t="shared" si="90"/>
        <v>0</v>
      </c>
      <c r="T143" s="1502">
        <f t="shared" si="90"/>
        <v>0</v>
      </c>
      <c r="U143" s="1502">
        <f t="shared" si="90"/>
        <v>0</v>
      </c>
    </row>
    <row r="144" spans="3:21">
      <c r="C144" s="1476" t="e">
        <f>IF(D144="","",MAX(C$7:C143)+1)</f>
        <v>#N/A</v>
      </c>
      <c r="D144" s="1986">
        <v>42370</v>
      </c>
      <c r="E144" s="1547">
        <v>0</v>
      </c>
      <c r="F144" s="1548">
        <f>INDEX(Dashboard!$F$12:$S$12,1,MATCH($D144,Dashboard!$F$11:$S$11,0))</f>
        <v>12</v>
      </c>
      <c r="G144" s="1502"/>
      <c r="H144" s="1490"/>
      <c r="I144" s="1502"/>
      <c r="J144" s="1502"/>
      <c r="K144" s="1988">
        <f>ROUND((K$9+SUM(K142:K143))*$E144*$F144/12,-2)</f>
        <v>0</v>
      </c>
      <c r="L144" s="1502">
        <f t="shared" ref="L144:U144" si="91">ROUND((L$9+SUM(L141:L143))*$E144,-2)</f>
        <v>0</v>
      </c>
      <c r="M144" s="1502">
        <f t="shared" si="91"/>
        <v>0</v>
      </c>
      <c r="N144" s="1502">
        <f t="shared" si="91"/>
        <v>0</v>
      </c>
      <c r="O144" s="1502">
        <f t="shared" si="91"/>
        <v>0</v>
      </c>
      <c r="P144" s="1502">
        <f t="shared" si="91"/>
        <v>0</v>
      </c>
      <c r="Q144" s="1502">
        <f t="shared" si="91"/>
        <v>0</v>
      </c>
      <c r="R144" s="1502">
        <f t="shared" si="91"/>
        <v>0</v>
      </c>
      <c r="S144" s="1502">
        <f t="shared" si="91"/>
        <v>0</v>
      </c>
      <c r="T144" s="1502">
        <f t="shared" si="91"/>
        <v>0</v>
      </c>
      <c r="U144" s="1502">
        <f t="shared" si="91"/>
        <v>0</v>
      </c>
    </row>
    <row r="145" spans="3:21">
      <c r="C145" s="1476" t="e">
        <f>IF(D145="","",MAX(C$7:C144)+1)</f>
        <v>#N/A</v>
      </c>
      <c r="D145" s="1986">
        <v>42736</v>
      </c>
      <c r="E145" s="1547">
        <v>1.4596877915346E-2</v>
      </c>
      <c r="F145" s="1548">
        <f>INDEX(Dashboard!$F$12:$S$12,1,MATCH($D145,Dashboard!$F$11:$S$11,0))</f>
        <v>12</v>
      </c>
      <c r="G145" s="1502"/>
      <c r="H145" s="1490"/>
      <c r="I145" s="1502"/>
      <c r="J145" s="1502"/>
      <c r="K145" s="1502"/>
      <c r="L145" s="1988">
        <f>ROUND((L$9+SUM(L141:L144))*$E145*$F145/12,-2)</f>
        <v>354900</v>
      </c>
      <c r="M145" s="1502">
        <f t="shared" ref="M145:U145" si="92">ROUND((M$9+SUM(M141:M144))*$E145,-2)</f>
        <v>359800</v>
      </c>
      <c r="N145" s="1502">
        <f t="shared" si="92"/>
        <v>364700</v>
      </c>
      <c r="O145" s="1502">
        <f t="shared" si="92"/>
        <v>369800</v>
      </c>
      <c r="P145" s="1502">
        <f t="shared" si="92"/>
        <v>374800</v>
      </c>
      <c r="Q145" s="1502">
        <f t="shared" si="92"/>
        <v>379900</v>
      </c>
      <c r="R145" s="1502">
        <f t="shared" si="92"/>
        <v>385200</v>
      </c>
      <c r="S145" s="1502">
        <f t="shared" si="92"/>
        <v>390600</v>
      </c>
      <c r="T145" s="1502">
        <f t="shared" si="92"/>
        <v>395900</v>
      </c>
      <c r="U145" s="1502">
        <f t="shared" si="92"/>
        <v>401400</v>
      </c>
    </row>
    <row r="146" spans="3:21">
      <c r="C146" s="1476" t="e">
        <f>IF(D146="","",MAX(C$7:C145)+1)</f>
        <v>#N/A</v>
      </c>
      <c r="D146" s="1986">
        <v>43101</v>
      </c>
      <c r="E146" s="1547">
        <v>1.4596877915346E-2</v>
      </c>
      <c r="F146" s="1548">
        <f>INDEX(Dashboard!$F$12:$S$12,1,MATCH($D146,Dashboard!$F$11:$S$11,0))</f>
        <v>12</v>
      </c>
      <c r="G146" s="1502"/>
      <c r="H146" s="1490"/>
      <c r="I146" s="1502"/>
      <c r="J146" s="1502"/>
      <c r="K146" s="1502"/>
      <c r="L146" s="1502"/>
      <c r="M146" s="1988">
        <f>ROUND((M$9+SUM(M141:M145))*$E146*$F146/12,-2)</f>
        <v>365000</v>
      </c>
      <c r="N146" s="1502">
        <f t="shared" ref="N146:U146" si="93">ROUND((N$9+SUM(N141:N145))*$E146,-2)</f>
        <v>370000</v>
      </c>
      <c r="O146" s="1502">
        <f t="shared" si="93"/>
        <v>375200</v>
      </c>
      <c r="P146" s="1502">
        <f t="shared" si="93"/>
        <v>380300</v>
      </c>
      <c r="Q146" s="1502">
        <f t="shared" si="93"/>
        <v>385500</v>
      </c>
      <c r="R146" s="1502">
        <f t="shared" si="93"/>
        <v>390800</v>
      </c>
      <c r="S146" s="1502">
        <f t="shared" si="93"/>
        <v>396400</v>
      </c>
      <c r="T146" s="1502">
        <f t="shared" si="93"/>
        <v>401700</v>
      </c>
      <c r="U146" s="1502">
        <f t="shared" si="93"/>
        <v>407200</v>
      </c>
    </row>
    <row r="147" spans="3:21">
      <c r="C147" s="1476" t="e">
        <f>IF(D147="","",MAX(C$7:C146)+1)</f>
        <v>#N/A</v>
      </c>
      <c r="D147" s="1986">
        <v>43466</v>
      </c>
      <c r="E147" s="1547">
        <v>1.4596877915346E-2</v>
      </c>
      <c r="F147" s="1548">
        <f>INDEX(Dashboard!$F$12:$S$12,1,MATCH($D147,Dashboard!$F$11:$S$11,0))</f>
        <v>12</v>
      </c>
      <c r="G147" s="1502"/>
      <c r="H147" s="1490"/>
      <c r="I147" s="1502"/>
      <c r="J147" s="1502"/>
      <c r="K147" s="1502"/>
      <c r="L147" s="1502"/>
      <c r="M147" s="1502"/>
      <c r="N147" s="1988">
        <f>ROUND((N$9+SUM(N141:N146))*$E147*$F147/12,-2)</f>
        <v>375400</v>
      </c>
      <c r="O147" s="1502">
        <f t="shared" ref="O147:U147" si="94">ROUND((O$9+SUM(O141:O146))*$E147,-2)</f>
        <v>380700</v>
      </c>
      <c r="P147" s="1502">
        <f t="shared" si="94"/>
        <v>385800</v>
      </c>
      <c r="Q147" s="1502">
        <f t="shared" si="94"/>
        <v>391100</v>
      </c>
      <c r="R147" s="1502">
        <f t="shared" si="94"/>
        <v>396500</v>
      </c>
      <c r="S147" s="1502">
        <f t="shared" si="94"/>
        <v>402100</v>
      </c>
      <c r="T147" s="1502">
        <f t="shared" si="94"/>
        <v>407500</v>
      </c>
      <c r="U147" s="1502">
        <f t="shared" si="94"/>
        <v>413200</v>
      </c>
    </row>
    <row r="148" spans="3:21">
      <c r="C148" s="1476" t="e">
        <f>IF(D148="","",MAX(C$7:C147)+1)</f>
        <v>#N/A</v>
      </c>
      <c r="D148" s="1986">
        <v>43831</v>
      </c>
      <c r="E148" s="1547">
        <v>1.4596877915346E-2</v>
      </c>
      <c r="F148" s="1548">
        <f>INDEX(Dashboard!$F$12:$S$12,1,MATCH($D148,Dashboard!$F$11:$S$11,0))</f>
        <v>12</v>
      </c>
      <c r="G148" s="1502"/>
      <c r="H148" s="1490"/>
      <c r="I148" s="1502"/>
      <c r="J148" s="1502"/>
      <c r="K148" s="1502"/>
      <c r="L148" s="1502"/>
      <c r="M148" s="1502"/>
      <c r="N148" s="1502"/>
      <c r="O148" s="1988">
        <f>ROUND((O$9+SUM(O141:O147))*$E148*$F148/12,-2)</f>
        <v>386300</v>
      </c>
      <c r="P148" s="1502">
        <f t="shared" ref="P148:U148" si="95">ROUND((P$9+SUM(P141:P147))*$E148,-2)</f>
        <v>391400</v>
      </c>
      <c r="Q148" s="1502">
        <f t="shared" si="95"/>
        <v>396800</v>
      </c>
      <c r="R148" s="1502">
        <f t="shared" si="95"/>
        <v>402300</v>
      </c>
      <c r="S148" s="1502">
        <f t="shared" si="95"/>
        <v>408000</v>
      </c>
      <c r="T148" s="1502">
        <f t="shared" si="95"/>
        <v>413500</v>
      </c>
      <c r="U148" s="1502">
        <f t="shared" si="95"/>
        <v>419200</v>
      </c>
    </row>
    <row r="149" spans="3:21">
      <c r="C149" s="1476" t="e">
        <f>IF(D149="","",MAX(C$7:C148)+1)</f>
        <v>#N/A</v>
      </c>
      <c r="D149" s="1986">
        <v>44197</v>
      </c>
      <c r="E149" s="1547">
        <v>1.4596877915346E-2</v>
      </c>
      <c r="F149" s="1548">
        <f>INDEX(Dashboard!$F$12:$S$12,1,MATCH($D149,Dashboard!$F$11:$S$11,0))</f>
        <v>12</v>
      </c>
      <c r="G149" s="1502"/>
      <c r="H149" s="1490"/>
      <c r="I149" s="1502"/>
      <c r="J149" s="1502"/>
      <c r="K149" s="1502"/>
      <c r="L149" s="1502"/>
      <c r="M149" s="1502"/>
      <c r="N149" s="1502"/>
      <c r="O149" s="1502"/>
      <c r="P149" s="1988">
        <f>ROUND((P$9+SUM(P141:P148))*$E149*$F149/12,-2)</f>
        <v>397200</v>
      </c>
      <c r="Q149" s="1502">
        <f t="shared" ref="Q149:U149" si="96">ROUND((Q$9+SUM(Q141:Q148))*$E149,-2)</f>
        <v>402600</v>
      </c>
      <c r="R149" s="1502">
        <f t="shared" si="96"/>
        <v>408200</v>
      </c>
      <c r="S149" s="1502">
        <f t="shared" si="96"/>
        <v>414000</v>
      </c>
      <c r="T149" s="1502">
        <f t="shared" si="96"/>
        <v>419500</v>
      </c>
      <c r="U149" s="1502">
        <f t="shared" si="96"/>
        <v>425300</v>
      </c>
    </row>
    <row r="150" spans="3:21">
      <c r="C150" s="1476" t="e">
        <f>IF(D150="","",MAX(C$7:C149)+1)</f>
        <v>#N/A</v>
      </c>
      <c r="D150" s="1986">
        <v>44562</v>
      </c>
      <c r="E150" s="1547">
        <v>1.4596877915346E-2</v>
      </c>
      <c r="F150" s="1548">
        <f>INDEX(Dashboard!$F$12:$S$12,1,MATCH($D150,Dashboard!$F$11:$S$11,0))</f>
        <v>12</v>
      </c>
      <c r="G150" s="1502"/>
      <c r="H150" s="1490"/>
      <c r="I150" s="1502"/>
      <c r="J150" s="1502"/>
      <c r="K150" s="1502"/>
      <c r="L150" s="1502"/>
      <c r="M150" s="1502"/>
      <c r="N150" s="1502"/>
      <c r="O150" s="1502"/>
      <c r="P150" s="1502"/>
      <c r="Q150" s="1988">
        <f>ROUND((Q$9+SUM(Q141:Q149))*$E150*$F150/12,-2)</f>
        <v>408500</v>
      </c>
      <c r="R150" s="1502">
        <f t="shared" ref="R150:U150" si="97">ROUND((R$9+SUM(R141:R149))*$E150,-2)</f>
        <v>414100</v>
      </c>
      <c r="S150" s="1502">
        <f t="shared" si="97"/>
        <v>420000</v>
      </c>
      <c r="T150" s="1502">
        <f t="shared" si="97"/>
        <v>425600</v>
      </c>
      <c r="U150" s="1502">
        <f t="shared" si="97"/>
        <v>431500</v>
      </c>
    </row>
    <row r="151" spans="3:21">
      <c r="C151" s="1476" t="e">
        <f>IF(D151="","",MAX(C$7:C150)+1)</f>
        <v>#N/A</v>
      </c>
      <c r="D151" s="1986">
        <v>44927</v>
      </c>
      <c r="E151" s="1547">
        <v>1.4596877915346E-2</v>
      </c>
      <c r="F151" s="1548">
        <f>INDEX(Dashboard!$F$12:$S$12,1,MATCH($D151,Dashboard!$F$11:$S$11,0))</f>
        <v>12</v>
      </c>
      <c r="G151" s="1502"/>
      <c r="H151" s="1490"/>
      <c r="I151" s="1502"/>
      <c r="J151" s="1502"/>
      <c r="K151" s="1502"/>
      <c r="L151" s="1502"/>
      <c r="M151" s="1502"/>
      <c r="N151" s="1502"/>
      <c r="O151" s="1502"/>
      <c r="P151" s="1502"/>
      <c r="Q151" s="1502"/>
      <c r="R151" s="1988">
        <f>ROUND((R$9+SUM(R141:R150))*$E151*$F151/12,-2)</f>
        <v>420200</v>
      </c>
      <c r="S151" s="1502">
        <f t="shared" ref="S151:U151" si="98">ROUND((S$9+SUM(S141:S150))*$E151,-2)</f>
        <v>426100</v>
      </c>
      <c r="T151" s="1502">
        <f t="shared" si="98"/>
        <v>431900</v>
      </c>
      <c r="U151" s="1502">
        <f t="shared" si="98"/>
        <v>437800</v>
      </c>
    </row>
    <row r="152" spans="3:21" ht="16.5" thickBot="1">
      <c r="C152" s="1476" t="e">
        <f>IF(D152="","",MAX(C$7:C151)+1)</f>
        <v>#N/A</v>
      </c>
      <c r="D152" s="1986">
        <v>45292</v>
      </c>
      <c r="E152" s="1549">
        <v>1.4596877915346E-2</v>
      </c>
      <c r="F152" s="1550">
        <f>INDEX(Dashboard!$F$12:$S$12,1,MATCH($D152,Dashboard!$F$11:$S$11,0))</f>
        <v>12</v>
      </c>
      <c r="G152" s="1502"/>
      <c r="H152" s="1490"/>
      <c r="I152" s="1502"/>
      <c r="J152" s="1502"/>
      <c r="K152" s="1502"/>
      <c r="L152" s="1502"/>
      <c r="M152" s="1502"/>
      <c r="N152" s="1502"/>
      <c r="O152" s="1502"/>
      <c r="P152" s="1502"/>
      <c r="Q152" s="1502"/>
      <c r="R152" s="1502"/>
      <c r="S152" s="1988">
        <f>ROUND((S$9+SUM(S141:S151))*$E152*$F152/12,-2)</f>
        <v>432400</v>
      </c>
      <c r="T152" s="1502">
        <f t="shared" ref="T152:U152" si="99">ROUND((T$9+SUM(T141:T151))*$E152,-2)</f>
        <v>438200</v>
      </c>
      <c r="U152" s="1502">
        <f t="shared" si="99"/>
        <v>444200</v>
      </c>
    </row>
    <row r="153" spans="3:21">
      <c r="C153" s="1476" t="e">
        <f>IF(D153="","",MAX(C$7:C152)+1)</f>
        <v>#N/A</v>
      </c>
      <c r="D153" s="1986">
        <v>45658</v>
      </c>
      <c r="E153" s="1545">
        <v>4.3548301635403788E-3</v>
      </c>
      <c r="F153" s="1546">
        <f>INDEX(Dashboard!$F$12:$S$12,1,MATCH($D153,Dashboard!$F$11:$S$11,0))</f>
        <v>12</v>
      </c>
      <c r="G153" s="1502"/>
      <c r="H153" s="1490"/>
      <c r="I153" s="1502"/>
      <c r="J153" s="1502"/>
      <c r="K153" s="1502"/>
      <c r="L153" s="1502"/>
      <c r="M153" s="1502"/>
      <c r="N153" s="1502"/>
      <c r="O153" s="1502"/>
      <c r="P153" s="1502"/>
      <c r="Q153" s="1502"/>
      <c r="R153" s="1502"/>
      <c r="S153" s="1502"/>
      <c r="T153" s="1988">
        <f>ROUND((T$9+SUM(T141:T152))*$E153*$F153/12,-2)</f>
        <v>132600</v>
      </c>
      <c r="U153" s="1502">
        <f>ROUND((U$9+SUM(U141:U152))*$E153,-2)</f>
        <v>134500</v>
      </c>
    </row>
    <row r="154" spans="3:21" ht="16.5" thickBot="1">
      <c r="C154" s="1476" t="e">
        <f>IF(D154="","",MAX(C$7:C153)+1)</f>
        <v>#N/A</v>
      </c>
      <c r="D154" s="1986">
        <v>46023</v>
      </c>
      <c r="E154" s="1549">
        <v>2.2412295278799999E-2</v>
      </c>
      <c r="F154" s="1550">
        <f>INDEX(Dashboard!$F$12:$S$12,1,MATCH($D154,Dashboard!$F$11:$S$11,0))</f>
        <v>12</v>
      </c>
      <c r="G154" s="1502"/>
      <c r="H154" s="1490"/>
      <c r="I154" s="1502"/>
      <c r="J154" s="1502"/>
      <c r="K154" s="1502"/>
      <c r="L154" s="1502"/>
      <c r="M154" s="1502"/>
      <c r="N154" s="1502"/>
      <c r="O154" s="1502"/>
      <c r="P154" s="1502"/>
      <c r="Q154" s="1502"/>
      <c r="R154" s="1502"/>
      <c r="S154" s="1502"/>
      <c r="T154" s="1502"/>
      <c r="U154" s="1988">
        <f>ROUND((U$9+SUM(U141:U153))*$E154*$F154/12,-2)</f>
        <v>695000</v>
      </c>
    </row>
    <row r="155" spans="3:21" hidden="1">
      <c r="C155" s="1476" t="e">
        <f>IF(D155="","",MAX(C$7:C154)+1)</f>
        <v>#N/A</v>
      </c>
      <c r="D155" s="1986" t="e">
        <v>#N/A</v>
      </c>
      <c r="E155" s="1547">
        <v>0</v>
      </c>
      <c r="F155" s="1548" t="e">
        <f>INDEX(Dashboard!$F$12:$S$12,1,MATCH($D155,Dashboard!$F$11:$S$11,0))</f>
        <v>#N/A</v>
      </c>
      <c r="G155" s="1502"/>
      <c r="H155" s="1490"/>
      <c r="I155" s="1502"/>
      <c r="J155" s="1502"/>
      <c r="K155" s="1502"/>
      <c r="L155" s="1502"/>
      <c r="M155" s="1502"/>
      <c r="N155" s="1502"/>
      <c r="O155" s="1502"/>
      <c r="P155" s="1502"/>
      <c r="Q155" s="1502"/>
      <c r="R155" s="1502"/>
      <c r="S155" s="1502"/>
      <c r="T155" s="1502"/>
      <c r="U155" s="1502"/>
    </row>
    <row r="156" spans="3:21" hidden="1">
      <c r="C156" s="1476" t="e">
        <f>IF(D156="","",MAX(C$7:C155)+1)</f>
        <v>#N/A</v>
      </c>
      <c r="D156" s="1986" t="e">
        <v>#N/A</v>
      </c>
      <c r="E156" s="1547">
        <v>0</v>
      </c>
      <c r="F156" s="1548" t="e">
        <f>INDEX(Dashboard!$F$12:$S$12,1,MATCH($D156,Dashboard!$F$11:$S$11,0))</f>
        <v>#N/A</v>
      </c>
      <c r="G156" s="1502"/>
      <c r="H156" s="1490"/>
      <c r="I156" s="1502"/>
      <c r="J156" s="1502"/>
      <c r="K156" s="1502"/>
      <c r="L156" s="1502"/>
      <c r="M156" s="1502"/>
      <c r="N156" s="1502"/>
      <c r="O156" s="1502"/>
      <c r="P156" s="1502"/>
      <c r="Q156" s="1502"/>
      <c r="R156" s="1502"/>
      <c r="S156" s="1502"/>
      <c r="T156" s="1502"/>
      <c r="U156" s="1502"/>
    </row>
    <row r="157" spans="3:21" hidden="1">
      <c r="C157" s="1476" t="e">
        <f>IF(D157="","",MAX(C$7:C156)+1)</f>
        <v>#N/A</v>
      </c>
      <c r="D157" s="1986" t="e">
        <v>#N/A</v>
      </c>
      <c r="E157" s="1547">
        <v>0</v>
      </c>
      <c r="F157" s="1548" t="e">
        <f>INDEX(Dashboard!$F$12:$S$12,1,MATCH($D157,Dashboard!$F$11:$S$11,0))</f>
        <v>#N/A</v>
      </c>
      <c r="G157" s="1502"/>
      <c r="H157" s="1490"/>
      <c r="I157" s="1502"/>
      <c r="J157" s="1502"/>
      <c r="K157" s="1502"/>
      <c r="L157" s="1502"/>
      <c r="M157" s="1502"/>
      <c r="N157" s="1502"/>
      <c r="O157" s="1502"/>
      <c r="P157" s="1502"/>
      <c r="Q157" s="1502"/>
      <c r="R157" s="1502"/>
      <c r="S157" s="1502"/>
      <c r="T157" s="1502"/>
      <c r="U157" s="1502"/>
    </row>
    <row r="158" spans="3:21" ht="16.5" hidden="1" thickBot="1">
      <c r="C158" s="1476" t="e">
        <f>IF(D158="","",MAX(C$7:C157)+1)</f>
        <v>#N/A</v>
      </c>
      <c r="D158" s="1986" t="e">
        <v>#N/A</v>
      </c>
      <c r="E158" s="1549">
        <v>0</v>
      </c>
      <c r="F158" s="1550" t="e">
        <f>INDEX(Dashboard!$F$12:$S$12,1,MATCH($D158,Dashboard!$F$11:$S$11,0))</f>
        <v>#N/A</v>
      </c>
      <c r="G158" s="1502"/>
      <c r="H158" s="1490"/>
      <c r="I158" s="1502"/>
      <c r="J158" s="1502"/>
      <c r="K158" s="1502"/>
      <c r="L158" s="1502"/>
      <c r="M158" s="1502"/>
      <c r="N158" s="1502"/>
      <c r="O158" s="1502"/>
      <c r="P158" s="1502"/>
      <c r="Q158" s="1502"/>
      <c r="R158" s="1502"/>
      <c r="S158" s="1502"/>
      <c r="T158" s="1502"/>
      <c r="U158" s="1502"/>
    </row>
    <row r="159" spans="3:21">
      <c r="C159" s="1476" t="str">
        <f>IF(D159="","",MAX(C$7:C158)+1)</f>
        <v/>
      </c>
      <c r="D159" s="1468"/>
      <c r="E159" s="1468"/>
      <c r="F159" s="1468"/>
      <c r="G159" s="1987"/>
      <c r="H159" s="1987"/>
      <c r="I159" s="1502"/>
      <c r="J159" s="1502"/>
      <c r="K159" s="1502"/>
      <c r="L159" s="1502"/>
      <c r="M159" s="1502"/>
      <c r="N159" s="1502"/>
      <c r="O159" s="1502"/>
      <c r="P159" s="1502"/>
      <c r="Q159" s="1502"/>
      <c r="R159" s="1502"/>
      <c r="S159" s="1502"/>
      <c r="T159" s="1502"/>
      <c r="U159" s="1502"/>
    </row>
    <row r="160" spans="3:21">
      <c r="C160" s="1476" t="e">
        <f>IF(D160="","",MAX(C$7:C159)+1)</f>
        <v>#N/A</v>
      </c>
      <c r="D160" s="1468" t="s">
        <v>1047</v>
      </c>
      <c r="E160" s="1468"/>
      <c r="F160" s="1468"/>
      <c r="G160" s="1504">
        <f t="shared" ref="G160:U160" si="100">SUM(G142:G159)</f>
        <v>0</v>
      </c>
      <c r="H160" s="1504">
        <f t="shared" si="100"/>
        <v>0</v>
      </c>
      <c r="I160" s="1504">
        <f t="shared" si="100"/>
        <v>0</v>
      </c>
      <c r="J160" s="1504">
        <f t="shared" si="100"/>
        <v>0</v>
      </c>
      <c r="K160" s="1504">
        <f>SUM(K142:K159)</f>
        <v>0</v>
      </c>
      <c r="L160" s="1504">
        <f t="shared" si="100"/>
        <v>354900</v>
      </c>
      <c r="M160" s="1504">
        <f t="shared" si="100"/>
        <v>724800</v>
      </c>
      <c r="N160" s="1504">
        <f t="shared" si="100"/>
        <v>1110100</v>
      </c>
      <c r="O160" s="1504">
        <f t="shared" si="100"/>
        <v>1512000</v>
      </c>
      <c r="P160" s="1504">
        <f t="shared" si="100"/>
        <v>1929500</v>
      </c>
      <c r="Q160" s="1504">
        <f t="shared" si="100"/>
        <v>2364400</v>
      </c>
      <c r="R160" s="1504">
        <f t="shared" si="100"/>
        <v>2817300</v>
      </c>
      <c r="S160" s="1504">
        <f t="shared" si="100"/>
        <v>3289600</v>
      </c>
      <c r="T160" s="1504">
        <f t="shared" si="100"/>
        <v>3466400</v>
      </c>
      <c r="U160" s="1504">
        <f t="shared" si="100"/>
        <v>4209300</v>
      </c>
    </row>
    <row r="161" spans="3:21">
      <c r="C161" s="1476" t="e">
        <f>IF(D161="","",MAX(C$7:C160)+1)</f>
        <v>#N/A</v>
      </c>
      <c r="D161" s="1468" t="s">
        <v>2772</v>
      </c>
      <c r="E161" s="1"/>
      <c r="F161" s="1"/>
      <c r="G161" s="1"/>
      <c r="H161" s="1"/>
      <c r="J161" s="424">
        <f>J160-J143</f>
        <v>0</v>
      </c>
      <c r="K161" s="424">
        <f>K160-K144</f>
        <v>0</v>
      </c>
      <c r="L161" s="424">
        <f>L160-L145</f>
        <v>0</v>
      </c>
      <c r="M161" s="424">
        <f>M160-M146</f>
        <v>359800</v>
      </c>
      <c r="N161" s="424">
        <f>N160-N147</f>
        <v>734700</v>
      </c>
      <c r="O161" s="424">
        <f>O160-O148</f>
        <v>1125700</v>
      </c>
      <c r="P161" s="424">
        <f>P160-P149</f>
        <v>1532300</v>
      </c>
      <c r="Q161" s="424">
        <f>Q160-Q150</f>
        <v>1955900</v>
      </c>
      <c r="R161" s="424">
        <f>R160-R151</f>
        <v>2397100</v>
      </c>
      <c r="S161" s="424">
        <f>S160-S152</f>
        <v>2857200</v>
      </c>
      <c r="T161" s="424">
        <f>T160-T153</f>
        <v>3333800</v>
      </c>
      <c r="U161" s="424">
        <f>U160-U154</f>
        <v>3514300</v>
      </c>
    </row>
    <row r="162" spans="3:21" ht="16.5" thickBot="1"/>
    <row r="163" spans="3:21" ht="16.5" thickBot="1">
      <c r="C163" s="1"/>
      <c r="D163" s="4528" t="str">
        <f>$D$11</f>
        <v>Irrigation 1PH (3)</v>
      </c>
      <c r="E163" s="4529"/>
      <c r="F163" s="4530"/>
      <c r="G163" s="1"/>
      <c r="H163" s="1"/>
    </row>
    <row r="164" spans="3:21">
      <c r="C164" s="1476" t="e">
        <f>IF(D164="","",MAX(C$7:C162)+1)</f>
        <v>#N/A</v>
      </c>
      <c r="D164" s="1491" t="s">
        <v>1042</v>
      </c>
      <c r="E164" s="1468"/>
      <c r="F164" s="1983" t="s">
        <v>1043</v>
      </c>
      <c r="G164" s="1490"/>
      <c r="H164" s="1490"/>
      <c r="I164" s="1490"/>
      <c r="J164" s="1490"/>
      <c r="K164" s="1490"/>
      <c r="L164" s="1490"/>
      <c r="M164" s="1490"/>
      <c r="N164" s="1490"/>
      <c r="O164" s="1490"/>
      <c r="P164" s="1490"/>
      <c r="Q164" s="1490"/>
      <c r="R164" s="1490"/>
      <c r="S164" s="1490"/>
      <c r="T164" s="1490"/>
      <c r="U164" s="1490"/>
    </row>
    <row r="165" spans="3:21">
      <c r="C165" s="1476" t="e">
        <f>IF(D165="","",MAX(C$7:C164)+1)</f>
        <v>#N/A</v>
      </c>
      <c r="D165" s="1984" t="s">
        <v>1044</v>
      </c>
      <c r="E165" s="1985" t="s">
        <v>1045</v>
      </c>
      <c r="F165" s="1985" t="s">
        <v>1046</v>
      </c>
      <c r="G165" s="1490"/>
      <c r="H165" s="1490"/>
      <c r="I165" s="1490"/>
      <c r="J165" s="1490"/>
      <c r="K165" s="1490"/>
      <c r="L165" s="1490"/>
      <c r="M165" s="1490"/>
      <c r="N165" s="1490"/>
      <c r="O165" s="1490"/>
      <c r="P165" s="1490"/>
      <c r="Q165" s="1490"/>
      <c r="R165" s="1490"/>
      <c r="S165" s="1490"/>
      <c r="T165" s="1490"/>
      <c r="U165" s="1490"/>
    </row>
    <row r="166" spans="3:21" ht="16.5" thickBot="1">
      <c r="C166" s="1476" t="str">
        <f>IF(D166="","",MAX(C$7:C165)+1)</f>
        <v/>
      </c>
      <c r="D166" s="1489"/>
      <c r="E166" s="1489"/>
      <c r="F166" s="1489"/>
      <c r="G166" s="1490"/>
      <c r="H166" s="1490"/>
      <c r="I166" s="1490"/>
      <c r="J166" s="1490"/>
      <c r="K166" s="1490"/>
      <c r="L166" s="1490"/>
      <c r="M166" s="1490"/>
      <c r="N166" s="1490"/>
      <c r="O166" s="1490"/>
      <c r="P166" s="1490"/>
      <c r="Q166" s="1490"/>
      <c r="R166" s="1490"/>
      <c r="S166" s="1490"/>
      <c r="T166" s="1490"/>
      <c r="U166" s="1490"/>
    </row>
    <row r="167" spans="3:21">
      <c r="C167" s="1476" t="e">
        <f>IF(D167="","",MAX(C$7:C166)+1)</f>
        <v>#N/A</v>
      </c>
      <c r="D167" s="1986">
        <f t="array" ref="D167:D183">TRANSPOSE(Dashboard!$G$11:$S$11)</f>
        <v>41640</v>
      </c>
      <c r="E167" s="1989">
        <f>INDEX(Dashboard!$F$10:$S$10,1,MATCH($D167,Dashboard!$F$11:$S$11,0))</f>
        <v>0</v>
      </c>
      <c r="F167" s="1546">
        <f>INDEX(Dashboard!$F$12:$S$12,1,MATCH($D167,Dashboard!$F$11:$S$11,0))</f>
        <v>12</v>
      </c>
      <c r="G167" s="1502"/>
      <c r="H167" s="1490"/>
      <c r="I167" s="1988">
        <f>ROUND((I$11+SUM(I166:I166))*$E167*$F167/12,-2)</f>
        <v>0</v>
      </c>
      <c r="J167" s="1502">
        <f t="shared" ref="J167:U167" si="101">ROUND((J$11+SUM(J166:J166))*$E167,-2)</f>
        <v>0</v>
      </c>
      <c r="K167" s="1502">
        <f t="shared" si="101"/>
        <v>0</v>
      </c>
      <c r="L167" s="1502">
        <f t="shared" si="101"/>
        <v>0</v>
      </c>
      <c r="M167" s="1502">
        <f t="shared" si="101"/>
        <v>0</v>
      </c>
      <c r="N167" s="1502">
        <f t="shared" si="101"/>
        <v>0</v>
      </c>
      <c r="O167" s="1502">
        <f t="shared" si="101"/>
        <v>0</v>
      </c>
      <c r="P167" s="1502">
        <f t="shared" si="101"/>
        <v>0</v>
      </c>
      <c r="Q167" s="1502">
        <f t="shared" si="101"/>
        <v>0</v>
      </c>
      <c r="R167" s="1502">
        <f t="shared" si="101"/>
        <v>0</v>
      </c>
      <c r="S167" s="1502">
        <f t="shared" si="101"/>
        <v>0</v>
      </c>
      <c r="T167" s="1502">
        <f t="shared" si="101"/>
        <v>0</v>
      </c>
      <c r="U167" s="1502">
        <f t="shared" si="101"/>
        <v>0</v>
      </c>
    </row>
    <row r="168" spans="3:21">
      <c r="C168" s="1476" t="e">
        <f>IF(D168="","",MAX(C$7:C167)+1)</f>
        <v>#N/A</v>
      </c>
      <c r="D168" s="1986">
        <v>42005</v>
      </c>
      <c r="E168" s="1547">
        <f t="array" ref="E168:E183">TRANSPOSE('COS_Summ (cumulative)'!$I$14:$X$14)</f>
        <v>0</v>
      </c>
      <c r="F168" s="1548">
        <f>INDEX(Dashboard!$F$12:$S$12,1,MATCH($D168,Dashboard!$F$11:$S$11,0))</f>
        <v>12</v>
      </c>
      <c r="G168" s="1502"/>
      <c r="H168" s="1490"/>
      <c r="I168" s="1502"/>
      <c r="J168" s="1988">
        <f>ROUND((J$11+SUM(J167:J167))*$E168*$F168/12,-2)</f>
        <v>0</v>
      </c>
      <c r="K168" s="1502">
        <f t="shared" ref="K168:U168" si="102">ROUND((K$11+SUM(K166:K167))*$E168,-2)</f>
        <v>0</v>
      </c>
      <c r="L168" s="1502">
        <f t="shared" si="102"/>
        <v>0</v>
      </c>
      <c r="M168" s="1502">
        <f t="shared" si="102"/>
        <v>0</v>
      </c>
      <c r="N168" s="1502">
        <f t="shared" si="102"/>
        <v>0</v>
      </c>
      <c r="O168" s="1502">
        <f t="shared" si="102"/>
        <v>0</v>
      </c>
      <c r="P168" s="1502">
        <f t="shared" si="102"/>
        <v>0</v>
      </c>
      <c r="Q168" s="1502">
        <f t="shared" si="102"/>
        <v>0</v>
      </c>
      <c r="R168" s="1502">
        <f t="shared" si="102"/>
        <v>0</v>
      </c>
      <c r="S168" s="1502">
        <f t="shared" si="102"/>
        <v>0</v>
      </c>
      <c r="T168" s="1502">
        <f t="shared" si="102"/>
        <v>0</v>
      </c>
      <c r="U168" s="1502">
        <f t="shared" si="102"/>
        <v>0</v>
      </c>
    </row>
    <row r="169" spans="3:21">
      <c r="C169" s="1476" t="e">
        <f>IF(D169="","",MAX(C$7:C168)+1)</f>
        <v>#N/A</v>
      </c>
      <c r="D169" s="1986">
        <v>42370</v>
      </c>
      <c r="E169" s="1547">
        <v>0</v>
      </c>
      <c r="F169" s="1548">
        <f>INDEX(Dashboard!$F$12:$S$12,1,MATCH($D169,Dashboard!$F$11:$S$11,0))</f>
        <v>12</v>
      </c>
      <c r="G169" s="1502"/>
      <c r="H169" s="1490"/>
      <c r="I169" s="1502"/>
      <c r="J169" s="1502"/>
      <c r="K169" s="1988">
        <f>ROUND((K$11+SUM(K167:K168))*$E169*$F169/12,-2)</f>
        <v>0</v>
      </c>
      <c r="L169" s="1502">
        <f t="shared" ref="L169:U169" si="103">ROUND((L$11+SUM(L166:L168))*$E169,-2)</f>
        <v>0</v>
      </c>
      <c r="M169" s="1502">
        <f t="shared" si="103"/>
        <v>0</v>
      </c>
      <c r="N169" s="1502">
        <f t="shared" si="103"/>
        <v>0</v>
      </c>
      <c r="O169" s="1502">
        <f t="shared" si="103"/>
        <v>0</v>
      </c>
      <c r="P169" s="1502">
        <f t="shared" si="103"/>
        <v>0</v>
      </c>
      <c r="Q169" s="1502">
        <f t="shared" si="103"/>
        <v>0</v>
      </c>
      <c r="R169" s="1502">
        <f t="shared" si="103"/>
        <v>0</v>
      </c>
      <c r="S169" s="1502">
        <f t="shared" si="103"/>
        <v>0</v>
      </c>
      <c r="T169" s="1502">
        <f t="shared" si="103"/>
        <v>0</v>
      </c>
      <c r="U169" s="1502">
        <f t="shared" si="103"/>
        <v>0</v>
      </c>
    </row>
    <row r="170" spans="3:21">
      <c r="C170" s="1476" t="e">
        <f>IF(D170="","",MAX(C$7:C169)+1)</f>
        <v>#N/A</v>
      </c>
      <c r="D170" s="1986">
        <v>42736</v>
      </c>
      <c r="E170" s="1547">
        <v>3.4384489117059158E-2</v>
      </c>
      <c r="F170" s="1548">
        <f>INDEX(Dashboard!$F$12:$S$12,1,MATCH($D170,Dashboard!$F$11:$S$11,0))</f>
        <v>12</v>
      </c>
      <c r="G170" s="1502"/>
      <c r="H170" s="1490"/>
      <c r="I170" s="1502"/>
      <c r="J170" s="1502"/>
      <c r="K170" s="1502"/>
      <c r="L170" s="1988">
        <f>ROUND((L$11+SUM(L166:L169))*$E170*$F170/12,-2)</f>
        <v>4300</v>
      </c>
      <c r="M170" s="1502">
        <f t="shared" ref="M170:U170" si="104">ROUND((M$11+SUM(M166:M169))*$E170,-2)</f>
        <v>4300</v>
      </c>
      <c r="N170" s="1502">
        <f t="shared" si="104"/>
        <v>4400</v>
      </c>
      <c r="O170" s="1502">
        <f t="shared" si="104"/>
        <v>4400</v>
      </c>
      <c r="P170" s="1502">
        <f t="shared" si="104"/>
        <v>4500</v>
      </c>
      <c r="Q170" s="1502">
        <f t="shared" si="104"/>
        <v>4500</v>
      </c>
      <c r="R170" s="1502">
        <f t="shared" si="104"/>
        <v>4500</v>
      </c>
      <c r="S170" s="1502">
        <f t="shared" si="104"/>
        <v>4600</v>
      </c>
      <c r="T170" s="1502">
        <f t="shared" si="104"/>
        <v>4600</v>
      </c>
      <c r="U170" s="1502">
        <f t="shared" si="104"/>
        <v>4700</v>
      </c>
    </row>
    <row r="171" spans="3:21">
      <c r="C171" s="1476" t="e">
        <f>IF(D171="","",MAX(C$7:C170)+1)</f>
        <v>#N/A</v>
      </c>
      <c r="D171" s="1986">
        <v>43101</v>
      </c>
      <c r="E171" s="1547">
        <v>3.4384489117059158E-2</v>
      </c>
      <c r="F171" s="1548">
        <f>INDEX(Dashboard!$F$12:$S$12,1,MATCH($D171,Dashboard!$F$11:$S$11,0))</f>
        <v>12</v>
      </c>
      <c r="G171" s="1502"/>
      <c r="H171" s="1490"/>
      <c r="I171" s="1502"/>
      <c r="J171" s="1502"/>
      <c r="K171" s="1502"/>
      <c r="L171" s="1502"/>
      <c r="M171" s="1988">
        <f>ROUND((M$11+SUM(M166:M170))*$E171*$F171/12,-2)</f>
        <v>4500</v>
      </c>
      <c r="N171" s="1502">
        <f t="shared" ref="N171:U171" si="105">ROUND((N$11+SUM(N166:N170))*$E171,-2)</f>
        <v>4500</v>
      </c>
      <c r="O171" s="1502">
        <f t="shared" si="105"/>
        <v>4600</v>
      </c>
      <c r="P171" s="1502">
        <f t="shared" si="105"/>
        <v>4600</v>
      </c>
      <c r="Q171" s="1502">
        <f t="shared" si="105"/>
        <v>4700</v>
      </c>
      <c r="R171" s="1502">
        <f t="shared" si="105"/>
        <v>4700</v>
      </c>
      <c r="S171" s="1502">
        <f t="shared" si="105"/>
        <v>4700</v>
      </c>
      <c r="T171" s="1502">
        <f t="shared" si="105"/>
        <v>4800</v>
      </c>
      <c r="U171" s="1502">
        <f t="shared" si="105"/>
        <v>4800</v>
      </c>
    </row>
    <row r="172" spans="3:21">
      <c r="C172" s="1476" t="e">
        <f>IF(D172="","",MAX(C$7:C171)+1)</f>
        <v>#N/A</v>
      </c>
      <c r="D172" s="1986">
        <v>43466</v>
      </c>
      <c r="E172" s="1547">
        <v>3.4384489117059158E-2</v>
      </c>
      <c r="F172" s="1548">
        <f>INDEX(Dashboard!$F$12:$S$12,1,MATCH($D172,Dashboard!$F$11:$S$11,0))</f>
        <v>12</v>
      </c>
      <c r="G172" s="1502"/>
      <c r="H172" s="1490"/>
      <c r="I172" s="1502"/>
      <c r="J172" s="1502"/>
      <c r="K172" s="1502"/>
      <c r="L172" s="1502"/>
      <c r="M172" s="1502"/>
      <c r="N172" s="1988">
        <f>ROUND((N$11+SUM(N166:N171))*$E172*$F172/12,-2)</f>
        <v>4700</v>
      </c>
      <c r="O172" s="1502">
        <f t="shared" ref="O172:U172" si="106">ROUND((O$11+SUM(O166:O171))*$E172,-2)</f>
        <v>4700</v>
      </c>
      <c r="P172" s="1502">
        <f t="shared" si="106"/>
        <v>4800</v>
      </c>
      <c r="Q172" s="1502">
        <f t="shared" si="106"/>
        <v>4800</v>
      </c>
      <c r="R172" s="1502">
        <f t="shared" si="106"/>
        <v>4900</v>
      </c>
      <c r="S172" s="1502">
        <f t="shared" si="106"/>
        <v>4900</v>
      </c>
      <c r="T172" s="1502">
        <f t="shared" si="106"/>
        <v>5000</v>
      </c>
      <c r="U172" s="1502">
        <f t="shared" si="106"/>
        <v>5000</v>
      </c>
    </row>
    <row r="173" spans="3:21">
      <c r="C173" s="1476" t="e">
        <f>IF(D173="","",MAX(C$7:C172)+1)</f>
        <v>#N/A</v>
      </c>
      <c r="D173" s="1986">
        <v>43831</v>
      </c>
      <c r="E173" s="1547">
        <v>3.4384489117059158E-2</v>
      </c>
      <c r="F173" s="1548">
        <f>INDEX(Dashboard!$F$12:$S$12,1,MATCH($D173,Dashboard!$F$11:$S$11,0))</f>
        <v>12</v>
      </c>
      <c r="G173" s="1502"/>
      <c r="H173" s="1490"/>
      <c r="I173" s="1502"/>
      <c r="J173" s="1502"/>
      <c r="K173" s="1502"/>
      <c r="L173" s="1502"/>
      <c r="M173" s="1502"/>
      <c r="N173" s="1502"/>
      <c r="O173" s="1988">
        <f>ROUND((O$11+SUM(O166:O172))*$E173*$F173/12,-2)</f>
        <v>4900</v>
      </c>
      <c r="P173" s="1502">
        <f t="shared" ref="P173:U173" si="107">ROUND((P$11+SUM(P166:P172))*$E173,-2)</f>
        <v>4900</v>
      </c>
      <c r="Q173" s="1502">
        <f t="shared" si="107"/>
        <v>5000</v>
      </c>
      <c r="R173" s="1502">
        <f t="shared" si="107"/>
        <v>5000</v>
      </c>
      <c r="S173" s="1502">
        <f t="shared" si="107"/>
        <v>5100</v>
      </c>
      <c r="T173" s="1502">
        <f t="shared" si="107"/>
        <v>5100</v>
      </c>
      <c r="U173" s="1502">
        <f t="shared" si="107"/>
        <v>5200</v>
      </c>
    </row>
    <row r="174" spans="3:21">
      <c r="C174" s="1476" t="e">
        <f>IF(D174="","",MAX(C$7:C173)+1)</f>
        <v>#N/A</v>
      </c>
      <c r="D174" s="1986">
        <v>44197</v>
      </c>
      <c r="E174" s="1547">
        <v>3.4384489117059158E-2</v>
      </c>
      <c r="F174" s="1548">
        <f>INDEX(Dashboard!$F$12:$S$12,1,MATCH($D174,Dashboard!$F$11:$S$11,0))</f>
        <v>12</v>
      </c>
      <c r="G174" s="1502"/>
      <c r="H174" s="1490"/>
      <c r="I174" s="1502"/>
      <c r="J174" s="1502"/>
      <c r="K174" s="1502"/>
      <c r="L174" s="1502"/>
      <c r="M174" s="1502"/>
      <c r="N174" s="1502"/>
      <c r="O174" s="1502"/>
      <c r="P174" s="1988">
        <f>ROUND((P$11+SUM(P166:P173))*$E174*$F174/12,-2)</f>
        <v>5100</v>
      </c>
      <c r="Q174" s="1502">
        <f t="shared" ref="Q174:U174" si="108">ROUND((Q$11+SUM(Q166:Q173))*$E174,-2)</f>
        <v>5200</v>
      </c>
      <c r="R174" s="1502">
        <f t="shared" si="108"/>
        <v>5200</v>
      </c>
      <c r="S174" s="1502">
        <f t="shared" si="108"/>
        <v>5300</v>
      </c>
      <c r="T174" s="1502">
        <f t="shared" si="108"/>
        <v>5300</v>
      </c>
      <c r="U174" s="1502">
        <f t="shared" si="108"/>
        <v>5300</v>
      </c>
    </row>
    <row r="175" spans="3:21">
      <c r="C175" s="1476" t="e">
        <f>IF(D175="","",MAX(C$7:C174)+1)</f>
        <v>#N/A</v>
      </c>
      <c r="D175" s="1986">
        <v>44562</v>
      </c>
      <c r="E175" s="1547">
        <v>3.4384489117059158E-2</v>
      </c>
      <c r="F175" s="1548">
        <f>INDEX(Dashboard!$F$12:$S$12,1,MATCH($D175,Dashboard!$F$11:$S$11,0))</f>
        <v>12</v>
      </c>
      <c r="G175" s="1502"/>
      <c r="H175" s="1490"/>
      <c r="I175" s="1502"/>
      <c r="J175" s="1502"/>
      <c r="K175" s="1502"/>
      <c r="L175" s="1502"/>
      <c r="M175" s="1502"/>
      <c r="N175" s="1502"/>
      <c r="O175" s="1502"/>
      <c r="P175" s="1502"/>
      <c r="Q175" s="1988">
        <f>ROUND((Q$11+SUM(Q166:Q174))*$E175*$F175/12,-2)</f>
        <v>5300</v>
      </c>
      <c r="R175" s="1502">
        <f t="shared" ref="R175:U175" si="109">ROUND((R$11+SUM(R166:R174))*$E175,-2)</f>
        <v>5400</v>
      </c>
      <c r="S175" s="1502">
        <f t="shared" si="109"/>
        <v>5400</v>
      </c>
      <c r="T175" s="1502">
        <f t="shared" si="109"/>
        <v>5500</v>
      </c>
      <c r="U175" s="1502">
        <f t="shared" si="109"/>
        <v>5500</v>
      </c>
    </row>
    <row r="176" spans="3:21">
      <c r="C176" s="1476" t="e">
        <f>IF(D176="","",MAX(C$7:C175)+1)</f>
        <v>#N/A</v>
      </c>
      <c r="D176" s="1986">
        <v>44927</v>
      </c>
      <c r="E176" s="1547">
        <v>3.4384489117059158E-2</v>
      </c>
      <c r="F176" s="1548">
        <f>INDEX(Dashboard!$F$12:$S$12,1,MATCH($D176,Dashboard!$F$11:$S$11,0))</f>
        <v>12</v>
      </c>
      <c r="G176" s="1502"/>
      <c r="H176" s="1490"/>
      <c r="I176" s="1502"/>
      <c r="J176" s="1502"/>
      <c r="K176" s="1502"/>
      <c r="L176" s="1502"/>
      <c r="M176" s="1502"/>
      <c r="N176" s="1502"/>
      <c r="O176" s="1502"/>
      <c r="P176" s="1502"/>
      <c r="Q176" s="1502"/>
      <c r="R176" s="1988">
        <f>ROUND((R$11+SUM(R166:R175))*$E176*$F176/12,-2)</f>
        <v>5600</v>
      </c>
      <c r="S176" s="1502">
        <f t="shared" ref="S176:U176" si="110">ROUND((S$11+SUM(S166:S175))*$E176,-2)</f>
        <v>5600</v>
      </c>
      <c r="T176" s="1502">
        <f t="shared" si="110"/>
        <v>5700</v>
      </c>
      <c r="U176" s="1502">
        <f t="shared" si="110"/>
        <v>5700</v>
      </c>
    </row>
    <row r="177" spans="3:21" ht="16.5" thickBot="1">
      <c r="C177" s="1476" t="e">
        <f>IF(D177="","",MAX(C$7:C176)+1)</f>
        <v>#N/A</v>
      </c>
      <c r="D177" s="1986">
        <v>45292</v>
      </c>
      <c r="E177" s="1549">
        <v>3.4384489117059158E-2</v>
      </c>
      <c r="F177" s="1550">
        <f>INDEX(Dashboard!$F$12:$S$12,1,MATCH($D177,Dashboard!$F$11:$S$11,0))</f>
        <v>12</v>
      </c>
      <c r="G177" s="1502"/>
      <c r="H177" s="1490"/>
      <c r="I177" s="1502"/>
      <c r="J177" s="1502"/>
      <c r="K177" s="1502"/>
      <c r="L177" s="1502"/>
      <c r="M177" s="1502"/>
      <c r="N177" s="1502"/>
      <c r="O177" s="1502"/>
      <c r="P177" s="1502"/>
      <c r="Q177" s="1502"/>
      <c r="R177" s="1502"/>
      <c r="S177" s="1988">
        <f>ROUND((S$11+SUM(S166:S176))*$E177*$F177/12,-2)</f>
        <v>5800</v>
      </c>
      <c r="T177" s="1502">
        <f t="shared" ref="T177:U177" si="111">ROUND((T$11+SUM(T166:T176))*$E177,-2)</f>
        <v>5900</v>
      </c>
      <c r="U177" s="1502">
        <f t="shared" si="111"/>
        <v>5900</v>
      </c>
    </row>
    <row r="178" spans="3:21">
      <c r="C178" s="1476" t="e">
        <f>IF(D178="","",MAX(C$7:C177)+1)</f>
        <v>#N/A</v>
      </c>
      <c r="D178" s="1986">
        <v>45658</v>
      </c>
      <c r="E178" s="1545">
        <v>1.2985681684782676E-2</v>
      </c>
      <c r="F178" s="1546">
        <f>INDEX(Dashboard!$F$12:$S$12,1,MATCH($D178,Dashboard!$F$11:$S$11,0))</f>
        <v>12</v>
      </c>
      <c r="G178" s="1502"/>
      <c r="H178" s="1490"/>
      <c r="I178" s="1502"/>
      <c r="J178" s="1502"/>
      <c r="K178" s="1502"/>
      <c r="L178" s="1502"/>
      <c r="M178" s="1502"/>
      <c r="N178" s="1502"/>
      <c r="O178" s="1502"/>
      <c r="P178" s="1502"/>
      <c r="Q178" s="1502"/>
      <c r="R178" s="1502"/>
      <c r="S178" s="1502"/>
      <c r="T178" s="1988">
        <f>ROUND((T$11+SUM(T166:T177))*$E178*$F178/12,-2)</f>
        <v>2300</v>
      </c>
      <c r="U178" s="1502">
        <f>ROUND((U$11+SUM(U166:U177))*$E178,-2)</f>
        <v>2300</v>
      </c>
    </row>
    <row r="179" spans="3:21" ht="16.5" thickBot="1">
      <c r="C179" s="1476" t="e">
        <f>IF(D179="","",MAX(C$7:C178)+1)</f>
        <v>#N/A</v>
      </c>
      <c r="D179" s="1986">
        <v>46023</v>
      </c>
      <c r="E179" s="1549">
        <v>2.2366809049865499E-2</v>
      </c>
      <c r="F179" s="1550">
        <f>INDEX(Dashboard!$F$12:$S$12,1,MATCH($D179,Dashboard!$F$11:$S$11,0))</f>
        <v>12</v>
      </c>
      <c r="G179" s="1502"/>
      <c r="H179" s="1490"/>
      <c r="I179" s="1502"/>
      <c r="J179" s="1502"/>
      <c r="K179" s="1502"/>
      <c r="L179" s="1502"/>
      <c r="M179" s="1502"/>
      <c r="N179" s="1502"/>
      <c r="O179" s="1502"/>
      <c r="P179" s="1502"/>
      <c r="Q179" s="1502"/>
      <c r="R179" s="1502"/>
      <c r="S179" s="1502"/>
      <c r="T179" s="1502"/>
      <c r="U179" s="1988">
        <f>ROUND((U$11+SUM(U166:U178))*$E179*$F179/12,-2)</f>
        <v>4000</v>
      </c>
    </row>
    <row r="180" spans="3:21" hidden="1">
      <c r="C180" s="1476" t="e">
        <f>IF(D180="","",MAX(C$7:C179)+1)</f>
        <v>#N/A</v>
      </c>
      <c r="D180" s="1986" t="e">
        <v>#N/A</v>
      </c>
      <c r="E180" s="1547">
        <v>0</v>
      </c>
      <c r="F180" s="1548" t="e">
        <f>INDEX(Dashboard!$F$12:$S$12,1,MATCH($D180,Dashboard!$F$11:$S$11,0))</f>
        <v>#N/A</v>
      </c>
      <c r="G180" s="1502"/>
      <c r="H180" s="1490"/>
      <c r="I180" s="1502"/>
      <c r="J180" s="1502"/>
      <c r="K180" s="1502"/>
      <c r="L180" s="1502"/>
      <c r="M180" s="1502"/>
      <c r="N180" s="1502"/>
      <c r="O180" s="1502"/>
      <c r="P180" s="1502"/>
      <c r="Q180" s="1502"/>
      <c r="R180" s="1502"/>
      <c r="S180" s="1502"/>
      <c r="T180" s="1502"/>
      <c r="U180" s="1502"/>
    </row>
    <row r="181" spans="3:21" hidden="1">
      <c r="C181" s="1476" t="e">
        <f>IF(D181="","",MAX(C$7:C180)+1)</f>
        <v>#N/A</v>
      </c>
      <c r="D181" s="1986" t="e">
        <v>#N/A</v>
      </c>
      <c r="E181" s="1547">
        <v>0</v>
      </c>
      <c r="F181" s="1548" t="e">
        <f>INDEX(Dashboard!$F$12:$S$12,1,MATCH($D181,Dashboard!$F$11:$S$11,0))</f>
        <v>#N/A</v>
      </c>
      <c r="G181" s="1502"/>
      <c r="H181" s="1490"/>
      <c r="I181" s="1502"/>
      <c r="J181" s="1502"/>
      <c r="K181" s="1502"/>
      <c r="L181" s="1502"/>
      <c r="M181" s="1502"/>
      <c r="N181" s="1502"/>
      <c r="O181" s="1502"/>
      <c r="P181" s="1502"/>
      <c r="Q181" s="1502"/>
      <c r="R181" s="1502"/>
      <c r="S181" s="1502"/>
      <c r="T181" s="1502"/>
      <c r="U181" s="1502"/>
    </row>
    <row r="182" spans="3:21" hidden="1">
      <c r="C182" s="1476" t="e">
        <f>IF(D182="","",MAX(C$7:C181)+1)</f>
        <v>#N/A</v>
      </c>
      <c r="D182" s="1986" t="e">
        <v>#N/A</v>
      </c>
      <c r="E182" s="1547">
        <v>0</v>
      </c>
      <c r="F182" s="1548" t="e">
        <f>INDEX(Dashboard!$F$12:$S$12,1,MATCH($D182,Dashboard!$F$11:$S$11,0))</f>
        <v>#N/A</v>
      </c>
      <c r="G182" s="1502"/>
      <c r="H182" s="1490"/>
      <c r="I182" s="1502"/>
      <c r="J182" s="1502"/>
      <c r="K182" s="1502"/>
      <c r="L182" s="1502"/>
      <c r="M182" s="1502"/>
      <c r="N182" s="1502"/>
      <c r="O182" s="1502"/>
      <c r="P182" s="1502"/>
      <c r="Q182" s="1502"/>
      <c r="R182" s="1502"/>
      <c r="S182" s="1502"/>
      <c r="T182" s="1502"/>
      <c r="U182" s="1502"/>
    </row>
    <row r="183" spans="3:21" ht="16.5" hidden="1" thickBot="1">
      <c r="C183" s="1476" t="e">
        <f>IF(D183="","",MAX(C$7:C182)+1)</f>
        <v>#N/A</v>
      </c>
      <c r="D183" s="1986" t="e">
        <v>#N/A</v>
      </c>
      <c r="E183" s="1549">
        <v>0</v>
      </c>
      <c r="F183" s="1550" t="e">
        <f>INDEX(Dashboard!$F$12:$S$12,1,MATCH($D183,Dashboard!$F$11:$S$11,0))</f>
        <v>#N/A</v>
      </c>
      <c r="G183" s="1502"/>
      <c r="H183" s="1490"/>
      <c r="I183" s="1502"/>
      <c r="J183" s="1502"/>
      <c r="K183" s="1502"/>
      <c r="L183" s="1502"/>
      <c r="M183" s="1502"/>
      <c r="N183" s="1502"/>
      <c r="O183" s="1502"/>
      <c r="P183" s="1502"/>
      <c r="Q183" s="1502"/>
      <c r="R183" s="1502"/>
      <c r="S183" s="1502"/>
      <c r="T183" s="1502"/>
      <c r="U183" s="1502"/>
    </row>
    <row r="184" spans="3:21">
      <c r="C184" s="1476" t="str">
        <f>IF(D184="","",MAX(C$7:C183)+1)</f>
        <v/>
      </c>
      <c r="D184" s="1468"/>
      <c r="E184" s="1468"/>
      <c r="F184" s="1468"/>
      <c r="G184" s="1987"/>
      <c r="H184" s="1987"/>
      <c r="I184" s="1502"/>
      <c r="J184" s="1502"/>
      <c r="K184" s="1502"/>
      <c r="L184" s="1502"/>
      <c r="M184" s="1502"/>
      <c r="N184" s="1502"/>
      <c r="O184" s="1502"/>
      <c r="P184" s="1502"/>
      <c r="Q184" s="1502"/>
      <c r="R184" s="1502"/>
      <c r="S184" s="1502"/>
      <c r="T184" s="1502"/>
      <c r="U184" s="1502"/>
    </row>
    <row r="185" spans="3:21">
      <c r="C185" s="1476" t="e">
        <f>IF(D185="","",MAX(C$7:C184)+1)</f>
        <v>#N/A</v>
      </c>
      <c r="D185" s="1468" t="s">
        <v>1047</v>
      </c>
      <c r="E185" s="1468"/>
      <c r="F185" s="1468"/>
      <c r="G185" s="1504">
        <f t="shared" ref="G185:U185" si="112">SUM(G167:G184)</f>
        <v>0</v>
      </c>
      <c r="H185" s="1504">
        <f t="shared" si="112"/>
        <v>0</v>
      </c>
      <c r="I185" s="1504">
        <f t="shared" si="112"/>
        <v>0</v>
      </c>
      <c r="J185" s="1504">
        <f t="shared" si="112"/>
        <v>0</v>
      </c>
      <c r="K185" s="1504">
        <f t="shared" si="112"/>
        <v>0</v>
      </c>
      <c r="L185" s="1504">
        <f t="shared" si="112"/>
        <v>4300</v>
      </c>
      <c r="M185" s="1504">
        <f t="shared" si="112"/>
        <v>8800</v>
      </c>
      <c r="N185" s="1504">
        <f t="shared" si="112"/>
        <v>13600</v>
      </c>
      <c r="O185" s="1504">
        <f t="shared" si="112"/>
        <v>18600</v>
      </c>
      <c r="P185" s="1504">
        <f t="shared" si="112"/>
        <v>23900</v>
      </c>
      <c r="Q185" s="1504">
        <f t="shared" si="112"/>
        <v>29500</v>
      </c>
      <c r="R185" s="1504">
        <f t="shared" si="112"/>
        <v>35300</v>
      </c>
      <c r="S185" s="1504">
        <f t="shared" si="112"/>
        <v>41400</v>
      </c>
      <c r="T185" s="1504">
        <f t="shared" si="112"/>
        <v>44200</v>
      </c>
      <c r="U185" s="1504">
        <f t="shared" si="112"/>
        <v>48400</v>
      </c>
    </row>
    <row r="186" spans="3:21">
      <c r="C186" s="1476" t="e">
        <f>IF(D186="","",MAX(C$7:C185)+1)</f>
        <v>#N/A</v>
      </c>
      <c r="D186" s="1468" t="s">
        <v>2772</v>
      </c>
      <c r="E186" s="1"/>
      <c r="F186" s="1"/>
      <c r="G186" s="1"/>
      <c r="H186" s="1"/>
      <c r="J186" s="424">
        <f>J185-J168</f>
        <v>0</v>
      </c>
      <c r="K186" s="424">
        <f>K185-K169</f>
        <v>0</v>
      </c>
      <c r="L186" s="424">
        <f>L185-L170</f>
        <v>0</v>
      </c>
      <c r="M186" s="424">
        <f>M185-M171</f>
        <v>4300</v>
      </c>
      <c r="N186" s="424">
        <f>N185-N172</f>
        <v>8900</v>
      </c>
      <c r="O186" s="424">
        <f>O185-O173</f>
        <v>13700</v>
      </c>
      <c r="P186" s="424">
        <f>P185-P174</f>
        <v>18800</v>
      </c>
      <c r="Q186" s="424">
        <f>Q185-Q175</f>
        <v>24200</v>
      </c>
      <c r="R186" s="424">
        <f>R185-R176</f>
        <v>29700</v>
      </c>
      <c r="S186" s="424">
        <f>S185-S177</f>
        <v>35600</v>
      </c>
      <c r="T186" s="424">
        <f>T185-T178</f>
        <v>41900</v>
      </c>
      <c r="U186" s="424">
        <f>U185-U179</f>
        <v>44400</v>
      </c>
    </row>
    <row r="187" spans="3:21" ht="16.5" thickBot="1"/>
    <row r="188" spans="3:21" ht="16.5" thickBot="1">
      <c r="C188" s="1"/>
      <c r="D188" s="4528" t="str">
        <f>$D$12</f>
        <v>Irrigation 3PH (3)</v>
      </c>
      <c r="E188" s="4529"/>
      <c r="F188" s="4530"/>
      <c r="G188" s="1"/>
      <c r="H188" s="1"/>
    </row>
    <row r="189" spans="3:21">
      <c r="C189" s="1476" t="e">
        <f>IF(D189="","",MAX(C$7:C187)+1)</f>
        <v>#N/A</v>
      </c>
      <c r="D189" s="1491" t="s">
        <v>1042</v>
      </c>
      <c r="E189" s="1468"/>
      <c r="F189" s="1983" t="s">
        <v>1043</v>
      </c>
      <c r="G189" s="1490"/>
      <c r="H189" s="1490"/>
      <c r="I189" s="1490"/>
      <c r="J189" s="1490"/>
      <c r="K189" s="1490"/>
      <c r="L189" s="1490"/>
      <c r="M189" s="1490"/>
      <c r="N189" s="1490"/>
      <c r="O189" s="1490"/>
      <c r="P189" s="1490"/>
      <c r="Q189" s="1490"/>
      <c r="R189" s="1490"/>
      <c r="S189" s="1490"/>
      <c r="T189" s="1490"/>
      <c r="U189" s="1490"/>
    </row>
    <row r="190" spans="3:21">
      <c r="C190" s="1476" t="e">
        <f>IF(D190="","",MAX(C$7:C189)+1)</f>
        <v>#N/A</v>
      </c>
      <c r="D190" s="1984" t="s">
        <v>1044</v>
      </c>
      <c r="E190" s="1985" t="s">
        <v>1045</v>
      </c>
      <c r="F190" s="1985" t="s">
        <v>1046</v>
      </c>
      <c r="G190" s="1490"/>
      <c r="H190" s="1490"/>
      <c r="I190" s="1490"/>
      <c r="J190" s="1490"/>
      <c r="K190" s="1490"/>
      <c r="L190" s="1490"/>
      <c r="M190" s="1490"/>
      <c r="N190" s="1490"/>
      <c r="O190" s="1490"/>
      <c r="P190" s="1490"/>
      <c r="Q190" s="1490"/>
      <c r="R190" s="1490"/>
      <c r="S190" s="1490"/>
      <c r="T190" s="1490"/>
      <c r="U190" s="1490"/>
    </row>
    <row r="191" spans="3:21" ht="16.5" thickBot="1">
      <c r="C191" s="1476" t="str">
        <f>IF(D191="","",MAX(C$7:C190)+1)</f>
        <v/>
      </c>
      <c r="D191" s="1489"/>
      <c r="E191" s="1489"/>
      <c r="F191" s="1489"/>
      <c r="G191" s="1490"/>
      <c r="H191" s="1490"/>
      <c r="I191" s="1490"/>
      <c r="J191" s="1490"/>
      <c r="K191" s="1490"/>
      <c r="L191" s="1490"/>
      <c r="M191" s="1490"/>
      <c r="N191" s="1490"/>
      <c r="O191" s="1490"/>
      <c r="P191" s="1490"/>
      <c r="Q191" s="1490"/>
      <c r="R191" s="1490"/>
      <c r="S191" s="1490"/>
      <c r="T191" s="1490"/>
      <c r="U191" s="1490"/>
    </row>
    <row r="192" spans="3:21">
      <c r="C192" s="1476" t="e">
        <f>IF(D192="","",MAX(C$7:C191)+1)</f>
        <v>#N/A</v>
      </c>
      <c r="D192" s="1986">
        <f t="array" ref="D192:D208">TRANSPOSE(Dashboard!$G$11:$S$11)</f>
        <v>41640</v>
      </c>
      <c r="E192" s="1989">
        <f>INDEX(Dashboard!$F$10:$S$10,1,MATCH($D192,Dashboard!$F$11:$S$11,0))</f>
        <v>0</v>
      </c>
      <c r="F192" s="1546">
        <f>INDEX(Dashboard!$F$12:$S$12,1,MATCH($D192,Dashboard!$F$11:$S$11,0))</f>
        <v>12</v>
      </c>
      <c r="G192" s="1502"/>
      <c r="H192" s="1490"/>
      <c r="I192" s="1988">
        <f>ROUND((I$12+SUM(I191:I191))*$E192*$F192/12,-2)</f>
        <v>0</v>
      </c>
      <c r="J192" s="1502">
        <f t="shared" ref="J192:U192" si="113">ROUND((J$12+SUM(J191:J191))*$E192,-2)</f>
        <v>0</v>
      </c>
      <c r="K192" s="1502">
        <f t="shared" si="113"/>
        <v>0</v>
      </c>
      <c r="L192" s="1502">
        <f t="shared" si="113"/>
        <v>0</v>
      </c>
      <c r="M192" s="1502">
        <f t="shared" si="113"/>
        <v>0</v>
      </c>
      <c r="N192" s="1502">
        <f t="shared" si="113"/>
        <v>0</v>
      </c>
      <c r="O192" s="1502">
        <f t="shared" si="113"/>
        <v>0</v>
      </c>
      <c r="P192" s="1502">
        <f t="shared" si="113"/>
        <v>0</v>
      </c>
      <c r="Q192" s="1502">
        <f t="shared" si="113"/>
        <v>0</v>
      </c>
      <c r="R192" s="1502">
        <f t="shared" si="113"/>
        <v>0</v>
      </c>
      <c r="S192" s="1502">
        <f t="shared" si="113"/>
        <v>0</v>
      </c>
      <c r="T192" s="1502">
        <f t="shared" si="113"/>
        <v>0</v>
      </c>
      <c r="U192" s="1502">
        <f t="shared" si="113"/>
        <v>0</v>
      </c>
    </row>
    <row r="193" spans="3:21">
      <c r="C193" s="1476" t="e">
        <f>IF(D193="","",MAX(C$7:C192)+1)</f>
        <v>#N/A</v>
      </c>
      <c r="D193" s="1986">
        <v>42005</v>
      </c>
      <c r="E193" s="1547">
        <f t="array" ref="E193:E208">TRANSPOSE('COS_Summ (cumulative)'!$I$14:$X$14)</f>
        <v>0</v>
      </c>
      <c r="F193" s="1548">
        <f>INDEX(Dashboard!$F$12:$S$12,1,MATCH($D193,Dashboard!$F$11:$S$11,0))</f>
        <v>12</v>
      </c>
      <c r="G193" s="1502"/>
      <c r="H193" s="1490"/>
      <c r="I193" s="1502"/>
      <c r="J193" s="1988">
        <f>ROUND((J$12+SUM(J192:J192))*$E193*$F193/12,-2)</f>
        <v>0</v>
      </c>
      <c r="K193" s="1502">
        <f t="shared" ref="K193:U193" si="114">ROUND((K$12+SUM(K191:K192))*$E193,-2)</f>
        <v>0</v>
      </c>
      <c r="L193" s="1502">
        <f t="shared" si="114"/>
        <v>0</v>
      </c>
      <c r="M193" s="1502">
        <f t="shared" si="114"/>
        <v>0</v>
      </c>
      <c r="N193" s="1502">
        <f t="shared" si="114"/>
        <v>0</v>
      </c>
      <c r="O193" s="1502">
        <f t="shared" si="114"/>
        <v>0</v>
      </c>
      <c r="P193" s="1502">
        <f t="shared" si="114"/>
        <v>0</v>
      </c>
      <c r="Q193" s="1502">
        <f t="shared" si="114"/>
        <v>0</v>
      </c>
      <c r="R193" s="1502">
        <f t="shared" si="114"/>
        <v>0</v>
      </c>
      <c r="S193" s="1502">
        <f t="shared" si="114"/>
        <v>0</v>
      </c>
      <c r="T193" s="1502">
        <f t="shared" si="114"/>
        <v>0</v>
      </c>
      <c r="U193" s="1502">
        <f t="shared" si="114"/>
        <v>0</v>
      </c>
    </row>
    <row r="194" spans="3:21">
      <c r="C194" s="1476" t="e">
        <f>IF(D194="","",MAX(C$7:C193)+1)</f>
        <v>#N/A</v>
      </c>
      <c r="D194" s="1986">
        <v>42370</v>
      </c>
      <c r="E194" s="1547">
        <v>0</v>
      </c>
      <c r="F194" s="1548">
        <f>INDEX(Dashboard!$F$12:$S$12,1,MATCH($D194,Dashboard!$F$11:$S$11,0))</f>
        <v>12</v>
      </c>
      <c r="G194" s="1502"/>
      <c r="H194" s="1490"/>
      <c r="I194" s="1502"/>
      <c r="J194" s="1502"/>
      <c r="K194" s="1988">
        <f>ROUND((K$12+SUM(K192:K193))*$E194*$F194/12,-2)</f>
        <v>0</v>
      </c>
      <c r="L194" s="1502">
        <f t="shared" ref="L194:U194" si="115">ROUND((L$12+SUM(L191:L193))*$E194,-2)</f>
        <v>0</v>
      </c>
      <c r="M194" s="1502">
        <f t="shared" si="115"/>
        <v>0</v>
      </c>
      <c r="N194" s="1502">
        <f t="shared" si="115"/>
        <v>0</v>
      </c>
      <c r="O194" s="1502">
        <f t="shared" si="115"/>
        <v>0</v>
      </c>
      <c r="P194" s="1502">
        <f t="shared" si="115"/>
        <v>0</v>
      </c>
      <c r="Q194" s="1502">
        <f t="shared" si="115"/>
        <v>0</v>
      </c>
      <c r="R194" s="1502">
        <f t="shared" si="115"/>
        <v>0</v>
      </c>
      <c r="S194" s="1502">
        <f t="shared" si="115"/>
        <v>0</v>
      </c>
      <c r="T194" s="1502">
        <f t="shared" si="115"/>
        <v>0</v>
      </c>
      <c r="U194" s="1502">
        <f t="shared" si="115"/>
        <v>0</v>
      </c>
    </row>
    <row r="195" spans="3:21">
      <c r="C195" s="1476" t="e">
        <f>IF(D195="","",MAX(C$7:C194)+1)</f>
        <v>#N/A</v>
      </c>
      <c r="D195" s="1986">
        <v>42736</v>
      </c>
      <c r="E195" s="1547">
        <v>3.4384489117059158E-2</v>
      </c>
      <c r="F195" s="1548">
        <f>INDEX(Dashboard!$F$12:$S$12,1,MATCH($D195,Dashboard!$F$11:$S$11,0))</f>
        <v>12</v>
      </c>
      <c r="G195" s="1502"/>
      <c r="H195" s="1490"/>
      <c r="I195" s="1502"/>
      <c r="J195" s="1502"/>
      <c r="K195" s="1502"/>
      <c r="L195" s="1988">
        <f>ROUND((L$12+SUM(L191:L194))*$E195*$F195/12,-2)</f>
        <v>818500</v>
      </c>
      <c r="M195" s="1502">
        <f t="shared" ref="M195:U195" si="116">ROUND((M$12+SUM(M191:M194))*$E195,-2)</f>
        <v>826800</v>
      </c>
      <c r="N195" s="1502">
        <f t="shared" si="116"/>
        <v>835200</v>
      </c>
      <c r="O195" s="1502">
        <f t="shared" si="116"/>
        <v>843600</v>
      </c>
      <c r="P195" s="1502">
        <f t="shared" si="116"/>
        <v>852000</v>
      </c>
      <c r="Q195" s="1502">
        <f t="shared" si="116"/>
        <v>860400</v>
      </c>
      <c r="R195" s="1502">
        <f t="shared" si="116"/>
        <v>868800</v>
      </c>
      <c r="S195" s="1502">
        <f t="shared" si="116"/>
        <v>877300</v>
      </c>
      <c r="T195" s="1502">
        <f t="shared" si="116"/>
        <v>885600</v>
      </c>
      <c r="U195" s="1502">
        <f t="shared" si="116"/>
        <v>894100</v>
      </c>
    </row>
    <row r="196" spans="3:21">
      <c r="C196" s="1476" t="e">
        <f>IF(D196="","",MAX(C$7:C195)+1)</f>
        <v>#N/A</v>
      </c>
      <c r="D196" s="1986">
        <v>43101</v>
      </c>
      <c r="E196" s="1547">
        <v>3.4384489117059158E-2</v>
      </c>
      <c r="F196" s="1548">
        <f>INDEX(Dashboard!$F$12:$S$12,1,MATCH($D196,Dashboard!$F$11:$S$11,0))</f>
        <v>12</v>
      </c>
      <c r="G196" s="1502"/>
      <c r="H196" s="1490"/>
      <c r="I196" s="1502"/>
      <c r="J196" s="1502"/>
      <c r="K196" s="1502"/>
      <c r="L196" s="1502"/>
      <c r="M196" s="1988">
        <f>ROUND((M$12+SUM(M191:M195))*$E196*$F196/12,-2)</f>
        <v>855300</v>
      </c>
      <c r="N196" s="1502">
        <f t="shared" ref="N196:U196" si="117">ROUND((N$12+SUM(N191:N195))*$E196,-2)</f>
        <v>863900</v>
      </c>
      <c r="O196" s="1502">
        <f t="shared" si="117"/>
        <v>872600</v>
      </c>
      <c r="P196" s="1502">
        <f t="shared" si="117"/>
        <v>881300</v>
      </c>
      <c r="Q196" s="1502">
        <f t="shared" si="117"/>
        <v>890000</v>
      </c>
      <c r="R196" s="1502">
        <f t="shared" si="117"/>
        <v>898700</v>
      </c>
      <c r="S196" s="1502">
        <f t="shared" si="117"/>
        <v>907400</v>
      </c>
      <c r="T196" s="1502">
        <f t="shared" si="117"/>
        <v>916100</v>
      </c>
      <c r="U196" s="1502">
        <f t="shared" si="117"/>
        <v>924800</v>
      </c>
    </row>
    <row r="197" spans="3:21">
      <c r="C197" s="1476" t="e">
        <f>IF(D197="","",MAX(C$7:C196)+1)</f>
        <v>#N/A</v>
      </c>
      <c r="D197" s="1986">
        <v>43466</v>
      </c>
      <c r="E197" s="1547">
        <v>3.4384489117059158E-2</v>
      </c>
      <c r="F197" s="1548">
        <f>INDEX(Dashboard!$F$12:$S$12,1,MATCH($D197,Dashboard!$F$11:$S$11,0))</f>
        <v>12</v>
      </c>
      <c r="G197" s="1502"/>
      <c r="H197" s="1490"/>
      <c r="I197" s="1502"/>
      <c r="J197" s="1502"/>
      <c r="K197" s="1502"/>
      <c r="L197" s="1502"/>
      <c r="M197" s="1502"/>
      <c r="N197" s="1988">
        <f>ROUND((N$12+SUM(N191:N196))*$E197*$F197/12,-2)</f>
        <v>893600</v>
      </c>
      <c r="O197" s="1502">
        <f t="shared" ref="O197:U197" si="118">ROUND((O$12+SUM(O191:O196))*$E197,-2)</f>
        <v>902600</v>
      </c>
      <c r="P197" s="1502">
        <f t="shared" si="118"/>
        <v>911600</v>
      </c>
      <c r="Q197" s="1502">
        <f t="shared" si="118"/>
        <v>920600</v>
      </c>
      <c r="R197" s="1502">
        <f t="shared" si="118"/>
        <v>929600</v>
      </c>
      <c r="S197" s="1502">
        <f t="shared" si="118"/>
        <v>938600</v>
      </c>
      <c r="T197" s="1502">
        <f t="shared" si="118"/>
        <v>947600</v>
      </c>
      <c r="U197" s="1502">
        <f t="shared" si="118"/>
        <v>956600</v>
      </c>
    </row>
    <row r="198" spans="3:21">
      <c r="C198" s="1476" t="e">
        <f>IF(D198="","",MAX(C$7:C197)+1)</f>
        <v>#N/A</v>
      </c>
      <c r="D198" s="1986">
        <v>43831</v>
      </c>
      <c r="E198" s="1547">
        <v>3.4384489117059158E-2</v>
      </c>
      <c r="F198" s="1548">
        <f>INDEX(Dashboard!$F$12:$S$12,1,MATCH($D198,Dashboard!$F$11:$S$11,0))</f>
        <v>12</v>
      </c>
      <c r="G198" s="1502"/>
      <c r="H198" s="1490"/>
      <c r="I198" s="1502"/>
      <c r="J198" s="1502"/>
      <c r="K198" s="1502"/>
      <c r="L198" s="1502"/>
      <c r="M198" s="1502"/>
      <c r="N198" s="1502"/>
      <c r="O198" s="1988">
        <f>ROUND((O$12+SUM(O191:O197))*$E198*$F198/12,-2)</f>
        <v>933600</v>
      </c>
      <c r="P198" s="1502">
        <f t="shared" ref="P198:U198" si="119">ROUND((P$12+SUM(P191:P197))*$E198,-2)</f>
        <v>942900</v>
      </c>
      <c r="Q198" s="1502">
        <f t="shared" si="119"/>
        <v>952300</v>
      </c>
      <c r="R198" s="1502">
        <f t="shared" si="119"/>
        <v>961600</v>
      </c>
      <c r="S198" s="1502">
        <f t="shared" si="119"/>
        <v>970900</v>
      </c>
      <c r="T198" s="1502">
        <f t="shared" si="119"/>
        <v>980200</v>
      </c>
      <c r="U198" s="1502">
        <f t="shared" si="119"/>
        <v>989500</v>
      </c>
    </row>
    <row r="199" spans="3:21">
      <c r="C199" s="1476" t="e">
        <f>IF(D199="","",MAX(C$7:C198)+1)</f>
        <v>#N/A</v>
      </c>
      <c r="D199" s="1986">
        <v>44197</v>
      </c>
      <c r="E199" s="1547">
        <v>3.4384489117059158E-2</v>
      </c>
      <c r="F199" s="1548">
        <f>INDEX(Dashboard!$F$12:$S$12,1,MATCH($D199,Dashboard!$F$11:$S$11,0))</f>
        <v>12</v>
      </c>
      <c r="G199" s="1502"/>
      <c r="H199" s="1490"/>
      <c r="I199" s="1502"/>
      <c r="J199" s="1502"/>
      <c r="K199" s="1502"/>
      <c r="L199" s="1502"/>
      <c r="M199" s="1502"/>
      <c r="N199" s="1502"/>
      <c r="O199" s="1502"/>
      <c r="P199" s="1988">
        <f>ROUND((P$12+SUM(P191:P198))*$E199*$F199/12,-2)</f>
        <v>975400</v>
      </c>
      <c r="Q199" s="1502">
        <f t="shared" ref="Q199:U199" si="120">ROUND((Q$12+SUM(Q191:Q198))*$E199,-2)</f>
        <v>985000</v>
      </c>
      <c r="R199" s="1502">
        <f t="shared" si="120"/>
        <v>994600</v>
      </c>
      <c r="S199" s="1502">
        <f t="shared" si="120"/>
        <v>1004300</v>
      </c>
      <c r="T199" s="1502">
        <f t="shared" si="120"/>
        <v>1013900</v>
      </c>
      <c r="U199" s="1502">
        <f t="shared" si="120"/>
        <v>1023500</v>
      </c>
    </row>
    <row r="200" spans="3:21">
      <c r="C200" s="1476" t="e">
        <f>IF(D200="","",MAX(C$7:C199)+1)</f>
        <v>#N/A</v>
      </c>
      <c r="D200" s="1986">
        <v>44562</v>
      </c>
      <c r="E200" s="1547">
        <v>3.4384489117059158E-2</v>
      </c>
      <c r="F200" s="1548">
        <f>INDEX(Dashboard!$F$12:$S$12,1,MATCH($D200,Dashboard!$F$11:$S$11,0))</f>
        <v>12</v>
      </c>
      <c r="G200" s="1502"/>
      <c r="H200" s="1490"/>
      <c r="I200" s="1502"/>
      <c r="J200" s="1502"/>
      <c r="K200" s="1502"/>
      <c r="L200" s="1502"/>
      <c r="M200" s="1502"/>
      <c r="N200" s="1502"/>
      <c r="O200" s="1502"/>
      <c r="P200" s="1502"/>
      <c r="Q200" s="1988">
        <f>ROUND((Q$12+SUM(Q191:Q199))*$E200*$F200/12,-2)</f>
        <v>1018900</v>
      </c>
      <c r="R200" s="1502">
        <f t="shared" ref="R200:U200" si="121">ROUND((R$12+SUM(R191:R199))*$E200,-2)</f>
        <v>1028800</v>
      </c>
      <c r="S200" s="1502">
        <f t="shared" si="121"/>
        <v>1038800</v>
      </c>
      <c r="T200" s="1502">
        <f t="shared" si="121"/>
        <v>1048700</v>
      </c>
      <c r="U200" s="1502">
        <f t="shared" si="121"/>
        <v>1058700</v>
      </c>
    </row>
    <row r="201" spans="3:21">
      <c r="C201" s="1476" t="e">
        <f>IF(D201="","",MAX(C$7:C200)+1)</f>
        <v>#N/A</v>
      </c>
      <c r="D201" s="1986">
        <v>44927</v>
      </c>
      <c r="E201" s="1547">
        <v>3.4384489117059158E-2</v>
      </c>
      <c r="F201" s="1548">
        <f>INDEX(Dashboard!$F$12:$S$12,1,MATCH($D201,Dashboard!$F$11:$S$11,0))</f>
        <v>12</v>
      </c>
      <c r="G201" s="1502"/>
      <c r="H201" s="1490"/>
      <c r="I201" s="1502"/>
      <c r="J201" s="1502"/>
      <c r="K201" s="1502"/>
      <c r="L201" s="1502"/>
      <c r="M201" s="1502"/>
      <c r="N201" s="1502"/>
      <c r="O201" s="1502"/>
      <c r="P201" s="1502"/>
      <c r="Q201" s="1502"/>
      <c r="R201" s="1988">
        <f>ROUND((R$12+SUM(R191:R200))*$E201*$F201/12,-2)</f>
        <v>1064200</v>
      </c>
      <c r="S201" s="1502">
        <f t="shared" ref="S201:U201" si="122">ROUND((S$12+SUM(S191:S200))*$E201,-2)</f>
        <v>1074500</v>
      </c>
      <c r="T201" s="1502">
        <f t="shared" si="122"/>
        <v>1084800</v>
      </c>
      <c r="U201" s="1502">
        <f t="shared" si="122"/>
        <v>1095100</v>
      </c>
    </row>
    <row r="202" spans="3:21" ht="16.5" thickBot="1">
      <c r="C202" s="1476" t="e">
        <f>IF(D202="","",MAX(C$7:C201)+1)</f>
        <v>#N/A</v>
      </c>
      <c r="D202" s="1986">
        <v>45292</v>
      </c>
      <c r="E202" s="1549">
        <v>3.4384489117059158E-2</v>
      </c>
      <c r="F202" s="1550">
        <f>INDEX(Dashboard!$F$12:$S$12,1,MATCH($D202,Dashboard!$F$11:$S$11,0))</f>
        <v>12</v>
      </c>
      <c r="G202" s="1502"/>
      <c r="H202" s="1490"/>
      <c r="I202" s="1502"/>
      <c r="J202" s="1502"/>
      <c r="K202" s="1502"/>
      <c r="L202" s="1502"/>
      <c r="M202" s="1502"/>
      <c r="N202" s="1502"/>
      <c r="O202" s="1502"/>
      <c r="P202" s="1502"/>
      <c r="Q202" s="1502"/>
      <c r="R202" s="1502"/>
      <c r="S202" s="1988">
        <f>ROUND((S$12+SUM(S191:S201))*$E202*$F202/12,-2)</f>
        <v>1111500</v>
      </c>
      <c r="T202" s="1502">
        <f t="shared" ref="T202:U202" si="123">ROUND((T$12+SUM(T191:T201))*$E202,-2)</f>
        <v>1122100</v>
      </c>
      <c r="U202" s="1502">
        <f t="shared" si="123"/>
        <v>1132800</v>
      </c>
    </row>
    <row r="203" spans="3:21">
      <c r="C203" s="1476" t="e">
        <f>IF(D203="","",MAX(C$7:C202)+1)</f>
        <v>#N/A</v>
      </c>
      <c r="D203" s="1986">
        <v>45658</v>
      </c>
      <c r="E203" s="1545">
        <v>1.2985681684782676E-2</v>
      </c>
      <c r="F203" s="1546">
        <f>INDEX(Dashboard!$F$12:$S$12,1,MATCH($D203,Dashboard!$F$11:$S$11,0))</f>
        <v>12</v>
      </c>
      <c r="G203" s="1502"/>
      <c r="H203" s="1490"/>
      <c r="I203" s="1502"/>
      <c r="J203" s="1502"/>
      <c r="K203" s="1502"/>
      <c r="L203" s="1502"/>
      <c r="M203" s="1502"/>
      <c r="N203" s="1502"/>
      <c r="O203" s="1502"/>
      <c r="P203" s="1502"/>
      <c r="Q203" s="1502"/>
      <c r="R203" s="1502"/>
      <c r="S203" s="1502"/>
      <c r="T203" s="1988">
        <f>ROUND((T$12+SUM(T191:T202))*$E203*$F203/12,-2)</f>
        <v>438300</v>
      </c>
      <c r="U203" s="1502">
        <f>ROUND((U$12+SUM(U191:U202))*$E203,-2)</f>
        <v>442500</v>
      </c>
    </row>
    <row r="204" spans="3:21" ht="16.5" thickBot="1">
      <c r="C204" s="1476" t="e">
        <f>IF(D204="","",MAX(C$7:C203)+1)</f>
        <v>#N/A</v>
      </c>
      <c r="D204" s="1986">
        <v>46023</v>
      </c>
      <c r="E204" s="1549">
        <v>2.2366809049865499E-2</v>
      </c>
      <c r="F204" s="1550">
        <f>INDEX(Dashboard!$F$12:$S$12,1,MATCH($D204,Dashboard!$F$11:$S$11,0))</f>
        <v>12</v>
      </c>
      <c r="G204" s="1502"/>
      <c r="H204" s="1490"/>
      <c r="I204" s="1502"/>
      <c r="J204" s="1502"/>
      <c r="K204" s="1502"/>
      <c r="L204" s="1502"/>
      <c r="M204" s="1502"/>
      <c r="N204" s="1502"/>
      <c r="O204" s="1502"/>
      <c r="P204" s="1502"/>
      <c r="Q204" s="1502"/>
      <c r="R204" s="1502"/>
      <c r="S204" s="1502"/>
      <c r="T204" s="1502"/>
      <c r="U204" s="1988">
        <f>ROUND((U$12+SUM(U191:U203))*$E204*$F204/12,-2)</f>
        <v>772100</v>
      </c>
    </row>
    <row r="205" spans="3:21" hidden="1">
      <c r="C205" s="1476" t="e">
        <f>IF(D205="","",MAX(C$7:C204)+1)</f>
        <v>#N/A</v>
      </c>
      <c r="D205" s="1986" t="e">
        <v>#N/A</v>
      </c>
      <c r="E205" s="1547">
        <v>0</v>
      </c>
      <c r="F205" s="1548" t="e">
        <f>INDEX(Dashboard!$F$12:$S$12,1,MATCH($D205,Dashboard!$F$11:$S$11,0))</f>
        <v>#N/A</v>
      </c>
      <c r="G205" s="1502"/>
      <c r="H205" s="1490"/>
      <c r="I205" s="1502"/>
      <c r="J205" s="1502"/>
      <c r="K205" s="1502"/>
      <c r="L205" s="1502"/>
      <c r="M205" s="1502"/>
      <c r="N205" s="1502"/>
      <c r="O205" s="1502"/>
      <c r="P205" s="1502"/>
      <c r="Q205" s="1502"/>
      <c r="R205" s="1502"/>
      <c r="S205" s="1502"/>
      <c r="T205" s="1502"/>
      <c r="U205" s="1502"/>
    </row>
    <row r="206" spans="3:21" hidden="1">
      <c r="C206" s="1476" t="e">
        <f>IF(D206="","",MAX(C$7:C205)+1)</f>
        <v>#N/A</v>
      </c>
      <c r="D206" s="1986" t="e">
        <v>#N/A</v>
      </c>
      <c r="E206" s="1547">
        <v>0</v>
      </c>
      <c r="F206" s="1548" t="e">
        <f>INDEX(Dashboard!$F$12:$S$12,1,MATCH($D206,Dashboard!$F$11:$S$11,0))</f>
        <v>#N/A</v>
      </c>
      <c r="G206" s="1502"/>
      <c r="H206" s="1490"/>
      <c r="I206" s="1502"/>
      <c r="J206" s="1502"/>
      <c r="K206" s="1502"/>
      <c r="L206" s="1502"/>
      <c r="M206" s="1502"/>
      <c r="N206" s="1502"/>
      <c r="O206" s="1502"/>
      <c r="P206" s="1502"/>
      <c r="Q206" s="1502"/>
      <c r="R206" s="1502"/>
      <c r="S206" s="1502"/>
      <c r="T206" s="1502"/>
      <c r="U206" s="1502"/>
    </row>
    <row r="207" spans="3:21" hidden="1">
      <c r="C207" s="1476" t="e">
        <f>IF(D207="","",MAX(C$7:C206)+1)</f>
        <v>#N/A</v>
      </c>
      <c r="D207" s="1986" t="e">
        <v>#N/A</v>
      </c>
      <c r="E207" s="1547">
        <v>0</v>
      </c>
      <c r="F207" s="1548" t="e">
        <f>INDEX(Dashboard!$F$12:$S$12,1,MATCH($D207,Dashboard!$F$11:$S$11,0))</f>
        <v>#N/A</v>
      </c>
      <c r="G207" s="1502"/>
      <c r="H207" s="1490"/>
      <c r="I207" s="1502"/>
      <c r="J207" s="1502"/>
      <c r="K207" s="1502"/>
      <c r="L207" s="1502"/>
      <c r="M207" s="1502"/>
      <c r="N207" s="1502"/>
      <c r="O207" s="1502"/>
      <c r="P207" s="1502"/>
      <c r="Q207" s="1502"/>
      <c r="R207" s="1502"/>
      <c r="S207" s="1502"/>
      <c r="T207" s="1502"/>
      <c r="U207" s="1502"/>
    </row>
    <row r="208" spans="3:21" ht="16.5" hidden="1" thickBot="1">
      <c r="C208" s="1476" t="e">
        <f>IF(D208="","",MAX(C$7:C207)+1)</f>
        <v>#N/A</v>
      </c>
      <c r="D208" s="1986" t="e">
        <v>#N/A</v>
      </c>
      <c r="E208" s="1549">
        <v>0</v>
      </c>
      <c r="F208" s="1550" t="e">
        <f>INDEX(Dashboard!$F$12:$S$12,1,MATCH($D208,Dashboard!$F$11:$S$11,0))</f>
        <v>#N/A</v>
      </c>
      <c r="G208" s="1502"/>
      <c r="H208" s="1490"/>
      <c r="I208" s="1502"/>
      <c r="J208" s="1502"/>
      <c r="K208" s="1502"/>
      <c r="L208" s="1502"/>
      <c r="M208" s="1502"/>
      <c r="N208" s="1502"/>
      <c r="O208" s="1502"/>
      <c r="P208" s="1502"/>
      <c r="Q208" s="1502"/>
      <c r="R208" s="1502"/>
      <c r="S208" s="1502"/>
      <c r="T208" s="1502"/>
      <c r="U208" s="1502"/>
    </row>
    <row r="209" spans="3:21">
      <c r="C209" s="1476" t="str">
        <f>IF(D209="","",MAX(C$7:C208)+1)</f>
        <v/>
      </c>
      <c r="D209" s="1468"/>
      <c r="E209" s="1468"/>
      <c r="F209" s="1468"/>
      <c r="G209" s="1987"/>
      <c r="H209" s="1987"/>
      <c r="I209" s="1502"/>
      <c r="J209" s="1502"/>
      <c r="K209" s="1502"/>
      <c r="L209" s="1502"/>
      <c r="M209" s="1502"/>
      <c r="N209" s="1502"/>
      <c r="O209" s="1502"/>
      <c r="P209" s="1502"/>
      <c r="Q209" s="1502"/>
      <c r="R209" s="1502"/>
      <c r="S209" s="1502"/>
      <c r="T209" s="1502"/>
      <c r="U209" s="1502"/>
    </row>
    <row r="210" spans="3:21">
      <c r="C210" s="1476" t="e">
        <f>IF(D210="","",MAX(C$7:C209)+1)</f>
        <v>#N/A</v>
      </c>
      <c r="D210" s="1468" t="s">
        <v>1047</v>
      </c>
      <c r="E210" s="1468"/>
      <c r="F210" s="1468"/>
      <c r="G210" s="1504">
        <f t="shared" ref="G210:U210" si="124">SUM(G192:G209)</f>
        <v>0</v>
      </c>
      <c r="H210" s="1504">
        <f t="shared" si="124"/>
        <v>0</v>
      </c>
      <c r="I210" s="1504">
        <f t="shared" si="124"/>
        <v>0</v>
      </c>
      <c r="J210" s="1504">
        <f t="shared" si="124"/>
        <v>0</v>
      </c>
      <c r="K210" s="1504">
        <f t="shared" si="124"/>
        <v>0</v>
      </c>
      <c r="L210" s="1504">
        <f t="shared" si="124"/>
        <v>818500</v>
      </c>
      <c r="M210" s="1504">
        <f t="shared" si="124"/>
        <v>1682100</v>
      </c>
      <c r="N210" s="1504">
        <f t="shared" si="124"/>
        <v>2592700</v>
      </c>
      <c r="O210" s="1504">
        <f t="shared" si="124"/>
        <v>3552400</v>
      </c>
      <c r="P210" s="1504">
        <f t="shared" si="124"/>
        <v>4563200</v>
      </c>
      <c r="Q210" s="1504">
        <f t="shared" si="124"/>
        <v>5627200</v>
      </c>
      <c r="R210" s="1504">
        <f t="shared" si="124"/>
        <v>6746300</v>
      </c>
      <c r="S210" s="1504">
        <f t="shared" si="124"/>
        <v>7923300</v>
      </c>
      <c r="T210" s="1504">
        <f t="shared" si="124"/>
        <v>8437300</v>
      </c>
      <c r="U210" s="1504">
        <f t="shared" si="124"/>
        <v>9289700</v>
      </c>
    </row>
    <row r="211" spans="3:21">
      <c r="C211" s="1476" t="e">
        <f>IF(D211="","",MAX(C$7:C210)+1)</f>
        <v>#N/A</v>
      </c>
      <c r="D211" s="1468" t="s">
        <v>2772</v>
      </c>
      <c r="E211" s="1"/>
      <c r="F211" s="1"/>
      <c r="G211" s="1"/>
      <c r="H211" s="1"/>
      <c r="J211" s="424">
        <f>J210-J193</f>
        <v>0</v>
      </c>
      <c r="K211" s="424">
        <f>K210-K194</f>
        <v>0</v>
      </c>
      <c r="L211" s="424">
        <f>L210-L195</f>
        <v>0</v>
      </c>
      <c r="M211" s="424">
        <f>M210-M196</f>
        <v>826800</v>
      </c>
      <c r="N211" s="424">
        <f>N210-N197</f>
        <v>1699100</v>
      </c>
      <c r="O211" s="424">
        <f>O210-O198</f>
        <v>2618800</v>
      </c>
      <c r="P211" s="424">
        <f>P210-P199</f>
        <v>3587800</v>
      </c>
      <c r="Q211" s="424">
        <f>Q210-Q200</f>
        <v>4608300</v>
      </c>
      <c r="R211" s="424">
        <f>R210-R201</f>
        <v>5682100</v>
      </c>
      <c r="S211" s="424">
        <f>S210-S202</f>
        <v>6811800</v>
      </c>
      <c r="T211" s="424">
        <f>T210-T203</f>
        <v>7999000</v>
      </c>
      <c r="U211" s="424">
        <f>U210-U204</f>
        <v>8517600</v>
      </c>
    </row>
    <row r="212" spans="3:21" ht="16.5" thickBot="1"/>
    <row r="213" spans="3:21" ht="16.5" thickBot="1">
      <c r="C213" s="1"/>
      <c r="D213" s="4528" t="str">
        <f>$D$13</f>
        <v>General Service 1PH (2)</v>
      </c>
      <c r="E213" s="4529"/>
      <c r="F213" s="4530"/>
      <c r="G213" s="1"/>
      <c r="H213" s="1"/>
    </row>
    <row r="214" spans="3:21">
      <c r="C214" s="1476" t="e">
        <f>IF(D214="","",MAX(C$7:C187)+1)</f>
        <v>#N/A</v>
      </c>
      <c r="D214" s="1491" t="s">
        <v>1042</v>
      </c>
      <c r="E214" s="1468"/>
      <c r="F214" s="1983" t="s">
        <v>1043</v>
      </c>
      <c r="G214" s="1490"/>
      <c r="H214" s="1490"/>
      <c r="I214" s="1490"/>
      <c r="J214" s="1490"/>
      <c r="K214" s="1490"/>
      <c r="L214" s="1490"/>
      <c r="M214" s="1490"/>
      <c r="N214" s="1490"/>
      <c r="O214" s="1490"/>
      <c r="P214" s="1490"/>
      <c r="Q214" s="1490"/>
      <c r="R214" s="1490"/>
      <c r="S214" s="1490"/>
      <c r="T214" s="1490"/>
      <c r="U214" s="1490"/>
    </row>
    <row r="215" spans="3:21">
      <c r="C215" s="1476" t="e">
        <f>IF(D215="","",MAX(C$7:C214)+1)</f>
        <v>#N/A</v>
      </c>
      <c r="D215" s="1984" t="s">
        <v>1044</v>
      </c>
      <c r="E215" s="1985" t="s">
        <v>1045</v>
      </c>
      <c r="F215" s="1985" t="s">
        <v>1046</v>
      </c>
      <c r="G215" s="1490"/>
      <c r="H215" s="1490"/>
      <c r="I215" s="1490"/>
      <c r="J215" s="1490"/>
      <c r="K215" s="1490"/>
      <c r="L215" s="1490"/>
      <c r="M215" s="1490"/>
      <c r="N215" s="1490"/>
      <c r="O215" s="1490"/>
      <c r="P215" s="1490"/>
      <c r="Q215" s="1490"/>
      <c r="R215" s="1490"/>
      <c r="S215" s="1490"/>
      <c r="T215" s="1490"/>
      <c r="U215" s="1490"/>
    </row>
    <row r="216" spans="3:21" ht="16.5" thickBot="1">
      <c r="C216" s="1476" t="str">
        <f>IF(D216="","",MAX(C$7:C215)+1)</f>
        <v/>
      </c>
      <c r="D216" s="1489"/>
      <c r="E216" s="1489"/>
      <c r="F216" s="1489"/>
      <c r="G216" s="1490"/>
      <c r="H216" s="1490"/>
      <c r="I216" s="1490"/>
      <c r="J216" s="1490"/>
      <c r="K216" s="1490"/>
      <c r="L216" s="1490"/>
      <c r="M216" s="1490"/>
      <c r="N216" s="1490"/>
      <c r="O216" s="1490"/>
      <c r="P216" s="1490"/>
      <c r="Q216" s="1490"/>
      <c r="R216" s="1490"/>
      <c r="S216" s="1490"/>
      <c r="T216" s="1490"/>
      <c r="U216" s="1490"/>
    </row>
    <row r="217" spans="3:21">
      <c r="C217" s="1476" t="e">
        <f>IF(D217="","",MAX(C$7:C216)+1)</f>
        <v>#N/A</v>
      </c>
      <c r="D217" s="1986">
        <f t="array" ref="D217:D233">TRANSPOSE(Dashboard!$G$11:$S$11)</f>
        <v>41640</v>
      </c>
      <c r="E217" s="1989">
        <f>INDEX(Dashboard!$F$10:$S$10,1,MATCH($D217,Dashboard!$F$11:$S$11,0))</f>
        <v>0</v>
      </c>
      <c r="F217" s="1546">
        <f>INDEX(Dashboard!$F$12:$S$12,1,MATCH($D217,Dashboard!$F$11:$S$11,0))</f>
        <v>12</v>
      </c>
      <c r="G217" s="1502"/>
      <c r="H217" s="1490"/>
      <c r="I217" s="1988">
        <f>ROUND((I$13+SUM(I216:I216))*$E217*$F217/12,-2)</f>
        <v>0</v>
      </c>
      <c r="J217" s="1502">
        <f t="shared" ref="J217:U217" si="125">ROUND((J$13+SUM(J216:J216))*$E217,-2)</f>
        <v>0</v>
      </c>
      <c r="K217" s="1502">
        <f t="shared" si="125"/>
        <v>0</v>
      </c>
      <c r="L217" s="1502">
        <f t="shared" si="125"/>
        <v>0</v>
      </c>
      <c r="M217" s="1502">
        <f t="shared" si="125"/>
        <v>0</v>
      </c>
      <c r="N217" s="1502">
        <f t="shared" si="125"/>
        <v>0</v>
      </c>
      <c r="O217" s="1502">
        <f t="shared" si="125"/>
        <v>0</v>
      </c>
      <c r="P217" s="1502">
        <f t="shared" si="125"/>
        <v>0</v>
      </c>
      <c r="Q217" s="1502">
        <f t="shared" si="125"/>
        <v>0</v>
      </c>
      <c r="R217" s="1502">
        <f t="shared" si="125"/>
        <v>0</v>
      </c>
      <c r="S217" s="1502">
        <f t="shared" si="125"/>
        <v>0</v>
      </c>
      <c r="T217" s="1502">
        <f t="shared" si="125"/>
        <v>0</v>
      </c>
      <c r="U217" s="1502">
        <f t="shared" si="125"/>
        <v>0</v>
      </c>
    </row>
    <row r="218" spans="3:21">
      <c r="C218" s="1476" t="e">
        <f>IF(D218="","",MAX(C$7:C217)+1)</f>
        <v>#N/A</v>
      </c>
      <c r="D218" s="1986">
        <v>42005</v>
      </c>
      <c r="E218" s="1547">
        <f t="array" ref="E218:E233">TRANSPOSE('COS_Summ (cumulative)'!$I$15:$X$15)</f>
        <v>0</v>
      </c>
      <c r="F218" s="1548">
        <f>INDEX(Dashboard!$F$12:$S$12,1,MATCH($D218,Dashboard!$F$11:$S$11,0))</f>
        <v>12</v>
      </c>
      <c r="G218" s="1502"/>
      <c r="H218" s="1490"/>
      <c r="I218" s="1502"/>
      <c r="J218" s="1988">
        <f>ROUND((J$13+SUM(J217:J217))*$E218*$F218/12,-2)</f>
        <v>0</v>
      </c>
      <c r="K218" s="1502">
        <f t="shared" ref="K218:U218" si="126">ROUND((K$13+SUM(K216:K217))*$E218,-2)</f>
        <v>0</v>
      </c>
      <c r="L218" s="1502">
        <f t="shared" si="126"/>
        <v>0</v>
      </c>
      <c r="M218" s="1502">
        <f t="shared" si="126"/>
        <v>0</v>
      </c>
      <c r="N218" s="1502">
        <f t="shared" si="126"/>
        <v>0</v>
      </c>
      <c r="O218" s="1502">
        <f t="shared" si="126"/>
        <v>0</v>
      </c>
      <c r="P218" s="1502">
        <f t="shared" si="126"/>
        <v>0</v>
      </c>
      <c r="Q218" s="1502">
        <f t="shared" si="126"/>
        <v>0</v>
      </c>
      <c r="R218" s="1502">
        <f t="shared" si="126"/>
        <v>0</v>
      </c>
      <c r="S218" s="1502">
        <f t="shared" si="126"/>
        <v>0</v>
      </c>
      <c r="T218" s="1502">
        <f t="shared" si="126"/>
        <v>0</v>
      </c>
      <c r="U218" s="1502">
        <f t="shared" si="126"/>
        <v>0</v>
      </c>
    </row>
    <row r="219" spans="3:21">
      <c r="C219" s="1476" t="e">
        <f>IF(D219="","",MAX(C$7:C218)+1)</f>
        <v>#N/A</v>
      </c>
      <c r="D219" s="1986">
        <v>42370</v>
      </c>
      <c r="E219" s="1547">
        <v>0</v>
      </c>
      <c r="F219" s="1548">
        <f>INDEX(Dashboard!$F$12:$S$12,1,MATCH($D219,Dashboard!$F$11:$S$11,0))</f>
        <v>12</v>
      </c>
      <c r="G219" s="1502"/>
      <c r="H219" s="1490"/>
      <c r="I219" s="1502"/>
      <c r="J219" s="1502"/>
      <c r="K219" s="1988">
        <f>ROUND((K$13+SUM(K217:K218))*$E219*$F219/12,-2)</f>
        <v>0</v>
      </c>
      <c r="L219" s="1502">
        <f t="shared" ref="L219:U219" si="127">ROUND((L$13+SUM(L216:L218))*$E219,-2)</f>
        <v>0</v>
      </c>
      <c r="M219" s="1502">
        <f t="shared" si="127"/>
        <v>0</v>
      </c>
      <c r="N219" s="1502">
        <f t="shared" si="127"/>
        <v>0</v>
      </c>
      <c r="O219" s="1502">
        <f t="shared" si="127"/>
        <v>0</v>
      </c>
      <c r="P219" s="1502">
        <f t="shared" si="127"/>
        <v>0</v>
      </c>
      <c r="Q219" s="1502">
        <f t="shared" si="127"/>
        <v>0</v>
      </c>
      <c r="R219" s="1502">
        <f t="shared" si="127"/>
        <v>0</v>
      </c>
      <c r="S219" s="1502">
        <f t="shared" si="127"/>
        <v>0</v>
      </c>
      <c r="T219" s="1502">
        <f t="shared" si="127"/>
        <v>0</v>
      </c>
      <c r="U219" s="1502">
        <f t="shared" si="127"/>
        <v>0</v>
      </c>
    </row>
    <row r="220" spans="3:21">
      <c r="C220" s="1476" t="e">
        <f>IF(D220="","",MAX(C$7:C219)+1)</f>
        <v>#N/A</v>
      </c>
      <c r="D220" s="1986">
        <v>42736</v>
      </c>
      <c r="E220" s="1547">
        <v>2.1108180556527703E-2</v>
      </c>
      <c r="F220" s="1548">
        <f>INDEX(Dashboard!$F$12:$S$12,1,MATCH($D220,Dashboard!$F$11:$S$11,0))</f>
        <v>12</v>
      </c>
      <c r="G220" s="1502"/>
      <c r="H220" s="1490"/>
      <c r="I220" s="1502"/>
      <c r="J220" s="1502"/>
      <c r="K220" s="1502"/>
      <c r="L220" s="1988">
        <f>ROUND((L$13+SUM(L216:L219))*$E220*$F220/12,-2)</f>
        <v>118800</v>
      </c>
      <c r="M220" s="1502">
        <f t="shared" ref="M220:U220" si="128">ROUND((M$13+SUM(M216:M219))*$E220,-2)</f>
        <v>121000</v>
      </c>
      <c r="N220" s="1502">
        <f t="shared" si="128"/>
        <v>123200</v>
      </c>
      <c r="O220" s="1502">
        <f t="shared" si="128"/>
        <v>125400</v>
      </c>
      <c r="P220" s="1502">
        <f t="shared" si="128"/>
        <v>127700</v>
      </c>
      <c r="Q220" s="1502">
        <f t="shared" si="128"/>
        <v>129900</v>
      </c>
      <c r="R220" s="1502">
        <f t="shared" si="128"/>
        <v>132200</v>
      </c>
      <c r="S220" s="1502">
        <f t="shared" si="128"/>
        <v>134400</v>
      </c>
      <c r="T220" s="1502">
        <f t="shared" si="128"/>
        <v>136700</v>
      </c>
      <c r="U220" s="1502">
        <f t="shared" si="128"/>
        <v>139000</v>
      </c>
    </row>
    <row r="221" spans="3:21">
      <c r="C221" s="1476" t="e">
        <f>IF(D221="","",MAX(C$7:C220)+1)</f>
        <v>#N/A</v>
      </c>
      <c r="D221" s="1986">
        <v>43101</v>
      </c>
      <c r="E221" s="1547">
        <v>2.1108180556527703E-2</v>
      </c>
      <c r="F221" s="1548">
        <f>INDEX(Dashboard!$F$12:$S$12,1,MATCH($D221,Dashboard!$F$11:$S$11,0))</f>
        <v>12</v>
      </c>
      <c r="G221" s="1502"/>
      <c r="H221" s="1490"/>
      <c r="I221" s="1502"/>
      <c r="J221" s="1502"/>
      <c r="K221" s="1502"/>
      <c r="L221" s="1502"/>
      <c r="M221" s="1988">
        <f>ROUND((M$13+SUM(M216:M220))*$E221*$F221/12,-2)</f>
        <v>123600</v>
      </c>
      <c r="N221" s="1502">
        <f t="shared" ref="N221:U221" si="129">ROUND((N$13+SUM(N216:N220))*$E221,-2)</f>
        <v>125800</v>
      </c>
      <c r="O221" s="1502">
        <f t="shared" si="129"/>
        <v>128100</v>
      </c>
      <c r="P221" s="1502">
        <f t="shared" si="129"/>
        <v>130400</v>
      </c>
      <c r="Q221" s="1502">
        <f t="shared" si="129"/>
        <v>132700</v>
      </c>
      <c r="R221" s="1502">
        <f t="shared" si="129"/>
        <v>135000</v>
      </c>
      <c r="S221" s="1502">
        <f t="shared" si="129"/>
        <v>137300</v>
      </c>
      <c r="T221" s="1502">
        <f t="shared" si="129"/>
        <v>139600</v>
      </c>
      <c r="U221" s="1502">
        <f t="shared" si="129"/>
        <v>141900</v>
      </c>
    </row>
    <row r="222" spans="3:21">
      <c r="C222" s="1476" t="e">
        <f>IF(D222="","",MAX(C$7:C221)+1)</f>
        <v>#N/A</v>
      </c>
      <c r="D222" s="1986">
        <v>43466</v>
      </c>
      <c r="E222" s="1547">
        <v>2.1108180556527703E-2</v>
      </c>
      <c r="F222" s="1548">
        <f>INDEX(Dashboard!$F$12:$S$12,1,MATCH($D222,Dashboard!$F$11:$S$11,0))</f>
        <v>12</v>
      </c>
      <c r="G222" s="1502"/>
      <c r="H222" s="1490"/>
      <c r="I222" s="1502"/>
      <c r="J222" s="1502"/>
      <c r="K222" s="1502"/>
      <c r="L222" s="1502"/>
      <c r="M222" s="1502"/>
      <c r="N222" s="1988">
        <f>ROUND((N$13+SUM(N216:N221))*$E222*$F222/12,-2)</f>
        <v>128500</v>
      </c>
      <c r="O222" s="1502">
        <f t="shared" ref="O222:U222" si="130">ROUND((O$13+SUM(O216:O221))*$E222,-2)</f>
        <v>130800</v>
      </c>
      <c r="P222" s="1502">
        <f t="shared" si="130"/>
        <v>133100</v>
      </c>
      <c r="Q222" s="1502">
        <f t="shared" si="130"/>
        <v>135500</v>
      </c>
      <c r="R222" s="1502">
        <f t="shared" si="130"/>
        <v>137800</v>
      </c>
      <c r="S222" s="1502">
        <f t="shared" si="130"/>
        <v>140200</v>
      </c>
      <c r="T222" s="1502">
        <f t="shared" si="130"/>
        <v>142500</v>
      </c>
      <c r="U222" s="1502">
        <f t="shared" si="130"/>
        <v>144900</v>
      </c>
    </row>
    <row r="223" spans="3:21">
      <c r="C223" s="1476" t="e">
        <f>IF(D223="","",MAX(C$7:C222)+1)</f>
        <v>#N/A</v>
      </c>
      <c r="D223" s="1986">
        <v>43831</v>
      </c>
      <c r="E223" s="1547">
        <v>2.1108180556527703E-2</v>
      </c>
      <c r="F223" s="1548">
        <f>INDEX(Dashboard!$F$12:$S$12,1,MATCH($D223,Dashboard!$F$11:$S$11,0))</f>
        <v>12</v>
      </c>
      <c r="G223" s="1502"/>
      <c r="H223" s="1490"/>
      <c r="I223" s="1502"/>
      <c r="J223" s="1502"/>
      <c r="K223" s="1502"/>
      <c r="L223" s="1502"/>
      <c r="M223" s="1502"/>
      <c r="N223" s="1502"/>
      <c r="O223" s="1988">
        <f>ROUND((O$13+SUM(O216:O222))*$E223*$F223/12,-2)</f>
        <v>133600</v>
      </c>
      <c r="P223" s="1502">
        <f t="shared" ref="P223:U223" si="131">ROUND((P$13+SUM(P216:P222))*$E223,-2)</f>
        <v>135900</v>
      </c>
      <c r="Q223" s="1502">
        <f t="shared" si="131"/>
        <v>138300</v>
      </c>
      <c r="R223" s="1502">
        <f t="shared" si="131"/>
        <v>140700</v>
      </c>
      <c r="S223" s="1502">
        <f t="shared" si="131"/>
        <v>143100</v>
      </c>
      <c r="T223" s="1502">
        <f t="shared" si="131"/>
        <v>145500</v>
      </c>
      <c r="U223" s="1502">
        <f t="shared" si="131"/>
        <v>148000</v>
      </c>
    </row>
    <row r="224" spans="3:21">
      <c r="C224" s="1476" t="e">
        <f>IF(D224="","",MAX(C$7:C223)+1)</f>
        <v>#N/A</v>
      </c>
      <c r="D224" s="1986">
        <v>44197</v>
      </c>
      <c r="E224" s="1547">
        <v>2.1108180556527703E-2</v>
      </c>
      <c r="F224" s="1548">
        <f>INDEX(Dashboard!$F$12:$S$12,1,MATCH($D224,Dashboard!$F$11:$S$11,0))</f>
        <v>12</v>
      </c>
      <c r="G224" s="1502"/>
      <c r="H224" s="1490"/>
      <c r="I224" s="1502"/>
      <c r="J224" s="1502"/>
      <c r="K224" s="1502"/>
      <c r="L224" s="1502"/>
      <c r="M224" s="1502"/>
      <c r="N224" s="1502"/>
      <c r="O224" s="1502"/>
      <c r="P224" s="1988">
        <f>ROUND((P$13+SUM(P216:P223))*$E224*$F224/12,-2)</f>
        <v>138800</v>
      </c>
      <c r="Q224" s="1502">
        <f t="shared" ref="Q224:U224" si="132">ROUND((Q$13+SUM(Q216:Q223))*$E224,-2)</f>
        <v>141200</v>
      </c>
      <c r="R224" s="1502">
        <f t="shared" si="132"/>
        <v>143700</v>
      </c>
      <c r="S224" s="1502">
        <f t="shared" si="132"/>
        <v>146100</v>
      </c>
      <c r="T224" s="1502">
        <f t="shared" si="132"/>
        <v>148600</v>
      </c>
      <c r="U224" s="1502">
        <f t="shared" si="132"/>
        <v>151100</v>
      </c>
    </row>
    <row r="225" spans="3:21">
      <c r="C225" s="1476" t="e">
        <f>IF(D225="","",MAX(C$7:C224)+1)</f>
        <v>#N/A</v>
      </c>
      <c r="D225" s="1986">
        <v>44562</v>
      </c>
      <c r="E225" s="1547">
        <v>2.1108180556527703E-2</v>
      </c>
      <c r="F225" s="1548">
        <f>INDEX(Dashboard!$F$12:$S$12,1,MATCH($D225,Dashboard!$F$11:$S$11,0))</f>
        <v>12</v>
      </c>
      <c r="G225" s="1502"/>
      <c r="H225" s="1490"/>
      <c r="I225" s="1502"/>
      <c r="J225" s="1502"/>
      <c r="K225" s="1502"/>
      <c r="L225" s="1502"/>
      <c r="M225" s="1502"/>
      <c r="N225" s="1502"/>
      <c r="O225" s="1502"/>
      <c r="P225" s="1502"/>
      <c r="Q225" s="1988">
        <f>ROUND((Q$13+SUM(Q216:Q224))*$E225*$F225/12,-2)</f>
        <v>144200</v>
      </c>
      <c r="R225" s="1502">
        <f t="shared" ref="R225:U225" si="133">ROUND((R$13+SUM(R216:R224))*$E225,-2)</f>
        <v>146700</v>
      </c>
      <c r="S225" s="1502">
        <f t="shared" si="133"/>
        <v>149200</v>
      </c>
      <c r="T225" s="1502">
        <f t="shared" si="133"/>
        <v>151700</v>
      </c>
      <c r="U225" s="1502">
        <f t="shared" si="133"/>
        <v>154300</v>
      </c>
    </row>
    <row r="226" spans="3:21">
      <c r="C226" s="1476" t="e">
        <f>IF(D226="","",MAX(C$7:C225)+1)</f>
        <v>#N/A</v>
      </c>
      <c r="D226" s="1986">
        <v>44927</v>
      </c>
      <c r="E226" s="1547">
        <v>2.1108180556527703E-2</v>
      </c>
      <c r="F226" s="1548">
        <f>INDEX(Dashboard!$F$12:$S$12,1,MATCH($D226,Dashboard!$F$11:$S$11,0))</f>
        <v>12</v>
      </c>
      <c r="G226" s="1502"/>
      <c r="H226" s="1490"/>
      <c r="I226" s="1502"/>
      <c r="J226" s="1502"/>
      <c r="K226" s="1502"/>
      <c r="L226" s="1502"/>
      <c r="M226" s="1502"/>
      <c r="N226" s="1502"/>
      <c r="O226" s="1502"/>
      <c r="P226" s="1502"/>
      <c r="Q226" s="1502"/>
      <c r="R226" s="1988">
        <f>ROUND((R$13+SUM(R216:R225))*$E226*$F226/12,-2)</f>
        <v>149800</v>
      </c>
      <c r="S226" s="1502">
        <f t="shared" ref="S226:U226" si="134">ROUND((S$13+SUM(S216:S225))*$E226,-2)</f>
        <v>152400</v>
      </c>
      <c r="T226" s="1502">
        <f t="shared" si="134"/>
        <v>154900</v>
      </c>
      <c r="U226" s="1502">
        <f t="shared" si="134"/>
        <v>157500</v>
      </c>
    </row>
    <row r="227" spans="3:21" ht="16.5" thickBot="1">
      <c r="C227" s="1476" t="e">
        <f>IF(D227="","",MAX(C$7:C226)+1)</f>
        <v>#N/A</v>
      </c>
      <c r="D227" s="1986">
        <v>45292</v>
      </c>
      <c r="E227" s="1549">
        <v>2.1108180556527703E-2</v>
      </c>
      <c r="F227" s="1550">
        <f>INDEX(Dashboard!$F$12:$S$12,1,MATCH($D227,Dashboard!$F$11:$S$11,0))</f>
        <v>12</v>
      </c>
      <c r="G227" s="1502"/>
      <c r="H227" s="1490"/>
      <c r="I227" s="1502"/>
      <c r="J227" s="1502"/>
      <c r="K227" s="1502"/>
      <c r="L227" s="1502"/>
      <c r="M227" s="1502"/>
      <c r="N227" s="1502"/>
      <c r="O227" s="1502"/>
      <c r="P227" s="1502"/>
      <c r="Q227" s="1502"/>
      <c r="R227" s="1502"/>
      <c r="S227" s="1988">
        <f>ROUND((S$13+SUM(S216:S226))*$E227*$F227/12,-2)</f>
        <v>155600</v>
      </c>
      <c r="T227" s="1502">
        <f t="shared" ref="T227:U227" si="135">ROUND((T$13+SUM(T216:T226))*$E227,-2)</f>
        <v>158200</v>
      </c>
      <c r="U227" s="1502">
        <f t="shared" si="135"/>
        <v>160800</v>
      </c>
    </row>
    <row r="228" spans="3:21">
      <c r="C228" s="1476" t="e">
        <f>IF(D228="","",MAX(C$7:C227)+1)</f>
        <v>#N/A</v>
      </c>
      <c r="D228" s="1986">
        <v>45658</v>
      </c>
      <c r="E228" s="1545">
        <v>5.0000000000000001E-3</v>
      </c>
      <c r="F228" s="1546">
        <f>INDEX(Dashboard!$F$12:$S$12,1,MATCH($D228,Dashboard!$F$11:$S$11,0))</f>
        <v>12</v>
      </c>
      <c r="G228" s="1502"/>
      <c r="H228" s="1490"/>
      <c r="I228" s="1502"/>
      <c r="J228" s="1502"/>
      <c r="K228" s="1502"/>
      <c r="L228" s="1502"/>
      <c r="M228" s="1502"/>
      <c r="N228" s="1502"/>
      <c r="O228" s="1502"/>
      <c r="P228" s="1502"/>
      <c r="Q228" s="1502"/>
      <c r="R228" s="1502"/>
      <c r="S228" s="1502"/>
      <c r="T228" s="1988">
        <f>ROUND((T$13+SUM(T216:T227))*$E228*$F228/12,-2)</f>
        <v>38300</v>
      </c>
      <c r="U228" s="1502">
        <f>ROUND((U$13+SUM(U216:U227))*$E228,-2)</f>
        <v>38900</v>
      </c>
    </row>
    <row r="229" spans="3:21" ht="16.5" thickBot="1">
      <c r="C229" s="1476" t="e">
        <f>IF(D229="","",MAX(C$7:C228)+1)</f>
        <v>#N/A</v>
      </c>
      <c r="D229" s="1986">
        <v>46023</v>
      </c>
      <c r="E229" s="1549">
        <v>5.0000000000000001E-3</v>
      </c>
      <c r="F229" s="1550">
        <f>INDEX(Dashboard!$F$12:$S$12,1,MATCH($D229,Dashboard!$F$11:$S$11,0))</f>
        <v>12</v>
      </c>
      <c r="G229" s="1502"/>
      <c r="H229" s="1490"/>
      <c r="I229" s="1502"/>
      <c r="J229" s="1502"/>
      <c r="K229" s="1502"/>
      <c r="L229" s="1502"/>
      <c r="M229" s="1502"/>
      <c r="N229" s="1502"/>
      <c r="O229" s="1502"/>
      <c r="P229" s="1502"/>
      <c r="Q229" s="1502"/>
      <c r="R229" s="1502"/>
      <c r="S229" s="1502"/>
      <c r="T229" s="1502"/>
      <c r="U229" s="1988">
        <f>ROUND((U$13+SUM(U216:U228))*$E229*$F229/12,-2)</f>
        <v>39100</v>
      </c>
    </row>
    <row r="230" spans="3:21" hidden="1">
      <c r="C230" s="1476" t="e">
        <f>IF(D230="","",MAX(C$7:C229)+1)</f>
        <v>#N/A</v>
      </c>
      <c r="D230" s="1986" t="e">
        <v>#N/A</v>
      </c>
      <c r="E230" s="1547">
        <v>0</v>
      </c>
      <c r="F230" s="1548" t="e">
        <f>INDEX(Dashboard!$F$12:$S$12,1,MATCH($D230,Dashboard!$F$11:$S$11,0))</f>
        <v>#N/A</v>
      </c>
      <c r="G230" s="1502"/>
      <c r="H230" s="1490"/>
      <c r="I230" s="1502"/>
      <c r="J230" s="1502"/>
      <c r="K230" s="1502"/>
      <c r="L230" s="1502"/>
      <c r="M230" s="1502"/>
      <c r="N230" s="1502"/>
      <c r="O230" s="1502"/>
      <c r="P230" s="1502"/>
      <c r="Q230" s="1502"/>
      <c r="R230" s="1502"/>
      <c r="S230" s="1502"/>
      <c r="T230" s="1502"/>
      <c r="U230" s="1502"/>
    </row>
    <row r="231" spans="3:21" hidden="1">
      <c r="C231" s="1476" t="e">
        <f>IF(D231="","",MAX(C$7:C230)+1)</f>
        <v>#N/A</v>
      </c>
      <c r="D231" s="1986" t="e">
        <v>#N/A</v>
      </c>
      <c r="E231" s="1547">
        <v>0</v>
      </c>
      <c r="F231" s="1548" t="e">
        <f>INDEX(Dashboard!$F$12:$S$12,1,MATCH($D231,Dashboard!$F$11:$S$11,0))</f>
        <v>#N/A</v>
      </c>
      <c r="G231" s="1502"/>
      <c r="H231" s="1490"/>
      <c r="I231" s="1502"/>
      <c r="J231" s="1502"/>
      <c r="K231" s="1502"/>
      <c r="L231" s="1502"/>
      <c r="M231" s="1502"/>
      <c r="N231" s="1502"/>
      <c r="O231" s="1502"/>
      <c r="P231" s="1502"/>
      <c r="Q231" s="1502"/>
      <c r="R231" s="1502"/>
      <c r="S231" s="1502"/>
      <c r="T231" s="1502"/>
      <c r="U231" s="1502"/>
    </row>
    <row r="232" spans="3:21" hidden="1">
      <c r="C232" s="1476" t="e">
        <f>IF(D232="","",MAX(C$7:C231)+1)</f>
        <v>#N/A</v>
      </c>
      <c r="D232" s="1986" t="e">
        <v>#N/A</v>
      </c>
      <c r="E232" s="1547">
        <v>0</v>
      </c>
      <c r="F232" s="1548" t="e">
        <f>INDEX(Dashboard!$F$12:$S$12,1,MATCH($D232,Dashboard!$F$11:$S$11,0))</f>
        <v>#N/A</v>
      </c>
      <c r="G232" s="1502"/>
      <c r="H232" s="1490"/>
      <c r="I232" s="1502"/>
      <c r="J232" s="1502"/>
      <c r="K232" s="1502"/>
      <c r="L232" s="1502"/>
      <c r="M232" s="1502"/>
      <c r="N232" s="1502"/>
      <c r="O232" s="1502"/>
      <c r="P232" s="1502"/>
      <c r="Q232" s="1502"/>
      <c r="R232" s="1502"/>
      <c r="S232" s="1502"/>
      <c r="T232" s="1502"/>
      <c r="U232" s="1502"/>
    </row>
    <row r="233" spans="3:21" ht="16.5" hidden="1" thickBot="1">
      <c r="C233" s="1476" t="e">
        <f>IF(D233="","",MAX(C$7:C232)+1)</f>
        <v>#N/A</v>
      </c>
      <c r="D233" s="1986" t="e">
        <v>#N/A</v>
      </c>
      <c r="E233" s="1549">
        <v>0</v>
      </c>
      <c r="F233" s="1550" t="e">
        <f>INDEX(Dashboard!$F$12:$S$12,1,MATCH($D233,Dashboard!$F$11:$S$11,0))</f>
        <v>#N/A</v>
      </c>
      <c r="G233" s="1502"/>
      <c r="H233" s="1490"/>
      <c r="I233" s="1502"/>
      <c r="J233" s="1502"/>
      <c r="K233" s="1502"/>
      <c r="L233" s="1502"/>
      <c r="M233" s="1502"/>
      <c r="N233" s="1502"/>
      <c r="O233" s="1502"/>
      <c r="P233" s="1502"/>
      <c r="Q233" s="1502"/>
      <c r="R233" s="1502"/>
      <c r="S233" s="1502"/>
      <c r="T233" s="1502"/>
      <c r="U233" s="1502"/>
    </row>
    <row r="234" spans="3:21">
      <c r="C234" s="1476" t="str">
        <f>IF(D234="","",MAX(C$7:C233)+1)</f>
        <v/>
      </c>
      <c r="D234" s="1468"/>
      <c r="E234" s="1468"/>
      <c r="F234" s="1468"/>
      <c r="G234" s="1987"/>
      <c r="H234" s="1987"/>
      <c r="I234" s="1502"/>
      <c r="J234" s="1502"/>
      <c r="K234" s="1502"/>
      <c r="L234" s="1502"/>
      <c r="M234" s="1502"/>
      <c r="N234" s="1502"/>
      <c r="O234" s="1502"/>
      <c r="P234" s="1502"/>
      <c r="Q234" s="1502"/>
      <c r="R234" s="1502"/>
      <c r="S234" s="1502"/>
      <c r="T234" s="1502"/>
      <c r="U234" s="1502"/>
    </row>
    <row r="235" spans="3:21">
      <c r="C235" s="1476" t="e">
        <f>IF(D235="","",MAX(C$7:C234)+1)</f>
        <v>#N/A</v>
      </c>
      <c r="D235" s="1468" t="s">
        <v>1047</v>
      </c>
      <c r="E235" s="1468"/>
      <c r="F235" s="1468"/>
      <c r="G235" s="1504">
        <f t="shared" ref="G235:U235" si="136">SUM(G217:G234)</f>
        <v>0</v>
      </c>
      <c r="H235" s="1504">
        <f t="shared" si="136"/>
        <v>0</v>
      </c>
      <c r="I235" s="1504">
        <f t="shared" si="136"/>
        <v>0</v>
      </c>
      <c r="J235" s="1504">
        <f t="shared" si="136"/>
        <v>0</v>
      </c>
      <c r="K235" s="1504">
        <f t="shared" si="136"/>
        <v>0</v>
      </c>
      <c r="L235" s="1504">
        <f t="shared" si="136"/>
        <v>118800</v>
      </c>
      <c r="M235" s="1504">
        <f t="shared" si="136"/>
        <v>244600</v>
      </c>
      <c r="N235" s="1504">
        <f t="shared" si="136"/>
        <v>377500</v>
      </c>
      <c r="O235" s="1504">
        <f t="shared" si="136"/>
        <v>517900</v>
      </c>
      <c r="P235" s="1504">
        <f t="shared" si="136"/>
        <v>665900</v>
      </c>
      <c r="Q235" s="1504">
        <f t="shared" si="136"/>
        <v>821800</v>
      </c>
      <c r="R235" s="1504">
        <f t="shared" si="136"/>
        <v>985900</v>
      </c>
      <c r="S235" s="1504">
        <f t="shared" si="136"/>
        <v>1158300</v>
      </c>
      <c r="T235" s="1504">
        <f t="shared" si="136"/>
        <v>1216000</v>
      </c>
      <c r="U235" s="1504">
        <f t="shared" si="136"/>
        <v>1275500</v>
      </c>
    </row>
    <row r="236" spans="3:21">
      <c r="C236" s="1476" t="e">
        <f>IF(D236="","",MAX(C$7:C235)+1)</f>
        <v>#N/A</v>
      </c>
      <c r="D236" s="1468" t="s">
        <v>2772</v>
      </c>
      <c r="E236" s="1"/>
      <c r="F236" s="1"/>
      <c r="G236" s="1"/>
      <c r="H236" s="1"/>
      <c r="J236" s="424">
        <f>J235-J218</f>
        <v>0</v>
      </c>
      <c r="K236" s="424">
        <f>K235-K219</f>
        <v>0</v>
      </c>
      <c r="L236" s="424">
        <f>L235-L220</f>
        <v>0</v>
      </c>
      <c r="M236" s="424">
        <f>M235-M221</f>
        <v>121000</v>
      </c>
      <c r="N236" s="424">
        <f>N235-N222</f>
        <v>249000</v>
      </c>
      <c r="O236" s="424">
        <f>O235-O223</f>
        <v>384300</v>
      </c>
      <c r="P236" s="424">
        <f>P235-P224</f>
        <v>527100</v>
      </c>
      <c r="Q236" s="424">
        <f>Q235-Q225</f>
        <v>677600</v>
      </c>
      <c r="R236" s="424">
        <f>R235-R226</f>
        <v>836100</v>
      </c>
      <c r="S236" s="424">
        <f>S235-S227</f>
        <v>1002700</v>
      </c>
      <c r="T236" s="424">
        <f>T235-T228</f>
        <v>1177700</v>
      </c>
      <c r="U236" s="424">
        <f>U235-U229</f>
        <v>1236400</v>
      </c>
    </row>
    <row r="237" spans="3:21" ht="16.5" thickBot="1"/>
    <row r="238" spans="3:21" ht="16.5" thickBot="1">
      <c r="C238" s="1"/>
      <c r="D238" s="4528" t="str">
        <f>$D$14</f>
        <v>General Service 3PH (2)</v>
      </c>
      <c r="E238" s="4529"/>
      <c r="F238" s="4530"/>
      <c r="G238" s="1"/>
      <c r="H238" s="1"/>
    </row>
    <row r="239" spans="3:21">
      <c r="C239" s="1476" t="e">
        <f>IF(D239="","",MAX(C$7:C212)+1)</f>
        <v>#N/A</v>
      </c>
      <c r="D239" s="1491" t="s">
        <v>1042</v>
      </c>
      <c r="E239" s="1468"/>
      <c r="F239" s="1983" t="s">
        <v>1043</v>
      </c>
      <c r="G239" s="1490"/>
      <c r="H239" s="1490"/>
      <c r="I239" s="1490"/>
      <c r="J239" s="1490"/>
      <c r="K239" s="1490"/>
      <c r="L239" s="1490"/>
      <c r="M239" s="1490"/>
      <c r="N239" s="1490"/>
      <c r="O239" s="1490"/>
      <c r="P239" s="1490"/>
      <c r="Q239" s="1490"/>
      <c r="R239" s="1490"/>
      <c r="S239" s="1490"/>
      <c r="T239" s="1490"/>
      <c r="U239" s="1490"/>
    </row>
    <row r="240" spans="3:21">
      <c r="C240" s="1476" t="e">
        <f>IF(D240="","",MAX(C$7:C239)+1)</f>
        <v>#N/A</v>
      </c>
      <c r="D240" s="1984" t="s">
        <v>1044</v>
      </c>
      <c r="E240" s="1985" t="s">
        <v>1045</v>
      </c>
      <c r="F240" s="1985" t="s">
        <v>1046</v>
      </c>
      <c r="G240" s="1490"/>
      <c r="H240" s="1490"/>
      <c r="I240" s="1490"/>
      <c r="J240" s="1490"/>
      <c r="K240" s="1490"/>
      <c r="L240" s="1490"/>
      <c r="M240" s="1490"/>
      <c r="N240" s="1490"/>
      <c r="O240" s="1490"/>
      <c r="P240" s="1490"/>
      <c r="Q240" s="1490"/>
      <c r="R240" s="1490"/>
      <c r="S240" s="1490"/>
      <c r="T240" s="1490"/>
      <c r="U240" s="1490"/>
    </row>
    <row r="241" spans="3:21" ht="16.5" thickBot="1">
      <c r="C241" s="1476" t="str">
        <f>IF(D241="","",MAX(C$7:C240)+1)</f>
        <v/>
      </c>
      <c r="D241" s="1489"/>
      <c r="E241" s="1489"/>
      <c r="F241" s="1489"/>
      <c r="G241" s="1490"/>
      <c r="H241" s="1490"/>
      <c r="I241" s="1490"/>
      <c r="J241" s="1490"/>
      <c r="K241" s="1490"/>
      <c r="L241" s="1490"/>
      <c r="M241" s="1490"/>
      <c r="N241" s="1490"/>
      <c r="O241" s="1490"/>
      <c r="P241" s="1490"/>
      <c r="Q241" s="1490"/>
      <c r="R241" s="1490"/>
      <c r="S241" s="1490"/>
      <c r="T241" s="1490"/>
      <c r="U241" s="1490"/>
    </row>
    <row r="242" spans="3:21">
      <c r="C242" s="1476" t="e">
        <f>IF(D242="","",MAX(C$7:C241)+1)</f>
        <v>#N/A</v>
      </c>
      <c r="D242" s="1986">
        <f t="array" ref="D242:D258">TRANSPOSE(Dashboard!$G$11:$S$11)</f>
        <v>41640</v>
      </c>
      <c r="E242" s="1989">
        <f>INDEX(Dashboard!$F$10:$S$10,1,MATCH($D242,Dashboard!$F$11:$S$11,0))</f>
        <v>0</v>
      </c>
      <c r="F242" s="1546">
        <f>INDEX(Dashboard!$F$12:$S$12,1,MATCH($D242,Dashboard!$F$11:$S$11,0))</f>
        <v>12</v>
      </c>
      <c r="G242" s="1502"/>
      <c r="H242" s="1490"/>
      <c r="I242" s="1988">
        <f>ROUND((I$14+SUM(I241:I241))*$E242*$F242/12,-2)</f>
        <v>0</v>
      </c>
      <c r="J242" s="1502">
        <f t="shared" ref="J242:U242" si="137">ROUND((J$14+SUM(J241:J241))*$E242,-2)</f>
        <v>0</v>
      </c>
      <c r="K242" s="1502">
        <f t="shared" si="137"/>
        <v>0</v>
      </c>
      <c r="L242" s="1502">
        <f t="shared" si="137"/>
        <v>0</v>
      </c>
      <c r="M242" s="1502">
        <f t="shared" si="137"/>
        <v>0</v>
      </c>
      <c r="N242" s="1502">
        <f t="shared" si="137"/>
        <v>0</v>
      </c>
      <c r="O242" s="1502">
        <f t="shared" si="137"/>
        <v>0</v>
      </c>
      <c r="P242" s="1502">
        <f t="shared" si="137"/>
        <v>0</v>
      </c>
      <c r="Q242" s="1502">
        <f t="shared" si="137"/>
        <v>0</v>
      </c>
      <c r="R242" s="1502">
        <f t="shared" si="137"/>
        <v>0</v>
      </c>
      <c r="S242" s="1502">
        <f t="shared" si="137"/>
        <v>0</v>
      </c>
      <c r="T242" s="1502">
        <f t="shared" si="137"/>
        <v>0</v>
      </c>
      <c r="U242" s="1502">
        <f t="shared" si="137"/>
        <v>0</v>
      </c>
    </row>
    <row r="243" spans="3:21">
      <c r="C243" s="1476" t="e">
        <f>IF(D243="","",MAX(C$7:C242)+1)</f>
        <v>#N/A</v>
      </c>
      <c r="D243" s="1986">
        <v>42005</v>
      </c>
      <c r="E243" s="1547">
        <f t="array" ref="E243:E258">TRANSPOSE('COS_Summ (cumulative)'!$I$15:$X$15)</f>
        <v>0</v>
      </c>
      <c r="F243" s="1548">
        <f>INDEX(Dashboard!$F$12:$S$12,1,MATCH($D243,Dashboard!$F$11:$S$11,0))</f>
        <v>12</v>
      </c>
      <c r="G243" s="1502"/>
      <c r="H243" s="1490"/>
      <c r="I243" s="1502"/>
      <c r="J243" s="1988">
        <f>ROUND((J$14+SUM(J242:J242))*$E243*$F243/12,-2)</f>
        <v>0</v>
      </c>
      <c r="K243" s="1502">
        <f t="shared" ref="K243:U243" si="138">ROUND((K$14+SUM(K241:K242))*$E243,-2)</f>
        <v>0</v>
      </c>
      <c r="L243" s="1502">
        <f t="shared" si="138"/>
        <v>0</v>
      </c>
      <c r="M243" s="1502">
        <f t="shared" si="138"/>
        <v>0</v>
      </c>
      <c r="N243" s="1502">
        <f t="shared" si="138"/>
        <v>0</v>
      </c>
      <c r="O243" s="1502">
        <f t="shared" si="138"/>
        <v>0</v>
      </c>
      <c r="P243" s="1502">
        <f t="shared" si="138"/>
        <v>0</v>
      </c>
      <c r="Q243" s="1502">
        <f t="shared" si="138"/>
        <v>0</v>
      </c>
      <c r="R243" s="1502">
        <f t="shared" si="138"/>
        <v>0</v>
      </c>
      <c r="S243" s="1502">
        <f t="shared" si="138"/>
        <v>0</v>
      </c>
      <c r="T243" s="1502">
        <f t="shared" si="138"/>
        <v>0</v>
      </c>
      <c r="U243" s="1502">
        <f t="shared" si="138"/>
        <v>0</v>
      </c>
    </row>
    <row r="244" spans="3:21">
      <c r="C244" s="1476" t="e">
        <f>IF(D244="","",MAX(C$7:C243)+1)</f>
        <v>#N/A</v>
      </c>
      <c r="D244" s="1986">
        <v>42370</v>
      </c>
      <c r="E244" s="1547">
        <v>0</v>
      </c>
      <c r="F244" s="1548">
        <f>INDEX(Dashboard!$F$12:$S$12,1,MATCH($D244,Dashboard!$F$11:$S$11,0))</f>
        <v>12</v>
      </c>
      <c r="G244" s="1502"/>
      <c r="H244" s="1490"/>
      <c r="I244" s="1502"/>
      <c r="J244" s="1502"/>
      <c r="K244" s="1988">
        <f>ROUND((K$14+SUM(K242:K243))*$E244*$F244/12,-2)</f>
        <v>0</v>
      </c>
      <c r="L244" s="1502">
        <f t="shared" ref="L244:U244" si="139">ROUND((L$14+SUM(L241:L243))*$E244,-2)</f>
        <v>0</v>
      </c>
      <c r="M244" s="1502">
        <f t="shared" si="139"/>
        <v>0</v>
      </c>
      <c r="N244" s="1502">
        <f t="shared" si="139"/>
        <v>0</v>
      </c>
      <c r="O244" s="1502">
        <f t="shared" si="139"/>
        <v>0</v>
      </c>
      <c r="P244" s="1502">
        <f t="shared" si="139"/>
        <v>0</v>
      </c>
      <c r="Q244" s="1502">
        <f t="shared" si="139"/>
        <v>0</v>
      </c>
      <c r="R244" s="1502">
        <f t="shared" si="139"/>
        <v>0</v>
      </c>
      <c r="S244" s="1502">
        <f t="shared" si="139"/>
        <v>0</v>
      </c>
      <c r="T244" s="1502">
        <f t="shared" si="139"/>
        <v>0</v>
      </c>
      <c r="U244" s="1502">
        <f t="shared" si="139"/>
        <v>0</v>
      </c>
    </row>
    <row r="245" spans="3:21">
      <c r="C245" s="1476" t="e">
        <f>IF(D245="","",MAX(C$7:C244)+1)</f>
        <v>#N/A</v>
      </c>
      <c r="D245" s="1986">
        <v>42736</v>
      </c>
      <c r="E245" s="1547">
        <v>2.1108180556527703E-2</v>
      </c>
      <c r="F245" s="1548">
        <f>INDEX(Dashboard!$F$12:$S$12,1,MATCH($D245,Dashboard!$F$11:$S$11,0))</f>
        <v>12</v>
      </c>
      <c r="G245" s="1502"/>
      <c r="H245" s="1490"/>
      <c r="I245" s="1502"/>
      <c r="J245" s="1502"/>
      <c r="K245" s="1502"/>
      <c r="L245" s="1988">
        <f>ROUND((L$14+SUM(L241:L244))*$E245*$F245/12,-2)</f>
        <v>381500</v>
      </c>
      <c r="M245" s="1502">
        <f t="shared" ref="M245:U245" si="140">ROUND((M$14+SUM(M241:M244))*$E245,-2)</f>
        <v>388000</v>
      </c>
      <c r="N245" s="1502">
        <f t="shared" si="140"/>
        <v>394500</v>
      </c>
      <c r="O245" s="1502">
        <f t="shared" si="140"/>
        <v>401000</v>
      </c>
      <c r="P245" s="1502">
        <f t="shared" si="140"/>
        <v>407500</v>
      </c>
      <c r="Q245" s="1502">
        <f t="shared" si="140"/>
        <v>414000</v>
      </c>
      <c r="R245" s="1502">
        <f t="shared" si="140"/>
        <v>420500</v>
      </c>
      <c r="S245" s="1502">
        <f t="shared" si="140"/>
        <v>427000</v>
      </c>
      <c r="T245" s="1502">
        <f t="shared" si="140"/>
        <v>433500</v>
      </c>
      <c r="U245" s="1502">
        <f t="shared" si="140"/>
        <v>440100</v>
      </c>
    </row>
    <row r="246" spans="3:21">
      <c r="C246" s="1476" t="e">
        <f>IF(D246="","",MAX(C$7:C245)+1)</f>
        <v>#N/A</v>
      </c>
      <c r="D246" s="1986">
        <v>43101</v>
      </c>
      <c r="E246" s="1547">
        <v>2.1108180556527703E-2</v>
      </c>
      <c r="F246" s="1548">
        <f>INDEX(Dashboard!$F$12:$S$12,1,MATCH($D246,Dashboard!$F$11:$S$11,0))</f>
        <v>12</v>
      </c>
      <c r="G246" s="1502"/>
      <c r="H246" s="1490"/>
      <c r="I246" s="1502"/>
      <c r="J246" s="1502"/>
      <c r="K246" s="1502"/>
      <c r="L246" s="1502"/>
      <c r="M246" s="1988">
        <f>ROUND((M$14+SUM(M241:M245))*$E246*$F246/12,-2)</f>
        <v>396200</v>
      </c>
      <c r="N246" s="1502">
        <f t="shared" ref="N246:U246" si="141">ROUND((N$14+SUM(N241:N245))*$E246,-2)</f>
        <v>402800</v>
      </c>
      <c r="O246" s="1502">
        <f t="shared" si="141"/>
        <v>409400</v>
      </c>
      <c r="P246" s="1502">
        <f t="shared" si="141"/>
        <v>416100</v>
      </c>
      <c r="Q246" s="1502">
        <f t="shared" si="141"/>
        <v>422700</v>
      </c>
      <c r="R246" s="1502">
        <f t="shared" si="141"/>
        <v>429400</v>
      </c>
      <c r="S246" s="1502">
        <f t="shared" si="141"/>
        <v>436000</v>
      </c>
      <c r="T246" s="1502">
        <f t="shared" si="141"/>
        <v>442700</v>
      </c>
      <c r="U246" s="1502">
        <f t="shared" si="141"/>
        <v>449400</v>
      </c>
    </row>
    <row r="247" spans="3:21">
      <c r="C247" s="1476" t="e">
        <f>IF(D247="","",MAX(C$7:C246)+1)</f>
        <v>#N/A</v>
      </c>
      <c r="D247" s="1986">
        <v>43466</v>
      </c>
      <c r="E247" s="1547">
        <v>2.1108180556527703E-2</v>
      </c>
      <c r="F247" s="1548">
        <f>INDEX(Dashboard!$F$12:$S$12,1,MATCH($D247,Dashboard!$F$11:$S$11,0))</f>
        <v>12</v>
      </c>
      <c r="G247" s="1502"/>
      <c r="H247" s="1490"/>
      <c r="I247" s="1502"/>
      <c r="J247" s="1502"/>
      <c r="K247" s="1502"/>
      <c r="L247" s="1502"/>
      <c r="M247" s="1502"/>
      <c r="N247" s="1988">
        <f>ROUND((N$14+SUM(N241:N246))*$E247*$F247/12,-2)</f>
        <v>411300</v>
      </c>
      <c r="O247" s="1502">
        <f t="shared" ref="O247:U247" si="142">ROUND((O$14+SUM(O241:O246))*$E247,-2)</f>
        <v>418100</v>
      </c>
      <c r="P247" s="1502">
        <f t="shared" si="142"/>
        <v>424900</v>
      </c>
      <c r="Q247" s="1502">
        <f t="shared" si="142"/>
        <v>431600</v>
      </c>
      <c r="R247" s="1502">
        <f t="shared" si="142"/>
        <v>438400</v>
      </c>
      <c r="S247" s="1502">
        <f t="shared" si="142"/>
        <v>445200</v>
      </c>
      <c r="T247" s="1502">
        <f t="shared" si="142"/>
        <v>452000</v>
      </c>
      <c r="U247" s="1502">
        <f t="shared" si="142"/>
        <v>458900</v>
      </c>
    </row>
    <row r="248" spans="3:21">
      <c r="C248" s="1476" t="e">
        <f>IF(D248="","",MAX(C$7:C247)+1)</f>
        <v>#N/A</v>
      </c>
      <c r="D248" s="1986">
        <v>43831</v>
      </c>
      <c r="E248" s="1547">
        <v>2.1108180556527703E-2</v>
      </c>
      <c r="F248" s="1548">
        <f>INDEX(Dashboard!$F$12:$S$12,1,MATCH($D248,Dashboard!$F$11:$S$11,0))</f>
        <v>12</v>
      </c>
      <c r="G248" s="1502"/>
      <c r="H248" s="1490"/>
      <c r="I248" s="1502"/>
      <c r="J248" s="1502"/>
      <c r="K248" s="1502"/>
      <c r="L248" s="1502"/>
      <c r="M248" s="1502"/>
      <c r="N248" s="1502"/>
      <c r="O248" s="1988">
        <f>ROUND((O$14+SUM(O241:O247))*$E248*$F248/12,-2)</f>
        <v>426900</v>
      </c>
      <c r="P248" s="1502">
        <f t="shared" ref="P248:U248" si="143">ROUND((P$14+SUM(P241:P247))*$E248,-2)</f>
        <v>433800</v>
      </c>
      <c r="Q248" s="1502">
        <f t="shared" si="143"/>
        <v>440700</v>
      </c>
      <c r="R248" s="1502">
        <f t="shared" si="143"/>
        <v>447700</v>
      </c>
      <c r="S248" s="1502">
        <f t="shared" si="143"/>
        <v>454600</v>
      </c>
      <c r="T248" s="1502">
        <f t="shared" si="143"/>
        <v>461600</v>
      </c>
      <c r="U248" s="1502">
        <f t="shared" si="143"/>
        <v>468500</v>
      </c>
    </row>
    <row r="249" spans="3:21">
      <c r="C249" s="1476" t="e">
        <f>IF(D249="","",MAX(C$7:C248)+1)</f>
        <v>#N/A</v>
      </c>
      <c r="D249" s="1986">
        <v>44197</v>
      </c>
      <c r="E249" s="1547">
        <v>2.1108180556527703E-2</v>
      </c>
      <c r="F249" s="1548">
        <f>INDEX(Dashboard!$F$12:$S$12,1,MATCH($D249,Dashboard!$F$11:$S$11,0))</f>
        <v>12</v>
      </c>
      <c r="G249" s="1502"/>
      <c r="H249" s="1490"/>
      <c r="I249" s="1502"/>
      <c r="J249" s="1502"/>
      <c r="K249" s="1502"/>
      <c r="L249" s="1502"/>
      <c r="M249" s="1502"/>
      <c r="N249" s="1502"/>
      <c r="O249" s="1502"/>
      <c r="P249" s="1988">
        <f>ROUND((P$14+SUM(P241:P248))*$E249*$F249/12,-2)</f>
        <v>443000</v>
      </c>
      <c r="Q249" s="1502">
        <f t="shared" ref="Q249:U249" si="144">ROUND((Q$14+SUM(Q241:Q248))*$E249,-2)</f>
        <v>450000</v>
      </c>
      <c r="R249" s="1502">
        <f t="shared" si="144"/>
        <v>457100</v>
      </c>
      <c r="S249" s="1502">
        <f t="shared" si="144"/>
        <v>464200</v>
      </c>
      <c r="T249" s="1502">
        <f t="shared" si="144"/>
        <v>471300</v>
      </c>
      <c r="U249" s="1502">
        <f t="shared" si="144"/>
        <v>478400</v>
      </c>
    </row>
    <row r="250" spans="3:21">
      <c r="C250" s="1476" t="e">
        <f>IF(D250="","",MAX(C$7:C249)+1)</f>
        <v>#N/A</v>
      </c>
      <c r="D250" s="1986">
        <v>44562</v>
      </c>
      <c r="E250" s="1547">
        <v>2.1108180556527703E-2</v>
      </c>
      <c r="F250" s="1548">
        <f>INDEX(Dashboard!$F$12:$S$12,1,MATCH($D250,Dashboard!$F$11:$S$11,0))</f>
        <v>12</v>
      </c>
      <c r="G250" s="1502"/>
      <c r="H250" s="1490"/>
      <c r="I250" s="1502"/>
      <c r="J250" s="1502"/>
      <c r="K250" s="1502"/>
      <c r="L250" s="1502"/>
      <c r="M250" s="1502"/>
      <c r="N250" s="1502"/>
      <c r="O250" s="1502"/>
      <c r="P250" s="1502"/>
      <c r="Q250" s="1988">
        <f>ROUND((Q$14+SUM(Q241:Q249))*$E250*$F250/12,-2)</f>
        <v>459500</v>
      </c>
      <c r="R250" s="1502">
        <f t="shared" ref="R250:U250" si="145">ROUND((R$14+SUM(R241:R249))*$E250,-2)</f>
        <v>466800</v>
      </c>
      <c r="S250" s="1502">
        <f t="shared" si="145"/>
        <v>474000</v>
      </c>
      <c r="T250" s="1502">
        <f t="shared" si="145"/>
        <v>481300</v>
      </c>
      <c r="U250" s="1502">
        <f t="shared" si="145"/>
        <v>488500</v>
      </c>
    </row>
    <row r="251" spans="3:21">
      <c r="C251" s="1476" t="e">
        <f>IF(D251="","",MAX(C$7:C250)+1)</f>
        <v>#N/A</v>
      </c>
      <c r="D251" s="1986">
        <v>44927</v>
      </c>
      <c r="E251" s="1547">
        <v>2.1108180556527703E-2</v>
      </c>
      <c r="F251" s="1548">
        <f>INDEX(Dashboard!$F$12:$S$12,1,MATCH($D251,Dashboard!$F$11:$S$11,0))</f>
        <v>12</v>
      </c>
      <c r="G251" s="1502"/>
      <c r="H251" s="1490"/>
      <c r="I251" s="1502"/>
      <c r="J251" s="1502"/>
      <c r="K251" s="1502"/>
      <c r="L251" s="1502"/>
      <c r="M251" s="1502"/>
      <c r="N251" s="1502"/>
      <c r="O251" s="1502"/>
      <c r="P251" s="1502"/>
      <c r="Q251" s="1502"/>
      <c r="R251" s="1988">
        <f>ROUND((R$14+SUM(R241:R250))*$E251*$F251/12,-2)</f>
        <v>476600</v>
      </c>
      <c r="S251" s="1502">
        <f t="shared" ref="S251:U251" si="146">ROUND((S$14+SUM(S241:S250))*$E251,-2)</f>
        <v>484000</v>
      </c>
      <c r="T251" s="1502">
        <f t="shared" si="146"/>
        <v>491400</v>
      </c>
      <c r="U251" s="1502">
        <f t="shared" si="146"/>
        <v>498800</v>
      </c>
    </row>
    <row r="252" spans="3:21" ht="16.5" thickBot="1">
      <c r="C252" s="1476" t="e">
        <f>IF(D252="","",MAX(C$7:C251)+1)</f>
        <v>#N/A</v>
      </c>
      <c r="D252" s="1986">
        <v>45292</v>
      </c>
      <c r="E252" s="1549">
        <v>2.1108180556527703E-2</v>
      </c>
      <c r="F252" s="1550">
        <f>INDEX(Dashboard!$F$12:$S$12,1,MATCH($D252,Dashboard!$F$11:$S$11,0))</f>
        <v>12</v>
      </c>
      <c r="G252" s="1502"/>
      <c r="H252" s="1490"/>
      <c r="I252" s="1502"/>
      <c r="J252" s="1502"/>
      <c r="K252" s="1502"/>
      <c r="L252" s="1502"/>
      <c r="M252" s="1502"/>
      <c r="N252" s="1502"/>
      <c r="O252" s="1502"/>
      <c r="P252" s="1502"/>
      <c r="Q252" s="1502"/>
      <c r="R252" s="1502"/>
      <c r="S252" s="1988">
        <f>ROUND((S$14+SUM(S241:S251))*$E252*$F252/12,-2)</f>
        <v>494200</v>
      </c>
      <c r="T252" s="1502">
        <f t="shared" ref="T252:U252" si="147">ROUND((T$14+SUM(T241:T251))*$E252,-2)</f>
        <v>501800</v>
      </c>
      <c r="U252" s="1502">
        <f t="shared" si="147"/>
        <v>509400</v>
      </c>
    </row>
    <row r="253" spans="3:21">
      <c r="C253" s="1476" t="e">
        <f>IF(D253="","",MAX(C$7:C252)+1)</f>
        <v>#N/A</v>
      </c>
      <c r="D253" s="1986">
        <v>45658</v>
      </c>
      <c r="E253" s="1545">
        <v>5.0000000000000001E-3</v>
      </c>
      <c r="F253" s="1546">
        <f>INDEX(Dashboard!$F$12:$S$12,1,MATCH($D253,Dashboard!$F$11:$S$11,0))</f>
        <v>12</v>
      </c>
      <c r="G253" s="1502"/>
      <c r="H253" s="1490"/>
      <c r="I253" s="1502"/>
      <c r="J253" s="1502"/>
      <c r="K253" s="1502"/>
      <c r="L253" s="1502"/>
      <c r="M253" s="1502"/>
      <c r="N253" s="1502"/>
      <c r="O253" s="1502"/>
      <c r="P253" s="1502"/>
      <c r="Q253" s="1502"/>
      <c r="R253" s="1502"/>
      <c r="S253" s="1502"/>
      <c r="T253" s="1988">
        <f>ROUND((T$14+SUM(T241:T252))*$E253*$F253/12,-2)</f>
        <v>121400</v>
      </c>
      <c r="U253" s="1502">
        <f>ROUND((U$14+SUM(U241:U252))*$E253,-2)</f>
        <v>123200</v>
      </c>
    </row>
    <row r="254" spans="3:21" ht="16.5" thickBot="1">
      <c r="C254" s="1476" t="e">
        <f>IF(D254="","",MAX(C$7:C253)+1)</f>
        <v>#N/A</v>
      </c>
      <c r="D254" s="1986">
        <v>46023</v>
      </c>
      <c r="E254" s="1549">
        <v>5.0000000000000001E-3</v>
      </c>
      <c r="F254" s="1550">
        <f>INDEX(Dashboard!$F$12:$S$12,1,MATCH($D254,Dashboard!$F$11:$S$11,0))</f>
        <v>12</v>
      </c>
      <c r="G254" s="1502"/>
      <c r="H254" s="1490"/>
      <c r="I254" s="1502"/>
      <c r="J254" s="1502"/>
      <c r="K254" s="1502"/>
      <c r="L254" s="1502"/>
      <c r="M254" s="1502"/>
      <c r="N254" s="1502"/>
      <c r="O254" s="1502"/>
      <c r="P254" s="1502"/>
      <c r="Q254" s="1502"/>
      <c r="R254" s="1502"/>
      <c r="S254" s="1502"/>
      <c r="T254" s="1502"/>
      <c r="U254" s="1988">
        <f>ROUND((U$14+SUM(U241:U253))*$E254*$F254/12,-2)</f>
        <v>123800</v>
      </c>
    </row>
    <row r="255" spans="3:21" hidden="1">
      <c r="C255" s="1476" t="e">
        <f>IF(D255="","",MAX(C$7:C254)+1)</f>
        <v>#N/A</v>
      </c>
      <c r="D255" s="1986" t="e">
        <v>#N/A</v>
      </c>
      <c r="E255" s="1547">
        <v>0</v>
      </c>
      <c r="F255" s="1548" t="e">
        <f>INDEX(Dashboard!$F$12:$S$12,1,MATCH($D255,Dashboard!$F$11:$S$11,0))</f>
        <v>#N/A</v>
      </c>
      <c r="G255" s="1502"/>
      <c r="H255" s="1490"/>
      <c r="I255" s="1502"/>
      <c r="J255" s="1502"/>
      <c r="K255" s="1502"/>
      <c r="L255" s="1502"/>
      <c r="M255" s="1502"/>
      <c r="N255" s="1502"/>
      <c r="O255" s="1502"/>
      <c r="P255" s="1502"/>
      <c r="Q255" s="1502"/>
      <c r="R255" s="1502"/>
      <c r="S255" s="1502"/>
      <c r="T255" s="1502"/>
      <c r="U255" s="1502"/>
    </row>
    <row r="256" spans="3:21" hidden="1">
      <c r="C256" s="1476" t="e">
        <f>IF(D256="","",MAX(C$7:C255)+1)</f>
        <v>#N/A</v>
      </c>
      <c r="D256" s="1986" t="e">
        <v>#N/A</v>
      </c>
      <c r="E256" s="1547">
        <v>0</v>
      </c>
      <c r="F256" s="1548" t="e">
        <f>INDEX(Dashboard!$F$12:$S$12,1,MATCH($D256,Dashboard!$F$11:$S$11,0))</f>
        <v>#N/A</v>
      </c>
      <c r="G256" s="1502"/>
      <c r="H256" s="1490"/>
      <c r="I256" s="1502"/>
      <c r="J256" s="1502"/>
      <c r="K256" s="1502"/>
      <c r="L256" s="1502"/>
      <c r="M256" s="1502"/>
      <c r="N256" s="1502"/>
      <c r="O256" s="1502"/>
      <c r="P256" s="1502"/>
      <c r="Q256" s="1502"/>
      <c r="R256" s="1502"/>
      <c r="S256" s="1502"/>
      <c r="T256" s="1502"/>
      <c r="U256" s="1502"/>
    </row>
    <row r="257" spans="3:21" hidden="1">
      <c r="C257" s="1476" t="e">
        <f>IF(D257="","",MAX(C$7:C256)+1)</f>
        <v>#N/A</v>
      </c>
      <c r="D257" s="1986" t="e">
        <v>#N/A</v>
      </c>
      <c r="E257" s="1547">
        <v>0</v>
      </c>
      <c r="F257" s="1548" t="e">
        <f>INDEX(Dashboard!$F$12:$S$12,1,MATCH($D257,Dashboard!$F$11:$S$11,0))</f>
        <v>#N/A</v>
      </c>
      <c r="G257" s="1502"/>
      <c r="H257" s="1490"/>
      <c r="I257" s="1502"/>
      <c r="J257" s="1502"/>
      <c r="K257" s="1502"/>
      <c r="L257" s="1502"/>
      <c r="M257" s="1502"/>
      <c r="N257" s="1502"/>
      <c r="O257" s="1502"/>
      <c r="P257" s="1502"/>
      <c r="Q257" s="1502"/>
      <c r="R257" s="1502"/>
      <c r="S257" s="1502"/>
      <c r="T257" s="1502"/>
      <c r="U257" s="1502"/>
    </row>
    <row r="258" spans="3:21" ht="16.5" hidden="1" thickBot="1">
      <c r="C258" s="1476" t="e">
        <f>IF(D258="","",MAX(C$7:C257)+1)</f>
        <v>#N/A</v>
      </c>
      <c r="D258" s="1986" t="e">
        <v>#N/A</v>
      </c>
      <c r="E258" s="1549">
        <v>0</v>
      </c>
      <c r="F258" s="1550" t="e">
        <f>INDEX(Dashboard!$F$12:$S$12,1,MATCH($D258,Dashboard!$F$11:$S$11,0))</f>
        <v>#N/A</v>
      </c>
      <c r="G258" s="1502"/>
      <c r="H258" s="1490"/>
      <c r="I258" s="1502"/>
      <c r="J258" s="1502"/>
      <c r="K258" s="1502"/>
      <c r="L258" s="1502"/>
      <c r="M258" s="1502"/>
      <c r="N258" s="1502"/>
      <c r="O258" s="1502"/>
      <c r="P258" s="1502"/>
      <c r="Q258" s="1502"/>
      <c r="R258" s="1502"/>
      <c r="S258" s="1502"/>
      <c r="T258" s="1502"/>
      <c r="U258" s="1502"/>
    </row>
    <row r="259" spans="3:21">
      <c r="C259" s="1476" t="str">
        <f>IF(D259="","",MAX(C$7:C258)+1)</f>
        <v/>
      </c>
      <c r="D259" s="1468"/>
      <c r="E259" s="1468"/>
      <c r="F259" s="1468"/>
      <c r="G259" s="1987"/>
      <c r="H259" s="1987"/>
      <c r="I259" s="1502"/>
      <c r="J259" s="1502"/>
      <c r="K259" s="1502"/>
      <c r="L259" s="1502"/>
      <c r="M259" s="1502"/>
      <c r="N259" s="1502"/>
      <c r="O259" s="1502"/>
      <c r="P259" s="1502"/>
      <c r="Q259" s="1502"/>
      <c r="R259" s="1502"/>
      <c r="S259" s="1502"/>
      <c r="T259" s="1502"/>
      <c r="U259" s="1502"/>
    </row>
    <row r="260" spans="3:21">
      <c r="C260" s="1476" t="e">
        <f>IF(D260="","",MAX(C$7:C259)+1)</f>
        <v>#N/A</v>
      </c>
      <c r="D260" s="1468" t="s">
        <v>1047</v>
      </c>
      <c r="E260" s="1468"/>
      <c r="F260" s="1468"/>
      <c r="G260" s="1504">
        <f t="shared" ref="G260:U260" si="148">SUM(G242:G259)</f>
        <v>0</v>
      </c>
      <c r="H260" s="1504">
        <f t="shared" si="148"/>
        <v>0</v>
      </c>
      <c r="I260" s="1504">
        <f t="shared" si="148"/>
        <v>0</v>
      </c>
      <c r="J260" s="1504">
        <f t="shared" si="148"/>
        <v>0</v>
      </c>
      <c r="K260" s="1504">
        <f t="shared" si="148"/>
        <v>0</v>
      </c>
      <c r="L260" s="1504">
        <f t="shared" si="148"/>
        <v>381500</v>
      </c>
      <c r="M260" s="1504">
        <f t="shared" si="148"/>
        <v>784200</v>
      </c>
      <c r="N260" s="1504">
        <f t="shared" si="148"/>
        <v>1208600</v>
      </c>
      <c r="O260" s="1504">
        <f t="shared" si="148"/>
        <v>1655400</v>
      </c>
      <c r="P260" s="1504">
        <f t="shared" si="148"/>
        <v>2125300</v>
      </c>
      <c r="Q260" s="1504">
        <f t="shared" si="148"/>
        <v>2618500</v>
      </c>
      <c r="R260" s="1504">
        <f t="shared" si="148"/>
        <v>3136500</v>
      </c>
      <c r="S260" s="1504">
        <f t="shared" si="148"/>
        <v>3679200</v>
      </c>
      <c r="T260" s="1504">
        <f t="shared" si="148"/>
        <v>3857000</v>
      </c>
      <c r="U260" s="1504">
        <f t="shared" si="148"/>
        <v>4039000</v>
      </c>
    </row>
    <row r="261" spans="3:21">
      <c r="C261" s="1476" t="e">
        <f>IF(D261="","",MAX(C$7:C260)+1)</f>
        <v>#N/A</v>
      </c>
      <c r="D261" s="1468" t="s">
        <v>2772</v>
      </c>
      <c r="E261" s="1"/>
      <c r="F261" s="1"/>
      <c r="G261" s="1"/>
      <c r="H261" s="1"/>
      <c r="J261" s="424">
        <f>J260-J243</f>
        <v>0</v>
      </c>
      <c r="K261" s="424">
        <f>K260-K244</f>
        <v>0</v>
      </c>
      <c r="L261" s="424">
        <f>L260-L245</f>
        <v>0</v>
      </c>
      <c r="M261" s="424">
        <f>M260-M246</f>
        <v>388000</v>
      </c>
      <c r="N261" s="424">
        <f>N260-N247</f>
        <v>797300</v>
      </c>
      <c r="O261" s="424">
        <f>O260-O248</f>
        <v>1228500</v>
      </c>
      <c r="P261" s="424">
        <f>P260-P249</f>
        <v>1682300</v>
      </c>
      <c r="Q261" s="424">
        <f>Q260-Q250</f>
        <v>2159000</v>
      </c>
      <c r="R261" s="424">
        <f>R260-R251</f>
        <v>2659900</v>
      </c>
      <c r="S261" s="424">
        <f>S260-S252</f>
        <v>3185000</v>
      </c>
      <c r="T261" s="424">
        <f>T260-T253</f>
        <v>3735600</v>
      </c>
      <c r="U261" s="424">
        <f>U260-U254</f>
        <v>3915200</v>
      </c>
    </row>
    <row r="262" spans="3:21" ht="16.5" thickBot="1"/>
    <row r="263" spans="3:21" ht="16.5" thickBot="1">
      <c r="C263" s="1"/>
      <c r="D263" s="4528" t="str">
        <f>$D$15</f>
        <v>Large General Service (7)</v>
      </c>
      <c r="E263" s="4529"/>
      <c r="F263" s="4530"/>
      <c r="G263" s="1"/>
      <c r="H263" s="1"/>
    </row>
    <row r="264" spans="3:21">
      <c r="C264" s="1476" t="e">
        <f>IF(D264="","",MAX(C$7:C237)+1)</f>
        <v>#N/A</v>
      </c>
      <c r="D264" s="1491" t="s">
        <v>1042</v>
      </c>
      <c r="E264" s="1468"/>
      <c r="F264" s="1983" t="s">
        <v>1043</v>
      </c>
      <c r="G264" s="1490"/>
      <c r="H264" s="1490"/>
      <c r="I264" s="1490"/>
      <c r="J264" s="1490"/>
      <c r="K264" s="1490"/>
      <c r="L264" s="1490"/>
      <c r="M264" s="1490"/>
      <c r="N264" s="1490"/>
      <c r="O264" s="1490"/>
      <c r="P264" s="1490"/>
      <c r="Q264" s="1490"/>
      <c r="R264" s="1490"/>
      <c r="S264" s="1490"/>
      <c r="T264" s="1490"/>
      <c r="U264" s="1490"/>
    </row>
    <row r="265" spans="3:21">
      <c r="C265" s="1476" t="e">
        <f>IF(D265="","",MAX(C$7:C264)+1)</f>
        <v>#N/A</v>
      </c>
      <c r="D265" s="1984" t="s">
        <v>1044</v>
      </c>
      <c r="E265" s="1985" t="s">
        <v>1045</v>
      </c>
      <c r="F265" s="1985" t="s">
        <v>1046</v>
      </c>
      <c r="G265" s="1490"/>
      <c r="H265" s="1490"/>
      <c r="I265" s="1490"/>
      <c r="J265" s="1490"/>
      <c r="K265" s="1490"/>
      <c r="L265" s="1490"/>
      <c r="M265" s="1490"/>
      <c r="N265" s="1490"/>
      <c r="O265" s="1490"/>
      <c r="P265" s="1490"/>
      <c r="Q265" s="1490"/>
      <c r="R265" s="1490"/>
      <c r="S265" s="1490"/>
      <c r="T265" s="1490"/>
      <c r="U265" s="1490"/>
    </row>
    <row r="266" spans="3:21" ht="16.5" thickBot="1">
      <c r="C266" s="1476" t="str">
        <f>IF(D266="","",MAX(C$7:C265)+1)</f>
        <v/>
      </c>
      <c r="D266" s="1489"/>
      <c r="E266" s="1489"/>
      <c r="F266" s="1489"/>
      <c r="G266" s="1490"/>
      <c r="H266" s="1490"/>
      <c r="I266" s="1490"/>
      <c r="J266" s="1490"/>
      <c r="K266" s="1490"/>
      <c r="L266" s="1490"/>
      <c r="M266" s="1490"/>
      <c r="N266" s="1490"/>
      <c r="O266" s="1490"/>
      <c r="P266" s="1490"/>
      <c r="Q266" s="1490"/>
      <c r="R266" s="1490"/>
      <c r="S266" s="1490"/>
      <c r="T266" s="1490"/>
      <c r="U266" s="1490"/>
    </row>
    <row r="267" spans="3:21">
      <c r="C267" s="1476" t="e">
        <f>IF(D267="","",MAX(C$7:C266)+1)</f>
        <v>#N/A</v>
      </c>
      <c r="D267" s="1986">
        <f t="array" ref="D267:D283">TRANSPOSE(Dashboard!$G$11:$S$11)</f>
        <v>41640</v>
      </c>
      <c r="E267" s="1989">
        <f>INDEX(Dashboard!$F$10:$S$10,1,MATCH($D267,Dashboard!$F$11:$S$11,0))</f>
        <v>0</v>
      </c>
      <c r="F267" s="1546">
        <f>INDEX(Dashboard!$F$12:$S$12,1,MATCH($D267,Dashboard!$F$11:$S$11,0))</f>
        <v>12</v>
      </c>
      <c r="G267" s="1502"/>
      <c r="H267" s="1490"/>
      <c r="I267" s="1988">
        <f>ROUND((I$15+SUM(I266:I266))*$E267*$F267/12,-2)</f>
        <v>0</v>
      </c>
      <c r="J267" s="1502">
        <f t="shared" ref="J267:U267" si="149">ROUND((J$15+SUM(J266:J266))*$E267,-2)</f>
        <v>0</v>
      </c>
      <c r="K267" s="1502">
        <f t="shared" si="149"/>
        <v>0</v>
      </c>
      <c r="L267" s="1502">
        <f t="shared" si="149"/>
        <v>0</v>
      </c>
      <c r="M267" s="1502">
        <f t="shared" si="149"/>
        <v>0</v>
      </c>
      <c r="N267" s="1502">
        <f t="shared" si="149"/>
        <v>0</v>
      </c>
      <c r="O267" s="1502">
        <f t="shared" si="149"/>
        <v>0</v>
      </c>
      <c r="P267" s="1502">
        <f t="shared" si="149"/>
        <v>0</v>
      </c>
      <c r="Q267" s="1502">
        <f t="shared" si="149"/>
        <v>0</v>
      </c>
      <c r="R267" s="1502">
        <f t="shared" si="149"/>
        <v>0</v>
      </c>
      <c r="S267" s="1502">
        <f t="shared" si="149"/>
        <v>0</v>
      </c>
      <c r="T267" s="1502">
        <f t="shared" si="149"/>
        <v>0</v>
      </c>
      <c r="U267" s="1502">
        <f t="shared" si="149"/>
        <v>0</v>
      </c>
    </row>
    <row r="268" spans="3:21">
      <c r="C268" s="1476" t="e">
        <f>IF(D268="","",MAX(C$7:C267)+1)</f>
        <v>#N/A</v>
      </c>
      <c r="D268" s="1986">
        <v>42005</v>
      </c>
      <c r="E268" s="1547">
        <f t="array" ref="E268:E283">TRANSPOSE('COS_Summ (cumulative)'!$I$16:$X$16)</f>
        <v>0</v>
      </c>
      <c r="F268" s="1548">
        <f>INDEX(Dashboard!$F$12:$S$12,1,MATCH($D268,Dashboard!$F$11:$S$11,0))</f>
        <v>12</v>
      </c>
      <c r="G268" s="1502"/>
      <c r="H268" s="1490"/>
      <c r="I268" s="1502"/>
      <c r="J268" s="1988">
        <f>ROUND((J$15+SUM(J267:J267))*$E268*$F268/12,-2)</f>
        <v>0</v>
      </c>
      <c r="K268" s="1502">
        <f t="shared" ref="K268:U268" si="150">ROUND((K$15+SUM(K266:K267))*$E268,-2)</f>
        <v>0</v>
      </c>
      <c r="L268" s="1502">
        <f t="shared" si="150"/>
        <v>0</v>
      </c>
      <c r="M268" s="1502">
        <f t="shared" si="150"/>
        <v>0</v>
      </c>
      <c r="N268" s="1502">
        <f t="shared" si="150"/>
        <v>0</v>
      </c>
      <c r="O268" s="1502">
        <f t="shared" si="150"/>
        <v>0</v>
      </c>
      <c r="P268" s="1502">
        <f t="shared" si="150"/>
        <v>0</v>
      </c>
      <c r="Q268" s="1502">
        <f t="shared" si="150"/>
        <v>0</v>
      </c>
      <c r="R268" s="1502">
        <f t="shared" si="150"/>
        <v>0</v>
      </c>
      <c r="S268" s="1502">
        <f t="shared" si="150"/>
        <v>0</v>
      </c>
      <c r="T268" s="1502">
        <f t="shared" si="150"/>
        <v>0</v>
      </c>
      <c r="U268" s="1502">
        <f t="shared" si="150"/>
        <v>0</v>
      </c>
    </row>
    <row r="269" spans="3:21">
      <c r="C269" s="1476" t="e">
        <f>IF(D269="","",MAX(C$7:C268)+1)</f>
        <v>#N/A</v>
      </c>
      <c r="D269" s="1986">
        <v>42370</v>
      </c>
      <c r="E269" s="1547">
        <v>0</v>
      </c>
      <c r="F269" s="1548">
        <f>INDEX(Dashboard!$F$12:$S$12,1,MATCH($D269,Dashboard!$F$11:$S$11,0))</f>
        <v>12</v>
      </c>
      <c r="G269" s="1502"/>
      <c r="H269" s="1490"/>
      <c r="I269" s="1502"/>
      <c r="J269" s="1502"/>
      <c r="K269" s="1988">
        <f>ROUND((K$15+SUM(K267:K268))*$E269*$F269/12,-2)</f>
        <v>0</v>
      </c>
      <c r="L269" s="1502">
        <f t="shared" ref="L269:U269" si="151">ROUND((L$15+SUM(L266:L268))*$E269,-2)</f>
        <v>0</v>
      </c>
      <c r="M269" s="1502">
        <f t="shared" si="151"/>
        <v>0</v>
      </c>
      <c r="N269" s="1502">
        <f t="shared" si="151"/>
        <v>0</v>
      </c>
      <c r="O269" s="1502">
        <f t="shared" si="151"/>
        <v>0</v>
      </c>
      <c r="P269" s="1502">
        <f t="shared" si="151"/>
        <v>0</v>
      </c>
      <c r="Q269" s="1502">
        <f t="shared" si="151"/>
        <v>0</v>
      </c>
      <c r="R269" s="1502">
        <f t="shared" si="151"/>
        <v>0</v>
      </c>
      <c r="S269" s="1502">
        <f t="shared" si="151"/>
        <v>0</v>
      </c>
      <c r="T269" s="1502">
        <f t="shared" si="151"/>
        <v>0</v>
      </c>
      <c r="U269" s="1502">
        <f t="shared" si="151"/>
        <v>0</v>
      </c>
    </row>
    <row r="270" spans="3:21">
      <c r="C270" s="1476" t="e">
        <f>IF(D270="","",MAX(C$7:C269)+1)</f>
        <v>#N/A</v>
      </c>
      <c r="D270" s="1986">
        <v>42736</v>
      </c>
      <c r="E270" s="1547">
        <v>9.631294852342466E-3</v>
      </c>
      <c r="F270" s="1548">
        <f>INDEX(Dashboard!$F$12:$S$12,1,MATCH($D270,Dashboard!$F$11:$S$11,0))</f>
        <v>12</v>
      </c>
      <c r="G270" s="1502"/>
      <c r="H270" s="1490"/>
      <c r="I270" s="1502"/>
      <c r="J270" s="1502"/>
      <c r="K270" s="1502"/>
      <c r="L270" s="1988">
        <f>ROUND((L$15+SUM(L266:L269))*$E270*$F270/12,-2)</f>
        <v>80300</v>
      </c>
      <c r="M270" s="1502">
        <f t="shared" ref="M270:U270" si="152">ROUND((M$15+SUM(M266:M269))*$E270,-2)</f>
        <v>81800</v>
      </c>
      <c r="N270" s="1502">
        <f t="shared" si="152"/>
        <v>83400</v>
      </c>
      <c r="O270" s="1502">
        <f t="shared" si="152"/>
        <v>84900</v>
      </c>
      <c r="P270" s="1502">
        <f t="shared" si="152"/>
        <v>87300</v>
      </c>
      <c r="Q270" s="1502">
        <f t="shared" si="152"/>
        <v>88900</v>
      </c>
      <c r="R270" s="1502">
        <f t="shared" si="152"/>
        <v>90400</v>
      </c>
      <c r="S270" s="1502">
        <f t="shared" si="152"/>
        <v>92600</v>
      </c>
      <c r="T270" s="1502">
        <f t="shared" si="152"/>
        <v>94300</v>
      </c>
      <c r="U270" s="1502">
        <f t="shared" si="152"/>
        <v>96700</v>
      </c>
    </row>
    <row r="271" spans="3:21">
      <c r="C271" s="1476" t="e">
        <f>IF(D271="","",MAX(C$7:C270)+1)</f>
        <v>#N/A</v>
      </c>
      <c r="D271" s="1986">
        <v>43101</v>
      </c>
      <c r="E271" s="1547">
        <v>9.631294852342466E-3</v>
      </c>
      <c r="F271" s="1548">
        <f>INDEX(Dashboard!$F$12:$S$12,1,MATCH($D271,Dashboard!$F$11:$S$11,0))</f>
        <v>12</v>
      </c>
      <c r="G271" s="1502"/>
      <c r="H271" s="1490"/>
      <c r="I271" s="1502"/>
      <c r="J271" s="1502"/>
      <c r="K271" s="1502"/>
      <c r="L271" s="1502"/>
      <c r="M271" s="1988">
        <f>ROUND((M$15+SUM(M266:M270))*$E271*$F271/12,-2)</f>
        <v>82600</v>
      </c>
      <c r="N271" s="1502">
        <f t="shared" ref="N271:U271" si="153">ROUND((N$15+SUM(N266:N270))*$E271,-2)</f>
        <v>84200</v>
      </c>
      <c r="O271" s="1502">
        <f t="shared" si="153"/>
        <v>85700</v>
      </c>
      <c r="P271" s="1502">
        <f t="shared" si="153"/>
        <v>88100</v>
      </c>
      <c r="Q271" s="1502">
        <f t="shared" si="153"/>
        <v>89700</v>
      </c>
      <c r="R271" s="1502">
        <f t="shared" si="153"/>
        <v>91300</v>
      </c>
      <c r="S271" s="1502">
        <f t="shared" si="153"/>
        <v>93500</v>
      </c>
      <c r="T271" s="1502">
        <f t="shared" si="153"/>
        <v>95200</v>
      </c>
      <c r="U271" s="1502">
        <f t="shared" si="153"/>
        <v>97600</v>
      </c>
    </row>
    <row r="272" spans="3:21">
      <c r="C272" s="1476" t="e">
        <f>IF(D272="","",MAX(C$7:C271)+1)</f>
        <v>#N/A</v>
      </c>
      <c r="D272" s="1986">
        <v>43466</v>
      </c>
      <c r="E272" s="1547">
        <v>9.631294852342466E-3</v>
      </c>
      <c r="F272" s="1548">
        <f>INDEX(Dashboard!$F$12:$S$12,1,MATCH($D272,Dashboard!$F$11:$S$11,0))</f>
        <v>12</v>
      </c>
      <c r="G272" s="1502"/>
      <c r="H272" s="1490"/>
      <c r="I272" s="1502"/>
      <c r="J272" s="1502"/>
      <c r="K272" s="1502"/>
      <c r="L272" s="1502"/>
      <c r="M272" s="1502"/>
      <c r="N272" s="1988">
        <f>ROUND((N$15+SUM(N266:N271))*$E272*$F272/12,-2)</f>
        <v>85000</v>
      </c>
      <c r="O272" s="1502">
        <f t="shared" ref="O272:U272" si="154">ROUND((O$15+SUM(O266:O271))*$E272,-2)</f>
        <v>86500</v>
      </c>
      <c r="P272" s="1502">
        <f t="shared" si="154"/>
        <v>89000</v>
      </c>
      <c r="Q272" s="1502">
        <f t="shared" si="154"/>
        <v>90600</v>
      </c>
      <c r="R272" s="1502">
        <f t="shared" si="154"/>
        <v>92200</v>
      </c>
      <c r="S272" s="1502">
        <f t="shared" si="154"/>
        <v>94400</v>
      </c>
      <c r="T272" s="1502">
        <f t="shared" si="154"/>
        <v>96100</v>
      </c>
      <c r="U272" s="1502">
        <f t="shared" si="154"/>
        <v>98500</v>
      </c>
    </row>
    <row r="273" spans="3:21">
      <c r="C273" s="1476" t="e">
        <f>IF(D273="","",MAX(C$7:C272)+1)</f>
        <v>#N/A</v>
      </c>
      <c r="D273" s="1986">
        <v>43831</v>
      </c>
      <c r="E273" s="1547">
        <v>9.631294852342466E-3</v>
      </c>
      <c r="F273" s="1548">
        <f>INDEX(Dashboard!$F$12:$S$12,1,MATCH($D273,Dashboard!$F$11:$S$11,0))</f>
        <v>12</v>
      </c>
      <c r="G273" s="1502"/>
      <c r="H273" s="1490"/>
      <c r="I273" s="1502"/>
      <c r="J273" s="1502"/>
      <c r="K273" s="1502"/>
      <c r="L273" s="1502"/>
      <c r="M273" s="1502"/>
      <c r="N273" s="1502"/>
      <c r="O273" s="1988">
        <f>ROUND((O$15+SUM(O266:O272))*$E273*$F273/12,-2)</f>
        <v>87300</v>
      </c>
      <c r="P273" s="1502">
        <f t="shared" ref="P273:U273" si="155">ROUND((P$15+SUM(P266:P272))*$E273,-2)</f>
        <v>89800</v>
      </c>
      <c r="Q273" s="1502">
        <f t="shared" si="155"/>
        <v>91500</v>
      </c>
      <c r="R273" s="1502">
        <f t="shared" si="155"/>
        <v>93100</v>
      </c>
      <c r="S273" s="1502">
        <f t="shared" si="155"/>
        <v>95300</v>
      </c>
      <c r="T273" s="1502">
        <f t="shared" si="155"/>
        <v>97100</v>
      </c>
      <c r="U273" s="1502">
        <f t="shared" si="155"/>
        <v>99500</v>
      </c>
    </row>
    <row r="274" spans="3:21">
      <c r="C274" s="1476" t="e">
        <f>IF(D274="","",MAX(C$7:C273)+1)</f>
        <v>#N/A</v>
      </c>
      <c r="D274" s="1986">
        <v>44197</v>
      </c>
      <c r="E274" s="1547">
        <v>9.631294852342466E-3</v>
      </c>
      <c r="F274" s="1548">
        <f>INDEX(Dashboard!$F$12:$S$12,1,MATCH($D274,Dashboard!$F$11:$S$11,0))</f>
        <v>12</v>
      </c>
      <c r="G274" s="1502"/>
      <c r="H274" s="1490"/>
      <c r="I274" s="1502"/>
      <c r="J274" s="1502"/>
      <c r="K274" s="1502"/>
      <c r="L274" s="1502"/>
      <c r="M274" s="1502"/>
      <c r="N274" s="1502"/>
      <c r="O274" s="1502"/>
      <c r="P274" s="1988">
        <f>ROUND((P$15+SUM(P266:P273))*$E274*$F274/12,-2)</f>
        <v>90700</v>
      </c>
      <c r="Q274" s="1502">
        <f t="shared" ref="Q274:U274" si="156">ROUND((Q$15+SUM(Q266:Q273))*$E274,-2)</f>
        <v>92300</v>
      </c>
      <c r="R274" s="1502">
        <f t="shared" si="156"/>
        <v>94000</v>
      </c>
      <c r="S274" s="1502">
        <f t="shared" si="156"/>
        <v>96300</v>
      </c>
      <c r="T274" s="1502">
        <f t="shared" si="156"/>
        <v>98000</v>
      </c>
      <c r="U274" s="1502">
        <f t="shared" si="156"/>
        <v>100400</v>
      </c>
    </row>
    <row r="275" spans="3:21">
      <c r="C275" s="1476" t="e">
        <f>IF(D275="","",MAX(C$7:C274)+1)</f>
        <v>#N/A</v>
      </c>
      <c r="D275" s="1986">
        <v>44562</v>
      </c>
      <c r="E275" s="1547">
        <v>9.631294852342466E-3</v>
      </c>
      <c r="F275" s="1548">
        <f>INDEX(Dashboard!$F$12:$S$12,1,MATCH($D275,Dashboard!$F$11:$S$11,0))</f>
        <v>12</v>
      </c>
      <c r="G275" s="1502"/>
      <c r="H275" s="1490"/>
      <c r="I275" s="1502"/>
      <c r="J275" s="1502"/>
      <c r="K275" s="1502"/>
      <c r="L275" s="1502"/>
      <c r="M275" s="1502"/>
      <c r="N275" s="1502"/>
      <c r="O275" s="1502"/>
      <c r="P275" s="1502"/>
      <c r="Q275" s="1988">
        <f>ROUND((Q$15+SUM(Q266:Q274))*$E275*$F275/12,-2)</f>
        <v>93200</v>
      </c>
      <c r="R275" s="1502">
        <f t="shared" ref="R275:U275" si="157">ROUND((R$15+SUM(R266:R274))*$E275,-2)</f>
        <v>94900</v>
      </c>
      <c r="S275" s="1502">
        <f t="shared" si="157"/>
        <v>97200</v>
      </c>
      <c r="T275" s="1502">
        <f t="shared" si="157"/>
        <v>98900</v>
      </c>
      <c r="U275" s="1502">
        <f t="shared" si="157"/>
        <v>101400</v>
      </c>
    </row>
    <row r="276" spans="3:21">
      <c r="C276" s="1476" t="e">
        <f>IF(D276="","",MAX(C$7:C275)+1)</f>
        <v>#N/A</v>
      </c>
      <c r="D276" s="1986">
        <v>44927</v>
      </c>
      <c r="E276" s="1547">
        <v>9.631294852342466E-3</v>
      </c>
      <c r="F276" s="1548">
        <f>INDEX(Dashboard!$F$12:$S$12,1,MATCH($D276,Dashboard!$F$11:$S$11,0))</f>
        <v>12</v>
      </c>
      <c r="G276" s="1502"/>
      <c r="H276" s="1490"/>
      <c r="I276" s="1502"/>
      <c r="J276" s="1502"/>
      <c r="K276" s="1502"/>
      <c r="L276" s="1502"/>
      <c r="M276" s="1502"/>
      <c r="N276" s="1502"/>
      <c r="O276" s="1502"/>
      <c r="P276" s="1502"/>
      <c r="Q276" s="1502"/>
      <c r="R276" s="1988">
        <f>ROUND((R$15+SUM(R266:R275))*$E276*$F276/12,-2)</f>
        <v>95800</v>
      </c>
      <c r="S276" s="1502">
        <f t="shared" ref="S276:U276" si="158">ROUND((S$15+SUM(S266:S275))*$E276,-2)</f>
        <v>98100</v>
      </c>
      <c r="T276" s="1502">
        <f t="shared" si="158"/>
        <v>99900</v>
      </c>
      <c r="U276" s="1502">
        <f t="shared" si="158"/>
        <v>102400</v>
      </c>
    </row>
    <row r="277" spans="3:21" ht="16.5" thickBot="1">
      <c r="C277" s="1476" t="e">
        <f>IF(D277="","",MAX(C$7:C276)+1)</f>
        <v>#N/A</v>
      </c>
      <c r="D277" s="1986">
        <v>45292</v>
      </c>
      <c r="E277" s="1549">
        <v>9.631294852342466E-3</v>
      </c>
      <c r="F277" s="1550">
        <f>INDEX(Dashboard!$F$12:$S$12,1,MATCH($D277,Dashboard!$F$11:$S$11,0))</f>
        <v>12</v>
      </c>
      <c r="G277" s="1502"/>
      <c r="H277" s="1490"/>
      <c r="I277" s="1502"/>
      <c r="J277" s="1502"/>
      <c r="K277" s="1502"/>
      <c r="L277" s="1502"/>
      <c r="M277" s="1502"/>
      <c r="N277" s="1502"/>
      <c r="O277" s="1502"/>
      <c r="P277" s="1502"/>
      <c r="Q277" s="1502"/>
      <c r="R277" s="1502"/>
      <c r="S277" s="1988">
        <f>ROUND((S$15+SUM(S266:S276))*$E277*$F277/12,-2)</f>
        <v>99100</v>
      </c>
      <c r="T277" s="1502">
        <f t="shared" ref="T277:U277" si="159">ROUND((T$15+SUM(T266:T276))*$E277,-2)</f>
        <v>100900</v>
      </c>
      <c r="U277" s="1502">
        <f t="shared" si="159"/>
        <v>103400</v>
      </c>
    </row>
    <row r="278" spans="3:21">
      <c r="C278" s="1476" t="e">
        <f>IF(D278="","",MAX(C$7:C277)+1)</f>
        <v>#N/A</v>
      </c>
      <c r="D278" s="1986">
        <v>45658</v>
      </c>
      <c r="E278" s="1545">
        <v>5.0000000000000001E-3</v>
      </c>
      <c r="F278" s="1546">
        <f>INDEX(Dashboard!$F$12:$S$12,1,MATCH($D278,Dashboard!$F$11:$S$11,0))</f>
        <v>12</v>
      </c>
      <c r="G278" s="1502"/>
      <c r="H278" s="1490"/>
      <c r="I278" s="1502"/>
      <c r="J278" s="1502"/>
      <c r="K278" s="1502"/>
      <c r="L278" s="1502"/>
      <c r="M278" s="1502"/>
      <c r="N278" s="1502"/>
      <c r="O278" s="1502"/>
      <c r="P278" s="1502"/>
      <c r="Q278" s="1502"/>
      <c r="R278" s="1502"/>
      <c r="S278" s="1502"/>
      <c r="T278" s="1988">
        <f>ROUND((T$15+SUM(T266:T277))*$E278*$F278/12,-2)</f>
        <v>52900</v>
      </c>
      <c r="U278" s="1502">
        <f>ROUND((U$15+SUM(U266:U277))*$E278,-2)</f>
        <v>54200</v>
      </c>
    </row>
    <row r="279" spans="3:21" ht="16.5" thickBot="1">
      <c r="C279" s="1476" t="e">
        <f>IF(D279="","",MAX(C$7:C278)+1)</f>
        <v>#N/A</v>
      </c>
      <c r="D279" s="1986">
        <v>46023</v>
      </c>
      <c r="E279" s="1549">
        <v>5.0000000000000001E-3</v>
      </c>
      <c r="F279" s="1550">
        <f>INDEX(Dashboard!$F$12:$S$12,1,MATCH($D279,Dashboard!$F$11:$S$11,0))</f>
        <v>12</v>
      </c>
      <c r="G279" s="1502"/>
      <c r="H279" s="1490"/>
      <c r="I279" s="1502"/>
      <c r="J279" s="1502"/>
      <c r="K279" s="1502"/>
      <c r="L279" s="1502"/>
      <c r="M279" s="1502"/>
      <c r="N279" s="1502"/>
      <c r="O279" s="1502"/>
      <c r="P279" s="1502"/>
      <c r="Q279" s="1502"/>
      <c r="R279" s="1502"/>
      <c r="S279" s="1502"/>
      <c r="T279" s="1502"/>
      <c r="U279" s="1988">
        <f>ROUND((U$15+SUM(U266:U278))*$E279*$F279/12,-2)</f>
        <v>54400</v>
      </c>
    </row>
    <row r="280" spans="3:21" hidden="1">
      <c r="C280" s="1476" t="e">
        <f>IF(D280="","",MAX(C$7:C279)+1)</f>
        <v>#N/A</v>
      </c>
      <c r="D280" s="1986" t="e">
        <v>#N/A</v>
      </c>
      <c r="E280" s="1547">
        <v>0</v>
      </c>
      <c r="F280" s="1548" t="e">
        <f>INDEX(Dashboard!$F$12:$S$12,1,MATCH($D280,Dashboard!$F$11:$S$11,0))</f>
        <v>#N/A</v>
      </c>
      <c r="G280" s="1502"/>
      <c r="H280" s="1490"/>
      <c r="I280" s="1502"/>
      <c r="J280" s="1502"/>
      <c r="K280" s="1502"/>
      <c r="L280" s="1502"/>
      <c r="M280" s="1502"/>
      <c r="N280" s="1502"/>
      <c r="O280" s="1502"/>
      <c r="P280" s="1502"/>
      <c r="Q280" s="1502"/>
      <c r="R280" s="1502"/>
      <c r="S280" s="1502"/>
      <c r="T280" s="1502"/>
      <c r="U280" s="1502"/>
    </row>
    <row r="281" spans="3:21" hidden="1">
      <c r="C281" s="1476" t="e">
        <f>IF(D281="","",MAX(C$7:C280)+1)</f>
        <v>#N/A</v>
      </c>
      <c r="D281" s="1986" t="e">
        <v>#N/A</v>
      </c>
      <c r="E281" s="1547">
        <v>0</v>
      </c>
      <c r="F281" s="1548" t="e">
        <f>INDEX(Dashboard!$F$12:$S$12,1,MATCH($D281,Dashboard!$F$11:$S$11,0))</f>
        <v>#N/A</v>
      </c>
      <c r="G281" s="1502"/>
      <c r="H281" s="1490"/>
      <c r="I281" s="1502"/>
      <c r="J281" s="1502"/>
      <c r="K281" s="1502"/>
      <c r="L281" s="1502"/>
      <c r="M281" s="1502"/>
      <c r="N281" s="1502"/>
      <c r="O281" s="1502"/>
      <c r="P281" s="1502"/>
      <c r="Q281" s="1502"/>
      <c r="R281" s="1502"/>
      <c r="S281" s="1502"/>
      <c r="T281" s="1502"/>
      <c r="U281" s="1502"/>
    </row>
    <row r="282" spans="3:21" hidden="1">
      <c r="C282" s="1476" t="e">
        <f>IF(D282="","",MAX(C$7:C281)+1)</f>
        <v>#N/A</v>
      </c>
      <c r="D282" s="1986" t="e">
        <v>#N/A</v>
      </c>
      <c r="E282" s="1547">
        <v>0</v>
      </c>
      <c r="F282" s="1548" t="e">
        <f>INDEX(Dashboard!$F$12:$S$12,1,MATCH($D282,Dashboard!$F$11:$S$11,0))</f>
        <v>#N/A</v>
      </c>
      <c r="G282" s="1502"/>
      <c r="H282" s="1490"/>
      <c r="I282" s="1502"/>
      <c r="J282" s="1502"/>
      <c r="K282" s="1502"/>
      <c r="L282" s="1502"/>
      <c r="M282" s="1502"/>
      <c r="N282" s="1502"/>
      <c r="O282" s="1502"/>
      <c r="P282" s="1502"/>
      <c r="Q282" s="1502"/>
      <c r="R282" s="1502"/>
      <c r="S282" s="1502"/>
      <c r="T282" s="1502"/>
      <c r="U282" s="1502"/>
    </row>
    <row r="283" spans="3:21" ht="16.5" hidden="1" thickBot="1">
      <c r="C283" s="1476" t="e">
        <f>IF(D283="","",MAX(C$7:C282)+1)</f>
        <v>#N/A</v>
      </c>
      <c r="D283" s="1986" t="e">
        <v>#N/A</v>
      </c>
      <c r="E283" s="1549">
        <v>0</v>
      </c>
      <c r="F283" s="1550" t="e">
        <f>INDEX(Dashboard!$F$12:$S$12,1,MATCH($D283,Dashboard!$F$11:$S$11,0))</f>
        <v>#N/A</v>
      </c>
      <c r="G283" s="1502"/>
      <c r="H283" s="1490"/>
      <c r="I283" s="1502"/>
      <c r="J283" s="1502"/>
      <c r="K283" s="1502"/>
      <c r="L283" s="1502"/>
      <c r="M283" s="1502"/>
      <c r="N283" s="1502"/>
      <c r="O283" s="1502"/>
      <c r="P283" s="1502"/>
      <c r="Q283" s="1502"/>
      <c r="R283" s="1502"/>
      <c r="S283" s="1502"/>
      <c r="T283" s="1502"/>
      <c r="U283" s="1502"/>
    </row>
    <row r="284" spans="3:21">
      <c r="C284" s="1476" t="str">
        <f>IF(D284="","",MAX(C$7:C283)+1)</f>
        <v/>
      </c>
      <c r="D284" s="1468"/>
      <c r="E284" s="1468"/>
      <c r="F284" s="1468"/>
      <c r="G284" s="1987"/>
      <c r="H284" s="1987"/>
      <c r="I284" s="1502"/>
      <c r="J284" s="1502"/>
      <c r="K284" s="1502"/>
      <c r="L284" s="1502"/>
      <c r="M284" s="1502"/>
      <c r="N284" s="1502"/>
      <c r="O284" s="1502"/>
      <c r="P284" s="1502"/>
      <c r="Q284" s="1502"/>
      <c r="R284" s="1502"/>
      <c r="S284" s="1502"/>
      <c r="T284" s="1502"/>
      <c r="U284" s="1502"/>
    </row>
    <row r="285" spans="3:21">
      <c r="C285" s="1476" t="e">
        <f>IF(D285="","",MAX(C$7:C284)+1)</f>
        <v>#N/A</v>
      </c>
      <c r="D285" s="1468" t="s">
        <v>1047</v>
      </c>
      <c r="E285" s="1468"/>
      <c r="F285" s="1468"/>
      <c r="G285" s="1504">
        <f t="shared" ref="G285:U285" si="160">SUM(G267:G284)</f>
        <v>0</v>
      </c>
      <c r="H285" s="1504">
        <f t="shared" si="160"/>
        <v>0</v>
      </c>
      <c r="I285" s="1504">
        <f t="shared" si="160"/>
        <v>0</v>
      </c>
      <c r="J285" s="1504">
        <f t="shared" si="160"/>
        <v>0</v>
      </c>
      <c r="K285" s="1504">
        <f t="shared" si="160"/>
        <v>0</v>
      </c>
      <c r="L285" s="1504">
        <f t="shared" si="160"/>
        <v>80300</v>
      </c>
      <c r="M285" s="1504">
        <f t="shared" si="160"/>
        <v>164400</v>
      </c>
      <c r="N285" s="1504">
        <f t="shared" si="160"/>
        <v>252600</v>
      </c>
      <c r="O285" s="1504">
        <f t="shared" si="160"/>
        <v>344400</v>
      </c>
      <c r="P285" s="1504">
        <f t="shared" si="160"/>
        <v>444900</v>
      </c>
      <c r="Q285" s="1504">
        <f t="shared" si="160"/>
        <v>546200</v>
      </c>
      <c r="R285" s="1504">
        <f t="shared" si="160"/>
        <v>651700</v>
      </c>
      <c r="S285" s="1504">
        <f t="shared" si="160"/>
        <v>766500</v>
      </c>
      <c r="T285" s="1504">
        <f t="shared" si="160"/>
        <v>833300</v>
      </c>
      <c r="U285" s="1504">
        <f t="shared" si="160"/>
        <v>908500</v>
      </c>
    </row>
    <row r="286" spans="3:21">
      <c r="C286" s="1476" t="e">
        <f>IF(D286="","",MAX(C$7:C285)+1)</f>
        <v>#N/A</v>
      </c>
      <c r="D286" s="1468" t="s">
        <v>2772</v>
      </c>
      <c r="E286" s="1"/>
      <c r="F286" s="1"/>
      <c r="G286" s="1"/>
      <c r="H286" s="1"/>
      <c r="J286" s="424">
        <f>J285-J268</f>
        <v>0</v>
      </c>
      <c r="K286" s="424">
        <f>K285-K269</f>
        <v>0</v>
      </c>
      <c r="L286" s="424">
        <f>L285-L270</f>
        <v>0</v>
      </c>
      <c r="M286" s="424">
        <f>M285-M271</f>
        <v>81800</v>
      </c>
      <c r="N286" s="424">
        <f>N285-N272</f>
        <v>167600</v>
      </c>
      <c r="O286" s="424">
        <f>O285-O273</f>
        <v>257100</v>
      </c>
      <c r="P286" s="424">
        <f>P285-P274</f>
        <v>354200</v>
      </c>
      <c r="Q286" s="424">
        <f>Q285-Q275</f>
        <v>453000</v>
      </c>
      <c r="R286" s="424">
        <f>R285-R276</f>
        <v>555900</v>
      </c>
      <c r="S286" s="424">
        <f>S285-S277</f>
        <v>667400</v>
      </c>
      <c r="T286" s="424">
        <f>T285-T278</f>
        <v>780400</v>
      </c>
      <c r="U286" s="424">
        <f>U285-U279</f>
        <v>854100</v>
      </c>
    </row>
    <row r="287" spans="3:21" ht="16.5" thickBot="1"/>
    <row r="288" spans="3:21" ht="16.5" thickBot="1">
      <c r="C288" s="1"/>
      <c r="D288" s="4528" t="str">
        <f>$D$16</f>
        <v>Industrial (14)</v>
      </c>
      <c r="E288" s="4529"/>
      <c r="F288" s="4530"/>
      <c r="G288" s="1"/>
      <c r="H288" s="1"/>
    </row>
    <row r="289" spans="3:21">
      <c r="C289" s="1476" t="e">
        <f>IF(D289="","",MAX(C$7:C287)+1)</f>
        <v>#N/A</v>
      </c>
      <c r="D289" s="1491" t="s">
        <v>1042</v>
      </c>
      <c r="E289" s="1468"/>
      <c r="F289" s="1983" t="s">
        <v>1043</v>
      </c>
      <c r="G289" s="1490"/>
      <c r="H289" s="1490"/>
      <c r="I289" s="1490"/>
      <c r="J289" s="1490"/>
      <c r="K289" s="1490"/>
      <c r="L289" s="1490"/>
      <c r="M289" s="1490"/>
      <c r="N289" s="1490"/>
      <c r="O289" s="1490"/>
      <c r="P289" s="1490"/>
      <c r="Q289" s="1490"/>
      <c r="R289" s="1490"/>
      <c r="S289" s="1490"/>
      <c r="T289" s="1490"/>
      <c r="U289" s="1490"/>
    </row>
    <row r="290" spans="3:21">
      <c r="C290" s="1476" t="e">
        <f>IF(D290="","",MAX(C$7:C289)+1)</f>
        <v>#N/A</v>
      </c>
      <c r="D290" s="1984" t="s">
        <v>1044</v>
      </c>
      <c r="E290" s="1985" t="s">
        <v>1045</v>
      </c>
      <c r="F290" s="1985" t="s">
        <v>1046</v>
      </c>
      <c r="G290" s="1490"/>
      <c r="H290" s="1490"/>
      <c r="I290" s="1490"/>
      <c r="J290" s="1490"/>
      <c r="K290" s="1490"/>
      <c r="L290" s="1490"/>
      <c r="M290" s="1490"/>
      <c r="N290" s="1490"/>
      <c r="O290" s="1490"/>
      <c r="P290" s="1490"/>
      <c r="Q290" s="1490"/>
      <c r="R290" s="1490"/>
      <c r="S290" s="1490"/>
      <c r="T290" s="1490"/>
      <c r="U290" s="1490"/>
    </row>
    <row r="291" spans="3:21" ht="16.5" thickBot="1">
      <c r="C291" s="1476" t="str">
        <f>IF(D291="","",MAX(C$7:C290)+1)</f>
        <v/>
      </c>
      <c r="D291" s="1489"/>
      <c r="E291" s="1489"/>
      <c r="F291" s="1489"/>
      <c r="G291" s="1490"/>
      <c r="H291" s="1490"/>
      <c r="I291" s="1490"/>
      <c r="J291" s="1490"/>
      <c r="K291" s="1490"/>
      <c r="L291" s="1490"/>
      <c r="M291" s="1490"/>
      <c r="N291" s="1490"/>
      <c r="O291" s="1490"/>
      <c r="P291" s="1490"/>
      <c r="Q291" s="1490"/>
      <c r="R291" s="1490"/>
      <c r="S291" s="1490"/>
      <c r="T291" s="1490"/>
      <c r="U291" s="1490"/>
    </row>
    <row r="292" spans="3:21">
      <c r="C292" s="1476" t="e">
        <f>IF(D292="","",MAX(C$7:C291)+1)</f>
        <v>#N/A</v>
      </c>
      <c r="D292" s="1986">
        <f t="array" ref="D292:D308">TRANSPOSE(Dashboard!$G$11:$S$11)</f>
        <v>41640</v>
      </c>
      <c r="E292" s="1989">
        <f>INDEX(Dashboard!$F$10:$S$10,1,MATCH($D292,Dashboard!$F$11:$S$11,0))</f>
        <v>0</v>
      </c>
      <c r="F292" s="1546">
        <f>INDEX(Dashboard!$F$12:$S$12,1,MATCH($D292,Dashboard!$F$11:$S$11,0))</f>
        <v>12</v>
      </c>
      <c r="G292" s="1502"/>
      <c r="H292" s="1490"/>
      <c r="I292" s="1988">
        <f>ROUND((I$16+SUM(I291:I291))*$E292*$F292/12,-2)</f>
        <v>0</v>
      </c>
      <c r="J292" s="1502">
        <f t="shared" ref="J292:U292" si="161">ROUND((J$16+SUM(J291:J291))*$E292,-2)</f>
        <v>0</v>
      </c>
      <c r="K292" s="1502">
        <f t="shared" si="161"/>
        <v>0</v>
      </c>
      <c r="L292" s="1502">
        <f t="shared" si="161"/>
        <v>0</v>
      </c>
      <c r="M292" s="1502">
        <f t="shared" si="161"/>
        <v>0</v>
      </c>
      <c r="N292" s="1502">
        <f t="shared" si="161"/>
        <v>0</v>
      </c>
      <c r="O292" s="1502">
        <f t="shared" si="161"/>
        <v>0</v>
      </c>
      <c r="P292" s="1502">
        <f t="shared" si="161"/>
        <v>0</v>
      </c>
      <c r="Q292" s="1502">
        <f t="shared" si="161"/>
        <v>0</v>
      </c>
      <c r="R292" s="1502">
        <f t="shared" si="161"/>
        <v>0</v>
      </c>
      <c r="S292" s="1502">
        <f t="shared" si="161"/>
        <v>0</v>
      </c>
      <c r="T292" s="1502">
        <f t="shared" si="161"/>
        <v>0</v>
      </c>
      <c r="U292" s="1502">
        <f t="shared" si="161"/>
        <v>0</v>
      </c>
    </row>
    <row r="293" spans="3:21">
      <c r="C293" s="1476" t="e">
        <f>IF(D293="","",MAX(C$7:C292)+1)</f>
        <v>#N/A</v>
      </c>
      <c r="D293" s="1986">
        <v>42005</v>
      </c>
      <c r="E293" s="1547">
        <f t="array" ref="E293:E308">TRANSPOSE('COS_Summ (cumulative)'!$I$17:$X$17)</f>
        <v>0</v>
      </c>
      <c r="F293" s="1548">
        <f>INDEX(Dashboard!$F$12:$S$12,1,MATCH($D293,Dashboard!$F$11:$S$11,0))</f>
        <v>12</v>
      </c>
      <c r="G293" s="1502"/>
      <c r="H293" s="1490"/>
      <c r="I293" s="1502"/>
      <c r="J293" s="1988">
        <f>ROUND((J$16+SUM(J292:J292))*$E293*$F293/12,-2)</f>
        <v>0</v>
      </c>
      <c r="K293" s="1502">
        <f t="shared" ref="K293:U293" si="162">ROUND((K$16+SUM(K291:K292))*$E293,-2)</f>
        <v>0</v>
      </c>
      <c r="L293" s="1502">
        <f t="shared" si="162"/>
        <v>0</v>
      </c>
      <c r="M293" s="1502">
        <f t="shared" si="162"/>
        <v>0</v>
      </c>
      <c r="N293" s="1502">
        <f t="shared" si="162"/>
        <v>0</v>
      </c>
      <c r="O293" s="1502">
        <f t="shared" si="162"/>
        <v>0</v>
      </c>
      <c r="P293" s="1502">
        <f t="shared" si="162"/>
        <v>0</v>
      </c>
      <c r="Q293" s="1502">
        <f t="shared" si="162"/>
        <v>0</v>
      </c>
      <c r="R293" s="1502">
        <f t="shared" si="162"/>
        <v>0</v>
      </c>
      <c r="S293" s="1502">
        <f t="shared" si="162"/>
        <v>0</v>
      </c>
      <c r="T293" s="1502">
        <f t="shared" si="162"/>
        <v>0</v>
      </c>
      <c r="U293" s="1502">
        <f t="shared" si="162"/>
        <v>0</v>
      </c>
    </row>
    <row r="294" spans="3:21">
      <c r="C294" s="1476" t="e">
        <f>IF(D294="","",MAX(C$7:C293)+1)</f>
        <v>#N/A</v>
      </c>
      <c r="D294" s="1986">
        <v>42370</v>
      </c>
      <c r="E294" s="1547">
        <v>0</v>
      </c>
      <c r="F294" s="1548">
        <f>INDEX(Dashboard!$F$12:$S$12,1,MATCH($D294,Dashboard!$F$11:$S$11,0))</f>
        <v>12</v>
      </c>
      <c r="G294" s="1502"/>
      <c r="H294" s="1490"/>
      <c r="I294" s="1502"/>
      <c r="J294" s="1502"/>
      <c r="K294" s="1988">
        <f>ROUND((K$16+SUM(K292:K293))*$E294*$F294/12,-2)</f>
        <v>0</v>
      </c>
      <c r="L294" s="1502">
        <f t="shared" ref="L294:U294" si="163">ROUND((L$16+SUM(L291:L293))*$E294,-2)</f>
        <v>0</v>
      </c>
      <c r="M294" s="1502">
        <f t="shared" si="163"/>
        <v>0</v>
      </c>
      <c r="N294" s="1502">
        <f t="shared" si="163"/>
        <v>0</v>
      </c>
      <c r="O294" s="1502">
        <f t="shared" si="163"/>
        <v>0</v>
      </c>
      <c r="P294" s="1502">
        <f t="shared" si="163"/>
        <v>0</v>
      </c>
      <c r="Q294" s="1502">
        <f t="shared" si="163"/>
        <v>0</v>
      </c>
      <c r="R294" s="1502">
        <f t="shared" si="163"/>
        <v>0</v>
      </c>
      <c r="S294" s="1502">
        <f t="shared" si="163"/>
        <v>0</v>
      </c>
      <c r="T294" s="1502">
        <f t="shared" si="163"/>
        <v>0</v>
      </c>
      <c r="U294" s="1502">
        <f t="shared" si="163"/>
        <v>0</v>
      </c>
    </row>
    <row r="295" spans="3:21">
      <c r="C295" s="1476" t="e">
        <f>IF(D295="","",MAX(C$7:C294)+1)</f>
        <v>#N/A</v>
      </c>
      <c r="D295" s="1986">
        <v>42736</v>
      </c>
      <c r="E295" s="1547">
        <v>0.05</v>
      </c>
      <c r="F295" s="1548">
        <f>INDEX(Dashboard!$F$12:$S$12,1,MATCH($D295,Dashboard!$F$11:$S$11,0))</f>
        <v>12</v>
      </c>
      <c r="G295" s="1502"/>
      <c r="H295" s="1490"/>
      <c r="I295" s="1502"/>
      <c r="J295" s="1502"/>
      <c r="K295" s="1502"/>
      <c r="L295" s="1988">
        <f>ROUND((L$16+SUM(L291:L294))*$E295*$F295/12,-2)</f>
        <v>695000</v>
      </c>
      <c r="M295" s="1502">
        <f t="shared" ref="M295:U295" si="164">ROUND((M$16+SUM(M291:M294))*$E295,-2)</f>
        <v>789600</v>
      </c>
      <c r="N295" s="1502">
        <f t="shared" si="164"/>
        <v>907200</v>
      </c>
      <c r="O295" s="1502">
        <f t="shared" si="164"/>
        <v>1052200</v>
      </c>
      <c r="P295" s="1502">
        <f t="shared" si="164"/>
        <v>1134900</v>
      </c>
      <c r="Q295" s="1502">
        <f t="shared" si="164"/>
        <v>1216700</v>
      </c>
      <c r="R295" s="1502">
        <f t="shared" si="164"/>
        <v>1262700</v>
      </c>
      <c r="S295" s="1502">
        <f t="shared" si="164"/>
        <v>1313900</v>
      </c>
      <c r="T295" s="1502">
        <f t="shared" si="164"/>
        <v>1363500</v>
      </c>
      <c r="U295" s="1502">
        <f t="shared" si="164"/>
        <v>1403500</v>
      </c>
    </row>
    <row r="296" spans="3:21">
      <c r="C296" s="1476" t="e">
        <f>IF(D296="","",MAX(C$7:C295)+1)</f>
        <v>#N/A</v>
      </c>
      <c r="D296" s="1986">
        <v>43101</v>
      </c>
      <c r="E296" s="1547">
        <v>0.05</v>
      </c>
      <c r="F296" s="1548">
        <f>INDEX(Dashboard!$F$12:$S$12,1,MATCH($D296,Dashboard!$F$11:$S$11,0))</f>
        <v>12</v>
      </c>
      <c r="G296" s="1502"/>
      <c r="H296" s="1490"/>
      <c r="I296" s="1502"/>
      <c r="J296" s="1502"/>
      <c r="K296" s="1502"/>
      <c r="L296" s="1502"/>
      <c r="M296" s="1988">
        <f>ROUND((M$16+SUM(M291:M295))*$E296*$F296/12,-2)</f>
        <v>829100</v>
      </c>
      <c r="N296" s="1502">
        <f t="shared" ref="N296:U296" si="165">ROUND((N$16+SUM(N291:N295))*$E296,-2)</f>
        <v>952600</v>
      </c>
      <c r="O296" s="1502">
        <f t="shared" si="165"/>
        <v>1104800</v>
      </c>
      <c r="P296" s="1502">
        <f t="shared" si="165"/>
        <v>1191700</v>
      </c>
      <c r="Q296" s="1502">
        <f t="shared" si="165"/>
        <v>1277500</v>
      </c>
      <c r="R296" s="1502">
        <f t="shared" si="165"/>
        <v>1325800</v>
      </c>
      <c r="S296" s="1502">
        <f t="shared" si="165"/>
        <v>1379600</v>
      </c>
      <c r="T296" s="1502">
        <f t="shared" si="165"/>
        <v>1431700</v>
      </c>
      <c r="U296" s="1502">
        <f t="shared" si="165"/>
        <v>1473700</v>
      </c>
    </row>
    <row r="297" spans="3:21">
      <c r="C297" s="1476" t="e">
        <f>IF(D297="","",MAX(C$7:C296)+1)</f>
        <v>#N/A</v>
      </c>
      <c r="D297" s="1986">
        <v>43466</v>
      </c>
      <c r="E297" s="1547">
        <v>0.05</v>
      </c>
      <c r="F297" s="1548">
        <f>INDEX(Dashboard!$F$12:$S$12,1,MATCH($D297,Dashboard!$F$11:$S$11,0))</f>
        <v>12</v>
      </c>
      <c r="G297" s="1502"/>
      <c r="H297" s="1490"/>
      <c r="I297" s="1502"/>
      <c r="J297" s="1502"/>
      <c r="K297" s="1502"/>
      <c r="L297" s="1502"/>
      <c r="M297" s="1502"/>
      <c r="N297" s="1988">
        <f>ROUND((N$16+SUM(N291:N296))*$E297*$F297/12,-2)</f>
        <v>1000200</v>
      </c>
      <c r="O297" s="1502">
        <f t="shared" ref="O297:U297" si="166">ROUND((O$16+SUM(O291:O296))*$E297,-2)</f>
        <v>1160100</v>
      </c>
      <c r="P297" s="1502">
        <f t="shared" si="166"/>
        <v>1251200</v>
      </c>
      <c r="Q297" s="1502">
        <f t="shared" si="166"/>
        <v>1341400</v>
      </c>
      <c r="R297" s="1502">
        <f t="shared" si="166"/>
        <v>1392100</v>
      </c>
      <c r="S297" s="1502">
        <f t="shared" si="166"/>
        <v>1448500</v>
      </c>
      <c r="T297" s="1502">
        <f t="shared" si="166"/>
        <v>1503300</v>
      </c>
      <c r="U297" s="1502">
        <f t="shared" si="166"/>
        <v>1547400</v>
      </c>
    </row>
    <row r="298" spans="3:21">
      <c r="C298" s="1476" t="e">
        <f>IF(D298="","",MAX(C$7:C297)+1)</f>
        <v>#N/A</v>
      </c>
      <c r="D298" s="1986">
        <v>43831</v>
      </c>
      <c r="E298" s="1547">
        <v>0.05</v>
      </c>
      <c r="F298" s="1548">
        <f>INDEX(Dashboard!$F$12:$S$12,1,MATCH($D298,Dashboard!$F$11:$S$11,0))</f>
        <v>12</v>
      </c>
      <c r="G298" s="1502"/>
      <c r="H298" s="1490"/>
      <c r="I298" s="1502"/>
      <c r="J298" s="1502"/>
      <c r="K298" s="1502"/>
      <c r="L298" s="1502"/>
      <c r="M298" s="1502"/>
      <c r="N298" s="1502"/>
      <c r="O298" s="1988">
        <f>ROUND((O$16+SUM(O291:O297))*$E298*$F298/12,-2)</f>
        <v>1218100</v>
      </c>
      <c r="P298" s="1502">
        <f t="shared" ref="P298:U298" si="167">ROUND((P$16+SUM(P291:P297))*$E298,-2)</f>
        <v>1313800</v>
      </c>
      <c r="Q298" s="1502">
        <f t="shared" si="167"/>
        <v>1408500</v>
      </c>
      <c r="R298" s="1502">
        <f t="shared" si="167"/>
        <v>1461700</v>
      </c>
      <c r="S298" s="1502">
        <f t="shared" si="167"/>
        <v>1521000</v>
      </c>
      <c r="T298" s="1502">
        <f t="shared" si="167"/>
        <v>1578500</v>
      </c>
      <c r="U298" s="1502">
        <f t="shared" si="167"/>
        <v>1624700</v>
      </c>
    </row>
    <row r="299" spans="3:21">
      <c r="C299" s="1476" t="e">
        <f>IF(D299="","",MAX(C$7:C298)+1)</f>
        <v>#N/A</v>
      </c>
      <c r="D299" s="1986">
        <v>44197</v>
      </c>
      <c r="E299" s="1547">
        <v>0.05</v>
      </c>
      <c r="F299" s="1548">
        <f>INDEX(Dashboard!$F$12:$S$12,1,MATCH($D299,Dashboard!$F$11:$S$11,0))</f>
        <v>12</v>
      </c>
      <c r="G299" s="1502"/>
      <c r="H299" s="1490"/>
      <c r="I299" s="1502"/>
      <c r="J299" s="1502"/>
      <c r="K299" s="1502"/>
      <c r="L299" s="1502"/>
      <c r="M299" s="1502"/>
      <c r="N299" s="1502"/>
      <c r="O299" s="1502"/>
      <c r="P299" s="1988">
        <f>ROUND((P$16+SUM(P291:P298))*$E299*$F299/12,-2)</f>
        <v>1379500</v>
      </c>
      <c r="Q299" s="1502">
        <f t="shared" ref="Q299:U299" si="168">ROUND((Q$16+SUM(Q291:Q298))*$E299,-2)</f>
        <v>1478900</v>
      </c>
      <c r="R299" s="1502">
        <f t="shared" si="168"/>
        <v>1534800</v>
      </c>
      <c r="S299" s="1502">
        <f t="shared" si="168"/>
        <v>1597000</v>
      </c>
      <c r="T299" s="1502">
        <f t="shared" si="168"/>
        <v>1657400</v>
      </c>
      <c r="U299" s="1502">
        <f t="shared" si="168"/>
        <v>1706000</v>
      </c>
    </row>
    <row r="300" spans="3:21">
      <c r="C300" s="1476" t="e">
        <f>IF(D300="","",MAX(C$7:C299)+1)</f>
        <v>#N/A</v>
      </c>
      <c r="D300" s="1986">
        <v>44562</v>
      </c>
      <c r="E300" s="1547">
        <v>0.05</v>
      </c>
      <c r="F300" s="1548">
        <f>INDEX(Dashboard!$F$12:$S$12,1,MATCH($D300,Dashboard!$F$11:$S$11,0))</f>
        <v>12</v>
      </c>
      <c r="G300" s="1502"/>
      <c r="H300" s="1490"/>
      <c r="I300" s="1502"/>
      <c r="J300" s="1502"/>
      <c r="K300" s="1502"/>
      <c r="L300" s="1502"/>
      <c r="M300" s="1502"/>
      <c r="N300" s="1502"/>
      <c r="O300" s="1502"/>
      <c r="P300" s="1502"/>
      <c r="Q300" s="1988">
        <f>ROUND((Q$16+SUM(Q291:Q299))*$E300*$F300/12,-2)</f>
        <v>1552800</v>
      </c>
      <c r="R300" s="1502">
        <f t="shared" ref="R300:U300" si="169">ROUND((R$16+SUM(R291:R299))*$E300,-2)</f>
        <v>1611600</v>
      </c>
      <c r="S300" s="1502">
        <f t="shared" si="169"/>
        <v>1676900</v>
      </c>
      <c r="T300" s="1502">
        <f t="shared" si="169"/>
        <v>1740300</v>
      </c>
      <c r="U300" s="1502">
        <f t="shared" si="169"/>
        <v>1791300</v>
      </c>
    </row>
    <row r="301" spans="3:21">
      <c r="C301" s="1476" t="e">
        <f>IF(D301="","",MAX(C$7:C300)+1)</f>
        <v>#N/A</v>
      </c>
      <c r="D301" s="1986">
        <v>44927</v>
      </c>
      <c r="E301" s="1547">
        <v>0.05</v>
      </c>
      <c r="F301" s="1548">
        <f>INDEX(Dashboard!$F$12:$S$12,1,MATCH($D301,Dashboard!$F$11:$S$11,0))</f>
        <v>12</v>
      </c>
      <c r="G301" s="1502"/>
      <c r="H301" s="1490"/>
      <c r="I301" s="1502"/>
      <c r="J301" s="1502"/>
      <c r="K301" s="1502"/>
      <c r="L301" s="1502"/>
      <c r="M301" s="1502"/>
      <c r="N301" s="1502"/>
      <c r="O301" s="1502"/>
      <c r="P301" s="1502"/>
      <c r="Q301" s="1502"/>
      <c r="R301" s="1988">
        <f>ROUND((R$16+SUM(R291:R300))*$E301*$F301/12,-2)</f>
        <v>1692100</v>
      </c>
      <c r="S301" s="1502">
        <f t="shared" ref="S301:U301" si="170">ROUND((S$16+SUM(S291:S300))*$E301,-2)</f>
        <v>1760700</v>
      </c>
      <c r="T301" s="1502">
        <f t="shared" si="170"/>
        <v>1827300</v>
      </c>
      <c r="U301" s="1502">
        <f t="shared" si="170"/>
        <v>1880800</v>
      </c>
    </row>
    <row r="302" spans="3:21" ht="16.5" thickBot="1">
      <c r="C302" s="1476" t="e">
        <f>IF(D302="","",MAX(C$7:C301)+1)</f>
        <v>#N/A</v>
      </c>
      <c r="D302" s="1986">
        <v>45292</v>
      </c>
      <c r="E302" s="1549">
        <v>0.05</v>
      </c>
      <c r="F302" s="1550">
        <f>INDEX(Dashboard!$F$12:$S$12,1,MATCH($D302,Dashboard!$F$11:$S$11,0))</f>
        <v>12</v>
      </c>
      <c r="G302" s="1502"/>
      <c r="H302" s="1490"/>
      <c r="I302" s="1502"/>
      <c r="J302" s="1502"/>
      <c r="K302" s="1502"/>
      <c r="L302" s="1502"/>
      <c r="M302" s="1502"/>
      <c r="N302" s="1502"/>
      <c r="O302" s="1502"/>
      <c r="P302" s="1502"/>
      <c r="Q302" s="1502"/>
      <c r="R302" s="1502"/>
      <c r="S302" s="1988">
        <f>ROUND((S$16+SUM(S291:S301))*$E302*$F302/12,-2)</f>
        <v>1848700</v>
      </c>
      <c r="T302" s="1502">
        <f t="shared" ref="T302:U302" si="171">ROUND((T$16+SUM(T291:T301))*$E302,-2)</f>
        <v>1918600</v>
      </c>
      <c r="U302" s="1502">
        <f t="shared" si="171"/>
        <v>1974900</v>
      </c>
    </row>
    <row r="303" spans="3:21">
      <c r="C303" s="1476" t="e">
        <f>IF(D303="","",MAX(C$7:C302)+1)</f>
        <v>#N/A</v>
      </c>
      <c r="D303" s="1986">
        <v>45658</v>
      </c>
      <c r="E303" s="1545">
        <v>2.8337231155420601E-2</v>
      </c>
      <c r="F303" s="1546">
        <f>INDEX(Dashboard!$F$12:$S$12,1,MATCH($D303,Dashboard!$F$11:$S$11,0))</f>
        <v>12</v>
      </c>
      <c r="G303" s="1502"/>
      <c r="H303" s="1490"/>
      <c r="I303" s="1502"/>
      <c r="J303" s="1502"/>
      <c r="K303" s="1502"/>
      <c r="L303" s="1502"/>
      <c r="M303" s="1502"/>
      <c r="N303" s="1502"/>
      <c r="O303" s="1502"/>
      <c r="P303" s="1502"/>
      <c r="Q303" s="1502"/>
      <c r="R303" s="1502"/>
      <c r="S303" s="1502"/>
      <c r="T303" s="1988">
        <f>ROUND((T$16+SUM(T291:T302))*$E303*$F303/12,-2)</f>
        <v>1141700</v>
      </c>
      <c r="U303" s="1502">
        <f>ROUND((U$16+SUM(U291:U302))*$E303,-2)</f>
        <v>1175200</v>
      </c>
    </row>
    <row r="304" spans="3:21" ht="16.5" thickBot="1">
      <c r="C304" s="1476" t="e">
        <f>IF(D304="","",MAX(C$7:C303)+1)</f>
        <v>#N/A</v>
      </c>
      <c r="D304" s="1986">
        <v>46023</v>
      </c>
      <c r="E304" s="1549">
        <v>1.9E-2</v>
      </c>
      <c r="F304" s="1550">
        <f>INDEX(Dashboard!$F$12:$S$12,1,MATCH($D304,Dashboard!$F$11:$S$11,0))</f>
        <v>12</v>
      </c>
      <c r="G304" s="1502"/>
      <c r="H304" s="1490"/>
      <c r="I304" s="1502"/>
      <c r="J304" s="1502"/>
      <c r="K304" s="1502"/>
      <c r="L304" s="1502"/>
      <c r="M304" s="1502"/>
      <c r="N304" s="1502"/>
      <c r="O304" s="1502"/>
      <c r="P304" s="1502"/>
      <c r="Q304" s="1502"/>
      <c r="R304" s="1502"/>
      <c r="S304" s="1502"/>
      <c r="T304" s="1502"/>
      <c r="U304" s="1988">
        <f>ROUND((U$16+SUM(U291:U303))*$E304*$F304/12,-2)</f>
        <v>810300</v>
      </c>
    </row>
    <row r="305" spans="3:21" hidden="1">
      <c r="C305" s="1476" t="e">
        <f>IF(D305="","",MAX(C$7:C304)+1)</f>
        <v>#N/A</v>
      </c>
      <c r="D305" s="1986" t="e">
        <v>#N/A</v>
      </c>
      <c r="E305" s="1547">
        <v>0</v>
      </c>
      <c r="F305" s="1548" t="e">
        <f>INDEX(Dashboard!$F$12:$S$12,1,MATCH($D305,Dashboard!$F$11:$S$11,0))</f>
        <v>#N/A</v>
      </c>
      <c r="G305" s="1502"/>
      <c r="H305" s="1490"/>
      <c r="I305" s="1502"/>
      <c r="J305" s="1502"/>
      <c r="K305" s="1502"/>
      <c r="L305" s="1502"/>
      <c r="M305" s="1502"/>
      <c r="N305" s="1502"/>
      <c r="O305" s="1502"/>
      <c r="P305" s="1502"/>
      <c r="Q305" s="1502"/>
      <c r="R305" s="1502"/>
      <c r="S305" s="1502"/>
      <c r="T305" s="1502"/>
      <c r="U305" s="1502"/>
    </row>
    <row r="306" spans="3:21" hidden="1">
      <c r="C306" s="1476" t="e">
        <f>IF(D306="","",MAX(C$7:C305)+1)</f>
        <v>#N/A</v>
      </c>
      <c r="D306" s="1986" t="e">
        <v>#N/A</v>
      </c>
      <c r="E306" s="1547">
        <v>0</v>
      </c>
      <c r="F306" s="1548" t="e">
        <f>INDEX(Dashboard!$F$12:$S$12,1,MATCH($D306,Dashboard!$F$11:$S$11,0))</f>
        <v>#N/A</v>
      </c>
      <c r="G306" s="1502"/>
      <c r="H306" s="1490"/>
      <c r="I306" s="1502"/>
      <c r="J306" s="1502"/>
      <c r="K306" s="1502"/>
      <c r="L306" s="1502"/>
      <c r="M306" s="1502"/>
      <c r="N306" s="1502"/>
      <c r="O306" s="1502"/>
      <c r="P306" s="1502"/>
      <c r="Q306" s="1502"/>
      <c r="R306" s="1502"/>
      <c r="S306" s="1502"/>
      <c r="T306" s="1502"/>
      <c r="U306" s="1502"/>
    </row>
    <row r="307" spans="3:21" hidden="1">
      <c r="C307" s="1476" t="e">
        <f>IF(D307="","",MAX(C$7:C306)+1)</f>
        <v>#N/A</v>
      </c>
      <c r="D307" s="1986" t="e">
        <v>#N/A</v>
      </c>
      <c r="E307" s="1547">
        <v>0</v>
      </c>
      <c r="F307" s="1548" t="e">
        <f>INDEX(Dashboard!$F$12:$S$12,1,MATCH($D307,Dashboard!$F$11:$S$11,0))</f>
        <v>#N/A</v>
      </c>
      <c r="G307" s="1502"/>
      <c r="H307" s="1490"/>
      <c r="I307" s="1502"/>
      <c r="J307" s="1502"/>
      <c r="K307" s="1502"/>
      <c r="L307" s="1502"/>
      <c r="M307" s="1502"/>
      <c r="N307" s="1502"/>
      <c r="O307" s="1502"/>
      <c r="P307" s="1502"/>
      <c r="Q307" s="1502"/>
      <c r="R307" s="1502"/>
      <c r="S307" s="1502"/>
      <c r="T307" s="1502"/>
      <c r="U307" s="1502"/>
    </row>
    <row r="308" spans="3:21" ht="16.5" hidden="1" thickBot="1">
      <c r="C308" s="1476" t="e">
        <f>IF(D308="","",MAX(C$7:C307)+1)</f>
        <v>#N/A</v>
      </c>
      <c r="D308" s="1986" t="e">
        <v>#N/A</v>
      </c>
      <c r="E308" s="1549">
        <v>0</v>
      </c>
      <c r="F308" s="1550" t="e">
        <f>INDEX(Dashboard!$F$12:$S$12,1,MATCH($D308,Dashboard!$F$11:$S$11,0))</f>
        <v>#N/A</v>
      </c>
      <c r="G308" s="1502"/>
      <c r="H308" s="1490"/>
      <c r="I308" s="1502"/>
      <c r="J308" s="1502"/>
      <c r="K308" s="1502"/>
      <c r="L308" s="1502"/>
      <c r="M308" s="1502"/>
      <c r="N308" s="1502"/>
      <c r="O308" s="1502"/>
      <c r="P308" s="1502"/>
      <c r="Q308" s="1502"/>
      <c r="R308" s="1502"/>
      <c r="S308" s="1502"/>
      <c r="T308" s="1502"/>
      <c r="U308" s="1502"/>
    </row>
    <row r="309" spans="3:21">
      <c r="C309" s="1476" t="str">
        <f>IF(D309="","",MAX(C$7:C308)+1)</f>
        <v/>
      </c>
      <c r="D309" s="1468"/>
      <c r="E309" s="1468"/>
      <c r="F309" s="1468"/>
      <c r="G309" s="1987"/>
      <c r="H309" s="1987"/>
      <c r="I309" s="1502"/>
      <c r="J309" s="1502"/>
      <c r="K309" s="1502"/>
      <c r="L309" s="1502"/>
      <c r="M309" s="1502"/>
      <c r="N309" s="1502"/>
      <c r="O309" s="1502"/>
      <c r="P309" s="1502"/>
      <c r="Q309" s="1502"/>
      <c r="R309" s="1502"/>
      <c r="S309" s="1502"/>
      <c r="T309" s="1502"/>
      <c r="U309" s="1502"/>
    </row>
    <row r="310" spans="3:21">
      <c r="C310" s="1476" t="e">
        <f>IF(D310="","",MAX(C$7:C309)+1)</f>
        <v>#N/A</v>
      </c>
      <c r="D310" s="1468" t="s">
        <v>1047</v>
      </c>
      <c r="E310" s="1468"/>
      <c r="F310" s="1468"/>
      <c r="G310" s="1504">
        <f t="shared" ref="G310:U310" si="172">SUM(G292:G309)</f>
        <v>0</v>
      </c>
      <c r="H310" s="1504">
        <f t="shared" si="172"/>
        <v>0</v>
      </c>
      <c r="I310" s="1504">
        <f t="shared" si="172"/>
        <v>0</v>
      </c>
      <c r="J310" s="1504">
        <f t="shared" si="172"/>
        <v>0</v>
      </c>
      <c r="K310" s="1504">
        <f t="shared" si="172"/>
        <v>0</v>
      </c>
      <c r="L310" s="1504">
        <f t="shared" si="172"/>
        <v>695000</v>
      </c>
      <c r="M310" s="1504">
        <f t="shared" si="172"/>
        <v>1618700</v>
      </c>
      <c r="N310" s="1504">
        <f t="shared" si="172"/>
        <v>2860000</v>
      </c>
      <c r="O310" s="1504">
        <f t="shared" si="172"/>
        <v>4535200</v>
      </c>
      <c r="P310" s="1504">
        <f t="shared" si="172"/>
        <v>6271100</v>
      </c>
      <c r="Q310" s="1504">
        <f t="shared" si="172"/>
        <v>8275800</v>
      </c>
      <c r="R310" s="1504">
        <f t="shared" si="172"/>
        <v>10280800</v>
      </c>
      <c r="S310" s="1504">
        <f t="shared" si="172"/>
        <v>12546300</v>
      </c>
      <c r="T310" s="1504">
        <f t="shared" si="172"/>
        <v>14162300</v>
      </c>
      <c r="U310" s="1504">
        <f t="shared" si="172"/>
        <v>15387800</v>
      </c>
    </row>
    <row r="311" spans="3:21">
      <c r="C311" s="1476" t="e">
        <f>IF(D311="","",MAX(C$7:C310)+1)</f>
        <v>#N/A</v>
      </c>
      <c r="D311" s="1468" t="s">
        <v>2772</v>
      </c>
      <c r="E311" s="1"/>
      <c r="F311" s="1"/>
      <c r="G311" s="1"/>
      <c r="H311" s="1"/>
      <c r="J311" s="424">
        <f>J310-J293</f>
        <v>0</v>
      </c>
      <c r="K311" s="424">
        <f>K310-K294</f>
        <v>0</v>
      </c>
      <c r="L311" s="424">
        <f>L310-L295</f>
        <v>0</v>
      </c>
      <c r="M311" s="424">
        <f>M310-M296</f>
        <v>789600</v>
      </c>
      <c r="N311" s="424">
        <f>N310-N297</f>
        <v>1859800</v>
      </c>
      <c r="O311" s="424">
        <f>O310-O298</f>
        <v>3317100</v>
      </c>
      <c r="P311" s="424">
        <f>P310-P299</f>
        <v>4891600</v>
      </c>
      <c r="Q311" s="424">
        <f>Q310-Q300</f>
        <v>6723000</v>
      </c>
      <c r="R311" s="424">
        <f>R310-R301</f>
        <v>8588700</v>
      </c>
      <c r="S311" s="424">
        <f>S310-S302</f>
        <v>10697600</v>
      </c>
      <c r="T311" s="424">
        <f>T310-T303</f>
        <v>13020600</v>
      </c>
      <c r="U311" s="424">
        <f>U310-U304</f>
        <v>14577500</v>
      </c>
    </row>
    <row r="312" spans="3:21" ht="16.5" thickBot="1"/>
    <row r="313" spans="3:21" ht="16.5" thickBot="1">
      <c r="C313" s="1"/>
      <c r="D313" s="4528" t="str">
        <f>$D$17</f>
        <v>Large Industrial (15)</v>
      </c>
      <c r="E313" s="4529"/>
      <c r="F313" s="4530"/>
      <c r="G313" s="1"/>
      <c r="H313" s="1"/>
    </row>
    <row r="314" spans="3:21">
      <c r="C314" s="1476" t="e">
        <f>IF(D314="","",MAX(C$7:C312)+1)</f>
        <v>#N/A</v>
      </c>
      <c r="D314" s="1491" t="s">
        <v>1042</v>
      </c>
      <c r="E314" s="1468"/>
      <c r="F314" s="1983" t="s">
        <v>1043</v>
      </c>
      <c r="G314" s="1490"/>
      <c r="H314" s="1490"/>
      <c r="I314" s="1490"/>
      <c r="J314" s="1490"/>
      <c r="K314" s="1490"/>
      <c r="L314" s="1490"/>
      <c r="M314" s="1490"/>
      <c r="N314" s="1490"/>
      <c r="O314" s="1490"/>
      <c r="P314" s="1490"/>
      <c r="Q314" s="1490"/>
      <c r="R314" s="1490"/>
      <c r="S314" s="1490"/>
      <c r="T314" s="1490"/>
      <c r="U314" s="1490"/>
    </row>
    <row r="315" spans="3:21">
      <c r="C315" s="1476" t="e">
        <f>IF(D315="","",MAX(C$7:C314)+1)</f>
        <v>#N/A</v>
      </c>
      <c r="D315" s="1984" t="s">
        <v>1044</v>
      </c>
      <c r="E315" s="1985" t="s">
        <v>1045</v>
      </c>
      <c r="F315" s="1985" t="s">
        <v>1046</v>
      </c>
      <c r="G315" s="1490"/>
      <c r="H315" s="1490"/>
      <c r="I315" s="1490"/>
      <c r="J315" s="1490"/>
      <c r="K315" s="1490"/>
      <c r="L315" s="1490"/>
      <c r="M315" s="1490"/>
      <c r="N315" s="1490"/>
      <c r="O315" s="1490"/>
      <c r="P315" s="1490"/>
      <c r="Q315" s="1490"/>
      <c r="R315" s="1490"/>
      <c r="S315" s="1490"/>
      <c r="T315" s="1490"/>
      <c r="U315" s="1490"/>
    </row>
    <row r="316" spans="3:21" ht="16.5" thickBot="1">
      <c r="C316" s="1476" t="str">
        <f>IF(D316="","",MAX(C$7:C315)+1)</f>
        <v/>
      </c>
      <c r="D316" s="1489"/>
      <c r="E316" s="1489"/>
      <c r="F316" s="1489"/>
      <c r="G316" s="1490"/>
      <c r="H316" s="1490"/>
      <c r="I316" s="1490"/>
      <c r="J316" s="1490"/>
      <c r="K316" s="1490"/>
      <c r="L316" s="1490"/>
      <c r="M316" s="1490"/>
      <c r="N316" s="1490"/>
      <c r="O316" s="1490"/>
      <c r="P316" s="1490"/>
      <c r="Q316" s="1490"/>
      <c r="R316" s="1490"/>
      <c r="S316" s="1490"/>
      <c r="T316" s="1490"/>
      <c r="U316" s="1490"/>
    </row>
    <row r="317" spans="3:21">
      <c r="C317" s="1476" t="e">
        <f>IF(D317="","",MAX(C$7:C316)+1)</f>
        <v>#N/A</v>
      </c>
      <c r="D317" s="1986">
        <f t="array" ref="D317:D333">TRANSPOSE(Dashboard!$G$11:$S$11)</f>
        <v>41640</v>
      </c>
      <c r="E317" s="1989">
        <f>INDEX(Dashboard!$F$10:$S$10,1,MATCH($D317,Dashboard!$F$11:$S$11,0))</f>
        <v>0</v>
      </c>
      <c r="F317" s="1546">
        <f>INDEX(Dashboard!$F$12:$S$12,1,MATCH($D317,Dashboard!$F$11:$S$11,0))</f>
        <v>12</v>
      </c>
      <c r="G317" s="1502"/>
      <c r="H317" s="1490"/>
      <c r="I317" s="1988">
        <f>ROUND((I$17+SUM(I316:I316))*$E317*$F317/12,-2)</f>
        <v>0</v>
      </c>
      <c r="J317" s="1502">
        <f t="shared" ref="J317:U317" si="173">ROUND((J$17+SUM(J316:J316))*$E317,-2)</f>
        <v>0</v>
      </c>
      <c r="K317" s="1502">
        <f t="shared" si="173"/>
        <v>0</v>
      </c>
      <c r="L317" s="1502">
        <f t="shared" si="173"/>
        <v>0</v>
      </c>
      <c r="M317" s="1502">
        <f t="shared" si="173"/>
        <v>0</v>
      </c>
      <c r="N317" s="1502">
        <f t="shared" si="173"/>
        <v>0</v>
      </c>
      <c r="O317" s="1502">
        <f t="shared" si="173"/>
        <v>0</v>
      </c>
      <c r="P317" s="1502">
        <f t="shared" si="173"/>
        <v>0</v>
      </c>
      <c r="Q317" s="1502">
        <f t="shared" si="173"/>
        <v>0</v>
      </c>
      <c r="R317" s="1502">
        <f t="shared" si="173"/>
        <v>0</v>
      </c>
      <c r="S317" s="1502">
        <f t="shared" si="173"/>
        <v>0</v>
      </c>
      <c r="T317" s="1502">
        <f t="shared" si="173"/>
        <v>0</v>
      </c>
      <c r="U317" s="1502">
        <f t="shared" si="173"/>
        <v>0</v>
      </c>
    </row>
    <row r="318" spans="3:21">
      <c r="C318" s="1476" t="e">
        <f>IF(D318="","",MAX(C$7:C317)+1)</f>
        <v>#N/A</v>
      </c>
      <c r="D318" s="1986">
        <v>42005</v>
      </c>
      <c r="E318" s="1547">
        <f t="array" ref="E318:E333">TRANSPOSE('COS_Summ (cumulative)'!$I$18:$X$18)</f>
        <v>0</v>
      </c>
      <c r="F318" s="1548">
        <f>INDEX(Dashboard!$F$12:$S$12,1,MATCH($D318,Dashboard!$F$11:$S$11,0))</f>
        <v>12</v>
      </c>
      <c r="G318" s="1502"/>
      <c r="H318" s="1490"/>
      <c r="I318" s="1502"/>
      <c r="J318" s="1988">
        <f>ROUND((J$17+SUM(J317:J317))*$E318*$F318/12,-2)</f>
        <v>0</v>
      </c>
      <c r="K318" s="1502">
        <f t="shared" ref="K318:U318" si="174">ROUND((K$17+SUM(K316:K317))*$E318,-2)</f>
        <v>0</v>
      </c>
      <c r="L318" s="1502">
        <f t="shared" si="174"/>
        <v>0</v>
      </c>
      <c r="M318" s="1502">
        <f t="shared" si="174"/>
        <v>0</v>
      </c>
      <c r="N318" s="1502">
        <f t="shared" si="174"/>
        <v>0</v>
      </c>
      <c r="O318" s="1502">
        <f t="shared" si="174"/>
        <v>0</v>
      </c>
      <c r="P318" s="1502">
        <f t="shared" si="174"/>
        <v>0</v>
      </c>
      <c r="Q318" s="1502">
        <f t="shared" si="174"/>
        <v>0</v>
      </c>
      <c r="R318" s="1502">
        <f t="shared" si="174"/>
        <v>0</v>
      </c>
      <c r="S318" s="1502">
        <f t="shared" si="174"/>
        <v>0</v>
      </c>
      <c r="T318" s="1502">
        <f t="shared" si="174"/>
        <v>0</v>
      </c>
      <c r="U318" s="1502">
        <f t="shared" si="174"/>
        <v>0</v>
      </c>
    </row>
    <row r="319" spans="3:21">
      <c r="C319" s="1476" t="e">
        <f>IF(D319="","",MAX(C$7:C318)+1)</f>
        <v>#N/A</v>
      </c>
      <c r="D319" s="1986">
        <v>42370</v>
      </c>
      <c r="E319" s="1547">
        <v>0</v>
      </c>
      <c r="F319" s="1548">
        <f>INDEX(Dashboard!$F$12:$S$12,1,MATCH($D319,Dashboard!$F$11:$S$11,0))</f>
        <v>12</v>
      </c>
      <c r="G319" s="1502"/>
      <c r="H319" s="1490"/>
      <c r="I319" s="1502"/>
      <c r="J319" s="1502"/>
      <c r="K319" s="1988">
        <f>ROUND((K$17+SUM(K317:K318))*$E319*$F319/12,-2)</f>
        <v>0</v>
      </c>
      <c r="L319" s="1502">
        <f t="shared" ref="L319:U319" si="175">ROUND((L$17+SUM(L316:L318))*$E319,-2)</f>
        <v>0</v>
      </c>
      <c r="M319" s="1502">
        <f t="shared" si="175"/>
        <v>0</v>
      </c>
      <c r="N319" s="1502">
        <f t="shared" si="175"/>
        <v>0</v>
      </c>
      <c r="O319" s="1502">
        <f t="shared" si="175"/>
        <v>0</v>
      </c>
      <c r="P319" s="1502">
        <f t="shared" si="175"/>
        <v>0</v>
      </c>
      <c r="Q319" s="1502">
        <f t="shared" si="175"/>
        <v>0</v>
      </c>
      <c r="R319" s="1502">
        <f t="shared" si="175"/>
        <v>0</v>
      </c>
      <c r="S319" s="1502">
        <f t="shared" si="175"/>
        <v>0</v>
      </c>
      <c r="T319" s="1502">
        <f t="shared" si="175"/>
        <v>0</v>
      </c>
      <c r="U319" s="1502">
        <f t="shared" si="175"/>
        <v>0</v>
      </c>
    </row>
    <row r="320" spans="3:21">
      <c r="C320" s="1476" t="e">
        <f>IF(D320="","",MAX(C$7:C319)+1)</f>
        <v>#N/A</v>
      </c>
      <c r="D320" s="1986">
        <v>42736</v>
      </c>
      <c r="E320" s="1547">
        <v>6.5499999999999994E-3</v>
      </c>
      <c r="F320" s="1548">
        <f>INDEX(Dashboard!$F$12:$S$12,1,MATCH($D320,Dashboard!$F$11:$S$11,0))</f>
        <v>12</v>
      </c>
      <c r="G320" s="1502"/>
      <c r="H320" s="1490"/>
      <c r="I320" s="1502"/>
      <c r="J320" s="1502"/>
      <c r="K320" s="1502"/>
      <c r="L320" s="1988">
        <f>ROUND((L$17+SUM(L316:L319))*$E320*$F320/12,-2)</f>
        <v>393700</v>
      </c>
      <c r="M320" s="1502">
        <f t="shared" ref="M320:U320" si="176">ROUND((M$17+SUM(M316:M319))*$E320,-2)</f>
        <v>426700</v>
      </c>
      <c r="N320" s="1502">
        <f t="shared" si="176"/>
        <v>467400</v>
      </c>
      <c r="O320" s="1502">
        <f t="shared" si="176"/>
        <v>512100</v>
      </c>
      <c r="P320" s="1502">
        <f t="shared" si="176"/>
        <v>562300</v>
      </c>
      <c r="Q320" s="1502">
        <f t="shared" si="176"/>
        <v>586200</v>
      </c>
      <c r="R320" s="1502">
        <f t="shared" si="176"/>
        <v>613900</v>
      </c>
      <c r="S320" s="1502">
        <f t="shared" si="176"/>
        <v>644300</v>
      </c>
      <c r="T320" s="1502">
        <f t="shared" si="176"/>
        <v>662100</v>
      </c>
      <c r="U320" s="1502">
        <f t="shared" si="176"/>
        <v>681300</v>
      </c>
    </row>
    <row r="321" spans="3:21">
      <c r="C321" s="1476" t="e">
        <f>IF(D321="","",MAX(C$7:C320)+1)</f>
        <v>#N/A</v>
      </c>
      <c r="D321" s="1986">
        <v>43101</v>
      </c>
      <c r="E321" s="1547">
        <v>6.5499999999999994E-3</v>
      </c>
      <c r="F321" s="1548">
        <f>INDEX(Dashboard!$F$12:$S$12,1,MATCH($D321,Dashboard!$F$11:$S$11,0))</f>
        <v>12</v>
      </c>
      <c r="G321" s="1502"/>
      <c r="H321" s="1490"/>
      <c r="I321" s="1502"/>
      <c r="J321" s="1502"/>
      <c r="K321" s="1502"/>
      <c r="L321" s="1502"/>
      <c r="M321" s="1988">
        <f>ROUND((M$17+SUM(M316:M320))*$E321*$F321/12,-2)</f>
        <v>429500</v>
      </c>
      <c r="N321" s="1502">
        <f t="shared" ref="N321:U321" si="177">ROUND((N$17+SUM(N316:N320))*$E321,-2)</f>
        <v>470500</v>
      </c>
      <c r="O321" s="1502">
        <f t="shared" si="177"/>
        <v>515400</v>
      </c>
      <c r="P321" s="1502">
        <f t="shared" si="177"/>
        <v>565900</v>
      </c>
      <c r="Q321" s="1502">
        <f t="shared" si="177"/>
        <v>590100</v>
      </c>
      <c r="R321" s="1502">
        <f t="shared" si="177"/>
        <v>617900</v>
      </c>
      <c r="S321" s="1502">
        <f t="shared" si="177"/>
        <v>648600</v>
      </c>
      <c r="T321" s="1502">
        <f t="shared" si="177"/>
        <v>666400</v>
      </c>
      <c r="U321" s="1502">
        <f t="shared" si="177"/>
        <v>685700</v>
      </c>
    </row>
    <row r="322" spans="3:21">
      <c r="C322" s="1476" t="e">
        <f>IF(D322="","",MAX(C$7:C321)+1)</f>
        <v>#N/A</v>
      </c>
      <c r="D322" s="1986">
        <v>43466</v>
      </c>
      <c r="E322" s="1547">
        <v>6.5499999999999994E-3</v>
      </c>
      <c r="F322" s="1548">
        <f>INDEX(Dashboard!$F$12:$S$12,1,MATCH($D322,Dashboard!$F$11:$S$11,0))</f>
        <v>12</v>
      </c>
      <c r="G322" s="1502"/>
      <c r="H322" s="1490"/>
      <c r="I322" s="1502"/>
      <c r="J322" s="1502"/>
      <c r="K322" s="1502"/>
      <c r="L322" s="1502"/>
      <c r="M322" s="1502"/>
      <c r="N322" s="1988">
        <f>ROUND((N$17+SUM(N316:N321))*$E322*$F322/12,-2)</f>
        <v>473600</v>
      </c>
      <c r="O322" s="1502">
        <f t="shared" ref="O322:U322" si="178">ROUND((O$17+SUM(O316:O321))*$E322,-2)</f>
        <v>518800</v>
      </c>
      <c r="P322" s="1502">
        <f t="shared" si="178"/>
        <v>569600</v>
      </c>
      <c r="Q322" s="1502">
        <f t="shared" si="178"/>
        <v>593900</v>
      </c>
      <c r="R322" s="1502">
        <f t="shared" si="178"/>
        <v>621900</v>
      </c>
      <c r="S322" s="1502">
        <f t="shared" si="178"/>
        <v>652800</v>
      </c>
      <c r="T322" s="1502">
        <f t="shared" si="178"/>
        <v>670800</v>
      </c>
      <c r="U322" s="1502">
        <f t="shared" si="178"/>
        <v>690200</v>
      </c>
    </row>
    <row r="323" spans="3:21">
      <c r="C323" s="1476" t="e">
        <f>IF(D323="","",MAX(C$7:C322)+1)</f>
        <v>#N/A</v>
      </c>
      <c r="D323" s="1986">
        <v>43831</v>
      </c>
      <c r="E323" s="1547">
        <v>6.5499999999999994E-3</v>
      </c>
      <c r="F323" s="1548">
        <f>INDEX(Dashboard!$F$12:$S$12,1,MATCH($D323,Dashboard!$F$11:$S$11,0))</f>
        <v>12</v>
      </c>
      <c r="G323" s="1502"/>
      <c r="H323" s="1490"/>
      <c r="I323" s="1502"/>
      <c r="J323" s="1502"/>
      <c r="K323" s="1502"/>
      <c r="L323" s="1502"/>
      <c r="M323" s="1502"/>
      <c r="N323" s="1502"/>
      <c r="O323" s="1988">
        <f>ROUND((O$17+SUM(O316:O322))*$E323*$F323/12,-2)</f>
        <v>522200</v>
      </c>
      <c r="P323" s="1502">
        <f t="shared" ref="P323:U323" si="179">ROUND((P$17+SUM(P316:P322))*$E323,-2)</f>
        <v>573400</v>
      </c>
      <c r="Q323" s="1502">
        <f t="shared" si="179"/>
        <v>597800</v>
      </c>
      <c r="R323" s="1502">
        <f t="shared" si="179"/>
        <v>626000</v>
      </c>
      <c r="S323" s="1502">
        <f t="shared" si="179"/>
        <v>657100</v>
      </c>
      <c r="T323" s="1502">
        <f t="shared" si="179"/>
        <v>675200</v>
      </c>
      <c r="U323" s="1502">
        <f t="shared" si="179"/>
        <v>694700</v>
      </c>
    </row>
    <row r="324" spans="3:21">
      <c r="C324" s="1476" t="e">
        <f>IF(D324="","",MAX(C$7:C323)+1)</f>
        <v>#N/A</v>
      </c>
      <c r="D324" s="1986">
        <v>44197</v>
      </c>
      <c r="E324" s="1547">
        <v>6.5499999999999994E-3</v>
      </c>
      <c r="F324" s="1548">
        <f>INDEX(Dashboard!$F$12:$S$12,1,MATCH($D324,Dashboard!$F$11:$S$11,0))</f>
        <v>12</v>
      </c>
      <c r="G324" s="1502"/>
      <c r="H324" s="1490"/>
      <c r="I324" s="1502"/>
      <c r="J324" s="1502"/>
      <c r="K324" s="1502"/>
      <c r="L324" s="1502"/>
      <c r="M324" s="1502"/>
      <c r="N324" s="1502"/>
      <c r="O324" s="1502"/>
      <c r="P324" s="1988">
        <f>ROUND((P$17+SUM(P316:P323))*$E324*$F324/12,-2)</f>
        <v>577100</v>
      </c>
      <c r="Q324" s="1502">
        <f t="shared" ref="Q324:U324" si="180">ROUND((Q$17+SUM(Q316:Q323))*$E324,-2)</f>
        <v>601700</v>
      </c>
      <c r="R324" s="1502">
        <f t="shared" si="180"/>
        <v>630100</v>
      </c>
      <c r="S324" s="1502">
        <f t="shared" si="180"/>
        <v>661400</v>
      </c>
      <c r="T324" s="1502">
        <f t="shared" si="180"/>
        <v>679600</v>
      </c>
      <c r="U324" s="1502">
        <f t="shared" si="180"/>
        <v>699300</v>
      </c>
    </row>
    <row r="325" spans="3:21">
      <c r="C325" s="1476" t="e">
        <f>IF(D325="","",MAX(C$7:C324)+1)</f>
        <v>#N/A</v>
      </c>
      <c r="D325" s="1986">
        <v>44562</v>
      </c>
      <c r="E325" s="1547">
        <v>6.5499999999999994E-3</v>
      </c>
      <c r="F325" s="1548">
        <f>INDEX(Dashboard!$F$12:$S$12,1,MATCH($D325,Dashboard!$F$11:$S$11,0))</f>
        <v>12</v>
      </c>
      <c r="G325" s="1502"/>
      <c r="H325" s="1490"/>
      <c r="I325" s="1502"/>
      <c r="J325" s="1502"/>
      <c r="K325" s="1502"/>
      <c r="L325" s="1502"/>
      <c r="M325" s="1502"/>
      <c r="N325" s="1502"/>
      <c r="O325" s="1502"/>
      <c r="P325" s="1502"/>
      <c r="Q325" s="1988">
        <f>ROUND((Q$17+SUM(Q316:Q324))*$E325*$F325/12,-2)</f>
        <v>605700</v>
      </c>
      <c r="R325" s="1502">
        <f t="shared" ref="R325:U325" si="181">ROUND((R$17+SUM(R316:R324))*$E325,-2)</f>
        <v>634200</v>
      </c>
      <c r="S325" s="1502">
        <f t="shared" si="181"/>
        <v>665700</v>
      </c>
      <c r="T325" s="1502">
        <f t="shared" si="181"/>
        <v>684000</v>
      </c>
      <c r="U325" s="1502">
        <f t="shared" si="181"/>
        <v>703900</v>
      </c>
    </row>
    <row r="326" spans="3:21">
      <c r="C326" s="1476" t="e">
        <f>IF(D326="","",MAX(C$7:C325)+1)</f>
        <v>#N/A</v>
      </c>
      <c r="D326" s="1986">
        <v>44927</v>
      </c>
      <c r="E326" s="1547">
        <v>6.5499999999999994E-3</v>
      </c>
      <c r="F326" s="1548">
        <f>INDEX(Dashboard!$F$12:$S$12,1,MATCH($D326,Dashboard!$F$11:$S$11,0))</f>
        <v>12</v>
      </c>
      <c r="G326" s="1502"/>
      <c r="H326" s="1490"/>
      <c r="I326" s="1502"/>
      <c r="J326" s="1502"/>
      <c r="K326" s="1502"/>
      <c r="L326" s="1502"/>
      <c r="M326" s="1502"/>
      <c r="N326" s="1502"/>
      <c r="O326" s="1502"/>
      <c r="P326" s="1502"/>
      <c r="Q326" s="1502"/>
      <c r="R326" s="1988">
        <f>ROUND((R$17+SUM(R316:R325))*$E326*$F326/12,-2)</f>
        <v>638400</v>
      </c>
      <c r="S326" s="1502">
        <f t="shared" ref="S326:U326" si="182">ROUND((S$17+SUM(S316:S325))*$E326,-2)</f>
        <v>670100</v>
      </c>
      <c r="T326" s="1502">
        <f t="shared" si="182"/>
        <v>688500</v>
      </c>
      <c r="U326" s="1502">
        <f t="shared" si="182"/>
        <v>708500</v>
      </c>
    </row>
    <row r="327" spans="3:21" ht="16.5" thickBot="1">
      <c r="C327" s="1476" t="e">
        <f>IF(D327="","",MAX(C$7:C326)+1)</f>
        <v>#N/A</v>
      </c>
      <c r="D327" s="1986">
        <v>45292</v>
      </c>
      <c r="E327" s="1549">
        <v>6.5499999999999994E-3</v>
      </c>
      <c r="F327" s="1550">
        <f>INDEX(Dashboard!$F$12:$S$12,1,MATCH($D327,Dashboard!$F$11:$S$11,0))</f>
        <v>12</v>
      </c>
      <c r="G327" s="1502"/>
      <c r="H327" s="1490"/>
      <c r="I327" s="1502"/>
      <c r="J327" s="1502"/>
      <c r="K327" s="1502"/>
      <c r="L327" s="1502"/>
      <c r="M327" s="1502"/>
      <c r="N327" s="1502"/>
      <c r="O327" s="1502"/>
      <c r="P327" s="1502"/>
      <c r="Q327" s="1502"/>
      <c r="R327" s="1502"/>
      <c r="S327" s="1988">
        <f>ROUND((S$17+SUM(S316:S326))*$E327*$F327/12,-2)</f>
        <v>674500</v>
      </c>
      <c r="T327" s="1502">
        <f t="shared" ref="T327:U327" si="183">ROUND((T$17+SUM(T316:T326))*$E327,-2)</f>
        <v>693000</v>
      </c>
      <c r="U327" s="1502">
        <f t="shared" si="183"/>
        <v>713100</v>
      </c>
    </row>
    <row r="328" spans="3:21">
      <c r="C328" s="1476" t="e">
        <f>IF(D328="","",MAX(C$7:C327)+1)</f>
        <v>#N/A</v>
      </c>
      <c r="D328" s="1986">
        <v>45658</v>
      </c>
      <c r="E328" s="1545">
        <v>2.8337231155420601E-2</v>
      </c>
      <c r="F328" s="1546">
        <f>INDEX(Dashboard!$F$12:$S$12,1,MATCH($D328,Dashboard!$F$11:$S$11,0))</f>
        <v>12</v>
      </c>
      <c r="G328" s="1502"/>
      <c r="H328" s="1490"/>
      <c r="I328" s="1502"/>
      <c r="J328" s="1502"/>
      <c r="K328" s="1502"/>
      <c r="L328" s="1502"/>
      <c r="M328" s="1502"/>
      <c r="N328" s="1502"/>
      <c r="O328" s="1502"/>
      <c r="P328" s="1502"/>
      <c r="Q328" s="1502"/>
      <c r="R328" s="1502"/>
      <c r="S328" s="1502"/>
      <c r="T328" s="1988">
        <f>ROUND((T$17+SUM(T316:T327))*$E328*$F328/12,-2)</f>
        <v>3017900</v>
      </c>
      <c r="U328" s="1502">
        <f>ROUND((U$17+SUM(U316:U327))*$E328,-2)</f>
        <v>3105300</v>
      </c>
    </row>
    <row r="329" spans="3:21" ht="16.5" thickBot="1">
      <c r="C329" s="1476" t="e">
        <f>IF(D329="","",MAX(C$7:C328)+1)</f>
        <v>#N/A</v>
      </c>
      <c r="D329" s="1986">
        <v>46023</v>
      </c>
      <c r="E329" s="1549">
        <v>0.02</v>
      </c>
      <c r="F329" s="1550">
        <f>INDEX(Dashboard!$F$12:$S$12,1,MATCH($D329,Dashboard!$F$11:$S$11,0))</f>
        <v>12</v>
      </c>
      <c r="G329" s="1502"/>
      <c r="H329" s="1490"/>
      <c r="I329" s="1502"/>
      <c r="J329" s="1502"/>
      <c r="K329" s="1502"/>
      <c r="L329" s="1502"/>
      <c r="M329" s="1502"/>
      <c r="N329" s="1502"/>
      <c r="O329" s="1502"/>
      <c r="P329" s="1502"/>
      <c r="Q329" s="1502"/>
      <c r="R329" s="1502"/>
      <c r="S329" s="1502"/>
      <c r="T329" s="1502"/>
      <c r="U329" s="1988">
        <f>ROUND((U$17+SUM(U316:U328))*$E329*$F329/12,-2)</f>
        <v>2253800</v>
      </c>
    </row>
    <row r="330" spans="3:21" hidden="1">
      <c r="C330" s="1476" t="e">
        <f>IF(D330="","",MAX(C$7:C329)+1)</f>
        <v>#N/A</v>
      </c>
      <c r="D330" s="1986" t="e">
        <v>#N/A</v>
      </c>
      <c r="E330" s="1547">
        <v>0</v>
      </c>
      <c r="F330" s="1548" t="e">
        <f>INDEX(Dashboard!$F$12:$S$12,1,MATCH($D330,Dashboard!$F$11:$S$11,0))</f>
        <v>#N/A</v>
      </c>
      <c r="G330" s="1502"/>
      <c r="H330" s="1490"/>
      <c r="I330" s="1502"/>
      <c r="J330" s="1502"/>
      <c r="K330" s="1502"/>
      <c r="L330" s="1502"/>
      <c r="M330" s="1502"/>
      <c r="N330" s="1502"/>
      <c r="O330" s="1502"/>
      <c r="P330" s="1502"/>
      <c r="Q330" s="1502"/>
      <c r="R330" s="1502"/>
      <c r="S330" s="1502"/>
      <c r="T330" s="1502"/>
      <c r="U330" s="1502"/>
    </row>
    <row r="331" spans="3:21" hidden="1">
      <c r="C331" s="1476" t="e">
        <f>IF(D331="","",MAX(C$7:C330)+1)</f>
        <v>#N/A</v>
      </c>
      <c r="D331" s="1986" t="e">
        <v>#N/A</v>
      </c>
      <c r="E331" s="1547">
        <v>0</v>
      </c>
      <c r="F331" s="1548" t="e">
        <f>INDEX(Dashboard!$F$12:$S$12,1,MATCH($D331,Dashboard!$F$11:$S$11,0))</f>
        <v>#N/A</v>
      </c>
      <c r="G331" s="1502"/>
      <c r="H331" s="1490"/>
      <c r="I331" s="1502"/>
      <c r="J331" s="1502"/>
      <c r="K331" s="1502"/>
      <c r="L331" s="1502"/>
      <c r="M331" s="1502"/>
      <c r="N331" s="1502"/>
      <c r="O331" s="1502"/>
      <c r="P331" s="1502"/>
      <c r="Q331" s="1502"/>
      <c r="R331" s="1502"/>
      <c r="S331" s="1502"/>
      <c r="T331" s="1502"/>
      <c r="U331" s="1502"/>
    </row>
    <row r="332" spans="3:21" hidden="1">
      <c r="C332" s="1476" t="e">
        <f>IF(D332="","",MAX(C$7:C331)+1)</f>
        <v>#N/A</v>
      </c>
      <c r="D332" s="1986" t="e">
        <v>#N/A</v>
      </c>
      <c r="E332" s="1547">
        <v>0</v>
      </c>
      <c r="F332" s="1548" t="e">
        <f>INDEX(Dashboard!$F$12:$S$12,1,MATCH($D332,Dashboard!$F$11:$S$11,0))</f>
        <v>#N/A</v>
      </c>
      <c r="G332" s="1502"/>
      <c r="H332" s="1490"/>
      <c r="I332" s="1502"/>
      <c r="J332" s="1502"/>
      <c r="K332" s="1502"/>
      <c r="L332" s="1502"/>
      <c r="M332" s="1502"/>
      <c r="N332" s="1502"/>
      <c r="O332" s="1502"/>
      <c r="P332" s="1502"/>
      <c r="Q332" s="1502"/>
      <c r="R332" s="1502"/>
      <c r="S332" s="1502"/>
      <c r="T332" s="1502"/>
      <c r="U332" s="1502"/>
    </row>
    <row r="333" spans="3:21" ht="16.5" hidden="1" thickBot="1">
      <c r="C333" s="1476" t="e">
        <f>IF(D333="","",MAX(C$7:C332)+1)</f>
        <v>#N/A</v>
      </c>
      <c r="D333" s="1986" t="e">
        <v>#N/A</v>
      </c>
      <c r="E333" s="1549">
        <v>0</v>
      </c>
      <c r="F333" s="1550" t="e">
        <f>INDEX(Dashboard!$F$12:$S$12,1,MATCH($D333,Dashboard!$F$11:$S$11,0))</f>
        <v>#N/A</v>
      </c>
      <c r="G333" s="1502"/>
      <c r="H333" s="1490"/>
      <c r="I333" s="1502"/>
      <c r="J333" s="1502"/>
      <c r="K333" s="1502"/>
      <c r="L333" s="1502"/>
      <c r="M333" s="1502"/>
      <c r="N333" s="1502"/>
      <c r="O333" s="1502"/>
      <c r="P333" s="1502"/>
      <c r="Q333" s="1502"/>
      <c r="R333" s="1502"/>
      <c r="S333" s="1502"/>
      <c r="T333" s="1502"/>
      <c r="U333" s="1502"/>
    </row>
    <row r="334" spans="3:21">
      <c r="C334" s="1476" t="str">
        <f>IF(D334="","",MAX(C$7:C333)+1)</f>
        <v/>
      </c>
      <c r="D334" s="1468"/>
      <c r="E334" s="1468"/>
      <c r="F334" s="1468"/>
      <c r="G334" s="1987"/>
      <c r="H334" s="1987"/>
      <c r="I334" s="1502"/>
      <c r="J334" s="1502"/>
      <c r="K334" s="1502"/>
      <c r="L334" s="1502"/>
      <c r="M334" s="1502"/>
      <c r="N334" s="1502"/>
      <c r="O334" s="1502"/>
      <c r="P334" s="1502"/>
      <c r="Q334" s="1502"/>
      <c r="R334" s="1502"/>
      <c r="S334" s="1502"/>
      <c r="T334" s="1502"/>
      <c r="U334" s="1502"/>
    </row>
    <row r="335" spans="3:21">
      <c r="C335" s="1476" t="e">
        <f>IF(D335="","",MAX(C$7:C334)+1)</f>
        <v>#N/A</v>
      </c>
      <c r="D335" s="1468" t="s">
        <v>1047</v>
      </c>
      <c r="E335" s="1468"/>
      <c r="F335" s="1468"/>
      <c r="G335" s="1504">
        <f t="shared" ref="G335:U335" si="184">SUM(G317:G334)</f>
        <v>0</v>
      </c>
      <c r="H335" s="1504">
        <f t="shared" si="184"/>
        <v>0</v>
      </c>
      <c r="I335" s="1504">
        <f t="shared" si="184"/>
        <v>0</v>
      </c>
      <c r="J335" s="1504">
        <f t="shared" si="184"/>
        <v>0</v>
      </c>
      <c r="K335" s="1504">
        <f t="shared" si="184"/>
        <v>0</v>
      </c>
      <c r="L335" s="1504">
        <f t="shared" si="184"/>
        <v>393700</v>
      </c>
      <c r="M335" s="1504">
        <f t="shared" si="184"/>
        <v>856200</v>
      </c>
      <c r="N335" s="1504">
        <f t="shared" si="184"/>
        <v>1411500</v>
      </c>
      <c r="O335" s="1504">
        <f t="shared" si="184"/>
        <v>2068500</v>
      </c>
      <c r="P335" s="1504">
        <f t="shared" si="184"/>
        <v>2848300</v>
      </c>
      <c r="Q335" s="1504">
        <f t="shared" si="184"/>
        <v>3575400</v>
      </c>
      <c r="R335" s="1504">
        <f t="shared" si="184"/>
        <v>4382400</v>
      </c>
      <c r="S335" s="1504">
        <f t="shared" si="184"/>
        <v>5274500</v>
      </c>
      <c r="T335" s="1504">
        <f t="shared" si="184"/>
        <v>8437500</v>
      </c>
      <c r="U335" s="1504">
        <f t="shared" si="184"/>
        <v>10935800</v>
      </c>
    </row>
    <row r="336" spans="3:21">
      <c r="C336" s="1476" t="e">
        <f>IF(D336="","",MAX(C$7:C335)+1)</f>
        <v>#N/A</v>
      </c>
      <c r="D336" s="1468" t="s">
        <v>2772</v>
      </c>
      <c r="E336" s="1"/>
      <c r="F336" s="1"/>
      <c r="G336" s="1"/>
      <c r="H336" s="1"/>
      <c r="J336" s="424">
        <f>J335-J318</f>
        <v>0</v>
      </c>
      <c r="K336" s="424">
        <f>K335-K319</f>
        <v>0</v>
      </c>
      <c r="L336" s="424">
        <f>L335-L320</f>
        <v>0</v>
      </c>
      <c r="M336" s="424">
        <f>M335-M321</f>
        <v>426700</v>
      </c>
      <c r="N336" s="424">
        <f>N335-N322</f>
        <v>937900</v>
      </c>
      <c r="O336" s="424">
        <f>O335-O323</f>
        <v>1546300</v>
      </c>
      <c r="P336" s="424">
        <f>P335-P324</f>
        <v>2271200</v>
      </c>
      <c r="Q336" s="424">
        <f>Q335-Q325</f>
        <v>2969700</v>
      </c>
      <c r="R336" s="424">
        <f>R335-R326</f>
        <v>3744000</v>
      </c>
      <c r="S336" s="424">
        <f>S335-S327</f>
        <v>4600000</v>
      </c>
      <c r="T336" s="424">
        <f>T335-T328</f>
        <v>5419600</v>
      </c>
      <c r="U336" s="424">
        <f>U335-U329</f>
        <v>8682000</v>
      </c>
    </row>
    <row r="337" spans="3:21" ht="16.5" thickBot="1"/>
    <row r="338" spans="3:21" ht="16.5" thickBot="1">
      <c r="C338" s="1"/>
      <c r="D338" s="4528" t="str">
        <f>$D$18</f>
        <v>Agricultural Processing (16)</v>
      </c>
      <c r="E338" s="4529"/>
      <c r="F338" s="4530"/>
      <c r="G338" s="1"/>
      <c r="H338" s="1"/>
    </row>
    <row r="339" spans="3:21">
      <c r="C339" s="1476" t="e">
        <f>IF(D339="","",MAX(C$7:C337)+1)</f>
        <v>#N/A</v>
      </c>
      <c r="D339" s="1491" t="s">
        <v>1042</v>
      </c>
      <c r="E339" s="1468"/>
      <c r="F339" s="1983" t="s">
        <v>1043</v>
      </c>
      <c r="G339" s="1490"/>
      <c r="H339" s="1490"/>
      <c r="I339" s="1490"/>
      <c r="J339" s="1490"/>
      <c r="K339" s="1490"/>
      <c r="L339" s="1490"/>
      <c r="M339" s="1490"/>
      <c r="N339" s="1490"/>
      <c r="O339" s="1490"/>
      <c r="P339" s="1490"/>
      <c r="Q339" s="1490"/>
      <c r="R339" s="1490"/>
      <c r="S339" s="1490"/>
      <c r="T339" s="1490"/>
      <c r="U339" s="1490"/>
    </row>
    <row r="340" spans="3:21">
      <c r="C340" s="1476" t="e">
        <f>IF(D340="","",MAX(C$7:C339)+1)</f>
        <v>#N/A</v>
      </c>
      <c r="D340" s="1984" t="s">
        <v>1044</v>
      </c>
      <c r="E340" s="1985" t="s">
        <v>1045</v>
      </c>
      <c r="F340" s="1985" t="s">
        <v>1046</v>
      </c>
      <c r="G340" s="1490"/>
      <c r="H340" s="1490"/>
      <c r="I340" s="1490"/>
      <c r="J340" s="1490"/>
      <c r="K340" s="1490"/>
      <c r="L340" s="1490"/>
      <c r="M340" s="1490"/>
      <c r="N340" s="1490"/>
      <c r="O340" s="1490"/>
      <c r="P340" s="1490"/>
      <c r="Q340" s="1490"/>
      <c r="R340" s="1490"/>
      <c r="S340" s="1490"/>
      <c r="T340" s="1490"/>
      <c r="U340" s="1490"/>
    </row>
    <row r="341" spans="3:21" ht="16.5" thickBot="1">
      <c r="C341" s="1476" t="str">
        <f>IF(D341="","",MAX(C$7:C340)+1)</f>
        <v/>
      </c>
      <c r="D341" s="1489"/>
      <c r="E341" s="1489"/>
      <c r="F341" s="1489"/>
      <c r="G341" s="1490"/>
      <c r="H341" s="1490"/>
      <c r="I341" s="1490"/>
      <c r="J341" s="1490"/>
      <c r="K341" s="1490"/>
      <c r="L341" s="1490"/>
      <c r="M341" s="1490"/>
      <c r="N341" s="1490"/>
      <c r="O341" s="1490"/>
      <c r="P341" s="1490"/>
      <c r="Q341" s="1490"/>
      <c r="R341" s="1490"/>
      <c r="S341" s="1490"/>
      <c r="T341" s="1490"/>
      <c r="U341" s="1490"/>
    </row>
    <row r="342" spans="3:21">
      <c r="C342" s="1476" t="e">
        <f>IF(D342="","",MAX(C$7:C341)+1)</f>
        <v>#N/A</v>
      </c>
      <c r="D342" s="1986">
        <f t="array" ref="D342:D358">TRANSPOSE(Dashboard!$G$11:$S$11)</f>
        <v>41640</v>
      </c>
      <c r="E342" s="1989">
        <f>INDEX(Dashboard!$F$10:$S$10,1,MATCH($D342,Dashboard!$F$11:$S$11,0))</f>
        <v>0</v>
      </c>
      <c r="F342" s="1546">
        <f>INDEX(Dashboard!$F$12:$S$12,1,MATCH($D342,Dashboard!$F$11:$S$11,0))</f>
        <v>12</v>
      </c>
      <c r="G342" s="1502"/>
      <c r="H342" s="1490"/>
      <c r="I342" s="1988">
        <f>ROUND((I$18+SUM(I341:I341))*$E342*$F342/12,-2)</f>
        <v>0</v>
      </c>
      <c r="J342" s="1502">
        <f t="shared" ref="J342:U342" si="185">ROUND((J$18+SUM(J341:J341))*$E342,-2)</f>
        <v>0</v>
      </c>
      <c r="K342" s="1502">
        <f t="shared" si="185"/>
        <v>0</v>
      </c>
      <c r="L342" s="1502">
        <f t="shared" si="185"/>
        <v>0</v>
      </c>
      <c r="M342" s="1502">
        <f t="shared" si="185"/>
        <v>0</v>
      </c>
      <c r="N342" s="1502">
        <f t="shared" si="185"/>
        <v>0</v>
      </c>
      <c r="O342" s="1502">
        <f t="shared" si="185"/>
        <v>0</v>
      </c>
      <c r="P342" s="1502">
        <f t="shared" si="185"/>
        <v>0</v>
      </c>
      <c r="Q342" s="1502">
        <f t="shared" si="185"/>
        <v>0</v>
      </c>
      <c r="R342" s="1502">
        <f t="shared" si="185"/>
        <v>0</v>
      </c>
      <c r="S342" s="1502">
        <f t="shared" si="185"/>
        <v>0</v>
      </c>
      <c r="T342" s="1502">
        <f t="shared" si="185"/>
        <v>0</v>
      </c>
      <c r="U342" s="1502">
        <f t="shared" si="185"/>
        <v>0</v>
      </c>
    </row>
    <row r="343" spans="3:21">
      <c r="C343" s="1476" t="e">
        <f>IF(D343="","",MAX(C$7:C342)+1)</f>
        <v>#N/A</v>
      </c>
      <c r="D343" s="1986">
        <v>42005</v>
      </c>
      <c r="E343" s="1547">
        <f t="array" ref="E343:E358">TRANSPOSE('COS_Summ (cumulative)'!$I$19:$X$19)</f>
        <v>0</v>
      </c>
      <c r="F343" s="1548">
        <f>INDEX(Dashboard!$F$12:$S$12,1,MATCH($D343,Dashboard!$F$11:$S$11,0))</f>
        <v>12</v>
      </c>
      <c r="G343" s="1502"/>
      <c r="H343" s="1490"/>
      <c r="I343" s="1502"/>
      <c r="J343" s="1988">
        <f>ROUND((J$18+SUM(J342:J342))*$E343*$F343/12,-2)</f>
        <v>0</v>
      </c>
      <c r="K343" s="1502">
        <f t="shared" ref="K343:U343" si="186">ROUND((K$18+SUM(K341:K342))*$E343,-2)</f>
        <v>0</v>
      </c>
      <c r="L343" s="1502">
        <f t="shared" si="186"/>
        <v>0</v>
      </c>
      <c r="M343" s="1502">
        <f t="shared" si="186"/>
        <v>0</v>
      </c>
      <c r="N343" s="1502">
        <f t="shared" si="186"/>
        <v>0</v>
      </c>
      <c r="O343" s="1502">
        <f t="shared" si="186"/>
        <v>0</v>
      </c>
      <c r="P343" s="1502">
        <f t="shared" si="186"/>
        <v>0</v>
      </c>
      <c r="Q343" s="1502">
        <f t="shared" si="186"/>
        <v>0</v>
      </c>
      <c r="R343" s="1502">
        <f t="shared" si="186"/>
        <v>0</v>
      </c>
      <c r="S343" s="1502">
        <f t="shared" si="186"/>
        <v>0</v>
      </c>
      <c r="T343" s="1502">
        <f t="shared" si="186"/>
        <v>0</v>
      </c>
      <c r="U343" s="1502">
        <f t="shared" si="186"/>
        <v>0</v>
      </c>
    </row>
    <row r="344" spans="3:21">
      <c r="C344" s="1476" t="e">
        <f>IF(D344="","",MAX(C$7:C343)+1)</f>
        <v>#N/A</v>
      </c>
      <c r="D344" s="1986">
        <v>42370</v>
      </c>
      <c r="E344" s="1547">
        <v>0</v>
      </c>
      <c r="F344" s="1548">
        <f>INDEX(Dashboard!$F$12:$S$12,1,MATCH($D344,Dashboard!$F$11:$S$11,0))</f>
        <v>12</v>
      </c>
      <c r="G344" s="1502"/>
      <c r="H344" s="1490"/>
      <c r="I344" s="1502"/>
      <c r="J344" s="1502"/>
      <c r="K344" s="1988">
        <f>ROUND((K$18+SUM(K342:K343))*$E344*$F344/12,-2)</f>
        <v>0</v>
      </c>
      <c r="L344" s="1502">
        <f t="shared" ref="L344:U344" si="187">ROUND((L$18+SUM(L341:L343))*$E344,-2)</f>
        <v>0</v>
      </c>
      <c r="M344" s="1502">
        <f t="shared" si="187"/>
        <v>0</v>
      </c>
      <c r="N344" s="1502">
        <f t="shared" si="187"/>
        <v>0</v>
      </c>
      <c r="O344" s="1502">
        <f t="shared" si="187"/>
        <v>0</v>
      </c>
      <c r="P344" s="1502">
        <f t="shared" si="187"/>
        <v>0</v>
      </c>
      <c r="Q344" s="1502">
        <f t="shared" si="187"/>
        <v>0</v>
      </c>
      <c r="R344" s="1502">
        <f t="shared" si="187"/>
        <v>0</v>
      </c>
      <c r="S344" s="1502">
        <f t="shared" si="187"/>
        <v>0</v>
      </c>
      <c r="T344" s="1502">
        <f t="shared" si="187"/>
        <v>0</v>
      </c>
      <c r="U344" s="1502">
        <f t="shared" si="187"/>
        <v>0</v>
      </c>
    </row>
    <row r="345" spans="3:21">
      <c r="C345" s="1476" t="e">
        <f>IF(D345="","",MAX(C$7:C344)+1)</f>
        <v>#N/A</v>
      </c>
      <c r="D345" s="1986">
        <v>42736</v>
      </c>
      <c r="E345" s="1547">
        <v>0.05</v>
      </c>
      <c r="F345" s="1548">
        <f>INDEX(Dashboard!$F$12:$S$12,1,MATCH($D345,Dashboard!$F$11:$S$11,0))</f>
        <v>12</v>
      </c>
      <c r="G345" s="1502"/>
      <c r="H345" s="1490"/>
      <c r="I345" s="1502"/>
      <c r="J345" s="1502"/>
      <c r="K345" s="1502"/>
      <c r="L345" s="1988">
        <f>ROUND((L$18+SUM(L341:L344))*$E345*$F345/12,-2)</f>
        <v>501900</v>
      </c>
      <c r="M345" s="1502">
        <f t="shared" ref="M345:U345" si="188">ROUND((M$18+SUM(M341:M344))*$E345,-2)</f>
        <v>507200</v>
      </c>
      <c r="N345" s="1502">
        <f t="shared" si="188"/>
        <v>564200</v>
      </c>
      <c r="O345" s="1502">
        <f t="shared" si="188"/>
        <v>567900</v>
      </c>
      <c r="P345" s="1502">
        <f t="shared" si="188"/>
        <v>569800</v>
      </c>
      <c r="Q345" s="1502">
        <f t="shared" si="188"/>
        <v>572600</v>
      </c>
      <c r="R345" s="1502">
        <f t="shared" si="188"/>
        <v>575500</v>
      </c>
      <c r="S345" s="1502">
        <f t="shared" si="188"/>
        <v>579200</v>
      </c>
      <c r="T345" s="1502">
        <f t="shared" si="188"/>
        <v>581200</v>
      </c>
      <c r="U345" s="1502">
        <f t="shared" si="188"/>
        <v>584000</v>
      </c>
    </row>
    <row r="346" spans="3:21">
      <c r="C346" s="1476" t="e">
        <f>IF(D346="","",MAX(C$7:C345)+1)</f>
        <v>#N/A</v>
      </c>
      <c r="D346" s="1986">
        <v>43101</v>
      </c>
      <c r="E346" s="1547">
        <v>0.05</v>
      </c>
      <c r="F346" s="1548">
        <f>INDEX(Dashboard!$F$12:$S$12,1,MATCH($D346,Dashboard!$F$11:$S$11,0))</f>
        <v>12</v>
      </c>
      <c r="G346" s="1502"/>
      <c r="H346" s="1490"/>
      <c r="I346" s="1502"/>
      <c r="J346" s="1502"/>
      <c r="K346" s="1502"/>
      <c r="L346" s="1502"/>
      <c r="M346" s="1988">
        <f>ROUND((M$18+SUM(M341:M345))*$E346*$F346/12,-2)</f>
        <v>532500</v>
      </c>
      <c r="N346" s="1502">
        <f t="shared" ref="N346:U346" si="189">ROUND((N$18+SUM(N341:N345))*$E346,-2)</f>
        <v>592400</v>
      </c>
      <c r="O346" s="1502">
        <f t="shared" si="189"/>
        <v>596300</v>
      </c>
      <c r="P346" s="1502">
        <f t="shared" si="189"/>
        <v>598300</v>
      </c>
      <c r="Q346" s="1502">
        <f t="shared" si="189"/>
        <v>601200</v>
      </c>
      <c r="R346" s="1502">
        <f t="shared" si="189"/>
        <v>604200</v>
      </c>
      <c r="S346" s="1502">
        <f t="shared" si="189"/>
        <v>608200</v>
      </c>
      <c r="T346" s="1502">
        <f t="shared" si="189"/>
        <v>610200</v>
      </c>
      <c r="U346" s="1502">
        <f t="shared" si="189"/>
        <v>613200</v>
      </c>
    </row>
    <row r="347" spans="3:21">
      <c r="C347" s="1476" t="e">
        <f>IF(D347="","",MAX(C$7:C346)+1)</f>
        <v>#N/A</v>
      </c>
      <c r="D347" s="1986">
        <v>43466</v>
      </c>
      <c r="E347" s="1547">
        <v>0.05</v>
      </c>
      <c r="F347" s="1548">
        <f>INDEX(Dashboard!$F$12:$S$12,1,MATCH($D347,Dashboard!$F$11:$S$11,0))</f>
        <v>12</v>
      </c>
      <c r="G347" s="1502"/>
      <c r="H347" s="1490"/>
      <c r="I347" s="1502"/>
      <c r="J347" s="1502"/>
      <c r="K347" s="1502"/>
      <c r="L347" s="1502"/>
      <c r="M347" s="1502"/>
      <c r="N347" s="1988">
        <f>ROUND((N$18+SUM(N341:N346))*$E347*$F347/12,-2)</f>
        <v>622000</v>
      </c>
      <c r="O347" s="1502">
        <f t="shared" ref="O347:U347" si="190">ROUND((O$18+SUM(O341:O346))*$E347,-2)</f>
        <v>626100</v>
      </c>
      <c r="P347" s="1502">
        <f t="shared" si="190"/>
        <v>628200</v>
      </c>
      <c r="Q347" s="1502">
        <f t="shared" si="190"/>
        <v>631300</v>
      </c>
      <c r="R347" s="1502">
        <f t="shared" si="190"/>
        <v>634400</v>
      </c>
      <c r="S347" s="1502">
        <f t="shared" si="190"/>
        <v>638600</v>
      </c>
      <c r="T347" s="1502">
        <f t="shared" si="190"/>
        <v>640700</v>
      </c>
      <c r="U347" s="1502">
        <f t="shared" si="190"/>
        <v>643900</v>
      </c>
    </row>
    <row r="348" spans="3:21">
      <c r="C348" s="1476" t="e">
        <f>IF(D348="","",MAX(C$7:C347)+1)</f>
        <v>#N/A</v>
      </c>
      <c r="D348" s="1986">
        <v>43831</v>
      </c>
      <c r="E348" s="1547">
        <v>0.05</v>
      </c>
      <c r="F348" s="1548">
        <f>INDEX(Dashboard!$F$12:$S$12,1,MATCH($D348,Dashboard!$F$11:$S$11,0))</f>
        <v>12</v>
      </c>
      <c r="G348" s="1502"/>
      <c r="H348" s="1490"/>
      <c r="I348" s="1502"/>
      <c r="J348" s="1502"/>
      <c r="K348" s="1502"/>
      <c r="L348" s="1502"/>
      <c r="M348" s="1502"/>
      <c r="N348" s="1502"/>
      <c r="O348" s="1988">
        <f>ROUND((O$18+SUM(O341:O347))*$E348*$F348/12,-2)</f>
        <v>657400</v>
      </c>
      <c r="P348" s="1502">
        <f t="shared" ref="P348:U348" si="191">ROUND((P$18+SUM(P341:P347))*$E348,-2)</f>
        <v>659600</v>
      </c>
      <c r="Q348" s="1502">
        <f t="shared" si="191"/>
        <v>662900</v>
      </c>
      <c r="R348" s="1502">
        <f t="shared" si="191"/>
        <v>666200</v>
      </c>
      <c r="S348" s="1502">
        <f t="shared" si="191"/>
        <v>670500</v>
      </c>
      <c r="T348" s="1502">
        <f t="shared" si="191"/>
        <v>672800</v>
      </c>
      <c r="U348" s="1502">
        <f t="shared" si="191"/>
        <v>676100</v>
      </c>
    </row>
    <row r="349" spans="3:21">
      <c r="C349" s="1476" t="e">
        <f>IF(D349="","",MAX(C$7:C348)+1)</f>
        <v>#N/A</v>
      </c>
      <c r="D349" s="1986">
        <v>44197</v>
      </c>
      <c r="E349" s="1547">
        <v>0.05</v>
      </c>
      <c r="F349" s="1548">
        <f>INDEX(Dashboard!$F$12:$S$12,1,MATCH($D349,Dashboard!$F$11:$S$11,0))</f>
        <v>12</v>
      </c>
      <c r="G349" s="1502"/>
      <c r="H349" s="1490"/>
      <c r="I349" s="1502"/>
      <c r="J349" s="1502"/>
      <c r="K349" s="1502"/>
      <c r="L349" s="1502"/>
      <c r="M349" s="1502"/>
      <c r="N349" s="1502"/>
      <c r="O349" s="1502"/>
      <c r="P349" s="1988">
        <f>ROUND((P$18+SUM(P341:P348))*$E349*$F349/12,-2)</f>
        <v>692600</v>
      </c>
      <c r="Q349" s="1502">
        <f t="shared" ref="Q349:U349" si="192">ROUND((Q$18+SUM(Q341:Q348))*$E349,-2)</f>
        <v>696000</v>
      </c>
      <c r="R349" s="1502">
        <f t="shared" si="192"/>
        <v>699500</v>
      </c>
      <c r="S349" s="1502">
        <f t="shared" si="192"/>
        <v>704000</v>
      </c>
      <c r="T349" s="1502">
        <f t="shared" si="192"/>
        <v>706400</v>
      </c>
      <c r="U349" s="1502">
        <f t="shared" si="192"/>
        <v>709900</v>
      </c>
    </row>
    <row r="350" spans="3:21">
      <c r="C350" s="1476" t="e">
        <f>IF(D350="","",MAX(C$7:C349)+1)</f>
        <v>#N/A</v>
      </c>
      <c r="D350" s="1986">
        <v>44562</v>
      </c>
      <c r="E350" s="1547">
        <v>0.05</v>
      </c>
      <c r="F350" s="1548">
        <f>INDEX(Dashboard!$F$12:$S$12,1,MATCH($D350,Dashboard!$F$11:$S$11,0))</f>
        <v>12</v>
      </c>
      <c r="G350" s="1502"/>
      <c r="H350" s="1490"/>
      <c r="I350" s="1502"/>
      <c r="J350" s="1502"/>
      <c r="K350" s="1502"/>
      <c r="L350" s="1502"/>
      <c r="M350" s="1502"/>
      <c r="N350" s="1502"/>
      <c r="O350" s="1502"/>
      <c r="P350" s="1502"/>
      <c r="Q350" s="1988">
        <f>ROUND((Q$18+SUM(Q341:Q349))*$E350*$F350/12,-2)</f>
        <v>730800</v>
      </c>
      <c r="R350" s="1502">
        <f t="shared" ref="R350:U350" si="193">ROUND((R$18+SUM(R341:R349))*$E350,-2)</f>
        <v>734400</v>
      </c>
      <c r="S350" s="1502">
        <f t="shared" si="193"/>
        <v>739200</v>
      </c>
      <c r="T350" s="1502">
        <f t="shared" si="193"/>
        <v>741700</v>
      </c>
      <c r="U350" s="1502">
        <f t="shared" si="193"/>
        <v>745400</v>
      </c>
    </row>
    <row r="351" spans="3:21">
      <c r="C351" s="1476" t="e">
        <f>IF(D351="","",MAX(C$7:C350)+1)</f>
        <v>#N/A</v>
      </c>
      <c r="D351" s="1986">
        <v>44927</v>
      </c>
      <c r="E351" s="1547">
        <v>0.05</v>
      </c>
      <c r="F351" s="1548">
        <f>INDEX(Dashboard!$F$12:$S$12,1,MATCH($D351,Dashboard!$F$11:$S$11,0))</f>
        <v>12</v>
      </c>
      <c r="G351" s="1502"/>
      <c r="H351" s="1490"/>
      <c r="I351" s="1502"/>
      <c r="J351" s="1502"/>
      <c r="K351" s="1502"/>
      <c r="L351" s="1502"/>
      <c r="M351" s="1502"/>
      <c r="N351" s="1502"/>
      <c r="O351" s="1502"/>
      <c r="P351" s="1502"/>
      <c r="Q351" s="1502"/>
      <c r="R351" s="1988">
        <f>ROUND((R$18+SUM(R341:R350))*$E351*$F351/12,-2)</f>
        <v>771200</v>
      </c>
      <c r="S351" s="1502">
        <f t="shared" ref="S351:U351" si="194">ROUND((S$18+SUM(S341:S350))*$E351,-2)</f>
        <v>776200</v>
      </c>
      <c r="T351" s="1502">
        <f t="shared" si="194"/>
        <v>778800</v>
      </c>
      <c r="U351" s="1502">
        <f t="shared" si="194"/>
        <v>782700</v>
      </c>
    </row>
    <row r="352" spans="3:21" ht="16.5" thickBot="1">
      <c r="C352" s="1476" t="e">
        <f>IF(D352="","",MAX(C$7:C351)+1)</f>
        <v>#N/A</v>
      </c>
      <c r="D352" s="1986">
        <v>45292</v>
      </c>
      <c r="E352" s="1549">
        <v>0.05</v>
      </c>
      <c r="F352" s="1550">
        <f>INDEX(Dashboard!$F$12:$S$12,1,MATCH($D352,Dashboard!$F$11:$S$11,0))</f>
        <v>12</v>
      </c>
      <c r="G352" s="1502"/>
      <c r="H352" s="1490"/>
      <c r="I352" s="1502"/>
      <c r="J352" s="1502"/>
      <c r="K352" s="1502"/>
      <c r="L352" s="1502"/>
      <c r="M352" s="1502"/>
      <c r="N352" s="1502"/>
      <c r="O352" s="1502"/>
      <c r="P352" s="1502"/>
      <c r="Q352" s="1502"/>
      <c r="R352" s="1502"/>
      <c r="S352" s="1988">
        <f>ROUND((S$18+SUM(S341:S351))*$E352*$F352/12,-2)</f>
        <v>815000</v>
      </c>
      <c r="T352" s="1502">
        <f t="shared" ref="T352:U352" si="195">ROUND((T$18+SUM(T341:T351))*$E352,-2)</f>
        <v>817700</v>
      </c>
      <c r="U352" s="1502">
        <f t="shared" si="195"/>
        <v>821800</v>
      </c>
    </row>
    <row r="353" spans="3:21">
      <c r="C353" s="1476" t="e">
        <f>IF(D353="","",MAX(C$7:C352)+1)</f>
        <v>#N/A</v>
      </c>
      <c r="D353" s="1986">
        <v>45658</v>
      </c>
      <c r="E353" s="1545">
        <v>0.05</v>
      </c>
      <c r="F353" s="1546">
        <f>INDEX(Dashboard!$F$12:$S$12,1,MATCH($D353,Dashboard!$F$11:$S$11,0))</f>
        <v>12</v>
      </c>
      <c r="G353" s="1502"/>
      <c r="H353" s="1490"/>
      <c r="I353" s="1502"/>
      <c r="J353" s="1502"/>
      <c r="K353" s="1502"/>
      <c r="L353" s="1502"/>
      <c r="M353" s="1502"/>
      <c r="N353" s="1502"/>
      <c r="O353" s="1502"/>
      <c r="P353" s="1502"/>
      <c r="Q353" s="1502"/>
      <c r="R353" s="1502"/>
      <c r="S353" s="1502"/>
      <c r="T353" s="1988">
        <f>ROUND((T$18+SUM(T341:T352))*$E353*$F353/12,-2)</f>
        <v>858600</v>
      </c>
      <c r="U353" s="1502">
        <f>ROUND((U$18+SUM(U341:U352))*$E353,-2)</f>
        <v>862900</v>
      </c>
    </row>
    <row r="354" spans="3:21" ht="16.5" thickBot="1">
      <c r="C354" s="1476" t="e">
        <f>IF(D354="","",MAX(C$7:C353)+1)</f>
        <v>#N/A</v>
      </c>
      <c r="D354" s="1986">
        <v>46023</v>
      </c>
      <c r="E354" s="1549">
        <v>4.8000000000000001E-2</v>
      </c>
      <c r="F354" s="1550">
        <f>INDEX(Dashboard!$F$12:$S$12,1,MATCH($D354,Dashboard!$F$11:$S$11,0))</f>
        <v>12</v>
      </c>
      <c r="G354" s="1502"/>
      <c r="H354" s="1490"/>
      <c r="I354" s="1502"/>
      <c r="J354" s="1502"/>
      <c r="K354" s="1502"/>
      <c r="L354" s="1502"/>
      <c r="M354" s="1502"/>
      <c r="N354" s="1502"/>
      <c r="O354" s="1502"/>
      <c r="P354" s="1502"/>
      <c r="Q354" s="1502"/>
      <c r="R354" s="1502"/>
      <c r="S354" s="1502"/>
      <c r="T354" s="1502"/>
      <c r="U354" s="1988">
        <f>ROUND((U$18+SUM(U341:U353))*$E354*$F354/12,-2)</f>
        <v>869800</v>
      </c>
    </row>
    <row r="355" spans="3:21" hidden="1">
      <c r="C355" s="1476" t="e">
        <f>IF(D355="","",MAX(C$7:C354)+1)</f>
        <v>#N/A</v>
      </c>
      <c r="D355" s="1986" t="e">
        <v>#N/A</v>
      </c>
      <c r="E355" s="1547">
        <v>0</v>
      </c>
      <c r="F355" s="1548" t="e">
        <f>INDEX(Dashboard!$F$12:$S$12,1,MATCH($D355,Dashboard!$F$11:$S$11,0))</f>
        <v>#N/A</v>
      </c>
      <c r="G355" s="1502"/>
      <c r="H355" s="1490"/>
      <c r="I355" s="1502"/>
      <c r="J355" s="1502"/>
      <c r="K355" s="1502"/>
      <c r="L355" s="1502"/>
      <c r="M355" s="1502"/>
      <c r="N355" s="1502"/>
      <c r="O355" s="1502"/>
      <c r="P355" s="1502"/>
      <c r="Q355" s="1502"/>
      <c r="R355" s="1502"/>
      <c r="S355" s="1502"/>
      <c r="T355" s="1502"/>
      <c r="U355" s="1502"/>
    </row>
    <row r="356" spans="3:21" hidden="1">
      <c r="C356" s="1476" t="e">
        <f>IF(D356="","",MAX(C$7:C355)+1)</f>
        <v>#N/A</v>
      </c>
      <c r="D356" s="1986" t="e">
        <v>#N/A</v>
      </c>
      <c r="E356" s="1547">
        <v>0</v>
      </c>
      <c r="F356" s="1548" t="e">
        <f>INDEX(Dashboard!$F$12:$S$12,1,MATCH($D356,Dashboard!$F$11:$S$11,0))</f>
        <v>#N/A</v>
      </c>
      <c r="G356" s="1502"/>
      <c r="H356" s="1490"/>
      <c r="I356" s="1502"/>
      <c r="J356" s="1502"/>
      <c r="K356" s="1502"/>
      <c r="L356" s="1502"/>
      <c r="M356" s="1502"/>
      <c r="N356" s="1502"/>
      <c r="O356" s="1502"/>
      <c r="P356" s="1502"/>
      <c r="Q356" s="1502"/>
      <c r="R356" s="1502"/>
      <c r="S356" s="1502"/>
      <c r="T356" s="1502"/>
      <c r="U356" s="1502"/>
    </row>
    <row r="357" spans="3:21" hidden="1">
      <c r="C357" s="1476" t="e">
        <f>IF(D357="","",MAX(C$7:C356)+1)</f>
        <v>#N/A</v>
      </c>
      <c r="D357" s="1986" t="e">
        <v>#N/A</v>
      </c>
      <c r="E357" s="1547">
        <v>0</v>
      </c>
      <c r="F357" s="1548" t="e">
        <f>INDEX(Dashboard!$F$12:$S$12,1,MATCH($D357,Dashboard!$F$11:$S$11,0))</f>
        <v>#N/A</v>
      </c>
      <c r="G357" s="1502"/>
      <c r="H357" s="1490"/>
      <c r="I357" s="1502"/>
      <c r="J357" s="1502"/>
      <c r="K357" s="1502"/>
      <c r="L357" s="1502"/>
      <c r="M357" s="1502"/>
      <c r="N357" s="1502"/>
      <c r="O357" s="1502"/>
      <c r="P357" s="1502"/>
      <c r="Q357" s="1502"/>
      <c r="R357" s="1502"/>
      <c r="S357" s="1502"/>
      <c r="T357" s="1502"/>
      <c r="U357" s="1502"/>
    </row>
    <row r="358" spans="3:21" ht="16.5" hidden="1" thickBot="1">
      <c r="C358" s="1476" t="e">
        <f>IF(D358="","",MAX(C$7:C357)+1)</f>
        <v>#N/A</v>
      </c>
      <c r="D358" s="1986" t="e">
        <v>#N/A</v>
      </c>
      <c r="E358" s="1549">
        <v>0</v>
      </c>
      <c r="F358" s="1550" t="e">
        <f>INDEX(Dashboard!$F$12:$S$12,1,MATCH($D358,Dashboard!$F$11:$S$11,0))</f>
        <v>#N/A</v>
      </c>
      <c r="G358" s="1502"/>
      <c r="H358" s="1490"/>
      <c r="I358" s="1502"/>
      <c r="J358" s="1502"/>
      <c r="K358" s="1502"/>
      <c r="L358" s="1502"/>
      <c r="M358" s="1502"/>
      <c r="N358" s="1502"/>
      <c r="O358" s="1502"/>
      <c r="P358" s="1502"/>
      <c r="Q358" s="1502"/>
      <c r="R358" s="1502"/>
      <c r="S358" s="1502"/>
      <c r="T358" s="1502"/>
      <c r="U358" s="1502"/>
    </row>
    <row r="359" spans="3:21">
      <c r="C359" s="1476" t="str">
        <f>IF(D359="","",MAX(C$7:C358)+1)</f>
        <v/>
      </c>
      <c r="D359" s="1468"/>
      <c r="E359" s="1468"/>
      <c r="F359" s="1468"/>
      <c r="G359" s="1987"/>
      <c r="H359" s="1987"/>
      <c r="I359" s="1502"/>
      <c r="J359" s="1502"/>
      <c r="K359" s="1502"/>
      <c r="L359" s="1502"/>
      <c r="M359" s="1502"/>
      <c r="N359" s="1502"/>
      <c r="O359" s="1502"/>
      <c r="P359" s="1502"/>
      <c r="Q359" s="1502"/>
      <c r="R359" s="1502"/>
      <c r="S359" s="1502"/>
      <c r="T359" s="1502"/>
      <c r="U359" s="1502"/>
    </row>
    <row r="360" spans="3:21">
      <c r="C360" s="1476" t="e">
        <f>IF(D360="","",MAX(C$7:C359)+1)</f>
        <v>#N/A</v>
      </c>
      <c r="D360" s="1468" t="s">
        <v>1047</v>
      </c>
      <c r="E360" s="1468"/>
      <c r="F360" s="1468"/>
      <c r="G360" s="1504">
        <f t="shared" ref="G360:U360" si="196">SUM(G342:G359)</f>
        <v>0</v>
      </c>
      <c r="H360" s="1504">
        <f t="shared" si="196"/>
        <v>0</v>
      </c>
      <c r="I360" s="1504">
        <f t="shared" si="196"/>
        <v>0</v>
      </c>
      <c r="J360" s="1504">
        <f t="shared" si="196"/>
        <v>0</v>
      </c>
      <c r="K360" s="1504">
        <f t="shared" si="196"/>
        <v>0</v>
      </c>
      <c r="L360" s="1504">
        <f t="shared" si="196"/>
        <v>501900</v>
      </c>
      <c r="M360" s="1504">
        <f t="shared" si="196"/>
        <v>1039700</v>
      </c>
      <c r="N360" s="1504">
        <f t="shared" si="196"/>
        <v>1778600</v>
      </c>
      <c r="O360" s="1504">
        <f t="shared" si="196"/>
        <v>2447700</v>
      </c>
      <c r="P360" s="1504">
        <f t="shared" si="196"/>
        <v>3148500</v>
      </c>
      <c r="Q360" s="1504">
        <f t="shared" si="196"/>
        <v>3894800</v>
      </c>
      <c r="R360" s="1504">
        <f t="shared" si="196"/>
        <v>4685400</v>
      </c>
      <c r="S360" s="1504">
        <f t="shared" si="196"/>
        <v>5530900</v>
      </c>
      <c r="T360" s="1504">
        <f t="shared" si="196"/>
        <v>6408100</v>
      </c>
      <c r="U360" s="1504">
        <f t="shared" si="196"/>
        <v>7309700</v>
      </c>
    </row>
    <row r="361" spans="3:21">
      <c r="C361" s="1476" t="e">
        <f>IF(D361="","",MAX(C$7:C360)+1)</f>
        <v>#N/A</v>
      </c>
      <c r="D361" s="1468" t="s">
        <v>2772</v>
      </c>
      <c r="E361" s="1"/>
      <c r="F361" s="1"/>
      <c r="G361" s="1"/>
      <c r="H361" s="1"/>
      <c r="J361" s="424">
        <f>J360-J343</f>
        <v>0</v>
      </c>
      <c r="K361" s="424">
        <f>K360-K344</f>
        <v>0</v>
      </c>
      <c r="L361" s="424">
        <f>L360-L345</f>
        <v>0</v>
      </c>
      <c r="M361" s="424">
        <f>M360-M346</f>
        <v>507200</v>
      </c>
      <c r="N361" s="424">
        <f>N360-N347</f>
        <v>1156600</v>
      </c>
      <c r="O361" s="424">
        <f>O360-O348</f>
        <v>1790300</v>
      </c>
      <c r="P361" s="424">
        <f>P360-P349</f>
        <v>2455900</v>
      </c>
      <c r="Q361" s="424">
        <f>Q360-Q350</f>
        <v>3164000</v>
      </c>
      <c r="R361" s="424">
        <f>R360-R351</f>
        <v>3914200</v>
      </c>
      <c r="S361" s="424">
        <f>S360-S352</f>
        <v>4715900</v>
      </c>
      <c r="T361" s="424">
        <f>T360-T353</f>
        <v>5549500</v>
      </c>
      <c r="U361" s="424">
        <f>U360-U354</f>
        <v>6439900</v>
      </c>
    </row>
    <row r="362" spans="3:21" ht="16.5" thickBot="1"/>
    <row r="363" spans="3:21" ht="16.5" thickBot="1">
      <c r="C363" s="1"/>
      <c r="D363" s="4528" t="str">
        <f>$D$19</f>
        <v>Agricultural Boiler (85)</v>
      </c>
      <c r="E363" s="4529"/>
      <c r="F363" s="4530"/>
      <c r="G363" s="1"/>
      <c r="H363" s="1"/>
    </row>
    <row r="364" spans="3:21">
      <c r="C364" s="1476" t="e">
        <f>IF(D364="","",MAX(C$7:C362)+1)</f>
        <v>#N/A</v>
      </c>
      <c r="D364" s="1491" t="s">
        <v>1042</v>
      </c>
      <c r="E364" s="1468"/>
      <c r="F364" s="1983" t="s">
        <v>1043</v>
      </c>
      <c r="G364" s="1490"/>
      <c r="H364" s="1490"/>
      <c r="I364" s="1490"/>
      <c r="J364" s="1490"/>
      <c r="K364" s="1490"/>
      <c r="L364" s="1490"/>
      <c r="M364" s="1490"/>
      <c r="N364" s="1490"/>
      <c r="O364" s="1490"/>
      <c r="P364" s="1490"/>
      <c r="Q364" s="1490"/>
      <c r="R364" s="1490"/>
      <c r="S364" s="1490"/>
      <c r="T364" s="1490"/>
      <c r="U364" s="1490"/>
    </row>
    <row r="365" spans="3:21">
      <c r="C365" s="1476" t="e">
        <f>IF(D365="","",MAX(C$7:C364)+1)</f>
        <v>#N/A</v>
      </c>
      <c r="D365" s="1984" t="s">
        <v>1044</v>
      </c>
      <c r="E365" s="1985" t="s">
        <v>1045</v>
      </c>
      <c r="F365" s="1985" t="s">
        <v>1046</v>
      </c>
      <c r="G365" s="1490"/>
      <c r="H365" s="1490"/>
      <c r="I365" s="1490"/>
      <c r="J365" s="1490"/>
      <c r="K365" s="1490"/>
      <c r="L365" s="1490"/>
      <c r="M365" s="1490"/>
      <c r="N365" s="1490"/>
      <c r="O365" s="1490"/>
      <c r="P365" s="1490"/>
      <c r="Q365" s="1490"/>
      <c r="R365" s="1490"/>
      <c r="S365" s="1490"/>
      <c r="T365" s="1490"/>
      <c r="U365" s="1490"/>
    </row>
    <row r="366" spans="3:21" ht="16.5" thickBot="1">
      <c r="C366" s="1476" t="str">
        <f>IF(D366="","",MAX(C$7:C365)+1)</f>
        <v/>
      </c>
      <c r="D366" s="1489"/>
      <c r="E366" s="1489"/>
      <c r="F366" s="1489"/>
      <c r="G366" s="1490"/>
      <c r="H366" s="1490"/>
      <c r="I366" s="1490"/>
      <c r="J366" s="1490"/>
      <c r="K366" s="1490"/>
      <c r="L366" s="1490"/>
      <c r="M366" s="1490"/>
      <c r="N366" s="1490"/>
      <c r="O366" s="1490"/>
      <c r="P366" s="1490"/>
      <c r="Q366" s="1490"/>
      <c r="R366" s="1490"/>
      <c r="S366" s="1490"/>
      <c r="T366" s="1490"/>
      <c r="U366" s="1490"/>
    </row>
    <row r="367" spans="3:21">
      <c r="C367" s="1476" t="e">
        <f>IF(D367="","",MAX(C$7:C366)+1)</f>
        <v>#N/A</v>
      </c>
      <c r="D367" s="1986">
        <f t="array" ref="D367:D383">TRANSPOSE(Dashboard!$G$11:$S$11)</f>
        <v>41640</v>
      </c>
      <c r="E367" s="1989">
        <f>INDEX(Dashboard!$F$10:$S$10,1,MATCH($D367,Dashboard!$F$11:$S$11,0))</f>
        <v>0</v>
      </c>
      <c r="F367" s="1546">
        <f>INDEX(Dashboard!$F$12:$S$12,1,MATCH($D367,Dashboard!$F$11:$S$11,0))</f>
        <v>12</v>
      </c>
      <c r="G367" s="1502"/>
      <c r="H367" s="1490"/>
      <c r="I367" s="1988">
        <f>ROUND((I$19+SUM(I366:I366))*$E367*$F367/12,-2)</f>
        <v>0</v>
      </c>
      <c r="J367" s="1502">
        <f t="shared" ref="J367:U367" si="197">ROUND((J$19+SUM(J366:J366))*$E367,-2)</f>
        <v>0</v>
      </c>
      <c r="K367" s="1502">
        <f t="shared" si="197"/>
        <v>0</v>
      </c>
      <c r="L367" s="1502">
        <f t="shared" si="197"/>
        <v>0</v>
      </c>
      <c r="M367" s="1502">
        <f t="shared" si="197"/>
        <v>0</v>
      </c>
      <c r="N367" s="1502">
        <f t="shared" si="197"/>
        <v>0</v>
      </c>
      <c r="O367" s="1502">
        <f t="shared" si="197"/>
        <v>0</v>
      </c>
      <c r="P367" s="1502">
        <f t="shared" si="197"/>
        <v>0</v>
      </c>
      <c r="Q367" s="1502">
        <f t="shared" si="197"/>
        <v>0</v>
      </c>
      <c r="R367" s="1502">
        <f t="shared" si="197"/>
        <v>0</v>
      </c>
      <c r="S367" s="1502">
        <f t="shared" si="197"/>
        <v>0</v>
      </c>
      <c r="T367" s="1502">
        <f t="shared" si="197"/>
        <v>0</v>
      </c>
      <c r="U367" s="1502">
        <f t="shared" si="197"/>
        <v>0</v>
      </c>
    </row>
    <row r="368" spans="3:21">
      <c r="C368" s="1476" t="e">
        <f>IF(D368="","",MAX(C$7:C367)+1)</f>
        <v>#N/A</v>
      </c>
      <c r="D368" s="1986">
        <v>42005</v>
      </c>
      <c r="E368" s="1547">
        <f t="array" ref="E368:E383">TRANSPOSE('COS_Summ (cumulative)'!$I$20:$X$20)</f>
        <v>0</v>
      </c>
      <c r="F368" s="1548">
        <f>INDEX(Dashboard!$F$12:$S$12,1,MATCH($D368,Dashboard!$F$11:$S$11,0))</f>
        <v>12</v>
      </c>
      <c r="G368" s="1502"/>
      <c r="H368" s="1490"/>
      <c r="I368" s="1502"/>
      <c r="J368" s="1988">
        <f>ROUND((J$19+SUM(J367:J367))*$E368*$F368/12,-2)</f>
        <v>0</v>
      </c>
      <c r="K368" s="1502">
        <f t="shared" ref="K368:U368" si="198">ROUND((K$19+SUM(K366:K367))*$E368,-2)</f>
        <v>0</v>
      </c>
      <c r="L368" s="1502">
        <f t="shared" si="198"/>
        <v>0</v>
      </c>
      <c r="M368" s="1502">
        <f t="shared" si="198"/>
        <v>0</v>
      </c>
      <c r="N368" s="1502">
        <f t="shared" si="198"/>
        <v>0</v>
      </c>
      <c r="O368" s="1502">
        <f t="shared" si="198"/>
        <v>0</v>
      </c>
      <c r="P368" s="1502">
        <f t="shared" si="198"/>
        <v>0</v>
      </c>
      <c r="Q368" s="1502">
        <f t="shared" si="198"/>
        <v>0</v>
      </c>
      <c r="R368" s="1502">
        <f t="shared" si="198"/>
        <v>0</v>
      </c>
      <c r="S368" s="1502">
        <f t="shared" si="198"/>
        <v>0</v>
      </c>
      <c r="T368" s="1502">
        <f t="shared" si="198"/>
        <v>0</v>
      </c>
      <c r="U368" s="1502">
        <f t="shared" si="198"/>
        <v>0</v>
      </c>
    </row>
    <row r="369" spans="3:21">
      <c r="C369" s="1476" t="e">
        <f>IF(D369="","",MAX(C$7:C368)+1)</f>
        <v>#N/A</v>
      </c>
      <c r="D369" s="1986">
        <v>42370</v>
      </c>
      <c r="E369" s="1547">
        <v>0</v>
      </c>
      <c r="F369" s="1548">
        <f>INDEX(Dashboard!$F$12:$S$12,1,MATCH($D369,Dashboard!$F$11:$S$11,0))</f>
        <v>12</v>
      </c>
      <c r="G369" s="1502"/>
      <c r="H369" s="1490"/>
      <c r="I369" s="1502"/>
      <c r="J369" s="1502"/>
      <c r="K369" s="1988">
        <f>ROUND((K$19+SUM(K367:K368))*$E369*$F369/12,-2)</f>
        <v>0</v>
      </c>
      <c r="L369" s="1502">
        <f t="shared" ref="L369:U369" si="199">ROUND((L$19+SUM(L366:L368))*$E369,-2)</f>
        <v>0</v>
      </c>
      <c r="M369" s="1502">
        <f t="shared" si="199"/>
        <v>0</v>
      </c>
      <c r="N369" s="1502">
        <f t="shared" si="199"/>
        <v>0</v>
      </c>
      <c r="O369" s="1502">
        <f t="shared" si="199"/>
        <v>0</v>
      </c>
      <c r="P369" s="1502">
        <f t="shared" si="199"/>
        <v>0</v>
      </c>
      <c r="Q369" s="1502">
        <f t="shared" si="199"/>
        <v>0</v>
      </c>
      <c r="R369" s="1502">
        <f t="shared" si="199"/>
        <v>0</v>
      </c>
      <c r="S369" s="1502">
        <f t="shared" si="199"/>
        <v>0</v>
      </c>
      <c r="T369" s="1502">
        <f t="shared" si="199"/>
        <v>0</v>
      </c>
      <c r="U369" s="1502">
        <f t="shared" si="199"/>
        <v>0</v>
      </c>
    </row>
    <row r="370" spans="3:21">
      <c r="C370" s="1476" t="e">
        <f>IF(D370="","",MAX(C$7:C369)+1)</f>
        <v>#N/A</v>
      </c>
      <c r="D370" s="1986">
        <v>42736</v>
      </c>
      <c r="E370" s="1547">
        <v>0.05</v>
      </c>
      <c r="F370" s="1548">
        <f>INDEX(Dashboard!$F$12:$S$12,1,MATCH($D370,Dashboard!$F$11:$S$11,0))</f>
        <v>12</v>
      </c>
      <c r="G370" s="1502"/>
      <c r="H370" s="1490"/>
      <c r="I370" s="1502"/>
      <c r="J370" s="1502"/>
      <c r="K370" s="1502"/>
      <c r="L370" s="1988">
        <f>ROUND((L$19+SUM(L366:L369))*$E370*$F370/12,-2)</f>
        <v>700</v>
      </c>
      <c r="M370" s="1502">
        <f t="shared" ref="M370:U370" si="200">ROUND((M$19+SUM(M366:M369))*$E370,-2)</f>
        <v>700</v>
      </c>
      <c r="N370" s="1502">
        <f t="shared" si="200"/>
        <v>700</v>
      </c>
      <c r="O370" s="1502">
        <f t="shared" si="200"/>
        <v>700</v>
      </c>
      <c r="P370" s="1502">
        <f t="shared" si="200"/>
        <v>700</v>
      </c>
      <c r="Q370" s="1502">
        <f t="shared" si="200"/>
        <v>700</v>
      </c>
      <c r="R370" s="1502">
        <f t="shared" si="200"/>
        <v>700</v>
      </c>
      <c r="S370" s="1502">
        <f t="shared" si="200"/>
        <v>700</v>
      </c>
      <c r="T370" s="1502">
        <f t="shared" si="200"/>
        <v>700</v>
      </c>
      <c r="U370" s="1502">
        <f t="shared" si="200"/>
        <v>700</v>
      </c>
    </row>
    <row r="371" spans="3:21">
      <c r="C371" s="1476" t="e">
        <f>IF(D371="","",MAX(C$7:C370)+1)</f>
        <v>#N/A</v>
      </c>
      <c r="D371" s="1986">
        <v>43101</v>
      </c>
      <c r="E371" s="1547">
        <v>0.05</v>
      </c>
      <c r="F371" s="1548">
        <f>INDEX(Dashboard!$F$12:$S$12,1,MATCH($D371,Dashboard!$F$11:$S$11,0))</f>
        <v>12</v>
      </c>
      <c r="G371" s="1502"/>
      <c r="H371" s="1490"/>
      <c r="I371" s="1502"/>
      <c r="J371" s="1502"/>
      <c r="K371" s="1502"/>
      <c r="L371" s="1502"/>
      <c r="M371" s="1988">
        <f>ROUND((M$19+SUM(M366:M370))*$E371*$F371/12,-2)</f>
        <v>700</v>
      </c>
      <c r="N371" s="1502">
        <f t="shared" ref="N371:U371" si="201">ROUND((N$19+SUM(N366:N370))*$E371,-2)</f>
        <v>700</v>
      </c>
      <c r="O371" s="1502">
        <f t="shared" si="201"/>
        <v>700</v>
      </c>
      <c r="P371" s="1502">
        <f t="shared" si="201"/>
        <v>700</v>
      </c>
      <c r="Q371" s="1502">
        <f t="shared" si="201"/>
        <v>700</v>
      </c>
      <c r="R371" s="1502">
        <f t="shared" si="201"/>
        <v>700</v>
      </c>
      <c r="S371" s="1502">
        <f t="shared" si="201"/>
        <v>700</v>
      </c>
      <c r="T371" s="1502">
        <f t="shared" si="201"/>
        <v>700</v>
      </c>
      <c r="U371" s="1502">
        <f t="shared" si="201"/>
        <v>700</v>
      </c>
    </row>
    <row r="372" spans="3:21">
      <c r="C372" s="1476" t="e">
        <f>IF(D372="","",MAX(C$7:C371)+1)</f>
        <v>#N/A</v>
      </c>
      <c r="D372" s="1986">
        <v>43466</v>
      </c>
      <c r="E372" s="1547">
        <v>0.05</v>
      </c>
      <c r="F372" s="1548">
        <f>INDEX(Dashboard!$F$12:$S$12,1,MATCH($D372,Dashboard!$F$11:$S$11,0))</f>
        <v>12</v>
      </c>
      <c r="G372" s="1502"/>
      <c r="H372" s="1490"/>
      <c r="I372" s="1502"/>
      <c r="J372" s="1502"/>
      <c r="K372" s="1502"/>
      <c r="L372" s="1502"/>
      <c r="M372" s="1502"/>
      <c r="N372" s="1988">
        <f>ROUND((N$19+SUM(N366:N371))*$E372*$F372/12,-2)</f>
        <v>700</v>
      </c>
      <c r="O372" s="1502">
        <f t="shared" ref="O372:U372" si="202">ROUND((O$19+SUM(O366:O371))*$E372,-2)</f>
        <v>700</v>
      </c>
      <c r="P372" s="1502">
        <f t="shared" si="202"/>
        <v>700</v>
      </c>
      <c r="Q372" s="1502">
        <f t="shared" si="202"/>
        <v>700</v>
      </c>
      <c r="R372" s="1502">
        <f t="shared" si="202"/>
        <v>700</v>
      </c>
      <c r="S372" s="1502">
        <f t="shared" si="202"/>
        <v>700</v>
      </c>
      <c r="T372" s="1502">
        <f t="shared" si="202"/>
        <v>700</v>
      </c>
      <c r="U372" s="1502">
        <f t="shared" si="202"/>
        <v>700</v>
      </c>
    </row>
    <row r="373" spans="3:21">
      <c r="C373" s="1476" t="e">
        <f>IF(D373="","",MAX(C$7:C372)+1)</f>
        <v>#N/A</v>
      </c>
      <c r="D373" s="1986">
        <v>43831</v>
      </c>
      <c r="E373" s="1547">
        <v>0.05</v>
      </c>
      <c r="F373" s="1548">
        <f>INDEX(Dashboard!$F$12:$S$12,1,MATCH($D373,Dashboard!$F$11:$S$11,0))</f>
        <v>12</v>
      </c>
      <c r="G373" s="1502"/>
      <c r="H373" s="1490"/>
      <c r="I373" s="1502"/>
      <c r="J373" s="1502"/>
      <c r="K373" s="1502"/>
      <c r="L373" s="1502"/>
      <c r="M373" s="1502"/>
      <c r="N373" s="1502"/>
      <c r="O373" s="1988">
        <f>ROUND((O$19+SUM(O366:O372))*$E373*$F373/12,-2)</f>
        <v>800</v>
      </c>
      <c r="P373" s="1502">
        <f t="shared" ref="P373:U373" si="203">ROUND((P$19+SUM(P366:P372))*$E373,-2)</f>
        <v>800</v>
      </c>
      <c r="Q373" s="1502">
        <f t="shared" si="203"/>
        <v>800</v>
      </c>
      <c r="R373" s="1502">
        <f t="shared" si="203"/>
        <v>800</v>
      </c>
      <c r="S373" s="1502">
        <f t="shared" si="203"/>
        <v>800</v>
      </c>
      <c r="T373" s="1502">
        <f t="shared" si="203"/>
        <v>800</v>
      </c>
      <c r="U373" s="1502">
        <f t="shared" si="203"/>
        <v>800</v>
      </c>
    </row>
    <row r="374" spans="3:21">
      <c r="C374" s="1476" t="e">
        <f>IF(D374="","",MAX(C$7:C373)+1)</f>
        <v>#N/A</v>
      </c>
      <c r="D374" s="1986">
        <v>44197</v>
      </c>
      <c r="E374" s="1547">
        <v>0.05</v>
      </c>
      <c r="F374" s="1548">
        <f>INDEX(Dashboard!$F$12:$S$12,1,MATCH($D374,Dashboard!$F$11:$S$11,0))</f>
        <v>12</v>
      </c>
      <c r="G374" s="1502"/>
      <c r="H374" s="1490"/>
      <c r="I374" s="1502"/>
      <c r="J374" s="1502"/>
      <c r="K374" s="1502"/>
      <c r="L374" s="1502"/>
      <c r="M374" s="1502"/>
      <c r="N374" s="1502"/>
      <c r="O374" s="1502"/>
      <c r="P374" s="1988">
        <f>ROUND((P$19+SUM(P366:P373))*$E374*$F374/12,-2)</f>
        <v>800</v>
      </c>
      <c r="Q374" s="1502">
        <f t="shared" ref="Q374:U374" si="204">ROUND((Q$19+SUM(Q366:Q373))*$E374,-2)</f>
        <v>800</v>
      </c>
      <c r="R374" s="1502">
        <f t="shared" si="204"/>
        <v>800</v>
      </c>
      <c r="S374" s="1502">
        <f t="shared" si="204"/>
        <v>800</v>
      </c>
      <c r="T374" s="1502">
        <f t="shared" si="204"/>
        <v>800</v>
      </c>
      <c r="U374" s="1502">
        <f t="shared" si="204"/>
        <v>800</v>
      </c>
    </row>
    <row r="375" spans="3:21">
      <c r="C375" s="1476" t="e">
        <f>IF(D375="","",MAX(C$7:C374)+1)</f>
        <v>#N/A</v>
      </c>
      <c r="D375" s="1986">
        <v>44562</v>
      </c>
      <c r="E375" s="1547">
        <v>0.05</v>
      </c>
      <c r="F375" s="1548">
        <f>INDEX(Dashboard!$F$12:$S$12,1,MATCH($D375,Dashboard!$F$11:$S$11,0))</f>
        <v>12</v>
      </c>
      <c r="G375" s="1502"/>
      <c r="H375" s="1490"/>
      <c r="I375" s="1502"/>
      <c r="J375" s="1502"/>
      <c r="K375" s="1502"/>
      <c r="L375" s="1502"/>
      <c r="M375" s="1502"/>
      <c r="N375" s="1502"/>
      <c r="O375" s="1502"/>
      <c r="P375" s="1502"/>
      <c r="Q375" s="1988">
        <f>ROUND((Q$19+SUM(Q366:Q374))*$E375*$F375/12,-2)</f>
        <v>800</v>
      </c>
      <c r="R375" s="1502">
        <f t="shared" ref="R375:U375" si="205">ROUND((R$19+SUM(R366:R374))*$E375,-2)</f>
        <v>800</v>
      </c>
      <c r="S375" s="1502">
        <f t="shared" si="205"/>
        <v>800</v>
      </c>
      <c r="T375" s="1502">
        <f t="shared" si="205"/>
        <v>800</v>
      </c>
      <c r="U375" s="1502">
        <f t="shared" si="205"/>
        <v>800</v>
      </c>
    </row>
    <row r="376" spans="3:21">
      <c r="C376" s="1476" t="e">
        <f>IF(D376="","",MAX(C$7:C375)+1)</f>
        <v>#N/A</v>
      </c>
      <c r="D376" s="1986">
        <v>44927</v>
      </c>
      <c r="E376" s="1547">
        <v>0.05</v>
      </c>
      <c r="F376" s="1548">
        <f>INDEX(Dashboard!$F$12:$S$12,1,MATCH($D376,Dashboard!$F$11:$S$11,0))</f>
        <v>12</v>
      </c>
      <c r="G376" s="1502"/>
      <c r="H376" s="1490"/>
      <c r="I376" s="1502"/>
      <c r="J376" s="1502"/>
      <c r="K376" s="1502"/>
      <c r="L376" s="1502"/>
      <c r="M376" s="1502"/>
      <c r="N376" s="1502"/>
      <c r="O376" s="1502"/>
      <c r="P376" s="1502"/>
      <c r="Q376" s="1502"/>
      <c r="R376" s="1988">
        <f>ROUND((R$19+SUM(R366:R375))*$E376*$F376/12,-2)</f>
        <v>900</v>
      </c>
      <c r="S376" s="1502">
        <f t="shared" ref="S376:U376" si="206">ROUND((S$19+SUM(S366:S375))*$E376,-2)</f>
        <v>900</v>
      </c>
      <c r="T376" s="1502">
        <f t="shared" si="206"/>
        <v>900</v>
      </c>
      <c r="U376" s="1502">
        <f t="shared" si="206"/>
        <v>900</v>
      </c>
    </row>
    <row r="377" spans="3:21" ht="16.5" thickBot="1">
      <c r="C377" s="1476" t="e">
        <f>IF(D377="","",MAX(C$7:C376)+1)</f>
        <v>#N/A</v>
      </c>
      <c r="D377" s="1986">
        <v>45292</v>
      </c>
      <c r="E377" s="1549">
        <v>0.05</v>
      </c>
      <c r="F377" s="1550">
        <f>INDEX(Dashboard!$F$12:$S$12,1,MATCH($D377,Dashboard!$F$11:$S$11,0))</f>
        <v>12</v>
      </c>
      <c r="G377" s="1502"/>
      <c r="H377" s="1490"/>
      <c r="I377" s="1502"/>
      <c r="J377" s="1502"/>
      <c r="K377" s="1502"/>
      <c r="L377" s="1502"/>
      <c r="M377" s="1502"/>
      <c r="N377" s="1502"/>
      <c r="O377" s="1502"/>
      <c r="P377" s="1502"/>
      <c r="Q377" s="1502"/>
      <c r="R377" s="1502"/>
      <c r="S377" s="1988">
        <f>ROUND((S$19+SUM(S366:S376))*$E377*$F377/12,-2)</f>
        <v>900</v>
      </c>
      <c r="T377" s="1502">
        <f t="shared" ref="T377:U377" si="207">ROUND((T$19+SUM(T366:T376))*$E377,-2)</f>
        <v>900</v>
      </c>
      <c r="U377" s="1502">
        <f t="shared" si="207"/>
        <v>900</v>
      </c>
    </row>
    <row r="378" spans="3:21">
      <c r="C378" s="1476" t="e">
        <f>IF(D378="","",MAX(C$7:C377)+1)</f>
        <v>#N/A</v>
      </c>
      <c r="D378" s="1986">
        <v>45658</v>
      </c>
      <c r="E378" s="1545">
        <v>0.05</v>
      </c>
      <c r="F378" s="1546">
        <f>INDEX(Dashboard!$F$12:$S$12,1,MATCH($D378,Dashboard!$F$11:$S$11,0))</f>
        <v>12</v>
      </c>
      <c r="G378" s="1502"/>
      <c r="H378" s="1490"/>
      <c r="I378" s="1502"/>
      <c r="J378" s="1502"/>
      <c r="K378" s="1502"/>
      <c r="L378" s="1502"/>
      <c r="M378" s="1502"/>
      <c r="N378" s="1502"/>
      <c r="O378" s="1502"/>
      <c r="P378" s="1502"/>
      <c r="Q378" s="1502"/>
      <c r="R378" s="1502"/>
      <c r="S378" s="1502"/>
      <c r="T378" s="1988">
        <f>ROUND((T$19+SUM(T366:T377))*$E378*$F378/12,-2)</f>
        <v>1000</v>
      </c>
      <c r="U378" s="1502">
        <f>ROUND((U$19+SUM(U366:U377))*$E378,-2)</f>
        <v>1000</v>
      </c>
    </row>
    <row r="379" spans="3:21" ht="16.5" thickBot="1">
      <c r="C379" s="1476" t="e">
        <f>IF(D379="","",MAX(C$7:C378)+1)</f>
        <v>#N/A</v>
      </c>
      <c r="D379" s="1986">
        <v>46023</v>
      </c>
      <c r="E379" s="1549">
        <v>0.05</v>
      </c>
      <c r="F379" s="1550">
        <f>INDEX(Dashboard!$F$12:$S$12,1,MATCH($D379,Dashboard!$F$11:$S$11,0))</f>
        <v>12</v>
      </c>
      <c r="G379" s="1502"/>
      <c r="H379" s="1490"/>
      <c r="I379" s="1502"/>
      <c r="J379" s="1502"/>
      <c r="K379" s="1502"/>
      <c r="L379" s="1502"/>
      <c r="M379" s="1502"/>
      <c r="N379" s="1502"/>
      <c r="O379" s="1502"/>
      <c r="P379" s="1502"/>
      <c r="Q379" s="1502"/>
      <c r="R379" s="1502"/>
      <c r="S379" s="1502"/>
      <c r="T379" s="1502"/>
      <c r="U379" s="1988">
        <f>ROUND((U$19+SUM(U366:U378))*$E379*$F379/12,-2)</f>
        <v>1000</v>
      </c>
    </row>
    <row r="380" spans="3:21" hidden="1">
      <c r="C380" s="1476" t="e">
        <f>IF(D380="","",MAX(C$7:C379)+1)</f>
        <v>#N/A</v>
      </c>
      <c r="D380" s="1986" t="e">
        <v>#N/A</v>
      </c>
      <c r="E380" s="1547">
        <v>0</v>
      </c>
      <c r="F380" s="1548" t="e">
        <f>INDEX(Dashboard!$F$12:$S$12,1,MATCH($D380,Dashboard!$F$11:$S$11,0))</f>
        <v>#N/A</v>
      </c>
      <c r="G380" s="1502"/>
      <c r="H380" s="1490"/>
      <c r="I380" s="1502"/>
      <c r="J380" s="1502"/>
      <c r="K380" s="1502"/>
      <c r="L380" s="1502"/>
      <c r="M380" s="1502"/>
      <c r="N380" s="1502"/>
      <c r="O380" s="1502"/>
      <c r="P380" s="1502"/>
      <c r="Q380" s="1502"/>
      <c r="R380" s="1502"/>
      <c r="S380" s="1502"/>
      <c r="T380" s="1502"/>
      <c r="U380" s="1502"/>
    </row>
    <row r="381" spans="3:21" hidden="1">
      <c r="C381" s="1476" t="e">
        <f>IF(D381="","",MAX(C$7:C380)+1)</f>
        <v>#N/A</v>
      </c>
      <c r="D381" s="1986" t="e">
        <v>#N/A</v>
      </c>
      <c r="E381" s="1547">
        <v>0</v>
      </c>
      <c r="F381" s="1548" t="e">
        <f>INDEX(Dashboard!$F$12:$S$12,1,MATCH($D381,Dashboard!$F$11:$S$11,0))</f>
        <v>#N/A</v>
      </c>
      <c r="G381" s="1502"/>
      <c r="H381" s="1490"/>
      <c r="I381" s="1502"/>
      <c r="J381" s="1502"/>
      <c r="K381" s="1502"/>
      <c r="L381" s="1502"/>
      <c r="M381" s="1502"/>
      <c r="N381" s="1502"/>
      <c r="O381" s="1502"/>
      <c r="P381" s="1502"/>
      <c r="Q381" s="1502"/>
      <c r="R381" s="1502"/>
      <c r="S381" s="1502"/>
      <c r="T381" s="1502"/>
      <c r="U381" s="1502"/>
    </row>
    <row r="382" spans="3:21" hidden="1">
      <c r="C382" s="1476" t="e">
        <f>IF(D382="","",MAX(C$7:C381)+1)</f>
        <v>#N/A</v>
      </c>
      <c r="D382" s="1986" t="e">
        <v>#N/A</v>
      </c>
      <c r="E382" s="1547">
        <v>0</v>
      </c>
      <c r="F382" s="1548" t="e">
        <f>INDEX(Dashboard!$F$12:$S$12,1,MATCH($D382,Dashboard!$F$11:$S$11,0))</f>
        <v>#N/A</v>
      </c>
      <c r="G382" s="1502"/>
      <c r="H382" s="1490"/>
      <c r="I382" s="1502"/>
      <c r="J382" s="1502"/>
      <c r="K382" s="1502"/>
      <c r="L382" s="1502"/>
      <c r="M382" s="1502"/>
      <c r="N382" s="1502"/>
      <c r="O382" s="1502"/>
      <c r="P382" s="1502"/>
      <c r="Q382" s="1502"/>
      <c r="R382" s="1502"/>
      <c r="S382" s="1502"/>
      <c r="T382" s="1502"/>
      <c r="U382" s="1502"/>
    </row>
    <row r="383" spans="3:21" ht="16.5" hidden="1" thickBot="1">
      <c r="C383" s="1476" t="e">
        <f>IF(D383="","",MAX(C$7:C382)+1)</f>
        <v>#N/A</v>
      </c>
      <c r="D383" s="1986" t="e">
        <v>#N/A</v>
      </c>
      <c r="E383" s="1549">
        <v>0</v>
      </c>
      <c r="F383" s="1550" t="e">
        <f>INDEX(Dashboard!$F$12:$S$12,1,MATCH($D383,Dashboard!$F$11:$S$11,0))</f>
        <v>#N/A</v>
      </c>
      <c r="G383" s="1502"/>
      <c r="H383" s="1490"/>
      <c r="I383" s="1502"/>
      <c r="J383" s="1502"/>
      <c r="K383" s="1502"/>
      <c r="L383" s="1502"/>
      <c r="M383" s="1502"/>
      <c r="N383" s="1502"/>
      <c r="O383" s="1502"/>
      <c r="P383" s="1502"/>
      <c r="Q383" s="1502"/>
      <c r="R383" s="1502"/>
      <c r="S383" s="1502"/>
      <c r="T383" s="1502"/>
      <c r="U383" s="1502"/>
    </row>
    <row r="384" spans="3:21">
      <c r="C384" s="1476" t="str">
        <f>IF(D384="","",MAX(C$7:C383)+1)</f>
        <v/>
      </c>
      <c r="D384" s="1468"/>
      <c r="E384" s="1468"/>
      <c r="F384" s="1468"/>
      <c r="G384" s="1987"/>
      <c r="H384" s="1987"/>
      <c r="I384" s="1502"/>
      <c r="J384" s="1502"/>
      <c r="K384" s="1502"/>
      <c r="L384" s="1502"/>
      <c r="M384" s="1502"/>
      <c r="N384" s="1502"/>
      <c r="O384" s="1502"/>
      <c r="P384" s="1502"/>
      <c r="Q384" s="1502"/>
      <c r="R384" s="1502"/>
      <c r="S384" s="1502"/>
      <c r="T384" s="1502"/>
      <c r="U384" s="1502"/>
    </row>
    <row r="385" spans="3:21">
      <c r="C385" s="1476" t="e">
        <f>IF(D385="","",MAX(C$7:C384)+1)</f>
        <v>#N/A</v>
      </c>
      <c r="D385" s="1468" t="s">
        <v>1047</v>
      </c>
      <c r="E385" s="1468"/>
      <c r="F385" s="1468"/>
      <c r="G385" s="1504">
        <f t="shared" ref="G385:U385" si="208">SUM(G367:G384)</f>
        <v>0</v>
      </c>
      <c r="H385" s="1504">
        <f t="shared" si="208"/>
        <v>0</v>
      </c>
      <c r="I385" s="1504">
        <f t="shared" si="208"/>
        <v>0</v>
      </c>
      <c r="J385" s="1504">
        <f t="shared" si="208"/>
        <v>0</v>
      </c>
      <c r="K385" s="1504">
        <f t="shared" si="208"/>
        <v>0</v>
      </c>
      <c r="L385" s="1504">
        <f t="shared" si="208"/>
        <v>700</v>
      </c>
      <c r="M385" s="1504">
        <f t="shared" si="208"/>
        <v>1400</v>
      </c>
      <c r="N385" s="1504">
        <f t="shared" si="208"/>
        <v>2100</v>
      </c>
      <c r="O385" s="1504">
        <f t="shared" si="208"/>
        <v>2900</v>
      </c>
      <c r="P385" s="1504">
        <f t="shared" si="208"/>
        <v>3700</v>
      </c>
      <c r="Q385" s="1504">
        <f t="shared" si="208"/>
        <v>4500</v>
      </c>
      <c r="R385" s="1504">
        <f t="shared" si="208"/>
        <v>5400</v>
      </c>
      <c r="S385" s="1504">
        <f t="shared" si="208"/>
        <v>6300</v>
      </c>
      <c r="T385" s="1504">
        <f t="shared" si="208"/>
        <v>7300</v>
      </c>
      <c r="U385" s="1504">
        <f t="shared" si="208"/>
        <v>8300</v>
      </c>
    </row>
    <row r="386" spans="3:21">
      <c r="C386" s="1476" t="e">
        <f>IF(D386="","",MAX(C$7:C385)+1)</f>
        <v>#N/A</v>
      </c>
      <c r="D386" s="1468" t="s">
        <v>2772</v>
      </c>
      <c r="E386" s="1"/>
      <c r="F386" s="1"/>
      <c r="G386" s="1"/>
      <c r="H386" s="1"/>
      <c r="J386" s="424">
        <f>J385-J368</f>
        <v>0</v>
      </c>
      <c r="K386" s="424">
        <f>K385-K369</f>
        <v>0</v>
      </c>
      <c r="L386" s="424">
        <f>L385-L370</f>
        <v>0</v>
      </c>
      <c r="M386" s="424">
        <f>M385-M371</f>
        <v>700</v>
      </c>
      <c r="N386" s="424">
        <f>N385-N372</f>
        <v>1400</v>
      </c>
      <c r="O386" s="424">
        <f>O385-O373</f>
        <v>2100</v>
      </c>
      <c r="P386" s="424">
        <f>P385-P374</f>
        <v>2900</v>
      </c>
      <c r="Q386" s="424">
        <f>Q385-Q375</f>
        <v>3700</v>
      </c>
      <c r="R386" s="424">
        <f>R385-R376</f>
        <v>4500</v>
      </c>
      <c r="S386" s="424">
        <f>S385-S377</f>
        <v>5400</v>
      </c>
      <c r="T386" s="424">
        <f>T385-T378</f>
        <v>6300</v>
      </c>
      <c r="U386" s="424">
        <f>U385-U379</f>
        <v>7300</v>
      </c>
    </row>
    <row r="387" spans="3:21" ht="16.5" thickBot="1"/>
    <row r="388" spans="3:21" ht="16.5" thickBot="1">
      <c r="C388" s="1"/>
      <c r="D388" s="4528" t="str">
        <f>$D$20</f>
        <v>Industrial (94)</v>
      </c>
      <c r="E388" s="4529"/>
      <c r="F388" s="4530"/>
      <c r="G388" s="1"/>
      <c r="H388" s="1"/>
    </row>
    <row r="389" spans="3:21">
      <c r="C389" s="1476" t="e">
        <f>IF(D389="","",MAX(C$7:C387)+1)</f>
        <v>#N/A</v>
      </c>
      <c r="D389" s="1491" t="s">
        <v>1042</v>
      </c>
      <c r="E389" s="1468"/>
      <c r="F389" s="1983" t="s">
        <v>1043</v>
      </c>
      <c r="G389" s="1490"/>
      <c r="H389" s="1490"/>
      <c r="I389" s="1490"/>
      <c r="J389" s="1490"/>
      <c r="K389" s="1490"/>
      <c r="L389" s="1490"/>
      <c r="M389" s="1490"/>
      <c r="N389" s="1490"/>
      <c r="O389" s="1490"/>
      <c r="P389" s="1490"/>
      <c r="Q389" s="1490"/>
      <c r="R389" s="1490"/>
      <c r="S389" s="1490"/>
      <c r="T389" s="1490"/>
      <c r="U389" s="1490"/>
    </row>
    <row r="390" spans="3:21">
      <c r="C390" s="1476" t="e">
        <f>IF(D390="","",MAX(C$7:C389)+1)</f>
        <v>#N/A</v>
      </c>
      <c r="D390" s="1984" t="s">
        <v>1044</v>
      </c>
      <c r="E390" s="1985" t="s">
        <v>1045</v>
      </c>
      <c r="F390" s="1985" t="s">
        <v>1046</v>
      </c>
      <c r="G390" s="1490"/>
      <c r="H390" s="1490"/>
      <c r="I390" s="1490"/>
      <c r="J390" s="1490"/>
      <c r="K390" s="1490"/>
      <c r="L390" s="1490"/>
      <c r="M390" s="1490"/>
      <c r="N390" s="1490"/>
      <c r="O390" s="1490"/>
      <c r="P390" s="1490"/>
      <c r="Q390" s="1490"/>
      <c r="R390" s="1490"/>
      <c r="S390" s="1490"/>
      <c r="T390" s="1490"/>
      <c r="U390" s="1490"/>
    </row>
    <row r="391" spans="3:21" ht="16.5" thickBot="1">
      <c r="C391" s="1476" t="str">
        <f>IF(D391="","",MAX(C$7:C390)+1)</f>
        <v/>
      </c>
      <c r="D391" s="1489"/>
      <c r="E391" s="1489"/>
      <c r="F391" s="1489"/>
      <c r="G391" s="1490"/>
      <c r="H391" s="1490"/>
      <c r="I391" s="1490"/>
      <c r="J391" s="1490"/>
      <c r="K391" s="1490"/>
      <c r="L391" s="1490"/>
      <c r="M391" s="1490"/>
      <c r="N391" s="1490"/>
      <c r="O391" s="1490"/>
      <c r="P391" s="1490"/>
      <c r="Q391" s="1490"/>
      <c r="R391" s="1490"/>
      <c r="S391" s="1490"/>
      <c r="T391" s="1490"/>
      <c r="U391" s="1490"/>
    </row>
    <row r="392" spans="3:21">
      <c r="C392" s="1476" t="e">
        <f>IF(D392="","",MAX(C$7:C391)+1)</f>
        <v>#N/A</v>
      </c>
      <c r="D392" s="1986">
        <f t="array" ref="D392:D408">TRANSPOSE(Dashboard!$G$11:$S$11)</f>
        <v>41640</v>
      </c>
      <c r="E392" s="1989">
        <f>INDEX(Dashboard!$F$10:$S$10,1,MATCH($D392,Dashboard!$F$11:$S$11,0))</f>
        <v>0</v>
      </c>
      <c r="F392" s="1546">
        <f>INDEX(Dashboard!$F$12:$S$12,1,MATCH($D392,Dashboard!$F$11:$S$11,0))</f>
        <v>12</v>
      </c>
      <c r="G392" s="1502"/>
      <c r="H392" s="1490"/>
      <c r="I392" s="1988">
        <f>ROUND((I$20+SUM(I391:I391))*$E392*$F392/12,-2)</f>
        <v>0</v>
      </c>
      <c r="J392" s="1502">
        <f t="shared" ref="J392:U392" si="209">ROUND((J$20+SUM(J391:J391))*$E392,-2)</f>
        <v>0</v>
      </c>
      <c r="K392" s="1502">
        <f t="shared" si="209"/>
        <v>0</v>
      </c>
      <c r="L392" s="1502">
        <f t="shared" si="209"/>
        <v>0</v>
      </c>
      <c r="M392" s="1502">
        <f t="shared" si="209"/>
        <v>0</v>
      </c>
      <c r="N392" s="1502">
        <f t="shared" si="209"/>
        <v>0</v>
      </c>
      <c r="O392" s="1502">
        <f t="shared" si="209"/>
        <v>0</v>
      </c>
      <c r="P392" s="1502">
        <f t="shared" si="209"/>
        <v>0</v>
      </c>
      <c r="Q392" s="1502">
        <f t="shared" si="209"/>
        <v>0</v>
      </c>
      <c r="R392" s="1502">
        <f t="shared" si="209"/>
        <v>0</v>
      </c>
      <c r="S392" s="1502">
        <f t="shared" si="209"/>
        <v>0</v>
      </c>
      <c r="T392" s="1502">
        <f t="shared" si="209"/>
        <v>0</v>
      </c>
      <c r="U392" s="1502">
        <f t="shared" si="209"/>
        <v>0</v>
      </c>
    </row>
    <row r="393" spans="3:21">
      <c r="C393" s="1476" t="e">
        <f>IF(D393="","",MAX(C$7:C392)+1)</f>
        <v>#N/A</v>
      </c>
      <c r="D393" s="1986">
        <v>42005</v>
      </c>
      <c r="E393" s="1547">
        <f t="array" ref="E393:E408">TRANSPOSE('COS_Summ (cumulative)'!$I$18:$X$18)</f>
        <v>0</v>
      </c>
      <c r="F393" s="1548">
        <f>INDEX(Dashboard!$F$12:$S$12,1,MATCH($D393,Dashboard!$F$11:$S$11,0))</f>
        <v>12</v>
      </c>
      <c r="G393" s="1502"/>
      <c r="H393" s="1490"/>
      <c r="I393" s="1502"/>
      <c r="J393" s="1988">
        <f>ROUND((J$20+SUM(J392:J392))*$E393*$F393/12,-2)</f>
        <v>0</v>
      </c>
      <c r="K393" s="1502">
        <f t="shared" ref="K393:U393" si="210">ROUND((K$20+SUM(K391:K392))*$E393,-2)</f>
        <v>0</v>
      </c>
      <c r="L393" s="1502">
        <f t="shared" si="210"/>
        <v>0</v>
      </c>
      <c r="M393" s="1502">
        <f t="shared" si="210"/>
        <v>0</v>
      </c>
      <c r="N393" s="1502">
        <f t="shared" si="210"/>
        <v>0</v>
      </c>
      <c r="O393" s="1502">
        <f t="shared" si="210"/>
        <v>0</v>
      </c>
      <c r="P393" s="1502">
        <f t="shared" si="210"/>
        <v>0</v>
      </c>
      <c r="Q393" s="1502">
        <f t="shared" si="210"/>
        <v>0</v>
      </c>
      <c r="R393" s="1502">
        <f t="shared" si="210"/>
        <v>0</v>
      </c>
      <c r="S393" s="1502">
        <f t="shared" si="210"/>
        <v>0</v>
      </c>
      <c r="T393" s="1502">
        <f t="shared" si="210"/>
        <v>0</v>
      </c>
      <c r="U393" s="1502">
        <f t="shared" si="210"/>
        <v>0</v>
      </c>
    </row>
    <row r="394" spans="3:21">
      <c r="C394" s="1476" t="e">
        <f>IF(D394="","",MAX(C$7:C393)+1)</f>
        <v>#N/A</v>
      </c>
      <c r="D394" s="1986">
        <v>42370</v>
      </c>
      <c r="E394" s="1547">
        <v>0</v>
      </c>
      <c r="F394" s="1548">
        <f>INDEX(Dashboard!$F$12:$S$12,1,MATCH($D394,Dashboard!$F$11:$S$11,0))</f>
        <v>12</v>
      </c>
      <c r="G394" s="1502"/>
      <c r="H394" s="1490"/>
      <c r="I394" s="1502"/>
      <c r="J394" s="1502"/>
      <c r="K394" s="1988">
        <f>ROUND((K$20+SUM(K392:K393))*$E394*$F394/12,-2)</f>
        <v>0</v>
      </c>
      <c r="L394" s="1502">
        <f t="shared" ref="L394:U394" si="211">ROUND((L$20+SUM(L391:L393))*$E394,-2)</f>
        <v>0</v>
      </c>
      <c r="M394" s="1502">
        <f t="shared" si="211"/>
        <v>0</v>
      </c>
      <c r="N394" s="1502">
        <f t="shared" si="211"/>
        <v>0</v>
      </c>
      <c r="O394" s="1502">
        <f t="shared" si="211"/>
        <v>0</v>
      </c>
      <c r="P394" s="1502">
        <f t="shared" si="211"/>
        <v>0</v>
      </c>
      <c r="Q394" s="1502">
        <f t="shared" si="211"/>
        <v>0</v>
      </c>
      <c r="R394" s="1502">
        <f t="shared" si="211"/>
        <v>0</v>
      </c>
      <c r="S394" s="1502">
        <f t="shared" si="211"/>
        <v>0</v>
      </c>
      <c r="T394" s="1502">
        <f t="shared" si="211"/>
        <v>0</v>
      </c>
      <c r="U394" s="1502">
        <f t="shared" si="211"/>
        <v>0</v>
      </c>
    </row>
    <row r="395" spans="3:21">
      <c r="C395" s="1476" t="e">
        <f>IF(D395="","",MAX(C$7:C394)+1)</f>
        <v>#N/A</v>
      </c>
      <c r="D395" s="1986">
        <v>42736</v>
      </c>
      <c r="E395" s="1547">
        <v>6.5499999999999994E-3</v>
      </c>
      <c r="F395" s="1548">
        <f>INDEX(Dashboard!$F$12:$S$12,1,MATCH($D395,Dashboard!$F$11:$S$11,0))</f>
        <v>12</v>
      </c>
      <c r="G395" s="1502"/>
      <c r="H395" s="1490"/>
      <c r="I395" s="1502"/>
      <c r="J395" s="1502"/>
      <c r="K395" s="1502"/>
      <c r="L395" s="1988">
        <f>ROUND((L$20+SUM(L391:L394))*$E395*$F395/12,-2)</f>
        <v>27600</v>
      </c>
      <c r="M395" s="1502">
        <f t="shared" ref="M395:U395" si="212">ROUND((M$20+SUM(M391:M394))*$E395,-2)</f>
        <v>36800</v>
      </c>
      <c r="N395" s="1502">
        <f t="shared" si="212"/>
        <v>46900</v>
      </c>
      <c r="O395" s="1502">
        <f t="shared" si="212"/>
        <v>32100</v>
      </c>
      <c r="P395" s="1502">
        <f t="shared" si="212"/>
        <v>6700</v>
      </c>
      <c r="Q395" s="1502">
        <f t="shared" si="212"/>
        <v>0</v>
      </c>
      <c r="R395" s="1502">
        <f t="shared" si="212"/>
        <v>0</v>
      </c>
      <c r="S395" s="1502">
        <f t="shared" si="212"/>
        <v>0</v>
      </c>
      <c r="T395" s="1502">
        <f t="shared" si="212"/>
        <v>0</v>
      </c>
      <c r="U395" s="1502">
        <f t="shared" si="212"/>
        <v>0</v>
      </c>
    </row>
    <row r="396" spans="3:21">
      <c r="C396" s="1476" t="e">
        <f>IF(D396="","",MAX(C$7:C395)+1)</f>
        <v>#N/A</v>
      </c>
      <c r="D396" s="1986">
        <v>43101</v>
      </c>
      <c r="E396" s="1547">
        <v>6.5499999999999994E-3</v>
      </c>
      <c r="F396" s="1548">
        <f>INDEX(Dashboard!$F$12:$S$12,1,MATCH($D396,Dashboard!$F$11:$S$11,0))</f>
        <v>12</v>
      </c>
      <c r="G396" s="1502"/>
      <c r="H396" s="1490"/>
      <c r="I396" s="1502"/>
      <c r="J396" s="1502"/>
      <c r="K396" s="1502"/>
      <c r="L396" s="1502"/>
      <c r="M396" s="1988">
        <f>ROUND((M$20+SUM(M391:M395))*$E396*$F396/12,-2)</f>
        <v>37000</v>
      </c>
      <c r="N396" s="1502">
        <f t="shared" ref="N396:U396" si="213">ROUND((N$20+SUM(N391:N395))*$E396,-2)</f>
        <v>47200</v>
      </c>
      <c r="O396" s="1502">
        <f t="shared" si="213"/>
        <v>32300</v>
      </c>
      <c r="P396" s="1502">
        <f t="shared" si="213"/>
        <v>6700</v>
      </c>
      <c r="Q396" s="1502">
        <f t="shared" si="213"/>
        <v>0</v>
      </c>
      <c r="R396" s="1502">
        <f t="shared" si="213"/>
        <v>0</v>
      </c>
      <c r="S396" s="1502">
        <f t="shared" si="213"/>
        <v>0</v>
      </c>
      <c r="T396" s="1502">
        <f t="shared" si="213"/>
        <v>0</v>
      </c>
      <c r="U396" s="1502">
        <f t="shared" si="213"/>
        <v>0</v>
      </c>
    </row>
    <row r="397" spans="3:21">
      <c r="C397" s="1476" t="e">
        <f>IF(D397="","",MAX(C$7:C396)+1)</f>
        <v>#N/A</v>
      </c>
      <c r="D397" s="1986">
        <v>43466</v>
      </c>
      <c r="E397" s="1547">
        <v>6.5499999999999994E-3</v>
      </c>
      <c r="F397" s="1548">
        <f>INDEX(Dashboard!$F$12:$S$12,1,MATCH($D397,Dashboard!$F$11:$S$11,0))</f>
        <v>12</v>
      </c>
      <c r="G397" s="1502"/>
      <c r="H397" s="1490"/>
      <c r="I397" s="1502"/>
      <c r="J397" s="1502"/>
      <c r="K397" s="1502"/>
      <c r="L397" s="1502"/>
      <c r="M397" s="1502"/>
      <c r="N397" s="1988">
        <f>ROUND((N$20+SUM(N391:N396))*$E397*$F397/12,-2)</f>
        <v>47500</v>
      </c>
      <c r="O397" s="1502">
        <f t="shared" ref="O397:U397" si="214">ROUND((O$20+SUM(O391:O396))*$E397,-2)</f>
        <v>32500</v>
      </c>
      <c r="P397" s="1502">
        <f t="shared" si="214"/>
        <v>6700</v>
      </c>
      <c r="Q397" s="1502">
        <f t="shared" si="214"/>
        <v>0</v>
      </c>
      <c r="R397" s="1502">
        <f t="shared" si="214"/>
        <v>0</v>
      </c>
      <c r="S397" s="1502">
        <f t="shared" si="214"/>
        <v>0</v>
      </c>
      <c r="T397" s="1502">
        <f t="shared" si="214"/>
        <v>0</v>
      </c>
      <c r="U397" s="1502">
        <f t="shared" si="214"/>
        <v>0</v>
      </c>
    </row>
    <row r="398" spans="3:21">
      <c r="C398" s="1476" t="e">
        <f>IF(D398="","",MAX(C$7:C397)+1)</f>
        <v>#N/A</v>
      </c>
      <c r="D398" s="1986">
        <v>43831</v>
      </c>
      <c r="E398" s="1547">
        <v>6.5499999999999994E-3</v>
      </c>
      <c r="F398" s="1548">
        <f>INDEX(Dashboard!$F$12:$S$12,1,MATCH($D398,Dashboard!$F$11:$S$11,0))</f>
        <v>12</v>
      </c>
      <c r="G398" s="1502"/>
      <c r="H398" s="1490"/>
      <c r="I398" s="1502"/>
      <c r="J398" s="1502"/>
      <c r="K398" s="1502"/>
      <c r="L398" s="1502"/>
      <c r="M398" s="1502"/>
      <c r="N398" s="1502"/>
      <c r="O398" s="1988">
        <f>ROUND((O$20+SUM(O391:O397))*$E398*$F398/12,-2)</f>
        <v>32800</v>
      </c>
      <c r="P398" s="1502">
        <f t="shared" ref="P398:U398" si="215">ROUND((P$20+SUM(P391:P397))*$E398,-2)</f>
        <v>6800</v>
      </c>
      <c r="Q398" s="1502">
        <f t="shared" si="215"/>
        <v>0</v>
      </c>
      <c r="R398" s="1502">
        <f t="shared" si="215"/>
        <v>0</v>
      </c>
      <c r="S398" s="1502">
        <f t="shared" si="215"/>
        <v>0</v>
      </c>
      <c r="T398" s="1502">
        <f t="shared" si="215"/>
        <v>0</v>
      </c>
      <c r="U398" s="1502">
        <f t="shared" si="215"/>
        <v>0</v>
      </c>
    </row>
    <row r="399" spans="3:21">
      <c r="C399" s="1476" t="e">
        <f>IF(D399="","",MAX(C$7:C398)+1)</f>
        <v>#N/A</v>
      </c>
      <c r="D399" s="1986">
        <v>44197</v>
      </c>
      <c r="E399" s="1547">
        <v>6.5499999999999994E-3</v>
      </c>
      <c r="F399" s="1548">
        <f>INDEX(Dashboard!$F$12:$S$12,1,MATCH($D399,Dashboard!$F$11:$S$11,0))</f>
        <v>12</v>
      </c>
      <c r="G399" s="1502"/>
      <c r="H399" s="1490"/>
      <c r="I399" s="1502"/>
      <c r="J399" s="1502"/>
      <c r="K399" s="1502"/>
      <c r="L399" s="1502"/>
      <c r="M399" s="1502"/>
      <c r="N399" s="1502"/>
      <c r="O399" s="1502"/>
      <c r="P399" s="1988">
        <f>ROUND((P$20+SUM(P391:P398))*$E399*$F399/12,-2)</f>
        <v>6800</v>
      </c>
      <c r="Q399" s="1502">
        <f t="shared" ref="Q399:U399" si="216">ROUND((Q$20+SUM(Q391:Q398))*$E399,-2)</f>
        <v>0</v>
      </c>
      <c r="R399" s="1502">
        <f t="shared" si="216"/>
        <v>0</v>
      </c>
      <c r="S399" s="1502">
        <f t="shared" si="216"/>
        <v>0</v>
      </c>
      <c r="T399" s="1502">
        <f t="shared" si="216"/>
        <v>0</v>
      </c>
      <c r="U399" s="1502">
        <f t="shared" si="216"/>
        <v>0</v>
      </c>
    </row>
    <row r="400" spans="3:21">
      <c r="C400" s="1476" t="e">
        <f>IF(D400="","",MAX(C$7:C399)+1)</f>
        <v>#N/A</v>
      </c>
      <c r="D400" s="1986">
        <v>44562</v>
      </c>
      <c r="E400" s="1547">
        <v>6.5499999999999994E-3</v>
      </c>
      <c r="F400" s="1548">
        <f>INDEX(Dashboard!$F$12:$S$12,1,MATCH($D400,Dashboard!$F$11:$S$11,0))</f>
        <v>12</v>
      </c>
      <c r="G400" s="1502"/>
      <c r="H400" s="1490"/>
      <c r="I400" s="1502"/>
      <c r="J400" s="1502"/>
      <c r="K400" s="1502"/>
      <c r="L400" s="1502"/>
      <c r="M400" s="1502"/>
      <c r="N400" s="1502"/>
      <c r="O400" s="1502"/>
      <c r="P400" s="1502"/>
      <c r="Q400" s="1988">
        <f>ROUND((Q$20+SUM(Q391:Q399))*$E400*$F400/12,-2)</f>
        <v>0</v>
      </c>
      <c r="R400" s="1502">
        <f t="shared" ref="R400:U400" si="217">ROUND((R$20+SUM(R391:R399))*$E400,-2)</f>
        <v>0</v>
      </c>
      <c r="S400" s="1502">
        <f t="shared" si="217"/>
        <v>0</v>
      </c>
      <c r="T400" s="1502">
        <f t="shared" si="217"/>
        <v>0</v>
      </c>
      <c r="U400" s="1502">
        <f t="shared" si="217"/>
        <v>0</v>
      </c>
    </row>
    <row r="401" spans="3:21">
      <c r="C401" s="1476" t="e">
        <f>IF(D401="","",MAX(C$7:C400)+1)</f>
        <v>#N/A</v>
      </c>
      <c r="D401" s="1986">
        <v>44927</v>
      </c>
      <c r="E401" s="1547">
        <v>6.5499999999999994E-3</v>
      </c>
      <c r="F401" s="1548">
        <f>INDEX(Dashboard!$F$12:$S$12,1,MATCH($D401,Dashboard!$F$11:$S$11,0))</f>
        <v>12</v>
      </c>
      <c r="G401" s="1502"/>
      <c r="H401" s="1490"/>
      <c r="I401" s="1502"/>
      <c r="J401" s="1502"/>
      <c r="K401" s="1502"/>
      <c r="L401" s="1502"/>
      <c r="M401" s="1502"/>
      <c r="N401" s="1502"/>
      <c r="O401" s="1502"/>
      <c r="P401" s="1502"/>
      <c r="Q401" s="1502"/>
      <c r="R401" s="1988">
        <f>ROUND((R$20+SUM(R391:R400))*$E401*$F401/12,-2)</f>
        <v>0</v>
      </c>
      <c r="S401" s="1502">
        <f t="shared" ref="S401:U401" si="218">ROUND((S$20+SUM(S391:S400))*$E401,-2)</f>
        <v>0</v>
      </c>
      <c r="T401" s="1502">
        <f t="shared" si="218"/>
        <v>0</v>
      </c>
      <c r="U401" s="1502">
        <f t="shared" si="218"/>
        <v>0</v>
      </c>
    </row>
    <row r="402" spans="3:21" ht="16.5" thickBot="1">
      <c r="C402" s="1476" t="e">
        <f>IF(D402="","",MAX(C$7:C401)+1)</f>
        <v>#N/A</v>
      </c>
      <c r="D402" s="1986">
        <v>45292</v>
      </c>
      <c r="E402" s="1549">
        <v>6.5499999999999994E-3</v>
      </c>
      <c r="F402" s="1550">
        <f>INDEX(Dashboard!$F$12:$S$12,1,MATCH($D402,Dashboard!$F$11:$S$11,0))</f>
        <v>12</v>
      </c>
      <c r="G402" s="1502"/>
      <c r="H402" s="1490"/>
      <c r="I402" s="1502"/>
      <c r="J402" s="1502"/>
      <c r="K402" s="1502"/>
      <c r="L402" s="1502"/>
      <c r="M402" s="1502"/>
      <c r="N402" s="1502"/>
      <c r="O402" s="1502"/>
      <c r="P402" s="1502"/>
      <c r="Q402" s="1502"/>
      <c r="R402" s="1502"/>
      <c r="S402" s="1988">
        <f>ROUND((S$20+SUM(S391:S401))*$E402*$F402/12,-2)</f>
        <v>0</v>
      </c>
      <c r="T402" s="1502">
        <f t="shared" ref="T402:U402" si="219">ROUND((T$20+SUM(T391:T401))*$E402,-2)</f>
        <v>0</v>
      </c>
      <c r="U402" s="1502">
        <f t="shared" si="219"/>
        <v>0</v>
      </c>
    </row>
    <row r="403" spans="3:21">
      <c r="C403" s="1476" t="e">
        <f>IF(D403="","",MAX(C$7:C402)+1)</f>
        <v>#N/A</v>
      </c>
      <c r="D403" s="1986">
        <v>45658</v>
      </c>
      <c r="E403" s="1545">
        <v>2.8337231155420601E-2</v>
      </c>
      <c r="F403" s="1546">
        <f>INDEX(Dashboard!$F$12:$S$12,1,MATCH($D403,Dashboard!$F$11:$S$11,0))</f>
        <v>12</v>
      </c>
      <c r="G403" s="1502"/>
      <c r="H403" s="1490"/>
      <c r="I403" s="1502"/>
      <c r="J403" s="1502"/>
      <c r="K403" s="1502"/>
      <c r="L403" s="1502"/>
      <c r="M403" s="1502"/>
      <c r="N403" s="1502"/>
      <c r="O403" s="1502"/>
      <c r="P403" s="1502"/>
      <c r="Q403" s="1502"/>
      <c r="R403" s="1502"/>
      <c r="S403" s="1502"/>
      <c r="T403" s="1988">
        <f>ROUND((T$20+SUM(T391:T402))*$E403*$F403/12,-2)</f>
        <v>0</v>
      </c>
      <c r="U403" s="1502">
        <f>ROUND((U$20+SUM(U391:U402))*$E403,-2)</f>
        <v>0</v>
      </c>
    </row>
    <row r="404" spans="3:21" ht="16.5" thickBot="1">
      <c r="C404" s="1476" t="e">
        <f>IF(D404="","",MAX(C$7:C403)+1)</f>
        <v>#N/A</v>
      </c>
      <c r="D404" s="1986">
        <v>46023</v>
      </c>
      <c r="E404" s="1549">
        <v>0.02</v>
      </c>
      <c r="F404" s="1550">
        <f>INDEX(Dashboard!$F$12:$S$12,1,MATCH($D404,Dashboard!$F$11:$S$11,0))</f>
        <v>12</v>
      </c>
      <c r="G404" s="1502"/>
      <c r="H404" s="1490"/>
      <c r="I404" s="1502"/>
      <c r="J404" s="1502"/>
      <c r="K404" s="1502"/>
      <c r="L404" s="1502"/>
      <c r="M404" s="1502"/>
      <c r="N404" s="1502"/>
      <c r="O404" s="1502"/>
      <c r="P404" s="1502"/>
      <c r="Q404" s="1502"/>
      <c r="R404" s="1502"/>
      <c r="S404" s="1502"/>
      <c r="T404" s="1502"/>
      <c r="U404" s="1988">
        <f>ROUND((U$20+SUM(U391:U403))*$E404*$F404/12,-2)</f>
        <v>0</v>
      </c>
    </row>
    <row r="405" spans="3:21" hidden="1">
      <c r="C405" s="1476" t="e">
        <f>IF(D405="","",MAX(C$7:C404)+1)</f>
        <v>#N/A</v>
      </c>
      <c r="D405" s="1986" t="e">
        <v>#N/A</v>
      </c>
      <c r="E405" s="1547">
        <v>0</v>
      </c>
      <c r="F405" s="1548" t="e">
        <f>INDEX(Dashboard!$F$12:$S$12,1,MATCH($D405,Dashboard!$F$11:$S$11,0))</f>
        <v>#N/A</v>
      </c>
      <c r="G405" s="1502"/>
      <c r="H405" s="1490"/>
      <c r="I405" s="1502"/>
      <c r="J405" s="1502"/>
      <c r="K405" s="1502"/>
      <c r="L405" s="1502"/>
      <c r="M405" s="1502"/>
      <c r="N405" s="1502"/>
      <c r="O405" s="1502"/>
      <c r="P405" s="1502"/>
      <c r="Q405" s="1502"/>
      <c r="R405" s="1502"/>
      <c r="S405" s="1502"/>
      <c r="T405" s="1502"/>
      <c r="U405" s="1502"/>
    </row>
    <row r="406" spans="3:21" hidden="1">
      <c r="C406" s="1476" t="e">
        <f>IF(D406="","",MAX(C$7:C405)+1)</f>
        <v>#N/A</v>
      </c>
      <c r="D406" s="1986" t="e">
        <v>#N/A</v>
      </c>
      <c r="E406" s="1547">
        <v>0</v>
      </c>
      <c r="F406" s="1548" t="e">
        <f>INDEX(Dashboard!$F$12:$S$12,1,MATCH($D406,Dashboard!$F$11:$S$11,0))</f>
        <v>#N/A</v>
      </c>
      <c r="G406" s="1502"/>
      <c r="H406" s="1490"/>
      <c r="I406" s="1502"/>
      <c r="J406" s="1502"/>
      <c r="K406" s="1502"/>
      <c r="L406" s="1502"/>
      <c r="M406" s="1502"/>
      <c r="N406" s="1502"/>
      <c r="O406" s="1502"/>
      <c r="P406" s="1502"/>
      <c r="Q406" s="1502"/>
      <c r="R406" s="1502"/>
      <c r="S406" s="1502"/>
      <c r="T406" s="1502"/>
      <c r="U406" s="1502"/>
    </row>
    <row r="407" spans="3:21" hidden="1">
      <c r="C407" s="1476" t="e">
        <f>IF(D407="","",MAX(C$7:C406)+1)</f>
        <v>#N/A</v>
      </c>
      <c r="D407" s="1986" t="e">
        <v>#N/A</v>
      </c>
      <c r="E407" s="1547">
        <v>0</v>
      </c>
      <c r="F407" s="1548" t="e">
        <f>INDEX(Dashboard!$F$12:$S$12,1,MATCH($D407,Dashboard!$F$11:$S$11,0))</f>
        <v>#N/A</v>
      </c>
      <c r="G407" s="1502"/>
      <c r="H407" s="1490"/>
      <c r="I407" s="1502"/>
      <c r="J407" s="1502"/>
      <c r="K407" s="1502"/>
      <c r="L407" s="1502"/>
      <c r="M407" s="1502"/>
      <c r="N407" s="1502"/>
      <c r="O407" s="1502"/>
      <c r="P407" s="1502"/>
      <c r="Q407" s="1502"/>
      <c r="R407" s="1502"/>
      <c r="S407" s="1502"/>
      <c r="T407" s="1502"/>
      <c r="U407" s="1502"/>
    </row>
    <row r="408" spans="3:21" ht="16.5" hidden="1" thickBot="1">
      <c r="C408" s="1476" t="e">
        <f>IF(D408="","",MAX(C$7:C407)+1)</f>
        <v>#N/A</v>
      </c>
      <c r="D408" s="1986" t="e">
        <v>#N/A</v>
      </c>
      <c r="E408" s="1549">
        <v>0</v>
      </c>
      <c r="F408" s="1550" t="e">
        <f>INDEX(Dashboard!$F$12:$S$12,1,MATCH($D408,Dashboard!$F$11:$S$11,0))</f>
        <v>#N/A</v>
      </c>
      <c r="G408" s="1502"/>
      <c r="H408" s="1490"/>
      <c r="I408" s="1502"/>
      <c r="J408" s="1502"/>
      <c r="K408" s="1502"/>
      <c r="L408" s="1502"/>
      <c r="M408" s="1502"/>
      <c r="N408" s="1502"/>
      <c r="O408" s="1502"/>
      <c r="P408" s="1502"/>
      <c r="Q408" s="1502"/>
      <c r="R408" s="1502"/>
      <c r="S408" s="1502"/>
      <c r="T408" s="1502"/>
      <c r="U408" s="1502"/>
    </row>
    <row r="409" spans="3:21">
      <c r="C409" s="1476" t="str">
        <f>IF(D409="","",MAX(C$7:C408)+1)</f>
        <v/>
      </c>
      <c r="D409" s="1468"/>
      <c r="E409" s="1468"/>
      <c r="F409" s="1468"/>
      <c r="G409" s="1987"/>
      <c r="H409" s="1987"/>
      <c r="I409" s="1502"/>
      <c r="J409" s="1502"/>
      <c r="K409" s="1502"/>
      <c r="L409" s="1502"/>
      <c r="M409" s="1502"/>
      <c r="N409" s="1502"/>
      <c r="O409" s="1502"/>
      <c r="P409" s="1502"/>
      <c r="Q409" s="1502"/>
      <c r="R409" s="1502"/>
      <c r="S409" s="1502"/>
      <c r="T409" s="1502"/>
      <c r="U409" s="1502"/>
    </row>
    <row r="410" spans="3:21">
      <c r="C410" s="1476" t="e">
        <f>IF(D410="","",MAX(C$7:C409)+1)</f>
        <v>#N/A</v>
      </c>
      <c r="D410" s="1468" t="s">
        <v>1047</v>
      </c>
      <c r="E410" s="1468"/>
      <c r="F410" s="1468"/>
      <c r="G410" s="1504">
        <f t="shared" ref="G410:U410" si="220">SUM(G392:G409)</f>
        <v>0</v>
      </c>
      <c r="H410" s="1504">
        <f t="shared" si="220"/>
        <v>0</v>
      </c>
      <c r="I410" s="1504">
        <f t="shared" si="220"/>
        <v>0</v>
      </c>
      <c r="J410" s="1504">
        <f t="shared" si="220"/>
        <v>0</v>
      </c>
      <c r="K410" s="1504">
        <f t="shared" si="220"/>
        <v>0</v>
      </c>
      <c r="L410" s="1504">
        <f t="shared" si="220"/>
        <v>27600</v>
      </c>
      <c r="M410" s="1504">
        <f t="shared" si="220"/>
        <v>73800</v>
      </c>
      <c r="N410" s="1504">
        <f t="shared" si="220"/>
        <v>141600</v>
      </c>
      <c r="O410" s="1504">
        <f t="shared" si="220"/>
        <v>129700</v>
      </c>
      <c r="P410" s="1504">
        <f t="shared" si="220"/>
        <v>33700</v>
      </c>
      <c r="Q410" s="1504">
        <f t="shared" si="220"/>
        <v>0</v>
      </c>
      <c r="R410" s="1504">
        <f t="shared" si="220"/>
        <v>0</v>
      </c>
      <c r="S410" s="1504">
        <f t="shared" si="220"/>
        <v>0</v>
      </c>
      <c r="T410" s="1504">
        <f t="shared" si="220"/>
        <v>0</v>
      </c>
      <c r="U410" s="1504">
        <f t="shared" si="220"/>
        <v>0</v>
      </c>
    </row>
    <row r="411" spans="3:21">
      <c r="C411" s="1476" t="e">
        <f>IF(D411="","",MAX(C$7:C410)+1)</f>
        <v>#N/A</v>
      </c>
      <c r="D411" s="1468" t="s">
        <v>2772</v>
      </c>
      <c r="E411" s="1"/>
      <c r="F411" s="1"/>
      <c r="G411" s="1"/>
      <c r="H411" s="1"/>
      <c r="J411" s="424">
        <f>J410-J393</f>
        <v>0</v>
      </c>
      <c r="K411" s="424">
        <f>K410-K394</f>
        <v>0</v>
      </c>
      <c r="L411" s="424">
        <f>L410-L395</f>
        <v>0</v>
      </c>
      <c r="M411" s="424">
        <f>M410-M396</f>
        <v>36800</v>
      </c>
      <c r="N411" s="424">
        <f>N410-N397</f>
        <v>94100</v>
      </c>
      <c r="O411" s="424">
        <f>O410-O398</f>
        <v>96900</v>
      </c>
      <c r="P411" s="424">
        <f>P410-P399</f>
        <v>26900</v>
      </c>
      <c r="Q411" s="424">
        <f>Q410-Q400</f>
        <v>0</v>
      </c>
      <c r="R411" s="424">
        <f>R410-R401</f>
        <v>0</v>
      </c>
      <c r="S411" s="424">
        <f>S410-S402</f>
        <v>0</v>
      </c>
      <c r="T411" s="424">
        <f>T410-T403</f>
        <v>0</v>
      </c>
      <c r="U411" s="424">
        <f>U410-U404</f>
        <v>0</v>
      </c>
    </row>
    <row r="412" spans="3:21" ht="16.5" thickBot="1"/>
    <row r="413" spans="3:21" ht="16.5" thickBot="1">
      <c r="C413" s="1"/>
      <c r="D413" s="4528" t="str">
        <f>$D$21</f>
        <v>Street Lights (6)</v>
      </c>
      <c r="E413" s="4529"/>
      <c r="F413" s="4530"/>
      <c r="G413" s="1"/>
      <c r="H413" s="1"/>
    </row>
    <row r="414" spans="3:21">
      <c r="C414" s="1476" t="e">
        <f>IF(D414="","",MAX(C$7:C387)+1)</f>
        <v>#N/A</v>
      </c>
      <c r="D414" s="1491" t="s">
        <v>1042</v>
      </c>
      <c r="E414" s="1468"/>
      <c r="F414" s="1983" t="s">
        <v>1043</v>
      </c>
      <c r="G414" s="1490"/>
      <c r="H414" s="1490"/>
      <c r="I414" s="1490"/>
      <c r="J414" s="1490"/>
      <c r="K414" s="1490"/>
      <c r="L414" s="1490"/>
      <c r="M414" s="1490"/>
      <c r="N414" s="1490"/>
      <c r="O414" s="1490"/>
      <c r="P414" s="1490"/>
      <c r="Q414" s="1490"/>
      <c r="R414" s="1490"/>
      <c r="S414" s="1490"/>
      <c r="T414" s="1490"/>
      <c r="U414" s="1490"/>
    </row>
    <row r="415" spans="3:21">
      <c r="C415" s="1476" t="e">
        <f>IF(D415="","",MAX(C$7:C414)+1)</f>
        <v>#N/A</v>
      </c>
      <c r="D415" s="1984" t="s">
        <v>1044</v>
      </c>
      <c r="E415" s="1985" t="s">
        <v>1045</v>
      </c>
      <c r="F415" s="1985" t="s">
        <v>1046</v>
      </c>
      <c r="G415" s="1490"/>
      <c r="H415" s="1490"/>
      <c r="I415" s="1490"/>
      <c r="J415" s="1490"/>
      <c r="K415" s="1490"/>
      <c r="L415" s="1490"/>
      <c r="M415" s="1490"/>
      <c r="N415" s="1490"/>
      <c r="O415" s="1490"/>
      <c r="P415" s="1490"/>
      <c r="Q415" s="1490"/>
      <c r="R415" s="1490"/>
      <c r="S415" s="1490"/>
      <c r="T415" s="1490"/>
      <c r="U415" s="1490"/>
    </row>
    <row r="416" spans="3:21" ht="16.5" thickBot="1">
      <c r="C416" s="1476" t="str">
        <f>IF(D416="","",MAX(C$7:C415)+1)</f>
        <v/>
      </c>
      <c r="D416" s="1489"/>
      <c r="E416" s="1489"/>
      <c r="F416" s="1489"/>
      <c r="G416" s="1490"/>
      <c r="H416" s="1490"/>
      <c r="I416" s="1490"/>
      <c r="J416" s="1490"/>
      <c r="K416" s="1490"/>
      <c r="L416" s="1490"/>
      <c r="M416" s="1490"/>
      <c r="N416" s="1490"/>
      <c r="O416" s="1490"/>
      <c r="P416" s="1490"/>
      <c r="Q416" s="1490"/>
      <c r="R416" s="1490"/>
      <c r="S416" s="1490"/>
      <c r="T416" s="1490"/>
      <c r="U416" s="1490"/>
    </row>
    <row r="417" spans="3:21">
      <c r="C417" s="1476" t="e">
        <f>IF(D417="","",MAX(C$7:C416)+1)</f>
        <v>#N/A</v>
      </c>
      <c r="D417" s="1986">
        <f t="array" ref="D417:D433">TRANSPOSE(Dashboard!$G$11:$S$11)</f>
        <v>41640</v>
      </c>
      <c r="E417" s="1989">
        <f>INDEX(Dashboard!$F$10:$S$10,1,MATCH($D417,Dashboard!$F$11:$S$11,0))</f>
        <v>0</v>
      </c>
      <c r="F417" s="1546">
        <f>INDEX(Dashboard!$F$12:$S$12,1,MATCH($D417,Dashboard!$F$11:$S$11,0))</f>
        <v>12</v>
      </c>
      <c r="G417" s="1502"/>
      <c r="H417" s="1490"/>
      <c r="I417" s="1988">
        <f>ROUND((I$21+SUM(I416:I416))*$E417*$F417/12,-2)</f>
        <v>0</v>
      </c>
      <c r="J417" s="1502">
        <f t="shared" ref="J417:U417" si="221">ROUND((J$21+SUM(J416:J416))*$E417,-2)</f>
        <v>0</v>
      </c>
      <c r="K417" s="1502">
        <f t="shared" si="221"/>
        <v>0</v>
      </c>
      <c r="L417" s="1502">
        <f t="shared" si="221"/>
        <v>0</v>
      </c>
      <c r="M417" s="1502">
        <f t="shared" si="221"/>
        <v>0</v>
      </c>
      <c r="N417" s="1502">
        <f t="shared" si="221"/>
        <v>0</v>
      </c>
      <c r="O417" s="1502">
        <f t="shared" si="221"/>
        <v>0</v>
      </c>
      <c r="P417" s="1502">
        <f t="shared" si="221"/>
        <v>0</v>
      </c>
      <c r="Q417" s="1502">
        <f t="shared" si="221"/>
        <v>0</v>
      </c>
      <c r="R417" s="1502">
        <f t="shared" si="221"/>
        <v>0</v>
      </c>
      <c r="S417" s="1502">
        <f t="shared" si="221"/>
        <v>0</v>
      </c>
      <c r="T417" s="1502">
        <f t="shared" si="221"/>
        <v>0</v>
      </c>
      <c r="U417" s="1502">
        <f t="shared" si="221"/>
        <v>0</v>
      </c>
    </row>
    <row r="418" spans="3:21">
      <c r="C418" s="1476" t="e">
        <f>IF(D418="","",MAX(C$7:C417)+1)</f>
        <v>#N/A</v>
      </c>
      <c r="D418" s="1986">
        <v>42005</v>
      </c>
      <c r="E418" s="1547">
        <f t="array" ref="E418:E433">TRANSPOSE('COS_Summ (cumulative)'!$I$21:$X$21)</f>
        <v>0</v>
      </c>
      <c r="F418" s="1548">
        <f>INDEX(Dashboard!$F$12:$S$12,1,MATCH($D418,Dashboard!$F$11:$S$11,0))</f>
        <v>12</v>
      </c>
      <c r="G418" s="1502"/>
      <c r="H418" s="1490"/>
      <c r="I418" s="1502"/>
      <c r="J418" s="1988">
        <f>ROUND((J$21+SUM(J417:J417))*$E418*$F418/12,-2)</f>
        <v>0</v>
      </c>
      <c r="K418" s="1502">
        <f t="shared" ref="K418:U418" si="222">ROUND((K$21+SUM(K416:K417))*$E418,-2)</f>
        <v>0</v>
      </c>
      <c r="L418" s="1502">
        <f t="shared" si="222"/>
        <v>0</v>
      </c>
      <c r="M418" s="1502">
        <f t="shared" si="222"/>
        <v>0</v>
      </c>
      <c r="N418" s="1502">
        <f t="shared" si="222"/>
        <v>0</v>
      </c>
      <c r="O418" s="1502">
        <f t="shared" si="222"/>
        <v>0</v>
      </c>
      <c r="P418" s="1502">
        <f t="shared" si="222"/>
        <v>0</v>
      </c>
      <c r="Q418" s="1502">
        <f t="shared" si="222"/>
        <v>0</v>
      </c>
      <c r="R418" s="1502">
        <f t="shared" si="222"/>
        <v>0</v>
      </c>
      <c r="S418" s="1502">
        <f t="shared" si="222"/>
        <v>0</v>
      </c>
      <c r="T418" s="1502">
        <f t="shared" si="222"/>
        <v>0</v>
      </c>
      <c r="U418" s="1502">
        <f t="shared" si="222"/>
        <v>0</v>
      </c>
    </row>
    <row r="419" spans="3:21">
      <c r="C419" s="1476" t="e">
        <f>IF(D419="","",MAX(C$7:C418)+1)</f>
        <v>#N/A</v>
      </c>
      <c r="D419" s="1986">
        <v>42370</v>
      </c>
      <c r="E419" s="1547">
        <v>0</v>
      </c>
      <c r="F419" s="1548">
        <f>INDEX(Dashboard!$F$12:$S$12,1,MATCH($D419,Dashboard!$F$11:$S$11,0))</f>
        <v>12</v>
      </c>
      <c r="G419" s="1502"/>
      <c r="H419" s="1490"/>
      <c r="I419" s="1502"/>
      <c r="J419" s="1502"/>
      <c r="K419" s="1988">
        <f>ROUND((K$21+SUM(K417:K418))*$E419*$F419/12,-2)</f>
        <v>0</v>
      </c>
      <c r="L419" s="1502">
        <f t="shared" ref="L419:U419" si="223">ROUND((L$21+SUM(L416:L418))*$E419,-2)</f>
        <v>0</v>
      </c>
      <c r="M419" s="1502">
        <f t="shared" si="223"/>
        <v>0</v>
      </c>
      <c r="N419" s="1502">
        <f t="shared" si="223"/>
        <v>0</v>
      </c>
      <c r="O419" s="1502">
        <f t="shared" si="223"/>
        <v>0</v>
      </c>
      <c r="P419" s="1502">
        <f t="shared" si="223"/>
        <v>0</v>
      </c>
      <c r="Q419" s="1502">
        <f t="shared" si="223"/>
        <v>0</v>
      </c>
      <c r="R419" s="1502">
        <f t="shared" si="223"/>
        <v>0</v>
      </c>
      <c r="S419" s="1502">
        <f t="shared" si="223"/>
        <v>0</v>
      </c>
      <c r="T419" s="1502">
        <f t="shared" si="223"/>
        <v>0</v>
      </c>
      <c r="U419" s="1502">
        <f t="shared" si="223"/>
        <v>0</v>
      </c>
    </row>
    <row r="420" spans="3:21">
      <c r="C420" s="1476" t="e">
        <f>IF(D420="","",MAX(C$7:C419)+1)</f>
        <v>#N/A</v>
      </c>
      <c r="D420" s="1986">
        <v>42736</v>
      </c>
      <c r="E420" s="1547">
        <v>5.0000000000000001E-3</v>
      </c>
      <c r="F420" s="1548">
        <f>INDEX(Dashboard!$F$12:$S$12,1,MATCH($D420,Dashboard!$F$11:$S$11,0))</f>
        <v>12</v>
      </c>
      <c r="G420" s="1502"/>
      <c r="H420" s="1490"/>
      <c r="I420" s="1502"/>
      <c r="J420" s="1502"/>
      <c r="K420" s="1502"/>
      <c r="L420" s="1988">
        <f>ROUND((L$21+SUM(L416:L419))*$E420*$F420/12,-2)</f>
        <v>4700</v>
      </c>
      <c r="M420" s="1502">
        <f t="shared" ref="M420:U420" si="224">ROUND((M$21+SUM(M416:M419))*$E420,-2)</f>
        <v>4700</v>
      </c>
      <c r="N420" s="1502">
        <f t="shared" si="224"/>
        <v>4700</v>
      </c>
      <c r="O420" s="1502">
        <f t="shared" si="224"/>
        <v>4700</v>
      </c>
      <c r="P420" s="1502">
        <f t="shared" si="224"/>
        <v>4700</v>
      </c>
      <c r="Q420" s="1502">
        <f t="shared" si="224"/>
        <v>4700</v>
      </c>
      <c r="R420" s="1502">
        <f t="shared" si="224"/>
        <v>4700</v>
      </c>
      <c r="S420" s="1502">
        <f t="shared" si="224"/>
        <v>4700</v>
      </c>
      <c r="T420" s="1502">
        <f t="shared" si="224"/>
        <v>4700</v>
      </c>
      <c r="U420" s="1502">
        <f t="shared" si="224"/>
        <v>4700</v>
      </c>
    </row>
    <row r="421" spans="3:21">
      <c r="C421" s="1476" t="e">
        <f>IF(D421="","",MAX(C$7:C420)+1)</f>
        <v>#N/A</v>
      </c>
      <c r="D421" s="1986">
        <v>43101</v>
      </c>
      <c r="E421" s="1547">
        <v>5.0000000000000001E-3</v>
      </c>
      <c r="F421" s="1548">
        <f>INDEX(Dashboard!$F$12:$S$12,1,MATCH($D421,Dashboard!$F$11:$S$11,0))</f>
        <v>12</v>
      </c>
      <c r="G421" s="1502"/>
      <c r="H421" s="1490"/>
      <c r="I421" s="1502"/>
      <c r="J421" s="1502"/>
      <c r="K421" s="1502"/>
      <c r="L421" s="1502"/>
      <c r="M421" s="1988">
        <f>ROUND((M$21+SUM(M416:M420))*$E421*$F421/12,-2)</f>
        <v>4700</v>
      </c>
      <c r="N421" s="1502">
        <f t="shared" ref="N421:U421" si="225">ROUND((N$21+SUM(N416:N420))*$E421,-2)</f>
        <v>4700</v>
      </c>
      <c r="O421" s="1502">
        <f t="shared" si="225"/>
        <v>4700</v>
      </c>
      <c r="P421" s="1502">
        <f t="shared" si="225"/>
        <v>4700</v>
      </c>
      <c r="Q421" s="1502">
        <f t="shared" si="225"/>
        <v>4700</v>
      </c>
      <c r="R421" s="1502">
        <f t="shared" si="225"/>
        <v>4700</v>
      </c>
      <c r="S421" s="1502">
        <f t="shared" si="225"/>
        <v>4700</v>
      </c>
      <c r="T421" s="1502">
        <f t="shared" si="225"/>
        <v>4700</v>
      </c>
      <c r="U421" s="1502">
        <f t="shared" si="225"/>
        <v>4700</v>
      </c>
    </row>
    <row r="422" spans="3:21">
      <c r="C422" s="1476" t="e">
        <f>IF(D422="","",MAX(C$7:C421)+1)</f>
        <v>#N/A</v>
      </c>
      <c r="D422" s="1986">
        <v>43466</v>
      </c>
      <c r="E422" s="1547">
        <v>5.0000000000000001E-3</v>
      </c>
      <c r="F422" s="1548">
        <f>INDEX(Dashboard!$F$12:$S$12,1,MATCH($D422,Dashboard!$F$11:$S$11,0))</f>
        <v>12</v>
      </c>
      <c r="G422" s="1502"/>
      <c r="H422" s="1490"/>
      <c r="I422" s="1502"/>
      <c r="J422" s="1502"/>
      <c r="K422" s="1502"/>
      <c r="L422" s="1502"/>
      <c r="M422" s="1502"/>
      <c r="N422" s="1988">
        <f>ROUND((N$21+SUM(N416:N421))*$E422*$F422/12,-2)</f>
        <v>4700</v>
      </c>
      <c r="O422" s="1502">
        <f t="shared" ref="O422:U422" si="226">ROUND((O$21+SUM(O416:O421))*$E422,-2)</f>
        <v>4700</v>
      </c>
      <c r="P422" s="1502">
        <f t="shared" si="226"/>
        <v>4700</v>
      </c>
      <c r="Q422" s="1502">
        <f t="shared" si="226"/>
        <v>4700</v>
      </c>
      <c r="R422" s="1502">
        <f t="shared" si="226"/>
        <v>4700</v>
      </c>
      <c r="S422" s="1502">
        <f t="shared" si="226"/>
        <v>4700</v>
      </c>
      <c r="T422" s="1502">
        <f t="shared" si="226"/>
        <v>4700</v>
      </c>
      <c r="U422" s="1502">
        <f t="shared" si="226"/>
        <v>4700</v>
      </c>
    </row>
    <row r="423" spans="3:21">
      <c r="C423" s="1476" t="e">
        <f>IF(D423="","",MAX(C$7:C422)+1)</f>
        <v>#N/A</v>
      </c>
      <c r="D423" s="1986">
        <v>43831</v>
      </c>
      <c r="E423" s="1547">
        <v>5.0000000000000001E-3</v>
      </c>
      <c r="F423" s="1548">
        <f>INDEX(Dashboard!$F$12:$S$12,1,MATCH($D423,Dashboard!$F$11:$S$11,0))</f>
        <v>12</v>
      </c>
      <c r="G423" s="1502"/>
      <c r="H423" s="1490"/>
      <c r="I423" s="1502"/>
      <c r="J423" s="1502"/>
      <c r="K423" s="1502"/>
      <c r="L423" s="1502"/>
      <c r="M423" s="1502"/>
      <c r="N423" s="1502"/>
      <c r="O423" s="1988">
        <f>ROUND((O$21+SUM(O416:O422))*$E423*$F423/12,-2)</f>
        <v>4700</v>
      </c>
      <c r="P423" s="1502">
        <f t="shared" ref="P423:U423" si="227">ROUND((P$21+SUM(P416:P422))*$E423,-2)</f>
        <v>4700</v>
      </c>
      <c r="Q423" s="1502">
        <f t="shared" si="227"/>
        <v>4700</v>
      </c>
      <c r="R423" s="1502">
        <f t="shared" si="227"/>
        <v>4700</v>
      </c>
      <c r="S423" s="1502">
        <f t="shared" si="227"/>
        <v>4700</v>
      </c>
      <c r="T423" s="1502">
        <f t="shared" si="227"/>
        <v>4700</v>
      </c>
      <c r="U423" s="1502">
        <f t="shared" si="227"/>
        <v>4700</v>
      </c>
    </row>
    <row r="424" spans="3:21">
      <c r="C424" s="1476" t="e">
        <f>IF(D424="","",MAX(C$7:C423)+1)</f>
        <v>#N/A</v>
      </c>
      <c r="D424" s="1986">
        <v>44197</v>
      </c>
      <c r="E424" s="1547">
        <v>5.0000000000000001E-3</v>
      </c>
      <c r="F424" s="1548">
        <f>INDEX(Dashboard!$F$12:$S$12,1,MATCH($D424,Dashboard!$F$11:$S$11,0))</f>
        <v>12</v>
      </c>
      <c r="G424" s="1502"/>
      <c r="H424" s="1490"/>
      <c r="I424" s="1502"/>
      <c r="J424" s="1502"/>
      <c r="K424" s="1502"/>
      <c r="L424" s="1502"/>
      <c r="M424" s="1502"/>
      <c r="N424" s="1502"/>
      <c r="O424" s="1502"/>
      <c r="P424" s="1988">
        <f>ROUND((P$21+SUM(P416:P423))*$E424*$F424/12,-2)</f>
        <v>4800</v>
      </c>
      <c r="Q424" s="1502">
        <f t="shared" ref="Q424:U424" si="228">ROUND((Q$21+SUM(Q416:Q423))*$E424,-2)</f>
        <v>4800</v>
      </c>
      <c r="R424" s="1502">
        <f t="shared" si="228"/>
        <v>4800</v>
      </c>
      <c r="S424" s="1502">
        <f t="shared" si="228"/>
        <v>4800</v>
      </c>
      <c r="T424" s="1502">
        <f t="shared" si="228"/>
        <v>4800</v>
      </c>
      <c r="U424" s="1502">
        <f t="shared" si="228"/>
        <v>4800</v>
      </c>
    </row>
    <row r="425" spans="3:21">
      <c r="C425" s="1476" t="e">
        <f>IF(D425="","",MAX(C$7:C424)+1)</f>
        <v>#N/A</v>
      </c>
      <c r="D425" s="1986">
        <v>44562</v>
      </c>
      <c r="E425" s="1547">
        <v>5.0000000000000001E-3</v>
      </c>
      <c r="F425" s="1548">
        <f>INDEX(Dashboard!$F$12:$S$12,1,MATCH($D425,Dashboard!$F$11:$S$11,0))</f>
        <v>12</v>
      </c>
      <c r="G425" s="1502"/>
      <c r="H425" s="1490"/>
      <c r="I425" s="1502"/>
      <c r="J425" s="1502"/>
      <c r="K425" s="1502"/>
      <c r="L425" s="1502"/>
      <c r="M425" s="1502"/>
      <c r="N425" s="1502"/>
      <c r="O425" s="1502"/>
      <c r="P425" s="1502"/>
      <c r="Q425" s="1988">
        <f>ROUND((Q$21+SUM(Q416:Q424))*$E425*$F425/12,-2)</f>
        <v>4800</v>
      </c>
      <c r="R425" s="1502">
        <f t="shared" ref="R425:U425" si="229">ROUND((R$21+SUM(R416:R424))*$E425,-2)</f>
        <v>4800</v>
      </c>
      <c r="S425" s="1502">
        <f t="shared" si="229"/>
        <v>4800</v>
      </c>
      <c r="T425" s="1502">
        <f t="shared" si="229"/>
        <v>4800</v>
      </c>
      <c r="U425" s="1502">
        <f t="shared" si="229"/>
        <v>4800</v>
      </c>
    </row>
    <row r="426" spans="3:21">
      <c r="C426" s="1476" t="e">
        <f>IF(D426="","",MAX(C$7:C425)+1)</f>
        <v>#N/A</v>
      </c>
      <c r="D426" s="1986">
        <v>44927</v>
      </c>
      <c r="E426" s="1547">
        <v>5.0000000000000001E-3</v>
      </c>
      <c r="F426" s="1548">
        <f>INDEX(Dashboard!$F$12:$S$12,1,MATCH($D426,Dashboard!$F$11:$S$11,0))</f>
        <v>12</v>
      </c>
      <c r="G426" s="1502"/>
      <c r="H426" s="1490"/>
      <c r="I426" s="1502"/>
      <c r="J426" s="1502"/>
      <c r="K426" s="1502"/>
      <c r="L426" s="1502"/>
      <c r="M426" s="1502"/>
      <c r="N426" s="1502"/>
      <c r="O426" s="1502"/>
      <c r="P426" s="1502"/>
      <c r="Q426" s="1502"/>
      <c r="R426" s="1988">
        <f>ROUND((R$21+SUM(R416:R425))*$E426*$F426/12,-2)</f>
        <v>4800</v>
      </c>
      <c r="S426" s="1502">
        <f t="shared" ref="S426:U426" si="230">ROUND((S$21+SUM(S416:S425))*$E426,-2)</f>
        <v>4800</v>
      </c>
      <c r="T426" s="1502">
        <f t="shared" si="230"/>
        <v>4800</v>
      </c>
      <c r="U426" s="1502">
        <f t="shared" si="230"/>
        <v>4800</v>
      </c>
    </row>
    <row r="427" spans="3:21" ht="16.5" thickBot="1">
      <c r="C427" s="1476" t="e">
        <f>IF(D427="","",MAX(C$7:C426)+1)</f>
        <v>#N/A</v>
      </c>
      <c r="D427" s="1986">
        <v>45292</v>
      </c>
      <c r="E427" s="1549">
        <v>5.0000000000000001E-3</v>
      </c>
      <c r="F427" s="1550">
        <f>INDEX(Dashboard!$F$12:$S$12,1,MATCH($D427,Dashboard!$F$11:$S$11,0))</f>
        <v>12</v>
      </c>
      <c r="G427" s="1502"/>
      <c r="H427" s="1490"/>
      <c r="I427" s="1502"/>
      <c r="J427" s="1502"/>
      <c r="K427" s="1502"/>
      <c r="L427" s="1502"/>
      <c r="M427" s="1502"/>
      <c r="N427" s="1502"/>
      <c r="O427" s="1502"/>
      <c r="P427" s="1502"/>
      <c r="Q427" s="1502"/>
      <c r="R427" s="1502"/>
      <c r="S427" s="1988">
        <f>ROUND((S$21+SUM(S416:S426))*$E427*$F427/12,-2)</f>
        <v>4800</v>
      </c>
      <c r="T427" s="1502">
        <f t="shared" ref="T427:U427" si="231">ROUND((T$21+SUM(T416:T426))*$E427,-2)</f>
        <v>4800</v>
      </c>
      <c r="U427" s="1502">
        <f t="shared" si="231"/>
        <v>4800</v>
      </c>
    </row>
    <row r="428" spans="3:21">
      <c r="C428" s="1476" t="e">
        <f>IF(D428="","",MAX(C$7:C427)+1)</f>
        <v>#N/A</v>
      </c>
      <c r="D428" s="1986">
        <v>45658</v>
      </c>
      <c r="E428" s="1545">
        <v>5.0000000000000001E-3</v>
      </c>
      <c r="F428" s="1546">
        <f>INDEX(Dashboard!$F$12:$S$12,1,MATCH($D428,Dashboard!$F$11:$S$11,0))</f>
        <v>12</v>
      </c>
      <c r="G428" s="1502"/>
      <c r="H428" s="1490"/>
      <c r="I428" s="1502"/>
      <c r="J428" s="1502"/>
      <c r="K428" s="1502"/>
      <c r="L428" s="1502"/>
      <c r="M428" s="1502"/>
      <c r="N428" s="1502"/>
      <c r="O428" s="1502"/>
      <c r="P428" s="1502"/>
      <c r="Q428" s="1502"/>
      <c r="R428" s="1502"/>
      <c r="S428" s="1502"/>
      <c r="T428" s="1988">
        <f>ROUND((T$21+SUM(T416:T427))*$E428*$F428/12,-2)</f>
        <v>4800</v>
      </c>
      <c r="U428" s="1502">
        <f>ROUND((U$21+SUM(U416:U427))*$E428,-2)</f>
        <v>4800</v>
      </c>
    </row>
    <row r="429" spans="3:21" ht="16.5" thickBot="1">
      <c r="C429" s="1476" t="e">
        <f>IF(D429="","",MAX(C$7:C428)+1)</f>
        <v>#N/A</v>
      </c>
      <c r="D429" s="1986">
        <v>46023</v>
      </c>
      <c r="E429" s="1549">
        <v>5.0000000000000001E-3</v>
      </c>
      <c r="F429" s="1550">
        <f>INDEX(Dashboard!$F$12:$S$12,1,MATCH($D429,Dashboard!$F$11:$S$11,0))</f>
        <v>12</v>
      </c>
      <c r="G429" s="1502"/>
      <c r="H429" s="1490"/>
      <c r="I429" s="1502"/>
      <c r="J429" s="1502"/>
      <c r="K429" s="1502"/>
      <c r="L429" s="1502"/>
      <c r="M429" s="1502"/>
      <c r="N429" s="1502"/>
      <c r="O429" s="1502"/>
      <c r="P429" s="1502"/>
      <c r="Q429" s="1502"/>
      <c r="R429" s="1502"/>
      <c r="S429" s="1502"/>
      <c r="T429" s="1502"/>
      <c r="U429" s="1988">
        <f>ROUND((U$21+SUM(U416:U428))*$E429*$F429/12,-2)</f>
        <v>4900</v>
      </c>
    </row>
    <row r="430" spans="3:21" hidden="1">
      <c r="C430" s="1476" t="e">
        <f>IF(D430="","",MAX(C$7:C429)+1)</f>
        <v>#N/A</v>
      </c>
      <c r="D430" s="1986" t="e">
        <v>#N/A</v>
      </c>
      <c r="E430" s="1547">
        <v>0</v>
      </c>
      <c r="F430" s="1548" t="e">
        <f>INDEX(Dashboard!$F$12:$S$12,1,MATCH($D430,Dashboard!$F$11:$S$11,0))</f>
        <v>#N/A</v>
      </c>
      <c r="G430" s="1502"/>
      <c r="H430" s="1490"/>
      <c r="I430" s="1502"/>
      <c r="J430" s="1502"/>
      <c r="K430" s="1502"/>
      <c r="L430" s="1502"/>
      <c r="M430" s="1502"/>
      <c r="N430" s="1502"/>
      <c r="O430" s="1502"/>
      <c r="P430" s="1502"/>
      <c r="Q430" s="1502"/>
      <c r="R430" s="1502"/>
      <c r="S430" s="1502"/>
      <c r="T430" s="1502"/>
      <c r="U430" s="1502"/>
    </row>
    <row r="431" spans="3:21" hidden="1">
      <c r="C431" s="1476" t="e">
        <f>IF(D431="","",MAX(C$7:C430)+1)</f>
        <v>#N/A</v>
      </c>
      <c r="D431" s="1986" t="e">
        <v>#N/A</v>
      </c>
      <c r="E431" s="1547">
        <v>0</v>
      </c>
      <c r="F431" s="1548" t="e">
        <f>INDEX(Dashboard!$F$12:$S$12,1,MATCH($D431,Dashboard!$F$11:$S$11,0))</f>
        <v>#N/A</v>
      </c>
      <c r="G431" s="1502"/>
      <c r="H431" s="1490"/>
      <c r="I431" s="1502"/>
      <c r="J431" s="1502"/>
      <c r="K431" s="1502"/>
      <c r="L431" s="1502"/>
      <c r="M431" s="1502"/>
      <c r="N431" s="1502"/>
      <c r="O431" s="1502"/>
      <c r="P431" s="1502"/>
      <c r="Q431" s="1502"/>
      <c r="R431" s="1502"/>
      <c r="S431" s="1502"/>
      <c r="T431" s="1502"/>
      <c r="U431" s="1502"/>
    </row>
    <row r="432" spans="3:21" hidden="1">
      <c r="C432" s="1476" t="e">
        <f>IF(D432="","",MAX(C$7:C431)+1)</f>
        <v>#N/A</v>
      </c>
      <c r="D432" s="1986" t="e">
        <v>#N/A</v>
      </c>
      <c r="E432" s="1547">
        <v>0</v>
      </c>
      <c r="F432" s="1548" t="e">
        <f>INDEX(Dashboard!$F$12:$S$12,1,MATCH($D432,Dashboard!$F$11:$S$11,0))</f>
        <v>#N/A</v>
      </c>
      <c r="G432" s="1502"/>
      <c r="H432" s="1490"/>
      <c r="I432" s="1502"/>
      <c r="J432" s="1502"/>
      <c r="K432" s="1502"/>
      <c r="L432" s="1502"/>
      <c r="M432" s="1502"/>
      <c r="N432" s="1502"/>
      <c r="O432" s="1502"/>
      <c r="P432" s="1502"/>
      <c r="Q432" s="1502"/>
      <c r="R432" s="1502"/>
      <c r="S432" s="1502"/>
      <c r="T432" s="1502"/>
      <c r="U432" s="1502"/>
    </row>
    <row r="433" spans="3:21" ht="16.5" hidden="1" thickBot="1">
      <c r="C433" s="1476" t="e">
        <f>IF(D433="","",MAX(C$7:C432)+1)</f>
        <v>#N/A</v>
      </c>
      <c r="D433" s="1986" t="e">
        <v>#N/A</v>
      </c>
      <c r="E433" s="1549">
        <v>0</v>
      </c>
      <c r="F433" s="1550" t="e">
        <f>INDEX(Dashboard!$F$12:$S$12,1,MATCH($D433,Dashboard!$F$11:$S$11,0))</f>
        <v>#N/A</v>
      </c>
      <c r="G433" s="1502"/>
      <c r="H433" s="1490"/>
      <c r="I433" s="1502"/>
      <c r="J433" s="1502"/>
      <c r="K433" s="1502"/>
      <c r="L433" s="1502"/>
      <c r="M433" s="1502"/>
      <c r="N433" s="1502"/>
      <c r="O433" s="1502"/>
      <c r="P433" s="1502"/>
      <c r="Q433" s="1502"/>
      <c r="R433" s="1502"/>
      <c r="S433" s="1502"/>
      <c r="T433" s="1502"/>
      <c r="U433" s="1502"/>
    </row>
    <row r="434" spans="3:21">
      <c r="C434" s="1476" t="str">
        <f>IF(D434="","",MAX(C$7:C433)+1)</f>
        <v/>
      </c>
      <c r="D434" s="1468"/>
      <c r="E434" s="1468"/>
      <c r="F434" s="1468"/>
      <c r="G434" s="1987"/>
      <c r="H434" s="1987"/>
      <c r="I434" s="1502"/>
      <c r="J434" s="1502"/>
      <c r="K434" s="1502"/>
      <c r="L434" s="1502"/>
      <c r="M434" s="1502"/>
      <c r="N434" s="1502"/>
      <c r="O434" s="1502"/>
      <c r="P434" s="1502"/>
      <c r="Q434" s="1502"/>
      <c r="R434" s="1502"/>
      <c r="S434" s="1502"/>
      <c r="T434" s="1502"/>
      <c r="U434" s="1502"/>
    </row>
    <row r="435" spans="3:21">
      <c r="C435" s="1476" t="e">
        <f>IF(D435="","",MAX(C$7:C434)+1)</f>
        <v>#N/A</v>
      </c>
      <c r="D435" s="1468" t="s">
        <v>1047</v>
      </c>
      <c r="E435" s="1468"/>
      <c r="F435" s="1468"/>
      <c r="G435" s="1504">
        <f t="shared" ref="G435:U435" si="232">SUM(G417:G434)</f>
        <v>0</v>
      </c>
      <c r="H435" s="1504">
        <f t="shared" si="232"/>
        <v>0</v>
      </c>
      <c r="I435" s="1504">
        <f t="shared" si="232"/>
        <v>0</v>
      </c>
      <c r="J435" s="1504">
        <f t="shared" si="232"/>
        <v>0</v>
      </c>
      <c r="K435" s="1504">
        <f t="shared" si="232"/>
        <v>0</v>
      </c>
      <c r="L435" s="1504">
        <f t="shared" si="232"/>
        <v>4700</v>
      </c>
      <c r="M435" s="1504">
        <f t="shared" si="232"/>
        <v>9400</v>
      </c>
      <c r="N435" s="1504">
        <f t="shared" si="232"/>
        <v>14100</v>
      </c>
      <c r="O435" s="1504">
        <f t="shared" si="232"/>
        <v>18800</v>
      </c>
      <c r="P435" s="1504">
        <f t="shared" si="232"/>
        <v>23600</v>
      </c>
      <c r="Q435" s="1504">
        <f t="shared" si="232"/>
        <v>28400</v>
      </c>
      <c r="R435" s="1504">
        <f t="shared" si="232"/>
        <v>33200</v>
      </c>
      <c r="S435" s="1504">
        <f t="shared" si="232"/>
        <v>38000</v>
      </c>
      <c r="T435" s="1504">
        <f t="shared" si="232"/>
        <v>42800</v>
      </c>
      <c r="U435" s="1504">
        <f t="shared" si="232"/>
        <v>47700</v>
      </c>
    </row>
    <row r="436" spans="3:21">
      <c r="C436" s="1476" t="e">
        <f>IF(D436="","",MAX(C$7:C435)+1)</f>
        <v>#N/A</v>
      </c>
      <c r="D436" s="1468" t="s">
        <v>2772</v>
      </c>
      <c r="E436" s="1"/>
      <c r="F436" s="1"/>
      <c r="G436" s="1"/>
      <c r="H436" s="1"/>
      <c r="J436" s="424">
        <f>J435-J418</f>
        <v>0</v>
      </c>
      <c r="K436" s="424">
        <f>K435-K419</f>
        <v>0</v>
      </c>
      <c r="L436" s="424">
        <f>L435-L420</f>
        <v>0</v>
      </c>
      <c r="M436" s="424">
        <f>M435-M421</f>
        <v>4700</v>
      </c>
      <c r="N436" s="424">
        <f>N435-N422</f>
        <v>9400</v>
      </c>
      <c r="O436" s="424">
        <f>O435-O423</f>
        <v>14100</v>
      </c>
      <c r="P436" s="424">
        <f>P435-P424</f>
        <v>18800</v>
      </c>
      <c r="Q436" s="424">
        <f>Q435-Q425</f>
        <v>23600</v>
      </c>
      <c r="R436" s="424">
        <f>R435-R426</f>
        <v>28400</v>
      </c>
      <c r="S436" s="424">
        <f>S435-S427</f>
        <v>33200</v>
      </c>
      <c r="T436" s="424">
        <f>T435-T428</f>
        <v>38000</v>
      </c>
      <c r="U436" s="424">
        <f>U435-U429</f>
        <v>42800</v>
      </c>
    </row>
    <row r="437" spans="3:21" ht="16.5" thickBot="1"/>
    <row r="438" spans="3:21" ht="16.5" thickBot="1">
      <c r="C438" s="1"/>
      <c r="D438" s="4528" t="str">
        <f>$D$22</f>
        <v>Street Lights (2)</v>
      </c>
      <c r="E438" s="4529"/>
      <c r="F438" s="4530"/>
      <c r="G438" s="1"/>
      <c r="H438" s="1"/>
    </row>
    <row r="439" spans="3:21">
      <c r="C439" s="1476" t="e">
        <f>IF(D439="","",MAX(C$7:C437)+1)</f>
        <v>#N/A</v>
      </c>
      <c r="D439" s="1491" t="s">
        <v>1042</v>
      </c>
      <c r="E439" s="1468"/>
      <c r="F439" s="1983" t="s">
        <v>1043</v>
      </c>
      <c r="G439" s="1490"/>
      <c r="H439" s="1490"/>
      <c r="I439" s="1490"/>
      <c r="J439" s="1490"/>
      <c r="K439" s="1490"/>
      <c r="L439" s="1490"/>
      <c r="M439" s="1490"/>
      <c r="N439" s="1490"/>
      <c r="O439" s="1490"/>
      <c r="P439" s="1490"/>
      <c r="Q439" s="1490"/>
      <c r="R439" s="1490"/>
      <c r="S439" s="1490"/>
      <c r="T439" s="1490"/>
      <c r="U439" s="1490"/>
    </row>
    <row r="440" spans="3:21">
      <c r="C440" s="1476" t="e">
        <f>IF(D440="","",MAX(C$7:C439)+1)</f>
        <v>#N/A</v>
      </c>
      <c r="D440" s="1984" t="s">
        <v>1044</v>
      </c>
      <c r="E440" s="1985" t="s">
        <v>1045</v>
      </c>
      <c r="F440" s="1985" t="s">
        <v>1046</v>
      </c>
      <c r="G440" s="1490"/>
      <c r="H440" s="1490"/>
      <c r="I440" s="1490"/>
      <c r="J440" s="1490"/>
      <c r="K440" s="1490"/>
      <c r="L440" s="1490"/>
      <c r="M440" s="1490"/>
      <c r="N440" s="1490"/>
      <c r="O440" s="1490"/>
      <c r="P440" s="1490"/>
      <c r="Q440" s="1490"/>
      <c r="R440" s="1490"/>
      <c r="S440" s="1490"/>
      <c r="T440" s="1490"/>
      <c r="U440" s="1490"/>
    </row>
    <row r="441" spans="3:21" ht="16.5" thickBot="1">
      <c r="C441" s="1476" t="str">
        <f>IF(D441="","",MAX(C$7:C440)+1)</f>
        <v/>
      </c>
      <c r="D441" s="1489"/>
      <c r="E441" s="1489"/>
      <c r="F441" s="1489"/>
      <c r="G441" s="1490"/>
      <c r="H441" s="1490"/>
      <c r="I441" s="1490"/>
      <c r="J441" s="1490"/>
      <c r="K441" s="1490"/>
      <c r="L441" s="1490"/>
      <c r="M441" s="1490"/>
      <c r="N441" s="1490"/>
      <c r="O441" s="1490"/>
      <c r="P441" s="1490"/>
      <c r="Q441" s="1490"/>
      <c r="R441" s="1490"/>
      <c r="S441" s="1490"/>
      <c r="T441" s="1490"/>
      <c r="U441" s="1490"/>
    </row>
    <row r="442" spans="3:21">
      <c r="C442" s="1476" t="e">
        <f>IF(D442="","",MAX(C$7:C441)+1)</f>
        <v>#N/A</v>
      </c>
      <c r="D442" s="1986">
        <f t="array" ref="D442:D458">TRANSPOSE(Dashboard!$G$11:$S$11)</f>
        <v>41640</v>
      </c>
      <c r="E442" s="1989">
        <f>INDEX(Dashboard!$F$10:$S$10,1,MATCH($D442,Dashboard!$F$11:$S$11,0))</f>
        <v>0</v>
      </c>
      <c r="F442" s="1546">
        <f>INDEX(Dashboard!$F$12:$S$12,1,MATCH($D442,Dashboard!$F$11:$S$11,0))</f>
        <v>12</v>
      </c>
      <c r="G442" s="1502"/>
      <c r="H442" s="1490"/>
      <c r="I442" s="1988">
        <f>ROUND((I$22+SUM(I441:I441))*$E442*$F442/12,-2)</f>
        <v>0</v>
      </c>
      <c r="J442" s="1502">
        <f t="shared" ref="J442:U442" si="233">ROUND((J$22+SUM(J441:J441))*$E442,-2)</f>
        <v>0</v>
      </c>
      <c r="K442" s="1502">
        <f t="shared" si="233"/>
        <v>0</v>
      </c>
      <c r="L442" s="1502">
        <f t="shared" si="233"/>
        <v>0</v>
      </c>
      <c r="M442" s="1502">
        <f t="shared" si="233"/>
        <v>0</v>
      </c>
      <c r="N442" s="1502">
        <f t="shared" si="233"/>
        <v>0</v>
      </c>
      <c r="O442" s="1502">
        <f t="shared" si="233"/>
        <v>0</v>
      </c>
      <c r="P442" s="1502">
        <f t="shared" si="233"/>
        <v>0</v>
      </c>
      <c r="Q442" s="1502">
        <f t="shared" si="233"/>
        <v>0</v>
      </c>
      <c r="R442" s="1502">
        <f t="shared" si="233"/>
        <v>0</v>
      </c>
      <c r="S442" s="1502">
        <f t="shared" si="233"/>
        <v>0</v>
      </c>
      <c r="T442" s="1502">
        <f t="shared" si="233"/>
        <v>0</v>
      </c>
      <c r="U442" s="1502">
        <f t="shared" si="233"/>
        <v>0</v>
      </c>
    </row>
    <row r="443" spans="3:21">
      <c r="C443" s="1476" t="e">
        <f>IF(D443="","",MAX(C$7:C442)+1)</f>
        <v>#N/A</v>
      </c>
      <c r="D443" s="1986">
        <v>42005</v>
      </c>
      <c r="E443" s="1547">
        <f t="array" ref="E443:E458">TRANSPOSE('COS_Summ (cumulative)'!$I$22:$X$22)</f>
        <v>0</v>
      </c>
      <c r="F443" s="1548">
        <f>INDEX(Dashboard!$F$12:$S$12,1,MATCH($D443,Dashboard!$F$11:$S$11,0))</f>
        <v>12</v>
      </c>
      <c r="G443" s="1502"/>
      <c r="H443" s="1490"/>
      <c r="I443" s="1502"/>
      <c r="J443" s="1988">
        <f>ROUND((J$22+SUM(J442:J442))*$E443*$F443/12,-2)</f>
        <v>0</v>
      </c>
      <c r="K443" s="1502">
        <f t="shared" ref="K443:U443" si="234">ROUND((K$22+SUM(K441:K442))*$E443,-2)</f>
        <v>0</v>
      </c>
      <c r="L443" s="1502">
        <f t="shared" si="234"/>
        <v>0</v>
      </c>
      <c r="M443" s="1502">
        <f t="shared" si="234"/>
        <v>0</v>
      </c>
      <c r="N443" s="1502">
        <f t="shared" si="234"/>
        <v>0</v>
      </c>
      <c r="O443" s="1502">
        <f t="shared" si="234"/>
        <v>0</v>
      </c>
      <c r="P443" s="1502">
        <f t="shared" si="234"/>
        <v>0</v>
      </c>
      <c r="Q443" s="1502">
        <f t="shared" si="234"/>
        <v>0</v>
      </c>
      <c r="R443" s="1502">
        <f t="shared" si="234"/>
        <v>0</v>
      </c>
      <c r="S443" s="1502">
        <f t="shared" si="234"/>
        <v>0</v>
      </c>
      <c r="T443" s="1502">
        <f t="shared" si="234"/>
        <v>0</v>
      </c>
      <c r="U443" s="1502">
        <f t="shared" si="234"/>
        <v>0</v>
      </c>
    </row>
    <row r="444" spans="3:21">
      <c r="C444" s="1476" t="e">
        <f>IF(D444="","",MAX(C$7:C443)+1)</f>
        <v>#N/A</v>
      </c>
      <c r="D444" s="1986">
        <v>42370</v>
      </c>
      <c r="E444" s="1547">
        <v>0</v>
      </c>
      <c r="F444" s="1548">
        <f>INDEX(Dashboard!$F$12:$S$12,1,MATCH($D444,Dashboard!$F$11:$S$11,0))</f>
        <v>12</v>
      </c>
      <c r="G444" s="1502"/>
      <c r="H444" s="1490"/>
      <c r="I444" s="1502"/>
      <c r="J444" s="1502"/>
      <c r="K444" s="1988">
        <f>ROUND((K$22+SUM(K442:K443))*$E444*$F444/12,-2)</f>
        <v>0</v>
      </c>
      <c r="L444" s="1502">
        <f t="shared" ref="L444:U444" si="235">ROUND((L$22+SUM(L441:L443))*$E444,-2)</f>
        <v>0</v>
      </c>
      <c r="M444" s="1502">
        <f t="shared" si="235"/>
        <v>0</v>
      </c>
      <c r="N444" s="1502">
        <f t="shared" si="235"/>
        <v>0</v>
      </c>
      <c r="O444" s="1502">
        <f t="shared" si="235"/>
        <v>0</v>
      </c>
      <c r="P444" s="1502">
        <f t="shared" si="235"/>
        <v>0</v>
      </c>
      <c r="Q444" s="1502">
        <f t="shared" si="235"/>
        <v>0</v>
      </c>
      <c r="R444" s="1502">
        <f t="shared" si="235"/>
        <v>0</v>
      </c>
      <c r="S444" s="1502">
        <f t="shared" si="235"/>
        <v>0</v>
      </c>
      <c r="T444" s="1502">
        <f t="shared" si="235"/>
        <v>0</v>
      </c>
      <c r="U444" s="1502">
        <f t="shared" si="235"/>
        <v>0</v>
      </c>
    </row>
    <row r="445" spans="3:21">
      <c r="C445" s="1476" t="e">
        <f>IF(D445="","",MAX(C$7:C444)+1)</f>
        <v>#N/A</v>
      </c>
      <c r="D445" s="1986">
        <v>42736</v>
      </c>
      <c r="E445" s="1547">
        <v>2.1108180556527703E-2</v>
      </c>
      <c r="F445" s="1548">
        <f>INDEX(Dashboard!$F$12:$S$12,1,MATCH($D445,Dashboard!$F$11:$S$11,0))</f>
        <v>12</v>
      </c>
      <c r="G445" s="1502"/>
      <c r="H445" s="1490"/>
      <c r="I445" s="1502"/>
      <c r="J445" s="1502"/>
      <c r="K445" s="1502"/>
      <c r="L445" s="1988">
        <f>ROUND((L$22+SUM(L441:L444))*$E445*$F445/12,-2)</f>
        <v>600</v>
      </c>
      <c r="M445" s="1502">
        <f t="shared" ref="M445:U445" si="236">ROUND((M$22+SUM(M441:M444))*$E445,-2)</f>
        <v>600</v>
      </c>
      <c r="N445" s="1502">
        <f t="shared" si="236"/>
        <v>600</v>
      </c>
      <c r="O445" s="1502">
        <f t="shared" si="236"/>
        <v>600</v>
      </c>
      <c r="P445" s="1502">
        <f t="shared" si="236"/>
        <v>600</v>
      </c>
      <c r="Q445" s="1502">
        <f t="shared" si="236"/>
        <v>600</v>
      </c>
      <c r="R445" s="1502">
        <f t="shared" si="236"/>
        <v>600</v>
      </c>
      <c r="S445" s="1502">
        <f t="shared" si="236"/>
        <v>600</v>
      </c>
      <c r="T445" s="1502">
        <f t="shared" si="236"/>
        <v>600</v>
      </c>
      <c r="U445" s="1502">
        <f t="shared" si="236"/>
        <v>600</v>
      </c>
    </row>
    <row r="446" spans="3:21">
      <c r="C446" s="1476" t="e">
        <f>IF(D446="","",MAX(C$7:C445)+1)</f>
        <v>#N/A</v>
      </c>
      <c r="D446" s="1986">
        <v>43101</v>
      </c>
      <c r="E446" s="1547">
        <v>2.1108180556527703E-2</v>
      </c>
      <c r="F446" s="1548">
        <f>INDEX(Dashboard!$F$12:$S$12,1,MATCH($D446,Dashboard!$F$11:$S$11,0))</f>
        <v>12</v>
      </c>
      <c r="G446" s="1502"/>
      <c r="H446" s="1490"/>
      <c r="I446" s="1502"/>
      <c r="J446" s="1502"/>
      <c r="K446" s="1502"/>
      <c r="L446" s="1502"/>
      <c r="M446" s="1988">
        <f>ROUND((M$22+SUM(M441:M445))*$E446*$F446/12,-2)</f>
        <v>600</v>
      </c>
      <c r="N446" s="1502">
        <f t="shared" ref="N446:U446" si="237">ROUND((N$22+SUM(N441:N445))*$E446,-2)</f>
        <v>600</v>
      </c>
      <c r="O446" s="1502">
        <f t="shared" si="237"/>
        <v>600</v>
      </c>
      <c r="P446" s="1502">
        <f t="shared" si="237"/>
        <v>600</v>
      </c>
      <c r="Q446" s="1502">
        <f t="shared" si="237"/>
        <v>600</v>
      </c>
      <c r="R446" s="1502">
        <f t="shared" si="237"/>
        <v>600</v>
      </c>
      <c r="S446" s="1502">
        <f t="shared" si="237"/>
        <v>600</v>
      </c>
      <c r="T446" s="1502">
        <f t="shared" si="237"/>
        <v>600</v>
      </c>
      <c r="U446" s="1502">
        <f t="shared" si="237"/>
        <v>600</v>
      </c>
    </row>
    <row r="447" spans="3:21">
      <c r="C447" s="1476" t="e">
        <f>IF(D447="","",MAX(C$7:C446)+1)</f>
        <v>#N/A</v>
      </c>
      <c r="D447" s="1986">
        <v>43466</v>
      </c>
      <c r="E447" s="1547">
        <v>2.1108180556527703E-2</v>
      </c>
      <c r="F447" s="1548">
        <f>INDEX(Dashboard!$F$12:$S$12,1,MATCH($D447,Dashboard!$F$11:$S$11,0))</f>
        <v>12</v>
      </c>
      <c r="G447" s="1502"/>
      <c r="H447" s="1490"/>
      <c r="I447" s="1502"/>
      <c r="J447" s="1502"/>
      <c r="K447" s="1502"/>
      <c r="L447" s="1502"/>
      <c r="M447" s="1502"/>
      <c r="N447" s="1988">
        <f>ROUND((N$22+SUM(N441:N446))*$E447*$F447/12,-2)</f>
        <v>600</v>
      </c>
      <c r="O447" s="1502">
        <f t="shared" ref="O447:U447" si="238">ROUND((O$22+SUM(O441:O446))*$E447,-2)</f>
        <v>600</v>
      </c>
      <c r="P447" s="1502">
        <f t="shared" si="238"/>
        <v>600</v>
      </c>
      <c r="Q447" s="1502">
        <f t="shared" si="238"/>
        <v>600</v>
      </c>
      <c r="R447" s="1502">
        <f t="shared" si="238"/>
        <v>600</v>
      </c>
      <c r="S447" s="1502">
        <f t="shared" si="238"/>
        <v>600</v>
      </c>
      <c r="T447" s="1502">
        <f t="shared" si="238"/>
        <v>600</v>
      </c>
      <c r="U447" s="1502">
        <f t="shared" si="238"/>
        <v>600</v>
      </c>
    </row>
    <row r="448" spans="3:21">
      <c r="C448" s="1476" t="e">
        <f>IF(D448="","",MAX(C$7:C447)+1)</f>
        <v>#N/A</v>
      </c>
      <c r="D448" s="1986">
        <v>43831</v>
      </c>
      <c r="E448" s="1547">
        <v>2.1108180556527703E-2</v>
      </c>
      <c r="F448" s="1548">
        <f>INDEX(Dashboard!$F$12:$S$12,1,MATCH($D448,Dashboard!$F$11:$S$11,0))</f>
        <v>12</v>
      </c>
      <c r="G448" s="1502"/>
      <c r="H448" s="1490"/>
      <c r="I448" s="1502"/>
      <c r="J448" s="1502"/>
      <c r="K448" s="1502"/>
      <c r="L448" s="1502"/>
      <c r="M448" s="1502"/>
      <c r="N448" s="1502"/>
      <c r="O448" s="1988">
        <f>ROUND((O$22+SUM(O441:O447))*$E448*$F448/12,-2)</f>
        <v>600</v>
      </c>
      <c r="P448" s="1502">
        <f t="shared" ref="P448:U448" si="239">ROUND((P$22+SUM(P441:P447))*$E448,-2)</f>
        <v>600</v>
      </c>
      <c r="Q448" s="1502">
        <f t="shared" si="239"/>
        <v>600</v>
      </c>
      <c r="R448" s="1502">
        <f t="shared" si="239"/>
        <v>600</v>
      </c>
      <c r="S448" s="1502">
        <f t="shared" si="239"/>
        <v>600</v>
      </c>
      <c r="T448" s="1502">
        <f t="shared" si="239"/>
        <v>600</v>
      </c>
      <c r="U448" s="1502">
        <f t="shared" si="239"/>
        <v>600</v>
      </c>
    </row>
    <row r="449" spans="3:21">
      <c r="C449" s="1476" t="e">
        <f>IF(D449="","",MAX(C$7:C448)+1)</f>
        <v>#N/A</v>
      </c>
      <c r="D449" s="1986">
        <v>44197</v>
      </c>
      <c r="E449" s="1547">
        <v>2.1108180556527703E-2</v>
      </c>
      <c r="F449" s="1548">
        <f>INDEX(Dashboard!$F$12:$S$12,1,MATCH($D449,Dashboard!$F$11:$S$11,0))</f>
        <v>12</v>
      </c>
      <c r="G449" s="1502"/>
      <c r="H449" s="1490"/>
      <c r="I449" s="1502"/>
      <c r="J449" s="1502"/>
      <c r="K449" s="1502"/>
      <c r="L449" s="1502"/>
      <c r="M449" s="1502"/>
      <c r="N449" s="1502"/>
      <c r="O449" s="1502"/>
      <c r="P449" s="1988">
        <f>ROUND((P$22+SUM(P441:P448))*$E449*$F449/12,-2)</f>
        <v>700</v>
      </c>
      <c r="Q449" s="1502">
        <f t="shared" ref="Q449:U449" si="240">ROUND((Q$22+SUM(Q441:Q448))*$E449,-2)</f>
        <v>700</v>
      </c>
      <c r="R449" s="1502">
        <f t="shared" si="240"/>
        <v>700</v>
      </c>
      <c r="S449" s="1502">
        <f t="shared" si="240"/>
        <v>700</v>
      </c>
      <c r="T449" s="1502">
        <f t="shared" si="240"/>
        <v>700</v>
      </c>
      <c r="U449" s="1502">
        <f t="shared" si="240"/>
        <v>700</v>
      </c>
    </row>
    <row r="450" spans="3:21">
      <c r="C450" s="1476" t="e">
        <f>IF(D450="","",MAX(C$7:C449)+1)</f>
        <v>#N/A</v>
      </c>
      <c r="D450" s="1986">
        <v>44562</v>
      </c>
      <c r="E450" s="1547">
        <v>2.1108180556527703E-2</v>
      </c>
      <c r="F450" s="1548">
        <f>INDEX(Dashboard!$F$12:$S$12,1,MATCH($D450,Dashboard!$F$11:$S$11,0))</f>
        <v>12</v>
      </c>
      <c r="G450" s="1502"/>
      <c r="H450" s="1490"/>
      <c r="I450" s="1502"/>
      <c r="J450" s="1502"/>
      <c r="K450" s="1502"/>
      <c r="L450" s="1502"/>
      <c r="M450" s="1502"/>
      <c r="N450" s="1502"/>
      <c r="O450" s="1502"/>
      <c r="P450" s="1502"/>
      <c r="Q450" s="1988">
        <f>ROUND((Q$22+SUM(Q441:Q449))*$E450*$F450/12,-2)</f>
        <v>700</v>
      </c>
      <c r="R450" s="1502">
        <f t="shared" ref="R450:U450" si="241">ROUND((R$22+SUM(R441:R449))*$E450,-2)</f>
        <v>700</v>
      </c>
      <c r="S450" s="1502">
        <f t="shared" si="241"/>
        <v>700</v>
      </c>
      <c r="T450" s="1502">
        <f t="shared" si="241"/>
        <v>700</v>
      </c>
      <c r="U450" s="1502">
        <f t="shared" si="241"/>
        <v>700</v>
      </c>
    </row>
    <row r="451" spans="3:21">
      <c r="C451" s="1476" t="e">
        <f>IF(D451="","",MAX(C$7:C450)+1)</f>
        <v>#N/A</v>
      </c>
      <c r="D451" s="1986">
        <v>44927</v>
      </c>
      <c r="E451" s="1547">
        <v>2.1108180556527703E-2</v>
      </c>
      <c r="F451" s="1548">
        <f>INDEX(Dashboard!$F$12:$S$12,1,MATCH($D451,Dashboard!$F$11:$S$11,0))</f>
        <v>12</v>
      </c>
      <c r="G451" s="1502"/>
      <c r="H451" s="1490"/>
      <c r="I451" s="1502"/>
      <c r="J451" s="1502"/>
      <c r="K451" s="1502"/>
      <c r="L451" s="1502"/>
      <c r="M451" s="1502"/>
      <c r="N451" s="1502"/>
      <c r="O451" s="1502"/>
      <c r="P451" s="1502"/>
      <c r="Q451" s="1502"/>
      <c r="R451" s="1988">
        <f>ROUND((R$22+SUM(R441:R450))*$E451*$F451/12,-2)</f>
        <v>700</v>
      </c>
      <c r="S451" s="1502">
        <f t="shared" ref="S451:U451" si="242">ROUND((S$22+SUM(S441:S450))*$E451,-2)</f>
        <v>700</v>
      </c>
      <c r="T451" s="1502">
        <f t="shared" si="242"/>
        <v>700</v>
      </c>
      <c r="U451" s="1502">
        <f t="shared" si="242"/>
        <v>700</v>
      </c>
    </row>
    <row r="452" spans="3:21" ht="16.5" thickBot="1">
      <c r="C452" s="1476" t="e">
        <f>IF(D452="","",MAX(C$7:C451)+1)</f>
        <v>#N/A</v>
      </c>
      <c r="D452" s="1986">
        <v>45292</v>
      </c>
      <c r="E452" s="1549">
        <v>2.1108180556527703E-2</v>
      </c>
      <c r="F452" s="1550">
        <f>INDEX(Dashboard!$F$12:$S$12,1,MATCH($D452,Dashboard!$F$11:$S$11,0))</f>
        <v>12</v>
      </c>
      <c r="G452" s="1502"/>
      <c r="H452" s="1490"/>
      <c r="I452" s="1502"/>
      <c r="J452" s="1502"/>
      <c r="K452" s="1502"/>
      <c r="L452" s="1502"/>
      <c r="M452" s="1502"/>
      <c r="N452" s="1502"/>
      <c r="O452" s="1502"/>
      <c r="P452" s="1502"/>
      <c r="Q452" s="1502"/>
      <c r="R452" s="1502"/>
      <c r="S452" s="1988">
        <f>ROUND((S$22+SUM(S441:S451))*$E452*$F452/12,-2)</f>
        <v>700</v>
      </c>
      <c r="T452" s="1502">
        <f t="shared" ref="T452:U452" si="243">ROUND((T$22+SUM(T441:T451))*$E452,-2)</f>
        <v>700</v>
      </c>
      <c r="U452" s="1502">
        <f t="shared" si="243"/>
        <v>700</v>
      </c>
    </row>
    <row r="453" spans="3:21">
      <c r="C453" s="1476" t="e">
        <f>IF(D453="","",MAX(C$7:C452)+1)</f>
        <v>#N/A</v>
      </c>
      <c r="D453" s="1986">
        <v>45658</v>
      </c>
      <c r="E453" s="1545">
        <v>5.0000000000000001E-3</v>
      </c>
      <c r="F453" s="1546">
        <f>INDEX(Dashboard!$F$12:$S$12,1,MATCH($D453,Dashboard!$F$11:$S$11,0))</f>
        <v>12</v>
      </c>
      <c r="G453" s="1502"/>
      <c r="H453" s="1490"/>
      <c r="I453" s="1502"/>
      <c r="J453" s="1502"/>
      <c r="K453" s="1502"/>
      <c r="L453" s="1502"/>
      <c r="M453" s="1502"/>
      <c r="N453" s="1502"/>
      <c r="O453" s="1502"/>
      <c r="P453" s="1502"/>
      <c r="Q453" s="1502"/>
      <c r="R453" s="1502"/>
      <c r="S453" s="1502"/>
      <c r="T453" s="1988">
        <f>ROUND((T$22+SUM(T441:T452))*$E453*$F453/12,-2)</f>
        <v>200</v>
      </c>
      <c r="U453" s="1502">
        <f>ROUND((U$22+SUM(U441:U452))*$E453,-2)</f>
        <v>200</v>
      </c>
    </row>
    <row r="454" spans="3:21" ht="16.5" thickBot="1">
      <c r="C454" s="1476" t="e">
        <f>IF(D454="","",MAX(C$7:C453)+1)</f>
        <v>#N/A</v>
      </c>
      <c r="D454" s="1986">
        <v>46023</v>
      </c>
      <c r="E454" s="1549">
        <v>5.0000000000000001E-3</v>
      </c>
      <c r="F454" s="1550">
        <f>INDEX(Dashboard!$F$12:$S$12,1,MATCH($D454,Dashboard!$F$11:$S$11,0))</f>
        <v>12</v>
      </c>
      <c r="G454" s="1502"/>
      <c r="H454" s="1490"/>
      <c r="I454" s="1502"/>
      <c r="J454" s="1502"/>
      <c r="K454" s="1502"/>
      <c r="L454" s="1502"/>
      <c r="M454" s="1502"/>
      <c r="N454" s="1502"/>
      <c r="O454" s="1502"/>
      <c r="P454" s="1502"/>
      <c r="Q454" s="1502"/>
      <c r="R454" s="1502"/>
      <c r="S454" s="1502"/>
      <c r="T454" s="1502"/>
      <c r="U454" s="1988">
        <f>ROUND((U$22+SUM(U441:U453))*$E454*$F454/12,-2)</f>
        <v>200</v>
      </c>
    </row>
    <row r="455" spans="3:21" hidden="1">
      <c r="C455" s="1476" t="e">
        <f>IF(D455="","",MAX(C$7:C454)+1)</f>
        <v>#N/A</v>
      </c>
      <c r="D455" s="1986" t="e">
        <v>#N/A</v>
      </c>
      <c r="E455" s="1547">
        <v>0</v>
      </c>
      <c r="F455" s="1548" t="e">
        <f>INDEX(Dashboard!$F$12:$S$12,1,MATCH($D455,Dashboard!$F$11:$S$11,0))</f>
        <v>#N/A</v>
      </c>
      <c r="G455" s="1502"/>
      <c r="H455" s="1490"/>
      <c r="I455" s="1502"/>
      <c r="J455" s="1502"/>
      <c r="K455" s="1502"/>
      <c r="L455" s="1502"/>
      <c r="M455" s="1502"/>
      <c r="N455" s="1502"/>
      <c r="O455" s="1502"/>
      <c r="P455" s="1502"/>
      <c r="Q455" s="1502"/>
      <c r="R455" s="1502"/>
      <c r="S455" s="1502"/>
      <c r="T455" s="1502"/>
      <c r="U455" s="1502"/>
    </row>
    <row r="456" spans="3:21" hidden="1">
      <c r="C456" s="1476" t="e">
        <f>IF(D456="","",MAX(C$7:C455)+1)</f>
        <v>#N/A</v>
      </c>
      <c r="D456" s="1986" t="e">
        <v>#N/A</v>
      </c>
      <c r="E456" s="1547">
        <v>0</v>
      </c>
      <c r="F456" s="1548" t="e">
        <f>INDEX(Dashboard!$F$12:$S$12,1,MATCH($D456,Dashboard!$F$11:$S$11,0))</f>
        <v>#N/A</v>
      </c>
      <c r="G456" s="1502"/>
      <c r="H456" s="1490"/>
      <c r="I456" s="1502"/>
      <c r="J456" s="1502"/>
      <c r="K456" s="1502"/>
      <c r="L456" s="1502"/>
      <c r="M456" s="1502"/>
      <c r="N456" s="1502"/>
      <c r="O456" s="1502"/>
      <c r="P456" s="1502"/>
      <c r="Q456" s="1502"/>
      <c r="R456" s="1502"/>
      <c r="S456" s="1502"/>
      <c r="T456" s="1502"/>
      <c r="U456" s="1502"/>
    </row>
    <row r="457" spans="3:21" hidden="1">
      <c r="C457" s="1476" t="e">
        <f>IF(D457="","",MAX(C$7:C456)+1)</f>
        <v>#N/A</v>
      </c>
      <c r="D457" s="1986" t="e">
        <v>#N/A</v>
      </c>
      <c r="E457" s="1547">
        <v>0</v>
      </c>
      <c r="F457" s="1548" t="e">
        <f>INDEX(Dashboard!$F$12:$S$12,1,MATCH($D457,Dashboard!$F$11:$S$11,0))</f>
        <v>#N/A</v>
      </c>
      <c r="G457" s="1502"/>
      <c r="H457" s="1490"/>
      <c r="I457" s="1502"/>
      <c r="J457" s="1502"/>
      <c r="K457" s="1502"/>
      <c r="L457" s="1502"/>
      <c r="M457" s="1502"/>
      <c r="N457" s="1502"/>
      <c r="O457" s="1502"/>
      <c r="P457" s="1502"/>
      <c r="Q457" s="1502"/>
      <c r="R457" s="1502"/>
      <c r="S457" s="1502"/>
      <c r="T457" s="1502"/>
      <c r="U457" s="1502"/>
    </row>
    <row r="458" spans="3:21" ht="16.5" hidden="1" thickBot="1">
      <c r="C458" s="1476" t="e">
        <f>IF(D458="","",MAX(C$7:C457)+1)</f>
        <v>#N/A</v>
      </c>
      <c r="D458" s="1986" t="e">
        <v>#N/A</v>
      </c>
      <c r="E458" s="1549">
        <v>0</v>
      </c>
      <c r="F458" s="1550" t="e">
        <f>INDEX(Dashboard!$F$12:$S$12,1,MATCH($D458,Dashboard!$F$11:$S$11,0))</f>
        <v>#N/A</v>
      </c>
      <c r="G458" s="1502"/>
      <c r="H458" s="1490"/>
      <c r="I458" s="1502"/>
      <c r="J458" s="1502"/>
      <c r="K458" s="1502"/>
      <c r="L458" s="1502"/>
      <c r="M458" s="1502"/>
      <c r="N458" s="1502"/>
      <c r="O458" s="1502"/>
      <c r="P458" s="1502"/>
      <c r="Q458" s="1502"/>
      <c r="R458" s="1502"/>
      <c r="S458" s="1502"/>
      <c r="T458" s="1502"/>
      <c r="U458" s="1502"/>
    </row>
    <row r="459" spans="3:21">
      <c r="C459" s="1476" t="str">
        <f>IF(D459="","",MAX(C$7:C458)+1)</f>
        <v/>
      </c>
      <c r="D459" s="1468"/>
      <c r="E459" s="1468"/>
      <c r="F459" s="1468"/>
      <c r="G459" s="1987"/>
      <c r="H459" s="1987"/>
      <c r="I459" s="1502"/>
      <c r="J459" s="1502"/>
      <c r="K459" s="1502"/>
      <c r="L459" s="1502"/>
      <c r="M459" s="1502"/>
      <c r="N459" s="1502"/>
      <c r="O459" s="1502"/>
      <c r="P459" s="1502"/>
      <c r="Q459" s="1502"/>
      <c r="R459" s="1502"/>
      <c r="S459" s="1502"/>
      <c r="T459" s="1502"/>
      <c r="U459" s="1502"/>
    </row>
    <row r="460" spans="3:21">
      <c r="C460" s="1476" t="e">
        <f>IF(D460="","",MAX(C$7:C459)+1)</f>
        <v>#N/A</v>
      </c>
      <c r="D460" s="1468" t="s">
        <v>1047</v>
      </c>
      <c r="E460" s="1468"/>
      <c r="F460" s="1468"/>
      <c r="G460" s="1504">
        <f t="shared" ref="G460:U460" si="244">SUM(G442:G459)</f>
        <v>0</v>
      </c>
      <c r="H460" s="1504">
        <f t="shared" si="244"/>
        <v>0</v>
      </c>
      <c r="I460" s="1504">
        <f t="shared" si="244"/>
        <v>0</v>
      </c>
      <c r="J460" s="1504">
        <f t="shared" si="244"/>
        <v>0</v>
      </c>
      <c r="K460" s="1504">
        <f t="shared" si="244"/>
        <v>0</v>
      </c>
      <c r="L460" s="1504">
        <f t="shared" si="244"/>
        <v>600</v>
      </c>
      <c r="M460" s="1504">
        <f t="shared" si="244"/>
        <v>1200</v>
      </c>
      <c r="N460" s="1504">
        <f t="shared" si="244"/>
        <v>1800</v>
      </c>
      <c r="O460" s="1504">
        <f t="shared" si="244"/>
        <v>2400</v>
      </c>
      <c r="P460" s="1504">
        <f t="shared" si="244"/>
        <v>3100</v>
      </c>
      <c r="Q460" s="1504">
        <f t="shared" si="244"/>
        <v>3800</v>
      </c>
      <c r="R460" s="1504">
        <f t="shared" si="244"/>
        <v>4500</v>
      </c>
      <c r="S460" s="1504">
        <f t="shared" si="244"/>
        <v>5200</v>
      </c>
      <c r="T460" s="1504">
        <f t="shared" si="244"/>
        <v>5400</v>
      </c>
      <c r="U460" s="1504">
        <f t="shared" si="244"/>
        <v>5600</v>
      </c>
    </row>
    <row r="461" spans="3:21">
      <c r="C461" s="1476" t="e">
        <f>IF(D461="","",MAX(C$7:C460)+1)</f>
        <v>#N/A</v>
      </c>
      <c r="D461" s="1468" t="s">
        <v>2772</v>
      </c>
      <c r="E461" s="1"/>
      <c r="F461" s="1"/>
      <c r="G461" s="1"/>
      <c r="H461" s="1"/>
      <c r="J461" s="424">
        <f>J460-J443</f>
        <v>0</v>
      </c>
      <c r="K461" s="424">
        <f>K460-K444</f>
        <v>0</v>
      </c>
      <c r="L461" s="424">
        <f>L460-L445</f>
        <v>0</v>
      </c>
      <c r="M461" s="424">
        <f>M460-M446</f>
        <v>600</v>
      </c>
      <c r="N461" s="424">
        <f>N460-N447</f>
        <v>1200</v>
      </c>
      <c r="O461" s="424">
        <f>O460-O448</f>
        <v>1800</v>
      </c>
      <c r="P461" s="424">
        <f>P460-P449</f>
        <v>2400</v>
      </c>
      <c r="Q461" s="424">
        <f>Q460-Q450</f>
        <v>3100</v>
      </c>
      <c r="R461" s="424">
        <f>R460-R451</f>
        <v>3800</v>
      </c>
      <c r="S461" s="424">
        <f>S460-S452</f>
        <v>4500</v>
      </c>
      <c r="T461" s="424">
        <f>T460-T453</f>
        <v>5200</v>
      </c>
      <c r="U461" s="424">
        <f>U460-U454</f>
        <v>5400</v>
      </c>
    </row>
    <row r="462" spans="3:21" ht="16.5" thickBot="1"/>
    <row r="463" spans="3:21" ht="16.5" thickBot="1">
      <c r="C463" s="1"/>
      <c r="D463" s="4528" t="str">
        <f>$D$23</f>
        <v>Total Other Sales (PA)</v>
      </c>
      <c r="E463" s="4529"/>
      <c r="F463" s="4530"/>
      <c r="G463" s="1"/>
      <c r="H463" s="1"/>
    </row>
    <row r="464" spans="3:21">
      <c r="C464" s="1476" t="e">
        <f>IF(D464="","",MAX(C$7:C462)+1)</f>
        <v>#N/A</v>
      </c>
      <c r="D464" s="1491" t="s">
        <v>1042</v>
      </c>
      <c r="E464" s="1468"/>
      <c r="F464" s="1983" t="s">
        <v>1043</v>
      </c>
      <c r="G464" s="1490"/>
      <c r="H464" s="1490"/>
      <c r="I464" s="1490"/>
      <c r="J464" s="1490"/>
      <c r="K464" s="1490"/>
      <c r="L464" s="1490"/>
      <c r="M464" s="1490"/>
      <c r="N464" s="1490"/>
      <c r="O464" s="1490"/>
      <c r="P464" s="1490"/>
      <c r="Q464" s="1490"/>
      <c r="R464" s="1490"/>
      <c r="S464" s="1490"/>
      <c r="T464" s="1490"/>
      <c r="U464" s="1490"/>
    </row>
    <row r="465" spans="3:21">
      <c r="C465" s="1476" t="e">
        <f>IF(D465="","",MAX(C$7:C464)+1)</f>
        <v>#N/A</v>
      </c>
      <c r="D465" s="1984" t="s">
        <v>1044</v>
      </c>
      <c r="E465" s="1985" t="s">
        <v>1045</v>
      </c>
      <c r="F465" s="1985" t="s">
        <v>1046</v>
      </c>
      <c r="G465" s="1490"/>
      <c r="H465" s="1490"/>
      <c r="I465" s="1490"/>
      <c r="J465" s="1490"/>
      <c r="K465" s="1490"/>
      <c r="L465" s="1490"/>
      <c r="M465" s="1490"/>
      <c r="N465" s="1490"/>
      <c r="O465" s="1490"/>
      <c r="P465" s="1490"/>
      <c r="Q465" s="1490"/>
      <c r="R465" s="1490"/>
      <c r="S465" s="1490"/>
      <c r="T465" s="1490"/>
      <c r="U465" s="1490"/>
    </row>
    <row r="466" spans="3:21" ht="16.5" thickBot="1">
      <c r="C466" s="1476" t="str">
        <f>IF(D466="","",MAX(C$7:C465)+1)</f>
        <v/>
      </c>
      <c r="D466" s="1489"/>
      <c r="E466" s="1489"/>
      <c r="F466" s="1489"/>
      <c r="G466" s="1490"/>
      <c r="H466" s="1490"/>
      <c r="I466" s="1490"/>
      <c r="J466" s="1490"/>
      <c r="K466" s="1490"/>
      <c r="L466" s="1490"/>
      <c r="M466" s="1490"/>
      <c r="N466" s="1490"/>
      <c r="O466" s="1490"/>
      <c r="P466" s="1490"/>
      <c r="Q466" s="1490"/>
      <c r="R466" s="1490"/>
      <c r="S466" s="1490"/>
      <c r="T466" s="1490"/>
      <c r="U466" s="1490"/>
    </row>
    <row r="467" spans="3:21">
      <c r="C467" s="1476" t="e">
        <f>IF(D467="","",MAX(C$7:C466)+1)</f>
        <v>#N/A</v>
      </c>
      <c r="D467" s="1986">
        <f t="array" ref="D467:D483">TRANSPOSE(Dashboard!$G$11:$S$11)</f>
        <v>41640</v>
      </c>
      <c r="E467" s="1989">
        <f>INDEX(Dashboard!$F$10:$S$10,1,MATCH($D467,Dashboard!$F$11:$S$11,0))</f>
        <v>0</v>
      </c>
      <c r="F467" s="1546">
        <f>INDEX(Dashboard!$F$12:$S$12,1,MATCH($D467,Dashboard!$F$11:$S$11,0))</f>
        <v>12</v>
      </c>
      <c r="G467" s="1502"/>
      <c r="H467" s="1490"/>
      <c r="I467" s="1988">
        <f>ROUND((I$23+SUM(I466:I466))*$E467*$F467/12,-2)</f>
        <v>0</v>
      </c>
      <c r="J467" s="1502">
        <f t="shared" ref="J467:U467" si="245">ROUND((J$23+SUM(J466:J466))*$E467,-2)</f>
        <v>0</v>
      </c>
      <c r="K467" s="1502">
        <f t="shared" si="245"/>
        <v>0</v>
      </c>
      <c r="L467" s="1502">
        <f t="shared" si="245"/>
        <v>0</v>
      </c>
      <c r="M467" s="1502">
        <f t="shared" si="245"/>
        <v>0</v>
      </c>
      <c r="N467" s="1502">
        <f t="shared" si="245"/>
        <v>0</v>
      </c>
      <c r="O467" s="1502">
        <f t="shared" si="245"/>
        <v>0</v>
      </c>
      <c r="P467" s="1502">
        <f t="shared" si="245"/>
        <v>0</v>
      </c>
      <c r="Q467" s="1502">
        <f t="shared" si="245"/>
        <v>0</v>
      </c>
      <c r="R467" s="1502">
        <f t="shared" si="245"/>
        <v>0</v>
      </c>
      <c r="S467" s="1502">
        <f t="shared" si="245"/>
        <v>0</v>
      </c>
      <c r="T467" s="1502">
        <f t="shared" si="245"/>
        <v>0</v>
      </c>
      <c r="U467" s="1502">
        <f t="shared" si="245"/>
        <v>0</v>
      </c>
    </row>
    <row r="468" spans="3:21">
      <c r="C468" s="1476" t="e">
        <f>IF(D468="","",MAX(C$7:C467)+1)</f>
        <v>#N/A</v>
      </c>
      <c r="D468" s="1986">
        <v>42005</v>
      </c>
      <c r="E468" s="1547">
        <f t="array" ref="E468:E483">TRANSPOSE('COS_Summ (cumulative)'!$I$15:$X$15)</f>
        <v>0</v>
      </c>
      <c r="F468" s="1548">
        <f>INDEX(Dashboard!$F$12:$S$12,1,MATCH($D468,Dashboard!$F$11:$S$11,0))</f>
        <v>12</v>
      </c>
      <c r="G468" s="1502"/>
      <c r="H468" s="1490"/>
      <c r="I468" s="1502"/>
      <c r="J468" s="1988">
        <f>ROUND((J$23+SUM(J467:J467))*$E468*$F468/12,-2)</f>
        <v>0</v>
      </c>
      <c r="K468" s="1502">
        <f t="shared" ref="K468:U468" si="246">ROUND((K$23+SUM(K466:K467))*$E468,-2)</f>
        <v>0</v>
      </c>
      <c r="L468" s="1502">
        <f t="shared" si="246"/>
        <v>0</v>
      </c>
      <c r="M468" s="1502">
        <f t="shared" si="246"/>
        <v>0</v>
      </c>
      <c r="N468" s="1502">
        <f t="shared" si="246"/>
        <v>0</v>
      </c>
      <c r="O468" s="1502">
        <f t="shared" si="246"/>
        <v>0</v>
      </c>
      <c r="P468" s="1502">
        <f t="shared" si="246"/>
        <v>0</v>
      </c>
      <c r="Q468" s="1502">
        <f t="shared" si="246"/>
        <v>0</v>
      </c>
      <c r="R468" s="1502">
        <f t="shared" si="246"/>
        <v>0</v>
      </c>
      <c r="S468" s="1502">
        <f t="shared" si="246"/>
        <v>0</v>
      </c>
      <c r="T468" s="1502">
        <f t="shared" si="246"/>
        <v>0</v>
      </c>
      <c r="U468" s="1502">
        <f t="shared" si="246"/>
        <v>0</v>
      </c>
    </row>
    <row r="469" spans="3:21">
      <c r="C469" s="1476" t="e">
        <f>IF(D469="","",MAX(C$7:C468)+1)</f>
        <v>#N/A</v>
      </c>
      <c r="D469" s="1986">
        <v>42370</v>
      </c>
      <c r="E469" s="1547">
        <v>0</v>
      </c>
      <c r="F469" s="1548">
        <f>INDEX(Dashboard!$F$12:$S$12,1,MATCH($D469,Dashboard!$F$11:$S$11,0))</f>
        <v>12</v>
      </c>
      <c r="G469" s="1502"/>
      <c r="H469" s="1490"/>
      <c r="I469" s="1502"/>
      <c r="J469" s="1502"/>
      <c r="K469" s="1988">
        <f>ROUND((K$23+SUM(K467:K468))*$E469*$F469/12,-2)</f>
        <v>0</v>
      </c>
      <c r="L469" s="1502">
        <f t="shared" ref="L469:U469" si="247">ROUND((L$23+SUM(L466:L468))*$E469,-2)</f>
        <v>0</v>
      </c>
      <c r="M469" s="1502">
        <f t="shared" si="247"/>
        <v>0</v>
      </c>
      <c r="N469" s="1502">
        <f t="shared" si="247"/>
        <v>0</v>
      </c>
      <c r="O469" s="1502">
        <f t="shared" si="247"/>
        <v>0</v>
      </c>
      <c r="P469" s="1502">
        <f t="shared" si="247"/>
        <v>0</v>
      </c>
      <c r="Q469" s="1502">
        <f t="shared" si="247"/>
        <v>0</v>
      </c>
      <c r="R469" s="1502">
        <f t="shared" si="247"/>
        <v>0</v>
      </c>
      <c r="S469" s="1502">
        <f t="shared" si="247"/>
        <v>0</v>
      </c>
      <c r="T469" s="1502">
        <f t="shared" si="247"/>
        <v>0</v>
      </c>
      <c r="U469" s="1502">
        <f t="shared" si="247"/>
        <v>0</v>
      </c>
    </row>
    <row r="470" spans="3:21">
      <c r="C470" s="1476" t="e">
        <f>IF(D470="","",MAX(C$7:C469)+1)</f>
        <v>#N/A</v>
      </c>
      <c r="D470" s="1986">
        <v>42736</v>
      </c>
      <c r="E470" s="1547">
        <v>2.1108180556527703E-2</v>
      </c>
      <c r="F470" s="1548">
        <f>INDEX(Dashboard!$F$12:$S$12,1,MATCH($D470,Dashboard!$F$11:$S$11,0))</f>
        <v>12</v>
      </c>
      <c r="G470" s="1502"/>
      <c r="H470" s="1490"/>
      <c r="I470" s="1502"/>
      <c r="J470" s="1502"/>
      <c r="K470" s="1502"/>
      <c r="L470" s="1988">
        <f>ROUND((L$23+SUM(L466:L469))*$E470*$F470/12,-2)</f>
        <v>1100</v>
      </c>
      <c r="M470" s="1502">
        <f t="shared" ref="M470:U470" si="248">ROUND((M$23+SUM(M466:M469))*$E470,-2)</f>
        <v>1100</v>
      </c>
      <c r="N470" s="1502">
        <f t="shared" si="248"/>
        <v>1100</v>
      </c>
      <c r="O470" s="1502">
        <f t="shared" si="248"/>
        <v>1100</v>
      </c>
      <c r="P470" s="1502">
        <f t="shared" si="248"/>
        <v>1100</v>
      </c>
      <c r="Q470" s="1502">
        <f t="shared" si="248"/>
        <v>1100</v>
      </c>
      <c r="R470" s="1502">
        <f t="shared" si="248"/>
        <v>1100</v>
      </c>
      <c r="S470" s="1502">
        <f t="shared" si="248"/>
        <v>1100</v>
      </c>
      <c r="T470" s="1502">
        <f t="shared" si="248"/>
        <v>1100</v>
      </c>
      <c r="U470" s="1502">
        <f t="shared" si="248"/>
        <v>1100</v>
      </c>
    </row>
    <row r="471" spans="3:21">
      <c r="C471" s="1476" t="e">
        <f>IF(D471="","",MAX(C$7:C470)+1)</f>
        <v>#N/A</v>
      </c>
      <c r="D471" s="1986">
        <v>43101</v>
      </c>
      <c r="E471" s="1547">
        <v>2.1108180556527703E-2</v>
      </c>
      <c r="F471" s="1548">
        <f>INDEX(Dashboard!$F$12:$S$12,1,MATCH($D471,Dashboard!$F$11:$S$11,0))</f>
        <v>12</v>
      </c>
      <c r="G471" s="1502"/>
      <c r="H471" s="1490"/>
      <c r="I471" s="1502"/>
      <c r="J471" s="1502"/>
      <c r="K471" s="1502"/>
      <c r="L471" s="1502"/>
      <c r="M471" s="1988">
        <f>ROUND((M$23+SUM(M466:M470))*$E471*$F471/12,-2)</f>
        <v>1100</v>
      </c>
      <c r="N471" s="1502">
        <f t="shared" ref="N471:U471" si="249">ROUND((N$23+SUM(N466:N470))*$E471,-2)</f>
        <v>1100</v>
      </c>
      <c r="O471" s="1502">
        <f t="shared" si="249"/>
        <v>1100</v>
      </c>
      <c r="P471" s="1502">
        <f t="shared" si="249"/>
        <v>1100</v>
      </c>
      <c r="Q471" s="1502">
        <f t="shared" si="249"/>
        <v>1100</v>
      </c>
      <c r="R471" s="1502">
        <f t="shared" si="249"/>
        <v>1100</v>
      </c>
      <c r="S471" s="1502">
        <f t="shared" si="249"/>
        <v>1100</v>
      </c>
      <c r="T471" s="1502">
        <f t="shared" si="249"/>
        <v>1100</v>
      </c>
      <c r="U471" s="1502">
        <f t="shared" si="249"/>
        <v>1100</v>
      </c>
    </row>
    <row r="472" spans="3:21">
      <c r="C472" s="1476" t="e">
        <f>IF(D472="","",MAX(C$7:C471)+1)</f>
        <v>#N/A</v>
      </c>
      <c r="D472" s="1986">
        <v>43466</v>
      </c>
      <c r="E472" s="1547">
        <v>2.1108180556527703E-2</v>
      </c>
      <c r="F472" s="1548">
        <f>INDEX(Dashboard!$F$12:$S$12,1,MATCH($D472,Dashboard!$F$11:$S$11,0))</f>
        <v>12</v>
      </c>
      <c r="G472" s="1502"/>
      <c r="H472" s="1490"/>
      <c r="I472" s="1502"/>
      <c r="J472" s="1502"/>
      <c r="K472" s="1502"/>
      <c r="L472" s="1502"/>
      <c r="M472" s="1502"/>
      <c r="N472" s="1988">
        <f>ROUND((N$23+SUM(N466:N471))*$E472*$F472/12,-2)</f>
        <v>1100</v>
      </c>
      <c r="O472" s="1502">
        <f t="shared" ref="O472:U472" si="250">ROUND((O$23+SUM(O466:O471))*$E472,-2)</f>
        <v>1100</v>
      </c>
      <c r="P472" s="1502">
        <f t="shared" si="250"/>
        <v>1100</v>
      </c>
      <c r="Q472" s="1502">
        <f t="shared" si="250"/>
        <v>1100</v>
      </c>
      <c r="R472" s="1502">
        <f t="shared" si="250"/>
        <v>1100</v>
      </c>
      <c r="S472" s="1502">
        <f t="shared" si="250"/>
        <v>1100</v>
      </c>
      <c r="T472" s="1502">
        <f t="shared" si="250"/>
        <v>1100</v>
      </c>
      <c r="U472" s="1502">
        <f t="shared" si="250"/>
        <v>1100</v>
      </c>
    </row>
    <row r="473" spans="3:21">
      <c r="C473" s="1476" t="e">
        <f>IF(D473="","",MAX(C$7:C472)+1)</f>
        <v>#N/A</v>
      </c>
      <c r="D473" s="1986">
        <v>43831</v>
      </c>
      <c r="E473" s="1547">
        <v>2.1108180556527703E-2</v>
      </c>
      <c r="F473" s="1548">
        <f>INDEX(Dashboard!$F$12:$S$12,1,MATCH($D473,Dashboard!$F$11:$S$11,0))</f>
        <v>12</v>
      </c>
      <c r="G473" s="1502"/>
      <c r="H473" s="1490"/>
      <c r="I473" s="1502"/>
      <c r="J473" s="1502"/>
      <c r="K473" s="1502"/>
      <c r="L473" s="1502"/>
      <c r="M473" s="1502"/>
      <c r="N473" s="1502"/>
      <c r="O473" s="1988">
        <f>ROUND((O$23+SUM(O466:O472))*$E473*$F473/12,-2)</f>
        <v>1100</v>
      </c>
      <c r="P473" s="1502">
        <f t="shared" ref="P473:U473" si="251">ROUND((P$23+SUM(P466:P472))*$E473,-2)</f>
        <v>1100</v>
      </c>
      <c r="Q473" s="1502">
        <f t="shared" si="251"/>
        <v>1100</v>
      </c>
      <c r="R473" s="1502">
        <f t="shared" si="251"/>
        <v>1100</v>
      </c>
      <c r="S473" s="1502">
        <f t="shared" si="251"/>
        <v>1100</v>
      </c>
      <c r="T473" s="1502">
        <f t="shared" si="251"/>
        <v>1100</v>
      </c>
      <c r="U473" s="1502">
        <f t="shared" si="251"/>
        <v>1100</v>
      </c>
    </row>
    <row r="474" spans="3:21">
      <c r="C474" s="1476" t="e">
        <f>IF(D474="","",MAX(C$7:C473)+1)</f>
        <v>#N/A</v>
      </c>
      <c r="D474" s="1986">
        <v>44197</v>
      </c>
      <c r="E474" s="1547">
        <v>2.1108180556527703E-2</v>
      </c>
      <c r="F474" s="1548">
        <f>INDEX(Dashboard!$F$12:$S$12,1,MATCH($D474,Dashboard!$F$11:$S$11,0))</f>
        <v>12</v>
      </c>
      <c r="G474" s="1502"/>
      <c r="H474" s="1490"/>
      <c r="I474" s="1502"/>
      <c r="J474" s="1502"/>
      <c r="K474" s="1502"/>
      <c r="L474" s="1502"/>
      <c r="M474" s="1502"/>
      <c r="N474" s="1502"/>
      <c r="O474" s="1502"/>
      <c r="P474" s="1988">
        <f>ROUND((P$23+SUM(P466:P473))*$E474*$F474/12,-2)</f>
        <v>1200</v>
      </c>
      <c r="Q474" s="1502">
        <f t="shared" ref="Q474:U474" si="252">ROUND((Q$23+SUM(Q466:Q473))*$E474,-2)</f>
        <v>1200</v>
      </c>
      <c r="R474" s="1502">
        <f t="shared" si="252"/>
        <v>1200</v>
      </c>
      <c r="S474" s="1502">
        <f t="shared" si="252"/>
        <v>1200</v>
      </c>
      <c r="T474" s="1502">
        <f t="shared" si="252"/>
        <v>1200</v>
      </c>
      <c r="U474" s="1502">
        <f t="shared" si="252"/>
        <v>1200</v>
      </c>
    </row>
    <row r="475" spans="3:21">
      <c r="C475" s="1476" t="e">
        <f>IF(D475="","",MAX(C$7:C474)+1)</f>
        <v>#N/A</v>
      </c>
      <c r="D475" s="1986">
        <v>44562</v>
      </c>
      <c r="E475" s="1547">
        <v>2.1108180556527703E-2</v>
      </c>
      <c r="F475" s="1548">
        <f>INDEX(Dashboard!$F$12:$S$12,1,MATCH($D475,Dashboard!$F$11:$S$11,0))</f>
        <v>12</v>
      </c>
      <c r="G475" s="1502"/>
      <c r="H475" s="1490"/>
      <c r="I475" s="1502"/>
      <c r="J475" s="1502"/>
      <c r="K475" s="1502"/>
      <c r="L475" s="1502"/>
      <c r="M475" s="1502"/>
      <c r="N475" s="1502"/>
      <c r="O475" s="1502"/>
      <c r="P475" s="1502"/>
      <c r="Q475" s="1988">
        <f>ROUND((Q$23+SUM(Q466:Q474))*$E475*$F475/12,-2)</f>
        <v>1200</v>
      </c>
      <c r="R475" s="1502">
        <f t="shared" ref="R475:U475" si="253">ROUND((R$23+SUM(R466:R474))*$E475,-2)</f>
        <v>1200</v>
      </c>
      <c r="S475" s="1502">
        <f t="shared" si="253"/>
        <v>1200</v>
      </c>
      <c r="T475" s="1502">
        <f t="shared" si="253"/>
        <v>1200</v>
      </c>
      <c r="U475" s="1502">
        <f t="shared" si="253"/>
        <v>1200</v>
      </c>
    </row>
    <row r="476" spans="3:21">
      <c r="C476" s="1476" t="e">
        <f>IF(D476="","",MAX(C$7:C475)+1)</f>
        <v>#N/A</v>
      </c>
      <c r="D476" s="1986">
        <v>44927</v>
      </c>
      <c r="E476" s="1547">
        <v>2.1108180556527703E-2</v>
      </c>
      <c r="F476" s="1548">
        <f>INDEX(Dashboard!$F$12:$S$12,1,MATCH($D476,Dashboard!$F$11:$S$11,0))</f>
        <v>12</v>
      </c>
      <c r="G476" s="1502"/>
      <c r="H476" s="1490"/>
      <c r="I476" s="1502"/>
      <c r="J476" s="1502"/>
      <c r="K476" s="1502"/>
      <c r="L476" s="1502"/>
      <c r="M476" s="1502"/>
      <c r="N476" s="1502"/>
      <c r="O476" s="1502"/>
      <c r="P476" s="1502"/>
      <c r="Q476" s="1502"/>
      <c r="R476" s="1988">
        <f>ROUND((R$23+SUM(R466:R475))*$E476*$F476/12,-2)</f>
        <v>1200</v>
      </c>
      <c r="S476" s="1502">
        <f t="shared" ref="S476:U476" si="254">ROUND((S$23+SUM(S466:S475))*$E476,-2)</f>
        <v>1200</v>
      </c>
      <c r="T476" s="1502">
        <f t="shared" si="254"/>
        <v>1200</v>
      </c>
      <c r="U476" s="1502">
        <f t="shared" si="254"/>
        <v>1200</v>
      </c>
    </row>
    <row r="477" spans="3:21" ht="16.5" thickBot="1">
      <c r="C477" s="1476" t="e">
        <f>IF(D477="","",MAX(C$7:C476)+1)</f>
        <v>#N/A</v>
      </c>
      <c r="D477" s="1986">
        <v>45292</v>
      </c>
      <c r="E477" s="1549">
        <v>2.1108180556527703E-2</v>
      </c>
      <c r="F477" s="1550">
        <f>INDEX(Dashboard!$F$12:$S$12,1,MATCH($D477,Dashboard!$F$11:$S$11,0))</f>
        <v>12</v>
      </c>
      <c r="G477" s="1502"/>
      <c r="H477" s="1490"/>
      <c r="I477" s="1502"/>
      <c r="J477" s="1502"/>
      <c r="K477" s="1502"/>
      <c r="L477" s="1502"/>
      <c r="M477" s="1502"/>
      <c r="N477" s="1502"/>
      <c r="O477" s="1502"/>
      <c r="P477" s="1502"/>
      <c r="Q477" s="1502"/>
      <c r="R477" s="1502"/>
      <c r="S477" s="1988">
        <f>ROUND((S$23+SUM(S466:S476))*$E477*$F477/12,-2)</f>
        <v>1200</v>
      </c>
      <c r="T477" s="1502">
        <f t="shared" ref="T477:U477" si="255">ROUND((T$23+SUM(T466:T476))*$E477,-2)</f>
        <v>1200</v>
      </c>
      <c r="U477" s="1502">
        <f t="shared" si="255"/>
        <v>1200</v>
      </c>
    </row>
    <row r="478" spans="3:21">
      <c r="C478" s="1476" t="e">
        <f>IF(D478="","",MAX(C$7:C477)+1)</f>
        <v>#N/A</v>
      </c>
      <c r="D478" s="1986">
        <v>45658</v>
      </c>
      <c r="E478" s="1545">
        <v>5.0000000000000001E-3</v>
      </c>
      <c r="F478" s="1546">
        <f>INDEX(Dashboard!$F$12:$S$12,1,MATCH($D478,Dashboard!$F$11:$S$11,0))</f>
        <v>12</v>
      </c>
      <c r="G478" s="1502"/>
      <c r="H478" s="1490"/>
      <c r="I478" s="1502"/>
      <c r="J478" s="1502"/>
      <c r="K478" s="1502"/>
      <c r="L478" s="1502"/>
      <c r="M478" s="1502"/>
      <c r="N478" s="1502"/>
      <c r="O478" s="1502"/>
      <c r="P478" s="1502"/>
      <c r="Q478" s="1502"/>
      <c r="R478" s="1502"/>
      <c r="S478" s="1502"/>
      <c r="T478" s="1988">
        <f>ROUND((T$23+SUM(T466:T477))*$E478*$F478/12,-2)</f>
        <v>300</v>
      </c>
      <c r="U478" s="1502">
        <f>ROUND((U$23+SUM(U466:U477))*$E478,-2)</f>
        <v>300</v>
      </c>
    </row>
    <row r="479" spans="3:21" ht="16.5" thickBot="1">
      <c r="C479" s="1476" t="e">
        <f>IF(D479="","",MAX(C$7:C478)+1)</f>
        <v>#N/A</v>
      </c>
      <c r="D479" s="1986">
        <v>46023</v>
      </c>
      <c r="E479" s="1549">
        <v>5.0000000000000001E-3</v>
      </c>
      <c r="F479" s="1550">
        <f>INDEX(Dashboard!$F$12:$S$12,1,MATCH($D479,Dashboard!$F$11:$S$11,0))</f>
        <v>12</v>
      </c>
      <c r="G479" s="1502"/>
      <c r="H479" s="1490"/>
      <c r="I479" s="1502"/>
      <c r="J479" s="1502"/>
      <c r="K479" s="1502"/>
      <c r="L479" s="1502"/>
      <c r="M479" s="1502"/>
      <c r="N479" s="1502"/>
      <c r="O479" s="1502"/>
      <c r="P479" s="1502"/>
      <c r="Q479" s="1502"/>
      <c r="R479" s="1502"/>
      <c r="S479" s="1502"/>
      <c r="T479" s="1502"/>
      <c r="U479" s="1988">
        <f>ROUND((U$23+SUM(U466:U478))*$E479*$F479/12,-2)</f>
        <v>300</v>
      </c>
    </row>
    <row r="480" spans="3:21" hidden="1">
      <c r="C480" s="1476" t="e">
        <f>IF(D480="","",MAX(C$7:C479)+1)</f>
        <v>#N/A</v>
      </c>
      <c r="D480" s="1986" t="e">
        <v>#N/A</v>
      </c>
      <c r="E480" s="1547">
        <v>0</v>
      </c>
      <c r="F480" s="1548" t="e">
        <f>INDEX(Dashboard!$F$12:$S$12,1,MATCH($D480,Dashboard!$F$11:$S$11,0))</f>
        <v>#N/A</v>
      </c>
      <c r="G480" s="1502"/>
      <c r="H480" s="1490"/>
      <c r="I480" s="1502"/>
      <c r="J480" s="1502"/>
      <c r="K480" s="1502"/>
      <c r="L480" s="1502"/>
      <c r="M480" s="1502"/>
      <c r="N480" s="1502"/>
      <c r="O480" s="1502"/>
      <c r="P480" s="1502"/>
      <c r="Q480" s="1502"/>
      <c r="R480" s="1502"/>
      <c r="S480" s="1502"/>
      <c r="T480" s="1502"/>
      <c r="U480" s="1502"/>
    </row>
    <row r="481" spans="3:21" hidden="1">
      <c r="C481" s="1476" t="e">
        <f>IF(D481="","",MAX(C$7:C480)+1)</f>
        <v>#N/A</v>
      </c>
      <c r="D481" s="1986" t="e">
        <v>#N/A</v>
      </c>
      <c r="E481" s="1547">
        <v>0</v>
      </c>
      <c r="F481" s="1548" t="e">
        <f>INDEX(Dashboard!$F$12:$S$12,1,MATCH($D481,Dashboard!$F$11:$S$11,0))</f>
        <v>#N/A</v>
      </c>
      <c r="G481" s="1502"/>
      <c r="H481" s="1490"/>
      <c r="I481" s="1502"/>
      <c r="J481" s="1502"/>
      <c r="K481" s="1502"/>
      <c r="L481" s="1502"/>
      <c r="M481" s="1502"/>
      <c r="N481" s="1502"/>
      <c r="O481" s="1502"/>
      <c r="P481" s="1502"/>
      <c r="Q481" s="1502"/>
      <c r="R481" s="1502"/>
      <c r="S481" s="1502"/>
      <c r="T481" s="1502"/>
      <c r="U481" s="1502"/>
    </row>
    <row r="482" spans="3:21" hidden="1">
      <c r="C482" s="1476" t="e">
        <f>IF(D482="","",MAX(C$7:C481)+1)</f>
        <v>#N/A</v>
      </c>
      <c r="D482" s="1986" t="e">
        <v>#N/A</v>
      </c>
      <c r="E482" s="1547">
        <v>0</v>
      </c>
      <c r="F482" s="1548" t="e">
        <f>INDEX(Dashboard!$F$12:$S$12,1,MATCH($D482,Dashboard!$F$11:$S$11,0))</f>
        <v>#N/A</v>
      </c>
      <c r="G482" s="1502"/>
      <c r="H482" s="1490"/>
      <c r="I482" s="1502"/>
      <c r="J482" s="1502"/>
      <c r="K482" s="1502"/>
      <c r="L482" s="1502"/>
      <c r="M482" s="1502"/>
      <c r="N482" s="1502"/>
      <c r="O482" s="1502"/>
      <c r="P482" s="1502"/>
      <c r="Q482" s="1502"/>
      <c r="R482" s="1502"/>
      <c r="S482" s="1502"/>
      <c r="T482" s="1502"/>
      <c r="U482" s="1502"/>
    </row>
    <row r="483" spans="3:21" ht="16.5" hidden="1" thickBot="1">
      <c r="C483" s="1476" t="e">
        <f>IF(D483="","",MAX(C$7:C482)+1)</f>
        <v>#N/A</v>
      </c>
      <c r="D483" s="1986" t="e">
        <v>#N/A</v>
      </c>
      <c r="E483" s="1549">
        <v>0</v>
      </c>
      <c r="F483" s="1550" t="e">
        <f>INDEX(Dashboard!$F$12:$S$12,1,MATCH($D483,Dashboard!$F$11:$S$11,0))</f>
        <v>#N/A</v>
      </c>
      <c r="G483" s="1502"/>
      <c r="H483" s="1490"/>
      <c r="I483" s="1502"/>
      <c r="J483" s="1502"/>
      <c r="K483" s="1502"/>
      <c r="L483" s="1502"/>
      <c r="M483" s="1502"/>
      <c r="N483" s="1502"/>
      <c r="O483" s="1502"/>
      <c r="P483" s="1502"/>
      <c r="Q483" s="1502"/>
      <c r="R483" s="1502"/>
      <c r="S483" s="1502"/>
      <c r="T483" s="1502"/>
      <c r="U483" s="1502"/>
    </row>
    <row r="484" spans="3:21">
      <c r="C484" s="1476" t="str">
        <f>IF(D484="","",MAX(C$7:C483)+1)</f>
        <v/>
      </c>
      <c r="D484" s="1468"/>
      <c r="E484" s="1468"/>
      <c r="F484" s="1468"/>
      <c r="G484" s="1987"/>
      <c r="H484" s="1987"/>
      <c r="I484" s="1502"/>
      <c r="J484" s="1502"/>
      <c r="K484" s="1502"/>
      <c r="L484" s="1502"/>
      <c r="M484" s="1502"/>
      <c r="N484" s="1502"/>
      <c r="O484" s="1502"/>
      <c r="P484" s="1502"/>
      <c r="Q484" s="1502"/>
      <c r="R484" s="1502"/>
      <c r="S484" s="1502"/>
      <c r="T484" s="1502"/>
      <c r="U484" s="1502"/>
    </row>
    <row r="485" spans="3:21">
      <c r="C485" s="1476" t="e">
        <f>IF(D485="","",MAX(C$7:C484)+1)</f>
        <v>#N/A</v>
      </c>
      <c r="D485" s="1468" t="s">
        <v>1047</v>
      </c>
      <c r="E485" s="1468"/>
      <c r="F485" s="1468"/>
      <c r="G485" s="1504">
        <f t="shared" ref="G485:U485" si="256">SUM(G467:G484)</f>
        <v>0</v>
      </c>
      <c r="H485" s="1504">
        <f t="shared" si="256"/>
        <v>0</v>
      </c>
      <c r="I485" s="1504">
        <f t="shared" si="256"/>
        <v>0</v>
      </c>
      <c r="J485" s="1504">
        <f t="shared" si="256"/>
        <v>0</v>
      </c>
      <c r="K485" s="1504">
        <f t="shared" si="256"/>
        <v>0</v>
      </c>
      <c r="L485" s="1504">
        <f t="shared" si="256"/>
        <v>1100</v>
      </c>
      <c r="M485" s="1504">
        <f t="shared" si="256"/>
        <v>2200</v>
      </c>
      <c r="N485" s="1504">
        <f t="shared" si="256"/>
        <v>3300</v>
      </c>
      <c r="O485" s="1504">
        <f t="shared" si="256"/>
        <v>4400</v>
      </c>
      <c r="P485" s="1504">
        <f t="shared" si="256"/>
        <v>5600</v>
      </c>
      <c r="Q485" s="1504">
        <f t="shared" si="256"/>
        <v>6800</v>
      </c>
      <c r="R485" s="1504">
        <f t="shared" si="256"/>
        <v>8000</v>
      </c>
      <c r="S485" s="1504">
        <f t="shared" si="256"/>
        <v>9200</v>
      </c>
      <c r="T485" s="1504">
        <f t="shared" si="256"/>
        <v>9500</v>
      </c>
      <c r="U485" s="1504">
        <f t="shared" si="256"/>
        <v>9800</v>
      </c>
    </row>
    <row r="486" spans="3:21">
      <c r="C486" s="1476" t="e">
        <f>IF(D486="","",MAX(C$7:C485)+1)</f>
        <v>#N/A</v>
      </c>
      <c r="D486" s="1468" t="s">
        <v>2772</v>
      </c>
      <c r="E486" s="1"/>
      <c r="F486" s="1"/>
      <c r="G486" s="1"/>
      <c r="H486" s="1"/>
      <c r="J486" s="424">
        <f>J485-J468</f>
        <v>0</v>
      </c>
      <c r="K486" s="424">
        <f>K485-K469</f>
        <v>0</v>
      </c>
      <c r="L486" s="424">
        <f>L485-L470</f>
        <v>0</v>
      </c>
      <c r="M486" s="424">
        <f>M485-M471</f>
        <v>1100</v>
      </c>
      <c r="N486" s="424">
        <f>N485-N472</f>
        <v>2200</v>
      </c>
      <c r="O486" s="424">
        <f>O485-O473</f>
        <v>3300</v>
      </c>
      <c r="P486" s="424">
        <f>P485-P474</f>
        <v>4400</v>
      </c>
      <c r="Q486" s="424">
        <f>Q485-Q475</f>
        <v>5600</v>
      </c>
      <c r="R486" s="424">
        <f>R485-R476</f>
        <v>6800</v>
      </c>
      <c r="S486" s="424">
        <f>S485-S477</f>
        <v>8000</v>
      </c>
      <c r="T486" s="424">
        <f>T485-T478</f>
        <v>9200</v>
      </c>
      <c r="U486" s="424">
        <f>U485-U479</f>
        <v>9500</v>
      </c>
    </row>
    <row r="487" spans="3:21" ht="16.5" thickBot="1"/>
    <row r="488" spans="3:21" ht="16.5" thickBot="1">
      <c r="C488" s="1"/>
      <c r="D488" s="4528" t="str">
        <f>$D$24</f>
        <v>Alternate Power Sales</v>
      </c>
      <c r="E488" s="4529"/>
      <c r="F488" s="4530"/>
      <c r="G488" s="1"/>
      <c r="H488" s="1"/>
    </row>
    <row r="489" spans="3:21">
      <c r="C489" s="1476" t="e">
        <f>IF(D489="","",MAX(C$7:C462)+1)</f>
        <v>#N/A</v>
      </c>
      <c r="D489" s="1491" t="s">
        <v>1042</v>
      </c>
      <c r="E489" s="1468"/>
      <c r="F489" s="1983" t="s">
        <v>1043</v>
      </c>
      <c r="G489" s="1490"/>
      <c r="H489" s="1490"/>
      <c r="I489" s="1490"/>
      <c r="J489" s="1490"/>
      <c r="K489" s="1490"/>
      <c r="L489" s="1490"/>
      <c r="M489" s="1490"/>
      <c r="N489" s="1490"/>
      <c r="O489" s="1490"/>
      <c r="P489" s="1490"/>
      <c r="Q489" s="1490"/>
      <c r="R489" s="1490"/>
      <c r="S489" s="1490"/>
      <c r="T489" s="1490"/>
      <c r="U489" s="1490"/>
    </row>
    <row r="490" spans="3:21">
      <c r="C490" s="1476" t="e">
        <f>IF(D490="","",MAX(C$7:C489)+1)</f>
        <v>#N/A</v>
      </c>
      <c r="D490" s="1984" t="s">
        <v>1044</v>
      </c>
      <c r="E490" s="1985" t="s">
        <v>1045</v>
      </c>
      <c r="F490" s="1985" t="s">
        <v>1046</v>
      </c>
      <c r="G490" s="1490"/>
      <c r="H490" s="1490"/>
      <c r="I490" s="1490"/>
      <c r="J490" s="1490"/>
      <c r="K490" s="1490"/>
      <c r="L490" s="1490"/>
      <c r="M490" s="1490"/>
      <c r="N490" s="1490"/>
      <c r="O490" s="1490"/>
      <c r="P490" s="1490"/>
      <c r="Q490" s="1490"/>
      <c r="R490" s="1490"/>
      <c r="S490" s="1490"/>
      <c r="T490" s="1490"/>
      <c r="U490" s="1490"/>
    </row>
    <row r="491" spans="3:21" ht="16.5" thickBot="1">
      <c r="C491" s="1476" t="str">
        <f>IF(D491="","",MAX(C$7:C490)+1)</f>
        <v/>
      </c>
      <c r="D491" s="1489"/>
      <c r="E491" s="1489"/>
      <c r="F491" s="1489"/>
      <c r="G491" s="1490"/>
      <c r="H491" s="1490"/>
      <c r="I491" s="1490"/>
      <c r="J491" s="1490"/>
      <c r="K491" s="1490"/>
      <c r="L491" s="1490"/>
      <c r="M491" s="1490"/>
      <c r="N491" s="1490"/>
      <c r="O491" s="1490"/>
      <c r="P491" s="1490"/>
      <c r="Q491" s="1490"/>
      <c r="R491" s="1490"/>
      <c r="S491" s="1490"/>
      <c r="T491" s="1490"/>
      <c r="U491" s="1490"/>
    </row>
    <row r="492" spans="3:21">
      <c r="C492" s="1476" t="e">
        <f>IF(D492="","",MAX(C$7:C491)+1)</f>
        <v>#N/A</v>
      </c>
      <c r="D492" s="1986">
        <f t="array" ref="D492:D508">TRANSPOSE(Dashboard!$G$11:$S$11)</f>
        <v>41640</v>
      </c>
      <c r="E492" s="1989">
        <f>INDEX(Dashboard!$F$10:$S$10,1,MATCH($D492,Dashboard!$F$11:$S$11,0))</f>
        <v>0</v>
      </c>
      <c r="F492" s="1546">
        <f>INDEX(Dashboard!$F$12:$S$12,1,MATCH($D492,Dashboard!$F$11:$S$11,0))</f>
        <v>12</v>
      </c>
      <c r="G492" s="1502"/>
      <c r="H492" s="1490"/>
      <c r="I492" s="1988">
        <f>ROUND((I$24+SUM(I491:I491))*$E492*$F492/12,-2)</f>
        <v>0</v>
      </c>
      <c r="J492" s="1502">
        <f t="shared" ref="J492:U492" si="257">ROUND((J$24+SUM(J491:J491))*$E492,-2)</f>
        <v>0</v>
      </c>
      <c r="K492" s="1502">
        <f t="shared" si="257"/>
        <v>0</v>
      </c>
      <c r="L492" s="1502">
        <f t="shared" si="257"/>
        <v>0</v>
      </c>
      <c r="M492" s="1502">
        <f t="shared" si="257"/>
        <v>0</v>
      </c>
      <c r="N492" s="1502">
        <f t="shared" si="257"/>
        <v>0</v>
      </c>
      <c r="O492" s="1502">
        <f t="shared" si="257"/>
        <v>0</v>
      </c>
      <c r="P492" s="1502">
        <f t="shared" si="257"/>
        <v>0</v>
      </c>
      <c r="Q492" s="1502">
        <f t="shared" si="257"/>
        <v>0</v>
      </c>
      <c r="R492" s="1502">
        <f t="shared" si="257"/>
        <v>0</v>
      </c>
      <c r="S492" s="1502">
        <f t="shared" si="257"/>
        <v>0</v>
      </c>
      <c r="T492" s="1502">
        <f t="shared" si="257"/>
        <v>0</v>
      </c>
      <c r="U492" s="1502">
        <f t="shared" si="257"/>
        <v>0</v>
      </c>
    </row>
    <row r="493" spans="3:21">
      <c r="C493" s="1476" t="e">
        <f>IF(D493="","",MAX(C$7:C492)+1)</f>
        <v>#N/A</v>
      </c>
      <c r="D493" s="1986">
        <v>42005</v>
      </c>
      <c r="E493" s="1547">
        <f t="array" ref="E493:E508">TRANSPOSE('COS_Summ (cumulative)'!$I$23:$X$23)</f>
        <v>0</v>
      </c>
      <c r="F493" s="1548">
        <f>INDEX(Dashboard!$F$12:$S$12,1,MATCH($D493,Dashboard!$F$11:$S$11,0))</f>
        <v>12</v>
      </c>
      <c r="G493" s="1502"/>
      <c r="H493" s="1490"/>
      <c r="I493" s="1502"/>
      <c r="J493" s="1988">
        <f>ROUND((J$24+SUM(J492:J492))*$E493*$F493/12,-2)</f>
        <v>0</v>
      </c>
      <c r="K493" s="1502">
        <f t="shared" ref="K493:U493" si="258">ROUND((K$24+SUM(K491:K492))*$E493,-2)</f>
        <v>0</v>
      </c>
      <c r="L493" s="1502">
        <f t="shared" si="258"/>
        <v>0</v>
      </c>
      <c r="M493" s="1502">
        <f t="shared" si="258"/>
        <v>0</v>
      </c>
      <c r="N493" s="1502">
        <f t="shared" si="258"/>
        <v>0</v>
      </c>
      <c r="O493" s="1502">
        <f t="shared" si="258"/>
        <v>0</v>
      </c>
      <c r="P493" s="1502">
        <f t="shared" si="258"/>
        <v>0</v>
      </c>
      <c r="Q493" s="1502">
        <f t="shared" si="258"/>
        <v>0</v>
      </c>
      <c r="R493" s="1502">
        <f t="shared" si="258"/>
        <v>0</v>
      </c>
      <c r="S493" s="1502">
        <f t="shared" si="258"/>
        <v>0</v>
      </c>
      <c r="T493" s="1502">
        <f t="shared" si="258"/>
        <v>0</v>
      </c>
      <c r="U493" s="1502">
        <f t="shared" si="258"/>
        <v>0</v>
      </c>
    </row>
    <row r="494" spans="3:21">
      <c r="C494" s="1476" t="e">
        <f>IF(D494="","",MAX(C$7:C493)+1)</f>
        <v>#N/A</v>
      </c>
      <c r="D494" s="1986">
        <v>42370</v>
      </c>
      <c r="E494" s="1547">
        <v>0</v>
      </c>
      <c r="F494" s="1548">
        <f>INDEX(Dashboard!$F$12:$S$12,1,MATCH($D494,Dashboard!$F$11:$S$11,0))</f>
        <v>12</v>
      </c>
      <c r="G494" s="1502"/>
      <c r="H494" s="1490"/>
      <c r="I494" s="1502"/>
      <c r="J494" s="1502"/>
      <c r="K494" s="1988">
        <f>ROUND((K$24+SUM(K492:K493))*$E494*$F494/12,-2)</f>
        <v>0</v>
      </c>
      <c r="L494" s="1502">
        <f t="shared" ref="L494:U494" si="259">ROUND((L$24+SUM(L491:L493))*$E494,-2)</f>
        <v>0</v>
      </c>
      <c r="M494" s="1502">
        <f t="shared" si="259"/>
        <v>0</v>
      </c>
      <c r="N494" s="1502">
        <f t="shared" si="259"/>
        <v>0</v>
      </c>
      <c r="O494" s="1502">
        <f t="shared" si="259"/>
        <v>0</v>
      </c>
      <c r="P494" s="1502">
        <f t="shared" si="259"/>
        <v>0</v>
      </c>
      <c r="Q494" s="1502">
        <f t="shared" si="259"/>
        <v>0</v>
      </c>
      <c r="R494" s="1502">
        <f t="shared" si="259"/>
        <v>0</v>
      </c>
      <c r="S494" s="1502">
        <f t="shared" si="259"/>
        <v>0</v>
      </c>
      <c r="T494" s="1502">
        <f t="shared" si="259"/>
        <v>0</v>
      </c>
      <c r="U494" s="1502">
        <f t="shared" si="259"/>
        <v>0</v>
      </c>
    </row>
    <row r="495" spans="3:21">
      <c r="C495" s="1476" t="e">
        <f>IF(D495="","",MAX(C$7:C494)+1)</f>
        <v>#N/A</v>
      </c>
      <c r="D495" s="1986">
        <v>42736</v>
      </c>
      <c r="E495" s="1547">
        <v>0</v>
      </c>
      <c r="F495" s="1548">
        <f>INDEX(Dashboard!$F$12:$S$12,1,MATCH($D495,Dashboard!$F$11:$S$11,0))</f>
        <v>12</v>
      </c>
      <c r="G495" s="1502"/>
      <c r="H495" s="1490"/>
      <c r="I495" s="1502"/>
      <c r="J495" s="1502"/>
      <c r="K495" s="1502"/>
      <c r="L495" s="1988">
        <f>ROUND((L$24+SUM(L491:L494))*$E495*$F495/12,-2)</f>
        <v>0</v>
      </c>
      <c r="M495" s="1502">
        <f t="shared" ref="M495:U495" si="260">ROUND((M$24+SUM(M491:M494))*$E495,-2)</f>
        <v>0</v>
      </c>
      <c r="N495" s="1502">
        <f t="shared" si="260"/>
        <v>0</v>
      </c>
      <c r="O495" s="1502">
        <f t="shared" si="260"/>
        <v>0</v>
      </c>
      <c r="P495" s="1502">
        <f t="shared" si="260"/>
        <v>0</v>
      </c>
      <c r="Q495" s="1502">
        <f t="shared" si="260"/>
        <v>0</v>
      </c>
      <c r="R495" s="1502">
        <f t="shared" si="260"/>
        <v>0</v>
      </c>
      <c r="S495" s="1502">
        <f t="shared" si="260"/>
        <v>0</v>
      </c>
      <c r="T495" s="1502">
        <f t="shared" si="260"/>
        <v>0</v>
      </c>
      <c r="U495" s="1502">
        <f t="shared" si="260"/>
        <v>0</v>
      </c>
    </row>
    <row r="496" spans="3:21">
      <c r="C496" s="1476" t="e">
        <f>IF(D496="","",MAX(C$7:C495)+1)</f>
        <v>#N/A</v>
      </c>
      <c r="D496" s="1986">
        <v>43101</v>
      </c>
      <c r="E496" s="1547">
        <v>0</v>
      </c>
      <c r="F496" s="1548">
        <f>INDEX(Dashboard!$F$12:$S$12,1,MATCH($D496,Dashboard!$F$11:$S$11,0))</f>
        <v>12</v>
      </c>
      <c r="G496" s="1502"/>
      <c r="H496" s="1490"/>
      <c r="I496" s="1502"/>
      <c r="J496" s="1502"/>
      <c r="K496" s="1502"/>
      <c r="L496" s="1502"/>
      <c r="M496" s="1988">
        <f>ROUND((M$24+SUM(M491:M495))*$E496*$F496/12,-2)</f>
        <v>0</v>
      </c>
      <c r="N496" s="1502">
        <f t="shared" ref="N496:U496" si="261">ROUND((N$24+SUM(N491:N495))*$E496,-2)</f>
        <v>0</v>
      </c>
      <c r="O496" s="1502">
        <f t="shared" si="261"/>
        <v>0</v>
      </c>
      <c r="P496" s="1502">
        <f t="shared" si="261"/>
        <v>0</v>
      </c>
      <c r="Q496" s="1502">
        <f t="shared" si="261"/>
        <v>0</v>
      </c>
      <c r="R496" s="1502">
        <f t="shared" si="261"/>
        <v>0</v>
      </c>
      <c r="S496" s="1502">
        <f t="shared" si="261"/>
        <v>0</v>
      </c>
      <c r="T496" s="1502">
        <f t="shared" si="261"/>
        <v>0</v>
      </c>
      <c r="U496" s="1502">
        <f t="shared" si="261"/>
        <v>0</v>
      </c>
    </row>
    <row r="497" spans="3:21">
      <c r="C497" s="1476" t="e">
        <f>IF(D497="","",MAX(C$7:C496)+1)</f>
        <v>#N/A</v>
      </c>
      <c r="D497" s="1986">
        <v>43466</v>
      </c>
      <c r="E497" s="1547">
        <v>0</v>
      </c>
      <c r="F497" s="1548">
        <f>INDEX(Dashboard!$F$12:$S$12,1,MATCH($D497,Dashboard!$F$11:$S$11,0))</f>
        <v>12</v>
      </c>
      <c r="G497" s="1502"/>
      <c r="H497" s="1490"/>
      <c r="I497" s="1502"/>
      <c r="J497" s="1502"/>
      <c r="K497" s="1502"/>
      <c r="L497" s="1502"/>
      <c r="M497" s="1502"/>
      <c r="N497" s="1988">
        <f>ROUND((N$24+SUM(N491:N496))*$E497*$F497/12,-2)</f>
        <v>0</v>
      </c>
      <c r="O497" s="1502">
        <f t="shared" ref="O497:U497" si="262">ROUND((O$24+SUM(O491:O496))*$E497,-2)</f>
        <v>0</v>
      </c>
      <c r="P497" s="1502">
        <f t="shared" si="262"/>
        <v>0</v>
      </c>
      <c r="Q497" s="1502">
        <f t="shared" si="262"/>
        <v>0</v>
      </c>
      <c r="R497" s="1502">
        <f t="shared" si="262"/>
        <v>0</v>
      </c>
      <c r="S497" s="1502">
        <f t="shared" si="262"/>
        <v>0</v>
      </c>
      <c r="T497" s="1502">
        <f t="shared" si="262"/>
        <v>0</v>
      </c>
      <c r="U497" s="1502">
        <f t="shared" si="262"/>
        <v>0</v>
      </c>
    </row>
    <row r="498" spans="3:21">
      <c r="C498" s="1476" t="e">
        <f>IF(D498="","",MAX(C$7:C497)+1)</f>
        <v>#N/A</v>
      </c>
      <c r="D498" s="1986">
        <v>43831</v>
      </c>
      <c r="E498" s="1547">
        <v>0</v>
      </c>
      <c r="F498" s="1548">
        <f>INDEX(Dashboard!$F$12:$S$12,1,MATCH($D498,Dashboard!$F$11:$S$11,0))</f>
        <v>12</v>
      </c>
      <c r="G498" s="1502"/>
      <c r="H498" s="1490"/>
      <c r="I498" s="1502"/>
      <c r="J498" s="1502"/>
      <c r="K498" s="1502"/>
      <c r="L498" s="1502"/>
      <c r="M498" s="1502"/>
      <c r="N498" s="1502"/>
      <c r="O498" s="1988">
        <f>ROUND((O$24+SUM(O491:O497))*$E498*$F498/12,-2)</f>
        <v>0</v>
      </c>
      <c r="P498" s="1502">
        <f t="shared" ref="P498:U498" si="263">ROUND((P$24+SUM(P491:P497))*$E498,-2)</f>
        <v>0</v>
      </c>
      <c r="Q498" s="1502">
        <f t="shared" si="263"/>
        <v>0</v>
      </c>
      <c r="R498" s="1502">
        <f t="shared" si="263"/>
        <v>0</v>
      </c>
      <c r="S498" s="1502">
        <f t="shared" si="263"/>
        <v>0</v>
      </c>
      <c r="T498" s="1502">
        <f t="shared" si="263"/>
        <v>0</v>
      </c>
      <c r="U498" s="1502">
        <f t="shared" si="263"/>
        <v>0</v>
      </c>
    </row>
    <row r="499" spans="3:21">
      <c r="C499" s="1476" t="e">
        <f>IF(D499="","",MAX(C$7:C498)+1)</f>
        <v>#N/A</v>
      </c>
      <c r="D499" s="1986">
        <v>44197</v>
      </c>
      <c r="E499" s="1547">
        <v>0</v>
      </c>
      <c r="F499" s="1548">
        <f>INDEX(Dashboard!$F$12:$S$12,1,MATCH($D499,Dashboard!$F$11:$S$11,0))</f>
        <v>12</v>
      </c>
      <c r="G499" s="1502"/>
      <c r="H499" s="1490"/>
      <c r="I499" s="1502"/>
      <c r="J499" s="1502"/>
      <c r="K499" s="1502"/>
      <c r="L499" s="1502"/>
      <c r="M499" s="1502"/>
      <c r="N499" s="1502"/>
      <c r="O499" s="1502"/>
      <c r="P499" s="1988">
        <f>ROUND((P$24+SUM(P491:P498))*$E499*$F499/12,-2)</f>
        <v>0</v>
      </c>
      <c r="Q499" s="1502">
        <f t="shared" ref="Q499:U499" si="264">ROUND((Q$24+SUM(Q491:Q498))*$E499,-2)</f>
        <v>0</v>
      </c>
      <c r="R499" s="1502">
        <f t="shared" si="264"/>
        <v>0</v>
      </c>
      <c r="S499" s="1502">
        <f t="shared" si="264"/>
        <v>0</v>
      </c>
      <c r="T499" s="1502">
        <f t="shared" si="264"/>
        <v>0</v>
      </c>
      <c r="U499" s="1502">
        <f t="shared" si="264"/>
        <v>0</v>
      </c>
    </row>
    <row r="500" spans="3:21">
      <c r="C500" s="1476" t="e">
        <f>IF(D500="","",MAX(C$7:C499)+1)</f>
        <v>#N/A</v>
      </c>
      <c r="D500" s="1986">
        <v>44562</v>
      </c>
      <c r="E500" s="1547">
        <v>0</v>
      </c>
      <c r="F500" s="1548">
        <f>INDEX(Dashboard!$F$12:$S$12,1,MATCH($D500,Dashboard!$F$11:$S$11,0))</f>
        <v>12</v>
      </c>
      <c r="G500" s="1502"/>
      <c r="H500" s="1490"/>
      <c r="I500" s="1502"/>
      <c r="J500" s="1502"/>
      <c r="K500" s="1502"/>
      <c r="L500" s="1502"/>
      <c r="M500" s="1502"/>
      <c r="N500" s="1502"/>
      <c r="O500" s="1502"/>
      <c r="P500" s="1502"/>
      <c r="Q500" s="1988">
        <f>ROUND((Q$24+SUM(Q491:Q499))*$E500*$F500/12,-2)</f>
        <v>0</v>
      </c>
      <c r="R500" s="1502">
        <f t="shared" ref="R500:U500" si="265">ROUND((R$24+SUM(R491:R499))*$E500,-2)</f>
        <v>0</v>
      </c>
      <c r="S500" s="1502">
        <f t="shared" si="265"/>
        <v>0</v>
      </c>
      <c r="T500" s="1502">
        <f t="shared" si="265"/>
        <v>0</v>
      </c>
      <c r="U500" s="1502">
        <f t="shared" si="265"/>
        <v>0</v>
      </c>
    </row>
    <row r="501" spans="3:21">
      <c r="C501" s="1476" t="e">
        <f>IF(D501="","",MAX(C$7:C500)+1)</f>
        <v>#N/A</v>
      </c>
      <c r="D501" s="1986">
        <v>44927</v>
      </c>
      <c r="E501" s="1547">
        <v>0</v>
      </c>
      <c r="F501" s="1548">
        <f>INDEX(Dashboard!$F$12:$S$12,1,MATCH($D501,Dashboard!$F$11:$S$11,0))</f>
        <v>12</v>
      </c>
      <c r="G501" s="1502"/>
      <c r="H501" s="1490"/>
      <c r="I501" s="1502"/>
      <c r="J501" s="1502"/>
      <c r="K501" s="1502"/>
      <c r="L501" s="1502"/>
      <c r="M501" s="1502"/>
      <c r="N501" s="1502"/>
      <c r="O501" s="1502"/>
      <c r="P501" s="1502"/>
      <c r="Q501" s="1502"/>
      <c r="R501" s="1988">
        <f>ROUND((R$24+SUM(R491:R500))*$E501*$F501/12,-2)</f>
        <v>0</v>
      </c>
      <c r="S501" s="1502">
        <f t="shared" ref="S501:U501" si="266">ROUND((S$24+SUM(S491:S500))*$E501,-2)</f>
        <v>0</v>
      </c>
      <c r="T501" s="1502">
        <f t="shared" si="266"/>
        <v>0</v>
      </c>
      <c r="U501" s="1502">
        <f t="shared" si="266"/>
        <v>0</v>
      </c>
    </row>
    <row r="502" spans="3:21" ht="16.5" thickBot="1">
      <c r="C502" s="1476" t="e">
        <f>IF(D502="","",MAX(C$7:C501)+1)</f>
        <v>#N/A</v>
      </c>
      <c r="D502" s="1986">
        <v>45292</v>
      </c>
      <c r="E502" s="1549">
        <v>0</v>
      </c>
      <c r="F502" s="1550">
        <f>INDEX(Dashboard!$F$12:$S$12,1,MATCH($D502,Dashboard!$F$11:$S$11,0))</f>
        <v>12</v>
      </c>
      <c r="G502" s="1502"/>
      <c r="H502" s="1490"/>
      <c r="I502" s="1502"/>
      <c r="J502" s="1502"/>
      <c r="K502" s="1502"/>
      <c r="L502" s="1502"/>
      <c r="M502" s="1502"/>
      <c r="N502" s="1502"/>
      <c r="O502" s="1502"/>
      <c r="P502" s="1502"/>
      <c r="Q502" s="1502"/>
      <c r="R502" s="1502"/>
      <c r="S502" s="1988">
        <f>ROUND((S$24+SUM(S491:S501))*$E502*$F502/12,-2)</f>
        <v>0</v>
      </c>
      <c r="T502" s="1502">
        <f t="shared" ref="T502:U502" si="267">ROUND((T$24+SUM(T491:T501))*$E502,-2)</f>
        <v>0</v>
      </c>
      <c r="U502" s="1502">
        <f t="shared" si="267"/>
        <v>0</v>
      </c>
    </row>
    <row r="503" spans="3:21">
      <c r="C503" s="1476" t="e">
        <f>IF(D503="","",MAX(C$7:C502)+1)</f>
        <v>#N/A</v>
      </c>
      <c r="D503" s="1986">
        <v>45658</v>
      </c>
      <c r="E503" s="1545">
        <v>0</v>
      </c>
      <c r="F503" s="1546">
        <f>INDEX(Dashboard!$F$12:$S$12,1,MATCH($D503,Dashboard!$F$11:$S$11,0))</f>
        <v>12</v>
      </c>
      <c r="G503" s="1502"/>
      <c r="H503" s="1490"/>
      <c r="I503" s="1502"/>
      <c r="J503" s="1502"/>
      <c r="K503" s="1502"/>
      <c r="L503" s="1502"/>
      <c r="M503" s="1502"/>
      <c r="N503" s="1502"/>
      <c r="O503" s="1502"/>
      <c r="P503" s="1502"/>
      <c r="Q503" s="1502"/>
      <c r="R503" s="1502"/>
      <c r="S503" s="1502"/>
      <c r="T503" s="1988">
        <f>ROUND((T$24+SUM(T491:T502))*$E503*$F503/12,-2)</f>
        <v>0</v>
      </c>
      <c r="U503" s="1502">
        <f>ROUND((U$24+SUM(U491:U502))*$E503,-2)</f>
        <v>0</v>
      </c>
    </row>
    <row r="504" spans="3:21" ht="16.5" thickBot="1">
      <c r="C504" s="1476" t="e">
        <f>IF(D504="","",MAX(C$7:C503)+1)</f>
        <v>#N/A</v>
      </c>
      <c r="D504" s="1986">
        <v>46023</v>
      </c>
      <c r="E504" s="1549">
        <v>0</v>
      </c>
      <c r="F504" s="1550">
        <f>INDEX(Dashboard!$F$12:$S$12,1,MATCH($D504,Dashboard!$F$11:$S$11,0))</f>
        <v>12</v>
      </c>
      <c r="G504" s="1502"/>
      <c r="H504" s="1490"/>
      <c r="I504" s="1502"/>
      <c r="J504" s="1502"/>
      <c r="K504" s="1502"/>
      <c r="L504" s="1502"/>
      <c r="M504" s="1502"/>
      <c r="N504" s="1502"/>
      <c r="O504" s="1502"/>
      <c r="P504" s="1502"/>
      <c r="Q504" s="1502"/>
      <c r="R504" s="1502"/>
      <c r="S504" s="1502"/>
      <c r="T504" s="1502"/>
      <c r="U504" s="1988">
        <f>ROUND((U$24+SUM(U491:U503))*$E504*$F504/12,-2)</f>
        <v>0</v>
      </c>
    </row>
    <row r="505" spans="3:21" hidden="1">
      <c r="C505" s="1476" t="e">
        <f>IF(D505="","",MAX(C$7:C504)+1)</f>
        <v>#N/A</v>
      </c>
      <c r="D505" s="1986" t="e">
        <v>#N/A</v>
      </c>
      <c r="E505" s="1547">
        <v>0</v>
      </c>
      <c r="F505" s="1548" t="e">
        <f>INDEX(Dashboard!$F$12:$S$12,1,MATCH($D505,Dashboard!$F$11:$S$11,0))</f>
        <v>#N/A</v>
      </c>
      <c r="G505" s="1502"/>
      <c r="H505" s="1490"/>
      <c r="I505" s="1502"/>
      <c r="J505" s="1502"/>
      <c r="K505" s="1502"/>
      <c r="L505" s="1502"/>
      <c r="M505" s="1502"/>
      <c r="N505" s="1502"/>
      <c r="O505" s="1502"/>
      <c r="P505" s="1502"/>
      <c r="Q505" s="1502"/>
      <c r="R505" s="1502"/>
      <c r="S505" s="1502"/>
      <c r="T505" s="1502"/>
      <c r="U505" s="1502"/>
    </row>
    <row r="506" spans="3:21" hidden="1">
      <c r="C506" s="1476" t="e">
        <f>IF(D506="","",MAX(C$7:C505)+1)</f>
        <v>#N/A</v>
      </c>
      <c r="D506" s="1986" t="e">
        <v>#N/A</v>
      </c>
      <c r="E506" s="1547">
        <v>0</v>
      </c>
      <c r="F506" s="1548" t="e">
        <f>INDEX(Dashboard!$F$12:$S$12,1,MATCH($D506,Dashboard!$F$11:$S$11,0))</f>
        <v>#N/A</v>
      </c>
      <c r="G506" s="1502"/>
      <c r="H506" s="1490"/>
      <c r="I506" s="1502"/>
      <c r="J506" s="1502"/>
      <c r="K506" s="1502"/>
      <c r="L506" s="1502"/>
      <c r="M506" s="1502"/>
      <c r="N506" s="1502"/>
      <c r="O506" s="1502"/>
      <c r="P506" s="1502"/>
      <c r="Q506" s="1502"/>
      <c r="R506" s="1502"/>
      <c r="S506" s="1502"/>
      <c r="T506" s="1502"/>
      <c r="U506" s="1502"/>
    </row>
    <row r="507" spans="3:21" hidden="1">
      <c r="C507" s="1476" t="e">
        <f>IF(D507="","",MAX(C$7:C506)+1)</f>
        <v>#N/A</v>
      </c>
      <c r="D507" s="1986" t="e">
        <v>#N/A</v>
      </c>
      <c r="E507" s="1547">
        <v>0</v>
      </c>
      <c r="F507" s="1548" t="e">
        <f>INDEX(Dashboard!$F$12:$S$12,1,MATCH($D507,Dashboard!$F$11:$S$11,0))</f>
        <v>#N/A</v>
      </c>
      <c r="G507" s="1502"/>
      <c r="H507" s="1490"/>
      <c r="I507" s="1502"/>
      <c r="J507" s="1502"/>
      <c r="K507" s="1502"/>
      <c r="L507" s="1502"/>
      <c r="M507" s="1502"/>
      <c r="N507" s="1502"/>
      <c r="O507" s="1502"/>
      <c r="P507" s="1502"/>
      <c r="Q507" s="1502"/>
      <c r="R507" s="1502"/>
      <c r="S507" s="1502"/>
      <c r="T507" s="1502"/>
      <c r="U507" s="1502"/>
    </row>
    <row r="508" spans="3:21" ht="16.5" hidden="1" thickBot="1">
      <c r="C508" s="1476" t="e">
        <f>IF(D508="","",MAX(C$7:C507)+1)</f>
        <v>#N/A</v>
      </c>
      <c r="D508" s="1986" t="e">
        <v>#N/A</v>
      </c>
      <c r="E508" s="1549">
        <v>0</v>
      </c>
      <c r="F508" s="1550" t="e">
        <f>INDEX(Dashboard!$F$12:$S$12,1,MATCH($D508,Dashboard!$F$11:$S$11,0))</f>
        <v>#N/A</v>
      </c>
      <c r="G508" s="1502"/>
      <c r="H508" s="1490"/>
      <c r="I508" s="1502"/>
      <c r="J508" s="1502"/>
      <c r="K508" s="1502"/>
      <c r="L508" s="1502"/>
      <c r="M508" s="1502"/>
      <c r="N508" s="1502"/>
      <c r="O508" s="1502"/>
      <c r="P508" s="1502"/>
      <c r="Q508" s="1502"/>
      <c r="R508" s="1502"/>
      <c r="S508" s="1502"/>
      <c r="T508" s="1502"/>
      <c r="U508" s="1502"/>
    </row>
    <row r="509" spans="3:21">
      <c r="C509" s="1476" t="str">
        <f>IF(D509="","",MAX(C$7:C508)+1)</f>
        <v/>
      </c>
      <c r="D509" s="1468"/>
      <c r="E509" s="1468"/>
      <c r="F509" s="1468"/>
      <c r="G509" s="1987"/>
      <c r="H509" s="1987"/>
      <c r="I509" s="1502"/>
      <c r="J509" s="1502"/>
      <c r="K509" s="1502"/>
      <c r="L509" s="1502"/>
      <c r="M509" s="1502"/>
      <c r="N509" s="1502"/>
      <c r="O509" s="1502"/>
      <c r="P509" s="1502"/>
      <c r="Q509" s="1502"/>
      <c r="R509" s="1502"/>
      <c r="S509" s="1502"/>
      <c r="T509" s="1502"/>
      <c r="U509" s="1502"/>
    </row>
    <row r="510" spans="3:21">
      <c r="C510" s="1476" t="e">
        <f>IF(D510="","",MAX(C$7:C509)+1)</f>
        <v>#N/A</v>
      </c>
      <c r="D510" s="1468" t="s">
        <v>1047</v>
      </c>
      <c r="E510" s="1468"/>
      <c r="F510" s="1468"/>
      <c r="G510" s="1504">
        <f t="shared" ref="G510:U510" si="268">SUM(G492:G509)</f>
        <v>0</v>
      </c>
      <c r="H510" s="1504">
        <f t="shared" si="268"/>
        <v>0</v>
      </c>
      <c r="I510" s="1504">
        <f t="shared" si="268"/>
        <v>0</v>
      </c>
      <c r="J510" s="1504">
        <f t="shared" si="268"/>
        <v>0</v>
      </c>
      <c r="K510" s="1504">
        <f t="shared" si="268"/>
        <v>0</v>
      </c>
      <c r="L510" s="1504">
        <f t="shared" si="268"/>
        <v>0</v>
      </c>
      <c r="M510" s="1504">
        <f t="shared" si="268"/>
        <v>0</v>
      </c>
      <c r="N510" s="1504">
        <f t="shared" si="268"/>
        <v>0</v>
      </c>
      <c r="O510" s="1504">
        <f t="shared" si="268"/>
        <v>0</v>
      </c>
      <c r="P510" s="1504">
        <f t="shared" si="268"/>
        <v>0</v>
      </c>
      <c r="Q510" s="1504">
        <f t="shared" si="268"/>
        <v>0</v>
      </c>
      <c r="R510" s="1504">
        <f t="shared" si="268"/>
        <v>0</v>
      </c>
      <c r="S510" s="1504">
        <f t="shared" si="268"/>
        <v>0</v>
      </c>
      <c r="T510" s="1504">
        <f t="shared" si="268"/>
        <v>0</v>
      </c>
      <c r="U510" s="1504">
        <f t="shared" si="268"/>
        <v>0</v>
      </c>
    </row>
    <row r="511" spans="3:21">
      <c r="C511" s="1476" t="e">
        <f>IF(D511="","",MAX(C$7:C510)+1)</f>
        <v>#N/A</v>
      </c>
      <c r="D511" s="1468" t="s">
        <v>2772</v>
      </c>
      <c r="E511" s="1"/>
      <c r="F511" s="1"/>
      <c r="G511" s="1"/>
      <c r="H511" s="1"/>
      <c r="J511" s="424">
        <f>J510-J493</f>
        <v>0</v>
      </c>
      <c r="K511" s="424">
        <f>K510-K494</f>
        <v>0</v>
      </c>
      <c r="L511" s="424">
        <f>L510-L495</f>
        <v>0</v>
      </c>
      <c r="M511" s="424">
        <f>M510-M496</f>
        <v>0</v>
      </c>
      <c r="N511" s="424">
        <f>N510-N497</f>
        <v>0</v>
      </c>
      <c r="O511" s="424">
        <f>O510-O498</f>
        <v>0</v>
      </c>
      <c r="P511" s="424">
        <f>P510-P499</f>
        <v>0</v>
      </c>
      <c r="Q511" s="424">
        <f>Q510-Q500</f>
        <v>0</v>
      </c>
      <c r="R511" s="424">
        <f>R510-R501</f>
        <v>0</v>
      </c>
      <c r="S511" s="424">
        <f>S510-S502</f>
        <v>0</v>
      </c>
      <c r="T511" s="424">
        <f>T510-T503</f>
        <v>0</v>
      </c>
      <c r="U511" s="424">
        <f>U510-U504</f>
        <v>0</v>
      </c>
    </row>
    <row r="513" spans="3:21" ht="16.5" thickBot="1"/>
    <row r="514" spans="3:21" ht="16.5" thickBot="1">
      <c r="C514" s="1"/>
      <c r="D514" s="4528" t="str">
        <f>$D$25</f>
        <v>Total</v>
      </c>
      <c r="E514" s="4529"/>
      <c r="F514" s="4530"/>
      <c r="G514" s="1"/>
      <c r="H514" s="1"/>
    </row>
    <row r="515" spans="3:21">
      <c r="C515" s="1476" t="e">
        <f>IF(D515="","",MAX(C$7:C488)+1)</f>
        <v>#N/A</v>
      </c>
      <c r="D515" s="1491" t="s">
        <v>1042</v>
      </c>
      <c r="E515" s="1468"/>
      <c r="F515" s="1983" t="s">
        <v>1043</v>
      </c>
      <c r="G515" s="1490"/>
      <c r="H515" s="1490"/>
      <c r="I515" s="1490"/>
      <c r="J515" s="1490"/>
      <c r="K515" s="1490"/>
      <c r="L515" s="1490"/>
      <c r="M515" s="1490"/>
      <c r="N515" s="1490"/>
      <c r="O515" s="1490"/>
      <c r="P515" s="1490"/>
      <c r="Q515" s="1490"/>
      <c r="R515" s="1490"/>
      <c r="S515" s="1490"/>
      <c r="T515" s="1490"/>
      <c r="U515" s="1490"/>
    </row>
    <row r="516" spans="3:21">
      <c r="C516" s="1476" t="e">
        <f>IF(D516="","",MAX(C$7:C515)+1)</f>
        <v>#N/A</v>
      </c>
      <c r="D516" s="1984" t="s">
        <v>1044</v>
      </c>
      <c r="E516" s="1985" t="s">
        <v>1045</v>
      </c>
      <c r="F516" s="1985" t="s">
        <v>1046</v>
      </c>
      <c r="G516" s="1490"/>
      <c r="H516" s="1490"/>
      <c r="I516" s="1490"/>
      <c r="J516" s="1490"/>
      <c r="K516" s="1490"/>
      <c r="L516" s="1490"/>
      <c r="M516" s="1490"/>
      <c r="N516" s="1490"/>
      <c r="O516" s="1490"/>
      <c r="P516" s="1490"/>
      <c r="Q516" s="1490"/>
      <c r="R516" s="1490"/>
      <c r="S516" s="1490"/>
      <c r="T516" s="1490"/>
      <c r="U516" s="1490"/>
    </row>
    <row r="517" spans="3:21" ht="16.5" thickBot="1">
      <c r="C517" s="1476" t="str">
        <f>IF(D517="","",MAX(C$7:C516)+1)</f>
        <v/>
      </c>
      <c r="D517" s="1489"/>
      <c r="E517" s="1489"/>
      <c r="F517" s="1489"/>
      <c r="G517" s="1490"/>
      <c r="H517" s="1490"/>
      <c r="I517" s="1490"/>
      <c r="J517" s="1490"/>
      <c r="K517" s="1490"/>
      <c r="L517" s="1490"/>
      <c r="M517" s="1490"/>
      <c r="N517" s="1490"/>
      <c r="O517" s="1490"/>
      <c r="P517" s="1490"/>
      <c r="Q517" s="1490"/>
      <c r="R517" s="1490"/>
      <c r="S517" s="1490"/>
      <c r="T517" s="1490"/>
      <c r="U517" s="1490"/>
    </row>
    <row r="518" spans="3:21">
      <c r="C518" s="1476" t="e">
        <f>IF(D518="","",MAX(C$7:C517)+1)</f>
        <v>#N/A</v>
      </c>
      <c r="D518" s="1986">
        <f t="array" ref="D518:D534">TRANSPOSE(Dashboard!$G$11:$S$11)</f>
        <v>41640</v>
      </c>
      <c r="E518" s="1989">
        <f>INDEX(Dashboard!$F$10:$S$10,1,MATCH($D518,Dashboard!$F$11:$S$11,0))</f>
        <v>0</v>
      </c>
      <c r="F518" s="1546">
        <f>INDEX(Dashboard!$F$12:$S$12,1,MATCH($D518,Dashboard!$F$11:$S$11,0))</f>
        <v>12</v>
      </c>
      <c r="G518" s="1502"/>
      <c r="H518" s="1490"/>
      <c r="I518" s="1988">
        <f>ROUND((I$25+SUM(I517:I517))*$E518*$F518/12,-2)</f>
        <v>0</v>
      </c>
      <c r="J518" s="1502">
        <f t="shared" ref="J518:U518" si="269">ROUND((J$25+SUM(J517:J517))*$E518,-2)</f>
        <v>0</v>
      </c>
      <c r="K518" s="1502">
        <f t="shared" si="269"/>
        <v>0</v>
      </c>
      <c r="L518" s="1502">
        <f t="shared" si="269"/>
        <v>0</v>
      </c>
      <c r="M518" s="1502">
        <f t="shared" si="269"/>
        <v>0</v>
      </c>
      <c r="N518" s="1502">
        <f t="shared" si="269"/>
        <v>0</v>
      </c>
      <c r="O518" s="1502">
        <f t="shared" si="269"/>
        <v>0</v>
      </c>
      <c r="P518" s="1502">
        <f t="shared" si="269"/>
        <v>0</v>
      </c>
      <c r="Q518" s="1502">
        <f t="shared" si="269"/>
        <v>0</v>
      </c>
      <c r="R518" s="1502">
        <f t="shared" si="269"/>
        <v>0</v>
      </c>
      <c r="S518" s="1502">
        <f t="shared" si="269"/>
        <v>0</v>
      </c>
      <c r="T518" s="1502">
        <f t="shared" si="269"/>
        <v>0</v>
      </c>
      <c r="U518" s="1502">
        <f t="shared" si="269"/>
        <v>0</v>
      </c>
    </row>
    <row r="519" spans="3:21">
      <c r="C519" s="1476" t="e">
        <f>IF(D519="","",MAX(C$7:C518)+1)</f>
        <v>#N/A</v>
      </c>
      <c r="D519" s="1986">
        <v>42005</v>
      </c>
      <c r="E519" s="1547">
        <v>0.02</v>
      </c>
      <c r="F519" s="1548">
        <f>INDEX(Dashboard!$F$12:$S$12,1,MATCH($D519,Dashboard!$F$11:$S$11,0))</f>
        <v>12</v>
      </c>
      <c r="G519" s="1502"/>
      <c r="H519" s="1490"/>
      <c r="I519" s="1502"/>
      <c r="J519" s="1988">
        <f>ROUND((J$25+SUM(J518:J518))*$E519*$F519/12,-2)</f>
        <v>3425200</v>
      </c>
      <c r="K519" s="1502">
        <f t="shared" ref="K519:U519" si="270">ROUND((K$25+SUM(K517:K518))*$E519,-2)</f>
        <v>3557800</v>
      </c>
      <c r="L519" s="1502">
        <f t="shared" si="270"/>
        <v>3783000</v>
      </c>
      <c r="M519" s="1502">
        <f t="shared" si="270"/>
        <v>3980400</v>
      </c>
      <c r="N519" s="1502">
        <f t="shared" si="270"/>
        <v>4234000</v>
      </c>
      <c r="O519" s="1502">
        <f t="shared" si="270"/>
        <v>4413600</v>
      </c>
      <c r="P519" s="1502">
        <f t="shared" si="270"/>
        <v>4553300</v>
      </c>
      <c r="Q519" s="1502">
        <f t="shared" si="270"/>
        <v>4669200</v>
      </c>
      <c r="R519" s="1502">
        <f t="shared" si="270"/>
        <v>4802600</v>
      </c>
      <c r="S519" s="1502">
        <f t="shared" si="270"/>
        <v>4949100</v>
      </c>
      <c r="T519" s="1502">
        <f t="shared" si="270"/>
        <v>5053500</v>
      </c>
      <c r="U519" s="1502">
        <f t="shared" si="270"/>
        <v>5160900</v>
      </c>
    </row>
    <row r="520" spans="3:21">
      <c r="C520" s="1476" t="e">
        <f>IF(D520="","",MAX(C$7:C519)+1)</f>
        <v>#N/A</v>
      </c>
      <c r="D520" s="1986">
        <v>42370</v>
      </c>
      <c r="E520" s="1547">
        <v>0.02</v>
      </c>
      <c r="F520" s="1548">
        <f>INDEX(Dashboard!$F$12:$S$12,1,MATCH($D520,Dashboard!$F$11:$S$11,0))</f>
        <v>12</v>
      </c>
      <c r="G520" s="1502"/>
      <c r="H520" s="1490"/>
      <c r="I520" s="1502"/>
      <c r="J520" s="1502"/>
      <c r="K520" s="1988">
        <f>ROUND((K$25+SUM(K518:K519))*$E520*$F520/12,-2)</f>
        <v>3628900</v>
      </c>
      <c r="L520" s="1502">
        <f t="shared" ref="L520:U520" si="271">ROUND((L$25+SUM(L517:L519))*$E520,-2)</f>
        <v>3858700</v>
      </c>
      <c r="M520" s="1502">
        <f t="shared" si="271"/>
        <v>4060000</v>
      </c>
      <c r="N520" s="1502">
        <f t="shared" si="271"/>
        <v>4318700</v>
      </c>
      <c r="O520" s="1502">
        <f t="shared" si="271"/>
        <v>4501900</v>
      </c>
      <c r="P520" s="1502">
        <f t="shared" si="271"/>
        <v>4644300</v>
      </c>
      <c r="Q520" s="1502">
        <f t="shared" si="271"/>
        <v>4762600</v>
      </c>
      <c r="R520" s="1502">
        <f t="shared" si="271"/>
        <v>4898600</v>
      </c>
      <c r="S520" s="1502">
        <f t="shared" si="271"/>
        <v>5048000</v>
      </c>
      <c r="T520" s="1502">
        <f t="shared" si="271"/>
        <v>5154500</v>
      </c>
      <c r="U520" s="1502">
        <f t="shared" si="271"/>
        <v>5264100</v>
      </c>
    </row>
    <row r="521" spans="3:21">
      <c r="C521" s="1476" t="e">
        <f>IF(D521="","",MAX(C$7:C520)+1)</f>
        <v>#N/A</v>
      </c>
      <c r="D521" s="1986">
        <v>42736</v>
      </c>
      <c r="E521" s="1547">
        <v>0.02</v>
      </c>
      <c r="F521" s="1548">
        <f>INDEX(Dashboard!$F$12:$S$12,1,MATCH($D521,Dashboard!$F$11:$S$11,0))</f>
        <v>12</v>
      </c>
      <c r="G521" s="1502"/>
      <c r="H521" s="1490"/>
      <c r="I521" s="1502"/>
      <c r="J521" s="1502"/>
      <c r="K521" s="1502"/>
      <c r="L521" s="1988">
        <f>ROUND((L$25+SUM(L517:L520))*$E521*$F521/12,-2)</f>
        <v>3935900</v>
      </c>
      <c r="M521" s="1502">
        <f t="shared" ref="M521:U521" si="272">ROUND((M$25+SUM(M517:M520))*$E521,-2)</f>
        <v>4141200</v>
      </c>
      <c r="N521" s="1502">
        <f t="shared" si="272"/>
        <v>4405100</v>
      </c>
      <c r="O521" s="1502">
        <f t="shared" si="272"/>
        <v>4591900</v>
      </c>
      <c r="P521" s="1502">
        <f t="shared" si="272"/>
        <v>4737200</v>
      </c>
      <c r="Q521" s="1502">
        <f t="shared" si="272"/>
        <v>4857800</v>
      </c>
      <c r="R521" s="1502">
        <f t="shared" si="272"/>
        <v>4996600</v>
      </c>
      <c r="S521" s="1502">
        <f t="shared" si="272"/>
        <v>5149000</v>
      </c>
      <c r="T521" s="1502">
        <f t="shared" si="272"/>
        <v>5257600</v>
      </c>
      <c r="U521" s="1502">
        <f t="shared" si="272"/>
        <v>5369400</v>
      </c>
    </row>
    <row r="522" spans="3:21">
      <c r="C522" s="1476" t="e">
        <f>IF(D522="","",MAX(C$7:C521)+1)</f>
        <v>#N/A</v>
      </c>
      <c r="D522" s="1986">
        <v>43101</v>
      </c>
      <c r="E522" s="1547">
        <v>0.02</v>
      </c>
      <c r="F522" s="1548">
        <f>INDEX(Dashboard!$F$12:$S$12,1,MATCH($D522,Dashboard!$F$11:$S$11,0))</f>
        <v>12</v>
      </c>
      <c r="G522" s="1502"/>
      <c r="H522" s="1490"/>
      <c r="I522" s="1502"/>
      <c r="J522" s="1502"/>
      <c r="K522" s="1502"/>
      <c r="L522" s="1502"/>
      <c r="M522" s="1988">
        <f>ROUND((M$25+SUM(M517:M521))*$E522*$F522/12,-2)</f>
        <v>4224000</v>
      </c>
      <c r="N522" s="1502">
        <f t="shared" ref="N522:U522" si="273">ROUND((N$25+SUM(N517:N521))*$E522,-2)</f>
        <v>4493200</v>
      </c>
      <c r="O522" s="1502">
        <f t="shared" si="273"/>
        <v>4683800</v>
      </c>
      <c r="P522" s="1502">
        <f t="shared" si="273"/>
        <v>4832000</v>
      </c>
      <c r="Q522" s="1502">
        <f t="shared" si="273"/>
        <v>4955000</v>
      </c>
      <c r="R522" s="1502">
        <f t="shared" si="273"/>
        <v>5096500</v>
      </c>
      <c r="S522" s="1502">
        <f t="shared" si="273"/>
        <v>5252000</v>
      </c>
      <c r="T522" s="1502">
        <f t="shared" si="273"/>
        <v>5362800</v>
      </c>
      <c r="U522" s="1502">
        <f t="shared" si="273"/>
        <v>5476800</v>
      </c>
    </row>
    <row r="523" spans="3:21">
      <c r="C523" s="1476" t="e">
        <f>IF(D523="","",MAX(C$7:C522)+1)</f>
        <v>#N/A</v>
      </c>
      <c r="D523" s="1986">
        <v>43466</v>
      </c>
      <c r="E523" s="1547">
        <v>0.02</v>
      </c>
      <c r="F523" s="1548">
        <f>INDEX(Dashboard!$F$12:$S$12,1,MATCH($D523,Dashboard!$F$11:$S$11,0))</f>
        <v>12</v>
      </c>
      <c r="G523" s="1502"/>
      <c r="H523" s="1490"/>
      <c r="I523" s="1502"/>
      <c r="J523" s="1502"/>
      <c r="K523" s="1502"/>
      <c r="L523" s="1502"/>
      <c r="M523" s="1502"/>
      <c r="N523" s="1988">
        <f>ROUND((N$25+SUM(N517:N522))*$E523*$F523/12,-2)</f>
        <v>4583100</v>
      </c>
      <c r="O523" s="1502">
        <f t="shared" ref="O523:U523" si="274">ROUND((O$25+SUM(O517:O522))*$E523,-2)</f>
        <v>4777500</v>
      </c>
      <c r="P523" s="1502">
        <f t="shared" si="274"/>
        <v>4928600</v>
      </c>
      <c r="Q523" s="1502">
        <f t="shared" si="274"/>
        <v>5054100</v>
      </c>
      <c r="R523" s="1502">
        <f t="shared" si="274"/>
        <v>5198500</v>
      </c>
      <c r="S523" s="1502">
        <f t="shared" si="274"/>
        <v>5357000</v>
      </c>
      <c r="T523" s="1502">
        <f t="shared" si="274"/>
        <v>5470000</v>
      </c>
      <c r="U523" s="1502">
        <f t="shared" si="274"/>
        <v>5586300</v>
      </c>
    </row>
    <row r="524" spans="3:21">
      <c r="C524" s="1476" t="e">
        <f>IF(D524="","",MAX(C$7:C523)+1)</f>
        <v>#N/A</v>
      </c>
      <c r="D524" s="1986">
        <v>43831</v>
      </c>
      <c r="E524" s="1547">
        <v>0.02</v>
      </c>
      <c r="F524" s="1548">
        <f>INDEX(Dashboard!$F$12:$S$12,1,MATCH($D524,Dashboard!$F$11:$S$11,0))</f>
        <v>12</v>
      </c>
      <c r="G524" s="1502"/>
      <c r="H524" s="1490"/>
      <c r="I524" s="1502"/>
      <c r="J524" s="1502"/>
      <c r="K524" s="1502"/>
      <c r="L524" s="1502"/>
      <c r="M524" s="1502"/>
      <c r="N524" s="1502"/>
      <c r="O524" s="1988">
        <f>ROUND((O$25+SUM(O517:O523))*$E524*$F524/12,-2)</f>
        <v>4873000</v>
      </c>
      <c r="P524" s="1502">
        <f t="shared" ref="P524:U524" si="275">ROUND((P$25+SUM(P517:P523))*$E524,-2)</f>
        <v>5027200</v>
      </c>
      <c r="Q524" s="1502">
        <f t="shared" si="275"/>
        <v>5155200</v>
      </c>
      <c r="R524" s="1502">
        <f t="shared" si="275"/>
        <v>5302400</v>
      </c>
      <c r="S524" s="1502">
        <f t="shared" si="275"/>
        <v>5464200</v>
      </c>
      <c r="T524" s="1502">
        <f t="shared" si="275"/>
        <v>5579400</v>
      </c>
      <c r="U524" s="1502">
        <f t="shared" si="275"/>
        <v>5698000</v>
      </c>
    </row>
    <row r="525" spans="3:21">
      <c r="C525" s="1476" t="e">
        <f>IF(D525="","",MAX(C$7:C524)+1)</f>
        <v>#N/A</v>
      </c>
      <c r="D525" s="1986">
        <v>44197</v>
      </c>
      <c r="E525" s="1547">
        <v>0.02</v>
      </c>
      <c r="F525" s="1548">
        <f>INDEX(Dashboard!$F$12:$S$12,1,MATCH($D525,Dashboard!$F$11:$S$11,0))</f>
        <v>12</v>
      </c>
      <c r="G525" s="1502"/>
      <c r="H525" s="1490"/>
      <c r="I525" s="1502"/>
      <c r="J525" s="1502"/>
      <c r="K525" s="1502"/>
      <c r="L525" s="1502"/>
      <c r="M525" s="1502"/>
      <c r="N525" s="1502"/>
      <c r="O525" s="1502"/>
      <c r="P525" s="1988">
        <f>ROUND((P$25+SUM(P517:P524))*$E525*$F525/12,-2)</f>
        <v>5127700</v>
      </c>
      <c r="Q525" s="1502">
        <f t="shared" ref="Q525:U525" si="276">ROUND((Q$25+SUM(Q517:Q524))*$E525,-2)</f>
        <v>5258300</v>
      </c>
      <c r="R525" s="1502">
        <f t="shared" si="276"/>
        <v>5408500</v>
      </c>
      <c r="S525" s="1502">
        <f t="shared" si="276"/>
        <v>5573400</v>
      </c>
      <c r="T525" s="1502">
        <f t="shared" si="276"/>
        <v>5691000</v>
      </c>
      <c r="U525" s="1502">
        <f t="shared" si="276"/>
        <v>5812000</v>
      </c>
    </row>
    <row r="526" spans="3:21">
      <c r="C526" s="1476" t="e">
        <f>IF(D526="","",MAX(C$7:C525)+1)</f>
        <v>#N/A</v>
      </c>
      <c r="D526" s="1986">
        <v>44562</v>
      </c>
      <c r="E526" s="1547">
        <v>0.02</v>
      </c>
      <c r="F526" s="1548">
        <f>INDEX(Dashboard!$F$12:$S$12,1,MATCH($D526,Dashboard!$F$11:$S$11,0))</f>
        <v>12</v>
      </c>
      <c r="G526" s="1502"/>
      <c r="H526" s="1490"/>
      <c r="I526" s="1502"/>
      <c r="J526" s="1502"/>
      <c r="K526" s="1502"/>
      <c r="L526" s="1502"/>
      <c r="M526" s="1502"/>
      <c r="N526" s="1502"/>
      <c r="O526" s="1502"/>
      <c r="P526" s="1502"/>
      <c r="Q526" s="1988">
        <f>ROUND((Q$25+SUM(Q517:Q525))*$E526*$F526/12,-2)</f>
        <v>5363400</v>
      </c>
      <c r="R526" s="1502">
        <f t="shared" ref="R526:U526" si="277">ROUND((R$25+SUM(R517:R525))*$E526,-2)</f>
        <v>5516700</v>
      </c>
      <c r="S526" s="1502">
        <f t="shared" si="277"/>
        <v>5684900</v>
      </c>
      <c r="T526" s="1502">
        <f t="shared" si="277"/>
        <v>5804800</v>
      </c>
      <c r="U526" s="1502">
        <f t="shared" si="277"/>
        <v>5928200</v>
      </c>
    </row>
    <row r="527" spans="3:21">
      <c r="C527" s="1476" t="e">
        <f>IF(D527="","",MAX(C$7:C526)+1)</f>
        <v>#N/A</v>
      </c>
      <c r="D527" s="1986">
        <v>44927</v>
      </c>
      <c r="E527" s="1547">
        <v>0.02</v>
      </c>
      <c r="F527" s="1548">
        <f>INDEX(Dashboard!$F$12:$S$12,1,MATCH($D527,Dashboard!$F$11:$S$11,0))</f>
        <v>12</v>
      </c>
      <c r="G527" s="1502"/>
      <c r="H527" s="1490"/>
      <c r="I527" s="1502"/>
      <c r="J527" s="1502"/>
      <c r="K527" s="1502"/>
      <c r="L527" s="1502"/>
      <c r="M527" s="1502"/>
      <c r="N527" s="1502"/>
      <c r="O527" s="1502"/>
      <c r="P527" s="1502"/>
      <c r="Q527" s="1502"/>
      <c r="R527" s="1988">
        <f>ROUND((R$25+SUM(R517:R526))*$E527*$F527/12,-2)</f>
        <v>5627000</v>
      </c>
      <c r="S527" s="1502">
        <f t="shared" ref="S527:U527" si="278">ROUND((S$25+SUM(S517:S526))*$E527,-2)</f>
        <v>5798600</v>
      </c>
      <c r="T527" s="1502">
        <f t="shared" si="278"/>
        <v>5920900</v>
      </c>
      <c r="U527" s="1502">
        <f t="shared" si="278"/>
        <v>6046800</v>
      </c>
    </row>
    <row r="528" spans="3:21" ht="16.5" thickBot="1">
      <c r="C528" s="1476" t="e">
        <f>IF(D528="","",MAX(C$7:C527)+1)</f>
        <v>#N/A</v>
      </c>
      <c r="D528" s="1986">
        <v>45292</v>
      </c>
      <c r="E528" s="1549">
        <v>0.02</v>
      </c>
      <c r="F528" s="1550">
        <f>INDEX(Dashboard!$F$12:$S$12,1,MATCH($D528,Dashboard!$F$11:$S$11,0))</f>
        <v>12</v>
      </c>
      <c r="G528" s="1502"/>
      <c r="H528" s="1490"/>
      <c r="I528" s="1502"/>
      <c r="J528" s="1502"/>
      <c r="K528" s="1502"/>
      <c r="L528" s="1502"/>
      <c r="M528" s="1502"/>
      <c r="N528" s="1502"/>
      <c r="O528" s="1502"/>
      <c r="P528" s="1502"/>
      <c r="Q528" s="1502"/>
      <c r="R528" s="1502"/>
      <c r="S528" s="1988">
        <f>ROUND((S$25+SUM(S517:S527))*$E528*$F528/12,-2)</f>
        <v>5914600</v>
      </c>
      <c r="T528" s="1502">
        <f t="shared" ref="T528:U528" si="279">ROUND((T$25+SUM(T517:T527))*$E528,-2)</f>
        <v>6039400</v>
      </c>
      <c r="U528" s="1502">
        <f t="shared" si="279"/>
        <v>6167700</v>
      </c>
    </row>
    <row r="529" spans="3:21">
      <c r="C529" s="1476" t="e">
        <f>IF(D529="","",MAX(C$7:C528)+1)</f>
        <v>#N/A</v>
      </c>
      <c r="D529" s="1986">
        <v>45658</v>
      </c>
      <c r="E529" s="1545">
        <v>0</v>
      </c>
      <c r="F529" s="1546">
        <f>INDEX(Dashboard!$F$12:$S$12,1,MATCH($D529,Dashboard!$F$11:$S$11,0))</f>
        <v>12</v>
      </c>
      <c r="G529" s="1502"/>
      <c r="H529" s="1490"/>
      <c r="I529" s="1502"/>
      <c r="J529" s="1502"/>
      <c r="K529" s="1502"/>
      <c r="L529" s="1502"/>
      <c r="M529" s="1502"/>
      <c r="N529" s="1502"/>
      <c r="O529" s="1502"/>
      <c r="P529" s="1502"/>
      <c r="Q529" s="1502"/>
      <c r="R529" s="1502"/>
      <c r="S529" s="1502"/>
      <c r="T529" s="1988">
        <f>ROUND((T$25+SUM(T517:T528))*$E529*$F529/12,-2)</f>
        <v>0</v>
      </c>
      <c r="U529" s="1502">
        <f>ROUND((U$25+SUM(U517:U528))*$E529,-2)</f>
        <v>0</v>
      </c>
    </row>
    <row r="530" spans="3:21" ht="16.5" thickBot="1">
      <c r="C530" s="1476" t="e">
        <f>IF(D530="","",MAX(C$7:C529)+1)</f>
        <v>#N/A</v>
      </c>
      <c r="D530" s="1986">
        <v>46023</v>
      </c>
      <c r="E530" s="1549">
        <v>0</v>
      </c>
      <c r="F530" s="1550">
        <f>INDEX(Dashboard!$F$12:$S$12,1,MATCH($D530,Dashboard!$F$11:$S$11,0))</f>
        <v>12</v>
      </c>
      <c r="G530" s="1502"/>
      <c r="H530" s="1490"/>
      <c r="I530" s="1502"/>
      <c r="J530" s="1502"/>
      <c r="K530" s="1502"/>
      <c r="L530" s="1502"/>
      <c r="M530" s="1502"/>
      <c r="N530" s="1502"/>
      <c r="O530" s="1502"/>
      <c r="P530" s="1502"/>
      <c r="Q530" s="1502"/>
      <c r="R530" s="1502"/>
      <c r="S530" s="1502"/>
      <c r="T530" s="1502"/>
      <c r="U530" s="1988">
        <f>ROUND((U$25+SUM(U517:U529))*$E530*$F530/12,-2)</f>
        <v>0</v>
      </c>
    </row>
    <row r="531" spans="3:21" hidden="1">
      <c r="C531" s="1476" t="e">
        <f>IF(D531="","",MAX(C$7:C530)+1)</f>
        <v>#N/A</v>
      </c>
      <c r="D531" s="1986" t="e">
        <v>#N/A</v>
      </c>
      <c r="E531" s="1547">
        <v>0</v>
      </c>
      <c r="F531" s="1548" t="e">
        <f>INDEX(Dashboard!$F$12:$S$12,1,MATCH($D531,Dashboard!$F$11:$S$11,0))</f>
        <v>#N/A</v>
      </c>
      <c r="G531" s="1502"/>
      <c r="H531" s="1490"/>
      <c r="I531" s="1502"/>
      <c r="J531" s="1502"/>
      <c r="K531" s="1502"/>
      <c r="L531" s="1502"/>
      <c r="M531" s="1502"/>
      <c r="N531" s="1502"/>
      <c r="O531" s="1502"/>
      <c r="P531" s="1502"/>
      <c r="Q531" s="1502"/>
      <c r="R531" s="1502"/>
      <c r="S531" s="1502"/>
      <c r="T531" s="1502"/>
      <c r="U531" s="1502"/>
    </row>
    <row r="532" spans="3:21" hidden="1">
      <c r="C532" s="1476" t="e">
        <f>IF(D532="","",MAX(C$7:C531)+1)</f>
        <v>#N/A</v>
      </c>
      <c r="D532" s="1986" t="e">
        <v>#N/A</v>
      </c>
      <c r="E532" s="1547">
        <v>0</v>
      </c>
      <c r="F532" s="1548" t="e">
        <f>INDEX(Dashboard!$F$12:$S$12,1,MATCH($D532,Dashboard!$F$11:$S$11,0))</f>
        <v>#N/A</v>
      </c>
      <c r="G532" s="1502"/>
      <c r="H532" s="1490"/>
      <c r="I532" s="1502"/>
      <c r="J532" s="1502"/>
      <c r="K532" s="1502"/>
      <c r="L532" s="1502"/>
      <c r="M532" s="1502"/>
      <c r="N532" s="1502"/>
      <c r="O532" s="1502"/>
      <c r="P532" s="1502"/>
      <c r="Q532" s="1502"/>
      <c r="R532" s="1502"/>
      <c r="S532" s="1502"/>
      <c r="T532" s="1502"/>
      <c r="U532" s="1502"/>
    </row>
    <row r="533" spans="3:21" hidden="1">
      <c r="C533" s="1476" t="e">
        <f>IF(D533="","",MAX(C$7:C532)+1)</f>
        <v>#N/A</v>
      </c>
      <c r="D533" s="1986" t="e">
        <v>#N/A</v>
      </c>
      <c r="E533" s="1547">
        <v>0</v>
      </c>
      <c r="F533" s="1548" t="e">
        <f>INDEX(Dashboard!$F$12:$S$12,1,MATCH($D533,Dashboard!$F$11:$S$11,0))</f>
        <v>#N/A</v>
      </c>
      <c r="G533" s="1502"/>
      <c r="H533" s="1490"/>
      <c r="I533" s="1502"/>
      <c r="J533" s="1502"/>
      <c r="K533" s="1502"/>
      <c r="L533" s="1502"/>
      <c r="M533" s="1502"/>
      <c r="N533" s="1502"/>
      <c r="O533" s="1502"/>
      <c r="P533" s="1502"/>
      <c r="Q533" s="1502"/>
      <c r="R533" s="1502"/>
      <c r="S533" s="1502"/>
      <c r="T533" s="1502"/>
      <c r="U533" s="1502"/>
    </row>
    <row r="534" spans="3:21" ht="16.5" hidden="1" thickBot="1">
      <c r="C534" s="1476" t="e">
        <f>IF(D534="","",MAX(C$7:C533)+1)</f>
        <v>#N/A</v>
      </c>
      <c r="D534" s="1986" t="e">
        <v>#N/A</v>
      </c>
      <c r="E534" s="1549">
        <v>0</v>
      </c>
      <c r="F534" s="1550" t="e">
        <f>INDEX(Dashboard!$F$12:$S$12,1,MATCH($D534,Dashboard!$F$11:$S$11,0))</f>
        <v>#N/A</v>
      </c>
      <c r="G534" s="1502"/>
      <c r="H534" s="1490"/>
      <c r="I534" s="1502"/>
      <c r="J534" s="1502"/>
      <c r="K534" s="1502"/>
      <c r="L534" s="1502"/>
      <c r="M534" s="1502"/>
      <c r="N534" s="1502"/>
      <c r="O534" s="1502"/>
      <c r="P534" s="1502"/>
      <c r="Q534" s="1502"/>
      <c r="R534" s="1502"/>
      <c r="S534" s="1502"/>
      <c r="T534" s="1502"/>
      <c r="U534" s="1502"/>
    </row>
    <row r="535" spans="3:21">
      <c r="C535" s="1476" t="str">
        <f>IF(D535="","",MAX(C$7:C534)+1)</f>
        <v/>
      </c>
      <c r="D535" s="1468"/>
      <c r="E535" s="1468"/>
      <c r="F535" s="1468"/>
      <c r="G535" s="1987"/>
      <c r="H535" s="1987"/>
      <c r="I535" s="1502"/>
      <c r="J535" s="1502"/>
      <c r="K535" s="1502"/>
      <c r="L535" s="1502"/>
      <c r="M535" s="1502"/>
      <c r="N535" s="1502"/>
      <c r="O535" s="1502"/>
      <c r="P535" s="1502"/>
      <c r="Q535" s="1502"/>
      <c r="R535" s="1502"/>
      <c r="S535" s="1502"/>
      <c r="T535" s="1502"/>
      <c r="U535" s="1502"/>
    </row>
    <row r="536" spans="3:21">
      <c r="C536" s="1476" t="e">
        <f>IF(D536="","",MAX(C$7:C535)+1)</f>
        <v>#N/A</v>
      </c>
      <c r="D536" s="1468" t="s">
        <v>1047</v>
      </c>
      <c r="E536" s="1468"/>
      <c r="F536" s="1468"/>
      <c r="G536" s="1504">
        <f t="shared" ref="G536:U536" si="280">SUM(G518:G535)</f>
        <v>0</v>
      </c>
      <c r="H536" s="1504">
        <f t="shared" si="280"/>
        <v>0</v>
      </c>
      <c r="I536" s="1504">
        <f t="shared" si="280"/>
        <v>0</v>
      </c>
      <c r="J536" s="1504">
        <f t="shared" si="280"/>
        <v>3425200</v>
      </c>
      <c r="K536" s="1504">
        <f t="shared" si="280"/>
        <v>7186700</v>
      </c>
      <c r="L536" s="1504">
        <f t="shared" si="280"/>
        <v>11577600</v>
      </c>
      <c r="M536" s="1504">
        <f t="shared" si="280"/>
        <v>16405600</v>
      </c>
      <c r="N536" s="1504">
        <f t="shared" si="280"/>
        <v>22034100</v>
      </c>
      <c r="O536" s="1504">
        <f t="shared" si="280"/>
        <v>27841700</v>
      </c>
      <c r="P536" s="1504">
        <f t="shared" si="280"/>
        <v>33850300</v>
      </c>
      <c r="Q536" s="1504">
        <f t="shared" si="280"/>
        <v>40075600</v>
      </c>
      <c r="R536" s="1504">
        <f t="shared" si="280"/>
        <v>46847400</v>
      </c>
      <c r="S536" s="1504">
        <f t="shared" si="280"/>
        <v>54190800</v>
      </c>
      <c r="T536" s="1504">
        <f t="shared" si="280"/>
        <v>55333900</v>
      </c>
      <c r="U536" s="1504">
        <f t="shared" si="280"/>
        <v>56510200</v>
      </c>
    </row>
    <row r="537" spans="3:21">
      <c r="C537" s="1476" t="e">
        <f>IF(D537="","",MAX(C$7:C536)+1)</f>
        <v>#N/A</v>
      </c>
      <c r="D537" s="1468" t="s">
        <v>2772</v>
      </c>
      <c r="E537" s="1"/>
      <c r="F537" s="1"/>
      <c r="G537" s="1"/>
      <c r="H537" s="1"/>
      <c r="J537" s="424">
        <f>J536-J519</f>
        <v>0</v>
      </c>
      <c r="K537" s="424">
        <f>K536-K520</f>
        <v>3557800</v>
      </c>
      <c r="L537" s="424">
        <f>L536-L521</f>
        <v>7641700</v>
      </c>
      <c r="M537" s="424">
        <f>M536-M522</f>
        <v>12181600</v>
      </c>
      <c r="N537" s="424">
        <f>N536-N523</f>
        <v>17451000</v>
      </c>
      <c r="O537" s="424">
        <f>O536-O524</f>
        <v>22968700</v>
      </c>
      <c r="P537" s="424">
        <f>P536-P525</f>
        <v>28722600</v>
      </c>
      <c r="Q537" s="424">
        <f>Q536-Q526</f>
        <v>34712200</v>
      </c>
      <c r="R537" s="424">
        <f>R536-R527</f>
        <v>41220400</v>
      </c>
      <c r="S537" s="424">
        <f>S536-S528</f>
        <v>48276200</v>
      </c>
      <c r="T537" s="424">
        <f>T536-T529</f>
        <v>55333900</v>
      </c>
      <c r="U537" s="424">
        <f>U536-U530</f>
        <v>56510200</v>
      </c>
    </row>
  </sheetData>
  <mergeCells count="22">
    <mergeCell ref="G6:U6"/>
    <mergeCell ref="D113:F113"/>
    <mergeCell ref="D138:F138"/>
    <mergeCell ref="D163:F163"/>
    <mergeCell ref="D238:F238"/>
    <mergeCell ref="G27:U27"/>
    <mergeCell ref="G90:U90"/>
    <mergeCell ref="G69:U69"/>
    <mergeCell ref="G48:U48"/>
    <mergeCell ref="D188:F188"/>
    <mergeCell ref="D338:F338"/>
    <mergeCell ref="D388:F388"/>
    <mergeCell ref="D463:F463"/>
    <mergeCell ref="D313:F313"/>
    <mergeCell ref="D213:F213"/>
    <mergeCell ref="D263:F263"/>
    <mergeCell ref="D288:F288"/>
    <mergeCell ref="D514:F514"/>
    <mergeCell ref="D363:F363"/>
    <mergeCell ref="D413:F413"/>
    <mergeCell ref="D438:F438"/>
    <mergeCell ref="D488:F488"/>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57"/>
  <sheetViews>
    <sheetView zoomScale="90" zoomScaleNormal="90" workbookViewId="0">
      <pane xSplit="3" ySplit="2" topLeftCell="D3" activePane="bottomRight" state="frozen"/>
      <selection activeCell="A8" sqref="A8:N8"/>
      <selection pane="topRight" activeCell="A8" sqref="A8:N8"/>
      <selection pane="bottomLeft" activeCell="A8" sqref="A8:N8"/>
      <selection pane="bottomRight" activeCell="D16" sqref="D16"/>
    </sheetView>
  </sheetViews>
  <sheetFormatPr defaultRowHeight="15.75"/>
  <cols>
    <col min="1" max="1" width="22.5" style="196" customWidth="1"/>
    <col min="2" max="2" width="2.5" style="20" customWidth="1"/>
    <col min="3" max="3" width="2.875" bestFit="1" customWidth="1"/>
    <col min="4" max="4" width="52.75" bestFit="1" customWidth="1"/>
    <col min="5" max="5" width="88.375" style="1824" customWidth="1"/>
  </cols>
  <sheetData>
    <row r="1" spans="1:5">
      <c r="A1" s="411"/>
    </row>
    <row r="2" spans="1:5">
      <c r="A2" s="411"/>
      <c r="C2" s="1554" t="s">
        <v>3087</v>
      </c>
      <c r="D2" s="1554" t="s">
        <v>3086</v>
      </c>
      <c r="E2" s="2638" t="s">
        <v>399</v>
      </c>
    </row>
    <row r="3" spans="1:5" ht="31.5">
      <c r="A3" s="411"/>
      <c r="C3" s="2789">
        <v>1</v>
      </c>
      <c r="D3" s="2790" t="s">
        <v>3107</v>
      </c>
      <c r="E3" s="2791" t="s">
        <v>3108</v>
      </c>
    </row>
    <row r="4" spans="1:5" ht="31.5">
      <c r="A4" s="411"/>
      <c r="C4" s="2789">
        <f>C3+1</f>
        <v>2</v>
      </c>
      <c r="D4" s="2790" t="s">
        <v>3071</v>
      </c>
      <c r="E4" s="2791" t="s">
        <v>3035</v>
      </c>
    </row>
    <row r="5" spans="1:5" ht="78.75">
      <c r="A5" s="411"/>
      <c r="C5" s="2789">
        <f t="shared" ref="C5:C45" si="0">C4+1</f>
        <v>3</v>
      </c>
      <c r="D5" s="2790" t="s">
        <v>3072</v>
      </c>
      <c r="E5" s="2791" t="s">
        <v>3109</v>
      </c>
    </row>
    <row r="6" spans="1:5" ht="31.5">
      <c r="A6" s="411"/>
      <c r="C6" s="2789">
        <f t="shared" si="0"/>
        <v>4</v>
      </c>
      <c r="D6" s="2790" t="s">
        <v>3073</v>
      </c>
      <c r="E6" s="2791" t="s">
        <v>3110</v>
      </c>
    </row>
    <row r="7" spans="1:5" ht="31.5">
      <c r="A7" s="411"/>
      <c r="C7" s="2789">
        <f t="shared" si="0"/>
        <v>5</v>
      </c>
      <c r="D7" s="2790" t="s">
        <v>3074</v>
      </c>
      <c r="E7" s="2791" t="s">
        <v>3111</v>
      </c>
    </row>
    <row r="8" spans="1:5" ht="31.5">
      <c r="A8" s="411"/>
      <c r="C8" s="2789">
        <f t="shared" si="0"/>
        <v>6</v>
      </c>
      <c r="D8" s="2790" t="s">
        <v>3075</v>
      </c>
      <c r="E8" s="2791" t="s">
        <v>3036</v>
      </c>
    </row>
    <row r="9" spans="1:5" ht="31.5">
      <c r="A9" s="411"/>
      <c r="C9" s="2789">
        <f t="shared" si="0"/>
        <v>7</v>
      </c>
      <c r="D9" s="2790" t="s">
        <v>3076</v>
      </c>
      <c r="E9" s="2791" t="s">
        <v>3037</v>
      </c>
    </row>
    <row r="10" spans="1:5" ht="47.25">
      <c r="A10" s="411"/>
      <c r="C10" s="2789">
        <f t="shared" si="0"/>
        <v>8</v>
      </c>
      <c r="D10" s="2790" t="s">
        <v>191</v>
      </c>
      <c r="E10" s="2832" t="s">
        <v>3185</v>
      </c>
    </row>
    <row r="11" spans="1:5">
      <c r="A11" s="411"/>
      <c r="C11" s="2789">
        <f t="shared" si="0"/>
        <v>9</v>
      </c>
      <c r="D11" s="2790" t="s">
        <v>605</v>
      </c>
      <c r="E11" s="2791" t="s">
        <v>3038</v>
      </c>
    </row>
    <row r="12" spans="1:5" ht="31.5">
      <c r="A12" s="411"/>
      <c r="C12" s="2789">
        <f t="shared" si="0"/>
        <v>10</v>
      </c>
      <c r="D12" s="2790" t="s">
        <v>3077</v>
      </c>
      <c r="E12" s="2791" t="s">
        <v>3039</v>
      </c>
    </row>
    <row r="13" spans="1:5" ht="31.5">
      <c r="A13" s="411"/>
      <c r="C13" s="2789">
        <f t="shared" si="0"/>
        <v>11</v>
      </c>
      <c r="D13" s="2790" t="s">
        <v>486</v>
      </c>
      <c r="E13" s="2791" t="s">
        <v>3040</v>
      </c>
    </row>
    <row r="14" spans="1:5" ht="63">
      <c r="A14" s="411"/>
      <c r="C14" s="2789">
        <f t="shared" si="0"/>
        <v>12</v>
      </c>
      <c r="D14" s="2790" t="s">
        <v>2994</v>
      </c>
      <c r="E14" s="2791" t="s">
        <v>3041</v>
      </c>
    </row>
    <row r="15" spans="1:5" ht="31.5">
      <c r="A15" s="411"/>
      <c r="C15" s="2789">
        <f t="shared" si="0"/>
        <v>13</v>
      </c>
      <c r="D15" s="2790" t="s">
        <v>2</v>
      </c>
      <c r="E15" s="2791" t="s">
        <v>3042</v>
      </c>
    </row>
    <row r="16" spans="1:5" ht="31.5">
      <c r="A16" s="411"/>
      <c r="C16" s="2789">
        <f t="shared" si="0"/>
        <v>14</v>
      </c>
      <c r="D16" s="2790" t="s">
        <v>2764</v>
      </c>
      <c r="E16" s="2791" t="s">
        <v>3043</v>
      </c>
    </row>
    <row r="17" spans="1:5" ht="63">
      <c r="A17" s="411"/>
      <c r="C17" s="2789">
        <f t="shared" si="0"/>
        <v>15</v>
      </c>
      <c r="D17" s="2790" t="s">
        <v>0</v>
      </c>
      <c r="E17" s="2791" t="s">
        <v>3044</v>
      </c>
    </row>
    <row r="18" spans="1:5" ht="63">
      <c r="A18" s="411"/>
      <c r="C18" s="2789">
        <f t="shared" si="0"/>
        <v>16</v>
      </c>
      <c r="D18" s="2790" t="s">
        <v>1</v>
      </c>
      <c r="E18" s="2791" t="s">
        <v>3045</v>
      </c>
    </row>
    <row r="19" spans="1:5">
      <c r="A19" s="411"/>
      <c r="C19" s="2789">
        <f t="shared" si="0"/>
        <v>17</v>
      </c>
      <c r="D19" s="2790" t="s">
        <v>171</v>
      </c>
      <c r="E19" s="2791" t="s">
        <v>3046</v>
      </c>
    </row>
    <row r="20" spans="1:5" ht="31.5">
      <c r="A20" s="411"/>
      <c r="C20" s="2789">
        <f t="shared" si="0"/>
        <v>18</v>
      </c>
      <c r="D20" s="2790" t="s">
        <v>172</v>
      </c>
      <c r="E20" s="2791" t="s">
        <v>3047</v>
      </c>
    </row>
    <row r="21" spans="1:5" ht="31.5">
      <c r="A21" s="411"/>
      <c r="C21" s="2789">
        <f t="shared" si="0"/>
        <v>19</v>
      </c>
      <c r="D21" s="2790" t="s">
        <v>468</v>
      </c>
      <c r="E21" s="2791" t="s">
        <v>3048</v>
      </c>
    </row>
    <row r="22" spans="1:5" ht="31.5">
      <c r="A22" s="411"/>
      <c r="C22" s="2789">
        <f t="shared" si="0"/>
        <v>20</v>
      </c>
      <c r="D22" s="2790" t="s">
        <v>977</v>
      </c>
      <c r="E22" s="2791" t="s">
        <v>3049</v>
      </c>
    </row>
    <row r="23" spans="1:5" ht="63">
      <c r="A23" s="411"/>
      <c r="C23" s="2789">
        <f t="shared" si="0"/>
        <v>21</v>
      </c>
      <c r="D23" s="2790" t="s">
        <v>485</v>
      </c>
      <c r="E23" s="2791" t="s">
        <v>3085</v>
      </c>
    </row>
    <row r="24" spans="1:5">
      <c r="A24" s="411"/>
      <c r="C24" s="2789">
        <f t="shared" si="0"/>
        <v>22</v>
      </c>
      <c r="D24" s="2790" t="s">
        <v>263</v>
      </c>
      <c r="E24" s="2792" t="s">
        <v>3050</v>
      </c>
    </row>
    <row r="25" spans="1:5" ht="31.5">
      <c r="A25" s="411"/>
      <c r="C25" s="2789">
        <f t="shared" si="0"/>
        <v>23</v>
      </c>
      <c r="D25" s="2790" t="s">
        <v>2769</v>
      </c>
      <c r="E25" s="2791" t="s">
        <v>3051</v>
      </c>
    </row>
    <row r="26" spans="1:5">
      <c r="A26" s="411"/>
      <c r="C26" s="2789">
        <f t="shared" si="0"/>
        <v>24</v>
      </c>
      <c r="D26" s="2790" t="s">
        <v>3078</v>
      </c>
      <c r="E26" s="2791" t="s">
        <v>3052</v>
      </c>
    </row>
    <row r="27" spans="1:5">
      <c r="A27" s="411"/>
      <c r="C27" s="2789">
        <f t="shared" si="0"/>
        <v>25</v>
      </c>
      <c r="D27" s="2790" t="s">
        <v>3079</v>
      </c>
      <c r="E27" s="2832" t="s">
        <v>3186</v>
      </c>
    </row>
    <row r="28" spans="1:5" ht="31.5">
      <c r="A28" s="411"/>
      <c r="C28" s="2789">
        <f t="shared" si="0"/>
        <v>26</v>
      </c>
      <c r="D28" s="2790" t="s">
        <v>848</v>
      </c>
      <c r="E28" s="2791" t="s">
        <v>3053</v>
      </c>
    </row>
    <row r="29" spans="1:5" ht="31.5">
      <c r="A29" s="411"/>
      <c r="C29" s="2789">
        <f t="shared" si="0"/>
        <v>27</v>
      </c>
      <c r="D29" s="2790" t="s">
        <v>3080</v>
      </c>
      <c r="E29" s="2791" t="s">
        <v>3054</v>
      </c>
    </row>
    <row r="30" spans="1:5" ht="31.5">
      <c r="A30" s="411"/>
      <c r="C30" s="2789">
        <f t="shared" si="0"/>
        <v>28</v>
      </c>
      <c r="D30" s="2790" t="s">
        <v>3081</v>
      </c>
      <c r="E30" s="2791" t="s">
        <v>3055</v>
      </c>
    </row>
    <row r="31" spans="1:5" ht="31.5">
      <c r="A31" s="411"/>
      <c r="C31" s="2789">
        <f t="shared" si="0"/>
        <v>29</v>
      </c>
      <c r="D31" s="2790" t="s">
        <v>697</v>
      </c>
      <c r="E31" s="2791" t="s">
        <v>3056</v>
      </c>
    </row>
    <row r="32" spans="1:5" ht="31.5">
      <c r="A32" s="411"/>
      <c r="C32" s="2789">
        <f t="shared" si="0"/>
        <v>30</v>
      </c>
      <c r="D32" s="2790" t="s">
        <v>2725</v>
      </c>
      <c r="E32" s="2791" t="s">
        <v>3057</v>
      </c>
    </row>
    <row r="33" spans="1:5" ht="31.5">
      <c r="A33" s="411"/>
      <c r="C33" s="2789">
        <f t="shared" si="0"/>
        <v>31</v>
      </c>
      <c r="D33" s="2790" t="s">
        <v>192</v>
      </c>
      <c r="E33" s="2791" t="s">
        <v>3058</v>
      </c>
    </row>
    <row r="34" spans="1:5" ht="31.5">
      <c r="A34" s="411"/>
      <c r="C34" s="2789">
        <f t="shared" si="0"/>
        <v>32</v>
      </c>
      <c r="D34" s="2790" t="s">
        <v>193</v>
      </c>
      <c r="E34" s="2791" t="s">
        <v>3059</v>
      </c>
    </row>
    <row r="35" spans="1:5" ht="31.5">
      <c r="A35" s="411"/>
      <c r="C35" s="2789">
        <f t="shared" si="0"/>
        <v>33</v>
      </c>
      <c r="D35" s="2790" t="s">
        <v>3082</v>
      </c>
      <c r="E35" s="2791" t="s">
        <v>3060</v>
      </c>
    </row>
    <row r="36" spans="1:5" ht="31.5">
      <c r="A36" s="411"/>
      <c r="C36" s="2789">
        <f t="shared" si="0"/>
        <v>34</v>
      </c>
      <c r="D36" s="2790" t="s">
        <v>3083</v>
      </c>
      <c r="E36" s="2791" t="s">
        <v>3061</v>
      </c>
    </row>
    <row r="37" spans="1:5" ht="31.5">
      <c r="A37" s="411"/>
      <c r="C37" s="2789">
        <f t="shared" si="0"/>
        <v>35</v>
      </c>
      <c r="D37" s="2790" t="s">
        <v>3187</v>
      </c>
      <c r="E37" s="2791" t="s">
        <v>3062</v>
      </c>
    </row>
    <row r="38" spans="1:5" ht="31.5">
      <c r="A38" s="411"/>
      <c r="C38" s="2789">
        <f t="shared" si="0"/>
        <v>36</v>
      </c>
      <c r="D38" s="2790" t="s">
        <v>378</v>
      </c>
      <c r="E38" s="2791" t="s">
        <v>3063</v>
      </c>
    </row>
    <row r="39" spans="1:5" ht="31.5">
      <c r="A39" s="411"/>
      <c r="C39" s="2789">
        <f t="shared" si="0"/>
        <v>37</v>
      </c>
      <c r="D39" s="2790" t="s">
        <v>484</v>
      </c>
      <c r="E39" s="2791" t="s">
        <v>3064</v>
      </c>
    </row>
    <row r="40" spans="1:5" ht="31.5">
      <c r="A40" s="411"/>
      <c r="C40" s="2789">
        <f t="shared" si="0"/>
        <v>38</v>
      </c>
      <c r="D40" s="2790" t="s">
        <v>489</v>
      </c>
      <c r="E40" s="2791" t="s">
        <v>3065</v>
      </c>
    </row>
    <row r="41" spans="1:5" ht="31.5">
      <c r="A41" s="411"/>
      <c r="C41" s="2789">
        <f t="shared" si="0"/>
        <v>39</v>
      </c>
      <c r="D41" s="2790" t="s">
        <v>1060</v>
      </c>
      <c r="E41" s="2791" t="s">
        <v>3066</v>
      </c>
    </row>
    <row r="42" spans="1:5" ht="31.5">
      <c r="A42" s="411"/>
      <c r="C42" s="2789">
        <f t="shared" si="0"/>
        <v>40</v>
      </c>
      <c r="D42" s="2790" t="s">
        <v>389</v>
      </c>
      <c r="E42" s="2791" t="s">
        <v>3067</v>
      </c>
    </row>
    <row r="43" spans="1:5" ht="31.5">
      <c r="A43" s="411"/>
      <c r="C43" s="2789">
        <f t="shared" si="0"/>
        <v>41</v>
      </c>
      <c r="D43" s="2790" t="s">
        <v>2990</v>
      </c>
      <c r="E43" s="2791" t="s">
        <v>3068</v>
      </c>
    </row>
    <row r="44" spans="1:5" ht="31.5">
      <c r="A44" s="411"/>
      <c r="C44" s="2789">
        <f t="shared" si="0"/>
        <v>42</v>
      </c>
      <c r="D44" s="2790" t="s">
        <v>2991</v>
      </c>
      <c r="E44" s="2791" t="s">
        <v>3069</v>
      </c>
    </row>
    <row r="45" spans="1:5" ht="31.5">
      <c r="A45" s="411"/>
      <c r="C45" s="2789">
        <f t="shared" si="0"/>
        <v>43</v>
      </c>
      <c r="D45" s="2790" t="s">
        <v>3084</v>
      </c>
      <c r="E45" s="2791" t="s">
        <v>3070</v>
      </c>
    </row>
    <row r="46" spans="1:5">
      <c r="A46" s="411"/>
      <c r="D46" s="2637"/>
    </row>
    <row r="47" spans="1:5">
      <c r="A47" s="411"/>
    </row>
    <row r="48" spans="1:5">
      <c r="A48" s="411"/>
    </row>
    <row r="49" spans="1:1">
      <c r="A49" s="411"/>
    </row>
    <row r="50" spans="1:1">
      <c r="A50" s="411"/>
    </row>
    <row r="51" spans="1:1">
      <c r="A51" s="411"/>
    </row>
    <row r="52" spans="1:1">
      <c r="A52" s="411"/>
    </row>
    <row r="53" spans="1:1">
      <c r="A53" s="411"/>
    </row>
    <row r="54" spans="1:1">
      <c r="A54" s="411"/>
    </row>
    <row r="55" spans="1:1">
      <c r="A55" s="411"/>
    </row>
    <row r="56" spans="1:1">
      <c r="A56" s="411"/>
    </row>
    <row r="57" spans="1:1">
      <c r="A57" s="411"/>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B288"/>
  <sheetViews>
    <sheetView showGridLines="0" zoomScale="89" zoomScaleNormal="89" workbookViewId="0">
      <pane xSplit="1" ySplit="8" topLeftCell="B9" activePane="bottomRight" state="frozen"/>
      <selection activeCell="G45" sqref="G45"/>
      <selection pane="topRight" activeCell="G45" sqref="G45"/>
      <selection pane="bottomLeft" activeCell="G45" sqref="G45"/>
      <selection pane="bottomRight" activeCell="G45" sqref="G45"/>
    </sheetView>
  </sheetViews>
  <sheetFormatPr defaultColWidth="0" defaultRowHeight="15.75" zeroHeight="1"/>
  <cols>
    <col min="1" max="1" width="22.625" customWidth="1"/>
    <col min="2" max="2" width="2" style="1" customWidth="1"/>
    <col min="3" max="3" width="9" customWidth="1"/>
    <col min="4" max="4" width="0.375" customWidth="1"/>
    <col min="5" max="5" width="30.75" customWidth="1"/>
    <col min="6" max="6" width="0.375" customWidth="1"/>
    <col min="7" max="7" width="155.125" customWidth="1"/>
    <col min="8" max="8" width="1.75" customWidth="1"/>
  </cols>
  <sheetData>
    <row r="1" spans="1:8" ht="22.5">
      <c r="A1" s="411"/>
      <c r="C1" s="430" t="s">
        <v>391</v>
      </c>
      <c r="D1" s="430"/>
      <c r="E1" s="109"/>
      <c r="F1" s="109"/>
      <c r="G1" s="430"/>
      <c r="H1" s="53"/>
    </row>
    <row r="2" spans="1:8" ht="22.5">
      <c r="A2" s="411"/>
      <c r="C2" s="430" t="s">
        <v>717</v>
      </c>
      <c r="D2" s="430"/>
      <c r="E2" s="109"/>
      <c r="F2" s="109"/>
      <c r="G2" s="430"/>
      <c r="H2" s="53"/>
    </row>
    <row r="3" spans="1:8" ht="22.5">
      <c r="A3" s="411"/>
      <c r="C3" s="430" t="s">
        <v>371</v>
      </c>
      <c r="D3" s="430"/>
      <c r="E3" s="109"/>
      <c r="F3" s="109"/>
      <c r="G3" s="430"/>
      <c r="H3" s="53"/>
    </row>
    <row r="4" spans="1:8" ht="15.75" customHeight="1">
      <c r="A4" s="411"/>
      <c r="C4" s="7"/>
      <c r="G4" s="50"/>
    </row>
    <row r="5" spans="1:8">
      <c r="A5" s="411"/>
    </row>
    <row r="6" spans="1:8">
      <c r="A6" s="411"/>
      <c r="H6" s="20"/>
    </row>
    <row r="7" spans="1:8">
      <c r="A7" s="411"/>
      <c r="C7" s="431" t="s">
        <v>867</v>
      </c>
      <c r="D7" s="86"/>
      <c r="E7" s="431" t="s">
        <v>201</v>
      </c>
      <c r="F7" s="86"/>
      <c r="G7" s="4341" t="s">
        <v>399</v>
      </c>
      <c r="H7" s="20"/>
    </row>
    <row r="8" spans="1:8">
      <c r="A8" s="411"/>
      <c r="C8" s="432" t="s">
        <v>398</v>
      </c>
      <c r="D8" s="86"/>
      <c r="E8" s="432" t="s">
        <v>202</v>
      </c>
      <c r="F8" s="86"/>
      <c r="G8" s="4342"/>
      <c r="H8" s="20"/>
    </row>
    <row r="9" spans="1:8">
      <c r="A9" s="411"/>
      <c r="C9" s="65"/>
      <c r="D9" s="51"/>
      <c r="E9" s="65"/>
      <c r="F9" s="51"/>
      <c r="G9" s="102"/>
      <c r="H9" s="20"/>
    </row>
    <row r="10" spans="1:8">
      <c r="A10" s="411"/>
      <c r="C10" s="54"/>
      <c r="D10" s="51"/>
      <c r="E10" s="58" t="s">
        <v>467</v>
      </c>
      <c r="F10" s="51"/>
      <c r="G10" s="51"/>
    </row>
    <row r="11" spans="1:8">
      <c r="A11" s="411"/>
      <c r="C11" s="54">
        <f>MAX($C$9:C10)+1</f>
        <v>1</v>
      </c>
      <c r="D11" s="51"/>
      <c r="E11" s="107" t="s">
        <v>622</v>
      </c>
      <c r="F11" s="51"/>
      <c r="G11" s="51" t="s">
        <v>627</v>
      </c>
    </row>
    <row r="12" spans="1:8">
      <c r="A12" s="411"/>
      <c r="C12" s="54">
        <f>MAX($C$9:C11)+1</f>
        <v>2</v>
      </c>
      <c r="D12" s="51"/>
      <c r="E12" s="107" t="s">
        <v>623</v>
      </c>
      <c r="F12" s="51"/>
      <c r="G12" s="51" t="s">
        <v>628</v>
      </c>
    </row>
    <row r="13" spans="1:8">
      <c r="A13" s="411"/>
      <c r="C13" s="54">
        <f>MAX($C$9:C12)+1</f>
        <v>3</v>
      </c>
      <c r="D13" s="51"/>
      <c r="E13" s="107" t="s">
        <v>531</v>
      </c>
      <c r="F13" s="51"/>
      <c r="G13" s="51" t="s">
        <v>544</v>
      </c>
    </row>
    <row r="14" spans="1:8">
      <c r="A14" s="411"/>
      <c r="C14" s="54">
        <f>MAX($C$9:C13)+1</f>
        <v>4</v>
      </c>
      <c r="D14" s="51"/>
      <c r="E14" s="107" t="s">
        <v>624</v>
      </c>
      <c r="F14" s="51"/>
      <c r="G14" s="51" t="s">
        <v>629</v>
      </c>
    </row>
    <row r="15" spans="1:8">
      <c r="A15" s="411"/>
      <c r="C15" s="54">
        <f>MAX($C$9:C14)+1</f>
        <v>5</v>
      </c>
      <c r="D15" s="51"/>
      <c r="E15" s="107" t="s">
        <v>625</v>
      </c>
      <c r="F15" s="51"/>
      <c r="G15" s="51" t="s">
        <v>630</v>
      </c>
    </row>
    <row r="16" spans="1:8">
      <c r="A16" s="411"/>
      <c r="C16" s="54">
        <f>MAX($C$9:C15)+1</f>
        <v>6</v>
      </c>
      <c r="D16" s="51"/>
      <c r="E16" s="107" t="s">
        <v>530</v>
      </c>
      <c r="F16" s="51"/>
      <c r="G16" s="51" t="s">
        <v>631</v>
      </c>
    </row>
    <row r="17" spans="1:7">
      <c r="A17" s="411"/>
      <c r="C17" s="54">
        <f>MAX($C$9:C16)+1</f>
        <v>7</v>
      </c>
      <c r="D17" s="51"/>
      <c r="E17" s="107" t="s">
        <v>626</v>
      </c>
      <c r="F17" s="51"/>
      <c r="G17" s="51" t="s">
        <v>632</v>
      </c>
    </row>
    <row r="18" spans="1:7">
      <c r="A18" s="411"/>
      <c r="C18" s="54">
        <f>MAX($C$9:C17)+1</f>
        <v>8</v>
      </c>
      <c r="D18" s="51"/>
      <c r="E18" s="107" t="s">
        <v>634</v>
      </c>
      <c r="F18" s="51"/>
      <c r="G18" s="51" t="s">
        <v>633</v>
      </c>
    </row>
    <row r="19" spans="1:7">
      <c r="A19" s="411"/>
      <c r="C19" s="54">
        <f>MAX($C$9:C18)+1</f>
        <v>9</v>
      </c>
      <c r="D19" s="51"/>
      <c r="E19" s="107" t="s">
        <v>532</v>
      </c>
      <c r="F19" s="51"/>
      <c r="G19" s="51" t="s">
        <v>533</v>
      </c>
    </row>
    <row r="20" spans="1:7">
      <c r="A20" s="411"/>
      <c r="C20" s="54">
        <f>MAX($C$9:C19)+1</f>
        <v>10</v>
      </c>
      <c r="D20" s="51"/>
      <c r="E20" s="107" t="s">
        <v>534</v>
      </c>
      <c r="F20" s="51"/>
      <c r="G20" s="51" t="s">
        <v>535</v>
      </c>
    </row>
    <row r="21" spans="1:7">
      <c r="A21" s="411"/>
      <c r="C21" s="54">
        <f>MAX($C$9:C20)+1</f>
        <v>11</v>
      </c>
      <c r="D21" s="51"/>
      <c r="E21" s="107" t="s">
        <v>643</v>
      </c>
      <c r="F21" s="51"/>
      <c r="G21" s="51" t="s">
        <v>545</v>
      </c>
    </row>
    <row r="22" spans="1:7">
      <c r="A22" s="411"/>
      <c r="C22" s="54">
        <f>MAX($C$9:C21)+1</f>
        <v>12</v>
      </c>
      <c r="D22" s="51"/>
      <c r="E22" s="107" t="s">
        <v>644</v>
      </c>
      <c r="F22" s="51"/>
      <c r="G22" s="51" t="s">
        <v>546</v>
      </c>
    </row>
    <row r="23" spans="1:7">
      <c r="A23" s="411"/>
      <c r="C23" s="54">
        <f>MAX($C$9:C22)+1</f>
        <v>13</v>
      </c>
      <c r="D23" s="51"/>
      <c r="E23" s="107" t="s">
        <v>536</v>
      </c>
      <c r="F23" s="51"/>
      <c r="G23" s="51" t="s">
        <v>547</v>
      </c>
    </row>
    <row r="24" spans="1:7">
      <c r="A24" s="411"/>
      <c r="C24" s="54">
        <f>MAX($C$9:C23)+1</f>
        <v>14</v>
      </c>
      <c r="D24" s="51"/>
      <c r="E24" s="107" t="s">
        <v>645</v>
      </c>
      <c r="F24" s="51"/>
      <c r="G24" s="51" t="s">
        <v>548</v>
      </c>
    </row>
    <row r="25" spans="1:7">
      <c r="A25" s="411"/>
      <c r="C25" s="54">
        <f>MAX($C$9:C24)+1</f>
        <v>15</v>
      </c>
      <c r="D25" s="51"/>
      <c r="E25" s="107" t="s">
        <v>646</v>
      </c>
      <c r="F25" s="51"/>
      <c r="G25" s="51" t="s">
        <v>549</v>
      </c>
    </row>
    <row r="26" spans="1:7">
      <c r="A26" s="411"/>
      <c r="C26" s="54">
        <f>MAX($C$9:C25)+1</f>
        <v>16</v>
      </c>
      <c r="D26" s="51"/>
      <c r="E26" s="107" t="s">
        <v>537</v>
      </c>
      <c r="F26" s="51"/>
      <c r="G26" s="51" t="s">
        <v>354</v>
      </c>
    </row>
    <row r="27" spans="1:7">
      <c r="A27" s="411"/>
      <c r="C27" s="54">
        <f>MAX($C$9:C26)+1</f>
        <v>17</v>
      </c>
      <c r="D27" s="51"/>
      <c r="E27" s="107" t="s">
        <v>718</v>
      </c>
      <c r="F27" s="51"/>
      <c r="G27" s="51" t="s">
        <v>541</v>
      </c>
    </row>
    <row r="28" spans="1:7">
      <c r="A28" s="411"/>
      <c r="C28" s="54">
        <f>MAX($C$9:C27)+1</f>
        <v>18</v>
      </c>
      <c r="D28" s="51"/>
      <c r="E28" s="107" t="s">
        <v>538</v>
      </c>
      <c r="F28" s="51"/>
      <c r="G28" s="51" t="s">
        <v>353</v>
      </c>
    </row>
    <row r="29" spans="1:7">
      <c r="A29" s="411"/>
      <c r="C29" s="54">
        <f>MAX($C$9:C28)+1</f>
        <v>19</v>
      </c>
      <c r="D29" s="51"/>
      <c r="E29" s="107" t="s">
        <v>539</v>
      </c>
      <c r="F29" s="51"/>
      <c r="G29" s="51" t="s">
        <v>359</v>
      </c>
    </row>
    <row r="30" spans="1:7">
      <c r="A30" s="411"/>
      <c r="C30" s="54">
        <f>MAX($C$9:C29)+1</f>
        <v>20</v>
      </c>
      <c r="D30" s="51"/>
      <c r="E30" s="107" t="s">
        <v>374</v>
      </c>
      <c r="F30" s="51"/>
      <c r="G30" s="51" t="s">
        <v>588</v>
      </c>
    </row>
    <row r="31" spans="1:7">
      <c r="A31" s="411"/>
      <c r="C31" s="51"/>
      <c r="D31" s="51"/>
      <c r="E31" s="51"/>
      <c r="F31" s="51"/>
      <c r="G31" s="51"/>
    </row>
    <row r="32" spans="1:7">
      <c r="A32" s="411"/>
      <c r="C32" s="51"/>
      <c r="D32" s="51"/>
      <c r="E32" s="51"/>
      <c r="F32" s="51"/>
      <c r="G32" s="51"/>
    </row>
    <row r="33" spans="1:7">
      <c r="A33" s="411"/>
      <c r="C33" s="51"/>
      <c r="D33" s="51"/>
      <c r="E33" s="51"/>
      <c r="F33" s="51"/>
      <c r="G33" s="51"/>
    </row>
    <row r="34" spans="1:7">
      <c r="A34" s="411"/>
      <c r="C34" s="51"/>
      <c r="D34" s="51"/>
      <c r="E34" s="51"/>
      <c r="F34" s="51"/>
      <c r="G34" s="51"/>
    </row>
    <row r="35" spans="1:7">
      <c r="A35" s="411"/>
      <c r="C35" s="51"/>
      <c r="D35" s="51"/>
      <c r="E35" s="51"/>
      <c r="F35" s="51"/>
      <c r="G35" s="51"/>
    </row>
    <row r="36" spans="1:7">
      <c r="A36" s="415"/>
      <c r="C36" s="51"/>
      <c r="D36" s="51"/>
      <c r="E36" s="51"/>
      <c r="F36" s="51"/>
      <c r="G36" s="51"/>
    </row>
    <row r="37" spans="1:7">
      <c r="A37" s="415"/>
      <c r="C37" s="51"/>
      <c r="D37" s="51"/>
      <c r="E37" s="51"/>
      <c r="F37" s="51"/>
      <c r="G37" s="51"/>
    </row>
    <row r="38" spans="1:7">
      <c r="A38" s="415"/>
      <c r="C38" s="51"/>
      <c r="D38" s="51"/>
      <c r="E38" s="51"/>
      <c r="F38" s="51"/>
      <c r="G38" s="51"/>
    </row>
    <row r="39" spans="1:7">
      <c r="A39" s="415"/>
      <c r="C39" s="51"/>
      <c r="D39" s="51"/>
      <c r="E39" s="51"/>
      <c r="F39" s="51"/>
      <c r="G39" s="51"/>
    </row>
    <row r="40" spans="1:7">
      <c r="A40" s="415"/>
      <c r="C40" s="51"/>
      <c r="D40" s="51"/>
      <c r="E40" s="51"/>
      <c r="F40" s="51"/>
      <c r="G40" s="51"/>
    </row>
    <row r="41" spans="1:7">
      <c r="A41" s="415"/>
      <c r="C41" s="51"/>
      <c r="D41" s="51"/>
      <c r="E41" s="51"/>
      <c r="F41" s="51"/>
      <c r="G41" s="51"/>
    </row>
    <row r="42" spans="1:7">
      <c r="A42" s="415"/>
      <c r="C42" s="51"/>
      <c r="D42" s="51"/>
      <c r="E42" s="51"/>
      <c r="F42" s="51"/>
      <c r="G42" s="51"/>
    </row>
    <row r="43" spans="1:7">
      <c r="A43" s="415"/>
      <c r="C43" s="51"/>
      <c r="D43" s="51"/>
      <c r="E43" s="51"/>
      <c r="F43" s="51"/>
      <c r="G43" s="51"/>
    </row>
    <row r="44" spans="1:7">
      <c r="A44" s="415"/>
      <c r="C44" s="51"/>
      <c r="D44" s="51"/>
      <c r="E44" s="51"/>
      <c r="F44" s="51"/>
      <c r="G44" s="51"/>
    </row>
    <row r="45" spans="1:7">
      <c r="A45" s="415"/>
      <c r="C45" s="51"/>
      <c r="D45" s="51"/>
      <c r="E45" s="51"/>
      <c r="F45" s="51"/>
      <c r="G45" s="51"/>
    </row>
    <row r="46" spans="1:7">
      <c r="A46" s="415"/>
      <c r="C46" s="51"/>
      <c r="D46" s="51"/>
      <c r="E46" s="51"/>
      <c r="F46" s="51"/>
      <c r="G46" s="51"/>
    </row>
    <row r="47" spans="1:7">
      <c r="A47" s="415"/>
      <c r="C47" s="51"/>
      <c r="D47" s="51"/>
      <c r="E47" s="51"/>
      <c r="F47" s="51"/>
      <c r="G47" s="51"/>
    </row>
    <row r="48" spans="1:7">
      <c r="A48" s="415"/>
      <c r="C48" s="51"/>
      <c r="D48" s="51"/>
      <c r="E48" s="51"/>
      <c r="F48" s="51"/>
      <c r="G48" s="51"/>
    </row>
    <row r="49" spans="1:7">
      <c r="A49" s="415"/>
      <c r="C49" s="51"/>
      <c r="D49" s="51"/>
      <c r="E49" s="51"/>
      <c r="F49" s="51"/>
      <c r="G49" s="51"/>
    </row>
    <row r="50" spans="1:7">
      <c r="A50" s="415"/>
      <c r="C50" s="51"/>
      <c r="D50" s="51"/>
      <c r="E50" s="51"/>
      <c r="F50" s="51"/>
      <c r="G50" s="51"/>
    </row>
    <row r="51" spans="1:7">
      <c r="A51" s="415"/>
      <c r="C51" s="51"/>
      <c r="D51" s="51"/>
      <c r="E51" s="51"/>
      <c r="F51" s="51"/>
      <c r="G51" s="51"/>
    </row>
    <row r="52" spans="1:7">
      <c r="A52" s="415"/>
      <c r="C52" s="51"/>
      <c r="D52" s="51"/>
      <c r="E52" s="51"/>
      <c r="F52" s="51"/>
      <c r="G52" s="51"/>
    </row>
    <row r="53" spans="1:7">
      <c r="A53" s="415"/>
      <c r="C53" s="51"/>
      <c r="D53" s="51"/>
      <c r="E53" s="51"/>
      <c r="F53" s="51"/>
      <c r="G53" s="51"/>
    </row>
    <row r="54" spans="1:7">
      <c r="A54" s="415"/>
      <c r="C54" s="51"/>
      <c r="D54" s="51"/>
      <c r="E54" s="51"/>
      <c r="F54" s="51"/>
      <c r="G54" s="51"/>
    </row>
    <row r="55" spans="1:7">
      <c r="A55" s="415"/>
      <c r="C55" s="51"/>
      <c r="D55" s="51"/>
      <c r="E55" s="51"/>
      <c r="F55" s="51"/>
      <c r="G55" s="51"/>
    </row>
    <row r="56" spans="1:7">
      <c r="A56" s="415"/>
      <c r="C56" s="51"/>
      <c r="D56" s="51"/>
      <c r="E56" s="51"/>
      <c r="F56" s="51"/>
      <c r="G56" s="51"/>
    </row>
    <row r="57" spans="1:7">
      <c r="A57" s="415"/>
      <c r="C57" s="51"/>
      <c r="D57" s="51"/>
      <c r="E57" s="51"/>
      <c r="F57" s="51"/>
      <c r="G57" s="51"/>
    </row>
    <row r="58" spans="1:7" ht="7.5" customHeight="1">
      <c r="A58" s="415"/>
      <c r="B58"/>
    </row>
    <row r="59" spans="1:7" hidden="1">
      <c r="B59"/>
    </row>
    <row r="60" spans="1:7" hidden="1">
      <c r="B60"/>
    </row>
    <row r="61" spans="1:7" hidden="1">
      <c r="B61"/>
    </row>
    <row r="62" spans="1:7" hidden="1">
      <c r="B62"/>
    </row>
    <row r="63" spans="1:7" hidden="1">
      <c r="B63"/>
    </row>
    <row r="64" spans="1:7" hidden="1">
      <c r="B64"/>
    </row>
    <row r="65" spans="2:2" hidden="1">
      <c r="B65"/>
    </row>
    <row r="66" spans="2:2" hidden="1">
      <c r="B66"/>
    </row>
    <row r="67" spans="2:2" hidden="1">
      <c r="B67"/>
    </row>
    <row r="68" spans="2:2" hidden="1">
      <c r="B68"/>
    </row>
    <row r="69" spans="2:2" hidden="1"/>
    <row r="70" spans="2:2" hidden="1"/>
    <row r="71" spans="2:2" hidden="1"/>
    <row r="72" spans="2:2" hidden="1"/>
    <row r="73" spans="2:2" hidden="1"/>
    <row r="74" spans="2:2" hidden="1"/>
    <row r="75" spans="2:2" hidden="1"/>
    <row r="76" spans="2:2" hidden="1"/>
    <row r="77" spans="2:2" hidden="1"/>
    <row r="78" spans="2:2" hidden="1"/>
    <row r="79" spans="2:2" hidden="1"/>
    <row r="80" spans="2:2"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spans="28:28" hidden="1">
      <c r="AB241" t="s">
        <v>194</v>
      </c>
    </row>
    <row r="242" spans="28:28" hidden="1"/>
    <row r="243" spans="28:28" hidden="1"/>
    <row r="244" spans="28:28" hidden="1"/>
    <row r="245" spans="28:28" hidden="1"/>
    <row r="246" spans="28:28" hidden="1"/>
    <row r="247" spans="28:28" hidden="1"/>
    <row r="248" spans="28:28" hidden="1"/>
    <row r="249" spans="28:28" hidden="1"/>
    <row r="250" spans="28:28" hidden="1"/>
    <row r="251" spans="28:28" hidden="1"/>
    <row r="252" spans="28:28" hidden="1"/>
    <row r="253" spans="28:28" hidden="1"/>
    <row r="254" spans="28:28" hidden="1"/>
    <row r="255" spans="28:28" hidden="1"/>
    <row r="256" spans="28:28"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sheetData>
  <mergeCells count="1">
    <mergeCell ref="G7:G8"/>
  </mergeCells>
  <phoneticPr fontId="8" type="noConversion"/>
  <hyperlinks>
    <hyperlink ref="E11" location="'Rate Design - 100'!A1" display="Rate Design - 100"/>
    <hyperlink ref="E12" location="'Rate Design - 200'!A1" display="Rate Design - 200"/>
    <hyperlink ref="E14" location="'Rate Design - 300'!A1" display="Rate Design - 300"/>
    <hyperlink ref="E15" location="'Rate Design - 400'!A1" display="Rate Design - 400"/>
    <hyperlink ref="E16" location="'Rate Design - USD500'!A1" display="Rate Design - USD500"/>
    <hyperlink ref="E17" location="'Rate Design - 700'!A1" display="Rate Design - 700"/>
    <hyperlink ref="E19" location="'Bill Tab - 100-200'!A1" display="Bill Tab 100-200"/>
    <hyperlink ref="E18" location="'Rate Design Summ'!A1" display="Rate Design Summ"/>
    <hyperlink ref="E20" location="'Bill Tab - 250-400'!A1" display="Bill Tab 250-400"/>
    <hyperlink ref="E13" location="'Rate Design - 250'!A1" display="Rate Design - 250"/>
    <hyperlink ref="E21" location="'Table Rate - 100'!A1" display="Table Rate - 100"/>
    <hyperlink ref="E22" location="'Table Rate - 200'!A1" display="Table Rate - 200"/>
    <hyperlink ref="E23" location="'Table Rate - 250'!A1" display="Table Rate - 250"/>
    <hyperlink ref="E24" location="'Table Rate - 300'!A1" display="Table Rate - 300"/>
    <hyperlink ref="E25" location="'Table Rate - 400'!A1" display="Table Rate - 400"/>
    <hyperlink ref="E26" location="'Rate Compare'!A1" display="Rate Compare"/>
    <hyperlink ref="E27" location="'RES Impact'!A1" display="RES Impact"/>
    <hyperlink ref="E28" location="'2008 LGS RECLASS'!A1" display="2008 LGS RECLASS"/>
    <hyperlink ref="E29" location="'2010 LGS RECLASS'!A1" display="2010 LGS RECLASS"/>
    <hyperlink ref="E30" location="'Res Chart'!A1" display="Res Chart"/>
  </hyperlinks>
  <pageMargins left="0.75" right="0.75" top="0.75" bottom="0.75" header="0.5" footer="0.5"/>
  <pageSetup scale="51"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169"/>
  <sheetViews>
    <sheetView topLeftCell="A112" zoomScale="80" zoomScaleNormal="80" workbookViewId="0">
      <selection activeCell="D144" sqref="D144"/>
    </sheetView>
  </sheetViews>
  <sheetFormatPr defaultRowHeight="15"/>
  <cols>
    <col min="1" max="1" width="22.5" style="2798" customWidth="1"/>
    <col min="2" max="2" width="2.5" style="2796" customWidth="1"/>
    <col min="3" max="3" width="3.25" style="1522" customWidth="1"/>
    <col min="4" max="4" width="12.125" style="2797" bestFit="1" customWidth="1"/>
    <col min="5" max="5" width="37.75" style="2798" customWidth="1"/>
    <col min="6" max="7" width="22.625" style="2797" customWidth="1"/>
    <col min="8" max="8" width="22.625" style="1524" customWidth="1"/>
    <col min="9" max="9" width="127.375" style="2799" customWidth="1"/>
    <col min="10" max="16384" width="9" style="2798"/>
  </cols>
  <sheetData>
    <row r="1" spans="1:9">
      <c r="A1" s="2795"/>
    </row>
    <row r="2" spans="1:9" ht="15.75" thickBot="1">
      <c r="A2" s="2795"/>
      <c r="C2" s="1522" t="s">
        <v>2906</v>
      </c>
    </row>
    <row r="3" spans="1:9" ht="16.5" thickTop="1" thickBot="1">
      <c r="A3" s="2795"/>
      <c r="D3" s="2639" t="s">
        <v>3097</v>
      </c>
      <c r="E3" s="2639" t="s">
        <v>660</v>
      </c>
      <c r="F3" s="2639" t="s">
        <v>3088</v>
      </c>
      <c r="G3" s="2639" t="s">
        <v>3089</v>
      </c>
      <c r="H3" s="2793" t="s">
        <v>208</v>
      </c>
      <c r="I3" s="2794" t="s">
        <v>3112</v>
      </c>
    </row>
    <row r="4" spans="1:9" ht="16.5" thickTop="1" thickBot="1">
      <c r="A4" s="2795"/>
      <c r="D4" s="2800">
        <v>555010</v>
      </c>
      <c r="E4" s="2801" t="s">
        <v>728</v>
      </c>
      <c r="F4" s="2800" t="s">
        <v>2906</v>
      </c>
      <c r="G4" s="2800" t="s">
        <v>605</v>
      </c>
      <c r="H4" s="2800" t="str">
        <f>COS_RR!H46</f>
        <v>Energy</v>
      </c>
      <c r="I4" s="2800" t="s">
        <v>3115</v>
      </c>
    </row>
    <row r="5" spans="1:9" ht="16.5" thickTop="1" thickBot="1">
      <c r="A5" s="2795"/>
      <c r="D5" s="2802">
        <v>555000</v>
      </c>
      <c r="E5" s="2803" t="s">
        <v>2160</v>
      </c>
      <c r="F5" s="2802" t="s">
        <v>2906</v>
      </c>
      <c r="G5" s="2802" t="s">
        <v>605</v>
      </c>
      <c r="H5" s="2802" t="s">
        <v>605</v>
      </c>
      <c r="I5" s="2802"/>
    </row>
    <row r="6" spans="1:9" ht="16.5" thickTop="1" thickBot="1">
      <c r="A6" s="2795"/>
      <c r="D6" s="2804">
        <v>555020</v>
      </c>
      <c r="E6" s="2805" t="s">
        <v>729</v>
      </c>
      <c r="F6" s="2804" t="s">
        <v>2906</v>
      </c>
      <c r="G6" s="2804" t="s">
        <v>168</v>
      </c>
      <c r="H6" s="2804" t="s">
        <v>3090</v>
      </c>
      <c r="I6" s="2804" t="s">
        <v>3116</v>
      </c>
    </row>
    <row r="7" spans="1:9" ht="16.5" thickTop="1" thickBot="1">
      <c r="A7" s="2795"/>
      <c r="D7" s="2802">
        <v>555020</v>
      </c>
      <c r="E7" s="2803" t="s">
        <v>2667</v>
      </c>
      <c r="F7" s="2802" t="s">
        <v>2906</v>
      </c>
      <c r="G7" s="2802" t="s">
        <v>168</v>
      </c>
      <c r="H7" s="2802" t="s">
        <v>3090</v>
      </c>
      <c r="I7" s="2802"/>
    </row>
    <row r="8" spans="1:9" ht="16.5" thickTop="1" thickBot="1">
      <c r="A8" s="2795"/>
      <c r="D8" s="2804">
        <v>555020</v>
      </c>
      <c r="E8" s="2805" t="s">
        <v>3002</v>
      </c>
      <c r="F8" s="2804" t="s">
        <v>2906</v>
      </c>
      <c r="G8" s="2804" t="s">
        <v>168</v>
      </c>
      <c r="H8" s="2804" t="s">
        <v>3090</v>
      </c>
      <c r="I8" s="2804"/>
    </row>
    <row r="9" spans="1:9" ht="16.5" thickTop="1" thickBot="1">
      <c r="A9" s="2795"/>
      <c r="D9" s="2802">
        <v>555020</v>
      </c>
      <c r="E9" s="2803" t="s">
        <v>730</v>
      </c>
      <c r="F9" s="2802" t="s">
        <v>2906</v>
      </c>
      <c r="G9" s="2802" t="s">
        <v>168</v>
      </c>
      <c r="H9" s="2802" t="s">
        <v>3090</v>
      </c>
      <c r="I9" s="2802"/>
    </row>
    <row r="10" spans="1:9" ht="16.5" thickTop="1" thickBot="1">
      <c r="A10" s="2795"/>
      <c r="D10" s="2804">
        <v>555030</v>
      </c>
      <c r="E10" s="2805" t="s">
        <v>731</v>
      </c>
      <c r="F10" s="2804" t="s">
        <v>2906</v>
      </c>
      <c r="G10" s="2804" t="s">
        <v>168</v>
      </c>
      <c r="H10" s="2804" t="s">
        <v>3090</v>
      </c>
      <c r="I10" s="2804"/>
    </row>
    <row r="11" spans="1:9" ht="16.5" thickTop="1" thickBot="1">
      <c r="A11" s="2795"/>
      <c r="D11" s="2802">
        <v>555035</v>
      </c>
      <c r="E11" s="2803" t="s">
        <v>1846</v>
      </c>
      <c r="F11" s="2802" t="s">
        <v>2906</v>
      </c>
      <c r="G11" s="2802" t="s">
        <v>168</v>
      </c>
      <c r="H11" s="2802" t="s">
        <v>3090</v>
      </c>
      <c r="I11" s="2802"/>
    </row>
    <row r="12" spans="1:9" ht="16.5" thickTop="1" thickBot="1">
      <c r="A12" s="2795"/>
      <c r="D12" s="2804">
        <v>555070</v>
      </c>
      <c r="E12" s="2805" t="s">
        <v>732</v>
      </c>
      <c r="F12" s="2804" t="s">
        <v>2906</v>
      </c>
      <c r="G12" s="2804" t="s">
        <v>605</v>
      </c>
      <c r="H12" s="2804" t="s">
        <v>605</v>
      </c>
      <c r="I12" s="2804" t="s">
        <v>3115</v>
      </c>
    </row>
    <row r="13" spans="1:9" ht="16.5" thickTop="1" thickBot="1">
      <c r="A13" s="2795"/>
      <c r="D13" s="2802">
        <v>555500</v>
      </c>
      <c r="E13" s="2803" t="s">
        <v>733</v>
      </c>
      <c r="F13" s="2802" t="s">
        <v>2906</v>
      </c>
      <c r="G13" s="2802" t="s">
        <v>168</v>
      </c>
      <c r="H13" s="2802" t="s">
        <v>3090</v>
      </c>
      <c r="I13" s="2802"/>
    </row>
    <row r="14" spans="1:9" ht="16.5" thickTop="1" thickBot="1">
      <c r="A14" s="2795"/>
      <c r="D14" s="2804">
        <v>555666</v>
      </c>
      <c r="E14" s="2805" t="s">
        <v>734</v>
      </c>
      <c r="F14" s="2804" t="s">
        <v>2906</v>
      </c>
      <c r="G14" s="2804" t="s">
        <v>605</v>
      </c>
      <c r="H14" s="2804" t="s">
        <v>605</v>
      </c>
      <c r="I14" s="2804" t="s">
        <v>3115</v>
      </c>
    </row>
    <row r="15" spans="1:9" ht="16.5" thickTop="1" thickBot="1">
      <c r="A15" s="2795"/>
      <c r="D15" s="2802">
        <v>555900</v>
      </c>
      <c r="E15" s="2803" t="s">
        <v>1845</v>
      </c>
      <c r="F15" s="2802" t="s">
        <v>2906</v>
      </c>
      <c r="G15" s="2802" t="s">
        <v>168</v>
      </c>
      <c r="H15" s="2802" t="s">
        <v>3090</v>
      </c>
      <c r="I15" s="2802"/>
    </row>
    <row r="16" spans="1:9" ht="16.5" thickTop="1" thickBot="1">
      <c r="A16" s="2795"/>
      <c r="D16" s="2804">
        <v>555999</v>
      </c>
      <c r="E16" s="2805" t="s">
        <v>1844</v>
      </c>
      <c r="F16" s="2804" t="s">
        <v>2906</v>
      </c>
      <c r="G16" s="2804" t="s">
        <v>605</v>
      </c>
      <c r="H16" s="2804" t="s">
        <v>605</v>
      </c>
      <c r="I16" s="2804" t="s">
        <v>3115</v>
      </c>
    </row>
    <row r="17" spans="1:9" ht="16.5" thickTop="1" thickBot="1">
      <c r="A17" s="2795"/>
      <c r="D17" s="2806">
        <v>557050</v>
      </c>
      <c r="E17" s="2807" t="s">
        <v>735</v>
      </c>
      <c r="F17" s="2806" t="s">
        <v>2906</v>
      </c>
      <c r="G17" s="2806" t="s">
        <v>605</v>
      </c>
      <c r="H17" s="2806" t="s">
        <v>3090</v>
      </c>
      <c r="I17" s="2806"/>
    </row>
    <row r="18" spans="1:9" ht="15.75" thickTop="1">
      <c r="A18" s="2795"/>
    </row>
    <row r="19" spans="1:9" ht="15.75" thickBot="1">
      <c r="A19" s="2795"/>
      <c r="C19" s="1522" t="s">
        <v>753</v>
      </c>
    </row>
    <row r="20" spans="1:9" ht="16.5" thickTop="1" thickBot="1">
      <c r="A20" s="2795"/>
      <c r="D20" s="2639" t="s">
        <v>3097</v>
      </c>
      <c r="E20" s="2639" t="s">
        <v>660</v>
      </c>
      <c r="F20" s="2639" t="s">
        <v>3088</v>
      </c>
      <c r="G20" s="2639" t="s">
        <v>3089</v>
      </c>
      <c r="H20" s="2639" t="s">
        <v>208</v>
      </c>
      <c r="I20" s="2639" t="s">
        <v>3112</v>
      </c>
    </row>
    <row r="21" spans="1:9" ht="16.5" thickTop="1" thickBot="1">
      <c r="A21" s="2795"/>
      <c r="D21" s="2800">
        <v>535500</v>
      </c>
      <c r="E21" s="2801" t="s">
        <v>736</v>
      </c>
      <c r="F21" s="2801" t="s">
        <v>753</v>
      </c>
      <c r="G21" s="2801" t="s">
        <v>168</v>
      </c>
      <c r="H21" s="2801" t="s">
        <v>3090</v>
      </c>
      <c r="I21" s="2801" t="s">
        <v>3118</v>
      </c>
    </row>
    <row r="22" spans="1:9" ht="16.5" thickTop="1" thickBot="1">
      <c r="A22" s="2795"/>
      <c r="D22" s="2802">
        <v>535000</v>
      </c>
      <c r="E22" s="2803" t="s">
        <v>2161</v>
      </c>
      <c r="F22" s="2803" t="s">
        <v>753</v>
      </c>
      <c r="G22" s="2803" t="s">
        <v>168</v>
      </c>
      <c r="H22" s="2803" t="s">
        <v>3090</v>
      </c>
      <c r="I22" s="2803"/>
    </row>
    <row r="23" spans="1:9" ht="16.5" thickTop="1" thickBot="1">
      <c r="A23" s="2795"/>
      <c r="D23" s="2804">
        <v>535600</v>
      </c>
      <c r="E23" s="2805" t="s">
        <v>737</v>
      </c>
      <c r="F23" s="2805" t="s">
        <v>753</v>
      </c>
      <c r="G23" s="2805" t="s">
        <v>168</v>
      </c>
      <c r="H23" s="2805" t="s">
        <v>3090</v>
      </c>
      <c r="I23" s="2805"/>
    </row>
    <row r="24" spans="1:9" ht="16.5" thickTop="1" thickBot="1">
      <c r="A24" s="2795"/>
      <c r="D24" s="2802">
        <v>536000</v>
      </c>
      <c r="E24" s="2803" t="s">
        <v>2162</v>
      </c>
      <c r="F24" s="2803" t="s">
        <v>753</v>
      </c>
      <c r="G24" s="2803" t="s">
        <v>168</v>
      </c>
      <c r="H24" s="2803" t="s">
        <v>3090</v>
      </c>
      <c r="I24" s="2803"/>
    </row>
    <row r="25" spans="1:9" ht="16.5" thickTop="1" thickBot="1">
      <c r="A25" s="2795"/>
      <c r="D25" s="2804">
        <v>537010</v>
      </c>
      <c r="E25" s="2805" t="s">
        <v>2163</v>
      </c>
      <c r="F25" s="2805" t="s">
        <v>753</v>
      </c>
      <c r="G25" s="2805" t="s">
        <v>168</v>
      </c>
      <c r="H25" s="2805" t="s">
        <v>3090</v>
      </c>
      <c r="I25" s="2805"/>
    </row>
    <row r="26" spans="1:9" ht="16.5" thickTop="1" thickBot="1">
      <c r="A26" s="2795"/>
      <c r="D26" s="2802">
        <v>537500</v>
      </c>
      <c r="E26" s="2803" t="s">
        <v>738</v>
      </c>
      <c r="F26" s="2803" t="s">
        <v>753</v>
      </c>
      <c r="G26" s="2803" t="s">
        <v>168</v>
      </c>
      <c r="H26" s="2803" t="s">
        <v>3090</v>
      </c>
      <c r="I26" s="2803"/>
    </row>
    <row r="27" spans="1:9" ht="16.5" thickTop="1" thickBot="1">
      <c r="A27" s="2795"/>
      <c r="D27" s="2804">
        <v>537600</v>
      </c>
      <c r="E27" s="2805" t="s">
        <v>739</v>
      </c>
      <c r="F27" s="2805" t="s">
        <v>753</v>
      </c>
      <c r="G27" s="2805" t="s">
        <v>168</v>
      </c>
      <c r="H27" s="2805" t="s">
        <v>3090</v>
      </c>
      <c r="I27" s="2805"/>
    </row>
    <row r="28" spans="1:9" ht="16.5" thickTop="1" thickBot="1">
      <c r="A28" s="2795"/>
      <c r="D28" s="2802">
        <v>538500</v>
      </c>
      <c r="E28" s="2803" t="s">
        <v>740</v>
      </c>
      <c r="F28" s="2803" t="s">
        <v>753</v>
      </c>
      <c r="G28" s="2803" t="s">
        <v>168</v>
      </c>
      <c r="H28" s="2803" t="s">
        <v>3090</v>
      </c>
      <c r="I28" s="2803"/>
    </row>
    <row r="29" spans="1:9" ht="16.5" thickTop="1" thickBot="1">
      <c r="A29" s="2795"/>
      <c r="D29" s="2804">
        <v>538600</v>
      </c>
      <c r="E29" s="2805" t="s">
        <v>741</v>
      </c>
      <c r="F29" s="2805" t="s">
        <v>753</v>
      </c>
      <c r="G29" s="2805" t="s">
        <v>168</v>
      </c>
      <c r="H29" s="2805" t="s">
        <v>3090</v>
      </c>
      <c r="I29" s="2805"/>
    </row>
    <row r="30" spans="1:9" ht="16.5" thickTop="1" thickBot="1">
      <c r="A30" s="2795"/>
      <c r="D30" s="2802">
        <v>539010</v>
      </c>
      <c r="E30" s="2803" t="s">
        <v>742</v>
      </c>
      <c r="F30" s="2803" t="s">
        <v>753</v>
      </c>
      <c r="G30" s="2803" t="s">
        <v>168</v>
      </c>
      <c r="H30" s="2803" t="s">
        <v>3090</v>
      </c>
      <c r="I30" s="2803"/>
    </row>
    <row r="31" spans="1:9" ht="16.5" thickTop="1" thickBot="1">
      <c r="A31" s="2795"/>
      <c r="D31" s="2804">
        <v>539600</v>
      </c>
      <c r="E31" s="2805" t="s">
        <v>310</v>
      </c>
      <c r="F31" s="2805" t="s">
        <v>753</v>
      </c>
      <c r="G31" s="2805" t="s">
        <v>168</v>
      </c>
      <c r="H31" s="2805" t="s">
        <v>3090</v>
      </c>
      <c r="I31" s="2805"/>
    </row>
    <row r="32" spans="1:9" ht="16.5" thickTop="1" thickBot="1">
      <c r="A32" s="2795"/>
      <c r="D32" s="2802">
        <v>541500</v>
      </c>
      <c r="E32" s="2803" t="s">
        <v>743</v>
      </c>
      <c r="F32" s="2803" t="s">
        <v>753</v>
      </c>
      <c r="G32" s="2803" t="s">
        <v>168</v>
      </c>
      <c r="H32" s="2803" t="s">
        <v>3090</v>
      </c>
      <c r="I32" s="2803"/>
    </row>
    <row r="33" spans="1:9" ht="16.5" thickTop="1" thickBot="1">
      <c r="A33" s="2795"/>
      <c r="D33" s="2804">
        <v>541600</v>
      </c>
      <c r="E33" s="2805" t="s">
        <v>744</v>
      </c>
      <c r="F33" s="2805" t="s">
        <v>753</v>
      </c>
      <c r="G33" s="2805" t="s">
        <v>168</v>
      </c>
      <c r="H33" s="2805" t="s">
        <v>3090</v>
      </c>
      <c r="I33" s="2805"/>
    </row>
    <row r="34" spans="1:9" ht="16.5" thickTop="1" thickBot="1">
      <c r="A34" s="2795"/>
      <c r="D34" s="2802">
        <v>543010</v>
      </c>
      <c r="E34" s="2803" t="s">
        <v>745</v>
      </c>
      <c r="F34" s="2803" t="s">
        <v>753</v>
      </c>
      <c r="G34" s="2803" t="s">
        <v>168</v>
      </c>
      <c r="H34" s="2803" t="s">
        <v>3090</v>
      </c>
      <c r="I34" s="2803"/>
    </row>
    <row r="35" spans="1:9" ht="16.5" thickTop="1" thickBot="1">
      <c r="A35" s="2795"/>
      <c r="D35" s="2804">
        <v>544500</v>
      </c>
      <c r="E35" s="2805" t="s">
        <v>746</v>
      </c>
      <c r="F35" s="2805" t="s">
        <v>753</v>
      </c>
      <c r="G35" s="2805" t="s">
        <v>168</v>
      </c>
      <c r="H35" s="2805" t="s">
        <v>3090</v>
      </c>
      <c r="I35" s="2805"/>
    </row>
    <row r="36" spans="1:9" ht="16.5" thickTop="1" thickBot="1">
      <c r="A36" s="2795"/>
      <c r="D36" s="2802">
        <v>544600</v>
      </c>
      <c r="E36" s="2803" t="s">
        <v>747</v>
      </c>
      <c r="F36" s="2803" t="s">
        <v>753</v>
      </c>
      <c r="G36" s="2803" t="s">
        <v>168</v>
      </c>
      <c r="H36" s="2803" t="s">
        <v>3090</v>
      </c>
      <c r="I36" s="2803"/>
    </row>
    <row r="37" spans="1:9" ht="16.5" thickTop="1" thickBot="1">
      <c r="A37" s="2795"/>
      <c r="D37" s="2804">
        <v>545010</v>
      </c>
      <c r="E37" s="2805" t="s">
        <v>748</v>
      </c>
      <c r="F37" s="2805" t="s">
        <v>753</v>
      </c>
      <c r="G37" s="2805" t="s">
        <v>168</v>
      </c>
      <c r="H37" s="2805" t="s">
        <v>3090</v>
      </c>
      <c r="I37" s="2805"/>
    </row>
    <row r="38" spans="1:9" ht="16.5" thickTop="1" thickBot="1">
      <c r="A38" s="2795"/>
      <c r="D38" s="2802">
        <v>545500</v>
      </c>
      <c r="E38" s="2803" t="s">
        <v>749</v>
      </c>
      <c r="F38" s="2803" t="s">
        <v>753</v>
      </c>
      <c r="G38" s="2803" t="s">
        <v>168</v>
      </c>
      <c r="H38" s="2803" t="s">
        <v>3090</v>
      </c>
      <c r="I38" s="2803"/>
    </row>
    <row r="39" spans="1:9" ht="16.5" thickTop="1" thickBot="1">
      <c r="A39" s="2795"/>
      <c r="D39" s="2804">
        <v>547010</v>
      </c>
      <c r="E39" s="2805" t="s">
        <v>750</v>
      </c>
      <c r="F39" s="2805" t="s">
        <v>753</v>
      </c>
      <c r="G39" s="2805" t="s">
        <v>168</v>
      </c>
      <c r="H39" s="2805" t="s">
        <v>3090</v>
      </c>
      <c r="I39" s="2805"/>
    </row>
    <row r="40" spans="1:9" ht="16.5" thickTop="1" thickBot="1">
      <c r="A40" s="2795"/>
      <c r="D40" s="2802">
        <v>548010</v>
      </c>
      <c r="E40" s="2803" t="s">
        <v>751</v>
      </c>
      <c r="F40" s="2803" t="s">
        <v>753</v>
      </c>
      <c r="G40" s="2803" t="s">
        <v>168</v>
      </c>
      <c r="H40" s="2803" t="s">
        <v>3090</v>
      </c>
      <c r="I40" s="2803"/>
    </row>
    <row r="41" spans="1:9" ht="16.5" thickTop="1" thickBot="1">
      <c r="A41" s="2795"/>
      <c r="D41" s="2804">
        <v>549000</v>
      </c>
      <c r="E41" s="2805" t="s">
        <v>752</v>
      </c>
      <c r="F41" s="2805" t="s">
        <v>753</v>
      </c>
      <c r="G41" s="2805" t="s">
        <v>168</v>
      </c>
      <c r="H41" s="2805" t="s">
        <v>3090</v>
      </c>
      <c r="I41" s="2805"/>
    </row>
    <row r="42" spans="1:9" ht="16.5" thickTop="1" thickBot="1">
      <c r="A42" s="2795"/>
      <c r="D42" s="2806">
        <v>550000</v>
      </c>
      <c r="E42" s="2807" t="s">
        <v>311</v>
      </c>
      <c r="F42" s="2807" t="s">
        <v>753</v>
      </c>
      <c r="G42" s="2807" t="s">
        <v>168</v>
      </c>
      <c r="H42" s="2807" t="s">
        <v>3090</v>
      </c>
      <c r="I42" s="2807"/>
    </row>
    <row r="43" spans="1:9" ht="15.75" thickTop="1">
      <c r="A43" s="2795"/>
      <c r="F43" s="2798"/>
      <c r="G43" s="2798"/>
      <c r="H43" s="2798"/>
      <c r="I43" s="2798"/>
    </row>
    <row r="44" spans="1:9" ht="15.75" thickBot="1">
      <c r="A44" s="2795"/>
      <c r="C44" s="1522" t="s">
        <v>600</v>
      </c>
      <c r="F44" s="2798"/>
      <c r="G44" s="2798"/>
      <c r="H44" s="2798"/>
      <c r="I44" s="2798"/>
    </row>
    <row r="45" spans="1:9" ht="16.5" thickTop="1" thickBot="1">
      <c r="A45" s="2795"/>
      <c r="D45" s="2639" t="s">
        <v>3097</v>
      </c>
      <c r="E45" s="2639" t="s">
        <v>660</v>
      </c>
      <c r="F45" s="2639" t="s">
        <v>3088</v>
      </c>
      <c r="G45" s="2639" t="s">
        <v>3089</v>
      </c>
      <c r="H45" s="2639" t="s">
        <v>208</v>
      </c>
      <c r="I45" s="2639" t="s">
        <v>3112</v>
      </c>
    </row>
    <row r="46" spans="1:9" ht="16.5" thickTop="1" thickBot="1">
      <c r="A46" s="2795"/>
      <c r="D46" s="2800">
        <v>560000</v>
      </c>
      <c r="E46" s="2801" t="s">
        <v>754</v>
      </c>
      <c r="F46" s="2801" t="s">
        <v>600</v>
      </c>
      <c r="G46" s="2801" t="s">
        <v>168</v>
      </c>
      <c r="H46" s="2801" t="s">
        <v>3091</v>
      </c>
      <c r="I46" s="2801" t="s">
        <v>3117</v>
      </c>
    </row>
    <row r="47" spans="1:9" ht="16.5" thickTop="1" thickBot="1">
      <c r="A47" s="2795"/>
      <c r="D47" s="2802">
        <v>561000</v>
      </c>
      <c r="E47" s="2803" t="s">
        <v>755</v>
      </c>
      <c r="F47" s="2803" t="s">
        <v>600</v>
      </c>
      <c r="G47" s="2803" t="s">
        <v>168</v>
      </c>
      <c r="H47" s="2803" t="s">
        <v>3091</v>
      </c>
      <c r="I47" s="2803"/>
    </row>
    <row r="48" spans="1:9" ht="16.5" thickTop="1" thickBot="1">
      <c r="A48" s="2795"/>
      <c r="D48" s="2804">
        <v>561010</v>
      </c>
      <c r="E48" s="2805" t="s">
        <v>756</v>
      </c>
      <c r="F48" s="2805" t="s">
        <v>600</v>
      </c>
      <c r="G48" s="2805" t="s">
        <v>168</v>
      </c>
      <c r="H48" s="2805" t="s">
        <v>3091</v>
      </c>
      <c r="I48" s="2805"/>
    </row>
    <row r="49" spans="1:9" ht="16.5" thickTop="1" thickBot="1">
      <c r="A49" s="2795"/>
      <c r="D49" s="2802">
        <v>561500</v>
      </c>
      <c r="E49" s="2803" t="s">
        <v>757</v>
      </c>
      <c r="F49" s="2803" t="s">
        <v>600</v>
      </c>
      <c r="G49" s="2803" t="s">
        <v>168</v>
      </c>
      <c r="H49" s="2803" t="s">
        <v>3091</v>
      </c>
      <c r="I49" s="2803"/>
    </row>
    <row r="50" spans="1:9" ht="16.5" thickTop="1" thickBot="1">
      <c r="A50" s="2795"/>
      <c r="D50" s="2804">
        <v>561600</v>
      </c>
      <c r="E50" s="2805" t="s">
        <v>758</v>
      </c>
      <c r="F50" s="2805" t="s">
        <v>600</v>
      </c>
      <c r="G50" s="2805" t="s">
        <v>168</v>
      </c>
      <c r="H50" s="2805" t="s">
        <v>3091</v>
      </c>
      <c r="I50" s="2805"/>
    </row>
    <row r="51" spans="1:9" ht="16.5" thickTop="1" thickBot="1">
      <c r="A51" s="2795"/>
      <c r="D51" s="2802">
        <v>562000</v>
      </c>
      <c r="E51" s="2803" t="s">
        <v>759</v>
      </c>
      <c r="F51" s="2803" t="s">
        <v>600</v>
      </c>
      <c r="G51" s="2803" t="s">
        <v>168</v>
      </c>
      <c r="H51" s="2803" t="s">
        <v>3091</v>
      </c>
      <c r="I51" s="2803"/>
    </row>
    <row r="52" spans="1:9" ht="16.5" thickTop="1" thickBot="1">
      <c r="A52" s="2795"/>
      <c r="D52" s="2804">
        <v>563000</v>
      </c>
      <c r="E52" s="2805" t="s">
        <v>760</v>
      </c>
      <c r="F52" s="2805" t="s">
        <v>600</v>
      </c>
      <c r="G52" s="2805" t="s">
        <v>168</v>
      </c>
      <c r="H52" s="2805" t="s">
        <v>3091</v>
      </c>
      <c r="I52" s="2805"/>
    </row>
    <row r="53" spans="1:9" ht="16.5" thickTop="1" thickBot="1">
      <c r="A53" s="2795"/>
      <c r="D53" s="2802">
        <v>565010</v>
      </c>
      <c r="E53" s="2803" t="s">
        <v>761</v>
      </c>
      <c r="F53" s="2803" t="s">
        <v>600</v>
      </c>
      <c r="G53" s="2803" t="s">
        <v>168</v>
      </c>
      <c r="H53" s="2803" t="s">
        <v>3091</v>
      </c>
      <c r="I53" s="2803"/>
    </row>
    <row r="54" spans="1:9" ht="16.5" thickTop="1" thickBot="1">
      <c r="A54" s="2795"/>
      <c r="D54" s="2804">
        <v>566000</v>
      </c>
      <c r="E54" s="2805" t="s">
        <v>762</v>
      </c>
      <c r="F54" s="2805" t="s">
        <v>600</v>
      </c>
      <c r="G54" s="2805" t="s">
        <v>168</v>
      </c>
      <c r="H54" s="2805" t="s">
        <v>3091</v>
      </c>
      <c r="I54" s="2805"/>
    </row>
    <row r="55" spans="1:9" ht="16.5" thickTop="1" thickBot="1">
      <c r="A55" s="2795"/>
      <c r="D55" s="2802">
        <v>567000</v>
      </c>
      <c r="E55" s="2803" t="s">
        <v>2190</v>
      </c>
      <c r="F55" s="2803" t="s">
        <v>600</v>
      </c>
      <c r="G55" s="2803" t="s">
        <v>168</v>
      </c>
      <c r="H55" s="2803" t="s">
        <v>3091</v>
      </c>
      <c r="I55" s="2803"/>
    </row>
    <row r="56" spans="1:9" ht="16.5" thickTop="1" thickBot="1">
      <c r="A56" s="2795"/>
      <c r="D56" s="2804">
        <v>568000</v>
      </c>
      <c r="E56" s="2805" t="s">
        <v>763</v>
      </c>
      <c r="F56" s="2805" t="s">
        <v>600</v>
      </c>
      <c r="G56" s="2805" t="s">
        <v>168</v>
      </c>
      <c r="H56" s="2805" t="s">
        <v>3091</v>
      </c>
      <c r="I56" s="2805"/>
    </row>
    <row r="57" spans="1:9" ht="16.5" thickTop="1" thickBot="1">
      <c r="A57" s="2795"/>
      <c r="D57" s="2802">
        <v>570000</v>
      </c>
      <c r="E57" s="2803" t="s">
        <v>764</v>
      </c>
      <c r="F57" s="2803" t="s">
        <v>600</v>
      </c>
      <c r="G57" s="2803" t="s">
        <v>168</v>
      </c>
      <c r="H57" s="2803" t="s">
        <v>3091</v>
      </c>
      <c r="I57" s="2803"/>
    </row>
    <row r="58" spans="1:9" ht="16.5" thickTop="1" thickBot="1">
      <c r="D58" s="2808">
        <v>571050</v>
      </c>
      <c r="E58" s="2809" t="s">
        <v>765</v>
      </c>
      <c r="F58" s="2809" t="s">
        <v>600</v>
      </c>
      <c r="G58" s="2809" t="s">
        <v>168</v>
      </c>
      <c r="H58" s="2809" t="s">
        <v>3091</v>
      </c>
      <c r="I58" s="2809"/>
    </row>
    <row r="59" spans="1:9" ht="15.75" thickTop="1">
      <c r="F59" s="2798"/>
      <c r="G59" s="2798"/>
      <c r="H59" s="2798"/>
      <c r="I59" s="2798"/>
    </row>
    <row r="60" spans="1:9" ht="15.75" thickBot="1">
      <c r="C60" s="1522" t="s">
        <v>601</v>
      </c>
      <c r="F60" s="2798"/>
      <c r="G60" s="2798"/>
      <c r="H60" s="2798"/>
      <c r="I60" s="2798"/>
    </row>
    <row r="61" spans="1:9" ht="16.5" thickTop="1" thickBot="1">
      <c r="D61" s="2639" t="s">
        <v>3097</v>
      </c>
      <c r="E61" s="2639" t="s">
        <v>660</v>
      </c>
      <c r="F61" s="2639" t="s">
        <v>3088</v>
      </c>
      <c r="G61" s="2639" t="s">
        <v>3089</v>
      </c>
      <c r="H61" s="2639" t="s">
        <v>208</v>
      </c>
      <c r="I61" s="2639" t="s">
        <v>3112</v>
      </c>
    </row>
    <row r="62" spans="1:9" ht="16.5" thickTop="1" thickBot="1">
      <c r="D62" s="2800">
        <v>580000</v>
      </c>
      <c r="E62" s="2801" t="s">
        <v>766</v>
      </c>
      <c r="F62" s="2801" t="s">
        <v>601</v>
      </c>
      <c r="G62" s="2801" t="s">
        <v>3113</v>
      </c>
      <c r="H62" s="2801" t="s">
        <v>1066</v>
      </c>
      <c r="I62" s="2801" t="s">
        <v>3119</v>
      </c>
    </row>
    <row r="63" spans="1:9" ht="16.5" thickTop="1" thickBot="1">
      <c r="D63" s="2802">
        <v>581010</v>
      </c>
      <c r="E63" s="2803" t="s">
        <v>767</v>
      </c>
      <c r="F63" s="2803" t="s">
        <v>601</v>
      </c>
      <c r="G63" s="2803" t="s">
        <v>168</v>
      </c>
      <c r="H63" s="2803" t="s">
        <v>105</v>
      </c>
      <c r="I63" s="2803" t="s">
        <v>3120</v>
      </c>
    </row>
    <row r="64" spans="1:9" ht="16.5" thickTop="1" thickBot="1">
      <c r="D64" s="2804">
        <v>582000</v>
      </c>
      <c r="E64" s="2805" t="s">
        <v>768</v>
      </c>
      <c r="F64" s="2805" t="s">
        <v>601</v>
      </c>
      <c r="G64" s="2805" t="s">
        <v>168</v>
      </c>
      <c r="H64" s="2805" t="s">
        <v>170</v>
      </c>
      <c r="I64" s="2805" t="s">
        <v>3121</v>
      </c>
    </row>
    <row r="65" spans="4:9" ht="16.5" thickTop="1" thickBot="1">
      <c r="D65" s="2810">
        <v>583000</v>
      </c>
      <c r="E65" s="2811" t="s">
        <v>769</v>
      </c>
      <c r="F65" s="2811" t="s">
        <v>601</v>
      </c>
      <c r="G65" s="2811" t="s">
        <v>3113</v>
      </c>
      <c r="H65" s="2811" t="s">
        <v>0</v>
      </c>
      <c r="I65" s="2811" t="s">
        <v>3122</v>
      </c>
    </row>
    <row r="66" spans="4:9" ht="15.75" thickTop="1">
      <c r="D66" s="2812">
        <v>584000</v>
      </c>
      <c r="E66" s="2813" t="s">
        <v>2164</v>
      </c>
      <c r="F66" s="2813" t="s">
        <v>601</v>
      </c>
      <c r="G66" s="2813" t="s">
        <v>3113</v>
      </c>
      <c r="H66" s="2813" t="s">
        <v>1</v>
      </c>
      <c r="I66" s="2813" t="s">
        <v>3123</v>
      </c>
    </row>
    <row r="67" spans="4:9" ht="15.75" thickBot="1">
      <c r="D67" s="2802">
        <v>586000</v>
      </c>
      <c r="E67" s="2803" t="s">
        <v>2165</v>
      </c>
      <c r="F67" s="2803" t="s">
        <v>601</v>
      </c>
      <c r="G67" s="2803" t="s">
        <v>608</v>
      </c>
      <c r="H67" s="2803" t="s">
        <v>172</v>
      </c>
      <c r="I67" s="2803" t="s">
        <v>3124</v>
      </c>
    </row>
    <row r="68" spans="4:9" ht="16.5" thickTop="1" thickBot="1">
      <c r="D68" s="2804">
        <v>584010</v>
      </c>
      <c r="E68" s="2805" t="s">
        <v>770</v>
      </c>
      <c r="F68" s="2805" t="s">
        <v>601</v>
      </c>
      <c r="G68" s="2805" t="s">
        <v>3113</v>
      </c>
      <c r="H68" s="2805" t="s">
        <v>1</v>
      </c>
      <c r="I68" s="2805" t="s">
        <v>3123</v>
      </c>
    </row>
    <row r="69" spans="4:9" ht="16.5" thickTop="1" thickBot="1">
      <c r="D69" s="2802">
        <v>586010</v>
      </c>
      <c r="E69" s="2803" t="s">
        <v>771</v>
      </c>
      <c r="F69" s="2803" t="s">
        <v>601</v>
      </c>
      <c r="G69" s="2803" t="s">
        <v>608</v>
      </c>
      <c r="H69" s="2803" t="s">
        <v>172</v>
      </c>
      <c r="I69" s="2803" t="s">
        <v>3124</v>
      </c>
    </row>
    <row r="70" spans="4:9" ht="16.5" thickTop="1" thickBot="1">
      <c r="D70" s="2804">
        <v>587000</v>
      </c>
      <c r="E70" s="2805" t="s">
        <v>772</v>
      </c>
      <c r="F70" s="2805" t="s">
        <v>601</v>
      </c>
      <c r="G70" s="2805" t="s">
        <v>3113</v>
      </c>
      <c r="H70" s="2805" t="s">
        <v>1066</v>
      </c>
      <c r="I70" s="2805" t="s">
        <v>3125</v>
      </c>
    </row>
    <row r="71" spans="4:9" ht="16.5" thickTop="1" thickBot="1">
      <c r="D71" s="2802">
        <v>588000</v>
      </c>
      <c r="E71" s="2803" t="s">
        <v>773</v>
      </c>
      <c r="F71" s="2803" t="s">
        <v>601</v>
      </c>
      <c r="G71" s="2803" t="s">
        <v>3113</v>
      </c>
      <c r="H71" s="2803" t="s">
        <v>1066</v>
      </c>
      <c r="I71" s="2803" t="s">
        <v>3125</v>
      </c>
    </row>
    <row r="72" spans="4:9" ht="16.5" thickTop="1" thickBot="1">
      <c r="D72" s="2804">
        <v>588030</v>
      </c>
      <c r="E72" s="2805" t="s">
        <v>774</v>
      </c>
      <c r="F72" s="2805" t="s">
        <v>601</v>
      </c>
      <c r="G72" s="2805" t="s">
        <v>3113</v>
      </c>
      <c r="H72" s="2805" t="s">
        <v>1066</v>
      </c>
      <c r="I72" s="2805" t="s">
        <v>3125</v>
      </c>
    </row>
    <row r="73" spans="4:9" ht="16.5" thickTop="1" thickBot="1">
      <c r="D73" s="2802">
        <v>590000</v>
      </c>
      <c r="E73" s="2803" t="s">
        <v>775</v>
      </c>
      <c r="F73" s="2803" t="s">
        <v>601</v>
      </c>
      <c r="G73" s="2803" t="s">
        <v>3113</v>
      </c>
      <c r="H73" s="2803" t="s">
        <v>1066</v>
      </c>
      <c r="I73" s="2803" t="s">
        <v>3125</v>
      </c>
    </row>
    <row r="74" spans="4:9" ht="16.5" thickTop="1" thickBot="1">
      <c r="D74" s="2804">
        <v>592000</v>
      </c>
      <c r="E74" s="2805" t="s">
        <v>776</v>
      </c>
      <c r="F74" s="2805" t="s">
        <v>601</v>
      </c>
      <c r="G74" s="2805" t="s">
        <v>168</v>
      </c>
      <c r="H74" s="2805" t="s">
        <v>2645</v>
      </c>
      <c r="I74" s="2805" t="s">
        <v>3121</v>
      </c>
    </row>
    <row r="75" spans="4:9" ht="16.5" thickTop="1" thickBot="1">
      <c r="D75" s="2802">
        <v>593000</v>
      </c>
      <c r="E75" s="2803" t="s">
        <v>777</v>
      </c>
      <c r="F75" s="2803" t="s">
        <v>601</v>
      </c>
      <c r="G75" s="2803" t="s">
        <v>3113</v>
      </c>
      <c r="H75" s="2803" t="s">
        <v>0</v>
      </c>
      <c r="I75" s="2803" t="s">
        <v>3122</v>
      </c>
    </row>
    <row r="76" spans="4:9" ht="16.5" thickTop="1" thickBot="1">
      <c r="D76" s="2804">
        <v>593010</v>
      </c>
      <c r="E76" s="2805" t="s">
        <v>778</v>
      </c>
      <c r="F76" s="2805" t="s">
        <v>601</v>
      </c>
      <c r="G76" s="2805" t="s">
        <v>3113</v>
      </c>
      <c r="H76" s="2805" t="s">
        <v>0</v>
      </c>
      <c r="I76" s="2805" t="s">
        <v>3122</v>
      </c>
    </row>
    <row r="77" spans="4:9" ht="16.5" thickTop="1" thickBot="1">
      <c r="D77" s="2802">
        <v>594010</v>
      </c>
      <c r="E77" s="2803" t="s">
        <v>779</v>
      </c>
      <c r="F77" s="2803" t="s">
        <v>601</v>
      </c>
      <c r="G77" s="2803" t="s">
        <v>3113</v>
      </c>
      <c r="H77" s="2803" t="s">
        <v>1</v>
      </c>
      <c r="I77" s="2803" t="s">
        <v>3123</v>
      </c>
    </row>
    <row r="78" spans="4:9" ht="16.5" thickTop="1" thickBot="1">
      <c r="D78" s="2804">
        <v>595000</v>
      </c>
      <c r="E78" s="2805" t="s">
        <v>780</v>
      </c>
      <c r="F78" s="2805" t="s">
        <v>601</v>
      </c>
      <c r="G78" s="2805" t="s">
        <v>168</v>
      </c>
      <c r="H78" s="2805" t="s">
        <v>2</v>
      </c>
      <c r="I78" s="2805" t="s">
        <v>3126</v>
      </c>
    </row>
    <row r="79" spans="4:9" ht="16.5" thickTop="1" thickBot="1">
      <c r="D79" s="2802">
        <v>596010</v>
      </c>
      <c r="E79" s="2803" t="s">
        <v>781</v>
      </c>
      <c r="F79" s="2803" t="s">
        <v>601</v>
      </c>
      <c r="G79" s="2803" t="s">
        <v>608</v>
      </c>
      <c r="H79" s="2803" t="s">
        <v>468</v>
      </c>
      <c r="I79" s="2803" t="s">
        <v>3127</v>
      </c>
    </row>
    <row r="80" spans="4:9" ht="16.5" thickTop="1" thickBot="1">
      <c r="D80" s="2808">
        <v>597000</v>
      </c>
      <c r="E80" s="2809" t="s">
        <v>782</v>
      </c>
      <c r="F80" s="2809" t="s">
        <v>601</v>
      </c>
      <c r="G80" s="2809" t="s">
        <v>608</v>
      </c>
      <c r="H80" s="2809" t="s">
        <v>172</v>
      </c>
      <c r="I80" s="2809" t="s">
        <v>3124</v>
      </c>
    </row>
    <row r="81" spans="3:9" ht="15.75" thickTop="1">
      <c r="F81" s="2798"/>
      <c r="G81" s="2798"/>
      <c r="H81" s="2798"/>
      <c r="I81" s="2798"/>
    </row>
    <row r="82" spans="3:9" ht="15.75" thickBot="1">
      <c r="C82" s="1522" t="s">
        <v>376</v>
      </c>
      <c r="F82" s="2798"/>
      <c r="G82" s="2798"/>
      <c r="H82" s="2798"/>
      <c r="I82" s="2798"/>
    </row>
    <row r="83" spans="3:9" ht="16.5" thickTop="1" thickBot="1">
      <c r="D83" s="2639" t="s">
        <v>3097</v>
      </c>
      <c r="E83" s="2639" t="s">
        <v>660</v>
      </c>
      <c r="F83" s="2639" t="s">
        <v>3088</v>
      </c>
      <c r="G83" s="2639" t="s">
        <v>3089</v>
      </c>
      <c r="H83" s="2639" t="s">
        <v>208</v>
      </c>
      <c r="I83" s="2639" t="s">
        <v>3112</v>
      </c>
    </row>
    <row r="84" spans="3:9" ht="16.5" thickTop="1" thickBot="1">
      <c r="D84" s="2800">
        <v>901000</v>
      </c>
      <c r="E84" s="2801" t="s">
        <v>788</v>
      </c>
      <c r="F84" s="2801" t="s">
        <v>608</v>
      </c>
      <c r="G84" s="2801" t="s">
        <v>608</v>
      </c>
      <c r="H84" s="2801" t="s">
        <v>1068</v>
      </c>
      <c r="I84" s="2801" t="s">
        <v>3128</v>
      </c>
    </row>
    <row r="85" spans="3:9" ht="16.5" thickTop="1" thickBot="1">
      <c r="D85" s="2802">
        <v>902000</v>
      </c>
      <c r="E85" s="2803" t="s">
        <v>789</v>
      </c>
      <c r="F85" s="2803" t="s">
        <v>608</v>
      </c>
      <c r="G85" s="2803" t="s">
        <v>608</v>
      </c>
      <c r="H85" s="2803" t="s">
        <v>1068</v>
      </c>
      <c r="I85" s="2803"/>
    </row>
    <row r="86" spans="3:9" ht="16.5" thickTop="1" thickBot="1">
      <c r="D86" s="2804">
        <v>903000</v>
      </c>
      <c r="E86" s="2805" t="s">
        <v>790</v>
      </c>
      <c r="F86" s="2805" t="s">
        <v>608</v>
      </c>
      <c r="G86" s="2805" t="s">
        <v>608</v>
      </c>
      <c r="H86" s="2805" t="s">
        <v>1068</v>
      </c>
      <c r="I86" s="2805"/>
    </row>
    <row r="87" spans="3:9" ht="16.5" thickTop="1" thickBot="1">
      <c r="D87" s="2802">
        <v>903010</v>
      </c>
      <c r="E87" s="2803" t="s">
        <v>791</v>
      </c>
      <c r="F87" s="2803" t="s">
        <v>608</v>
      </c>
      <c r="G87" s="2803" t="s">
        <v>608</v>
      </c>
      <c r="H87" s="2803" t="s">
        <v>1068</v>
      </c>
      <c r="I87" s="2803"/>
    </row>
    <row r="88" spans="3:9" ht="16.5" thickTop="1" thickBot="1">
      <c r="D88" s="2804">
        <v>903030</v>
      </c>
      <c r="E88" s="2805" t="s">
        <v>792</v>
      </c>
      <c r="F88" s="2805" t="s">
        <v>608</v>
      </c>
      <c r="G88" s="2805" t="s">
        <v>608</v>
      </c>
      <c r="H88" s="2805" t="s">
        <v>1068</v>
      </c>
      <c r="I88" s="2805"/>
    </row>
    <row r="89" spans="3:9" ht="16.5" thickTop="1" thickBot="1">
      <c r="D89" s="2802">
        <v>904000</v>
      </c>
      <c r="E89" s="2803" t="s">
        <v>793</v>
      </c>
      <c r="F89" s="2803" t="s">
        <v>608</v>
      </c>
      <c r="G89" s="2803" t="s">
        <v>608</v>
      </c>
      <c r="H89" s="2803" t="s">
        <v>1068</v>
      </c>
      <c r="I89" s="2803"/>
    </row>
    <row r="90" spans="3:9" ht="16.5" thickTop="1" thickBot="1">
      <c r="D90" s="2804">
        <v>906000</v>
      </c>
      <c r="E90" s="2805" t="s">
        <v>2192</v>
      </c>
      <c r="F90" s="2805" t="s">
        <v>608</v>
      </c>
      <c r="G90" s="2805" t="s">
        <v>608</v>
      </c>
      <c r="H90" s="2805" t="s">
        <v>1068</v>
      </c>
      <c r="I90" s="2805"/>
    </row>
    <row r="91" spans="3:9" ht="16.5" thickTop="1" thickBot="1">
      <c r="D91" s="2802">
        <v>906100</v>
      </c>
      <c r="E91" s="2803" t="s">
        <v>794</v>
      </c>
      <c r="F91" s="2803" t="s">
        <v>608</v>
      </c>
      <c r="G91" s="2803" t="s">
        <v>608</v>
      </c>
      <c r="H91" s="2803" t="s">
        <v>1048</v>
      </c>
      <c r="I91" s="2803" t="s">
        <v>3129</v>
      </c>
    </row>
    <row r="92" spans="3:9" ht="16.5" thickTop="1" thickBot="1">
      <c r="D92" s="2804">
        <v>908000</v>
      </c>
      <c r="E92" s="2805" t="s">
        <v>795</v>
      </c>
      <c r="F92" s="2805" t="s">
        <v>608</v>
      </c>
      <c r="G92" s="2805" t="s">
        <v>608</v>
      </c>
      <c r="H92" s="2805" t="s">
        <v>1068</v>
      </c>
      <c r="I92" s="2805"/>
    </row>
    <row r="93" spans="3:9" ht="16.5" thickTop="1" thickBot="1">
      <c r="D93" s="2802">
        <v>909010</v>
      </c>
      <c r="E93" s="2803" t="s">
        <v>796</v>
      </c>
      <c r="F93" s="2803" t="s">
        <v>608</v>
      </c>
      <c r="G93" s="2803" t="s">
        <v>608</v>
      </c>
      <c r="H93" s="2803" t="s">
        <v>1068</v>
      </c>
      <c r="I93" s="2803"/>
    </row>
    <row r="94" spans="3:9" ht="16.5" thickTop="1" thickBot="1">
      <c r="D94" s="2808">
        <v>910020</v>
      </c>
      <c r="E94" s="2809" t="s">
        <v>797</v>
      </c>
      <c r="F94" s="2809" t="s">
        <v>608</v>
      </c>
      <c r="G94" s="2809" t="s">
        <v>608</v>
      </c>
      <c r="H94" s="2809" t="s">
        <v>1068</v>
      </c>
      <c r="I94" s="2809"/>
    </row>
    <row r="95" spans="3:9" ht="15.75" thickTop="1">
      <c r="F95" s="2798"/>
      <c r="G95" s="2798"/>
      <c r="H95" s="2798"/>
      <c r="I95" s="2798"/>
    </row>
    <row r="96" spans="3:9" ht="15.75" thickBot="1">
      <c r="C96" s="1522" t="s">
        <v>3093</v>
      </c>
      <c r="F96" s="2798"/>
      <c r="G96" s="2798"/>
      <c r="H96" s="2798"/>
      <c r="I96" s="2798"/>
    </row>
    <row r="97" spans="3:9" ht="16.5" thickTop="1" thickBot="1">
      <c r="D97" s="2639" t="s">
        <v>3097</v>
      </c>
      <c r="E97" s="2639" t="s">
        <v>660</v>
      </c>
      <c r="F97" s="2639" t="s">
        <v>3088</v>
      </c>
      <c r="G97" s="2639" t="s">
        <v>3089</v>
      </c>
      <c r="H97" s="2639" t="s">
        <v>208</v>
      </c>
      <c r="I97" s="2639" t="s">
        <v>3112</v>
      </c>
    </row>
    <row r="98" spans="3:9" ht="31.5" thickTop="1" thickBot="1">
      <c r="D98" s="2800">
        <v>923801</v>
      </c>
      <c r="E98" s="2801" t="s">
        <v>805</v>
      </c>
      <c r="F98" s="2801" t="s">
        <v>3092</v>
      </c>
      <c r="G98" s="2801" t="s">
        <v>3114</v>
      </c>
      <c r="H98" s="2801" t="s">
        <v>1053</v>
      </c>
      <c r="I98" s="2801" t="s">
        <v>3179</v>
      </c>
    </row>
    <row r="99" spans="3:9" ht="31.5" thickTop="1" thickBot="1">
      <c r="D99" s="2802">
        <v>930801</v>
      </c>
      <c r="E99" s="2803" t="s">
        <v>806</v>
      </c>
      <c r="F99" s="2803" t="s">
        <v>3092</v>
      </c>
      <c r="G99" s="2803" t="s">
        <v>3114</v>
      </c>
      <c r="H99" s="2803" t="s">
        <v>1053</v>
      </c>
      <c r="I99" s="2803"/>
    </row>
    <row r="100" spans="3:9" ht="31.5" thickTop="1" thickBot="1">
      <c r="D100" s="2804">
        <v>935801</v>
      </c>
      <c r="E100" s="2805" t="s">
        <v>807</v>
      </c>
      <c r="F100" s="2805" t="s">
        <v>3092</v>
      </c>
      <c r="G100" s="2805" t="s">
        <v>3114</v>
      </c>
      <c r="H100" s="2805" t="s">
        <v>1053</v>
      </c>
      <c r="I100" s="2805"/>
    </row>
    <row r="101" spans="3:9" ht="31.5" thickTop="1" thickBot="1">
      <c r="D101" s="2802">
        <v>935802</v>
      </c>
      <c r="E101" s="2803" t="s">
        <v>808</v>
      </c>
      <c r="F101" s="2803" t="s">
        <v>3092</v>
      </c>
      <c r="G101" s="2803" t="s">
        <v>3114</v>
      </c>
      <c r="H101" s="2803" t="s">
        <v>1053</v>
      </c>
      <c r="I101" s="2803"/>
    </row>
    <row r="102" spans="3:9" ht="31.5" thickTop="1" thickBot="1">
      <c r="D102" s="2804">
        <v>935805</v>
      </c>
      <c r="E102" s="2805" t="s">
        <v>809</v>
      </c>
      <c r="F102" s="2805" t="s">
        <v>3092</v>
      </c>
      <c r="G102" s="2805" t="s">
        <v>3114</v>
      </c>
      <c r="H102" s="2805" t="s">
        <v>1053</v>
      </c>
      <c r="I102" s="2805"/>
    </row>
    <row r="103" spans="3:9" ht="31.5" thickTop="1" thickBot="1">
      <c r="D103" s="2802">
        <v>935806</v>
      </c>
      <c r="E103" s="2803" t="s">
        <v>810</v>
      </c>
      <c r="F103" s="2803" t="s">
        <v>3092</v>
      </c>
      <c r="G103" s="2803" t="s">
        <v>3114</v>
      </c>
      <c r="H103" s="2803" t="s">
        <v>1053</v>
      </c>
      <c r="I103" s="2803"/>
    </row>
    <row r="104" spans="3:9" ht="31.5" thickTop="1" thickBot="1">
      <c r="D104" s="2808">
        <v>935807</v>
      </c>
      <c r="E104" s="2809" t="s">
        <v>811</v>
      </c>
      <c r="F104" s="2809" t="s">
        <v>3092</v>
      </c>
      <c r="G104" s="2809" t="s">
        <v>3114</v>
      </c>
      <c r="H104" s="2809" t="s">
        <v>1053</v>
      </c>
      <c r="I104" s="2809"/>
    </row>
    <row r="105" spans="3:9" ht="15.75" thickTop="1">
      <c r="F105" s="2798"/>
      <c r="G105" s="2798"/>
      <c r="H105" s="2798"/>
      <c r="I105" s="2798"/>
    </row>
    <row r="106" spans="3:9" ht="15.75" thickBot="1">
      <c r="C106" s="1522" t="s">
        <v>3095</v>
      </c>
      <c r="F106" s="2798"/>
      <c r="G106" s="2798"/>
      <c r="H106" s="2798"/>
      <c r="I106" s="2798"/>
    </row>
    <row r="107" spans="3:9" ht="16.5" thickTop="1" thickBot="1">
      <c r="D107" s="2639" t="s">
        <v>3097</v>
      </c>
      <c r="E107" s="2639" t="s">
        <v>660</v>
      </c>
      <c r="F107" s="2639" t="s">
        <v>3088</v>
      </c>
      <c r="G107" s="2639" t="s">
        <v>3089</v>
      </c>
      <c r="H107" s="2639" t="s">
        <v>208</v>
      </c>
      <c r="I107" s="2639" t="s">
        <v>3112</v>
      </c>
    </row>
    <row r="108" spans="3:9" ht="16.5" thickTop="1" thickBot="1">
      <c r="D108" s="2800">
        <v>426500</v>
      </c>
      <c r="E108" s="2801" t="s">
        <v>812</v>
      </c>
      <c r="F108" s="2801" t="s">
        <v>3094</v>
      </c>
      <c r="G108" s="2801" t="s">
        <v>3114</v>
      </c>
      <c r="H108" s="2801" t="s">
        <v>1067</v>
      </c>
      <c r="I108" s="2801" t="s">
        <v>3130</v>
      </c>
    </row>
    <row r="109" spans="3:9" ht="16.5" thickTop="1" thickBot="1">
      <c r="D109" s="2802">
        <v>920010</v>
      </c>
      <c r="E109" s="2803" t="s">
        <v>813</v>
      </c>
      <c r="F109" s="2803" t="s">
        <v>3094</v>
      </c>
      <c r="G109" s="2803" t="s">
        <v>3114</v>
      </c>
      <c r="H109" s="2803" t="s">
        <v>1067</v>
      </c>
      <c r="I109" s="2803" t="s">
        <v>3131</v>
      </c>
    </row>
    <row r="110" spans="3:9" ht="16.5" thickTop="1" thickBot="1">
      <c r="D110" s="2804">
        <v>920030</v>
      </c>
      <c r="E110" s="2805" t="s">
        <v>814</v>
      </c>
      <c r="F110" s="2805" t="s">
        <v>3094</v>
      </c>
      <c r="G110" s="2805" t="s">
        <v>3114</v>
      </c>
      <c r="H110" s="2805" t="s">
        <v>1067</v>
      </c>
      <c r="I110" s="2805"/>
    </row>
    <row r="111" spans="3:9" ht="16.5" thickTop="1" thickBot="1">
      <c r="D111" s="2802">
        <v>920050</v>
      </c>
      <c r="E111" s="2803" t="s">
        <v>1843</v>
      </c>
      <c r="F111" s="2803" t="s">
        <v>3094</v>
      </c>
      <c r="G111" s="2803" t="s">
        <v>3114</v>
      </c>
      <c r="H111" s="2803" t="s">
        <v>1067</v>
      </c>
      <c r="I111" s="2803"/>
    </row>
    <row r="112" spans="3:9" ht="16.5" thickTop="1" thickBot="1">
      <c r="D112" s="2804">
        <v>921010</v>
      </c>
      <c r="E112" s="2805" t="s">
        <v>815</v>
      </c>
      <c r="F112" s="2805" t="s">
        <v>3094</v>
      </c>
      <c r="G112" s="2805" t="s">
        <v>3114</v>
      </c>
      <c r="H112" s="2805" t="s">
        <v>1067</v>
      </c>
      <c r="I112" s="2805"/>
    </row>
    <row r="113" spans="4:9" ht="16.5" thickTop="1" thickBot="1">
      <c r="D113" s="2802">
        <v>921030</v>
      </c>
      <c r="E113" s="2803" t="s">
        <v>816</v>
      </c>
      <c r="F113" s="2803" t="s">
        <v>3094</v>
      </c>
      <c r="G113" s="2803" t="s">
        <v>3114</v>
      </c>
      <c r="H113" s="2803" t="s">
        <v>1067</v>
      </c>
      <c r="I113" s="2803"/>
    </row>
    <row r="114" spans="4:9" ht="16.5" thickTop="1" thickBot="1">
      <c r="D114" s="2804">
        <v>921500</v>
      </c>
      <c r="E114" s="2805" t="s">
        <v>817</v>
      </c>
      <c r="F114" s="2805" t="s">
        <v>3094</v>
      </c>
      <c r="G114" s="2805" t="s">
        <v>3114</v>
      </c>
      <c r="H114" s="2805" t="s">
        <v>1067</v>
      </c>
      <c r="I114" s="2805"/>
    </row>
    <row r="115" spans="4:9" ht="16.5" thickTop="1" thickBot="1">
      <c r="D115" s="2802">
        <v>921600</v>
      </c>
      <c r="E115" s="2803" t="s">
        <v>818</v>
      </c>
      <c r="F115" s="2803" t="s">
        <v>3094</v>
      </c>
      <c r="G115" s="2803" t="s">
        <v>3114</v>
      </c>
      <c r="H115" s="2803" t="s">
        <v>1067</v>
      </c>
      <c r="I115" s="2803"/>
    </row>
    <row r="116" spans="4:9" ht="16.5" thickTop="1" thickBot="1">
      <c r="D116" s="2804">
        <v>923010</v>
      </c>
      <c r="E116" s="2805" t="s">
        <v>819</v>
      </c>
      <c r="F116" s="2805" t="s">
        <v>3094</v>
      </c>
      <c r="G116" s="2805" t="s">
        <v>3114</v>
      </c>
      <c r="H116" s="2805" t="s">
        <v>263</v>
      </c>
      <c r="I116" s="2805" t="s">
        <v>3180</v>
      </c>
    </row>
    <row r="117" spans="4:9" ht="16.5" thickTop="1" thickBot="1">
      <c r="D117" s="2802">
        <v>923020</v>
      </c>
      <c r="E117" s="2803" t="s">
        <v>820</v>
      </c>
      <c r="F117" s="2803" t="s">
        <v>3094</v>
      </c>
      <c r="G117" s="2803" t="s">
        <v>3114</v>
      </c>
      <c r="H117" s="2803" t="s">
        <v>263</v>
      </c>
      <c r="I117" s="2803" t="s">
        <v>3180</v>
      </c>
    </row>
    <row r="118" spans="4:9" ht="16.5" thickTop="1" thickBot="1">
      <c r="D118" s="2804">
        <v>923030</v>
      </c>
      <c r="E118" s="2805" t="s">
        <v>821</v>
      </c>
      <c r="F118" s="2805" t="s">
        <v>3094</v>
      </c>
      <c r="G118" s="2805" t="s">
        <v>3114</v>
      </c>
      <c r="H118" s="2805" t="s">
        <v>263</v>
      </c>
      <c r="I118" s="2805" t="s">
        <v>3180</v>
      </c>
    </row>
    <row r="119" spans="4:9" ht="16.5" thickTop="1" thickBot="1">
      <c r="D119" s="2802">
        <v>923040</v>
      </c>
      <c r="E119" s="2803" t="s">
        <v>822</v>
      </c>
      <c r="F119" s="2803" t="s">
        <v>3094</v>
      </c>
      <c r="G119" s="2803" t="s">
        <v>3114</v>
      </c>
      <c r="H119" s="2803" t="s">
        <v>263</v>
      </c>
      <c r="I119" s="2803" t="s">
        <v>3180</v>
      </c>
    </row>
    <row r="120" spans="4:9" ht="60.75" thickTop="1">
      <c r="D120" s="2812">
        <v>924020</v>
      </c>
      <c r="E120" s="2813" t="s">
        <v>823</v>
      </c>
      <c r="F120" s="2813" t="s">
        <v>3094</v>
      </c>
      <c r="G120" s="2813" t="s">
        <v>3114</v>
      </c>
      <c r="H120" s="2813" t="s">
        <v>3098</v>
      </c>
      <c r="I120" s="2813" t="s">
        <v>3132</v>
      </c>
    </row>
    <row r="121" spans="4:9" ht="15.75" thickBot="1">
      <c r="D121" s="2802">
        <v>924040</v>
      </c>
      <c r="E121" s="2803" t="s">
        <v>2166</v>
      </c>
      <c r="F121" s="2803" t="s">
        <v>3094</v>
      </c>
      <c r="G121" s="2803" t="s">
        <v>3114</v>
      </c>
      <c r="H121" s="2803" t="s">
        <v>263</v>
      </c>
      <c r="I121" s="2803"/>
    </row>
    <row r="122" spans="4:9" ht="16.5" thickTop="1" thickBot="1">
      <c r="D122" s="2804">
        <v>924500</v>
      </c>
      <c r="E122" s="2805" t="s">
        <v>824</v>
      </c>
      <c r="F122" s="2805" t="s">
        <v>3094</v>
      </c>
      <c r="G122" s="2805" t="s">
        <v>3114</v>
      </c>
      <c r="H122" s="2805" t="s">
        <v>2764</v>
      </c>
      <c r="I122" s="2805" t="s">
        <v>3133</v>
      </c>
    </row>
    <row r="123" spans="4:9" ht="16.5" thickTop="1" thickBot="1">
      <c r="D123" s="2802">
        <v>924600</v>
      </c>
      <c r="E123" s="2803" t="s">
        <v>825</v>
      </c>
      <c r="F123" s="2803" t="s">
        <v>3094</v>
      </c>
      <c r="G123" s="2803" t="s">
        <v>3114</v>
      </c>
      <c r="H123" s="2803" t="s">
        <v>2764</v>
      </c>
      <c r="I123" s="2803" t="s">
        <v>3133</v>
      </c>
    </row>
    <row r="124" spans="4:9" ht="16.5" thickTop="1" thickBot="1">
      <c r="D124" s="2804">
        <v>925030</v>
      </c>
      <c r="E124" s="2805" t="s">
        <v>826</v>
      </c>
      <c r="F124" s="2805" t="s">
        <v>3094</v>
      </c>
      <c r="G124" s="2805" t="s">
        <v>3114</v>
      </c>
      <c r="H124" s="2805" t="s">
        <v>1067</v>
      </c>
      <c r="I124" s="2805"/>
    </row>
    <row r="125" spans="4:9" ht="16.5" thickTop="1" thickBot="1">
      <c r="D125" s="2802">
        <v>925040</v>
      </c>
      <c r="E125" s="2803" t="s">
        <v>827</v>
      </c>
      <c r="F125" s="2803" t="s">
        <v>3094</v>
      </c>
      <c r="G125" s="2803" t="s">
        <v>3114</v>
      </c>
      <c r="H125" s="2803" t="s">
        <v>1067</v>
      </c>
      <c r="I125" s="2803"/>
    </row>
    <row r="126" spans="4:9" ht="16.5" thickTop="1" thickBot="1">
      <c r="D126" s="2804">
        <v>925050</v>
      </c>
      <c r="E126" s="2805" t="s">
        <v>828</v>
      </c>
      <c r="F126" s="2805" t="s">
        <v>3094</v>
      </c>
      <c r="G126" s="2805" t="s">
        <v>3114</v>
      </c>
      <c r="H126" s="2805" t="s">
        <v>1067</v>
      </c>
      <c r="I126" s="2805"/>
    </row>
    <row r="127" spans="4:9" ht="16.5" thickTop="1" thickBot="1">
      <c r="D127" s="2802">
        <v>926999</v>
      </c>
      <c r="E127" s="2803" t="s">
        <v>829</v>
      </c>
      <c r="F127" s="2803" t="s">
        <v>3094</v>
      </c>
      <c r="G127" s="2803" t="s">
        <v>3114</v>
      </c>
      <c r="H127" s="2803" t="s">
        <v>1067</v>
      </c>
      <c r="I127" s="2803"/>
    </row>
    <row r="128" spans="4:9" ht="16.5" thickTop="1" thickBot="1">
      <c r="D128" s="2804">
        <v>928030</v>
      </c>
      <c r="E128" s="2805" t="s">
        <v>830</v>
      </c>
      <c r="F128" s="2805" t="s">
        <v>3094</v>
      </c>
      <c r="G128" s="2805" t="s">
        <v>3114</v>
      </c>
      <c r="H128" s="2805" t="s">
        <v>263</v>
      </c>
      <c r="I128" s="2805" t="s">
        <v>3180</v>
      </c>
    </row>
    <row r="129" spans="3:9" ht="16.5" thickTop="1" thickBot="1">
      <c r="D129" s="2802">
        <v>928500</v>
      </c>
      <c r="E129" s="2803" t="s">
        <v>831</v>
      </c>
      <c r="F129" s="2803" t="s">
        <v>3094</v>
      </c>
      <c r="G129" s="2803" t="s">
        <v>3114</v>
      </c>
      <c r="H129" s="2803" t="s">
        <v>263</v>
      </c>
      <c r="I129" s="2803" t="s">
        <v>3180</v>
      </c>
    </row>
    <row r="130" spans="3:9" ht="16.5" thickTop="1" thickBot="1">
      <c r="D130" s="2804">
        <v>928600</v>
      </c>
      <c r="E130" s="2805" t="s">
        <v>832</v>
      </c>
      <c r="F130" s="2805" t="s">
        <v>3094</v>
      </c>
      <c r="G130" s="2805" t="s">
        <v>3114</v>
      </c>
      <c r="H130" s="2805" t="s">
        <v>263</v>
      </c>
      <c r="I130" s="2805" t="s">
        <v>3180</v>
      </c>
    </row>
    <row r="131" spans="3:9" ht="16.5" thickTop="1" thickBot="1">
      <c r="D131" s="2802">
        <v>929010</v>
      </c>
      <c r="E131" s="2803" t="s">
        <v>833</v>
      </c>
      <c r="F131" s="2803" t="s">
        <v>3094</v>
      </c>
      <c r="G131" s="2803" t="s">
        <v>3114</v>
      </c>
      <c r="H131" s="2803" t="s">
        <v>263</v>
      </c>
      <c r="I131" s="2803" t="s">
        <v>3180</v>
      </c>
    </row>
    <row r="132" spans="3:9" ht="16.5" thickTop="1" thickBot="1">
      <c r="D132" s="2804">
        <v>929020</v>
      </c>
      <c r="E132" s="2805" t="s">
        <v>834</v>
      </c>
      <c r="F132" s="2805" t="s">
        <v>3094</v>
      </c>
      <c r="G132" s="2805" t="s">
        <v>3114</v>
      </c>
      <c r="H132" s="2805" t="s">
        <v>263</v>
      </c>
      <c r="I132" s="2805" t="s">
        <v>3180</v>
      </c>
    </row>
    <row r="133" spans="3:9" ht="16.5" thickTop="1" thickBot="1">
      <c r="D133" s="2802">
        <v>929880</v>
      </c>
      <c r="E133" s="2803" t="s">
        <v>835</v>
      </c>
      <c r="F133" s="2803" t="s">
        <v>3094</v>
      </c>
      <c r="G133" s="2803" t="s">
        <v>3114</v>
      </c>
      <c r="H133" s="2803" t="s">
        <v>263</v>
      </c>
      <c r="I133" s="2803" t="s">
        <v>3180</v>
      </c>
    </row>
    <row r="134" spans="3:9" ht="16.5" thickTop="1" thickBot="1">
      <c r="D134" s="2804">
        <v>929980</v>
      </c>
      <c r="E134" s="2805" t="s">
        <v>836</v>
      </c>
      <c r="F134" s="2805" t="s">
        <v>3094</v>
      </c>
      <c r="G134" s="2805" t="s">
        <v>3114</v>
      </c>
      <c r="H134" s="2805" t="s">
        <v>263</v>
      </c>
      <c r="I134" s="2805" t="s">
        <v>3180</v>
      </c>
    </row>
    <row r="135" spans="3:9" ht="16.5" thickTop="1" thickBot="1">
      <c r="D135" s="2802">
        <v>930010</v>
      </c>
      <c r="E135" s="2803" t="s">
        <v>837</v>
      </c>
      <c r="F135" s="2803" t="s">
        <v>3094</v>
      </c>
      <c r="G135" s="2803" t="s">
        <v>3114</v>
      </c>
      <c r="H135" s="2803" t="s">
        <v>1067</v>
      </c>
      <c r="I135" s="2803"/>
    </row>
    <row r="136" spans="3:9" ht="16.5" thickTop="1" thickBot="1">
      <c r="D136" s="2804">
        <v>930110</v>
      </c>
      <c r="E136" s="2805" t="s">
        <v>838</v>
      </c>
      <c r="F136" s="2805" t="s">
        <v>3094</v>
      </c>
      <c r="G136" s="2805" t="s">
        <v>3114</v>
      </c>
      <c r="H136" s="2805" t="s">
        <v>1067</v>
      </c>
      <c r="I136" s="2805"/>
    </row>
    <row r="137" spans="3:9" ht="16.5" thickTop="1" thickBot="1">
      <c r="D137" s="2802">
        <v>931000</v>
      </c>
      <c r="E137" s="2803" t="s">
        <v>839</v>
      </c>
      <c r="F137" s="2803" t="s">
        <v>3094</v>
      </c>
      <c r="G137" s="2803" t="s">
        <v>3114</v>
      </c>
      <c r="H137" s="2803" t="s">
        <v>1067</v>
      </c>
      <c r="I137" s="2803"/>
    </row>
    <row r="138" spans="3:9" ht="16.5" thickTop="1" thickBot="1">
      <c r="D138" s="2804">
        <v>931010</v>
      </c>
      <c r="E138" s="2805" t="s">
        <v>840</v>
      </c>
      <c r="F138" s="2805" t="s">
        <v>3094</v>
      </c>
      <c r="G138" s="2805" t="s">
        <v>3114</v>
      </c>
      <c r="H138" s="2805" t="s">
        <v>1067</v>
      </c>
      <c r="I138" s="2805"/>
    </row>
    <row r="139" spans="3:9" ht="16.5" thickTop="1" thickBot="1">
      <c r="D139" s="2802">
        <v>935010</v>
      </c>
      <c r="E139" s="2803" t="s">
        <v>841</v>
      </c>
      <c r="F139" s="2803" t="s">
        <v>3094</v>
      </c>
      <c r="G139" s="2803" t="s">
        <v>3114</v>
      </c>
      <c r="H139" s="2803" t="s">
        <v>263</v>
      </c>
      <c r="I139" s="2803"/>
    </row>
    <row r="140" spans="3:9" ht="16.5" thickTop="1" thickBot="1">
      <c r="D140" s="2808">
        <v>935020</v>
      </c>
      <c r="E140" s="2809" t="s">
        <v>842</v>
      </c>
      <c r="F140" s="2809" t="s">
        <v>3094</v>
      </c>
      <c r="G140" s="2809" t="s">
        <v>3114</v>
      </c>
      <c r="H140" s="2809" t="s">
        <v>263</v>
      </c>
      <c r="I140" s="2809"/>
    </row>
    <row r="141" spans="3:9" ht="15.75" thickTop="1">
      <c r="F141" s="2798"/>
      <c r="G141" s="2798"/>
      <c r="H141" s="2798"/>
      <c r="I141" s="2798"/>
    </row>
    <row r="142" spans="3:9" ht="15.75" thickBot="1">
      <c r="C142" s="1522" t="s">
        <v>3096</v>
      </c>
      <c r="F142" s="2798"/>
      <c r="G142" s="2798"/>
      <c r="H142" s="2798"/>
      <c r="I142" s="2798"/>
    </row>
    <row r="143" spans="3:9" ht="16.5" thickTop="1" thickBot="1">
      <c r="D143" s="2639"/>
      <c r="E143" s="2639" t="s">
        <v>660</v>
      </c>
      <c r="F143" s="2639" t="s">
        <v>3088</v>
      </c>
      <c r="G143" s="2639" t="s">
        <v>3089</v>
      </c>
      <c r="H143" s="2639" t="s">
        <v>208</v>
      </c>
      <c r="I143" s="2639" t="s">
        <v>3112</v>
      </c>
    </row>
    <row r="144" spans="3:9" ht="31.5" thickTop="1" thickBot="1">
      <c r="D144" s="2800" t="s">
        <v>2279</v>
      </c>
      <c r="E144" s="2801" t="s">
        <v>573</v>
      </c>
      <c r="F144" s="2801" t="s">
        <v>503</v>
      </c>
      <c r="G144" s="2801" t="s">
        <v>3114</v>
      </c>
      <c r="H144" s="2801" t="s">
        <v>2769</v>
      </c>
      <c r="I144" s="2801" t="s">
        <v>3134</v>
      </c>
    </row>
    <row r="145" spans="4:9" ht="16.5" thickTop="1" thickBot="1">
      <c r="D145" s="2802" t="s">
        <v>2279</v>
      </c>
      <c r="E145" s="2803" t="s">
        <v>2656</v>
      </c>
      <c r="F145" s="2803" t="s">
        <v>503</v>
      </c>
      <c r="G145" s="2803" t="s">
        <v>3114</v>
      </c>
      <c r="H145" s="2803" t="s">
        <v>2769</v>
      </c>
      <c r="I145" s="2803" t="s">
        <v>3137</v>
      </c>
    </row>
    <row r="146" spans="4:9" ht="16.5" thickTop="1" thickBot="1">
      <c r="D146" s="2804" t="s">
        <v>2279</v>
      </c>
      <c r="E146" s="2805" t="s">
        <v>484</v>
      </c>
      <c r="F146" s="2805" t="s">
        <v>503</v>
      </c>
      <c r="G146" s="2805" t="s">
        <v>3114</v>
      </c>
      <c r="H146" s="2805" t="s">
        <v>2769</v>
      </c>
      <c r="I146" s="2805" t="s">
        <v>3135</v>
      </c>
    </row>
    <row r="147" spans="4:9" ht="16.5" thickTop="1" thickBot="1">
      <c r="D147" s="2802" t="s">
        <v>2279</v>
      </c>
      <c r="E147" s="2803" t="s">
        <v>843</v>
      </c>
      <c r="F147" s="2803" t="s">
        <v>503</v>
      </c>
      <c r="G147" s="2803" t="s">
        <v>3114</v>
      </c>
      <c r="H147" s="2803" t="s">
        <v>263</v>
      </c>
      <c r="I147" s="2803" t="s">
        <v>3181</v>
      </c>
    </row>
    <row r="148" spans="4:9" ht="16.5" thickTop="1" thickBot="1">
      <c r="D148" s="2804" t="s">
        <v>2279</v>
      </c>
      <c r="E148" s="2805" t="s">
        <v>2648</v>
      </c>
      <c r="F148" s="2805" t="s">
        <v>503</v>
      </c>
      <c r="G148" s="2805" t="s">
        <v>3114</v>
      </c>
      <c r="H148" s="2805" t="s">
        <v>977</v>
      </c>
      <c r="I148" s="2805" t="s">
        <v>3136</v>
      </c>
    </row>
    <row r="149" spans="4:9" ht="16.5" thickTop="1" thickBot="1">
      <c r="D149" s="2802" t="s">
        <v>2279</v>
      </c>
      <c r="E149" s="2803" t="s">
        <v>283</v>
      </c>
      <c r="F149" s="2803" t="s">
        <v>503</v>
      </c>
      <c r="G149" s="2803" t="s">
        <v>3114</v>
      </c>
      <c r="H149" s="2803" t="s">
        <v>1048</v>
      </c>
      <c r="I149" s="2803" t="s">
        <v>3138</v>
      </c>
    </row>
    <row r="150" spans="4:9" ht="16.5" thickTop="1" thickBot="1">
      <c r="D150" s="2804" t="s">
        <v>2279</v>
      </c>
      <c r="E150" s="2805" t="s">
        <v>284</v>
      </c>
      <c r="F150" s="2805" t="s">
        <v>503</v>
      </c>
      <c r="G150" s="2805" t="s">
        <v>3114</v>
      </c>
      <c r="H150" s="2805" t="s">
        <v>1048</v>
      </c>
      <c r="I150" s="2805" t="s">
        <v>3138</v>
      </c>
    </row>
    <row r="151" spans="4:9" ht="16.5" thickTop="1" thickBot="1">
      <c r="D151" s="2802" t="s">
        <v>2279</v>
      </c>
      <c r="E151" s="2803" t="s">
        <v>285</v>
      </c>
      <c r="F151" s="2803" t="s">
        <v>503</v>
      </c>
      <c r="G151" s="2803" t="s">
        <v>3114</v>
      </c>
      <c r="H151" s="2803" t="s">
        <v>1048</v>
      </c>
      <c r="I151" s="2803" t="s">
        <v>3138</v>
      </c>
    </row>
    <row r="152" spans="4:9" ht="16.5" thickTop="1" thickBot="1">
      <c r="D152" s="2804" t="s">
        <v>2279</v>
      </c>
      <c r="E152" s="2805" t="s">
        <v>286</v>
      </c>
      <c r="F152" s="2805" t="s">
        <v>503</v>
      </c>
      <c r="G152" s="2805" t="s">
        <v>3114</v>
      </c>
      <c r="H152" s="2805" t="s">
        <v>485</v>
      </c>
      <c r="I152" s="2805" t="s">
        <v>3139</v>
      </c>
    </row>
    <row r="153" spans="4:9" ht="16.5" thickTop="1" thickBot="1">
      <c r="D153" s="2802" t="s">
        <v>2279</v>
      </c>
      <c r="E153" s="2803" t="s">
        <v>287</v>
      </c>
      <c r="F153" s="2803" t="s">
        <v>503</v>
      </c>
      <c r="G153" s="2803" t="s">
        <v>3114</v>
      </c>
      <c r="H153" s="2803" t="s">
        <v>2769</v>
      </c>
      <c r="I153" s="2803" t="s">
        <v>3182</v>
      </c>
    </row>
    <row r="154" spans="4:9" ht="16.5" thickTop="1" thickBot="1">
      <c r="D154" s="2804" t="s">
        <v>2279</v>
      </c>
      <c r="E154" s="2805" t="s">
        <v>1944</v>
      </c>
      <c r="F154" s="2805" t="s">
        <v>503</v>
      </c>
      <c r="G154" s="2805" t="s">
        <v>3114</v>
      </c>
      <c r="H154" s="2805" t="s">
        <v>2769</v>
      </c>
      <c r="I154" s="2805" t="s">
        <v>3183</v>
      </c>
    </row>
    <row r="155" spans="4:9" ht="16.5" thickTop="1" thickBot="1">
      <c r="D155" s="2804" t="s">
        <v>2279</v>
      </c>
      <c r="E155" s="2805" t="s">
        <v>264</v>
      </c>
      <c r="F155" s="2805" t="s">
        <v>503</v>
      </c>
      <c r="G155" s="2805" t="s">
        <v>3114</v>
      </c>
      <c r="H155" s="2805" t="s">
        <v>2764</v>
      </c>
      <c r="I155" s="2805" t="s">
        <v>3140</v>
      </c>
    </row>
    <row r="156" spans="4:9" ht="31.5" thickTop="1" thickBot="1">
      <c r="D156" s="2806" t="s">
        <v>2279</v>
      </c>
      <c r="E156" s="2807" t="s">
        <v>2771</v>
      </c>
      <c r="F156" s="2807" t="s">
        <v>503</v>
      </c>
      <c r="G156" s="2807" t="s">
        <v>3114</v>
      </c>
      <c r="H156" s="2807" t="s">
        <v>1053</v>
      </c>
      <c r="I156" s="2807" t="s">
        <v>3184</v>
      </c>
    </row>
    <row r="157" spans="4:9" ht="15.75" thickTop="1">
      <c r="I157" s="2833"/>
    </row>
    <row r="158" spans="4:9">
      <c r="I158" s="2833"/>
    </row>
    <row r="159" spans="4:9">
      <c r="I159" s="2833"/>
    </row>
    <row r="160" spans="4:9">
      <c r="I160" s="2833"/>
    </row>
    <row r="161" spans="9:9">
      <c r="I161" s="2833"/>
    </row>
    <row r="162" spans="9:9">
      <c r="I162" s="2833"/>
    </row>
    <row r="163" spans="9:9">
      <c r="I163" s="2833"/>
    </row>
    <row r="164" spans="9:9">
      <c r="I164" s="2833"/>
    </row>
    <row r="165" spans="9:9">
      <c r="I165" s="2833"/>
    </row>
    <row r="166" spans="9:9">
      <c r="I166" s="2833"/>
    </row>
    <row r="167" spans="9:9">
      <c r="I167" s="2833"/>
    </row>
    <row r="168" spans="9:9">
      <c r="I168" s="2833"/>
    </row>
    <row r="169" spans="9:9">
      <c r="I169" s="2833"/>
    </row>
  </sheetData>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P56"/>
  <sheetViews>
    <sheetView zoomScale="85" zoomScaleNormal="85" workbookViewId="0">
      <selection activeCell="Q2" sqref="Q2"/>
    </sheetView>
  </sheetViews>
  <sheetFormatPr defaultRowHeight="15.75"/>
  <cols>
    <col min="1" max="1" width="22.5" style="196" customWidth="1"/>
    <col min="2" max="2" width="2.5" style="20" customWidth="1"/>
    <col min="3" max="3" width="11.25" style="1824" customWidth="1"/>
    <col min="4" max="5" width="9" style="1824"/>
    <col min="6" max="6" width="10.875" style="1824" customWidth="1"/>
    <col min="7" max="16" width="9" style="1824"/>
  </cols>
  <sheetData>
    <row r="1" spans="1:16" s="1824" customFormat="1" ht="19.5" customHeight="1">
      <c r="A1" s="411"/>
      <c r="B1" s="20"/>
      <c r="C1" s="4539" t="s">
        <v>4036</v>
      </c>
      <c r="D1" s="4539"/>
      <c r="E1" s="4539"/>
      <c r="F1" s="4539"/>
      <c r="G1" s="4539"/>
      <c r="H1" s="4539"/>
      <c r="I1" s="4539"/>
      <c r="J1" s="4539"/>
      <c r="K1" s="4539"/>
      <c r="L1" s="4539"/>
      <c r="M1" s="4539"/>
      <c r="N1" s="4539"/>
      <c r="O1" s="4539"/>
      <c r="P1" s="4539"/>
    </row>
    <row r="2" spans="1:16" s="1824" customFormat="1" ht="111.75" customHeight="1">
      <c r="A2" s="411"/>
      <c r="B2" s="20"/>
      <c r="C2" s="4538" t="s">
        <v>3141</v>
      </c>
      <c r="D2" s="4538"/>
      <c r="E2" s="4538"/>
      <c r="F2" s="4538"/>
      <c r="G2" s="4538"/>
      <c r="H2" s="4538"/>
      <c r="I2" s="4538"/>
      <c r="J2" s="4538"/>
      <c r="K2" s="4538"/>
      <c r="L2" s="4538"/>
      <c r="M2" s="4538"/>
      <c r="N2" s="4538"/>
      <c r="O2" s="4538"/>
      <c r="P2" s="4538"/>
    </row>
    <row r="3" spans="1:16" s="1824" customFormat="1">
      <c r="A3" s="411"/>
      <c r="B3" s="20"/>
      <c r="C3" s="4537"/>
      <c r="D3" s="4537"/>
      <c r="E3" s="4537"/>
      <c r="F3" s="4537"/>
      <c r="G3" s="4537"/>
      <c r="H3" s="4537"/>
      <c r="I3" s="4537"/>
      <c r="J3" s="4537"/>
      <c r="K3" s="4537"/>
      <c r="L3" s="4537"/>
      <c r="M3" s="4537"/>
      <c r="N3" s="4537"/>
      <c r="O3" s="4537"/>
      <c r="P3" s="4537"/>
    </row>
    <row r="4" spans="1:16" s="1824" customFormat="1" ht="60" customHeight="1">
      <c r="A4" s="411"/>
      <c r="B4" s="20"/>
      <c r="C4" s="4538" t="s">
        <v>3142</v>
      </c>
      <c r="D4" s="4538"/>
      <c r="E4" s="4538"/>
      <c r="F4" s="4538"/>
      <c r="G4" s="4538"/>
      <c r="H4" s="4538"/>
      <c r="I4" s="4538"/>
      <c r="J4" s="4538"/>
      <c r="K4" s="4538"/>
      <c r="L4" s="4538"/>
      <c r="M4" s="4538"/>
      <c r="N4" s="4538"/>
      <c r="O4" s="4538"/>
      <c r="P4" s="4538"/>
    </row>
    <row r="5" spans="1:16" s="1824" customFormat="1">
      <c r="A5" s="411"/>
      <c r="B5" s="20"/>
      <c r="C5" s="4537"/>
      <c r="D5" s="4537"/>
      <c r="E5" s="4537"/>
      <c r="F5" s="4537"/>
      <c r="G5" s="4537"/>
      <c r="H5" s="4537"/>
      <c r="I5" s="4537"/>
      <c r="J5" s="4537"/>
      <c r="K5" s="4537"/>
      <c r="L5" s="4537"/>
      <c r="M5" s="4537"/>
      <c r="N5" s="4537"/>
      <c r="O5" s="4537"/>
      <c r="P5" s="4537"/>
    </row>
    <row r="6" spans="1:16" s="1824" customFormat="1" ht="99.75" customHeight="1">
      <c r="A6" s="411"/>
      <c r="B6" s="20"/>
      <c r="C6" s="4538" t="s">
        <v>3143</v>
      </c>
      <c r="D6" s="4538"/>
      <c r="E6" s="4538"/>
      <c r="F6" s="4538"/>
      <c r="G6" s="4538"/>
      <c r="H6" s="4538"/>
      <c r="I6" s="4538"/>
      <c r="J6" s="4538"/>
      <c r="K6" s="4538"/>
      <c r="L6" s="4538"/>
      <c r="M6" s="4538"/>
      <c r="N6" s="4538"/>
      <c r="O6" s="4538"/>
      <c r="P6" s="4538"/>
    </row>
    <row r="7" spans="1:16" s="1824" customFormat="1">
      <c r="A7" s="411"/>
      <c r="B7" s="20"/>
      <c r="C7" s="4537"/>
      <c r="D7" s="4537"/>
      <c r="E7" s="4537"/>
      <c r="F7" s="4537"/>
      <c r="G7" s="4537"/>
      <c r="H7" s="4537"/>
      <c r="I7" s="4537"/>
      <c r="J7" s="4537"/>
      <c r="K7" s="4537"/>
      <c r="L7" s="4537"/>
      <c r="M7" s="4537"/>
      <c r="N7" s="4537"/>
      <c r="O7" s="4537"/>
      <c r="P7" s="4537"/>
    </row>
    <row r="8" spans="1:16" s="1824" customFormat="1" ht="77.25" customHeight="1">
      <c r="A8" s="411"/>
      <c r="B8" s="20"/>
      <c r="C8" s="4538" t="s">
        <v>3144</v>
      </c>
      <c r="D8" s="4538"/>
      <c r="E8" s="4538"/>
      <c r="F8" s="4538"/>
      <c r="G8" s="4538"/>
      <c r="H8" s="4538"/>
      <c r="I8" s="4538"/>
      <c r="J8" s="4538"/>
      <c r="K8" s="4538"/>
      <c r="L8" s="4538"/>
      <c r="M8" s="4538"/>
      <c r="N8" s="4538"/>
      <c r="O8" s="4538"/>
      <c r="P8" s="4538"/>
    </row>
    <row r="9" spans="1:16" s="1824" customFormat="1" ht="15" customHeight="1">
      <c r="A9" s="411"/>
      <c r="B9" s="20"/>
      <c r="C9" s="4537"/>
      <c r="D9" s="4537"/>
      <c r="E9" s="4537"/>
      <c r="F9" s="4537"/>
      <c r="G9" s="4537"/>
      <c r="H9" s="4537"/>
      <c r="I9" s="4537"/>
      <c r="J9" s="4537"/>
      <c r="K9" s="4537"/>
      <c r="L9" s="4537"/>
      <c r="M9" s="4537"/>
      <c r="N9" s="4537"/>
      <c r="O9" s="4537"/>
      <c r="P9" s="4537"/>
    </row>
    <row r="10" spans="1:16" s="1824" customFormat="1" ht="17.25" customHeight="1">
      <c r="A10" s="411"/>
      <c r="B10" s="20"/>
      <c r="C10" s="4538" t="s">
        <v>3145</v>
      </c>
      <c r="D10" s="4538"/>
      <c r="E10" s="4538"/>
      <c r="F10" s="4538"/>
      <c r="G10" s="4538"/>
      <c r="H10" s="4538"/>
      <c r="I10" s="4538"/>
      <c r="J10" s="4538"/>
      <c r="K10" s="4538"/>
      <c r="L10" s="4538"/>
      <c r="M10" s="4538"/>
      <c r="N10" s="4538"/>
      <c r="O10" s="4538"/>
      <c r="P10" s="4538"/>
    </row>
    <row r="11" spans="1:16" s="1824" customFormat="1" ht="15" customHeight="1">
      <c r="A11" s="411"/>
      <c r="B11" s="20"/>
      <c r="C11" s="4537"/>
      <c r="D11" s="4537"/>
      <c r="E11" s="4537"/>
      <c r="F11" s="4537"/>
      <c r="G11" s="4537"/>
      <c r="H11" s="4537"/>
      <c r="I11" s="4537"/>
      <c r="J11" s="4537"/>
      <c r="K11" s="4537"/>
      <c r="L11" s="4537"/>
      <c r="M11" s="4537"/>
      <c r="N11" s="4537"/>
      <c r="O11" s="4537"/>
      <c r="P11" s="4537"/>
    </row>
    <row r="12" spans="1:16" s="1824" customFormat="1" ht="20.25" customHeight="1">
      <c r="A12" s="411"/>
      <c r="B12" s="20"/>
      <c r="C12" s="4541" t="s">
        <v>3177</v>
      </c>
      <c r="D12" s="4541"/>
      <c r="E12" s="4541"/>
      <c r="F12" s="4541"/>
      <c r="G12" s="4541"/>
      <c r="H12" s="4541"/>
      <c r="I12" s="4541"/>
      <c r="J12" s="4541"/>
      <c r="K12" s="4541"/>
      <c r="L12" s="4541"/>
      <c r="M12" s="4541"/>
      <c r="N12" s="4541"/>
      <c r="O12" s="4541"/>
      <c r="P12" s="4541"/>
    </row>
    <row r="13" spans="1:16" s="1824" customFormat="1" ht="15.95" customHeight="1">
      <c r="A13" s="411"/>
      <c r="B13" s="20"/>
      <c r="C13" s="4538" t="s">
        <v>3146</v>
      </c>
      <c r="D13" s="4538"/>
      <c r="E13" s="4538"/>
      <c r="F13" s="4538"/>
      <c r="G13" s="4538"/>
      <c r="H13" s="4538"/>
      <c r="I13" s="4538"/>
      <c r="J13" s="4538"/>
      <c r="K13" s="4538"/>
      <c r="L13" s="4538"/>
      <c r="M13" s="4538"/>
      <c r="N13" s="4538"/>
      <c r="O13" s="4538"/>
      <c r="P13" s="4538"/>
    </row>
    <row r="14" spans="1:16" s="1824" customFormat="1" ht="15.95" customHeight="1">
      <c r="A14" s="411"/>
      <c r="B14" s="20"/>
      <c r="C14" s="4540" t="s">
        <v>3147</v>
      </c>
      <c r="D14" s="4540"/>
      <c r="E14" s="4540"/>
      <c r="F14" s="4540"/>
      <c r="G14" s="4540"/>
      <c r="H14" s="4540"/>
      <c r="I14" s="4540"/>
      <c r="J14" s="4540"/>
      <c r="K14" s="4540"/>
      <c r="L14" s="4540"/>
      <c r="M14" s="4540"/>
      <c r="N14" s="4540"/>
      <c r="O14" s="4540"/>
      <c r="P14" s="4540"/>
    </row>
    <row r="15" spans="1:16" s="1824" customFormat="1" ht="15.95" customHeight="1">
      <c r="A15" s="411"/>
      <c r="B15" s="20"/>
      <c r="C15" s="4540" t="s">
        <v>3148</v>
      </c>
      <c r="D15" s="4540"/>
      <c r="E15" s="4540"/>
      <c r="F15" s="4540"/>
      <c r="G15" s="4540"/>
      <c r="H15" s="4540"/>
      <c r="I15" s="4540"/>
      <c r="J15" s="4540"/>
      <c r="K15" s="4540"/>
      <c r="L15" s="4540"/>
      <c r="M15" s="4540"/>
      <c r="N15" s="4540"/>
      <c r="O15" s="4540"/>
      <c r="P15" s="4540"/>
    </row>
    <row r="16" spans="1:16" s="1824" customFormat="1" ht="15.95" customHeight="1">
      <c r="A16" s="411"/>
      <c r="B16" s="20"/>
      <c r="C16" s="4540" t="s">
        <v>3149</v>
      </c>
      <c r="D16" s="4540"/>
      <c r="E16" s="4540"/>
      <c r="F16" s="4540"/>
      <c r="G16" s="4540"/>
      <c r="H16" s="4540"/>
      <c r="I16" s="4540"/>
      <c r="J16" s="4540"/>
      <c r="K16" s="4540"/>
      <c r="L16" s="4540"/>
      <c r="M16" s="4540"/>
      <c r="N16" s="4540"/>
      <c r="O16" s="4540"/>
      <c r="P16" s="4540"/>
    </row>
    <row r="17" spans="1:16" s="1824" customFormat="1" ht="127.5" customHeight="1">
      <c r="A17" s="411"/>
      <c r="B17" s="20"/>
      <c r="C17" s="4538" t="s">
        <v>3151</v>
      </c>
      <c r="D17" s="4538"/>
      <c r="E17" s="4538"/>
      <c r="F17" s="4538"/>
      <c r="G17" s="4538"/>
      <c r="H17" s="4538"/>
      <c r="I17" s="4538"/>
      <c r="J17" s="4538"/>
      <c r="K17" s="4538"/>
      <c r="L17" s="4538"/>
      <c r="M17" s="4538"/>
      <c r="N17" s="4538"/>
      <c r="O17" s="4538"/>
      <c r="P17" s="4538"/>
    </row>
    <row r="18" spans="1:16">
      <c r="A18" s="411"/>
      <c r="C18" s="4538"/>
      <c r="D18" s="4538"/>
      <c r="E18" s="4538"/>
      <c r="F18" s="4538"/>
      <c r="G18" s="4538"/>
      <c r="H18" s="4538"/>
      <c r="I18" s="4538"/>
      <c r="J18" s="4538"/>
      <c r="K18" s="4538"/>
      <c r="L18" s="4538"/>
      <c r="M18" s="4538"/>
      <c r="N18" s="4538"/>
      <c r="O18" s="4538"/>
      <c r="P18" s="4538"/>
    </row>
    <row r="19" spans="1:16" ht="15.95" customHeight="1">
      <c r="A19" s="411"/>
      <c r="C19" s="4538" t="s">
        <v>3150</v>
      </c>
      <c r="D19" s="4538"/>
      <c r="E19" s="4538"/>
      <c r="F19" s="4538"/>
      <c r="G19" s="4538"/>
      <c r="H19" s="4538"/>
      <c r="I19" s="4538"/>
      <c r="J19" s="4538"/>
      <c r="K19" s="4538"/>
      <c r="L19" s="4538"/>
      <c r="M19" s="4538"/>
      <c r="N19" s="4538"/>
      <c r="O19" s="4538"/>
      <c r="P19" s="4538"/>
    </row>
    <row r="20" spans="1:16">
      <c r="A20" s="411"/>
    </row>
    <row r="21" spans="1:16">
      <c r="A21" s="411"/>
      <c r="D21" s="4543" t="s">
        <v>3164</v>
      </c>
      <c r="E21" s="4543"/>
      <c r="F21" s="4543"/>
      <c r="G21" s="4543"/>
      <c r="H21" s="4543"/>
      <c r="I21" s="4543"/>
      <c r="J21" s="4543"/>
      <c r="K21" s="4543"/>
    </row>
    <row r="22" spans="1:16">
      <c r="A22" s="411"/>
      <c r="D22" s="4535" t="s">
        <v>3152</v>
      </c>
      <c r="E22" s="4535"/>
      <c r="F22" s="4535" t="s">
        <v>3161</v>
      </c>
      <c r="G22" s="4535"/>
      <c r="H22" s="4535"/>
      <c r="I22" s="4535" t="s">
        <v>3153</v>
      </c>
      <c r="J22" s="4535"/>
      <c r="K22" s="4535"/>
    </row>
    <row r="23" spans="1:16">
      <c r="A23" s="411"/>
      <c r="D23" s="4536" t="s">
        <v>3154</v>
      </c>
      <c r="E23" s="4536"/>
      <c r="F23" s="4536" t="s">
        <v>3162</v>
      </c>
      <c r="G23" s="4536"/>
      <c r="H23" s="4536"/>
      <c r="I23" s="4536" t="s">
        <v>3155</v>
      </c>
      <c r="J23" s="4536"/>
      <c r="K23" s="4536"/>
    </row>
    <row r="24" spans="1:16">
      <c r="A24" s="411"/>
      <c r="D24" s="4536" t="s">
        <v>3156</v>
      </c>
      <c r="E24" s="4536"/>
      <c r="F24" s="4536" t="s">
        <v>3163</v>
      </c>
      <c r="G24" s="4536"/>
      <c r="H24" s="4536"/>
      <c r="I24" s="4536" t="s">
        <v>3157</v>
      </c>
      <c r="J24" s="4536"/>
      <c r="K24" s="4536"/>
    </row>
    <row r="25" spans="1:16" ht="16.5" thickBot="1">
      <c r="A25" s="411"/>
      <c r="D25" s="4545" t="s">
        <v>3158</v>
      </c>
      <c r="E25" s="4545"/>
      <c r="F25" s="4545" t="s">
        <v>3159</v>
      </c>
      <c r="G25" s="4545"/>
      <c r="H25" s="4545"/>
      <c r="I25" s="4545" t="s">
        <v>3160</v>
      </c>
      <c r="J25" s="4545"/>
      <c r="K25" s="4545"/>
    </row>
    <row r="26" spans="1:16">
      <c r="A26" s="411"/>
    </row>
    <row r="27" spans="1:16" ht="184.5" customHeight="1">
      <c r="A27" s="411"/>
      <c r="C27" s="4542" t="s">
        <v>3165</v>
      </c>
      <c r="D27" s="4537"/>
      <c r="E27" s="4537"/>
      <c r="F27" s="4537"/>
      <c r="G27" s="4537"/>
      <c r="H27" s="4537"/>
      <c r="I27" s="4537"/>
      <c r="J27" s="4537"/>
      <c r="K27" s="4537"/>
      <c r="L27" s="4537"/>
      <c r="M27" s="4537"/>
      <c r="N27" s="4537"/>
      <c r="O27" s="4537"/>
      <c r="P27" s="4537"/>
    </row>
    <row r="28" spans="1:16" ht="45" customHeight="1">
      <c r="A28" s="411"/>
      <c r="C28" s="4542" t="s">
        <v>3166</v>
      </c>
      <c r="D28" s="4537"/>
      <c r="E28" s="4537"/>
      <c r="F28" s="4537"/>
      <c r="G28" s="4537"/>
      <c r="H28" s="4537"/>
      <c r="I28" s="4537"/>
      <c r="J28" s="4537"/>
      <c r="K28" s="4537"/>
      <c r="L28" s="4537"/>
      <c r="M28" s="4537"/>
      <c r="N28" s="4537"/>
      <c r="O28" s="4537"/>
      <c r="P28" s="4537"/>
    </row>
    <row r="29" spans="1:16" ht="33.75" customHeight="1">
      <c r="A29" s="411"/>
      <c r="C29" s="4544" t="s">
        <v>3178</v>
      </c>
      <c r="D29" s="4544"/>
      <c r="E29" s="4544"/>
      <c r="F29" s="4544"/>
      <c r="G29" s="4544"/>
      <c r="H29" s="4544"/>
      <c r="I29" s="4544"/>
      <c r="J29" s="4544"/>
      <c r="K29" s="4544"/>
      <c r="L29" s="4544"/>
      <c r="M29" s="4544"/>
      <c r="N29" s="4544"/>
      <c r="O29" s="4544"/>
      <c r="P29" s="4544"/>
    </row>
    <row r="30" spans="1:16" ht="144" customHeight="1">
      <c r="A30" s="411"/>
      <c r="C30" s="4542" t="s">
        <v>3168</v>
      </c>
      <c r="D30" s="4537"/>
      <c r="E30" s="4537"/>
      <c r="F30" s="4537"/>
      <c r="G30" s="4537"/>
      <c r="H30" s="4537"/>
      <c r="I30" s="4537"/>
      <c r="J30" s="4537"/>
      <c r="K30" s="4537"/>
      <c r="L30" s="4537"/>
      <c r="M30" s="4537"/>
      <c r="N30" s="4537"/>
      <c r="O30" s="4537"/>
      <c r="P30" s="4537"/>
    </row>
    <row r="31" spans="1:16">
      <c r="A31" s="411"/>
      <c r="C31" s="4537"/>
      <c r="D31" s="4537"/>
      <c r="E31" s="4537"/>
      <c r="F31" s="4537"/>
      <c r="G31" s="4537"/>
      <c r="H31" s="4537"/>
      <c r="I31" s="4537"/>
      <c r="J31" s="4537"/>
      <c r="K31" s="4537"/>
      <c r="L31" s="4537"/>
      <c r="M31" s="4537"/>
      <c r="N31" s="4537"/>
      <c r="O31" s="4537"/>
      <c r="P31" s="4537"/>
    </row>
    <row r="32" spans="1:16" ht="17.25" customHeight="1" thickBot="1">
      <c r="A32" s="411"/>
      <c r="C32" s="4534" t="s">
        <v>3167</v>
      </c>
      <c r="D32" s="4534"/>
      <c r="E32" s="4534"/>
      <c r="F32" s="4534"/>
      <c r="G32" s="4534"/>
      <c r="H32" s="4534"/>
      <c r="I32" s="4534"/>
      <c r="J32" s="4534"/>
      <c r="K32" s="4534"/>
    </row>
    <row r="33" spans="1:16" ht="52.5" thickTop="1" thickBot="1">
      <c r="A33" s="411"/>
      <c r="C33" s="4546" t="s">
        <v>220</v>
      </c>
      <c r="D33" s="4547"/>
      <c r="E33" s="2816" t="s">
        <v>605</v>
      </c>
      <c r="F33" s="2816" t="s">
        <v>2767</v>
      </c>
      <c r="G33" s="2816" t="s">
        <v>2286</v>
      </c>
      <c r="H33" s="2816" t="s">
        <v>2643</v>
      </c>
      <c r="I33" s="2816" t="s">
        <v>2287</v>
      </c>
      <c r="J33" s="2816" t="s">
        <v>2766</v>
      </c>
      <c r="K33" s="2815" t="s">
        <v>901</v>
      </c>
    </row>
    <row r="34" spans="1:16" ht="17.25" thickTop="1" thickBot="1">
      <c r="A34" s="411"/>
      <c r="C34" s="2817"/>
      <c r="D34" s="2818"/>
      <c r="E34" s="2818" t="s">
        <v>158</v>
      </c>
      <c r="F34" s="2818" t="s">
        <v>159</v>
      </c>
      <c r="G34" s="2818" t="s">
        <v>471</v>
      </c>
      <c r="H34" s="2818" t="s">
        <v>2633</v>
      </c>
      <c r="I34" s="2818" t="s">
        <v>984</v>
      </c>
      <c r="J34" s="2818" t="s">
        <v>2757</v>
      </c>
      <c r="K34" s="2819" t="s">
        <v>518</v>
      </c>
    </row>
    <row r="35" spans="1:16" ht="17.25" thickTop="1" thickBot="1">
      <c r="A35" s="411"/>
      <c r="C35" s="2814" t="s">
        <v>521</v>
      </c>
      <c r="D35" s="2820">
        <v>1</v>
      </c>
      <c r="E35" s="2821">
        <v>0.186</v>
      </c>
      <c r="F35" s="2822">
        <v>0.25</v>
      </c>
      <c r="G35" s="2822">
        <v>0.22700000000000001</v>
      </c>
      <c r="H35" s="2822">
        <v>0.214</v>
      </c>
      <c r="I35" s="2823">
        <v>0.27600000000000002</v>
      </c>
      <c r="J35" s="2822">
        <v>0.20200000000000001</v>
      </c>
      <c r="K35" s="2824">
        <v>0.186</v>
      </c>
    </row>
    <row r="36" spans="1:16" ht="27" thickTop="1" thickBot="1">
      <c r="A36" s="411"/>
      <c r="C36" s="2825" t="s">
        <v>2288</v>
      </c>
      <c r="D36" s="2826">
        <v>2</v>
      </c>
      <c r="E36" s="2821">
        <v>0.11</v>
      </c>
      <c r="F36" s="2827">
        <v>0.161</v>
      </c>
      <c r="G36" s="2827">
        <v>0.14199999999999999</v>
      </c>
      <c r="H36" s="2827">
        <v>0.13200000000000001</v>
      </c>
      <c r="I36" s="2823">
        <v>0.17100000000000001</v>
      </c>
      <c r="J36" s="2827">
        <v>0.11899999999999999</v>
      </c>
      <c r="K36" s="2828">
        <v>0.16600000000000001</v>
      </c>
    </row>
    <row r="37" spans="1:16" ht="17.25" thickTop="1" thickBot="1">
      <c r="A37" s="411"/>
      <c r="C37" s="2814" t="s">
        <v>727</v>
      </c>
      <c r="D37" s="2820">
        <v>3</v>
      </c>
      <c r="E37" s="2821">
        <v>0.125</v>
      </c>
      <c r="F37" s="2822">
        <v>0.183</v>
      </c>
      <c r="G37" s="2822">
        <v>0.16200000000000001</v>
      </c>
      <c r="H37" s="2822">
        <v>0.15</v>
      </c>
      <c r="I37" s="2822">
        <v>0.13700000000000001</v>
      </c>
      <c r="J37" s="2823">
        <v>0.26100000000000001</v>
      </c>
      <c r="K37" s="2829">
        <v>0.188</v>
      </c>
    </row>
    <row r="38" spans="1:16" ht="17.25" thickTop="1" thickBot="1">
      <c r="A38" s="411"/>
      <c r="C38" s="2825" t="s">
        <v>2289</v>
      </c>
      <c r="D38" s="2826">
        <v>6</v>
      </c>
      <c r="E38" s="2827">
        <v>1E-3</v>
      </c>
      <c r="F38" s="2827">
        <v>1E-3</v>
      </c>
      <c r="G38" s="2827">
        <v>1E-3</v>
      </c>
      <c r="H38" s="2827">
        <v>1E-3</v>
      </c>
      <c r="I38" s="2827">
        <v>0</v>
      </c>
      <c r="J38" s="2827">
        <v>0</v>
      </c>
      <c r="K38" s="2828">
        <v>0</v>
      </c>
    </row>
    <row r="39" spans="1:16" ht="27" thickTop="1" thickBot="1">
      <c r="A39" s="411"/>
      <c r="C39" s="2814" t="s">
        <v>2290</v>
      </c>
      <c r="D39" s="2820">
        <v>7</v>
      </c>
      <c r="E39" s="2822">
        <v>6.8000000000000005E-2</v>
      </c>
      <c r="F39" s="2821">
        <v>5.8000000000000003E-2</v>
      </c>
      <c r="G39" s="2822">
        <v>6.0999999999999999E-2</v>
      </c>
      <c r="H39" s="2822">
        <v>6.4000000000000001E-2</v>
      </c>
      <c r="I39" s="2823">
        <v>6.9000000000000006E-2</v>
      </c>
      <c r="J39" s="2822">
        <v>6.5000000000000002E-2</v>
      </c>
      <c r="K39" s="2829">
        <v>6.3E-2</v>
      </c>
    </row>
    <row r="40" spans="1:16" ht="17.25" thickTop="1" thickBot="1">
      <c r="A40" s="411"/>
      <c r="C40" s="2825" t="s">
        <v>2291</v>
      </c>
      <c r="D40" s="2826">
        <v>14</v>
      </c>
      <c r="E40" s="2823">
        <v>7.4999999999999997E-2</v>
      </c>
      <c r="F40" s="2827">
        <v>5.8999999999999997E-2</v>
      </c>
      <c r="G40" s="2827">
        <v>6.5000000000000002E-2</v>
      </c>
      <c r="H40" s="2827">
        <v>6.8000000000000005E-2</v>
      </c>
      <c r="I40" s="2827">
        <v>5.1999999999999998E-2</v>
      </c>
      <c r="J40" s="2821">
        <v>4.8000000000000001E-2</v>
      </c>
      <c r="K40" s="2828">
        <v>5.6000000000000001E-2</v>
      </c>
    </row>
    <row r="41" spans="1:16" ht="27" thickTop="1" thickBot="1">
      <c r="A41" s="411"/>
      <c r="C41" s="2814" t="s">
        <v>2292</v>
      </c>
      <c r="D41" s="2820">
        <v>15</v>
      </c>
      <c r="E41" s="2823">
        <v>0.36099999999999999</v>
      </c>
      <c r="F41" s="2821">
        <v>0.23100000000000001</v>
      </c>
      <c r="G41" s="2822">
        <v>0.27800000000000002</v>
      </c>
      <c r="H41" s="2822">
        <v>0.30499999999999999</v>
      </c>
      <c r="I41" s="2822">
        <v>0.23300000000000001</v>
      </c>
      <c r="J41" s="2822">
        <v>0.24</v>
      </c>
      <c r="K41" s="2829">
        <v>0.27500000000000002</v>
      </c>
    </row>
    <row r="42" spans="1:16" ht="17.25" thickTop="1" thickBot="1">
      <c r="A42" s="411"/>
      <c r="C42" s="2825" t="s">
        <v>2293</v>
      </c>
      <c r="D42" s="2826">
        <v>16</v>
      </c>
      <c r="E42" s="2823">
        <v>7.2999999999999995E-2</v>
      </c>
      <c r="F42" s="2821">
        <v>5.7000000000000002E-2</v>
      </c>
      <c r="G42" s="2827">
        <v>6.3E-2</v>
      </c>
      <c r="H42" s="2827">
        <v>6.6000000000000003E-2</v>
      </c>
      <c r="I42" s="2827">
        <v>6.3E-2</v>
      </c>
      <c r="J42" s="2827">
        <v>6.7000000000000004E-2</v>
      </c>
      <c r="K42" s="2828">
        <v>6.6000000000000003E-2</v>
      </c>
    </row>
    <row r="43" spans="1:16" ht="17.25" thickTop="1" thickBot="1">
      <c r="A43" s="411"/>
      <c r="C43" s="2814" t="s">
        <v>2294</v>
      </c>
      <c r="D43" s="2820">
        <v>85</v>
      </c>
      <c r="E43" s="2822">
        <v>0</v>
      </c>
      <c r="F43" s="2822">
        <v>0</v>
      </c>
      <c r="G43" s="2822">
        <v>0</v>
      </c>
      <c r="H43" s="2822">
        <v>0</v>
      </c>
      <c r="I43" s="2822">
        <v>0</v>
      </c>
      <c r="J43" s="2822">
        <v>0</v>
      </c>
      <c r="K43" s="2829">
        <v>0</v>
      </c>
    </row>
    <row r="44" spans="1:16" ht="17.25" thickTop="1" thickBot="1">
      <c r="A44" s="411"/>
      <c r="C44" s="4548" t="s">
        <v>452</v>
      </c>
      <c r="D44" s="4549"/>
      <c r="E44" s="2830">
        <v>1</v>
      </c>
      <c r="F44" s="2830">
        <v>1</v>
      </c>
      <c r="G44" s="2830">
        <v>1</v>
      </c>
      <c r="H44" s="2830">
        <v>1</v>
      </c>
      <c r="I44" s="2830">
        <v>1</v>
      </c>
      <c r="J44" s="2830">
        <v>1</v>
      </c>
      <c r="K44" s="2831">
        <v>1</v>
      </c>
    </row>
    <row r="45" spans="1:16" ht="16.5" thickTop="1">
      <c r="A45" s="411"/>
    </row>
    <row r="46" spans="1:16" ht="34.5" customHeight="1">
      <c r="A46" s="411"/>
      <c r="C46" s="4542" t="s">
        <v>3169</v>
      </c>
      <c r="D46" s="4537"/>
      <c r="E46" s="4537"/>
      <c r="F46" s="4537"/>
      <c r="G46" s="4537"/>
      <c r="H46" s="4537"/>
      <c r="I46" s="4537"/>
      <c r="J46" s="4537"/>
      <c r="K46" s="4537"/>
      <c r="L46" s="4537"/>
      <c r="M46" s="4537"/>
      <c r="N46" s="4537"/>
      <c r="O46" s="4537"/>
      <c r="P46" s="4537"/>
    </row>
    <row r="47" spans="1:16">
      <c r="A47" s="411"/>
      <c r="C47" s="4537"/>
      <c r="D47" s="4537"/>
      <c r="E47" s="4537"/>
      <c r="F47" s="4537"/>
      <c r="G47" s="4537"/>
      <c r="H47" s="4537"/>
      <c r="I47" s="4537"/>
      <c r="J47" s="4537"/>
      <c r="K47" s="4537"/>
      <c r="L47" s="4537"/>
      <c r="M47" s="4537"/>
      <c r="N47" s="4537"/>
      <c r="O47" s="4537"/>
      <c r="P47" s="4537"/>
    </row>
    <row r="48" spans="1:16" ht="18.75">
      <c r="A48" s="411"/>
      <c r="C48" s="4541" t="s">
        <v>3170</v>
      </c>
      <c r="D48" s="4541"/>
      <c r="E48" s="4541"/>
      <c r="F48" s="4541"/>
      <c r="G48" s="4541"/>
      <c r="H48" s="4541"/>
      <c r="I48" s="4541"/>
      <c r="J48" s="4541"/>
      <c r="K48" s="4541"/>
      <c r="L48" s="4541"/>
      <c r="M48" s="4541"/>
      <c r="N48" s="4541"/>
      <c r="O48" s="4541"/>
      <c r="P48" s="4541"/>
    </row>
    <row r="49" spans="1:16" ht="163.5" customHeight="1">
      <c r="A49" s="411"/>
      <c r="C49" s="4542" t="s">
        <v>3171</v>
      </c>
      <c r="D49" s="4537"/>
      <c r="E49" s="4537"/>
      <c r="F49" s="4537"/>
      <c r="G49" s="4537"/>
      <c r="H49" s="4537"/>
      <c r="I49" s="4537"/>
      <c r="J49" s="4537"/>
      <c r="K49" s="4537"/>
      <c r="L49" s="4537"/>
      <c r="M49" s="4537"/>
      <c r="N49" s="4537"/>
      <c r="O49" s="4537"/>
      <c r="P49" s="4537"/>
    </row>
    <row r="50" spans="1:16" ht="264" customHeight="1">
      <c r="A50" s="411"/>
      <c r="C50" s="4542" t="s">
        <v>3176</v>
      </c>
      <c r="D50" s="4537"/>
      <c r="E50" s="4537"/>
      <c r="F50" s="4537"/>
      <c r="G50" s="4537"/>
      <c r="H50" s="4537"/>
      <c r="I50" s="4537"/>
      <c r="J50" s="4537"/>
      <c r="K50" s="4537"/>
      <c r="L50" s="4537"/>
      <c r="M50" s="4537"/>
      <c r="N50" s="4537"/>
      <c r="O50" s="4537"/>
      <c r="P50" s="4537"/>
    </row>
    <row r="51" spans="1:16" ht="90.75" customHeight="1">
      <c r="A51" s="411"/>
      <c r="C51" s="4542" t="s">
        <v>3172</v>
      </c>
      <c r="D51" s="4537"/>
      <c r="E51" s="4537"/>
      <c r="F51" s="4537"/>
      <c r="G51" s="4537"/>
      <c r="H51" s="4537"/>
      <c r="I51" s="4537"/>
      <c r="J51" s="4537"/>
      <c r="K51" s="4537"/>
      <c r="L51" s="4537"/>
      <c r="M51" s="4537"/>
      <c r="N51" s="4537"/>
      <c r="O51" s="4537"/>
      <c r="P51" s="4537"/>
    </row>
    <row r="52" spans="1:16" ht="69.75" customHeight="1">
      <c r="A52" s="411"/>
      <c r="C52" s="4542" t="s">
        <v>3173</v>
      </c>
      <c r="D52" s="4537"/>
      <c r="E52" s="4537"/>
      <c r="F52" s="4537"/>
      <c r="G52" s="4537"/>
      <c r="H52" s="4537"/>
      <c r="I52" s="4537"/>
      <c r="J52" s="4537"/>
      <c r="K52" s="4537"/>
      <c r="L52" s="4537"/>
      <c r="M52" s="4537"/>
      <c r="N52" s="4537"/>
      <c r="O52" s="4537"/>
      <c r="P52" s="4537"/>
    </row>
    <row r="53" spans="1:16" ht="45.75" customHeight="1">
      <c r="A53" s="411"/>
      <c r="C53" s="4542" t="s">
        <v>3174</v>
      </c>
      <c r="D53" s="4537"/>
      <c r="E53" s="4537"/>
      <c r="F53" s="4537"/>
      <c r="G53" s="4537"/>
      <c r="H53" s="4537"/>
      <c r="I53" s="4537"/>
      <c r="J53" s="4537"/>
      <c r="K53" s="4537"/>
      <c r="L53" s="4537"/>
      <c r="M53" s="4537"/>
      <c r="N53" s="4537"/>
      <c r="O53" s="4537"/>
      <c r="P53" s="4537"/>
    </row>
    <row r="54" spans="1:16" ht="56.25" customHeight="1">
      <c r="A54" s="411"/>
      <c r="C54" s="4542" t="s">
        <v>3175</v>
      </c>
      <c r="D54" s="4537"/>
      <c r="E54" s="4537"/>
      <c r="F54" s="4537"/>
      <c r="G54" s="4537"/>
      <c r="H54" s="4537"/>
      <c r="I54" s="4537"/>
      <c r="J54" s="4537"/>
      <c r="K54" s="4537"/>
      <c r="L54" s="4537"/>
      <c r="M54" s="4537"/>
      <c r="N54" s="4537"/>
      <c r="O54" s="4537"/>
      <c r="P54" s="4537"/>
    </row>
    <row r="55" spans="1:16">
      <c r="A55" s="411"/>
      <c r="C55" s="4537"/>
      <c r="D55" s="4537"/>
      <c r="E55" s="4537"/>
      <c r="F55" s="4537"/>
      <c r="G55" s="4537"/>
      <c r="H55" s="4537"/>
      <c r="I55" s="4537"/>
      <c r="J55" s="4537"/>
      <c r="K55" s="4537"/>
      <c r="L55" s="4537"/>
      <c r="M55" s="4537"/>
      <c r="N55" s="4537"/>
      <c r="O55" s="4537"/>
      <c r="P55" s="4537"/>
    </row>
    <row r="56" spans="1:16">
      <c r="A56" s="411"/>
      <c r="C56" s="4537"/>
      <c r="D56" s="4537"/>
      <c r="E56" s="4537"/>
      <c r="F56" s="4537"/>
      <c r="G56" s="4537"/>
      <c r="H56" s="4537"/>
      <c r="I56" s="4537"/>
      <c r="J56" s="4537"/>
      <c r="K56" s="4537"/>
      <c r="L56" s="4537"/>
      <c r="M56" s="4537"/>
      <c r="N56" s="4537"/>
      <c r="O56" s="4537"/>
      <c r="P56" s="4537"/>
    </row>
  </sheetData>
  <mergeCells count="51">
    <mergeCell ref="C50:P50"/>
    <mergeCell ref="C49:P49"/>
    <mergeCell ref="C48:P48"/>
    <mergeCell ref="C56:P56"/>
    <mergeCell ref="C55:P55"/>
    <mergeCell ref="C54:P54"/>
    <mergeCell ref="C53:P53"/>
    <mergeCell ref="C52:P52"/>
    <mergeCell ref="C51:P51"/>
    <mergeCell ref="C47:P47"/>
    <mergeCell ref="C46:P46"/>
    <mergeCell ref="D21:K21"/>
    <mergeCell ref="C31:P31"/>
    <mergeCell ref="C30:P30"/>
    <mergeCell ref="C29:P29"/>
    <mergeCell ref="C28:P28"/>
    <mergeCell ref="C27:P27"/>
    <mergeCell ref="D24:E24"/>
    <mergeCell ref="F24:H24"/>
    <mergeCell ref="I24:K24"/>
    <mergeCell ref="D25:E25"/>
    <mergeCell ref="F25:H25"/>
    <mergeCell ref="I25:K25"/>
    <mergeCell ref="C33:D33"/>
    <mergeCell ref="C44:D44"/>
    <mergeCell ref="C7:P7"/>
    <mergeCell ref="C19:P19"/>
    <mergeCell ref="C18:P18"/>
    <mergeCell ref="C17:P17"/>
    <mergeCell ref="C16:P16"/>
    <mergeCell ref="C15:P15"/>
    <mergeCell ref="C14:P14"/>
    <mergeCell ref="C13:P13"/>
    <mergeCell ref="C12:P12"/>
    <mergeCell ref="C11:P11"/>
    <mergeCell ref="C10:P10"/>
    <mergeCell ref="C9:P9"/>
    <mergeCell ref="C8:P8"/>
    <mergeCell ref="C3:P3"/>
    <mergeCell ref="C2:P2"/>
    <mergeCell ref="C1:P1"/>
    <mergeCell ref="C4:P4"/>
    <mergeCell ref="C6:P6"/>
    <mergeCell ref="C5:P5"/>
    <mergeCell ref="C32:K32"/>
    <mergeCell ref="D22:E22"/>
    <mergeCell ref="I22:K22"/>
    <mergeCell ref="F22:H22"/>
    <mergeCell ref="D23:E23"/>
    <mergeCell ref="F23:H23"/>
    <mergeCell ref="I23:K23"/>
  </mergeCell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56"/>
  <sheetViews>
    <sheetView zoomScaleNormal="100" workbookViewId="0"/>
  </sheetViews>
  <sheetFormatPr defaultRowHeight="15.75"/>
  <cols>
    <col min="1" max="1" width="22.5" style="196" customWidth="1"/>
    <col min="2" max="2" width="2.5" style="20" customWidth="1"/>
    <col min="3" max="3" width="3.5" style="1591" bestFit="1" customWidth="1"/>
    <col min="4" max="4" width="14.5" style="1591" bestFit="1" customWidth="1"/>
    <col min="5" max="5" width="10.625" style="1591" customWidth="1"/>
    <col min="6" max="6" width="12.125" style="1591" customWidth="1"/>
    <col min="7" max="11" width="10.625" style="1591" customWidth="1"/>
    <col min="12" max="16384" width="9" style="1591"/>
  </cols>
  <sheetData>
    <row r="1" spans="1:12">
      <c r="A1" s="411"/>
    </row>
    <row r="2" spans="1:12">
      <c r="A2" s="411"/>
      <c r="C2" s="2776"/>
      <c r="D2" s="2776"/>
      <c r="E2" s="4550" t="s">
        <v>2284</v>
      </c>
      <c r="F2" s="4550"/>
      <c r="G2" s="4550"/>
      <c r="H2" s="4550"/>
      <c r="I2" s="4550"/>
      <c r="J2" s="4550"/>
      <c r="K2" s="4550"/>
    </row>
    <row r="3" spans="1:12">
      <c r="A3" s="411"/>
      <c r="C3" s="2776"/>
      <c r="D3" s="2777"/>
      <c r="E3" s="2778" t="s">
        <v>674</v>
      </c>
      <c r="F3" s="2778" t="s">
        <v>155</v>
      </c>
      <c r="G3" s="2778" t="s">
        <v>675</v>
      </c>
      <c r="H3" s="2778" t="s">
        <v>676</v>
      </c>
      <c r="I3" s="2778" t="s">
        <v>677</v>
      </c>
      <c r="J3" s="2778" t="s">
        <v>140</v>
      </c>
      <c r="K3" s="2778" t="s">
        <v>141</v>
      </c>
    </row>
    <row r="4" spans="1:12" ht="51.75">
      <c r="A4" s="411"/>
      <c r="C4" s="2771" t="s">
        <v>398</v>
      </c>
      <c r="D4" s="2772" t="s">
        <v>2285</v>
      </c>
      <c r="E4" s="2773" t="s">
        <v>605</v>
      </c>
      <c r="F4" s="2774" t="s">
        <v>2767</v>
      </c>
      <c r="G4" s="2774" t="s">
        <v>2286</v>
      </c>
      <c r="H4" s="2774" t="s">
        <v>2643</v>
      </c>
      <c r="I4" s="2774" t="s">
        <v>2287</v>
      </c>
      <c r="J4" s="2774" t="s">
        <v>2766</v>
      </c>
      <c r="K4" s="2775" t="s">
        <v>901</v>
      </c>
    </row>
    <row r="5" spans="1:12">
      <c r="A5" s="411"/>
      <c r="C5" s="2784"/>
      <c r="D5" s="2785"/>
      <c r="E5" s="2786" t="s">
        <v>158</v>
      </c>
      <c r="F5" s="2787" t="s">
        <v>159</v>
      </c>
      <c r="G5" s="2787" t="s">
        <v>471</v>
      </c>
      <c r="H5" s="2787" t="s">
        <v>2633</v>
      </c>
      <c r="I5" s="2787" t="s">
        <v>984</v>
      </c>
      <c r="J5" s="2787" t="s">
        <v>2757</v>
      </c>
      <c r="K5" s="2788" t="s">
        <v>518</v>
      </c>
      <c r="L5" s="1806"/>
    </row>
    <row r="6" spans="1:12">
      <c r="A6" s="411"/>
      <c r="C6" s="1592">
        <v>1</v>
      </c>
      <c r="D6" s="1593" t="s">
        <v>521</v>
      </c>
      <c r="E6" s="1594">
        <f>'COS_Units (sales)'!$I$17+'COS_Units (sales)'!$I$20</f>
        <v>0.1401</v>
      </c>
      <c r="F6" s="1595">
        <f>'COS_Units (sales)'!$M$17+'COS_Units (sales)'!$M$20</f>
        <v>0.20130000000000001</v>
      </c>
      <c r="G6" s="1596">
        <f>'COS_Units (sales)'!$AB$17+'COS_Units (sales)'!$AB$20</f>
        <v>0.1827</v>
      </c>
      <c r="H6" s="1595">
        <f>'COS_Units (sales)'!$AD$17+'COS_Units (sales)'!$AD$20</f>
        <v>0.16349999999999998</v>
      </c>
      <c r="I6" s="1803">
        <f>'COS_Units (sales)'!$AE$17+'COS_Units (sales)'!$AE$20</f>
        <v>0.26589999999999997</v>
      </c>
      <c r="J6" s="1595">
        <f>'COS_Units (sales)'!$AG$17+'COS_Units (sales)'!$AG$20</f>
        <v>0.17549999999999999</v>
      </c>
      <c r="K6" s="1946">
        <f>'COS_Units (sales)'!$AI$17+'COS_Units (sales)'!$AI$20</f>
        <v>0.15049999999999999</v>
      </c>
    </row>
    <row r="7" spans="1:12">
      <c r="A7" s="411"/>
      <c r="C7" s="1592">
        <v>2</v>
      </c>
      <c r="D7" s="1593" t="s">
        <v>2288</v>
      </c>
      <c r="E7" s="1594">
        <f>'COS_Units (sales)'!$I$30</f>
        <v>9.01E-2</v>
      </c>
      <c r="F7" s="1595">
        <f>'COS_Units (sales)'!$M$30</f>
        <v>0.14050000000000001</v>
      </c>
      <c r="G7" s="1596">
        <f>'COS_Units (sales)'!$AB$30</f>
        <v>0.12529999999999999</v>
      </c>
      <c r="H7" s="1595">
        <f>'COS_Units (sales)'!$AD$30</f>
        <v>0.10920000000000001</v>
      </c>
      <c r="I7" s="1803">
        <f>'COS_Units (sales)'!$AE$30</f>
        <v>0.16270000000000001</v>
      </c>
      <c r="J7" s="1595">
        <f>'COS_Units (sales)'!$AG$30</f>
        <v>0.1154</v>
      </c>
      <c r="K7" s="1946">
        <f>'COS_Units (sales)'!$AI$30</f>
        <v>0.13769999999999999</v>
      </c>
    </row>
    <row r="8" spans="1:12">
      <c r="A8" s="411"/>
      <c r="C8" s="1592">
        <v>3</v>
      </c>
      <c r="D8" s="1593" t="s">
        <v>727</v>
      </c>
      <c r="E8" s="1594">
        <f>'COS_Units (sales)'!$I$25</f>
        <v>0.1009</v>
      </c>
      <c r="F8" s="1595">
        <f>'COS_Units (sales)'!$M$25</f>
        <v>0.1575</v>
      </c>
      <c r="G8" s="1596">
        <f>'COS_Units (sales)'!$AB$25</f>
        <v>0.14030000000000001</v>
      </c>
      <c r="H8" s="1595">
        <f>'COS_Units (sales)'!$AD$25</f>
        <v>0.1225</v>
      </c>
      <c r="I8" s="1803">
        <f>'COS_Units (sales)'!$AE$25</f>
        <v>0.1158</v>
      </c>
      <c r="J8" s="1595">
        <f>'COS_Units (sales)'!$AG$25</f>
        <v>0.1613</v>
      </c>
      <c r="K8" s="1946">
        <f>'COS_Units (sales)'!$AI$25</f>
        <v>0.15440000000000001</v>
      </c>
    </row>
    <row r="9" spans="1:12">
      <c r="A9" s="411"/>
      <c r="C9" s="1592">
        <v>6</v>
      </c>
      <c r="D9" s="1593" t="s">
        <v>2289</v>
      </c>
      <c r="E9" s="1594">
        <f>'COS_Units (sales)'!$I$54+'COS_Units (sales)'!$I$51</f>
        <v>8.0000000000000004E-4</v>
      </c>
      <c r="F9" s="1595">
        <f>'COS_Units (sales)'!$M$54+'COS_Units (sales)'!$M$51</f>
        <v>1E-3</v>
      </c>
      <c r="G9" s="1596">
        <f>'COS_Units (sales)'!$AB$54+'COS_Units (sales)'!$AB$51</f>
        <v>9.0000000000000008E-4</v>
      </c>
      <c r="H9" s="1595">
        <f>'COS_Units (sales)'!$AD$54+'COS_Units (sales)'!$AD$51</f>
        <v>9.0000000000000008E-4</v>
      </c>
      <c r="I9" s="1803">
        <f>'COS_Units (sales)'!$AE$54+'COS_Units (sales)'!$AE$51</f>
        <v>0</v>
      </c>
      <c r="J9" s="1595">
        <f>'COS_Units (sales)'!$AG$54+'COS_Units (sales)'!$AG$51</f>
        <v>0</v>
      </c>
      <c r="K9" s="1946">
        <f>'COS_Units (sales)'!$AI$54+'COS_Units (sales)'!$AI$51</f>
        <v>2.9999999999999997E-4</v>
      </c>
    </row>
    <row r="10" spans="1:12" s="1806" customFormat="1" ht="14.25" customHeight="1">
      <c r="A10" s="411"/>
      <c r="B10" s="20"/>
      <c r="C10" s="1592">
        <v>7</v>
      </c>
      <c r="D10" s="1593" t="s">
        <v>2290</v>
      </c>
      <c r="E10" s="1594">
        <f>'COS_Units (sales)'!$I$33</f>
        <v>4.6699999999999998E-2</v>
      </c>
      <c r="F10" s="1595">
        <f>'COS_Units (sales)'!$M$33</f>
        <v>4.2500000000000003E-2</v>
      </c>
      <c r="G10" s="1596">
        <f>'COS_Units (sales)'!$AB$33</f>
        <v>4.3799999999999999E-2</v>
      </c>
      <c r="H10" s="1595">
        <f>'COS_Units (sales)'!$AD$33</f>
        <v>4.5100000000000001E-2</v>
      </c>
      <c r="I10" s="1803">
        <f>'COS_Units (sales)'!$AE$33</f>
        <v>5.1400000000000001E-2</v>
      </c>
      <c r="J10" s="1595">
        <f>'COS_Units (sales)'!$AG$33</f>
        <v>4.3200000000000002E-2</v>
      </c>
      <c r="K10" s="1946">
        <f>'COS_Units (sales)'!$AI$33</f>
        <v>4.1700000000000001E-2</v>
      </c>
      <c r="L10" s="1591"/>
    </row>
    <row r="11" spans="1:12" s="1806" customFormat="1" ht="14.25" customHeight="1">
      <c r="A11" s="411"/>
      <c r="B11" s="20"/>
      <c r="C11" s="1592">
        <v>14</v>
      </c>
      <c r="D11" s="1593" t="s">
        <v>2291</v>
      </c>
      <c r="E11" s="1594">
        <f>'COS_Units (sales)'!$I$36</f>
        <v>0.14449999999999999</v>
      </c>
      <c r="F11" s="1595">
        <f>'COS_Units (sales)'!$M$36</f>
        <v>0.12139999999999999</v>
      </c>
      <c r="G11" s="1596">
        <f>'COS_Units (sales)'!$AB$36</f>
        <v>0.12839999999999999</v>
      </c>
      <c r="H11" s="1595">
        <f>'COS_Units (sales)'!$AD$36</f>
        <v>0.13569999999999999</v>
      </c>
      <c r="I11" s="1803">
        <f>'COS_Units (sales)'!$AE$36</f>
        <v>8.8200000000000001E-2</v>
      </c>
      <c r="J11" s="1595">
        <f>'COS_Units (sales)'!$AG$36</f>
        <v>0.12820000000000001</v>
      </c>
      <c r="K11" s="1946">
        <f>'COS_Units (sales)'!$AI$36</f>
        <v>0.1258</v>
      </c>
      <c r="L11" s="1591"/>
    </row>
    <row r="12" spans="1:12">
      <c r="A12" s="411"/>
      <c r="C12" s="1592">
        <v>15</v>
      </c>
      <c r="D12" s="1593" t="s">
        <v>2292</v>
      </c>
      <c r="E12" s="1594">
        <f>'COS_Units (sales)'!$I$39</f>
        <v>0.41210000000000002</v>
      </c>
      <c r="F12" s="1595">
        <f>'COS_Units (sales)'!$M$39</f>
        <v>0.28129999999999999</v>
      </c>
      <c r="G12" s="1596">
        <f>'COS_Units (sales)'!$AB$39</f>
        <v>0.32100000000000001</v>
      </c>
      <c r="H12" s="1595">
        <f>'COS_Units (sales)'!$AD$39</f>
        <v>0.36230000000000001</v>
      </c>
      <c r="I12" s="1803">
        <f>'COS_Units (sales)'!$AE$39</f>
        <v>0.24979999999999999</v>
      </c>
      <c r="J12" s="1595">
        <f>'COS_Units (sales)'!$AG$39</f>
        <v>0.317</v>
      </c>
      <c r="K12" s="1946">
        <f>'COS_Units (sales)'!$AI$39</f>
        <v>0.33210000000000001</v>
      </c>
    </row>
    <row r="13" spans="1:12">
      <c r="A13" s="411"/>
      <c r="C13" s="1592">
        <v>16</v>
      </c>
      <c r="D13" s="1593" t="s">
        <v>2293</v>
      </c>
      <c r="E13" s="1594">
        <f>'COS_Units (sales)'!$I$42</f>
        <v>6.4600000000000005E-2</v>
      </c>
      <c r="F13" s="1595">
        <f>'COS_Units (sales)'!$M$42</f>
        <v>5.4300000000000001E-2</v>
      </c>
      <c r="G13" s="1596">
        <f>'COS_Units (sales)'!$AB$42</f>
        <v>5.74E-2</v>
      </c>
      <c r="H13" s="1595">
        <f>'COS_Units (sales)'!$AD$42</f>
        <v>6.0600000000000001E-2</v>
      </c>
      <c r="I13" s="1803">
        <f>'COS_Units (sales)'!$AE$42</f>
        <v>6.6199999999999995E-2</v>
      </c>
      <c r="J13" s="1595">
        <f>'COS_Units (sales)'!$AG$42</f>
        <v>5.9400000000000001E-2</v>
      </c>
      <c r="K13" s="1946">
        <f>'COS_Units (sales)'!$AI$42</f>
        <v>5.74E-2</v>
      </c>
    </row>
    <row r="14" spans="1:12">
      <c r="A14" s="411"/>
      <c r="C14" s="1592">
        <v>85</v>
      </c>
      <c r="D14" s="1593" t="s">
        <v>2294</v>
      </c>
      <c r="E14" s="1594">
        <f>'COS_Units (sales)'!$I$45</f>
        <v>0</v>
      </c>
      <c r="F14" s="1595">
        <f>'COS_Units (sales)'!$M$45</f>
        <v>0</v>
      </c>
      <c r="G14" s="1596">
        <f>'COS_Units (sales)'!$AB$45</f>
        <v>0</v>
      </c>
      <c r="H14" s="1595">
        <f>'COS_Units (sales)'!$AD$45</f>
        <v>0</v>
      </c>
      <c r="I14" s="1803">
        <f>'COS_Units (sales)'!$AE$45</f>
        <v>0</v>
      </c>
      <c r="J14" s="1595">
        <f>'COS_Units (sales)'!$AG$45</f>
        <v>0</v>
      </c>
      <c r="K14" s="1946">
        <f>'COS_Units (sales)'!$AI$45</f>
        <v>0</v>
      </c>
    </row>
    <row r="15" spans="1:12">
      <c r="A15" s="411"/>
      <c r="C15" s="1592">
        <v>94</v>
      </c>
      <c r="D15" s="1593" t="s">
        <v>2291</v>
      </c>
      <c r="E15" s="1594">
        <f>'COS_Units (sales)'!$I$48</f>
        <v>0</v>
      </c>
      <c r="F15" s="1595">
        <f>'COS_Units (sales)'!$M$48</f>
        <v>0</v>
      </c>
      <c r="G15" s="1596">
        <f>'COS_Units (sales)'!$AB$48</f>
        <v>0</v>
      </c>
      <c r="H15" s="1595">
        <f>'COS_Units (sales)'!$AD$48</f>
        <v>0</v>
      </c>
      <c r="I15" s="1803">
        <f>'COS_Units (sales)'!$AE$48</f>
        <v>0</v>
      </c>
      <c r="J15" s="1595">
        <f>'COS_Units (sales)'!$AG$48</f>
        <v>0</v>
      </c>
      <c r="K15" s="1946">
        <f>'COS_Units (sales)'!$AI$48</f>
        <v>0</v>
      </c>
    </row>
    <row r="16" spans="1:12">
      <c r="A16" s="411"/>
      <c r="C16" s="1592"/>
      <c r="D16" s="1593" t="s">
        <v>503</v>
      </c>
      <c r="E16" s="1599">
        <f>'COS_Units (sales)'!$I$57</f>
        <v>2.0000000000000001E-4</v>
      </c>
      <c r="F16" s="1600">
        <f>'COS_Units (sales)'!$M$57</f>
        <v>2.0000000000000001E-4</v>
      </c>
      <c r="G16" s="1601">
        <f>'COS_Units (sales)'!$AB$57</f>
        <v>2.0000000000000001E-4</v>
      </c>
      <c r="H16" s="1600">
        <f>'COS_Units (sales)'!$AD$57</f>
        <v>2.0000000000000001E-4</v>
      </c>
      <c r="I16" s="1804">
        <f>'COS_Units (sales)'!$AE$57</f>
        <v>0</v>
      </c>
      <c r="J16" s="1600">
        <f>'COS_Units (sales)'!$AG$57</f>
        <v>0</v>
      </c>
      <c r="K16" s="1947">
        <f>'COS_Units (sales)'!$AI$57</f>
        <v>1E-4</v>
      </c>
    </row>
    <row r="17" spans="1:11">
      <c r="A17" s="411"/>
      <c r="C17" s="1597"/>
      <c r="D17" s="1598"/>
      <c r="E17" s="2779">
        <f t="shared" ref="E17:K17" si="0">SUM(E6:E16)</f>
        <v>1</v>
      </c>
      <c r="F17" s="2780">
        <f t="shared" si="0"/>
        <v>0.99999999999999989</v>
      </c>
      <c r="G17" s="2781">
        <f t="shared" si="0"/>
        <v>1.0000000000000002</v>
      </c>
      <c r="H17" s="2780">
        <f t="shared" si="0"/>
        <v>1</v>
      </c>
      <c r="I17" s="2782">
        <f t="shared" si="0"/>
        <v>1</v>
      </c>
      <c r="J17" s="2780">
        <f t="shared" si="0"/>
        <v>1</v>
      </c>
      <c r="K17" s="2783">
        <f t="shared" si="0"/>
        <v>1.0000000000000002</v>
      </c>
    </row>
    <row r="18" spans="1:11">
      <c r="A18" s="411"/>
      <c r="D18" s="1602" t="s">
        <v>2295</v>
      </c>
      <c r="F18" s="1603" t="s">
        <v>170</v>
      </c>
      <c r="G18" s="1604"/>
      <c r="H18" s="1604"/>
      <c r="I18" s="1603" t="s">
        <v>600</v>
      </c>
      <c r="J18" s="1603"/>
      <c r="K18" s="1604"/>
    </row>
    <row r="19" spans="1:11">
      <c r="A19" s="411"/>
      <c r="C19" s="1605"/>
    </row>
    <row r="20" spans="1:11">
      <c r="A20" s="411"/>
      <c r="C20" s="1605" t="s">
        <v>2296</v>
      </c>
    </row>
    <row r="21" spans="1:11">
      <c r="A21" s="411"/>
    </row>
    <row r="22" spans="1:11">
      <c r="A22" s="411"/>
    </row>
    <row r="23" spans="1:11">
      <c r="A23" s="411"/>
    </row>
    <row r="24" spans="1:11">
      <c r="A24" s="411"/>
      <c r="E24" s="1591" t="s">
        <v>2297</v>
      </c>
      <c r="F24" s="1591" t="s">
        <v>2657</v>
      </c>
      <c r="G24" s="1591" t="s">
        <v>2658</v>
      </c>
      <c r="H24" s="1591" t="s">
        <v>2659</v>
      </c>
      <c r="I24" s="1591" t="s">
        <v>2660</v>
      </c>
      <c r="J24" s="1591" t="s">
        <v>2661</v>
      </c>
      <c r="K24" s="1591" t="s">
        <v>2770</v>
      </c>
    </row>
    <row r="25" spans="1:11">
      <c r="A25" s="411"/>
    </row>
    <row r="26" spans="1:11">
      <c r="A26" s="411"/>
    </row>
    <row r="27" spans="1:11">
      <c r="A27" s="411"/>
    </row>
    <row r="28" spans="1:11">
      <c r="A28" s="411"/>
    </row>
    <row r="29" spans="1:11">
      <c r="A29" s="411"/>
    </row>
    <row r="30" spans="1:11">
      <c r="A30" s="411"/>
    </row>
    <row r="31" spans="1:11">
      <c r="A31" s="411"/>
    </row>
    <row r="32" spans="1:11">
      <c r="A32" s="411"/>
    </row>
    <row r="33" spans="1:1">
      <c r="A33" s="411"/>
    </row>
    <row r="34" spans="1:1">
      <c r="A34" s="411"/>
    </row>
    <row r="35" spans="1:1">
      <c r="A35" s="411"/>
    </row>
    <row r="36" spans="1:1">
      <c r="A36" s="411"/>
    </row>
    <row r="37" spans="1:1">
      <c r="A37" s="411"/>
    </row>
    <row r="38" spans="1:1">
      <c r="A38" s="411"/>
    </row>
    <row r="39" spans="1:1">
      <c r="A39" s="411"/>
    </row>
    <row r="40" spans="1:1">
      <c r="A40" s="411"/>
    </row>
    <row r="41" spans="1:1">
      <c r="A41" s="411"/>
    </row>
    <row r="42" spans="1:1">
      <c r="A42" s="411"/>
    </row>
    <row r="43" spans="1:1">
      <c r="A43" s="411"/>
    </row>
    <row r="44" spans="1:1">
      <c r="A44" s="411"/>
    </row>
    <row r="45" spans="1:1">
      <c r="A45" s="411"/>
    </row>
    <row r="46" spans="1:1">
      <c r="A46" s="411"/>
    </row>
    <row r="47" spans="1:1">
      <c r="A47" s="411"/>
    </row>
    <row r="48" spans="1:1">
      <c r="A48" s="411"/>
    </row>
    <row r="49" spans="1:1">
      <c r="A49" s="411"/>
    </row>
    <row r="50" spans="1:1">
      <c r="A50" s="411"/>
    </row>
    <row r="51" spans="1:1">
      <c r="A51" s="411"/>
    </row>
    <row r="52" spans="1:1">
      <c r="A52" s="411"/>
    </row>
    <row r="53" spans="1:1">
      <c r="A53" s="411"/>
    </row>
    <row r="54" spans="1:1">
      <c r="A54" s="411"/>
    </row>
    <row r="55" spans="1:1">
      <c r="A55" s="411"/>
    </row>
    <row r="56" spans="1:1">
      <c r="A56" s="411"/>
    </row>
  </sheetData>
  <mergeCells count="1">
    <mergeCell ref="E2:K2"/>
  </mergeCells>
  <pageMargins left="0.75" right="0.75" top="1" bottom="1" header="0.5" footer="0.5"/>
  <pageSetup scale="89" fitToHeight="0" orientation="portrait" horizontalDpi="1200" verticalDpi="1200"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FF00"/>
    <pageSetUpPr fitToPage="1"/>
  </sheetPr>
  <dimension ref="A1:AZ495"/>
  <sheetViews>
    <sheetView showGridLines="0" zoomScale="55" zoomScaleNormal="55" workbookViewId="0">
      <pane xSplit="1" ySplit="10" topLeftCell="B23" activePane="bottomRight" state="frozen"/>
      <selection activeCell="D11" sqref="D11"/>
      <selection pane="topRight" activeCell="D11" sqref="D11"/>
      <selection pane="bottomLeft" activeCell="D11" sqref="D11"/>
      <selection pane="bottomRight" activeCell="H43" sqref="H43"/>
    </sheetView>
  </sheetViews>
  <sheetFormatPr defaultColWidth="0" defaultRowHeight="15.75" zeroHeight="1"/>
  <cols>
    <col min="1" max="1" width="22.5" customWidth="1"/>
    <col min="2" max="2" width="2" customWidth="1"/>
    <col min="3" max="3" width="6.375" bestFit="1" customWidth="1"/>
    <col min="4" max="4" width="46.375" customWidth="1"/>
    <col min="5" max="5" width="19.25" hidden="1" customWidth="1"/>
    <col min="6" max="6" width="17.5" style="17" hidden="1" customWidth="1"/>
    <col min="7" max="7" width="19.375" customWidth="1"/>
    <col min="8" max="9" width="19.375" style="3094" customWidth="1"/>
    <col min="10" max="10" width="2.625" customWidth="1"/>
    <col min="11" max="11" width="16.375" hidden="1" customWidth="1"/>
    <col min="12" max="12" width="14.75" hidden="1" customWidth="1"/>
    <col min="13" max="14" width="15.125" hidden="1" customWidth="1"/>
    <col min="15" max="15" width="16.375" hidden="1" customWidth="1"/>
    <col min="16" max="16" width="16" hidden="1" customWidth="1"/>
    <col min="17" max="17" width="15.125" hidden="1" customWidth="1"/>
    <col min="18" max="18" width="14.75" hidden="1" customWidth="1"/>
    <col min="19" max="19" width="15.125" hidden="1" customWidth="1"/>
    <col min="20" max="20" width="16" hidden="1" customWidth="1"/>
    <col min="21" max="21" width="15.125" hidden="1" customWidth="1"/>
    <col min="22" max="22" width="15.375" hidden="1" customWidth="1"/>
    <col min="23" max="23" width="13" hidden="1" customWidth="1"/>
    <col min="24" max="24" width="14.5" hidden="1" customWidth="1"/>
    <col min="25" max="25" width="15.5" hidden="1" customWidth="1"/>
    <col min="26" max="26" width="2.125" style="86" hidden="1" customWidth="1"/>
    <col min="27" max="27" width="20" hidden="1" customWidth="1"/>
    <col min="28" max="32" width="16.625" hidden="1" customWidth="1"/>
    <col min="33" max="33" width="2.625" hidden="1" customWidth="1"/>
    <col min="34" max="51" width="16.625" hidden="1" customWidth="1"/>
    <col min="52" max="52" width="16.625" hidden="1"/>
  </cols>
  <sheetData>
    <row r="1" spans="1:12" ht="18.75">
      <c r="A1" s="411"/>
      <c r="C1" s="4551" t="s">
        <v>495</v>
      </c>
      <c r="D1" s="4551"/>
      <c r="E1" s="4551"/>
      <c r="F1" s="4551"/>
      <c r="G1" s="4551"/>
      <c r="H1" s="4242"/>
      <c r="I1" s="4242"/>
    </row>
    <row r="2" spans="1:12" ht="18.75">
      <c r="A2" s="411"/>
      <c r="C2" s="4551" t="str">
        <f>Client</f>
        <v>Grant County Public Utility District</v>
      </c>
      <c r="D2" s="4551"/>
      <c r="E2" s="4551"/>
      <c r="F2" s="4551"/>
      <c r="G2" s="4551"/>
      <c r="H2" s="4242"/>
      <c r="I2" s="4242"/>
    </row>
    <row r="3" spans="1:12" ht="18.75">
      <c r="A3" s="411"/>
      <c r="C3" s="4551" t="s">
        <v>392</v>
      </c>
      <c r="D3" s="4551"/>
      <c r="E3" s="4551"/>
      <c r="F3" s="4551"/>
      <c r="G3" s="4551"/>
      <c r="H3" s="4242"/>
      <c r="I3" s="4242"/>
    </row>
    <row r="4" spans="1:12" ht="18.75">
      <c r="A4" s="411"/>
      <c r="C4" s="4551"/>
      <c r="D4" s="4551"/>
      <c r="E4" s="4551"/>
      <c r="F4" s="4551"/>
      <c r="G4" s="4551"/>
      <c r="H4" s="4242"/>
      <c r="I4" s="4242"/>
    </row>
    <row r="5" spans="1:12">
      <c r="A5" s="411"/>
      <c r="C5" s="14"/>
      <c r="F5"/>
    </row>
    <row r="6" spans="1:12">
      <c r="A6" s="411"/>
      <c r="C6" s="2554"/>
      <c r="D6" s="2579"/>
      <c r="E6" s="2579" t="s">
        <v>674</v>
      </c>
      <c r="F6" s="2579" t="s">
        <v>155</v>
      </c>
      <c r="G6" s="2579"/>
      <c r="H6" s="2579"/>
      <c r="I6" s="2579"/>
    </row>
    <row r="7" spans="1:12" ht="6.75" customHeight="1" thickBot="1">
      <c r="A7" s="411"/>
      <c r="C7" s="2648"/>
      <c r="D7" s="2610"/>
      <c r="E7" s="2610"/>
      <c r="F7" s="2610"/>
      <c r="G7" s="2610"/>
      <c r="H7" s="2610"/>
      <c r="I7" s="4245"/>
    </row>
    <row r="8" spans="1:12">
      <c r="A8" s="411"/>
      <c r="C8" s="2649"/>
      <c r="D8" s="2650"/>
      <c r="E8" s="2650">
        <f>'COS_RR (top sheet)'!I6</f>
        <v>2024</v>
      </c>
      <c r="F8" s="2650" t="s">
        <v>552</v>
      </c>
      <c r="G8" s="2650" t="str">
        <f>"Test Year "&amp;'COS_RR (top sheet)'!$I$6</f>
        <v>Test Year 2024</v>
      </c>
      <c r="H8" s="2650" t="s">
        <v>3996</v>
      </c>
      <c r="I8" s="4246"/>
      <c r="J8" s="213"/>
      <c r="K8" s="171"/>
    </row>
    <row r="9" spans="1:12">
      <c r="A9" s="411"/>
      <c r="C9" s="2651" t="s">
        <v>867</v>
      </c>
      <c r="D9" s="2652" t="s">
        <v>399</v>
      </c>
      <c r="E9" s="2652" t="s">
        <v>114</v>
      </c>
      <c r="F9" s="2652" t="s">
        <v>482</v>
      </c>
      <c r="G9" s="2652" t="s">
        <v>864</v>
      </c>
      <c r="H9" s="2652" t="s">
        <v>864</v>
      </c>
      <c r="I9" s="4246" t="s">
        <v>3537</v>
      </c>
      <c r="J9" s="213"/>
      <c r="K9" s="171"/>
      <c r="L9" s="20"/>
    </row>
    <row r="10" spans="1:12" s="1" customFormat="1" ht="4.5" customHeight="1">
      <c r="A10" s="411"/>
      <c r="C10" s="341"/>
      <c r="D10" s="17"/>
      <c r="E10" s="17"/>
      <c r="F10" s="17"/>
      <c r="G10" s="325"/>
      <c r="H10" s="325"/>
      <c r="I10" s="17"/>
      <c r="J10" s="17"/>
      <c r="K10" s="17"/>
      <c r="L10" s="17"/>
    </row>
    <row r="11" spans="1:12">
      <c r="A11" s="411"/>
      <c r="C11" s="341"/>
      <c r="D11" s="490" t="s">
        <v>441</v>
      </c>
      <c r="E11" s="17"/>
      <c r="G11" s="325"/>
      <c r="H11" s="325"/>
      <c r="I11" s="17"/>
      <c r="J11" s="466"/>
      <c r="K11" s="87"/>
      <c r="L11" s="20"/>
    </row>
    <row r="12" spans="1:12" ht="12" customHeight="1">
      <c r="A12" s="411"/>
      <c r="C12" s="341"/>
      <c r="D12" s="17"/>
      <c r="E12" s="17"/>
      <c r="G12" s="325"/>
      <c r="H12" s="325"/>
      <c r="I12" s="17"/>
      <c r="J12" s="175"/>
      <c r="K12" s="87"/>
      <c r="L12" s="20"/>
    </row>
    <row r="13" spans="1:12">
      <c r="A13" s="411"/>
      <c r="C13" s="342"/>
      <c r="D13" s="206" t="s">
        <v>661</v>
      </c>
      <c r="E13" s="343"/>
      <c r="G13" s="325"/>
      <c r="H13" s="325"/>
      <c r="I13" s="17"/>
      <c r="J13" s="85"/>
      <c r="K13" s="85"/>
      <c r="L13" s="8"/>
    </row>
    <row r="14" spans="1:12" ht="4.5" customHeight="1">
      <c r="A14" s="411"/>
      <c r="C14" s="342"/>
      <c r="D14" s="206"/>
      <c r="E14" s="343"/>
      <c r="G14" s="325"/>
      <c r="H14" s="325"/>
      <c r="I14" s="17"/>
      <c r="J14" s="85"/>
      <c r="K14" s="85"/>
      <c r="L14" s="8"/>
    </row>
    <row r="15" spans="1:12">
      <c r="A15" s="411"/>
      <c r="C15" s="342">
        <v>1</v>
      </c>
      <c r="D15" s="245" t="str">
        <f>'COS_RR (top sheet)'!E17</f>
        <v>Operation and Maintenance Expense</v>
      </c>
      <c r="E15" s="279"/>
      <c r="G15" s="325"/>
      <c r="H15" s="325"/>
      <c r="I15" s="17"/>
      <c r="J15" s="85"/>
      <c r="K15" s="85"/>
      <c r="L15" s="8"/>
    </row>
    <row r="16" spans="1:12">
      <c r="A16" s="411"/>
      <c r="C16" s="342">
        <f>+MAX(C$13:C15)+1</f>
        <v>2</v>
      </c>
      <c r="D16" s="243" t="str">
        <f>'COS_RR (top sheet)'!E18</f>
        <v>Purchased Power - Total</v>
      </c>
      <c r="E16" s="589">
        <f>'COS_RR (top sheet)'!F18</f>
        <v>233090202.32355806</v>
      </c>
      <c r="F16" s="589">
        <f>'COS_RR (top sheet)'!G18</f>
        <v>0</v>
      </c>
      <c r="G16" s="589">
        <f>+E16+F16</f>
        <v>233090202.32355806</v>
      </c>
      <c r="H16" s="589">
        <v>125786927.89568561</v>
      </c>
      <c r="I16" s="4247">
        <f>G16-H16</f>
        <v>107303274.42787245</v>
      </c>
      <c r="J16" s="85"/>
      <c r="K16" s="85"/>
      <c r="L16" s="8"/>
    </row>
    <row r="17" spans="1:26">
      <c r="A17" s="411"/>
      <c r="C17" s="342">
        <f>+MAX(C$13:C16)+1</f>
        <v>3</v>
      </c>
      <c r="D17" s="243" t="str">
        <f>'COS_RR (top sheet)'!E19</f>
        <v>Generation</v>
      </c>
      <c r="E17" s="16">
        <f>'COS_RR (top sheet)'!F19</f>
        <v>635063.69790164474</v>
      </c>
      <c r="F17" s="279"/>
      <c r="G17" s="16">
        <f t="shared" ref="G17:G22" si="0">+E17+F17</f>
        <v>635063.69790164474</v>
      </c>
      <c r="H17" s="16">
        <v>435769.92755090725</v>
      </c>
      <c r="I17" s="257">
        <f t="shared" ref="I17:I22" si="1">G17-H17</f>
        <v>199293.7703507375</v>
      </c>
      <c r="J17" s="85"/>
      <c r="K17" s="85"/>
      <c r="L17" s="8"/>
    </row>
    <row r="18" spans="1:26">
      <c r="A18" s="411"/>
      <c r="C18" s="342">
        <f>+MAX(C$13:C17)+1</f>
        <v>4</v>
      </c>
      <c r="D18" s="243" t="str">
        <f>'COS_RR (top sheet)'!E20</f>
        <v>Transmission</v>
      </c>
      <c r="E18" s="16">
        <f>'COS_RR (top sheet)'!F20</f>
        <v>3520467.8803847791</v>
      </c>
      <c r="F18" s="279"/>
      <c r="G18" s="16">
        <f t="shared" si="0"/>
        <v>3520467.8803847791</v>
      </c>
      <c r="H18" s="16">
        <v>4521071.6803180408</v>
      </c>
      <c r="I18" s="257">
        <f t="shared" si="1"/>
        <v>-1000603.7999332617</v>
      </c>
      <c r="J18" s="85"/>
      <c r="K18" s="85"/>
      <c r="L18" s="8"/>
      <c r="Z18"/>
    </row>
    <row r="19" spans="1:26">
      <c r="A19" s="411"/>
      <c r="C19" s="342">
        <f>+MAX(C$13:C18)+1</f>
        <v>5</v>
      </c>
      <c r="D19" s="243" t="str">
        <f>'COS_RR (top sheet)'!E21</f>
        <v>Distribution</v>
      </c>
      <c r="E19" s="16">
        <f>'COS_RR (top sheet)'!F21</f>
        <v>18493525.052538324</v>
      </c>
      <c r="F19" s="279"/>
      <c r="G19" s="16">
        <f t="shared" si="0"/>
        <v>18493525.052538324</v>
      </c>
      <c r="H19" s="16">
        <v>12780250.464414464</v>
      </c>
      <c r="I19" s="257">
        <f t="shared" si="1"/>
        <v>5713274.5881238598</v>
      </c>
      <c r="J19" s="85"/>
      <c r="K19" s="85"/>
      <c r="L19" s="8"/>
      <c r="Z19"/>
    </row>
    <row r="20" spans="1:26">
      <c r="A20" s="411"/>
      <c r="C20" s="342">
        <f>+MAX(C$13:C19)+1</f>
        <v>6</v>
      </c>
      <c r="D20" s="243" t="str">
        <f>'COS_RR (top sheet)'!E22</f>
        <v>Customer Accounts</v>
      </c>
      <c r="E20" s="16">
        <f>'COS_RR (top sheet)'!F22</f>
        <v>10759316.518980984</v>
      </c>
      <c r="F20" s="279"/>
      <c r="G20" s="16">
        <f t="shared" si="0"/>
        <v>10759316.518980984</v>
      </c>
      <c r="H20" s="16">
        <v>7556209.7879945925</v>
      </c>
      <c r="I20" s="257">
        <f t="shared" si="1"/>
        <v>3203106.7309863912</v>
      </c>
      <c r="J20" s="85"/>
      <c r="K20" s="85"/>
      <c r="L20" s="8"/>
      <c r="Z20"/>
    </row>
    <row r="21" spans="1:26">
      <c r="A21" s="411"/>
      <c r="C21" s="342">
        <f>+MAX(C$13:C20)+1</f>
        <v>7</v>
      </c>
      <c r="D21" s="243" t="str">
        <f>'COS_RR (top sheet)'!E23</f>
        <v>Fiber Optic Network</v>
      </c>
      <c r="E21" s="16">
        <f>'COS_RR (top sheet)'!F23</f>
        <v>2153020.4127162546</v>
      </c>
      <c r="F21" s="279"/>
      <c r="G21" s="16">
        <f t="shared" si="0"/>
        <v>2153020.4127162546</v>
      </c>
      <c r="H21" s="16">
        <v>1508556.1551212955</v>
      </c>
      <c r="I21" s="257">
        <f t="shared" si="1"/>
        <v>644464.25759495911</v>
      </c>
      <c r="J21" s="85"/>
      <c r="K21" s="85"/>
      <c r="L21" s="8"/>
      <c r="Z21"/>
    </row>
    <row r="22" spans="1:26">
      <c r="A22" s="411"/>
      <c r="C22" s="342">
        <f>+MAX(C$13:C21)+1</f>
        <v>8</v>
      </c>
      <c r="D22" s="243" t="str">
        <f>'COS_RR (top sheet)'!E24</f>
        <v>Administrative and General</v>
      </c>
      <c r="E22" s="277">
        <f>'COS_RR (top sheet)'!F24</f>
        <v>21883167.474369351</v>
      </c>
      <c r="F22" s="277"/>
      <c r="G22" s="277">
        <f t="shared" si="0"/>
        <v>21883167.474369351</v>
      </c>
      <c r="H22" s="277">
        <v>15238631.028309422</v>
      </c>
      <c r="I22" s="1998">
        <f t="shared" si="1"/>
        <v>6644536.4460599292</v>
      </c>
      <c r="J22" s="85"/>
      <c r="K22" s="85"/>
      <c r="L22" s="8"/>
      <c r="Z22"/>
    </row>
    <row r="23" spans="1:26">
      <c r="A23" s="411"/>
      <c r="C23" s="342">
        <f>+MAX(C$13:C22)+1</f>
        <v>9</v>
      </c>
      <c r="D23" s="186" t="str">
        <f>'COS_RR (top sheet)'!E25</f>
        <v>Total Expenses</v>
      </c>
      <c r="E23" s="708">
        <f>SUM(E16:E22)</f>
        <v>290534763.36044937</v>
      </c>
      <c r="F23" s="708">
        <f>SUM(F16:F22)</f>
        <v>0</v>
      </c>
      <c r="G23" s="708">
        <f>SUM(G16:G22)</f>
        <v>290534763.36044937</v>
      </c>
      <c r="H23" s="708">
        <v>167827416.93939435</v>
      </c>
      <c r="I23" s="708">
        <f>SUM(I16:I22)</f>
        <v>122707346.42105506</v>
      </c>
      <c r="J23" s="85"/>
      <c r="K23" s="85"/>
      <c r="L23" s="8"/>
      <c r="Z23"/>
    </row>
    <row r="24" spans="1:26" ht="4.5" customHeight="1">
      <c r="A24" s="411"/>
      <c r="C24" s="342"/>
      <c r="D24" s="206"/>
      <c r="E24" s="343"/>
      <c r="F24" s="343"/>
      <c r="G24" s="346"/>
      <c r="H24" s="346"/>
      <c r="I24" s="346"/>
      <c r="J24" s="85"/>
      <c r="K24" s="85"/>
      <c r="L24" s="8"/>
      <c r="Z24"/>
    </row>
    <row r="25" spans="1:26">
      <c r="A25" s="411"/>
      <c r="C25" s="342"/>
      <c r="D25" s="245" t="str">
        <f>'COS_RR (top sheet)'!E27</f>
        <v>Debt Service</v>
      </c>
      <c r="E25" s="343"/>
      <c r="F25" s="343"/>
      <c r="G25" s="346"/>
      <c r="H25" s="346"/>
      <c r="I25" s="346"/>
      <c r="J25" s="85"/>
      <c r="K25" s="85"/>
      <c r="L25" s="8"/>
      <c r="Z25"/>
    </row>
    <row r="26" spans="1:26">
      <c r="A26" s="411"/>
      <c r="C26" s="342">
        <f>+MAX(C$13:C25)+1</f>
        <v>10</v>
      </c>
      <c r="D26" s="243" t="str">
        <f>'COS_RR (top sheet)'!E28</f>
        <v>Existing Debt Service</v>
      </c>
      <c r="E26" s="589">
        <f>'COS_RR (top sheet)'!F28</f>
        <v>4720759.0671651904</v>
      </c>
      <c r="F26" s="589"/>
      <c r="G26" s="707">
        <f>+E26+F26</f>
        <v>4720759.0671651904</v>
      </c>
      <c r="H26" s="707">
        <v>8108081.2599999802</v>
      </c>
      <c r="I26" s="4248">
        <f>G26-H26</f>
        <v>-3387322.1928347899</v>
      </c>
      <c r="J26" s="85"/>
      <c r="K26" s="85"/>
      <c r="L26" s="8"/>
      <c r="Z26"/>
    </row>
    <row r="27" spans="1:26" ht="15.75" customHeight="1">
      <c r="A27" s="411"/>
      <c r="C27" s="342">
        <f>+MAX(C$13:C26)+1</f>
        <v>11</v>
      </c>
      <c r="D27" s="243" t="str">
        <f>'COS_RR (top sheet)'!E30</f>
        <v>Proposed Debt</v>
      </c>
      <c r="E27" s="277">
        <f>'COS_RR (top sheet)'!F30</f>
        <v>3787500</v>
      </c>
      <c r="F27" s="277"/>
      <c r="G27" s="345">
        <f>+E27+F27</f>
        <v>3787500</v>
      </c>
      <c r="H27" s="345">
        <v>0</v>
      </c>
      <c r="I27" s="4249">
        <f>G27-H27</f>
        <v>3787500</v>
      </c>
      <c r="J27" s="85"/>
      <c r="K27" s="85"/>
      <c r="L27" s="8"/>
      <c r="Z27"/>
    </row>
    <row r="28" spans="1:26">
      <c r="A28" s="411"/>
      <c r="C28" s="342">
        <f>+MAX(C$13:C27)+1</f>
        <v>12</v>
      </c>
      <c r="D28" s="186" t="str">
        <f>'COS_RR (top sheet)'!E31</f>
        <v>Total Debt Service</v>
      </c>
      <c r="E28" s="710">
        <f>SUM(E26:E27)</f>
        <v>8508259.0671651904</v>
      </c>
      <c r="F28" s="710">
        <f>SUM(F26:F27)</f>
        <v>0</v>
      </c>
      <c r="G28" s="711">
        <f>SUM(G26:G27)</f>
        <v>8508259.0671651904</v>
      </c>
      <c r="H28" s="711">
        <v>8108081.2599999802</v>
      </c>
      <c r="I28" s="711">
        <f>SUM(I26:I27)</f>
        <v>400177.80716521014</v>
      </c>
      <c r="J28" s="85"/>
      <c r="K28" s="85"/>
      <c r="L28" s="8"/>
      <c r="Z28"/>
    </row>
    <row r="29" spans="1:26" ht="4.5" customHeight="1">
      <c r="A29" s="411"/>
      <c r="C29" s="342"/>
      <c r="D29" s="206"/>
      <c r="E29" s="343"/>
      <c r="F29" s="343"/>
      <c r="G29" s="346"/>
      <c r="H29" s="346"/>
      <c r="I29" s="346"/>
      <c r="J29" s="85"/>
      <c r="K29" s="85"/>
      <c r="L29" s="8"/>
      <c r="Z29"/>
    </row>
    <row r="30" spans="1:26">
      <c r="A30" s="411"/>
      <c r="C30" s="342"/>
      <c r="D30" s="185" t="str">
        <f>'COS_RR (top sheet)'!E33</f>
        <v>Other Expenditures and Transfers</v>
      </c>
      <c r="E30" s="343"/>
      <c r="F30" s="343"/>
      <c r="G30" s="346"/>
      <c r="H30" s="346"/>
      <c r="I30" s="346"/>
      <c r="J30" s="85"/>
      <c r="K30" s="85"/>
      <c r="L30" s="8"/>
      <c r="Z30"/>
    </row>
    <row r="31" spans="1:26">
      <c r="A31" s="411"/>
      <c r="C31" s="342">
        <f>+MAX(C$13:C30)+1</f>
        <v>13</v>
      </c>
      <c r="D31" s="252" t="str">
        <f>'COS_RR (top sheet)'!E34</f>
        <v>Taxes</v>
      </c>
      <c r="E31" s="589">
        <f>'COS_RR (top sheet)'!F34</f>
        <v>20596507.288357612</v>
      </c>
      <c r="F31" s="589"/>
      <c r="G31" s="707">
        <f>+E31+F31</f>
        <v>20596507.288357612</v>
      </c>
      <c r="H31" s="707">
        <v>12707872.123673724</v>
      </c>
      <c r="I31" s="4248">
        <f>G31-H31</f>
        <v>7888635.1646838877</v>
      </c>
      <c r="J31" s="85"/>
      <c r="K31" s="85"/>
      <c r="L31" s="8"/>
      <c r="Z31"/>
    </row>
    <row r="32" spans="1:26">
      <c r="A32" s="411"/>
      <c r="C32" s="342">
        <f>+MAX(C$13:C31)+1</f>
        <v>14</v>
      </c>
      <c r="D32" s="252" t="str">
        <f>'COS_RR (top sheet)'!E35</f>
        <v>Transfer to/(from) Finance Plan Reserve (Debt Service)</v>
      </c>
      <c r="E32" s="589">
        <f>'COS_RR (top sheet)'!F35</f>
        <v>0</v>
      </c>
      <c r="F32" s="589"/>
      <c r="G32" s="707">
        <f>+E32+F32</f>
        <v>0</v>
      </c>
      <c r="H32" s="707">
        <v>0</v>
      </c>
      <c r="I32" s="4248">
        <f t="shared" ref="I32:I35" si="2">G32-H32</f>
        <v>0</v>
      </c>
      <c r="J32" s="85"/>
      <c r="K32" s="85"/>
      <c r="L32" s="8"/>
      <c r="Z32"/>
    </row>
    <row r="33" spans="1:26">
      <c r="A33" s="411"/>
      <c r="C33" s="342">
        <f>+MAX(C$13:C32)+1</f>
        <v>15</v>
      </c>
      <c r="D33" s="252" t="str">
        <f>'COS_RR (top sheet)'!E36</f>
        <v>Transfer to/(from) Finance Plan Reserve (PRP Capital)</v>
      </c>
      <c r="E33" s="16">
        <f>'COS_RR (top sheet)'!F36</f>
        <v>98146906.637001559</v>
      </c>
      <c r="F33" s="589"/>
      <c r="G33" s="347">
        <f>+E33+F33</f>
        <v>98146906.637001559</v>
      </c>
      <c r="H33" s="347">
        <v>31833000</v>
      </c>
      <c r="I33" s="4250">
        <f t="shared" si="2"/>
        <v>66313906.637001559</v>
      </c>
      <c r="J33" s="85"/>
      <c r="K33" s="85"/>
      <c r="L33" s="8"/>
      <c r="Z33"/>
    </row>
    <row r="34" spans="1:26">
      <c r="A34" s="411"/>
      <c r="C34" s="342">
        <f>+MAX(C$13:C33)+1</f>
        <v>16</v>
      </c>
      <c r="D34" s="252" t="str">
        <f>'COS_RR (top sheet)'!E37</f>
        <v>Transfer 3</v>
      </c>
      <c r="E34" s="16">
        <f>'COS_RR (top sheet)'!F37</f>
        <v>0</v>
      </c>
      <c r="F34" s="16"/>
      <c r="G34" s="347">
        <f>+E34+F34</f>
        <v>0</v>
      </c>
      <c r="H34" s="347">
        <v>0</v>
      </c>
      <c r="I34" s="4250">
        <f t="shared" si="2"/>
        <v>0</v>
      </c>
      <c r="J34" s="85"/>
      <c r="K34" s="85"/>
      <c r="L34" s="8"/>
      <c r="Z34"/>
    </row>
    <row r="35" spans="1:26">
      <c r="A35" s="411"/>
      <c r="C35" s="342">
        <f>+MAX(C$13:C34)+1</f>
        <v>17</v>
      </c>
      <c r="D35" s="252" t="str">
        <f>'COS_RR (top sheet)'!E38</f>
        <v>Capital Projects</v>
      </c>
      <c r="E35" s="277">
        <f>'COS_RR (top sheet)'!F38</f>
        <v>31901862.832594763</v>
      </c>
      <c r="F35" s="277"/>
      <c r="G35" s="345">
        <f>+E35+F35</f>
        <v>31901862.832594763</v>
      </c>
      <c r="H35" s="345">
        <v>55859940.056760222</v>
      </c>
      <c r="I35" s="4249">
        <f t="shared" si="2"/>
        <v>-23958077.224165458</v>
      </c>
      <c r="J35" s="85"/>
      <c r="K35" s="85"/>
      <c r="L35" s="8"/>
      <c r="Z35"/>
    </row>
    <row r="36" spans="1:26">
      <c r="A36" s="411"/>
      <c r="C36" s="342">
        <f>+MAX(C$13:C35)+1</f>
        <v>18</v>
      </c>
      <c r="D36" s="186" t="str">
        <f>'COS_RR (top sheet)'!E39</f>
        <v>Total Other Exp. And Transfers</v>
      </c>
      <c r="E36" s="708">
        <f>SUM(E31:E35)</f>
        <v>150645276.75795394</v>
      </c>
      <c r="F36" s="708">
        <f>SUM(F31:F35)</f>
        <v>0</v>
      </c>
      <c r="G36" s="709">
        <f>SUM(G31:G35)</f>
        <v>150645276.75795394</v>
      </c>
      <c r="H36" s="709">
        <v>100400812.18043394</v>
      </c>
      <c r="I36" s="709">
        <f>SUM(I31:I35)</f>
        <v>50244464.577519998</v>
      </c>
      <c r="J36" s="85"/>
      <c r="K36" s="85"/>
      <c r="L36" s="8"/>
      <c r="Z36"/>
    </row>
    <row r="37" spans="1:26" ht="4.5" customHeight="1">
      <c r="A37" s="411"/>
      <c r="C37" s="342"/>
      <c r="D37" s="206"/>
      <c r="E37" s="343"/>
      <c r="F37" s="343"/>
      <c r="G37" s="346"/>
      <c r="H37" s="346"/>
      <c r="I37" s="346"/>
      <c r="J37" s="85"/>
      <c r="K37" s="85"/>
      <c r="L37" s="8"/>
      <c r="Z37"/>
    </row>
    <row r="38" spans="1:26">
      <c r="A38" s="411"/>
      <c r="C38" s="342">
        <f>+MAX(C$13:C37)+1</f>
        <v>19</v>
      </c>
      <c r="D38" s="206" t="str">
        <f>'COS_RR (top sheet)'!E41</f>
        <v>Total Revenue Requirements</v>
      </c>
      <c r="E38" s="708">
        <f>SUM(E23,E28,E36)</f>
        <v>449688299.18556851</v>
      </c>
      <c r="F38" s="708">
        <f>SUM(F23,F28,F36)</f>
        <v>0</v>
      </c>
      <c r="G38" s="708">
        <f>SUM(G23,G28,G36)</f>
        <v>449688299.18556851</v>
      </c>
      <c r="H38" s="708">
        <v>276336310.37982827</v>
      </c>
      <c r="I38" s="708">
        <f>SUM(I23,I28,I36)</f>
        <v>173351988.80574027</v>
      </c>
      <c r="J38" s="85"/>
      <c r="K38" s="85"/>
      <c r="L38" s="8"/>
      <c r="Z38"/>
    </row>
    <row r="39" spans="1:26" ht="4.5" customHeight="1">
      <c r="A39" s="411"/>
      <c r="C39" s="342"/>
      <c r="D39" s="206"/>
      <c r="E39" s="343"/>
      <c r="F39" s="343"/>
      <c r="G39" s="346"/>
      <c r="H39" s="346"/>
      <c r="I39" s="346"/>
      <c r="J39" s="85"/>
      <c r="K39" s="85"/>
      <c r="L39" s="8"/>
      <c r="Z39"/>
    </row>
    <row r="40" spans="1:26">
      <c r="A40" s="411"/>
      <c r="C40" s="342">
        <f>+MAX(C$13:C39)+1</f>
        <v>20</v>
      </c>
      <c r="D40" s="206" t="str">
        <f>'COS_RR (top sheet)'!E43</f>
        <v>Less: Other Revenue</v>
      </c>
      <c r="E40" s="343"/>
      <c r="F40" s="343"/>
      <c r="G40" s="346"/>
      <c r="H40" s="346"/>
      <c r="I40" s="346"/>
      <c r="J40" s="85"/>
      <c r="K40" s="85"/>
      <c r="L40" s="8"/>
      <c r="Z40"/>
    </row>
    <row r="41" spans="1:26" ht="4.5" customHeight="1">
      <c r="A41" s="411"/>
      <c r="C41" s="342"/>
      <c r="D41" s="206"/>
      <c r="E41" s="343"/>
      <c r="F41" s="343"/>
      <c r="G41" s="346"/>
      <c r="H41" s="346"/>
      <c r="I41" s="346"/>
      <c r="J41" s="85"/>
      <c r="K41" s="85"/>
      <c r="L41" s="8"/>
      <c r="Z41"/>
    </row>
    <row r="42" spans="1:26">
      <c r="A42" s="411"/>
      <c r="C42" s="342"/>
      <c r="D42" s="245" t="str">
        <f>'COS_RR (top sheet)'!E45</f>
        <v>Other Revenue:</v>
      </c>
      <c r="E42" s="343"/>
      <c r="F42" s="343"/>
      <c r="G42" s="346"/>
      <c r="H42" s="346"/>
      <c r="I42" s="346"/>
      <c r="J42" s="85"/>
      <c r="K42" s="85"/>
      <c r="L42" s="8"/>
      <c r="Z42"/>
    </row>
    <row r="43" spans="1:26">
      <c r="A43" s="411"/>
      <c r="C43" s="342">
        <f>+MAX(C$13:C42)+1</f>
        <v>21</v>
      </c>
      <c r="D43" s="243" t="str">
        <f>'COS_RR (top sheet)'!E46</f>
        <v>Green Power Sales</v>
      </c>
      <c r="E43" s="589">
        <f>'COS_RR (top sheet)'!F46</f>
        <v>0</v>
      </c>
      <c r="F43" s="589">
        <f>'COS_RR (top sheet)'!G46</f>
        <v>0</v>
      </c>
      <c r="G43" s="707">
        <f t="shared" ref="G43:G51" si="3">+E43+F43</f>
        <v>0</v>
      </c>
      <c r="H43" s="707">
        <v>24991.2612852518</v>
      </c>
      <c r="I43" s="4248">
        <f>G43-H43</f>
        <v>-24991.2612852518</v>
      </c>
      <c r="J43" s="85"/>
      <c r="K43" s="85"/>
      <c r="L43" s="8"/>
      <c r="Z43"/>
    </row>
    <row r="44" spans="1:26">
      <c r="A44" s="411"/>
      <c r="C44" s="342">
        <f>+MAX(C$13:C43)+1</f>
        <v>22</v>
      </c>
      <c r="D44" s="243" t="str">
        <f>'COS_RR (top sheet)'!E47</f>
        <v>Penalty for Late Payment</v>
      </c>
      <c r="E44" s="16">
        <f>'COS_RR (top sheet)'!F47</f>
        <v>1239007.6809670983</v>
      </c>
      <c r="F44" s="16"/>
      <c r="G44" s="347">
        <f t="shared" si="3"/>
        <v>1239007.6809670983</v>
      </c>
      <c r="H44" s="347">
        <v>508989.06126952928</v>
      </c>
      <c r="I44" s="4250">
        <f t="shared" ref="I44:I51" si="4">G44-H44</f>
        <v>730018.61969756905</v>
      </c>
      <c r="J44" s="85"/>
      <c r="K44" s="85"/>
      <c r="L44" s="8"/>
      <c r="Z44"/>
    </row>
    <row r="45" spans="1:26">
      <c r="A45" s="411"/>
      <c r="C45" s="342">
        <f>+MAX(C$13:C44)+1</f>
        <v>23</v>
      </c>
      <c r="D45" s="243" t="str">
        <f>'COS_RR (top sheet)'!E48</f>
        <v>Misc Service Revenue</v>
      </c>
      <c r="E45" s="16">
        <f>'COS_RR (top sheet)'!F48</f>
        <v>341774.96887544438</v>
      </c>
      <c r="F45" s="16"/>
      <c r="G45" s="347">
        <f t="shared" si="3"/>
        <v>341774.96887544438</v>
      </c>
      <c r="H45" s="347">
        <v>200003.3888686547</v>
      </c>
      <c r="I45" s="4250">
        <f t="shared" si="4"/>
        <v>141771.58000678968</v>
      </c>
      <c r="J45" s="85"/>
      <c r="K45" s="85"/>
      <c r="L45" s="8"/>
      <c r="Z45"/>
    </row>
    <row r="46" spans="1:26">
      <c r="A46" s="411"/>
      <c r="C46" s="342">
        <f>+MAX(C$13:C45)+1</f>
        <v>24</v>
      </c>
      <c r="D46" s="243" t="str">
        <f>'COS_RR (top sheet)'!E49</f>
        <v>Rent from Elec Property</v>
      </c>
      <c r="E46" s="16">
        <f>'COS_RR (top sheet)'!F49</f>
        <v>391171.11723485723</v>
      </c>
      <c r="F46" s="16"/>
      <c r="G46" s="347">
        <f t="shared" si="3"/>
        <v>391171.11723485723</v>
      </c>
      <c r="H46" s="347">
        <v>224120.54391557979</v>
      </c>
      <c r="I46" s="4250">
        <f t="shared" si="4"/>
        <v>167050.57331927744</v>
      </c>
      <c r="J46" s="85"/>
      <c r="K46" s="85"/>
      <c r="L46" s="8"/>
      <c r="Z46"/>
    </row>
    <row r="47" spans="1:26">
      <c r="A47" s="411"/>
      <c r="C47" s="342">
        <f>+MAX(C$13:C46)+1</f>
        <v>25</v>
      </c>
      <c r="D47" s="243" t="str">
        <f>'COS_RR (top sheet)'!E50</f>
        <v>Other Electric Revenues</v>
      </c>
      <c r="E47" s="16">
        <f>'COS_RR (top sheet)'!F50</f>
        <v>16178.886610810479</v>
      </c>
      <c r="F47" s="16"/>
      <c r="G47" s="347">
        <f t="shared" si="3"/>
        <v>16178.886610810479</v>
      </c>
      <c r="H47" s="347">
        <v>10790.855397493509</v>
      </c>
      <c r="I47" s="4250">
        <f t="shared" si="4"/>
        <v>5388.03121331697</v>
      </c>
      <c r="J47" s="85"/>
      <c r="K47" s="85"/>
      <c r="L47" s="8"/>
      <c r="Z47"/>
    </row>
    <row r="48" spans="1:26">
      <c r="A48" s="411"/>
      <c r="C48" s="342">
        <f>+MAX(C$13:C47)+1</f>
        <v>26</v>
      </c>
      <c r="D48" s="243" t="str">
        <f>'COS_RR (top sheet)'!E51</f>
        <v>Interest and Other Income, and JLB Payments</v>
      </c>
      <c r="E48" s="16">
        <f>'COS_RR (top sheet)'!F51</f>
        <v>28686301.45745568</v>
      </c>
      <c r="F48" s="16"/>
      <c r="G48" s="347">
        <f t="shared" si="3"/>
        <v>28686301.45745568</v>
      </c>
      <c r="H48" s="347">
        <v>406869.79332117806</v>
      </c>
      <c r="I48" s="4250">
        <f t="shared" si="4"/>
        <v>28279431.664134502</v>
      </c>
      <c r="J48" s="85"/>
      <c r="K48" s="85"/>
      <c r="L48" s="8"/>
      <c r="Z48"/>
    </row>
    <row r="49" spans="1:26">
      <c r="A49" s="411"/>
      <c r="C49" s="342">
        <f>+MAX(C$13:C48)+1</f>
        <v>27</v>
      </c>
      <c r="D49" s="243" t="str">
        <f>'COS_RR (top sheet)'!E52</f>
        <v>Contributions in Aid of Construction</v>
      </c>
      <c r="E49" s="16">
        <f>'COS_RR (top sheet)'!F52</f>
        <v>2343733.2385153715</v>
      </c>
      <c r="F49" s="16"/>
      <c r="G49" s="347">
        <f t="shared" si="3"/>
        <v>2343733.2385153715</v>
      </c>
      <c r="H49" s="347">
        <v>14616855.670935536</v>
      </c>
      <c r="I49" s="4250">
        <f t="shared" si="4"/>
        <v>-12273122.432420164</v>
      </c>
      <c r="J49" s="85"/>
      <c r="K49" s="85"/>
      <c r="L49" s="8"/>
      <c r="Z49"/>
    </row>
    <row r="50" spans="1:26">
      <c r="A50" s="411"/>
      <c r="C50" s="342">
        <f>+MAX(C$13:C49)+1</f>
        <v>28</v>
      </c>
      <c r="D50" s="243" t="str">
        <f>'COS_RR (top sheet)'!E53</f>
        <v>Sales to Other Utilities</v>
      </c>
      <c r="E50" s="16">
        <f>'COS_RR (top sheet)'!F53</f>
        <v>121107298.90224025</v>
      </c>
      <c r="F50" s="16">
        <f>'COS_RR (top sheet)'!G53</f>
        <v>0</v>
      </c>
      <c r="G50" s="347">
        <f t="shared" si="3"/>
        <v>121107298.90224025</v>
      </c>
      <c r="H50" s="347">
        <v>86502754.678714767</v>
      </c>
      <c r="I50" s="4250">
        <f t="shared" si="4"/>
        <v>34604544.223525479</v>
      </c>
      <c r="J50" s="85"/>
      <c r="K50" s="85"/>
      <c r="L50" s="8"/>
      <c r="Z50"/>
    </row>
    <row r="51" spans="1:26">
      <c r="A51" s="411"/>
      <c r="C51" s="342">
        <f>+MAX(C$13:C50)+1</f>
        <v>29</v>
      </c>
      <c r="D51" s="243" t="str">
        <f>'COS_RR (top sheet)'!E54</f>
        <v>Fiber Optic Network Sales</v>
      </c>
      <c r="E51" s="345">
        <f>'COS_RR (top sheet)'!F54</f>
        <v>5634359.6840295177</v>
      </c>
      <c r="F51" s="277"/>
      <c r="G51" s="345">
        <f t="shared" si="3"/>
        <v>5634359.6840295177</v>
      </c>
      <c r="H51" s="345">
        <v>4492282.7166999998</v>
      </c>
      <c r="I51" s="4249">
        <f t="shared" si="4"/>
        <v>1142076.9673295179</v>
      </c>
      <c r="J51" s="85"/>
      <c r="K51" s="85"/>
      <c r="L51" s="8"/>
      <c r="Z51"/>
    </row>
    <row r="52" spans="1:26">
      <c r="A52" s="411"/>
      <c r="C52" s="342">
        <f>+MAX(C$13:C51)+1</f>
        <v>30</v>
      </c>
      <c r="D52" s="186" t="str">
        <f>'COS_RR (top sheet)'!E55</f>
        <v>Total Other Revenue</v>
      </c>
      <c r="E52" s="708">
        <f>-SUM(E43:E51)</f>
        <v>-159759825.93592903</v>
      </c>
      <c r="F52" s="708">
        <f>-SUM(F43:F51)</f>
        <v>0</v>
      </c>
      <c r="G52" s="709">
        <f>-SUM(G43:G51)</f>
        <v>-159759825.93592903</v>
      </c>
      <c r="H52" s="709">
        <v>-106987657.97040799</v>
      </c>
      <c r="I52" s="709">
        <f>-SUM(I43:I51)</f>
        <v>-52772167.965521038</v>
      </c>
      <c r="J52" s="85"/>
      <c r="K52" s="85"/>
      <c r="L52" s="8"/>
      <c r="Z52"/>
    </row>
    <row r="53" spans="1:26" ht="4.5" customHeight="1">
      <c r="A53" s="411"/>
      <c r="C53" s="342"/>
      <c r="D53" s="206"/>
      <c r="E53" s="343"/>
      <c r="F53" s="343"/>
      <c r="G53" s="346"/>
      <c r="H53" s="346"/>
      <c r="I53" s="346"/>
      <c r="J53" s="85"/>
      <c r="K53" s="85"/>
      <c r="L53" s="8"/>
      <c r="Z53"/>
    </row>
    <row r="54" spans="1:26">
      <c r="A54" s="411"/>
      <c r="C54" s="342">
        <f>+MAX(C$13:C53)+1</f>
        <v>31</v>
      </c>
      <c r="D54" s="206" t="str">
        <f>'COS_RR (top sheet)'!E57</f>
        <v>Net Revenue Requirement</v>
      </c>
      <c r="E54" s="708">
        <f>SUM(E38,E52)</f>
        <v>289928473.24963951</v>
      </c>
      <c r="F54" s="708">
        <f>SUM(F38,F52)</f>
        <v>0</v>
      </c>
      <c r="G54" s="709">
        <f>SUM(G38,G52)</f>
        <v>289928473.24963951</v>
      </c>
      <c r="H54" s="709">
        <v>169348652.40942028</v>
      </c>
      <c r="I54" s="709">
        <f>SUM(I38,I52)</f>
        <v>120579820.84021923</v>
      </c>
      <c r="J54" s="192"/>
      <c r="K54" s="85"/>
      <c r="L54" s="8"/>
      <c r="Z54"/>
    </row>
    <row r="55" spans="1:26" ht="5.0999999999999996" customHeight="1">
      <c r="A55" s="411"/>
      <c r="C55" s="342"/>
      <c r="D55" s="206"/>
      <c r="E55" s="343"/>
      <c r="G55" s="325"/>
      <c r="H55" s="325"/>
      <c r="I55" s="325"/>
      <c r="J55" s="85"/>
      <c r="K55" s="85"/>
      <c r="L55" s="8"/>
      <c r="Z55"/>
    </row>
    <row r="56" spans="1:26">
      <c r="A56" s="411"/>
      <c r="C56" s="342"/>
      <c r="D56" s="206" t="str">
        <f>'COS_RR (top sheet)'!E59</f>
        <v>Revenues:</v>
      </c>
      <c r="E56" s="288"/>
      <c r="G56" s="325"/>
      <c r="H56" s="325"/>
      <c r="I56" s="325"/>
      <c r="J56" s="85"/>
      <c r="K56" s="85"/>
      <c r="L56" s="8"/>
      <c r="Z56"/>
    </row>
    <row r="57" spans="1:26">
      <c r="A57" s="411"/>
      <c r="C57" s="342">
        <f>+MAX(C$13:C56)+1</f>
        <v>32</v>
      </c>
      <c r="D57" s="252" t="str">
        <f>'COS_RR (top sheet)'!E60</f>
        <v>Residential</v>
      </c>
      <c r="E57" s="712">
        <f>'COS_RR (top sheet)'!F60</f>
        <v>48330648.920275912</v>
      </c>
      <c r="F57" s="712"/>
      <c r="G57" s="713">
        <f>+E57+F57</f>
        <v>48330648.920275912</v>
      </c>
      <c r="H57" s="713">
        <v>41746856.534171842</v>
      </c>
      <c r="I57" s="4251">
        <f t="shared" ref="I57:I60" si="5">G57-H57</f>
        <v>6583792.3861040697</v>
      </c>
      <c r="J57" s="85"/>
      <c r="K57" s="85"/>
      <c r="L57" s="8"/>
      <c r="Z57"/>
    </row>
    <row r="58" spans="1:26">
      <c r="A58" s="411"/>
      <c r="C58" s="342">
        <f>+MAX(C$13:C57)+1</f>
        <v>33</v>
      </c>
      <c r="D58" s="252" t="str">
        <f>'COS_RR (top sheet)'!E61</f>
        <v>Irrigation</v>
      </c>
      <c r="E58" s="16">
        <f>'COS_RR (top sheet)'!F61</f>
        <v>25646484.927364241</v>
      </c>
      <c r="F58" s="260"/>
      <c r="G58" s="347">
        <f>+E58+F58</f>
        <v>25646484.927364241</v>
      </c>
      <c r="H58" s="347">
        <v>21374537.58544074</v>
      </c>
      <c r="I58" s="4250">
        <f t="shared" si="5"/>
        <v>4271947.3419235013</v>
      </c>
      <c r="J58" s="85"/>
      <c r="K58" s="85"/>
      <c r="L58" s="8"/>
      <c r="Z58"/>
    </row>
    <row r="59" spans="1:26">
      <c r="A59" s="411"/>
      <c r="C59" s="342">
        <f>+MAX(C$13:C58)+1</f>
        <v>34</v>
      </c>
      <c r="D59" s="252" t="str">
        <f>'COS_RR (top sheet)'!E62</f>
        <v>Commercial and Industrial</v>
      </c>
      <c r="E59" s="16">
        <f>'COS_RR (top sheet)'!F62</f>
        <v>172464303.67865202</v>
      </c>
      <c r="F59" s="260"/>
      <c r="G59" s="347">
        <f>+E59+F59</f>
        <v>172464303.67865202</v>
      </c>
      <c r="H59" s="347">
        <v>101877289.84048182</v>
      </c>
      <c r="I59" s="4250">
        <f t="shared" si="5"/>
        <v>70587013.838170201</v>
      </c>
      <c r="J59" s="85"/>
      <c r="K59" s="85"/>
      <c r="L59" s="8"/>
      <c r="Z59"/>
    </row>
    <row r="60" spans="1:26">
      <c r="A60" s="411"/>
      <c r="C60" s="342">
        <f>+MAX(C$13:C59)+1</f>
        <v>35</v>
      </c>
      <c r="D60" s="252" t="str">
        <f>'COS_RR (top sheet)'!E63</f>
        <v>Governmental and Others</v>
      </c>
      <c r="E60" s="277">
        <f>'COS_RR (top sheet)'!F63</f>
        <v>1011154.8310764299</v>
      </c>
      <c r="F60" s="259"/>
      <c r="G60" s="345">
        <f>+E60+F60</f>
        <v>1011154.8310764299</v>
      </c>
      <c r="H60" s="345">
        <v>1029211.9492625148</v>
      </c>
      <c r="I60" s="4249">
        <f t="shared" si="5"/>
        <v>-18057.118186084903</v>
      </c>
      <c r="J60" s="85"/>
      <c r="K60" s="85"/>
      <c r="L60" s="8"/>
      <c r="Z60"/>
    </row>
    <row r="61" spans="1:26">
      <c r="A61" s="411"/>
      <c r="C61" s="342">
        <f>+MAX(C$13:C60)+1</f>
        <v>36</v>
      </c>
      <c r="D61" s="247" t="s">
        <v>199</v>
      </c>
      <c r="E61" s="708">
        <f>SUM(E57:E60)</f>
        <v>247452592.35736862</v>
      </c>
      <c r="F61" s="708">
        <f>SUM(F57:F60)</f>
        <v>0</v>
      </c>
      <c r="G61" s="709">
        <f>SUM(G57:G60)</f>
        <v>247452592.35736862</v>
      </c>
      <c r="H61" s="709">
        <v>166027895.90935692</v>
      </c>
      <c r="I61" s="709">
        <f>SUM(I57:I60)</f>
        <v>81424696.448011681</v>
      </c>
      <c r="J61" s="85"/>
      <c r="K61" s="189"/>
      <c r="L61" s="8"/>
      <c r="Z61"/>
    </row>
    <row r="62" spans="1:26">
      <c r="A62" s="411"/>
      <c r="C62" s="342">
        <f>+MAX(C$13:C61)+1</f>
        <v>37</v>
      </c>
      <c r="D62" s="247" t="s">
        <v>2784</v>
      </c>
      <c r="E62" s="277">
        <f>'COS_RR (top sheet)'!F65</f>
        <v>36926900</v>
      </c>
      <c r="G62" s="277">
        <f>+E62+F62</f>
        <v>36926900</v>
      </c>
      <c r="H62" s="277">
        <v>0</v>
      </c>
      <c r="I62" s="1998"/>
      <c r="J62" s="85"/>
      <c r="K62" s="85"/>
      <c r="L62" s="8"/>
      <c r="Z62"/>
    </row>
    <row r="63" spans="1:26">
      <c r="A63" s="411"/>
      <c r="C63" s="342">
        <f>+MAX(C$13:C62)+1</f>
        <v>38</v>
      </c>
      <c r="D63" s="206" t="s">
        <v>387</v>
      </c>
      <c r="E63" s="343">
        <f>E61+E62</f>
        <v>284379492.35736859</v>
      </c>
      <c r="G63" s="343">
        <f>G61+G62</f>
        <v>284379492.35736859</v>
      </c>
      <c r="H63" s="343">
        <v>166027895.90935692</v>
      </c>
      <c r="I63" s="343">
        <f>I61+I62</f>
        <v>81424696.448011681</v>
      </c>
      <c r="J63" s="85"/>
      <c r="K63" s="85"/>
      <c r="L63" s="8"/>
      <c r="Z63"/>
    </row>
    <row r="64" spans="1:26">
      <c r="A64" s="411"/>
      <c r="C64" s="342"/>
      <c r="D64" s="206"/>
      <c r="E64" s="343"/>
      <c r="G64" s="325"/>
      <c r="H64" s="325"/>
      <c r="I64" s="17"/>
      <c r="J64" s="85"/>
      <c r="K64" s="85"/>
      <c r="L64" s="8"/>
      <c r="Z64"/>
    </row>
    <row r="65" spans="1:26">
      <c r="A65" s="411"/>
      <c r="C65" s="342"/>
      <c r="D65" s="206" t="s">
        <v>863</v>
      </c>
      <c r="E65" s="17"/>
      <c r="G65" s="325"/>
      <c r="H65" s="325"/>
      <c r="I65" s="17"/>
      <c r="J65" s="85"/>
      <c r="K65" s="85"/>
      <c r="L65" s="8"/>
      <c r="Z65"/>
    </row>
    <row r="66" spans="1:26">
      <c r="A66" s="411"/>
      <c r="C66" s="342">
        <f>+MAX(C$13:C65)+1</f>
        <v>39</v>
      </c>
      <c r="D66" s="252" t="s">
        <v>121</v>
      </c>
      <c r="E66" s="343"/>
      <c r="F66" s="260"/>
      <c r="G66" s="329">
        <f>G54-G61</f>
        <v>42475880.892270893</v>
      </c>
      <c r="H66" s="329">
        <v>3320756.5000633597</v>
      </c>
      <c r="I66" s="311"/>
      <c r="J66" s="85"/>
      <c r="K66" s="189"/>
      <c r="L66" s="8"/>
      <c r="Z66"/>
    </row>
    <row r="67" spans="1:26">
      <c r="A67" s="411"/>
      <c r="C67" s="342">
        <f>+MAX(C$13:C66)+1</f>
        <v>40</v>
      </c>
      <c r="D67" s="252" t="s">
        <v>122</v>
      </c>
      <c r="E67" s="343"/>
      <c r="F67" s="260"/>
      <c r="G67" s="348">
        <f>G66/G61</f>
        <v>0.17165260015109335</v>
      </c>
      <c r="H67" s="348">
        <v>2.000119607536513E-2</v>
      </c>
      <c r="I67" s="4244"/>
      <c r="J67" s="85"/>
      <c r="K67" s="85"/>
      <c r="L67" s="8"/>
      <c r="Z67"/>
    </row>
    <row r="68" spans="1:26" ht="4.5" customHeight="1">
      <c r="A68" s="411"/>
      <c r="C68" s="341"/>
      <c r="D68" s="206"/>
      <c r="E68" s="343"/>
      <c r="G68" s="558"/>
      <c r="H68" s="176"/>
      <c r="I68" s="176"/>
      <c r="J68" s="85"/>
      <c r="K68" s="85"/>
      <c r="L68" s="8"/>
      <c r="Z68"/>
    </row>
    <row r="69" spans="1:26">
      <c r="A69" s="411"/>
      <c r="C69" s="341"/>
      <c r="D69" s="11"/>
      <c r="E69" s="343"/>
      <c r="G69" s="349"/>
      <c r="H69" s="308"/>
      <c r="I69" s="308"/>
      <c r="J69" s="85"/>
      <c r="K69" s="85"/>
      <c r="L69" s="8"/>
      <c r="Z69"/>
    </row>
    <row r="70" spans="1:26">
      <c r="A70" s="411"/>
      <c r="C70" s="341"/>
      <c r="D70" s="11"/>
      <c r="E70" s="343"/>
      <c r="G70" s="325"/>
      <c r="H70" s="17"/>
      <c r="I70" s="17"/>
      <c r="J70" s="85"/>
      <c r="K70" s="85"/>
      <c r="L70" s="8"/>
      <c r="Z70"/>
    </row>
    <row r="71" spans="1:26" hidden="1">
      <c r="A71" s="411"/>
      <c r="Z71"/>
    </row>
    <row r="72" spans="1:26" hidden="1">
      <c r="A72" s="411"/>
      <c r="Z72"/>
    </row>
    <row r="73" spans="1:26" hidden="1">
      <c r="A73" s="411"/>
      <c r="Z73"/>
    </row>
    <row r="74" spans="1:26" hidden="1">
      <c r="A74" s="411"/>
      <c r="Z74"/>
    </row>
    <row r="75" spans="1:26" hidden="1">
      <c r="A75" s="411"/>
      <c r="Z75"/>
    </row>
    <row r="76" spans="1:26" hidden="1">
      <c r="A76" s="411"/>
      <c r="Z76"/>
    </row>
    <row r="77" spans="1:26" hidden="1">
      <c r="A77" s="411"/>
      <c r="Z77"/>
    </row>
    <row r="78" spans="1:26" hidden="1">
      <c r="Z78"/>
    </row>
    <row r="79" spans="1:26" hidden="1">
      <c r="Z79"/>
    </row>
    <row r="80" spans="1:26" hidden="1">
      <c r="Z80"/>
    </row>
    <row r="81" spans="6:26" hidden="1">
      <c r="Z81"/>
    </row>
    <row r="82" spans="6:26" hidden="1">
      <c r="Z82"/>
    </row>
    <row r="83" spans="6:26" hidden="1">
      <c r="Z83"/>
    </row>
    <row r="84" spans="6:26" hidden="1">
      <c r="Z84"/>
    </row>
    <row r="85" spans="6:26" hidden="1">
      <c r="F85"/>
      <c r="Z85"/>
    </row>
    <row r="86" spans="6:26" hidden="1">
      <c r="F86"/>
      <c r="Z86"/>
    </row>
    <row r="87" spans="6:26" hidden="1">
      <c r="F87"/>
      <c r="Z87"/>
    </row>
    <row r="88" spans="6:26" hidden="1">
      <c r="F88"/>
      <c r="Z88"/>
    </row>
    <row r="89" spans="6:26" hidden="1">
      <c r="F89"/>
      <c r="Z89"/>
    </row>
    <row r="90" spans="6:26" hidden="1">
      <c r="F90"/>
      <c r="Z90"/>
    </row>
    <row r="91" spans="6:26" hidden="1">
      <c r="F91"/>
      <c r="Z91"/>
    </row>
    <row r="92" spans="6:26" hidden="1">
      <c r="F92"/>
      <c r="Z92"/>
    </row>
    <row r="93" spans="6:26" hidden="1">
      <c r="F93"/>
      <c r="Z93"/>
    </row>
    <row r="94" spans="6:26" hidden="1">
      <c r="F94"/>
      <c r="Z94"/>
    </row>
    <row r="95" spans="6:26" hidden="1">
      <c r="F95"/>
      <c r="Z95"/>
    </row>
    <row r="96" spans="6:26" hidden="1">
      <c r="F96"/>
      <c r="Z96"/>
    </row>
    <row r="97" spans="6:26" hidden="1">
      <c r="F97"/>
      <c r="Z97"/>
    </row>
    <row r="98" spans="6:26" hidden="1">
      <c r="F98"/>
      <c r="Z98"/>
    </row>
    <row r="99" spans="6:26" hidden="1">
      <c r="F99"/>
      <c r="Z99"/>
    </row>
    <row r="100" spans="6:26" hidden="1">
      <c r="F100"/>
      <c r="Z100"/>
    </row>
    <row r="101" spans="6:26" hidden="1">
      <c r="F101"/>
      <c r="Z101"/>
    </row>
    <row r="102" spans="6:26" hidden="1">
      <c r="F102"/>
      <c r="Z102"/>
    </row>
    <row r="103" spans="6:26" hidden="1">
      <c r="F103"/>
      <c r="Z103"/>
    </row>
    <row r="104" spans="6:26" hidden="1">
      <c r="F104"/>
      <c r="Z104"/>
    </row>
    <row r="105" spans="6:26" hidden="1">
      <c r="F105"/>
      <c r="Z105"/>
    </row>
    <row r="106" spans="6:26" hidden="1">
      <c r="F106"/>
      <c r="Z106"/>
    </row>
    <row r="107" spans="6:26" hidden="1">
      <c r="F107"/>
      <c r="Z107"/>
    </row>
    <row r="108" spans="6:26" hidden="1">
      <c r="F108"/>
      <c r="Z108"/>
    </row>
    <row r="109" spans="6:26" hidden="1">
      <c r="F109"/>
      <c r="Z109"/>
    </row>
    <row r="110" spans="6:26" hidden="1">
      <c r="F110"/>
      <c r="Z110"/>
    </row>
    <row r="111" spans="6:26" hidden="1">
      <c r="F111"/>
      <c r="Z111"/>
    </row>
    <row r="112" spans="6:26" hidden="1">
      <c r="F112"/>
      <c r="Z112"/>
    </row>
    <row r="113" spans="6:26" hidden="1">
      <c r="F113"/>
      <c r="Z113"/>
    </row>
    <row r="114" spans="6:26" hidden="1">
      <c r="F114"/>
      <c r="Z114"/>
    </row>
    <row r="115" spans="6:26" hidden="1">
      <c r="F115"/>
      <c r="Z115"/>
    </row>
    <row r="116" spans="6:26" hidden="1">
      <c r="F116"/>
      <c r="Z116"/>
    </row>
    <row r="117" spans="6:26" hidden="1">
      <c r="F117"/>
      <c r="Z117"/>
    </row>
    <row r="118" spans="6:26" hidden="1">
      <c r="F118"/>
      <c r="Z118"/>
    </row>
    <row r="119" spans="6:26" hidden="1">
      <c r="F119"/>
      <c r="Z119"/>
    </row>
    <row r="120" spans="6:26" hidden="1">
      <c r="F120"/>
      <c r="Z120"/>
    </row>
    <row r="121" spans="6:26" hidden="1">
      <c r="F121"/>
      <c r="Z121"/>
    </row>
    <row r="122" spans="6:26" hidden="1">
      <c r="F122"/>
      <c r="Z122"/>
    </row>
    <row r="123" spans="6:26" hidden="1">
      <c r="F123"/>
      <c r="Z123"/>
    </row>
    <row r="124" spans="6:26" hidden="1">
      <c r="F124"/>
      <c r="Z124"/>
    </row>
    <row r="125" spans="6:26" hidden="1">
      <c r="F125"/>
      <c r="Z125"/>
    </row>
    <row r="126" spans="6:26" hidden="1">
      <c r="F126"/>
      <c r="Z126"/>
    </row>
    <row r="127" spans="6:26" hidden="1">
      <c r="F127"/>
      <c r="Z127"/>
    </row>
    <row r="128" spans="6:26" hidden="1">
      <c r="F128"/>
      <c r="Z128"/>
    </row>
    <row r="129" spans="6:26" hidden="1">
      <c r="F129"/>
      <c r="Z129"/>
    </row>
    <row r="130" spans="6:26" hidden="1">
      <c r="F130"/>
      <c r="Z130"/>
    </row>
    <row r="131" spans="6:26" hidden="1">
      <c r="F131"/>
      <c r="Z131"/>
    </row>
    <row r="132" spans="6:26" hidden="1">
      <c r="F132"/>
      <c r="Z132"/>
    </row>
    <row r="133" spans="6:26" hidden="1">
      <c r="F133"/>
      <c r="Z133"/>
    </row>
    <row r="134" spans="6:26" hidden="1">
      <c r="F134"/>
      <c r="Z134"/>
    </row>
    <row r="135" spans="6:26" hidden="1">
      <c r="F135"/>
      <c r="Z135"/>
    </row>
    <row r="136" spans="6:26" hidden="1">
      <c r="F136"/>
      <c r="Z136"/>
    </row>
    <row r="137" spans="6:26" hidden="1">
      <c r="F137"/>
      <c r="Z137"/>
    </row>
    <row r="138" spans="6:26" hidden="1">
      <c r="F138"/>
      <c r="Z138"/>
    </row>
    <row r="139" spans="6:26" hidden="1">
      <c r="F139"/>
      <c r="Z139"/>
    </row>
    <row r="140" spans="6:26" hidden="1">
      <c r="F140"/>
      <c r="Z140"/>
    </row>
    <row r="141" spans="6:26" hidden="1">
      <c r="F141"/>
      <c r="Z141"/>
    </row>
    <row r="142" spans="6:26" hidden="1">
      <c r="F142"/>
      <c r="Z142"/>
    </row>
    <row r="143" spans="6:26" hidden="1">
      <c r="F143"/>
      <c r="Z143"/>
    </row>
    <row r="144" spans="6:26" hidden="1">
      <c r="F144"/>
      <c r="Z144"/>
    </row>
    <row r="145" spans="6:26" hidden="1">
      <c r="F145"/>
      <c r="Z145"/>
    </row>
    <row r="146" spans="6:26" hidden="1">
      <c r="F146"/>
      <c r="Z146"/>
    </row>
    <row r="147" spans="6:26" hidden="1">
      <c r="F147"/>
      <c r="Z147"/>
    </row>
    <row r="148" spans="6:26" hidden="1">
      <c r="F148"/>
      <c r="Z148"/>
    </row>
    <row r="149" spans="6:26" hidden="1">
      <c r="F149"/>
      <c r="Z149"/>
    </row>
    <row r="150" spans="6:26" hidden="1">
      <c r="F150"/>
      <c r="Z150"/>
    </row>
    <row r="151" spans="6:26" hidden="1">
      <c r="F151"/>
      <c r="Z151"/>
    </row>
    <row r="152" spans="6:26" hidden="1">
      <c r="F152"/>
      <c r="Z152"/>
    </row>
    <row r="153" spans="6:26" hidden="1">
      <c r="F153"/>
      <c r="Z153"/>
    </row>
    <row r="154" spans="6:26" hidden="1">
      <c r="F154"/>
      <c r="Z154"/>
    </row>
    <row r="155" spans="6:26" hidden="1">
      <c r="F155"/>
      <c r="Z155"/>
    </row>
    <row r="156" spans="6:26" hidden="1">
      <c r="F156"/>
      <c r="Z156"/>
    </row>
    <row r="157" spans="6:26" hidden="1">
      <c r="F157"/>
      <c r="Z157"/>
    </row>
    <row r="158" spans="6:26" hidden="1">
      <c r="F158"/>
      <c r="Z158"/>
    </row>
    <row r="159" spans="6:26" hidden="1">
      <c r="F159"/>
      <c r="Z159"/>
    </row>
    <row r="160" spans="6:26" hidden="1">
      <c r="F160"/>
      <c r="Z160"/>
    </row>
    <row r="161" spans="6:26" hidden="1">
      <c r="F161"/>
      <c r="Z161"/>
    </row>
    <row r="162" spans="6:26" hidden="1">
      <c r="F162"/>
      <c r="Z162"/>
    </row>
    <row r="163" spans="6:26" hidden="1">
      <c r="F163"/>
      <c r="Z163"/>
    </row>
    <row r="164" spans="6:26" hidden="1">
      <c r="F164"/>
      <c r="Z164"/>
    </row>
    <row r="165" spans="6:26" hidden="1">
      <c r="F165"/>
      <c r="Z165"/>
    </row>
    <row r="166" spans="6:26" hidden="1">
      <c r="F166"/>
      <c r="Z166"/>
    </row>
    <row r="167" spans="6:26" hidden="1">
      <c r="F167"/>
      <c r="Z167"/>
    </row>
    <row r="168" spans="6:26" hidden="1">
      <c r="F168"/>
      <c r="Z168"/>
    </row>
    <row r="169" spans="6:26" hidden="1">
      <c r="F169"/>
      <c r="Z169"/>
    </row>
    <row r="170" spans="6:26" hidden="1">
      <c r="F170"/>
      <c r="Z170"/>
    </row>
    <row r="171" spans="6:26" hidden="1">
      <c r="F171"/>
      <c r="Z171"/>
    </row>
    <row r="172" spans="6:26" hidden="1">
      <c r="F172"/>
      <c r="Z172"/>
    </row>
    <row r="173" spans="6:26" hidden="1">
      <c r="F173"/>
      <c r="Z173"/>
    </row>
    <row r="174" spans="6:26" hidden="1">
      <c r="F174"/>
      <c r="Z174"/>
    </row>
    <row r="175" spans="6:26" hidden="1">
      <c r="F175"/>
      <c r="Z175"/>
    </row>
    <row r="176" spans="6:26" hidden="1">
      <c r="F176"/>
      <c r="Z176"/>
    </row>
    <row r="177" spans="6:26" hidden="1">
      <c r="F177"/>
      <c r="Z177"/>
    </row>
    <row r="178" spans="6:26" hidden="1">
      <c r="F178"/>
      <c r="Z178"/>
    </row>
    <row r="179" spans="6:26" hidden="1">
      <c r="F179"/>
      <c r="Z179"/>
    </row>
    <row r="180" spans="6:26" hidden="1">
      <c r="F180"/>
      <c r="Z180"/>
    </row>
    <row r="181" spans="6:26" hidden="1">
      <c r="F181"/>
      <c r="Z181"/>
    </row>
    <row r="182" spans="6:26" hidden="1">
      <c r="F182"/>
      <c r="Z182"/>
    </row>
    <row r="183" spans="6:26" hidden="1">
      <c r="F183"/>
      <c r="Z183"/>
    </row>
    <row r="184" spans="6:26" hidden="1">
      <c r="F184"/>
      <c r="Z184"/>
    </row>
    <row r="185" spans="6:26" hidden="1">
      <c r="F185"/>
      <c r="Z185"/>
    </row>
    <row r="186" spans="6:26" hidden="1">
      <c r="F186"/>
      <c r="Z186"/>
    </row>
    <row r="187" spans="6:26" hidden="1">
      <c r="F187"/>
      <c r="Z187"/>
    </row>
    <row r="188" spans="6:26" hidden="1">
      <c r="F188"/>
      <c r="Z188"/>
    </row>
    <row r="189" spans="6:26" hidden="1">
      <c r="F189"/>
      <c r="Z189"/>
    </row>
    <row r="190" spans="6:26" hidden="1">
      <c r="F190"/>
      <c r="Z190"/>
    </row>
    <row r="191" spans="6:26" hidden="1">
      <c r="F191"/>
      <c r="Z191"/>
    </row>
    <row r="192" spans="6:26" hidden="1">
      <c r="F192"/>
      <c r="Z192"/>
    </row>
    <row r="193" spans="6:26" hidden="1">
      <c r="F193"/>
      <c r="Z193"/>
    </row>
    <row r="194" spans="6:26" hidden="1">
      <c r="F194"/>
      <c r="Z194"/>
    </row>
    <row r="195" spans="6:26" hidden="1">
      <c r="F195"/>
      <c r="Z195"/>
    </row>
    <row r="196" spans="6:26" hidden="1">
      <c r="F196"/>
      <c r="Z196"/>
    </row>
    <row r="197" spans="6:26" hidden="1">
      <c r="F197"/>
      <c r="Z197"/>
    </row>
    <row r="198" spans="6:26" hidden="1">
      <c r="F198"/>
      <c r="Z198"/>
    </row>
    <row r="199" spans="6:26" hidden="1">
      <c r="F199"/>
      <c r="Z199"/>
    </row>
    <row r="200" spans="6:26" hidden="1">
      <c r="F200"/>
      <c r="Z200"/>
    </row>
    <row r="201" spans="6:26" hidden="1">
      <c r="F201"/>
      <c r="Z201"/>
    </row>
    <row r="202" spans="6:26" hidden="1">
      <c r="F202"/>
      <c r="Z202"/>
    </row>
    <row r="203" spans="6:26" hidden="1">
      <c r="F203"/>
      <c r="Z203"/>
    </row>
    <row r="204" spans="6:26" hidden="1">
      <c r="F204"/>
      <c r="Z204"/>
    </row>
    <row r="205" spans="6:26" hidden="1">
      <c r="F205"/>
      <c r="Z205"/>
    </row>
    <row r="206" spans="6:26" hidden="1">
      <c r="F206"/>
      <c r="Z206"/>
    </row>
    <row r="207" spans="6:26" hidden="1">
      <c r="F207"/>
      <c r="Z207"/>
    </row>
    <row r="208" spans="6:26" hidden="1">
      <c r="F208"/>
      <c r="Z208"/>
    </row>
    <row r="209" spans="6:26" hidden="1">
      <c r="F209"/>
      <c r="Z209"/>
    </row>
    <row r="210" spans="6:26" hidden="1">
      <c r="F210"/>
      <c r="Z210"/>
    </row>
    <row r="211" spans="6:26" hidden="1">
      <c r="F211"/>
      <c r="Z211"/>
    </row>
    <row r="212" spans="6:26" hidden="1">
      <c r="F212"/>
      <c r="Z212"/>
    </row>
    <row r="213" spans="6:26" hidden="1">
      <c r="F213"/>
      <c r="Z213"/>
    </row>
    <row r="214" spans="6:26" hidden="1">
      <c r="F214"/>
      <c r="Z214"/>
    </row>
    <row r="215" spans="6:26" hidden="1">
      <c r="F215"/>
      <c r="Z215"/>
    </row>
    <row r="216" spans="6:26" hidden="1">
      <c r="F216"/>
      <c r="Z216"/>
    </row>
    <row r="217" spans="6:26" hidden="1">
      <c r="F217"/>
      <c r="Z217"/>
    </row>
    <row r="218" spans="6:26" hidden="1">
      <c r="F218"/>
      <c r="Z218"/>
    </row>
    <row r="219" spans="6:26" hidden="1">
      <c r="F219"/>
      <c r="Z219"/>
    </row>
    <row r="220" spans="6:26" hidden="1">
      <c r="F220"/>
      <c r="Z220"/>
    </row>
    <row r="221" spans="6:26" hidden="1">
      <c r="F221"/>
      <c r="Z221"/>
    </row>
    <row r="222" spans="6:26" hidden="1">
      <c r="F222"/>
      <c r="Z222"/>
    </row>
    <row r="223" spans="6:26" hidden="1">
      <c r="F223"/>
      <c r="Z223"/>
    </row>
    <row r="224" spans="6:26" hidden="1">
      <c r="F224"/>
      <c r="Z224"/>
    </row>
    <row r="225" spans="6:26" hidden="1">
      <c r="F225"/>
      <c r="Z225"/>
    </row>
    <row r="226" spans="6:26" hidden="1">
      <c r="F226"/>
      <c r="Z226"/>
    </row>
    <row r="227" spans="6:26" hidden="1">
      <c r="F227"/>
      <c r="Z227"/>
    </row>
    <row r="228" spans="6:26" hidden="1">
      <c r="F228"/>
      <c r="Z228"/>
    </row>
    <row r="229" spans="6:26" hidden="1">
      <c r="F229"/>
      <c r="Z229"/>
    </row>
    <row r="230" spans="6:26" hidden="1">
      <c r="F230"/>
      <c r="Z230"/>
    </row>
    <row r="231" spans="6:26" hidden="1">
      <c r="F231"/>
      <c r="Z231"/>
    </row>
    <row r="232" spans="6:26" hidden="1">
      <c r="F232"/>
      <c r="Z232"/>
    </row>
    <row r="233" spans="6:26" hidden="1">
      <c r="F233"/>
      <c r="Z233"/>
    </row>
    <row r="234" spans="6:26" hidden="1">
      <c r="F234"/>
      <c r="Z234"/>
    </row>
    <row r="235" spans="6:26" hidden="1">
      <c r="F235"/>
      <c r="Z235"/>
    </row>
    <row r="236" spans="6:26" hidden="1">
      <c r="F236"/>
      <c r="Z236"/>
    </row>
    <row r="237" spans="6:26" hidden="1">
      <c r="F237"/>
      <c r="Z237"/>
    </row>
    <row r="238" spans="6:26" hidden="1">
      <c r="F238"/>
      <c r="Z238"/>
    </row>
    <row r="239" spans="6:26" hidden="1">
      <c r="F239"/>
      <c r="Z239"/>
    </row>
    <row r="240" spans="6:26" hidden="1">
      <c r="F240"/>
      <c r="Z240"/>
    </row>
    <row r="241" spans="6:26" hidden="1">
      <c r="F241"/>
      <c r="Z241"/>
    </row>
    <row r="242" spans="6:26" hidden="1">
      <c r="F242"/>
      <c r="Z242"/>
    </row>
    <row r="243" spans="6:26" hidden="1">
      <c r="F243"/>
      <c r="Z243"/>
    </row>
    <row r="244" spans="6:26" hidden="1">
      <c r="F244"/>
      <c r="Z244"/>
    </row>
    <row r="245" spans="6:26" hidden="1">
      <c r="F245"/>
      <c r="Z245"/>
    </row>
    <row r="246" spans="6:26" hidden="1">
      <c r="F246"/>
      <c r="Z246"/>
    </row>
    <row r="247" spans="6:26" hidden="1">
      <c r="F247"/>
      <c r="Z247"/>
    </row>
    <row r="248" spans="6:26" hidden="1">
      <c r="F248"/>
      <c r="Z248"/>
    </row>
    <row r="249" spans="6:26" hidden="1">
      <c r="F249"/>
      <c r="Z249"/>
    </row>
    <row r="250" spans="6:26" hidden="1">
      <c r="F250"/>
      <c r="Z250"/>
    </row>
    <row r="251" spans="6:26" hidden="1">
      <c r="F251"/>
      <c r="Z251"/>
    </row>
    <row r="252" spans="6:26" hidden="1">
      <c r="F252"/>
      <c r="Z252"/>
    </row>
    <row r="253" spans="6:26" hidden="1">
      <c r="F253"/>
      <c r="Z253"/>
    </row>
    <row r="254" spans="6:26" hidden="1">
      <c r="F254"/>
      <c r="Z254"/>
    </row>
    <row r="255" spans="6:26" hidden="1">
      <c r="F255"/>
      <c r="Z255"/>
    </row>
    <row r="256" spans="6:26" hidden="1">
      <c r="F256"/>
      <c r="Z256"/>
    </row>
    <row r="257" spans="6:26" hidden="1">
      <c r="F257"/>
      <c r="Z257"/>
    </row>
    <row r="258" spans="6:26" hidden="1">
      <c r="F258"/>
      <c r="Z258"/>
    </row>
    <row r="259" spans="6:26" hidden="1">
      <c r="F259"/>
      <c r="Z259"/>
    </row>
    <row r="260" spans="6:26" hidden="1">
      <c r="F260"/>
      <c r="Z260"/>
    </row>
    <row r="261" spans="6:26" hidden="1">
      <c r="F261"/>
      <c r="Z261"/>
    </row>
    <row r="262" spans="6:26" hidden="1">
      <c r="F262"/>
      <c r="Z262"/>
    </row>
    <row r="263" spans="6:26" hidden="1">
      <c r="F263"/>
      <c r="Z263"/>
    </row>
    <row r="264" spans="6:26" hidden="1">
      <c r="F264"/>
      <c r="Z264"/>
    </row>
    <row r="265" spans="6:26" hidden="1">
      <c r="F265"/>
      <c r="Z265"/>
    </row>
    <row r="266" spans="6:26" hidden="1">
      <c r="F266"/>
      <c r="Z266"/>
    </row>
    <row r="267" spans="6:26" hidden="1">
      <c r="F267"/>
      <c r="Z267"/>
    </row>
    <row r="268" spans="6:26" hidden="1">
      <c r="F268"/>
      <c r="Z268"/>
    </row>
    <row r="269" spans="6:26" hidden="1">
      <c r="F269"/>
      <c r="Z269"/>
    </row>
    <row r="270" spans="6:26" hidden="1">
      <c r="F270"/>
      <c r="Z270"/>
    </row>
    <row r="271" spans="6:26" hidden="1">
      <c r="F271"/>
      <c r="Z271"/>
    </row>
    <row r="272" spans="6:26" hidden="1">
      <c r="F272"/>
      <c r="Z272"/>
    </row>
    <row r="273" spans="6:26" hidden="1">
      <c r="F273"/>
      <c r="Z273"/>
    </row>
    <row r="274" spans="6:26" hidden="1">
      <c r="F274"/>
      <c r="Z274"/>
    </row>
    <row r="275" spans="6:26" hidden="1">
      <c r="F275"/>
      <c r="Z275"/>
    </row>
    <row r="276" spans="6:26" hidden="1">
      <c r="F276"/>
      <c r="Z276"/>
    </row>
    <row r="277" spans="6:26" hidden="1">
      <c r="F277"/>
      <c r="Z277"/>
    </row>
    <row r="278" spans="6:26" hidden="1">
      <c r="F278"/>
      <c r="Z278"/>
    </row>
    <row r="279" spans="6:26" hidden="1">
      <c r="F279"/>
      <c r="Z279"/>
    </row>
    <row r="280" spans="6:26" hidden="1">
      <c r="F280"/>
      <c r="Z280"/>
    </row>
    <row r="281" spans="6:26" hidden="1">
      <c r="F281"/>
      <c r="Z281"/>
    </row>
    <row r="282" spans="6:26" hidden="1">
      <c r="F282"/>
      <c r="Z282"/>
    </row>
    <row r="283" spans="6:26" hidden="1">
      <c r="F283"/>
      <c r="Z283"/>
    </row>
    <row r="284" spans="6:26" hidden="1">
      <c r="F284"/>
      <c r="Z284"/>
    </row>
    <row r="285" spans="6:26" hidden="1">
      <c r="F285"/>
      <c r="Z285"/>
    </row>
    <row r="286" spans="6:26" hidden="1">
      <c r="F286"/>
      <c r="Z286"/>
    </row>
    <row r="287" spans="6:26" hidden="1">
      <c r="F287"/>
      <c r="Z287"/>
    </row>
    <row r="288" spans="6:26" hidden="1">
      <c r="F288"/>
      <c r="Z288"/>
    </row>
    <row r="289" spans="6:26" hidden="1">
      <c r="F289"/>
      <c r="Z289"/>
    </row>
    <row r="290" spans="6:26" hidden="1">
      <c r="F290"/>
      <c r="Z290"/>
    </row>
    <row r="291" spans="6:26" hidden="1">
      <c r="F291"/>
      <c r="Z291"/>
    </row>
    <row r="292" spans="6:26" hidden="1">
      <c r="F292"/>
      <c r="Z292"/>
    </row>
    <row r="293" spans="6:26" hidden="1">
      <c r="F293"/>
      <c r="Z293"/>
    </row>
    <row r="294" spans="6:26" hidden="1">
      <c r="F294"/>
      <c r="Z294"/>
    </row>
    <row r="295" spans="6:26" hidden="1">
      <c r="F295"/>
      <c r="Z295"/>
    </row>
    <row r="296" spans="6:26" hidden="1">
      <c r="F296"/>
      <c r="Z296"/>
    </row>
    <row r="297" spans="6:26" hidden="1">
      <c r="F297"/>
      <c r="Z297"/>
    </row>
    <row r="298" spans="6:26" hidden="1">
      <c r="F298"/>
      <c r="Z298"/>
    </row>
    <row r="299" spans="6:26" hidden="1">
      <c r="F299"/>
      <c r="Z299"/>
    </row>
    <row r="300" spans="6:26" hidden="1">
      <c r="F300"/>
      <c r="Z300"/>
    </row>
    <row r="301" spans="6:26" hidden="1">
      <c r="F301"/>
      <c r="Z301"/>
    </row>
    <row r="302" spans="6:26" hidden="1">
      <c r="F302"/>
      <c r="Z302"/>
    </row>
    <row r="303" spans="6:26" hidden="1">
      <c r="F303"/>
      <c r="Z303"/>
    </row>
    <row r="304" spans="6:26" hidden="1">
      <c r="F304"/>
      <c r="Z304"/>
    </row>
    <row r="305" spans="6:26" hidden="1">
      <c r="F305"/>
      <c r="Z305"/>
    </row>
    <row r="306" spans="6:26" hidden="1">
      <c r="F306"/>
      <c r="Z306"/>
    </row>
    <row r="307" spans="6:26" hidden="1">
      <c r="F307"/>
      <c r="Z307"/>
    </row>
    <row r="308" spans="6:26" hidden="1">
      <c r="F308"/>
      <c r="Z308"/>
    </row>
    <row r="309" spans="6:26" hidden="1">
      <c r="F309"/>
      <c r="Z309"/>
    </row>
    <row r="310" spans="6:26" hidden="1">
      <c r="F310"/>
      <c r="Z310"/>
    </row>
    <row r="311" spans="6:26" hidden="1">
      <c r="F311"/>
      <c r="Z311"/>
    </row>
    <row r="312" spans="6:26" hidden="1">
      <c r="F312"/>
      <c r="Z312"/>
    </row>
    <row r="313" spans="6:26" hidden="1">
      <c r="F313"/>
      <c r="Z313"/>
    </row>
    <row r="314" spans="6:26" hidden="1">
      <c r="F314"/>
      <c r="Z314"/>
    </row>
    <row r="315" spans="6:26" hidden="1">
      <c r="F315"/>
      <c r="Z315"/>
    </row>
    <row r="316" spans="6:26" hidden="1">
      <c r="F316"/>
      <c r="Z316"/>
    </row>
    <row r="317" spans="6:26" hidden="1">
      <c r="F317"/>
      <c r="Z317"/>
    </row>
    <row r="318" spans="6:26" hidden="1">
      <c r="F318"/>
      <c r="Z318"/>
    </row>
    <row r="319" spans="6:26" hidden="1">
      <c r="F319"/>
      <c r="Z319"/>
    </row>
    <row r="320" spans="6:26" hidden="1">
      <c r="F320"/>
      <c r="Z320"/>
    </row>
    <row r="321" spans="6:26" hidden="1">
      <c r="F321"/>
      <c r="Z321"/>
    </row>
    <row r="322" spans="6:26" hidden="1">
      <c r="F322"/>
      <c r="Z322"/>
    </row>
    <row r="323" spans="6:26" hidden="1">
      <c r="F323"/>
      <c r="Z323"/>
    </row>
    <row r="324" spans="6:26" hidden="1">
      <c r="F324"/>
      <c r="Z324"/>
    </row>
    <row r="325" spans="6:26" hidden="1">
      <c r="F325"/>
      <c r="Z325"/>
    </row>
    <row r="326" spans="6:26" hidden="1">
      <c r="F326"/>
      <c r="Z326"/>
    </row>
    <row r="327" spans="6:26" hidden="1">
      <c r="F327"/>
      <c r="Z327"/>
    </row>
    <row r="328" spans="6:26" hidden="1">
      <c r="F328"/>
      <c r="Z328"/>
    </row>
    <row r="329" spans="6:26" hidden="1">
      <c r="F329"/>
      <c r="Z329"/>
    </row>
    <row r="330" spans="6:26" hidden="1">
      <c r="F330"/>
      <c r="Z330"/>
    </row>
    <row r="331" spans="6:26" hidden="1">
      <c r="F331"/>
      <c r="Z331"/>
    </row>
    <row r="332" spans="6:26" hidden="1">
      <c r="F332"/>
      <c r="Z332"/>
    </row>
    <row r="333" spans="6:26" hidden="1">
      <c r="F333"/>
      <c r="Z333"/>
    </row>
    <row r="334" spans="6:26" hidden="1">
      <c r="F334"/>
      <c r="Z334"/>
    </row>
    <row r="335" spans="6:26" hidden="1">
      <c r="F335"/>
      <c r="Z335"/>
    </row>
    <row r="336" spans="6:26" hidden="1">
      <c r="F336"/>
      <c r="Z336"/>
    </row>
    <row r="337" spans="6:26" hidden="1">
      <c r="F337"/>
      <c r="Z337"/>
    </row>
    <row r="338" spans="6:26" hidden="1">
      <c r="F338"/>
      <c r="Z338"/>
    </row>
    <row r="339" spans="6:26" hidden="1">
      <c r="F339"/>
      <c r="Z339"/>
    </row>
    <row r="340" spans="6:26" hidden="1">
      <c r="F340"/>
      <c r="Z340"/>
    </row>
    <row r="341" spans="6:26" hidden="1">
      <c r="F341"/>
      <c r="Z341"/>
    </row>
    <row r="342" spans="6:26" hidden="1">
      <c r="F342"/>
      <c r="Z342"/>
    </row>
    <row r="343" spans="6:26" hidden="1">
      <c r="F343"/>
      <c r="Z343"/>
    </row>
    <row r="344" spans="6:26" hidden="1">
      <c r="F344"/>
      <c r="Z344"/>
    </row>
    <row r="345" spans="6:26" hidden="1">
      <c r="F345"/>
      <c r="Z345"/>
    </row>
    <row r="346" spans="6:26" hidden="1">
      <c r="F346"/>
      <c r="Z346"/>
    </row>
    <row r="347" spans="6:26" hidden="1">
      <c r="F347"/>
      <c r="Z347"/>
    </row>
    <row r="348" spans="6:26" hidden="1">
      <c r="F348"/>
      <c r="Z348"/>
    </row>
    <row r="349" spans="6:26" hidden="1">
      <c r="F349"/>
      <c r="Z349"/>
    </row>
    <row r="350" spans="6:26" hidden="1">
      <c r="F350"/>
      <c r="Z350"/>
    </row>
    <row r="351" spans="6:26" hidden="1">
      <c r="F351"/>
      <c r="Z351"/>
    </row>
    <row r="352" spans="6:26" hidden="1">
      <c r="F352"/>
      <c r="Z352"/>
    </row>
    <row r="353" spans="6:26" hidden="1">
      <c r="F353"/>
      <c r="Z353"/>
    </row>
    <row r="354" spans="6:26" hidden="1">
      <c r="F354"/>
      <c r="Z354"/>
    </row>
    <row r="355" spans="6:26" hidden="1">
      <c r="F355"/>
      <c r="Z355"/>
    </row>
    <row r="356" spans="6:26" hidden="1">
      <c r="F356"/>
      <c r="Z356"/>
    </row>
    <row r="357" spans="6:26" hidden="1">
      <c r="F357"/>
      <c r="Z357"/>
    </row>
    <row r="358" spans="6:26" hidden="1">
      <c r="F358"/>
      <c r="Z358"/>
    </row>
    <row r="359" spans="6:26" hidden="1">
      <c r="F359"/>
      <c r="Z359"/>
    </row>
    <row r="360" spans="6:26" hidden="1">
      <c r="F360"/>
      <c r="Z360"/>
    </row>
    <row r="361" spans="6:26" hidden="1">
      <c r="F361"/>
      <c r="Z361"/>
    </row>
    <row r="362" spans="6:26" hidden="1">
      <c r="F362"/>
      <c r="Z362"/>
    </row>
    <row r="363" spans="6:26" hidden="1">
      <c r="F363"/>
      <c r="Z363"/>
    </row>
    <row r="364" spans="6:26" hidden="1">
      <c r="F364"/>
      <c r="Z364"/>
    </row>
    <row r="365" spans="6:26" hidden="1">
      <c r="F365"/>
      <c r="Z365"/>
    </row>
    <row r="366" spans="6:26" hidden="1">
      <c r="F366"/>
      <c r="Z366"/>
    </row>
    <row r="367" spans="6:26" hidden="1">
      <c r="F367"/>
      <c r="Z367"/>
    </row>
    <row r="368" spans="6:26" hidden="1">
      <c r="F368"/>
      <c r="Z368"/>
    </row>
    <row r="369" spans="6:26" hidden="1">
      <c r="F369"/>
      <c r="Z369"/>
    </row>
    <row r="370" spans="6:26" hidden="1">
      <c r="F370"/>
      <c r="Z370"/>
    </row>
    <row r="371" spans="6:26" hidden="1">
      <c r="F371"/>
      <c r="Z371"/>
    </row>
    <row r="372" spans="6:26" hidden="1">
      <c r="F372"/>
      <c r="Z372"/>
    </row>
    <row r="373" spans="6:26" hidden="1">
      <c r="F373"/>
      <c r="Z373"/>
    </row>
    <row r="374" spans="6:26" hidden="1">
      <c r="F374"/>
      <c r="Z374"/>
    </row>
    <row r="375" spans="6:26" hidden="1">
      <c r="F375"/>
      <c r="Z375"/>
    </row>
    <row r="376" spans="6:26" hidden="1">
      <c r="F376"/>
      <c r="Z376"/>
    </row>
    <row r="377" spans="6:26" hidden="1">
      <c r="F377"/>
      <c r="Z377"/>
    </row>
    <row r="378" spans="6:26" hidden="1">
      <c r="F378"/>
      <c r="Z378"/>
    </row>
    <row r="379" spans="6:26" hidden="1">
      <c r="F379"/>
      <c r="Z379"/>
    </row>
    <row r="380" spans="6:26" hidden="1">
      <c r="F380"/>
      <c r="Z380"/>
    </row>
    <row r="381" spans="6:26" hidden="1">
      <c r="F381"/>
      <c r="Z381"/>
    </row>
    <row r="382" spans="6:26" hidden="1">
      <c r="F382"/>
      <c r="Z382"/>
    </row>
    <row r="383" spans="6:26" hidden="1">
      <c r="F383"/>
      <c r="Z383"/>
    </row>
    <row r="384" spans="6:26" hidden="1">
      <c r="F384"/>
      <c r="Z384"/>
    </row>
    <row r="385" spans="6:26" hidden="1">
      <c r="F385"/>
      <c r="Z385"/>
    </row>
    <row r="386" spans="6:26" hidden="1">
      <c r="F386"/>
      <c r="Z386"/>
    </row>
    <row r="387" spans="6:26" hidden="1">
      <c r="F387"/>
      <c r="Z387"/>
    </row>
    <row r="388" spans="6:26" hidden="1">
      <c r="F388"/>
      <c r="Z388"/>
    </row>
    <row r="389" spans="6:26" hidden="1">
      <c r="F389"/>
      <c r="Z389"/>
    </row>
    <row r="390" spans="6:26" hidden="1">
      <c r="F390"/>
      <c r="Z390"/>
    </row>
    <row r="391" spans="6:26" hidden="1">
      <c r="F391"/>
      <c r="Z391"/>
    </row>
    <row r="392" spans="6:26" hidden="1">
      <c r="F392"/>
      <c r="Z392"/>
    </row>
    <row r="393" spans="6:26" hidden="1">
      <c r="F393"/>
      <c r="Z393"/>
    </row>
    <row r="394" spans="6:26" hidden="1">
      <c r="F394"/>
      <c r="Z394"/>
    </row>
    <row r="395" spans="6:26" hidden="1">
      <c r="F395"/>
      <c r="Z395"/>
    </row>
    <row r="396" spans="6:26" hidden="1">
      <c r="F396"/>
      <c r="Z396"/>
    </row>
    <row r="397" spans="6:26" hidden="1">
      <c r="F397"/>
      <c r="Z397"/>
    </row>
    <row r="398" spans="6:26" hidden="1">
      <c r="F398"/>
      <c r="Z398"/>
    </row>
    <row r="399" spans="6:26" hidden="1">
      <c r="F399"/>
      <c r="Z399"/>
    </row>
    <row r="400" spans="6:26" hidden="1">
      <c r="F400"/>
      <c r="Z400"/>
    </row>
    <row r="401" spans="6:26" hidden="1">
      <c r="F401"/>
      <c r="Z401"/>
    </row>
    <row r="402" spans="6:26" hidden="1">
      <c r="F402"/>
      <c r="Z402"/>
    </row>
    <row r="403" spans="6:26" hidden="1">
      <c r="F403"/>
      <c r="Z403"/>
    </row>
    <row r="404" spans="6:26" hidden="1">
      <c r="F404"/>
      <c r="Z404"/>
    </row>
    <row r="405" spans="6:26" hidden="1">
      <c r="F405"/>
      <c r="Z405"/>
    </row>
    <row r="406" spans="6:26" hidden="1">
      <c r="F406"/>
      <c r="Z406"/>
    </row>
    <row r="407" spans="6:26" hidden="1">
      <c r="F407"/>
      <c r="Z407"/>
    </row>
    <row r="408" spans="6:26" hidden="1">
      <c r="F408"/>
      <c r="Z408"/>
    </row>
    <row r="409" spans="6:26" hidden="1">
      <c r="F409"/>
      <c r="Z409"/>
    </row>
    <row r="410" spans="6:26" hidden="1">
      <c r="F410"/>
      <c r="Z410"/>
    </row>
    <row r="411" spans="6:26" hidden="1">
      <c r="F411"/>
      <c r="Z411"/>
    </row>
    <row r="412" spans="6:26" hidden="1">
      <c r="F412"/>
      <c r="Z412"/>
    </row>
    <row r="413" spans="6:26" hidden="1">
      <c r="F413"/>
      <c r="Z413"/>
    </row>
    <row r="414" spans="6:26" hidden="1">
      <c r="F414"/>
      <c r="Z414"/>
    </row>
    <row r="415" spans="6:26" hidden="1">
      <c r="F415"/>
      <c r="Z415"/>
    </row>
    <row r="416" spans="6:26" hidden="1">
      <c r="F416"/>
      <c r="Z416"/>
    </row>
    <row r="417" spans="6:26" hidden="1">
      <c r="F417"/>
      <c r="Z417"/>
    </row>
    <row r="418" spans="6:26" hidden="1">
      <c r="F418"/>
      <c r="Z418"/>
    </row>
    <row r="419" spans="6:26" hidden="1">
      <c r="F419"/>
      <c r="Z419"/>
    </row>
    <row r="420" spans="6:26" hidden="1">
      <c r="F420"/>
      <c r="Z420"/>
    </row>
    <row r="421" spans="6:26" hidden="1">
      <c r="F421"/>
      <c r="Z421"/>
    </row>
    <row r="422" spans="6:26" hidden="1">
      <c r="F422"/>
      <c r="Z422"/>
    </row>
    <row r="423" spans="6:26" hidden="1">
      <c r="F423"/>
      <c r="Z423"/>
    </row>
    <row r="424" spans="6:26" hidden="1">
      <c r="F424"/>
      <c r="Z424"/>
    </row>
    <row r="425" spans="6:26" hidden="1">
      <c r="F425"/>
      <c r="Z425"/>
    </row>
    <row r="426" spans="6:26" hidden="1">
      <c r="F426"/>
      <c r="Z426"/>
    </row>
    <row r="427" spans="6:26" hidden="1">
      <c r="F427"/>
      <c r="Z427"/>
    </row>
    <row r="428" spans="6:26" hidden="1">
      <c r="F428"/>
      <c r="Z428"/>
    </row>
    <row r="429" spans="6:26" hidden="1">
      <c r="F429"/>
      <c r="Z429"/>
    </row>
    <row r="430" spans="6:26" hidden="1">
      <c r="F430"/>
      <c r="Z430"/>
    </row>
    <row r="431" spans="6:26" hidden="1">
      <c r="F431"/>
      <c r="Z431"/>
    </row>
    <row r="432" spans="6:26" hidden="1">
      <c r="F432"/>
      <c r="Z432"/>
    </row>
    <row r="433" spans="6:26" hidden="1">
      <c r="F433"/>
      <c r="Z433"/>
    </row>
    <row r="434" spans="6:26" hidden="1">
      <c r="F434"/>
      <c r="Z434"/>
    </row>
    <row r="435" spans="6:26" hidden="1">
      <c r="F435"/>
      <c r="Z435"/>
    </row>
    <row r="436" spans="6:26" hidden="1">
      <c r="F436"/>
      <c r="Z436"/>
    </row>
    <row r="437" spans="6:26" hidden="1">
      <c r="F437"/>
      <c r="Z437"/>
    </row>
    <row r="438" spans="6:26" hidden="1">
      <c r="F438"/>
      <c r="Z438"/>
    </row>
    <row r="439" spans="6:26" hidden="1">
      <c r="F439"/>
      <c r="Z439"/>
    </row>
    <row r="440" spans="6:26" hidden="1">
      <c r="F440"/>
      <c r="Z440"/>
    </row>
    <row r="441" spans="6:26" hidden="1">
      <c r="F441"/>
      <c r="Z441"/>
    </row>
    <row r="442" spans="6:26" hidden="1">
      <c r="F442"/>
      <c r="Z442"/>
    </row>
    <row r="443" spans="6:26" hidden="1">
      <c r="F443"/>
      <c r="Z443"/>
    </row>
    <row r="444" spans="6:26" hidden="1">
      <c r="F444"/>
      <c r="Z444"/>
    </row>
    <row r="445" spans="6:26" hidden="1">
      <c r="F445"/>
      <c r="Z445"/>
    </row>
    <row r="446" spans="6:26" hidden="1">
      <c r="F446"/>
      <c r="Z446"/>
    </row>
    <row r="447" spans="6:26" hidden="1">
      <c r="F447"/>
      <c r="Z447"/>
    </row>
    <row r="448" spans="6:26" hidden="1">
      <c r="F448"/>
      <c r="Z448"/>
    </row>
    <row r="449" spans="6:26" hidden="1">
      <c r="F449"/>
      <c r="Z449"/>
    </row>
    <row r="450" spans="6:26" hidden="1">
      <c r="F450"/>
      <c r="Z450"/>
    </row>
    <row r="451" spans="6:26" hidden="1">
      <c r="F451"/>
      <c r="Z451"/>
    </row>
    <row r="452" spans="6:26" hidden="1">
      <c r="F452"/>
      <c r="Z452"/>
    </row>
    <row r="453" spans="6:26" hidden="1">
      <c r="F453"/>
      <c r="Z453"/>
    </row>
    <row r="454" spans="6:26" hidden="1">
      <c r="F454"/>
      <c r="Z454"/>
    </row>
    <row r="455" spans="6:26" hidden="1">
      <c r="F455"/>
      <c r="Z455"/>
    </row>
    <row r="456" spans="6:26" hidden="1">
      <c r="F456"/>
      <c r="Z456"/>
    </row>
    <row r="457" spans="6:26" hidden="1">
      <c r="F457"/>
      <c r="Z457"/>
    </row>
    <row r="458" spans="6:26" hidden="1">
      <c r="F458"/>
      <c r="Z458"/>
    </row>
    <row r="459" spans="6:26" hidden="1">
      <c r="F459"/>
      <c r="Z459"/>
    </row>
    <row r="460" spans="6:26" hidden="1">
      <c r="F460"/>
      <c r="Z460"/>
    </row>
    <row r="461" spans="6:26" hidden="1">
      <c r="F461"/>
      <c r="Z461"/>
    </row>
    <row r="462" spans="6:26" hidden="1">
      <c r="F462"/>
      <c r="Z462"/>
    </row>
    <row r="463" spans="6:26" hidden="1">
      <c r="F463"/>
      <c r="Z463"/>
    </row>
    <row r="464" spans="6:26" hidden="1">
      <c r="F464"/>
      <c r="Z464"/>
    </row>
    <row r="465" spans="6:26" hidden="1">
      <c r="F465"/>
      <c r="Z465"/>
    </row>
    <row r="466" spans="6:26" hidden="1">
      <c r="F466"/>
      <c r="Z466"/>
    </row>
    <row r="467" spans="6:26" hidden="1">
      <c r="F467"/>
      <c r="Z467"/>
    </row>
    <row r="468" spans="6:26" hidden="1">
      <c r="F468"/>
      <c r="Z468"/>
    </row>
    <row r="469" spans="6:26" hidden="1">
      <c r="F469"/>
      <c r="Z469"/>
    </row>
    <row r="470" spans="6:26" hidden="1">
      <c r="F470"/>
      <c r="Z470"/>
    </row>
    <row r="471" spans="6:26" hidden="1">
      <c r="F471"/>
      <c r="Z471"/>
    </row>
    <row r="472" spans="6:26" hidden="1">
      <c r="F472"/>
      <c r="Z472"/>
    </row>
    <row r="473" spans="6:26" hidden="1">
      <c r="F473"/>
      <c r="Z473"/>
    </row>
    <row r="474" spans="6:26" hidden="1">
      <c r="F474"/>
      <c r="Z474"/>
    </row>
    <row r="475" spans="6:26" hidden="1">
      <c r="F475"/>
      <c r="Z475"/>
    </row>
    <row r="476" spans="6:26" hidden="1">
      <c r="F476"/>
      <c r="Z476"/>
    </row>
    <row r="477" spans="6:26" hidden="1">
      <c r="F477"/>
      <c r="Z477"/>
    </row>
    <row r="478" spans="6:26" hidden="1">
      <c r="F478"/>
      <c r="Z478"/>
    </row>
    <row r="479" spans="6:26" hidden="1"/>
    <row r="480" spans="6:26" hidden="1"/>
    <row r="481" hidden="1"/>
    <row r="482" hidden="1"/>
    <row r="483" hidden="1"/>
    <row r="484" hidden="1"/>
    <row r="485" hidden="1"/>
    <row r="486" hidden="1"/>
    <row r="487" hidden="1"/>
    <row r="488" hidden="1"/>
    <row r="489" hidden="1"/>
    <row r="490" hidden="1"/>
    <row r="491" hidden="1"/>
    <row r="492" hidden="1"/>
    <row r="493" hidden="1"/>
    <row r="494" hidden="1"/>
    <row r="495" hidden="1"/>
  </sheetData>
  <mergeCells count="4">
    <mergeCell ref="C1:G1"/>
    <mergeCell ref="C2:G2"/>
    <mergeCell ref="C3:G3"/>
    <mergeCell ref="C4:G4"/>
  </mergeCells>
  <phoneticPr fontId="8" type="noConversion"/>
  <printOptions horizontalCentered="1"/>
  <pageMargins left="0.25" right="0.25" top="0.5" bottom="0.5" header="0.25" footer="0.25"/>
  <pageSetup scale="76" orientation="portrait" r:id="rId1"/>
  <headerFooter alignWithMargins="0">
    <oddFooter>&amp;L&amp;"Times New Roman,Bold Italic"Black &amp; Veatch Corporation&amp;C&amp;"Times New Roman,Bold Italic"Date: &amp;D&amp;R&amp;"Times New Roman,Bold Italic"Page: &amp;P of&amp;N</oddFooter>
  </headerFooter>
  <ignoredErrors>
    <ignoredError sqref="G61" formula="1"/>
  </ignoredError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pageSetUpPr fitToPage="1"/>
  </sheetPr>
  <dimension ref="A1:AB291"/>
  <sheetViews>
    <sheetView showGridLines="0" zoomScale="80" zoomScaleNormal="80" workbookViewId="0">
      <selection activeCell="H21" sqref="H21"/>
    </sheetView>
  </sheetViews>
  <sheetFormatPr defaultColWidth="0" defaultRowHeight="15.75" zeroHeight="1"/>
  <cols>
    <col min="1" max="1" width="22.625" style="196" customWidth="1"/>
    <col min="2" max="2" width="1.625" style="196" customWidth="1"/>
    <col min="3" max="3" width="5.125" style="196" bestFit="1" customWidth="1"/>
    <col min="4" max="4" width="30.75" style="196" customWidth="1"/>
    <col min="5" max="7" width="14.125" style="196" customWidth="1"/>
    <col min="8" max="8" width="13.75" style="196" customWidth="1"/>
    <col min="9" max="9" width="10.875" style="196" customWidth="1"/>
    <col min="10" max="10" width="3.125" style="196" customWidth="1"/>
    <col min="11" max="11" width="8.125" style="196" hidden="1" customWidth="1"/>
    <col min="12" max="12" width="12.5" style="196" hidden="1" customWidth="1"/>
    <col min="13" max="13" width="13.75" style="196" hidden="1" customWidth="1"/>
    <col min="14" max="14" width="10.625" style="196" hidden="1" customWidth="1"/>
    <col min="15" max="15" width="1.75" style="196" hidden="1" customWidth="1"/>
    <col min="16" max="16" width="13.5" style="196" hidden="1" customWidth="1"/>
    <col min="17" max="17" width="0.625" style="196" hidden="1" customWidth="1"/>
    <col min="18" max="18" width="11.5" style="196" hidden="1" customWidth="1"/>
    <col min="19" max="19" width="0.375" style="196" hidden="1" customWidth="1"/>
    <col min="20" max="20" width="11.5" style="196" hidden="1" customWidth="1"/>
    <col min="21" max="16384" width="0" style="196" hidden="1"/>
  </cols>
  <sheetData>
    <row r="1" spans="1:14" ht="22.5">
      <c r="A1" s="491"/>
      <c r="B1" s="29"/>
      <c r="C1" s="4555" t="s">
        <v>396</v>
      </c>
      <c r="D1" s="4555"/>
      <c r="E1" s="4555"/>
      <c r="F1" s="4555"/>
      <c r="G1" s="4555"/>
      <c r="H1" s="4555"/>
      <c r="I1" s="4555"/>
      <c r="J1" s="53"/>
      <c r="K1" s="53"/>
      <c r="L1" s="53"/>
      <c r="M1" s="53"/>
      <c r="N1" s="53"/>
    </row>
    <row r="2" spans="1:14" ht="22.5">
      <c r="A2" s="491"/>
      <c r="B2" s="29"/>
      <c r="C2" s="4555" t="str">
        <f>Client</f>
        <v>Grant County Public Utility District</v>
      </c>
      <c r="D2" s="4555"/>
      <c r="E2" s="4555"/>
      <c r="F2" s="4555"/>
      <c r="G2" s="4555"/>
      <c r="H2" s="4555"/>
      <c r="I2" s="4555"/>
      <c r="J2" s="53"/>
      <c r="K2" s="53"/>
      <c r="L2" s="53"/>
      <c r="M2" s="53"/>
      <c r="N2" s="53"/>
    </row>
    <row r="3" spans="1:14" ht="22.5">
      <c r="A3" s="491"/>
      <c r="B3" s="29"/>
      <c r="C3" s="4554" t="s">
        <v>878</v>
      </c>
      <c r="D3" s="4554"/>
      <c r="E3" s="4554"/>
      <c r="F3" s="4554"/>
      <c r="G3" s="4554"/>
      <c r="H3" s="4554"/>
      <c r="I3" s="4554"/>
      <c r="J3" s="492"/>
      <c r="K3" s="492"/>
      <c r="L3" s="492"/>
      <c r="M3" s="492"/>
      <c r="N3" s="492"/>
    </row>
    <row r="4" spans="1:14" ht="18.75">
      <c r="A4" s="491"/>
      <c r="B4" s="29"/>
      <c r="C4" s="4556">
        <f>'COS_Summ (cumulative)'!D5</f>
        <v>2024</v>
      </c>
      <c r="D4" s="4556"/>
      <c r="E4" s="4556"/>
      <c r="F4" s="4556"/>
      <c r="G4" s="4556"/>
      <c r="H4" s="4556"/>
      <c r="I4" s="4556"/>
      <c r="K4" s="2"/>
      <c r="L4" s="2"/>
      <c r="M4" s="2"/>
    </row>
    <row r="5" spans="1:14">
      <c r="A5" s="491"/>
      <c r="B5" s="29"/>
      <c r="D5" s="2"/>
      <c r="E5" s="2"/>
      <c r="F5" s="2"/>
      <c r="G5" s="2"/>
      <c r="H5" s="2"/>
      <c r="I5"/>
      <c r="K5" s="198"/>
      <c r="L5" s="198"/>
      <c r="M5" s="198"/>
    </row>
    <row r="6" spans="1:14" s="200" customFormat="1">
      <c r="A6" s="491"/>
      <c r="B6" s="199"/>
      <c r="C6" s="84"/>
      <c r="D6" s="84"/>
      <c r="E6" s="83" t="s">
        <v>674</v>
      </c>
      <c r="F6" s="83" t="s">
        <v>155</v>
      </c>
      <c r="G6" s="83" t="s">
        <v>675</v>
      </c>
      <c r="H6" s="83" t="s">
        <v>676</v>
      </c>
      <c r="I6" s="83" t="s">
        <v>677</v>
      </c>
      <c r="K6" s="83"/>
      <c r="L6" s="83"/>
      <c r="M6" s="83"/>
      <c r="N6" s="83"/>
    </row>
    <row r="7" spans="1:14">
      <c r="A7" s="491"/>
      <c r="B7" s="29"/>
      <c r="C7" s="3238"/>
      <c r="D7" s="3239"/>
      <c r="E7" s="3239">
        <f>COS_Summ!I5</f>
        <v>2024</v>
      </c>
      <c r="F7" s="3239"/>
      <c r="G7" s="3240"/>
      <c r="H7" s="4557"/>
      <c r="I7" s="4558"/>
      <c r="J7" s="171"/>
      <c r="K7" s="171"/>
      <c r="L7" s="100"/>
      <c r="M7" s="100"/>
      <c r="N7" s="100"/>
    </row>
    <row r="8" spans="1:14">
      <c r="A8" s="491"/>
      <c r="B8" s="29"/>
      <c r="C8" s="3241"/>
      <c r="D8" s="2600"/>
      <c r="E8" s="2600" t="s">
        <v>712</v>
      </c>
      <c r="F8" s="2600" t="s">
        <v>304</v>
      </c>
      <c r="G8" s="2659" t="s">
        <v>709</v>
      </c>
      <c r="H8" s="4552" t="s">
        <v>365</v>
      </c>
      <c r="I8" s="4553"/>
      <c r="J8" s="171"/>
      <c r="K8" s="171"/>
      <c r="L8" s="100"/>
      <c r="M8" s="100"/>
      <c r="N8" s="100"/>
    </row>
    <row r="9" spans="1:14">
      <c r="A9" s="491"/>
      <c r="B9" s="29"/>
      <c r="C9" s="3242" t="s">
        <v>867</v>
      </c>
      <c r="D9" s="3168" t="s">
        <v>399</v>
      </c>
      <c r="E9" s="2601" t="s">
        <v>176</v>
      </c>
      <c r="F9" s="2601" t="s">
        <v>708</v>
      </c>
      <c r="G9" s="2601" t="s">
        <v>710</v>
      </c>
      <c r="H9" s="3168" t="s">
        <v>121</v>
      </c>
      <c r="I9" s="3243" t="s">
        <v>122</v>
      </c>
      <c r="J9" s="100"/>
      <c r="K9" s="100"/>
      <c r="L9" s="100"/>
      <c r="M9" s="100"/>
      <c r="N9" s="100"/>
    </row>
    <row r="10" spans="1:14">
      <c r="A10" s="491"/>
      <c r="B10" s="29"/>
      <c r="C10" s="3244"/>
      <c r="D10" s="3245"/>
      <c r="E10" s="3246" t="s">
        <v>383</v>
      </c>
      <c r="F10" s="3246" t="s">
        <v>3189</v>
      </c>
      <c r="G10" s="3246" t="s">
        <v>3189</v>
      </c>
      <c r="H10" s="4261" t="s">
        <v>4003</v>
      </c>
      <c r="I10" s="3247" t="s">
        <v>95</v>
      </c>
      <c r="J10" s="87"/>
      <c r="K10" s="87"/>
      <c r="L10" s="87"/>
      <c r="M10" s="87"/>
      <c r="N10" s="87"/>
    </row>
    <row r="11" spans="1:14" ht="6" customHeight="1">
      <c r="A11" s="491"/>
      <c r="B11" s="29"/>
      <c r="C11" s="3248"/>
      <c r="D11" s="206"/>
      <c r="E11" s="165"/>
      <c r="F11" s="17"/>
      <c r="G11" s="17"/>
      <c r="H11" s="559"/>
      <c r="I11" s="3249"/>
      <c r="J11" s="87"/>
      <c r="K11" s="87"/>
      <c r="L11" s="87"/>
      <c r="M11" s="87"/>
      <c r="N11" s="87"/>
    </row>
    <row r="12" spans="1:14">
      <c r="A12" s="491"/>
      <c r="B12" s="29"/>
      <c r="C12" s="3248"/>
      <c r="D12" s="278" t="s">
        <v>442</v>
      </c>
      <c r="E12" s="165"/>
      <c r="F12" s="17"/>
      <c r="G12" s="17"/>
      <c r="H12" s="559"/>
      <c r="I12" s="3249"/>
      <c r="J12" s="87"/>
      <c r="K12" s="87"/>
      <c r="L12" s="87"/>
      <c r="M12" s="87"/>
      <c r="N12" s="87"/>
    </row>
    <row r="13" spans="1:14">
      <c r="A13" s="491"/>
      <c r="B13" s="29"/>
      <c r="C13" s="3259">
        <f>+MAX(C$10:C10)+1</f>
        <v>1</v>
      </c>
      <c r="D13" s="3260" t="str">
        <f>COS_Summ!D12</f>
        <v>Residential-Urban (1)</v>
      </c>
      <c r="E13" s="3261">
        <f>COS_Summ!E12</f>
        <v>369330.64600000001</v>
      </c>
      <c r="F13" s="3262">
        <f>COS_Summ!F12</f>
        <v>23870689.237511843</v>
      </c>
      <c r="G13" s="3262">
        <f>COS_Summ!G12</f>
        <v>25025792</v>
      </c>
      <c r="H13" s="3262">
        <f>COS_Summ!H12</f>
        <v>-1155102.7624881566</v>
      </c>
      <c r="I13" s="3263">
        <f t="shared" ref="I13:I24" si="0">IFERROR(H13/F13,0)</f>
        <v>-4.8390004620099458E-2</v>
      </c>
      <c r="J13" s="216"/>
      <c r="K13" s="174"/>
      <c r="L13" s="216"/>
      <c r="M13" s="216"/>
      <c r="N13" s="174"/>
    </row>
    <row r="14" spans="1:14">
      <c r="A14" s="491"/>
      <c r="B14" s="29"/>
      <c r="C14" s="3252">
        <f>+MAX(C$10:C13)+1</f>
        <v>2</v>
      </c>
      <c r="D14" s="17" t="str">
        <f>COS_Summ!D13</f>
        <v>Residential-Rural (1)</v>
      </c>
      <c r="E14" s="16">
        <f>COS_Summ!E13</f>
        <v>517691.62699999998</v>
      </c>
      <c r="F14" s="16">
        <f>COS_Summ!F13</f>
        <v>29619759.682764068</v>
      </c>
      <c r="G14" s="16">
        <f>COS_Summ!G13</f>
        <v>40082143</v>
      </c>
      <c r="H14" s="16">
        <f>COS_Summ!H13</f>
        <v>-10462383.317235932</v>
      </c>
      <c r="I14" s="3253">
        <f t="shared" si="0"/>
        <v>-0.35322309935296542</v>
      </c>
      <c r="J14" s="493"/>
      <c r="K14" s="174"/>
      <c r="L14" s="493"/>
      <c r="M14" s="493"/>
      <c r="N14" s="174"/>
    </row>
    <row r="15" spans="1:14">
      <c r="A15" s="491"/>
      <c r="B15" s="29"/>
      <c r="C15" s="3250">
        <f>+MAX(C$10:C14)+1</f>
        <v>3</v>
      </c>
      <c r="D15" s="2684" t="str">
        <f>COS_Summ!D14</f>
        <v>Residential-Total (1)</v>
      </c>
      <c r="E15" s="2661">
        <f>COS_Summ!E14</f>
        <v>887022.27300000004</v>
      </c>
      <c r="F15" s="2661">
        <f>COS_Summ!F14</f>
        <v>53490448.920275912</v>
      </c>
      <c r="G15" s="2661">
        <f>COS_Summ!G14</f>
        <v>65107935</v>
      </c>
      <c r="H15" s="2661">
        <f>COS_Summ!H14</f>
        <v>-11617486.079724088</v>
      </c>
      <c r="I15" s="3251">
        <f>IFERROR(H15/F15,0)</f>
        <v>-0.21718804598254929</v>
      </c>
      <c r="J15" s="493"/>
      <c r="K15" s="174"/>
      <c r="L15" s="493"/>
      <c r="M15" s="493"/>
      <c r="N15" s="174"/>
    </row>
    <row r="16" spans="1:14">
      <c r="A16" s="491"/>
      <c r="B16" s="29"/>
      <c r="C16" s="3252">
        <f>+MAX(C$10:C15)+1</f>
        <v>4</v>
      </c>
      <c r="D16" s="17" t="str">
        <f>COS_Summ!D15</f>
        <v>Irrigation (3)</v>
      </c>
      <c r="E16" s="16">
        <f>COS_Summ!E15</f>
        <v>644656.66890576226</v>
      </c>
      <c r="F16" s="16">
        <f>COS_Summ!F15</f>
        <v>32493884.927364241</v>
      </c>
      <c r="G16" s="16">
        <f>COS_Summ!G15</f>
        <v>40342062</v>
      </c>
      <c r="H16" s="16">
        <f>COS_Summ!H15</f>
        <v>-7848177.0726357587</v>
      </c>
      <c r="I16" s="3253">
        <f t="shared" si="0"/>
        <v>-0.2415278163931249</v>
      </c>
      <c r="J16" s="493"/>
      <c r="K16" s="174"/>
      <c r="L16" s="493"/>
      <c r="M16" s="493"/>
      <c r="N16" s="174"/>
    </row>
    <row r="17" spans="1:14">
      <c r="A17" s="491"/>
      <c r="B17" s="29"/>
      <c r="C17" s="3250">
        <f>+MAX(C$10:C16)+1</f>
        <v>5</v>
      </c>
      <c r="D17" s="2684" t="str">
        <f>COS_Summ!D16</f>
        <v>General Service (2) &amp; (PA)</v>
      </c>
      <c r="E17" s="2661">
        <f>COS_Summ!E16</f>
        <v>573774.99899999995</v>
      </c>
      <c r="F17" s="2661">
        <f>COS_Summ!F16</f>
        <v>30843944.137933522</v>
      </c>
      <c r="G17" s="2661">
        <f>COS_Summ!G16</f>
        <v>35431890</v>
      </c>
      <c r="H17" s="2661">
        <f>COS_Summ!H16</f>
        <v>-4587945.8620664775</v>
      </c>
      <c r="I17" s="3251">
        <f t="shared" si="0"/>
        <v>-0.14874705522579318</v>
      </c>
      <c r="J17" s="493"/>
      <c r="K17" s="174"/>
      <c r="L17" s="493"/>
      <c r="M17" s="493"/>
      <c r="N17" s="174"/>
    </row>
    <row r="18" spans="1:14">
      <c r="A18" s="491"/>
      <c r="B18" s="29"/>
      <c r="C18" s="3252">
        <f>+MAX(C$10:C17)+1</f>
        <v>6</v>
      </c>
      <c r="D18" s="17" t="str">
        <f>COS_Summ!D17</f>
        <v>Large General Service (7)</v>
      </c>
      <c r="E18" s="16">
        <f>COS_Summ!E17</f>
        <v>299772.79228904791</v>
      </c>
      <c r="F18" s="16">
        <f>COS_Summ!F17</f>
        <v>10285911.025710687</v>
      </c>
      <c r="G18" s="16">
        <f>COS_Summ!G17</f>
        <v>11682658</v>
      </c>
      <c r="H18" s="16">
        <f>COS_Summ!H17</f>
        <v>-1396746.974289313</v>
      </c>
      <c r="I18" s="3253">
        <f t="shared" si="0"/>
        <v>-0.1357922473564083</v>
      </c>
      <c r="J18" s="493"/>
      <c r="K18" s="174"/>
      <c r="L18" s="493"/>
      <c r="M18" s="493"/>
      <c r="N18" s="174"/>
    </row>
    <row r="19" spans="1:14">
      <c r="A19" s="491"/>
      <c r="B19" s="29"/>
      <c r="C19" s="3250">
        <f>+MAX(C$10:C18)+1</f>
        <v>7</v>
      </c>
      <c r="D19" s="2684" t="str">
        <f>COS_Summ!D18</f>
        <v>Industrial (14)</v>
      </c>
      <c r="E19" s="2661">
        <f>COS_Summ!E18</f>
        <v>937116.70550784201</v>
      </c>
      <c r="F19" s="2661">
        <f>COS_Summ!F18</f>
        <v>36974914.605053663</v>
      </c>
      <c r="G19" s="2661">
        <f>COS_Summ!G18</f>
        <v>33165212</v>
      </c>
      <c r="H19" s="2661">
        <f>COS_Summ!H18</f>
        <v>3809702.6050536633</v>
      </c>
      <c r="I19" s="3251">
        <f t="shared" si="0"/>
        <v>0.10303479117522993</v>
      </c>
      <c r="J19" s="493"/>
      <c r="K19" s="174"/>
      <c r="L19" s="493"/>
      <c r="M19" s="493"/>
      <c r="N19" s="174"/>
    </row>
    <row r="20" spans="1:14">
      <c r="A20" s="491"/>
      <c r="B20" s="29"/>
      <c r="C20" s="3252">
        <f>+MAX(C$10:C19)+1</f>
        <v>8</v>
      </c>
      <c r="D20" s="17" t="str">
        <f>COS_Summ!D19</f>
        <v>Large Industrial (15) &amp; (94)</v>
      </c>
      <c r="E20" s="16">
        <f>COS_Summ!E19</f>
        <v>2673206.5529506882</v>
      </c>
      <c r="F20" s="16">
        <f>COS_Summ!F19</f>
        <v>102973786.09443644</v>
      </c>
      <c r="G20" s="16">
        <f>COS_Summ!G19</f>
        <v>88138185</v>
      </c>
      <c r="H20" s="16">
        <f>COS_Summ!H19</f>
        <v>14835601.094436437</v>
      </c>
      <c r="I20" s="3253">
        <f t="shared" si="0"/>
        <v>0.14407162887874031</v>
      </c>
      <c r="J20" s="493"/>
      <c r="K20" s="174"/>
      <c r="L20" s="493"/>
      <c r="M20" s="493"/>
      <c r="N20" s="174"/>
    </row>
    <row r="21" spans="1:14">
      <c r="A21" s="491"/>
      <c r="B21" s="29"/>
      <c r="C21" s="3250">
        <f>+MAX(C$10:C20)+1</f>
        <v>9</v>
      </c>
      <c r="D21" s="2684" t="str">
        <f>COS_Summ!D20</f>
        <v>Agricultural Processing (16)</v>
      </c>
      <c r="E21" s="2661">
        <f>COS_Summ!E20</f>
        <v>418929.39388013125</v>
      </c>
      <c r="F21" s="2661">
        <f>COS_Summ!F20</f>
        <v>16300049.923444636</v>
      </c>
      <c r="G21" s="2661">
        <f>COS_Summ!G20</f>
        <v>15253378</v>
      </c>
      <c r="H21" s="2661">
        <f>COS_Summ!H20</f>
        <v>1046671.9234446362</v>
      </c>
      <c r="I21" s="3251">
        <f t="shared" si="0"/>
        <v>6.4212804768112419E-2</v>
      </c>
      <c r="J21" s="493"/>
      <c r="K21" s="174"/>
      <c r="L21" s="493"/>
      <c r="M21" s="493"/>
      <c r="N21" s="174"/>
    </row>
    <row r="22" spans="1:14">
      <c r="A22" s="491"/>
      <c r="B22" s="29"/>
      <c r="C22" s="3252">
        <f>+MAX(C$10:C21)+1</f>
        <v>10</v>
      </c>
      <c r="D22" s="17" t="str">
        <f>COS_Summ!D21</f>
        <v>Agricultural Boiler (85)</v>
      </c>
      <c r="E22" s="16">
        <f>COS_Summ!E21</f>
        <v>0</v>
      </c>
      <c r="F22" s="16">
        <f>COS_Summ!F21</f>
        <v>18696.862073089371</v>
      </c>
      <c r="G22" s="16">
        <f>COS_Summ!G21</f>
        <v>22926</v>
      </c>
      <c r="H22" s="16">
        <f>COS_Summ!H21</f>
        <v>-4229.1379269106292</v>
      </c>
      <c r="I22" s="3253">
        <f t="shared" si="0"/>
        <v>-0.22619506473215528</v>
      </c>
      <c r="J22" s="493"/>
      <c r="K22" s="174"/>
      <c r="L22" s="493"/>
      <c r="M22" s="493"/>
      <c r="N22" s="174"/>
    </row>
    <row r="23" spans="1:14">
      <c r="A23" s="491"/>
      <c r="B23" s="29"/>
      <c r="C23" s="3250">
        <f>+MAX(C$10:C22)+1</f>
        <v>11</v>
      </c>
      <c r="D23" s="2684" t="str">
        <f>COS_Summ!D22</f>
        <v>Street Lights (6)</v>
      </c>
      <c r="E23" s="2661">
        <f>COS_Summ!E22</f>
        <v>4515.848</v>
      </c>
      <c r="F23" s="2661">
        <f>COS_Summ!F22</f>
        <v>964740</v>
      </c>
      <c r="G23" s="2661">
        <f>COS_Summ!G22</f>
        <v>724541</v>
      </c>
      <c r="H23" s="2661">
        <f>COS_Summ!H22</f>
        <v>240199</v>
      </c>
      <c r="I23" s="3251">
        <f t="shared" si="0"/>
        <v>0.24897796297448016</v>
      </c>
      <c r="J23" s="493"/>
      <c r="K23" s="174"/>
      <c r="L23" s="493"/>
      <c r="M23" s="493"/>
      <c r="N23" s="174"/>
    </row>
    <row r="24" spans="1:14">
      <c r="A24" s="491"/>
      <c r="B24" s="29"/>
      <c r="C24" s="3252">
        <f>+MAX(C$10:C23)+1</f>
        <v>12</v>
      </c>
      <c r="D24" s="17" t="str">
        <f>COS_Summ!D23</f>
        <v>Street Lights (2)</v>
      </c>
      <c r="E24" s="16">
        <f>COS_Summ!E23</f>
        <v>431.238</v>
      </c>
      <c r="F24" s="16">
        <f>COS_Summ!F23</f>
        <v>33115.861076429937</v>
      </c>
      <c r="G24" s="16">
        <f>COS_Summ!G23</f>
        <v>59689</v>
      </c>
      <c r="H24" s="16">
        <f>COS_Summ!H23</f>
        <v>-26573.138923570063</v>
      </c>
      <c r="I24" s="3253">
        <f t="shared" si="0"/>
        <v>-0.80242935136853111</v>
      </c>
      <c r="J24" s="493"/>
      <c r="K24" s="174"/>
      <c r="L24" s="493"/>
      <c r="M24" s="493"/>
      <c r="N24" s="174"/>
    </row>
    <row r="25" spans="1:14">
      <c r="A25" s="491"/>
      <c r="B25" s="29"/>
      <c r="C25" s="3250">
        <f>+MAX(C$10:C24)+1</f>
        <v>13</v>
      </c>
      <c r="D25" s="2684" t="str">
        <f>COS_Summ!D24</f>
        <v>Alternate Power Sales</v>
      </c>
      <c r="E25" s="2661">
        <f>COS_Summ!E24</f>
        <v>0</v>
      </c>
      <c r="F25" s="2661">
        <f>COS_Summ!F24</f>
        <v>0</v>
      </c>
      <c r="G25" s="2661">
        <f>COS_Summ!G24</f>
        <v>0</v>
      </c>
      <c r="H25" s="2661">
        <f>COS_Summ!H24</f>
        <v>0</v>
      </c>
      <c r="I25" s="3251">
        <f>IFERROR(H25/F25,0)</f>
        <v>0</v>
      </c>
      <c r="J25" s="493"/>
      <c r="K25" s="174"/>
      <c r="L25" s="493"/>
      <c r="M25" s="493"/>
      <c r="N25" s="174"/>
    </row>
    <row r="26" spans="1:14">
      <c r="A26" s="491"/>
      <c r="B26" s="29"/>
      <c r="C26" s="3252"/>
      <c r="D26" s="17"/>
      <c r="E26" s="16"/>
      <c r="F26" s="279"/>
      <c r="G26" s="279"/>
      <c r="H26" s="279"/>
      <c r="I26" s="3253"/>
      <c r="J26" s="493"/>
      <c r="K26" s="174"/>
      <c r="L26" s="493"/>
      <c r="M26" s="216"/>
      <c r="N26" s="174"/>
    </row>
    <row r="27" spans="1:14" ht="15.75" customHeight="1">
      <c r="A27" s="491"/>
      <c r="B27" s="29"/>
      <c r="C27" s="3254">
        <f>+MAX(C$10:C25)+1</f>
        <v>14</v>
      </c>
      <c r="D27" s="3255" t="s">
        <v>602</v>
      </c>
      <c r="E27" s="3256">
        <f>SUM(E15:E25)</f>
        <v>6439426.4715334717</v>
      </c>
      <c r="F27" s="3257">
        <f>SUM(F15:F25)</f>
        <v>284379492.35736859</v>
      </c>
      <c r="G27" s="3257">
        <f>SUM(G15:G25)</f>
        <v>289928476</v>
      </c>
      <c r="H27" s="3257">
        <f>SUM(H15:H25)</f>
        <v>-5548983.6426313827</v>
      </c>
      <c r="I27" s="3258">
        <f>H27/F27</f>
        <v>-1.9512601266121511E-2</v>
      </c>
      <c r="J27" s="494"/>
      <c r="K27" s="174"/>
      <c r="L27" s="494"/>
      <c r="M27" s="494"/>
      <c r="N27" s="174"/>
    </row>
    <row r="28" spans="1:14" ht="5.0999999999999996" customHeight="1">
      <c r="A28" s="491"/>
      <c r="B28" s="29"/>
      <c r="C28" s="236"/>
      <c r="D28" s="1"/>
      <c r="E28" s="1"/>
      <c r="F28" s="1"/>
      <c r="G28" s="1"/>
      <c r="H28" s="1"/>
      <c r="I28" s="1"/>
      <c r="J28" s="494"/>
      <c r="K28" s="87"/>
      <c r="L28" s="87"/>
      <c r="M28" s="87"/>
      <c r="N28" s="87"/>
    </row>
    <row r="29" spans="1:14" ht="15.75" customHeight="1">
      <c r="A29" s="491"/>
      <c r="B29" s="29"/>
      <c r="C29" s="495"/>
      <c r="D29" s="87"/>
      <c r="E29" s="87"/>
      <c r="F29" s="87"/>
      <c r="G29" s="87"/>
      <c r="H29" s="87"/>
      <c r="I29" s="87"/>
      <c r="J29" s="87"/>
      <c r="K29" s="87"/>
      <c r="L29" s="87"/>
      <c r="M29" s="87"/>
      <c r="N29" s="87"/>
    </row>
    <row r="30" spans="1:14">
      <c r="A30" s="491"/>
      <c r="B30" s="29"/>
      <c r="C30" s="495"/>
      <c r="D30" s="1"/>
      <c r="E30" s="87"/>
      <c r="F30" s="87"/>
      <c r="G30" s="87"/>
      <c r="H30" s="87"/>
      <c r="I30" s="87"/>
      <c r="J30" s="87"/>
      <c r="K30" s="87"/>
      <c r="L30" s="87"/>
      <c r="M30" s="87"/>
      <c r="N30" s="87"/>
    </row>
    <row r="31" spans="1:14">
      <c r="A31" s="491"/>
      <c r="B31" s="29"/>
      <c r="C31" s="495"/>
      <c r="D31" s="1"/>
      <c r="E31" s="216"/>
      <c r="F31" s="216"/>
      <c r="G31" s="216"/>
      <c r="H31" s="216"/>
      <c r="I31" s="496"/>
      <c r="J31" s="216"/>
      <c r="K31" s="174"/>
      <c r="L31" s="216"/>
      <c r="M31" s="216"/>
      <c r="N31" s="174"/>
    </row>
    <row r="32" spans="1:14">
      <c r="A32" s="491"/>
      <c r="B32" s="29"/>
      <c r="C32" s="495"/>
      <c r="D32" s="87"/>
      <c r="E32" s="493"/>
      <c r="F32" s="493"/>
      <c r="G32" s="493"/>
      <c r="H32" s="493"/>
      <c r="I32" s="496"/>
      <c r="J32" s="493"/>
      <c r="K32" s="174"/>
      <c r="L32" s="493"/>
      <c r="M32" s="493"/>
      <c r="N32" s="174"/>
    </row>
    <row r="33" spans="1:14">
      <c r="A33" s="491"/>
      <c r="B33" s="29"/>
      <c r="C33" s="495"/>
      <c r="D33" s="87"/>
      <c r="E33" s="493"/>
      <c r="F33" s="493"/>
      <c r="G33" s="493"/>
      <c r="H33" s="493"/>
      <c r="I33" s="496"/>
      <c r="J33" s="493"/>
      <c r="K33" s="174"/>
      <c r="L33" s="493"/>
      <c r="M33" s="493"/>
      <c r="N33" s="174"/>
    </row>
    <row r="34" spans="1:14">
      <c r="A34" s="491"/>
      <c r="B34" s="29"/>
      <c r="C34" s="495"/>
      <c r="D34" s="87"/>
      <c r="E34" s="493"/>
      <c r="F34" s="493"/>
      <c r="G34" s="493"/>
      <c r="H34" s="493"/>
      <c r="I34" s="496"/>
      <c r="J34" s="493"/>
      <c r="K34" s="174"/>
      <c r="L34" s="493"/>
      <c r="M34" s="493"/>
      <c r="N34" s="174"/>
    </row>
    <row r="35" spans="1:14">
      <c r="A35" s="491"/>
      <c r="B35" s="29"/>
      <c r="C35" s="495"/>
      <c r="D35" s="87"/>
      <c r="E35" s="493"/>
      <c r="F35" s="493"/>
      <c r="G35" s="493"/>
      <c r="H35" s="493"/>
      <c r="I35" s="496"/>
      <c r="J35" s="493"/>
      <c r="K35" s="174"/>
      <c r="L35" s="493"/>
      <c r="M35" s="493"/>
      <c r="N35" s="174"/>
    </row>
    <row r="36" spans="1:14">
      <c r="A36" s="491"/>
      <c r="B36" s="29"/>
      <c r="C36" s="495"/>
      <c r="D36" s="87"/>
      <c r="E36" s="493"/>
      <c r="F36" s="493"/>
      <c r="G36" s="493"/>
      <c r="H36" s="493"/>
      <c r="I36" s="496"/>
      <c r="J36" s="493"/>
      <c r="K36" s="174"/>
      <c r="L36" s="493"/>
      <c r="M36" s="493"/>
      <c r="N36" s="174"/>
    </row>
    <row r="37" spans="1:14">
      <c r="A37" s="491"/>
      <c r="B37" s="29"/>
      <c r="C37" s="495"/>
      <c r="D37" s="87"/>
      <c r="E37" s="493"/>
      <c r="F37" s="493"/>
      <c r="G37" s="493"/>
      <c r="H37" s="493"/>
      <c r="I37" s="496"/>
      <c r="J37" s="493"/>
      <c r="K37" s="174"/>
      <c r="L37" s="493"/>
      <c r="M37" s="493"/>
      <c r="N37" s="174"/>
    </row>
    <row r="38" spans="1:14">
      <c r="A38" s="497"/>
      <c r="B38" s="29"/>
      <c r="C38" s="495"/>
      <c r="D38" s="87"/>
      <c r="E38" s="493"/>
      <c r="F38" s="493"/>
      <c r="G38" s="493"/>
      <c r="H38" s="493"/>
      <c r="I38" s="496"/>
      <c r="J38" s="493"/>
      <c r="K38" s="174"/>
      <c r="L38" s="493"/>
      <c r="M38" s="493"/>
      <c r="N38" s="174"/>
    </row>
    <row r="39" spans="1:14" hidden="1">
      <c r="A39" s="497"/>
      <c r="B39" s="29"/>
      <c r="C39" s="495"/>
      <c r="D39" s="87"/>
      <c r="E39" s="493"/>
      <c r="F39" s="216"/>
      <c r="G39" s="216"/>
      <c r="H39" s="216"/>
      <c r="I39" s="216"/>
      <c r="J39" s="493"/>
      <c r="K39" s="174"/>
      <c r="L39" s="493"/>
      <c r="M39" s="216"/>
      <c r="N39" s="174"/>
    </row>
    <row r="40" spans="1:14" hidden="1">
      <c r="A40" s="497"/>
      <c r="B40" s="29"/>
      <c r="C40" s="495"/>
      <c r="D40" s="498"/>
      <c r="E40" s="494"/>
      <c r="F40" s="494"/>
      <c r="G40" s="494"/>
      <c r="H40" s="494"/>
      <c r="I40" s="496"/>
      <c r="J40" s="494"/>
      <c r="K40" s="174"/>
      <c r="L40" s="494"/>
      <c r="M40" s="494"/>
      <c r="N40" s="174"/>
    </row>
    <row r="41" spans="1:14" hidden="1">
      <c r="A41" s="497"/>
      <c r="B41" s="29"/>
      <c r="C41" s="495"/>
      <c r="D41" s="87"/>
      <c r="E41" s="87"/>
      <c r="F41" s="87"/>
      <c r="G41" s="87"/>
      <c r="H41" s="87"/>
      <c r="I41" s="87"/>
      <c r="J41" s="494"/>
      <c r="K41" s="87"/>
      <c r="L41" s="87"/>
      <c r="M41" s="87"/>
      <c r="N41" s="87"/>
    </row>
    <row r="42" spans="1:14" s="200" customFormat="1" hidden="1">
      <c r="A42" s="497"/>
      <c r="B42"/>
      <c r="C42"/>
      <c r="D42"/>
      <c r="E42"/>
      <c r="F42"/>
      <c r="G42"/>
      <c r="H42"/>
      <c r="I42"/>
      <c r="J42"/>
      <c r="K42"/>
      <c r="L42"/>
      <c r="M42"/>
      <c r="N42"/>
    </row>
    <row r="43" spans="1:14" s="200" customFormat="1" hidden="1">
      <c r="A43" s="497"/>
      <c r="B43"/>
      <c r="C43"/>
      <c r="D43"/>
      <c r="E43"/>
      <c r="F43"/>
      <c r="G43"/>
      <c r="H43"/>
      <c r="I43"/>
      <c r="J43"/>
      <c r="K43"/>
      <c r="L43"/>
      <c r="M43"/>
      <c r="N43"/>
    </row>
    <row r="44" spans="1:14" s="200" customFormat="1" hidden="1">
      <c r="A44" s="497"/>
      <c r="B44"/>
      <c r="C44"/>
      <c r="D44"/>
      <c r="E44"/>
      <c r="F44"/>
      <c r="G44"/>
      <c r="H44"/>
      <c r="I44"/>
      <c r="J44"/>
      <c r="K44"/>
      <c r="L44"/>
      <c r="M44"/>
      <c r="N44"/>
    </row>
    <row r="45" spans="1:14" s="200" customFormat="1" hidden="1">
      <c r="A45" s="497"/>
      <c r="B45"/>
      <c r="C45"/>
      <c r="D45"/>
      <c r="E45"/>
      <c r="F45"/>
      <c r="G45"/>
      <c r="H45"/>
      <c r="I45"/>
      <c r="J45"/>
      <c r="K45"/>
      <c r="L45"/>
      <c r="M45"/>
      <c r="N45"/>
    </row>
    <row r="46" spans="1:14" s="200" customFormat="1" hidden="1">
      <c r="A46" s="497"/>
      <c r="B46"/>
      <c r="C46"/>
      <c r="D46"/>
      <c r="E46"/>
      <c r="F46"/>
      <c r="G46"/>
      <c r="H46"/>
      <c r="I46"/>
      <c r="J46"/>
      <c r="K46"/>
      <c r="L46"/>
      <c r="M46"/>
      <c r="N46"/>
    </row>
    <row r="47" spans="1:14" s="200" customFormat="1" hidden="1">
      <c r="A47" s="497"/>
      <c r="B47"/>
      <c r="C47"/>
      <c r="D47"/>
      <c r="E47"/>
      <c r="F47"/>
      <c r="G47"/>
      <c r="H47"/>
      <c r="I47"/>
      <c r="J47"/>
      <c r="K47"/>
      <c r="L47"/>
      <c r="M47"/>
      <c r="N47"/>
    </row>
    <row r="48" spans="1:14" s="200" customFormat="1" hidden="1">
      <c r="A48" s="497"/>
      <c r="B48"/>
      <c r="C48"/>
      <c r="D48"/>
      <c r="E48"/>
      <c r="F48"/>
      <c r="G48"/>
      <c r="H48"/>
      <c r="I48"/>
      <c r="J48"/>
      <c r="K48"/>
      <c r="L48"/>
      <c r="M48"/>
      <c r="N48"/>
    </row>
    <row r="49" spans="1:14" s="200" customFormat="1" hidden="1">
      <c r="A49" s="497"/>
      <c r="B49"/>
      <c r="C49"/>
      <c r="D49"/>
      <c r="E49"/>
      <c r="F49"/>
      <c r="G49"/>
      <c r="H49"/>
      <c r="I49"/>
      <c r="J49"/>
      <c r="K49"/>
      <c r="L49"/>
      <c r="M49"/>
      <c r="N49"/>
    </row>
    <row r="50" spans="1:14" s="200" customFormat="1" hidden="1">
      <c r="A50" s="497"/>
      <c r="B50"/>
      <c r="C50"/>
      <c r="D50"/>
      <c r="E50"/>
      <c r="F50"/>
      <c r="G50"/>
      <c r="H50"/>
      <c r="I50"/>
      <c r="J50"/>
      <c r="K50"/>
      <c r="L50"/>
      <c r="M50"/>
      <c r="N50"/>
    </row>
    <row r="51" spans="1:14" s="200" customFormat="1" hidden="1">
      <c r="A51" s="497"/>
      <c r="B51"/>
      <c r="C51"/>
      <c r="D51"/>
      <c r="E51"/>
      <c r="F51"/>
      <c r="G51"/>
      <c r="H51"/>
      <c r="I51"/>
      <c r="J51"/>
      <c r="K51"/>
      <c r="L51"/>
      <c r="M51"/>
      <c r="N51"/>
    </row>
    <row r="52" spans="1:14" s="200" customFormat="1" hidden="1">
      <c r="A52" s="497"/>
      <c r="B52"/>
      <c r="C52"/>
      <c r="D52"/>
      <c r="E52"/>
      <c r="F52"/>
      <c r="G52"/>
      <c r="H52"/>
      <c r="I52"/>
      <c r="J52"/>
      <c r="K52"/>
      <c r="L52"/>
      <c r="M52"/>
      <c r="N52"/>
    </row>
    <row r="53" spans="1:14" s="200" customFormat="1" ht="2.25" hidden="1" customHeight="1">
      <c r="A53" s="497"/>
      <c r="B53"/>
      <c r="C53"/>
      <c r="D53"/>
      <c r="E53"/>
      <c r="F53"/>
      <c r="G53"/>
      <c r="H53"/>
      <c r="I53"/>
      <c r="J53"/>
      <c r="K53"/>
      <c r="L53"/>
      <c r="M53"/>
      <c r="N53"/>
    </row>
    <row r="54" spans="1:14" s="200" customFormat="1" hidden="1">
      <c r="A54" s="497"/>
      <c r="B54"/>
      <c r="C54"/>
      <c r="D54"/>
      <c r="E54"/>
      <c r="F54"/>
      <c r="G54"/>
      <c r="H54"/>
      <c r="I54"/>
      <c r="J54"/>
      <c r="K54"/>
      <c r="L54"/>
      <c r="M54"/>
      <c r="N54"/>
    </row>
    <row r="55" spans="1:14" s="200" customFormat="1" hidden="1">
      <c r="A55" s="497"/>
      <c r="B55" s="199"/>
      <c r="C55" s="83"/>
      <c r="D55" s="86"/>
      <c r="E55" s="86"/>
      <c r="F55" s="86"/>
      <c r="G55" s="86"/>
      <c r="H55" s="86"/>
      <c r="I55" s="86"/>
      <c r="J55" s="86"/>
      <c r="K55" s="86"/>
      <c r="L55" s="86"/>
      <c r="M55" s="86"/>
      <c r="N55" s="86"/>
    </row>
    <row r="56" spans="1:14" s="200" customFormat="1" hidden="1">
      <c r="A56" s="497"/>
      <c r="B56" s="199"/>
      <c r="C56" s="83"/>
      <c r="D56" s="86"/>
      <c r="E56" s="86"/>
      <c r="F56" s="86"/>
      <c r="G56" s="86"/>
      <c r="H56" s="86"/>
      <c r="I56" s="86"/>
      <c r="J56" s="86"/>
      <c r="K56" s="86"/>
      <c r="L56" s="86"/>
      <c r="M56" s="86"/>
      <c r="N56" s="86"/>
    </row>
    <row r="57" spans="1:14" s="200" customFormat="1" hidden="1">
      <c r="A57" s="497"/>
      <c r="B57" s="199"/>
      <c r="C57" s="83"/>
      <c r="D57" s="86"/>
      <c r="E57" s="86"/>
      <c r="F57" s="86"/>
      <c r="G57" s="86"/>
      <c r="H57" s="86"/>
      <c r="I57" s="86"/>
      <c r="J57" s="86"/>
      <c r="K57" s="86"/>
      <c r="L57" s="86"/>
      <c r="M57" s="86"/>
      <c r="N57" s="86"/>
    </row>
    <row r="58" spans="1:14" s="200" customFormat="1" hidden="1">
      <c r="A58" s="497"/>
      <c r="B58" s="199"/>
      <c r="C58" s="83"/>
      <c r="D58" s="86"/>
      <c r="E58" s="86"/>
      <c r="F58" s="86"/>
      <c r="G58" s="86"/>
      <c r="H58" s="86"/>
      <c r="I58" s="86"/>
      <c r="J58" s="86"/>
      <c r="K58" s="86"/>
      <c r="L58" s="86"/>
      <c r="M58" s="86"/>
      <c r="N58" s="86"/>
    </row>
    <row r="59" spans="1:14" s="200" customFormat="1" hidden="1">
      <c r="A59" s="497"/>
      <c r="B59" s="199"/>
      <c r="C59" s="83"/>
      <c r="D59" s="86"/>
      <c r="E59" s="86"/>
      <c r="F59" s="86"/>
      <c r="G59" s="86"/>
      <c r="H59" s="86"/>
      <c r="I59" s="86"/>
      <c r="J59" s="86"/>
      <c r="K59" s="86"/>
      <c r="L59" s="86"/>
      <c r="M59" s="86"/>
      <c r="N59" s="86"/>
    </row>
    <row r="60" spans="1:14" s="200" customFormat="1" hidden="1">
      <c r="A60" s="497"/>
      <c r="B60" s="199"/>
      <c r="C60" s="83"/>
      <c r="D60" s="86"/>
      <c r="E60" s="86"/>
      <c r="F60" s="86"/>
      <c r="G60" s="86"/>
      <c r="H60" s="86"/>
      <c r="I60" s="86"/>
      <c r="J60" s="86"/>
      <c r="K60" s="86"/>
      <c r="L60" s="86"/>
      <c r="M60" s="86"/>
      <c r="N60" s="86"/>
    </row>
    <row r="61" spans="1:14" s="200" customFormat="1" hidden="1">
      <c r="A61" s="497"/>
      <c r="B61" s="199"/>
      <c r="C61" s="83"/>
      <c r="D61" s="86"/>
      <c r="E61" s="86"/>
      <c r="F61" s="86"/>
      <c r="G61" s="86"/>
      <c r="H61" s="86"/>
      <c r="I61" s="86"/>
      <c r="J61" s="86"/>
      <c r="K61" s="86"/>
      <c r="L61" s="86"/>
      <c r="M61" s="86"/>
      <c r="N61" s="86"/>
    </row>
    <row r="62" spans="1:14" s="200" customFormat="1" hidden="1">
      <c r="A62" s="497"/>
      <c r="B62" s="199"/>
      <c r="C62" s="83"/>
      <c r="D62" s="86"/>
      <c r="E62" s="86"/>
      <c r="F62" s="86"/>
      <c r="G62" s="86"/>
      <c r="H62" s="86"/>
      <c r="I62" s="86"/>
      <c r="J62" s="86"/>
      <c r="K62" s="86"/>
      <c r="L62" s="86"/>
      <c r="M62" s="86"/>
      <c r="N62" s="86"/>
    </row>
    <row r="63" spans="1:14" s="200" customFormat="1" hidden="1">
      <c r="A63" s="497"/>
      <c r="B63" s="199"/>
      <c r="C63" s="83"/>
      <c r="D63" s="86"/>
      <c r="E63" s="86"/>
      <c r="F63" s="86"/>
      <c r="G63" s="86"/>
      <c r="H63" s="86"/>
      <c r="I63" s="86"/>
      <c r="J63" s="86"/>
      <c r="K63" s="86"/>
      <c r="L63" s="86"/>
      <c r="M63" s="86"/>
      <c r="N63" s="86"/>
    </row>
    <row r="64" spans="1:14" s="200" customFormat="1" hidden="1">
      <c r="B64" s="199"/>
      <c r="C64" s="83"/>
      <c r="D64" s="86"/>
      <c r="E64" s="86"/>
      <c r="F64" s="86"/>
      <c r="G64" s="86"/>
      <c r="H64" s="86"/>
      <c r="I64" s="86"/>
      <c r="J64" s="86"/>
      <c r="K64" s="86"/>
      <c r="L64" s="86"/>
      <c r="M64" s="86"/>
      <c r="N64" s="86"/>
    </row>
    <row r="65" spans="2:14" s="200" customFormat="1" hidden="1">
      <c r="B65" s="199"/>
      <c r="C65" s="83"/>
      <c r="D65" s="86"/>
      <c r="E65" s="86"/>
      <c r="F65" s="86"/>
      <c r="G65" s="86"/>
      <c r="H65" s="86"/>
      <c r="I65" s="86"/>
      <c r="J65" s="86"/>
      <c r="K65" s="86"/>
      <c r="L65" s="86"/>
      <c r="M65" s="86"/>
      <c r="N65" s="86"/>
    </row>
    <row r="66" spans="2:14" s="200" customFormat="1" hidden="1">
      <c r="B66" s="199"/>
      <c r="C66" s="83"/>
      <c r="D66" s="86"/>
      <c r="E66" s="86"/>
      <c r="F66" s="86"/>
      <c r="G66" s="86"/>
      <c r="H66" s="86"/>
      <c r="I66" s="86"/>
      <c r="J66" s="86"/>
      <c r="K66" s="86"/>
      <c r="L66" s="86"/>
      <c r="M66" s="86"/>
      <c r="N66" s="86"/>
    </row>
    <row r="67" spans="2:14" s="200" customFormat="1" hidden="1">
      <c r="B67" s="199"/>
      <c r="C67" s="83"/>
      <c r="D67" s="86"/>
      <c r="E67" s="86"/>
      <c r="F67" s="86"/>
      <c r="G67" s="86"/>
      <c r="H67" s="86"/>
      <c r="I67" s="86"/>
      <c r="J67" s="86"/>
      <c r="K67" s="86"/>
      <c r="L67" s="86"/>
      <c r="M67" s="86"/>
      <c r="N67" s="86"/>
    </row>
    <row r="68" spans="2:14" s="200" customFormat="1" hidden="1">
      <c r="B68" s="199"/>
      <c r="C68" s="83"/>
      <c r="D68" s="86"/>
      <c r="E68" s="86"/>
      <c r="F68" s="86"/>
      <c r="G68" s="86"/>
      <c r="H68" s="86"/>
      <c r="I68" s="86"/>
      <c r="J68" s="86"/>
      <c r="K68" s="86"/>
      <c r="L68" s="86"/>
      <c r="M68" s="86"/>
      <c r="N68" s="86"/>
    </row>
    <row r="69" spans="2:14" s="200" customFormat="1" hidden="1">
      <c r="B69" s="199"/>
      <c r="C69" s="83"/>
      <c r="D69" s="86"/>
      <c r="E69" s="86"/>
      <c r="F69" s="86"/>
      <c r="G69" s="86"/>
      <c r="H69" s="86"/>
      <c r="I69" s="86"/>
      <c r="J69" s="86"/>
      <c r="K69" s="86"/>
      <c r="L69" s="86"/>
      <c r="M69" s="86"/>
      <c r="N69" s="86"/>
    </row>
    <row r="70" spans="2:14" s="200" customFormat="1" hidden="1">
      <c r="B70" s="199"/>
      <c r="C70" s="83"/>
      <c r="D70" s="86"/>
      <c r="E70" s="86"/>
      <c r="F70" s="86"/>
      <c r="G70" s="86"/>
      <c r="H70" s="86"/>
      <c r="I70" s="86"/>
      <c r="J70" s="86"/>
      <c r="K70" s="86"/>
      <c r="L70" s="86"/>
      <c r="M70" s="86"/>
      <c r="N70" s="86"/>
    </row>
    <row r="71" spans="2:14" s="200" customFormat="1" hidden="1">
      <c r="B71" s="199"/>
      <c r="C71" s="83"/>
      <c r="D71" s="86"/>
      <c r="E71" s="86"/>
      <c r="F71" s="86"/>
      <c r="G71" s="86"/>
      <c r="H71" s="86"/>
      <c r="I71" s="86"/>
      <c r="J71" s="86"/>
      <c r="K71" s="86"/>
      <c r="L71" s="86"/>
      <c r="M71" s="86"/>
      <c r="N71" s="86"/>
    </row>
    <row r="72" spans="2:14" s="200" customFormat="1" hidden="1">
      <c r="B72" s="199"/>
      <c r="C72" s="83"/>
      <c r="D72" s="86"/>
      <c r="E72" s="86"/>
      <c r="F72" s="86"/>
      <c r="G72" s="86"/>
      <c r="H72" s="86"/>
      <c r="I72" s="86"/>
      <c r="J72" s="86"/>
      <c r="K72" s="86"/>
      <c r="L72" s="86"/>
      <c r="M72" s="86"/>
      <c r="N72" s="86"/>
    </row>
    <row r="73" spans="2:14" s="200" customFormat="1" hidden="1">
      <c r="B73" s="199"/>
      <c r="C73" s="83"/>
      <c r="D73" s="86"/>
      <c r="E73" s="86"/>
      <c r="F73" s="86"/>
      <c r="G73" s="86"/>
      <c r="H73" s="86"/>
      <c r="I73" s="86"/>
      <c r="J73" s="86"/>
      <c r="K73" s="86"/>
      <c r="L73" s="86"/>
      <c r="M73" s="86"/>
      <c r="N73" s="86"/>
    </row>
    <row r="74" spans="2:14" s="200" customFormat="1" hidden="1">
      <c r="B74" s="199"/>
      <c r="C74" s="83"/>
      <c r="D74" s="86"/>
      <c r="E74" s="86"/>
      <c r="F74" s="86"/>
      <c r="G74" s="86"/>
      <c r="H74" s="86"/>
      <c r="I74" s="86"/>
      <c r="J74" s="86"/>
      <c r="K74" s="86"/>
      <c r="L74" s="86"/>
      <c r="M74" s="86"/>
      <c r="N74" s="86"/>
    </row>
    <row r="75" spans="2:14" s="200" customFormat="1" hidden="1">
      <c r="B75" s="199"/>
      <c r="C75" s="83"/>
      <c r="D75" s="86"/>
      <c r="E75" s="86"/>
      <c r="F75" s="86"/>
      <c r="G75" s="86"/>
      <c r="H75" s="86"/>
      <c r="I75" s="86"/>
      <c r="J75" s="86"/>
      <c r="K75" s="86"/>
      <c r="L75" s="86"/>
      <c r="M75" s="86"/>
      <c r="N75" s="86"/>
    </row>
    <row r="76" spans="2:14" s="200" customFormat="1" hidden="1">
      <c r="B76" s="199"/>
      <c r="C76" s="83"/>
      <c r="D76" s="86"/>
      <c r="E76" s="86"/>
      <c r="F76" s="86"/>
      <c r="G76" s="86"/>
      <c r="H76" s="86"/>
      <c r="I76" s="86"/>
      <c r="J76" s="86"/>
      <c r="K76" s="86"/>
      <c r="L76" s="86"/>
      <c r="M76" s="86"/>
      <c r="N76" s="86"/>
    </row>
    <row r="77" spans="2:14" s="200" customFormat="1" hidden="1">
      <c r="B77" s="199"/>
      <c r="C77" s="83"/>
      <c r="D77" s="86"/>
      <c r="E77" s="86"/>
      <c r="F77" s="86"/>
      <c r="G77" s="86"/>
      <c r="H77" s="86"/>
      <c r="I77" s="86"/>
      <c r="J77" s="86"/>
      <c r="K77" s="86"/>
      <c r="L77" s="86"/>
      <c r="M77" s="86"/>
      <c r="N77" s="86"/>
    </row>
    <row r="78" spans="2:14" s="200" customFormat="1" hidden="1">
      <c r="B78" s="199"/>
      <c r="C78" s="83"/>
      <c r="D78" s="86"/>
      <c r="E78" s="86"/>
      <c r="F78" s="86"/>
      <c r="G78" s="86"/>
      <c r="H78" s="86"/>
      <c r="I78" s="86"/>
      <c r="J78" s="86"/>
      <c r="K78" s="86"/>
      <c r="L78" s="86"/>
      <c r="M78" s="86"/>
      <c r="N78" s="86"/>
    </row>
    <row r="79" spans="2:14" s="200" customFormat="1" hidden="1">
      <c r="B79" s="199"/>
      <c r="C79" s="83"/>
      <c r="D79" s="86"/>
      <c r="E79" s="86"/>
      <c r="F79" s="86"/>
      <c r="G79" s="86"/>
      <c r="H79" s="86"/>
      <c r="I79" s="86"/>
      <c r="J79" s="86"/>
      <c r="K79" s="86"/>
      <c r="L79" s="86"/>
      <c r="M79" s="86"/>
      <c r="N79" s="86"/>
    </row>
    <row r="80" spans="2:14" s="200" customFormat="1" hidden="1">
      <c r="B80" s="199"/>
      <c r="C80" s="83"/>
      <c r="D80" s="86"/>
      <c r="E80" s="86"/>
      <c r="F80" s="86"/>
      <c r="G80" s="86"/>
      <c r="H80" s="86"/>
      <c r="I80" s="86"/>
      <c r="J80" s="86"/>
      <c r="K80" s="86"/>
      <c r="L80" s="86"/>
      <c r="M80" s="86"/>
      <c r="N80" s="86"/>
    </row>
    <row r="81" spans="2:14" s="200" customFormat="1" hidden="1">
      <c r="B81" s="199"/>
      <c r="C81" s="83"/>
      <c r="D81" s="86"/>
      <c r="E81" s="86"/>
      <c r="F81" s="86"/>
      <c r="G81" s="86"/>
      <c r="H81" s="86"/>
      <c r="I81" s="86"/>
      <c r="J81" s="86"/>
      <c r="K81" s="86"/>
      <c r="L81" s="86"/>
      <c r="M81" s="86"/>
      <c r="N81" s="86"/>
    </row>
    <row r="82" spans="2:14" s="200" customFormat="1" hidden="1">
      <c r="B82" s="199"/>
      <c r="C82" s="83"/>
      <c r="D82" s="86"/>
      <c r="E82" s="86"/>
      <c r="F82" s="86"/>
      <c r="G82" s="86"/>
      <c r="H82" s="86"/>
      <c r="I82" s="86"/>
      <c r="J82" s="86"/>
      <c r="K82" s="86"/>
      <c r="L82" s="86"/>
      <c r="M82" s="86"/>
      <c r="N82" s="86"/>
    </row>
    <row r="83" spans="2:14" s="200" customFormat="1" hidden="1">
      <c r="B83" s="199"/>
      <c r="C83" s="83"/>
      <c r="D83" s="86"/>
      <c r="E83" s="86"/>
      <c r="F83" s="86"/>
      <c r="G83" s="86"/>
      <c r="H83" s="86"/>
      <c r="I83" s="86"/>
      <c r="J83" s="86"/>
      <c r="K83" s="86"/>
      <c r="L83" s="86"/>
      <c r="M83" s="86"/>
      <c r="N83" s="86"/>
    </row>
    <row r="84" spans="2:14" s="200" customFormat="1" hidden="1">
      <c r="B84" s="199"/>
      <c r="C84" s="83"/>
      <c r="D84" s="86"/>
      <c r="E84" s="86"/>
      <c r="F84" s="86"/>
      <c r="G84" s="86"/>
      <c r="H84" s="86"/>
      <c r="I84" s="86"/>
      <c r="J84" s="86"/>
      <c r="K84" s="86"/>
      <c r="L84" s="86"/>
      <c r="M84" s="86"/>
      <c r="N84" s="86"/>
    </row>
    <row r="85" spans="2:14" s="200" customFormat="1" hidden="1">
      <c r="B85" s="199"/>
      <c r="C85" s="83"/>
      <c r="D85" s="86"/>
      <c r="E85" s="86"/>
      <c r="F85" s="86"/>
      <c r="G85" s="86"/>
      <c r="H85" s="86"/>
      <c r="I85" s="86"/>
      <c r="J85" s="86"/>
      <c r="K85" s="86"/>
      <c r="L85" s="86"/>
      <c r="M85" s="86"/>
      <c r="N85" s="86"/>
    </row>
    <row r="86" spans="2:14" s="200" customFormat="1" hidden="1">
      <c r="B86" s="199"/>
      <c r="C86" s="83"/>
      <c r="D86" s="86"/>
      <c r="E86" s="86"/>
      <c r="F86" s="86"/>
      <c r="G86" s="86"/>
      <c r="H86" s="86"/>
      <c r="I86" s="86"/>
      <c r="J86" s="86"/>
      <c r="K86" s="86"/>
      <c r="L86" s="86"/>
      <c r="M86" s="86"/>
      <c r="N86" s="86"/>
    </row>
    <row r="87" spans="2:14" s="200" customFormat="1" hidden="1">
      <c r="B87" s="199"/>
      <c r="C87" s="83"/>
      <c r="D87" s="86"/>
      <c r="E87" s="86"/>
      <c r="F87" s="86"/>
      <c r="G87" s="86"/>
      <c r="H87" s="86"/>
      <c r="I87" s="86"/>
      <c r="J87" s="86"/>
      <c r="K87" s="86"/>
      <c r="L87" s="86"/>
      <c r="M87" s="86"/>
      <c r="N87" s="86"/>
    </row>
    <row r="88" spans="2:14" s="200" customFormat="1" hidden="1">
      <c r="B88" s="199"/>
      <c r="C88" s="83"/>
      <c r="D88" s="86"/>
      <c r="E88" s="86"/>
      <c r="F88" s="86"/>
      <c r="G88" s="86"/>
      <c r="H88" s="86"/>
      <c r="I88" s="86"/>
      <c r="J88" s="86"/>
      <c r="K88" s="86"/>
      <c r="L88" s="86"/>
      <c r="M88" s="86"/>
      <c r="N88" s="86"/>
    </row>
    <row r="89" spans="2:14" s="200" customFormat="1" hidden="1">
      <c r="B89" s="199"/>
      <c r="C89" s="83"/>
      <c r="D89" s="86"/>
      <c r="E89" s="86"/>
      <c r="F89" s="86"/>
      <c r="G89" s="86"/>
      <c r="H89" s="86"/>
      <c r="I89" s="86"/>
      <c r="J89" s="86"/>
      <c r="K89" s="86"/>
      <c r="L89" s="86"/>
      <c r="M89" s="86"/>
      <c r="N89" s="86"/>
    </row>
    <row r="90" spans="2:14" s="200" customFormat="1" hidden="1">
      <c r="B90" s="199"/>
      <c r="C90" s="83"/>
      <c r="D90" s="86"/>
      <c r="E90" s="86"/>
      <c r="F90" s="86"/>
      <c r="G90" s="86"/>
      <c r="H90" s="86"/>
      <c r="I90" s="86"/>
      <c r="J90" s="86"/>
      <c r="K90" s="86"/>
      <c r="L90" s="86"/>
      <c r="M90" s="86"/>
      <c r="N90" s="86"/>
    </row>
    <row r="91" spans="2:14" s="200" customFormat="1" hidden="1">
      <c r="B91" s="199"/>
      <c r="C91" s="83"/>
      <c r="D91" s="86"/>
      <c r="E91" s="86"/>
      <c r="F91" s="86"/>
      <c r="G91" s="86"/>
      <c r="H91" s="86"/>
      <c r="I91" s="86"/>
      <c r="J91" s="86"/>
      <c r="K91" s="86"/>
      <c r="L91" s="86"/>
      <c r="M91" s="86"/>
      <c r="N91" s="86"/>
    </row>
    <row r="92" spans="2:14" s="200" customFormat="1" hidden="1">
      <c r="B92" s="199"/>
      <c r="C92" s="83"/>
      <c r="D92" s="86"/>
      <c r="E92" s="86"/>
      <c r="F92" s="86"/>
      <c r="G92" s="86"/>
      <c r="H92" s="86"/>
      <c r="I92" s="86"/>
      <c r="J92" s="86"/>
      <c r="K92" s="86"/>
      <c r="L92" s="86"/>
      <c r="M92" s="86"/>
      <c r="N92" s="86"/>
    </row>
    <row r="93" spans="2:14" s="200" customFormat="1" hidden="1">
      <c r="B93" s="199"/>
      <c r="C93" s="83"/>
      <c r="D93" s="86"/>
      <c r="E93" s="86"/>
      <c r="F93" s="86"/>
      <c r="G93" s="86"/>
      <c r="H93" s="86"/>
      <c r="I93" s="86"/>
      <c r="J93" s="86"/>
      <c r="K93" s="86"/>
      <c r="L93" s="86"/>
      <c r="M93" s="86"/>
      <c r="N93" s="86"/>
    </row>
    <row r="94" spans="2:14" s="200" customFormat="1" hidden="1">
      <c r="B94" s="199"/>
      <c r="C94" s="83"/>
      <c r="D94" s="86"/>
      <c r="E94" s="86"/>
      <c r="F94" s="86"/>
      <c r="G94" s="86"/>
      <c r="H94" s="86"/>
      <c r="I94" s="86"/>
      <c r="J94" s="86"/>
      <c r="K94" s="86"/>
      <c r="L94" s="86"/>
      <c r="M94" s="86"/>
      <c r="N94" s="86"/>
    </row>
    <row r="95" spans="2:14" s="200" customFormat="1" hidden="1">
      <c r="B95" s="199"/>
      <c r="C95" s="83"/>
      <c r="D95" s="86"/>
      <c r="E95" s="86"/>
      <c r="F95" s="86"/>
      <c r="G95" s="86"/>
      <c r="H95" s="86"/>
      <c r="I95" s="86"/>
      <c r="J95" s="86"/>
      <c r="K95" s="86"/>
      <c r="L95" s="86"/>
      <c r="M95" s="86"/>
      <c r="N95" s="86"/>
    </row>
    <row r="96" spans="2:14" s="200" customFormat="1" hidden="1">
      <c r="B96" s="199"/>
      <c r="C96" s="83"/>
      <c r="D96" s="86"/>
      <c r="E96" s="86"/>
      <c r="F96" s="86"/>
      <c r="G96" s="86"/>
      <c r="H96" s="86"/>
      <c r="I96" s="86"/>
      <c r="J96" s="86"/>
      <c r="K96" s="86"/>
      <c r="L96" s="86"/>
      <c r="M96" s="86"/>
      <c r="N96" s="86"/>
    </row>
    <row r="97" spans="2:14" s="200" customFormat="1" hidden="1">
      <c r="B97" s="199"/>
      <c r="C97" s="83"/>
      <c r="D97" s="86"/>
      <c r="E97" s="86"/>
      <c r="F97" s="86"/>
      <c r="G97" s="86"/>
      <c r="H97" s="86"/>
      <c r="I97" s="86"/>
      <c r="J97" s="86"/>
      <c r="K97" s="86"/>
      <c r="L97" s="86"/>
      <c r="M97" s="86"/>
      <c r="N97" s="86"/>
    </row>
    <row r="98" spans="2:14" s="200" customFormat="1" hidden="1">
      <c r="B98" s="199"/>
      <c r="C98" s="83"/>
      <c r="D98" s="86"/>
      <c r="E98" s="86"/>
      <c r="F98" s="86"/>
      <c r="G98" s="86"/>
      <c r="H98" s="86"/>
      <c r="I98" s="86"/>
      <c r="J98" s="86"/>
      <c r="K98" s="86"/>
      <c r="L98" s="86"/>
      <c r="M98" s="86"/>
      <c r="N98" s="86"/>
    </row>
    <row r="99" spans="2:14" s="200" customFormat="1" hidden="1">
      <c r="B99" s="199"/>
      <c r="C99" s="83"/>
      <c r="D99" s="86"/>
      <c r="E99" s="86"/>
      <c r="F99" s="86"/>
      <c r="G99" s="86"/>
      <c r="H99" s="86"/>
      <c r="I99" s="86"/>
      <c r="J99" s="86"/>
      <c r="K99" s="86"/>
      <c r="L99" s="86"/>
      <c r="M99" s="86"/>
      <c r="N99" s="86"/>
    </row>
    <row r="100" spans="2:14" s="200" customFormat="1" hidden="1">
      <c r="B100" s="199"/>
      <c r="C100" s="83"/>
      <c r="D100" s="86"/>
      <c r="E100" s="86"/>
      <c r="F100" s="86"/>
      <c r="G100" s="86"/>
      <c r="H100" s="86"/>
      <c r="I100" s="86"/>
      <c r="J100" s="86"/>
      <c r="K100" s="86"/>
      <c r="L100" s="86"/>
      <c r="M100" s="86"/>
      <c r="N100" s="86"/>
    </row>
    <row r="101" spans="2:14" s="200" customFormat="1" hidden="1">
      <c r="B101" s="199"/>
      <c r="C101" s="83"/>
      <c r="D101" s="86"/>
      <c r="E101" s="86"/>
      <c r="F101" s="86"/>
      <c r="G101" s="86"/>
      <c r="H101" s="86"/>
      <c r="I101" s="86"/>
      <c r="J101" s="86"/>
      <c r="K101" s="86"/>
      <c r="L101" s="86"/>
      <c r="M101" s="86"/>
      <c r="N101" s="86"/>
    </row>
    <row r="102" spans="2:14" s="200" customFormat="1" hidden="1">
      <c r="B102" s="199"/>
      <c r="C102" s="83"/>
      <c r="D102" s="86"/>
      <c r="E102" s="86"/>
      <c r="F102" s="86"/>
      <c r="G102" s="86"/>
      <c r="H102" s="86"/>
      <c r="I102" s="86"/>
      <c r="J102" s="86"/>
      <c r="K102" s="86"/>
      <c r="L102" s="86"/>
      <c r="M102" s="86"/>
      <c r="N102" s="86"/>
    </row>
    <row r="103" spans="2:14" s="200" customFormat="1" hidden="1">
      <c r="B103" s="199"/>
      <c r="C103" s="83"/>
      <c r="D103" s="86"/>
      <c r="E103" s="86"/>
      <c r="F103" s="86"/>
      <c r="G103" s="86"/>
      <c r="H103" s="86"/>
      <c r="I103" s="86"/>
      <c r="J103" s="86"/>
      <c r="K103" s="86"/>
      <c r="L103" s="86"/>
      <c r="M103" s="86"/>
      <c r="N103" s="86"/>
    </row>
    <row r="104" spans="2:14" s="200" customFormat="1" hidden="1">
      <c r="B104" s="199"/>
      <c r="C104" s="83"/>
      <c r="D104" s="86"/>
      <c r="E104" s="86"/>
      <c r="F104" s="86"/>
      <c r="G104" s="86"/>
      <c r="H104" s="86"/>
      <c r="I104" s="86"/>
      <c r="J104" s="86"/>
      <c r="K104" s="86"/>
      <c r="L104" s="86"/>
      <c r="M104" s="86"/>
      <c r="N104" s="86"/>
    </row>
    <row r="105" spans="2:14" s="200" customFormat="1" hidden="1">
      <c r="B105" s="199"/>
      <c r="C105" s="83"/>
      <c r="D105" s="86"/>
      <c r="E105" s="86"/>
      <c r="F105" s="86"/>
      <c r="G105" s="86"/>
      <c r="H105" s="86"/>
      <c r="I105" s="86"/>
      <c r="J105" s="86"/>
      <c r="K105" s="86"/>
      <c r="L105" s="86"/>
      <c r="M105" s="86"/>
      <c r="N105" s="86"/>
    </row>
    <row r="106" spans="2:14" s="200" customFormat="1" ht="2.25" hidden="1" customHeight="1">
      <c r="B106" s="199"/>
      <c r="C106" s="83"/>
      <c r="D106" s="86"/>
      <c r="E106" s="86"/>
      <c r="F106" s="86"/>
      <c r="G106" s="86"/>
      <c r="H106" s="86"/>
      <c r="I106" s="86"/>
      <c r="J106" s="86"/>
      <c r="K106" s="86"/>
      <c r="L106" s="86"/>
      <c r="M106" s="86"/>
      <c r="N106" s="86"/>
    </row>
    <row r="107" spans="2:14" s="200" customFormat="1" hidden="1">
      <c r="B107" s="199"/>
      <c r="C107" s="83"/>
      <c r="D107" s="86"/>
      <c r="E107" s="86"/>
      <c r="F107" s="86"/>
      <c r="G107" s="86"/>
      <c r="H107" s="86"/>
      <c r="I107" s="86"/>
      <c r="J107" s="86"/>
      <c r="K107" s="86"/>
      <c r="L107" s="86"/>
      <c r="M107" s="86"/>
      <c r="N107" s="86"/>
    </row>
    <row r="108" spans="2:14" s="200" customFormat="1" hidden="1">
      <c r="B108" s="199"/>
      <c r="C108" s="83"/>
      <c r="D108" s="86"/>
      <c r="E108" s="86"/>
      <c r="F108" s="86"/>
      <c r="G108" s="86"/>
      <c r="H108" s="86"/>
      <c r="I108" s="86"/>
      <c r="J108" s="86"/>
      <c r="K108" s="86"/>
      <c r="L108" s="86"/>
      <c r="M108" s="86"/>
      <c r="N108" s="86"/>
    </row>
    <row r="109" spans="2:14" s="200" customFormat="1" hidden="1">
      <c r="B109" s="199"/>
      <c r="C109" s="83"/>
      <c r="D109" s="86"/>
      <c r="E109" s="86"/>
      <c r="F109" s="86"/>
      <c r="G109" s="86"/>
      <c r="H109" s="86"/>
      <c r="I109" s="86"/>
      <c r="J109" s="86"/>
      <c r="K109" s="86"/>
      <c r="L109" s="86"/>
      <c r="M109" s="86"/>
      <c r="N109" s="86"/>
    </row>
    <row r="110" spans="2:14" s="200" customFormat="1" hidden="1">
      <c r="B110" s="199"/>
      <c r="C110" s="83"/>
      <c r="D110" s="86"/>
      <c r="E110" s="86"/>
      <c r="F110" s="86"/>
      <c r="G110" s="86"/>
      <c r="H110" s="86"/>
      <c r="I110" s="86"/>
      <c r="J110" s="86"/>
      <c r="K110" s="86"/>
      <c r="L110" s="86"/>
      <c r="M110" s="86"/>
      <c r="N110" s="86"/>
    </row>
    <row r="111" spans="2:14" s="200" customFormat="1" hidden="1">
      <c r="B111" s="199"/>
      <c r="C111" s="83"/>
      <c r="D111" s="86"/>
      <c r="E111" s="86"/>
      <c r="F111" s="86"/>
      <c r="G111" s="86"/>
      <c r="H111" s="86"/>
      <c r="I111" s="86"/>
      <c r="J111" s="86"/>
      <c r="K111" s="86"/>
      <c r="L111" s="86"/>
      <c r="M111" s="86"/>
      <c r="N111" s="86"/>
    </row>
    <row r="112" spans="2:14" s="200" customFormat="1" hidden="1">
      <c r="B112" s="199"/>
      <c r="C112" s="83"/>
      <c r="D112" s="86"/>
      <c r="E112" s="86"/>
      <c r="F112" s="86"/>
      <c r="G112" s="86"/>
      <c r="H112" s="86"/>
      <c r="I112" s="86"/>
      <c r="J112" s="86"/>
      <c r="K112" s="86"/>
      <c r="L112" s="86"/>
      <c r="M112" s="86"/>
      <c r="N112" s="86"/>
    </row>
    <row r="113" spans="2:14" s="200" customFormat="1" hidden="1">
      <c r="B113" s="199"/>
      <c r="C113" s="83"/>
      <c r="D113" s="86"/>
      <c r="E113" s="86"/>
      <c r="F113" s="86"/>
      <c r="G113" s="86"/>
      <c r="H113" s="86"/>
      <c r="I113" s="86"/>
      <c r="J113" s="86"/>
      <c r="K113" s="86"/>
      <c r="L113" s="86"/>
      <c r="M113" s="86"/>
      <c r="N113" s="86"/>
    </row>
    <row r="114" spans="2:14" s="200" customFormat="1" hidden="1">
      <c r="B114" s="199"/>
      <c r="C114" s="83"/>
      <c r="D114" s="86"/>
      <c r="E114" s="86"/>
      <c r="F114" s="86"/>
      <c r="G114" s="86"/>
      <c r="H114" s="86"/>
      <c r="I114" s="86"/>
      <c r="J114" s="86"/>
      <c r="K114" s="86"/>
      <c r="L114" s="86"/>
      <c r="M114" s="86"/>
      <c r="N114" s="86"/>
    </row>
    <row r="115" spans="2:14" s="200" customFormat="1" hidden="1">
      <c r="B115" s="199"/>
      <c r="C115" s="83"/>
      <c r="D115" s="86"/>
      <c r="E115" s="86"/>
      <c r="F115" s="86"/>
      <c r="G115" s="86"/>
      <c r="H115" s="86"/>
      <c r="I115" s="86"/>
      <c r="J115" s="86"/>
      <c r="K115" s="86"/>
      <c r="L115" s="86"/>
      <c r="M115" s="86"/>
      <c r="N115" s="86"/>
    </row>
    <row r="116" spans="2:14" s="200" customFormat="1" hidden="1">
      <c r="B116" s="199"/>
      <c r="C116" s="83"/>
      <c r="D116" s="86"/>
      <c r="E116" s="86"/>
      <c r="F116" s="86"/>
      <c r="G116" s="86"/>
      <c r="H116" s="86"/>
      <c r="I116" s="86"/>
      <c r="J116" s="86"/>
      <c r="K116" s="86"/>
      <c r="L116" s="86"/>
      <c r="M116" s="86"/>
      <c r="N116" s="86"/>
    </row>
    <row r="117" spans="2:14" s="200" customFormat="1" hidden="1">
      <c r="B117" s="199"/>
      <c r="C117" s="83"/>
      <c r="D117" s="86"/>
      <c r="E117" s="86"/>
      <c r="F117" s="86"/>
      <c r="G117" s="86"/>
      <c r="H117" s="86"/>
      <c r="I117" s="86"/>
      <c r="J117" s="86"/>
      <c r="K117" s="86"/>
      <c r="L117" s="86"/>
      <c r="M117" s="86"/>
      <c r="N117" s="86"/>
    </row>
    <row r="118" spans="2:14" s="200" customFormat="1" hidden="1">
      <c r="B118" s="199"/>
      <c r="C118" s="83"/>
      <c r="D118" s="86"/>
      <c r="E118" s="86"/>
      <c r="F118" s="86"/>
      <c r="G118" s="86"/>
      <c r="H118" s="86"/>
      <c r="I118" s="86"/>
      <c r="J118" s="86"/>
      <c r="K118" s="86"/>
      <c r="L118" s="86"/>
      <c r="M118" s="86"/>
      <c r="N118" s="86"/>
    </row>
    <row r="119" spans="2:14" s="200" customFormat="1" hidden="1">
      <c r="B119" s="199"/>
      <c r="C119" s="83"/>
      <c r="D119" s="86"/>
      <c r="E119" s="86"/>
      <c r="F119" s="86"/>
      <c r="G119" s="86"/>
      <c r="H119" s="86"/>
      <c r="I119" s="86"/>
      <c r="J119" s="86"/>
      <c r="K119" s="86"/>
      <c r="L119" s="86"/>
      <c r="M119" s="86"/>
      <c r="N119" s="86"/>
    </row>
    <row r="120" spans="2:14" s="200" customFormat="1" ht="3" hidden="1" customHeight="1">
      <c r="B120" s="199"/>
      <c r="C120" s="83"/>
      <c r="D120" s="86"/>
      <c r="E120" s="86"/>
      <c r="F120" s="86"/>
      <c r="G120" s="86"/>
      <c r="H120" s="86"/>
      <c r="I120" s="86"/>
      <c r="J120" s="86"/>
      <c r="K120" s="86"/>
      <c r="L120" s="86"/>
      <c r="M120" s="86"/>
      <c r="N120" s="86"/>
    </row>
    <row r="121" spans="2:14" s="200" customFormat="1" hidden="1">
      <c r="B121" s="199"/>
      <c r="C121" s="83"/>
      <c r="D121" s="86"/>
      <c r="E121" s="86"/>
      <c r="F121" s="86"/>
      <c r="G121" s="86"/>
      <c r="H121" s="86"/>
      <c r="I121" s="86"/>
      <c r="J121" s="86"/>
      <c r="K121" s="86"/>
      <c r="L121" s="86"/>
      <c r="M121" s="86"/>
      <c r="N121" s="86"/>
    </row>
    <row r="122" spans="2:14" s="200" customFormat="1" hidden="1">
      <c r="B122" s="199"/>
      <c r="C122" s="83"/>
      <c r="D122" s="86"/>
      <c r="E122" s="86"/>
      <c r="F122" s="86"/>
      <c r="G122" s="86"/>
      <c r="H122" s="86"/>
      <c r="I122" s="86"/>
      <c r="J122" s="86"/>
      <c r="K122" s="86"/>
      <c r="L122" s="86"/>
      <c r="M122" s="86"/>
      <c r="N122" s="86"/>
    </row>
    <row r="123" spans="2:14" s="200" customFormat="1" hidden="1">
      <c r="B123" s="199"/>
      <c r="C123" s="83"/>
      <c r="D123" s="86"/>
      <c r="E123" s="86"/>
      <c r="F123" s="86"/>
      <c r="G123" s="86"/>
      <c r="H123" s="86"/>
      <c r="I123" s="86"/>
      <c r="J123" s="86"/>
      <c r="K123" s="86"/>
      <c r="L123" s="86"/>
      <c r="M123" s="86"/>
      <c r="N123" s="86"/>
    </row>
    <row r="124" spans="2:14" s="200" customFormat="1" hidden="1">
      <c r="B124" s="199"/>
      <c r="C124" s="83"/>
      <c r="D124" s="86"/>
      <c r="E124" s="86"/>
      <c r="F124" s="86"/>
      <c r="G124" s="86"/>
      <c r="H124" s="86"/>
      <c r="I124" s="86"/>
      <c r="J124" s="86"/>
      <c r="K124" s="86"/>
      <c r="L124" s="86"/>
      <c r="M124" s="86"/>
      <c r="N124" s="86"/>
    </row>
    <row r="125" spans="2:14" s="200" customFormat="1" hidden="1">
      <c r="B125" s="199"/>
      <c r="C125" s="83"/>
      <c r="D125" s="86"/>
      <c r="E125" s="86"/>
      <c r="F125" s="86"/>
      <c r="G125" s="86"/>
      <c r="H125" s="86"/>
      <c r="I125" s="86"/>
      <c r="J125" s="86"/>
      <c r="K125" s="86"/>
      <c r="L125" s="86"/>
      <c r="M125" s="86"/>
      <c r="N125" s="86"/>
    </row>
    <row r="126" spans="2:14" s="200" customFormat="1" hidden="1">
      <c r="B126" s="199"/>
      <c r="C126" s="83"/>
      <c r="D126" s="86"/>
      <c r="E126" s="86"/>
      <c r="F126" s="86"/>
      <c r="G126" s="86"/>
      <c r="H126" s="86"/>
      <c r="I126" s="86"/>
      <c r="J126" s="86"/>
      <c r="K126" s="86"/>
      <c r="L126" s="86"/>
      <c r="M126" s="86"/>
      <c r="N126" s="86"/>
    </row>
    <row r="127" spans="2:14" s="200" customFormat="1" hidden="1">
      <c r="B127" s="199"/>
      <c r="C127" s="83"/>
      <c r="D127" s="86"/>
      <c r="E127" s="86"/>
      <c r="F127" s="86"/>
      <c r="G127" s="86"/>
      <c r="H127" s="86"/>
      <c r="I127" s="86"/>
      <c r="J127" s="86"/>
      <c r="K127" s="86"/>
      <c r="L127" s="86"/>
      <c r="M127" s="86"/>
      <c r="N127" s="86"/>
    </row>
    <row r="128" spans="2:14" s="200" customFormat="1" hidden="1">
      <c r="B128" s="199"/>
      <c r="C128" s="83"/>
      <c r="D128" s="86"/>
      <c r="E128" s="86"/>
      <c r="F128" s="86"/>
      <c r="G128" s="86"/>
      <c r="H128" s="86"/>
      <c r="I128" s="86"/>
      <c r="J128" s="86"/>
      <c r="K128" s="86"/>
      <c r="L128" s="86"/>
      <c r="M128" s="86"/>
      <c r="N128" s="86"/>
    </row>
    <row r="129" spans="2:16" s="200" customFormat="1" hidden="1">
      <c r="B129" s="199"/>
      <c r="C129" s="83"/>
      <c r="D129" s="86"/>
      <c r="E129" s="86"/>
      <c r="F129" s="86"/>
      <c r="G129" s="86"/>
      <c r="H129" s="86"/>
      <c r="I129" s="86"/>
      <c r="J129" s="86"/>
      <c r="K129" s="86"/>
      <c r="L129" s="86"/>
      <c r="M129" s="86"/>
      <c r="N129" s="86"/>
    </row>
    <row r="130" spans="2:16" s="200" customFormat="1" ht="3" hidden="1" customHeight="1">
      <c r="B130" s="199"/>
      <c r="C130" s="83"/>
      <c r="D130" s="86"/>
      <c r="E130" s="86"/>
      <c r="F130" s="86"/>
      <c r="G130" s="86"/>
      <c r="H130" s="86"/>
      <c r="I130" s="86"/>
      <c r="J130" s="86"/>
      <c r="K130" s="86"/>
      <c r="L130" s="86"/>
      <c r="M130" s="86"/>
      <c r="N130" s="86"/>
    </row>
    <row r="131" spans="2:16" s="200" customFormat="1" hidden="1">
      <c r="B131" s="199"/>
      <c r="C131" s="83"/>
      <c r="D131" s="86"/>
      <c r="E131" s="86"/>
      <c r="F131" s="86"/>
      <c r="G131" s="86"/>
      <c r="H131" s="86"/>
      <c r="I131" s="86"/>
      <c r="J131" s="86"/>
      <c r="K131" s="86"/>
      <c r="L131" s="86"/>
      <c r="M131" s="86"/>
      <c r="N131" s="86"/>
    </row>
    <row r="132" spans="2:16" s="200" customFormat="1" hidden="1">
      <c r="B132" s="199"/>
      <c r="C132" s="83"/>
      <c r="D132" s="86"/>
      <c r="E132" s="86"/>
      <c r="F132" s="86"/>
      <c r="G132" s="86"/>
      <c r="H132" s="86"/>
      <c r="I132" s="86"/>
      <c r="J132" s="86"/>
      <c r="K132" s="86"/>
      <c r="L132" s="86"/>
      <c r="M132" s="86"/>
      <c r="N132" s="86"/>
    </row>
    <row r="133" spans="2:16" s="200" customFormat="1" hidden="1">
      <c r="B133" s="199"/>
      <c r="C133" s="83"/>
      <c r="D133" s="86"/>
      <c r="E133" s="86"/>
      <c r="F133" s="86"/>
      <c r="G133" s="86"/>
      <c r="H133" s="86"/>
      <c r="I133" s="86"/>
      <c r="J133" s="86"/>
      <c r="K133" s="86"/>
      <c r="L133" s="86"/>
      <c r="M133" s="86"/>
      <c r="N133" s="86"/>
      <c r="O133" s="499"/>
    </row>
    <row r="134" spans="2:16" hidden="1">
      <c r="E134" s="500"/>
      <c r="K134" s="500"/>
      <c r="P134" s="501"/>
    </row>
    <row r="135" spans="2:16" hidden="1">
      <c r="M135" s="502"/>
      <c r="N135" s="502"/>
    </row>
    <row r="136" spans="2:16" hidden="1">
      <c r="C136" s="3"/>
      <c r="K136" s="197"/>
    </row>
    <row r="137" spans="2:16" hidden="1">
      <c r="K137" s="197"/>
    </row>
    <row r="138" spans="2:16" hidden="1">
      <c r="K138" s="197"/>
    </row>
    <row r="139" spans="2:16" hidden="1">
      <c r="K139" s="197"/>
    </row>
    <row r="140" spans="2:16" hidden="1">
      <c r="K140" s="197"/>
    </row>
    <row r="141" spans="2:16" hidden="1">
      <c r="K141" s="197"/>
    </row>
    <row r="142" spans="2:16" hidden="1">
      <c r="K142" s="197"/>
    </row>
    <row r="143" spans="2:16" hidden="1">
      <c r="K143" s="197"/>
    </row>
    <row r="144" spans="2:16" hidden="1">
      <c r="K144" s="197"/>
    </row>
    <row r="145" spans="11:11" hidden="1">
      <c r="K145" s="197"/>
    </row>
    <row r="146" spans="11:11" hidden="1">
      <c r="K146" s="197"/>
    </row>
    <row r="147" spans="11:11" hidden="1">
      <c r="K147" s="197"/>
    </row>
    <row r="148" spans="11:11" hidden="1">
      <c r="K148" s="197"/>
    </row>
    <row r="149" spans="11:11" hidden="1">
      <c r="K149" s="197"/>
    </row>
    <row r="150" spans="11:11" hidden="1">
      <c r="K150" s="197"/>
    </row>
    <row r="151" spans="11:11" hidden="1">
      <c r="K151" s="197"/>
    </row>
    <row r="152" spans="11:11" hidden="1">
      <c r="K152" s="197"/>
    </row>
    <row r="153" spans="11:11" hidden="1">
      <c r="K153" s="197"/>
    </row>
    <row r="154" spans="11:11" hidden="1">
      <c r="K154" s="197"/>
    </row>
    <row r="155" spans="11:11" hidden="1">
      <c r="K155" s="197"/>
    </row>
    <row r="156" spans="11:11" hidden="1">
      <c r="K156" s="197"/>
    </row>
    <row r="157" spans="11:11" hidden="1">
      <c r="K157" s="197"/>
    </row>
    <row r="158" spans="11:11" hidden="1"/>
    <row r="159" spans="11:11" hidden="1"/>
    <row r="160" spans="11:11"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spans="28:28" hidden="1"/>
    <row r="274" spans="28:28" hidden="1"/>
    <row r="275" spans="28:28" hidden="1"/>
    <row r="276" spans="28:28" hidden="1"/>
    <row r="277" spans="28:28" hidden="1"/>
    <row r="278" spans="28:28" hidden="1"/>
    <row r="279" spans="28:28" hidden="1"/>
    <row r="280" spans="28:28" hidden="1"/>
    <row r="281" spans="28:28" hidden="1"/>
    <row r="282" spans="28:28" hidden="1"/>
    <row r="283" spans="28:28" hidden="1"/>
    <row r="284" spans="28:28" hidden="1">
      <c r="AB284" s="196" t="s">
        <v>194</v>
      </c>
    </row>
    <row r="285" spans="28:28" hidden="1"/>
    <row r="286" spans="28:28" hidden="1"/>
    <row r="287" spans="28:28" hidden="1"/>
    <row r="288" spans="28:28" hidden="1"/>
    <row r="289" hidden="1"/>
    <row r="290" hidden="1"/>
    <row r="291"/>
  </sheetData>
  <mergeCells count="6">
    <mergeCell ref="H8:I8"/>
    <mergeCell ref="C3:I3"/>
    <mergeCell ref="C2:I2"/>
    <mergeCell ref="C1:I1"/>
    <mergeCell ref="C4:I4"/>
    <mergeCell ref="H7:I7"/>
  </mergeCells>
  <phoneticPr fontId="8" type="noConversion"/>
  <pageMargins left="0.5" right="0.5" top="0.5" bottom="0.5" header="0.25" footer="0.5"/>
  <pageSetup scale="87" orientation="portrait" r:id="rId1"/>
  <headerFooter alignWithMargins="0">
    <oddFooter>&amp;L&amp;"Times New Roman,Bold Italic"Black &amp; Veatch Corporation&amp;C&amp;"Times New Roman,Bold Italic"Date: &amp;D&amp;R&amp;"Times New Roman,Bold Italic"Page: &amp;P of &amp;N</oddFooter>
  </headerFooter>
  <rowBreaks count="1" manualBreakCount="1">
    <brk id="133" min="1" max="1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AN239"/>
  <sheetViews>
    <sheetView showGridLines="0" zoomScale="70" zoomScaleNormal="70" workbookViewId="0">
      <pane xSplit="4" ySplit="9" topLeftCell="Y10" activePane="bottomRight" state="frozen"/>
      <selection activeCell="D11" sqref="D11"/>
      <selection pane="topRight" activeCell="D11" sqref="D11"/>
      <selection pane="bottomLeft" activeCell="D11" sqref="D11"/>
      <selection pane="bottomRight" activeCell="AG23" sqref="AG23"/>
    </sheetView>
  </sheetViews>
  <sheetFormatPr defaultColWidth="0" defaultRowHeight="15.75" zeroHeight="1"/>
  <cols>
    <col min="1" max="1" width="22.625" customWidth="1"/>
    <col min="2" max="2" width="1.125" customWidth="1"/>
    <col min="3" max="3" width="5.25" customWidth="1"/>
    <col min="4" max="4" width="24.25" customWidth="1"/>
    <col min="5" max="5" width="15.125" style="1" bestFit="1" customWidth="1"/>
    <col min="6" max="6" width="11.5" customWidth="1"/>
    <col min="7" max="7" width="15.125" bestFit="1" customWidth="1"/>
    <col min="8" max="8" width="14" customWidth="1"/>
    <col min="9" max="9" width="9.625" bestFit="1" customWidth="1"/>
    <col min="10" max="10" width="7.75" bestFit="1" customWidth="1"/>
    <col min="11" max="11" width="11.25" bestFit="1" customWidth="1"/>
    <col min="12" max="12" width="8.875" bestFit="1" customWidth="1"/>
    <col min="13" max="14" width="11.25" bestFit="1" customWidth="1"/>
    <col min="15" max="15" width="8.875" bestFit="1" customWidth="1"/>
    <col min="16" max="16" width="9.625" bestFit="1" customWidth="1"/>
    <col min="17" max="17" width="8.875" bestFit="1" customWidth="1"/>
    <col min="18" max="18" width="9.625" bestFit="1" customWidth="1"/>
    <col min="19" max="19" width="8.875" bestFit="1" customWidth="1"/>
    <col min="20" max="21" width="8.875" customWidth="1"/>
    <col min="22" max="22" width="25" bestFit="1" customWidth="1"/>
    <col min="23" max="23" width="9.625" bestFit="1" customWidth="1"/>
    <col min="24" max="24" width="8.875" bestFit="1" customWidth="1"/>
    <col min="25" max="27" width="9.625" bestFit="1" customWidth="1"/>
    <col min="28" max="28" width="8.875" bestFit="1" customWidth="1"/>
    <col min="29" max="29" width="9.625" bestFit="1" customWidth="1"/>
    <col min="30" max="30" width="10.5" bestFit="1" customWidth="1"/>
    <col min="31" max="31" width="8.875" bestFit="1" customWidth="1"/>
    <col min="32" max="32" width="9.625" bestFit="1" customWidth="1"/>
    <col min="33" max="33" width="8.875" bestFit="1" customWidth="1"/>
    <col min="34" max="34" width="11.25" bestFit="1" customWidth="1"/>
    <col min="35" max="35" width="8.875" bestFit="1" customWidth="1"/>
    <col min="36" max="36" width="3" customWidth="1"/>
    <col min="37" max="37" width="11.5" hidden="1" customWidth="1"/>
    <col min="38" max="39" width="0" hidden="1" customWidth="1"/>
    <col min="40" max="40" width="4.875" hidden="1" customWidth="1"/>
  </cols>
  <sheetData>
    <row r="1" spans="1:40" ht="18.75">
      <c r="A1" s="411"/>
      <c r="C1" s="4551" t="s">
        <v>270</v>
      </c>
      <c r="D1" s="4551"/>
      <c r="E1" s="4551"/>
      <c r="F1" s="4551"/>
      <c r="G1" s="4551"/>
      <c r="H1" s="4551"/>
      <c r="I1" s="4551"/>
      <c r="J1" s="4551"/>
      <c r="K1" s="4551"/>
      <c r="L1" s="4551"/>
      <c r="M1" s="4551"/>
      <c r="N1" s="4551"/>
      <c r="O1" s="4551"/>
      <c r="P1" s="4551"/>
      <c r="Q1" s="4551"/>
      <c r="R1" s="4551"/>
      <c r="S1" s="4551"/>
      <c r="T1" s="4551"/>
      <c r="U1" s="4551"/>
      <c r="V1" s="4551"/>
      <c r="W1" s="4551"/>
      <c r="X1" s="4551"/>
      <c r="Y1" s="4551"/>
      <c r="Z1" s="4551"/>
      <c r="AA1" s="4551"/>
      <c r="AB1" s="4551"/>
      <c r="AC1" s="4551"/>
      <c r="AD1" s="4551"/>
      <c r="AE1" s="4551"/>
      <c r="AF1" s="4551"/>
      <c r="AG1" s="4551"/>
      <c r="AH1" s="4551"/>
      <c r="AI1" s="4551"/>
    </row>
    <row r="2" spans="1:40" ht="18.75">
      <c r="A2" s="411"/>
      <c r="C2" s="4551" t="str">
        <f>Client</f>
        <v>Grant County Public Utility District</v>
      </c>
      <c r="D2" s="4551"/>
      <c r="E2" s="4551"/>
      <c r="F2" s="4551"/>
      <c r="G2" s="4551"/>
      <c r="H2" s="4551"/>
      <c r="I2" s="4551"/>
      <c r="J2" s="4551"/>
      <c r="K2" s="4551"/>
      <c r="L2" s="4551"/>
      <c r="M2" s="4551"/>
      <c r="N2" s="4551"/>
      <c r="O2" s="4551"/>
      <c r="P2" s="4551"/>
      <c r="Q2" s="4551"/>
      <c r="R2" s="4551"/>
      <c r="S2" s="4551"/>
      <c r="T2" s="4551"/>
      <c r="U2" s="4551"/>
      <c r="V2" s="4551"/>
      <c r="W2" s="4551"/>
      <c r="X2" s="4551"/>
      <c r="Y2" s="4551"/>
      <c r="Z2" s="4551"/>
      <c r="AA2" s="4551"/>
      <c r="AB2" s="4551"/>
      <c r="AC2" s="4551"/>
      <c r="AD2" s="4551"/>
      <c r="AE2" s="4551"/>
      <c r="AF2" s="4551"/>
      <c r="AG2" s="4551"/>
      <c r="AH2" s="4551"/>
      <c r="AI2" s="4551"/>
    </row>
    <row r="3" spans="1:40" ht="18.75">
      <c r="A3" s="411"/>
      <c r="C3" s="4551" t="s">
        <v>525</v>
      </c>
      <c r="D3" s="4551"/>
      <c r="E3" s="4551"/>
      <c r="F3" s="4551"/>
      <c r="G3" s="4551"/>
      <c r="H3" s="4551"/>
      <c r="I3" s="4551"/>
      <c r="J3" s="4551"/>
      <c r="K3" s="4551"/>
      <c r="L3" s="4551"/>
      <c r="M3" s="4551"/>
      <c r="N3" s="4551"/>
      <c r="O3" s="4551"/>
      <c r="P3" s="4551"/>
      <c r="Q3" s="4551"/>
      <c r="R3" s="4551"/>
      <c r="S3" s="4551"/>
      <c r="T3" s="4551"/>
      <c r="U3" s="4551"/>
      <c r="V3" s="4551"/>
      <c r="W3" s="4551"/>
      <c r="X3" s="4551"/>
      <c r="Y3" s="4551"/>
      <c r="Z3" s="4551"/>
      <c r="AA3" s="4551"/>
      <c r="AB3" s="4551"/>
      <c r="AC3" s="4551"/>
      <c r="AD3" s="4551"/>
      <c r="AE3" s="4551"/>
      <c r="AF3" s="4551"/>
      <c r="AG3" s="4551"/>
      <c r="AH3" s="4551"/>
      <c r="AI3" s="4551"/>
    </row>
    <row r="4" spans="1:40" ht="18.75">
      <c r="A4" s="411"/>
      <c r="C4" s="4551"/>
      <c r="D4" s="4551"/>
      <c r="E4" s="4551"/>
      <c r="F4" s="4551"/>
      <c r="G4" s="4551"/>
      <c r="H4" s="4551"/>
      <c r="I4" s="4551"/>
      <c r="J4" s="4551"/>
      <c r="K4" s="4551"/>
      <c r="L4" s="4551"/>
      <c r="M4" s="4551"/>
      <c r="N4" s="4551"/>
      <c r="O4" s="4551"/>
      <c r="P4" s="4551"/>
      <c r="Q4" s="4551"/>
      <c r="R4" s="4551"/>
      <c r="S4" s="4551"/>
      <c r="T4" s="4551"/>
      <c r="U4" s="4551"/>
      <c r="V4" s="4551"/>
      <c r="W4" s="4551"/>
      <c r="X4" s="4551"/>
      <c r="Y4" s="4551"/>
      <c r="Z4" s="4551"/>
      <c r="AA4" s="4551"/>
      <c r="AB4" s="4551"/>
      <c r="AC4" s="4551"/>
      <c r="AD4" s="4551"/>
      <c r="AE4" s="4551"/>
      <c r="AF4" s="4551"/>
      <c r="AG4" s="4551"/>
      <c r="AH4" s="4551"/>
      <c r="AI4" s="4551"/>
    </row>
    <row r="5" spans="1:40">
      <c r="A5" s="411"/>
      <c r="F5" s="1"/>
      <c r="G5" s="1"/>
      <c r="H5" s="1"/>
      <c r="I5" s="1"/>
      <c r="J5" s="1"/>
      <c r="K5" s="1"/>
      <c r="L5" s="1"/>
      <c r="M5" s="1"/>
      <c r="N5" s="1"/>
      <c r="O5" s="1"/>
      <c r="P5" s="1"/>
      <c r="Q5" s="1"/>
      <c r="R5" s="1"/>
      <c r="S5" s="1"/>
      <c r="U5" s="1"/>
      <c r="V5" s="1"/>
      <c r="W5" s="1"/>
      <c r="X5" s="1"/>
      <c r="Y5" s="1"/>
      <c r="Z5" s="1"/>
    </row>
    <row r="6" spans="1:40">
      <c r="A6" s="411"/>
      <c r="C6" s="84"/>
      <c r="D6" s="84"/>
      <c r="E6" s="2579" t="str">
        <f>'COS_Units (sales)'!F7</f>
        <v>[A]</v>
      </c>
      <c r="F6" s="2579" t="str">
        <f>'COS_Units (sales)'!G7</f>
        <v>[B]</v>
      </c>
      <c r="G6" s="2579" t="str">
        <f>'COS_Units (sales)'!H7</f>
        <v>[C]</v>
      </c>
      <c r="H6" s="2579" t="str">
        <f>'COS_Units (sales)'!I7</f>
        <v>[D]</v>
      </c>
      <c r="I6" s="2579" t="str">
        <f>'COS_Units (sales)'!J7</f>
        <v>[E]</v>
      </c>
      <c r="J6" s="2579" t="str">
        <f>'COS_Units (sales)'!K7</f>
        <v>[F]</v>
      </c>
      <c r="K6" s="2579" t="str">
        <f>'COS_Units (sales)'!L7</f>
        <v>[G]</v>
      </c>
      <c r="L6" s="2579" t="str">
        <f>'COS_Units (sales)'!M7</f>
        <v>[H]</v>
      </c>
      <c r="M6" s="2579" t="str">
        <f>'COS_Units (sales)'!N7</f>
        <v>[I]</v>
      </c>
      <c r="N6" s="2579" t="str">
        <f>'COS_Units (sales)'!O7</f>
        <v>[J]</v>
      </c>
      <c r="O6" s="2579" t="str">
        <f>'COS_Units (sales)'!P7</f>
        <v>[K]</v>
      </c>
      <c r="P6" s="2579" t="str">
        <f>'COS_Units (sales)'!Q7</f>
        <v>[L]</v>
      </c>
      <c r="Q6" s="2579" t="str">
        <f>'COS_Units (sales)'!R7</f>
        <v>[M]</v>
      </c>
      <c r="R6" s="2579" t="str">
        <f>'COS_Units (sales)'!S7</f>
        <v>[N]</v>
      </c>
      <c r="S6" s="2579" t="str">
        <f>'COS_Units (sales)'!T7</f>
        <v>[O]</v>
      </c>
      <c r="U6" s="84"/>
      <c r="V6" s="84"/>
      <c r="W6" s="2579" t="str">
        <f>'COS_Units (sales)'!U7</f>
        <v>[P]</v>
      </c>
      <c r="X6" s="2579" t="str">
        <f>'COS_Units (sales)'!V7</f>
        <v>[Q]</v>
      </c>
      <c r="Y6" s="2579" t="str">
        <f>'COS_Units (sales)'!W7</f>
        <v>[R]</v>
      </c>
      <c r="Z6" s="2579" t="str">
        <f>'COS_Units (sales)'!X7</f>
        <v>[S]</v>
      </c>
      <c r="AA6" s="2579" t="str">
        <f>'COS_Units (sales)'!Y7</f>
        <v>[T]</v>
      </c>
      <c r="AB6" s="2579" t="str">
        <f>'COS_Units (sales)'!Z7</f>
        <v>[U]</v>
      </c>
      <c r="AC6" s="2579" t="str">
        <f>'COS_Units (sales)'!AA7</f>
        <v>[V]</v>
      </c>
      <c r="AD6" s="2579" t="str">
        <f>'COS_Units (sales)'!AB7</f>
        <v>[W]</v>
      </c>
      <c r="AE6" s="2579" t="str">
        <f>'COS_Units (sales)'!AC7</f>
        <v>[X]</v>
      </c>
      <c r="AF6" s="2579" t="str">
        <f>'COS_Units (sales)'!AD7</f>
        <v>[Y]</v>
      </c>
      <c r="AG6" s="2579" t="str">
        <f>'COS_Units (sales)'!AE7</f>
        <v>[Z]</v>
      </c>
      <c r="AH6" s="2579" t="str">
        <f>'COS_Units (sales)'!AF7</f>
        <v>[AA]</v>
      </c>
      <c r="AI6" s="2579" t="str">
        <f>'COS_Units (sales)'!AG7</f>
        <v>[AB]</v>
      </c>
    </row>
    <row r="7" spans="1:40" ht="15.75" customHeight="1">
      <c r="A7" s="411"/>
      <c r="C7" s="3192"/>
      <c r="D7" s="3192"/>
      <c r="E7" s="3192"/>
      <c r="F7" s="3192"/>
      <c r="G7" s="3192"/>
      <c r="H7" s="3192"/>
      <c r="I7" s="3198"/>
      <c r="J7" s="3198" t="s">
        <v>123</v>
      </c>
      <c r="K7" s="4559" t="s">
        <v>125</v>
      </c>
      <c r="L7" s="4559"/>
      <c r="M7" s="4559" t="s">
        <v>125</v>
      </c>
      <c r="N7" s="4559"/>
      <c r="O7" s="4559"/>
      <c r="P7" s="4559" t="s">
        <v>96</v>
      </c>
      <c r="Q7" s="4559"/>
      <c r="R7" s="4559" t="s">
        <v>97</v>
      </c>
      <c r="S7" s="4559"/>
      <c r="U7" s="3198"/>
      <c r="V7" s="3198"/>
      <c r="W7" s="4560"/>
      <c r="X7" s="4560"/>
      <c r="Y7" s="3198" t="s">
        <v>874</v>
      </c>
      <c r="Z7" s="3198"/>
      <c r="AA7" s="4560"/>
      <c r="AB7" s="4560"/>
      <c r="AC7" s="4560" t="s">
        <v>2633</v>
      </c>
      <c r="AD7" s="4560"/>
      <c r="AE7" s="4559"/>
      <c r="AF7" s="4560"/>
      <c r="AG7" s="4560"/>
      <c r="AH7" s="4560"/>
      <c r="AI7" s="4560"/>
      <c r="AJ7" s="3092"/>
    </row>
    <row r="8" spans="1:40">
      <c r="A8" s="411"/>
      <c r="C8" s="3192"/>
      <c r="D8" s="3192"/>
      <c r="E8" s="3192">
        <f>'Table 2'!E7</f>
        <v>2024</v>
      </c>
      <c r="F8" s="3192"/>
      <c r="G8" s="4559" t="s">
        <v>120</v>
      </c>
      <c r="H8" s="4559"/>
      <c r="I8" s="3198" t="s">
        <v>144</v>
      </c>
      <c r="J8" s="3198" t="s">
        <v>124</v>
      </c>
      <c r="K8" s="4559" t="s">
        <v>126</v>
      </c>
      <c r="L8" s="4559"/>
      <c r="M8" s="4559" t="s">
        <v>127</v>
      </c>
      <c r="N8" s="4559"/>
      <c r="O8" s="4559"/>
      <c r="P8" s="4559"/>
      <c r="Q8" s="4559"/>
      <c r="R8" s="4559"/>
      <c r="S8" s="4559"/>
      <c r="U8" s="3197"/>
      <c r="V8" s="3197"/>
      <c r="W8" s="4561" t="s">
        <v>129</v>
      </c>
      <c r="X8" s="4561"/>
      <c r="Y8" s="3197" t="s">
        <v>132</v>
      </c>
      <c r="Z8" s="3196" t="s">
        <v>2735</v>
      </c>
      <c r="AA8" s="4561" t="s">
        <v>133</v>
      </c>
      <c r="AB8" s="4561"/>
      <c r="AC8" s="4561" t="s">
        <v>2736</v>
      </c>
      <c r="AD8" s="4561"/>
      <c r="AE8" s="4559"/>
      <c r="AF8" s="4561" t="s">
        <v>2758</v>
      </c>
      <c r="AG8" s="4561"/>
      <c r="AH8" s="4561" t="s">
        <v>901</v>
      </c>
      <c r="AI8" s="4561"/>
      <c r="AJ8" s="3092"/>
    </row>
    <row r="9" spans="1:40" ht="31.5">
      <c r="A9" s="411"/>
      <c r="C9" s="3192" t="s">
        <v>867</v>
      </c>
      <c r="D9" s="3192" t="s">
        <v>118</v>
      </c>
      <c r="E9" s="3192" t="s">
        <v>176</v>
      </c>
      <c r="F9" s="3192" t="s">
        <v>119</v>
      </c>
      <c r="G9" s="3192" t="s">
        <v>121</v>
      </c>
      <c r="H9" s="3192" t="s">
        <v>122</v>
      </c>
      <c r="I9" s="3196" t="s">
        <v>443</v>
      </c>
      <c r="J9" s="3196" t="s">
        <v>444</v>
      </c>
      <c r="K9" s="3192" t="s">
        <v>121</v>
      </c>
      <c r="L9" s="3192" t="s">
        <v>122</v>
      </c>
      <c r="M9" s="3192" t="s">
        <v>445</v>
      </c>
      <c r="N9" s="3192" t="s">
        <v>121</v>
      </c>
      <c r="O9" s="3192" t="s">
        <v>122</v>
      </c>
      <c r="P9" s="3192" t="s">
        <v>121</v>
      </c>
      <c r="Q9" s="3192" t="s">
        <v>122</v>
      </c>
      <c r="R9" s="3192" t="s">
        <v>121</v>
      </c>
      <c r="S9" s="3192" t="s">
        <v>122</v>
      </c>
      <c r="U9" s="3196" t="s">
        <v>867</v>
      </c>
      <c r="V9" s="3196" t="s">
        <v>118</v>
      </c>
      <c r="W9" s="3192" t="s">
        <v>121</v>
      </c>
      <c r="X9" s="3192" t="s">
        <v>122</v>
      </c>
      <c r="Y9" s="3196" t="s">
        <v>446</v>
      </c>
      <c r="Z9" s="3192" t="s">
        <v>446</v>
      </c>
      <c r="AA9" s="3192" t="s">
        <v>121</v>
      </c>
      <c r="AB9" s="3192" t="s">
        <v>122</v>
      </c>
      <c r="AC9" s="3192" t="s">
        <v>121</v>
      </c>
      <c r="AD9" s="3192" t="s">
        <v>122</v>
      </c>
      <c r="AE9" s="3192" t="s">
        <v>984</v>
      </c>
      <c r="AF9" s="3192" t="s">
        <v>121</v>
      </c>
      <c r="AG9" s="3192" t="s">
        <v>122</v>
      </c>
      <c r="AH9" s="3192" t="s">
        <v>121</v>
      </c>
      <c r="AI9" s="3192" t="s">
        <v>122</v>
      </c>
      <c r="AJ9" s="3092"/>
    </row>
    <row r="10" spans="1:40" s="18" customFormat="1" ht="16.5" customHeight="1">
      <c r="A10" s="503"/>
      <c r="C10" s="3192"/>
      <c r="D10" s="3192"/>
      <c r="E10" s="3192" t="s">
        <v>156</v>
      </c>
      <c r="F10" s="3192"/>
      <c r="G10" s="3192" t="s">
        <v>156</v>
      </c>
      <c r="H10" s="3192"/>
      <c r="I10" s="3192" t="s">
        <v>157</v>
      </c>
      <c r="J10" s="3192"/>
      <c r="K10" s="3192" t="s">
        <v>157</v>
      </c>
      <c r="L10" s="3192"/>
      <c r="M10" s="3192"/>
      <c r="N10" s="3192" t="s">
        <v>157</v>
      </c>
      <c r="O10" s="3192"/>
      <c r="P10" s="3192" t="s">
        <v>157</v>
      </c>
      <c r="Q10" s="3192"/>
      <c r="R10" s="3192"/>
      <c r="S10" s="3192"/>
      <c r="T10"/>
      <c r="U10" s="3192"/>
      <c r="V10" s="3192"/>
      <c r="W10" s="3192" t="s">
        <v>157</v>
      </c>
      <c r="X10" s="3192"/>
      <c r="Y10" s="3192" t="s">
        <v>157</v>
      </c>
      <c r="Z10" s="3192" t="s">
        <v>157</v>
      </c>
      <c r="AA10" s="3192" t="s">
        <v>157</v>
      </c>
      <c r="AB10" s="3192"/>
      <c r="AC10" s="3192" t="s">
        <v>157</v>
      </c>
      <c r="AD10" s="3192"/>
      <c r="AE10" s="3192"/>
      <c r="AF10" s="3192"/>
      <c r="AG10" s="3192"/>
      <c r="AH10" s="3192"/>
      <c r="AI10" s="3192"/>
      <c r="AJ10" s="3092"/>
      <c r="AK10"/>
      <c r="AL10"/>
      <c r="AM10"/>
      <c r="AN10"/>
    </row>
    <row r="11" spans="1:40" s="3" customFormat="1">
      <c r="A11" s="504"/>
      <c r="C11" s="3192"/>
      <c r="D11" s="3192"/>
      <c r="E11" s="3192"/>
      <c r="F11" s="3192"/>
      <c r="G11" s="3192" t="s">
        <v>872</v>
      </c>
      <c r="H11" s="3192" t="s">
        <v>158</v>
      </c>
      <c r="I11" s="3192" t="s">
        <v>873</v>
      </c>
      <c r="J11" s="3192"/>
      <c r="K11" s="3192" t="s">
        <v>849</v>
      </c>
      <c r="L11" s="3192" t="s">
        <v>159</v>
      </c>
      <c r="M11" s="3192"/>
      <c r="N11" s="3192" t="s">
        <v>850</v>
      </c>
      <c r="O11" s="3192" t="s">
        <v>160</v>
      </c>
      <c r="P11" s="3192" t="s">
        <v>850</v>
      </c>
      <c r="Q11" s="3192" t="s">
        <v>87</v>
      </c>
      <c r="R11" s="3192" t="s">
        <v>850</v>
      </c>
      <c r="S11" s="3192" t="s">
        <v>88</v>
      </c>
      <c r="T11"/>
      <c r="U11" s="3192"/>
      <c r="V11" s="3192"/>
      <c r="W11" s="3192" t="s">
        <v>851</v>
      </c>
      <c r="X11" s="3192" t="s">
        <v>161</v>
      </c>
      <c r="Y11" s="3192" t="s">
        <v>90</v>
      </c>
      <c r="Z11" s="3192" t="s">
        <v>90</v>
      </c>
      <c r="AA11" s="3192" t="s">
        <v>2651</v>
      </c>
      <c r="AB11" s="3192" t="s">
        <v>471</v>
      </c>
      <c r="AC11" s="3192" t="s">
        <v>2652</v>
      </c>
      <c r="AD11" s="3192" t="s">
        <v>2633</v>
      </c>
      <c r="AE11" s="3192" t="str">
        <f>'COS_Units (sales)'!AE13</f>
        <v>12CP</v>
      </c>
      <c r="AF11" s="3192"/>
      <c r="AG11" s="3192" t="str">
        <f>'COS_Units (sales)'!AG13</f>
        <v>1CP</v>
      </c>
      <c r="AH11" s="3192"/>
      <c r="AI11" s="3192" t="str">
        <f>'COS_Units (sales)'!AI13</f>
        <v>P+A</v>
      </c>
      <c r="AJ11" s="3092"/>
      <c r="AK11"/>
      <c r="AL11"/>
      <c r="AM11"/>
      <c r="AN11"/>
    </row>
    <row r="12" spans="1:40" s="18" customFormat="1" ht="6" customHeight="1">
      <c r="A12" s="503"/>
      <c r="C12" s="236"/>
      <c r="D12" s="372"/>
      <c r="E12" s="236"/>
      <c r="F12" s="372"/>
      <c r="G12" s="375"/>
      <c r="H12" s="372"/>
      <c r="I12" s="375"/>
      <c r="J12" s="10"/>
      <c r="K12" s="375"/>
      <c r="L12" s="372"/>
      <c r="M12" s="372"/>
      <c r="N12" s="372"/>
      <c r="O12" s="372"/>
      <c r="P12" s="372"/>
      <c r="Q12" s="372"/>
      <c r="R12" s="372"/>
      <c r="S12" s="372"/>
      <c r="T12"/>
      <c r="U12" s="236"/>
      <c r="V12" s="372"/>
      <c r="W12" s="375"/>
      <c r="X12" s="372"/>
      <c r="Y12" s="372"/>
      <c r="Z12" s="372"/>
      <c r="AA12" s="375"/>
      <c r="AB12" s="372"/>
      <c r="AC12" s="375"/>
      <c r="AD12" s="372"/>
      <c r="AE12" s="372"/>
      <c r="AF12" s="372"/>
      <c r="AG12" s="372"/>
      <c r="AH12" s="372"/>
      <c r="AI12" s="372"/>
      <c r="AK12"/>
      <c r="AL12"/>
      <c r="AM12"/>
      <c r="AN12"/>
    </row>
    <row r="13" spans="1:40" ht="16.5" customHeight="1">
      <c r="A13" s="411"/>
      <c r="C13" s="236">
        <f>+MAX(C12)+1</f>
        <v>1</v>
      </c>
      <c r="D13" s="38" t="str">
        <f>'COS_Units (sales)'!D16</f>
        <v>Residential-Urban (1)</v>
      </c>
      <c r="E13" s="16">
        <f>'COS_Units (sales)'!F17</f>
        <v>369330646</v>
      </c>
      <c r="F13" s="274">
        <f t="shared" ref="F13:F24" si="0">IF(ISERROR((G13-E13)/G13),0,(G13-E13)/G13)</f>
        <v>4.5201759841080984E-2</v>
      </c>
      <c r="G13" s="16">
        <f>'COS_Units (sales)'!H17</f>
        <v>386815382</v>
      </c>
      <c r="H13" s="275">
        <f t="shared" ref="H13:H24" si="1">ROUND(G13/$G$26,6)</f>
        <v>5.8131000000000002E-2</v>
      </c>
      <c r="I13" s="16">
        <f>'COS_Units (sales)'!J17</f>
        <v>44157</v>
      </c>
      <c r="J13" s="275">
        <f t="shared" ref="J13:J23" si="2">IF(ISERROR(+G13/K13/8760),0,+G13/K13/8760)</f>
        <v>0.3799988561192531</v>
      </c>
      <c r="K13" s="16">
        <f>'COS_Units (sales)'!L17</f>
        <v>116203</v>
      </c>
      <c r="L13" s="275">
        <f t="shared" ref="L13:L24" si="3">K13/$K$26</f>
        <v>8.3535156825659734E-2</v>
      </c>
      <c r="M13" s="274">
        <f>IF(ISERROR(ROUND(K13/N13,2)),0,ROUND(K13/N13,2))</f>
        <v>0.75</v>
      </c>
      <c r="N13" s="16">
        <f>'COS_Units (sales)'!Q17</f>
        <v>154937</v>
      </c>
      <c r="O13" s="275">
        <f t="shared" ref="O13:O24" si="4">N13/$N$26</f>
        <v>8.672714286354008E-2</v>
      </c>
      <c r="P13" s="16">
        <f>'COS_Units (sales)'!S17</f>
        <v>154937</v>
      </c>
      <c r="Q13" s="275">
        <f t="shared" ref="Q13:Q24" si="5">P13/$P$26</f>
        <v>0.12935593290526662</v>
      </c>
      <c r="R13" s="16">
        <f>'COS_Units (sales)'!U17</f>
        <v>0</v>
      </c>
      <c r="S13" s="275">
        <f t="shared" ref="S13:S24" si="6">R13/$R$26</f>
        <v>0</v>
      </c>
      <c r="U13" s="236">
        <f>+MAX(U12)+1</f>
        <v>1</v>
      </c>
      <c r="V13" s="38" t="str">
        <f>D13</f>
        <v>Residential-Urban (1)</v>
      </c>
      <c r="W13" s="16">
        <f>'COS_Units (sales)'!W17</f>
        <v>72046</v>
      </c>
      <c r="X13" s="275">
        <f t="shared" ref="X13:X24" si="7">W13/$W$26</f>
        <v>0.11409540520766358</v>
      </c>
      <c r="Y13" s="16">
        <f>'COS_Units (sales)'!Y17</f>
        <v>40071</v>
      </c>
      <c r="Z13" s="16">
        <f>'COS_Units (sales)'!Z17</f>
        <v>18132</v>
      </c>
      <c r="AA13" s="16">
        <f>'COS_Units (sales)'!AA17</f>
        <v>84228</v>
      </c>
      <c r="AB13" s="275">
        <f t="shared" ref="AB13:AB24" si="8">AA13/$AA$26</f>
        <v>7.5830732207534279E-2</v>
      </c>
      <c r="AC13" s="16">
        <f>'COS_Units (sales)'!AC17</f>
        <v>62289</v>
      </c>
      <c r="AD13" s="275">
        <f>AC13/$AC$26</f>
        <v>6.7816447358393192E-2</v>
      </c>
      <c r="AE13" s="275">
        <f>'COS_Units (sales)'!AE17</f>
        <v>0.1103</v>
      </c>
      <c r="AF13" s="16">
        <f>'COS_Units (sales)'!AF17</f>
        <v>80894.261499999993</v>
      </c>
      <c r="AG13" s="275">
        <f>'COS_Units (sales)'!AG17</f>
        <v>7.2800000000000004E-2</v>
      </c>
      <c r="AH13" s="16">
        <f>'COS_Units (sales)'!AH17</f>
        <v>125051.26149999999</v>
      </c>
      <c r="AI13" s="275">
        <f>'COS_Units (sales)'!AI17</f>
        <v>6.2399999999999997E-2</v>
      </c>
    </row>
    <row r="14" spans="1:40" ht="16.5" customHeight="1">
      <c r="A14" s="411"/>
      <c r="C14" s="2660">
        <f t="shared" ref="C14:C24" si="9">+MAX(C13)+1</f>
        <v>2</v>
      </c>
      <c r="D14" s="2665" t="str">
        <f>'COS_Units (sales)'!D19</f>
        <v>Residential-Rural (1)</v>
      </c>
      <c r="E14" s="2661">
        <f>'COS_Units (sales)'!F20</f>
        <v>517691627</v>
      </c>
      <c r="F14" s="2666">
        <f t="shared" si="0"/>
        <v>5.1201760194537829E-2</v>
      </c>
      <c r="G14" s="2661">
        <f>'COS_Units (sales)'!H20</f>
        <v>545628781</v>
      </c>
      <c r="H14" s="2667">
        <f t="shared" si="1"/>
        <v>8.1997E-2</v>
      </c>
      <c r="I14" s="2661">
        <f>'COS_Units (sales)'!J20</f>
        <v>62286</v>
      </c>
      <c r="J14" s="2667">
        <f t="shared" si="2"/>
        <v>0.38000128438673519</v>
      </c>
      <c r="K14" s="2661">
        <f>'COS_Units (sales)'!L20</f>
        <v>163911</v>
      </c>
      <c r="L14" s="2667">
        <f t="shared" si="3"/>
        <v>0.11783113250476074</v>
      </c>
      <c r="M14" s="2666">
        <f t="shared" ref="M14:M24" si="10">IF(ISERROR(ROUND(K14/N14,2)),0,ROUND(K14/N14,2))</f>
        <v>0.75</v>
      </c>
      <c r="N14" s="2661">
        <f>'COS_Units (sales)'!Q20</f>
        <v>218548</v>
      </c>
      <c r="O14" s="2667">
        <f t="shared" si="4"/>
        <v>0.12233387517856263</v>
      </c>
      <c r="P14" s="2661">
        <f>'COS_Units (sales)'!S20</f>
        <v>10927.400000000001</v>
      </c>
      <c r="Q14" s="2667">
        <f t="shared" si="5"/>
        <v>9.1232179610358441E-3</v>
      </c>
      <c r="R14" s="2661">
        <f>'COS_Units (sales)'!U20</f>
        <v>207620.6</v>
      </c>
      <c r="S14" s="2667">
        <f t="shared" si="6"/>
        <v>0.35265795504498837</v>
      </c>
      <c r="U14" s="2660">
        <f t="shared" ref="U14:U24" si="11">+MAX(U13)+1</f>
        <v>2</v>
      </c>
      <c r="V14" s="2665" t="str">
        <f t="shared" ref="V14:V24" si="12">D14</f>
        <v>Residential-Rural (1)</v>
      </c>
      <c r="W14" s="2661">
        <f>'COS_Units (sales)'!W20</f>
        <v>101625</v>
      </c>
      <c r="X14" s="2667">
        <f t="shared" si="7"/>
        <v>0.16093808891859107</v>
      </c>
      <c r="Y14" s="2661">
        <f>'COS_Units (sales)'!Y20</f>
        <v>56507</v>
      </c>
      <c r="Z14" s="2661">
        <f>'COS_Units (sales)'!Z20</f>
        <v>25569</v>
      </c>
      <c r="AA14" s="2661">
        <f>'COS_Units (sales)'!AA20</f>
        <v>118793</v>
      </c>
      <c r="AB14" s="2667">
        <f t="shared" si="8"/>
        <v>0.106949709967346</v>
      </c>
      <c r="AC14" s="2661">
        <f>'COS_Units (sales)'!AC20</f>
        <v>87855</v>
      </c>
      <c r="AD14" s="2667">
        <f t="shared" ref="AD14:AD24" si="13">AC14/$AC$26</f>
        <v>9.5651141978064097E-2</v>
      </c>
      <c r="AE14" s="2667">
        <f>'COS_Units (sales)'!AE20</f>
        <v>0.15559999999999999</v>
      </c>
      <c r="AF14" s="2661">
        <f>'COS_Units (sales)'!AF20</f>
        <v>114106.3006</v>
      </c>
      <c r="AG14" s="2667">
        <f>'COS_Units (sales)'!AG20</f>
        <v>0.1027</v>
      </c>
      <c r="AH14" s="2661">
        <f>'COS_Units (sales)'!AH20</f>
        <v>176392.30060000002</v>
      </c>
      <c r="AI14" s="2667">
        <f>'COS_Units (sales)'!AI20</f>
        <v>8.8099999999999998E-2</v>
      </c>
      <c r="AJ14" s="1"/>
    </row>
    <row r="15" spans="1:40" s="6" customFormat="1" ht="16.5" customHeight="1">
      <c r="A15" s="411"/>
      <c r="C15" s="236">
        <f t="shared" si="9"/>
        <v>3</v>
      </c>
      <c r="D15" s="287" t="str">
        <f>'COS_Units (sales)'!D22</f>
        <v>Irrigation (3)</v>
      </c>
      <c r="E15" s="16">
        <f>'COS_Units (sales)'!F25</f>
        <v>644656668.90576231</v>
      </c>
      <c r="F15" s="274">
        <f t="shared" si="0"/>
        <v>4.0201760462192371E-2</v>
      </c>
      <c r="G15" s="16">
        <f>'COS_Units (sales)'!H25</f>
        <v>671658524</v>
      </c>
      <c r="H15" s="275">
        <f t="shared" si="1"/>
        <v>0.100937</v>
      </c>
      <c r="I15" s="16">
        <f>'COS_Units (sales)'!J25</f>
        <v>76673</v>
      </c>
      <c r="J15" s="275">
        <f t="shared" si="2"/>
        <v>0.3500027274488598</v>
      </c>
      <c r="K15" s="16">
        <f>'COS_Units (sales)'!L25</f>
        <v>219065</v>
      </c>
      <c r="L15" s="275">
        <f t="shared" si="3"/>
        <v>0.15747983382540165</v>
      </c>
      <c r="M15" s="274">
        <f t="shared" si="10"/>
        <v>0.7</v>
      </c>
      <c r="N15" s="16">
        <f>'COS_Units (sales)'!Q25</f>
        <v>312950</v>
      </c>
      <c r="O15" s="275">
        <f t="shared" si="4"/>
        <v>0.17517609969952219</v>
      </c>
      <c r="P15" s="16">
        <f>'COS_Units (sales)'!S25</f>
        <v>15647.5</v>
      </c>
      <c r="Q15" s="275">
        <f t="shared" si="5"/>
        <v>1.306399994923846E-2</v>
      </c>
      <c r="R15" s="16">
        <f>'COS_Units (sales)'!U25</f>
        <v>297302.5</v>
      </c>
      <c r="S15" s="275">
        <f t="shared" si="6"/>
        <v>0.50498886757750749</v>
      </c>
      <c r="T15"/>
      <c r="U15" s="236">
        <f t="shared" si="11"/>
        <v>3</v>
      </c>
      <c r="V15" s="287" t="str">
        <f t="shared" si="12"/>
        <v>Irrigation (3)</v>
      </c>
      <c r="W15" s="16">
        <f>'COS_Units (sales)'!W25</f>
        <v>142392</v>
      </c>
      <c r="X15" s="275">
        <f t="shared" si="7"/>
        <v>0.22549861114190425</v>
      </c>
      <c r="Y15" s="16">
        <f>'COS_Units (sales)'!Y25</f>
        <v>79194</v>
      </c>
      <c r="Z15" s="16">
        <f>'COS_Units (sales)'!Z25</f>
        <v>35835</v>
      </c>
      <c r="AA15" s="16">
        <f>'COS_Units (sales)'!AA25</f>
        <v>155867</v>
      </c>
      <c r="AB15" s="275">
        <f t="shared" si="8"/>
        <v>0.14032754828550772</v>
      </c>
      <c r="AC15" s="16">
        <f>'COS_Units (sales)'!AC25</f>
        <v>112508</v>
      </c>
      <c r="AD15" s="275">
        <f t="shared" si="13"/>
        <v>0.12249181812837101</v>
      </c>
      <c r="AE15" s="275">
        <f>'COS_Units (sales)'!AE25</f>
        <v>0.1158</v>
      </c>
      <c r="AF15" s="16">
        <f>'COS_Units (sales)'!AF25</f>
        <v>179159.49739999999</v>
      </c>
      <c r="AG15" s="275">
        <f>'COS_Units (sales)'!AG25</f>
        <v>0.1613</v>
      </c>
      <c r="AH15" s="16">
        <f>'COS_Units (sales)'!AH25</f>
        <v>309213</v>
      </c>
      <c r="AI15" s="275">
        <f>'COS_Units (sales)'!AI25</f>
        <v>0.15440000000000001</v>
      </c>
      <c r="AK15"/>
      <c r="AL15"/>
      <c r="AM15"/>
      <c r="AN15"/>
    </row>
    <row r="16" spans="1:40" s="6" customFormat="1" ht="16.5" customHeight="1">
      <c r="A16" s="411"/>
      <c r="C16" s="2660">
        <f t="shared" si="9"/>
        <v>4</v>
      </c>
      <c r="D16" s="2665" t="str">
        <f>COS_Summ!D16</f>
        <v>General Service (2) &amp; (PA)</v>
      </c>
      <c r="E16" s="2661">
        <f>'COS_Units (sales)'!F30+'COS_Units (sales)'!F57</f>
        <v>573774999</v>
      </c>
      <c r="F16" s="2666">
        <f t="shared" si="0"/>
        <v>4.499902041557665E-2</v>
      </c>
      <c r="G16" s="2661">
        <f>'COS_Units (sales)'!H30+'COS_Units (sales)'!H57</f>
        <v>600810901</v>
      </c>
      <c r="H16" s="2667">
        <f t="shared" si="1"/>
        <v>9.0289999999999995E-2</v>
      </c>
      <c r="I16" s="2661">
        <f>'COS_Units (sales)'!J30+'COS_Units (sales)'!J57</f>
        <v>68585</v>
      </c>
      <c r="J16" s="2667">
        <f t="shared" si="2"/>
        <v>0.35022196896488084</v>
      </c>
      <c r="K16" s="2668">
        <f>'COS_Units (sales)'!L30+'COS_Units (sales)'!L57</f>
        <v>195835</v>
      </c>
      <c r="L16" s="2667">
        <f t="shared" si="3"/>
        <v>0.14078042251020259</v>
      </c>
      <c r="M16" s="2666">
        <f t="shared" si="10"/>
        <v>0.7</v>
      </c>
      <c r="N16" s="2661">
        <f>'COS_Units (sales)'!Q30+'COS_Units (sales)'!Q57</f>
        <v>279738</v>
      </c>
      <c r="O16" s="2667">
        <f t="shared" si="4"/>
        <v>0.15658543466286928</v>
      </c>
      <c r="P16" s="2661">
        <f>'COS_Units (sales)'!S30+'COS_Units (sales)'!S57</f>
        <v>195930.3</v>
      </c>
      <c r="Q16" s="2667">
        <f t="shared" si="5"/>
        <v>0.16358098285695966</v>
      </c>
      <c r="R16" s="2661">
        <f>'COS_Units (sales)'!U30+'COS_Units (sales)'!U57</f>
        <v>83807.7</v>
      </c>
      <c r="S16" s="2667">
        <f t="shared" si="6"/>
        <v>0.1423531773775043</v>
      </c>
      <c r="T16"/>
      <c r="U16" s="2660">
        <f t="shared" si="11"/>
        <v>4</v>
      </c>
      <c r="V16" s="2665" t="str">
        <f t="shared" si="12"/>
        <v>General Service (2) &amp; (PA)</v>
      </c>
      <c r="W16" s="2661">
        <f>'COS_Units (sales)'!W30+'COS_Units (sales)'!W57</f>
        <v>127250</v>
      </c>
      <c r="X16" s="2667">
        <f t="shared" si="7"/>
        <v>0.2015190338488631</v>
      </c>
      <c r="Y16" s="2661">
        <f>'COS_Units (sales)'!Y30+'COS_Units (sales)'!Y57</f>
        <v>70766</v>
      </c>
      <c r="Z16" s="2661">
        <f>'COS_Units (sales)'!Z30+'COS_Units (sales)'!Z57</f>
        <v>32021</v>
      </c>
      <c r="AA16" s="2661">
        <f>'COS_Units (sales)'!AA30+'COS_Units (sales)'!AA57</f>
        <v>139351</v>
      </c>
      <c r="AB16" s="2667">
        <f t="shared" si="8"/>
        <v>0.12545814175632936</v>
      </c>
      <c r="AC16" s="2661">
        <f>'COS_Units (sales)'!AC30+'COS_Units (sales)'!AC57</f>
        <v>100606</v>
      </c>
      <c r="AD16" s="2667">
        <f t="shared" si="13"/>
        <v>0.10953364964822851</v>
      </c>
      <c r="AE16" s="2667">
        <f>'COS_Units (sales)'!AE30+'COS_Units (sales)'!AE57</f>
        <v>0.16270000000000001</v>
      </c>
      <c r="AF16" s="2661">
        <f>'COS_Units (sales)'!AF30+'COS_Units (sales)'!AF57</f>
        <v>128133.36510000001</v>
      </c>
      <c r="AG16" s="2667">
        <f>'COS_Units (sales)'!AG30+'COS_Units (sales)'!AG57</f>
        <v>0.1154</v>
      </c>
      <c r="AH16" s="2661">
        <f>'COS_Units (sales)'!AH30+'COS_Units (sales)'!AH57</f>
        <v>276167</v>
      </c>
      <c r="AI16" s="2667">
        <f>'COS_Units (sales)'!AI30+'COS_Units (sales)'!AI57</f>
        <v>0.13779999999999998</v>
      </c>
      <c r="AK16"/>
      <c r="AL16"/>
      <c r="AM16"/>
      <c r="AN16"/>
    </row>
    <row r="17" spans="1:40" s="6" customFormat="1" ht="16.5" customHeight="1">
      <c r="A17" s="411"/>
      <c r="C17" s="236">
        <f t="shared" si="9"/>
        <v>5</v>
      </c>
      <c r="D17" s="287" t="str">
        <f>'COS_Units (sales)'!D32</f>
        <v>Large General Service (7)</v>
      </c>
      <c r="E17" s="16">
        <f>'COS_Units (sales)'!F33</f>
        <v>299772792.2890479</v>
      </c>
      <c r="F17" s="274">
        <f t="shared" si="0"/>
        <v>3.5201759314951751E-2</v>
      </c>
      <c r="G17" s="16">
        <f>'COS_Units (sales)'!H33</f>
        <v>310710343</v>
      </c>
      <c r="H17" s="275">
        <f t="shared" si="1"/>
        <v>4.6693999999999999E-2</v>
      </c>
      <c r="I17" s="16">
        <f>'COS_Units (sales)'!J33</f>
        <v>35469</v>
      </c>
      <c r="J17" s="275">
        <f t="shared" si="2"/>
        <v>0.60000367482775807</v>
      </c>
      <c r="K17" s="16">
        <f>'COS_Units (sales)'!L33</f>
        <v>59115</v>
      </c>
      <c r="L17" s="275">
        <f t="shared" si="3"/>
        <v>4.2496155828583383E-2</v>
      </c>
      <c r="M17" s="274">
        <f t="shared" si="10"/>
        <v>0.75</v>
      </c>
      <c r="N17" s="16">
        <f>'COS_Units (sales)'!Q33</f>
        <v>78820</v>
      </c>
      <c r="O17" s="275">
        <f t="shared" si="4"/>
        <v>4.4120083650156058E-2</v>
      </c>
      <c r="P17" s="16">
        <f>'COS_Units (sales)'!S33</f>
        <v>78820</v>
      </c>
      <c r="Q17" s="275">
        <f t="shared" si="5"/>
        <v>6.5806325355422621E-2</v>
      </c>
      <c r="R17" s="16">
        <f>'COS_Units (sales)'!U33</f>
        <v>0</v>
      </c>
      <c r="S17" s="275">
        <f t="shared" si="6"/>
        <v>0</v>
      </c>
      <c r="T17"/>
      <c r="U17" s="236">
        <f t="shared" si="11"/>
        <v>5</v>
      </c>
      <c r="V17" s="287" t="str">
        <f t="shared" si="12"/>
        <v>Large General Service (7)</v>
      </c>
      <c r="W17" s="16">
        <f>'COS_Units (sales)'!W33</f>
        <v>23646</v>
      </c>
      <c r="X17" s="275">
        <f t="shared" si="7"/>
        <v>3.7446908246681468E-2</v>
      </c>
      <c r="Y17" s="16">
        <f>'COS_Units (sales)'!Y33</f>
        <v>13135</v>
      </c>
      <c r="Z17" s="16">
        <f>'COS_Units (sales)'!Z33</f>
        <v>5943</v>
      </c>
      <c r="AA17" s="16">
        <f>'COS_Units (sales)'!AA33</f>
        <v>48604</v>
      </c>
      <c r="AB17" s="275">
        <f t="shared" si="8"/>
        <v>4.3758333430866173E-2</v>
      </c>
      <c r="AC17" s="16">
        <f>'COS_Units (sales)'!AC33</f>
        <v>41412</v>
      </c>
      <c r="AD17" s="275">
        <f t="shared" si="13"/>
        <v>4.5086848689267434E-2</v>
      </c>
      <c r="AE17" s="275">
        <f>'COS_Units (sales)'!AE33</f>
        <v>5.1400000000000001E-2</v>
      </c>
      <c r="AF17" s="16">
        <f>'COS_Units (sales)'!AF33</f>
        <v>48020.767899999999</v>
      </c>
      <c r="AG17" s="275">
        <f>'COS_Units (sales)'!AG33</f>
        <v>4.3200000000000002E-2</v>
      </c>
      <c r="AH17" s="16">
        <f>'COS_Units (sales)'!AH33</f>
        <v>83489.767900000006</v>
      </c>
      <c r="AI17" s="275">
        <f>'COS_Units (sales)'!AI33</f>
        <v>4.1700000000000001E-2</v>
      </c>
      <c r="AK17"/>
      <c r="AL17"/>
      <c r="AM17"/>
      <c r="AN17"/>
    </row>
    <row r="18" spans="1:40" s="6" customFormat="1" ht="16.5" customHeight="1">
      <c r="A18" s="411"/>
      <c r="C18" s="2660">
        <f t="shared" si="9"/>
        <v>6</v>
      </c>
      <c r="D18" s="2665" t="str">
        <f>'COS_Units (sales)'!D35</f>
        <v>Industrial (14)</v>
      </c>
      <c r="E18" s="2661">
        <f>'COS_Units (sales)'!F36</f>
        <v>937116705.50784206</v>
      </c>
      <c r="F18" s="2666">
        <f t="shared" si="0"/>
        <v>2.5201760854465689E-2</v>
      </c>
      <c r="G18" s="2661">
        <f>'COS_Units (sales)'!H36</f>
        <v>961344274</v>
      </c>
      <c r="H18" s="2667">
        <f t="shared" si="1"/>
        <v>0.14447099999999999</v>
      </c>
      <c r="I18" s="2661">
        <f>'COS_Units (sales)'!J36</f>
        <v>109742</v>
      </c>
      <c r="J18" s="2667">
        <f t="shared" si="2"/>
        <v>0.65000235161142583</v>
      </c>
      <c r="K18" s="2661">
        <f>'COS_Units (sales)'!L36</f>
        <v>168834</v>
      </c>
      <c r="L18" s="2667">
        <f t="shared" si="3"/>
        <v>0.12137014248774503</v>
      </c>
      <c r="M18" s="2666">
        <f t="shared" si="10"/>
        <v>0.8</v>
      </c>
      <c r="N18" s="2661">
        <f>'COS_Units (sales)'!Q36</f>
        <v>211043</v>
      </c>
      <c r="O18" s="2667">
        <f t="shared" si="4"/>
        <v>0.11813289537909015</v>
      </c>
      <c r="P18" s="2661">
        <f>'COS_Units (sales)'!S36</f>
        <v>211043</v>
      </c>
      <c r="Q18" s="2667">
        <f t="shared" si="5"/>
        <v>0.17619848162883095</v>
      </c>
      <c r="R18" s="2661">
        <f>'COS_Units (sales)'!U36</f>
        <v>0</v>
      </c>
      <c r="S18" s="2667">
        <f t="shared" si="6"/>
        <v>0</v>
      </c>
      <c r="T18"/>
      <c r="U18" s="2660">
        <f t="shared" si="11"/>
        <v>6</v>
      </c>
      <c r="V18" s="2665" t="str">
        <f t="shared" si="12"/>
        <v>Industrial (14)</v>
      </c>
      <c r="W18" s="2661">
        <f>'COS_Units (sales)'!W36</f>
        <v>59092</v>
      </c>
      <c r="X18" s="2667">
        <f t="shared" si="7"/>
        <v>9.3580846744180893E-2</v>
      </c>
      <c r="Y18" s="2661">
        <f>'COS_Units (sales)'!Y36</f>
        <v>32872</v>
      </c>
      <c r="Z18" s="2661">
        <f>'COS_Units (sales)'!Z36</f>
        <v>14874</v>
      </c>
      <c r="AA18" s="2661">
        <f>'COS_Units (sales)'!AA36</f>
        <v>142614</v>
      </c>
      <c r="AB18" s="2667">
        <f t="shared" si="8"/>
        <v>0.12839583087625603</v>
      </c>
      <c r="AC18" s="2661">
        <f>'COS_Units (sales)'!AC36</f>
        <v>124616</v>
      </c>
      <c r="AD18" s="2667">
        <f t="shared" si="13"/>
        <v>0.13567426678889574</v>
      </c>
      <c r="AE18" s="2667">
        <f>'COS_Units (sales)'!AE36</f>
        <v>8.8200000000000001E-2</v>
      </c>
      <c r="AF18" s="2661">
        <f>'COS_Units (sales)'!AF36</f>
        <v>142350.44039999999</v>
      </c>
      <c r="AG18" s="2667">
        <f>'COS_Units (sales)'!AG36</f>
        <v>0.12820000000000001</v>
      </c>
      <c r="AH18" s="2661">
        <f>'COS_Units (sales)'!AH36</f>
        <v>252092.44039999999</v>
      </c>
      <c r="AI18" s="2667">
        <f>'COS_Units (sales)'!AI36</f>
        <v>0.1258</v>
      </c>
      <c r="AK18"/>
      <c r="AL18"/>
      <c r="AM18"/>
      <c r="AN18"/>
    </row>
    <row r="19" spans="1:40" s="6" customFormat="1" ht="16.5" customHeight="1">
      <c r="A19" s="411"/>
      <c r="C19" s="236">
        <f t="shared" si="9"/>
        <v>7</v>
      </c>
      <c r="D19" s="287" t="str">
        <f>COS_Summ!D19</f>
        <v>Large Industrial (15) &amp; (94)</v>
      </c>
      <c r="E19" s="16">
        <f>'COS_Units (sales)'!F39+'COS_Units (sales)'!F48</f>
        <v>2673206552.9506884</v>
      </c>
      <c r="F19" s="274">
        <f t="shared" si="0"/>
        <v>2.5201760469385059E-2</v>
      </c>
      <c r="G19" s="16">
        <f>'COS_Units (sales)'!H39+'COS_Units (sales)'!H48</f>
        <v>2742317789</v>
      </c>
      <c r="H19" s="275">
        <f t="shared" si="1"/>
        <v>0.41211700000000001</v>
      </c>
      <c r="I19" s="16">
        <f>'COS_Units (sales)'!J39+'COS_Units (sales)'!J48</f>
        <v>313050</v>
      </c>
      <c r="J19" s="275">
        <f t="shared" si="2"/>
        <v>0.79999891624669262</v>
      </c>
      <c r="K19" s="16">
        <f>'COS_Units (sales)'!L39+'COS_Units (sales)'!L48</f>
        <v>391313</v>
      </c>
      <c r="L19" s="275">
        <f t="shared" si="3"/>
        <v>0.28130420748964646</v>
      </c>
      <c r="M19" s="274">
        <f t="shared" si="10"/>
        <v>0.9</v>
      </c>
      <c r="N19" s="16">
        <f>'COS_Units (sales)'!Q39+'COS_Units (sales)'!Q48</f>
        <v>434792</v>
      </c>
      <c r="O19" s="275">
        <f t="shared" si="4"/>
        <v>0.24337806915019861</v>
      </c>
      <c r="P19" s="16">
        <f>'COS_Units (sales)'!S39+'COS_Units (sales)'!S48</f>
        <v>434792</v>
      </c>
      <c r="Q19" s="275">
        <f t="shared" si="5"/>
        <v>0.36300512324200601</v>
      </c>
      <c r="R19" s="16">
        <f>'COS_Units (sales)'!U39+'COS_Units (sales)'!U48</f>
        <v>0</v>
      </c>
      <c r="S19" s="275">
        <f t="shared" si="6"/>
        <v>0</v>
      </c>
      <c r="T19"/>
      <c r="U19" s="236">
        <f t="shared" si="11"/>
        <v>7</v>
      </c>
      <c r="V19" s="287" t="str">
        <f t="shared" si="12"/>
        <v>Large Industrial (15) &amp; (94)</v>
      </c>
      <c r="W19" s="16">
        <f>'COS_Units (sales)'!W39+'COS_Units (sales)'!W48</f>
        <v>78263</v>
      </c>
      <c r="X19" s="275">
        <f t="shared" si="7"/>
        <v>0.12394093631523437</v>
      </c>
      <c r="Y19" s="16">
        <f>'COS_Units (sales)'!Y39+'COS_Units (sales)'!Y48</f>
        <v>43513</v>
      </c>
      <c r="Z19" s="16">
        <f>'COS_Units (sales)'!Z39+'COS_Units (sales)'!Z48</f>
        <v>19689</v>
      </c>
      <c r="AA19" s="16">
        <f>'COS_Units (sales)'!AA39+'COS_Units (sales)'!AA48</f>
        <v>356563</v>
      </c>
      <c r="AB19" s="275">
        <f t="shared" si="8"/>
        <v>0.32101478567833791</v>
      </c>
      <c r="AC19" s="16">
        <f>'COS_Units (sales)'!AC39+'COS_Units (sales)'!AC48</f>
        <v>332739</v>
      </c>
      <c r="AD19" s="275">
        <f t="shared" si="13"/>
        <v>0.3622658395155548</v>
      </c>
      <c r="AE19" s="275">
        <f>'COS_Units (sales)'!AE39+'COS_Units (sales)'!AE48</f>
        <v>0.24979999999999999</v>
      </c>
      <c r="AF19" s="16">
        <f>'COS_Units (sales)'!AF39+'COS_Units (sales)'!AF48</f>
        <v>352171.05650000001</v>
      </c>
      <c r="AG19" s="275">
        <f>'COS_Units (sales)'!AG39+'COS_Units (sales)'!AG48</f>
        <v>0.317</v>
      </c>
      <c r="AH19" s="16">
        <f>'COS_Units (sales)'!AH39+'COS_Units (sales)'!AH48</f>
        <v>665221.05649999995</v>
      </c>
      <c r="AI19" s="275">
        <f>'COS_Units (sales)'!AI39+'COS_Units (sales)'!AI48</f>
        <v>0.33210000000000001</v>
      </c>
      <c r="AK19"/>
      <c r="AL19"/>
      <c r="AM19"/>
      <c r="AN19"/>
    </row>
    <row r="20" spans="1:40" s="6" customFormat="1" ht="16.5" customHeight="1">
      <c r="A20" s="411"/>
      <c r="C20" s="2660">
        <f t="shared" si="9"/>
        <v>8</v>
      </c>
      <c r="D20" s="2665" t="str">
        <f>'COS_Units (sales)'!D41</f>
        <v>Agricultural Processing (16)</v>
      </c>
      <c r="E20" s="2661">
        <f>'COS_Units (sales)'!F42</f>
        <v>418929393.88013124</v>
      </c>
      <c r="F20" s="2666">
        <f t="shared" si="0"/>
        <v>2.520176022357579E-2</v>
      </c>
      <c r="G20" s="2661">
        <f>'COS_Units (sales)'!H42</f>
        <v>429760105</v>
      </c>
      <c r="H20" s="2667">
        <f t="shared" si="1"/>
        <v>6.4585000000000004E-2</v>
      </c>
      <c r="I20" s="2661">
        <f>'COS_Units (sales)'!J42</f>
        <v>49059</v>
      </c>
      <c r="J20" s="2667">
        <f t="shared" si="2"/>
        <v>0.65000825063789303</v>
      </c>
      <c r="K20" s="2661">
        <f>'COS_Units (sales)'!L42</f>
        <v>75475</v>
      </c>
      <c r="L20" s="2667">
        <f t="shared" si="3"/>
        <v>5.4256912140105404E-2</v>
      </c>
      <c r="M20" s="2666">
        <f t="shared" si="10"/>
        <v>0.8</v>
      </c>
      <c r="N20" s="2661">
        <f>'COS_Units (sales)'!Q42</f>
        <v>94344</v>
      </c>
      <c r="O20" s="2667">
        <f t="shared" si="4"/>
        <v>5.2809758587799079E-2</v>
      </c>
      <c r="P20" s="2661">
        <f>'COS_Units (sales)'!S42</f>
        <v>94344</v>
      </c>
      <c r="Q20" s="2667">
        <f t="shared" si="5"/>
        <v>7.8767215926566755E-2</v>
      </c>
      <c r="R20" s="2661">
        <f>'COS_Units (sales)'!U42</f>
        <v>0</v>
      </c>
      <c r="S20" s="2667">
        <f t="shared" si="6"/>
        <v>0</v>
      </c>
      <c r="T20"/>
      <c r="U20" s="2660">
        <f t="shared" si="11"/>
        <v>8</v>
      </c>
      <c r="V20" s="2665" t="str">
        <f t="shared" si="12"/>
        <v>Agricultural Processing (16)</v>
      </c>
      <c r="W20" s="2661">
        <f>'COS_Units (sales)'!W42</f>
        <v>26416</v>
      </c>
      <c r="X20" s="2667">
        <f t="shared" si="7"/>
        <v>4.183360941572941E-2</v>
      </c>
      <c r="Y20" s="2661">
        <f>'COS_Units (sales)'!Y42</f>
        <v>14680</v>
      </c>
      <c r="Z20" s="2661">
        <f>'COS_Units (sales)'!Z42</f>
        <v>6643</v>
      </c>
      <c r="AA20" s="2661">
        <f>'COS_Units (sales)'!AA42</f>
        <v>63739</v>
      </c>
      <c r="AB20" s="2667">
        <f t="shared" si="8"/>
        <v>5.7384421334663378E-2</v>
      </c>
      <c r="AC20" s="2661">
        <f>'COS_Units (sales)'!AC42</f>
        <v>55702</v>
      </c>
      <c r="AD20" s="2667">
        <f t="shared" si="13"/>
        <v>6.064492527986029E-2</v>
      </c>
      <c r="AE20" s="2667">
        <f>'COS_Units (sales)'!AE42</f>
        <v>6.6199999999999995E-2</v>
      </c>
      <c r="AF20" s="2661">
        <f>'COS_Units (sales)'!AF42</f>
        <v>65972.027499999997</v>
      </c>
      <c r="AG20" s="2667">
        <f>'COS_Units (sales)'!AG42</f>
        <v>5.9400000000000001E-2</v>
      </c>
      <c r="AH20" s="2661">
        <f>'COS_Units (sales)'!AH42</f>
        <v>115031.0275</v>
      </c>
      <c r="AI20" s="2667">
        <f>'COS_Units (sales)'!AI42</f>
        <v>5.74E-2</v>
      </c>
      <c r="AK20"/>
      <c r="AL20"/>
      <c r="AM20"/>
      <c r="AN20"/>
    </row>
    <row r="21" spans="1:40" s="6" customFormat="1" ht="16.5" customHeight="1">
      <c r="A21" s="411"/>
      <c r="C21" s="236">
        <f t="shared" si="9"/>
        <v>9</v>
      </c>
      <c r="D21" s="287" t="str">
        <f>'COS_Units (sales)'!D44</f>
        <v>Agricultural Boiler (85)</v>
      </c>
      <c r="E21" s="16">
        <f>'COS_Units (sales)'!F45</f>
        <v>0</v>
      </c>
      <c r="F21" s="274">
        <f t="shared" si="0"/>
        <v>0</v>
      </c>
      <c r="G21" s="16">
        <f>'COS_Units (sales)'!H45</f>
        <v>0</v>
      </c>
      <c r="H21" s="275">
        <f t="shared" si="1"/>
        <v>0</v>
      </c>
      <c r="I21" s="16">
        <f>'COS_Units (sales)'!J45</f>
        <v>0</v>
      </c>
      <c r="J21" s="275">
        <f t="shared" si="2"/>
        <v>0</v>
      </c>
      <c r="K21" s="16">
        <f>'COS_Units (sales)'!L45</f>
        <v>0</v>
      </c>
      <c r="L21" s="275">
        <f t="shared" si="3"/>
        <v>0</v>
      </c>
      <c r="M21" s="274">
        <f t="shared" si="10"/>
        <v>0</v>
      </c>
      <c r="N21" s="16">
        <f>'COS_Units (sales)'!Q45</f>
        <v>0</v>
      </c>
      <c r="O21" s="275">
        <f t="shared" si="4"/>
        <v>0</v>
      </c>
      <c r="P21" s="16">
        <f>'COS_Units (sales)'!S45</f>
        <v>0</v>
      </c>
      <c r="Q21" s="275">
        <f t="shared" si="5"/>
        <v>0</v>
      </c>
      <c r="R21" s="16">
        <f>'COS_Units (sales)'!U45</f>
        <v>0</v>
      </c>
      <c r="S21" s="275">
        <f t="shared" si="6"/>
        <v>0</v>
      </c>
      <c r="T21"/>
      <c r="U21" s="236">
        <f t="shared" si="11"/>
        <v>9</v>
      </c>
      <c r="V21" s="287" t="str">
        <f t="shared" si="12"/>
        <v>Agricultural Boiler (85)</v>
      </c>
      <c r="W21" s="16">
        <f>'COS_Units (sales)'!W45</f>
        <v>0</v>
      </c>
      <c r="X21" s="275">
        <f t="shared" si="7"/>
        <v>0</v>
      </c>
      <c r="Y21" s="16">
        <f>'COS_Units (sales)'!Y45</f>
        <v>0</v>
      </c>
      <c r="Z21" s="16">
        <f>'COS_Units (sales)'!Z45</f>
        <v>0</v>
      </c>
      <c r="AA21" s="16">
        <f>'COS_Units (sales)'!AA45</f>
        <v>0</v>
      </c>
      <c r="AB21" s="275">
        <f t="shared" si="8"/>
        <v>0</v>
      </c>
      <c r="AC21" s="16">
        <f>'COS_Units (sales)'!AC45</f>
        <v>0</v>
      </c>
      <c r="AD21" s="275">
        <f t="shared" si="13"/>
        <v>0</v>
      </c>
      <c r="AE21" s="275">
        <f>'COS_Units (sales)'!AE45</f>
        <v>0</v>
      </c>
      <c r="AF21" s="16">
        <f>'COS_Units (sales)'!AF45</f>
        <v>0</v>
      </c>
      <c r="AG21" s="275">
        <f>'COS_Units (sales)'!AG45</f>
        <v>0</v>
      </c>
      <c r="AH21" s="16">
        <f>'COS_Units (sales)'!AH45</f>
        <v>0</v>
      </c>
      <c r="AI21" s="275">
        <f>'COS_Units (sales)'!AI45</f>
        <v>0</v>
      </c>
      <c r="AJ21" s="40"/>
      <c r="AK21"/>
      <c r="AL21"/>
      <c r="AM21"/>
      <c r="AN21"/>
    </row>
    <row r="22" spans="1:40" s="6" customFormat="1" ht="16.5" customHeight="1">
      <c r="A22" s="411"/>
      <c r="C22" s="2660">
        <f t="shared" si="9"/>
        <v>10</v>
      </c>
      <c r="D22" s="2665" t="str">
        <f>'COS_Units (sales)'!D50</f>
        <v>Street Lights (6)</v>
      </c>
      <c r="E22" s="2661">
        <f>'COS_Units (sales)'!F51</f>
        <v>4515848</v>
      </c>
      <c r="F22" s="2666">
        <f t="shared" si="0"/>
        <v>4.5201787198845746E-2</v>
      </c>
      <c r="G22" s="2661">
        <f>'COS_Units (sales)'!H51</f>
        <v>4729636</v>
      </c>
      <c r="H22" s="2667">
        <f t="shared" si="1"/>
        <v>7.1100000000000004E-4</v>
      </c>
      <c r="I22" s="2661">
        <f>'COS_Units (sales)'!J51</f>
        <v>540</v>
      </c>
      <c r="J22" s="2667">
        <f t="shared" si="2"/>
        <v>0.4499273211567732</v>
      </c>
      <c r="K22" s="2661">
        <f>'COS_Units (sales)'!L51</f>
        <v>1200</v>
      </c>
      <c r="L22" s="2667">
        <f t="shared" si="3"/>
        <v>8.6264716221432901E-4</v>
      </c>
      <c r="M22" s="2666">
        <f t="shared" si="10"/>
        <v>1</v>
      </c>
      <c r="N22" s="2661">
        <f>'COS_Units (sales)'!Q51</f>
        <v>1200</v>
      </c>
      <c r="O22" s="2667">
        <f t="shared" si="4"/>
        <v>6.7170896194097027E-4</v>
      </c>
      <c r="P22" s="2661">
        <f>'COS_Units (sales)'!S51</f>
        <v>1200</v>
      </c>
      <c r="Q22" s="2667">
        <f t="shared" si="5"/>
        <v>1.001872499701943E-3</v>
      </c>
      <c r="R22" s="2661">
        <f>'COS_Units (sales)'!U51</f>
        <v>0</v>
      </c>
      <c r="S22" s="2667">
        <f t="shared" si="6"/>
        <v>0</v>
      </c>
      <c r="T22"/>
      <c r="U22" s="2660">
        <f t="shared" si="11"/>
        <v>10</v>
      </c>
      <c r="V22" s="2665" t="str">
        <f t="shared" si="12"/>
        <v>Street Lights (6)</v>
      </c>
      <c r="W22" s="2661">
        <f>'COS_Units (sales)'!W51</f>
        <v>660</v>
      </c>
      <c r="X22" s="2667">
        <f t="shared" si="7"/>
        <v>1.0452067767406652E-3</v>
      </c>
      <c r="Y22" s="2661">
        <f>'COS_Units (sales)'!Y51</f>
        <v>351</v>
      </c>
      <c r="Z22" s="2661">
        <f>'COS_Units (sales)'!Z51</f>
        <v>159</v>
      </c>
      <c r="AA22" s="2661">
        <f>'COS_Units (sales)'!AA51</f>
        <v>891</v>
      </c>
      <c r="AB22" s="2667">
        <f t="shared" si="8"/>
        <v>8.0217009066952847E-4</v>
      </c>
      <c r="AC22" s="2661">
        <f>'COS_Units (sales)'!AC51</f>
        <v>699</v>
      </c>
      <c r="AD22" s="2667">
        <f t="shared" si="13"/>
        <v>7.6102837906398958E-4</v>
      </c>
      <c r="AE22" s="2667">
        <f>'COS_Units (sales)'!AE51</f>
        <v>0</v>
      </c>
      <c r="AF22" s="2661">
        <f>'COS_Units (sales)'!AF51</f>
        <v>0</v>
      </c>
      <c r="AG22" s="2667">
        <f>'COS_Units (sales)'!AG51</f>
        <v>0</v>
      </c>
      <c r="AH22" s="2661">
        <f>'COS_Units (sales)'!AH51</f>
        <v>540</v>
      </c>
      <c r="AI22" s="2667">
        <f>'COS_Units (sales)'!AI51</f>
        <v>2.9999999999999997E-4</v>
      </c>
      <c r="AK22"/>
      <c r="AL22"/>
      <c r="AM22"/>
      <c r="AN22"/>
    </row>
    <row r="23" spans="1:40" s="6" customFormat="1" ht="16.5" customHeight="1">
      <c r="A23" s="411"/>
      <c r="C23" s="236">
        <f t="shared" si="9"/>
        <v>11</v>
      </c>
      <c r="D23" s="287" t="str">
        <f>'COS_Units (sales)'!D53</f>
        <v>Street Lights (2)</v>
      </c>
      <c r="E23" s="16">
        <f>'COS_Units (sales)'!F54</f>
        <v>431238</v>
      </c>
      <c r="F23" s="274">
        <f t="shared" si="0"/>
        <v>4.5202743693181065E-2</v>
      </c>
      <c r="G23" s="16">
        <f>'COS_Units (sales)'!H54</f>
        <v>451654</v>
      </c>
      <c r="H23" s="275">
        <f t="shared" si="1"/>
        <v>6.7999999999999999E-5</v>
      </c>
      <c r="I23" s="16">
        <f>'COS_Units (sales)'!J54</f>
        <v>52</v>
      </c>
      <c r="J23" s="275">
        <f t="shared" si="2"/>
        <v>0.44447134309557551</v>
      </c>
      <c r="K23" s="16">
        <f>'COS_Units (sales)'!L54</f>
        <v>116</v>
      </c>
      <c r="L23" s="275">
        <f t="shared" si="3"/>
        <v>8.3389225680718468E-5</v>
      </c>
      <c r="M23" s="274">
        <f t="shared" si="10"/>
        <v>1</v>
      </c>
      <c r="N23" s="16">
        <f>'COS_Units (sales)'!Q54</f>
        <v>116</v>
      </c>
      <c r="O23" s="275">
        <f t="shared" si="4"/>
        <v>6.493186632096045E-5</v>
      </c>
      <c r="P23" s="16">
        <f>'COS_Units (sales)'!S54</f>
        <v>116</v>
      </c>
      <c r="Q23" s="275">
        <f t="shared" si="5"/>
        <v>9.6847674971187818E-5</v>
      </c>
      <c r="R23" s="16">
        <f>'COS_Units (sales)'!U54</f>
        <v>0</v>
      </c>
      <c r="S23" s="275">
        <f t="shared" si="6"/>
        <v>0</v>
      </c>
      <c r="T23"/>
      <c r="U23" s="236">
        <f t="shared" si="11"/>
        <v>11</v>
      </c>
      <c r="V23" s="287" t="str">
        <f t="shared" si="12"/>
        <v>Street Lights (2)</v>
      </c>
      <c r="W23" s="16">
        <f>'COS_Units (sales)'!W54</f>
        <v>64</v>
      </c>
      <c r="X23" s="275">
        <f t="shared" si="7"/>
        <v>1.0135338441121602E-4</v>
      </c>
      <c r="Y23" s="16">
        <f>'COS_Units (sales)'!Y54</f>
        <v>35</v>
      </c>
      <c r="Z23" s="16">
        <f>'COS_Units (sales)'!Z54</f>
        <v>16</v>
      </c>
      <c r="AA23" s="16">
        <f>'COS_Units (sales)'!AA54</f>
        <v>87</v>
      </c>
      <c r="AB23" s="275">
        <f t="shared" si="8"/>
        <v>7.8326372489617257E-5</v>
      </c>
      <c r="AC23" s="16">
        <f>'COS_Units (sales)'!AC54</f>
        <v>68</v>
      </c>
      <c r="AD23" s="275">
        <f t="shared" si="13"/>
        <v>7.4034234300931741E-5</v>
      </c>
      <c r="AE23" s="275">
        <f>'COS_Units (sales)'!AE54</f>
        <v>0</v>
      </c>
      <c r="AF23" s="16">
        <f>'COS_Units (sales)'!AF54</f>
        <v>0</v>
      </c>
      <c r="AG23" s="275">
        <f>'COS_Units (sales)'!AG54</f>
        <v>0</v>
      </c>
      <c r="AH23" s="16">
        <f>'COS_Units (sales)'!AH54</f>
        <v>52</v>
      </c>
      <c r="AI23" s="275">
        <f>'COS_Units (sales)'!AI54</f>
        <v>0</v>
      </c>
      <c r="AK23"/>
      <c r="AL23"/>
      <c r="AM23"/>
      <c r="AN23"/>
    </row>
    <row r="24" spans="1:40" s="6" customFormat="1" ht="16.5" customHeight="1">
      <c r="A24" s="411"/>
      <c r="C24" s="2660">
        <f t="shared" si="9"/>
        <v>12</v>
      </c>
      <c r="D24" s="2665" t="str">
        <f>'COS_Units (sales)'!D59</f>
        <v>Alternate Power Sales</v>
      </c>
      <c r="E24" s="2661">
        <f>'COS_Units (sales)'!F60</f>
        <v>0</v>
      </c>
      <c r="F24" s="2666">
        <f t="shared" si="0"/>
        <v>0</v>
      </c>
      <c r="G24" s="2661">
        <f>'COS_Units (sales)'!H60</f>
        <v>0</v>
      </c>
      <c r="H24" s="2667">
        <f t="shared" si="1"/>
        <v>0</v>
      </c>
      <c r="I24" s="2661">
        <f>'COS_Units (sales)'!J60</f>
        <v>0</v>
      </c>
      <c r="J24" s="2667">
        <f>IF(ISERROR(+G24/K24/8760),0,+G24/K24/8760)</f>
        <v>0</v>
      </c>
      <c r="K24" s="2661">
        <f>'COS_Units (sales)'!L60</f>
        <v>0</v>
      </c>
      <c r="L24" s="2667">
        <f t="shared" si="3"/>
        <v>0</v>
      </c>
      <c r="M24" s="2666">
        <f t="shared" si="10"/>
        <v>0</v>
      </c>
      <c r="N24" s="2661">
        <f>'COS_Units (sales)'!Q60</f>
        <v>0</v>
      </c>
      <c r="O24" s="2667">
        <f t="shared" si="4"/>
        <v>0</v>
      </c>
      <c r="P24" s="2661">
        <f>'COS_Units (sales)'!S60</f>
        <v>0</v>
      </c>
      <c r="Q24" s="2667">
        <f t="shared" si="5"/>
        <v>0</v>
      </c>
      <c r="R24" s="2661">
        <f>'COS_Units (sales)'!U60</f>
        <v>0</v>
      </c>
      <c r="S24" s="2667">
        <f t="shared" si="6"/>
        <v>0</v>
      </c>
      <c r="T24"/>
      <c r="U24" s="2660">
        <f t="shared" si="11"/>
        <v>12</v>
      </c>
      <c r="V24" s="2665" t="str">
        <f t="shared" si="12"/>
        <v>Alternate Power Sales</v>
      </c>
      <c r="W24" s="2661">
        <f>'COS_Units (sales)'!W60</f>
        <v>0</v>
      </c>
      <c r="X24" s="2667">
        <f t="shared" si="7"/>
        <v>0</v>
      </c>
      <c r="Y24" s="2661">
        <f>'COS_Units (sales)'!Y60</f>
        <v>0</v>
      </c>
      <c r="Z24" s="2661">
        <f>'COS_Units (sales)'!Z60</f>
        <v>0</v>
      </c>
      <c r="AA24" s="2661">
        <f>'COS_Units (sales)'!AA60</f>
        <v>0</v>
      </c>
      <c r="AB24" s="2667">
        <f t="shared" si="8"/>
        <v>0</v>
      </c>
      <c r="AC24" s="2661">
        <f>'COS_Units (sales)'!AC60</f>
        <v>0</v>
      </c>
      <c r="AD24" s="2667">
        <f t="shared" si="13"/>
        <v>0</v>
      </c>
      <c r="AE24" s="2667">
        <f>'COS_Units (sales)'!AE60</f>
        <v>0</v>
      </c>
      <c r="AF24" s="2661">
        <f>'COS_Units (sales)'!AF60</f>
        <v>0</v>
      </c>
      <c r="AG24" s="2667">
        <f>'COS_Units (sales)'!AG60</f>
        <v>0</v>
      </c>
      <c r="AH24" s="2661">
        <f>'COS_Units (sales)'!AH60</f>
        <v>0</v>
      </c>
      <c r="AI24" s="2667">
        <f>'COS_Units (sales)'!AI60</f>
        <v>0</v>
      </c>
      <c r="AJ24" s="135"/>
      <c r="AK24"/>
      <c r="AL24"/>
      <c r="AM24"/>
      <c r="AN24"/>
    </row>
    <row r="25" spans="1:40" s="6" customFormat="1">
      <c r="A25" s="411"/>
      <c r="C25" s="236"/>
      <c r="D25" s="11"/>
      <c r="E25" s="16"/>
      <c r="F25" s="276"/>
      <c r="G25" s="16"/>
      <c r="H25" s="275"/>
      <c r="I25" s="16"/>
      <c r="J25" s="275"/>
      <c r="K25" s="16"/>
      <c r="L25" s="275"/>
      <c r="M25" s="276"/>
      <c r="N25" s="16"/>
      <c r="O25" s="275"/>
      <c r="P25" s="16"/>
      <c r="Q25" s="275"/>
      <c r="R25" s="16"/>
      <c r="S25" s="275"/>
      <c r="T25"/>
      <c r="U25" s="236"/>
      <c r="V25" s="11"/>
      <c r="W25" s="16"/>
      <c r="X25" s="275"/>
      <c r="Y25" s="16"/>
      <c r="Z25" s="16"/>
      <c r="AA25" s="16"/>
      <c r="AB25" s="275"/>
      <c r="AC25" s="16"/>
      <c r="AD25" s="275"/>
      <c r="AE25" s="275"/>
      <c r="AF25" s="16"/>
      <c r="AG25" s="275"/>
      <c r="AH25" s="16"/>
      <c r="AI25" s="275"/>
      <c r="AJ25" s="135"/>
      <c r="AK25"/>
      <c r="AL25"/>
      <c r="AM25"/>
      <c r="AN25"/>
    </row>
    <row r="26" spans="1:40" s="6" customFormat="1" ht="16.5" customHeight="1" thickBot="1">
      <c r="A26" s="2670"/>
      <c r="C26" s="2660">
        <f>+MAX(C24)+1</f>
        <v>13</v>
      </c>
      <c r="D26" s="2671" t="s">
        <v>602</v>
      </c>
      <c r="E26" s="2672">
        <f>SUM(E13:E24)</f>
        <v>6439426471.5334721</v>
      </c>
      <c r="F26" s="2673">
        <f>(G26-E26)/G26</f>
        <v>3.2280369291499113E-2</v>
      </c>
      <c r="G26" s="2672">
        <f>SUM(G13:G24)</f>
        <v>6654227389</v>
      </c>
      <c r="H26" s="2674">
        <f>ROUND(G26/$G$26,6)</f>
        <v>1</v>
      </c>
      <c r="I26" s="2672">
        <f>SUM(I13:I24)</f>
        <v>759613</v>
      </c>
      <c r="J26" s="2674">
        <f>+G26/K26/8760</f>
        <v>0.54606643586850401</v>
      </c>
      <c r="K26" s="2672">
        <f>SUM(K13:K24)</f>
        <v>1391067</v>
      </c>
      <c r="L26" s="2674">
        <f>ROUND(K26/$K$26,6)</f>
        <v>1</v>
      </c>
      <c r="M26" s="2675"/>
      <c r="N26" s="2672">
        <f>SUM(N13:N24)</f>
        <v>1786488</v>
      </c>
      <c r="O26" s="2674">
        <f>ROUND(N26/N$26,6)</f>
        <v>1</v>
      </c>
      <c r="P26" s="2672">
        <f>SUM(P13:P24)</f>
        <v>1197757.2</v>
      </c>
      <c r="Q26" s="2674">
        <f>ROUND(P26/P$26,6)</f>
        <v>1</v>
      </c>
      <c r="R26" s="2672">
        <f>SUM(R13:R24)</f>
        <v>588730.79999999993</v>
      </c>
      <c r="S26" s="2674">
        <f>ROUND(R26/R$26,6)</f>
        <v>1</v>
      </c>
      <c r="T26"/>
      <c r="U26" s="2660">
        <f>+MAX(U24)+1</f>
        <v>13</v>
      </c>
      <c r="V26" s="2671" t="s">
        <v>602</v>
      </c>
      <c r="W26" s="2672">
        <f>SUM(W13:W24)</f>
        <v>631454</v>
      </c>
      <c r="X26" s="2674">
        <f>ROUND(W26/W$26,6)</f>
        <v>1</v>
      </c>
      <c r="Y26" s="2672">
        <f>SUM(Y13:Y24)</f>
        <v>351124</v>
      </c>
      <c r="Z26" s="2672">
        <f>SUM(Z13:Z24)</f>
        <v>158881</v>
      </c>
      <c r="AA26" s="2672">
        <f>SUM(AA13:AA24)</f>
        <v>1110737</v>
      </c>
      <c r="AB26" s="2674">
        <f>ROUND(AA26/AA$26,6)</f>
        <v>1</v>
      </c>
      <c r="AC26" s="2672">
        <f>SUM(AC13:AC24)</f>
        <v>918494</v>
      </c>
      <c r="AD26" s="2674">
        <f>ROUND(AC26/AC$26,6)</f>
        <v>1</v>
      </c>
      <c r="AE26" s="2674">
        <f>SUM(AE13:AE24)</f>
        <v>1</v>
      </c>
      <c r="AF26" s="2672">
        <f>SUM(AF13:AF24)</f>
        <v>1110807.7169000001</v>
      </c>
      <c r="AG26" s="2674">
        <f>SUM(AG13:AG24)</f>
        <v>1</v>
      </c>
      <c r="AH26" s="2672">
        <f>SUM(AH13:AH24)</f>
        <v>2003249.8544000001</v>
      </c>
      <c r="AI26" s="2674">
        <f>SUM(AI13:AI24)</f>
        <v>0.99999999999999989</v>
      </c>
      <c r="AJ26" s="135"/>
      <c r="AK26" s="135"/>
      <c r="AL26" s="135"/>
      <c r="AM26" s="135"/>
    </row>
    <row r="27" spans="1:40" ht="16.5" customHeight="1" thickTop="1">
      <c r="A27" s="411"/>
      <c r="C27" s="236"/>
      <c r="D27" s="11"/>
      <c r="E27" s="16"/>
      <c r="F27" s="276"/>
      <c r="G27" s="16"/>
      <c r="H27" s="275"/>
      <c r="I27" s="16"/>
      <c r="J27" s="275"/>
      <c r="K27" s="16"/>
      <c r="L27" s="275"/>
      <c r="M27" s="276"/>
      <c r="N27" s="16"/>
      <c r="O27" s="275"/>
      <c r="P27" s="16"/>
      <c r="Q27" s="275"/>
      <c r="R27" s="275"/>
      <c r="S27" s="275"/>
      <c r="U27" s="275"/>
      <c r="V27" s="275"/>
      <c r="W27" s="16"/>
      <c r="X27" s="275"/>
      <c r="Y27" s="118"/>
      <c r="Z27" s="118"/>
      <c r="AA27" s="16"/>
      <c r="AB27" s="275"/>
      <c r="AC27" s="16"/>
      <c r="AD27" s="275"/>
      <c r="AE27" s="275"/>
      <c r="AF27" s="16"/>
      <c r="AG27" s="275"/>
      <c r="AH27" s="16"/>
      <c r="AI27" s="275"/>
    </row>
    <row r="28" spans="1:40" ht="16.5" customHeight="1">
      <c r="A28" s="411"/>
      <c r="C28" s="2660">
        <f>+MAX(C26)+1</f>
        <v>14</v>
      </c>
      <c r="D28" s="2763"/>
      <c r="E28" s="51"/>
      <c r="F28" s="2890"/>
      <c r="G28" s="2661"/>
      <c r="H28" s="2891" t="s">
        <v>447</v>
      </c>
      <c r="I28" s="2661">
        <f>'COS_Units (sales)'!J64</f>
        <v>1110807.4145326638</v>
      </c>
      <c r="J28" s="2892"/>
      <c r="K28" s="2661"/>
      <c r="L28" s="2667"/>
      <c r="M28" s="2890"/>
      <c r="N28" s="2661"/>
      <c r="O28" s="2667"/>
      <c r="P28" s="2661"/>
      <c r="Q28" s="2667"/>
      <c r="R28" s="2667"/>
      <c r="S28" s="2667"/>
      <c r="U28" s="275"/>
      <c r="V28" s="275"/>
      <c r="W28" s="16"/>
      <c r="X28" s="275"/>
      <c r="Y28" s="118"/>
      <c r="Z28" s="118"/>
      <c r="AA28" s="16"/>
      <c r="AB28" s="275"/>
      <c r="AC28" s="16"/>
      <c r="AD28" s="275"/>
      <c r="AE28" s="275"/>
      <c r="AF28" s="275"/>
      <c r="AG28" s="275"/>
      <c r="AH28" s="275"/>
      <c r="AI28" s="275"/>
    </row>
    <row r="29" spans="1:40" ht="16.5" customHeight="1">
      <c r="A29" s="411"/>
      <c r="C29" s="236"/>
      <c r="D29" s="11"/>
      <c r="E29"/>
      <c r="F29" s="276"/>
      <c r="G29" s="16"/>
      <c r="H29" s="506"/>
      <c r="I29" s="16"/>
      <c r="J29" s="275"/>
      <c r="K29" s="16"/>
      <c r="L29" s="275"/>
      <c r="M29" s="276"/>
      <c r="N29" s="16"/>
      <c r="O29" s="275"/>
      <c r="P29" s="16"/>
      <c r="Q29" s="275"/>
      <c r="R29" s="275"/>
      <c r="S29" s="275"/>
      <c r="U29" s="275"/>
      <c r="V29" s="275"/>
      <c r="W29" s="16"/>
      <c r="X29" s="275"/>
      <c r="Y29" s="118"/>
      <c r="Z29" s="118"/>
      <c r="AA29" s="16"/>
      <c r="AB29" s="275"/>
      <c r="AC29" s="16"/>
      <c r="AD29" s="275"/>
      <c r="AE29" s="275"/>
      <c r="AF29" s="275"/>
      <c r="AG29" s="275"/>
      <c r="AH29" s="275"/>
      <c r="AI29" s="275"/>
    </row>
    <row r="30" spans="1:40" ht="16.5" customHeight="1">
      <c r="A30" s="411"/>
      <c r="C30" s="2660">
        <f>+MAX(C28)+1</f>
        <v>15</v>
      </c>
      <c r="D30" s="2763"/>
      <c r="E30" s="2661"/>
      <c r="F30" s="2890"/>
      <c r="G30" s="2661"/>
      <c r="H30" s="2891" t="s">
        <v>211</v>
      </c>
      <c r="I30" s="2661">
        <f>I28-I26</f>
        <v>351194.41453266377</v>
      </c>
      <c r="J30" s="2667"/>
      <c r="K30" s="2661"/>
      <c r="L30" s="2667"/>
      <c r="M30" s="2890"/>
      <c r="N30" s="2661"/>
      <c r="O30" s="2667"/>
      <c r="P30" s="2661"/>
      <c r="Q30" s="2667"/>
      <c r="R30" s="2667"/>
      <c r="S30" s="2667"/>
      <c r="U30" s="275"/>
      <c r="V30" s="275"/>
      <c r="W30" s="16"/>
      <c r="X30" s="275"/>
      <c r="Y30" s="118"/>
      <c r="Z30" s="118"/>
      <c r="AA30" s="16"/>
      <c r="AB30" s="275"/>
      <c r="AC30" s="16"/>
      <c r="AD30" s="275"/>
      <c r="AE30" s="275"/>
      <c r="AF30" s="275"/>
      <c r="AG30" s="275"/>
      <c r="AH30" s="275"/>
      <c r="AI30" s="275"/>
    </row>
    <row r="31" spans="1:40">
      <c r="A31" s="411"/>
      <c r="C31" s="4"/>
      <c r="D31" s="4"/>
      <c r="E31" s="4"/>
      <c r="F31" s="4"/>
      <c r="G31" s="4"/>
      <c r="H31" s="4"/>
      <c r="I31" s="4"/>
      <c r="J31" s="4"/>
      <c r="K31" s="4"/>
      <c r="L31" s="4"/>
      <c r="M31" s="4"/>
      <c r="N31" s="4"/>
      <c r="O31" s="4"/>
      <c r="P31" s="4"/>
      <c r="Q31" s="4"/>
      <c r="R31" s="4"/>
      <c r="S31" s="4"/>
      <c r="U31" s="4"/>
      <c r="V31" s="4"/>
      <c r="W31" s="4"/>
      <c r="X31" s="4"/>
      <c r="Y31" s="4"/>
      <c r="Z31" s="4"/>
      <c r="AA31" s="4"/>
      <c r="AB31" s="4"/>
      <c r="AC31" s="4"/>
      <c r="AD31" s="4"/>
      <c r="AE31" s="4"/>
      <c r="AF31" s="4"/>
      <c r="AG31" s="4"/>
      <c r="AH31" s="4"/>
      <c r="AI31" s="4"/>
    </row>
    <row r="32" spans="1:40">
      <c r="A32" s="411"/>
    </row>
    <row r="33" spans="1:7">
      <c r="A33" s="411"/>
    </row>
    <row r="34" spans="1:7">
      <c r="A34" s="411"/>
      <c r="E34"/>
      <c r="G34" s="6"/>
    </row>
    <row r="35" spans="1:7">
      <c r="A35" s="411"/>
      <c r="E35"/>
      <c r="G35" s="6"/>
    </row>
    <row r="36" spans="1:7">
      <c r="A36" s="411"/>
      <c r="E36"/>
      <c r="G36" s="6"/>
    </row>
    <row r="37" spans="1:7">
      <c r="A37" s="411"/>
      <c r="E37"/>
      <c r="G37" s="6"/>
    </row>
    <row r="38" spans="1:7" hidden="1">
      <c r="A38" s="411"/>
      <c r="E38"/>
      <c r="G38" s="6"/>
    </row>
    <row r="39" spans="1:7" hidden="1">
      <c r="A39" s="411"/>
      <c r="E39"/>
      <c r="G39" s="6"/>
    </row>
    <row r="40" spans="1:7" hidden="1">
      <c r="A40" s="411"/>
      <c r="E40"/>
      <c r="G40" s="6"/>
    </row>
    <row r="41" spans="1:7" hidden="1">
      <c r="A41" s="411"/>
      <c r="E41"/>
      <c r="G41" s="6"/>
    </row>
    <row r="42" spans="1:7" hidden="1">
      <c r="A42" s="411"/>
      <c r="E42"/>
      <c r="G42" s="6"/>
    </row>
    <row r="43" spans="1:7" hidden="1">
      <c r="A43" s="411"/>
      <c r="D43" s="6"/>
      <c r="E43" s="40"/>
      <c r="F43" s="6"/>
      <c r="G43" s="6"/>
    </row>
    <row r="44" spans="1:7" hidden="1">
      <c r="A44" s="411"/>
    </row>
    <row r="45" spans="1:7" hidden="1">
      <c r="A45" s="411"/>
    </row>
    <row r="46" spans="1:7" hidden="1">
      <c r="A46" s="411"/>
    </row>
    <row r="47" spans="1:7" hidden="1">
      <c r="A47" s="411"/>
    </row>
    <row r="48" spans="1:7" hidden="1">
      <c r="A48" s="411"/>
    </row>
    <row r="49" spans="1:1" hidden="1">
      <c r="A49" s="411"/>
    </row>
    <row r="50" spans="1:1" hidden="1">
      <c r="A50" s="411"/>
    </row>
    <row r="51" spans="1:1" hidden="1">
      <c r="A51" s="411"/>
    </row>
    <row r="52" spans="1:1" hidden="1">
      <c r="A52" s="411"/>
    </row>
    <row r="53" spans="1:1" hidden="1">
      <c r="A53" s="411"/>
    </row>
    <row r="54" spans="1:1" hidden="1">
      <c r="A54" s="411"/>
    </row>
    <row r="55" spans="1:1" hidden="1">
      <c r="A55" s="411"/>
    </row>
    <row r="56" spans="1:1" hidden="1">
      <c r="A56" s="411"/>
    </row>
    <row r="57" spans="1:1" hidden="1"/>
    <row r="58" spans="1:1" hidden="1"/>
    <row r="59" spans="1:1" hidden="1"/>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t="15.75" hidden="1" customHeight="1"/>
    <row r="237" hidden="1"/>
    <row r="238" hidden="1"/>
    <row r="239"/>
  </sheetData>
  <mergeCells count="22">
    <mergeCell ref="C1:AI1"/>
    <mergeCell ref="C4:AI4"/>
    <mergeCell ref="M7:O7"/>
    <mergeCell ref="P7:Q8"/>
    <mergeCell ref="AC8:AD8"/>
    <mergeCell ref="AC7:AD7"/>
    <mergeCell ref="C3:AI3"/>
    <mergeCell ref="C2:AI2"/>
    <mergeCell ref="K7:L7"/>
    <mergeCell ref="AE7:AE8"/>
    <mergeCell ref="G8:H8"/>
    <mergeCell ref="R7:S8"/>
    <mergeCell ref="K8:L8"/>
    <mergeCell ref="AF8:AG8"/>
    <mergeCell ref="W7:X7"/>
    <mergeCell ref="AA7:AB7"/>
    <mergeCell ref="M8:O8"/>
    <mergeCell ref="AF7:AG7"/>
    <mergeCell ref="AH7:AI7"/>
    <mergeCell ref="AH8:AI8"/>
    <mergeCell ref="W8:X8"/>
    <mergeCell ref="AA8:AB8"/>
  </mergeCells>
  <phoneticPr fontId="8" type="noConversion"/>
  <pageMargins left="0.25" right="0.25" top="0.75" bottom="0.5" header="0.5" footer="0.25"/>
  <pageSetup paperSize="17" scale="78" fitToHeight="3" orientation="landscape" r:id="rId1"/>
  <headerFooter alignWithMargins="0">
    <oddFooter>&amp;L&amp;F: &amp;A&amp;CDate: &amp;D&amp;RPage: &amp;P of &amp;N</oddFooter>
  </headerFooter>
  <ignoredErrors>
    <ignoredError sqref="AE26 W26:Y26 AA26:AB26 F26:S26" formula="1"/>
  </ignoredError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BE224"/>
  <sheetViews>
    <sheetView showGridLines="0" zoomScale="70" zoomScaleNormal="70" zoomScaleSheetLayoutView="75" workbookViewId="0">
      <pane xSplit="4" ySplit="10" topLeftCell="N11" activePane="bottomRight" state="frozen"/>
      <selection activeCell="D11" sqref="D11"/>
      <selection pane="topRight" activeCell="D11" sqref="D11"/>
      <selection pane="bottomLeft" activeCell="D11" sqref="D11"/>
      <selection pane="bottomRight" activeCell="Q30" sqref="Q30"/>
    </sheetView>
  </sheetViews>
  <sheetFormatPr defaultColWidth="0" defaultRowHeight="15.75" zeroHeight="1"/>
  <cols>
    <col min="1" max="1" width="22.625" customWidth="1"/>
    <col min="2" max="2" width="1.125" customWidth="1"/>
    <col min="3" max="3" width="5.25" customWidth="1"/>
    <col min="4" max="4" width="24.625" customWidth="1"/>
    <col min="5" max="5" width="9.75" style="1" bestFit="1" customWidth="1"/>
    <col min="6" max="6" width="10" customWidth="1"/>
    <col min="7" max="7" width="13" customWidth="1"/>
    <col min="8" max="8" width="8.75" customWidth="1"/>
    <col min="9" max="9" width="9.125" bestFit="1" customWidth="1"/>
    <col min="10" max="10" width="12.125" bestFit="1" customWidth="1"/>
    <col min="11" max="11" width="8.75" bestFit="1" customWidth="1"/>
    <col min="12" max="12" width="9.125" bestFit="1" customWidth="1"/>
    <col min="13" max="13" width="12.125" bestFit="1" customWidth="1"/>
    <col min="14" max="14" width="8.75" bestFit="1" customWidth="1"/>
    <col min="15" max="15" width="9.125" bestFit="1" customWidth="1"/>
    <col min="16" max="16" width="12.125" bestFit="1" customWidth="1"/>
    <col min="17" max="17" width="8.75" bestFit="1" customWidth="1"/>
    <col min="18" max="18" width="9.75" bestFit="1" customWidth="1"/>
    <col min="19" max="19" width="12.625" bestFit="1" customWidth="1"/>
    <col min="20" max="20" width="8.75" bestFit="1" customWidth="1"/>
    <col min="21" max="21" width="13.375" bestFit="1" customWidth="1"/>
    <col min="22" max="22" width="8.75" bestFit="1" customWidth="1"/>
    <col min="23" max="23" width="8.5" bestFit="1" customWidth="1"/>
    <col min="24" max="24" width="8.75" bestFit="1" customWidth="1"/>
    <col min="25" max="25" width="3.5" customWidth="1"/>
    <col min="26" max="26" width="0" hidden="1" customWidth="1"/>
    <col min="27" max="27" width="11.5" hidden="1" customWidth="1"/>
  </cols>
  <sheetData>
    <row r="1" spans="1:57" ht="16.5" customHeight="1">
      <c r="A1" s="411"/>
      <c r="C1" s="90"/>
      <c r="D1" s="91"/>
      <c r="E1" s="173"/>
      <c r="F1" s="93"/>
      <c r="G1" s="94"/>
      <c r="H1" s="95"/>
      <c r="I1" s="173"/>
      <c r="J1" s="87"/>
      <c r="K1" s="173"/>
      <c r="L1" s="174"/>
      <c r="M1" s="87"/>
      <c r="N1" s="173"/>
      <c r="O1" s="175"/>
      <c r="P1" s="86"/>
      <c r="Q1" s="86"/>
      <c r="R1" s="86"/>
      <c r="S1" s="86"/>
      <c r="T1" s="86"/>
      <c r="U1" s="98"/>
      <c r="V1" s="175"/>
      <c r="W1" s="98"/>
      <c r="X1" s="175"/>
      <c r="Y1" s="177"/>
      <c r="Z1" s="1"/>
    </row>
    <row r="2" spans="1:57" ht="21.95" customHeight="1">
      <c r="A2" s="411"/>
      <c r="C2" s="4551" t="s">
        <v>395</v>
      </c>
      <c r="D2" s="4551"/>
      <c r="E2" s="4551"/>
      <c r="F2" s="4551"/>
      <c r="G2" s="4551"/>
      <c r="H2" s="4551"/>
      <c r="I2" s="4551"/>
      <c r="J2" s="4551"/>
      <c r="K2" s="4551"/>
      <c r="L2" s="4551"/>
      <c r="M2" s="4551"/>
      <c r="N2" s="4551"/>
      <c r="O2" s="4551"/>
      <c r="P2" s="4551"/>
      <c r="Q2" s="4551"/>
      <c r="R2" s="4551"/>
      <c r="S2" s="4551"/>
      <c r="T2" s="4551"/>
      <c r="U2" s="4551"/>
      <c r="V2" s="4551"/>
      <c r="W2" s="4551"/>
      <c r="X2" s="4551"/>
      <c r="Y2" s="177"/>
      <c r="Z2" s="1"/>
    </row>
    <row r="3" spans="1:57" ht="21.95" customHeight="1">
      <c r="A3" s="411"/>
      <c r="C3" s="4563" t="str">
        <f>Client</f>
        <v>Grant County Public Utility District</v>
      </c>
      <c r="D3" s="4563"/>
      <c r="E3" s="4563"/>
      <c r="F3" s="4563"/>
      <c r="G3" s="4563"/>
      <c r="H3" s="4563"/>
      <c r="I3" s="4563"/>
      <c r="J3" s="4563"/>
      <c r="K3" s="4563"/>
      <c r="L3" s="4563"/>
      <c r="M3" s="4563"/>
      <c r="N3" s="4563"/>
      <c r="O3" s="4563"/>
      <c r="P3" s="4563"/>
      <c r="Q3" s="4563"/>
      <c r="R3" s="4563"/>
      <c r="S3" s="4563"/>
      <c r="T3" s="4563"/>
      <c r="U3" s="4563"/>
      <c r="V3" s="4563"/>
      <c r="W3" s="4563"/>
      <c r="X3" s="4563"/>
      <c r="Y3" s="177"/>
      <c r="Z3" s="1"/>
    </row>
    <row r="4" spans="1:57" ht="21.95" customHeight="1">
      <c r="A4" s="411"/>
      <c r="C4" s="4563" t="s">
        <v>613</v>
      </c>
      <c r="D4" s="4563"/>
      <c r="E4" s="4563"/>
      <c r="F4" s="4563"/>
      <c r="G4" s="4563"/>
      <c r="H4" s="4563"/>
      <c r="I4" s="4563"/>
      <c r="J4" s="4563"/>
      <c r="K4" s="4563"/>
      <c r="L4" s="4563"/>
      <c r="M4" s="4563"/>
      <c r="N4" s="4563"/>
      <c r="O4" s="4563"/>
      <c r="P4" s="4563"/>
      <c r="Q4" s="4563"/>
      <c r="R4" s="4563"/>
      <c r="S4" s="4563"/>
      <c r="T4" s="4563"/>
      <c r="U4" s="4563"/>
      <c r="V4" s="4563"/>
      <c r="W4" s="4563"/>
      <c r="X4" s="4563"/>
      <c r="Y4" s="177"/>
      <c r="Z4" s="1"/>
    </row>
    <row r="5" spans="1:57" ht="21.95" customHeight="1">
      <c r="A5" s="411"/>
      <c r="B5" s="86"/>
      <c r="C5" s="4551"/>
      <c r="D5" s="4551"/>
      <c r="E5" s="4551"/>
      <c r="F5" s="4551"/>
      <c r="G5" s="4551"/>
      <c r="H5" s="4551"/>
      <c r="I5" s="4551"/>
      <c r="J5" s="4551"/>
      <c r="K5" s="4551"/>
      <c r="L5" s="4551"/>
      <c r="M5" s="4551"/>
      <c r="N5" s="4551"/>
      <c r="O5" s="4551"/>
      <c r="P5" s="4551"/>
      <c r="Q5" s="4551"/>
      <c r="R5" s="4551"/>
      <c r="S5" s="4551"/>
      <c r="T5" s="4551"/>
      <c r="U5" s="4551"/>
      <c r="V5" s="4551"/>
      <c r="W5" s="4551"/>
      <c r="X5" s="4551"/>
      <c r="Y5" s="175"/>
      <c r="Z5" s="1"/>
    </row>
    <row r="6" spans="1:57" ht="21.95" customHeight="1">
      <c r="A6" s="411"/>
      <c r="B6" s="86"/>
      <c r="C6" s="86"/>
      <c r="D6" s="86"/>
      <c r="E6" s="86"/>
      <c r="F6" s="86"/>
      <c r="G6" s="86"/>
      <c r="H6" s="178"/>
      <c r="I6" s="86"/>
      <c r="J6" s="86"/>
      <c r="K6" s="86"/>
      <c r="L6" s="86"/>
      <c r="M6" s="86"/>
      <c r="N6" s="86"/>
      <c r="O6" s="86"/>
      <c r="P6" s="86"/>
      <c r="Q6" s="86"/>
      <c r="R6" s="86"/>
      <c r="S6" s="86"/>
      <c r="T6" s="86"/>
      <c r="U6" s="86"/>
      <c r="V6" s="86"/>
      <c r="W6" s="86"/>
      <c r="X6" s="86"/>
      <c r="Y6" s="175"/>
      <c r="Z6" s="1"/>
    </row>
    <row r="7" spans="1:57" ht="16.5" customHeight="1" thickBot="1">
      <c r="A7" s="411"/>
      <c r="B7" s="86"/>
      <c r="C7" s="83"/>
      <c r="D7" s="83"/>
      <c r="E7" s="2579" t="s">
        <v>674</v>
      </c>
      <c r="F7" s="2579" t="s">
        <v>155</v>
      </c>
      <c r="G7" s="2579" t="s">
        <v>675</v>
      </c>
      <c r="H7" s="2579" t="s">
        <v>676</v>
      </c>
      <c r="I7" s="2579" t="s">
        <v>677</v>
      </c>
      <c r="J7" s="2579" t="s">
        <v>140</v>
      </c>
      <c r="K7" s="2579" t="s">
        <v>141</v>
      </c>
      <c r="L7" s="2579" t="s">
        <v>142</v>
      </c>
      <c r="M7" s="2579" t="s">
        <v>143</v>
      </c>
      <c r="N7" s="2579" t="s">
        <v>145</v>
      </c>
      <c r="O7" s="2579" t="s">
        <v>146</v>
      </c>
      <c r="P7" s="2579" t="s">
        <v>147</v>
      </c>
      <c r="Q7" s="2579" t="s">
        <v>148</v>
      </c>
      <c r="R7" s="2579" t="s">
        <v>149</v>
      </c>
      <c r="S7" s="2579" t="s">
        <v>150</v>
      </c>
      <c r="T7" s="2579" t="s">
        <v>151</v>
      </c>
      <c r="U7" s="2579" t="s">
        <v>153</v>
      </c>
      <c r="V7" s="2579" t="s">
        <v>154</v>
      </c>
      <c r="W7" s="2579" t="s">
        <v>449</v>
      </c>
      <c r="X7" s="2579" t="s">
        <v>450</v>
      </c>
      <c r="Y7" s="99"/>
      <c r="Z7" s="1"/>
    </row>
    <row r="8" spans="1:57" ht="16.5" customHeight="1" thickBot="1">
      <c r="A8" s="411"/>
      <c r="B8" s="86"/>
      <c r="C8" s="3275"/>
      <c r="D8" s="3275"/>
      <c r="E8" s="3275" t="s">
        <v>144</v>
      </c>
      <c r="F8" s="4562" t="s">
        <v>137</v>
      </c>
      <c r="G8" s="4562"/>
      <c r="H8" s="4562"/>
      <c r="I8" s="4562" t="s">
        <v>171</v>
      </c>
      <c r="J8" s="4562"/>
      <c r="K8" s="4562"/>
      <c r="L8" s="4562" t="s">
        <v>172</v>
      </c>
      <c r="M8" s="4562"/>
      <c r="N8" s="4562"/>
      <c r="O8" s="4562" t="s">
        <v>25</v>
      </c>
      <c r="P8" s="4562"/>
      <c r="Q8" s="4562"/>
      <c r="R8" s="4562" t="s">
        <v>26</v>
      </c>
      <c r="S8" s="4562"/>
      <c r="T8" s="4562"/>
      <c r="U8" s="4562" t="s">
        <v>304</v>
      </c>
      <c r="V8" s="4562"/>
      <c r="W8" s="4562" t="s">
        <v>382</v>
      </c>
      <c r="X8" s="4562"/>
      <c r="Y8" s="171"/>
      <c r="Z8" s="1"/>
    </row>
    <row r="9" spans="1:57" ht="16.5" customHeight="1">
      <c r="A9" s="411"/>
      <c r="B9" s="86"/>
      <c r="C9" s="3276"/>
      <c r="D9" s="3276"/>
      <c r="E9" s="3276" t="s">
        <v>3102</v>
      </c>
      <c r="F9" s="3275" t="s">
        <v>138</v>
      </c>
      <c r="G9" s="3275" t="s">
        <v>177</v>
      </c>
      <c r="H9" s="3275"/>
      <c r="I9" s="3275" t="s">
        <v>138</v>
      </c>
      <c r="J9" s="3275" t="s">
        <v>177</v>
      </c>
      <c r="K9" s="3275"/>
      <c r="L9" s="3275" t="s">
        <v>138</v>
      </c>
      <c r="M9" s="3275" t="s">
        <v>177</v>
      </c>
      <c r="N9" s="3275"/>
      <c r="O9" s="3275" t="s">
        <v>138</v>
      </c>
      <c r="P9" s="3275" t="s">
        <v>177</v>
      </c>
      <c r="Q9" s="3275"/>
      <c r="R9" s="3275" t="s">
        <v>138</v>
      </c>
      <c r="S9" s="3275" t="s">
        <v>177</v>
      </c>
      <c r="T9" s="3275"/>
      <c r="U9" s="3275"/>
      <c r="V9" s="3275"/>
      <c r="W9" s="3275"/>
      <c r="X9" s="3275"/>
      <c r="Y9" s="172"/>
      <c r="Z9" s="1"/>
    </row>
    <row r="10" spans="1:57" ht="16.5" customHeight="1" thickBot="1">
      <c r="A10" s="411"/>
      <c r="B10" s="86"/>
      <c r="C10" s="3277" t="s">
        <v>867</v>
      </c>
      <c r="D10" s="3277" t="s">
        <v>118</v>
      </c>
      <c r="E10" s="3277" t="s">
        <v>606</v>
      </c>
      <c r="F10" s="3277" t="s">
        <v>139</v>
      </c>
      <c r="G10" s="3277" t="s">
        <v>673</v>
      </c>
      <c r="H10" s="3277" t="s">
        <v>122</v>
      </c>
      <c r="I10" s="3277" t="s">
        <v>139</v>
      </c>
      <c r="J10" s="3277" t="s">
        <v>673</v>
      </c>
      <c r="K10" s="3277" t="s">
        <v>122</v>
      </c>
      <c r="L10" s="3277" t="s">
        <v>139</v>
      </c>
      <c r="M10" s="3277" t="s">
        <v>673</v>
      </c>
      <c r="N10" s="3277" t="s">
        <v>122</v>
      </c>
      <c r="O10" s="3277" t="s">
        <v>139</v>
      </c>
      <c r="P10" s="3277" t="s">
        <v>673</v>
      </c>
      <c r="Q10" s="3277" t="s">
        <v>122</v>
      </c>
      <c r="R10" s="3277" t="s">
        <v>139</v>
      </c>
      <c r="S10" s="3277" t="s">
        <v>673</v>
      </c>
      <c r="T10" s="3277" t="s">
        <v>122</v>
      </c>
      <c r="U10" s="3277" t="s">
        <v>121</v>
      </c>
      <c r="V10" s="3277" t="s">
        <v>122</v>
      </c>
      <c r="W10" s="3277" t="s">
        <v>121</v>
      </c>
      <c r="X10" s="3277" t="s">
        <v>122</v>
      </c>
      <c r="Y10" s="100"/>
      <c r="Z10" s="1"/>
    </row>
    <row r="11" spans="1:57" ht="16.5" customHeight="1" thickBot="1">
      <c r="A11" s="411"/>
      <c r="B11" s="86"/>
      <c r="C11" s="3278"/>
      <c r="D11" s="3279"/>
      <c r="E11" s="3278"/>
      <c r="F11" s="3279"/>
      <c r="G11" s="3280" t="s">
        <v>852</v>
      </c>
      <c r="H11" s="3279" t="str">
        <f>'COS_Units (cust)'!I12</f>
        <v>CUS1</v>
      </c>
      <c r="I11" s="3280"/>
      <c r="J11" s="3279" t="s">
        <v>853</v>
      </c>
      <c r="K11" s="3280" t="str">
        <f>'COS_Units (cust)'!L12</f>
        <v>CUS2</v>
      </c>
      <c r="L11" s="3279"/>
      <c r="M11" s="3279" t="s">
        <v>854</v>
      </c>
      <c r="N11" s="3279" t="str">
        <f>'COS_Units (cust)'!O12</f>
        <v>CUS3</v>
      </c>
      <c r="O11" s="3279"/>
      <c r="P11" s="3279" t="s">
        <v>855</v>
      </c>
      <c r="Q11" s="3279" t="str">
        <f>'COS_Units (cust)'!R12</f>
        <v>CUS4U</v>
      </c>
      <c r="R11" s="3279"/>
      <c r="S11" s="3279" t="s">
        <v>855</v>
      </c>
      <c r="T11" s="3279" t="str">
        <f>'COS_Units (cust)'!U12</f>
        <v>CUS4R</v>
      </c>
      <c r="U11" s="3280"/>
      <c r="V11" s="3279" t="str">
        <f>'COS_Units (cust)'!W12</f>
        <v>REV</v>
      </c>
      <c r="W11" s="3280"/>
      <c r="X11" s="3279" t="str">
        <f>'COS_Units (cust)'!Y12</f>
        <v>CUST</v>
      </c>
      <c r="Y11" s="101"/>
      <c r="Z11" s="1"/>
    </row>
    <row r="12" spans="1:57" ht="6.75" customHeight="1">
      <c r="A12" s="411"/>
      <c r="B12" s="86"/>
      <c r="C12" s="197"/>
      <c r="D12" s="197"/>
      <c r="E12" s="257"/>
      <c r="F12" s="258"/>
      <c r="G12" s="257"/>
      <c r="H12" s="181"/>
      <c r="I12" s="257"/>
      <c r="J12" s="258"/>
      <c r="K12" s="257"/>
      <c r="L12" s="364"/>
      <c r="M12" s="258"/>
      <c r="N12" s="257"/>
      <c r="O12" s="507"/>
      <c r="P12" s="257"/>
      <c r="Q12" s="507"/>
      <c r="R12" s="507"/>
      <c r="S12" s="507"/>
      <c r="T12" s="507"/>
      <c r="U12" s="257"/>
      <c r="V12" s="257"/>
      <c r="W12" s="257"/>
      <c r="X12" s="257"/>
      <c r="Y12" s="64"/>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5"/>
      <c r="BA12" s="17"/>
      <c r="BB12" s="17"/>
      <c r="BC12" s="17"/>
      <c r="BD12" s="17"/>
      <c r="BE12" s="17"/>
    </row>
    <row r="13" spans="1:57" ht="16.5" customHeight="1">
      <c r="A13" s="411"/>
      <c r="B13" s="86"/>
      <c r="C13" s="268">
        <f>+MAX($C$12:C12)+1</f>
        <v>1</v>
      </c>
      <c r="D13" s="38" t="str">
        <f>'Table 3'!D13</f>
        <v>Residential-Urban (1)</v>
      </c>
      <c r="E13" s="257">
        <f>'COS_Units (cust)'!F15</f>
        <v>21400</v>
      </c>
      <c r="F13" s="508">
        <f>IF(ISERROR(G13/E13),0,G13/E13)</f>
        <v>1</v>
      </c>
      <c r="G13" s="257">
        <f>'COS_Units (cust)'!H15</f>
        <v>21400</v>
      </c>
      <c r="H13" s="181">
        <f t="shared" ref="H13:H24" si="0">ROUND(G13/G$26,6)</f>
        <v>0.33907999999999999</v>
      </c>
      <c r="I13" s="508">
        <f t="shared" ref="I13:I23" si="1">IF(ISERROR(J13/E13),0,J13/E13)</f>
        <v>1</v>
      </c>
      <c r="J13" s="257">
        <f>'COS_Units (cust)'!K15</f>
        <v>21400</v>
      </c>
      <c r="K13" s="181">
        <f t="shared" ref="K13:K24" si="2">ROUND(J13/J$26,6)</f>
        <v>0.23135600000000001</v>
      </c>
      <c r="L13" s="508">
        <f t="shared" ref="L13:L23" si="3">IF(ISERROR(M13/E13),0,M13/E13)</f>
        <v>1</v>
      </c>
      <c r="M13" s="257">
        <f>'COS_Units (cust)'!N15</f>
        <v>21400</v>
      </c>
      <c r="N13" s="181">
        <f t="shared" ref="N13:N24" si="4">ROUND(M13/M$26,6)</f>
        <v>0.21560199999999999</v>
      </c>
      <c r="O13" s="508">
        <f t="shared" ref="O13:O23" si="5">IF(ISERROR(P13/E13),0,P13/E13)</f>
        <v>1</v>
      </c>
      <c r="P13" s="257">
        <f>'COS_Units (cust)'!Q15</f>
        <v>21400</v>
      </c>
      <c r="Q13" s="181">
        <f t="shared" ref="Q13:Q24" si="6">ROUND(P13/P$26,6)</f>
        <v>0.80056899999999998</v>
      </c>
      <c r="R13" s="508">
        <f>IF(ISERROR(S13/E13),0,S13/E13)</f>
        <v>0</v>
      </c>
      <c r="S13" s="257">
        <f>'COS_Units (cust)'!T15</f>
        <v>0</v>
      </c>
      <c r="T13" s="181">
        <f t="shared" ref="T13:T24" si="7">ROUND(S13/S$26,6)</f>
        <v>0</v>
      </c>
      <c r="U13" s="257">
        <f>'COS_Units (cust)'!V15</f>
        <v>23870689.237511843</v>
      </c>
      <c r="V13" s="181">
        <f t="shared" ref="V13:V24" si="8">ROUND(U13/U$26,6)</f>
        <v>8.3940000000000001E-2</v>
      </c>
      <c r="W13" s="257">
        <f>'COS_Units (cust)'!X15</f>
        <v>21400</v>
      </c>
      <c r="X13" s="181">
        <f t="shared" ref="X13:X24" si="9">ROUND(W13/W$26,6)</f>
        <v>0.39157599999999998</v>
      </c>
      <c r="Y13" s="64"/>
      <c r="Z13" s="64"/>
      <c r="AA13" s="165"/>
      <c r="AB13" s="64"/>
      <c r="AC13" s="165"/>
      <c r="AD13" s="166"/>
      <c r="AE13" s="165"/>
      <c r="AF13" s="64"/>
      <c r="AG13" s="165"/>
      <c r="AH13" s="64"/>
      <c r="AI13" s="165"/>
      <c r="AJ13" s="166"/>
      <c r="AK13" s="165"/>
      <c r="AL13" s="64"/>
      <c r="AM13" s="165"/>
      <c r="AN13" s="64"/>
      <c r="AO13" s="165"/>
      <c r="AP13" s="166"/>
      <c r="AQ13" s="165"/>
      <c r="AR13" s="64"/>
      <c r="AS13" s="165"/>
      <c r="AT13" s="64"/>
      <c r="AU13" s="165"/>
      <c r="AV13" s="166"/>
      <c r="AW13" s="165"/>
      <c r="AX13" s="166"/>
      <c r="AY13" s="165"/>
      <c r="AZ13" s="166"/>
      <c r="BA13" s="17"/>
      <c r="BB13" s="17"/>
      <c r="BC13" s="17"/>
      <c r="BD13" s="17"/>
      <c r="BE13" s="17"/>
    </row>
    <row r="14" spans="1:57" ht="16.5" customHeight="1">
      <c r="A14" s="411"/>
      <c r="B14" s="86"/>
      <c r="C14" s="2676">
        <f>+MAX($C$12:C13)+1</f>
        <v>2</v>
      </c>
      <c r="D14" s="2677" t="str">
        <f>'Table 3'!D14</f>
        <v>Residential-Rural (1)</v>
      </c>
      <c r="E14" s="1996">
        <f>'COS_Units (cust)'!F16</f>
        <v>20055</v>
      </c>
      <c r="F14" s="2678">
        <f t="shared" ref="F14:F24" si="10">IF(ISERROR(G14/E14),0,G14/E14)</f>
        <v>1.100024931438544</v>
      </c>
      <c r="G14" s="1996">
        <f>'COS_Units (cust)'!H16</f>
        <v>22061</v>
      </c>
      <c r="H14" s="2679">
        <f t="shared" si="0"/>
        <v>0.349553</v>
      </c>
      <c r="I14" s="2678">
        <f t="shared" si="1"/>
        <v>1.5000249314385441</v>
      </c>
      <c r="J14" s="1996">
        <f>'COS_Units (cust)'!K16</f>
        <v>30083</v>
      </c>
      <c r="K14" s="2679">
        <f t="shared" si="2"/>
        <v>0.32522899999999999</v>
      </c>
      <c r="L14" s="2678">
        <f t="shared" si="3"/>
        <v>1</v>
      </c>
      <c r="M14" s="1996">
        <f>'COS_Units (cust)'!N16</f>
        <v>20055</v>
      </c>
      <c r="N14" s="2679">
        <f t="shared" si="4"/>
        <v>0.20205100000000001</v>
      </c>
      <c r="O14" s="2678">
        <f t="shared" si="5"/>
        <v>0</v>
      </c>
      <c r="P14" s="1996">
        <f>'COS_Units (cust)'!Q16</f>
        <v>0</v>
      </c>
      <c r="Q14" s="2679">
        <f t="shared" si="6"/>
        <v>0</v>
      </c>
      <c r="R14" s="2678">
        <f t="shared" ref="R14:R24" si="11">IF(ISERROR(S14/E14),0,S14/E14)</f>
        <v>1.5000249314385441</v>
      </c>
      <c r="S14" s="1996">
        <f>'COS_Units (cust)'!T16</f>
        <v>30083</v>
      </c>
      <c r="T14" s="2679">
        <f t="shared" si="7"/>
        <v>0.92216900000000002</v>
      </c>
      <c r="U14" s="1996">
        <f>'COS_Units (cust)'!V16</f>
        <v>29619759.682764068</v>
      </c>
      <c r="V14" s="2679">
        <f t="shared" si="8"/>
        <v>0.104156</v>
      </c>
      <c r="W14" s="1996">
        <f>'COS_Units (cust)'!X16</f>
        <v>20055</v>
      </c>
      <c r="X14" s="2679">
        <f t="shared" si="9"/>
        <v>0.36696499999999999</v>
      </c>
      <c r="Y14" s="177"/>
      <c r="Z14" s="1"/>
    </row>
    <row r="15" spans="1:57" ht="16.5" customHeight="1">
      <c r="A15" s="411"/>
      <c r="B15" s="86"/>
      <c r="C15" s="268">
        <f>+MAX($C$12:C14)+1</f>
        <v>3</v>
      </c>
      <c r="D15" s="38" t="str">
        <f>'Table 3'!D15</f>
        <v>Irrigation (3)</v>
      </c>
      <c r="E15" s="257">
        <f>'COS_Units (cust)'!F20</f>
        <v>4729</v>
      </c>
      <c r="F15" s="508">
        <f t="shared" si="10"/>
        <v>1.0987523789384648</v>
      </c>
      <c r="G15" s="257">
        <f>'COS_Units (cust)'!H20</f>
        <v>5196</v>
      </c>
      <c r="H15" s="181">
        <f t="shared" si="0"/>
        <v>8.233E-2</v>
      </c>
      <c r="I15" s="508">
        <f t="shared" si="1"/>
        <v>4.9737788115880734</v>
      </c>
      <c r="J15" s="257">
        <f>'COS_Units (cust)'!K20</f>
        <v>23521</v>
      </c>
      <c r="K15" s="181">
        <f t="shared" si="2"/>
        <v>0.25428699999999999</v>
      </c>
      <c r="L15" s="508">
        <f t="shared" si="3"/>
        <v>4.9475576231761469</v>
      </c>
      <c r="M15" s="257">
        <f>'COS_Units (cust)'!N20</f>
        <v>23397</v>
      </c>
      <c r="N15" s="181">
        <f t="shared" si="4"/>
        <v>0.23572100000000001</v>
      </c>
      <c r="O15" s="508">
        <f t="shared" si="5"/>
        <v>0</v>
      </c>
      <c r="P15" s="257">
        <f>'COS_Units (cust)'!Q20</f>
        <v>0</v>
      </c>
      <c r="Q15" s="181">
        <f t="shared" si="6"/>
        <v>0</v>
      </c>
      <c r="R15" s="508">
        <f t="shared" si="11"/>
        <v>3.9331782617889617E-2</v>
      </c>
      <c r="S15" s="257">
        <f>'COS_Units (cust)'!T20</f>
        <v>186</v>
      </c>
      <c r="T15" s="181">
        <f t="shared" si="7"/>
        <v>5.7019999999999996E-3</v>
      </c>
      <c r="U15" s="257">
        <f>'COS_Units (cust)'!V20</f>
        <v>32493884.927364241</v>
      </c>
      <c r="V15" s="181">
        <f t="shared" si="8"/>
        <v>0.114262</v>
      </c>
      <c r="W15" s="257">
        <f>'COS_Units (cust)'!X20</f>
        <v>4729</v>
      </c>
      <c r="X15" s="181">
        <f t="shared" si="9"/>
        <v>8.6530999999999997E-2</v>
      </c>
      <c r="Y15" s="177"/>
      <c r="Z15" s="1"/>
    </row>
    <row r="16" spans="1:57" ht="16.5" customHeight="1">
      <c r="A16" s="411"/>
      <c r="B16" s="86"/>
      <c r="C16" s="2676">
        <f>+MAX($C$12:C15)+1</f>
        <v>4</v>
      </c>
      <c r="D16" s="2677" t="str">
        <f>'Table 3'!D16</f>
        <v>General Service (2) &amp; (PA)</v>
      </c>
      <c r="E16" s="1996">
        <f>'COS_Units (cust)'!F25+'COS_Units (cust)'!F35</f>
        <v>8207</v>
      </c>
      <c r="F16" s="2678">
        <f t="shared" si="10"/>
        <v>1.49945168758377</v>
      </c>
      <c r="G16" s="1996">
        <f>'COS_Units (cust)'!H25+'COS_Units (cust)'!H35</f>
        <v>12306</v>
      </c>
      <c r="H16" s="2679">
        <f t="shared" si="0"/>
        <v>0.19498699999999999</v>
      </c>
      <c r="I16" s="2678">
        <f t="shared" si="1"/>
        <v>1.8941147800657976</v>
      </c>
      <c r="J16" s="1996">
        <f>'COS_Units (cust)'!K25+'COS_Units (cust)'!K35</f>
        <v>15545</v>
      </c>
      <c r="K16" s="2679">
        <f t="shared" si="2"/>
        <v>0.16805800000000001</v>
      </c>
      <c r="L16" s="2678">
        <f t="shared" si="3"/>
        <v>3.7851833800414281</v>
      </c>
      <c r="M16" s="1996">
        <f>'COS_Units (cust)'!N25+'COS_Units (cust)'!N35</f>
        <v>31065</v>
      </c>
      <c r="N16" s="2679">
        <f t="shared" si="4"/>
        <v>0.312975</v>
      </c>
      <c r="O16" s="2678">
        <f t="shared" si="5"/>
        <v>0.63628609723406848</v>
      </c>
      <c r="P16" s="1996">
        <f>'COS_Units (cust)'!Q25+'COS_Units (cust)'!Q35</f>
        <v>5222</v>
      </c>
      <c r="Q16" s="2679">
        <f t="shared" si="6"/>
        <v>0.195354</v>
      </c>
      <c r="R16" s="2678">
        <f t="shared" si="11"/>
        <v>0.27342512489338372</v>
      </c>
      <c r="S16" s="1996">
        <f>'COS_Units (cust)'!T25+'COS_Units (cust)'!T35</f>
        <v>2244</v>
      </c>
      <c r="T16" s="2679">
        <f t="shared" si="7"/>
        <v>6.8788000000000002E-2</v>
      </c>
      <c r="U16" s="1996">
        <f>'COS_Units (cust)'!V25+'COS_Units (cust)'!V35</f>
        <v>30843944.137933522</v>
      </c>
      <c r="V16" s="2679">
        <f t="shared" si="8"/>
        <v>0.108461</v>
      </c>
      <c r="W16" s="1996">
        <f>'COS_Units (cust)'!X25+'COS_Units (cust)'!X35</f>
        <v>8207</v>
      </c>
      <c r="X16" s="2679">
        <f t="shared" si="9"/>
        <v>0.150171</v>
      </c>
      <c r="Y16" s="177"/>
      <c r="Z16" s="1"/>
    </row>
    <row r="17" spans="1:26" ht="16.5" customHeight="1">
      <c r="A17" s="411"/>
      <c r="B17" s="86"/>
      <c r="C17" s="268">
        <f>+MAX($C$12:C16)+1</f>
        <v>5</v>
      </c>
      <c r="D17" s="38" t="str">
        <f>'Table 3'!D17</f>
        <v>Large General Service (7)</v>
      </c>
      <c r="E17" s="257">
        <f>'COS_Units (cust)'!F27</f>
        <v>119</v>
      </c>
      <c r="F17" s="508">
        <f t="shared" si="10"/>
        <v>10</v>
      </c>
      <c r="G17" s="257">
        <f>'COS_Units (cust)'!H27</f>
        <v>1190</v>
      </c>
      <c r="H17" s="181">
        <f t="shared" si="0"/>
        <v>1.8855E-2</v>
      </c>
      <c r="I17" s="508">
        <f t="shared" si="1"/>
        <v>15</v>
      </c>
      <c r="J17" s="257">
        <f>'COS_Units (cust)'!K27</f>
        <v>1785</v>
      </c>
      <c r="K17" s="181">
        <f t="shared" si="2"/>
        <v>1.9297999999999999E-2</v>
      </c>
      <c r="L17" s="508">
        <f t="shared" si="3"/>
        <v>20</v>
      </c>
      <c r="M17" s="257">
        <f>'COS_Units (cust)'!N27</f>
        <v>2380</v>
      </c>
      <c r="N17" s="181">
        <f t="shared" si="4"/>
        <v>2.3977999999999999E-2</v>
      </c>
      <c r="O17" s="508">
        <f t="shared" si="5"/>
        <v>0</v>
      </c>
      <c r="P17" s="257">
        <f>'COS_Units (cust)'!Q27</f>
        <v>0</v>
      </c>
      <c r="Q17" s="181">
        <f t="shared" si="6"/>
        <v>0</v>
      </c>
      <c r="R17" s="508">
        <f t="shared" si="11"/>
        <v>0</v>
      </c>
      <c r="S17" s="257">
        <f>'COS_Units (cust)'!T27</f>
        <v>0</v>
      </c>
      <c r="T17" s="181">
        <f t="shared" si="7"/>
        <v>0</v>
      </c>
      <c r="U17" s="257">
        <f>'COS_Units (cust)'!V27</f>
        <v>10285911.025710687</v>
      </c>
      <c r="V17" s="181">
        <f t="shared" si="8"/>
        <v>3.6170000000000001E-2</v>
      </c>
      <c r="W17" s="257">
        <f>'COS_Units (cust)'!X27</f>
        <v>119</v>
      </c>
      <c r="X17" s="181">
        <f t="shared" si="9"/>
        <v>2.1770000000000001E-3</v>
      </c>
      <c r="Y17" s="177"/>
      <c r="Z17" s="1"/>
    </row>
    <row r="18" spans="1:26" ht="16.5" customHeight="1">
      <c r="A18" s="411"/>
      <c r="B18" s="86"/>
      <c r="C18" s="2676">
        <f>+MAX($C$12:C17)+1</f>
        <v>6</v>
      </c>
      <c r="D18" s="2677" t="str">
        <f>'Table 3'!D18</f>
        <v>Industrial (14)</v>
      </c>
      <c r="E18" s="1996">
        <f>'COS_Units (cust)'!F28</f>
        <v>13</v>
      </c>
      <c r="F18" s="2678">
        <f t="shared" si="10"/>
        <v>20</v>
      </c>
      <c r="G18" s="1996">
        <f>'COS_Units (cust)'!H28</f>
        <v>260</v>
      </c>
      <c r="H18" s="2679">
        <f t="shared" si="0"/>
        <v>4.1200000000000004E-3</v>
      </c>
      <c r="I18" s="2678">
        <f t="shared" si="1"/>
        <v>0</v>
      </c>
      <c r="J18" s="1996">
        <f>'COS_Units (cust)'!K28</f>
        <v>0</v>
      </c>
      <c r="K18" s="2679">
        <f t="shared" si="2"/>
        <v>0</v>
      </c>
      <c r="L18" s="2678">
        <f t="shared" si="3"/>
        <v>30</v>
      </c>
      <c r="M18" s="1996">
        <f>'COS_Units (cust)'!N28</f>
        <v>390</v>
      </c>
      <c r="N18" s="2679">
        <f t="shared" si="4"/>
        <v>3.9290000000000002E-3</v>
      </c>
      <c r="O18" s="2678">
        <f t="shared" si="5"/>
        <v>0</v>
      </c>
      <c r="P18" s="1996">
        <f>'COS_Units (cust)'!Q28</f>
        <v>0</v>
      </c>
      <c r="Q18" s="2679">
        <f t="shared" si="6"/>
        <v>0</v>
      </c>
      <c r="R18" s="2678">
        <f t="shared" si="11"/>
        <v>0</v>
      </c>
      <c r="S18" s="1996">
        <f>'COS_Units (cust)'!T28</f>
        <v>0</v>
      </c>
      <c r="T18" s="2679">
        <f t="shared" si="7"/>
        <v>0</v>
      </c>
      <c r="U18" s="1996">
        <f>'COS_Units (cust)'!V28</f>
        <v>36974914.605053663</v>
      </c>
      <c r="V18" s="2679">
        <f t="shared" si="8"/>
        <v>0.13002</v>
      </c>
      <c r="W18" s="1996">
        <f>'COS_Units (cust)'!X28</f>
        <v>13</v>
      </c>
      <c r="X18" s="2679">
        <f t="shared" si="9"/>
        <v>2.3800000000000001E-4</v>
      </c>
      <c r="Y18" s="177"/>
      <c r="Z18" s="1"/>
    </row>
    <row r="19" spans="1:26" ht="16.5" customHeight="1">
      <c r="A19" s="411"/>
      <c r="B19" s="86"/>
      <c r="C19" s="268">
        <f>+MAX($C$12:C18)+1</f>
        <v>7</v>
      </c>
      <c r="D19" s="38" t="str">
        <f>'Table 3'!D19</f>
        <v>Large Industrial (15) &amp; (94)</v>
      </c>
      <c r="E19" s="257">
        <f>'COS_Units (cust)'!F29+'COS_Units (cust)'!F32</f>
        <v>7</v>
      </c>
      <c r="F19" s="508">
        <f t="shared" si="10"/>
        <v>50</v>
      </c>
      <c r="G19" s="257">
        <f>'COS_Units (cust)'!H29+'COS_Units (cust)'!H32</f>
        <v>350</v>
      </c>
      <c r="H19" s="181">
        <f t="shared" si="0"/>
        <v>5.5459999999999997E-3</v>
      </c>
      <c r="I19" s="508">
        <f t="shared" si="1"/>
        <v>0</v>
      </c>
      <c r="J19" s="257">
        <f>'COS_Units (cust)'!K29+'COS_Units (cust)'!K32</f>
        <v>0</v>
      </c>
      <c r="K19" s="181">
        <f t="shared" si="2"/>
        <v>0</v>
      </c>
      <c r="L19" s="508">
        <f t="shared" si="3"/>
        <v>30</v>
      </c>
      <c r="M19" s="257">
        <f>'COS_Units (cust)'!N29+'COS_Units (cust)'!N32</f>
        <v>210</v>
      </c>
      <c r="N19" s="181">
        <f t="shared" si="4"/>
        <v>2.1159999999999998E-3</v>
      </c>
      <c r="O19" s="508">
        <f t="shared" si="5"/>
        <v>0</v>
      </c>
      <c r="P19" s="257">
        <f>'COS_Units (cust)'!Q29+'COS_Units (cust)'!Q32</f>
        <v>0</v>
      </c>
      <c r="Q19" s="181">
        <f t="shared" si="6"/>
        <v>0</v>
      </c>
      <c r="R19" s="508">
        <f t="shared" si="11"/>
        <v>0</v>
      </c>
      <c r="S19" s="257">
        <f>'COS_Units (cust)'!T29+'COS_Units (cust)'!T32</f>
        <v>0</v>
      </c>
      <c r="T19" s="181">
        <f t="shared" si="7"/>
        <v>0</v>
      </c>
      <c r="U19" s="257">
        <f>'COS_Units (cust)'!V29+'COS_Units (cust)'!V32</f>
        <v>102973786.09443644</v>
      </c>
      <c r="V19" s="181">
        <f t="shared" si="8"/>
        <v>0.36209999999999998</v>
      </c>
      <c r="W19" s="257">
        <f>'COS_Units (cust)'!X29+'COS_Units (cust)'!X32</f>
        <v>7</v>
      </c>
      <c r="X19" s="181">
        <f t="shared" si="9"/>
        <v>1.2799999999999999E-4</v>
      </c>
      <c r="Y19" s="177"/>
      <c r="Z19" s="1"/>
    </row>
    <row r="20" spans="1:26" ht="16.5" customHeight="1">
      <c r="A20" s="411"/>
      <c r="B20" s="86"/>
      <c r="C20" s="2676">
        <f>+MAX($C$12:C19)+1</f>
        <v>8</v>
      </c>
      <c r="D20" s="2677" t="str">
        <f>'Table 3'!D20</f>
        <v>Agricultural Processing (16)</v>
      </c>
      <c r="E20" s="1996">
        <f>'COS_Units (cust)'!F30</f>
        <v>11</v>
      </c>
      <c r="F20" s="2678">
        <f t="shared" si="10"/>
        <v>20</v>
      </c>
      <c r="G20" s="1996">
        <f>'COS_Units (cust)'!H30</f>
        <v>220</v>
      </c>
      <c r="H20" s="2679">
        <f t="shared" si="0"/>
        <v>3.4859999999999999E-3</v>
      </c>
      <c r="I20" s="2678">
        <f t="shared" si="1"/>
        <v>0</v>
      </c>
      <c r="J20" s="1996">
        <f>'COS_Units (cust)'!K30</f>
        <v>0</v>
      </c>
      <c r="K20" s="2679">
        <f t="shared" si="2"/>
        <v>0</v>
      </c>
      <c r="L20" s="2678">
        <f t="shared" si="3"/>
        <v>30</v>
      </c>
      <c r="M20" s="1996">
        <f>'COS_Units (cust)'!N30</f>
        <v>330</v>
      </c>
      <c r="N20" s="2679">
        <f t="shared" si="4"/>
        <v>3.3249999999999998E-3</v>
      </c>
      <c r="O20" s="2678">
        <f t="shared" si="5"/>
        <v>0</v>
      </c>
      <c r="P20" s="1996">
        <f>'COS_Units (cust)'!Q30</f>
        <v>0</v>
      </c>
      <c r="Q20" s="2679">
        <f t="shared" si="6"/>
        <v>0</v>
      </c>
      <c r="R20" s="2678">
        <f t="shared" si="11"/>
        <v>0</v>
      </c>
      <c r="S20" s="1996">
        <f>'COS_Units (cust)'!T30</f>
        <v>0</v>
      </c>
      <c r="T20" s="2679">
        <f t="shared" si="7"/>
        <v>0</v>
      </c>
      <c r="U20" s="1996">
        <f>'COS_Units (cust)'!V30</f>
        <v>16300049.923444636</v>
      </c>
      <c r="V20" s="2679">
        <f t="shared" si="8"/>
        <v>5.7318000000000001E-2</v>
      </c>
      <c r="W20" s="1996">
        <f>'COS_Units (cust)'!X30</f>
        <v>11</v>
      </c>
      <c r="X20" s="2679">
        <f t="shared" si="9"/>
        <v>2.0100000000000001E-4</v>
      </c>
      <c r="Y20" s="177"/>
      <c r="Z20" s="1"/>
    </row>
    <row r="21" spans="1:26" ht="16.5" customHeight="1">
      <c r="A21" s="411"/>
      <c r="B21" s="86"/>
      <c r="C21" s="268">
        <f>+MAX($C$12:C20)+1</f>
        <v>9</v>
      </c>
      <c r="D21" s="38" t="str">
        <f>'Table 3'!D21</f>
        <v>Agricultural Boiler (85)</v>
      </c>
      <c r="E21" s="257">
        <f>'COS_Units (cust)'!F31</f>
        <v>1</v>
      </c>
      <c r="F21" s="508">
        <f t="shared" si="10"/>
        <v>20</v>
      </c>
      <c r="G21" s="257">
        <f>'COS_Units (cust)'!H31</f>
        <v>20</v>
      </c>
      <c r="H21" s="181">
        <f t="shared" si="0"/>
        <v>3.1700000000000001E-4</v>
      </c>
      <c r="I21" s="508">
        <f t="shared" si="1"/>
        <v>0</v>
      </c>
      <c r="J21" s="257">
        <f>'COS_Units (cust)'!K31</f>
        <v>0</v>
      </c>
      <c r="K21" s="181">
        <f t="shared" si="2"/>
        <v>0</v>
      </c>
      <c r="L21" s="508">
        <f t="shared" si="3"/>
        <v>30</v>
      </c>
      <c r="M21" s="257">
        <f>'COS_Units (cust)'!N31</f>
        <v>30</v>
      </c>
      <c r="N21" s="181">
        <f t="shared" si="4"/>
        <v>3.0200000000000002E-4</v>
      </c>
      <c r="O21" s="508">
        <f t="shared" si="5"/>
        <v>0</v>
      </c>
      <c r="P21" s="257">
        <f>'COS_Units (cust)'!Q31</f>
        <v>0</v>
      </c>
      <c r="Q21" s="181">
        <f t="shared" si="6"/>
        <v>0</v>
      </c>
      <c r="R21" s="508">
        <f t="shared" si="11"/>
        <v>0</v>
      </c>
      <c r="S21" s="257">
        <f>'COS_Units (cust)'!T31</f>
        <v>0</v>
      </c>
      <c r="T21" s="181">
        <f t="shared" si="7"/>
        <v>0</v>
      </c>
      <c r="U21" s="257">
        <f>'COS_Units (cust)'!V31</f>
        <v>18696.862073089371</v>
      </c>
      <c r="V21" s="181">
        <f t="shared" si="8"/>
        <v>6.6000000000000005E-5</v>
      </c>
      <c r="W21" s="257">
        <f>'COS_Units (cust)'!X31</f>
        <v>1</v>
      </c>
      <c r="X21" s="181">
        <f t="shared" si="9"/>
        <v>1.8E-5</v>
      </c>
      <c r="Y21" s="177"/>
      <c r="Z21" s="1"/>
    </row>
    <row r="22" spans="1:26" ht="16.5" customHeight="1">
      <c r="A22" s="411"/>
      <c r="B22" s="86"/>
      <c r="C22" s="2676">
        <f>+MAX($C$12:C21)+1</f>
        <v>10</v>
      </c>
      <c r="D22" s="2677" t="str">
        <f>'Table 3'!D22</f>
        <v>Street Lights (6)</v>
      </c>
      <c r="E22" s="1996">
        <f>'COS_Units (cust)'!F33</f>
        <v>66</v>
      </c>
      <c r="F22" s="2678">
        <f t="shared" si="10"/>
        <v>1</v>
      </c>
      <c r="G22" s="1996">
        <f>'COS_Units (cust)'!H33</f>
        <v>66</v>
      </c>
      <c r="H22" s="2679">
        <f t="shared" si="0"/>
        <v>1.0460000000000001E-3</v>
      </c>
      <c r="I22" s="2678">
        <f t="shared" si="1"/>
        <v>1.5</v>
      </c>
      <c r="J22" s="1996">
        <f>'COS_Units (cust)'!K33</f>
        <v>99</v>
      </c>
      <c r="K22" s="2679">
        <f t="shared" si="2"/>
        <v>1.07E-3</v>
      </c>
      <c r="L22" s="2678">
        <f t="shared" si="3"/>
        <v>0</v>
      </c>
      <c r="M22" s="1996">
        <f>'COS_Units (cust)'!N33</f>
        <v>0</v>
      </c>
      <c r="N22" s="2679">
        <f t="shared" si="4"/>
        <v>0</v>
      </c>
      <c r="O22" s="2678">
        <f t="shared" si="5"/>
        <v>1</v>
      </c>
      <c r="P22" s="1996">
        <f>'COS_Units (cust)'!Q33</f>
        <v>66</v>
      </c>
      <c r="Q22" s="2679">
        <f t="shared" si="6"/>
        <v>2.4689999999999998E-3</v>
      </c>
      <c r="R22" s="2678">
        <f t="shared" si="11"/>
        <v>1</v>
      </c>
      <c r="S22" s="1996">
        <f>'COS_Units (cust)'!T33</f>
        <v>66</v>
      </c>
      <c r="T22" s="2679">
        <f t="shared" si="7"/>
        <v>2.0230000000000001E-3</v>
      </c>
      <c r="U22" s="1996">
        <f>'COS_Units (cust)'!V33</f>
        <v>964740</v>
      </c>
      <c r="V22" s="2679">
        <f t="shared" si="8"/>
        <v>3.392E-3</v>
      </c>
      <c r="W22" s="1996">
        <f>'COS_Units (cust)'!X33</f>
        <v>66</v>
      </c>
      <c r="X22" s="2679">
        <f t="shared" si="9"/>
        <v>1.2080000000000001E-3</v>
      </c>
      <c r="Y22" s="177"/>
      <c r="Z22" s="1"/>
    </row>
    <row r="23" spans="1:26" ht="16.5" customHeight="1">
      <c r="A23" s="411"/>
      <c r="B23" s="86"/>
      <c r="C23" s="268">
        <f>+MAX($C$12:C22)+1</f>
        <v>11</v>
      </c>
      <c r="D23" s="38" t="str">
        <f>'Table 3'!D23</f>
        <v>Street Lights (2)</v>
      </c>
      <c r="E23" s="257">
        <f>'COS_Units (cust)'!F34</f>
        <v>43</v>
      </c>
      <c r="F23" s="508">
        <f t="shared" si="10"/>
        <v>1</v>
      </c>
      <c r="G23" s="257">
        <f>'COS_Units (cust)'!H34</f>
        <v>43</v>
      </c>
      <c r="H23" s="181">
        <f t="shared" si="0"/>
        <v>6.8099999999999996E-4</v>
      </c>
      <c r="I23" s="508">
        <f t="shared" si="1"/>
        <v>1.5116279069767442</v>
      </c>
      <c r="J23" s="257">
        <f>'COS_Units (cust)'!K34</f>
        <v>65</v>
      </c>
      <c r="K23" s="181">
        <f t="shared" si="2"/>
        <v>7.0299999999999996E-4</v>
      </c>
      <c r="L23" s="508">
        <f t="shared" si="3"/>
        <v>0</v>
      </c>
      <c r="M23" s="257">
        <f>'COS_Units (cust)'!N34</f>
        <v>0</v>
      </c>
      <c r="N23" s="181">
        <f t="shared" si="4"/>
        <v>0</v>
      </c>
      <c r="O23" s="508">
        <f t="shared" si="5"/>
        <v>1</v>
      </c>
      <c r="P23" s="257">
        <f>'COS_Units (cust)'!Q34</f>
        <v>43</v>
      </c>
      <c r="Q23" s="181">
        <f t="shared" si="6"/>
        <v>1.609E-3</v>
      </c>
      <c r="R23" s="508">
        <f t="shared" si="11"/>
        <v>1</v>
      </c>
      <c r="S23" s="257">
        <f>'COS_Units (cust)'!T34</f>
        <v>43</v>
      </c>
      <c r="T23" s="181">
        <f t="shared" si="7"/>
        <v>1.3179999999999999E-3</v>
      </c>
      <c r="U23" s="257">
        <f>'COS_Units (cust)'!V34</f>
        <v>33115.861076429937</v>
      </c>
      <c r="V23" s="181">
        <f t="shared" si="8"/>
        <v>1.16E-4</v>
      </c>
      <c r="W23" s="257">
        <f>'COS_Units (cust)'!X34</f>
        <v>43</v>
      </c>
      <c r="X23" s="181">
        <f t="shared" si="9"/>
        <v>7.8700000000000005E-4</v>
      </c>
      <c r="Y23" s="177"/>
      <c r="Z23" s="1"/>
    </row>
    <row r="24" spans="1:26" ht="16.5" customHeight="1">
      <c r="A24" s="411"/>
      <c r="B24" s="86"/>
      <c r="C24" s="2676">
        <f>+MAX($C$12:C23)+1</f>
        <v>12</v>
      </c>
      <c r="D24" s="2677" t="str">
        <f>'Table 3'!D24</f>
        <v>Alternate Power Sales</v>
      </c>
      <c r="E24" s="1996">
        <f>'COS_Units (cust)'!F36</f>
        <v>0</v>
      </c>
      <c r="F24" s="2678">
        <f t="shared" si="10"/>
        <v>0</v>
      </c>
      <c r="G24" s="1996">
        <f>'COS_Units (cust)'!H36</f>
        <v>0</v>
      </c>
      <c r="H24" s="2680">
        <f t="shared" si="0"/>
        <v>0</v>
      </c>
      <c r="I24" s="2678">
        <f>IF(ISERROR(J24/E24),0,J24/E24)</f>
        <v>0</v>
      </c>
      <c r="J24" s="1996">
        <f>'COS_Units (cust)'!K36</f>
        <v>0</v>
      </c>
      <c r="K24" s="2680">
        <f t="shared" si="2"/>
        <v>0</v>
      </c>
      <c r="L24" s="2678">
        <f>IF(ISERROR(M24/E24),0,M24/E24)</f>
        <v>0</v>
      </c>
      <c r="M24" s="1996">
        <f>'COS_Units (cust)'!N36</f>
        <v>0</v>
      </c>
      <c r="N24" s="2680">
        <f t="shared" si="4"/>
        <v>0</v>
      </c>
      <c r="O24" s="2678">
        <f>IF(ISERROR(P24/E24),0,P24/E24)</f>
        <v>0</v>
      </c>
      <c r="P24" s="1996">
        <f>'COS_Units (cust)'!Q36</f>
        <v>0</v>
      </c>
      <c r="Q24" s="2680">
        <f t="shared" si="6"/>
        <v>0</v>
      </c>
      <c r="R24" s="2678">
        <f t="shared" si="11"/>
        <v>0</v>
      </c>
      <c r="S24" s="1996">
        <f>'COS_Units (cust)'!T36</f>
        <v>0</v>
      </c>
      <c r="T24" s="2680">
        <f t="shared" si="7"/>
        <v>0</v>
      </c>
      <c r="U24" s="1996">
        <f>'COS_Units (cust)'!V36</f>
        <v>0</v>
      </c>
      <c r="V24" s="2680">
        <f t="shared" si="8"/>
        <v>0</v>
      </c>
      <c r="W24" s="1996">
        <f>'COS_Units (cust)'!X36</f>
        <v>0</v>
      </c>
      <c r="X24" s="2680">
        <f t="shared" si="9"/>
        <v>0</v>
      </c>
      <c r="Y24" s="177"/>
      <c r="Z24" s="1"/>
    </row>
    <row r="25" spans="1:26">
      <c r="A25" s="411"/>
      <c r="B25" s="86"/>
      <c r="C25" s="268"/>
      <c r="D25" s="509"/>
      <c r="E25" s="257"/>
      <c r="F25" s="258"/>
      <c r="G25" s="257"/>
      <c r="H25" s="181"/>
      <c r="I25" s="258"/>
      <c r="J25" s="257"/>
      <c r="K25" s="181"/>
      <c r="L25" s="258"/>
      <c r="M25" s="257"/>
      <c r="N25" s="181"/>
      <c r="O25" s="258"/>
      <c r="P25" s="257"/>
      <c r="Q25" s="181"/>
      <c r="R25" s="258"/>
      <c r="S25" s="257"/>
      <c r="T25" s="181"/>
      <c r="U25" s="197"/>
      <c r="V25" s="197"/>
      <c r="W25" s="197"/>
      <c r="X25" s="197"/>
      <c r="Y25" s="177"/>
      <c r="Z25" s="1"/>
    </row>
    <row r="26" spans="1:26" s="6" customFormat="1" ht="16.5" customHeight="1" thickBot="1">
      <c r="A26" s="411"/>
      <c r="B26" s="91"/>
      <c r="C26" s="2676">
        <f>+MAX($C$12:C25)+1</f>
        <v>13</v>
      </c>
      <c r="D26" s="2681" t="s">
        <v>612</v>
      </c>
      <c r="E26" s="2669">
        <f>SUM(E13:E24)</f>
        <v>54651</v>
      </c>
      <c r="F26" s="2661"/>
      <c r="G26" s="2669">
        <f>SUM(G13:G24)</f>
        <v>63112</v>
      </c>
      <c r="H26" s="2682">
        <f>SUM(H13:H24)</f>
        <v>1.0000010000000001</v>
      </c>
      <c r="I26" s="2661"/>
      <c r="J26" s="2669">
        <f>SUM(J13:J24)</f>
        <v>92498</v>
      </c>
      <c r="K26" s="2682">
        <f>SUM(K13:K24)</f>
        <v>1.0000010000000001</v>
      </c>
      <c r="L26" s="2661"/>
      <c r="M26" s="2669">
        <f>SUM(M13:M24)</f>
        <v>99257</v>
      </c>
      <c r="N26" s="2682">
        <f>SUM(N13:N24)</f>
        <v>0.99999899999999997</v>
      </c>
      <c r="O26" s="2661"/>
      <c r="P26" s="2669">
        <f>SUM(P13:P24)</f>
        <v>26731</v>
      </c>
      <c r="Q26" s="2682">
        <f>SUM(Q13:Q24)</f>
        <v>1.0000010000000001</v>
      </c>
      <c r="R26" s="2661"/>
      <c r="S26" s="2669">
        <f t="shared" ref="S26:X26" si="12">SUM(S13:S24)</f>
        <v>32622</v>
      </c>
      <c r="T26" s="2682">
        <f t="shared" si="12"/>
        <v>1</v>
      </c>
      <c r="U26" s="2669">
        <f t="shared" si="12"/>
        <v>284379492.35736859</v>
      </c>
      <c r="V26" s="2682">
        <f t="shared" si="12"/>
        <v>1.0000009999999999</v>
      </c>
      <c r="W26" s="2669">
        <f t="shared" si="12"/>
        <v>54651</v>
      </c>
      <c r="X26" s="2682">
        <f t="shared" si="12"/>
        <v>0.99999999999999978</v>
      </c>
      <c r="Y26" s="271"/>
      <c r="Z26" s="40"/>
    </row>
    <row r="27" spans="1:26" ht="5.0999999999999996" customHeight="1" thickTop="1">
      <c r="A27" s="411"/>
      <c r="B27" s="86"/>
      <c r="C27" s="197"/>
      <c r="D27" s="511"/>
      <c r="E27" s="257"/>
      <c r="F27" s="257"/>
      <c r="G27" s="257"/>
      <c r="H27" s="181"/>
      <c r="I27" s="257"/>
      <c r="J27" s="197"/>
      <c r="K27" s="197"/>
      <c r="L27" s="197"/>
      <c r="M27" s="197"/>
      <c r="N27" s="197"/>
      <c r="O27" s="197"/>
      <c r="P27" s="197"/>
      <c r="Q27" s="197"/>
      <c r="R27" s="197"/>
      <c r="S27" s="197"/>
      <c r="T27" s="197"/>
      <c r="U27" s="197"/>
      <c r="V27" s="197"/>
      <c r="W27" s="197"/>
      <c r="X27" s="197"/>
      <c r="Y27" s="177"/>
      <c r="Z27" s="1"/>
    </row>
    <row r="28" spans="1:26" ht="16.5" customHeight="1">
      <c r="A28" s="411"/>
      <c r="B28" s="86"/>
      <c r="C28" s="197"/>
      <c r="D28" s="511"/>
      <c r="E28" s="257"/>
      <c r="F28" s="257"/>
      <c r="G28" s="257"/>
      <c r="H28" s="181"/>
      <c r="I28" s="257"/>
      <c r="J28" s="197"/>
      <c r="K28" s="197"/>
      <c r="L28" s="197"/>
      <c r="M28" s="197"/>
      <c r="N28" s="197"/>
      <c r="O28" s="197"/>
      <c r="P28" s="197"/>
      <c r="Q28" s="197"/>
      <c r="R28" s="197"/>
      <c r="S28" s="197"/>
      <c r="T28" s="197"/>
      <c r="U28" s="197"/>
      <c r="V28" s="197"/>
      <c r="W28" s="197"/>
      <c r="X28" s="197"/>
      <c r="Y28" s="177"/>
      <c r="Z28" s="1"/>
    </row>
    <row r="29" spans="1:26" ht="16.5" customHeight="1">
      <c r="A29" s="411"/>
      <c r="B29" s="86"/>
      <c r="C29" s="197"/>
      <c r="D29" s="511"/>
      <c r="E29" s="257"/>
      <c r="F29" s="257"/>
      <c r="G29" s="257"/>
      <c r="H29" s="181"/>
      <c r="I29" s="257"/>
      <c r="J29" s="197"/>
      <c r="K29" s="197"/>
      <c r="L29" s="197"/>
      <c r="M29" s="197"/>
      <c r="N29" s="197"/>
      <c r="O29" s="197"/>
      <c r="P29" s="197"/>
      <c r="Q29" s="197"/>
      <c r="R29" s="197"/>
      <c r="S29" s="197"/>
      <c r="T29" s="197"/>
      <c r="U29" s="197"/>
      <c r="V29" s="197"/>
      <c r="W29" s="197"/>
      <c r="X29" s="197"/>
      <c r="Y29" s="177"/>
      <c r="Z29" s="1"/>
    </row>
    <row r="30" spans="1:26" ht="16.5" customHeight="1">
      <c r="A30" s="411"/>
      <c r="B30" s="86"/>
      <c r="C30" s="18"/>
      <c r="D30" s="6"/>
      <c r="E30" s="176"/>
      <c r="F30" s="17"/>
      <c r="G30" s="176"/>
      <c r="H30" s="512"/>
      <c r="I30" s="176"/>
      <c r="J30" s="17"/>
      <c r="K30" s="176"/>
      <c r="L30" s="179"/>
      <c r="M30" s="17"/>
      <c r="N30" s="176"/>
      <c r="O30" s="177"/>
      <c r="P30" s="176"/>
      <c r="Q30" s="177"/>
      <c r="R30" s="177"/>
      <c r="S30" s="177"/>
      <c r="T30" s="177"/>
      <c r="U30" s="176"/>
      <c r="V30" s="176"/>
      <c r="W30" s="176"/>
      <c r="X30" s="176"/>
      <c r="Y30" s="177"/>
      <c r="Z30" s="1"/>
    </row>
    <row r="31" spans="1:26" ht="16.5" customHeight="1">
      <c r="A31" s="411"/>
      <c r="B31" s="86"/>
      <c r="E31" s="17"/>
      <c r="F31" s="20"/>
      <c r="G31" s="20"/>
      <c r="H31" s="20"/>
      <c r="I31" s="20"/>
      <c r="J31" s="20"/>
      <c r="K31" s="20"/>
      <c r="L31" s="20"/>
      <c r="M31" s="20"/>
      <c r="N31" s="20"/>
      <c r="O31" s="20"/>
      <c r="P31" s="20"/>
      <c r="Q31" s="20"/>
      <c r="R31" s="20"/>
      <c r="S31" s="20"/>
      <c r="T31" s="20"/>
      <c r="U31" s="20"/>
      <c r="V31" s="20"/>
      <c r="W31" s="20"/>
      <c r="X31" s="20"/>
      <c r="Y31" s="20"/>
    </row>
    <row r="32" spans="1:26" ht="16.5" customHeight="1">
      <c r="A32" s="411"/>
      <c r="B32" s="86"/>
    </row>
    <row r="33" spans="1:2" ht="16.5" customHeight="1">
      <c r="A33" s="411"/>
      <c r="B33" s="86"/>
    </row>
    <row r="34" spans="1:2" ht="16.5" customHeight="1">
      <c r="A34" s="411"/>
      <c r="B34" s="86"/>
    </row>
    <row r="35" spans="1:2" ht="16.5" customHeight="1">
      <c r="A35" s="411"/>
      <c r="B35" s="86"/>
    </row>
    <row r="36" spans="1:2" ht="16.5" customHeight="1">
      <c r="A36" s="411"/>
      <c r="B36" s="86"/>
    </row>
    <row r="37" spans="1:2" ht="16.5" hidden="1" customHeight="1">
      <c r="A37" s="411"/>
      <c r="B37" s="86"/>
    </row>
    <row r="38" spans="1:2" ht="16.5" hidden="1" customHeight="1">
      <c r="A38" s="411"/>
      <c r="B38" s="86"/>
    </row>
    <row r="39" spans="1:2" ht="16.5" hidden="1" customHeight="1">
      <c r="A39" s="411"/>
      <c r="B39" s="86"/>
    </row>
    <row r="40" spans="1:2" ht="16.5" hidden="1" customHeight="1">
      <c r="A40" s="411"/>
      <c r="B40" s="86"/>
    </row>
    <row r="41" spans="1:2" ht="16.5" hidden="1" customHeight="1">
      <c r="A41" s="411"/>
      <c r="B41" s="86"/>
    </row>
    <row r="42" spans="1:2" ht="16.5" hidden="1" customHeight="1">
      <c r="A42" s="411"/>
      <c r="B42" s="86"/>
    </row>
    <row r="43" spans="1:2" ht="16.5" hidden="1" customHeight="1">
      <c r="A43" s="411"/>
      <c r="B43" s="86"/>
    </row>
    <row r="44" spans="1:2" ht="16.5" hidden="1" customHeight="1">
      <c r="A44" s="411"/>
      <c r="B44" s="86"/>
    </row>
    <row r="45" spans="1:2" ht="16.5" hidden="1" customHeight="1">
      <c r="A45" s="411"/>
      <c r="B45" s="86"/>
    </row>
    <row r="46" spans="1:2" ht="16.5" hidden="1" customHeight="1">
      <c r="A46" s="411"/>
      <c r="B46" s="86"/>
    </row>
    <row r="47" spans="1:2" ht="16.5" hidden="1" customHeight="1">
      <c r="A47" s="411"/>
      <c r="B47" s="86"/>
    </row>
    <row r="48" spans="1:2" ht="16.5" hidden="1" customHeight="1">
      <c r="A48" s="411"/>
      <c r="B48" s="86"/>
    </row>
    <row r="49" spans="1:2" ht="16.5" hidden="1" customHeight="1">
      <c r="A49" s="411"/>
      <c r="B49" s="86"/>
    </row>
    <row r="50" spans="1:2" ht="16.5" hidden="1" customHeight="1">
      <c r="A50" s="411"/>
      <c r="B50" s="86"/>
    </row>
    <row r="51" spans="1:2" ht="16.5" hidden="1" customHeight="1">
      <c r="A51" s="411"/>
      <c r="B51" s="86"/>
    </row>
    <row r="52" spans="1:2" ht="16.5" hidden="1" customHeight="1">
      <c r="B52" s="86"/>
    </row>
    <row r="53" spans="1:2" ht="16.5" hidden="1" customHeight="1">
      <c r="B53" s="86"/>
    </row>
    <row r="54" spans="1:2" ht="16.5" hidden="1" customHeight="1">
      <c r="B54" s="86"/>
    </row>
    <row r="55" spans="1:2" ht="16.5" hidden="1" customHeight="1">
      <c r="B55" s="86"/>
    </row>
    <row r="56" spans="1:2" ht="16.5" hidden="1" customHeight="1">
      <c r="B56" s="86"/>
    </row>
    <row r="57" spans="1:2" ht="16.5" hidden="1" customHeight="1">
      <c r="B57" s="86"/>
    </row>
    <row r="58" spans="1:2" ht="16.5" hidden="1" customHeight="1">
      <c r="B58" s="86"/>
    </row>
    <row r="59" spans="1:2" ht="16.5" hidden="1" customHeight="1">
      <c r="B59" s="86"/>
    </row>
    <row r="60" spans="1:2" ht="16.5" hidden="1" customHeight="1">
      <c r="B60" s="86"/>
    </row>
    <row r="61" spans="1:2" ht="16.5" hidden="1" customHeight="1">
      <c r="B61" s="86"/>
    </row>
    <row r="62" spans="1:2" ht="16.5" hidden="1" customHeight="1">
      <c r="B62" s="86"/>
    </row>
    <row r="63" spans="1:2" ht="16.5" hidden="1" customHeight="1">
      <c r="B63" s="86"/>
    </row>
    <row r="64" spans="1:2" ht="16.5" hidden="1" customHeight="1">
      <c r="B64" s="86"/>
    </row>
    <row r="65" spans="2:2" ht="16.5" hidden="1" customHeight="1">
      <c r="B65" s="86"/>
    </row>
    <row r="66" spans="2:2" ht="16.5" hidden="1" customHeight="1">
      <c r="B66" s="86"/>
    </row>
    <row r="67" spans="2:2" ht="16.5" hidden="1" customHeight="1">
      <c r="B67" s="86"/>
    </row>
    <row r="68" spans="2:2" ht="16.5" hidden="1" customHeight="1">
      <c r="B68" s="86"/>
    </row>
    <row r="69" spans="2:2" ht="15.75" hidden="1" customHeight="1">
      <c r="B69" s="86"/>
    </row>
    <row r="70" spans="2:2" ht="15.75" hidden="1" customHeight="1">
      <c r="B70" s="86"/>
    </row>
    <row r="71" spans="2:2" ht="15.75" hidden="1" customHeight="1">
      <c r="B71" s="86"/>
    </row>
    <row r="72" spans="2:2" ht="15.75" hidden="1" customHeight="1">
      <c r="B72" s="86"/>
    </row>
    <row r="73" spans="2:2" ht="15.75" hidden="1" customHeight="1">
      <c r="B73" s="86"/>
    </row>
    <row r="74" spans="2:2" ht="15.75" hidden="1" customHeight="1">
      <c r="B74" s="86"/>
    </row>
    <row r="75" spans="2:2" ht="15.75" hidden="1" customHeight="1">
      <c r="B75" s="86"/>
    </row>
    <row r="76" spans="2:2" ht="15.75" hidden="1" customHeight="1">
      <c r="B76" s="86"/>
    </row>
    <row r="77" spans="2:2" ht="15.75" hidden="1" customHeight="1">
      <c r="B77" s="86"/>
    </row>
    <row r="78" spans="2:2" ht="15.75" hidden="1" customHeight="1">
      <c r="B78" s="86"/>
    </row>
    <row r="79" spans="2:2" ht="15.75" hidden="1" customHeight="1">
      <c r="B79" s="86"/>
    </row>
    <row r="80" spans="2:2" ht="15.75" hidden="1" customHeight="1">
      <c r="B80" s="86"/>
    </row>
    <row r="81" spans="2:2" ht="15.75" hidden="1" customHeight="1">
      <c r="B81" s="86"/>
    </row>
    <row r="82" spans="2:2" ht="15.75" hidden="1" customHeight="1">
      <c r="B82" s="86"/>
    </row>
    <row r="83" spans="2:2" ht="15.75" hidden="1" customHeight="1">
      <c r="B83" s="86"/>
    </row>
    <row r="84" spans="2:2" ht="15.75" hidden="1" customHeight="1">
      <c r="B84" s="86"/>
    </row>
    <row r="85" spans="2:2" ht="15.75" hidden="1" customHeight="1">
      <c r="B85" s="86"/>
    </row>
    <row r="86" spans="2:2" ht="15.75" hidden="1" customHeight="1">
      <c r="B86" s="86"/>
    </row>
    <row r="87" spans="2:2" ht="15.75" hidden="1" customHeight="1">
      <c r="B87" s="86"/>
    </row>
    <row r="88" spans="2:2" ht="15.75" hidden="1" customHeight="1">
      <c r="B88" s="86"/>
    </row>
    <row r="89" spans="2:2" ht="15.75" hidden="1" customHeight="1">
      <c r="B89" s="86"/>
    </row>
    <row r="90" spans="2:2" ht="15.75" hidden="1" customHeight="1">
      <c r="B90" s="86"/>
    </row>
    <row r="91" spans="2:2" ht="15.75" hidden="1" customHeight="1">
      <c r="B91" s="86"/>
    </row>
    <row r="92" spans="2:2" ht="15.75" hidden="1" customHeight="1">
      <c r="B92" s="86"/>
    </row>
    <row r="93" spans="2:2" ht="15.75" hidden="1" customHeight="1">
      <c r="B93" s="86"/>
    </row>
    <row r="94" spans="2:2" ht="15.75" hidden="1" customHeight="1">
      <c r="B94" s="86"/>
    </row>
    <row r="95" spans="2:2" ht="15.75" hidden="1" customHeight="1">
      <c r="B95" s="86"/>
    </row>
    <row r="96" spans="2:2" ht="15.75" hidden="1" customHeight="1">
      <c r="B96" s="86"/>
    </row>
    <row r="97" spans="2:2" ht="15.75" hidden="1" customHeight="1">
      <c r="B97" s="86"/>
    </row>
    <row r="98" spans="2:2" ht="15.75" hidden="1" customHeight="1">
      <c r="B98" s="86"/>
    </row>
    <row r="99" spans="2:2" ht="15.75" hidden="1" customHeight="1">
      <c r="B99" s="86"/>
    </row>
    <row r="100" spans="2:2" ht="15.75" hidden="1" customHeight="1">
      <c r="B100" s="86"/>
    </row>
    <row r="101" spans="2:2" ht="15.75" hidden="1" customHeight="1">
      <c r="B101" s="86"/>
    </row>
    <row r="102" spans="2:2" ht="15.75" hidden="1" customHeight="1">
      <c r="B102" s="86"/>
    </row>
    <row r="103" spans="2:2" ht="15.75" hidden="1" customHeight="1">
      <c r="B103" s="86"/>
    </row>
    <row r="104" spans="2:2" ht="15.75" hidden="1" customHeight="1">
      <c r="B104" s="86"/>
    </row>
    <row r="105" spans="2:2" ht="15.75" hidden="1" customHeight="1">
      <c r="B105" s="86"/>
    </row>
    <row r="106" spans="2:2" ht="15.75" hidden="1" customHeight="1">
      <c r="B106" s="86"/>
    </row>
    <row r="107" spans="2:2" ht="15.75" hidden="1" customHeight="1">
      <c r="B107" s="86"/>
    </row>
    <row r="108" spans="2:2" ht="15.75" hidden="1" customHeight="1">
      <c r="B108" s="86"/>
    </row>
    <row r="109" spans="2:2" ht="15.75" hidden="1" customHeight="1">
      <c r="B109" s="86"/>
    </row>
    <row r="110" spans="2:2" ht="15.75" hidden="1" customHeight="1">
      <c r="B110" s="86"/>
    </row>
    <row r="111" spans="2:2" ht="15.75" hidden="1" customHeight="1">
      <c r="B111" s="86"/>
    </row>
    <row r="112" spans="2:2" ht="15.75" hidden="1" customHeight="1">
      <c r="B112" s="86"/>
    </row>
    <row r="113" spans="2:2" ht="15.75" hidden="1" customHeight="1">
      <c r="B113" s="86"/>
    </row>
    <row r="114" spans="2:2" ht="15.75" hidden="1" customHeight="1">
      <c r="B114" s="86"/>
    </row>
    <row r="115" spans="2:2" ht="15.75" hidden="1" customHeight="1">
      <c r="B115" s="86"/>
    </row>
    <row r="116" spans="2:2" ht="15.75" hidden="1" customHeight="1">
      <c r="B116" s="86"/>
    </row>
    <row r="117" spans="2:2" ht="15.75" hidden="1" customHeight="1">
      <c r="B117" s="86"/>
    </row>
    <row r="118" spans="2:2" ht="15.75" hidden="1" customHeight="1">
      <c r="B118" s="86"/>
    </row>
    <row r="119" spans="2:2" ht="15.75" hidden="1" customHeight="1">
      <c r="B119" s="86"/>
    </row>
    <row r="120" spans="2:2" ht="15.75" hidden="1" customHeight="1">
      <c r="B120" s="86"/>
    </row>
    <row r="121" spans="2:2" ht="15.75" hidden="1" customHeight="1">
      <c r="B121" s="86"/>
    </row>
    <row r="122" spans="2:2" ht="15.75" hidden="1" customHeight="1">
      <c r="B122" s="86"/>
    </row>
    <row r="123" spans="2:2" ht="15.75" hidden="1" customHeight="1">
      <c r="B123" s="86"/>
    </row>
    <row r="124" spans="2:2" ht="15.75" hidden="1" customHeight="1">
      <c r="B124" s="86"/>
    </row>
    <row r="125" spans="2:2" ht="15.75" hidden="1" customHeight="1">
      <c r="B125" s="86"/>
    </row>
    <row r="126" spans="2:2" ht="15.75" hidden="1" customHeight="1">
      <c r="B126" s="86"/>
    </row>
    <row r="127" spans="2:2" ht="15.75" hidden="1" customHeight="1">
      <c r="B127" s="86"/>
    </row>
    <row r="128" spans="2:2" ht="15.75" hidden="1" customHeight="1">
      <c r="B128" s="86"/>
    </row>
    <row r="129" spans="2:2" ht="15.75" hidden="1" customHeight="1">
      <c r="B129" s="86"/>
    </row>
    <row r="130" spans="2:2" ht="15.75" hidden="1" customHeight="1">
      <c r="B130" s="86"/>
    </row>
    <row r="131" spans="2:2" ht="15.75" hidden="1" customHeight="1">
      <c r="B131" s="86"/>
    </row>
    <row r="132" spans="2:2" ht="15.75" hidden="1" customHeight="1">
      <c r="B132" s="86"/>
    </row>
    <row r="133" spans="2:2" ht="15.75" hidden="1" customHeight="1">
      <c r="B133" s="86"/>
    </row>
    <row r="134" spans="2:2" ht="15.75" hidden="1" customHeight="1">
      <c r="B134" s="86"/>
    </row>
    <row r="135" spans="2:2" ht="15.75" hidden="1" customHeight="1">
      <c r="B135" s="86"/>
    </row>
    <row r="136" spans="2:2" ht="15.75" hidden="1" customHeight="1">
      <c r="B136" s="86"/>
    </row>
    <row r="137" spans="2:2" ht="15.75" hidden="1" customHeight="1">
      <c r="B137" s="86"/>
    </row>
    <row r="138" spans="2:2" ht="15.75" hidden="1" customHeight="1">
      <c r="B138" s="86"/>
    </row>
    <row r="139" spans="2:2" ht="15.75" hidden="1" customHeight="1">
      <c r="B139" s="86"/>
    </row>
    <row r="140" spans="2:2" ht="15.75" hidden="1" customHeight="1">
      <c r="B140" s="86"/>
    </row>
    <row r="141" spans="2:2" ht="15.75" hidden="1" customHeight="1">
      <c r="B141" s="86"/>
    </row>
    <row r="142" spans="2:2" ht="15.75" hidden="1" customHeight="1">
      <c r="B142" s="86"/>
    </row>
    <row r="143" spans="2:2" ht="15.75" hidden="1" customHeight="1">
      <c r="B143" s="86"/>
    </row>
    <row r="144" spans="2:2" ht="15.75" hidden="1" customHeight="1">
      <c r="B144" s="86"/>
    </row>
    <row r="145" spans="2:2" ht="15.75" hidden="1" customHeight="1">
      <c r="B145" s="86"/>
    </row>
    <row r="146" spans="2:2" ht="15.75" hidden="1" customHeight="1">
      <c r="B146" s="86"/>
    </row>
    <row r="147" spans="2:2" ht="15.75" hidden="1" customHeight="1">
      <c r="B147" s="86"/>
    </row>
    <row r="148" spans="2:2" ht="15.75" hidden="1" customHeight="1">
      <c r="B148" s="86"/>
    </row>
    <row r="149" spans="2:2" ht="15.75" hidden="1" customHeight="1">
      <c r="B149" s="86"/>
    </row>
    <row r="150" spans="2:2" ht="15.75" hidden="1" customHeight="1">
      <c r="B150" s="86"/>
    </row>
    <row r="151" spans="2:2" ht="15.75" hidden="1" customHeight="1">
      <c r="B151" s="86"/>
    </row>
    <row r="152" spans="2:2" ht="15.75" hidden="1" customHeight="1"/>
    <row r="153" spans="2:2" ht="15.75" hidden="1" customHeight="1"/>
    <row r="154" spans="2:2" ht="15.75" hidden="1" customHeight="1"/>
    <row r="155" spans="2:2" ht="15.75" hidden="1" customHeight="1"/>
    <row r="156" spans="2:2" ht="15.75" hidden="1" customHeight="1"/>
    <row r="157" spans="2:2" ht="15.75" hidden="1" customHeight="1"/>
    <row r="158" spans="2:2" ht="15.75" hidden="1" customHeight="1"/>
    <row r="159" spans="2:2" ht="15.75" hidden="1" customHeight="1"/>
    <row r="160" spans="2:2" ht="15.75" hidden="1" customHeight="1"/>
    <row r="161" spans="29:29" ht="15.75" hidden="1" customHeight="1"/>
    <row r="162" spans="29:29" ht="15.75" hidden="1" customHeight="1"/>
    <row r="163" spans="29:29" ht="15.75" hidden="1" customHeight="1"/>
    <row r="164" spans="29:29" ht="15.75" hidden="1" customHeight="1"/>
    <row r="165" spans="29:29" ht="15.75" hidden="1" customHeight="1"/>
    <row r="166" spans="29:29" ht="15.75" hidden="1" customHeight="1"/>
    <row r="167" spans="29:29" ht="15.75" hidden="1" customHeight="1"/>
    <row r="168" spans="29:29" ht="15.75" hidden="1" customHeight="1">
      <c r="AC168" t="s">
        <v>194</v>
      </c>
    </row>
    <row r="169" spans="29:29" ht="15.75" hidden="1" customHeight="1"/>
    <row r="170" spans="29:29" ht="15.75" hidden="1" customHeight="1"/>
    <row r="171" spans="29:29" ht="15.75" hidden="1" customHeight="1"/>
    <row r="172" spans="29:29" ht="15.75" hidden="1" customHeight="1"/>
    <row r="173" spans="29:29" ht="15.75" hidden="1" customHeight="1"/>
    <row r="174" spans="29:29" ht="15.75" hidden="1" customHeight="1"/>
    <row r="175" spans="29:29" ht="15.75" hidden="1" customHeight="1"/>
    <row r="176" spans="29:29"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idden="1"/>
    <row r="220" hidden="1"/>
    <row r="221" hidden="1"/>
    <row r="222"/>
    <row r="223"/>
    <row r="224"/>
  </sheetData>
  <mergeCells count="11">
    <mergeCell ref="R8:T8"/>
    <mergeCell ref="C4:X4"/>
    <mergeCell ref="C3:X3"/>
    <mergeCell ref="C2:X2"/>
    <mergeCell ref="C5:X5"/>
    <mergeCell ref="U8:V8"/>
    <mergeCell ref="W8:X8"/>
    <mergeCell ref="F8:H8"/>
    <mergeCell ref="I8:K8"/>
    <mergeCell ref="L8:N8"/>
    <mergeCell ref="O8:Q8"/>
  </mergeCells>
  <phoneticPr fontId="8" type="noConversion"/>
  <printOptions horizontalCentered="1"/>
  <pageMargins left="0.25" right="0.25" top="0.75" bottom="0.5" header="0.5" footer="0.25"/>
  <pageSetup paperSize="3" scale="86" orientation="landscape" r:id="rId1"/>
  <headerFooter alignWithMargins="0">
    <oddFooter>&amp;L&amp;F: &amp;A&amp;CDate: &amp;D&amp;RPage: &amp;P of &amp;N</oddFooter>
  </headerFooter>
  <colBreaks count="1" manualBreakCount="1">
    <brk id="25" max="1048575" man="1"/>
  </colBreaks>
  <ignoredErrors>
    <ignoredError sqref="U13:X15 U24:X24 U17:X18 V16 U22:X23 U20:X21 V19 X16 X19" formula="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00"/>
  </sheetPr>
  <dimension ref="A1:AI185"/>
  <sheetViews>
    <sheetView showGridLines="0" zoomScale="55" zoomScaleNormal="55" workbookViewId="0">
      <pane xSplit="6" ySplit="10" topLeftCell="G11" activePane="bottomRight" state="frozen"/>
      <selection activeCell="D11" sqref="D11"/>
      <selection pane="topRight" activeCell="D11" sqref="D11"/>
      <selection pane="bottomLeft" activeCell="D11" sqref="D11"/>
      <selection pane="bottomRight" activeCell="G11" sqref="G11"/>
    </sheetView>
  </sheetViews>
  <sheetFormatPr defaultColWidth="0" defaultRowHeight="15.75" zeroHeight="1"/>
  <cols>
    <col min="1" max="1" width="22.625" customWidth="1"/>
    <col min="2" max="2" width="1.5" customWidth="1"/>
    <col min="3" max="3" width="5.375" bestFit="1" customWidth="1"/>
    <col min="4" max="4" width="7.375" bestFit="1" customWidth="1"/>
    <col min="5" max="5" width="36.375" customWidth="1"/>
    <col min="6" max="6" width="18.25" style="20" customWidth="1"/>
    <col min="7" max="7" width="10.125" style="20" bestFit="1" customWidth="1"/>
    <col min="8" max="8" width="13.125" style="20" bestFit="1" customWidth="1"/>
    <col min="9" max="9" width="14.75" style="20" bestFit="1" customWidth="1"/>
    <col min="10" max="10" width="15.625" style="20" bestFit="1" customWidth="1"/>
    <col min="11" max="13" width="14.25" style="20" customWidth="1"/>
    <col min="14" max="15" width="13.625" style="20" bestFit="1" customWidth="1"/>
    <col min="16" max="16" width="14.25" style="20" bestFit="1" customWidth="1"/>
    <col min="17" max="20" width="13.25" style="20" bestFit="1" customWidth="1"/>
    <col min="21" max="22" width="12.375" style="20" bestFit="1" customWidth="1"/>
    <col min="23" max="23" width="11.125" style="20" bestFit="1" customWidth="1"/>
    <col min="24" max="24" width="9.125" style="20" bestFit="1" customWidth="1"/>
    <col min="25" max="25" width="19.125" style="20" bestFit="1" customWidth="1"/>
    <col min="26" max="26" width="2.625" customWidth="1"/>
    <col min="27" max="28" width="12.75" hidden="1" customWidth="1"/>
    <col min="29" max="29" width="0" hidden="1" customWidth="1"/>
    <col min="30" max="30" width="11.5" hidden="1" customWidth="1"/>
    <col min="33" max="33" width="11.5" hidden="1"/>
    <col min="35" max="35" width="11.5" hidden="1"/>
  </cols>
  <sheetData>
    <row r="1" spans="1:31" ht="18.75">
      <c r="A1" s="411"/>
      <c r="B1" s="1"/>
      <c r="C1" s="4551" t="s">
        <v>496</v>
      </c>
      <c r="D1" s="4551"/>
      <c r="E1" s="4551"/>
      <c r="F1" s="4551"/>
      <c r="G1" s="4551"/>
      <c r="H1" s="4551"/>
      <c r="I1" s="4551"/>
      <c r="J1" s="4551"/>
      <c r="K1" s="4551"/>
      <c r="L1" s="4551"/>
      <c r="M1" s="4551"/>
      <c r="N1" s="4551"/>
      <c r="O1" s="4551"/>
      <c r="P1" s="4551"/>
      <c r="Q1" s="4551"/>
      <c r="R1" s="4551"/>
      <c r="S1" s="4551"/>
      <c r="T1" s="4551"/>
      <c r="U1" s="4551"/>
      <c r="V1" s="4551"/>
      <c r="W1" s="4551"/>
      <c r="X1" s="4551"/>
      <c r="Y1" s="4551"/>
    </row>
    <row r="2" spans="1:31" ht="18.75">
      <c r="A2" s="411"/>
      <c r="C2" s="4551" t="str">
        <f>Client</f>
        <v>Grant County Public Utility District</v>
      </c>
      <c r="D2" s="4551"/>
      <c r="E2" s="4551"/>
      <c r="F2" s="4551"/>
      <c r="G2" s="4551"/>
      <c r="H2" s="4551"/>
      <c r="I2" s="4551"/>
      <c r="J2" s="4551"/>
      <c r="K2" s="4551"/>
      <c r="L2" s="4551"/>
      <c r="M2" s="4551"/>
      <c r="N2" s="4551"/>
      <c r="O2" s="4551"/>
      <c r="P2" s="4551"/>
      <c r="Q2" s="4551"/>
      <c r="R2" s="4551"/>
      <c r="S2" s="4551"/>
      <c r="T2" s="4551"/>
      <c r="U2" s="4551"/>
      <c r="V2" s="4551"/>
      <c r="W2" s="4551"/>
      <c r="X2" s="4551"/>
      <c r="Y2" s="4551"/>
    </row>
    <row r="3" spans="1:31" ht="18.75">
      <c r="A3" s="411"/>
      <c r="C3" s="4551" t="s">
        <v>526</v>
      </c>
      <c r="D3" s="4551"/>
      <c r="E3" s="4551"/>
      <c r="F3" s="4551"/>
      <c r="G3" s="4551"/>
      <c r="H3" s="4551"/>
      <c r="I3" s="4551"/>
      <c r="J3" s="4551"/>
      <c r="K3" s="4551"/>
      <c r="L3" s="4551"/>
      <c r="M3" s="4551"/>
      <c r="N3" s="4551"/>
      <c r="O3" s="4551"/>
      <c r="P3" s="4551"/>
      <c r="Q3" s="4551"/>
      <c r="R3" s="4551"/>
      <c r="S3" s="4551"/>
      <c r="T3" s="4551"/>
      <c r="U3" s="4551"/>
      <c r="V3" s="4551"/>
      <c r="W3" s="4551"/>
      <c r="X3" s="4551"/>
      <c r="Y3" s="4551"/>
    </row>
    <row r="4" spans="1:31" ht="18.75">
      <c r="A4" s="411"/>
      <c r="C4" s="4551"/>
      <c r="D4" s="4551"/>
      <c r="E4" s="4551"/>
      <c r="F4" s="4551"/>
      <c r="G4" s="4551"/>
      <c r="H4" s="4551"/>
      <c r="I4" s="4551"/>
      <c r="J4" s="4551"/>
      <c r="K4" s="4551"/>
      <c r="L4" s="4551"/>
      <c r="M4" s="4551"/>
      <c r="N4" s="4551"/>
      <c r="O4" s="4551"/>
      <c r="P4" s="4551"/>
      <c r="Q4" s="4551"/>
      <c r="R4" s="4551"/>
      <c r="S4" s="4551"/>
      <c r="T4" s="4551"/>
      <c r="U4" s="4551"/>
      <c r="V4" s="4551"/>
      <c r="W4" s="4551"/>
      <c r="X4" s="4551"/>
      <c r="Y4" s="4551"/>
    </row>
    <row r="5" spans="1:31">
      <c r="A5" s="411"/>
      <c r="B5" s="86"/>
      <c r="F5"/>
      <c r="G5"/>
      <c r="H5" s="2"/>
      <c r="I5" s="2"/>
      <c r="J5" s="2"/>
      <c r="K5" s="2"/>
      <c r="L5" s="2"/>
      <c r="M5" s="2"/>
      <c r="N5" s="2"/>
      <c r="O5" s="2"/>
      <c r="P5" s="2"/>
      <c r="Q5" s="2"/>
      <c r="R5" s="2"/>
      <c r="S5" s="2"/>
      <c r="T5" s="2"/>
      <c r="U5" s="2"/>
      <c r="V5" s="2"/>
      <c r="W5" s="2"/>
      <c r="X5" s="2"/>
      <c r="Y5" s="2"/>
    </row>
    <row r="6" spans="1:31" s="1" customFormat="1">
      <c r="A6" s="411"/>
      <c r="B6" s="86"/>
      <c r="C6" s="84"/>
      <c r="D6" s="2770"/>
      <c r="E6" s="2770"/>
      <c r="F6" s="2579" t="s">
        <v>674</v>
      </c>
      <c r="G6" s="2579" t="s">
        <v>155</v>
      </c>
      <c r="H6" s="2579" t="s">
        <v>675</v>
      </c>
      <c r="I6" s="2579" t="s">
        <v>676</v>
      </c>
      <c r="J6" s="2579" t="s">
        <v>677</v>
      </c>
      <c r="K6" s="2579" t="s">
        <v>140</v>
      </c>
      <c r="L6" s="2579" t="s">
        <v>141</v>
      </c>
      <c r="M6" s="2579" t="s">
        <v>142</v>
      </c>
      <c r="N6" s="2579" t="s">
        <v>143</v>
      </c>
      <c r="O6" s="2579" t="s">
        <v>145</v>
      </c>
      <c r="P6" s="2579" t="s">
        <v>146</v>
      </c>
      <c r="Q6" s="2579" t="s">
        <v>147</v>
      </c>
      <c r="R6" s="2579" t="s">
        <v>148</v>
      </c>
      <c r="S6" s="2579" t="s">
        <v>149</v>
      </c>
      <c r="T6" s="2579" t="s">
        <v>150</v>
      </c>
      <c r="U6" s="2579" t="s">
        <v>151</v>
      </c>
      <c r="V6" s="2579" t="s">
        <v>153</v>
      </c>
      <c r="W6" s="2579" t="s">
        <v>154</v>
      </c>
      <c r="X6" s="2579" t="s">
        <v>449</v>
      </c>
      <c r="Y6" s="2579" t="s">
        <v>450</v>
      </c>
      <c r="Z6" s="489"/>
    </row>
    <row r="7" spans="1:31" s="1" customFormat="1">
      <c r="A7" s="411"/>
      <c r="B7" s="86"/>
      <c r="C7" s="3202"/>
      <c r="D7" s="3202"/>
      <c r="E7" s="3202"/>
      <c r="F7" s="3191"/>
      <c r="G7" s="3204"/>
      <c r="H7" s="3205"/>
      <c r="I7" s="3191"/>
      <c r="J7" s="4559" t="s">
        <v>601</v>
      </c>
      <c r="K7" s="4559"/>
      <c r="L7" s="4559"/>
      <c r="M7" s="4559"/>
      <c r="N7" s="4559"/>
      <c r="O7" s="4559"/>
      <c r="P7" s="4559"/>
      <c r="Q7" s="3204"/>
      <c r="R7" s="3206"/>
      <c r="S7" s="3206"/>
      <c r="T7" s="3205"/>
      <c r="U7" s="3195"/>
      <c r="V7" s="3207"/>
      <c r="W7" s="3208"/>
      <c r="X7" s="3208"/>
      <c r="Y7" s="3209"/>
      <c r="Z7" s="388"/>
    </row>
    <row r="8" spans="1:31" s="1" customFormat="1" ht="15.75" customHeight="1">
      <c r="A8" s="411"/>
      <c r="B8" s="86"/>
      <c r="C8" s="3197"/>
      <c r="D8" s="3203"/>
      <c r="E8" s="3197"/>
      <c r="F8" s="3192"/>
      <c r="G8" s="4564" t="s">
        <v>609</v>
      </c>
      <c r="H8" s="4564"/>
      <c r="I8" s="3193" t="s">
        <v>600</v>
      </c>
      <c r="J8" s="4559" t="s">
        <v>168</v>
      </c>
      <c r="K8" s="4559"/>
      <c r="L8" s="4559"/>
      <c r="M8" s="4559"/>
      <c r="N8" s="4559"/>
      <c r="O8" s="4559"/>
      <c r="P8" s="4559"/>
      <c r="Q8" s="4561" t="s">
        <v>606</v>
      </c>
      <c r="R8" s="4561"/>
      <c r="S8" s="4561"/>
      <c r="T8" s="4561"/>
      <c r="U8" s="3196" t="s">
        <v>169</v>
      </c>
      <c r="V8" s="3210"/>
      <c r="W8" s="3211"/>
      <c r="X8" s="3211"/>
      <c r="Y8" s="3212"/>
      <c r="Z8" s="388"/>
    </row>
    <row r="9" spans="1:31" s="1" customFormat="1">
      <c r="A9" s="411"/>
      <c r="B9" s="86"/>
      <c r="C9" s="3203"/>
      <c r="D9" s="3203" t="s">
        <v>448</v>
      </c>
      <c r="E9" s="3203"/>
      <c r="F9" s="3198"/>
      <c r="G9" s="3198"/>
      <c r="H9" s="3198"/>
      <c r="I9" s="3198"/>
      <c r="J9" s="3199"/>
      <c r="K9" s="3199" t="s">
        <v>170</v>
      </c>
      <c r="L9" s="3199" t="s">
        <v>2988</v>
      </c>
      <c r="M9" s="3199" t="s">
        <v>2989</v>
      </c>
      <c r="N9" s="3198" t="s">
        <v>867</v>
      </c>
      <c r="O9" s="4559" t="s">
        <v>857</v>
      </c>
      <c r="P9" s="4559"/>
      <c r="Q9" s="4559" t="s">
        <v>858</v>
      </c>
      <c r="R9" s="4559"/>
      <c r="S9" s="3195"/>
      <c r="T9" s="3195"/>
      <c r="U9" s="3198" t="s">
        <v>173</v>
      </c>
      <c r="V9" s="3198" t="s">
        <v>174</v>
      </c>
      <c r="W9" s="3198" t="s">
        <v>103</v>
      </c>
      <c r="X9" s="3198" t="s">
        <v>176</v>
      </c>
      <c r="Y9" s="3198" t="s">
        <v>469</v>
      </c>
      <c r="Z9" s="388"/>
    </row>
    <row r="10" spans="1:31" s="1" customFormat="1">
      <c r="A10" s="411"/>
      <c r="B10" s="86"/>
      <c r="C10" s="3201" t="s">
        <v>867</v>
      </c>
      <c r="D10" s="3201" t="s">
        <v>701</v>
      </c>
      <c r="E10" s="3201" t="s">
        <v>399</v>
      </c>
      <c r="F10" s="3196" t="s">
        <v>602</v>
      </c>
      <c r="G10" s="3196" t="s">
        <v>605</v>
      </c>
      <c r="H10" s="3196" t="s">
        <v>168</v>
      </c>
      <c r="I10" s="3196" t="s">
        <v>168</v>
      </c>
      <c r="J10" s="3196" t="s">
        <v>170</v>
      </c>
      <c r="K10" s="3196" t="s">
        <v>175</v>
      </c>
      <c r="L10" s="3196" t="s">
        <v>175</v>
      </c>
      <c r="M10" s="3196" t="s">
        <v>175</v>
      </c>
      <c r="N10" s="3196" t="s">
        <v>856</v>
      </c>
      <c r="O10" s="3192" t="s">
        <v>985</v>
      </c>
      <c r="P10" s="3192" t="s">
        <v>986</v>
      </c>
      <c r="Q10" s="3192" t="s">
        <v>985</v>
      </c>
      <c r="R10" s="3192" t="s">
        <v>986</v>
      </c>
      <c r="S10" s="3200" t="s">
        <v>171</v>
      </c>
      <c r="T10" s="3200" t="s">
        <v>172</v>
      </c>
      <c r="U10" s="3196" t="s">
        <v>603</v>
      </c>
      <c r="V10" s="3196" t="s">
        <v>859</v>
      </c>
      <c r="W10" s="3196" t="s">
        <v>606</v>
      </c>
      <c r="X10" s="3196" t="s">
        <v>861</v>
      </c>
      <c r="Y10" s="3196" t="s">
        <v>470</v>
      </c>
      <c r="Z10" s="388"/>
    </row>
    <row r="11" spans="1:31" s="1" customFormat="1">
      <c r="A11" s="411"/>
      <c r="B11" s="86"/>
      <c r="C11" s="3190"/>
      <c r="D11" s="3190"/>
      <c r="E11" s="3190"/>
      <c r="F11" s="3194">
        <v>1000</v>
      </c>
      <c r="G11" s="3194">
        <v>1000</v>
      </c>
      <c r="H11" s="3194">
        <v>1000</v>
      </c>
      <c r="I11" s="3194">
        <v>1000</v>
      </c>
      <c r="J11" s="3194">
        <v>1000</v>
      </c>
      <c r="K11" s="3194">
        <v>1000</v>
      </c>
      <c r="L11" s="3194">
        <v>1000</v>
      </c>
      <c r="M11" s="3194">
        <v>1000</v>
      </c>
      <c r="N11" s="3194">
        <v>1000</v>
      </c>
      <c r="O11" s="3194">
        <v>1000</v>
      </c>
      <c r="P11" s="3194">
        <v>1000</v>
      </c>
      <c r="Q11" s="3194">
        <v>1000</v>
      </c>
      <c r="R11" s="3194">
        <v>1000</v>
      </c>
      <c r="S11" s="3194">
        <v>1000</v>
      </c>
      <c r="T11" s="3194">
        <v>1000</v>
      </c>
      <c r="U11" s="3194">
        <v>1000</v>
      </c>
      <c r="V11" s="3194">
        <v>1000</v>
      </c>
      <c r="W11" s="3194">
        <v>1000</v>
      </c>
      <c r="X11" s="3194">
        <v>1000</v>
      </c>
      <c r="Y11" s="3190"/>
      <c r="Z11" s="388"/>
    </row>
    <row r="12" spans="1:31" s="1" customFormat="1">
      <c r="A12" s="411"/>
      <c r="B12" s="86"/>
      <c r="C12" s="394"/>
      <c r="D12" s="394"/>
      <c r="E12" s="64"/>
      <c r="F12" s="64"/>
      <c r="G12" s="515"/>
      <c r="H12" s="515"/>
      <c r="I12" s="9"/>
      <c r="J12" s="387"/>
      <c r="K12" s="387"/>
      <c r="L12" s="387"/>
      <c r="M12" s="387"/>
      <c r="N12" s="9"/>
      <c r="O12" s="9"/>
      <c r="P12" s="9"/>
      <c r="Q12" s="64"/>
      <c r="R12" s="515"/>
      <c r="S12" s="515"/>
      <c r="T12" s="515"/>
      <c r="U12" s="64"/>
      <c r="V12" s="64"/>
      <c r="W12" s="388"/>
      <c r="X12" s="64"/>
      <c r="Y12" s="64"/>
    </row>
    <row r="13" spans="1:31">
      <c r="A13" s="411"/>
      <c r="B13" s="86"/>
      <c r="C13" s="322"/>
      <c r="D13" s="17"/>
      <c r="E13" s="490" t="s">
        <v>364</v>
      </c>
      <c r="F13" s="17"/>
      <c r="G13" s="17"/>
      <c r="H13" s="17"/>
      <c r="I13" s="17"/>
      <c r="J13" s="17"/>
      <c r="K13" s="17"/>
      <c r="L13" s="17"/>
      <c r="M13" s="17"/>
      <c r="N13" s="17"/>
      <c r="O13" s="17"/>
      <c r="P13" s="17"/>
      <c r="Q13" s="17"/>
      <c r="R13" s="17"/>
      <c r="S13" s="17"/>
      <c r="T13" s="17"/>
      <c r="U13" s="17"/>
      <c r="V13" s="17"/>
      <c r="W13" s="17"/>
      <c r="X13" s="17"/>
      <c r="Y13" s="17"/>
      <c r="Z13" s="87"/>
      <c r="AB13" s="86"/>
      <c r="AC13" s="86"/>
      <c r="AE13" s="86"/>
    </row>
    <row r="14" spans="1:31">
      <c r="A14" s="411"/>
      <c r="B14" s="86"/>
      <c r="C14" s="322"/>
      <c r="D14" s="17"/>
      <c r="E14" s="17"/>
      <c r="F14" s="17"/>
      <c r="G14" s="326"/>
      <c r="H14" s="326"/>
      <c r="I14" s="17"/>
      <c r="J14" s="17"/>
      <c r="K14" s="17"/>
      <c r="L14" s="17"/>
      <c r="M14" s="17"/>
      <c r="N14" s="17"/>
      <c r="O14" s="17"/>
      <c r="P14" s="17"/>
      <c r="Q14" s="17"/>
      <c r="R14" s="17"/>
      <c r="S14" s="17"/>
      <c r="T14" s="17"/>
      <c r="U14" s="17"/>
      <c r="V14" s="17"/>
      <c r="W14" s="17"/>
      <c r="X14" s="17"/>
      <c r="Y14" s="17"/>
      <c r="Z14" s="87"/>
      <c r="AA14" s="86"/>
      <c r="AB14" s="86"/>
      <c r="AC14" s="86"/>
      <c r="AD14" s="86"/>
      <c r="AE14" s="86"/>
    </row>
    <row r="15" spans="1:31" s="51" customFormat="1">
      <c r="A15" s="411"/>
      <c r="B15" s="86"/>
      <c r="C15" s="2683"/>
      <c r="D15" s="2684"/>
      <c r="E15" s="61" t="s">
        <v>975</v>
      </c>
      <c r="F15" s="2684"/>
      <c r="G15" s="2685"/>
      <c r="H15" s="2685"/>
      <c r="I15" s="2685"/>
      <c r="J15" s="2685"/>
      <c r="K15" s="2685"/>
      <c r="L15" s="2685"/>
      <c r="M15" s="2685"/>
      <c r="N15" s="2685"/>
      <c r="O15" s="2685"/>
      <c r="P15" s="2685"/>
      <c r="Q15" s="2685"/>
      <c r="R15" s="2685"/>
      <c r="S15" s="2685"/>
      <c r="T15" s="2685"/>
      <c r="U15" s="2685"/>
      <c r="V15" s="2685"/>
      <c r="W15" s="2684"/>
      <c r="X15" s="2684"/>
      <c r="Y15" s="2684"/>
      <c r="Z15" s="2684"/>
    </row>
    <row r="16" spans="1:31">
      <c r="A16" s="411"/>
      <c r="B16" s="86"/>
      <c r="C16" s="336">
        <v>1</v>
      </c>
      <c r="D16" s="165" t="str">
        <f>COS_RB!D15</f>
        <v>301</v>
      </c>
      <c r="E16" s="247" t="str">
        <f>COS_RB!E15</f>
        <v>ORGANIZATION</v>
      </c>
      <c r="F16" s="714">
        <f t="shared" ref="F16:F21" si="0">SUM(G16:W16)</f>
        <v>30.37300039124495</v>
      </c>
      <c r="G16" s="714">
        <f>COS_RB!H15/1000</f>
        <v>0</v>
      </c>
      <c r="H16" s="714">
        <f>COS_RB!I15/1000</f>
        <v>0.69984564433913721</v>
      </c>
      <c r="I16" s="714">
        <f>COS_RB!J15/1000</f>
        <v>3.1712175612317179</v>
      </c>
      <c r="J16" s="714">
        <f>COS_RB!K15/1000</f>
        <v>4.8026975075996727</v>
      </c>
      <c r="K16" s="714">
        <f>COS_RB!L15/1000</f>
        <v>0.89384658617421464</v>
      </c>
      <c r="L16" s="714">
        <f>COS_RB!M15/1000</f>
        <v>0</v>
      </c>
      <c r="M16" s="714">
        <f>COS_RB!N15/1000</f>
        <v>0</v>
      </c>
      <c r="N16" s="714">
        <f>COS_RB!O15/1000</f>
        <v>1.4614472871031288</v>
      </c>
      <c r="O16" s="714">
        <f>COS_RB!P15/1000</f>
        <v>0.90537422409047397</v>
      </c>
      <c r="P16" s="714">
        <f>COS_RB!Q15/1000</f>
        <v>5.6975832884347213</v>
      </c>
      <c r="Q16" s="714">
        <f>COS_RB!R15/1000</f>
        <v>0.67280245899566538</v>
      </c>
      <c r="R16" s="714">
        <f>COS_RB!S15/1000</f>
        <v>1.7705408933304021</v>
      </c>
      <c r="S16" s="714">
        <f>COS_RB!T15/1000</f>
        <v>0.40036830013408797</v>
      </c>
      <c r="T16" s="714">
        <f>COS_RB!U15/1000</f>
        <v>3.2996657327203915</v>
      </c>
      <c r="U16" s="714">
        <f>COS_RB!V15/1000</f>
        <v>6.1310541268428604</v>
      </c>
      <c r="V16" s="714">
        <f>COS_RB!W15/1000</f>
        <v>0.1337257958019126</v>
      </c>
      <c r="W16" s="714">
        <f>COS_RB!X15/1000</f>
        <v>0.33283098444657133</v>
      </c>
      <c r="X16" s="714">
        <f>COS_RB!Y15/1000</f>
        <v>0</v>
      </c>
      <c r="Y16" s="516" t="str">
        <f>COS_RB!G15</f>
        <v>Supervised O&amp;M</v>
      </c>
      <c r="Z16" s="87"/>
      <c r="AA16" s="86"/>
      <c r="AB16" s="86"/>
      <c r="AC16" s="86"/>
      <c r="AD16" s="86"/>
      <c r="AE16" s="86"/>
    </row>
    <row r="17" spans="1:31" s="51" customFormat="1">
      <c r="A17" s="411"/>
      <c r="B17" s="86"/>
      <c r="C17" s="2686">
        <f>MAX(C13:C16)+1</f>
        <v>2</v>
      </c>
      <c r="D17" s="2687" t="str">
        <f>COS_RB!D16</f>
        <v>302</v>
      </c>
      <c r="E17" s="2688" t="str">
        <f>COS_RB!E16</f>
        <v>FRANCHISES &amp; CONSENTS</v>
      </c>
      <c r="F17" s="2689">
        <f t="shared" si="0"/>
        <v>3.3640000433328296</v>
      </c>
      <c r="G17" s="2689">
        <f>COS_RB!H16/1000</f>
        <v>0</v>
      </c>
      <c r="H17" s="2689">
        <f>COS_RB!I16/1000</f>
        <v>7.7512288794549675E-2</v>
      </c>
      <c r="I17" s="2689">
        <f>COS_RB!J16/1000</f>
        <v>0.35123220873748062</v>
      </c>
      <c r="J17" s="2689">
        <f>COS_RB!K16/1000</f>
        <v>0.53192883204047336</v>
      </c>
      <c r="K17" s="2689">
        <f>COS_RB!L16/1000</f>
        <v>9.8999108283345683E-2</v>
      </c>
      <c r="L17" s="2689">
        <f>COS_RB!M16/1000</f>
        <v>0</v>
      </c>
      <c r="M17" s="2689">
        <f>COS_RB!N16/1000</f>
        <v>0</v>
      </c>
      <c r="N17" s="2689">
        <f>COS_RB!O16/1000</f>
        <v>0.16186444124106689</v>
      </c>
      <c r="O17" s="2689">
        <f>COS_RB!P16/1000</f>
        <v>0.10027586638923894</v>
      </c>
      <c r="P17" s="2689">
        <f>COS_RB!Q16/1000</f>
        <v>0.63104303764180036</v>
      </c>
      <c r="Q17" s="2689">
        <f>COS_RB!R16/1000</f>
        <v>7.4517086625009651E-2</v>
      </c>
      <c r="R17" s="2689">
        <f>COS_RB!S16/1000</f>
        <v>0.19609849422722392</v>
      </c>
      <c r="S17" s="2689">
        <f>COS_RB!T16/1000</f>
        <v>4.4343297061570204E-2</v>
      </c>
      <c r="T17" s="2689">
        <f>COS_RB!U16/1000</f>
        <v>0.36545864830182717</v>
      </c>
      <c r="U17" s="2689">
        <f>COS_RB!V16/1000</f>
        <v>0.67905264816446786</v>
      </c>
      <c r="V17" s="2689">
        <f>COS_RB!W16/1000</f>
        <v>1.4810969514951897E-2</v>
      </c>
      <c r="W17" s="2689">
        <f>COS_RB!X16/1000</f>
        <v>3.686311630982339E-2</v>
      </c>
      <c r="X17" s="2689">
        <f>COS_RB!Y16/1000</f>
        <v>0</v>
      </c>
      <c r="Y17" s="2690" t="str">
        <f>COS_RB!G16</f>
        <v>Supervised O&amp;M</v>
      </c>
      <c r="Z17" s="2684"/>
    </row>
    <row r="18" spans="1:31">
      <c r="A18" s="411"/>
      <c r="B18" s="86"/>
      <c r="C18" s="336">
        <f>MAX(C14:C17)+1</f>
        <v>3</v>
      </c>
      <c r="D18" s="165" t="str">
        <f>COS_RB!D17</f>
        <v>303</v>
      </c>
      <c r="E18" s="247" t="str">
        <f>COS_RB!E17</f>
        <v>QUINCY CHUTE POWER RIGHTS</v>
      </c>
      <c r="F18" s="715">
        <f t="shared" si="0"/>
        <v>17770.821740000003</v>
      </c>
      <c r="G18" s="715">
        <f>COS_RB!H17/1000</f>
        <v>0</v>
      </c>
      <c r="H18" s="715">
        <f>COS_RB!I17/1000</f>
        <v>17770.821740000003</v>
      </c>
      <c r="I18" s="715">
        <f>COS_RB!J17/1000</f>
        <v>0</v>
      </c>
      <c r="J18" s="715">
        <f>COS_RB!K17/1000</f>
        <v>0</v>
      </c>
      <c r="K18" s="715">
        <f>COS_RB!L17/1000</f>
        <v>0</v>
      </c>
      <c r="L18" s="715">
        <f>COS_RB!M17/1000</f>
        <v>0</v>
      </c>
      <c r="M18" s="715">
        <f>COS_RB!N17/1000</f>
        <v>0</v>
      </c>
      <c r="N18" s="715">
        <f>COS_RB!O17/1000</f>
        <v>0</v>
      </c>
      <c r="O18" s="715">
        <f>COS_RB!P17/1000</f>
        <v>0</v>
      </c>
      <c r="P18" s="715">
        <f>COS_RB!Q17/1000</f>
        <v>0</v>
      </c>
      <c r="Q18" s="715">
        <f>COS_RB!R17/1000</f>
        <v>0</v>
      </c>
      <c r="R18" s="715">
        <f>COS_RB!S17/1000</f>
        <v>0</v>
      </c>
      <c r="S18" s="715">
        <f>COS_RB!T17/1000</f>
        <v>0</v>
      </c>
      <c r="T18" s="715">
        <f>COS_RB!U17/1000</f>
        <v>0</v>
      </c>
      <c r="U18" s="715">
        <f>COS_RB!V17/1000</f>
        <v>0</v>
      </c>
      <c r="V18" s="715">
        <f>COS_RB!W17/1000</f>
        <v>0</v>
      </c>
      <c r="W18" s="715">
        <f>COS_RB!X17/1000</f>
        <v>0</v>
      </c>
      <c r="X18" s="715">
        <f>COS_RB!Y17/1000</f>
        <v>0</v>
      </c>
      <c r="Y18" s="516" t="str">
        <f>COS_RB!G17</f>
        <v>Power - Capacity</v>
      </c>
      <c r="Z18" s="87"/>
      <c r="AA18" s="86"/>
      <c r="AB18" s="86"/>
      <c r="AC18" s="86"/>
      <c r="AD18" s="86"/>
      <c r="AE18" s="86"/>
    </row>
    <row r="19" spans="1:31" s="51" customFormat="1">
      <c r="A19" s="411"/>
      <c r="B19" s="86"/>
      <c r="C19" s="2686">
        <f>MAX(C15:C18)+1</f>
        <v>4</v>
      </c>
      <c r="D19" s="2687" t="str">
        <f>COS_RB!D18</f>
        <v>303</v>
      </c>
      <c r="E19" s="2688" t="str">
        <f>COS_RB!E18</f>
        <v>PEC POWER RIGHTS</v>
      </c>
      <c r="F19" s="2689">
        <f t="shared" si="0"/>
        <v>16450.62241</v>
      </c>
      <c r="G19" s="2689">
        <f>COS_RB!H18/1000</f>
        <v>0</v>
      </c>
      <c r="H19" s="2689">
        <f>COS_RB!I18/1000</f>
        <v>16450.62241</v>
      </c>
      <c r="I19" s="2689">
        <f>COS_RB!J18/1000</f>
        <v>0</v>
      </c>
      <c r="J19" s="2689">
        <f>COS_RB!K18/1000</f>
        <v>0</v>
      </c>
      <c r="K19" s="2689">
        <f>COS_RB!L18/1000</f>
        <v>0</v>
      </c>
      <c r="L19" s="2689">
        <f>COS_RB!M18/1000</f>
        <v>0</v>
      </c>
      <c r="M19" s="2689">
        <f>COS_RB!N18/1000</f>
        <v>0</v>
      </c>
      <c r="N19" s="2689">
        <f>COS_RB!O18/1000</f>
        <v>0</v>
      </c>
      <c r="O19" s="2689">
        <f>COS_RB!P18/1000</f>
        <v>0</v>
      </c>
      <c r="P19" s="2689">
        <f>COS_RB!Q18/1000</f>
        <v>0</v>
      </c>
      <c r="Q19" s="2689">
        <f>COS_RB!R18/1000</f>
        <v>0</v>
      </c>
      <c r="R19" s="2689">
        <f>COS_RB!S18/1000</f>
        <v>0</v>
      </c>
      <c r="S19" s="2689">
        <f>COS_RB!T18/1000</f>
        <v>0</v>
      </c>
      <c r="T19" s="2689">
        <f>COS_RB!U18/1000</f>
        <v>0</v>
      </c>
      <c r="U19" s="2689">
        <f>COS_RB!V18/1000</f>
        <v>0</v>
      </c>
      <c r="V19" s="2689">
        <f>COS_RB!W18/1000</f>
        <v>0</v>
      </c>
      <c r="W19" s="2689">
        <f>COS_RB!X18/1000</f>
        <v>0</v>
      </c>
      <c r="X19" s="2689">
        <f>COS_RB!Y18/1000</f>
        <v>0</v>
      </c>
      <c r="Y19" s="2690" t="str">
        <f>COS_RB!G18</f>
        <v>Power - Capacity</v>
      </c>
      <c r="Z19" s="2684"/>
    </row>
    <row r="20" spans="1:31">
      <c r="A20" s="411"/>
      <c r="B20" s="86"/>
      <c r="C20" s="336">
        <f>MAX(C17:C19)+1</f>
        <v>5</v>
      </c>
      <c r="D20" s="165" t="str">
        <f>COS_RB!D19</f>
        <v>303</v>
      </c>
      <c r="E20" s="247" t="str">
        <f>COS_RB!E19</f>
        <v>QUINCY CHUTE ORIG POWER RIGHTS</v>
      </c>
      <c r="F20" s="715">
        <f t="shared" si="0"/>
        <v>0</v>
      </c>
      <c r="G20" s="715">
        <f>COS_RB!H19/1000</f>
        <v>0</v>
      </c>
      <c r="H20" s="715">
        <f>COS_RB!I19/1000</f>
        <v>0</v>
      </c>
      <c r="I20" s="715">
        <f>COS_RB!J19/1000</f>
        <v>0</v>
      </c>
      <c r="J20" s="715">
        <f>COS_RB!K19/1000</f>
        <v>0</v>
      </c>
      <c r="K20" s="715">
        <f>COS_RB!L19/1000</f>
        <v>0</v>
      </c>
      <c r="L20" s="715">
        <f>COS_RB!M19/1000</f>
        <v>0</v>
      </c>
      <c r="M20" s="715">
        <f>COS_RB!N19/1000</f>
        <v>0</v>
      </c>
      <c r="N20" s="715">
        <f>COS_RB!O19/1000</f>
        <v>0</v>
      </c>
      <c r="O20" s="715">
        <f>COS_RB!P19/1000</f>
        <v>0</v>
      </c>
      <c r="P20" s="715">
        <f>COS_RB!Q19/1000</f>
        <v>0</v>
      </c>
      <c r="Q20" s="715">
        <f>COS_RB!R19/1000</f>
        <v>0</v>
      </c>
      <c r="R20" s="715">
        <f>COS_RB!S19/1000</f>
        <v>0</v>
      </c>
      <c r="S20" s="715">
        <f>COS_RB!T19/1000</f>
        <v>0</v>
      </c>
      <c r="T20" s="715">
        <f>COS_RB!U19/1000</f>
        <v>0</v>
      </c>
      <c r="U20" s="715">
        <f>COS_RB!V19/1000</f>
        <v>0</v>
      </c>
      <c r="V20" s="715">
        <f>COS_RB!W19/1000</f>
        <v>0</v>
      </c>
      <c r="W20" s="715">
        <f>COS_RB!X19/1000</f>
        <v>0</v>
      </c>
      <c r="X20" s="715">
        <f>COS_RB!Y19/1000</f>
        <v>0</v>
      </c>
      <c r="Y20" s="516" t="str">
        <f>COS_RB!G19</f>
        <v>Power - Capacity</v>
      </c>
      <c r="Z20" s="87"/>
      <c r="AA20" s="86"/>
      <c r="AB20" s="86"/>
      <c r="AC20" s="86"/>
      <c r="AD20" s="86"/>
      <c r="AE20" s="86"/>
    </row>
    <row r="21" spans="1:31" s="51" customFormat="1">
      <c r="A21" s="411"/>
      <c r="B21" s="86"/>
      <c r="C21" s="2686">
        <f>MAX(C18:C20)+1</f>
        <v>6</v>
      </c>
      <c r="D21" s="2687" t="str">
        <f>COS_RB!D21</f>
        <v>346</v>
      </c>
      <c r="E21" s="2688" t="str">
        <f>COS_RB!E21</f>
        <v>WIND TOWERS</v>
      </c>
      <c r="F21" s="2691">
        <f t="shared" si="0"/>
        <v>29.65578</v>
      </c>
      <c r="G21" s="2692">
        <f>COS_RB!H21/1000</f>
        <v>0</v>
      </c>
      <c r="H21" s="2692">
        <f>COS_RB!I21/1000</f>
        <v>29.65578</v>
      </c>
      <c r="I21" s="2692">
        <f>COS_RB!J21/1000</f>
        <v>0</v>
      </c>
      <c r="J21" s="2692">
        <f>COS_RB!K21/1000</f>
        <v>0</v>
      </c>
      <c r="K21" s="2692">
        <f>COS_RB!L21/1000</f>
        <v>0</v>
      </c>
      <c r="L21" s="2692">
        <f>COS_RB!M21/1000</f>
        <v>0</v>
      </c>
      <c r="M21" s="2692">
        <f>COS_RB!N21/1000</f>
        <v>0</v>
      </c>
      <c r="N21" s="2692">
        <f>COS_RB!O21/1000</f>
        <v>0</v>
      </c>
      <c r="O21" s="2692">
        <f>COS_RB!P21/1000</f>
        <v>0</v>
      </c>
      <c r="P21" s="2692">
        <f>COS_RB!Q21/1000</f>
        <v>0</v>
      </c>
      <c r="Q21" s="2692">
        <f>COS_RB!R21/1000</f>
        <v>0</v>
      </c>
      <c r="R21" s="2692">
        <f>COS_RB!S21/1000</f>
        <v>0</v>
      </c>
      <c r="S21" s="2692">
        <f>COS_RB!T21/1000</f>
        <v>0</v>
      </c>
      <c r="T21" s="2692">
        <f>COS_RB!U21/1000</f>
        <v>0</v>
      </c>
      <c r="U21" s="2692">
        <f>COS_RB!V21/1000</f>
        <v>0</v>
      </c>
      <c r="V21" s="2692">
        <f>COS_RB!W21/1000</f>
        <v>0</v>
      </c>
      <c r="W21" s="2692">
        <f>COS_RB!X21/1000</f>
        <v>0</v>
      </c>
      <c r="X21" s="2692">
        <f>COS_RB!Y21/1000</f>
        <v>0</v>
      </c>
      <c r="Y21" s="2690" t="str">
        <f>COS_RB!G21</f>
        <v>Power - Capacity</v>
      </c>
      <c r="Z21" s="2684"/>
    </row>
    <row r="22" spans="1:31">
      <c r="A22" s="411"/>
      <c r="B22" s="86"/>
      <c r="C22" s="336">
        <f>MAX(C19:C21)+1</f>
        <v>7</v>
      </c>
      <c r="D22" s="165"/>
      <c r="E22" s="253" t="s">
        <v>113</v>
      </c>
      <c r="F22" s="718">
        <f t="shared" ref="F22:X22" si="1">SUM(F16:F21)</f>
        <v>34284.836930434583</v>
      </c>
      <c r="G22" s="718">
        <f t="shared" si="1"/>
        <v>0</v>
      </c>
      <c r="H22" s="718">
        <f t="shared" si="1"/>
        <v>34251.877287933137</v>
      </c>
      <c r="I22" s="718">
        <f t="shared" si="1"/>
        <v>3.5224497699691986</v>
      </c>
      <c r="J22" s="718">
        <f t="shared" si="1"/>
        <v>5.3346263396401463</v>
      </c>
      <c r="K22" s="718">
        <f t="shared" si="1"/>
        <v>0.99284569445756032</v>
      </c>
      <c r="L22" s="718">
        <f>SUM(L16:L21)</f>
        <v>0</v>
      </c>
      <c r="M22" s="718">
        <f>SUM(M16:M21)</f>
        <v>0</v>
      </c>
      <c r="N22" s="718">
        <f>SUM(N16:N21)</f>
        <v>1.6233117283441956</v>
      </c>
      <c r="O22" s="718">
        <f t="shared" si="1"/>
        <v>1.005650090479713</v>
      </c>
      <c r="P22" s="718">
        <f t="shared" si="1"/>
        <v>6.3286263260765221</v>
      </c>
      <c r="Q22" s="718">
        <f t="shared" si="1"/>
        <v>0.74731954562067504</v>
      </c>
      <c r="R22" s="718">
        <f t="shared" si="1"/>
        <v>1.966639387557626</v>
      </c>
      <c r="S22" s="718">
        <f t="shared" si="1"/>
        <v>0.44471159719565817</v>
      </c>
      <c r="T22" s="718">
        <f t="shared" si="1"/>
        <v>3.6651243810222187</v>
      </c>
      <c r="U22" s="718">
        <f t="shared" si="1"/>
        <v>6.8101067750073287</v>
      </c>
      <c r="V22" s="718">
        <f t="shared" si="1"/>
        <v>0.14853676531686449</v>
      </c>
      <c r="W22" s="718">
        <f t="shared" si="1"/>
        <v>0.36969410075639475</v>
      </c>
      <c r="X22" s="718">
        <f t="shared" si="1"/>
        <v>0</v>
      </c>
      <c r="Y22" s="256"/>
      <c r="Z22" s="87"/>
      <c r="AA22" s="86"/>
      <c r="AB22" s="86"/>
      <c r="AC22" s="86"/>
      <c r="AD22" s="86"/>
      <c r="AE22" s="86"/>
    </row>
    <row r="23" spans="1:31" s="51" customFormat="1">
      <c r="A23" s="411"/>
      <c r="B23" s="86"/>
      <c r="C23" s="2686"/>
      <c r="D23" s="2687"/>
      <c r="E23" s="61"/>
      <c r="F23" s="2693"/>
      <c r="G23" s="2693"/>
      <c r="H23" s="2693"/>
      <c r="I23" s="2693"/>
      <c r="J23" s="2693"/>
      <c r="K23" s="2693"/>
      <c r="L23" s="2693"/>
      <c r="M23" s="2693"/>
      <c r="N23" s="2693"/>
      <c r="O23" s="2693"/>
      <c r="P23" s="2693"/>
      <c r="Q23" s="2693"/>
      <c r="R23" s="2693"/>
      <c r="S23" s="2693"/>
      <c r="T23" s="2693"/>
      <c r="U23" s="2693"/>
      <c r="V23" s="2693"/>
      <c r="W23" s="2693"/>
      <c r="X23" s="2693"/>
      <c r="Y23" s="2694"/>
      <c r="Z23" s="2684"/>
    </row>
    <row r="24" spans="1:31">
      <c r="A24" s="411"/>
      <c r="B24" s="86"/>
      <c r="C24" s="336">
        <f>MAX(C21:C23)+1</f>
        <v>8</v>
      </c>
      <c r="D24" s="165"/>
      <c r="E24" s="206" t="s">
        <v>107</v>
      </c>
      <c r="F24" s="719"/>
      <c r="G24" s="719"/>
      <c r="H24" s="719"/>
      <c r="I24" s="719"/>
      <c r="J24" s="719"/>
      <c r="K24" s="719"/>
      <c r="L24" s="719"/>
      <c r="M24" s="719"/>
      <c r="N24" s="719"/>
      <c r="O24" s="719"/>
      <c r="P24" s="719"/>
      <c r="Q24" s="719"/>
      <c r="R24" s="719"/>
      <c r="S24" s="719"/>
      <c r="T24" s="719"/>
      <c r="U24" s="719"/>
      <c r="V24" s="719"/>
      <c r="W24" s="719"/>
      <c r="X24" s="719"/>
      <c r="Y24" s="313"/>
      <c r="Z24" s="87"/>
      <c r="AA24" s="86"/>
      <c r="AB24" s="86"/>
      <c r="AC24" s="86"/>
      <c r="AD24" s="86"/>
      <c r="AE24" s="86"/>
    </row>
    <row r="25" spans="1:31" s="51" customFormat="1">
      <c r="A25" s="411"/>
      <c r="B25" s="86"/>
      <c r="C25" s="2686">
        <f t="shared" ref="C25:C33" si="2">MAX(C22:C24)+1</f>
        <v>9</v>
      </c>
      <c r="D25" s="2687" t="str">
        <f>COS_RB!D26</f>
        <v>350</v>
      </c>
      <c r="E25" s="2688" t="str">
        <f>COS_RB!E26</f>
        <v>LAND &amp; LAND RIGHTS</v>
      </c>
      <c r="F25" s="2695">
        <f t="shared" ref="F25:F34" si="3">SUM(G25:W25)</f>
        <v>1667.9214099999999</v>
      </c>
      <c r="G25" s="2695">
        <f>COS_RB!H26/1000</f>
        <v>0</v>
      </c>
      <c r="H25" s="2695">
        <f>COS_RB!I26/1000</f>
        <v>0</v>
      </c>
      <c r="I25" s="2695">
        <f>COS_RB!J26/1000</f>
        <v>1667.9214099999999</v>
      </c>
      <c r="J25" s="2695">
        <f>COS_RB!K26/1000</f>
        <v>0</v>
      </c>
      <c r="K25" s="2695">
        <f>COS_RB!L26/1000</f>
        <v>0</v>
      </c>
      <c r="L25" s="2695">
        <f>COS_RB!M26/1000</f>
        <v>0</v>
      </c>
      <c r="M25" s="2695">
        <f>COS_RB!N26/1000</f>
        <v>0</v>
      </c>
      <c r="N25" s="2695">
        <f>COS_RB!O26/1000</f>
        <v>0</v>
      </c>
      <c r="O25" s="2695">
        <f>COS_RB!P26/1000</f>
        <v>0</v>
      </c>
      <c r="P25" s="2695">
        <f>COS_RB!Q26/1000</f>
        <v>0</v>
      </c>
      <c r="Q25" s="2695">
        <f>COS_RB!R26/1000</f>
        <v>0</v>
      </c>
      <c r="R25" s="2695">
        <f>COS_RB!S26/1000</f>
        <v>0</v>
      </c>
      <c r="S25" s="2695">
        <f>COS_RB!T26/1000</f>
        <v>0</v>
      </c>
      <c r="T25" s="2695">
        <f>COS_RB!U26/1000</f>
        <v>0</v>
      </c>
      <c r="U25" s="2695">
        <f>COS_RB!V26/1000</f>
        <v>0</v>
      </c>
      <c r="V25" s="2695">
        <f>COS_RB!W26/1000</f>
        <v>0</v>
      </c>
      <c r="W25" s="2695">
        <f>COS_RB!X26/1000</f>
        <v>0</v>
      </c>
      <c r="X25" s="2695">
        <f>COS_RB!Y26/1000</f>
        <v>0</v>
      </c>
      <c r="Y25" s="2690" t="str">
        <f>COS_RB!G26</f>
        <v>Trans - Capacity</v>
      </c>
      <c r="Z25" s="2684"/>
    </row>
    <row r="26" spans="1:31">
      <c r="A26" s="411"/>
      <c r="B26" s="86"/>
      <c r="C26" s="336">
        <f t="shared" si="2"/>
        <v>10</v>
      </c>
      <c r="D26" s="165" t="str">
        <f>COS_RB!D27</f>
        <v>352</v>
      </c>
      <c r="E26" s="247" t="str">
        <f>COS_RB!E27</f>
        <v>STRUCTURES &amp; IMPR</v>
      </c>
      <c r="F26" s="715">
        <f t="shared" si="3"/>
        <v>569.92836</v>
      </c>
      <c r="G26" s="715">
        <f>COS_RB!H27/1000</f>
        <v>0</v>
      </c>
      <c r="H26" s="715">
        <f>COS_RB!I27/1000</f>
        <v>0</v>
      </c>
      <c r="I26" s="715">
        <f>COS_RB!J27/1000</f>
        <v>569.92836</v>
      </c>
      <c r="J26" s="715">
        <f>COS_RB!K27/1000</f>
        <v>0</v>
      </c>
      <c r="K26" s="715">
        <f>COS_RB!L27/1000</f>
        <v>0</v>
      </c>
      <c r="L26" s="715">
        <f>COS_RB!M27/1000</f>
        <v>0</v>
      </c>
      <c r="M26" s="715">
        <f>COS_RB!N27/1000</f>
        <v>0</v>
      </c>
      <c r="N26" s="715">
        <f>COS_RB!O27/1000</f>
        <v>0</v>
      </c>
      <c r="O26" s="715">
        <f>COS_RB!P27/1000</f>
        <v>0</v>
      </c>
      <c r="P26" s="715">
        <f>COS_RB!Q27/1000</f>
        <v>0</v>
      </c>
      <c r="Q26" s="715">
        <f>COS_RB!R27/1000</f>
        <v>0</v>
      </c>
      <c r="R26" s="715">
        <f>COS_RB!S27/1000</f>
        <v>0</v>
      </c>
      <c r="S26" s="715">
        <f>COS_RB!T27/1000</f>
        <v>0</v>
      </c>
      <c r="T26" s="715">
        <f>COS_RB!U27/1000</f>
        <v>0</v>
      </c>
      <c r="U26" s="715">
        <f>COS_RB!V27/1000</f>
        <v>0</v>
      </c>
      <c r="V26" s="715">
        <f>COS_RB!W27/1000</f>
        <v>0</v>
      </c>
      <c r="W26" s="715">
        <f>COS_RB!X27/1000</f>
        <v>0</v>
      </c>
      <c r="X26" s="715">
        <f>COS_RB!Y27/1000</f>
        <v>0</v>
      </c>
      <c r="Y26" s="516" t="str">
        <f>COS_RB!G27</f>
        <v>Trans - Capacity</v>
      </c>
      <c r="Z26" s="87"/>
      <c r="AA26" s="86"/>
      <c r="AB26" s="86"/>
      <c r="AC26" s="86"/>
      <c r="AD26" s="86"/>
      <c r="AE26" s="86"/>
    </row>
    <row r="27" spans="1:31" s="51" customFormat="1">
      <c r="A27" s="411"/>
      <c r="B27" s="86"/>
      <c r="C27" s="2686">
        <f t="shared" si="2"/>
        <v>11</v>
      </c>
      <c r="D27" s="2687" t="str">
        <f>COS_RB!D28</f>
        <v>353</v>
      </c>
      <c r="E27" s="2688" t="str">
        <f>COS_RB!E28</f>
        <v>STRUCTURES &amp; IMPR</v>
      </c>
      <c r="F27" s="2689">
        <f t="shared" si="3"/>
        <v>46024.484879999989</v>
      </c>
      <c r="G27" s="2689">
        <f>COS_RB!H28/1000</f>
        <v>0</v>
      </c>
      <c r="H27" s="2689">
        <f>COS_RB!I28/1000</f>
        <v>0</v>
      </c>
      <c r="I27" s="2689">
        <f>COS_RB!J28/1000</f>
        <v>46024.484879999989</v>
      </c>
      <c r="J27" s="2689">
        <f>COS_RB!K28/1000</f>
        <v>0</v>
      </c>
      <c r="K27" s="2689">
        <f>COS_RB!L28/1000</f>
        <v>0</v>
      </c>
      <c r="L27" s="2689">
        <f>COS_RB!M28/1000</f>
        <v>0</v>
      </c>
      <c r="M27" s="2689">
        <f>COS_RB!N28/1000</f>
        <v>0</v>
      </c>
      <c r="N27" s="2689">
        <f>COS_RB!O28/1000</f>
        <v>0</v>
      </c>
      <c r="O27" s="2689">
        <f>COS_RB!P28/1000</f>
        <v>0</v>
      </c>
      <c r="P27" s="2689">
        <f>COS_RB!Q28/1000</f>
        <v>0</v>
      </c>
      <c r="Q27" s="2689">
        <f>COS_RB!R28/1000</f>
        <v>0</v>
      </c>
      <c r="R27" s="2689">
        <f>COS_RB!S28/1000</f>
        <v>0</v>
      </c>
      <c r="S27" s="2689">
        <f>COS_RB!T28/1000</f>
        <v>0</v>
      </c>
      <c r="T27" s="2689">
        <f>COS_RB!U28/1000</f>
        <v>0</v>
      </c>
      <c r="U27" s="2689">
        <f>COS_RB!V28/1000</f>
        <v>0</v>
      </c>
      <c r="V27" s="2689">
        <f>COS_RB!W28/1000</f>
        <v>0</v>
      </c>
      <c r="W27" s="2689">
        <f>COS_RB!X28/1000</f>
        <v>0</v>
      </c>
      <c r="X27" s="2689">
        <f>COS_RB!Y28/1000</f>
        <v>0</v>
      </c>
      <c r="Y27" s="2690" t="str">
        <f>COS_RB!G28</f>
        <v>Trans - Capacity</v>
      </c>
      <c r="Z27" s="2684"/>
    </row>
    <row r="28" spans="1:31">
      <c r="A28" s="411"/>
      <c r="B28" s="86"/>
      <c r="C28" s="336">
        <f t="shared" si="2"/>
        <v>12</v>
      </c>
      <c r="D28" s="165" t="str">
        <f>COS_RB!D29</f>
        <v>353</v>
      </c>
      <c r="E28" s="247" t="str">
        <f>COS_RB!E29</f>
        <v>STATION EQUIPMENT</v>
      </c>
      <c r="F28" s="715">
        <f t="shared" si="3"/>
        <v>0</v>
      </c>
      <c r="G28" s="715">
        <f>COS_RB!H29/1000</f>
        <v>0</v>
      </c>
      <c r="H28" s="715">
        <f>COS_RB!I29/1000</f>
        <v>0</v>
      </c>
      <c r="I28" s="715">
        <f>COS_RB!J29/1000</f>
        <v>0</v>
      </c>
      <c r="J28" s="715">
        <f>COS_RB!K29/1000</f>
        <v>0</v>
      </c>
      <c r="K28" s="715">
        <f>COS_RB!L29/1000</f>
        <v>0</v>
      </c>
      <c r="L28" s="715">
        <f>COS_RB!M29/1000</f>
        <v>0</v>
      </c>
      <c r="M28" s="715">
        <f>COS_RB!N29/1000</f>
        <v>0</v>
      </c>
      <c r="N28" s="715">
        <f>COS_RB!O29/1000</f>
        <v>0</v>
      </c>
      <c r="O28" s="715">
        <f>COS_RB!P29/1000</f>
        <v>0</v>
      </c>
      <c r="P28" s="715">
        <f>COS_RB!Q29/1000</f>
        <v>0</v>
      </c>
      <c r="Q28" s="715">
        <f>COS_RB!R29/1000</f>
        <v>0</v>
      </c>
      <c r="R28" s="715">
        <f>COS_RB!S29/1000</f>
        <v>0</v>
      </c>
      <c r="S28" s="715">
        <f>COS_RB!T29/1000</f>
        <v>0</v>
      </c>
      <c r="T28" s="715">
        <f>COS_RB!U29/1000</f>
        <v>0</v>
      </c>
      <c r="U28" s="715">
        <f>COS_RB!V29/1000</f>
        <v>0</v>
      </c>
      <c r="V28" s="715">
        <f>COS_RB!W29/1000</f>
        <v>0</v>
      </c>
      <c r="W28" s="715">
        <f>COS_RB!X29/1000</f>
        <v>0</v>
      </c>
      <c r="X28" s="715">
        <f>COS_RB!Y29/1000</f>
        <v>0</v>
      </c>
      <c r="Y28" s="516" t="str">
        <f>COS_RB!G29</f>
        <v>Trans - Capacity</v>
      </c>
      <c r="Z28" s="87"/>
      <c r="AA28" s="86"/>
      <c r="AB28" s="86"/>
      <c r="AC28" s="86"/>
      <c r="AD28" s="86"/>
      <c r="AE28" s="86"/>
    </row>
    <row r="29" spans="1:31" s="51" customFormat="1">
      <c r="A29" s="411"/>
      <c r="B29" s="86"/>
      <c r="C29" s="2686">
        <f t="shared" si="2"/>
        <v>13</v>
      </c>
      <c r="D29" s="2687" t="str">
        <f>COS_RB!D30</f>
        <v>353</v>
      </c>
      <c r="E29" s="2688" t="str">
        <f>COS_RB!E30</f>
        <v>SUBSTATION METERS</v>
      </c>
      <c r="F29" s="2689">
        <f t="shared" si="3"/>
        <v>0</v>
      </c>
      <c r="G29" s="2689">
        <f>COS_RB!H30/1000</f>
        <v>0</v>
      </c>
      <c r="H29" s="2689">
        <f>COS_RB!I30/1000</f>
        <v>0</v>
      </c>
      <c r="I29" s="2689">
        <f>COS_RB!J30/1000</f>
        <v>0</v>
      </c>
      <c r="J29" s="2689">
        <f>COS_RB!K30/1000</f>
        <v>0</v>
      </c>
      <c r="K29" s="2689">
        <f>COS_RB!L30/1000</f>
        <v>0</v>
      </c>
      <c r="L29" s="2689">
        <f>COS_RB!M30/1000</f>
        <v>0</v>
      </c>
      <c r="M29" s="2689">
        <f>COS_RB!N30/1000</f>
        <v>0</v>
      </c>
      <c r="N29" s="2689">
        <f>COS_RB!O30/1000</f>
        <v>0</v>
      </c>
      <c r="O29" s="2689">
        <f>COS_RB!P30/1000</f>
        <v>0</v>
      </c>
      <c r="P29" s="2689">
        <f>COS_RB!Q30/1000</f>
        <v>0</v>
      </c>
      <c r="Q29" s="2689">
        <f>COS_RB!R30/1000</f>
        <v>0</v>
      </c>
      <c r="R29" s="2689">
        <f>COS_RB!S30/1000</f>
        <v>0</v>
      </c>
      <c r="S29" s="2689">
        <f>COS_RB!T30/1000</f>
        <v>0</v>
      </c>
      <c r="T29" s="2689">
        <f>COS_RB!U30/1000</f>
        <v>0</v>
      </c>
      <c r="U29" s="2689">
        <f>COS_RB!V30/1000</f>
        <v>0</v>
      </c>
      <c r="V29" s="2689">
        <f>COS_RB!W30/1000</f>
        <v>0</v>
      </c>
      <c r="W29" s="2689">
        <f>COS_RB!X30/1000</f>
        <v>0</v>
      </c>
      <c r="X29" s="2689">
        <f>COS_RB!Y30/1000</f>
        <v>0</v>
      </c>
      <c r="Y29" s="2690" t="str">
        <f>COS_RB!G30</f>
        <v>Trans - Capacity</v>
      </c>
      <c r="Z29" s="2684"/>
    </row>
    <row r="30" spans="1:31">
      <c r="A30" s="411"/>
      <c r="B30" s="86"/>
      <c r="C30" s="336">
        <f t="shared" si="2"/>
        <v>14</v>
      </c>
      <c r="D30" s="165" t="str">
        <f>COS_RB!D31</f>
        <v>353</v>
      </c>
      <c r="E30" s="247" t="str">
        <f>COS_RB!E31</f>
        <v>STA EQUIP-SWITCHYARD</v>
      </c>
      <c r="F30" s="715">
        <f t="shared" si="3"/>
        <v>0</v>
      </c>
      <c r="G30" s="715">
        <f>COS_RB!H31/1000</f>
        <v>0</v>
      </c>
      <c r="H30" s="715">
        <f>COS_RB!I31/1000</f>
        <v>0</v>
      </c>
      <c r="I30" s="715">
        <f>COS_RB!J31/1000</f>
        <v>0</v>
      </c>
      <c r="J30" s="715">
        <f>COS_RB!K31/1000</f>
        <v>0</v>
      </c>
      <c r="K30" s="715">
        <f>COS_RB!L31/1000</f>
        <v>0</v>
      </c>
      <c r="L30" s="715">
        <f>COS_RB!M31/1000</f>
        <v>0</v>
      </c>
      <c r="M30" s="715">
        <f>COS_RB!N31/1000</f>
        <v>0</v>
      </c>
      <c r="N30" s="715">
        <f>COS_RB!O31/1000</f>
        <v>0</v>
      </c>
      <c r="O30" s="715">
        <f>COS_RB!P31/1000</f>
        <v>0</v>
      </c>
      <c r="P30" s="715">
        <f>COS_RB!Q31/1000</f>
        <v>0</v>
      </c>
      <c r="Q30" s="715">
        <f>COS_RB!R31/1000</f>
        <v>0</v>
      </c>
      <c r="R30" s="715">
        <f>COS_RB!S31/1000</f>
        <v>0</v>
      </c>
      <c r="S30" s="715">
        <f>COS_RB!T31/1000</f>
        <v>0</v>
      </c>
      <c r="T30" s="715">
        <f>COS_RB!U31/1000</f>
        <v>0</v>
      </c>
      <c r="U30" s="715">
        <f>COS_RB!V31/1000</f>
        <v>0</v>
      </c>
      <c r="V30" s="715">
        <f>COS_RB!W31/1000</f>
        <v>0</v>
      </c>
      <c r="W30" s="715">
        <f>COS_RB!X31/1000</f>
        <v>0</v>
      </c>
      <c r="X30" s="715">
        <f>COS_RB!Y31/1000</f>
        <v>0</v>
      </c>
      <c r="Y30" s="516" t="str">
        <f>COS_RB!G31</f>
        <v>Trans - Capacity</v>
      </c>
      <c r="Z30" s="87"/>
      <c r="AA30" s="86"/>
      <c r="AB30" s="86"/>
      <c r="AC30" s="86"/>
      <c r="AD30" s="86"/>
      <c r="AE30" s="86"/>
    </row>
    <row r="31" spans="1:31" s="51" customFormat="1">
      <c r="A31" s="411"/>
      <c r="B31" s="86"/>
      <c r="C31" s="2686">
        <f t="shared" si="2"/>
        <v>15</v>
      </c>
      <c r="D31" s="2687" t="str">
        <f>COS_RB!D32</f>
        <v>354</v>
      </c>
      <c r="E31" s="2688" t="str">
        <f>COS_RB!E32</f>
        <v>STA EQ-CENT DISP-JOINT</v>
      </c>
      <c r="F31" s="2689">
        <f t="shared" si="3"/>
        <v>4208.7522099999996</v>
      </c>
      <c r="G31" s="2689">
        <f>COS_RB!H32/1000</f>
        <v>0</v>
      </c>
      <c r="H31" s="2689">
        <f>COS_RB!I32/1000</f>
        <v>0</v>
      </c>
      <c r="I31" s="2689">
        <f>COS_RB!J32/1000</f>
        <v>4208.7522099999996</v>
      </c>
      <c r="J31" s="2689">
        <f>COS_RB!K32/1000</f>
        <v>0</v>
      </c>
      <c r="K31" s="2689">
        <f>COS_RB!L32/1000</f>
        <v>0</v>
      </c>
      <c r="L31" s="2689">
        <f>COS_RB!M32/1000</f>
        <v>0</v>
      </c>
      <c r="M31" s="2689">
        <f>COS_RB!N32/1000</f>
        <v>0</v>
      </c>
      <c r="N31" s="2689">
        <f>COS_RB!O32/1000</f>
        <v>0</v>
      </c>
      <c r="O31" s="2689">
        <f>COS_RB!P32/1000</f>
        <v>0</v>
      </c>
      <c r="P31" s="2689">
        <f>COS_RB!Q32/1000</f>
        <v>0</v>
      </c>
      <c r="Q31" s="2689">
        <f>COS_RB!R32/1000</f>
        <v>0</v>
      </c>
      <c r="R31" s="2689">
        <f>COS_RB!S32/1000</f>
        <v>0</v>
      </c>
      <c r="S31" s="2689">
        <f>COS_RB!T32/1000</f>
        <v>0</v>
      </c>
      <c r="T31" s="2689">
        <f>COS_RB!U32/1000</f>
        <v>0</v>
      </c>
      <c r="U31" s="2689">
        <f>COS_RB!V32/1000</f>
        <v>0</v>
      </c>
      <c r="V31" s="2689">
        <f>COS_RB!W32/1000</f>
        <v>0</v>
      </c>
      <c r="W31" s="2689">
        <f>COS_RB!X32/1000</f>
        <v>0</v>
      </c>
      <c r="X31" s="2689">
        <f>COS_RB!Y32/1000</f>
        <v>0</v>
      </c>
      <c r="Y31" s="2690" t="str">
        <f>COS_RB!G32</f>
        <v>Trans - Capacity</v>
      </c>
      <c r="Z31" s="2684"/>
    </row>
    <row r="32" spans="1:31">
      <c r="A32" s="411"/>
      <c r="B32" s="86"/>
      <c r="C32" s="336">
        <f t="shared" si="2"/>
        <v>16</v>
      </c>
      <c r="D32" s="165" t="str">
        <f>COS_RB!D33</f>
        <v>355</v>
      </c>
      <c r="E32" s="247" t="str">
        <f>COS_RB!E33</f>
        <v>TOWERS &amp; FIXTURES</v>
      </c>
      <c r="F32" s="715">
        <f t="shared" si="3"/>
        <v>83616.236019999997</v>
      </c>
      <c r="G32" s="715">
        <f>COS_RB!H33/1000</f>
        <v>0</v>
      </c>
      <c r="H32" s="715">
        <f>COS_RB!I33/1000</f>
        <v>0</v>
      </c>
      <c r="I32" s="715">
        <f>COS_RB!J33/1000</f>
        <v>83616.236019999997</v>
      </c>
      <c r="J32" s="715">
        <f>COS_RB!K33/1000</f>
        <v>0</v>
      </c>
      <c r="K32" s="715">
        <f>COS_RB!L33/1000</f>
        <v>0</v>
      </c>
      <c r="L32" s="715">
        <f>COS_RB!M33/1000</f>
        <v>0</v>
      </c>
      <c r="M32" s="715">
        <f>COS_RB!N33/1000</f>
        <v>0</v>
      </c>
      <c r="N32" s="715">
        <f>COS_RB!O33/1000</f>
        <v>0</v>
      </c>
      <c r="O32" s="715">
        <f>COS_RB!P33/1000</f>
        <v>0</v>
      </c>
      <c r="P32" s="715">
        <f>COS_RB!Q33/1000</f>
        <v>0</v>
      </c>
      <c r="Q32" s="715">
        <f>COS_RB!R33/1000</f>
        <v>0</v>
      </c>
      <c r="R32" s="715">
        <f>COS_RB!S33/1000</f>
        <v>0</v>
      </c>
      <c r="S32" s="715">
        <f>COS_RB!T33/1000</f>
        <v>0</v>
      </c>
      <c r="T32" s="715">
        <f>COS_RB!U33/1000</f>
        <v>0</v>
      </c>
      <c r="U32" s="715">
        <f>COS_RB!V33/1000</f>
        <v>0</v>
      </c>
      <c r="V32" s="715">
        <f>COS_RB!W33/1000</f>
        <v>0</v>
      </c>
      <c r="W32" s="715">
        <f>COS_RB!X33/1000</f>
        <v>0</v>
      </c>
      <c r="X32" s="715">
        <f>COS_RB!Y33/1000</f>
        <v>0</v>
      </c>
      <c r="Y32" s="516" t="str">
        <f>COS_RB!G33</f>
        <v>Trans - Capacity</v>
      </c>
      <c r="Z32" s="87"/>
      <c r="AA32" s="86"/>
      <c r="AB32" s="86"/>
      <c r="AC32" s="86"/>
      <c r="AD32" s="86"/>
      <c r="AE32" s="86"/>
    </row>
    <row r="33" spans="1:31" s="51" customFormat="1">
      <c r="A33" s="411"/>
      <c r="B33" s="86"/>
      <c r="C33" s="2686">
        <f t="shared" si="2"/>
        <v>17</v>
      </c>
      <c r="D33" s="2687" t="str">
        <f>COS_RB!D34</f>
        <v>356</v>
      </c>
      <c r="E33" s="2688" t="str">
        <f>COS_RB!E34</f>
        <v>POLES &amp; FIXTURES</v>
      </c>
      <c r="F33" s="2689">
        <f t="shared" si="3"/>
        <v>54935.909289999996</v>
      </c>
      <c r="G33" s="2689">
        <f>COS_RB!H34/1000</f>
        <v>0</v>
      </c>
      <c r="H33" s="2689">
        <f>COS_RB!I34/1000</f>
        <v>0</v>
      </c>
      <c r="I33" s="2689">
        <f>COS_RB!J34/1000</f>
        <v>54935.909289999996</v>
      </c>
      <c r="J33" s="2689">
        <f>COS_RB!K34/1000</f>
        <v>0</v>
      </c>
      <c r="K33" s="2689">
        <f>COS_RB!L34/1000</f>
        <v>0</v>
      </c>
      <c r="L33" s="2689">
        <f>COS_RB!M34/1000</f>
        <v>0</v>
      </c>
      <c r="M33" s="2689">
        <f>COS_RB!N34/1000</f>
        <v>0</v>
      </c>
      <c r="N33" s="2689">
        <f>COS_RB!O34/1000</f>
        <v>0</v>
      </c>
      <c r="O33" s="2689">
        <f>COS_RB!P34/1000</f>
        <v>0</v>
      </c>
      <c r="P33" s="2689">
        <f>COS_RB!Q34/1000</f>
        <v>0</v>
      </c>
      <c r="Q33" s="2689">
        <f>COS_RB!R34/1000</f>
        <v>0</v>
      </c>
      <c r="R33" s="2689">
        <f>COS_RB!S34/1000</f>
        <v>0</v>
      </c>
      <c r="S33" s="2689">
        <f>COS_RB!T34/1000</f>
        <v>0</v>
      </c>
      <c r="T33" s="2689">
        <f>COS_RB!U34/1000</f>
        <v>0</v>
      </c>
      <c r="U33" s="2689">
        <f>COS_RB!V34/1000</f>
        <v>0</v>
      </c>
      <c r="V33" s="2689">
        <f>COS_RB!W34/1000</f>
        <v>0</v>
      </c>
      <c r="W33" s="2689">
        <f>COS_RB!X34/1000</f>
        <v>0</v>
      </c>
      <c r="X33" s="2689">
        <f>COS_RB!Y34/1000</f>
        <v>0</v>
      </c>
      <c r="Y33" s="2690" t="str">
        <f>COS_RB!G34</f>
        <v>Trans - Capacity</v>
      </c>
      <c r="Z33" s="2684"/>
    </row>
    <row r="34" spans="1:31">
      <c r="A34" s="411"/>
      <c r="B34" s="86"/>
      <c r="C34" s="336">
        <f>MAX(C33:C33)+1</f>
        <v>18</v>
      </c>
      <c r="D34" s="165" t="str">
        <f>COS_RB!D35</f>
        <v>359</v>
      </c>
      <c r="E34" s="247" t="str">
        <f>COS_RB!E35</f>
        <v>OVERHEAD COND &amp; DEV</v>
      </c>
      <c r="F34" s="716">
        <f t="shared" si="3"/>
        <v>19.03904</v>
      </c>
      <c r="G34" s="717">
        <f>COS_RB!H35/1000</f>
        <v>0</v>
      </c>
      <c r="H34" s="717">
        <f>COS_RB!I35/1000</f>
        <v>0</v>
      </c>
      <c r="I34" s="717">
        <f>COS_RB!J35/1000</f>
        <v>19.03904</v>
      </c>
      <c r="J34" s="717">
        <f>COS_RB!K35/1000</f>
        <v>0</v>
      </c>
      <c r="K34" s="717">
        <f>COS_RB!L35/1000</f>
        <v>0</v>
      </c>
      <c r="L34" s="717">
        <f>COS_RB!M35/1000</f>
        <v>0</v>
      </c>
      <c r="M34" s="717">
        <f>COS_RB!N35/1000</f>
        <v>0</v>
      </c>
      <c r="N34" s="717">
        <f>COS_RB!O35/1000</f>
        <v>0</v>
      </c>
      <c r="O34" s="717">
        <f>COS_RB!P35/1000</f>
        <v>0</v>
      </c>
      <c r="P34" s="717">
        <f>COS_RB!Q35/1000</f>
        <v>0</v>
      </c>
      <c r="Q34" s="717">
        <f>COS_RB!R35/1000</f>
        <v>0</v>
      </c>
      <c r="R34" s="717">
        <f>COS_RB!S35/1000</f>
        <v>0</v>
      </c>
      <c r="S34" s="717">
        <f>COS_RB!T35/1000</f>
        <v>0</v>
      </c>
      <c r="T34" s="717">
        <f>COS_RB!U35/1000</f>
        <v>0</v>
      </c>
      <c r="U34" s="717">
        <f>COS_RB!V35/1000</f>
        <v>0</v>
      </c>
      <c r="V34" s="717">
        <f>COS_RB!W35/1000</f>
        <v>0</v>
      </c>
      <c r="W34" s="717">
        <f>COS_RB!X35/1000</f>
        <v>0</v>
      </c>
      <c r="X34" s="717">
        <f>COS_RB!Y35/1000</f>
        <v>0</v>
      </c>
      <c r="Y34" s="516" t="str">
        <f>COS_RB!G35</f>
        <v>Trans - Capacity</v>
      </c>
      <c r="Z34" s="87"/>
      <c r="AA34" s="86"/>
      <c r="AB34" s="86"/>
      <c r="AC34" s="86"/>
      <c r="AD34" s="86"/>
      <c r="AE34" s="86"/>
    </row>
    <row r="35" spans="1:31" s="51" customFormat="1">
      <c r="A35" s="411"/>
      <c r="B35" s="86"/>
      <c r="C35" s="2686">
        <f>MAX(C34:C34)+1</f>
        <v>19</v>
      </c>
      <c r="D35" s="2687"/>
      <c r="E35" s="2696" t="s">
        <v>598</v>
      </c>
      <c r="F35" s="2697">
        <f>SUM(F25:F34)</f>
        <v>191042.27120999998</v>
      </c>
      <c r="G35" s="2697">
        <f>SUM(G25:G34)</f>
        <v>0</v>
      </c>
      <c r="H35" s="2697">
        <f>SUM(H25:H34)</f>
        <v>0</v>
      </c>
      <c r="I35" s="2697">
        <f>SUM(I25:I34)</f>
        <v>191042.27120999998</v>
      </c>
      <c r="J35" s="2697">
        <f>SUM(J25:J34)</f>
        <v>0</v>
      </c>
      <c r="K35" s="2697">
        <f t="shared" ref="K35:X35" si="4">SUM(K25:K34)</f>
        <v>0</v>
      </c>
      <c r="L35" s="2697">
        <f>SUM(L25:L34)</f>
        <v>0</v>
      </c>
      <c r="M35" s="2697">
        <f>SUM(M25:M34)</f>
        <v>0</v>
      </c>
      <c r="N35" s="2697">
        <f>SUM(N25:N34)</f>
        <v>0</v>
      </c>
      <c r="O35" s="2697">
        <f t="shared" si="4"/>
        <v>0</v>
      </c>
      <c r="P35" s="2697">
        <f t="shared" si="4"/>
        <v>0</v>
      </c>
      <c r="Q35" s="2697">
        <f t="shared" si="4"/>
        <v>0</v>
      </c>
      <c r="R35" s="2697">
        <f t="shared" si="4"/>
        <v>0</v>
      </c>
      <c r="S35" s="2697">
        <f t="shared" si="4"/>
        <v>0</v>
      </c>
      <c r="T35" s="2697">
        <f t="shared" si="4"/>
        <v>0</v>
      </c>
      <c r="U35" s="2697">
        <f t="shared" si="4"/>
        <v>0</v>
      </c>
      <c r="V35" s="2697">
        <f t="shared" si="4"/>
        <v>0</v>
      </c>
      <c r="W35" s="2697">
        <f t="shared" si="4"/>
        <v>0</v>
      </c>
      <c r="X35" s="2697">
        <f t="shared" si="4"/>
        <v>0</v>
      </c>
      <c r="Y35" s="2698"/>
      <c r="Z35" s="2684"/>
    </row>
    <row r="36" spans="1:31">
      <c r="A36" s="411"/>
      <c r="B36" s="86"/>
      <c r="C36" s="336"/>
      <c r="D36" s="165"/>
      <c r="E36" s="206"/>
      <c r="F36" s="719"/>
      <c r="G36" s="719"/>
      <c r="H36" s="719"/>
      <c r="I36" s="719"/>
      <c r="J36" s="719"/>
      <c r="K36" s="719"/>
      <c r="L36" s="719"/>
      <c r="M36" s="719"/>
      <c r="N36" s="719"/>
      <c r="O36" s="719"/>
      <c r="P36" s="719"/>
      <c r="Q36" s="719"/>
      <c r="R36" s="719"/>
      <c r="S36" s="719"/>
      <c r="T36" s="719"/>
      <c r="U36" s="719"/>
      <c r="V36" s="719"/>
      <c r="W36" s="719"/>
      <c r="X36" s="719"/>
      <c r="Y36" s="313"/>
      <c r="Z36" s="87"/>
      <c r="AA36" s="86"/>
      <c r="AB36" s="86"/>
      <c r="AC36" s="86"/>
      <c r="AD36" s="86"/>
      <c r="AE36" s="86"/>
    </row>
    <row r="37" spans="1:31" s="51" customFormat="1">
      <c r="A37" s="411"/>
      <c r="B37" s="86"/>
      <c r="C37" s="2686">
        <f>MAX(C35:C36)+1</f>
        <v>20</v>
      </c>
      <c r="D37" s="2687"/>
      <c r="E37" s="61" t="s">
        <v>108</v>
      </c>
      <c r="F37" s="2693"/>
      <c r="G37" s="2693"/>
      <c r="H37" s="2693"/>
      <c r="I37" s="2693"/>
      <c r="J37" s="2693"/>
      <c r="K37" s="2693"/>
      <c r="L37" s="2693"/>
      <c r="M37" s="2693"/>
      <c r="N37" s="2693"/>
      <c r="O37" s="2693"/>
      <c r="P37" s="2693"/>
      <c r="Q37" s="2693"/>
      <c r="R37" s="2693"/>
      <c r="S37" s="2693"/>
      <c r="T37" s="2693"/>
      <c r="U37" s="2693"/>
      <c r="V37" s="2693"/>
      <c r="W37" s="2693"/>
      <c r="X37" s="2693"/>
      <c r="Y37" s="2694"/>
      <c r="Z37" s="2684"/>
    </row>
    <row r="38" spans="1:31">
      <c r="A38" s="411"/>
      <c r="B38" s="86"/>
      <c r="C38" s="336">
        <f>MAX(C35:C37)+1</f>
        <v>21</v>
      </c>
      <c r="D38" s="165" t="str">
        <f>COS_RB!D40</f>
        <v>360</v>
      </c>
      <c r="E38" s="247" t="str">
        <f>COS_RB!E40</f>
        <v>LAND &amp; LAND RIGHTS</v>
      </c>
      <c r="F38" s="714">
        <f t="shared" ref="F38:F52" si="5">SUM(G38:W38)</f>
        <v>853.20864000000006</v>
      </c>
      <c r="G38" s="714">
        <f>COS_RB!H40/1000</f>
        <v>0</v>
      </c>
      <c r="H38" s="714">
        <f>COS_RB!I40/1000</f>
        <v>0</v>
      </c>
      <c r="I38" s="714">
        <f>COS_RB!J40/1000</f>
        <v>0</v>
      </c>
      <c r="J38" s="714">
        <f>COS_RB!K40/1000</f>
        <v>536.09383420504514</v>
      </c>
      <c r="K38" s="714">
        <f>COS_RB!L40/1000</f>
        <v>317.11480579495486</v>
      </c>
      <c r="L38" s="714">
        <f>COS_RB!M40/1000</f>
        <v>0</v>
      </c>
      <c r="M38" s="714">
        <f>COS_RB!N40/1000</f>
        <v>0</v>
      </c>
      <c r="N38" s="714">
        <f>COS_RB!O40/1000</f>
        <v>0</v>
      </c>
      <c r="O38" s="714">
        <f>COS_RB!P40/1000</f>
        <v>0</v>
      </c>
      <c r="P38" s="714">
        <f>COS_RB!Q40/1000</f>
        <v>0</v>
      </c>
      <c r="Q38" s="714">
        <f>COS_RB!R40/1000</f>
        <v>0</v>
      </c>
      <c r="R38" s="714">
        <f>COS_RB!S40/1000</f>
        <v>0</v>
      </c>
      <c r="S38" s="714">
        <f>COS_RB!T40/1000</f>
        <v>0</v>
      </c>
      <c r="T38" s="714">
        <f>COS_RB!U40/1000</f>
        <v>0</v>
      </c>
      <c r="U38" s="714">
        <f>COS_RB!V40/1000</f>
        <v>0</v>
      </c>
      <c r="V38" s="714">
        <f>COS_RB!W40/1000</f>
        <v>0</v>
      </c>
      <c r="W38" s="714">
        <f>COS_RB!X40/1000</f>
        <v>0</v>
      </c>
      <c r="X38" s="714">
        <f>COS_RB!Y40/1000</f>
        <v>0</v>
      </c>
      <c r="Y38" s="524" t="str">
        <f>COS_RB!G40</f>
        <v>Substations Direct</v>
      </c>
      <c r="Z38" s="87"/>
      <c r="AA38" s="86"/>
      <c r="AB38" s="86"/>
      <c r="AC38" s="86"/>
      <c r="AD38" s="86"/>
      <c r="AE38" s="86"/>
    </row>
    <row r="39" spans="1:31" s="51" customFormat="1">
      <c r="A39" s="411"/>
      <c r="B39" s="86"/>
      <c r="C39" s="2686">
        <f>MAX(C35:C38)+1</f>
        <v>22</v>
      </c>
      <c r="D39" s="2687" t="str">
        <f>COS_RB!D41</f>
        <v>361</v>
      </c>
      <c r="E39" s="2688" t="str">
        <f>COS_RB!E41</f>
        <v>STRUCTURES &amp; IMPR</v>
      </c>
      <c r="F39" s="2689">
        <f t="shared" si="5"/>
        <v>1052.38363</v>
      </c>
      <c r="G39" s="2689">
        <f>COS_RB!H41/1000</f>
        <v>0</v>
      </c>
      <c r="H39" s="2689">
        <f>COS_RB!I41/1000</f>
        <v>0</v>
      </c>
      <c r="I39" s="2689">
        <f>COS_RB!J41/1000</f>
        <v>0</v>
      </c>
      <c r="J39" s="2689">
        <f>COS_RB!K41/1000</f>
        <v>661.24081357324701</v>
      </c>
      <c r="K39" s="2689">
        <f>COS_RB!L41/1000</f>
        <v>391.14281642675309</v>
      </c>
      <c r="L39" s="2689">
        <f>COS_RB!M41/1000</f>
        <v>0</v>
      </c>
      <c r="M39" s="2689">
        <f>COS_RB!N41/1000</f>
        <v>0</v>
      </c>
      <c r="N39" s="2689">
        <f>COS_RB!O41/1000</f>
        <v>0</v>
      </c>
      <c r="O39" s="2689">
        <f>COS_RB!P41/1000</f>
        <v>0</v>
      </c>
      <c r="P39" s="2689">
        <f>COS_RB!Q41/1000</f>
        <v>0</v>
      </c>
      <c r="Q39" s="2689">
        <f>COS_RB!R41/1000</f>
        <v>0</v>
      </c>
      <c r="R39" s="2689">
        <f>COS_RB!S41/1000</f>
        <v>0</v>
      </c>
      <c r="S39" s="2689">
        <f>COS_RB!T41/1000</f>
        <v>0</v>
      </c>
      <c r="T39" s="2689">
        <f>COS_RB!U41/1000</f>
        <v>0</v>
      </c>
      <c r="U39" s="2689">
        <f>COS_RB!V41/1000</f>
        <v>0</v>
      </c>
      <c r="V39" s="2689">
        <f>COS_RB!W41/1000</f>
        <v>0</v>
      </c>
      <c r="W39" s="2689">
        <f>COS_RB!X41/1000</f>
        <v>0</v>
      </c>
      <c r="X39" s="2689">
        <f>COS_RB!Y41/1000</f>
        <v>0</v>
      </c>
      <c r="Y39" s="2699" t="str">
        <f>COS_RB!G41</f>
        <v>Substations Direct</v>
      </c>
      <c r="Z39" s="2684"/>
    </row>
    <row r="40" spans="1:31">
      <c r="A40" s="411"/>
      <c r="B40" s="86"/>
      <c r="C40" s="336">
        <f t="shared" ref="C40:C52" si="6">MAX(C35:C39)+1</f>
        <v>23</v>
      </c>
      <c r="D40" s="165" t="str">
        <f>COS_RB!D42</f>
        <v>362</v>
      </c>
      <c r="E40" s="247" t="str">
        <f>COS_RB!E42</f>
        <v>STATION EQUIPMENT</v>
      </c>
      <c r="F40" s="715">
        <f t="shared" si="5"/>
        <v>126220.78469999996</v>
      </c>
      <c r="G40" s="715">
        <f>COS_RB!H42/1000</f>
        <v>0</v>
      </c>
      <c r="H40" s="715">
        <f>COS_RB!I42/1000</f>
        <v>0</v>
      </c>
      <c r="I40" s="715">
        <f>COS_RB!J42/1000</f>
        <v>0</v>
      </c>
      <c r="J40" s="715">
        <f>COS_RB!K42/1000</f>
        <v>79307.898741147859</v>
      </c>
      <c r="K40" s="715">
        <f>COS_RB!L42/1000</f>
        <v>46912.885958852101</v>
      </c>
      <c r="L40" s="715">
        <f>COS_RB!M42/1000</f>
        <v>0</v>
      </c>
      <c r="M40" s="715">
        <f>COS_RB!N42/1000</f>
        <v>0</v>
      </c>
      <c r="N40" s="715">
        <f>COS_RB!O42/1000</f>
        <v>0</v>
      </c>
      <c r="O40" s="715">
        <f>COS_RB!P42/1000</f>
        <v>0</v>
      </c>
      <c r="P40" s="715">
        <f>COS_RB!Q42/1000</f>
        <v>0</v>
      </c>
      <c r="Q40" s="715">
        <f>COS_RB!R42/1000</f>
        <v>0</v>
      </c>
      <c r="R40" s="715">
        <f>COS_RB!S42/1000</f>
        <v>0</v>
      </c>
      <c r="S40" s="715">
        <f>COS_RB!T42/1000</f>
        <v>0</v>
      </c>
      <c r="T40" s="715">
        <f>COS_RB!U42/1000</f>
        <v>0</v>
      </c>
      <c r="U40" s="715">
        <f>COS_RB!V42/1000</f>
        <v>0</v>
      </c>
      <c r="V40" s="715">
        <f>COS_RB!W42/1000</f>
        <v>0</v>
      </c>
      <c r="W40" s="715">
        <f>COS_RB!X42/1000</f>
        <v>0</v>
      </c>
      <c r="X40" s="715">
        <f>COS_RB!Y42/1000</f>
        <v>0</v>
      </c>
      <c r="Y40" s="524" t="str">
        <f>COS_RB!G42</f>
        <v>Substations Direct</v>
      </c>
      <c r="Z40" s="87"/>
      <c r="AA40" s="86"/>
      <c r="AB40" s="86"/>
      <c r="AC40" s="86"/>
      <c r="AD40" s="86"/>
      <c r="AE40" s="86"/>
    </row>
    <row r="41" spans="1:31" s="51" customFormat="1">
      <c r="A41" s="411"/>
      <c r="B41" s="86"/>
      <c r="C41" s="2686">
        <f t="shared" si="6"/>
        <v>24</v>
      </c>
      <c r="D41" s="2687" t="str">
        <f>COS_RB!D43</f>
        <v>364</v>
      </c>
      <c r="E41" s="2688" t="str">
        <f>COS_RB!E43</f>
        <v>POLES, TOWERS, &amp; FIX</v>
      </c>
      <c r="F41" s="2689">
        <f t="shared" si="5"/>
        <v>74906.093939999977</v>
      </c>
      <c r="G41" s="2689">
        <f>COS_RB!H43/1000</f>
        <v>0</v>
      </c>
      <c r="H41" s="2689">
        <f>COS_RB!I43/1000</f>
        <v>0</v>
      </c>
      <c r="I41" s="2689">
        <f>COS_RB!J43/1000</f>
        <v>0</v>
      </c>
      <c r="J41" s="2689">
        <f>COS_RB!K43/1000</f>
        <v>0</v>
      </c>
      <c r="K41" s="2689">
        <f>COS_RB!L43/1000</f>
        <v>0</v>
      </c>
      <c r="L41" s="2689">
        <f>COS_RB!M43/1000</f>
        <v>0</v>
      </c>
      <c r="M41" s="2689">
        <f>COS_RB!N43/1000</f>
        <v>0</v>
      </c>
      <c r="N41" s="2689">
        <f>COS_RB!O43/1000</f>
        <v>0</v>
      </c>
      <c r="O41" s="2689">
        <f>COS_RB!P43/1000</f>
        <v>6736.5282769298128</v>
      </c>
      <c r="P41" s="2689">
        <f>COS_RB!Q43/1000</f>
        <v>55490.109798442347</v>
      </c>
      <c r="Q41" s="2689">
        <f>COS_RB!R43/1000</f>
        <v>2887.0835472556337</v>
      </c>
      <c r="R41" s="2689">
        <f>COS_RB!S43/1000</f>
        <v>9792.372317372181</v>
      </c>
      <c r="S41" s="2689">
        <f>COS_RB!T43/1000</f>
        <v>0</v>
      </c>
      <c r="T41" s="2689">
        <f>COS_RB!U43/1000</f>
        <v>0</v>
      </c>
      <c r="U41" s="2689">
        <f>COS_RB!V43/1000</f>
        <v>0</v>
      </c>
      <c r="V41" s="2689">
        <f>COS_RB!W43/1000</f>
        <v>0</v>
      </c>
      <c r="W41" s="2689">
        <f>COS_RB!X43/1000</f>
        <v>0</v>
      </c>
      <c r="X41" s="2689">
        <f>COS_RB!Y43/1000</f>
        <v>0</v>
      </c>
      <c r="Y41" s="2699" t="str">
        <f>COS_RB!G43</f>
        <v>Overhead Plant</v>
      </c>
      <c r="Z41" s="2684"/>
    </row>
    <row r="42" spans="1:31">
      <c r="A42" s="411"/>
      <c r="B42" s="86"/>
      <c r="C42" s="336">
        <f t="shared" si="6"/>
        <v>25</v>
      </c>
      <c r="D42" s="165" t="str">
        <f>COS_RB!D44</f>
        <v>365</v>
      </c>
      <c r="E42" s="247" t="str">
        <f>COS_RB!E44</f>
        <v>OVERHEAD COND &amp; DEV</v>
      </c>
      <c r="F42" s="715">
        <f t="shared" si="5"/>
        <v>79450.114670000126</v>
      </c>
      <c r="G42" s="715">
        <f>COS_RB!H44/1000</f>
        <v>0</v>
      </c>
      <c r="H42" s="715">
        <f>COS_RB!I44/1000</f>
        <v>0</v>
      </c>
      <c r="I42" s="715">
        <f>COS_RB!J44/1000</f>
        <v>0</v>
      </c>
      <c r="J42" s="715">
        <f>COS_RB!K44/1000</f>
        <v>0</v>
      </c>
      <c r="K42" s="715">
        <f>COS_RB!L44/1000</f>
        <v>0</v>
      </c>
      <c r="L42" s="715">
        <f>COS_RB!M44/1000</f>
        <v>0</v>
      </c>
      <c r="M42" s="715">
        <f>COS_RB!N44/1000</f>
        <v>0</v>
      </c>
      <c r="N42" s="715">
        <f>COS_RB!O44/1000</f>
        <v>0</v>
      </c>
      <c r="O42" s="715">
        <f>COS_RB!P44/1000</f>
        <v>7145.1856041042965</v>
      </c>
      <c r="P42" s="715">
        <f>COS_RB!Q44/1000</f>
        <v>58856.300664516304</v>
      </c>
      <c r="Q42" s="715">
        <f>COS_RB!R44/1000</f>
        <v>3062.2224017589842</v>
      </c>
      <c r="R42" s="715">
        <f>COS_RB!S44/1000</f>
        <v>10386.405999620525</v>
      </c>
      <c r="S42" s="715">
        <f>COS_RB!T44/1000</f>
        <v>0</v>
      </c>
      <c r="T42" s="715">
        <f>COS_RB!U44/1000</f>
        <v>0</v>
      </c>
      <c r="U42" s="715">
        <f>COS_RB!V44/1000</f>
        <v>0</v>
      </c>
      <c r="V42" s="715">
        <f>COS_RB!W44/1000</f>
        <v>0</v>
      </c>
      <c r="W42" s="715">
        <f>COS_RB!X44/1000</f>
        <v>0</v>
      </c>
      <c r="X42" s="715">
        <f>COS_RB!Y44/1000</f>
        <v>0</v>
      </c>
      <c r="Y42" s="524" t="str">
        <f>COS_RB!G44</f>
        <v>Overhead Plant</v>
      </c>
      <c r="Z42" s="87"/>
      <c r="AA42" s="86"/>
      <c r="AB42" s="86"/>
      <c r="AC42" s="86"/>
      <c r="AD42" s="86"/>
      <c r="AE42" s="86"/>
    </row>
    <row r="43" spans="1:31" s="51" customFormat="1">
      <c r="A43" s="411"/>
      <c r="B43" s="86"/>
      <c r="C43" s="2686">
        <f t="shared" si="6"/>
        <v>26</v>
      </c>
      <c r="D43" s="2687" t="str">
        <f>COS_RB!D45</f>
        <v>366</v>
      </c>
      <c r="E43" s="2688" t="str">
        <f>COS_RB!E45</f>
        <v>UNDERGROUND CONDUIT</v>
      </c>
      <c r="F43" s="2689">
        <f t="shared" si="5"/>
        <v>18865.207040000005</v>
      </c>
      <c r="G43" s="2689">
        <f>COS_RB!H45/1000</f>
        <v>0</v>
      </c>
      <c r="H43" s="2689">
        <f>COS_RB!I45/1000</f>
        <v>0</v>
      </c>
      <c r="I43" s="2689">
        <f>COS_RB!J45/1000</f>
        <v>0</v>
      </c>
      <c r="J43" s="2689">
        <f>COS_RB!K45/1000</f>
        <v>0</v>
      </c>
      <c r="K43" s="2689">
        <f>COS_RB!L45/1000</f>
        <v>0</v>
      </c>
      <c r="L43" s="2689">
        <f>COS_RB!M45/1000</f>
        <v>0</v>
      </c>
      <c r="M43" s="2689">
        <f>COS_RB!N45/1000</f>
        <v>0</v>
      </c>
      <c r="N43" s="2689">
        <f>COS_RB!O45/1000</f>
        <v>0</v>
      </c>
      <c r="O43" s="2689">
        <f>COS_RB!P45/1000</f>
        <v>2281.6408050513396</v>
      </c>
      <c r="P43" s="2689">
        <f>COS_RB!Q45/1000</f>
        <v>7587.191776937254</v>
      </c>
      <c r="Q43" s="2689">
        <f>COS_RB!R45/1000</f>
        <v>2788.6720950627491</v>
      </c>
      <c r="R43" s="2689">
        <f>COS_RB!S45/1000</f>
        <v>6207.7023629486621</v>
      </c>
      <c r="S43" s="2689">
        <f>COS_RB!T45/1000</f>
        <v>0</v>
      </c>
      <c r="T43" s="2689">
        <f>COS_RB!U45/1000</f>
        <v>0</v>
      </c>
      <c r="U43" s="2689">
        <f>COS_RB!V45/1000</f>
        <v>0</v>
      </c>
      <c r="V43" s="2689">
        <f>COS_RB!W45/1000</f>
        <v>0</v>
      </c>
      <c r="W43" s="2689">
        <f>COS_RB!X45/1000</f>
        <v>0</v>
      </c>
      <c r="X43" s="2689">
        <f>COS_RB!Y45/1000</f>
        <v>0</v>
      </c>
      <c r="Y43" s="2699" t="str">
        <f>COS_RB!G45</f>
        <v>Underground Plant</v>
      </c>
      <c r="Z43" s="2684"/>
    </row>
    <row r="44" spans="1:31">
      <c r="A44" s="411"/>
      <c r="B44" s="86"/>
      <c r="C44" s="336">
        <f t="shared" si="6"/>
        <v>27</v>
      </c>
      <c r="D44" s="165" t="str">
        <f>COS_RB!D46</f>
        <v>367</v>
      </c>
      <c r="E44" s="247" t="str">
        <f>COS_RB!E46</f>
        <v>UNDRGD COND &amp; DEV</v>
      </c>
      <c r="F44" s="715">
        <f t="shared" si="5"/>
        <v>84429.162459999832</v>
      </c>
      <c r="G44" s="715">
        <f>COS_RB!H46/1000</f>
        <v>0</v>
      </c>
      <c r="H44" s="715">
        <f>COS_RB!I46/1000</f>
        <v>0</v>
      </c>
      <c r="I44" s="715">
        <f>COS_RB!J46/1000</f>
        <v>0</v>
      </c>
      <c r="J44" s="715">
        <f>COS_RB!K46/1000</f>
        <v>0</v>
      </c>
      <c r="K44" s="715">
        <f>COS_RB!L46/1000</f>
        <v>0</v>
      </c>
      <c r="L44" s="715">
        <f>COS_RB!M46/1000</f>
        <v>0</v>
      </c>
      <c r="M44" s="715">
        <f>COS_RB!N46/1000</f>
        <v>0</v>
      </c>
      <c r="N44" s="715">
        <f>COS_RB!O46/1000</f>
        <v>0</v>
      </c>
      <c r="O44" s="715">
        <f>COS_RB!P46/1000</f>
        <v>10211.232868878409</v>
      </c>
      <c r="P44" s="715">
        <f>COS_RB!Q46/1000</f>
        <v>33955.643624370743</v>
      </c>
      <c r="Q44" s="715">
        <f>COS_RB!R46/1000</f>
        <v>12480.395728629166</v>
      </c>
      <c r="R44" s="715">
        <f>COS_RB!S46/1000</f>
        <v>27781.890238121516</v>
      </c>
      <c r="S44" s="715">
        <f>COS_RB!T46/1000</f>
        <v>0</v>
      </c>
      <c r="T44" s="715">
        <f>COS_RB!U46/1000</f>
        <v>0</v>
      </c>
      <c r="U44" s="715">
        <f>COS_RB!V46/1000</f>
        <v>0</v>
      </c>
      <c r="V44" s="715">
        <f>COS_RB!W46/1000</f>
        <v>0</v>
      </c>
      <c r="W44" s="715">
        <f>COS_RB!X46/1000</f>
        <v>0</v>
      </c>
      <c r="X44" s="715">
        <f>COS_RB!Y46/1000</f>
        <v>0</v>
      </c>
      <c r="Y44" s="524" t="str">
        <f>COS_RB!G46</f>
        <v>Underground Plant</v>
      </c>
      <c r="Z44" s="87"/>
      <c r="AA44" s="86"/>
      <c r="AB44" s="86"/>
      <c r="AC44" s="86"/>
      <c r="AD44" s="86"/>
      <c r="AE44" s="86"/>
    </row>
    <row r="45" spans="1:31" s="51" customFormat="1">
      <c r="A45" s="411"/>
      <c r="B45" s="86"/>
      <c r="C45" s="2686">
        <f t="shared" si="6"/>
        <v>28</v>
      </c>
      <c r="D45" s="2687" t="str">
        <f>COS_RB!D47</f>
        <v>368</v>
      </c>
      <c r="E45" s="2688" t="str">
        <f>COS_RB!E47</f>
        <v>LINE TRANSFORMERS</v>
      </c>
      <c r="F45" s="2689">
        <f t="shared" si="5"/>
        <v>71751.310809999952</v>
      </c>
      <c r="G45" s="2689">
        <f>COS_RB!H47/1000</f>
        <v>0</v>
      </c>
      <c r="H45" s="2689">
        <f>COS_RB!I47/1000</f>
        <v>0</v>
      </c>
      <c r="I45" s="2689">
        <f>COS_RB!J47/1000</f>
        <v>0</v>
      </c>
      <c r="J45" s="2689">
        <f>COS_RB!K47/1000</f>
        <v>0</v>
      </c>
      <c r="K45" s="2689">
        <f>COS_RB!L47/1000</f>
        <v>0</v>
      </c>
      <c r="L45" s="2689">
        <f>COS_RB!M47/1000</f>
        <v>0</v>
      </c>
      <c r="M45" s="2689">
        <f>COS_RB!N47/1000</f>
        <v>0</v>
      </c>
      <c r="N45" s="2689">
        <f>COS_RB!O47/1000</f>
        <v>71751.310809999952</v>
      </c>
      <c r="O45" s="2689">
        <f>COS_RB!P47/1000</f>
        <v>0</v>
      </c>
      <c r="P45" s="2689">
        <f>COS_RB!Q47/1000</f>
        <v>0</v>
      </c>
      <c r="Q45" s="2689">
        <f>COS_RB!R47/1000</f>
        <v>0</v>
      </c>
      <c r="R45" s="2689">
        <f>COS_RB!S47/1000</f>
        <v>0</v>
      </c>
      <c r="S45" s="2689">
        <f>COS_RB!T47/1000</f>
        <v>0</v>
      </c>
      <c r="T45" s="2689">
        <f>COS_RB!U47/1000</f>
        <v>0</v>
      </c>
      <c r="U45" s="2689">
        <f>COS_RB!V47/1000</f>
        <v>0</v>
      </c>
      <c r="V45" s="2689">
        <f>COS_RB!W47/1000</f>
        <v>0</v>
      </c>
      <c r="W45" s="2689">
        <f>COS_RB!X47/1000</f>
        <v>0</v>
      </c>
      <c r="X45" s="2689">
        <f>COS_RB!Y47/1000</f>
        <v>0</v>
      </c>
      <c r="Y45" s="2699" t="str">
        <f>COS_RB!G47</f>
        <v>Line Transformers</v>
      </c>
      <c r="Z45" s="2684"/>
    </row>
    <row r="46" spans="1:31">
      <c r="A46" s="411"/>
      <c r="B46" s="86"/>
      <c r="C46" s="336">
        <f>MAX(C40:C44)+1</f>
        <v>28</v>
      </c>
      <c r="D46" s="165" t="str">
        <f>COS_RB!D48</f>
        <v>369</v>
      </c>
      <c r="E46" s="247" t="str">
        <f>COS_RB!E48</f>
        <v>SERVICES</v>
      </c>
      <c r="F46" s="715">
        <f t="shared" si="5"/>
        <v>19664.549539999996</v>
      </c>
      <c r="G46" s="715">
        <f>COS_RB!H48/1000</f>
        <v>0</v>
      </c>
      <c r="H46" s="715">
        <f>COS_RB!I48/1000</f>
        <v>0</v>
      </c>
      <c r="I46" s="715">
        <f>COS_RB!J48/1000</f>
        <v>0</v>
      </c>
      <c r="J46" s="715">
        <f>COS_RB!K48/1000</f>
        <v>0</v>
      </c>
      <c r="K46" s="715">
        <f>COS_RB!L48/1000</f>
        <v>0</v>
      </c>
      <c r="L46" s="715">
        <f>COS_RB!M48/1000</f>
        <v>0</v>
      </c>
      <c r="M46" s="715">
        <f>COS_RB!N48/1000</f>
        <v>0</v>
      </c>
      <c r="N46" s="715">
        <f>COS_RB!O48/1000</f>
        <v>0</v>
      </c>
      <c r="O46" s="715">
        <f>COS_RB!P48/1000</f>
        <v>0</v>
      </c>
      <c r="P46" s="715">
        <f>COS_RB!Q48/1000</f>
        <v>0</v>
      </c>
      <c r="Q46" s="715">
        <f>COS_RB!R48/1000</f>
        <v>0</v>
      </c>
      <c r="R46" s="715">
        <f>COS_RB!S48/1000</f>
        <v>0</v>
      </c>
      <c r="S46" s="715">
        <f>COS_RB!T48/1000</f>
        <v>19664.549539999996</v>
      </c>
      <c r="T46" s="715">
        <f>COS_RB!U48/1000</f>
        <v>0</v>
      </c>
      <c r="U46" s="715">
        <f>COS_RB!V48/1000</f>
        <v>0</v>
      </c>
      <c r="V46" s="715">
        <f>COS_RB!W48/1000</f>
        <v>0</v>
      </c>
      <c r="W46" s="715">
        <f>COS_RB!X48/1000</f>
        <v>0</v>
      </c>
      <c r="X46" s="715">
        <f>COS_RB!Y48/1000</f>
        <v>0</v>
      </c>
      <c r="Y46" s="524" t="str">
        <f>COS_RB!G48</f>
        <v>Services</v>
      </c>
      <c r="Z46" s="87"/>
      <c r="AA46" s="86"/>
      <c r="AB46" s="86"/>
      <c r="AC46" s="86"/>
      <c r="AD46" s="86"/>
      <c r="AE46" s="86"/>
    </row>
    <row r="47" spans="1:31" s="51" customFormat="1">
      <c r="A47" s="411"/>
      <c r="B47" s="86"/>
      <c r="C47" s="2686">
        <f>MAX(C41:C45)+1</f>
        <v>29</v>
      </c>
      <c r="D47" s="2687" t="str">
        <f>COS_RB!D49</f>
        <v>369</v>
      </c>
      <c r="E47" s="2688" t="str">
        <f>COS_RB!E49</f>
        <v>SERVICES OVERHEAD</v>
      </c>
      <c r="F47" s="2689">
        <f t="shared" si="5"/>
        <v>0</v>
      </c>
      <c r="G47" s="2689">
        <f>COS_RB!H49/1000</f>
        <v>0</v>
      </c>
      <c r="H47" s="2689">
        <f>COS_RB!I49/1000</f>
        <v>0</v>
      </c>
      <c r="I47" s="2689">
        <f>COS_RB!J49/1000</f>
        <v>0</v>
      </c>
      <c r="J47" s="2689">
        <f>COS_RB!K49/1000</f>
        <v>0</v>
      </c>
      <c r="K47" s="2689">
        <f>COS_RB!L49/1000</f>
        <v>0</v>
      </c>
      <c r="L47" s="2689">
        <f>COS_RB!M49/1000</f>
        <v>0</v>
      </c>
      <c r="M47" s="2689">
        <f>COS_RB!N49/1000</f>
        <v>0</v>
      </c>
      <c r="N47" s="2689">
        <f>COS_RB!O49/1000</f>
        <v>0</v>
      </c>
      <c r="O47" s="2689">
        <f>COS_RB!P49/1000</f>
        <v>0</v>
      </c>
      <c r="P47" s="2689">
        <f>COS_RB!Q49/1000</f>
        <v>0</v>
      </c>
      <c r="Q47" s="2689">
        <f>COS_RB!R49/1000</f>
        <v>0</v>
      </c>
      <c r="R47" s="2689">
        <f>COS_RB!S49/1000</f>
        <v>0</v>
      </c>
      <c r="S47" s="2689">
        <f>COS_RB!T49/1000</f>
        <v>0</v>
      </c>
      <c r="T47" s="2689">
        <f>COS_RB!U49/1000</f>
        <v>0</v>
      </c>
      <c r="U47" s="2689">
        <f>COS_RB!V49/1000</f>
        <v>0</v>
      </c>
      <c r="V47" s="2689">
        <f>COS_RB!W49/1000</f>
        <v>0</v>
      </c>
      <c r="W47" s="2689">
        <f>COS_RB!X49/1000</f>
        <v>0</v>
      </c>
      <c r="X47" s="2689">
        <f>COS_RB!Y49/1000</f>
        <v>0</v>
      </c>
      <c r="Y47" s="2699" t="str">
        <f>COS_RB!G49</f>
        <v>Services</v>
      </c>
      <c r="Z47" s="2684"/>
    </row>
    <row r="48" spans="1:31">
      <c r="A48" s="411"/>
      <c r="B48" s="86"/>
      <c r="C48" s="336">
        <f>MAX(C42:C47)+1</f>
        <v>30</v>
      </c>
      <c r="D48" s="165" t="str">
        <f>COS_RB!D50</f>
        <v>369</v>
      </c>
      <c r="E48" s="247" t="str">
        <f>COS_RB!E50</f>
        <v>SERVICES UNDERGROUND</v>
      </c>
      <c r="F48" s="715">
        <f t="shared" si="5"/>
        <v>0</v>
      </c>
      <c r="G48" s="715">
        <f>COS_RB!H50/1000</f>
        <v>0</v>
      </c>
      <c r="H48" s="715">
        <f>COS_RB!I50/1000</f>
        <v>0</v>
      </c>
      <c r="I48" s="715">
        <f>COS_RB!J50/1000</f>
        <v>0</v>
      </c>
      <c r="J48" s="715">
        <f>COS_RB!K50/1000</f>
        <v>0</v>
      </c>
      <c r="K48" s="715">
        <f>COS_RB!L50/1000</f>
        <v>0</v>
      </c>
      <c r="L48" s="715">
        <f>COS_RB!M50/1000</f>
        <v>0</v>
      </c>
      <c r="M48" s="715">
        <f>COS_RB!N50/1000</f>
        <v>0</v>
      </c>
      <c r="N48" s="715">
        <f>COS_RB!O50/1000</f>
        <v>0</v>
      </c>
      <c r="O48" s="715">
        <f>COS_RB!P50/1000</f>
        <v>0</v>
      </c>
      <c r="P48" s="715">
        <f>COS_RB!Q50/1000</f>
        <v>0</v>
      </c>
      <c r="Q48" s="715">
        <f>COS_RB!R50/1000</f>
        <v>0</v>
      </c>
      <c r="R48" s="715">
        <f>COS_RB!S50/1000</f>
        <v>0</v>
      </c>
      <c r="S48" s="715">
        <f>COS_RB!T50/1000</f>
        <v>0</v>
      </c>
      <c r="T48" s="715">
        <f>COS_RB!U50/1000</f>
        <v>0</v>
      </c>
      <c r="U48" s="715">
        <f>COS_RB!V50/1000</f>
        <v>0</v>
      </c>
      <c r="V48" s="715">
        <f>COS_RB!W50/1000</f>
        <v>0</v>
      </c>
      <c r="W48" s="715">
        <f>COS_RB!X50/1000</f>
        <v>0</v>
      </c>
      <c r="X48" s="715">
        <f>COS_RB!Y50/1000</f>
        <v>0</v>
      </c>
      <c r="Y48" s="524" t="str">
        <f>COS_RB!G50</f>
        <v>Services</v>
      </c>
      <c r="Z48" s="87"/>
      <c r="AA48" s="86"/>
      <c r="AB48" s="86"/>
      <c r="AC48" s="86"/>
      <c r="AD48" s="86"/>
      <c r="AE48" s="86"/>
    </row>
    <row r="49" spans="1:31" s="51" customFormat="1">
      <c r="A49" s="411"/>
      <c r="B49" s="86"/>
      <c r="C49" s="2686">
        <f>MAX(C43:C48)+1</f>
        <v>31</v>
      </c>
      <c r="D49" s="2687" t="str">
        <f>COS_RB!D51</f>
        <v>370</v>
      </c>
      <c r="E49" s="2688" t="str">
        <f>COS_RB!E51</f>
        <v>METERS</v>
      </c>
      <c r="F49" s="2689">
        <f t="shared" si="5"/>
        <v>13712.709589999999</v>
      </c>
      <c r="G49" s="2689">
        <f>COS_RB!H51/1000</f>
        <v>0</v>
      </c>
      <c r="H49" s="2689">
        <f>COS_RB!I51/1000</f>
        <v>0</v>
      </c>
      <c r="I49" s="2689">
        <f>COS_RB!J51/1000</f>
        <v>0</v>
      </c>
      <c r="J49" s="2689">
        <f>COS_RB!K51/1000</f>
        <v>0</v>
      </c>
      <c r="K49" s="2689">
        <f>COS_RB!L51/1000</f>
        <v>0</v>
      </c>
      <c r="L49" s="2689">
        <f>COS_RB!M51/1000</f>
        <v>0</v>
      </c>
      <c r="M49" s="2689">
        <f>COS_RB!N51/1000</f>
        <v>0</v>
      </c>
      <c r="N49" s="2689">
        <f>COS_RB!O51/1000</f>
        <v>0</v>
      </c>
      <c r="O49" s="2689">
        <f>COS_RB!P51/1000</f>
        <v>0</v>
      </c>
      <c r="P49" s="2689">
        <f>COS_RB!Q51/1000</f>
        <v>0</v>
      </c>
      <c r="Q49" s="2689">
        <f>COS_RB!R51/1000</f>
        <v>0</v>
      </c>
      <c r="R49" s="2689">
        <f>COS_RB!S51/1000</f>
        <v>0</v>
      </c>
      <c r="S49" s="2689">
        <f>COS_RB!T51/1000</f>
        <v>0</v>
      </c>
      <c r="T49" s="2689">
        <f>COS_RB!U51/1000</f>
        <v>13712.709589999999</v>
      </c>
      <c r="U49" s="2689">
        <f>COS_RB!V51/1000</f>
        <v>0</v>
      </c>
      <c r="V49" s="2689">
        <f>COS_RB!W51/1000</f>
        <v>0</v>
      </c>
      <c r="W49" s="2689">
        <f>COS_RB!X51/1000</f>
        <v>0</v>
      </c>
      <c r="X49" s="2689">
        <f>COS_RB!Y51/1000</f>
        <v>0</v>
      </c>
      <c r="Y49" s="2699" t="str">
        <f>COS_RB!G51</f>
        <v>Meters</v>
      </c>
      <c r="Z49" s="2684"/>
    </row>
    <row r="50" spans="1:31">
      <c r="A50" s="411"/>
      <c r="B50" s="86"/>
      <c r="C50" s="336">
        <f>MAX(C44:C49)+1</f>
        <v>32</v>
      </c>
      <c r="D50" s="165" t="str">
        <f>COS_RB!D52</f>
        <v>370</v>
      </c>
      <c r="E50" s="247" t="str">
        <f>COS_RB!E52</f>
        <v>METER INVENTORY</v>
      </c>
      <c r="F50" s="715">
        <f t="shared" si="5"/>
        <v>0</v>
      </c>
      <c r="G50" s="715">
        <f>COS_RB!H52/1000</f>
        <v>0</v>
      </c>
      <c r="H50" s="715">
        <f>COS_RB!I52/1000</f>
        <v>0</v>
      </c>
      <c r="I50" s="715">
        <f>COS_RB!J52/1000</f>
        <v>0</v>
      </c>
      <c r="J50" s="715">
        <f>COS_RB!K52/1000</f>
        <v>0</v>
      </c>
      <c r="K50" s="715">
        <f>COS_RB!L52/1000</f>
        <v>0</v>
      </c>
      <c r="L50" s="715">
        <f>COS_RB!M52/1000</f>
        <v>0</v>
      </c>
      <c r="M50" s="715">
        <f>COS_RB!N52/1000</f>
        <v>0</v>
      </c>
      <c r="N50" s="715">
        <f>COS_RB!O52/1000</f>
        <v>0</v>
      </c>
      <c r="O50" s="715">
        <f>COS_RB!P52/1000</f>
        <v>0</v>
      </c>
      <c r="P50" s="715">
        <f>COS_RB!Q52/1000</f>
        <v>0</v>
      </c>
      <c r="Q50" s="715">
        <f>COS_RB!R52/1000</f>
        <v>0</v>
      </c>
      <c r="R50" s="715">
        <f>COS_RB!S52/1000</f>
        <v>0</v>
      </c>
      <c r="S50" s="715">
        <f>COS_RB!T52/1000</f>
        <v>0</v>
      </c>
      <c r="T50" s="715">
        <f>COS_RB!U52/1000</f>
        <v>0</v>
      </c>
      <c r="U50" s="715">
        <f>COS_RB!V52/1000</f>
        <v>0</v>
      </c>
      <c r="V50" s="715">
        <f>COS_RB!W52/1000</f>
        <v>0</v>
      </c>
      <c r="W50" s="715">
        <f>COS_RB!X52/1000</f>
        <v>0</v>
      </c>
      <c r="X50" s="715">
        <f>COS_RB!Y52/1000</f>
        <v>0</v>
      </c>
      <c r="Y50" s="524" t="str">
        <f>COS_RB!G52</f>
        <v>Meters</v>
      </c>
      <c r="Z50" s="87"/>
      <c r="AA50" s="86"/>
      <c r="AB50" s="86"/>
      <c r="AC50" s="86"/>
      <c r="AD50" s="86"/>
      <c r="AE50" s="86"/>
    </row>
    <row r="51" spans="1:31" s="51" customFormat="1">
      <c r="A51" s="411"/>
      <c r="B51" s="86"/>
      <c r="C51" s="2686">
        <f>MAX(C45:C50)+1</f>
        <v>33</v>
      </c>
      <c r="D51" s="2687" t="str">
        <f>COS_RB!D53</f>
        <v>370</v>
      </c>
      <c r="E51" s="2688" t="str">
        <f>COS_RB!E53</f>
        <v>NOC SOFTWARE/ HARDWARE</v>
      </c>
      <c r="F51" s="2689">
        <f t="shared" si="5"/>
        <v>5412.2825097174536</v>
      </c>
      <c r="G51" s="2689">
        <f>COS_RB!H53/1000</f>
        <v>0</v>
      </c>
      <c r="H51" s="2689">
        <f>COS_RB!I53/1000</f>
        <v>124.70820437780918</v>
      </c>
      <c r="I51" s="2689">
        <f>COS_RB!J53/1000</f>
        <v>565.09153261363883</v>
      </c>
      <c r="J51" s="2689">
        <f>COS_RB!K53/1000</f>
        <v>855.81125950724231</v>
      </c>
      <c r="K51" s="2689">
        <f>COS_RB!L53/1000</f>
        <v>159.27798315624563</v>
      </c>
      <c r="L51" s="2689">
        <f>COS_RB!M53/1000</f>
        <v>0</v>
      </c>
      <c r="M51" s="2689">
        <f>COS_RB!N53/1000</f>
        <v>0</v>
      </c>
      <c r="N51" s="2689">
        <f>COS_RB!O53/1000</f>
        <v>260.42094916451794</v>
      </c>
      <c r="O51" s="2689">
        <f>COS_RB!P53/1000</f>
        <v>161.33213757855651</v>
      </c>
      <c r="P51" s="2689">
        <f>COS_RB!Q53/1000</f>
        <v>1015.2744207826918</v>
      </c>
      <c r="Q51" s="2689">
        <f>COS_RB!R53/1000</f>
        <v>119.88927450074276</v>
      </c>
      <c r="R51" s="2689">
        <f>COS_RB!S53/1000</f>
        <v>315.49953531998972</v>
      </c>
      <c r="S51" s="2689">
        <f>COS_RB!T53/1000</f>
        <v>71.343177175398353</v>
      </c>
      <c r="T51" s="2689">
        <f>COS_RB!U53/1000</f>
        <v>587.98020949765612</v>
      </c>
      <c r="U51" s="2689">
        <f>COS_RB!V53/1000</f>
        <v>1092.5162673888372</v>
      </c>
      <c r="V51" s="2689">
        <f>COS_RB!W53/1000</f>
        <v>23.829117189402343</v>
      </c>
      <c r="W51" s="2689">
        <f>COS_RB!X53/1000</f>
        <v>59.308441464724957</v>
      </c>
      <c r="X51" s="2689">
        <f>COS_RB!Y53/1000</f>
        <v>0</v>
      </c>
      <c r="Y51" s="2699" t="str">
        <f>COS_RB!G53</f>
        <v>Supervised O&amp;M</v>
      </c>
      <c r="Z51" s="2684"/>
    </row>
    <row r="52" spans="1:31">
      <c r="A52" s="411"/>
      <c r="B52" s="86"/>
      <c r="C52" s="336">
        <f t="shared" si="6"/>
        <v>34</v>
      </c>
      <c r="D52" s="165" t="str">
        <f>COS_RB!D54</f>
        <v>373</v>
      </c>
      <c r="E52" s="247" t="str">
        <f>COS_RB!E54</f>
        <v>ST LIGHT &amp; SIGNAL SYS</v>
      </c>
      <c r="F52" s="716">
        <f t="shared" si="5"/>
        <v>6552.6634299999996</v>
      </c>
      <c r="G52" s="717">
        <f>COS_RB!H54/1000</f>
        <v>0</v>
      </c>
      <c r="H52" s="717">
        <f>COS_RB!I54/1000</f>
        <v>0</v>
      </c>
      <c r="I52" s="717">
        <f>COS_RB!J54/1000</f>
        <v>0</v>
      </c>
      <c r="J52" s="717">
        <f>COS_RB!K54/1000</f>
        <v>0</v>
      </c>
      <c r="K52" s="717">
        <f>COS_RB!L54/1000</f>
        <v>0</v>
      </c>
      <c r="L52" s="717">
        <f>COS_RB!M54/1000</f>
        <v>0</v>
      </c>
      <c r="M52" s="717">
        <f>COS_RB!N54/1000</f>
        <v>0</v>
      </c>
      <c r="N52" s="717">
        <f>COS_RB!O54/1000</f>
        <v>0</v>
      </c>
      <c r="O52" s="717">
        <f>COS_RB!P54/1000</f>
        <v>0</v>
      </c>
      <c r="P52" s="717">
        <f>COS_RB!Q54/1000</f>
        <v>0</v>
      </c>
      <c r="Q52" s="717">
        <f>COS_RB!R54/1000</f>
        <v>0</v>
      </c>
      <c r="R52" s="717">
        <f>COS_RB!S54/1000</f>
        <v>0</v>
      </c>
      <c r="S52" s="717">
        <f>COS_RB!T54/1000</f>
        <v>0</v>
      </c>
      <c r="T52" s="717">
        <f>COS_RB!U54/1000</f>
        <v>0</v>
      </c>
      <c r="U52" s="717">
        <f>COS_RB!V54/1000</f>
        <v>0</v>
      </c>
      <c r="V52" s="717">
        <f>COS_RB!W54/1000</f>
        <v>6552.6634299999996</v>
      </c>
      <c r="W52" s="717">
        <f>COS_RB!X54/1000</f>
        <v>0</v>
      </c>
      <c r="X52" s="717">
        <f>COS_RB!Y54/1000</f>
        <v>0</v>
      </c>
      <c r="Y52" s="524" t="str">
        <f>COS_RB!G54</f>
        <v>Street Lights</v>
      </c>
      <c r="Z52" s="87"/>
      <c r="AA52" s="86"/>
      <c r="AB52" s="86"/>
      <c r="AC52" s="86"/>
      <c r="AD52" s="86"/>
      <c r="AE52" s="86"/>
    </row>
    <row r="53" spans="1:31" s="51" customFormat="1">
      <c r="A53" s="411"/>
      <c r="B53" s="86"/>
      <c r="C53" s="2686">
        <f>MAX(C45:C52)+1</f>
        <v>35</v>
      </c>
      <c r="D53" s="2687"/>
      <c r="E53" s="2696" t="s">
        <v>106</v>
      </c>
      <c r="F53" s="2697">
        <f t="shared" ref="F53:X53" si="7">SUM(F38:F52)</f>
        <v>502870.47095971729</v>
      </c>
      <c r="G53" s="2697">
        <f t="shared" si="7"/>
        <v>0</v>
      </c>
      <c r="H53" s="2697">
        <f t="shared" si="7"/>
        <v>124.70820437780918</v>
      </c>
      <c r="I53" s="2697">
        <f t="shared" si="7"/>
        <v>565.09153261363883</v>
      </c>
      <c r="J53" s="2697">
        <f t="shared" si="7"/>
        <v>81361.044648433395</v>
      </c>
      <c r="K53" s="2697">
        <f t="shared" si="7"/>
        <v>47780.421564230055</v>
      </c>
      <c r="L53" s="2697">
        <f>SUM(L38:L52)</f>
        <v>0</v>
      </c>
      <c r="M53" s="2697">
        <f>SUM(M38:M52)</f>
        <v>0</v>
      </c>
      <c r="N53" s="2697">
        <f>SUM(N38:N52)</f>
        <v>72011.731759164468</v>
      </c>
      <c r="O53" s="2697">
        <f t="shared" si="7"/>
        <v>26535.919692542415</v>
      </c>
      <c r="P53" s="2697">
        <f t="shared" si="7"/>
        <v>156904.52028504934</v>
      </c>
      <c r="Q53" s="2697">
        <f t="shared" si="7"/>
        <v>21338.263047207274</v>
      </c>
      <c r="R53" s="2697">
        <f t="shared" si="7"/>
        <v>54483.870453382871</v>
      </c>
      <c r="S53" s="2697">
        <f t="shared" si="7"/>
        <v>19735.892717175393</v>
      </c>
      <c r="T53" s="2697">
        <f t="shared" si="7"/>
        <v>14300.689799497655</v>
      </c>
      <c r="U53" s="2697">
        <f t="shared" si="7"/>
        <v>1092.5162673888372</v>
      </c>
      <c r="V53" s="2697">
        <f t="shared" si="7"/>
        <v>6576.4925471894021</v>
      </c>
      <c r="W53" s="2697">
        <f t="shared" si="7"/>
        <v>59.308441464724957</v>
      </c>
      <c r="X53" s="2697">
        <f t="shared" si="7"/>
        <v>0</v>
      </c>
      <c r="Y53" s="2698"/>
      <c r="Z53" s="2684"/>
    </row>
    <row r="54" spans="1:31">
      <c r="A54" s="411"/>
      <c r="B54" s="86"/>
      <c r="C54" s="336"/>
      <c r="D54" s="165"/>
      <c r="E54" s="248"/>
      <c r="F54" s="720"/>
      <c r="G54" s="720"/>
      <c r="H54" s="720"/>
      <c r="I54" s="720"/>
      <c r="J54" s="720"/>
      <c r="K54" s="720"/>
      <c r="L54" s="720"/>
      <c r="M54" s="720"/>
      <c r="N54" s="720"/>
      <c r="O54" s="720"/>
      <c r="P54" s="720"/>
      <c r="Q54" s="720"/>
      <c r="R54" s="720"/>
      <c r="S54" s="720"/>
      <c r="T54" s="720"/>
      <c r="U54" s="720"/>
      <c r="V54" s="720"/>
      <c r="W54" s="720"/>
      <c r="X54" s="720"/>
      <c r="Y54" s="279"/>
      <c r="Z54" s="87"/>
      <c r="AA54" s="86"/>
      <c r="AB54" s="86"/>
      <c r="AC54" s="86"/>
      <c r="AD54" s="86"/>
      <c r="AE54" s="86"/>
    </row>
    <row r="55" spans="1:31" s="51" customFormat="1" ht="16.5" thickBot="1">
      <c r="A55" s="411"/>
      <c r="B55" s="86"/>
      <c r="C55" s="2686">
        <f>MAX(C53:C54)+1</f>
        <v>36</v>
      </c>
      <c r="D55" s="2687"/>
      <c r="E55" s="61" t="s">
        <v>722</v>
      </c>
      <c r="F55" s="2700">
        <f>SUM(F22,F35,F53)</f>
        <v>728197.57910015178</v>
      </c>
      <c r="G55" s="2700">
        <f>SUM(G22,G35,G53)</f>
        <v>0</v>
      </c>
      <c r="H55" s="2700">
        <f>SUM(H22,H35,H53)</f>
        <v>34376.585492310944</v>
      </c>
      <c r="I55" s="2700">
        <f>SUM(I22,I35,I53)</f>
        <v>191610.8851923836</v>
      </c>
      <c r="J55" s="2700">
        <f>SUM(J22,J35,J53)</f>
        <v>81366.379274773033</v>
      </c>
      <c r="K55" s="2700">
        <f t="shared" ref="K55:X55" si="8">SUM(K22,K35,K53)</f>
        <v>47781.41440992451</v>
      </c>
      <c r="L55" s="2700">
        <f>SUM(L22,L35,L53)</f>
        <v>0</v>
      </c>
      <c r="M55" s="2700">
        <f>SUM(M22,M35,M53)</f>
        <v>0</v>
      </c>
      <c r="N55" s="2700">
        <f>SUM(N22,N35,N53)</f>
        <v>72013.355070892809</v>
      </c>
      <c r="O55" s="2700">
        <f t="shared" si="8"/>
        <v>26536.925342632894</v>
      </c>
      <c r="P55" s="2700">
        <f t="shared" si="8"/>
        <v>156910.84891137542</v>
      </c>
      <c r="Q55" s="2700">
        <f t="shared" si="8"/>
        <v>21339.010366752897</v>
      </c>
      <c r="R55" s="2700">
        <f t="shared" si="8"/>
        <v>54485.837092770431</v>
      </c>
      <c r="S55" s="2700">
        <f t="shared" si="8"/>
        <v>19736.337428772589</v>
      </c>
      <c r="T55" s="2700">
        <f t="shared" si="8"/>
        <v>14304.354923878678</v>
      </c>
      <c r="U55" s="2700">
        <f t="shared" si="8"/>
        <v>1099.3263741638445</v>
      </c>
      <c r="V55" s="2700">
        <f t="shared" si="8"/>
        <v>6576.6410839547189</v>
      </c>
      <c r="W55" s="2700">
        <f t="shared" si="8"/>
        <v>59.678135565481355</v>
      </c>
      <c r="X55" s="2700">
        <f t="shared" si="8"/>
        <v>0</v>
      </c>
      <c r="Y55" s="2698"/>
      <c r="Z55" s="2684"/>
    </row>
    <row r="56" spans="1:31" ht="16.5" thickTop="1">
      <c r="A56" s="411"/>
      <c r="B56" s="86"/>
      <c r="C56" s="336"/>
      <c r="D56" s="165"/>
      <c r="E56" s="206"/>
      <c r="F56" s="719"/>
      <c r="G56" s="719"/>
      <c r="H56" s="719"/>
      <c r="I56" s="719"/>
      <c r="J56" s="719"/>
      <c r="K56" s="719"/>
      <c r="L56" s="719"/>
      <c r="M56" s="719"/>
      <c r="N56" s="719"/>
      <c r="O56" s="719"/>
      <c r="P56" s="719"/>
      <c r="Q56" s="719"/>
      <c r="R56" s="719"/>
      <c r="S56" s="719"/>
      <c r="T56" s="719"/>
      <c r="U56" s="719"/>
      <c r="V56" s="719"/>
      <c r="W56" s="719"/>
      <c r="X56" s="719"/>
      <c r="Y56" s="313"/>
      <c r="Z56" s="87"/>
      <c r="AA56" s="86"/>
      <c r="AB56" s="86"/>
      <c r="AC56" s="86"/>
      <c r="AD56" s="86"/>
      <c r="AE56" s="86"/>
    </row>
    <row r="57" spans="1:31" s="51" customFormat="1">
      <c r="A57" s="411"/>
      <c r="B57" s="86"/>
      <c r="C57" s="2686">
        <f>MAX(C53:C56)+1</f>
        <v>37</v>
      </c>
      <c r="D57" s="2687"/>
      <c r="E57" s="61" t="s">
        <v>425</v>
      </c>
      <c r="F57" s="2693"/>
      <c r="G57" s="2693"/>
      <c r="H57" s="2693"/>
      <c r="I57" s="2693"/>
      <c r="J57" s="2693"/>
      <c r="K57" s="2693"/>
      <c r="L57" s="2693"/>
      <c r="M57" s="2693"/>
      <c r="N57" s="2693"/>
      <c r="O57" s="2693"/>
      <c r="P57" s="2693"/>
      <c r="Q57" s="2693"/>
      <c r="R57" s="2693"/>
      <c r="S57" s="2693"/>
      <c r="T57" s="2693"/>
      <c r="U57" s="2693"/>
      <c r="V57" s="2693"/>
      <c r="W57" s="2693"/>
      <c r="X57" s="2693"/>
      <c r="Y57" s="2694"/>
      <c r="Z57" s="2684"/>
    </row>
    <row r="58" spans="1:31">
      <c r="A58" s="411"/>
      <c r="B58" s="86"/>
      <c r="C58" s="336">
        <f>MAX(C53:C57)+1</f>
        <v>38</v>
      </c>
      <c r="D58" s="247" t="str">
        <f>COS_RB!D62</f>
        <v>389</v>
      </c>
      <c r="E58" s="247" t="str">
        <f>COS_RB!E62</f>
        <v>LAND</v>
      </c>
      <c r="F58" s="714">
        <f>SUM(G58:W58)</f>
        <v>1068.2368637603226</v>
      </c>
      <c r="G58" s="1893">
        <f>COS_RB!H62/1000</f>
        <v>0</v>
      </c>
      <c r="H58" s="1893">
        <f>COS_RB!I62/1000</f>
        <v>24.613996200410241</v>
      </c>
      <c r="I58" s="1893">
        <f>COS_RB!J62/1000</f>
        <v>111.53364693230345</v>
      </c>
      <c r="J58" s="1893">
        <f>COS_RB!K62/1000</f>
        <v>168.9137871471743</v>
      </c>
      <c r="K58" s="1893">
        <f>COS_RB!L62/1000</f>
        <v>31.437127106245569</v>
      </c>
      <c r="L58" s="1893">
        <f>COS_RB!M62/1000</f>
        <v>0</v>
      </c>
      <c r="M58" s="1893">
        <f>COS_RB!N62/1000</f>
        <v>0</v>
      </c>
      <c r="N58" s="1893">
        <f>COS_RB!O62/1000</f>
        <v>51.399988358610997</v>
      </c>
      <c r="O58" s="1893">
        <f>COS_RB!P62/1000</f>
        <v>31.842561130398778</v>
      </c>
      <c r="P58" s="1893">
        <f>COS_RB!Q62/1000</f>
        <v>200.38746336055536</v>
      </c>
      <c r="Q58" s="1893">
        <f>COS_RB!R62/1000</f>
        <v>23.662870953471298</v>
      </c>
      <c r="R58" s="1893">
        <f>COS_RB!S62/1000</f>
        <v>62.270998145966963</v>
      </c>
      <c r="S58" s="1893">
        <f>COS_RB!T62/1000</f>
        <v>14.08119618658324</v>
      </c>
      <c r="T58" s="1893">
        <f>COS_RB!U62/1000</f>
        <v>116.05124710677818</v>
      </c>
      <c r="U58" s="1893">
        <f>COS_RB!V62/1000</f>
        <v>215.63289591538927</v>
      </c>
      <c r="V58" s="1893">
        <f>COS_RB!W62/1000</f>
        <v>4.7032174257129142</v>
      </c>
      <c r="W58" s="1893">
        <f>COS_RB!X62/1000</f>
        <v>11.705867790722166</v>
      </c>
      <c r="X58" s="1893">
        <f>COS_RB!Y62/1000</f>
        <v>0</v>
      </c>
      <c r="Y58" s="247" t="str">
        <f>COS_RB!G62</f>
        <v>Supervised O&amp;M</v>
      </c>
      <c r="Z58" s="87"/>
      <c r="AA58" s="86"/>
      <c r="AB58" s="86"/>
      <c r="AC58" s="86"/>
      <c r="AD58" s="86"/>
      <c r="AE58" s="86"/>
    </row>
    <row r="59" spans="1:31" s="51" customFormat="1">
      <c r="A59" s="411"/>
      <c r="B59" s="86"/>
      <c r="C59" s="2686">
        <f t="shared" ref="C59:C71" si="9">MAX(C54:C58)+1</f>
        <v>39</v>
      </c>
      <c r="D59" s="2688" t="str">
        <f>COS_RB!D74</f>
        <v>390</v>
      </c>
      <c r="E59" s="2688" t="str">
        <f>COS_RB!E74</f>
        <v>STRUC &amp; IMP</v>
      </c>
      <c r="F59" s="2695">
        <f t="shared" ref="F59:F75" si="10">SUM(G59:W59)</f>
        <v>24778.298779177698</v>
      </c>
      <c r="G59" s="2701">
        <f>COS_RB!H74/1000</f>
        <v>0</v>
      </c>
      <c r="H59" s="2701">
        <f>COS_RB!I74/1000</f>
        <v>570.93419324288516</v>
      </c>
      <c r="I59" s="2701">
        <f>COS_RB!J74/1000</f>
        <v>2587.0798147628757</v>
      </c>
      <c r="J59" s="2701">
        <f>COS_RB!K74/1000</f>
        <v>3918.0414268067952</v>
      </c>
      <c r="K59" s="2701">
        <f>COS_RB!L74/1000</f>
        <v>729.20019391159258</v>
      </c>
      <c r="L59" s="2701">
        <f>COS_RB!M74/1000</f>
        <v>0</v>
      </c>
      <c r="M59" s="2701">
        <f>COS_RB!N74/1000</f>
        <v>0</v>
      </c>
      <c r="N59" s="2701">
        <f>COS_RB!O74/1000</f>
        <v>1192.2489402890276</v>
      </c>
      <c r="O59" s="2701">
        <f>COS_RB!P74/1000</f>
        <v>738.60444284412756</v>
      </c>
      <c r="P59" s="2701">
        <f>COS_RB!Q74/1000</f>
        <v>4648.0893958958213</v>
      </c>
      <c r="Q59" s="2701">
        <f>COS_RB!R74/1000</f>
        <v>548.87235813441248</v>
      </c>
      <c r="R59" s="2701">
        <f>COS_RB!S74/1000</f>
        <v>1444.4075557427889</v>
      </c>
      <c r="S59" s="2701">
        <f>COS_RB!T74/1000</f>
        <v>326.62052594887859</v>
      </c>
      <c r="T59" s="2701">
        <f>COS_RB!U74/1000</f>
        <v>2691.8678544622016</v>
      </c>
      <c r="U59" s="2701">
        <f>COS_RB!V74/1000</f>
        <v>5001.7149780833997</v>
      </c>
      <c r="V59" s="2701">
        <f>COS_RB!W74/1000</f>
        <v>109.09352649329357</v>
      </c>
      <c r="W59" s="2701">
        <f>COS_RB!X74/1000</f>
        <v>271.52357255960106</v>
      </c>
      <c r="X59" s="2701">
        <f>COS_RB!Y74/1000</f>
        <v>0</v>
      </c>
      <c r="Y59" s="2688" t="str">
        <f>COS_RB!G74</f>
        <v>Supervised O&amp;M</v>
      </c>
      <c r="Z59" s="2684"/>
    </row>
    <row r="60" spans="1:31">
      <c r="A60" s="411"/>
      <c r="B60" s="86"/>
      <c r="C60" s="336">
        <f t="shared" si="9"/>
        <v>40</v>
      </c>
      <c r="D60" s="247" t="str">
        <f>COS_RB!D92</f>
        <v>391</v>
      </c>
      <c r="E60" s="247" t="str">
        <f>COS_RB!E92</f>
        <v>OFFICE F&amp;E</v>
      </c>
      <c r="F60" s="714">
        <f t="shared" si="10"/>
        <v>24391.547284195825</v>
      </c>
      <c r="G60" s="1893">
        <f>COS_RB!H92/1000</f>
        <v>0</v>
      </c>
      <c r="H60" s="1893">
        <f>COS_RB!I92/1000</f>
        <v>562.02278028670139</v>
      </c>
      <c r="I60" s="1893">
        <f>COS_RB!J92/1000</f>
        <v>2546.6994401893885</v>
      </c>
      <c r="J60" s="1893">
        <f>COS_RB!K92/1000</f>
        <v>3856.8867691475766</v>
      </c>
      <c r="K60" s="1893">
        <f>COS_RB!L92/1000</f>
        <v>717.81848979825872</v>
      </c>
      <c r="L60" s="1893">
        <f>COS_RB!M92/1000</f>
        <v>0</v>
      </c>
      <c r="M60" s="1893">
        <f>COS_RB!N92/1000</f>
        <v>0</v>
      </c>
      <c r="N60" s="1893">
        <f>COS_RB!O92/1000</f>
        <v>1173.6397506849846</v>
      </c>
      <c r="O60" s="1893">
        <f>COS_RB!P92/1000</f>
        <v>727.07595273203515</v>
      </c>
      <c r="P60" s="1893">
        <f>COS_RB!Q92/1000</f>
        <v>4575.5398016443078</v>
      </c>
      <c r="Q60" s="1893">
        <f>COS_RB!R92/1000</f>
        <v>540.30529681375799</v>
      </c>
      <c r="R60" s="1893">
        <f>COS_RB!S92/1000</f>
        <v>1421.8625543072551</v>
      </c>
      <c r="S60" s="1893">
        <f>COS_RB!T92/1000</f>
        <v>321.52247713494432</v>
      </c>
      <c r="T60" s="1893">
        <f>COS_RB!U92/1000</f>
        <v>2649.8518982303003</v>
      </c>
      <c r="U60" s="1893">
        <f>COS_RB!V92/1000</f>
        <v>4923.6458272314221</v>
      </c>
      <c r="V60" s="1893">
        <f>COS_RB!W92/1000</f>
        <v>107.39074274529946</v>
      </c>
      <c r="W60" s="1893">
        <f>COS_RB!X92/1000</f>
        <v>267.28550324959292</v>
      </c>
      <c r="X60" s="1893">
        <f>COS_RB!Y92/1000</f>
        <v>0</v>
      </c>
      <c r="Y60" s="247" t="str">
        <f>COS_RB!G92</f>
        <v>Supervised O&amp;M</v>
      </c>
      <c r="Z60" s="87"/>
      <c r="AA60" s="86"/>
      <c r="AB60" s="86"/>
      <c r="AC60" s="86"/>
      <c r="AD60" s="86"/>
      <c r="AE60" s="86"/>
    </row>
    <row r="61" spans="1:31" s="51" customFormat="1">
      <c r="A61" s="411"/>
      <c r="B61" s="86"/>
      <c r="C61" s="2686">
        <f t="shared" si="9"/>
        <v>41</v>
      </c>
      <c r="D61" s="2688" t="str">
        <f>COS_RB!D103</f>
        <v>391</v>
      </c>
      <c r="E61" s="2688" t="str">
        <f>COS_RB!E103</f>
        <v>WFON-G/OFFICE F&amp;E, EDP JOINT</v>
      </c>
      <c r="F61" s="2695">
        <f t="shared" si="10"/>
        <v>54.646680703922492</v>
      </c>
      <c r="G61" s="2701">
        <f>COS_RB!H103/1000</f>
        <v>0</v>
      </c>
      <c r="H61" s="2701">
        <f>COS_RB!I103/1000</f>
        <v>1.259152568913003</v>
      </c>
      <c r="I61" s="2701">
        <f>COS_RB!J103/1000</f>
        <v>5.7056106172920051</v>
      </c>
      <c r="J61" s="2701">
        <f>COS_RB!K103/1000</f>
        <v>8.6409466906330241</v>
      </c>
      <c r="K61" s="2701">
        <f>COS_RB!L103/1000</f>
        <v>1.6081963705842273</v>
      </c>
      <c r="L61" s="2701">
        <f>COS_RB!M103/1000</f>
        <v>0</v>
      </c>
      <c r="M61" s="2701">
        <f>COS_RB!N103/1000</f>
        <v>0</v>
      </c>
      <c r="N61" s="2701">
        <f>COS_RB!O103/1000</f>
        <v>2.6294156729724691</v>
      </c>
      <c r="O61" s="2701">
        <f>COS_RB!P103/1000</f>
        <v>1.6289367367109084</v>
      </c>
      <c r="P61" s="2701">
        <f>COS_RB!Q103/1000</f>
        <v>10.251012765826225</v>
      </c>
      <c r="Q61" s="2701">
        <f>COS_RB!R103/1000</f>
        <v>1.2104968452227058</v>
      </c>
      <c r="R61" s="2701">
        <f>COS_RB!S103/1000</f>
        <v>3.1855325988457053</v>
      </c>
      <c r="S61" s="2701">
        <f>COS_RB!T103/1000</f>
        <v>0.72033708818922937</v>
      </c>
      <c r="T61" s="2701">
        <f>COS_RB!U103/1000</f>
        <v>5.936712784477554</v>
      </c>
      <c r="U61" s="2701">
        <f>COS_RB!V103/1000</f>
        <v>11.03090748139009</v>
      </c>
      <c r="V61" s="2701">
        <f>COS_RB!W103/1000</f>
        <v>0.24059759559254804</v>
      </c>
      <c r="W61" s="2701">
        <f>COS_RB!X103/1000</f>
        <v>0.59882488727280014</v>
      </c>
      <c r="X61" s="2701">
        <f>COS_RB!Y103/1000</f>
        <v>0</v>
      </c>
      <c r="Y61" s="2688" t="str">
        <f>COS_RB!G103</f>
        <v>Supervised O&amp;M</v>
      </c>
      <c r="Z61" s="2684"/>
    </row>
    <row r="62" spans="1:31">
      <c r="A62" s="411"/>
      <c r="B62" s="86"/>
      <c r="C62" s="336">
        <f t="shared" si="9"/>
        <v>42</v>
      </c>
      <c r="D62" s="247" t="str">
        <f>COS_RB!D105</f>
        <v>392</v>
      </c>
      <c r="E62" s="247" t="str">
        <f>COS_RB!E105</f>
        <v>TRANSPORTATION EQUIP</v>
      </c>
      <c r="F62" s="714">
        <f t="shared" si="10"/>
        <v>18239.460824948696</v>
      </c>
      <c r="G62" s="1893">
        <f>COS_RB!H105/1000</f>
        <v>0</v>
      </c>
      <c r="H62" s="1893">
        <f>COS_RB!I105/1000</f>
        <v>420.26823326661327</v>
      </c>
      <c r="I62" s="1893">
        <f>COS_RB!J105/1000</f>
        <v>1904.3656448293486</v>
      </c>
      <c r="J62" s="1893">
        <f>COS_RB!K105/1000</f>
        <v>2884.0948182779248</v>
      </c>
      <c r="K62" s="1893">
        <f>COS_RB!L105/1000</f>
        <v>536.76882698550094</v>
      </c>
      <c r="L62" s="1893">
        <f>COS_RB!M105/1000</f>
        <v>0</v>
      </c>
      <c r="M62" s="1893">
        <f>COS_RB!N105/1000</f>
        <v>0</v>
      </c>
      <c r="N62" s="1893">
        <f>COS_RB!O105/1000</f>
        <v>877.62190753234518</v>
      </c>
      <c r="O62" s="1893">
        <f>COS_RB!P105/1000</f>
        <v>543.69135348829627</v>
      </c>
      <c r="P62" s="1893">
        <f>COS_RB!Q105/1000</f>
        <v>3421.4876978779726</v>
      </c>
      <c r="Q62" s="1893">
        <f>COS_RB!R105/1000</f>
        <v>404.02837835269889</v>
      </c>
      <c r="R62" s="1893">
        <f>COS_RB!S105/1000</f>
        <v>1063.2374426919714</v>
      </c>
      <c r="S62" s="1893">
        <f>COS_RB!T105/1000</f>
        <v>240.42741355088353</v>
      </c>
      <c r="T62" s="1893">
        <f>COS_RB!U105/1000</f>
        <v>1981.5007767466836</v>
      </c>
      <c r="U62" s="1893">
        <f>COS_RB!V105/1000</f>
        <v>3681.7937023575928</v>
      </c>
      <c r="V62" s="1893">
        <f>COS_RB!W105/1000</f>
        <v>80.304427695498347</v>
      </c>
      <c r="W62" s="1893">
        <f>COS_RB!X105/1000</f>
        <v>199.87020129536555</v>
      </c>
      <c r="X62" s="1893">
        <f>COS_RB!Y105/1000</f>
        <v>0</v>
      </c>
      <c r="Y62" s="247" t="str">
        <f>COS_RB!G105</f>
        <v>Supervised O&amp;M</v>
      </c>
      <c r="Z62" s="87"/>
      <c r="AA62" s="86"/>
      <c r="AB62" s="86"/>
      <c r="AC62" s="86"/>
      <c r="AD62" s="86"/>
      <c r="AE62" s="86"/>
    </row>
    <row r="63" spans="1:31" s="51" customFormat="1">
      <c r="A63" s="411"/>
      <c r="B63" s="86"/>
      <c r="C63" s="2686">
        <f t="shared" si="9"/>
        <v>43</v>
      </c>
      <c r="D63" s="2688" t="str">
        <f>COS_RB!D106</f>
        <v>393</v>
      </c>
      <c r="E63" s="2688" t="str">
        <f>COS_RB!E106</f>
        <v>STORES EQUIP</v>
      </c>
      <c r="F63" s="2695">
        <f t="shared" si="10"/>
        <v>210.94386271723968</v>
      </c>
      <c r="G63" s="2701">
        <f>COS_RB!H106/1000</f>
        <v>0</v>
      </c>
      <c r="H63" s="2701">
        <f>COS_RB!I106/1000</f>
        <v>4.8605057656828352</v>
      </c>
      <c r="I63" s="2701">
        <f>COS_RB!J106/1000</f>
        <v>22.024458343463106</v>
      </c>
      <c r="J63" s="2701">
        <f>COS_RB!K106/1000</f>
        <v>33.355267858474768</v>
      </c>
      <c r="K63" s="2701">
        <f>COS_RB!L106/1000</f>
        <v>6.2078638638070478</v>
      </c>
      <c r="L63" s="2701">
        <f>COS_RB!M106/1000</f>
        <v>0</v>
      </c>
      <c r="M63" s="2701">
        <f>COS_RB!N106/1000</f>
        <v>0</v>
      </c>
      <c r="N63" s="2701">
        <f>COS_RB!O106/1000</f>
        <v>10.149913802655719</v>
      </c>
      <c r="O63" s="2701">
        <f>COS_RB!P106/1000</f>
        <v>6.2879245900684673</v>
      </c>
      <c r="P63" s="2701">
        <f>COS_RB!Q106/1000</f>
        <v>39.570349044674984</v>
      </c>
      <c r="Q63" s="2701">
        <f>COS_RB!R106/1000</f>
        <v>4.6726878384761914</v>
      </c>
      <c r="R63" s="2701">
        <f>COS_RB!S106/1000</f>
        <v>12.296603243899623</v>
      </c>
      <c r="S63" s="2701">
        <f>COS_RB!T106/1000</f>
        <v>2.7806023327271929</v>
      </c>
      <c r="T63" s="2701">
        <f>COS_RB!U106/1000</f>
        <v>22.916545167410778</v>
      </c>
      <c r="U63" s="2701">
        <f>COS_RB!V106/1000</f>
        <v>42.580852184017466</v>
      </c>
      <c r="V63" s="2701">
        <f>COS_RB!W106/1000</f>
        <v>0.92874051124443546</v>
      </c>
      <c r="W63" s="2701">
        <f>COS_RB!X106/1000</f>
        <v>2.3115481706370695</v>
      </c>
      <c r="X63" s="2701">
        <f>COS_RB!Y106/1000</f>
        <v>0</v>
      </c>
      <c r="Y63" s="2688" t="str">
        <f>COS_RB!G106</f>
        <v>Supervised O&amp;M</v>
      </c>
      <c r="Z63" s="2684"/>
    </row>
    <row r="64" spans="1:31">
      <c r="A64" s="411"/>
      <c r="B64" s="86"/>
      <c r="C64" s="336">
        <f t="shared" si="9"/>
        <v>44</v>
      </c>
      <c r="D64" s="247" t="str">
        <f>COS_RB!D113</f>
        <v>394</v>
      </c>
      <c r="E64" s="247" t="str">
        <f>COS_RB!E113</f>
        <v>TOOLS</v>
      </c>
      <c r="F64" s="714">
        <f t="shared" si="10"/>
        <v>4606.7494593411084</v>
      </c>
      <c r="G64" s="1893">
        <f>COS_RB!H113/1000</f>
        <v>0</v>
      </c>
      <c r="H64" s="1893">
        <f>COS_RB!I113/1000</f>
        <v>106.14735133677719</v>
      </c>
      <c r="I64" s="1893">
        <f>COS_RB!J113/1000</f>
        <v>480.9865537639904</v>
      </c>
      <c r="J64" s="1893">
        <f>COS_RB!K113/1000</f>
        <v>728.43722587549098</v>
      </c>
      <c r="K64" s="1893">
        <f>COS_RB!L113/1000</f>
        <v>135.57196274816818</v>
      </c>
      <c r="L64" s="1893">
        <f>COS_RB!M113/1000</f>
        <v>0</v>
      </c>
      <c r="M64" s="1893">
        <f>COS_RB!N113/1000</f>
        <v>0</v>
      </c>
      <c r="N64" s="1893">
        <f>COS_RB!O113/1000</f>
        <v>221.66139047818675</v>
      </c>
      <c r="O64" s="1893">
        <f>COS_RB!P113/1000</f>
        <v>137.32038862161318</v>
      </c>
      <c r="P64" s="1893">
        <f>COS_RB!Q113/1000</f>
        <v>864.16680589492898</v>
      </c>
      <c r="Q64" s="1893">
        <f>COS_RB!R113/1000</f>
        <v>102.0456433113886</v>
      </c>
      <c r="R64" s="1893">
        <f>COS_RB!S113/1000</f>
        <v>268.54239614214248</v>
      </c>
      <c r="S64" s="1893">
        <f>COS_RB!T113/1000</f>
        <v>60.724868350894866</v>
      </c>
      <c r="T64" s="1893">
        <f>COS_RB!U113/1000</f>
        <v>500.46861141178761</v>
      </c>
      <c r="U64" s="1893">
        <f>COS_RB!V113/1000</f>
        <v>929.91241958979595</v>
      </c>
      <c r="V64" s="1893">
        <f>COS_RB!W113/1000</f>
        <v>20.282528218318355</v>
      </c>
      <c r="W64" s="1893">
        <f>COS_RB!X113/1000</f>
        <v>50.481313597624599</v>
      </c>
      <c r="X64" s="1893">
        <f>COS_RB!Y113/1000</f>
        <v>0</v>
      </c>
      <c r="Y64" s="247" t="str">
        <f>COS_RB!G113</f>
        <v>Supervised O&amp;M</v>
      </c>
      <c r="Z64" s="87"/>
      <c r="AA64" s="86"/>
      <c r="AB64" s="86"/>
      <c r="AC64" s="86"/>
      <c r="AD64" s="86"/>
      <c r="AE64" s="86"/>
    </row>
    <row r="65" spans="1:31" s="51" customFormat="1">
      <c r="A65" s="411"/>
      <c r="B65" s="86"/>
      <c r="C65" s="2686">
        <f t="shared" si="9"/>
        <v>45</v>
      </c>
      <c r="D65" s="2688" t="str">
        <f>COS_RB!D123</f>
        <v>395</v>
      </c>
      <c r="E65" s="2688" t="str">
        <f>COS_RB!E123</f>
        <v>LAB EQUIP</v>
      </c>
      <c r="F65" s="2689">
        <f t="shared" si="10"/>
        <v>493.37112635528143</v>
      </c>
      <c r="G65" s="2701">
        <f>COS_RB!H123/1000</f>
        <v>0</v>
      </c>
      <c r="H65" s="2701">
        <f>COS_RB!I123/1000</f>
        <v>11.368110801525097</v>
      </c>
      <c r="I65" s="2701">
        <f>COS_RB!J123/1000</f>
        <v>51.512434068039418</v>
      </c>
      <c r="J65" s="2701">
        <f>COS_RB!K123/1000</f>
        <v>78.013770399554161</v>
      </c>
      <c r="K65" s="2701">
        <f>COS_RB!L123/1000</f>
        <v>14.519411692257886</v>
      </c>
      <c r="L65" s="2701">
        <f>COS_RB!M123/1000</f>
        <v>0</v>
      </c>
      <c r="M65" s="2701">
        <f>COS_RB!N123/1000</f>
        <v>0</v>
      </c>
      <c r="N65" s="2701">
        <f>COS_RB!O123/1000</f>
        <v>23.739369995029538</v>
      </c>
      <c r="O65" s="2701">
        <f>COS_RB!P123/1000</f>
        <v>14.706663647273832</v>
      </c>
      <c r="P65" s="2701">
        <f>COS_RB!Q123/1000</f>
        <v>92.550062499862406</v>
      </c>
      <c r="Q65" s="2701">
        <f>COS_RB!R123/1000</f>
        <v>10.928828325599891</v>
      </c>
      <c r="R65" s="2701">
        <f>COS_RB!S123/1000</f>
        <v>28.760206220927166</v>
      </c>
      <c r="S65" s="2701">
        <f>COS_RB!T123/1000</f>
        <v>6.5034786372650419</v>
      </c>
      <c r="T65" s="2701">
        <f>COS_RB!U123/1000</f>
        <v>53.598912790237385</v>
      </c>
      <c r="U65" s="2701">
        <f>COS_RB!V123/1000</f>
        <v>99.591250167618739</v>
      </c>
      <c r="V65" s="2701">
        <f>COS_RB!W123/1000</f>
        <v>2.1722070802252302</v>
      </c>
      <c r="W65" s="2701">
        <f>COS_RB!X123/1000</f>
        <v>5.4064200298655871</v>
      </c>
      <c r="X65" s="2701">
        <f>COS_RB!Y123/1000</f>
        <v>0</v>
      </c>
      <c r="Y65" s="2688" t="str">
        <f>COS_RB!G123</f>
        <v>Supervised O&amp;M</v>
      </c>
      <c r="Z65" s="2684"/>
    </row>
    <row r="66" spans="1:31">
      <c r="A66" s="411"/>
      <c r="B66" s="86"/>
      <c r="C66" s="336">
        <f t="shared" si="9"/>
        <v>46</v>
      </c>
      <c r="D66" s="247" t="str">
        <f>COS_RB!D125</f>
        <v>396</v>
      </c>
      <c r="E66" s="247" t="str">
        <f>COS_RB!E125</f>
        <v>POWER OPERATED EQUIP</v>
      </c>
      <c r="F66" s="715">
        <f t="shared" si="10"/>
        <v>368.13391474205827</v>
      </c>
      <c r="G66" s="1893">
        <f>COS_RB!H125/1000</f>
        <v>0</v>
      </c>
      <c r="H66" s="1893">
        <f>COS_RB!I125/1000</f>
        <v>8.4824322077844112</v>
      </c>
      <c r="I66" s="1893">
        <f>COS_RB!J125/1000</f>
        <v>38.436529821779096</v>
      </c>
      <c r="J66" s="1893">
        <f>COS_RB!K125/1000</f>
        <v>58.210773121519829</v>
      </c>
      <c r="K66" s="1893">
        <f>COS_RB!L125/1000</f>
        <v>10.833807615594955</v>
      </c>
      <c r="L66" s="1893">
        <f>COS_RB!M125/1000</f>
        <v>0</v>
      </c>
      <c r="M66" s="1893">
        <f>COS_RB!N125/1000</f>
        <v>0</v>
      </c>
      <c r="N66" s="1893">
        <f>COS_RB!O125/1000</f>
        <v>17.713373853757194</v>
      </c>
      <c r="O66" s="1893">
        <f>COS_RB!P125/1000</f>
        <v>10.973527578034517</v>
      </c>
      <c r="P66" s="1893">
        <f>COS_RB!Q125/1000</f>
        <v>69.057176226323762</v>
      </c>
      <c r="Q66" s="1893">
        <f>COS_RB!R125/1000</f>
        <v>8.1546570930658451</v>
      </c>
      <c r="R66" s="1893">
        <f>COS_RB!S125/1000</f>
        <v>21.459722183406768</v>
      </c>
      <c r="S66" s="1893">
        <f>COS_RB!T125/1000</f>
        <v>4.8526371372078918</v>
      </c>
      <c r="T66" s="1893">
        <f>COS_RB!U125/1000</f>
        <v>39.993377271898481</v>
      </c>
      <c r="U66" s="1893">
        <f>COS_RB!V125/1000</f>
        <v>74.311030459167611</v>
      </c>
      <c r="V66" s="1893">
        <f>COS_RB!W125/1000</f>
        <v>1.62081454174496</v>
      </c>
      <c r="W66" s="1893">
        <f>COS_RB!X125/1000</f>
        <v>4.0340556307729063</v>
      </c>
      <c r="X66" s="1893">
        <f>COS_RB!Y125/1000</f>
        <v>0</v>
      </c>
      <c r="Y66" s="247" t="str">
        <f>COS_RB!G125</f>
        <v>Supervised O&amp;M</v>
      </c>
      <c r="Z66" s="87"/>
      <c r="AA66" s="86"/>
      <c r="AB66" s="86"/>
      <c r="AC66" s="86"/>
      <c r="AD66" s="86"/>
      <c r="AE66" s="86"/>
    </row>
    <row r="67" spans="1:31" s="51" customFormat="1">
      <c r="A67" s="411"/>
      <c r="B67" s="86"/>
      <c r="C67" s="2686">
        <f t="shared" si="9"/>
        <v>47</v>
      </c>
      <c r="D67" s="2688" t="str">
        <f>COS_RB!D126</f>
        <v>397</v>
      </c>
      <c r="E67" s="2688" t="str">
        <f>COS_RB!E126</f>
        <v>COMM EQUIP</v>
      </c>
      <c r="F67" s="2689">
        <f t="shared" si="10"/>
        <v>27377.057722653197</v>
      </c>
      <c r="G67" s="2701">
        <f>COS_RB!H126/1000</f>
        <v>0</v>
      </c>
      <c r="H67" s="2701">
        <f>COS_RB!I126/1000</f>
        <v>630.81402414042668</v>
      </c>
      <c r="I67" s="2701">
        <f>COS_RB!J126/1000</f>
        <v>2858.4138908435862</v>
      </c>
      <c r="J67" s="2701">
        <f>COS_RB!K126/1000</f>
        <v>4328.9673458766747</v>
      </c>
      <c r="K67" s="2701">
        <f>COS_RB!L126/1000</f>
        <v>805.67903301188983</v>
      </c>
      <c r="L67" s="2701">
        <f>COS_RB!M126/1000</f>
        <v>0</v>
      </c>
      <c r="M67" s="2701">
        <f>COS_RB!N126/1000</f>
        <v>0</v>
      </c>
      <c r="N67" s="2701">
        <f>COS_RB!O126/1000</f>
        <v>1317.2925368667311</v>
      </c>
      <c r="O67" s="2701">
        <f>COS_RB!P126/1000</f>
        <v>816.06960373503262</v>
      </c>
      <c r="P67" s="2701">
        <f>COS_RB!Q126/1000</f>
        <v>5135.5830691018555</v>
      </c>
      <c r="Q67" s="2701">
        <f>COS_RB!R126/1000</f>
        <v>606.43833400063897</v>
      </c>
      <c r="R67" s="2701">
        <f>COS_RB!S126/1000</f>
        <v>1595.8976595212021</v>
      </c>
      <c r="S67" s="2701">
        <f>COS_RB!T126/1000</f>
        <v>360.8766312810821</v>
      </c>
      <c r="T67" s="2701">
        <f>COS_RB!U126/1000</f>
        <v>2974.1921465284713</v>
      </c>
      <c r="U67" s="2701">
        <f>COS_RB!V126/1000</f>
        <v>5526.2970588730868</v>
      </c>
      <c r="V67" s="2701">
        <f>COS_RB!W126/1000</f>
        <v>120.53530383952415</v>
      </c>
      <c r="W67" s="2701">
        <f>COS_RB!X126/1000</f>
        <v>300.00108503300174</v>
      </c>
      <c r="X67" s="2701">
        <f>COS_RB!Y126/1000</f>
        <v>0</v>
      </c>
      <c r="Y67" s="2688" t="str">
        <f>COS_RB!G126</f>
        <v>Supervised O&amp;M</v>
      </c>
      <c r="Z67" s="2684"/>
    </row>
    <row r="68" spans="1:31">
      <c r="A68" s="411"/>
      <c r="B68" s="86"/>
      <c r="C68" s="336">
        <f t="shared" si="9"/>
        <v>48</v>
      </c>
      <c r="D68" s="247" t="str">
        <f>COS_RB!D152</f>
        <v>397</v>
      </c>
      <c r="E68" s="247" t="str">
        <f>COS_RB!E152</f>
        <v>WFON-D/VIDEO HEAD END EQUIP</v>
      </c>
      <c r="F68" s="715">
        <f t="shared" si="10"/>
        <v>129.58150000000001</v>
      </c>
      <c r="G68" s="1893">
        <f>COS_RB!H152/1000</f>
        <v>0</v>
      </c>
      <c r="H68" s="1893">
        <f>COS_RB!I152/1000</f>
        <v>6.5697820500000006</v>
      </c>
      <c r="I68" s="1893">
        <f>COS_RB!J152/1000</f>
        <v>36.684522649999998</v>
      </c>
      <c r="J68" s="1893">
        <f>COS_RB!K152/1000</f>
        <v>15.4461148</v>
      </c>
      <c r="K68" s="1893">
        <f>COS_RB!L152/1000</f>
        <v>0</v>
      </c>
      <c r="L68" s="1893">
        <f>COS_RB!M152/1000</f>
        <v>0</v>
      </c>
      <c r="M68" s="1893">
        <f>COS_RB!N152/1000</f>
        <v>0</v>
      </c>
      <c r="N68" s="1893">
        <f>COS_RB!O152/1000</f>
        <v>13.774513450000001</v>
      </c>
      <c r="O68" s="1893">
        <f>COS_RB!P152/1000</f>
        <v>5.0666366500000004</v>
      </c>
      <c r="P68" s="1893">
        <f>COS_RB!Q152/1000</f>
        <v>29.92036835</v>
      </c>
      <c r="Q68" s="1893">
        <f>COS_RB!R152/1000</f>
        <v>4.0688591000000001</v>
      </c>
      <c r="R68" s="1893">
        <f>COS_RB!S152/1000</f>
        <v>10.3924363</v>
      </c>
      <c r="S68" s="1893">
        <f>COS_RB!T152/1000</f>
        <v>3.7708216500000002</v>
      </c>
      <c r="T68" s="1893">
        <f>COS_RB!U152/1000</f>
        <v>2.6305044500000001</v>
      </c>
      <c r="U68" s="1893">
        <f>COS_RB!V152/1000</f>
        <v>0</v>
      </c>
      <c r="V68" s="1893">
        <f>COS_RB!W152/1000</f>
        <v>1.2569405499999999</v>
      </c>
      <c r="W68" s="1893">
        <f>COS_RB!X152/1000</f>
        <v>0</v>
      </c>
      <c r="X68" s="1893">
        <f>COS_RB!Y152/1000</f>
        <v>0</v>
      </c>
      <c r="Y68" s="247" t="str">
        <f>COS_RB!G152</f>
        <v>Total Plant Before Gen Plant</v>
      </c>
      <c r="Z68" s="87"/>
      <c r="AA68" s="86"/>
      <c r="AB68" s="86"/>
      <c r="AC68" s="86"/>
      <c r="AD68" s="86"/>
      <c r="AE68" s="86"/>
    </row>
    <row r="69" spans="1:31" s="51" customFormat="1">
      <c r="A69" s="411"/>
      <c r="B69" s="86"/>
      <c r="C69" s="2686">
        <f t="shared" si="9"/>
        <v>49</v>
      </c>
      <c r="D69" s="2688" t="str">
        <f>COS_RB!D153</f>
        <v>397</v>
      </c>
      <c r="E69" s="2688" t="str">
        <f>COS_RB!E153</f>
        <v>WFON-HUB ELECTRONICS CIRCUIT</v>
      </c>
      <c r="F69" s="2689">
        <f t="shared" si="10"/>
        <v>18516.599720000002</v>
      </c>
      <c r="G69" s="2701">
        <f>COS_RB!H153/1000</f>
        <v>0</v>
      </c>
      <c r="H69" s="2701">
        <f>COS_RB!I153/1000</f>
        <v>938.79160580399991</v>
      </c>
      <c r="I69" s="2701">
        <f>COS_RB!J153/1000</f>
        <v>5242.0493807319999</v>
      </c>
      <c r="J69" s="2701">
        <f>COS_RB!K153/1000</f>
        <v>2207.178686624</v>
      </c>
      <c r="K69" s="2701">
        <f>COS_RB!L153/1000</f>
        <v>0</v>
      </c>
      <c r="L69" s="2701">
        <f>COS_RB!M153/1000</f>
        <v>0</v>
      </c>
      <c r="M69" s="2701">
        <f>COS_RB!N153/1000</f>
        <v>0</v>
      </c>
      <c r="N69" s="2701">
        <f>COS_RB!O153/1000</f>
        <v>1968.3145502360001</v>
      </c>
      <c r="O69" s="2701">
        <f>COS_RB!P153/1000</f>
        <v>723.99904905200003</v>
      </c>
      <c r="P69" s="2701">
        <f>COS_RB!Q153/1000</f>
        <v>4275.4828753479997</v>
      </c>
      <c r="Q69" s="2701">
        <f>COS_RB!R153/1000</f>
        <v>581.42123120799988</v>
      </c>
      <c r="R69" s="2701">
        <f>COS_RB!S153/1000</f>
        <v>1485.0312975439997</v>
      </c>
      <c r="S69" s="2701">
        <f>COS_RB!T153/1000</f>
        <v>538.83305185199993</v>
      </c>
      <c r="T69" s="2701">
        <f>COS_RB!U153/1000</f>
        <v>375.88697431599996</v>
      </c>
      <c r="U69" s="2701">
        <f>COS_RB!V153/1000</f>
        <v>0</v>
      </c>
      <c r="V69" s="2701">
        <f>COS_RB!W153/1000</f>
        <v>179.61101728400001</v>
      </c>
      <c r="W69" s="2701">
        <f>COS_RB!X153/1000</f>
        <v>0</v>
      </c>
      <c r="X69" s="2701">
        <f>COS_RB!Y153/1000</f>
        <v>0</v>
      </c>
      <c r="Y69" s="2688" t="str">
        <f>COS_RB!G153</f>
        <v>Total Plant Before Gen Plant</v>
      </c>
      <c r="Z69" s="2684"/>
    </row>
    <row r="70" spans="1:31">
      <c r="A70" s="411"/>
      <c r="B70" s="86"/>
      <c r="C70" s="336">
        <f t="shared" si="9"/>
        <v>50</v>
      </c>
      <c r="D70" s="247" t="str">
        <f>COS_RB!D154</f>
        <v>397</v>
      </c>
      <c r="E70" s="247" t="str">
        <f>COS_RB!E154</f>
        <v>WFON-FIBER GATEWAYS</v>
      </c>
      <c r="F70" s="715">
        <f t="shared" si="10"/>
        <v>7200.8735999999999</v>
      </c>
      <c r="G70" s="1893">
        <f>COS_RB!H154/1000</f>
        <v>0</v>
      </c>
      <c r="H70" s="1893">
        <f>COS_RB!I154/1000</f>
        <v>365.08429151999997</v>
      </c>
      <c r="I70" s="1893">
        <f>COS_RB!J154/1000</f>
        <v>2038.56731616</v>
      </c>
      <c r="J70" s="1893">
        <f>COS_RB!K154/1000</f>
        <v>858.34413312000004</v>
      </c>
      <c r="K70" s="1893">
        <f>COS_RB!L154/1000</f>
        <v>0</v>
      </c>
      <c r="L70" s="1893">
        <f>COS_RB!M154/1000</f>
        <v>0</v>
      </c>
      <c r="M70" s="1893">
        <f>COS_RB!N154/1000</f>
        <v>0</v>
      </c>
      <c r="N70" s="1893">
        <f>COS_RB!O154/1000</f>
        <v>765.45286367999995</v>
      </c>
      <c r="O70" s="1893">
        <f>COS_RB!P154/1000</f>
        <v>281.55415776000001</v>
      </c>
      <c r="P70" s="1893">
        <f>COS_RB!Q154/1000</f>
        <v>1662.6817142399998</v>
      </c>
      <c r="Q70" s="1893">
        <f>COS_RB!R154/1000</f>
        <v>226.10743103999997</v>
      </c>
      <c r="R70" s="1893">
        <f>COS_RB!S154/1000</f>
        <v>577.51006271999995</v>
      </c>
      <c r="S70" s="1893">
        <f>COS_RB!T154/1000</f>
        <v>209.54542176000001</v>
      </c>
      <c r="T70" s="1893">
        <f>COS_RB!U154/1000</f>
        <v>146.17773407999999</v>
      </c>
      <c r="U70" s="1893">
        <f>COS_RB!V154/1000</f>
        <v>0</v>
      </c>
      <c r="V70" s="1893">
        <f>COS_RB!W154/1000</f>
        <v>69.848473920000004</v>
      </c>
      <c r="W70" s="1893">
        <f>COS_RB!X154/1000</f>
        <v>0</v>
      </c>
      <c r="X70" s="1893">
        <f>COS_RB!Y154/1000</f>
        <v>0</v>
      </c>
      <c r="Y70" s="247" t="str">
        <f>COS_RB!G154</f>
        <v>Total Plant Before Gen Plant</v>
      </c>
      <c r="Z70" s="87"/>
      <c r="AA70" s="86"/>
      <c r="AB70" s="86"/>
      <c r="AC70" s="86"/>
      <c r="AD70" s="86"/>
      <c r="AE70" s="86"/>
    </row>
    <row r="71" spans="1:31" s="51" customFormat="1">
      <c r="A71" s="411"/>
      <c r="B71" s="86"/>
      <c r="C71" s="2686">
        <f t="shared" si="9"/>
        <v>51</v>
      </c>
      <c r="D71" s="2688" t="str">
        <f>COS_RB!D155</f>
        <v>397</v>
      </c>
      <c r="E71" s="2688" t="str">
        <f>COS_RB!E155</f>
        <v>WFON-HUB CABINET</v>
      </c>
      <c r="F71" s="2689">
        <f t="shared" si="10"/>
        <v>12433.95126</v>
      </c>
      <c r="G71" s="2701">
        <f>COS_RB!H155/1000</f>
        <v>0</v>
      </c>
      <c r="H71" s="2701">
        <f>COS_RB!I155/1000</f>
        <v>630.40132888199992</v>
      </c>
      <c r="I71" s="2701">
        <f>COS_RB!J155/1000</f>
        <v>3520.0516017059995</v>
      </c>
      <c r="J71" s="2701">
        <f>COS_RB!K155/1000</f>
        <v>1482.1269901919998</v>
      </c>
      <c r="K71" s="2701">
        <f>COS_RB!L155/1000</f>
        <v>0</v>
      </c>
      <c r="L71" s="2701">
        <f>COS_RB!M155/1000</f>
        <v>0</v>
      </c>
      <c r="M71" s="2701">
        <f>COS_RB!N155/1000</f>
        <v>0</v>
      </c>
      <c r="N71" s="2701">
        <f>COS_RB!O155/1000</f>
        <v>1321.7290189379999</v>
      </c>
      <c r="O71" s="2701">
        <f>COS_RB!P155/1000</f>
        <v>486.16749426599995</v>
      </c>
      <c r="P71" s="2701">
        <f>COS_RB!Q155/1000</f>
        <v>2870.9993459339994</v>
      </c>
      <c r="Q71" s="2701">
        <f>COS_RB!R155/1000</f>
        <v>390.42606956399987</v>
      </c>
      <c r="R71" s="2701">
        <f>COS_RB!S155/1000</f>
        <v>997.20289105199981</v>
      </c>
      <c r="S71" s="2701">
        <f>COS_RB!T155/1000</f>
        <v>361.82798166599997</v>
      </c>
      <c r="T71" s="2701">
        <f>COS_RB!U155/1000</f>
        <v>252.40921057799994</v>
      </c>
      <c r="U71" s="2701">
        <f>COS_RB!V155/1000</f>
        <v>0</v>
      </c>
      <c r="V71" s="2701">
        <f>COS_RB!W155/1000</f>
        <v>120.60932722199998</v>
      </c>
      <c r="W71" s="2701">
        <f>COS_RB!X155/1000</f>
        <v>0</v>
      </c>
      <c r="X71" s="2701">
        <f>COS_RB!Y155/1000</f>
        <v>0</v>
      </c>
      <c r="Y71" s="2688" t="str">
        <f>COS_RB!G155</f>
        <v>Total Plant Before Gen Plant</v>
      </c>
      <c r="Z71" s="2684"/>
    </row>
    <row r="72" spans="1:31">
      <c r="A72" s="411"/>
      <c r="B72" s="86"/>
      <c r="C72" s="336">
        <f>MAX(C67:C71)+1</f>
        <v>52</v>
      </c>
      <c r="D72" s="247" t="str">
        <f>COS_RB!D156</f>
        <v>397</v>
      </c>
      <c r="E72" s="247" t="str">
        <f>COS_RB!E156</f>
        <v>WFON-DEMARCATION</v>
      </c>
      <c r="F72" s="715">
        <f t="shared" si="10"/>
        <v>28412.438889999994</v>
      </c>
      <c r="G72" s="1893">
        <f>COS_RB!H156/1000</f>
        <v>0</v>
      </c>
      <c r="H72" s="1893">
        <f>COS_RB!I156/1000</f>
        <v>1440.5106517229997</v>
      </c>
      <c r="I72" s="1893">
        <f>COS_RB!J156/1000</f>
        <v>8043.5614497589977</v>
      </c>
      <c r="J72" s="1893">
        <f>COS_RB!K156/1000</f>
        <v>3386.7627156879989</v>
      </c>
      <c r="K72" s="1893">
        <f>COS_RB!L156/1000</f>
        <v>0</v>
      </c>
      <c r="L72" s="1893">
        <f>COS_RB!M156/1000</f>
        <v>0</v>
      </c>
      <c r="M72" s="1893">
        <f>COS_RB!N156/1000</f>
        <v>0</v>
      </c>
      <c r="N72" s="1893">
        <f>COS_RB!O156/1000</f>
        <v>3020.2422540069997</v>
      </c>
      <c r="O72" s="1893">
        <f>COS_RB!P156/1000</f>
        <v>1110.9263605989997</v>
      </c>
      <c r="P72" s="1893">
        <f>COS_RB!Q156/1000</f>
        <v>6560.432139700999</v>
      </c>
      <c r="Q72" s="1893">
        <f>COS_RB!R156/1000</f>
        <v>892.15058114599969</v>
      </c>
      <c r="R72" s="1893">
        <f>COS_RB!S156/1000</f>
        <v>2278.6775989779994</v>
      </c>
      <c r="S72" s="1893">
        <f>COS_RB!T156/1000</f>
        <v>826.80197169899986</v>
      </c>
      <c r="T72" s="1893">
        <f>COS_RB!U156/1000</f>
        <v>576.77250946699974</v>
      </c>
      <c r="U72" s="1893">
        <f>COS_RB!V156/1000</f>
        <v>0</v>
      </c>
      <c r="V72" s="1893">
        <f>COS_RB!W156/1000</f>
        <v>275.60065723299994</v>
      </c>
      <c r="W72" s="1893">
        <f>COS_RB!X156/1000</f>
        <v>0</v>
      </c>
      <c r="X72" s="1893">
        <f>COS_RB!Y156/1000</f>
        <v>0</v>
      </c>
      <c r="Y72" s="247" t="str">
        <f>COS_RB!G156</f>
        <v>Total Plant Before Gen Plant</v>
      </c>
      <c r="Z72" s="87"/>
      <c r="AA72" s="86"/>
      <c r="AB72" s="86"/>
      <c r="AC72" s="86"/>
      <c r="AD72" s="86"/>
      <c r="AE72" s="86"/>
    </row>
    <row r="73" spans="1:31" s="51" customFormat="1">
      <c r="A73" s="411"/>
      <c r="B73" s="86"/>
      <c r="C73" s="2686">
        <f>MAX(C67:C71)+1</f>
        <v>52</v>
      </c>
      <c r="D73" s="2688" t="str">
        <f>COS_RB!D157</f>
        <v>397</v>
      </c>
      <c r="E73" s="2688" t="str">
        <f>COS_RB!E157</f>
        <v>WFON-AERIAL CABLE</v>
      </c>
      <c r="F73" s="2689">
        <f t="shared" si="10"/>
        <v>35717.91186</v>
      </c>
      <c r="G73" s="2701">
        <f>COS_RB!H157/1000</f>
        <v>0</v>
      </c>
      <c r="H73" s="2701">
        <f>COS_RB!I157/1000</f>
        <v>1810.8981313019995</v>
      </c>
      <c r="I73" s="2701">
        <f>COS_RB!J157/1000</f>
        <v>10111.740847566</v>
      </c>
      <c r="J73" s="2701">
        <f>COS_RB!K157/1000</f>
        <v>4257.5750937119992</v>
      </c>
      <c r="K73" s="2701">
        <f>COS_RB!L157/1000</f>
        <v>0</v>
      </c>
      <c r="L73" s="2701">
        <f>COS_RB!M157/1000</f>
        <v>0</v>
      </c>
      <c r="M73" s="2701">
        <f>COS_RB!N157/1000</f>
        <v>0</v>
      </c>
      <c r="N73" s="2701">
        <f>COS_RB!O157/1000</f>
        <v>3796.8140307179992</v>
      </c>
      <c r="O73" s="2701">
        <f>COS_RB!P157/1000</f>
        <v>1396.5703537259999</v>
      </c>
      <c r="P73" s="2701">
        <f>COS_RB!Q157/1000</f>
        <v>8247.2658484739986</v>
      </c>
      <c r="Q73" s="2701">
        <f>COS_RB!R157/1000</f>
        <v>1121.5424324039996</v>
      </c>
      <c r="R73" s="2701">
        <f>COS_RB!S157/1000</f>
        <v>2864.5765311719988</v>
      </c>
      <c r="S73" s="2701">
        <f>COS_RB!T157/1000</f>
        <v>1039.3912351259999</v>
      </c>
      <c r="T73" s="2701">
        <f>COS_RB!U157/1000</f>
        <v>725.07361075799986</v>
      </c>
      <c r="U73" s="2701">
        <f>COS_RB!V157/1000</f>
        <v>0</v>
      </c>
      <c r="V73" s="2701">
        <f>COS_RB!W157/1000</f>
        <v>346.46374504199991</v>
      </c>
      <c r="W73" s="2701">
        <f>COS_RB!X157/1000</f>
        <v>0</v>
      </c>
      <c r="X73" s="2701">
        <f>COS_RB!Y157/1000</f>
        <v>0</v>
      </c>
      <c r="Y73" s="2688" t="str">
        <f>COS_RB!G157</f>
        <v>Total Plant Before Gen Plant</v>
      </c>
      <c r="Z73" s="2684"/>
    </row>
    <row r="74" spans="1:31">
      <c r="A74" s="411"/>
      <c r="B74" s="86"/>
      <c r="C74" s="336">
        <f>MAX(C68:C72)+1</f>
        <v>53</v>
      </c>
      <c r="D74" s="247" t="str">
        <f>COS_RB!D158</f>
        <v>397</v>
      </c>
      <c r="E74" s="247" t="str">
        <f>COS_RB!E158</f>
        <v>WFON-UNDERGROUND CABLE</v>
      </c>
      <c r="F74" s="715">
        <f>SUM(G74:W74)</f>
        <v>53109.602830000003</v>
      </c>
      <c r="G74" s="1894">
        <f>COS_RB!H158/1000</f>
        <v>0</v>
      </c>
      <c r="H74" s="1894">
        <f>COS_RB!I158/1000</f>
        <v>2692.6568634810005</v>
      </c>
      <c r="I74" s="1894">
        <f>COS_RB!J158/1000</f>
        <v>15035.328561173003</v>
      </c>
      <c r="J74" s="1894">
        <f>COS_RB!K158/1000</f>
        <v>6330.6646573360003</v>
      </c>
      <c r="K74" s="1894">
        <f>COS_RB!L158/1000</f>
        <v>0</v>
      </c>
      <c r="L74" s="1894">
        <f>COS_RB!M158/1000</f>
        <v>0</v>
      </c>
      <c r="M74" s="1894">
        <f>COS_RB!N158/1000</f>
        <v>0</v>
      </c>
      <c r="N74" s="1894">
        <f>COS_RB!O158/1000</f>
        <v>5645.5507808290013</v>
      </c>
      <c r="O74" s="1894">
        <f>COS_RB!P158/1000</f>
        <v>2076.5854706530004</v>
      </c>
      <c r="P74" s="1894">
        <f>COS_RB!Q158/1000</f>
        <v>12263.007293447001</v>
      </c>
      <c r="Q74" s="1894">
        <f>COS_RB!R158/1000</f>
        <v>1667.6415288620001</v>
      </c>
      <c r="R74" s="1894">
        <f>COS_RB!S158/1000</f>
        <v>4259.3901469660004</v>
      </c>
      <c r="S74" s="1894">
        <f>COS_RB!T158/1000</f>
        <v>1545.4894423530002</v>
      </c>
      <c r="T74" s="1894">
        <f>COS_RB!U158/1000</f>
        <v>1078.1249374490001</v>
      </c>
      <c r="U74" s="1894">
        <f>COS_RB!V158/1000</f>
        <v>0</v>
      </c>
      <c r="V74" s="1894">
        <f>COS_RB!W158/1000</f>
        <v>515.1631474510001</v>
      </c>
      <c r="W74" s="1894">
        <f>COS_RB!X158/1000</f>
        <v>0</v>
      </c>
      <c r="X74" s="1894">
        <f>COS_RB!Y158/1000</f>
        <v>0</v>
      </c>
      <c r="Y74" s="247" t="str">
        <f>COS_RB!G158</f>
        <v>Total Plant Before Gen Plant</v>
      </c>
      <c r="Z74" s="87"/>
      <c r="AA74" s="86"/>
      <c r="AB74" s="86"/>
      <c r="AC74" s="86"/>
      <c r="AD74" s="86"/>
      <c r="AE74" s="86"/>
    </row>
    <row r="75" spans="1:31" s="51" customFormat="1">
      <c r="A75" s="411"/>
      <c r="B75" s="86"/>
      <c r="C75" s="2686">
        <f>MAX(C68:C72)+1</f>
        <v>53</v>
      </c>
      <c r="D75" s="2688" t="str">
        <f>COS_RB!D163</f>
        <v>398</v>
      </c>
      <c r="E75" s="2688" t="str">
        <f>COS_RB!E163</f>
        <v>MISC EQUIP</v>
      </c>
      <c r="F75" s="2691">
        <f t="shared" si="10"/>
        <v>1485.8866991402124</v>
      </c>
      <c r="G75" s="2702">
        <f>COS_RB!H163/1000</f>
        <v>0</v>
      </c>
      <c r="H75" s="2702">
        <f>COS_RB!I163/1000</f>
        <v>34.237359529172004</v>
      </c>
      <c r="I75" s="2702">
        <f>COS_RB!J163/1000</f>
        <v>155.14008934304459</v>
      </c>
      <c r="J75" s="2702">
        <f>COS_RB!K163/1000</f>
        <v>234.95421112868507</v>
      </c>
      <c r="K75" s="2702">
        <f>COS_RB!L163/1000</f>
        <v>43.728138029162011</v>
      </c>
      <c r="L75" s="2702">
        <f>COS_RB!M163/1000</f>
        <v>0</v>
      </c>
      <c r="M75" s="2702">
        <f>COS_RB!N163/1000</f>
        <v>0</v>
      </c>
      <c r="N75" s="2702">
        <f>COS_RB!O163/1000</f>
        <v>71.495902855453025</v>
      </c>
      <c r="O75" s="2702">
        <f>COS_RB!P163/1000</f>
        <v>44.292085075276411</v>
      </c>
      <c r="P75" s="2702">
        <f>COS_RB!Q163/1000</f>
        <v>278.73318791280906</v>
      </c>
      <c r="Q75" s="2702">
        <f>COS_RB!R163/1000</f>
        <v>32.914371714776458</v>
      </c>
      <c r="R75" s="2702">
        <f>COS_RB!S163/1000</f>
        <v>86.617164250977666</v>
      </c>
      <c r="S75" s="2702">
        <f>COS_RB!T163/1000</f>
        <v>19.586538184028036</v>
      </c>
      <c r="T75" s="2702">
        <f>COS_RB!U163/1000</f>
        <v>161.42394102333222</v>
      </c>
      <c r="U75" s="2702">
        <f>COS_RB!V163/1000</f>
        <v>299.93914534075782</v>
      </c>
      <c r="V75" s="2702">
        <f>COS_RB!W163/1000</f>
        <v>6.5420399287018682</v>
      </c>
      <c r="W75" s="2702">
        <f>COS_RB!X163/1000</f>
        <v>16.282524824036066</v>
      </c>
      <c r="X75" s="2702">
        <f>COS_RB!Y163/1000</f>
        <v>0</v>
      </c>
      <c r="Y75" s="2688" t="str">
        <f>COS_RB!G163</f>
        <v>Supervised O&amp;M</v>
      </c>
      <c r="Z75" s="2684"/>
    </row>
    <row r="76" spans="1:31">
      <c r="A76" s="411"/>
      <c r="B76" s="86"/>
      <c r="C76" s="336">
        <f>MAX(C69:C75)+1</f>
        <v>54</v>
      </c>
      <c r="D76" s="165"/>
      <c r="E76" s="253" t="s">
        <v>426</v>
      </c>
      <c r="F76" s="718">
        <f t="shared" ref="F76:X76" si="11">SUM(F58:F75)</f>
        <v>258595.29287773554</v>
      </c>
      <c r="G76" s="718">
        <f t="shared" si="11"/>
        <v>0</v>
      </c>
      <c r="H76" s="718">
        <f t="shared" si="11"/>
        <v>10259.92079410889</v>
      </c>
      <c r="I76" s="718">
        <f t="shared" si="11"/>
        <v>54789.881793261113</v>
      </c>
      <c r="J76" s="718">
        <f t="shared" si="11"/>
        <v>34836.614733802504</v>
      </c>
      <c r="K76" s="718">
        <f t="shared" si="11"/>
        <v>3033.3730511330618</v>
      </c>
      <c r="L76" s="718">
        <f>SUM(L58:L75)</f>
        <v>0</v>
      </c>
      <c r="M76" s="718">
        <f>SUM(M58:M75)</f>
        <v>0</v>
      </c>
      <c r="N76" s="718">
        <f>SUM(N58:N75)</f>
        <v>21491.470502247754</v>
      </c>
      <c r="O76" s="718">
        <f t="shared" si="11"/>
        <v>9153.3629628848666</v>
      </c>
      <c r="P76" s="718">
        <f t="shared" si="11"/>
        <v>55245.205607718934</v>
      </c>
      <c r="Q76" s="718">
        <f t="shared" si="11"/>
        <v>7166.5920567075082</v>
      </c>
      <c r="R76" s="718">
        <f t="shared" si="11"/>
        <v>18481.31879978138</v>
      </c>
      <c r="S76" s="718">
        <f t="shared" si="11"/>
        <v>5884.3566319386837</v>
      </c>
      <c r="T76" s="718">
        <f t="shared" si="11"/>
        <v>14354.87750462158</v>
      </c>
      <c r="U76" s="718">
        <f t="shared" si="11"/>
        <v>20806.45006768364</v>
      </c>
      <c r="V76" s="718">
        <f t="shared" si="11"/>
        <v>1962.3674547771557</v>
      </c>
      <c r="W76" s="718">
        <f t="shared" si="11"/>
        <v>1129.5009170684923</v>
      </c>
      <c r="X76" s="718">
        <f t="shared" si="11"/>
        <v>0</v>
      </c>
      <c r="Y76" s="256"/>
      <c r="Z76" s="87"/>
      <c r="AA76" s="86"/>
      <c r="AB76" s="86"/>
      <c r="AC76" s="86"/>
      <c r="AD76" s="86"/>
      <c r="AE76" s="86"/>
    </row>
    <row r="77" spans="1:31" s="51" customFormat="1">
      <c r="A77" s="411"/>
      <c r="B77" s="86"/>
      <c r="C77" s="2686"/>
      <c r="D77" s="2684"/>
      <c r="E77" s="61"/>
      <c r="F77" s="2693"/>
      <c r="G77" s="2693"/>
      <c r="H77" s="2693"/>
      <c r="I77" s="2693"/>
      <c r="J77" s="2693"/>
      <c r="K77" s="2693"/>
      <c r="L77" s="2693"/>
      <c r="M77" s="2693"/>
      <c r="N77" s="2693"/>
      <c r="O77" s="2693"/>
      <c r="P77" s="2693"/>
      <c r="Q77" s="2693"/>
      <c r="R77" s="2693"/>
      <c r="S77" s="2693"/>
      <c r="T77" s="2693"/>
      <c r="U77" s="2693"/>
      <c r="V77" s="2693"/>
      <c r="W77" s="2693"/>
      <c r="X77" s="2693"/>
      <c r="Y77" s="2694"/>
      <c r="Z77" s="2684"/>
    </row>
    <row r="78" spans="1:31" ht="16.5" thickBot="1">
      <c r="A78" s="411"/>
      <c r="B78" s="86"/>
      <c r="C78" s="336">
        <f>MAX(C71:C77)+1</f>
        <v>55</v>
      </c>
      <c r="D78" s="17"/>
      <c r="E78" s="206" t="s">
        <v>109</v>
      </c>
      <c r="F78" s="721">
        <f>SUM(F22,F35,F53,F76)</f>
        <v>986792.87197788735</v>
      </c>
      <c r="G78" s="721">
        <f>SUM(G22,G35,G53,G76)</f>
        <v>0</v>
      </c>
      <c r="H78" s="721">
        <f>SUM(H22,H35,H53,H76)</f>
        <v>44636.506286419833</v>
      </c>
      <c r="I78" s="721">
        <f>SUM(I22,I35,I53,I76)</f>
        <v>246400.7669856447</v>
      </c>
      <c r="J78" s="721">
        <f>SUM(J22,J35,J53,J76)</f>
        <v>116202.99400857554</v>
      </c>
      <c r="K78" s="721">
        <f t="shared" ref="K78:X78" si="12">SUM(K22,K35,K53,K76)</f>
        <v>50814.787461057575</v>
      </c>
      <c r="L78" s="721">
        <f>SUM(L22,L35,L53,L76)</f>
        <v>0</v>
      </c>
      <c r="M78" s="721">
        <f>SUM(M22,M35,M53,M76)</f>
        <v>0</v>
      </c>
      <c r="N78" s="721">
        <f>SUM(N22,N35,N53,N76)</f>
        <v>93504.825573140566</v>
      </c>
      <c r="O78" s="721">
        <f t="shared" si="12"/>
        <v>35690.288305517759</v>
      </c>
      <c r="P78" s="721">
        <f t="shared" si="12"/>
        <v>212156.05451909435</v>
      </c>
      <c r="Q78" s="721">
        <f t="shared" si="12"/>
        <v>28505.602423460405</v>
      </c>
      <c r="R78" s="721">
        <f t="shared" si="12"/>
        <v>72967.155892551818</v>
      </c>
      <c r="S78" s="721">
        <f t="shared" si="12"/>
        <v>25620.694060711274</v>
      </c>
      <c r="T78" s="721">
        <f t="shared" si="12"/>
        <v>28659.232428500258</v>
      </c>
      <c r="U78" s="721">
        <f t="shared" si="12"/>
        <v>21905.776441847484</v>
      </c>
      <c r="V78" s="721">
        <f t="shared" si="12"/>
        <v>8539.0085387318741</v>
      </c>
      <c r="W78" s="721">
        <f t="shared" si="12"/>
        <v>1189.1790526339737</v>
      </c>
      <c r="X78" s="721">
        <f t="shared" si="12"/>
        <v>0</v>
      </c>
      <c r="Y78" s="256"/>
      <c r="Z78" s="87"/>
      <c r="AA78" s="86"/>
      <c r="AB78" s="86"/>
      <c r="AC78" s="86"/>
      <c r="AD78" s="86"/>
      <c r="AE78" s="86"/>
    </row>
    <row r="79" spans="1:31" s="51" customFormat="1" ht="5.0999999999999996" customHeight="1" thickTop="1">
      <c r="A79" s="411"/>
      <c r="B79" s="86"/>
      <c r="C79" s="2686"/>
      <c r="D79" s="2684"/>
      <c r="E79" s="61"/>
      <c r="F79" s="2703"/>
      <c r="G79" s="2703"/>
      <c r="H79" s="2703"/>
      <c r="I79" s="2703"/>
      <c r="J79" s="2703"/>
      <c r="K79" s="2703"/>
      <c r="L79" s="2703"/>
      <c r="M79" s="2703"/>
      <c r="N79" s="2703"/>
      <c r="O79" s="2703"/>
      <c r="P79" s="2703"/>
      <c r="Q79" s="2703"/>
      <c r="R79" s="2703"/>
      <c r="S79" s="2703"/>
      <c r="T79" s="2703"/>
      <c r="U79" s="2703"/>
      <c r="V79" s="2703"/>
      <c r="W79" s="2703"/>
      <c r="X79" s="2703"/>
      <c r="Y79" s="2703"/>
      <c r="Z79" s="2684"/>
    </row>
    <row r="80" spans="1:31">
      <c r="A80" s="411"/>
      <c r="B80" s="86"/>
      <c r="C80" s="336"/>
      <c r="D80" s="17"/>
      <c r="E80" s="206"/>
      <c r="F80" s="17"/>
      <c r="G80" s="17"/>
      <c r="H80" s="17"/>
      <c r="I80" s="17"/>
      <c r="J80" s="17"/>
      <c r="K80" s="17"/>
      <c r="L80" s="17"/>
      <c r="M80" s="17"/>
      <c r="N80" s="17"/>
      <c r="O80" s="17"/>
      <c r="P80" s="17"/>
      <c r="Q80" s="17"/>
      <c r="R80" s="17"/>
      <c r="S80" s="17"/>
      <c r="T80" s="17"/>
      <c r="U80" s="17"/>
      <c r="V80" s="17"/>
      <c r="W80" s="17"/>
      <c r="X80" s="17"/>
      <c r="Y80" s="17"/>
      <c r="Z80" s="20"/>
    </row>
    <row r="81" spans="1:26" hidden="1">
      <c r="A81" s="411"/>
      <c r="C81" s="336"/>
      <c r="D81" s="17"/>
      <c r="E81" s="17"/>
      <c r="F81" s="17"/>
      <c r="G81" s="17"/>
      <c r="H81" s="17"/>
      <c r="I81" s="17"/>
      <c r="J81" s="17"/>
      <c r="K81" s="17"/>
      <c r="L81" s="17"/>
      <c r="M81" s="17"/>
      <c r="N81" s="17"/>
      <c r="O81" s="17"/>
      <c r="P81" s="17"/>
      <c r="Q81" s="17"/>
      <c r="R81" s="17"/>
      <c r="S81" s="17"/>
      <c r="T81" s="17"/>
      <c r="U81" s="17"/>
      <c r="V81" s="17"/>
      <c r="W81" s="17"/>
      <c r="X81" s="17"/>
      <c r="Y81" s="17"/>
      <c r="Z81" s="20"/>
    </row>
    <row r="82" spans="1:26" hidden="1">
      <c r="A82" s="411"/>
      <c r="Z82" s="20"/>
    </row>
    <row r="83" spans="1:26" hidden="1">
      <c r="A83" s="411"/>
      <c r="Z83" s="20"/>
    </row>
    <row r="84" spans="1:26" hidden="1">
      <c r="A84" s="411"/>
      <c r="Z84" s="20"/>
    </row>
    <row r="85" spans="1:26" hidden="1">
      <c r="A85" s="411"/>
      <c r="Z85" s="20"/>
    </row>
    <row r="86" spans="1:26" hidden="1">
      <c r="A86" s="411"/>
      <c r="Z86" s="20"/>
    </row>
    <row r="87" spans="1:26" hidden="1">
      <c r="A87" s="411"/>
      <c r="Z87" s="20"/>
    </row>
    <row r="88" spans="1:26" hidden="1">
      <c r="A88" s="411"/>
      <c r="Z88" s="20"/>
    </row>
    <row r="89" spans="1:26" hidden="1">
      <c r="A89" s="411"/>
      <c r="Z89" s="20"/>
    </row>
    <row r="90" spans="1:26" hidden="1">
      <c r="A90" s="411"/>
      <c r="Z90" s="20"/>
    </row>
    <row r="91" spans="1:26" hidden="1">
      <c r="A91" s="411"/>
      <c r="Z91" s="20"/>
    </row>
    <row r="92" spans="1:26" hidden="1">
      <c r="A92" s="411"/>
      <c r="Z92" s="20"/>
    </row>
    <row r="93" spans="1:26" hidden="1">
      <c r="A93" s="411"/>
      <c r="Z93" s="20"/>
    </row>
    <row r="94" spans="1:26" hidden="1">
      <c r="A94" s="411"/>
      <c r="Z94" s="20"/>
    </row>
    <row r="95" spans="1:26" hidden="1">
      <c r="A95" s="411"/>
      <c r="Z95" s="20"/>
    </row>
    <row r="96" spans="1:26" hidden="1">
      <c r="Z96" s="20"/>
    </row>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sheetData>
  <mergeCells count="10">
    <mergeCell ref="C2:Y2"/>
    <mergeCell ref="C1:Y1"/>
    <mergeCell ref="J7:P7"/>
    <mergeCell ref="O9:P9"/>
    <mergeCell ref="Q9:R9"/>
    <mergeCell ref="C3:Y3"/>
    <mergeCell ref="C4:Y4"/>
    <mergeCell ref="J8:P8"/>
    <mergeCell ref="Q8:T8"/>
    <mergeCell ref="G8:H8"/>
  </mergeCells>
  <phoneticPr fontId="8" type="noConversion"/>
  <pageMargins left="0.25" right="0.25" top="0.5" bottom="0.5" header="0.25" footer="0.25"/>
  <pageSetup paperSize="17" scale="62" orientation="landscape" r:id="rId1"/>
  <headerFooter alignWithMargins="0">
    <oddFooter>&amp;L&amp;"Times New Roman,Bold Italic"Black &amp; Veatch Corporation&amp;C&amp;"Times New Roman,Bold Italic"Date: &amp;D&amp;R&amp;"Times New Roman,Bold Italic"Page: &amp;P of &amp;N</oddFooter>
  </headerFooter>
  <rowBreaks count="1" manualBreakCount="1">
    <brk id="79" min="2" max="25"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FF00"/>
  </sheetPr>
  <dimension ref="A1:BD65"/>
  <sheetViews>
    <sheetView showGridLines="0" zoomScale="70" zoomScaleNormal="70" workbookViewId="0">
      <pane xSplit="4" ySplit="11" topLeftCell="E12" activePane="bottomRight" state="frozen"/>
      <selection activeCell="D11" sqref="D11"/>
      <selection pane="topRight" activeCell="D11" sqref="D11"/>
      <selection pane="bottomLeft" activeCell="D11" sqref="D11"/>
      <selection pane="bottomRight" activeCell="E12" sqref="E12"/>
    </sheetView>
  </sheetViews>
  <sheetFormatPr defaultColWidth="0" defaultRowHeight="15.75"/>
  <cols>
    <col min="1" max="1" width="22.625" customWidth="1"/>
    <col min="2" max="2" width="2" customWidth="1"/>
    <col min="3" max="3" width="6.25" bestFit="1" customWidth="1"/>
    <col min="4" max="4" width="38" bestFit="1" customWidth="1"/>
    <col min="5" max="5" width="14.75" bestFit="1" customWidth="1"/>
    <col min="6" max="6" width="12.375" bestFit="1" customWidth="1"/>
    <col min="7" max="8" width="13.625" bestFit="1" customWidth="1"/>
    <col min="9" max="9" width="12.875" bestFit="1" customWidth="1"/>
    <col min="10" max="12" width="12.875" customWidth="1"/>
    <col min="13" max="13" width="13.25" bestFit="1" customWidth="1"/>
    <col min="14" max="14" width="12.375" bestFit="1" customWidth="1"/>
    <col min="15" max="15" width="13.25" bestFit="1" customWidth="1"/>
    <col min="16" max="18" width="12.375" bestFit="1" customWidth="1"/>
    <col min="19" max="19" width="12" bestFit="1" customWidth="1"/>
    <col min="20" max="20" width="12.375" bestFit="1" customWidth="1"/>
    <col min="21" max="21" width="10.5" bestFit="1" customWidth="1"/>
    <col min="22" max="22" width="12.375" bestFit="1" customWidth="1"/>
    <col min="23" max="23" width="9.125" bestFit="1" customWidth="1"/>
    <col min="24" max="24" width="1.75" hidden="1" customWidth="1"/>
    <col min="25" max="51" width="16.625" hidden="1" customWidth="1"/>
    <col min="52" max="56" width="16.625" hidden="1"/>
  </cols>
  <sheetData>
    <row r="1" spans="1:27" ht="18.75">
      <c r="A1" s="411"/>
      <c r="C1" s="4551" t="s">
        <v>497</v>
      </c>
      <c r="D1" s="4551"/>
      <c r="E1" s="4551"/>
      <c r="F1" s="4551"/>
      <c r="G1" s="4551"/>
      <c r="H1" s="4551"/>
      <c r="I1" s="4551"/>
      <c r="J1" s="4551"/>
      <c r="K1" s="4551"/>
      <c r="L1" s="4551"/>
      <c r="M1" s="4551"/>
      <c r="N1" s="4551"/>
      <c r="O1" s="4551"/>
      <c r="P1" s="4551"/>
      <c r="Q1" s="4551"/>
      <c r="R1" s="4551"/>
      <c r="S1" s="4551"/>
      <c r="T1" s="4551"/>
      <c r="U1" s="4551"/>
      <c r="V1" s="4551"/>
      <c r="W1" s="4565"/>
    </row>
    <row r="2" spans="1:27" ht="18.75">
      <c r="A2" s="411"/>
      <c r="C2" s="4551" t="str">
        <f>Client</f>
        <v>Grant County Public Utility District</v>
      </c>
      <c r="D2" s="4551"/>
      <c r="E2" s="4551"/>
      <c r="F2" s="4551"/>
      <c r="G2" s="4551"/>
      <c r="H2" s="4551"/>
      <c r="I2" s="4551"/>
      <c r="J2" s="4551"/>
      <c r="K2" s="4551"/>
      <c r="L2" s="4551"/>
      <c r="M2" s="4551"/>
      <c r="N2" s="4551"/>
      <c r="O2" s="4551"/>
      <c r="P2" s="4551"/>
      <c r="Q2" s="4551"/>
      <c r="R2" s="4551"/>
      <c r="S2" s="4551"/>
      <c r="T2" s="4551"/>
      <c r="U2" s="4551"/>
      <c r="V2" s="4551"/>
      <c r="W2" s="4565"/>
    </row>
    <row r="3" spans="1:27" ht="18.75">
      <c r="A3" s="411"/>
      <c r="C3" s="4551" t="s">
        <v>527</v>
      </c>
      <c r="D3" s="4551"/>
      <c r="E3" s="4551"/>
      <c r="F3" s="4551"/>
      <c r="G3" s="4551"/>
      <c r="H3" s="4551"/>
      <c r="I3" s="4551"/>
      <c r="J3" s="4551"/>
      <c r="K3" s="4551"/>
      <c r="L3" s="4551"/>
      <c r="M3" s="4551"/>
      <c r="N3" s="4551"/>
      <c r="O3" s="4551"/>
      <c r="P3" s="4551"/>
      <c r="Q3" s="4551"/>
      <c r="R3" s="4551"/>
      <c r="S3" s="4551"/>
      <c r="T3" s="4551"/>
      <c r="U3" s="4551"/>
      <c r="V3" s="4551"/>
      <c r="W3" s="4565"/>
    </row>
    <row r="4" spans="1:27" ht="18.75">
      <c r="A4" s="411"/>
      <c r="C4" s="4551"/>
      <c r="D4" s="4551"/>
      <c r="E4" s="4551"/>
      <c r="F4" s="4551"/>
      <c r="G4" s="4551"/>
      <c r="H4" s="4551"/>
      <c r="I4" s="4551"/>
      <c r="J4" s="4551"/>
      <c r="K4" s="4551"/>
      <c r="L4" s="4551"/>
      <c r="M4" s="4551"/>
      <c r="N4" s="4551"/>
      <c r="O4" s="4551"/>
      <c r="P4" s="4551"/>
      <c r="Q4" s="4551"/>
      <c r="R4" s="4551"/>
      <c r="S4" s="4551"/>
      <c r="T4" s="4551"/>
      <c r="U4" s="4551"/>
      <c r="V4" s="4551"/>
      <c r="W4" s="4565"/>
    </row>
    <row r="5" spans="1:27">
      <c r="A5" s="411"/>
      <c r="C5" s="2704"/>
      <c r="D5" s="2705"/>
      <c r="E5" s="2705"/>
      <c r="F5" s="2705"/>
      <c r="G5" s="2705"/>
      <c r="H5" s="2705"/>
      <c r="I5" s="2705"/>
      <c r="J5" s="2705"/>
      <c r="K5" s="2705"/>
      <c r="L5" s="2705"/>
      <c r="M5" s="2705"/>
      <c r="N5" s="2705"/>
      <c r="O5" s="2705"/>
      <c r="P5" s="2705"/>
      <c r="Q5" s="2705"/>
      <c r="R5" s="2705"/>
      <c r="S5" s="2705"/>
      <c r="T5" s="2705"/>
      <c r="U5" s="2705"/>
      <c r="V5" s="2705"/>
      <c r="W5" s="2705"/>
    </row>
    <row r="6" spans="1:27" s="2" customFormat="1">
      <c r="A6" s="518"/>
      <c r="C6" s="84"/>
      <c r="D6" s="2770"/>
      <c r="E6" s="2579" t="s">
        <v>674</v>
      </c>
      <c r="F6" s="2579" t="s">
        <v>155</v>
      </c>
      <c r="G6" s="2579" t="s">
        <v>675</v>
      </c>
      <c r="H6" s="2579" t="s">
        <v>676</v>
      </c>
      <c r="I6" s="2579" t="s">
        <v>677</v>
      </c>
      <c r="J6" s="2579" t="s">
        <v>140</v>
      </c>
      <c r="K6" s="2579" t="s">
        <v>141</v>
      </c>
      <c r="L6" s="2579" t="s">
        <v>142</v>
      </c>
      <c r="M6" s="2579" t="s">
        <v>143</v>
      </c>
      <c r="N6" s="2579" t="s">
        <v>145</v>
      </c>
      <c r="O6" s="2579" t="s">
        <v>146</v>
      </c>
      <c r="P6" s="2579" t="s">
        <v>147</v>
      </c>
      <c r="Q6" s="2579" t="s">
        <v>148</v>
      </c>
      <c r="R6" s="2579" t="s">
        <v>149</v>
      </c>
      <c r="S6" s="2579" t="s">
        <v>150</v>
      </c>
      <c r="T6" s="2579" t="s">
        <v>151</v>
      </c>
      <c r="U6" s="2579" t="s">
        <v>153</v>
      </c>
      <c r="V6" s="2579" t="s">
        <v>154</v>
      </c>
      <c r="W6" s="2579" t="s">
        <v>449</v>
      </c>
      <c r="X6" s="489" t="s">
        <v>450</v>
      </c>
    </row>
    <row r="7" spans="1:27" s="2" customFormat="1">
      <c r="A7" s="518"/>
      <c r="C7" s="3095"/>
      <c r="D7" s="3095"/>
      <c r="E7" s="3191"/>
      <c r="F7" s="3204"/>
      <c r="G7" s="3205"/>
      <c r="H7" s="3191"/>
      <c r="I7" s="4559" t="s">
        <v>601</v>
      </c>
      <c r="J7" s="4559"/>
      <c r="K7" s="4559"/>
      <c r="L7" s="4559"/>
      <c r="M7" s="4559"/>
      <c r="N7" s="4559"/>
      <c r="O7" s="4559"/>
      <c r="P7" s="3204"/>
      <c r="Q7" s="3206"/>
      <c r="R7" s="3206"/>
      <c r="S7" s="3205"/>
      <c r="T7" s="3195"/>
      <c r="U7" s="3207"/>
      <c r="V7" s="3208"/>
      <c r="W7" s="3208"/>
    </row>
    <row r="8" spans="1:27" s="2" customFormat="1">
      <c r="A8" s="518"/>
      <c r="C8" s="3095"/>
      <c r="D8" s="3095"/>
      <c r="E8" s="3192"/>
      <c r="F8" s="4564" t="s">
        <v>609</v>
      </c>
      <c r="G8" s="4564"/>
      <c r="H8" s="3193" t="s">
        <v>600</v>
      </c>
      <c r="I8" s="4559" t="s">
        <v>168</v>
      </c>
      <c r="J8" s="4559"/>
      <c r="K8" s="4559"/>
      <c r="L8" s="4559"/>
      <c r="M8" s="4559"/>
      <c r="N8" s="4559"/>
      <c r="O8" s="4559"/>
      <c r="P8" s="4561" t="s">
        <v>606</v>
      </c>
      <c r="Q8" s="4561"/>
      <c r="R8" s="4561"/>
      <c r="S8" s="4561"/>
      <c r="T8" s="3196" t="s">
        <v>169</v>
      </c>
      <c r="U8" s="3210"/>
      <c r="V8" s="3211"/>
      <c r="W8" s="3211"/>
    </row>
    <row r="9" spans="1:27" s="2" customFormat="1">
      <c r="A9" s="518"/>
      <c r="C9" s="3099"/>
      <c r="D9" s="3099"/>
      <c r="E9" s="3198"/>
      <c r="F9" s="3198"/>
      <c r="G9" s="3198"/>
      <c r="H9" s="3198"/>
      <c r="I9" s="3199"/>
      <c r="J9" s="3199" t="s">
        <v>170</v>
      </c>
      <c r="K9" s="3199" t="s">
        <v>2988</v>
      </c>
      <c r="L9" s="3199" t="s">
        <v>2989</v>
      </c>
      <c r="M9" s="3198" t="s">
        <v>867</v>
      </c>
      <c r="N9" s="4559" t="s">
        <v>857</v>
      </c>
      <c r="O9" s="4559"/>
      <c r="P9" s="4559" t="s">
        <v>858</v>
      </c>
      <c r="Q9" s="4559"/>
      <c r="R9" s="3195"/>
      <c r="S9" s="3195"/>
      <c r="T9" s="3198" t="s">
        <v>173</v>
      </c>
      <c r="U9" s="3198" t="s">
        <v>174</v>
      </c>
      <c r="V9" s="3198" t="s">
        <v>103</v>
      </c>
      <c r="W9" s="3198" t="s">
        <v>176</v>
      </c>
    </row>
    <row r="10" spans="1:27" s="2" customFormat="1">
      <c r="A10" s="518"/>
      <c r="C10" s="3102" t="s">
        <v>867</v>
      </c>
      <c r="D10" s="3102" t="s">
        <v>118</v>
      </c>
      <c r="E10" s="3196" t="s">
        <v>602</v>
      </c>
      <c r="F10" s="3196" t="s">
        <v>605</v>
      </c>
      <c r="G10" s="3196" t="s">
        <v>168</v>
      </c>
      <c r="H10" s="3196" t="s">
        <v>168</v>
      </c>
      <c r="I10" s="3196" t="s">
        <v>170</v>
      </c>
      <c r="J10" s="3196" t="s">
        <v>175</v>
      </c>
      <c r="K10" s="3196" t="s">
        <v>175</v>
      </c>
      <c r="L10" s="3196" t="s">
        <v>175</v>
      </c>
      <c r="M10" s="3196" t="s">
        <v>856</v>
      </c>
      <c r="N10" s="3192" t="s">
        <v>985</v>
      </c>
      <c r="O10" s="3192" t="s">
        <v>986</v>
      </c>
      <c r="P10" s="3192" t="s">
        <v>985</v>
      </c>
      <c r="Q10" s="3192" t="s">
        <v>986</v>
      </c>
      <c r="R10" s="3200" t="s">
        <v>171</v>
      </c>
      <c r="S10" s="3200" t="s">
        <v>172</v>
      </c>
      <c r="T10" s="3196" t="s">
        <v>603</v>
      </c>
      <c r="U10" s="3196" t="s">
        <v>859</v>
      </c>
      <c r="V10" s="3196" t="s">
        <v>606</v>
      </c>
      <c r="W10" s="3196" t="s">
        <v>861</v>
      </c>
    </row>
    <row r="11" spans="1:27">
      <c r="A11" s="411"/>
      <c r="C11" s="3102"/>
      <c r="D11" s="3102"/>
      <c r="E11" s="3194">
        <v>1000</v>
      </c>
      <c r="F11" s="3194">
        <v>1000</v>
      </c>
      <c r="G11" s="3194">
        <v>1000</v>
      </c>
      <c r="H11" s="3194">
        <v>1000</v>
      </c>
      <c r="I11" s="3194">
        <v>1000</v>
      </c>
      <c r="J11" s="3194">
        <v>1000</v>
      </c>
      <c r="K11" s="3194">
        <v>1000</v>
      </c>
      <c r="L11" s="3194">
        <v>1000</v>
      </c>
      <c r="M11" s="3194">
        <v>1000</v>
      </c>
      <c r="N11" s="3194">
        <v>1000</v>
      </c>
      <c r="O11" s="3194">
        <v>1000</v>
      </c>
      <c r="P11" s="3194">
        <v>1000</v>
      </c>
      <c r="Q11" s="3194">
        <v>1000</v>
      </c>
      <c r="R11" s="3194">
        <v>1000</v>
      </c>
      <c r="S11" s="3194">
        <v>1000</v>
      </c>
      <c r="T11" s="3194">
        <v>1000</v>
      </c>
      <c r="U11" s="3194">
        <v>1000</v>
      </c>
      <c r="V11" s="3194">
        <v>1000</v>
      </c>
      <c r="W11" s="3194">
        <v>1000</v>
      </c>
    </row>
    <row r="12" spans="1:27">
      <c r="A12" s="411"/>
      <c r="C12" s="519"/>
      <c r="D12" s="258"/>
      <c r="E12" s="520"/>
      <c r="F12" s="520"/>
      <c r="G12" s="520"/>
      <c r="H12" s="520"/>
      <c r="I12" s="520"/>
      <c r="J12" s="520"/>
      <c r="K12" s="520"/>
      <c r="L12" s="520"/>
      <c r="M12" s="520"/>
      <c r="N12" s="520"/>
      <c r="O12" s="520"/>
      <c r="P12" s="520"/>
      <c r="Q12" s="520"/>
      <c r="R12" s="520"/>
      <c r="S12" s="520"/>
      <c r="T12" s="520"/>
      <c r="U12" s="520"/>
      <c r="V12" s="520"/>
      <c r="W12" s="520"/>
    </row>
    <row r="13" spans="1:27">
      <c r="A13" s="411"/>
      <c r="C13" s="519"/>
      <c r="D13" s="521" t="s">
        <v>661</v>
      </c>
      <c r="E13" s="258"/>
      <c r="F13" s="258"/>
      <c r="G13" s="258"/>
      <c r="H13" s="258"/>
      <c r="I13" s="258"/>
      <c r="J13" s="258"/>
      <c r="K13" s="258"/>
      <c r="L13" s="258"/>
      <c r="M13" s="258"/>
      <c r="N13" s="258"/>
      <c r="O13" s="258"/>
      <c r="P13" s="258"/>
      <c r="Q13" s="258"/>
      <c r="R13" s="258"/>
      <c r="S13" s="258"/>
      <c r="T13" s="258"/>
      <c r="U13" s="258"/>
      <c r="V13" s="258"/>
      <c r="W13" s="258"/>
    </row>
    <row r="14" spans="1:27">
      <c r="A14" s="411"/>
      <c r="C14" s="2706">
        <f>+MAX(C$13:C13)+1</f>
        <v>1</v>
      </c>
      <c r="D14" s="2707" t="str">
        <f>COS_RR!E16</f>
        <v>Production O&amp;M</v>
      </c>
      <c r="E14" s="2708">
        <f>COS_RR!G16/1000</f>
        <v>233090.20199999999</v>
      </c>
      <c r="F14" s="2708">
        <f>COS_RR!J16/1000</f>
        <v>23379.672999999999</v>
      </c>
      <c r="G14" s="2708">
        <f>COS_RR!K16/1000</f>
        <v>209710.52900000001</v>
      </c>
      <c r="H14" s="2708">
        <f>COS_RR!L16/1000</f>
        <v>0</v>
      </c>
      <c r="I14" s="2708">
        <f>COS_RR!M16/1000</f>
        <v>0</v>
      </c>
      <c r="J14" s="2708">
        <f>COS_RR!N16/1000</f>
        <v>0</v>
      </c>
      <c r="K14" s="2708">
        <f>COS_RR!O16/1000</f>
        <v>0</v>
      </c>
      <c r="L14" s="2708">
        <f>COS_RR!P16/1000</f>
        <v>0</v>
      </c>
      <c r="M14" s="2708">
        <f>COS_RR!Q16/1000</f>
        <v>0</v>
      </c>
      <c r="N14" s="2708">
        <f>COS_RR!R16/1000</f>
        <v>0</v>
      </c>
      <c r="O14" s="2708">
        <f>COS_RR!S16/1000</f>
        <v>0</v>
      </c>
      <c r="P14" s="2708">
        <f>COS_RR!T16/1000</f>
        <v>0</v>
      </c>
      <c r="Q14" s="2708">
        <f>COS_RR!U16/1000</f>
        <v>0</v>
      </c>
      <c r="R14" s="2708">
        <f>COS_RR!V16/1000</f>
        <v>0</v>
      </c>
      <c r="S14" s="2708">
        <f>COS_RR!W16/1000</f>
        <v>0</v>
      </c>
      <c r="T14" s="2708">
        <f>COS_RR!X16/1000</f>
        <v>0</v>
      </c>
      <c r="U14" s="2708">
        <f>COS_RR!Y16/1000</f>
        <v>0</v>
      </c>
      <c r="V14" s="2708">
        <f>COS_RR!Z16/1000</f>
        <v>0</v>
      </c>
      <c r="W14" s="2708">
        <f>COS_RR!AA16/1000</f>
        <v>0</v>
      </c>
      <c r="X14" s="20"/>
      <c r="Y14" s="136"/>
      <c r="Z14" s="20"/>
      <c r="AA14" s="20"/>
    </row>
    <row r="15" spans="1:27">
      <c r="A15" s="411"/>
      <c r="C15" s="522">
        <f>+MAX(C$13:C14)+1</f>
        <v>2</v>
      </c>
      <c r="D15" s="523" t="str">
        <f>COS_RR!E17</f>
        <v>Generation</v>
      </c>
      <c r="E15" s="815">
        <f>COS_RR!G17/1000</f>
        <v>635.06399999999996</v>
      </c>
      <c r="F15" s="815">
        <f>COS_RR!J17/1000</f>
        <v>0</v>
      </c>
      <c r="G15" s="815">
        <f>COS_RR!K17/1000</f>
        <v>635.06399999999996</v>
      </c>
      <c r="H15" s="815">
        <f>COS_RR!L17/1000</f>
        <v>0</v>
      </c>
      <c r="I15" s="815">
        <f>COS_RR!M17/1000</f>
        <v>0</v>
      </c>
      <c r="J15" s="815">
        <f>COS_RR!N17/1000</f>
        <v>0</v>
      </c>
      <c r="K15" s="815">
        <f>COS_RR!O17/1000</f>
        <v>0</v>
      </c>
      <c r="L15" s="815">
        <f>COS_RR!P17/1000</f>
        <v>0</v>
      </c>
      <c r="M15" s="815">
        <f>COS_RR!Q17/1000</f>
        <v>0</v>
      </c>
      <c r="N15" s="815">
        <f>COS_RR!R17/1000</f>
        <v>0</v>
      </c>
      <c r="O15" s="815">
        <f>COS_RR!S17/1000</f>
        <v>0</v>
      </c>
      <c r="P15" s="815">
        <f>COS_RR!T17/1000</f>
        <v>0</v>
      </c>
      <c r="Q15" s="815">
        <f>COS_RR!U17/1000</f>
        <v>0</v>
      </c>
      <c r="R15" s="815">
        <f>COS_RR!V17/1000</f>
        <v>0</v>
      </c>
      <c r="S15" s="815">
        <f>COS_RR!W17/1000</f>
        <v>0</v>
      </c>
      <c r="T15" s="815">
        <f>COS_RR!X17/1000</f>
        <v>0</v>
      </c>
      <c r="U15" s="815">
        <f>COS_RR!Y17/1000</f>
        <v>0</v>
      </c>
      <c r="V15" s="815">
        <f>COS_RR!Z17/1000</f>
        <v>0</v>
      </c>
      <c r="W15" s="815">
        <f>COS_RR!AA17/1000</f>
        <v>0</v>
      </c>
      <c r="X15" s="20"/>
      <c r="Y15" s="136"/>
      <c r="Z15" s="20"/>
      <c r="AA15" s="20"/>
    </row>
    <row r="16" spans="1:27">
      <c r="A16" s="411"/>
      <c r="C16" s="2706">
        <f>+MAX(C$13:C15)+1</f>
        <v>3</v>
      </c>
      <c r="D16" s="2707" t="str">
        <f>COS_RR!E18</f>
        <v>Transmission O&amp;M</v>
      </c>
      <c r="E16" s="2709">
        <f>COS_RR!G18/1000</f>
        <v>3520.4690000000001</v>
      </c>
      <c r="F16" s="2709">
        <f>COS_RR!J18/1000</f>
        <v>0</v>
      </c>
      <c r="G16" s="2709">
        <f>COS_RR!K18/1000</f>
        <v>0</v>
      </c>
      <c r="H16" s="2709">
        <f>COS_RR!L18/1000</f>
        <v>3520.4690000000001</v>
      </c>
      <c r="I16" s="2709">
        <f>COS_RR!M18/1000</f>
        <v>0</v>
      </c>
      <c r="J16" s="2709">
        <f>COS_RR!N18/1000</f>
        <v>0</v>
      </c>
      <c r="K16" s="2709">
        <f>COS_RR!O18/1000</f>
        <v>0</v>
      </c>
      <c r="L16" s="2709">
        <f>COS_RR!P18/1000</f>
        <v>0</v>
      </c>
      <c r="M16" s="2709">
        <f>COS_RR!Q18/1000</f>
        <v>0</v>
      </c>
      <c r="N16" s="2709">
        <f>COS_RR!R18/1000</f>
        <v>0</v>
      </c>
      <c r="O16" s="2709">
        <f>COS_RR!S18/1000</f>
        <v>0</v>
      </c>
      <c r="P16" s="2709">
        <f>COS_RR!T18/1000</f>
        <v>0</v>
      </c>
      <c r="Q16" s="2709">
        <f>COS_RR!U18/1000</f>
        <v>0</v>
      </c>
      <c r="R16" s="2709">
        <f>COS_RR!V18/1000</f>
        <v>0</v>
      </c>
      <c r="S16" s="2709">
        <f>COS_RR!W18/1000</f>
        <v>0</v>
      </c>
      <c r="T16" s="2709">
        <f>COS_RR!X18/1000</f>
        <v>0</v>
      </c>
      <c r="U16" s="2709">
        <f>COS_RR!Y18/1000</f>
        <v>0</v>
      </c>
      <c r="V16" s="2709">
        <f>COS_RR!Z18/1000</f>
        <v>0</v>
      </c>
      <c r="W16" s="2709">
        <f>COS_RR!AA18/1000</f>
        <v>0</v>
      </c>
      <c r="X16" s="20"/>
      <c r="Y16" s="136"/>
      <c r="Z16" s="20"/>
      <c r="AA16" s="20"/>
    </row>
    <row r="17" spans="1:27">
      <c r="A17" s="411"/>
      <c r="C17" s="522">
        <f>+MAX(C$13:C16)+1</f>
        <v>4</v>
      </c>
      <c r="D17" s="523" t="str">
        <f>COS_RR!E19</f>
        <v>Distribution O&amp;M</v>
      </c>
      <c r="E17" s="815">
        <f>COS_RR!G19/1000</f>
        <v>18493.527999999998</v>
      </c>
      <c r="F17" s="815">
        <f>COS_RR!J19/1000</f>
        <v>0</v>
      </c>
      <c r="G17" s="815">
        <f>COS_RR!K19/1000</f>
        <v>0</v>
      </c>
      <c r="H17" s="815">
        <f>COS_RR!L19/1000</f>
        <v>0</v>
      </c>
      <c r="I17" s="815">
        <f>COS_RR!M19/1000</f>
        <v>4498.9009999999998</v>
      </c>
      <c r="J17" s="815">
        <f>COS_RR!N19/1000</f>
        <v>877.00599999999997</v>
      </c>
      <c r="K17" s="815">
        <f>COS_RR!O19/1000</f>
        <v>0</v>
      </c>
      <c r="L17" s="815">
        <f>COS_RR!P19/1000</f>
        <v>0</v>
      </c>
      <c r="M17" s="815">
        <f>COS_RR!Q19/1000</f>
        <v>1366.0530000000001</v>
      </c>
      <c r="N17" s="815">
        <f>COS_RR!R19/1000</f>
        <v>828.40800000000002</v>
      </c>
      <c r="O17" s="815">
        <f>COS_RR!S19/1000</f>
        <v>5206.95</v>
      </c>
      <c r="P17" s="815">
        <f>COS_RR!T19/1000</f>
        <v>616.84799999999996</v>
      </c>
      <c r="Q17" s="815">
        <f>COS_RR!U19/1000</f>
        <v>1621.9760000000001</v>
      </c>
      <c r="R17" s="815">
        <f>COS_RR!V19/1000</f>
        <v>374.27300000000002</v>
      </c>
      <c r="S17" s="815">
        <f>COS_RR!W19/1000</f>
        <v>2966.2840000000001</v>
      </c>
      <c r="T17" s="815">
        <f>COS_RR!X19/1000</f>
        <v>0</v>
      </c>
      <c r="U17" s="815">
        <f>COS_RR!Y19/1000</f>
        <v>136.82900000000001</v>
      </c>
      <c r="V17" s="815">
        <f>COS_RR!Z19/1000</f>
        <v>0</v>
      </c>
      <c r="W17" s="815">
        <f>COS_RR!AA19/1000</f>
        <v>0</v>
      </c>
      <c r="X17" s="20"/>
      <c r="Y17" s="136"/>
      <c r="Z17" s="20"/>
      <c r="AA17" s="20"/>
    </row>
    <row r="18" spans="1:27">
      <c r="A18" s="411"/>
      <c r="C18" s="2706">
        <f>+MAX(C$13:C17)+1</f>
        <v>5</v>
      </c>
      <c r="D18" s="2707" t="str">
        <f>COS_RR!E20</f>
        <v>Customer Accounts</v>
      </c>
      <c r="E18" s="2709">
        <f>COS_RR!G20/1000</f>
        <v>10759.316999999999</v>
      </c>
      <c r="F18" s="2709">
        <f>COS_RR!J20/1000</f>
        <v>0</v>
      </c>
      <c r="G18" s="2709">
        <f>COS_RR!K20/1000</f>
        <v>0</v>
      </c>
      <c r="H18" s="2709">
        <f>COS_RR!L20/1000</f>
        <v>0</v>
      </c>
      <c r="I18" s="2709">
        <f>COS_RR!M20/1000</f>
        <v>0</v>
      </c>
      <c r="J18" s="2709">
        <f>COS_RR!N20/1000</f>
        <v>0</v>
      </c>
      <c r="K18" s="2709">
        <f>COS_RR!O20/1000</f>
        <v>0</v>
      </c>
      <c r="L18" s="2709">
        <f>COS_RR!P20/1000</f>
        <v>0</v>
      </c>
      <c r="M18" s="2709">
        <f>COS_RR!Q20/1000</f>
        <v>0</v>
      </c>
      <c r="N18" s="2709">
        <f>COS_RR!R20/1000</f>
        <v>0</v>
      </c>
      <c r="O18" s="2709">
        <f>COS_RR!S20/1000</f>
        <v>0</v>
      </c>
      <c r="P18" s="2709">
        <f>COS_RR!T20/1000</f>
        <v>0</v>
      </c>
      <c r="Q18" s="2709">
        <f>COS_RR!U20/1000</f>
        <v>0</v>
      </c>
      <c r="R18" s="2709">
        <f>COS_RR!V20/1000</f>
        <v>0</v>
      </c>
      <c r="S18" s="2709">
        <f>COS_RR!W20/1000</f>
        <v>0</v>
      </c>
      <c r="T18" s="2709">
        <f>COS_RR!X20/1000</f>
        <v>7669.7370000000001</v>
      </c>
      <c r="U18" s="2709">
        <f>COS_RR!Y20/1000</f>
        <v>0</v>
      </c>
      <c r="V18" s="2709">
        <f>COS_RR!Z20/1000</f>
        <v>3089.58</v>
      </c>
      <c r="W18" s="2709">
        <f>COS_RR!AA20/1000</f>
        <v>0</v>
      </c>
      <c r="X18" s="20"/>
      <c r="Y18" s="136"/>
      <c r="Z18" s="20"/>
      <c r="AA18" s="20"/>
    </row>
    <row r="19" spans="1:27">
      <c r="A19" s="411"/>
      <c r="C19" s="522">
        <f>+MAX(C$13:C18)+1</f>
        <v>6</v>
      </c>
      <c r="D19" s="523" t="str">
        <f>COS_RR!E21</f>
        <v>Fiber Optic Network</v>
      </c>
      <c r="E19" s="815">
        <f>COS_RR!G21/1000</f>
        <v>2153.0210000000002</v>
      </c>
      <c r="F19" s="815">
        <f>COS_RR!J21/1000</f>
        <v>0</v>
      </c>
      <c r="G19" s="815">
        <f>COS_RR!K21/1000</f>
        <v>109.158</v>
      </c>
      <c r="H19" s="815">
        <f>COS_RR!L21/1000</f>
        <v>609.52</v>
      </c>
      <c r="I19" s="815">
        <f>COS_RR!M21/1000</f>
        <v>256.64100000000002</v>
      </c>
      <c r="J19" s="815">
        <f>COS_RR!N21/1000</f>
        <v>0</v>
      </c>
      <c r="K19" s="815">
        <f>COS_RR!O21/1000</f>
        <v>0</v>
      </c>
      <c r="L19" s="815">
        <f>COS_RR!P21/1000</f>
        <v>0</v>
      </c>
      <c r="M19" s="815">
        <f>COS_RR!Q21/1000</f>
        <v>228.86699999999999</v>
      </c>
      <c r="N19" s="815">
        <f>COS_RR!R21/1000</f>
        <v>84.182000000000002</v>
      </c>
      <c r="O19" s="815">
        <f>COS_RR!S21/1000</f>
        <v>497.13200000000001</v>
      </c>
      <c r="P19" s="815">
        <f>COS_RR!T21/1000</f>
        <v>67.605000000000004</v>
      </c>
      <c r="Q19" s="815">
        <f>COS_RR!U21/1000</f>
        <v>172.672</v>
      </c>
      <c r="R19" s="815">
        <f>COS_RR!V21/1000</f>
        <v>62.652999999999999</v>
      </c>
      <c r="S19" s="815">
        <f>COS_RR!W21/1000</f>
        <v>43.706000000000003</v>
      </c>
      <c r="T19" s="815">
        <f>COS_RR!X21/1000</f>
        <v>0</v>
      </c>
      <c r="U19" s="815">
        <f>COS_RR!Y21/1000</f>
        <v>20.885000000000002</v>
      </c>
      <c r="V19" s="815">
        <f>COS_RR!Z21/1000</f>
        <v>0</v>
      </c>
      <c r="W19" s="815">
        <f>COS_RR!AA21/1000</f>
        <v>0</v>
      </c>
      <c r="X19" s="20"/>
      <c r="Y19" s="20"/>
      <c r="Z19" s="20"/>
      <c r="AA19" s="20"/>
    </row>
    <row r="20" spans="1:27">
      <c r="A20" s="411"/>
      <c r="C20" s="2706">
        <f>+MAX(C$13:C19)+1</f>
        <v>7</v>
      </c>
      <c r="D20" s="2707" t="str">
        <f>COS_RR!E22</f>
        <v>Administrative and General</v>
      </c>
      <c r="E20" s="2709">
        <f>COS_RR!G22/1000</f>
        <v>21883.172999999999</v>
      </c>
      <c r="F20" s="2709">
        <f>COS_RR!J22/1000</f>
        <v>0</v>
      </c>
      <c r="G20" s="2709">
        <f>COS_RR!K22/1000</f>
        <v>739.00900000000001</v>
      </c>
      <c r="H20" s="2709">
        <f>COS_RR!L22/1000</f>
        <v>3680.5459999999998</v>
      </c>
      <c r="I20" s="2709">
        <f>COS_RR!M22/1000</f>
        <v>3264</v>
      </c>
      <c r="J20" s="2709">
        <f>COS_RR!N22/1000</f>
        <v>445.71800000000002</v>
      </c>
      <c r="K20" s="2709">
        <f>COS_RR!O22/1000</f>
        <v>0</v>
      </c>
      <c r="L20" s="2709">
        <f>COS_RR!P22/1000</f>
        <v>0</v>
      </c>
      <c r="M20" s="2709">
        <f>COS_RR!Q22/1000</f>
        <v>1385.143</v>
      </c>
      <c r="N20" s="2709">
        <f>COS_RR!R22/1000</f>
        <v>693.12099999999998</v>
      </c>
      <c r="O20" s="2709">
        <f>COS_RR!S22/1000</f>
        <v>4267.5200000000004</v>
      </c>
      <c r="P20" s="2709">
        <f>COS_RR!T22/1000</f>
        <v>529.47199999999998</v>
      </c>
      <c r="Q20" s="2709">
        <f>COS_RR!U22/1000</f>
        <v>1378.5989999999999</v>
      </c>
      <c r="R20" s="2709">
        <f>COS_RR!V22/1000</f>
        <v>379.25200000000001</v>
      </c>
      <c r="S20" s="2709">
        <f>COS_RR!W22/1000</f>
        <v>1770.7850000000001</v>
      </c>
      <c r="T20" s="2709">
        <f>COS_RR!X22/1000</f>
        <v>3057.2710000000002</v>
      </c>
      <c r="U20" s="2709">
        <f>COS_RR!Y22/1000</f>
        <v>126.771</v>
      </c>
      <c r="V20" s="2709">
        <f>COS_RR!Z22/1000</f>
        <v>165.96600000000001</v>
      </c>
      <c r="W20" s="2709">
        <f>COS_RR!AA22/1000</f>
        <v>0</v>
      </c>
      <c r="X20" s="20"/>
      <c r="Y20" s="136"/>
      <c r="Z20" s="20"/>
      <c r="AA20" s="20"/>
    </row>
    <row r="21" spans="1:27">
      <c r="A21" s="411"/>
      <c r="C21" s="522">
        <f>+MAX(C$13:C20)+1</f>
        <v>8</v>
      </c>
      <c r="D21" s="523" t="str">
        <f>COS_RR!E23</f>
        <v>Debt Service Existing</v>
      </c>
      <c r="E21" s="815">
        <f>COS_RR!G23/1000</f>
        <v>4720.76</v>
      </c>
      <c r="F21" s="815">
        <f>COS_RR!J23/1000</f>
        <v>0</v>
      </c>
      <c r="G21" s="815">
        <f>COS_RR!K23/1000</f>
        <v>223.76400000000001</v>
      </c>
      <c r="H21" s="815">
        <f>COS_RR!L23/1000</f>
        <v>1558.3230000000001</v>
      </c>
      <c r="I21" s="815">
        <f>COS_RR!M23/1000</f>
        <v>525.89300000000003</v>
      </c>
      <c r="J21" s="815">
        <f>COS_RR!N23/1000</f>
        <v>0</v>
      </c>
      <c r="K21" s="815">
        <f>COS_RR!O23/1000</f>
        <v>0</v>
      </c>
      <c r="L21" s="815">
        <f>COS_RR!P23/1000</f>
        <v>0</v>
      </c>
      <c r="M21" s="815">
        <f>COS_RR!Q23/1000</f>
        <v>468.77100000000002</v>
      </c>
      <c r="N21" s="815">
        <f>COS_RR!R23/1000</f>
        <v>172.30799999999999</v>
      </c>
      <c r="O21" s="815">
        <f>COS_RR!S23/1000</f>
        <v>1018.268</v>
      </c>
      <c r="P21" s="815">
        <f>COS_RR!T23/1000</f>
        <v>138.79</v>
      </c>
      <c r="Q21" s="815">
        <f>COS_RR!U23/1000</f>
        <v>353.58499999999998</v>
      </c>
      <c r="R21" s="815">
        <f>COS_RR!V23/1000</f>
        <v>128.405</v>
      </c>
      <c r="S21" s="815">
        <f>COS_RR!W23/1000</f>
        <v>89.694000000000003</v>
      </c>
      <c r="T21" s="815">
        <f>COS_RR!X23/1000</f>
        <v>0</v>
      </c>
      <c r="U21" s="815">
        <f>COS_RR!Y23/1000</f>
        <v>42.959000000000003</v>
      </c>
      <c r="V21" s="815">
        <f>COS_RR!Z23/1000</f>
        <v>0</v>
      </c>
      <c r="W21" s="815">
        <f>COS_RR!AA23/1000</f>
        <v>0</v>
      </c>
      <c r="X21" s="20"/>
      <c r="Y21" s="136"/>
      <c r="Z21" s="20"/>
      <c r="AA21" s="20"/>
    </row>
    <row r="22" spans="1:27">
      <c r="A22" s="411"/>
      <c r="C22" s="2706">
        <f>+MAX(C$13:C21)+1</f>
        <v>9</v>
      </c>
      <c r="D22" s="2707" t="str">
        <f>COS_RR!E24</f>
        <v>Use of Finance Plan Reserves</v>
      </c>
      <c r="E22" s="2709">
        <f>COS_RR!G24/1000</f>
        <v>0</v>
      </c>
      <c r="F22" s="2709">
        <f>COS_RR!J24/1000</f>
        <v>0</v>
      </c>
      <c r="G22" s="2709">
        <f>COS_RR!K24/1000</f>
        <v>0</v>
      </c>
      <c r="H22" s="2709">
        <f>COS_RR!L24/1000</f>
        <v>0</v>
      </c>
      <c r="I22" s="2709">
        <f>COS_RR!M24/1000</f>
        <v>0</v>
      </c>
      <c r="J22" s="2709">
        <f>COS_RR!N24/1000</f>
        <v>0</v>
      </c>
      <c r="K22" s="2709">
        <f>COS_RR!O24/1000</f>
        <v>0</v>
      </c>
      <c r="L22" s="2709">
        <f>COS_RR!P24/1000</f>
        <v>0</v>
      </c>
      <c r="M22" s="2709">
        <f>COS_RR!Q24/1000</f>
        <v>0</v>
      </c>
      <c r="N22" s="2709">
        <f>COS_RR!R24/1000</f>
        <v>0</v>
      </c>
      <c r="O22" s="2709">
        <f>COS_RR!S24/1000</f>
        <v>0</v>
      </c>
      <c r="P22" s="2709">
        <f>COS_RR!T24/1000</f>
        <v>0</v>
      </c>
      <c r="Q22" s="2709">
        <f>COS_RR!U24/1000</f>
        <v>0</v>
      </c>
      <c r="R22" s="2709">
        <f>COS_RR!V24/1000</f>
        <v>0</v>
      </c>
      <c r="S22" s="2709">
        <f>COS_RR!W24/1000</f>
        <v>0</v>
      </c>
      <c r="T22" s="2709">
        <f>COS_RR!X24/1000</f>
        <v>0</v>
      </c>
      <c r="U22" s="2709">
        <f>COS_RR!Y24/1000</f>
        <v>0</v>
      </c>
      <c r="V22" s="2709">
        <f>COS_RR!Z24/1000</f>
        <v>0</v>
      </c>
      <c r="W22" s="2709">
        <f>COS_RR!AA24/1000</f>
        <v>0</v>
      </c>
      <c r="X22" s="20"/>
      <c r="Y22" s="136"/>
      <c r="Z22" s="20"/>
      <c r="AA22" s="20"/>
    </row>
    <row r="23" spans="1:27">
      <c r="A23" s="411"/>
      <c r="C23" s="522">
        <f>+MAX(C$13:C22)+1</f>
        <v>10</v>
      </c>
      <c r="D23" s="523" t="str">
        <f>COS_RR!E25</f>
        <v>Debt Service Proposed</v>
      </c>
      <c r="E23" s="815">
        <f>COS_RR!G25/1000</f>
        <v>3787.5030000000002</v>
      </c>
      <c r="F23" s="815">
        <f>COS_RR!J25/1000</f>
        <v>0</v>
      </c>
      <c r="G23" s="815">
        <f>COS_RR!K25/1000</f>
        <v>179.52799999999999</v>
      </c>
      <c r="H23" s="815">
        <f>COS_RR!L25/1000</f>
        <v>1250.2539999999999</v>
      </c>
      <c r="I23" s="815">
        <f>COS_RR!M25/1000</f>
        <v>421.928</v>
      </c>
      <c r="J23" s="815">
        <f>COS_RR!N25/1000</f>
        <v>0</v>
      </c>
      <c r="K23" s="815">
        <f>COS_RR!O25/1000</f>
        <v>0</v>
      </c>
      <c r="L23" s="815">
        <f>COS_RR!P25/1000</f>
        <v>0</v>
      </c>
      <c r="M23" s="815">
        <f>COS_RR!Q25/1000</f>
        <v>376.09899999999999</v>
      </c>
      <c r="N23" s="815">
        <f>COS_RR!R25/1000</f>
        <v>138.244</v>
      </c>
      <c r="O23" s="815">
        <f>COS_RR!S25/1000</f>
        <v>816.96400000000006</v>
      </c>
      <c r="P23" s="815">
        <f>COS_RR!T25/1000</f>
        <v>111.35299999999999</v>
      </c>
      <c r="Q23" s="815">
        <f>COS_RR!U25/1000</f>
        <v>283.68400000000003</v>
      </c>
      <c r="R23" s="815">
        <f>COS_RR!V25/1000</f>
        <v>103.02</v>
      </c>
      <c r="S23" s="815">
        <f>COS_RR!W25/1000</f>
        <v>71.962999999999994</v>
      </c>
      <c r="T23" s="815">
        <f>COS_RR!X25/1000</f>
        <v>0</v>
      </c>
      <c r="U23" s="815">
        <f>COS_RR!Y25/1000</f>
        <v>34.466000000000001</v>
      </c>
      <c r="V23" s="815">
        <f>COS_RR!Z25/1000</f>
        <v>0</v>
      </c>
      <c r="W23" s="815">
        <f>COS_RR!AA25/1000</f>
        <v>0</v>
      </c>
      <c r="X23" s="20"/>
      <c r="Y23" s="136"/>
      <c r="Z23" s="20"/>
      <c r="AA23" s="20"/>
    </row>
    <row r="24" spans="1:27">
      <c r="A24" s="411"/>
      <c r="C24" s="2706">
        <f>+MAX(C$13:C23)+1</f>
        <v>11</v>
      </c>
      <c r="D24" s="2707" t="str">
        <f>COS_RR!E26</f>
        <v>Other Expenses</v>
      </c>
      <c r="E24" s="2709">
        <f>COS_RR!G26/1000</f>
        <v>118743.414</v>
      </c>
      <c r="F24" s="2709">
        <f>COS_RR!J26/1000</f>
        <v>0</v>
      </c>
      <c r="G24" s="2709">
        <f>COS_RR!K26/1000</f>
        <v>99135.539000000004</v>
      </c>
      <c r="H24" s="2709">
        <f>COS_RR!L26/1000</f>
        <v>6627.9560000000001</v>
      </c>
      <c r="I24" s="2709">
        <f>COS_RR!M26/1000</f>
        <v>2323.2860000000001</v>
      </c>
      <c r="J24" s="2709">
        <f>COS_RR!N26/1000</f>
        <v>0</v>
      </c>
      <c r="K24" s="2709">
        <f>COS_RR!O26/1000</f>
        <v>0</v>
      </c>
      <c r="L24" s="2709">
        <f>COS_RR!P26/1000</f>
        <v>0</v>
      </c>
      <c r="M24" s="2709">
        <f>COS_RR!Q26/1000</f>
        <v>2069.9490000000001</v>
      </c>
      <c r="N24" s="2709">
        <f>COS_RR!R26/1000</f>
        <v>762.07100000000003</v>
      </c>
      <c r="O24" s="2709">
        <f>COS_RR!S26/1000</f>
        <v>4498.277</v>
      </c>
      <c r="P24" s="2709">
        <f>COS_RR!T26/1000</f>
        <v>611.71600000000001</v>
      </c>
      <c r="Q24" s="2709">
        <f>COS_RR!U26/1000</f>
        <v>1563.2750000000001</v>
      </c>
      <c r="R24" s="2709">
        <f>COS_RR!V26/1000</f>
        <v>566.404</v>
      </c>
      <c r="S24" s="2709">
        <f>COS_RR!W26/1000</f>
        <v>395.45299999999997</v>
      </c>
      <c r="T24" s="2709">
        <f>COS_RR!X26/1000</f>
        <v>0</v>
      </c>
      <c r="U24" s="2709">
        <f>COS_RR!Y26/1000</f>
        <v>189.488</v>
      </c>
      <c r="V24" s="2709">
        <f>COS_RR!Z26/1000</f>
        <v>0</v>
      </c>
      <c r="W24" s="2709">
        <f>COS_RR!AA26/1000</f>
        <v>0</v>
      </c>
      <c r="X24" s="20"/>
      <c r="Y24" s="136"/>
      <c r="Z24" s="20"/>
      <c r="AA24" s="20"/>
    </row>
    <row r="25" spans="1:27">
      <c r="A25" s="411"/>
      <c r="C25" s="522">
        <f>+MAX(C$13:C24)+1</f>
        <v>12</v>
      </c>
      <c r="D25" s="523" t="str">
        <f>COS_RR!E27</f>
        <v>Cash Financed Capital Projects</v>
      </c>
      <c r="E25" s="816">
        <f>COS_RR!G27/1000</f>
        <v>31901.861000000001</v>
      </c>
      <c r="F25" s="817">
        <f>COS_RR!J27/1000</f>
        <v>0</v>
      </c>
      <c r="G25" s="817">
        <f>COS_RR!K27/1000</f>
        <v>1531.289</v>
      </c>
      <c r="H25" s="817">
        <f>COS_RR!L27/1000</f>
        <v>10266.019</v>
      </c>
      <c r="I25" s="817">
        <f>COS_RR!M27/1000</f>
        <v>3598.53</v>
      </c>
      <c r="J25" s="817">
        <f>COS_RR!N27/1000</f>
        <v>0</v>
      </c>
      <c r="K25" s="817">
        <f>COS_RR!O27/1000</f>
        <v>0</v>
      </c>
      <c r="L25" s="817">
        <f>COS_RR!P27/1000</f>
        <v>0</v>
      </c>
      <c r="M25" s="817">
        <f>COS_RR!Q27/1000</f>
        <v>3206.1370000000002</v>
      </c>
      <c r="N25" s="817">
        <f>COS_RR!R27/1000</f>
        <v>1180.3689999999999</v>
      </c>
      <c r="O25" s="817">
        <f>COS_RR!S27/1000</f>
        <v>6967.3670000000002</v>
      </c>
      <c r="P25" s="817">
        <f>COS_RR!T27/1000</f>
        <v>947.48500000000001</v>
      </c>
      <c r="Q25" s="817">
        <f>COS_RR!U27/1000</f>
        <v>2421.3510000000001</v>
      </c>
      <c r="R25" s="817">
        <f>COS_RR!V27/1000</f>
        <v>877.30100000000004</v>
      </c>
      <c r="S25" s="817">
        <f>COS_RR!W27/1000</f>
        <v>612.51599999999996</v>
      </c>
      <c r="T25" s="817">
        <f>COS_RR!X27/1000</f>
        <v>0</v>
      </c>
      <c r="U25" s="817">
        <f>COS_RR!Y27/1000</f>
        <v>293.49700000000001</v>
      </c>
      <c r="V25" s="817">
        <f>COS_RR!Z27/1000</f>
        <v>0</v>
      </c>
      <c r="W25" s="817">
        <f>COS_RR!AA27/1000</f>
        <v>0</v>
      </c>
      <c r="X25" s="20"/>
      <c r="Y25" s="136"/>
      <c r="Z25" s="20"/>
      <c r="AA25" s="20"/>
    </row>
    <row r="26" spans="1:27">
      <c r="A26" s="411"/>
      <c r="C26" s="2712"/>
      <c r="D26" s="2710"/>
      <c r="E26" s="2713"/>
      <c r="F26" s="2714"/>
      <c r="G26" s="2714"/>
      <c r="H26" s="2714"/>
      <c r="I26" s="2714"/>
      <c r="J26" s="2714"/>
      <c r="K26" s="2714"/>
      <c r="L26" s="2714"/>
      <c r="M26" s="2714"/>
      <c r="N26" s="2714"/>
      <c r="O26" s="2714"/>
      <c r="P26" s="2714"/>
      <c r="Q26" s="2714"/>
      <c r="R26" s="2714"/>
      <c r="S26" s="2714"/>
      <c r="T26" s="2714"/>
      <c r="U26" s="2714"/>
      <c r="V26" s="2714"/>
      <c r="W26" s="2714"/>
      <c r="X26" s="20"/>
      <c r="Y26" s="136"/>
      <c r="Z26" s="20"/>
      <c r="AA26" s="20"/>
    </row>
    <row r="27" spans="1:27" ht="16.5" thickBot="1">
      <c r="A27" s="411"/>
      <c r="C27" s="522">
        <f>+MAX(C$13:C26)+1</f>
        <v>13</v>
      </c>
      <c r="D27" s="521" t="s">
        <v>662</v>
      </c>
      <c r="E27" s="2711">
        <f>SUM(E14:E26)</f>
        <v>449688.31200000003</v>
      </c>
      <c r="F27" s="2711">
        <f>SUM(F14:F26)</f>
        <v>23379.672999999999</v>
      </c>
      <c r="G27" s="2711">
        <f t="shared" ref="G27:O27" si="0">SUM(G14:G26)</f>
        <v>312263.88</v>
      </c>
      <c r="H27" s="2711">
        <f t="shared" si="0"/>
        <v>27513.087</v>
      </c>
      <c r="I27" s="2711">
        <f t="shared" si="0"/>
        <v>14889.179</v>
      </c>
      <c r="J27" s="2711">
        <f t="shared" si="0"/>
        <v>1322.7239999999999</v>
      </c>
      <c r="K27" s="2711">
        <f>SUM(K14:K26)</f>
        <v>0</v>
      </c>
      <c r="L27" s="2711">
        <f>SUM(L14:L26)</f>
        <v>0</v>
      </c>
      <c r="M27" s="2711">
        <f t="shared" si="0"/>
        <v>9101.0190000000002</v>
      </c>
      <c r="N27" s="2711">
        <f t="shared" si="0"/>
        <v>3858.7029999999995</v>
      </c>
      <c r="O27" s="2711">
        <f t="shared" si="0"/>
        <v>23272.477999999999</v>
      </c>
      <c r="P27" s="2711">
        <f t="shared" ref="P27:W27" si="1">SUM(P14:P26)</f>
        <v>3023.2690000000002</v>
      </c>
      <c r="Q27" s="2711">
        <f t="shared" si="1"/>
        <v>7795.1420000000016</v>
      </c>
      <c r="R27" s="2711">
        <f t="shared" si="1"/>
        <v>2491.308</v>
      </c>
      <c r="S27" s="2711">
        <f t="shared" si="1"/>
        <v>5950.4009999999998</v>
      </c>
      <c r="T27" s="2711">
        <f t="shared" si="1"/>
        <v>10727.008</v>
      </c>
      <c r="U27" s="2711">
        <f t="shared" si="1"/>
        <v>844.89499999999998</v>
      </c>
      <c r="V27" s="2711">
        <f t="shared" si="1"/>
        <v>3255.5459999999998</v>
      </c>
      <c r="W27" s="2711">
        <f t="shared" si="1"/>
        <v>0</v>
      </c>
      <c r="X27" s="20"/>
      <c r="Y27" s="136"/>
      <c r="Z27" s="20"/>
      <c r="AA27" s="20"/>
    </row>
    <row r="28" spans="1:27" ht="16.5" thickTop="1">
      <c r="A28" s="411"/>
      <c r="C28" s="2706"/>
      <c r="D28" s="2710"/>
      <c r="E28" s="2713"/>
      <c r="F28" s="2715"/>
      <c r="G28" s="2715"/>
      <c r="H28" s="2715"/>
      <c r="I28" s="2715"/>
      <c r="J28" s="2715"/>
      <c r="K28" s="2715"/>
      <c r="L28" s="2715"/>
      <c r="M28" s="2715"/>
      <c r="N28" s="2715"/>
      <c r="O28" s="2715"/>
      <c r="P28" s="2715"/>
      <c r="Q28" s="2715"/>
      <c r="R28" s="2715"/>
      <c r="S28" s="2715"/>
      <c r="T28" s="2715"/>
      <c r="U28" s="2715"/>
      <c r="V28" s="2715"/>
      <c r="W28" s="2715"/>
      <c r="X28" s="20"/>
      <c r="Y28" s="20"/>
      <c r="Z28" s="20"/>
      <c r="AA28" s="20"/>
    </row>
    <row r="29" spans="1:27">
      <c r="A29" s="411"/>
      <c r="C29" s="522">
        <f>+MAX(C$13:C28)+1</f>
        <v>14</v>
      </c>
      <c r="D29" s="521" t="s">
        <v>664</v>
      </c>
      <c r="E29" s="525"/>
      <c r="F29" s="526"/>
      <c r="G29" s="526"/>
      <c r="H29" s="526"/>
      <c r="I29" s="526"/>
      <c r="J29" s="526"/>
      <c r="K29" s="526"/>
      <c r="L29" s="526"/>
      <c r="M29" s="526"/>
      <c r="N29" s="526"/>
      <c r="O29" s="526"/>
      <c r="P29" s="526"/>
      <c r="Q29" s="526"/>
      <c r="R29" s="526"/>
      <c r="S29" s="526"/>
      <c r="T29" s="526"/>
      <c r="U29" s="526"/>
      <c r="V29" s="526"/>
      <c r="W29" s="526"/>
      <c r="X29" s="20"/>
      <c r="Y29" s="136"/>
      <c r="Z29" s="20"/>
      <c r="AA29" s="20"/>
    </row>
    <row r="30" spans="1:27">
      <c r="A30" s="411"/>
      <c r="C30" s="2706">
        <f>+MAX(C$13:C29)+1</f>
        <v>15</v>
      </c>
      <c r="D30" s="2707" t="str">
        <f>COS_RR!E32</f>
        <v>Other Revenue</v>
      </c>
      <c r="E30" s="2708">
        <f>COS_RR!G32/1000</f>
        <v>-157416.095</v>
      </c>
      <c r="F30" s="2708">
        <f>COS_RR!J32/1000</f>
        <v>-8855.3379999999997</v>
      </c>
      <c r="G30" s="2708">
        <f>COS_RR!K32/1000</f>
        <v>-113898.121</v>
      </c>
      <c r="H30" s="2708">
        <f>COS_RR!L32/1000</f>
        <v>-11069.776</v>
      </c>
      <c r="I30" s="2708">
        <f>COS_RR!M32/1000</f>
        <v>-3869.0720000000001</v>
      </c>
      <c r="J30" s="2708">
        <f>COS_RR!N32/1000</f>
        <v>0</v>
      </c>
      <c r="K30" s="2708">
        <f>COS_RR!O32/1000</f>
        <v>0</v>
      </c>
      <c r="L30" s="2708">
        <f>COS_RR!P32/1000</f>
        <v>0</v>
      </c>
      <c r="M30" s="2708">
        <f>COS_RR!Q32/1000</f>
        <v>-3449.0889999999999</v>
      </c>
      <c r="N30" s="2708">
        <f>COS_RR!R32/1000</f>
        <v>-1308.8440000000001</v>
      </c>
      <c r="O30" s="2708">
        <f>COS_RR!S32/1000</f>
        <v>-7719.482</v>
      </c>
      <c r="P30" s="2708">
        <f>COS_RR!T32/1000</f>
        <v>-1055.982</v>
      </c>
      <c r="Q30" s="2708">
        <f>COS_RR!U32/1000</f>
        <v>-2689.3710000000001</v>
      </c>
      <c r="R30" s="2708">
        <f>COS_RR!V32/1000</f>
        <v>-944.66700000000003</v>
      </c>
      <c r="S30" s="2708">
        <f>COS_RR!W32/1000</f>
        <v>-659.72500000000002</v>
      </c>
      <c r="T30" s="2708">
        <f>COS_RR!X32/1000</f>
        <v>0</v>
      </c>
      <c r="U30" s="2708">
        <f>COS_RR!Y32/1000</f>
        <v>-315.84500000000003</v>
      </c>
      <c r="V30" s="2708">
        <f>COS_RR!Z32/1000</f>
        <v>-1580.7829999999999</v>
      </c>
      <c r="W30" s="2708">
        <f>COS_RR!AA32/1000</f>
        <v>0</v>
      </c>
      <c r="X30" s="20"/>
      <c r="Y30" s="20"/>
      <c r="Z30" s="20"/>
      <c r="AA30" s="20"/>
    </row>
    <row r="31" spans="1:27">
      <c r="A31" s="411"/>
      <c r="C31" s="522">
        <f>+MAX(C$13:C30)+1</f>
        <v>16</v>
      </c>
      <c r="D31" s="523" t="str">
        <f>COS_RR!E33</f>
        <v>Contribution in Aid of Capital</v>
      </c>
      <c r="E31" s="816">
        <f>COS_RR!G33/1000</f>
        <v>-2343.7330000000002</v>
      </c>
      <c r="F31" s="817">
        <f>COS_RR!J33/1000</f>
        <v>0</v>
      </c>
      <c r="G31" s="817">
        <f>COS_RR!K33/1000</f>
        <v>0</v>
      </c>
      <c r="H31" s="817">
        <f>COS_RR!L33/1000</f>
        <v>0</v>
      </c>
      <c r="I31" s="817">
        <f>COS_RR!M33/1000</f>
        <v>-558.04300000000001</v>
      </c>
      <c r="J31" s="817">
        <f>COS_RR!N33/1000</f>
        <v>0</v>
      </c>
      <c r="K31" s="817">
        <f>COS_RR!O33/1000</f>
        <v>0</v>
      </c>
      <c r="L31" s="817">
        <f>COS_RR!P33/1000</f>
        <v>0</v>
      </c>
      <c r="M31" s="817">
        <f>COS_RR!Q33/1000</f>
        <v>0</v>
      </c>
      <c r="N31" s="817">
        <f>COS_RR!R33/1000</f>
        <v>-182.81100000000001</v>
      </c>
      <c r="O31" s="817">
        <f>COS_RR!S33/1000</f>
        <v>-1080.461</v>
      </c>
      <c r="P31" s="817">
        <f>COS_RR!T33/1000</f>
        <v>-146.952</v>
      </c>
      <c r="Q31" s="817">
        <f>COS_RR!U33/1000</f>
        <v>-375.46600000000001</v>
      </c>
      <c r="R31" s="817">
        <f>COS_RR!V33/1000</f>
        <v>0</v>
      </c>
      <c r="S31" s="817">
        <f>COS_RR!W33/1000</f>
        <v>0</v>
      </c>
      <c r="T31" s="817">
        <f>COS_RR!X33/1000</f>
        <v>0</v>
      </c>
      <c r="U31" s="817">
        <f>COS_RR!Y33/1000</f>
        <v>0</v>
      </c>
      <c r="V31" s="817">
        <f>COS_RR!Z33/1000</f>
        <v>0</v>
      </c>
      <c r="W31" s="817">
        <f>COS_RR!AA33/1000</f>
        <v>0</v>
      </c>
      <c r="X31" s="20"/>
      <c r="Y31" s="20"/>
      <c r="Z31" s="20"/>
      <c r="AA31" s="20"/>
    </row>
    <row r="32" spans="1:27">
      <c r="A32" s="411"/>
      <c r="C32" s="2712"/>
      <c r="D32" s="2710"/>
      <c r="E32" s="2718"/>
      <c r="F32" s="2719"/>
      <c r="G32" s="2719"/>
      <c r="H32" s="2719"/>
      <c r="I32" s="2719"/>
      <c r="J32" s="2719"/>
      <c r="K32" s="2719"/>
      <c r="L32" s="2719"/>
      <c r="M32" s="2719"/>
      <c r="N32" s="2719"/>
      <c r="O32" s="2719"/>
      <c r="P32" s="2719"/>
      <c r="Q32" s="2719"/>
      <c r="R32" s="2719"/>
      <c r="S32" s="2719"/>
      <c r="T32" s="2719"/>
      <c r="U32" s="2719"/>
      <c r="V32" s="2719"/>
      <c r="W32" s="2719"/>
      <c r="X32" s="136"/>
      <c r="Y32" s="136"/>
      <c r="Z32" s="20"/>
      <c r="AA32" s="20"/>
    </row>
    <row r="33" spans="1:27">
      <c r="A33" s="411"/>
      <c r="C33" s="522">
        <f>+MAX(C$13:C32)+1</f>
        <v>17</v>
      </c>
      <c r="D33" s="521" t="s">
        <v>305</v>
      </c>
      <c r="E33" s="718">
        <f>SUM(E30:E31)</f>
        <v>-159759.82800000001</v>
      </c>
      <c r="F33" s="718">
        <f>SUM(F30:F32)</f>
        <v>-8855.3379999999997</v>
      </c>
      <c r="G33" s="718">
        <f t="shared" ref="G33:O33" si="2">SUM(G30:G32)</f>
        <v>-113898.121</v>
      </c>
      <c r="H33" s="718">
        <f t="shared" si="2"/>
        <v>-11069.776</v>
      </c>
      <c r="I33" s="718">
        <f t="shared" si="2"/>
        <v>-4427.1149999999998</v>
      </c>
      <c r="J33" s="718">
        <f t="shared" si="2"/>
        <v>0</v>
      </c>
      <c r="K33" s="718">
        <f>SUM(K30:K32)</f>
        <v>0</v>
      </c>
      <c r="L33" s="718">
        <f>SUM(L30:L32)</f>
        <v>0</v>
      </c>
      <c r="M33" s="718">
        <f t="shared" si="2"/>
        <v>-3449.0889999999999</v>
      </c>
      <c r="N33" s="718">
        <f t="shared" si="2"/>
        <v>-1491.655</v>
      </c>
      <c r="O33" s="718">
        <f t="shared" si="2"/>
        <v>-8799.9429999999993</v>
      </c>
      <c r="P33" s="718">
        <f t="shared" ref="P33:W33" si="3">SUM(P30:P32)</f>
        <v>-1202.934</v>
      </c>
      <c r="Q33" s="718">
        <f t="shared" si="3"/>
        <v>-3064.837</v>
      </c>
      <c r="R33" s="718">
        <f t="shared" si="3"/>
        <v>-944.66700000000003</v>
      </c>
      <c r="S33" s="718">
        <f t="shared" si="3"/>
        <v>-659.72500000000002</v>
      </c>
      <c r="T33" s="718">
        <f t="shared" si="3"/>
        <v>0</v>
      </c>
      <c r="U33" s="718">
        <f t="shared" si="3"/>
        <v>-315.84500000000003</v>
      </c>
      <c r="V33" s="718">
        <f t="shared" si="3"/>
        <v>-1580.7829999999999</v>
      </c>
      <c r="W33" s="718">
        <f t="shared" si="3"/>
        <v>0</v>
      </c>
      <c r="X33" s="20"/>
      <c r="Y33" s="20"/>
      <c r="Z33" s="20"/>
      <c r="AA33" s="20"/>
    </row>
    <row r="34" spans="1:27">
      <c r="A34" s="411"/>
      <c r="C34" s="2706"/>
      <c r="D34" s="2710"/>
      <c r="E34" s="2716"/>
      <c r="F34" s="2716"/>
      <c r="G34" s="2716"/>
      <c r="H34" s="2716"/>
      <c r="I34" s="2716"/>
      <c r="J34" s="2716"/>
      <c r="K34" s="2716"/>
      <c r="L34" s="2716"/>
      <c r="M34" s="2716"/>
      <c r="N34" s="2716"/>
      <c r="O34" s="2716"/>
      <c r="P34" s="2716"/>
      <c r="Q34" s="2716"/>
      <c r="R34" s="2716"/>
      <c r="S34" s="2716"/>
      <c r="T34" s="2716"/>
      <c r="U34" s="2716"/>
      <c r="V34" s="2716"/>
      <c r="W34" s="2716"/>
      <c r="X34" s="527"/>
      <c r="Y34" s="527"/>
      <c r="Z34" s="20"/>
      <c r="AA34" s="20"/>
    </row>
    <row r="35" spans="1:27">
      <c r="A35" s="411"/>
      <c r="C35" s="522">
        <f>+MAX(C$13:C34)+1</f>
        <v>18</v>
      </c>
      <c r="D35" s="521" t="s">
        <v>665</v>
      </c>
      <c r="E35" s="718">
        <f>E27+E33</f>
        <v>289928.48400000005</v>
      </c>
      <c r="F35" s="718">
        <f>F27+F33</f>
        <v>14524.334999999999</v>
      </c>
      <c r="G35" s="718">
        <f t="shared" ref="G35:O35" si="4">G27+G33</f>
        <v>198365.75900000002</v>
      </c>
      <c r="H35" s="718">
        <f t="shared" si="4"/>
        <v>16443.311000000002</v>
      </c>
      <c r="I35" s="718">
        <f t="shared" si="4"/>
        <v>10462.064</v>
      </c>
      <c r="J35" s="718">
        <f t="shared" si="4"/>
        <v>1322.7239999999999</v>
      </c>
      <c r="K35" s="718">
        <f>K27+K33</f>
        <v>0</v>
      </c>
      <c r="L35" s="718">
        <f>L27+L33</f>
        <v>0</v>
      </c>
      <c r="M35" s="718">
        <f t="shared" si="4"/>
        <v>5651.93</v>
      </c>
      <c r="N35" s="718">
        <f t="shared" si="4"/>
        <v>2367.0479999999998</v>
      </c>
      <c r="O35" s="718">
        <f t="shared" si="4"/>
        <v>14472.535</v>
      </c>
      <c r="P35" s="718">
        <f t="shared" ref="P35:W35" si="5">P27+P33</f>
        <v>1820.3350000000003</v>
      </c>
      <c r="Q35" s="718">
        <f t="shared" si="5"/>
        <v>4730.3050000000021</v>
      </c>
      <c r="R35" s="718">
        <f t="shared" si="5"/>
        <v>1546.6410000000001</v>
      </c>
      <c r="S35" s="718">
        <f t="shared" si="5"/>
        <v>5290.6759999999995</v>
      </c>
      <c r="T35" s="718">
        <f t="shared" si="5"/>
        <v>10727.008</v>
      </c>
      <c r="U35" s="718">
        <f t="shared" si="5"/>
        <v>529.04999999999995</v>
      </c>
      <c r="V35" s="718">
        <f t="shared" si="5"/>
        <v>1674.7629999999999</v>
      </c>
      <c r="W35" s="718">
        <f t="shared" si="5"/>
        <v>0</v>
      </c>
      <c r="X35" s="20"/>
      <c r="Y35" s="20"/>
      <c r="Z35" s="20"/>
      <c r="AA35" s="20"/>
    </row>
    <row r="36" spans="1:27">
      <c r="A36" s="411"/>
      <c r="C36" s="2706"/>
      <c r="D36" s="2714"/>
      <c r="E36" s="2716"/>
      <c r="F36" s="2717"/>
      <c r="G36" s="2717"/>
      <c r="H36" s="2717"/>
      <c r="I36" s="2717"/>
      <c r="J36" s="2717"/>
      <c r="K36" s="2717"/>
      <c r="L36" s="2717"/>
      <c r="M36" s="2717"/>
      <c r="N36" s="2717"/>
      <c r="O36" s="2717"/>
      <c r="P36" s="2717"/>
      <c r="Q36" s="2717"/>
      <c r="R36" s="2717"/>
      <c r="S36" s="2717"/>
      <c r="T36" s="2717"/>
      <c r="U36" s="2717"/>
      <c r="V36" s="2717"/>
      <c r="W36" s="2717"/>
      <c r="X36" s="527"/>
      <c r="Y36" s="527"/>
      <c r="Z36" s="20"/>
      <c r="AA36" s="20"/>
    </row>
    <row r="37" spans="1:27" ht="16.5" thickBot="1">
      <c r="A37" s="411"/>
      <c r="C37" s="522">
        <f>+MAX(C$13:C36)+1</f>
        <v>19</v>
      </c>
      <c r="D37" s="521" t="s">
        <v>881</v>
      </c>
      <c r="E37" s="721">
        <f>SUM(E35:E36)</f>
        <v>289928.48400000005</v>
      </c>
      <c r="F37" s="721">
        <f>SUM(F35:F36)</f>
        <v>14524.334999999999</v>
      </c>
      <c r="G37" s="721">
        <f t="shared" ref="G37:O37" si="6">SUM(G35:G36)</f>
        <v>198365.75900000002</v>
      </c>
      <c r="H37" s="721">
        <f t="shared" si="6"/>
        <v>16443.311000000002</v>
      </c>
      <c r="I37" s="721">
        <f t="shared" si="6"/>
        <v>10462.064</v>
      </c>
      <c r="J37" s="721">
        <f t="shared" si="6"/>
        <v>1322.7239999999999</v>
      </c>
      <c r="K37" s="721">
        <f>SUM(K35:K36)</f>
        <v>0</v>
      </c>
      <c r="L37" s="721">
        <f>SUM(L35:L36)</f>
        <v>0</v>
      </c>
      <c r="M37" s="721">
        <f t="shared" si="6"/>
        <v>5651.93</v>
      </c>
      <c r="N37" s="721">
        <f t="shared" si="6"/>
        <v>2367.0479999999998</v>
      </c>
      <c r="O37" s="721">
        <f t="shared" si="6"/>
        <v>14472.535</v>
      </c>
      <c r="P37" s="721">
        <f t="shared" ref="P37:W37" si="7">SUM(P35:P36)</f>
        <v>1820.3350000000003</v>
      </c>
      <c r="Q37" s="721">
        <f t="shared" si="7"/>
        <v>4730.3050000000021</v>
      </c>
      <c r="R37" s="721">
        <f t="shared" si="7"/>
        <v>1546.6410000000001</v>
      </c>
      <c r="S37" s="721">
        <f t="shared" si="7"/>
        <v>5290.6759999999995</v>
      </c>
      <c r="T37" s="721">
        <f t="shared" si="7"/>
        <v>10727.008</v>
      </c>
      <c r="U37" s="721">
        <f t="shared" si="7"/>
        <v>529.04999999999995</v>
      </c>
      <c r="V37" s="721">
        <f t="shared" si="7"/>
        <v>1674.7629999999999</v>
      </c>
      <c r="W37" s="721">
        <f t="shared" si="7"/>
        <v>0</v>
      </c>
      <c r="X37" s="527"/>
      <c r="Y37" s="527"/>
      <c r="Z37" s="20"/>
      <c r="AA37" s="20"/>
    </row>
    <row r="38" spans="1:27" ht="16.5" thickTop="1">
      <c r="A38" s="411"/>
      <c r="C38" s="522"/>
      <c r="D38" s="258"/>
      <c r="E38" s="525"/>
      <c r="F38" s="525"/>
      <c r="G38" s="525"/>
      <c r="H38" s="525"/>
      <c r="I38" s="525"/>
      <c r="J38" s="525"/>
      <c r="K38" s="525"/>
      <c r="L38" s="525"/>
      <c r="M38" s="525"/>
      <c r="N38" s="525"/>
      <c r="O38" s="525"/>
      <c r="P38" s="525"/>
      <c r="Q38" s="525"/>
      <c r="R38" s="525"/>
      <c r="S38" s="525"/>
      <c r="T38" s="525"/>
      <c r="U38" s="525"/>
      <c r="V38" s="525"/>
      <c r="W38" s="525"/>
      <c r="X38" s="20"/>
      <c r="Y38" s="20"/>
      <c r="Z38" s="20"/>
      <c r="AA38" s="20"/>
    </row>
    <row r="39" spans="1:27">
      <c r="A39" s="411"/>
    </row>
    <row r="40" spans="1:27">
      <c r="A40" s="411"/>
    </row>
    <row r="41" spans="1:27">
      <c r="A41" s="411"/>
    </row>
    <row r="42" spans="1:27">
      <c r="A42" s="411"/>
    </row>
    <row r="43" spans="1:27">
      <c r="A43" s="411"/>
    </row>
    <row r="44" spans="1:27">
      <c r="A44" s="411"/>
    </row>
    <row r="45" spans="1:27">
      <c r="A45" s="411"/>
    </row>
    <row r="46" spans="1:27">
      <c r="A46" s="411"/>
    </row>
    <row r="47" spans="1:27">
      <c r="A47" s="411"/>
    </row>
    <row r="48" spans="1:27">
      <c r="A48" s="411"/>
    </row>
    <row r="49" spans="1:1">
      <c r="A49" s="411"/>
    </row>
    <row r="50" spans="1:1">
      <c r="A50" s="411"/>
    </row>
    <row r="51" spans="1:1">
      <c r="A51" s="411"/>
    </row>
    <row r="52" spans="1:1">
      <c r="A52" s="411"/>
    </row>
    <row r="53" spans="1:1">
      <c r="A53" s="411"/>
    </row>
    <row r="54" spans="1:1">
      <c r="A54" s="411"/>
    </row>
    <row r="55" spans="1:1">
      <c r="A55" s="411"/>
    </row>
    <row r="56" spans="1:1">
      <c r="A56" s="411"/>
    </row>
    <row r="57" spans="1:1">
      <c r="A57" s="411"/>
    </row>
    <row r="58" spans="1:1">
      <c r="A58" s="411"/>
    </row>
    <row r="59" spans="1:1">
      <c r="A59" s="411"/>
    </row>
    <row r="60" spans="1:1">
      <c r="A60" s="411"/>
    </row>
    <row r="61" spans="1:1">
      <c r="A61" s="411"/>
    </row>
    <row r="62" spans="1:1">
      <c r="A62" s="411"/>
    </row>
    <row r="63" spans="1:1">
      <c r="A63" s="411"/>
    </row>
    <row r="64" spans="1:1">
      <c r="A64" s="411"/>
    </row>
    <row r="65" spans="1:1">
      <c r="A65" s="411"/>
    </row>
  </sheetData>
  <mergeCells count="10">
    <mergeCell ref="C3:W3"/>
    <mergeCell ref="C2:W2"/>
    <mergeCell ref="C1:W1"/>
    <mergeCell ref="C4:W4"/>
    <mergeCell ref="N9:O9"/>
    <mergeCell ref="P9:Q9"/>
    <mergeCell ref="I8:O8"/>
    <mergeCell ref="I7:O7"/>
    <mergeCell ref="F8:G8"/>
    <mergeCell ref="P8:S8"/>
  </mergeCells>
  <phoneticPr fontId="8" type="noConversion"/>
  <printOptions horizontalCentered="1"/>
  <pageMargins left="0.25" right="0.25" top="0.5" bottom="0.5" header="0.25" footer="0.25"/>
  <pageSetup paperSize="17" scale="68" orientation="landscape" r:id="rId1"/>
  <headerFooter alignWithMargins="0">
    <oddFooter>&amp;L&amp;"Times New Roman,Bold Italic"Black &amp; Veatch Corporation&amp;C&amp;"Times New Roman,Bold Italic"Date: &amp;D&amp;R&amp;"Times New Roman,Bold Italic"Page: &amp;P of&amp;N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CV252"/>
  <sheetViews>
    <sheetView showGridLines="0" zoomScale="70" zoomScaleNormal="70" workbookViewId="0">
      <pane xSplit="4" ySplit="10" topLeftCell="M11" activePane="bottomRight" state="frozen"/>
      <selection activeCell="D11" sqref="D11"/>
      <selection pane="topRight" activeCell="D11" sqref="D11"/>
      <selection pane="bottomLeft" activeCell="D11" sqref="D11"/>
      <selection pane="bottomRight" activeCell="C6" sqref="C6:V27"/>
    </sheetView>
  </sheetViews>
  <sheetFormatPr defaultColWidth="0" defaultRowHeight="15.75" zeroHeight="1"/>
  <cols>
    <col min="1" max="1" width="22.625" style="87" customWidth="1"/>
    <col min="2" max="2" width="1.5" style="86" customWidth="1"/>
    <col min="3" max="3" width="5.5" style="86" customWidth="1"/>
    <col min="4" max="4" width="26.125" style="86" bestFit="1" customWidth="1"/>
    <col min="5" max="6" width="9.875" style="87" bestFit="1" customWidth="1"/>
    <col min="7" max="7" width="12.5" style="87" bestFit="1" customWidth="1"/>
    <col min="8" max="8" width="11.125" style="87" customWidth="1"/>
    <col min="9" max="9" width="11.75" style="87" customWidth="1"/>
    <col min="10" max="11" width="9.875" style="87" customWidth="1"/>
    <col min="12" max="12" width="12.75" style="87" customWidth="1"/>
    <col min="13" max="22" width="9.875" style="87" bestFit="1" customWidth="1"/>
    <col min="23" max="23" width="2.125" style="87" customWidth="1"/>
    <col min="24" max="93" width="0" style="87" hidden="1" customWidth="1"/>
    <col min="94" max="94" width="9.875" style="87" hidden="1" customWidth="1"/>
    <col min="95" max="95" width="11.125" style="87" hidden="1" customWidth="1"/>
    <col min="96" max="96" width="16" style="87" hidden="1" customWidth="1"/>
    <col min="97" max="97" width="11.125" style="87" hidden="1" customWidth="1"/>
    <col min="98" max="98" width="16" style="87" hidden="1" customWidth="1"/>
    <col min="99" max="99" width="11.125" style="87" hidden="1" customWidth="1"/>
    <col min="100" max="100" width="16" style="87" hidden="1" customWidth="1"/>
    <col min="101" max="16384" width="0" style="87" hidden="1"/>
  </cols>
  <sheetData>
    <row r="1" spans="1:96" customFormat="1" ht="18.75">
      <c r="A1" s="411"/>
      <c r="C1" s="4551" t="s">
        <v>498</v>
      </c>
      <c r="D1" s="4551"/>
      <c r="E1" s="4551"/>
      <c r="F1" s="4551"/>
      <c r="G1" s="4551"/>
      <c r="H1" s="4551"/>
      <c r="I1" s="4551"/>
      <c r="J1" s="4551"/>
      <c r="K1" s="4551"/>
      <c r="L1" s="4551"/>
      <c r="M1" s="4551"/>
      <c r="N1" s="4551"/>
      <c r="O1" s="4551"/>
      <c r="P1" s="4551"/>
      <c r="Q1" s="4551"/>
      <c r="R1" s="4551"/>
      <c r="S1" s="4551"/>
      <c r="T1" s="4551"/>
      <c r="U1" s="4551"/>
      <c r="V1" s="4551"/>
    </row>
    <row r="2" spans="1:96" customFormat="1" ht="18.75">
      <c r="A2" s="411"/>
      <c r="C2" s="4551" t="str">
        <f>Client</f>
        <v>Grant County Public Utility District</v>
      </c>
      <c r="D2" s="4551"/>
      <c r="E2" s="4551"/>
      <c r="F2" s="4551"/>
      <c r="G2" s="4551"/>
      <c r="H2" s="4551"/>
      <c r="I2" s="4551"/>
      <c r="J2" s="4551"/>
      <c r="K2" s="4551"/>
      <c r="L2" s="4551"/>
      <c r="M2" s="4551"/>
      <c r="N2" s="4551"/>
      <c r="O2" s="4551"/>
      <c r="P2" s="4551"/>
      <c r="Q2" s="4551"/>
      <c r="R2" s="4551"/>
      <c r="S2" s="4551"/>
      <c r="T2" s="4551"/>
      <c r="U2" s="4551"/>
      <c r="V2" s="4551"/>
    </row>
    <row r="3" spans="1:96" customFormat="1" ht="18.75">
      <c r="A3" s="411"/>
      <c r="C3" s="4551" t="s">
        <v>490</v>
      </c>
      <c r="D3" s="4551"/>
      <c r="E3" s="4551"/>
      <c r="F3" s="4551"/>
      <c r="G3" s="4551"/>
      <c r="H3" s="4551"/>
      <c r="I3" s="4551"/>
      <c r="J3" s="4551"/>
      <c r="K3" s="4551"/>
      <c r="L3" s="4551"/>
      <c r="M3" s="4551"/>
      <c r="N3" s="4551"/>
      <c r="O3" s="4551"/>
      <c r="P3" s="4551"/>
      <c r="Q3" s="4551"/>
      <c r="R3" s="4551"/>
      <c r="S3" s="4551"/>
      <c r="T3" s="4551"/>
      <c r="U3" s="4551"/>
      <c r="V3" s="4551"/>
    </row>
    <row r="4" spans="1:96" customFormat="1" ht="18.75">
      <c r="A4" s="411"/>
      <c r="C4" s="4551"/>
      <c r="D4" s="4551"/>
      <c r="E4" s="4551"/>
      <c r="F4" s="4551"/>
      <c r="G4" s="4551"/>
      <c r="H4" s="4551"/>
      <c r="I4" s="4551"/>
      <c r="J4" s="4551"/>
      <c r="K4" s="4551"/>
      <c r="L4" s="4551"/>
      <c r="M4" s="4551"/>
      <c r="N4" s="4551"/>
      <c r="O4" s="4551"/>
      <c r="P4" s="4551"/>
      <c r="Q4" s="4551"/>
      <c r="R4" s="4551"/>
      <c r="S4" s="4551"/>
      <c r="T4" s="4551"/>
      <c r="U4" s="4551"/>
      <c r="V4" s="4551"/>
    </row>
    <row r="5" spans="1:96" customFormat="1">
      <c r="A5" s="411"/>
      <c r="D5" s="86"/>
    </row>
    <row r="6" spans="1:96" customFormat="1">
      <c r="A6" s="411"/>
      <c r="C6" s="84"/>
      <c r="D6" s="84"/>
      <c r="E6" s="2579" t="s">
        <v>674</v>
      </c>
      <c r="F6" s="2579" t="s">
        <v>155</v>
      </c>
      <c r="G6" s="2579" t="s">
        <v>675</v>
      </c>
      <c r="H6" s="2579" t="s">
        <v>676</v>
      </c>
      <c r="I6" s="2579" t="s">
        <v>677</v>
      </c>
      <c r="J6" s="2579" t="s">
        <v>140</v>
      </c>
      <c r="K6" s="2579" t="s">
        <v>141</v>
      </c>
      <c r="L6" s="2579" t="s">
        <v>142</v>
      </c>
      <c r="M6" s="2579" t="s">
        <v>143</v>
      </c>
      <c r="N6" s="2579" t="s">
        <v>145</v>
      </c>
      <c r="O6" s="2579" t="s">
        <v>146</v>
      </c>
      <c r="P6" s="2579" t="s">
        <v>147</v>
      </c>
      <c r="Q6" s="2579" t="s">
        <v>148</v>
      </c>
      <c r="R6" s="2579" t="s">
        <v>149</v>
      </c>
      <c r="S6" s="2579" t="s">
        <v>150</v>
      </c>
      <c r="T6" s="2579" t="s">
        <v>151</v>
      </c>
      <c r="U6" s="2579" t="s">
        <v>153</v>
      </c>
      <c r="V6" s="2579" t="s">
        <v>154</v>
      </c>
      <c r="W6" s="489"/>
      <c r="X6" s="489" t="s">
        <v>154</v>
      </c>
    </row>
    <row r="7" spans="1:96" customFormat="1">
      <c r="A7" s="411"/>
      <c r="C7" s="3095"/>
      <c r="D7" s="3095"/>
      <c r="E7" s="4568" t="s">
        <v>609</v>
      </c>
      <c r="F7" s="4569"/>
      <c r="G7" s="3097" t="s">
        <v>600</v>
      </c>
      <c r="H7" s="4566" t="s">
        <v>601</v>
      </c>
      <c r="I7" s="4572"/>
      <c r="J7" s="4572"/>
      <c r="K7" s="4572"/>
      <c r="L7" s="4572"/>
      <c r="M7" s="4572"/>
      <c r="N7" s="4567"/>
      <c r="O7" s="3096"/>
      <c r="P7" s="3096"/>
      <c r="Q7" s="3096"/>
      <c r="R7" s="3096"/>
      <c r="S7" s="3096"/>
      <c r="T7" s="3096"/>
      <c r="U7" s="3096"/>
      <c r="V7" s="3096"/>
      <c r="W7" s="3094"/>
    </row>
    <row r="8" spans="1:96" customFormat="1">
      <c r="A8" s="411"/>
      <c r="C8" s="3099"/>
      <c r="D8" s="3099"/>
      <c r="E8" s="4570"/>
      <c r="F8" s="4571"/>
      <c r="G8" s="3098"/>
      <c r="H8" s="4566" t="s">
        <v>168</v>
      </c>
      <c r="I8" s="4572"/>
      <c r="J8" s="4572"/>
      <c r="K8" s="4572"/>
      <c r="L8" s="4572"/>
      <c r="M8" s="4572"/>
      <c r="N8" s="4567"/>
      <c r="O8" s="4566" t="s">
        <v>606</v>
      </c>
      <c r="P8" s="4572"/>
      <c r="Q8" s="4572"/>
      <c r="R8" s="4567"/>
      <c r="S8" s="3099" t="s">
        <v>169</v>
      </c>
      <c r="T8" s="3100"/>
      <c r="U8" s="3099"/>
      <c r="V8" s="3099"/>
      <c r="W8" s="3094"/>
    </row>
    <row r="9" spans="1:96" customFormat="1">
      <c r="A9" s="411"/>
      <c r="B9" s="225"/>
      <c r="C9" s="3214"/>
      <c r="D9" s="3101"/>
      <c r="E9" s="4573" t="s">
        <v>609</v>
      </c>
      <c r="F9" s="4574"/>
      <c r="G9" s="3213" t="s">
        <v>600</v>
      </c>
      <c r="H9" s="3098" t="s">
        <v>170</v>
      </c>
      <c r="I9" s="3098" t="s">
        <v>170</v>
      </c>
      <c r="J9" s="3098" t="s">
        <v>2988</v>
      </c>
      <c r="K9" s="3098" t="s">
        <v>2989</v>
      </c>
      <c r="L9" s="3099" t="s">
        <v>867</v>
      </c>
      <c r="M9" s="4566" t="s">
        <v>857</v>
      </c>
      <c r="N9" s="4567"/>
      <c r="O9" s="4566" t="s">
        <v>858</v>
      </c>
      <c r="P9" s="4567"/>
      <c r="Q9" s="4566"/>
      <c r="R9" s="4567"/>
      <c r="S9" s="3101" t="s">
        <v>173</v>
      </c>
      <c r="T9" s="3101" t="s">
        <v>174</v>
      </c>
      <c r="U9" s="3101" t="s">
        <v>103</v>
      </c>
      <c r="V9" s="3101" t="s">
        <v>176</v>
      </c>
      <c r="W9" s="3094"/>
    </row>
    <row r="10" spans="1:96" customFormat="1">
      <c r="A10" s="411"/>
      <c r="B10" s="225"/>
      <c r="C10" s="3215" t="s">
        <v>867</v>
      </c>
      <c r="D10" s="3102" t="s">
        <v>118</v>
      </c>
      <c r="E10" s="3103" t="s">
        <v>605</v>
      </c>
      <c r="F10" s="3103" t="s">
        <v>168</v>
      </c>
      <c r="G10" s="3103" t="s">
        <v>168</v>
      </c>
      <c r="H10" s="3102"/>
      <c r="I10" s="3102" t="s">
        <v>175</v>
      </c>
      <c r="J10" s="3102" t="s">
        <v>175</v>
      </c>
      <c r="K10" s="3102" t="s">
        <v>175</v>
      </c>
      <c r="L10" s="3102" t="s">
        <v>856</v>
      </c>
      <c r="M10" s="3102" t="s">
        <v>985</v>
      </c>
      <c r="N10" s="3102" t="s">
        <v>986</v>
      </c>
      <c r="O10" s="3102" t="s">
        <v>985</v>
      </c>
      <c r="P10" s="3102" t="s">
        <v>986</v>
      </c>
      <c r="Q10" s="3104" t="s">
        <v>171</v>
      </c>
      <c r="R10" s="3105" t="s">
        <v>172</v>
      </c>
      <c r="S10" s="3106" t="s">
        <v>603</v>
      </c>
      <c r="T10" s="3106" t="s">
        <v>859</v>
      </c>
      <c r="U10" s="3106" t="s">
        <v>606</v>
      </c>
      <c r="V10" s="3106" t="s">
        <v>861</v>
      </c>
      <c r="W10" s="3094"/>
    </row>
    <row r="11" spans="1:96" customFormat="1">
      <c r="A11" s="411"/>
      <c r="B11" s="225"/>
      <c r="C11" s="513"/>
      <c r="D11" s="514"/>
      <c r="E11" s="528"/>
      <c r="F11" s="528"/>
      <c r="G11" s="528" t="s">
        <v>182</v>
      </c>
      <c r="H11" s="529" t="s">
        <v>183</v>
      </c>
      <c r="I11" s="529"/>
      <c r="J11" s="529"/>
      <c r="K11" s="529"/>
      <c r="L11" s="529"/>
      <c r="M11" s="528" t="s">
        <v>184</v>
      </c>
      <c r="N11" s="528"/>
      <c r="O11" s="528" t="str">
        <f>+O9</f>
        <v>Laterals</v>
      </c>
      <c r="P11" s="528">
        <f>+P9</f>
        <v>0</v>
      </c>
      <c r="Q11" s="528"/>
      <c r="R11" s="528" t="s">
        <v>185</v>
      </c>
      <c r="S11" s="528" t="s">
        <v>186</v>
      </c>
      <c r="T11" s="530" t="s">
        <v>187</v>
      </c>
      <c r="U11" s="528"/>
      <c r="V11" s="528" t="s">
        <v>188</v>
      </c>
    </row>
    <row r="12" spans="1:96" s="35" customFormat="1">
      <c r="A12" s="531"/>
      <c r="B12" s="532"/>
      <c r="C12" s="268">
        <v>1</v>
      </c>
      <c r="D12" s="42" t="s">
        <v>401</v>
      </c>
      <c r="E12" s="389" t="str">
        <f>COS_Alloc.!F10</f>
        <v>ENR1</v>
      </c>
      <c r="F12" s="389" t="str">
        <f>COS_Alloc.!G10</f>
        <v>AED 12CP</v>
      </c>
      <c r="G12" s="389" t="str">
        <f>COS_Alloc.!H10</f>
        <v>12CP</v>
      </c>
      <c r="H12" s="389" t="str">
        <f>COS_Alloc.!I10</f>
        <v>CAP1</v>
      </c>
      <c r="I12" s="389" t="str">
        <f>COS_Alloc.!J10</f>
        <v>CAP1-D</v>
      </c>
      <c r="J12" s="389" t="str">
        <f>COS_Alloc.!K10</f>
        <v>DIR-14</v>
      </c>
      <c r="K12" s="389" t="str">
        <f>COS_Alloc.!L10</f>
        <v>DIR-15</v>
      </c>
      <c r="L12" s="389" t="str">
        <f>COS_Alloc.!M10</f>
        <v>CAP3</v>
      </c>
      <c r="M12" s="389" t="str">
        <f>COS_Alloc.!N10</f>
        <v>CAP3U</v>
      </c>
      <c r="N12" s="389" t="str">
        <f>COS_Alloc.!O10</f>
        <v>CAP3R</v>
      </c>
      <c r="O12" s="389" t="str">
        <f>COS_Alloc.!P10</f>
        <v>CUS4U</v>
      </c>
      <c r="P12" s="389" t="str">
        <f>COS_Alloc.!Q10</f>
        <v>CUS4R</v>
      </c>
      <c r="Q12" s="389" t="str">
        <f>COS_Alloc.!R10</f>
        <v>CUS2</v>
      </c>
      <c r="R12" s="389" t="str">
        <f>COS_Alloc.!S10</f>
        <v>CUS3</v>
      </c>
      <c r="S12" s="389" t="str">
        <f>COS_Alloc.!T10</f>
        <v>CUS1</v>
      </c>
      <c r="T12" s="389" t="str">
        <f>COS_Alloc.!U10</f>
        <v>SL</v>
      </c>
      <c r="U12" s="389" t="str">
        <f>COS_Alloc.!V10</f>
        <v>CUST</v>
      </c>
      <c r="V12" s="389" t="str">
        <f>COS_Alloc.!W10</f>
        <v>REV</v>
      </c>
    </row>
    <row r="13" spans="1:96" s="35" customFormat="1">
      <c r="A13" s="531"/>
      <c r="B13" s="532"/>
      <c r="C13" s="2676"/>
      <c r="D13" s="2720"/>
      <c r="E13" s="2721"/>
      <c r="F13" s="2721"/>
      <c r="G13" s="2721"/>
      <c r="H13" s="2721"/>
      <c r="I13" s="2721"/>
      <c r="J13" s="2721"/>
      <c r="K13" s="2721"/>
      <c r="L13" s="2721"/>
      <c r="M13" s="2721"/>
      <c r="N13" s="2721"/>
      <c r="O13" s="2721"/>
      <c r="P13" s="2721"/>
      <c r="Q13" s="2721"/>
      <c r="R13" s="2721"/>
      <c r="S13" s="2721"/>
      <c r="T13" s="2721"/>
      <c r="U13" s="2721"/>
      <c r="V13" s="2721"/>
    </row>
    <row r="14" spans="1:96" customFormat="1" ht="16.5" customHeight="1">
      <c r="A14" s="411"/>
      <c r="B14" s="225"/>
      <c r="C14" s="268">
        <f>+MAX(C$11:C13)+1</f>
        <v>2</v>
      </c>
      <c r="D14" s="38" t="str">
        <f>'Table 4'!D13</f>
        <v>Residential-Urban (1)</v>
      </c>
      <c r="E14" s="365">
        <f>COS_Alloc.!F14</f>
        <v>5.8099999999999999E-2</v>
      </c>
      <c r="F14" s="365">
        <f>COS_Alloc.!G14</f>
        <v>6.7799999999999999E-2</v>
      </c>
      <c r="G14" s="365">
        <f>COS_Alloc.!H14</f>
        <v>0.1103</v>
      </c>
      <c r="H14" s="365">
        <f>COS_Alloc.!I14</f>
        <v>8.3500000000000005E-2</v>
      </c>
      <c r="I14" s="365">
        <f>COS_Alloc.!J14</f>
        <v>0</v>
      </c>
      <c r="J14" s="365">
        <f>COS_Alloc.!K14</f>
        <v>0</v>
      </c>
      <c r="K14" s="365">
        <f>COS_Alloc.!L14</f>
        <v>0</v>
      </c>
      <c r="L14" s="365">
        <f>COS_Alloc.!M14</f>
        <v>8.6699999999999999E-2</v>
      </c>
      <c r="M14" s="365">
        <f>COS_Alloc.!N14</f>
        <v>0.12939999999999999</v>
      </c>
      <c r="N14" s="365">
        <f>COS_Alloc.!O14</f>
        <v>0</v>
      </c>
      <c r="O14" s="365">
        <f>COS_Alloc.!P14</f>
        <v>0.80059999999999998</v>
      </c>
      <c r="P14" s="365">
        <f>COS_Alloc.!Q14</f>
        <v>0</v>
      </c>
      <c r="Q14" s="365">
        <f>COS_Alloc.!R14</f>
        <v>0.23130000000000001</v>
      </c>
      <c r="R14" s="365">
        <f>COS_Alloc.!S14</f>
        <v>0.21560000000000001</v>
      </c>
      <c r="S14" s="365">
        <f>COS_Alloc.!T14</f>
        <v>0.33910000000000001</v>
      </c>
      <c r="T14" s="365">
        <f>COS_Alloc.!U14</f>
        <v>0</v>
      </c>
      <c r="U14" s="365">
        <f>COS_Alloc.!V14</f>
        <v>0.3916</v>
      </c>
      <c r="V14" s="365">
        <f>COS_Alloc.!W14</f>
        <v>8.3799999999999999E-2</v>
      </c>
    </row>
    <row r="15" spans="1:96" customFormat="1" ht="16.5" customHeight="1">
      <c r="A15" s="411"/>
      <c r="B15" s="225"/>
      <c r="C15" s="2676">
        <f>+MAX(C$11:C14)+1</f>
        <v>3</v>
      </c>
      <c r="D15" s="2677" t="str">
        <f>'Table 4'!D14</f>
        <v>Residential-Rural (1)</v>
      </c>
      <c r="E15" s="2722">
        <f>COS_Alloc.!F17</f>
        <v>8.2000000000000003E-2</v>
      </c>
      <c r="F15" s="2722">
        <f>COS_Alloc.!G17</f>
        <v>9.5699999999999993E-2</v>
      </c>
      <c r="G15" s="2722">
        <f>COS_Alloc.!H17</f>
        <v>0.15559999999999999</v>
      </c>
      <c r="H15" s="2722">
        <f>COS_Alloc.!I17</f>
        <v>0.1178</v>
      </c>
      <c r="I15" s="2722">
        <f>COS_Alloc.!J17</f>
        <v>0</v>
      </c>
      <c r="J15" s="2722">
        <f>COS_Alloc.!K17</f>
        <v>0</v>
      </c>
      <c r="K15" s="2722">
        <f>COS_Alloc.!L17</f>
        <v>0</v>
      </c>
      <c r="L15" s="2722">
        <f>COS_Alloc.!M17</f>
        <v>0.12230000000000001</v>
      </c>
      <c r="M15" s="2722">
        <f>COS_Alloc.!N17</f>
        <v>9.1000000000000004E-3</v>
      </c>
      <c r="N15" s="2722">
        <f>COS_Alloc.!O17</f>
        <v>0.35270000000000001</v>
      </c>
      <c r="O15" s="2722">
        <f>COS_Alloc.!P17</f>
        <v>0</v>
      </c>
      <c r="P15" s="2722">
        <f>COS_Alloc.!Q17</f>
        <v>0.92220000000000002</v>
      </c>
      <c r="Q15" s="2722">
        <f>COS_Alloc.!R17</f>
        <v>0.32519999999999999</v>
      </c>
      <c r="R15" s="2722">
        <f>COS_Alloc.!S17</f>
        <v>0.2021</v>
      </c>
      <c r="S15" s="2722">
        <f>COS_Alloc.!T17</f>
        <v>0.34960000000000002</v>
      </c>
      <c r="T15" s="2722">
        <f>COS_Alloc.!U17</f>
        <v>0</v>
      </c>
      <c r="U15" s="2722">
        <f>COS_Alloc.!V17</f>
        <v>0.36699999999999999</v>
      </c>
      <c r="V15" s="2722">
        <f>COS_Alloc.!W17</f>
        <v>0.1042</v>
      </c>
      <c r="CI15" s="1"/>
      <c r="CJ15" s="1"/>
      <c r="CK15" s="1"/>
      <c r="CL15" s="1"/>
      <c r="CM15" s="1"/>
      <c r="CN15" s="1"/>
      <c r="CO15" s="1"/>
      <c r="CP15" s="1"/>
      <c r="CQ15" s="1"/>
      <c r="CR15" s="1"/>
    </row>
    <row r="16" spans="1:96" customFormat="1" ht="16.5" customHeight="1">
      <c r="A16" s="411"/>
      <c r="B16" s="225"/>
      <c r="C16" s="268">
        <f>+MAX(C$11:C15)+1</f>
        <v>4</v>
      </c>
      <c r="D16" s="38" t="str">
        <f>'Table 4'!D15</f>
        <v>Irrigation (3)</v>
      </c>
      <c r="E16" s="365">
        <f>COS_Alloc.!F22</f>
        <v>0.1009</v>
      </c>
      <c r="F16" s="365">
        <f>COS_Alloc.!G22</f>
        <v>0.1225</v>
      </c>
      <c r="G16" s="365">
        <f>COS_Alloc.!H22</f>
        <v>0.1158</v>
      </c>
      <c r="H16" s="365">
        <f>COS_Alloc.!I22</f>
        <v>0.1575</v>
      </c>
      <c r="I16" s="365">
        <f>COS_Alloc.!J22</f>
        <v>0</v>
      </c>
      <c r="J16" s="365">
        <f>COS_Alloc.!K22</f>
        <v>0</v>
      </c>
      <c r="K16" s="365">
        <f>COS_Alloc.!L22</f>
        <v>0</v>
      </c>
      <c r="L16" s="365">
        <f>COS_Alloc.!M22</f>
        <v>0.17519999999999999</v>
      </c>
      <c r="M16" s="365">
        <f>COS_Alloc.!N22</f>
        <v>1.3100000000000001E-2</v>
      </c>
      <c r="N16" s="365">
        <f>COS_Alloc.!O22</f>
        <v>0.505</v>
      </c>
      <c r="O16" s="365">
        <f>COS_Alloc.!P22</f>
        <v>0</v>
      </c>
      <c r="P16" s="365">
        <f>COS_Alloc.!Q22</f>
        <v>5.7000000000000002E-3</v>
      </c>
      <c r="Q16" s="365">
        <f>COS_Alloc.!R22</f>
        <v>0.25430000000000003</v>
      </c>
      <c r="R16" s="365">
        <f>COS_Alloc.!S22</f>
        <v>0.23569999999999999</v>
      </c>
      <c r="S16" s="365">
        <f>COS_Alloc.!T22</f>
        <v>8.2299999999999998E-2</v>
      </c>
      <c r="T16" s="365">
        <f>COS_Alloc.!U22</f>
        <v>0</v>
      </c>
      <c r="U16" s="365">
        <f>COS_Alloc.!V22</f>
        <v>8.6499999999999994E-2</v>
      </c>
      <c r="V16" s="365">
        <f>COS_Alloc.!W22</f>
        <v>0.1143</v>
      </c>
      <c r="CI16" s="1"/>
      <c r="CJ16" s="1"/>
      <c r="CK16" s="1"/>
      <c r="CL16" s="1"/>
      <c r="CM16" s="1"/>
      <c r="CN16" s="1"/>
      <c r="CO16" s="1"/>
      <c r="CP16" s="1"/>
      <c r="CQ16" s="1"/>
      <c r="CR16" s="1"/>
    </row>
    <row r="17" spans="1:22" customFormat="1" ht="16.5" customHeight="1">
      <c r="A17" s="411"/>
      <c r="B17" s="225"/>
      <c r="C17" s="2676">
        <f>+MAX(C$11:C16)+1</f>
        <v>5</v>
      </c>
      <c r="D17" s="2677" t="str">
        <f>'Table 4'!D16</f>
        <v>General Service (2) &amp; (PA)</v>
      </c>
      <c r="E17" s="2722">
        <f>COS_Alloc.!F27+COS_Alloc.!F54</f>
        <v>9.0300000000000005E-2</v>
      </c>
      <c r="F17" s="2722">
        <f>COS_Alloc.!G27+COS_Alloc.!G54</f>
        <v>0.10940000000000001</v>
      </c>
      <c r="G17" s="2722">
        <f>COS_Alloc.!H27+COS_Alloc.!H54</f>
        <v>0.16270000000000001</v>
      </c>
      <c r="H17" s="2722">
        <f>COS_Alloc.!I27+COS_Alloc.!I54</f>
        <v>0.14070000000000002</v>
      </c>
      <c r="I17" s="2722">
        <f>COS_Alloc.!J27+COS_Alloc.!J54</f>
        <v>0</v>
      </c>
      <c r="J17" s="2722">
        <f>COS_Alloc.!K27+COS_Alloc.!K54</f>
        <v>0</v>
      </c>
      <c r="K17" s="2722">
        <f>COS_Alloc.!L27+COS_Alloc.!L54</f>
        <v>0</v>
      </c>
      <c r="L17" s="2722">
        <f>COS_Alloc.!M27+COS_Alloc.!M54</f>
        <v>0.15660000000000002</v>
      </c>
      <c r="M17" s="2722">
        <f>COS_Alloc.!N27+COS_Alloc.!N54</f>
        <v>0.16350000000000001</v>
      </c>
      <c r="N17" s="2722">
        <f>COS_Alloc.!O27+COS_Alloc.!O54</f>
        <v>0.14230000000000001</v>
      </c>
      <c r="O17" s="2722">
        <f>COS_Alloc.!P27+COS_Alloc.!P54</f>
        <v>0.1953</v>
      </c>
      <c r="P17" s="2722">
        <f>COS_Alloc.!Q27+COS_Alloc.!Q54</f>
        <v>6.88E-2</v>
      </c>
      <c r="Q17" s="2722">
        <f>COS_Alloc.!R27+COS_Alloc.!R54</f>
        <v>0.1681</v>
      </c>
      <c r="R17" s="2722">
        <f>COS_Alloc.!S27+COS_Alloc.!S54</f>
        <v>0.313</v>
      </c>
      <c r="S17" s="2722">
        <f>COS_Alloc.!T27+COS_Alloc.!T54</f>
        <v>0.19500000000000001</v>
      </c>
      <c r="T17" s="2722">
        <f>COS_Alloc.!U27+COS_Alloc.!U54</f>
        <v>0</v>
      </c>
      <c r="U17" s="2722">
        <f>COS_Alloc.!V27+COS_Alloc.!V54</f>
        <v>0.1502</v>
      </c>
      <c r="V17" s="2722">
        <f>COS_Alloc.!W27+COS_Alloc.!W54</f>
        <v>0.1085</v>
      </c>
    </row>
    <row r="18" spans="1:22" customFormat="1" ht="16.5" customHeight="1">
      <c r="A18" s="411"/>
      <c r="B18" s="225"/>
      <c r="C18" s="268">
        <f>+MAX(C$11:C17)+1</f>
        <v>6</v>
      </c>
      <c r="D18" s="38" t="str">
        <f>'Table 4'!D17</f>
        <v>Large General Service (7)</v>
      </c>
      <c r="E18" s="365">
        <f>COS_Alloc.!F30</f>
        <v>4.6699999999999998E-2</v>
      </c>
      <c r="F18" s="365">
        <f>COS_Alloc.!G30</f>
        <v>4.5100000000000001E-2</v>
      </c>
      <c r="G18" s="365">
        <f>COS_Alloc.!H30</f>
        <v>5.1400000000000001E-2</v>
      </c>
      <c r="H18" s="365">
        <f>COS_Alloc.!I30</f>
        <v>4.2500000000000003E-2</v>
      </c>
      <c r="I18" s="365">
        <f>COS_Alloc.!J30</f>
        <v>0</v>
      </c>
      <c r="J18" s="365">
        <f>COS_Alloc.!K30</f>
        <v>0</v>
      </c>
      <c r="K18" s="365">
        <f>COS_Alloc.!L30</f>
        <v>0</v>
      </c>
      <c r="L18" s="365">
        <f>COS_Alloc.!M30</f>
        <v>4.41E-2</v>
      </c>
      <c r="M18" s="365">
        <f>COS_Alloc.!N30</f>
        <v>6.5799999999999997E-2</v>
      </c>
      <c r="N18" s="365">
        <f>COS_Alloc.!O30</f>
        <v>0</v>
      </c>
      <c r="O18" s="365">
        <f>COS_Alloc.!P30</f>
        <v>0</v>
      </c>
      <c r="P18" s="365">
        <f>COS_Alloc.!Q30</f>
        <v>0</v>
      </c>
      <c r="Q18" s="365">
        <f>COS_Alloc.!R30</f>
        <v>1.9300000000000001E-2</v>
      </c>
      <c r="R18" s="365">
        <f>COS_Alloc.!S30</f>
        <v>2.4E-2</v>
      </c>
      <c r="S18" s="365">
        <f>COS_Alloc.!T30</f>
        <v>1.89E-2</v>
      </c>
      <c r="T18" s="365">
        <f>COS_Alloc.!U30</f>
        <v>0</v>
      </c>
      <c r="U18" s="365">
        <f>COS_Alloc.!V30</f>
        <v>2.2000000000000001E-3</v>
      </c>
      <c r="V18" s="365">
        <f>COS_Alloc.!W30</f>
        <v>3.6200000000000003E-2</v>
      </c>
    </row>
    <row r="19" spans="1:22" customFormat="1" ht="16.5" customHeight="1">
      <c r="A19" s="411"/>
      <c r="B19" s="225"/>
      <c r="C19" s="2676">
        <f>+MAX(C$11:C18)+1</f>
        <v>7</v>
      </c>
      <c r="D19" s="2677" t="str">
        <f>'Table 4'!D18</f>
        <v>Industrial (14)</v>
      </c>
      <c r="E19" s="2722">
        <f>COS_Alloc.!F33</f>
        <v>0.14449999999999999</v>
      </c>
      <c r="F19" s="2722">
        <f>COS_Alloc.!G33</f>
        <v>0.13569999999999999</v>
      </c>
      <c r="G19" s="2722">
        <f>COS_Alloc.!H33</f>
        <v>8.8200000000000001E-2</v>
      </c>
      <c r="H19" s="2722">
        <f>COS_Alloc.!I33</f>
        <v>0.12139999999999999</v>
      </c>
      <c r="I19" s="2722">
        <f>COS_Alloc.!J33</f>
        <v>0.2104</v>
      </c>
      <c r="J19" s="2722">
        <f>COS_Alloc.!K33</f>
        <v>1</v>
      </c>
      <c r="K19" s="2722">
        <f>COS_Alloc.!L33</f>
        <v>0</v>
      </c>
      <c r="L19" s="2722">
        <f>COS_Alloc.!M33</f>
        <v>0.1181</v>
      </c>
      <c r="M19" s="2722">
        <f>COS_Alloc.!N33</f>
        <v>0.1762</v>
      </c>
      <c r="N19" s="2722">
        <f>COS_Alloc.!O33</f>
        <v>0</v>
      </c>
      <c r="O19" s="2722">
        <f>COS_Alloc.!P33</f>
        <v>0</v>
      </c>
      <c r="P19" s="2722">
        <f>COS_Alloc.!Q33</f>
        <v>0</v>
      </c>
      <c r="Q19" s="2722">
        <f>COS_Alloc.!R33</f>
        <v>0</v>
      </c>
      <c r="R19" s="2722">
        <f>COS_Alloc.!S33</f>
        <v>3.8999999999999998E-3</v>
      </c>
      <c r="S19" s="2722">
        <f>COS_Alloc.!T33</f>
        <v>4.1000000000000003E-3</v>
      </c>
      <c r="T19" s="2722">
        <f>COS_Alloc.!U33</f>
        <v>0</v>
      </c>
      <c r="U19" s="2722">
        <f>COS_Alloc.!V33</f>
        <v>2.0000000000000001E-4</v>
      </c>
      <c r="V19" s="2722">
        <f>COS_Alloc.!W33</f>
        <v>0.13</v>
      </c>
    </row>
    <row r="20" spans="1:22" customFormat="1" ht="16.5" customHeight="1">
      <c r="A20" s="411"/>
      <c r="B20" s="225"/>
      <c r="C20" s="268">
        <f>+MAX(C$11:C19)+1</f>
        <v>8</v>
      </c>
      <c r="D20" s="38" t="str">
        <f>'Table 4'!D19</f>
        <v>Large Industrial (15) &amp; (94)</v>
      </c>
      <c r="E20" s="365">
        <f>COS_Alloc.!F36+COS_Alloc.!F45</f>
        <v>0.41210000000000002</v>
      </c>
      <c r="F20" s="365">
        <f>COS_Alloc.!G36+COS_Alloc.!G45</f>
        <v>0.36230000000000001</v>
      </c>
      <c r="G20" s="365">
        <f>COS_Alloc.!H36+COS_Alloc.!H45</f>
        <v>0.24979999999999999</v>
      </c>
      <c r="H20" s="365">
        <f>COS_Alloc.!I36+COS_Alloc.!I45</f>
        <v>0.28129999999999999</v>
      </c>
      <c r="I20" s="365">
        <f>COS_Alloc.!J36+COS_Alloc.!J45</f>
        <v>0.70240000000000002</v>
      </c>
      <c r="J20" s="365">
        <f>COS_Alloc.!K36+COS_Alloc.!K45</f>
        <v>0</v>
      </c>
      <c r="K20" s="365">
        <f>COS_Alloc.!L36+COS_Alloc.!L45</f>
        <v>1</v>
      </c>
      <c r="L20" s="365">
        <f>COS_Alloc.!M36+COS_Alloc.!M45</f>
        <v>0.24340000000000001</v>
      </c>
      <c r="M20" s="365">
        <f>COS_Alloc.!N36+COS_Alloc.!N45</f>
        <v>0.36299999999999999</v>
      </c>
      <c r="N20" s="365">
        <f>COS_Alloc.!O36+COS_Alloc.!O45</f>
        <v>0</v>
      </c>
      <c r="O20" s="365">
        <f>COS_Alloc.!P36+COS_Alloc.!P45</f>
        <v>0</v>
      </c>
      <c r="P20" s="365">
        <f>COS_Alloc.!Q36+COS_Alloc.!Q45</f>
        <v>0</v>
      </c>
      <c r="Q20" s="365">
        <f>COS_Alloc.!R36+COS_Alloc.!R45</f>
        <v>0</v>
      </c>
      <c r="R20" s="365">
        <f>COS_Alloc.!S36+COS_Alloc.!S45</f>
        <v>2.0999999999999999E-3</v>
      </c>
      <c r="S20" s="365">
        <f>COS_Alloc.!T36+COS_Alloc.!T45</f>
        <v>5.4999999999999997E-3</v>
      </c>
      <c r="T20" s="365">
        <f>COS_Alloc.!U36+COS_Alloc.!U45</f>
        <v>0</v>
      </c>
      <c r="U20" s="365">
        <f>COS_Alloc.!V36+COS_Alloc.!V45</f>
        <v>1E-4</v>
      </c>
      <c r="V20" s="365">
        <f>COS_Alloc.!W36+COS_Alloc.!W45</f>
        <v>0.36209999999999998</v>
      </c>
    </row>
    <row r="21" spans="1:22" customFormat="1" ht="16.5" customHeight="1">
      <c r="A21" s="411"/>
      <c r="B21" s="225"/>
      <c r="C21" s="2676">
        <f>+MAX(C$11:C20)+1</f>
        <v>9</v>
      </c>
      <c r="D21" s="2677" t="str">
        <f>'Table 4'!D20</f>
        <v>Agricultural Processing (16)</v>
      </c>
      <c r="E21" s="2722">
        <f>COS_Alloc.!F39</f>
        <v>6.4600000000000005E-2</v>
      </c>
      <c r="F21" s="2722">
        <f>COS_Alloc.!G39</f>
        <v>6.0600000000000001E-2</v>
      </c>
      <c r="G21" s="2722">
        <f>COS_Alloc.!H39</f>
        <v>6.6199999999999995E-2</v>
      </c>
      <c r="H21" s="2722">
        <f>COS_Alloc.!I39</f>
        <v>5.4300000000000001E-2</v>
      </c>
      <c r="I21" s="2722">
        <f>COS_Alloc.!J39</f>
        <v>7.3499999999999996E-2</v>
      </c>
      <c r="J21" s="2722">
        <f>COS_Alloc.!K39</f>
        <v>0</v>
      </c>
      <c r="K21" s="2722">
        <f>COS_Alloc.!L39</f>
        <v>0</v>
      </c>
      <c r="L21" s="2722">
        <f>COS_Alloc.!M39</f>
        <v>5.28E-2</v>
      </c>
      <c r="M21" s="2722">
        <f>COS_Alloc.!N39</f>
        <v>7.8799999999999995E-2</v>
      </c>
      <c r="N21" s="2722">
        <f>COS_Alloc.!O39</f>
        <v>0</v>
      </c>
      <c r="O21" s="2722">
        <f>COS_Alloc.!P39</f>
        <v>0</v>
      </c>
      <c r="P21" s="2722">
        <f>COS_Alloc.!Q39</f>
        <v>0</v>
      </c>
      <c r="Q21" s="2722">
        <f>COS_Alloc.!R39</f>
        <v>0</v>
      </c>
      <c r="R21" s="2722">
        <f>COS_Alloc.!S39</f>
        <v>3.3E-3</v>
      </c>
      <c r="S21" s="2722">
        <f>COS_Alloc.!T39</f>
        <v>3.5000000000000001E-3</v>
      </c>
      <c r="T21" s="2722">
        <f>COS_Alloc.!U39</f>
        <v>0</v>
      </c>
      <c r="U21" s="2722">
        <f>COS_Alloc.!V39</f>
        <v>2.0000000000000001E-4</v>
      </c>
      <c r="V21" s="2722">
        <f>COS_Alloc.!W39</f>
        <v>5.7299999999999997E-2</v>
      </c>
    </row>
    <row r="22" spans="1:22" customFormat="1" ht="16.5" customHeight="1">
      <c r="A22" s="411"/>
      <c r="B22" s="225"/>
      <c r="C22" s="268">
        <f>+MAX(C$11:C21)+1</f>
        <v>10</v>
      </c>
      <c r="D22" s="38" t="str">
        <f>'Table 4'!D21</f>
        <v>Agricultural Boiler (85)</v>
      </c>
      <c r="E22" s="365">
        <f>COS_Alloc.!F42</f>
        <v>0</v>
      </c>
      <c r="F22" s="365">
        <f>COS_Alloc.!G42</f>
        <v>0</v>
      </c>
      <c r="G22" s="365">
        <f>COS_Alloc.!H42</f>
        <v>0</v>
      </c>
      <c r="H22" s="365">
        <f>COS_Alloc.!I42</f>
        <v>0</v>
      </c>
      <c r="I22" s="365">
        <f>COS_Alloc.!J42</f>
        <v>1.37E-2</v>
      </c>
      <c r="J22" s="365">
        <f>COS_Alloc.!K42</f>
        <v>0</v>
      </c>
      <c r="K22" s="365">
        <f>COS_Alloc.!L42</f>
        <v>0</v>
      </c>
      <c r="L22" s="365">
        <f>COS_Alloc.!M42</f>
        <v>0</v>
      </c>
      <c r="M22" s="365">
        <f>COS_Alloc.!N42</f>
        <v>0</v>
      </c>
      <c r="N22" s="365">
        <f>COS_Alloc.!O42</f>
        <v>0</v>
      </c>
      <c r="O22" s="365">
        <f>COS_Alloc.!P42</f>
        <v>0</v>
      </c>
      <c r="P22" s="365">
        <f>COS_Alloc.!Q42</f>
        <v>0</v>
      </c>
      <c r="Q22" s="365">
        <f>COS_Alloc.!R42</f>
        <v>0</v>
      </c>
      <c r="R22" s="365">
        <f>COS_Alloc.!S42</f>
        <v>2.9999999999999997E-4</v>
      </c>
      <c r="S22" s="365">
        <f>COS_Alloc.!T42</f>
        <v>2.9999999999999997E-4</v>
      </c>
      <c r="T22" s="365">
        <f>COS_Alloc.!U42</f>
        <v>0</v>
      </c>
      <c r="U22" s="365">
        <f>COS_Alloc.!V42</f>
        <v>0</v>
      </c>
      <c r="V22" s="365">
        <f>COS_Alloc.!W42</f>
        <v>1E-4</v>
      </c>
    </row>
    <row r="23" spans="1:22" customFormat="1" ht="16.5" customHeight="1">
      <c r="A23" s="411"/>
      <c r="B23" s="225"/>
      <c r="C23" s="2676">
        <f>+MAX(C$11:C22)+1</f>
        <v>11</v>
      </c>
      <c r="D23" s="2677" t="str">
        <f>'Table 4'!D22</f>
        <v>Street Lights (6)</v>
      </c>
      <c r="E23" s="2722">
        <f>COS_Alloc.!F48</f>
        <v>6.9999999999999999E-4</v>
      </c>
      <c r="F23" s="2722">
        <f>COS_Alloc.!G48</f>
        <v>8.0000000000000004E-4</v>
      </c>
      <c r="G23" s="2722">
        <f>COS_Alloc.!H48</f>
        <v>0</v>
      </c>
      <c r="H23" s="2722">
        <f>COS_Alloc.!I48</f>
        <v>8.9999999999999998E-4</v>
      </c>
      <c r="I23" s="2722">
        <f>COS_Alloc.!J48</f>
        <v>0</v>
      </c>
      <c r="J23" s="2722">
        <f>COS_Alloc.!K48</f>
        <v>0</v>
      </c>
      <c r="K23" s="2722">
        <f>COS_Alloc.!L48</f>
        <v>0</v>
      </c>
      <c r="L23" s="2722">
        <f>COS_Alloc.!M48</f>
        <v>6.9999999999999999E-4</v>
      </c>
      <c r="M23" s="2722">
        <f>COS_Alloc.!N48</f>
        <v>1E-3</v>
      </c>
      <c r="N23" s="2722">
        <f>COS_Alloc.!O48</f>
        <v>0</v>
      </c>
      <c r="O23" s="2722">
        <f>COS_Alloc.!P48</f>
        <v>2.5000000000000001E-3</v>
      </c>
      <c r="P23" s="2722">
        <f>COS_Alloc.!Q48</f>
        <v>2E-3</v>
      </c>
      <c r="Q23" s="2722">
        <f>COS_Alloc.!R48</f>
        <v>1.1000000000000001E-3</v>
      </c>
      <c r="R23" s="2722">
        <f>COS_Alloc.!S48</f>
        <v>0</v>
      </c>
      <c r="S23" s="2722">
        <f>COS_Alloc.!T48</f>
        <v>1E-3</v>
      </c>
      <c r="T23" s="2722">
        <f>COS_Alloc.!U48</f>
        <v>0.96681298134511484</v>
      </c>
      <c r="U23" s="2722">
        <f>COS_Alloc.!V48</f>
        <v>1.1999999999999999E-3</v>
      </c>
      <c r="V23" s="2722">
        <f>COS_Alloc.!W48</f>
        <v>3.3999999999999998E-3</v>
      </c>
    </row>
    <row r="24" spans="1:22" customFormat="1" ht="16.5" customHeight="1">
      <c r="A24" s="411"/>
      <c r="B24" s="225"/>
      <c r="C24" s="268">
        <f>+MAX(C$11:C23)+1</f>
        <v>12</v>
      </c>
      <c r="D24" s="38" t="str">
        <f>'Table 4'!D23</f>
        <v>Street Lights (2)</v>
      </c>
      <c r="E24" s="365">
        <f>COS_Alloc.!F51</f>
        <v>1E-4</v>
      </c>
      <c r="F24" s="365">
        <f>COS_Alloc.!G51</f>
        <v>1E-4</v>
      </c>
      <c r="G24" s="365">
        <f>COS_Alloc.!H51</f>
        <v>0</v>
      </c>
      <c r="H24" s="365">
        <f>COS_Alloc.!I51</f>
        <v>1E-4</v>
      </c>
      <c r="I24" s="365">
        <f>COS_Alloc.!J51</f>
        <v>0</v>
      </c>
      <c r="J24" s="365">
        <f>COS_Alloc.!K51</f>
        <v>0</v>
      </c>
      <c r="K24" s="365">
        <f>COS_Alloc.!L51</f>
        <v>0</v>
      </c>
      <c r="L24" s="365">
        <f>COS_Alloc.!M51</f>
        <v>1E-4</v>
      </c>
      <c r="M24" s="365">
        <f>COS_Alloc.!N51</f>
        <v>1E-4</v>
      </c>
      <c r="N24" s="365">
        <f>COS_Alloc.!O51</f>
        <v>0</v>
      </c>
      <c r="O24" s="365">
        <f>COS_Alloc.!P51</f>
        <v>1.6000000000000001E-3</v>
      </c>
      <c r="P24" s="365">
        <f>COS_Alloc.!Q51</f>
        <v>1.2999999999999999E-3</v>
      </c>
      <c r="Q24" s="365">
        <f>COS_Alloc.!R51</f>
        <v>6.9999999999999999E-4</v>
      </c>
      <c r="R24" s="365">
        <f>COS_Alloc.!S51</f>
        <v>0</v>
      </c>
      <c r="S24" s="365">
        <f>COS_Alloc.!T51</f>
        <v>6.9999999999999999E-4</v>
      </c>
      <c r="T24" s="365">
        <f>COS_Alloc.!U51</f>
        <v>3.3187018654885159E-2</v>
      </c>
      <c r="U24" s="365">
        <f>COS_Alloc.!V51</f>
        <v>8.0000000000000004E-4</v>
      </c>
      <c r="V24" s="365">
        <f>COS_Alloc.!W51</f>
        <v>1E-4</v>
      </c>
    </row>
    <row r="25" spans="1:22" customFormat="1" ht="16.5" customHeight="1">
      <c r="A25" s="411"/>
      <c r="B25" s="225"/>
      <c r="C25" s="2676">
        <f>+MAX(C$11:C24)+1</f>
        <v>13</v>
      </c>
      <c r="D25" s="2677" t="str">
        <f>'Table 4'!D24</f>
        <v>Alternate Power Sales</v>
      </c>
      <c r="E25" s="2722">
        <f>COS_Alloc.!F57</f>
        <v>0</v>
      </c>
      <c r="F25" s="2722">
        <f>COS_Alloc.!G57</f>
        <v>0</v>
      </c>
      <c r="G25" s="2722">
        <f>COS_Alloc.!H57</f>
        <v>0</v>
      </c>
      <c r="H25" s="2722">
        <f>COS_Alloc.!I57</f>
        <v>0</v>
      </c>
      <c r="I25" s="2722">
        <f>COS_Alloc.!J57</f>
        <v>0</v>
      </c>
      <c r="J25" s="2722">
        <f>COS_Alloc.!K57</f>
        <v>0</v>
      </c>
      <c r="K25" s="2722">
        <f>COS_Alloc.!L57</f>
        <v>0</v>
      </c>
      <c r="L25" s="2722">
        <f>COS_Alloc.!M57</f>
        <v>0</v>
      </c>
      <c r="M25" s="2722">
        <f>COS_Alloc.!N57</f>
        <v>0</v>
      </c>
      <c r="N25" s="2722">
        <f>COS_Alloc.!O57</f>
        <v>0</v>
      </c>
      <c r="O25" s="2722">
        <f>COS_Alloc.!P57</f>
        <v>0</v>
      </c>
      <c r="P25" s="2722">
        <f>COS_Alloc.!Q57</f>
        <v>0</v>
      </c>
      <c r="Q25" s="2722">
        <f>COS_Alloc.!R57</f>
        <v>0</v>
      </c>
      <c r="R25" s="2722">
        <f>COS_Alloc.!S57</f>
        <v>0</v>
      </c>
      <c r="S25" s="2722">
        <f>COS_Alloc.!T57</f>
        <v>0</v>
      </c>
      <c r="T25" s="2722">
        <f>COS_Alloc.!U57</f>
        <v>0</v>
      </c>
      <c r="U25" s="2722">
        <f>COS_Alloc.!V57</f>
        <v>0</v>
      </c>
      <c r="V25" s="2722">
        <f>COS_Alloc.!W57</f>
        <v>0</v>
      </c>
    </row>
    <row r="26" spans="1:22">
      <c r="A26" s="411"/>
      <c r="C26" s="1"/>
      <c r="D26" s="1"/>
      <c r="E26" s="17"/>
      <c r="F26" s="17"/>
      <c r="G26" s="17"/>
      <c r="H26" s="17"/>
      <c r="I26" s="17"/>
      <c r="J26" s="17"/>
      <c r="K26" s="17"/>
      <c r="L26" s="17"/>
      <c r="M26" s="17"/>
      <c r="N26" s="17"/>
      <c r="O26" s="17"/>
      <c r="P26" s="17"/>
      <c r="Q26" s="17"/>
      <c r="R26" s="17"/>
      <c r="S26" s="17"/>
      <c r="T26" s="17"/>
      <c r="U26" s="17"/>
      <c r="V26" s="17"/>
    </row>
    <row r="27" spans="1:22" s="88" customFormat="1">
      <c r="A27" s="411"/>
      <c r="B27" s="86"/>
      <c r="C27" s="2676">
        <f>+MAX(C$11:C26)+1</f>
        <v>14</v>
      </c>
      <c r="D27" s="58" t="s">
        <v>452</v>
      </c>
      <c r="E27" s="2723">
        <f>SUM(E14:E25)</f>
        <v>1</v>
      </c>
      <c r="F27" s="2723">
        <f t="shared" ref="F27:O27" si="0">SUM(F14:F25)</f>
        <v>1.0000000000000002</v>
      </c>
      <c r="G27" s="2723">
        <f t="shared" si="0"/>
        <v>1</v>
      </c>
      <c r="H27" s="2723">
        <f t="shared" si="0"/>
        <v>1</v>
      </c>
      <c r="I27" s="2723">
        <f t="shared" si="0"/>
        <v>1</v>
      </c>
      <c r="J27" s="2723">
        <f>SUM(J14:J25)</f>
        <v>1</v>
      </c>
      <c r="K27" s="2723">
        <f>SUM(K14:K25)</f>
        <v>1</v>
      </c>
      <c r="L27" s="2723">
        <f t="shared" si="0"/>
        <v>0.99999999999999989</v>
      </c>
      <c r="M27" s="2723">
        <f t="shared" si="0"/>
        <v>1</v>
      </c>
      <c r="N27" s="2723">
        <f t="shared" si="0"/>
        <v>1</v>
      </c>
      <c r="O27" s="2723">
        <f t="shared" si="0"/>
        <v>1</v>
      </c>
      <c r="P27" s="2723">
        <f t="shared" ref="P27:V27" si="1">SUM(P14:P25)</f>
        <v>1</v>
      </c>
      <c r="Q27" s="2723">
        <f t="shared" si="1"/>
        <v>1</v>
      </c>
      <c r="R27" s="2723">
        <f t="shared" si="1"/>
        <v>0.99999999999999989</v>
      </c>
      <c r="S27" s="2723">
        <f t="shared" si="1"/>
        <v>1</v>
      </c>
      <c r="T27" s="2723">
        <f t="shared" si="1"/>
        <v>1</v>
      </c>
      <c r="U27" s="2723">
        <f t="shared" si="1"/>
        <v>0.99999999999999989</v>
      </c>
      <c r="V27" s="2723">
        <f t="shared" si="1"/>
        <v>0.99999999999999989</v>
      </c>
    </row>
    <row r="28" spans="1:22">
      <c r="A28" s="411"/>
      <c r="C28" s="1"/>
      <c r="D28" s="1"/>
      <c r="E28" s="17"/>
      <c r="F28" s="17"/>
      <c r="G28" s="17"/>
      <c r="H28" s="17"/>
      <c r="I28" s="17"/>
      <c r="J28" s="17"/>
      <c r="K28" s="17"/>
      <c r="L28" s="17"/>
      <c r="M28" s="17"/>
      <c r="N28" s="17"/>
      <c r="O28" s="17"/>
      <c r="P28" s="17"/>
      <c r="Q28" s="17"/>
      <c r="R28" s="17"/>
      <c r="S28" s="17"/>
      <c r="T28" s="17"/>
      <c r="U28" s="17"/>
      <c r="V28" s="17"/>
    </row>
    <row r="29" spans="1:22">
      <c r="A29" s="411"/>
      <c r="C29" s="1"/>
      <c r="D29" s="1"/>
      <c r="E29" s="17"/>
      <c r="F29" s="17"/>
      <c r="G29" s="17"/>
      <c r="H29" s="17"/>
      <c r="I29" s="17"/>
      <c r="J29" s="17"/>
      <c r="K29" s="17"/>
      <c r="L29" s="17"/>
      <c r="M29" s="17"/>
      <c r="N29" s="17"/>
      <c r="O29" s="17"/>
      <c r="P29" s="17"/>
      <c r="Q29" s="17"/>
      <c r="R29" s="17"/>
      <c r="S29" s="17"/>
      <c r="T29" s="17"/>
      <c r="U29" s="17"/>
      <c r="V29" s="17"/>
    </row>
    <row r="30" spans="1:22">
      <c r="A30" s="411"/>
      <c r="C30" s="1"/>
      <c r="D30" s="1"/>
      <c r="E30" s="17"/>
      <c r="F30" s="17"/>
      <c r="G30" s="17"/>
      <c r="H30" s="17"/>
      <c r="I30" s="17"/>
      <c r="J30" s="17"/>
      <c r="K30" s="17"/>
      <c r="L30" s="17"/>
      <c r="M30" s="17"/>
      <c r="N30" s="17"/>
      <c r="O30" s="17"/>
      <c r="P30" s="17"/>
      <c r="Q30" s="17"/>
      <c r="R30" s="17"/>
      <c r="S30" s="17"/>
      <c r="T30" s="17"/>
      <c r="U30" s="17"/>
      <c r="V30" s="17"/>
    </row>
    <row r="31" spans="1:22">
      <c r="A31" s="411"/>
      <c r="C31" s="1"/>
      <c r="D31" s="1"/>
      <c r="E31" s="17"/>
      <c r="F31" s="17"/>
      <c r="G31" s="17"/>
      <c r="H31" s="17"/>
      <c r="I31" s="17"/>
      <c r="J31" s="17"/>
      <c r="K31" s="17"/>
      <c r="L31" s="17"/>
      <c r="M31" s="17"/>
      <c r="N31" s="17"/>
      <c r="O31" s="17"/>
      <c r="P31" s="17"/>
      <c r="Q31" s="17"/>
      <c r="R31" s="17"/>
      <c r="S31" s="17"/>
      <c r="T31" s="17"/>
      <c r="U31" s="17"/>
      <c r="V31" s="17"/>
    </row>
    <row r="32" spans="1:22">
      <c r="A32" s="411"/>
      <c r="C32" s="1"/>
      <c r="D32" s="1"/>
      <c r="E32" s="17"/>
      <c r="F32" s="17"/>
      <c r="G32" s="17"/>
      <c r="H32" s="17"/>
      <c r="I32" s="17"/>
      <c r="J32" s="17"/>
      <c r="K32" s="17"/>
      <c r="L32" s="17"/>
      <c r="M32" s="17"/>
      <c r="N32" s="17"/>
      <c r="O32" s="17"/>
      <c r="P32" s="17"/>
      <c r="Q32" s="17"/>
      <c r="R32" s="17"/>
      <c r="S32" s="17"/>
      <c r="T32" s="17"/>
      <c r="U32" s="17"/>
      <c r="V32" s="17"/>
    </row>
    <row r="33" spans="1:22">
      <c r="A33" s="411"/>
      <c r="C33" s="1"/>
      <c r="D33" s="1"/>
      <c r="E33" s="17"/>
      <c r="F33" s="17"/>
      <c r="G33" s="17"/>
      <c r="H33" s="17"/>
      <c r="I33" s="17"/>
      <c r="J33" s="17"/>
      <c r="K33" s="17"/>
      <c r="L33" s="17"/>
      <c r="M33" s="17"/>
      <c r="N33" s="17"/>
      <c r="O33" s="17"/>
      <c r="P33" s="17"/>
      <c r="Q33" s="17"/>
      <c r="R33" s="17"/>
      <c r="S33" s="17"/>
      <c r="T33" s="17"/>
      <c r="U33" s="17"/>
      <c r="V33" s="17"/>
    </row>
    <row r="34" spans="1:22">
      <c r="A34" s="411"/>
      <c r="C34" s="1"/>
      <c r="D34" s="1"/>
      <c r="E34" s="17"/>
      <c r="F34" s="17"/>
      <c r="G34" s="17"/>
      <c r="H34" s="17"/>
      <c r="I34" s="17"/>
      <c r="J34" s="17"/>
      <c r="K34" s="17"/>
      <c r="L34" s="17"/>
      <c r="M34" s="17"/>
      <c r="N34" s="17"/>
      <c r="O34" s="17"/>
      <c r="P34" s="17"/>
      <c r="Q34" s="17"/>
      <c r="R34" s="17"/>
      <c r="S34" s="17"/>
      <c r="T34" s="17"/>
      <c r="U34" s="17"/>
      <c r="V34" s="17"/>
    </row>
    <row r="35" spans="1:22">
      <c r="A35" s="411"/>
      <c r="C35" s="1"/>
      <c r="D35" s="1"/>
      <c r="E35" s="17"/>
      <c r="F35" s="17"/>
      <c r="G35" s="17"/>
      <c r="H35" s="17"/>
      <c r="I35" s="17"/>
      <c r="J35" s="17"/>
      <c r="K35" s="17"/>
      <c r="L35" s="17"/>
      <c r="M35" s="17"/>
      <c r="N35" s="17"/>
      <c r="O35" s="17"/>
      <c r="P35" s="17"/>
      <c r="Q35" s="17"/>
      <c r="R35" s="17"/>
      <c r="S35" s="17"/>
      <c r="T35" s="17"/>
      <c r="U35" s="17"/>
      <c r="V35" s="17"/>
    </row>
    <row r="36" spans="1:22" hidden="1">
      <c r="A36" s="411"/>
      <c r="C36" s="1"/>
      <c r="D36" s="1"/>
      <c r="E36" s="17"/>
      <c r="F36" s="17"/>
      <c r="G36" s="17"/>
      <c r="H36" s="17"/>
      <c r="I36" s="17"/>
      <c r="J36" s="17"/>
      <c r="K36" s="17"/>
      <c r="L36" s="17"/>
      <c r="M36" s="17"/>
      <c r="N36" s="17"/>
      <c r="O36" s="17"/>
      <c r="P36" s="17"/>
      <c r="Q36" s="17"/>
      <c r="R36" s="17"/>
      <c r="S36" s="17"/>
      <c r="T36" s="17"/>
      <c r="U36" s="17"/>
      <c r="V36" s="17"/>
    </row>
    <row r="37" spans="1:22" hidden="1">
      <c r="A37" s="411"/>
      <c r="C37" s="1"/>
      <c r="D37" s="1"/>
      <c r="E37" s="17"/>
      <c r="F37" s="17"/>
      <c r="G37" s="17"/>
      <c r="H37" s="17"/>
      <c r="I37" s="17"/>
      <c r="J37" s="17"/>
      <c r="K37" s="17"/>
      <c r="L37" s="17"/>
      <c r="M37" s="17"/>
      <c r="N37" s="17"/>
      <c r="O37" s="17"/>
      <c r="P37" s="17"/>
      <c r="Q37" s="17"/>
      <c r="R37" s="17"/>
      <c r="S37" s="17"/>
      <c r="T37" s="17"/>
      <c r="U37" s="17"/>
      <c r="V37" s="17"/>
    </row>
    <row r="38" spans="1:22" hidden="1">
      <c r="A38" s="411"/>
      <c r="C38" s="1"/>
      <c r="D38" s="1"/>
      <c r="E38" s="17"/>
      <c r="F38" s="17"/>
      <c r="G38" s="17"/>
      <c r="H38" s="17"/>
      <c r="I38" s="17"/>
      <c r="J38" s="17"/>
      <c r="K38" s="17"/>
      <c r="L38" s="17"/>
      <c r="M38" s="17"/>
      <c r="N38" s="17"/>
      <c r="O38" s="17"/>
      <c r="P38" s="17"/>
      <c r="Q38" s="17"/>
      <c r="R38" s="17"/>
      <c r="S38" s="17"/>
      <c r="T38" s="17"/>
      <c r="U38" s="17"/>
      <c r="V38" s="17"/>
    </row>
    <row r="39" spans="1:22" hidden="1">
      <c r="A39" s="411"/>
      <c r="C39" s="1"/>
      <c r="D39" s="1"/>
      <c r="E39" s="17"/>
      <c r="F39" s="17"/>
      <c r="G39" s="17"/>
      <c r="H39" s="17"/>
      <c r="I39" s="17"/>
      <c r="J39" s="17"/>
      <c r="K39" s="17"/>
      <c r="L39" s="17"/>
      <c r="M39" s="17"/>
      <c r="N39" s="17"/>
      <c r="O39" s="17"/>
      <c r="P39" s="17"/>
      <c r="Q39" s="17"/>
      <c r="R39" s="17"/>
      <c r="S39" s="17"/>
      <c r="T39" s="17"/>
      <c r="U39" s="17"/>
      <c r="V39" s="17"/>
    </row>
    <row r="40" spans="1:22" hidden="1">
      <c r="A40" s="411"/>
      <c r="C40" s="1"/>
      <c r="D40" s="1"/>
      <c r="E40" s="17"/>
      <c r="F40" s="17"/>
      <c r="G40" s="17"/>
      <c r="H40" s="17"/>
      <c r="I40" s="17"/>
      <c r="J40" s="17"/>
      <c r="K40" s="17"/>
      <c r="L40" s="17"/>
      <c r="M40" s="17"/>
      <c r="N40" s="17"/>
      <c r="O40" s="17"/>
      <c r="P40" s="17"/>
      <c r="Q40" s="17"/>
      <c r="R40" s="17"/>
      <c r="S40" s="17"/>
      <c r="T40" s="17"/>
      <c r="U40" s="17"/>
      <c r="V40" s="17"/>
    </row>
    <row r="41" spans="1:22" hidden="1">
      <c r="A41" s="411"/>
      <c r="C41" s="1"/>
      <c r="D41" s="1"/>
      <c r="E41" s="17"/>
      <c r="F41" s="17"/>
      <c r="G41" s="17"/>
      <c r="H41" s="17"/>
      <c r="I41" s="17"/>
      <c r="J41" s="17"/>
      <c r="K41" s="17"/>
      <c r="L41" s="17"/>
      <c r="M41" s="17"/>
      <c r="N41" s="17"/>
      <c r="O41" s="17"/>
      <c r="P41" s="17"/>
      <c r="Q41" s="17"/>
      <c r="R41" s="17"/>
      <c r="S41" s="17"/>
      <c r="T41" s="17"/>
      <c r="U41" s="17"/>
      <c r="V41" s="17"/>
    </row>
    <row r="42" spans="1:22" hidden="1">
      <c r="A42" s="411"/>
      <c r="C42" s="1"/>
      <c r="D42" s="1"/>
      <c r="E42" s="17"/>
      <c r="F42" s="17"/>
      <c r="G42" s="17"/>
      <c r="H42" s="17"/>
      <c r="I42" s="17"/>
      <c r="J42" s="17"/>
      <c r="K42" s="17"/>
      <c r="L42" s="17"/>
      <c r="M42" s="17"/>
      <c r="N42" s="17"/>
      <c r="O42" s="17"/>
      <c r="P42" s="17"/>
      <c r="Q42" s="17"/>
      <c r="R42" s="17"/>
      <c r="S42" s="17"/>
      <c r="T42" s="17"/>
      <c r="U42" s="17"/>
      <c r="V42" s="17"/>
    </row>
    <row r="43" spans="1:22" hidden="1">
      <c r="A43" s="411"/>
      <c r="C43" s="1"/>
      <c r="D43" s="1"/>
      <c r="E43" s="17"/>
      <c r="F43" s="17"/>
      <c r="G43" s="17"/>
      <c r="H43" s="17"/>
      <c r="I43" s="17"/>
      <c r="J43" s="17"/>
      <c r="K43" s="17"/>
      <c r="L43" s="17"/>
      <c r="M43" s="17"/>
      <c r="N43" s="17"/>
      <c r="O43" s="17"/>
      <c r="P43" s="17"/>
      <c r="Q43" s="17"/>
      <c r="R43" s="17"/>
      <c r="S43" s="17"/>
      <c r="T43" s="17"/>
      <c r="U43" s="17"/>
      <c r="V43" s="17"/>
    </row>
    <row r="44" spans="1:22" hidden="1">
      <c r="A44" s="411"/>
      <c r="C44" s="1"/>
      <c r="D44" s="1"/>
      <c r="E44" s="17"/>
      <c r="F44" s="17"/>
      <c r="G44" s="17"/>
      <c r="H44" s="17"/>
      <c r="I44" s="17"/>
      <c r="J44" s="17"/>
      <c r="K44" s="17"/>
      <c r="L44" s="17"/>
      <c r="M44" s="17"/>
      <c r="N44" s="17"/>
      <c r="O44" s="17"/>
      <c r="P44" s="17"/>
      <c r="Q44" s="17"/>
      <c r="R44" s="17"/>
      <c r="S44" s="17"/>
      <c r="T44" s="17"/>
      <c r="U44" s="17"/>
      <c r="V44" s="17"/>
    </row>
    <row r="45" spans="1:22" hidden="1">
      <c r="A45" s="411"/>
      <c r="C45" s="1"/>
      <c r="D45" s="1"/>
      <c r="E45" s="17"/>
      <c r="F45" s="17"/>
      <c r="G45" s="17"/>
      <c r="H45" s="17"/>
      <c r="I45" s="17"/>
      <c r="J45" s="17"/>
      <c r="K45" s="17"/>
      <c r="L45" s="17"/>
      <c r="M45" s="17"/>
      <c r="N45" s="17"/>
      <c r="O45" s="17"/>
      <c r="P45" s="17"/>
      <c r="Q45" s="17"/>
      <c r="R45" s="17"/>
      <c r="S45" s="17"/>
      <c r="T45" s="17"/>
      <c r="U45" s="17"/>
      <c r="V45" s="17"/>
    </row>
    <row r="46" spans="1:22" hidden="1">
      <c r="A46" s="411"/>
      <c r="C46" s="1"/>
      <c r="D46" s="1"/>
      <c r="E46" s="17"/>
      <c r="F46" s="17"/>
      <c r="G46" s="17"/>
      <c r="H46" s="17"/>
      <c r="I46" s="17"/>
      <c r="J46" s="17"/>
      <c r="K46" s="17"/>
      <c r="L46" s="17"/>
      <c r="M46" s="17"/>
      <c r="N46" s="17"/>
      <c r="O46" s="17"/>
      <c r="P46" s="17"/>
      <c r="Q46" s="17"/>
      <c r="R46" s="17"/>
      <c r="S46" s="17"/>
      <c r="T46" s="17"/>
      <c r="U46" s="17"/>
      <c r="V46" s="17"/>
    </row>
    <row r="47" spans="1:22" hidden="1">
      <c r="A47" s="411"/>
      <c r="C47" s="1"/>
      <c r="D47" s="1"/>
      <c r="E47" s="17"/>
      <c r="F47" s="17"/>
      <c r="G47" s="17"/>
      <c r="H47" s="17"/>
      <c r="I47" s="17"/>
      <c r="J47" s="17"/>
      <c r="K47" s="17"/>
      <c r="L47" s="17"/>
      <c r="M47" s="17"/>
      <c r="N47" s="17"/>
      <c r="O47" s="17"/>
      <c r="P47" s="17"/>
      <c r="Q47" s="17"/>
      <c r="R47" s="17"/>
      <c r="S47" s="17"/>
      <c r="T47" s="17"/>
      <c r="U47" s="17"/>
      <c r="V47" s="17"/>
    </row>
    <row r="48" spans="1:22" hidden="1">
      <c r="A48" s="411"/>
      <c r="C48" s="1"/>
      <c r="D48" s="1"/>
      <c r="E48" s="17"/>
      <c r="F48" s="17"/>
      <c r="G48" s="17"/>
      <c r="H48" s="17"/>
      <c r="I48" s="17"/>
      <c r="J48" s="17"/>
      <c r="K48" s="17"/>
      <c r="L48" s="17"/>
      <c r="M48" s="17"/>
      <c r="N48" s="17"/>
      <c r="O48" s="17"/>
      <c r="P48" s="17"/>
      <c r="Q48" s="17"/>
      <c r="R48" s="17"/>
      <c r="S48" s="17"/>
      <c r="T48" s="17"/>
      <c r="U48" s="17"/>
      <c r="V48" s="17"/>
    </row>
    <row r="49" spans="1:22" hidden="1">
      <c r="A49" s="411"/>
      <c r="C49" s="1"/>
      <c r="D49" s="1"/>
      <c r="E49" s="17"/>
      <c r="F49" s="17"/>
      <c r="G49" s="17"/>
      <c r="H49" s="17"/>
      <c r="I49" s="17"/>
      <c r="J49" s="17"/>
      <c r="K49" s="17"/>
      <c r="L49" s="17"/>
      <c r="M49" s="17"/>
      <c r="N49" s="17"/>
      <c r="O49" s="17"/>
      <c r="P49" s="17"/>
      <c r="Q49" s="17"/>
      <c r="R49" s="17"/>
      <c r="S49" s="17"/>
      <c r="T49" s="17"/>
      <c r="U49" s="17"/>
      <c r="V49" s="17"/>
    </row>
    <row r="50" spans="1:22" hidden="1">
      <c r="A50" s="411"/>
      <c r="C50" s="1"/>
      <c r="D50" s="1"/>
      <c r="E50" s="17"/>
      <c r="F50" s="17"/>
      <c r="G50" s="17"/>
      <c r="H50" s="17"/>
      <c r="I50" s="17"/>
      <c r="J50" s="17"/>
      <c r="K50" s="17"/>
      <c r="L50" s="17"/>
      <c r="M50" s="17"/>
      <c r="N50" s="17"/>
      <c r="O50" s="17"/>
      <c r="P50" s="17"/>
      <c r="Q50" s="17"/>
      <c r="R50" s="17"/>
      <c r="S50" s="17"/>
      <c r="T50" s="17"/>
      <c r="U50" s="17"/>
      <c r="V50" s="17"/>
    </row>
    <row r="51" spans="1:22" hidden="1">
      <c r="A51" s="411"/>
      <c r="C51" s="1"/>
      <c r="D51" s="1"/>
      <c r="E51" s="17"/>
      <c r="F51" s="17"/>
      <c r="G51" s="17"/>
      <c r="H51" s="17"/>
      <c r="I51" s="17"/>
      <c r="J51" s="17"/>
      <c r="K51" s="17"/>
      <c r="L51" s="17"/>
      <c r="M51" s="17"/>
      <c r="N51" s="17"/>
      <c r="O51" s="17"/>
      <c r="P51" s="17"/>
      <c r="Q51" s="17"/>
      <c r="R51" s="17"/>
      <c r="S51" s="17"/>
      <c r="T51" s="17"/>
      <c r="U51" s="17"/>
      <c r="V51" s="17"/>
    </row>
    <row r="52" spans="1:22" hidden="1">
      <c r="A52" s="411"/>
      <c r="C52" s="1"/>
      <c r="D52" s="1"/>
      <c r="E52" s="17"/>
      <c r="F52" s="17"/>
      <c r="G52" s="17"/>
      <c r="H52" s="17"/>
      <c r="I52" s="17"/>
      <c r="J52" s="17"/>
      <c r="K52" s="17"/>
      <c r="L52" s="17"/>
      <c r="M52" s="17"/>
      <c r="N52" s="17"/>
      <c r="O52" s="17"/>
      <c r="P52" s="17"/>
      <c r="Q52" s="17"/>
      <c r="R52" s="17"/>
      <c r="S52" s="17"/>
      <c r="T52" s="17"/>
      <c r="U52" s="17"/>
      <c r="V52" s="17"/>
    </row>
    <row r="53" spans="1:22" hidden="1">
      <c r="A53" s="411"/>
      <c r="C53" s="1"/>
      <c r="D53" s="1"/>
      <c r="E53" s="17"/>
      <c r="F53" s="17"/>
      <c r="G53" s="17"/>
      <c r="H53" s="17"/>
      <c r="I53" s="17"/>
      <c r="J53" s="17"/>
      <c r="K53" s="17"/>
      <c r="L53" s="17"/>
      <c r="M53" s="17"/>
      <c r="N53" s="17"/>
      <c r="O53" s="17"/>
      <c r="P53" s="17"/>
      <c r="Q53" s="17"/>
      <c r="R53" s="17"/>
      <c r="S53" s="17"/>
      <c r="T53" s="17"/>
      <c r="U53" s="17"/>
      <c r="V53" s="17"/>
    </row>
    <row r="54" spans="1:22" hidden="1">
      <c r="A54" s="411"/>
      <c r="C54" s="1"/>
      <c r="D54" s="1"/>
      <c r="E54" s="17"/>
      <c r="F54" s="17"/>
      <c r="G54" s="17"/>
      <c r="H54" s="17"/>
      <c r="I54" s="17"/>
      <c r="J54" s="17"/>
      <c r="K54" s="17"/>
      <c r="L54" s="17"/>
      <c r="M54" s="17"/>
      <c r="N54" s="17"/>
      <c r="O54" s="17"/>
      <c r="P54" s="17"/>
      <c r="Q54" s="17"/>
      <c r="R54" s="17"/>
      <c r="S54" s="17"/>
      <c r="T54" s="17"/>
      <c r="U54" s="17"/>
      <c r="V54" s="17"/>
    </row>
    <row r="55" spans="1:22" hidden="1"/>
    <row r="56" spans="1:22" hidden="1"/>
    <row r="57" spans="1:22" hidden="1"/>
    <row r="58" spans="1:22" hidden="1"/>
    <row r="59" spans="1:22" hidden="1"/>
    <row r="60" spans="1:22" hidden="1"/>
    <row r="61" spans="1:22" hidden="1"/>
    <row r="62" spans="1:22" hidden="1"/>
    <row r="63" spans="1:22" hidden="1"/>
    <row r="64" spans="1:2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sheetData>
  <mergeCells count="13">
    <mergeCell ref="Q9:R9"/>
    <mergeCell ref="C3:V3"/>
    <mergeCell ref="C2:V2"/>
    <mergeCell ref="E7:F7"/>
    <mergeCell ref="C1:V1"/>
    <mergeCell ref="C4:V4"/>
    <mergeCell ref="M9:N9"/>
    <mergeCell ref="O9:P9"/>
    <mergeCell ref="E8:F8"/>
    <mergeCell ref="H7:N7"/>
    <mergeCell ref="H8:N8"/>
    <mergeCell ref="O8:R8"/>
    <mergeCell ref="E9:F9"/>
  </mergeCells>
  <phoneticPr fontId="8" type="noConversion"/>
  <pageMargins left="0.25" right="0.25" top="0.5" bottom="0.5" header="0.25" footer="0.25"/>
  <pageSetup paperSize="17" scale="90" fitToHeight="3" orientation="landscape" r:id="rId1"/>
  <headerFooter alignWithMargins="0">
    <oddFooter xml:space="preserve">&amp;L&amp;"Times New Roman,Bold Italic"Black &amp; Veatch Corporation&amp;C&amp;"Times New Roman,Bold Italic"Date: &amp;D&amp;R&amp;"Times New Roman,Bold Italic"Page: &amp;P of &amp;N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B296"/>
  <sheetViews>
    <sheetView showGridLines="0" zoomScale="89" zoomScaleNormal="89" workbookViewId="0">
      <pane xSplit="1" ySplit="8" topLeftCell="B9" activePane="bottomRight" state="frozen"/>
      <selection activeCell="G45" sqref="G45"/>
      <selection pane="topRight" activeCell="G45" sqref="G45"/>
      <selection pane="bottomLeft" activeCell="G45" sqref="G45"/>
      <selection pane="bottomRight" activeCell="G45" sqref="G45"/>
    </sheetView>
  </sheetViews>
  <sheetFormatPr defaultColWidth="0" defaultRowHeight="15.75" zeroHeight="1"/>
  <cols>
    <col min="1" max="1" width="22.625" customWidth="1"/>
    <col min="2" max="2" width="2" style="1" customWidth="1"/>
    <col min="3" max="3" width="9" customWidth="1"/>
    <col min="4" max="4" width="0.375" customWidth="1"/>
    <col min="5" max="5" width="30.75" customWidth="1"/>
    <col min="6" max="6" width="0.375" customWidth="1"/>
    <col min="7" max="7" width="155.125" customWidth="1"/>
    <col min="8" max="8" width="1.75" customWidth="1"/>
  </cols>
  <sheetData>
    <row r="1" spans="1:8" ht="22.5">
      <c r="A1" s="411"/>
      <c r="C1" s="430" t="s">
        <v>391</v>
      </c>
      <c r="D1" s="430"/>
      <c r="E1" s="109"/>
      <c r="F1" s="109"/>
      <c r="G1" s="430"/>
      <c r="H1" s="53"/>
    </row>
    <row r="2" spans="1:8" ht="22.5">
      <c r="A2" s="411"/>
      <c r="C2" s="430" t="s">
        <v>717</v>
      </c>
      <c r="D2" s="430"/>
      <c r="E2" s="109"/>
      <c r="F2" s="109"/>
      <c r="G2" s="430"/>
      <c r="H2" s="53"/>
    </row>
    <row r="3" spans="1:8" ht="22.5">
      <c r="A3" s="411"/>
      <c r="C3" s="430" t="s">
        <v>472</v>
      </c>
      <c r="D3" s="430"/>
      <c r="E3" s="109"/>
      <c r="F3" s="109"/>
      <c r="G3" s="430"/>
      <c r="H3" s="53"/>
    </row>
    <row r="4" spans="1:8" ht="15.75" customHeight="1">
      <c r="A4" s="411"/>
      <c r="C4" s="7"/>
      <c r="G4" s="50"/>
    </row>
    <row r="5" spans="1:8">
      <c r="A5" s="411"/>
    </row>
    <row r="6" spans="1:8">
      <c r="A6" s="411"/>
      <c r="H6" s="20"/>
    </row>
    <row r="7" spans="1:8">
      <c r="A7" s="411"/>
      <c r="C7" s="431" t="s">
        <v>867</v>
      </c>
      <c r="D7" s="86"/>
      <c r="E7" s="431" t="s">
        <v>201</v>
      </c>
      <c r="F7" s="86"/>
      <c r="G7" s="4341" t="s">
        <v>399</v>
      </c>
      <c r="H7" s="20"/>
    </row>
    <row r="8" spans="1:8">
      <c r="A8" s="411"/>
      <c r="C8" s="432" t="s">
        <v>398</v>
      </c>
      <c r="D8" s="86"/>
      <c r="E8" s="432" t="s">
        <v>202</v>
      </c>
      <c r="F8" s="86"/>
      <c r="G8" s="4342"/>
      <c r="H8" s="20"/>
    </row>
    <row r="9" spans="1:8">
      <c r="A9" s="411"/>
      <c r="C9" s="65"/>
      <c r="D9" s="51"/>
      <c r="E9" s="65"/>
      <c r="F9" s="51"/>
      <c r="G9" s="102"/>
      <c r="H9" s="20"/>
    </row>
    <row r="10" spans="1:8">
      <c r="A10" s="411"/>
      <c r="C10" s="54"/>
      <c r="D10" s="51"/>
      <c r="E10" s="58" t="s">
        <v>473</v>
      </c>
      <c r="F10" s="51"/>
      <c r="G10" s="51"/>
    </row>
    <row r="11" spans="1:8">
      <c r="A11" s="411"/>
      <c r="C11" s="54">
        <f>MAX($C$9:C10)+1</f>
        <v>1</v>
      </c>
      <c r="D11" s="51"/>
      <c r="E11" s="107" t="s">
        <v>635</v>
      </c>
      <c r="F11" s="51"/>
      <c r="G11" s="51" t="s">
        <v>647</v>
      </c>
    </row>
    <row r="12" spans="1:8">
      <c r="A12" s="411"/>
      <c r="C12" s="54">
        <f>MAX($C$9:C11)+1</f>
        <v>2</v>
      </c>
      <c r="D12" s="51"/>
      <c r="E12" s="52" t="s">
        <v>212</v>
      </c>
      <c r="F12" s="51"/>
      <c r="G12" s="51" t="s">
        <v>213</v>
      </c>
    </row>
    <row r="13" spans="1:8">
      <c r="A13" s="411"/>
      <c r="C13" s="54">
        <f>MAX($C$9:C12)+1</f>
        <v>3</v>
      </c>
      <c r="D13" s="51"/>
      <c r="E13" s="107" t="s">
        <v>524</v>
      </c>
      <c r="F13" s="51"/>
      <c r="G13" s="51" t="s">
        <v>648</v>
      </c>
    </row>
    <row r="14" spans="1:8">
      <c r="A14" s="411"/>
      <c r="C14" s="54">
        <f>MAX($C$9:C13)+1</f>
        <v>4</v>
      </c>
      <c r="D14" s="51"/>
      <c r="E14" s="52" t="s">
        <v>550</v>
      </c>
      <c r="F14" s="51"/>
      <c r="G14" s="51" t="s">
        <v>654</v>
      </c>
    </row>
    <row r="15" spans="1:8">
      <c r="A15" s="411"/>
      <c r="C15" s="54">
        <f>MAX($C$9:C14)+1</f>
        <v>5</v>
      </c>
      <c r="D15" s="51"/>
      <c r="E15" s="52" t="s">
        <v>274</v>
      </c>
      <c r="F15" s="51"/>
      <c r="G15" s="51" t="s">
        <v>360</v>
      </c>
    </row>
    <row r="16" spans="1:8">
      <c r="A16" s="411"/>
      <c r="C16" s="54">
        <f>MAX($C$9:C15)+1</f>
        <v>6</v>
      </c>
      <c r="D16" s="51"/>
      <c r="E16" s="107" t="s">
        <v>636</v>
      </c>
      <c r="F16" s="51"/>
      <c r="G16" s="51" t="s">
        <v>392</v>
      </c>
    </row>
    <row r="17" spans="1:7">
      <c r="A17" s="411"/>
      <c r="C17" s="54">
        <f>MAX($C$9:C16)+1</f>
        <v>7</v>
      </c>
      <c r="D17" s="51"/>
      <c r="E17" s="107" t="s">
        <v>637</v>
      </c>
      <c r="F17" s="51"/>
      <c r="G17" s="51" t="s">
        <v>649</v>
      </c>
    </row>
    <row r="18" spans="1:7">
      <c r="A18" s="411"/>
      <c r="C18" s="54">
        <f>MAX($C$9:C17)+1</f>
        <v>8</v>
      </c>
      <c r="D18" s="51"/>
      <c r="E18" s="107" t="s">
        <v>638</v>
      </c>
      <c r="F18" s="51"/>
      <c r="G18" s="51" t="s">
        <v>551</v>
      </c>
    </row>
    <row r="19" spans="1:7">
      <c r="A19" s="411"/>
      <c r="C19" s="54">
        <f>MAX($C$9:C18)+1</f>
        <v>9</v>
      </c>
      <c r="D19" s="51"/>
      <c r="E19" s="107" t="s">
        <v>639</v>
      </c>
      <c r="F19" s="51"/>
      <c r="G19" s="51" t="s">
        <v>613</v>
      </c>
    </row>
    <row r="20" spans="1:7">
      <c r="A20" s="411"/>
      <c r="C20" s="54">
        <f>MAX($C$9:C19)+1</f>
        <v>10</v>
      </c>
      <c r="D20" s="51"/>
      <c r="E20" s="107" t="s">
        <v>650</v>
      </c>
      <c r="F20" s="51"/>
      <c r="G20" s="51" t="s">
        <v>526</v>
      </c>
    </row>
    <row r="21" spans="1:7">
      <c r="A21" s="411"/>
      <c r="C21" s="54">
        <f>MAX($C$9:C20)+1</f>
        <v>11</v>
      </c>
      <c r="D21" s="51"/>
      <c r="E21" s="107" t="s">
        <v>640</v>
      </c>
      <c r="F21" s="51"/>
      <c r="G21" s="51" t="s">
        <v>527</v>
      </c>
    </row>
    <row r="22" spans="1:7">
      <c r="A22" s="411"/>
      <c r="C22" s="54">
        <f>MAX($C$9:C21)+1</f>
        <v>12</v>
      </c>
      <c r="D22" s="51"/>
      <c r="E22" s="107" t="s">
        <v>641</v>
      </c>
      <c r="F22" s="51"/>
      <c r="G22" s="51" t="s">
        <v>490</v>
      </c>
    </row>
    <row r="23" spans="1:7">
      <c r="A23" s="411"/>
      <c r="C23" s="54">
        <f>MAX($C$9:C22)+1</f>
        <v>13</v>
      </c>
      <c r="D23" s="51"/>
      <c r="E23" s="107" t="s">
        <v>642</v>
      </c>
      <c r="F23" s="51"/>
      <c r="G23" s="51" t="s">
        <v>886</v>
      </c>
    </row>
    <row r="24" spans="1:7">
      <c r="A24" s="411"/>
      <c r="C24" s="54">
        <f>MAX($C$9:C23)+1</f>
        <v>14</v>
      </c>
      <c r="D24" s="51"/>
      <c r="E24" s="107" t="s">
        <v>651</v>
      </c>
      <c r="F24" s="51"/>
      <c r="G24" s="51" t="s">
        <v>887</v>
      </c>
    </row>
    <row r="25" spans="1:7">
      <c r="A25" s="411"/>
      <c r="C25" s="54"/>
      <c r="D25" s="51"/>
      <c r="E25" s="107"/>
      <c r="F25" s="51"/>
      <c r="G25" s="51"/>
    </row>
    <row r="26" spans="1:7">
      <c r="A26" s="411"/>
      <c r="C26" s="54"/>
      <c r="D26" s="51"/>
      <c r="E26" s="107"/>
      <c r="F26" s="51"/>
      <c r="G26" s="51"/>
    </row>
    <row r="27" spans="1:7">
      <c r="A27" s="411"/>
      <c r="C27" s="54"/>
      <c r="D27" s="51"/>
      <c r="E27" s="107"/>
      <c r="F27" s="51"/>
      <c r="G27" s="51"/>
    </row>
    <row r="28" spans="1:7">
      <c r="A28" s="411"/>
      <c r="C28" s="54"/>
      <c r="D28" s="51"/>
      <c r="E28" s="107"/>
      <c r="F28" s="51"/>
      <c r="G28" s="51"/>
    </row>
    <row r="29" spans="1:7">
      <c r="A29" s="411"/>
      <c r="C29" s="54"/>
      <c r="D29" s="51"/>
      <c r="E29" s="107"/>
      <c r="F29" s="51"/>
      <c r="G29" s="51"/>
    </row>
    <row r="30" spans="1:7">
      <c r="A30" s="411"/>
      <c r="C30" s="54"/>
      <c r="D30" s="51"/>
      <c r="E30" s="107"/>
      <c r="F30" s="51"/>
      <c r="G30" s="51"/>
    </row>
    <row r="31" spans="1:7">
      <c r="A31" s="411"/>
      <c r="C31" s="54"/>
      <c r="D31" s="51"/>
      <c r="E31" s="107"/>
      <c r="F31" s="51"/>
      <c r="G31" s="51"/>
    </row>
    <row r="32" spans="1:7">
      <c r="A32" s="411"/>
      <c r="C32" s="51"/>
      <c r="D32" s="51"/>
      <c r="E32" s="51"/>
      <c r="F32" s="51"/>
      <c r="G32" s="51"/>
    </row>
    <row r="33" spans="1:7">
      <c r="A33" s="411"/>
      <c r="C33" s="51"/>
      <c r="D33" s="51"/>
      <c r="E33" s="51"/>
      <c r="F33" s="51"/>
      <c r="G33" s="51"/>
    </row>
    <row r="34" spans="1:7">
      <c r="A34" s="411"/>
      <c r="C34" s="51"/>
      <c r="D34" s="51"/>
      <c r="E34" s="51"/>
      <c r="F34" s="51"/>
      <c r="G34" s="51"/>
    </row>
    <row r="35" spans="1:7">
      <c r="A35" s="411"/>
      <c r="C35" s="51"/>
      <c r="D35" s="51"/>
      <c r="E35" s="51"/>
      <c r="F35" s="51"/>
      <c r="G35" s="51"/>
    </row>
    <row r="36" spans="1:7">
      <c r="A36" s="411"/>
      <c r="C36" s="51"/>
      <c r="D36" s="51"/>
      <c r="E36" s="51"/>
      <c r="F36" s="51"/>
      <c r="G36" s="51"/>
    </row>
    <row r="37" spans="1:7">
      <c r="A37" s="411"/>
      <c r="C37" s="51"/>
      <c r="D37" s="51"/>
      <c r="E37" s="51"/>
      <c r="F37" s="51"/>
      <c r="G37" s="51"/>
    </row>
    <row r="38" spans="1:7">
      <c r="A38" s="415"/>
      <c r="C38" s="51"/>
      <c r="D38" s="51"/>
      <c r="E38" s="51"/>
      <c r="F38" s="51"/>
      <c r="G38" s="51"/>
    </row>
    <row r="39" spans="1:7">
      <c r="A39" s="415"/>
      <c r="C39" s="51"/>
      <c r="D39" s="51"/>
      <c r="E39" s="51"/>
      <c r="F39" s="51"/>
      <c r="G39" s="51"/>
    </row>
    <row r="40" spans="1:7">
      <c r="A40" s="415"/>
      <c r="C40" s="51"/>
      <c r="D40" s="51"/>
      <c r="E40" s="51"/>
      <c r="F40" s="51"/>
      <c r="G40" s="51"/>
    </row>
    <row r="41" spans="1:7">
      <c r="A41" s="415"/>
      <c r="C41" s="51"/>
      <c r="D41" s="51"/>
      <c r="E41" s="51"/>
      <c r="F41" s="51"/>
      <c r="G41" s="51"/>
    </row>
    <row r="42" spans="1:7">
      <c r="A42" s="415"/>
      <c r="C42" s="51"/>
      <c r="D42" s="51"/>
      <c r="E42" s="51"/>
      <c r="F42" s="51"/>
      <c r="G42" s="51"/>
    </row>
    <row r="43" spans="1:7">
      <c r="A43" s="415"/>
      <c r="C43" s="51"/>
      <c r="D43" s="51"/>
      <c r="E43" s="51"/>
      <c r="F43" s="51"/>
      <c r="G43" s="51"/>
    </row>
    <row r="44" spans="1:7">
      <c r="A44" s="415"/>
      <c r="C44" s="51"/>
      <c r="D44" s="51"/>
      <c r="E44" s="51"/>
      <c r="F44" s="51"/>
      <c r="G44" s="51"/>
    </row>
    <row r="45" spans="1:7">
      <c r="A45" s="415"/>
      <c r="C45" s="51"/>
      <c r="D45" s="51"/>
      <c r="E45" s="51"/>
      <c r="F45" s="51"/>
      <c r="G45" s="51"/>
    </row>
    <row r="46" spans="1:7">
      <c r="A46" s="415"/>
      <c r="C46" s="51"/>
      <c r="D46" s="51"/>
      <c r="E46" s="51"/>
      <c r="F46" s="51"/>
      <c r="G46" s="51"/>
    </row>
    <row r="47" spans="1:7">
      <c r="A47" s="415"/>
      <c r="C47" s="51"/>
      <c r="D47" s="51"/>
      <c r="E47" s="51"/>
      <c r="F47" s="51"/>
      <c r="G47" s="51"/>
    </row>
    <row r="48" spans="1:7">
      <c r="A48" s="415"/>
      <c r="C48" s="51"/>
      <c r="D48" s="51"/>
      <c r="E48" s="51"/>
      <c r="F48" s="51"/>
      <c r="G48" s="51"/>
    </row>
    <row r="49" spans="1:7">
      <c r="A49" s="415"/>
      <c r="C49" s="51"/>
      <c r="D49" s="51"/>
      <c r="E49" s="51"/>
      <c r="F49" s="51"/>
      <c r="G49" s="51"/>
    </row>
    <row r="50" spans="1:7">
      <c r="A50" s="415"/>
      <c r="C50" s="51"/>
      <c r="D50" s="51"/>
      <c r="E50" s="51"/>
      <c r="F50" s="51"/>
      <c r="G50" s="51"/>
    </row>
    <row r="51" spans="1:7">
      <c r="A51" s="415"/>
      <c r="C51" s="51"/>
      <c r="D51" s="51"/>
      <c r="E51" s="51"/>
      <c r="F51" s="51"/>
      <c r="G51" s="51"/>
    </row>
    <row r="52" spans="1:7">
      <c r="A52" s="415"/>
      <c r="C52" s="51"/>
      <c r="D52" s="51"/>
      <c r="E52" s="51"/>
      <c r="F52" s="51"/>
      <c r="G52" s="51"/>
    </row>
    <row r="53" spans="1:7">
      <c r="A53" s="415"/>
      <c r="C53" s="51"/>
      <c r="D53" s="51"/>
      <c r="E53" s="51"/>
      <c r="F53" s="51"/>
      <c r="G53" s="51"/>
    </row>
    <row r="54" spans="1:7">
      <c r="A54" s="415"/>
      <c r="C54" s="51"/>
      <c r="D54" s="51"/>
      <c r="E54" s="51"/>
      <c r="F54" s="51"/>
      <c r="G54" s="51"/>
    </row>
    <row r="55" spans="1:7">
      <c r="A55" s="415"/>
      <c r="C55" s="51"/>
      <c r="D55" s="51"/>
      <c r="E55" s="51"/>
      <c r="F55" s="51"/>
      <c r="G55" s="51"/>
    </row>
    <row r="56" spans="1:7">
      <c r="A56" s="415"/>
      <c r="C56" s="51"/>
      <c r="D56" s="51"/>
      <c r="E56" s="51"/>
      <c r="F56" s="51"/>
      <c r="G56" s="51"/>
    </row>
    <row r="57" spans="1:7">
      <c r="A57" s="415"/>
      <c r="C57" s="51"/>
      <c r="D57" s="51"/>
      <c r="E57" s="51"/>
      <c r="F57" s="51"/>
      <c r="G57" s="51"/>
    </row>
    <row r="58" spans="1:7" ht="7.5" customHeight="1">
      <c r="A58" s="415"/>
      <c r="B58"/>
    </row>
    <row r="59" spans="1:7" hidden="1">
      <c r="B59"/>
    </row>
    <row r="60" spans="1:7" hidden="1">
      <c r="B60"/>
    </row>
    <row r="61" spans="1:7" hidden="1">
      <c r="B61"/>
    </row>
    <row r="62" spans="1:7" hidden="1">
      <c r="B62"/>
    </row>
    <row r="63" spans="1:7" hidden="1">
      <c r="B63"/>
    </row>
    <row r="64" spans="1:7" hidden="1">
      <c r="B64"/>
    </row>
    <row r="65" spans="2:2" hidden="1">
      <c r="B65"/>
    </row>
    <row r="66" spans="2:2" hidden="1">
      <c r="B66"/>
    </row>
    <row r="67" spans="2:2" hidden="1">
      <c r="B67"/>
    </row>
    <row r="68" spans="2:2" hidden="1">
      <c r="B68"/>
    </row>
    <row r="69" spans="2:2" hidden="1"/>
    <row r="70" spans="2:2" hidden="1"/>
    <row r="71" spans="2:2" hidden="1"/>
    <row r="72" spans="2:2" hidden="1"/>
    <row r="73" spans="2:2" hidden="1"/>
    <row r="74" spans="2:2" hidden="1"/>
    <row r="75" spans="2:2" hidden="1"/>
    <row r="76" spans="2:2" hidden="1"/>
    <row r="77" spans="2:2" hidden="1"/>
    <row r="78" spans="2:2" hidden="1"/>
    <row r="79" spans="2:2" hidden="1"/>
    <row r="80" spans="2:2"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spans="28:28" hidden="1">
      <c r="AB241" t="s">
        <v>194</v>
      </c>
    </row>
    <row r="242" spans="28:28" hidden="1"/>
    <row r="243" spans="28:28" hidden="1"/>
    <row r="244" spans="28:28" hidden="1"/>
    <row r="245" spans="28:28" hidden="1"/>
    <row r="246" spans="28:28" hidden="1"/>
    <row r="247" spans="28:28" hidden="1"/>
    <row r="248" spans="28:28" hidden="1"/>
    <row r="249" spans="28:28" hidden="1"/>
    <row r="250" spans="28:28" hidden="1"/>
    <row r="251" spans="28:28" hidden="1"/>
    <row r="252" spans="28:28" hidden="1"/>
    <row r="253" spans="28:28" hidden="1"/>
    <row r="254" spans="28:28" hidden="1"/>
    <row r="255" spans="28:28" hidden="1"/>
    <row r="256" spans="28:28"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sheetData>
  <mergeCells count="1">
    <mergeCell ref="G7:G8"/>
  </mergeCells>
  <phoneticPr fontId="8" type="noConversion"/>
  <hyperlinks>
    <hyperlink ref="E13" location="'Table 3-5'!A1" display="Table 3-5"/>
    <hyperlink ref="E16" location="'Table 4-1'!A1" display="Table 4-1"/>
    <hyperlink ref="E17" location="'Table 4-2'!A1" display="Table 4-2"/>
    <hyperlink ref="E18" location="'Table 4-3'!A1" display="Table 4-3"/>
    <hyperlink ref="E19" location="'Table 4-4'!A1" display="Table 4-4"/>
    <hyperlink ref="E21" location="'Table 4-6'!A1" display="Table 4-6"/>
    <hyperlink ref="E22" location="'Table 4-7'!A1" display="Table 4-7"/>
    <hyperlink ref="E23" location="'Table 4-8'!A1" display="Table 4-8"/>
    <hyperlink ref="E24" location="'Table 4-9'!A1" display="Table 4-9"/>
    <hyperlink ref="E20" location="'Table 4-5'!A1" display="Table 4-5"/>
    <hyperlink ref="E11" location="'ES Tables'!A1" display="ES Tables"/>
    <hyperlink ref="E12" location="'Table 3-1'!A1" display="Table 3-1"/>
    <hyperlink ref="E14" location="'Table 3-8'!A1" display="Table 3-8"/>
    <hyperlink ref="E15" location="'Table 3-9'!A1" display="Table 3-9"/>
  </hyperlinks>
  <pageMargins left="0.75" right="0.75" top="0.75" bottom="0.75" header="0.5" footer="0.5"/>
  <pageSetup scale="51"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AE273"/>
  <sheetViews>
    <sheetView showGridLines="0" zoomScale="80" zoomScaleNormal="80" workbookViewId="0">
      <pane xSplit="5" ySplit="12" topLeftCell="F13" activePane="bottomRight" state="frozen"/>
      <selection pane="topRight" activeCell="F1" sqref="F1"/>
      <selection pane="bottomLeft" activeCell="A13" sqref="A13"/>
      <selection pane="bottomRight" activeCell="G18" sqref="G18"/>
    </sheetView>
  </sheetViews>
  <sheetFormatPr defaultColWidth="0" defaultRowHeight="15.75" zeroHeight="1"/>
  <cols>
    <col min="1" max="1" width="22.625" customWidth="1"/>
    <col min="2" max="2" width="1.875" customWidth="1"/>
    <col min="3" max="3" width="6.125" customWidth="1"/>
    <col min="4" max="4" width="23" bestFit="1" customWidth="1"/>
    <col min="5" max="5" width="13.625" style="1" bestFit="1" customWidth="1"/>
    <col min="6" max="6" width="11.75" bestFit="1" customWidth="1"/>
    <col min="7" max="8" width="13" bestFit="1" customWidth="1"/>
    <col min="9" max="9" width="12.25" bestFit="1" customWidth="1"/>
    <col min="10" max="12" width="12.25" customWidth="1"/>
    <col min="13" max="13" width="13.25" bestFit="1" customWidth="1"/>
    <col min="14" max="14" width="11.75" bestFit="1" customWidth="1"/>
    <col min="15" max="15" width="12.625" bestFit="1" customWidth="1"/>
    <col min="16" max="17" width="11.75" bestFit="1" customWidth="1"/>
    <col min="18" max="19" width="11.375" bestFit="1" customWidth="1"/>
    <col min="20" max="20" width="11.75" bestFit="1" customWidth="1"/>
    <col min="21" max="21" width="10.5" bestFit="1" customWidth="1"/>
    <col min="22" max="22" width="11.125" bestFit="1" customWidth="1"/>
    <col min="23" max="23" width="9.125" bestFit="1" customWidth="1"/>
    <col min="24" max="24" width="2.125" customWidth="1"/>
  </cols>
  <sheetData>
    <row r="1" spans="1:31" ht="18.75">
      <c r="A1" s="411"/>
      <c r="C1" s="4551" t="s">
        <v>499</v>
      </c>
      <c r="D1" s="4551"/>
      <c r="E1" s="4551"/>
      <c r="F1" s="4551"/>
      <c r="G1" s="4551"/>
      <c r="H1" s="4551"/>
      <c r="I1" s="4551"/>
      <c r="J1" s="4551"/>
      <c r="K1" s="4551"/>
      <c r="L1" s="4551"/>
      <c r="M1" s="4551"/>
      <c r="N1" s="4551"/>
      <c r="O1" s="4551"/>
      <c r="P1" s="4551"/>
      <c r="Q1" s="4551"/>
      <c r="R1" s="4551"/>
      <c r="S1" s="4551"/>
      <c r="T1" s="4551"/>
      <c r="U1" s="4551"/>
      <c r="V1" s="4551"/>
      <c r="W1" s="4551"/>
    </row>
    <row r="2" spans="1:31" ht="18.75">
      <c r="A2" s="411"/>
      <c r="C2" s="4551" t="str">
        <f>Client</f>
        <v>Grant County Public Utility District</v>
      </c>
      <c r="D2" s="4551"/>
      <c r="E2" s="4551"/>
      <c r="F2" s="4551"/>
      <c r="G2" s="4551"/>
      <c r="H2" s="4551"/>
      <c r="I2" s="4551"/>
      <c r="J2" s="4551"/>
      <c r="K2" s="4551"/>
      <c r="L2" s="4551"/>
      <c r="M2" s="4551"/>
      <c r="N2" s="4551"/>
      <c r="O2" s="4551"/>
      <c r="P2" s="4551"/>
      <c r="Q2" s="4551"/>
      <c r="R2" s="4551"/>
      <c r="S2" s="4551"/>
      <c r="T2" s="4551"/>
      <c r="U2" s="4551"/>
      <c r="V2" s="4551"/>
      <c r="W2" s="4551"/>
    </row>
    <row r="3" spans="1:31" ht="18.75">
      <c r="A3" s="411"/>
      <c r="C3" s="4551" t="s">
        <v>886</v>
      </c>
      <c r="D3" s="4551"/>
      <c r="E3" s="4551"/>
      <c r="F3" s="4551"/>
      <c r="G3" s="4551"/>
      <c r="H3" s="4551"/>
      <c r="I3" s="4551"/>
      <c r="J3" s="4551"/>
      <c r="K3" s="4551"/>
      <c r="L3" s="4551"/>
      <c r="M3" s="4551"/>
      <c r="N3" s="4551"/>
      <c r="O3" s="4551"/>
      <c r="P3" s="4551"/>
      <c r="Q3" s="4551"/>
      <c r="R3" s="4551"/>
      <c r="S3" s="4551"/>
      <c r="T3" s="4551"/>
      <c r="U3" s="4551"/>
      <c r="V3" s="4551"/>
      <c r="W3" s="4551"/>
    </row>
    <row r="4" spans="1:31" ht="18.75">
      <c r="A4" s="411"/>
      <c r="C4" s="4551"/>
      <c r="D4" s="4551"/>
      <c r="E4" s="4551"/>
      <c r="F4" s="4551"/>
      <c r="G4" s="4551"/>
      <c r="H4" s="4551"/>
      <c r="I4" s="4551"/>
      <c r="J4" s="4551"/>
      <c r="K4" s="4551"/>
      <c r="L4" s="4551"/>
      <c r="M4" s="4551"/>
      <c r="N4" s="4551"/>
      <c r="O4" s="4551"/>
      <c r="P4" s="4551"/>
      <c r="Q4" s="4551"/>
      <c r="R4" s="4551"/>
      <c r="S4" s="4551"/>
      <c r="T4" s="4551"/>
      <c r="U4" s="4551"/>
      <c r="V4" s="4551"/>
      <c r="W4" s="4551"/>
    </row>
    <row r="5" spans="1:31">
      <c r="A5" s="411"/>
    </row>
    <row r="6" spans="1:31">
      <c r="A6" s="411"/>
      <c r="C6" s="84"/>
      <c r="D6" s="84"/>
      <c r="E6" s="2579" t="s">
        <v>674</v>
      </c>
      <c r="F6" s="2579" t="s">
        <v>155</v>
      </c>
      <c r="G6" s="2579" t="s">
        <v>675</v>
      </c>
      <c r="H6" s="2579" t="s">
        <v>676</v>
      </c>
      <c r="I6" s="2579" t="s">
        <v>677</v>
      </c>
      <c r="J6" s="2579" t="s">
        <v>140</v>
      </c>
      <c r="K6" s="2579" t="s">
        <v>141</v>
      </c>
      <c r="L6" s="2579" t="s">
        <v>142</v>
      </c>
      <c r="M6" s="2579" t="s">
        <v>143</v>
      </c>
      <c r="N6" s="2579" t="s">
        <v>145</v>
      </c>
      <c r="O6" s="2579" t="s">
        <v>146</v>
      </c>
      <c r="P6" s="2579" t="s">
        <v>147</v>
      </c>
      <c r="Q6" s="2579" t="s">
        <v>148</v>
      </c>
      <c r="R6" s="2579" t="s">
        <v>149</v>
      </c>
      <c r="S6" s="2579" t="s">
        <v>150</v>
      </c>
      <c r="T6" s="2579" t="s">
        <v>151</v>
      </c>
      <c r="U6" s="2579" t="s">
        <v>153</v>
      </c>
      <c r="V6" s="2579" t="s">
        <v>154</v>
      </c>
      <c r="W6" s="2579" t="s">
        <v>449</v>
      </c>
      <c r="X6" s="3"/>
      <c r="Y6" s="3"/>
      <c r="Z6" s="3"/>
      <c r="AA6" s="3"/>
      <c r="AB6" s="90"/>
    </row>
    <row r="7" spans="1:31" s="18" customFormat="1">
      <c r="A7" s="503"/>
      <c r="C7" s="3109"/>
      <c r="D7" s="3109"/>
      <c r="E7" s="3109"/>
      <c r="F7" s="4568" t="s">
        <v>609</v>
      </c>
      <c r="G7" s="4569"/>
      <c r="H7" s="3097" t="s">
        <v>600</v>
      </c>
      <c r="I7" s="4566" t="s">
        <v>601</v>
      </c>
      <c r="J7" s="4572"/>
      <c r="K7" s="4572"/>
      <c r="L7" s="4572"/>
      <c r="M7" s="4572"/>
      <c r="N7" s="4572"/>
      <c r="O7" s="4567"/>
      <c r="P7" s="3096"/>
      <c r="Q7" s="3096"/>
      <c r="R7" s="3096"/>
      <c r="S7" s="3096"/>
      <c r="T7" s="3096"/>
      <c r="U7" s="3096"/>
      <c r="V7" s="3096"/>
      <c r="W7" s="3096"/>
    </row>
    <row r="8" spans="1:31" s="18" customFormat="1">
      <c r="A8" s="503"/>
      <c r="C8" s="3109"/>
      <c r="D8" s="3109"/>
      <c r="E8" s="3109"/>
      <c r="F8" s="4570" t="s">
        <v>609</v>
      </c>
      <c r="G8" s="4571"/>
      <c r="H8" s="3098" t="s">
        <v>600</v>
      </c>
      <c r="I8" s="4566" t="s">
        <v>168</v>
      </c>
      <c r="J8" s="4572"/>
      <c r="K8" s="4572"/>
      <c r="L8" s="4572"/>
      <c r="M8" s="4572"/>
      <c r="N8" s="4572"/>
      <c r="O8" s="4567"/>
      <c r="P8" s="4566" t="s">
        <v>606</v>
      </c>
      <c r="Q8" s="4572"/>
      <c r="R8" s="4572"/>
      <c r="S8" s="4567"/>
      <c r="T8" s="3099" t="s">
        <v>169</v>
      </c>
      <c r="U8" s="3100"/>
      <c r="V8" s="3099"/>
      <c r="W8" s="3099"/>
    </row>
    <row r="9" spans="1:31" s="18" customFormat="1">
      <c r="A9" s="503"/>
      <c r="B9" s="2724"/>
      <c r="C9" s="4575" t="s">
        <v>867</v>
      </c>
      <c r="D9" s="4575" t="s">
        <v>118</v>
      </c>
      <c r="E9" s="4575" t="s">
        <v>602</v>
      </c>
      <c r="F9" s="3159"/>
      <c r="G9" s="3160"/>
      <c r="H9" s="3106"/>
      <c r="I9" s="3098" t="s">
        <v>170</v>
      </c>
      <c r="J9" s="3098" t="s">
        <v>170</v>
      </c>
      <c r="K9" s="3098" t="s">
        <v>2988</v>
      </c>
      <c r="L9" s="3098" t="s">
        <v>2989</v>
      </c>
      <c r="M9" s="3099" t="s">
        <v>867</v>
      </c>
      <c r="N9" s="4566" t="s">
        <v>857</v>
      </c>
      <c r="O9" s="4567"/>
      <c r="P9" s="4566" t="s">
        <v>858</v>
      </c>
      <c r="Q9" s="4567"/>
      <c r="R9" s="4566"/>
      <c r="S9" s="4567"/>
      <c r="T9" s="3101" t="s">
        <v>173</v>
      </c>
      <c r="U9" s="3101" t="s">
        <v>174</v>
      </c>
      <c r="V9" s="3101" t="s">
        <v>103</v>
      </c>
      <c r="W9" s="3101" t="s">
        <v>176</v>
      </c>
    </row>
    <row r="10" spans="1:31" s="18" customFormat="1">
      <c r="A10" s="503"/>
      <c r="B10" s="2724"/>
      <c r="C10" s="4576"/>
      <c r="D10" s="4576"/>
      <c r="E10" s="4576"/>
      <c r="F10" s="3103" t="s">
        <v>605</v>
      </c>
      <c r="G10" s="3103" t="s">
        <v>168</v>
      </c>
      <c r="H10" s="3103" t="s">
        <v>168</v>
      </c>
      <c r="I10" s="3102"/>
      <c r="J10" s="3102" t="s">
        <v>175</v>
      </c>
      <c r="K10" s="3102" t="s">
        <v>175</v>
      </c>
      <c r="L10" s="3102" t="s">
        <v>175</v>
      </c>
      <c r="M10" s="3102" t="s">
        <v>856</v>
      </c>
      <c r="N10" s="3102" t="s">
        <v>985</v>
      </c>
      <c r="O10" s="3102" t="s">
        <v>986</v>
      </c>
      <c r="P10" s="3102" t="s">
        <v>985</v>
      </c>
      <c r="Q10" s="3102" t="s">
        <v>986</v>
      </c>
      <c r="R10" s="3104" t="s">
        <v>171</v>
      </c>
      <c r="S10" s="3105" t="s">
        <v>172</v>
      </c>
      <c r="T10" s="3106" t="s">
        <v>603</v>
      </c>
      <c r="U10" s="3106" t="s">
        <v>859</v>
      </c>
      <c r="V10" s="3106" t="s">
        <v>606</v>
      </c>
      <c r="W10" s="3106" t="s">
        <v>861</v>
      </c>
    </row>
    <row r="11" spans="1:31">
      <c r="A11" s="411"/>
      <c r="B11" s="20"/>
      <c r="C11" s="3110"/>
      <c r="D11" s="3110"/>
      <c r="E11" s="3111">
        <v>1000</v>
      </c>
      <c r="F11" s="3107">
        <v>1000</v>
      </c>
      <c r="G11" s="3107">
        <v>1000</v>
      </c>
      <c r="H11" s="3107">
        <v>1000</v>
      </c>
      <c r="I11" s="3108">
        <v>1000</v>
      </c>
      <c r="J11" s="3107">
        <v>1000</v>
      </c>
      <c r="K11" s="3107">
        <v>1000</v>
      </c>
      <c r="L11" s="3107">
        <v>1000</v>
      </c>
      <c r="M11" s="3107">
        <v>1000</v>
      </c>
      <c r="N11" s="3107">
        <v>1000</v>
      </c>
      <c r="O11" s="3107">
        <v>1000</v>
      </c>
      <c r="P11" s="3107">
        <v>1000</v>
      </c>
      <c r="Q11" s="3107">
        <v>1000</v>
      </c>
      <c r="R11" s="3107">
        <v>1000</v>
      </c>
      <c r="S11" s="3107">
        <v>1000</v>
      </c>
      <c r="T11" s="3107">
        <v>1000</v>
      </c>
      <c r="U11" s="3107">
        <v>1000</v>
      </c>
      <c r="V11" s="3107">
        <v>1000</v>
      </c>
      <c r="W11" s="3107">
        <v>1000</v>
      </c>
    </row>
    <row r="12" spans="1:31" ht="6" customHeight="1">
      <c r="A12" s="411"/>
      <c r="B12" s="225"/>
      <c r="C12" s="258"/>
      <c r="D12" s="258"/>
      <c r="E12" s="520"/>
      <c r="F12" s="520"/>
      <c r="G12" s="520"/>
      <c r="H12" s="520"/>
      <c r="I12" s="520"/>
      <c r="J12" s="520"/>
      <c r="K12" s="520"/>
      <c r="L12" s="520"/>
      <c r="M12" s="520"/>
      <c r="N12" s="520"/>
      <c r="O12" s="520"/>
      <c r="P12" s="520"/>
      <c r="Q12" s="520"/>
      <c r="R12" s="520"/>
      <c r="S12" s="520"/>
      <c r="T12" s="520"/>
      <c r="U12" s="520"/>
      <c r="V12" s="520"/>
      <c r="W12" s="520"/>
    </row>
    <row r="13" spans="1:31">
      <c r="A13" s="411"/>
      <c r="B13" s="225"/>
      <c r="C13" s="197"/>
      <c r="D13" s="533" t="s">
        <v>401</v>
      </c>
      <c r="E13" s="395"/>
      <c r="F13" s="534" t="str">
        <f>COS_Alloc.!F10</f>
        <v>ENR1</v>
      </c>
      <c r="G13" s="534" t="str">
        <f>COS_Alloc.!G10</f>
        <v>AED 12CP</v>
      </c>
      <c r="H13" s="534" t="str">
        <f>COS_Alloc.!H10</f>
        <v>12CP</v>
      </c>
      <c r="I13" s="534" t="str">
        <f>COS_Alloc.!I10</f>
        <v>CAP1</v>
      </c>
      <c r="J13" s="534" t="str">
        <f>COS_Alloc.!J10</f>
        <v>CAP1-D</v>
      </c>
      <c r="K13" s="534" t="str">
        <f>COS_Alloc.!K10</f>
        <v>DIR-14</v>
      </c>
      <c r="L13" s="534" t="str">
        <f>COS_Alloc.!L10</f>
        <v>DIR-15</v>
      </c>
      <c r="M13" s="534" t="str">
        <f>COS_Alloc.!M10</f>
        <v>CAP3</v>
      </c>
      <c r="N13" s="534" t="str">
        <f>COS_Alloc.!N10</f>
        <v>CAP3U</v>
      </c>
      <c r="O13" s="534" t="str">
        <f>COS_Alloc.!O10</f>
        <v>CAP3R</v>
      </c>
      <c r="P13" s="534" t="str">
        <f>COS_Alloc.!P10</f>
        <v>CUS4U</v>
      </c>
      <c r="Q13" s="534" t="str">
        <f>COS_Alloc.!Q10</f>
        <v>CUS4R</v>
      </c>
      <c r="R13" s="534" t="str">
        <f>COS_Alloc.!R10</f>
        <v>CUS2</v>
      </c>
      <c r="S13" s="534" t="str">
        <f>COS_Alloc.!S10</f>
        <v>CUS3</v>
      </c>
      <c r="T13" s="534" t="str">
        <f>COS_Alloc.!T10</f>
        <v>CUS1</v>
      </c>
      <c r="U13" s="534" t="str">
        <f>COS_Alloc.!U10</f>
        <v>SL</v>
      </c>
      <c r="V13" s="534" t="str">
        <f>COS_Alloc.!V10</f>
        <v>CUST</v>
      </c>
      <c r="W13" s="534" t="str">
        <f>COS_Alloc.!W10</f>
        <v>REV</v>
      </c>
    </row>
    <row r="14" spans="1:31">
      <c r="A14" s="411"/>
      <c r="B14" s="225"/>
      <c r="C14" s="2676"/>
      <c r="D14" s="2725"/>
      <c r="E14" s="2725"/>
      <c r="F14" s="2725"/>
      <c r="G14" s="2725"/>
      <c r="H14" s="2725"/>
      <c r="I14" s="2725"/>
      <c r="J14" s="2725"/>
      <c r="K14" s="2725"/>
      <c r="L14" s="2725"/>
      <c r="M14" s="2725"/>
      <c r="N14" s="2725"/>
      <c r="O14" s="2725"/>
      <c r="P14" s="2725"/>
      <c r="Q14" s="2725"/>
      <c r="R14" s="2725"/>
      <c r="S14" s="2725"/>
      <c r="T14" s="2725"/>
      <c r="U14" s="2725"/>
      <c r="V14" s="2725"/>
      <c r="W14" s="2725"/>
    </row>
    <row r="15" spans="1:31">
      <c r="A15" s="411"/>
      <c r="B15" s="225"/>
      <c r="C15" s="268">
        <v>1</v>
      </c>
      <c r="D15" s="38" t="str">
        <f>'Table 7'!D14</f>
        <v>Residential-Urban (1)</v>
      </c>
      <c r="E15" s="279">
        <f t="shared" ref="E15:E26" si="0">SUM(F15:W15)</f>
        <v>25025.792000000001</v>
      </c>
      <c r="F15" s="524">
        <f>COS_Unbun.!F14/1000</f>
        <v>843.86400000000003</v>
      </c>
      <c r="G15" s="524">
        <f>COS_Unbun.!G14/1000</f>
        <v>13449.198</v>
      </c>
      <c r="H15" s="524">
        <f>COS_Unbun.!H14/1000</f>
        <v>1813.6969999999999</v>
      </c>
      <c r="I15" s="524">
        <f>COS_Unbun.!I14/1000</f>
        <v>873.58199999999999</v>
      </c>
      <c r="J15" s="524">
        <f>COS_Unbun.!J14/1000</f>
        <v>0</v>
      </c>
      <c r="K15" s="524">
        <f>COS_Unbun.!K14/1000</f>
        <v>0</v>
      </c>
      <c r="L15" s="524">
        <f>COS_Unbun.!L14/1000</f>
        <v>0</v>
      </c>
      <c r="M15" s="524">
        <f>COS_Unbun.!M14/1000</f>
        <v>490.02199999999999</v>
      </c>
      <c r="N15" s="524">
        <f>COS_Unbun.!N14/1000</f>
        <v>306.29599999999999</v>
      </c>
      <c r="O15" s="524">
        <f>COS_Unbun.!O14/1000</f>
        <v>0</v>
      </c>
      <c r="P15" s="524">
        <f>COS_Unbun.!P14/1000</f>
        <v>1457.36</v>
      </c>
      <c r="Q15" s="524">
        <f>COS_Unbun.!Q14/1000</f>
        <v>0</v>
      </c>
      <c r="R15" s="524">
        <f>COS_Unbun.!R14/1000</f>
        <v>357.738</v>
      </c>
      <c r="S15" s="524">
        <f>COS_Unbun.!S14/1000</f>
        <v>1140.67</v>
      </c>
      <c r="T15" s="524">
        <f>COS_Unbun.!T14/1000</f>
        <v>3637.5279999999998</v>
      </c>
      <c r="U15" s="524">
        <f>COS_Unbun.!U14/1000</f>
        <v>0</v>
      </c>
      <c r="V15" s="524">
        <f>COS_Unbun.!V14/1000</f>
        <v>655.83699999999999</v>
      </c>
      <c r="W15" s="524">
        <f>COS_Unbun.!W14/1000</f>
        <v>0</v>
      </c>
      <c r="X15" s="20"/>
      <c r="Y15" s="20"/>
      <c r="Z15" s="20"/>
      <c r="AA15" s="20"/>
      <c r="AB15" s="20"/>
      <c r="AC15" s="20"/>
      <c r="AD15" s="20"/>
      <c r="AE15" s="20"/>
    </row>
    <row r="16" spans="1:31">
      <c r="A16" s="411"/>
      <c r="B16" s="225"/>
      <c r="C16" s="2676">
        <f>+MAX(C6:C15)+1</f>
        <v>2</v>
      </c>
      <c r="D16" s="2677" t="str">
        <f>'Table 7'!D15</f>
        <v>Residential-Rural (1)</v>
      </c>
      <c r="E16" s="2726">
        <f t="shared" si="0"/>
        <v>40082.142999999996</v>
      </c>
      <c r="F16" s="2727">
        <f>COS_Unbun.!F17/1000</f>
        <v>1190.9949999999999</v>
      </c>
      <c r="G16" s="2727">
        <f>COS_Unbun.!G17/1000</f>
        <v>18983.602999999999</v>
      </c>
      <c r="H16" s="2727">
        <f>COS_Unbun.!H17/1000</f>
        <v>2558.5790000000002</v>
      </c>
      <c r="I16" s="2727">
        <f>COS_Unbun.!I17/1000</f>
        <v>1232.431</v>
      </c>
      <c r="J16" s="2727">
        <f>COS_Unbun.!J17/1000</f>
        <v>0</v>
      </c>
      <c r="K16" s="2727">
        <f>COS_Unbun.!K17/1000</f>
        <v>0</v>
      </c>
      <c r="L16" s="2727">
        <f>COS_Unbun.!L17/1000</f>
        <v>0</v>
      </c>
      <c r="M16" s="2727">
        <f>COS_Unbun.!M17/1000</f>
        <v>691.23099999999999</v>
      </c>
      <c r="N16" s="2727">
        <f>COS_Unbun.!N17/1000</f>
        <v>21.54</v>
      </c>
      <c r="O16" s="2727">
        <f>COS_Unbun.!O17/1000</f>
        <v>5104.4629999999997</v>
      </c>
      <c r="P16" s="2727">
        <f>COS_Unbun.!P17/1000</f>
        <v>0</v>
      </c>
      <c r="Q16" s="2727">
        <f>COS_Unbun.!Q17/1000</f>
        <v>4362.2870000000003</v>
      </c>
      <c r="R16" s="2727">
        <f>COS_Unbun.!R17/1000</f>
        <v>502.96800000000002</v>
      </c>
      <c r="S16" s="2727">
        <f>COS_Unbun.!S17/1000</f>
        <v>1069.2460000000001</v>
      </c>
      <c r="T16" s="2727">
        <f>COS_Unbun.!T17/1000</f>
        <v>3750.1619999999998</v>
      </c>
      <c r="U16" s="2727">
        <f>COS_Unbun.!U17/1000</f>
        <v>0</v>
      </c>
      <c r="V16" s="2727">
        <f>COS_Unbun.!V17/1000</f>
        <v>614.63800000000003</v>
      </c>
      <c r="W16" s="2727">
        <f>COS_Unbun.!W17/1000</f>
        <v>0</v>
      </c>
      <c r="X16" s="20"/>
      <c r="Y16" s="20"/>
      <c r="Z16" s="20"/>
      <c r="AA16" s="20"/>
      <c r="AB16" s="20"/>
      <c r="AC16" s="20"/>
      <c r="AD16" s="20"/>
      <c r="AE16" s="20"/>
    </row>
    <row r="17" spans="1:31">
      <c r="A17" s="411"/>
      <c r="B17" s="225"/>
      <c r="C17" s="268">
        <f>+MAX(C7:C16)+1</f>
        <v>3</v>
      </c>
      <c r="D17" s="38" t="str">
        <f>'Table 7'!D16</f>
        <v>Irrigation (3)</v>
      </c>
      <c r="E17" s="270">
        <f t="shared" si="0"/>
        <v>40342.062000000005</v>
      </c>
      <c r="F17" s="535">
        <f>COS_Unbun.!F22/1000</f>
        <v>1465.5050000000001</v>
      </c>
      <c r="G17" s="535">
        <f>COS_Unbun.!G22/1000</f>
        <v>24299.805</v>
      </c>
      <c r="H17" s="535">
        <f>COS_Unbun.!H22/1000</f>
        <v>1904.135</v>
      </c>
      <c r="I17" s="535">
        <f>COS_Unbun.!I22/1000</f>
        <v>1647.7750000000001</v>
      </c>
      <c r="J17" s="535">
        <f>COS_Unbun.!J22/1000</f>
        <v>0</v>
      </c>
      <c r="K17" s="535">
        <f>COS_Unbun.!K22/1000</f>
        <v>0</v>
      </c>
      <c r="L17" s="535">
        <f>COS_Unbun.!L22/1000</f>
        <v>0</v>
      </c>
      <c r="M17" s="535">
        <f>COS_Unbun.!M22/1000</f>
        <v>990.21799999999996</v>
      </c>
      <c r="N17" s="535">
        <f>COS_Unbun.!N22/1000</f>
        <v>31.007999999999999</v>
      </c>
      <c r="O17" s="535">
        <f>COS_Unbun.!O22/1000</f>
        <v>7308.63</v>
      </c>
      <c r="P17" s="535">
        <f>COS_Unbun.!P22/1000</f>
        <v>0</v>
      </c>
      <c r="Q17" s="535">
        <f>COS_Unbun.!Q22/1000</f>
        <v>26.963000000000001</v>
      </c>
      <c r="R17" s="535">
        <f>COS_Unbun.!R22/1000</f>
        <v>393.31099999999998</v>
      </c>
      <c r="S17" s="535">
        <f>COS_Unbun.!S22/1000</f>
        <v>1247.0119999999999</v>
      </c>
      <c r="T17" s="535">
        <f>COS_Unbun.!T22/1000</f>
        <v>882.83299999999997</v>
      </c>
      <c r="U17" s="535">
        <f>COS_Unbun.!U22/1000</f>
        <v>0</v>
      </c>
      <c r="V17" s="535">
        <f>COS_Unbun.!V22/1000</f>
        <v>144.86699999999999</v>
      </c>
      <c r="W17" s="535">
        <f>COS_Unbun.!W22/1000</f>
        <v>0</v>
      </c>
      <c r="X17" s="20"/>
      <c r="Y17" s="20"/>
      <c r="Z17" s="20"/>
      <c r="AA17" s="20"/>
      <c r="AB17" s="20"/>
      <c r="AC17" s="20"/>
      <c r="AD17" s="20"/>
      <c r="AE17" s="20"/>
    </row>
    <row r="18" spans="1:31">
      <c r="A18" s="411"/>
      <c r="B18" s="225"/>
      <c r="C18" s="2676">
        <f>+MAX(C7:C17)+1</f>
        <v>4</v>
      </c>
      <c r="D18" s="2677" t="str">
        <f>'Table 7'!D17</f>
        <v>General Service (2) &amp; (PA)</v>
      </c>
      <c r="E18" s="2726">
        <f t="shared" si="0"/>
        <v>35431.89</v>
      </c>
      <c r="F18" s="2727">
        <f>(COS_Unbun.!F27+COS_Unbun.!F54)/1000</f>
        <v>1311.548</v>
      </c>
      <c r="G18" s="2727">
        <f>(COS_Unbun.!G27+COS_Unbun.!G54)/1000</f>
        <v>21701.214</v>
      </c>
      <c r="H18" s="2727">
        <f>(COS_Unbun.!H27+COS_Unbun.!H54)/1000</f>
        <v>2675.3270000000002</v>
      </c>
      <c r="I18" s="2727">
        <f>(COS_Unbun.!I27+COS_Unbun.!I54)/1000</f>
        <v>1472.0119999999999</v>
      </c>
      <c r="J18" s="2727">
        <f>(COS_Unbun.!J27+COS_Unbun.!J54)/1000</f>
        <v>0</v>
      </c>
      <c r="K18" s="2727">
        <f>(COS_Unbun.!K27+COS_Unbun.!K54)/1000</f>
        <v>0</v>
      </c>
      <c r="L18" s="2727">
        <f>(COS_Unbun.!L27+COS_Unbun.!L54)/1000</f>
        <v>0</v>
      </c>
      <c r="M18" s="2727">
        <f>(COS_Unbun.!M27+COS_Unbun.!M54)/1000</f>
        <v>885.09199999999998</v>
      </c>
      <c r="N18" s="2727">
        <f>(COS_Unbun.!N27+COS_Unbun.!N54)/1000</f>
        <v>387.012</v>
      </c>
      <c r="O18" s="2727">
        <f>(COS_Unbun.!O27+COS_Unbun.!O54)/1000</f>
        <v>2059.442</v>
      </c>
      <c r="P18" s="2727">
        <f>(COS_Unbun.!P27+COS_Unbun.!P54)/1000</f>
        <v>355.51100000000002</v>
      </c>
      <c r="Q18" s="2727">
        <f>(COS_Unbun.!Q27+COS_Unbun.!Q54)/1000</f>
        <v>325.44499999999999</v>
      </c>
      <c r="R18" s="2727">
        <f>(COS_Unbun.!R27+COS_Unbun.!R54)/1000</f>
        <v>259.99</v>
      </c>
      <c r="S18" s="2727">
        <f>(COS_Unbun.!S27+COS_Unbun.!S54)/1000</f>
        <v>1655.982</v>
      </c>
      <c r="T18" s="2727">
        <f>(COS_Unbun.!T27+COS_Unbun.!T54)/1000</f>
        <v>2091.7660000000001</v>
      </c>
      <c r="U18" s="2727">
        <f>(COS_Unbun.!U27+COS_Unbun.!U54)/1000</f>
        <v>0</v>
      </c>
      <c r="V18" s="2727">
        <f>(COS_Unbun.!V27+COS_Unbun.!V54)/1000</f>
        <v>251.54900000000001</v>
      </c>
      <c r="W18" s="2727">
        <f>(COS_Unbun.!W27+COS_Unbun.!W54)/1000</f>
        <v>0</v>
      </c>
      <c r="X18" s="20"/>
      <c r="Y18" s="20"/>
      <c r="Z18" s="20"/>
      <c r="AA18" s="20"/>
      <c r="AB18" s="20"/>
      <c r="AC18" s="20"/>
      <c r="AD18" s="20"/>
      <c r="AE18" s="20"/>
    </row>
    <row r="19" spans="1:31">
      <c r="A19" s="411"/>
      <c r="B19" s="225"/>
      <c r="C19" s="268">
        <f>+MAX(C8:C18)+1</f>
        <v>5</v>
      </c>
      <c r="D19" s="38" t="str">
        <f>'Table 7'!D18</f>
        <v>Large General Service (7)</v>
      </c>
      <c r="E19" s="270">
        <f t="shared" si="0"/>
        <v>11682.658000000001</v>
      </c>
      <c r="F19" s="535">
        <f>COS_Unbun.!F30/1000</f>
        <v>678.28599999999994</v>
      </c>
      <c r="G19" s="535">
        <f>COS_Unbun.!G30/1000</f>
        <v>8946.2960000000003</v>
      </c>
      <c r="H19" s="535">
        <f>COS_Unbun.!H30/1000</f>
        <v>845.18600000000004</v>
      </c>
      <c r="I19" s="535">
        <f>COS_Unbun.!I30/1000</f>
        <v>444.63799999999998</v>
      </c>
      <c r="J19" s="535">
        <f>COS_Unbun.!J30/1000</f>
        <v>0</v>
      </c>
      <c r="K19" s="535">
        <f>COS_Unbun.!K30/1000</f>
        <v>0</v>
      </c>
      <c r="L19" s="535">
        <f>COS_Unbun.!L30/1000</f>
        <v>0</v>
      </c>
      <c r="M19" s="535">
        <f>COS_Unbun.!M30/1000</f>
        <v>249.25</v>
      </c>
      <c r="N19" s="535">
        <f>COS_Unbun.!N30/1000</f>
        <v>155.75200000000001</v>
      </c>
      <c r="O19" s="535">
        <f>COS_Unbun.!O30/1000</f>
        <v>0</v>
      </c>
      <c r="P19" s="535">
        <f>COS_Unbun.!P30/1000</f>
        <v>0</v>
      </c>
      <c r="Q19" s="535">
        <f>COS_Unbun.!Q30/1000</f>
        <v>0</v>
      </c>
      <c r="R19" s="535">
        <f>COS_Unbun.!R30/1000</f>
        <v>29.85</v>
      </c>
      <c r="S19" s="535">
        <f>COS_Unbun.!S30/1000</f>
        <v>126.976</v>
      </c>
      <c r="T19" s="535">
        <f>COS_Unbun.!T30/1000</f>
        <v>202.74</v>
      </c>
      <c r="U19" s="535">
        <f>COS_Unbun.!U30/1000</f>
        <v>0</v>
      </c>
      <c r="V19" s="535">
        <f>COS_Unbun.!V30/1000</f>
        <v>3.6840000000000002</v>
      </c>
      <c r="W19" s="535">
        <f>COS_Unbun.!W30/1000</f>
        <v>0</v>
      </c>
      <c r="X19" s="20"/>
      <c r="Y19" s="20"/>
      <c r="Z19" s="20"/>
      <c r="AA19" s="20"/>
      <c r="AB19" s="20"/>
      <c r="AC19" s="20"/>
      <c r="AD19" s="20"/>
      <c r="AE19" s="20"/>
    </row>
    <row r="20" spans="1:31">
      <c r="A20" s="411"/>
      <c r="B20" s="225"/>
      <c r="C20" s="2676">
        <f>+MAX(C9:C19)+1</f>
        <v>6</v>
      </c>
      <c r="D20" s="2677" t="str">
        <f>'Table 7'!D19</f>
        <v>Industrial (14)</v>
      </c>
      <c r="E20" s="2726">
        <f t="shared" si="0"/>
        <v>33165.211999999992</v>
      </c>
      <c r="F20" s="2727">
        <f>COS_Unbun.!F33/1000</f>
        <v>2098.7660000000001</v>
      </c>
      <c r="G20" s="2727">
        <f>COS_Unbun.!G33/1000</f>
        <v>26918.233</v>
      </c>
      <c r="H20" s="2727">
        <f>COS_Unbun.!H33/1000</f>
        <v>1450.3</v>
      </c>
      <c r="I20" s="2727">
        <f>COS_Unbun.!I33/1000</f>
        <v>1270.095</v>
      </c>
      <c r="J20" s="2727">
        <f>COS_Unbun.!J33/1000</f>
        <v>278.30099999999999</v>
      </c>
      <c r="K20" s="2727">
        <f>COS_Unbun.!K33/1000</f>
        <v>0</v>
      </c>
      <c r="L20" s="2727">
        <f>COS_Unbun.!L33/1000</f>
        <v>0</v>
      </c>
      <c r="M20" s="2727">
        <f>COS_Unbun.!M33/1000</f>
        <v>667.49300000000005</v>
      </c>
      <c r="N20" s="2727">
        <f>COS_Unbun.!N33/1000</f>
        <v>417.07400000000001</v>
      </c>
      <c r="O20" s="2727">
        <f>COS_Unbun.!O33/1000</f>
        <v>0</v>
      </c>
      <c r="P20" s="2727">
        <f>COS_Unbun.!P33/1000</f>
        <v>0</v>
      </c>
      <c r="Q20" s="2727">
        <f>COS_Unbun.!Q33/1000</f>
        <v>0</v>
      </c>
      <c r="R20" s="2727">
        <f>COS_Unbun.!R33/1000</f>
        <v>0</v>
      </c>
      <c r="S20" s="2727">
        <f>COS_Unbun.!S33/1000</f>
        <v>20.634</v>
      </c>
      <c r="T20" s="2727">
        <f>COS_Unbun.!T33/1000</f>
        <v>43.981000000000002</v>
      </c>
      <c r="U20" s="2727">
        <f>COS_Unbun.!U33/1000</f>
        <v>0</v>
      </c>
      <c r="V20" s="2727">
        <f>COS_Unbun.!V33/1000</f>
        <v>0.33500000000000002</v>
      </c>
      <c r="W20" s="2727">
        <f>COS_Unbun.!W33/1000</f>
        <v>0</v>
      </c>
      <c r="X20" s="20"/>
      <c r="Y20" s="20"/>
      <c r="Z20" s="20"/>
      <c r="AA20" s="20"/>
      <c r="AB20" s="20"/>
      <c r="AC20" s="20"/>
      <c r="AD20" s="20"/>
      <c r="AE20" s="20"/>
    </row>
    <row r="21" spans="1:31">
      <c r="A21" s="411"/>
      <c r="B21" s="225"/>
      <c r="C21" s="268">
        <f>+MAX(C10:C20)+1</f>
        <v>7</v>
      </c>
      <c r="D21" s="38" t="str">
        <f>'Table 7'!D20</f>
        <v>Large Industrial (15) &amp; (94)</v>
      </c>
      <c r="E21" s="270">
        <f t="shared" si="0"/>
        <v>88138.185000000012</v>
      </c>
      <c r="F21" s="535">
        <f>(COS_Unbun.!F36+COS_Unbun.!F45)/1000</f>
        <v>5985.4780000000001</v>
      </c>
      <c r="G21" s="535">
        <f>(COS_Unbun.!G36+COS_Unbun.!G45)/1000</f>
        <v>71867.914000000004</v>
      </c>
      <c r="H21" s="535">
        <f>(COS_Unbun.!H36+COS_Unbun.!H45)/1000</f>
        <v>4107.5389999999998</v>
      </c>
      <c r="I21" s="535">
        <f>(COS_Unbun.!I36+COS_Unbun.!I45)/1000</f>
        <v>2942.9789999999998</v>
      </c>
      <c r="J21" s="535">
        <f>(COS_Unbun.!J36+COS_Unbun.!J45)/1000</f>
        <v>929.08100000000002</v>
      </c>
      <c r="K21" s="535">
        <f>(COS_Unbun.!K36+COS_Unbun.!K45)/1000</f>
        <v>0</v>
      </c>
      <c r="L21" s="535">
        <f>(COS_Unbun.!L36+COS_Unbun.!L45)/1000</f>
        <v>0</v>
      </c>
      <c r="M21" s="535">
        <f>(COS_Unbun.!M36+COS_Unbun.!M45)/1000</f>
        <v>1375.68</v>
      </c>
      <c r="N21" s="535">
        <f>(COS_Unbun.!N36+COS_Unbun.!N45)/1000</f>
        <v>859.23800000000006</v>
      </c>
      <c r="O21" s="535">
        <f>(COS_Unbun.!O36+COS_Unbun.!O45)/1000</f>
        <v>0</v>
      </c>
      <c r="P21" s="535">
        <f>(COS_Unbun.!P36+COS_Unbun.!P45)/1000</f>
        <v>0</v>
      </c>
      <c r="Q21" s="535">
        <f>(COS_Unbun.!Q36+COS_Unbun.!Q45)/1000</f>
        <v>0</v>
      </c>
      <c r="R21" s="535">
        <f>(COS_Unbun.!R36+COS_Unbun.!R45)/1000</f>
        <v>0</v>
      </c>
      <c r="S21" s="535">
        <f>(COS_Unbun.!S36+COS_Unbun.!S45)/1000</f>
        <v>11.11</v>
      </c>
      <c r="T21" s="535">
        <f>(COS_Unbun.!T36+COS_Unbun.!T45)/1000</f>
        <v>58.999000000000002</v>
      </c>
      <c r="U21" s="535">
        <f>(COS_Unbun.!U36+COS_Unbun.!U45)/1000</f>
        <v>0</v>
      </c>
      <c r="V21" s="535">
        <f>(COS_Unbun.!V36+COS_Unbun.!V45)/1000</f>
        <v>0.16700000000000001</v>
      </c>
      <c r="W21" s="535">
        <f>(COS_Unbun.!W36+COS_Unbun.!W45)/1000</f>
        <v>0</v>
      </c>
      <c r="X21" s="20"/>
      <c r="Y21" s="20"/>
      <c r="Z21" s="20"/>
      <c r="AA21" s="20"/>
      <c r="AB21" s="20"/>
      <c r="AC21" s="20"/>
      <c r="AD21" s="20"/>
      <c r="AE21" s="20"/>
    </row>
    <row r="22" spans="1:31">
      <c r="A22" s="411"/>
      <c r="B22" s="225"/>
      <c r="C22" s="2676">
        <f>+MAX(C11:C21)+1</f>
        <v>8</v>
      </c>
      <c r="D22" s="2677" t="str">
        <f>'Table 7'!D21</f>
        <v>Agricultural Processing (16)</v>
      </c>
      <c r="E22" s="2726">
        <f t="shared" si="0"/>
        <v>15253.378000000001</v>
      </c>
      <c r="F22" s="2727">
        <f>COS_Unbun.!F39/1000</f>
        <v>938.27200000000005</v>
      </c>
      <c r="G22" s="2727">
        <f>COS_Unbun.!G39/1000</f>
        <v>12020.965</v>
      </c>
      <c r="H22" s="2727">
        <f>COS_Unbun.!H39/1000</f>
        <v>1088.547</v>
      </c>
      <c r="I22" s="2727">
        <f>COS_Unbun.!I39/1000</f>
        <v>568.09</v>
      </c>
      <c r="J22" s="2727">
        <f>COS_Unbun.!J39/1000</f>
        <v>97.22</v>
      </c>
      <c r="K22" s="2727">
        <f>COS_Unbun.!K39/1000</f>
        <v>0</v>
      </c>
      <c r="L22" s="2727">
        <f>COS_Unbun.!L39/1000</f>
        <v>0</v>
      </c>
      <c r="M22" s="2727">
        <f>COS_Unbun.!M39/1000</f>
        <v>298.42200000000003</v>
      </c>
      <c r="N22" s="2727">
        <f>COS_Unbun.!N39/1000</f>
        <v>186.523</v>
      </c>
      <c r="O22" s="2727">
        <f>COS_Unbun.!O39/1000</f>
        <v>0</v>
      </c>
      <c r="P22" s="2727">
        <f>COS_Unbun.!P39/1000</f>
        <v>0</v>
      </c>
      <c r="Q22" s="2727">
        <f>COS_Unbun.!Q39/1000</f>
        <v>0</v>
      </c>
      <c r="R22" s="2727">
        <f>COS_Unbun.!R39/1000</f>
        <v>0</v>
      </c>
      <c r="S22" s="2727">
        <f>COS_Unbun.!S39/1000</f>
        <v>17.459</v>
      </c>
      <c r="T22" s="2727">
        <f>COS_Unbun.!T39/1000</f>
        <v>37.545000000000002</v>
      </c>
      <c r="U22" s="2727">
        <f>COS_Unbun.!U39/1000</f>
        <v>0</v>
      </c>
      <c r="V22" s="2727">
        <f>COS_Unbun.!V39/1000</f>
        <v>0.33500000000000002</v>
      </c>
      <c r="W22" s="2727">
        <f>COS_Unbun.!W39/1000</f>
        <v>0</v>
      </c>
      <c r="X22" s="20"/>
      <c r="Y22" s="20"/>
      <c r="Z22" s="20"/>
      <c r="AA22" s="20"/>
      <c r="AB22" s="20"/>
      <c r="AC22" s="20"/>
      <c r="AD22" s="20"/>
      <c r="AE22" s="20"/>
    </row>
    <row r="23" spans="1:31">
      <c r="A23" s="411"/>
      <c r="B23" s="225"/>
      <c r="C23" s="268">
        <f>+MAX(C13:C22)+1</f>
        <v>9</v>
      </c>
      <c r="D23" s="38" t="str">
        <f>'Table 7'!D22</f>
        <v>Agricultural Boiler (85)</v>
      </c>
      <c r="E23" s="270">
        <f t="shared" si="0"/>
        <v>22.925999999999998</v>
      </c>
      <c r="F23" s="535">
        <f>COS_Unbun.!F42/1000</f>
        <v>0</v>
      </c>
      <c r="G23" s="535">
        <f>COS_Unbun.!G42/1000</f>
        <v>0</v>
      </c>
      <c r="H23" s="535">
        <f>COS_Unbun.!H42/1000</f>
        <v>0</v>
      </c>
      <c r="I23" s="535">
        <f>COS_Unbun.!I42/1000</f>
        <v>0</v>
      </c>
      <c r="J23" s="535">
        <f>COS_Unbun.!J42/1000</f>
        <v>18.120999999999999</v>
      </c>
      <c r="K23" s="535">
        <f>COS_Unbun.!K42/1000</f>
        <v>0</v>
      </c>
      <c r="L23" s="535">
        <f>COS_Unbun.!L42/1000</f>
        <v>0</v>
      </c>
      <c r="M23" s="535">
        <f>COS_Unbun.!M42/1000</f>
        <v>0</v>
      </c>
      <c r="N23" s="535">
        <f>COS_Unbun.!N42/1000</f>
        <v>0</v>
      </c>
      <c r="O23" s="535">
        <f>COS_Unbun.!O42/1000</f>
        <v>0</v>
      </c>
      <c r="P23" s="535">
        <f>COS_Unbun.!P42/1000</f>
        <v>0</v>
      </c>
      <c r="Q23" s="535">
        <f>COS_Unbun.!Q42/1000</f>
        <v>0</v>
      </c>
      <c r="R23" s="535">
        <f>COS_Unbun.!R42/1000</f>
        <v>0</v>
      </c>
      <c r="S23" s="535">
        <f>COS_Unbun.!S42/1000</f>
        <v>1.587</v>
      </c>
      <c r="T23" s="535">
        <f>COS_Unbun.!T42/1000</f>
        <v>3.218</v>
      </c>
      <c r="U23" s="535">
        <f>COS_Unbun.!U42/1000</f>
        <v>0</v>
      </c>
      <c r="V23" s="535">
        <f>COS_Unbun.!V42/1000</f>
        <v>0</v>
      </c>
      <c r="W23" s="535">
        <f>COS_Unbun.!W42/1000</f>
        <v>0</v>
      </c>
      <c r="X23" s="20"/>
      <c r="Y23" s="20"/>
      <c r="Z23" s="20"/>
      <c r="AA23" s="20"/>
      <c r="AB23" s="20"/>
      <c r="AC23" s="20"/>
      <c r="AD23" s="20"/>
      <c r="AE23" s="20"/>
    </row>
    <row r="24" spans="1:31">
      <c r="A24" s="411"/>
      <c r="B24" s="225"/>
      <c r="C24" s="2676">
        <f>+MAX(C15:C23)+1</f>
        <v>10</v>
      </c>
      <c r="D24" s="2677" t="str">
        <f>'Table 7'!D23</f>
        <v>Street Lights (6)</v>
      </c>
      <c r="E24" s="2726">
        <f t="shared" si="0"/>
        <v>724.54099999999994</v>
      </c>
      <c r="F24" s="2727">
        <f>COS_Unbun.!F48/1000</f>
        <v>10.167</v>
      </c>
      <c r="G24" s="2727">
        <f>COS_Unbun.!G48/1000</f>
        <v>158.69300000000001</v>
      </c>
      <c r="H24" s="2727">
        <f>COS_Unbun.!H48/1000</f>
        <v>0</v>
      </c>
      <c r="I24" s="2727">
        <f>COS_Unbun.!I48/1000</f>
        <v>9.4160000000000004</v>
      </c>
      <c r="J24" s="2727">
        <f>COS_Unbun.!J48/1000</f>
        <v>0</v>
      </c>
      <c r="K24" s="2727">
        <f>COS_Unbun.!K48/1000</f>
        <v>0</v>
      </c>
      <c r="L24" s="2727">
        <f>COS_Unbun.!L48/1000</f>
        <v>0</v>
      </c>
      <c r="M24" s="2727">
        <f>COS_Unbun.!M48/1000</f>
        <v>3.956</v>
      </c>
      <c r="N24" s="2727">
        <f>COS_Unbun.!N48/1000</f>
        <v>2.367</v>
      </c>
      <c r="O24" s="2727">
        <f>COS_Unbun.!O48/1000</f>
        <v>0</v>
      </c>
      <c r="P24" s="2727">
        <f>COS_Unbun.!P48/1000</f>
        <v>4.5510000000000002</v>
      </c>
      <c r="Q24" s="2727">
        <f>COS_Unbun.!Q48/1000</f>
        <v>9.4610000000000003</v>
      </c>
      <c r="R24" s="2727">
        <f>COS_Unbun.!R48/1000</f>
        <v>1.7010000000000001</v>
      </c>
      <c r="S24" s="2727">
        <f>COS_Unbun.!S48/1000</f>
        <v>0</v>
      </c>
      <c r="T24" s="2727">
        <f>COS_Unbun.!T48/1000</f>
        <v>10.727</v>
      </c>
      <c r="U24" s="2727">
        <f>COS_Unbun.!U48/1000</f>
        <v>511.49200000000002</v>
      </c>
      <c r="V24" s="2727">
        <f>COS_Unbun.!V48/1000</f>
        <v>2.0099999999999998</v>
      </c>
      <c r="W24" s="2727">
        <f>COS_Unbun.!W48/1000</f>
        <v>0</v>
      </c>
      <c r="X24" s="20"/>
      <c r="Y24" s="20"/>
      <c r="Z24" s="20"/>
      <c r="AA24" s="20"/>
      <c r="AB24" s="20"/>
      <c r="AC24" s="20"/>
      <c r="AD24" s="20"/>
      <c r="AE24" s="20"/>
    </row>
    <row r="25" spans="1:31">
      <c r="A25" s="411"/>
      <c r="B25" s="225"/>
      <c r="C25" s="268">
        <f>+MAX(C10:C24)+1</f>
        <v>11</v>
      </c>
      <c r="D25" s="38" t="str">
        <f>'Table 7'!D24</f>
        <v>Street Lights (2)</v>
      </c>
      <c r="E25" s="270">
        <f t="shared" si="0"/>
        <v>59.689</v>
      </c>
      <c r="F25" s="535">
        <f>COS_Unbun.!F51/1000</f>
        <v>1.452</v>
      </c>
      <c r="G25" s="535">
        <f>COS_Unbun.!G51/1000</f>
        <v>19.837</v>
      </c>
      <c r="H25" s="535">
        <f>COS_Unbun.!H51/1000</f>
        <v>0</v>
      </c>
      <c r="I25" s="535">
        <f>COS_Unbun.!I51/1000</f>
        <v>1.046</v>
      </c>
      <c r="J25" s="535">
        <f>COS_Unbun.!J51/1000</f>
        <v>0</v>
      </c>
      <c r="K25" s="535">
        <f>COS_Unbun.!K51/1000</f>
        <v>0</v>
      </c>
      <c r="L25" s="535">
        <f>COS_Unbun.!L51/1000</f>
        <v>0</v>
      </c>
      <c r="M25" s="535">
        <f>COS_Unbun.!M51/1000</f>
        <v>0.56499999999999995</v>
      </c>
      <c r="N25" s="535">
        <f>COS_Unbun.!N51/1000</f>
        <v>0.23699999999999999</v>
      </c>
      <c r="O25" s="535">
        <f>COS_Unbun.!O51/1000</f>
        <v>0</v>
      </c>
      <c r="P25" s="535">
        <f>COS_Unbun.!P51/1000</f>
        <v>2.9129999999999998</v>
      </c>
      <c r="Q25" s="535">
        <f>COS_Unbun.!Q51/1000</f>
        <v>6.149</v>
      </c>
      <c r="R25" s="535">
        <f>COS_Unbun.!R51/1000</f>
        <v>1.083</v>
      </c>
      <c r="S25" s="535">
        <f>COS_Unbun.!S51/1000</f>
        <v>0</v>
      </c>
      <c r="T25" s="535">
        <f>COS_Unbun.!T51/1000</f>
        <v>7.5090000000000003</v>
      </c>
      <c r="U25" s="535">
        <f>COS_Unbun.!U51/1000</f>
        <v>17.558</v>
      </c>
      <c r="V25" s="535">
        <f>COS_Unbun.!V51/1000</f>
        <v>1.34</v>
      </c>
      <c r="W25" s="535">
        <f>COS_Unbun.!W51/1000</f>
        <v>0</v>
      </c>
      <c r="X25" s="20"/>
      <c r="Y25" s="20"/>
      <c r="Z25" s="20"/>
      <c r="AA25" s="20"/>
      <c r="AB25" s="20"/>
      <c r="AC25" s="20"/>
      <c r="AD25" s="20"/>
      <c r="AE25" s="20"/>
    </row>
    <row r="26" spans="1:31">
      <c r="A26" s="411"/>
      <c r="B26" s="225"/>
      <c r="C26" s="2676">
        <f>+MAX(C13:C25)+1</f>
        <v>12</v>
      </c>
      <c r="D26" s="2677" t="str">
        <f>'Table 7'!D25</f>
        <v>Alternate Power Sales</v>
      </c>
      <c r="E26" s="2726">
        <f t="shared" si="0"/>
        <v>0</v>
      </c>
      <c r="F26" s="2727">
        <f>COS_Unbun.!F57/1000</f>
        <v>0</v>
      </c>
      <c r="G26" s="2727">
        <f>COS_Unbun.!G57/1000</f>
        <v>0</v>
      </c>
      <c r="H26" s="2727">
        <f>COS_Unbun.!H57/1000</f>
        <v>0</v>
      </c>
      <c r="I26" s="2727">
        <f>COS_Unbun.!I57/1000</f>
        <v>0</v>
      </c>
      <c r="J26" s="2727">
        <f>COS_Unbun.!J57/1000</f>
        <v>0</v>
      </c>
      <c r="K26" s="2727">
        <f>COS_Unbun.!K57/1000</f>
        <v>0</v>
      </c>
      <c r="L26" s="2727">
        <f>COS_Unbun.!L57/1000</f>
        <v>0</v>
      </c>
      <c r="M26" s="2727">
        <f>COS_Unbun.!M57/1000</f>
        <v>0</v>
      </c>
      <c r="N26" s="2727">
        <f>COS_Unbun.!N57/1000</f>
        <v>0</v>
      </c>
      <c r="O26" s="2727">
        <f>COS_Unbun.!O57/1000</f>
        <v>0</v>
      </c>
      <c r="P26" s="2727">
        <f>COS_Unbun.!P57/1000</f>
        <v>0</v>
      </c>
      <c r="Q26" s="2727">
        <f>COS_Unbun.!Q57/1000</f>
        <v>0</v>
      </c>
      <c r="R26" s="2727">
        <f>COS_Unbun.!R57/1000</f>
        <v>0</v>
      </c>
      <c r="S26" s="2727">
        <f>COS_Unbun.!S57/1000</f>
        <v>0</v>
      </c>
      <c r="T26" s="2727">
        <f>COS_Unbun.!T57/1000</f>
        <v>0</v>
      </c>
      <c r="U26" s="2727">
        <f>COS_Unbun.!U57/1000</f>
        <v>0</v>
      </c>
      <c r="V26" s="2727">
        <f>COS_Unbun.!V57/1000</f>
        <v>0</v>
      </c>
      <c r="W26" s="2727">
        <f>COS_Unbun.!W57/1000</f>
        <v>0</v>
      </c>
      <c r="X26" s="20"/>
      <c r="Y26" s="20"/>
      <c r="Z26" s="20"/>
      <c r="AA26" s="20"/>
      <c r="AB26" s="20"/>
      <c r="AC26" s="20"/>
      <c r="AD26" s="20"/>
      <c r="AE26" s="20"/>
    </row>
    <row r="27" spans="1:31">
      <c r="A27" s="411"/>
      <c r="B27" s="225"/>
      <c r="C27" s="268"/>
      <c r="D27" s="536"/>
      <c r="E27" s="524"/>
      <c r="F27" s="524"/>
      <c r="G27" s="524"/>
      <c r="H27" s="524"/>
      <c r="I27" s="524"/>
      <c r="J27" s="524"/>
      <c r="K27" s="524"/>
      <c r="L27" s="524"/>
      <c r="M27" s="524"/>
      <c r="N27" s="524"/>
      <c r="O27" s="524"/>
      <c r="P27" s="524"/>
      <c r="Q27" s="524"/>
      <c r="R27" s="524"/>
      <c r="S27" s="524"/>
      <c r="T27" s="524"/>
      <c r="U27" s="524"/>
      <c r="V27" s="524"/>
      <c r="W27" s="524"/>
      <c r="X27" s="20"/>
      <c r="Y27" s="20"/>
      <c r="Z27" s="20"/>
      <c r="AA27" s="20"/>
      <c r="AB27" s="20"/>
      <c r="AC27" s="20"/>
      <c r="AD27" s="20"/>
      <c r="AE27" s="20"/>
    </row>
    <row r="28" spans="1:31" ht="16.5" thickBot="1">
      <c r="A28" s="411"/>
      <c r="B28" s="225"/>
      <c r="C28" s="2676">
        <f>+MAX(C15:C27)+1</f>
        <v>13</v>
      </c>
      <c r="D28" s="2728" t="s">
        <v>602</v>
      </c>
      <c r="E28" s="2729">
        <f t="shared" ref="E28:W28" si="1">SUM(E15:E26)</f>
        <v>289928.47600000002</v>
      </c>
      <c r="F28" s="2729">
        <f t="shared" si="1"/>
        <v>14524.332999999999</v>
      </c>
      <c r="G28" s="2729">
        <f t="shared" ref="G28:N28" si="2">SUM(G15:G26)</f>
        <v>198365.75800000003</v>
      </c>
      <c r="H28" s="2729">
        <f t="shared" si="2"/>
        <v>16443.309999999998</v>
      </c>
      <c r="I28" s="2729">
        <f t="shared" si="2"/>
        <v>10462.064</v>
      </c>
      <c r="J28" s="2729">
        <f t="shared" si="2"/>
        <v>1322.7230000000002</v>
      </c>
      <c r="K28" s="2729">
        <f>SUM(K15:K26)</f>
        <v>0</v>
      </c>
      <c r="L28" s="2729">
        <f>SUM(L15:L26)</f>
        <v>0</v>
      </c>
      <c r="M28" s="2729">
        <f t="shared" si="2"/>
        <v>5651.9289999999992</v>
      </c>
      <c r="N28" s="2729">
        <f t="shared" si="2"/>
        <v>2367.0470000000005</v>
      </c>
      <c r="O28" s="2729">
        <f t="shared" si="1"/>
        <v>14472.535</v>
      </c>
      <c r="P28" s="2729">
        <f t="shared" si="1"/>
        <v>1820.3349999999998</v>
      </c>
      <c r="Q28" s="2729">
        <f t="shared" si="1"/>
        <v>4730.3050000000003</v>
      </c>
      <c r="R28" s="2729">
        <f t="shared" si="1"/>
        <v>1546.6410000000001</v>
      </c>
      <c r="S28" s="2729">
        <f t="shared" si="1"/>
        <v>5290.6759999999995</v>
      </c>
      <c r="T28" s="2729">
        <f t="shared" si="1"/>
        <v>10727.008</v>
      </c>
      <c r="U28" s="2729">
        <f t="shared" si="1"/>
        <v>529.05000000000007</v>
      </c>
      <c r="V28" s="2729">
        <f t="shared" si="1"/>
        <v>1674.7619999999997</v>
      </c>
      <c r="W28" s="2729">
        <f t="shared" si="1"/>
        <v>0</v>
      </c>
      <c r="X28" s="20"/>
      <c r="Y28" s="20"/>
      <c r="Z28" s="20"/>
      <c r="AA28" s="20"/>
      <c r="AB28" s="20"/>
      <c r="AC28" s="20"/>
      <c r="AD28" s="20"/>
      <c r="AE28" s="20"/>
    </row>
    <row r="29" spans="1:31" ht="5.0999999999999996" customHeight="1" thickTop="1">
      <c r="A29" s="411"/>
      <c r="B29" s="225"/>
      <c r="C29" s="268"/>
      <c r="D29" s="269"/>
      <c r="E29" s="525"/>
      <c r="F29" s="538"/>
      <c r="G29" s="538"/>
      <c r="H29" s="538"/>
      <c r="I29" s="538"/>
      <c r="J29" s="538"/>
      <c r="K29" s="538"/>
      <c r="L29" s="538"/>
      <c r="M29" s="538"/>
      <c r="N29" s="538"/>
      <c r="O29" s="538"/>
      <c r="P29" s="538"/>
      <c r="Q29" s="538"/>
      <c r="R29" s="538"/>
      <c r="S29" s="538"/>
      <c r="T29" s="538"/>
      <c r="U29" s="538"/>
      <c r="V29" s="538"/>
      <c r="W29" s="538"/>
      <c r="X29" s="20"/>
      <c r="Y29" s="20"/>
      <c r="Z29" s="20"/>
      <c r="AA29" s="20"/>
      <c r="AB29" s="20"/>
      <c r="AC29" s="20"/>
      <c r="AD29" s="20"/>
      <c r="AE29" s="20"/>
    </row>
    <row r="30" spans="1:31">
      <c r="A30" s="411"/>
      <c r="B30" s="225"/>
      <c r="C30" s="268"/>
      <c r="D30" s="269"/>
      <c r="E30" s="525"/>
      <c r="F30" s="538"/>
      <c r="G30" s="538"/>
      <c r="H30" s="538"/>
      <c r="I30" s="538"/>
      <c r="J30" s="538"/>
      <c r="K30" s="538"/>
      <c r="L30" s="538"/>
      <c r="M30" s="538"/>
      <c r="N30" s="538"/>
      <c r="O30" s="538"/>
      <c r="P30" s="538"/>
      <c r="Q30" s="538"/>
      <c r="R30" s="538"/>
      <c r="S30" s="538"/>
      <c r="T30" s="538"/>
      <c r="U30" s="538"/>
      <c r="V30" s="538"/>
      <c r="W30" s="538"/>
      <c r="X30" s="20"/>
      <c r="Y30" s="20"/>
      <c r="Z30" s="20"/>
      <c r="AA30" s="20"/>
      <c r="AB30" s="20"/>
      <c r="AC30" s="20"/>
      <c r="AD30" s="20"/>
      <c r="AE30" s="20"/>
    </row>
    <row r="31" spans="1:31">
      <c r="A31" s="411"/>
      <c r="B31" s="225"/>
      <c r="C31" s="268"/>
      <c r="D31" s="536"/>
      <c r="E31" s="526"/>
      <c r="F31" s="538"/>
      <c r="G31" s="538"/>
      <c r="H31" s="538"/>
      <c r="I31" s="538"/>
      <c r="J31" s="538"/>
      <c r="K31" s="538"/>
      <c r="L31" s="538"/>
      <c r="M31" s="538"/>
      <c r="N31" s="538"/>
      <c r="O31" s="538"/>
      <c r="P31" s="538"/>
      <c r="Q31" s="538"/>
      <c r="R31" s="538"/>
      <c r="S31" s="538"/>
      <c r="T31" s="538"/>
      <c r="U31" s="538"/>
      <c r="V31" s="538"/>
      <c r="W31" s="538"/>
      <c r="X31" s="20"/>
      <c r="Y31" s="20"/>
      <c r="Z31" s="20"/>
      <c r="AA31" s="20"/>
      <c r="AB31" s="20"/>
      <c r="AC31" s="20"/>
      <c r="AD31" s="20"/>
      <c r="AE31" s="20"/>
    </row>
    <row r="32" spans="1:31">
      <c r="A32" s="411"/>
      <c r="B32" s="225"/>
      <c r="C32" s="268"/>
      <c r="D32" s="536"/>
      <c r="E32" s="525"/>
      <c r="F32" s="525"/>
      <c r="G32" s="525"/>
      <c r="H32" s="525"/>
      <c r="I32" s="525"/>
      <c r="J32" s="525"/>
      <c r="K32" s="525"/>
      <c r="L32" s="525"/>
      <c r="M32" s="525"/>
      <c r="N32" s="525"/>
      <c r="O32" s="525"/>
      <c r="P32" s="525"/>
      <c r="Q32" s="525"/>
      <c r="R32" s="525"/>
      <c r="S32" s="525"/>
      <c r="T32" s="525"/>
      <c r="U32" s="525"/>
      <c r="V32" s="525"/>
      <c r="W32" s="525"/>
      <c r="X32" s="20"/>
      <c r="Y32" s="20"/>
      <c r="Z32" s="20"/>
      <c r="AA32" s="20"/>
      <c r="AB32" s="20"/>
      <c r="AC32" s="20"/>
      <c r="AD32" s="20"/>
      <c r="AE32" s="20"/>
    </row>
    <row r="33" spans="1:31">
      <c r="A33" s="411"/>
      <c r="B33" s="225"/>
      <c r="C33" s="268"/>
      <c r="D33" s="536"/>
      <c r="E33" s="525"/>
      <c r="F33" s="525"/>
      <c r="G33" s="525"/>
      <c r="H33" s="525"/>
      <c r="I33" s="525"/>
      <c r="J33" s="525"/>
      <c r="K33" s="525"/>
      <c r="L33" s="525"/>
      <c r="M33" s="525"/>
      <c r="N33" s="525"/>
      <c r="O33" s="525"/>
      <c r="P33" s="525"/>
      <c r="Q33" s="525"/>
      <c r="R33" s="525"/>
      <c r="S33" s="525"/>
      <c r="T33" s="525"/>
      <c r="U33" s="525"/>
      <c r="V33" s="525"/>
      <c r="W33" s="525"/>
      <c r="X33" s="20"/>
      <c r="Y33" s="20"/>
      <c r="Z33" s="20"/>
      <c r="AA33" s="20"/>
      <c r="AB33" s="20"/>
      <c r="AC33" s="20"/>
      <c r="AD33" s="20"/>
      <c r="AE33" s="20"/>
    </row>
    <row r="34" spans="1:31">
      <c r="A34" s="411"/>
      <c r="B34" s="225"/>
      <c r="C34" s="268"/>
      <c r="D34" s="536"/>
      <c r="E34" s="525"/>
      <c r="F34" s="525"/>
      <c r="G34" s="525"/>
      <c r="H34" s="525"/>
      <c r="I34" s="525"/>
      <c r="J34" s="525"/>
      <c r="K34" s="525"/>
      <c r="L34" s="525"/>
      <c r="M34" s="525"/>
      <c r="N34" s="525"/>
      <c r="O34" s="525"/>
      <c r="P34" s="525"/>
      <c r="Q34" s="525"/>
      <c r="R34" s="525"/>
      <c r="S34" s="525"/>
      <c r="T34" s="525"/>
      <c r="U34" s="525"/>
      <c r="V34" s="525"/>
      <c r="W34" s="525"/>
      <c r="X34" s="20"/>
      <c r="Y34" s="20"/>
      <c r="Z34" s="20"/>
      <c r="AA34" s="20"/>
      <c r="AB34" s="20"/>
      <c r="AC34" s="20"/>
      <c r="AD34" s="20"/>
      <c r="AE34" s="20"/>
    </row>
    <row r="35" spans="1:31">
      <c r="A35" s="411"/>
      <c r="B35" s="225"/>
      <c r="C35" s="268"/>
      <c r="D35" s="537"/>
      <c r="E35" s="526"/>
      <c r="F35" s="526"/>
      <c r="G35" s="526"/>
      <c r="H35" s="526"/>
      <c r="I35" s="526"/>
      <c r="J35" s="526"/>
      <c r="K35" s="526"/>
      <c r="L35" s="526"/>
      <c r="M35" s="526"/>
      <c r="N35" s="526"/>
      <c r="O35" s="526"/>
      <c r="P35" s="526"/>
      <c r="Q35" s="526"/>
      <c r="R35" s="526"/>
      <c r="S35" s="526"/>
      <c r="T35" s="526"/>
      <c r="U35" s="526"/>
      <c r="V35" s="526"/>
      <c r="W35" s="526"/>
      <c r="X35" s="20"/>
      <c r="Y35" s="20"/>
      <c r="Z35" s="20"/>
      <c r="AA35" s="20"/>
      <c r="AB35" s="20"/>
      <c r="AC35" s="20"/>
      <c r="AD35" s="20"/>
      <c r="AE35" s="20"/>
    </row>
    <row r="36" spans="1:31">
      <c r="A36" s="411"/>
      <c r="B36" s="225"/>
      <c r="C36" s="268"/>
      <c r="D36" s="269"/>
      <c r="E36" s="525"/>
      <c r="F36" s="538"/>
      <c r="G36" s="538"/>
      <c r="H36" s="538"/>
      <c r="I36" s="538"/>
      <c r="J36" s="538"/>
      <c r="K36" s="538"/>
      <c r="L36" s="538"/>
      <c r="M36" s="538"/>
      <c r="N36" s="538"/>
      <c r="O36" s="538"/>
      <c r="P36" s="538"/>
      <c r="Q36" s="538"/>
      <c r="R36" s="538"/>
      <c r="S36" s="538"/>
      <c r="T36" s="538"/>
      <c r="U36" s="538"/>
      <c r="V36" s="538"/>
      <c r="W36" s="538"/>
      <c r="X36" s="20"/>
      <c r="Y36" s="20"/>
      <c r="Z36" s="20"/>
      <c r="AA36" s="20"/>
      <c r="AB36" s="20"/>
      <c r="AC36" s="20"/>
      <c r="AD36" s="20"/>
      <c r="AE36" s="20"/>
    </row>
    <row r="37" spans="1:31" hidden="1">
      <c r="A37" s="411"/>
      <c r="E37" s="17"/>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row>
    <row r="38" spans="1:31" hidden="1">
      <c r="A38" s="411"/>
      <c r="E38" s="17"/>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row>
    <row r="39" spans="1:31" hidden="1">
      <c r="A39" s="411"/>
      <c r="E39" s="17"/>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row>
    <row r="40" spans="1:31" hidden="1">
      <c r="A40" s="411"/>
      <c r="E40" s="17"/>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row>
    <row r="41" spans="1:31" hidden="1">
      <c r="A41" s="411"/>
      <c r="E41" s="17"/>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row>
    <row r="42" spans="1:31" hidden="1">
      <c r="A42" s="411"/>
      <c r="E42" s="17"/>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row>
    <row r="43" spans="1:31" hidden="1">
      <c r="A43" s="411"/>
      <c r="E43" s="17"/>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row>
    <row r="44" spans="1:31" hidden="1">
      <c r="A44" s="411"/>
      <c r="E44" s="17"/>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row>
    <row r="45" spans="1:31" hidden="1">
      <c r="A45" s="411"/>
      <c r="E45" s="17"/>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row>
    <row r="46" spans="1:31" hidden="1">
      <c r="E46" s="17"/>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row>
    <row r="47" spans="1:31" hidden="1">
      <c r="E47" s="17"/>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row>
    <row r="48" spans="1:31" hidden="1">
      <c r="E48" s="17"/>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row>
    <row r="49" spans="5:31" hidden="1">
      <c r="E49" s="17"/>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row>
    <row r="50" spans="5:31" hidden="1">
      <c r="E50" s="17"/>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row>
    <row r="51" spans="5:31" hidden="1">
      <c r="E51" s="17"/>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row>
    <row r="52" spans="5:31" hidden="1">
      <c r="E52" s="17"/>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row>
    <row r="53" spans="5:31" hidden="1">
      <c r="E53" s="17"/>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row>
    <row r="54" spans="5:31" hidden="1">
      <c r="E54" s="17"/>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row>
    <row r="55" spans="5:31" hidden="1">
      <c r="E55" s="17"/>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row>
    <row r="56" spans="5:31" hidden="1">
      <c r="E56" s="17"/>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row>
    <row r="57" spans="5:31" hidden="1">
      <c r="E57" s="17"/>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row>
    <row r="58" spans="5:31" hidden="1">
      <c r="E58" s="17"/>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row>
    <row r="59" spans="5:31" hidden="1">
      <c r="E59" s="17"/>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row>
    <row r="60" spans="5:31" hidden="1">
      <c r="E60" s="17"/>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row>
    <row r="61" spans="5:31" hidden="1">
      <c r="E61" s="17"/>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row>
    <row r="62" spans="5:31" hidden="1">
      <c r="E62" s="17"/>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row>
    <row r="63" spans="5:31" hidden="1">
      <c r="E63" s="17"/>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row>
    <row r="64" spans="5:31" hidden="1">
      <c r="E64" s="17"/>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row>
    <row r="65" spans="5:31" hidden="1">
      <c r="E65" s="17"/>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row>
    <row r="66" spans="5:31" hidden="1">
      <c r="E66" s="17"/>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row>
    <row r="67" spans="5:31" hidden="1">
      <c r="E67" s="17"/>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row>
    <row r="68" spans="5:31" hidden="1">
      <c r="E68" s="17"/>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row>
    <row r="69" spans="5:31" hidden="1">
      <c r="E69" s="17"/>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row>
    <row r="70" spans="5:31" hidden="1">
      <c r="E70" s="17"/>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row>
    <row r="71" spans="5:31" hidden="1">
      <c r="E71" s="17"/>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row>
    <row r="72" spans="5:31" hidden="1">
      <c r="E72" s="17"/>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row>
    <row r="73" spans="5:31" hidden="1">
      <c r="E73" s="17"/>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row>
    <row r="74" spans="5:31" hidden="1">
      <c r="E74" s="17"/>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row>
    <row r="75" spans="5:31" hidden="1">
      <c r="E75" s="17"/>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row>
    <row r="76" spans="5:31" hidden="1">
      <c r="E76" s="17"/>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row>
    <row r="77" spans="5:31" hidden="1">
      <c r="E77" s="17"/>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row>
    <row r="78" spans="5:31" hidden="1"/>
    <row r="79" spans="5:31" hidden="1"/>
    <row r="80" spans="5:3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sheetData>
  <mergeCells count="15">
    <mergeCell ref="C1:W1"/>
    <mergeCell ref="C4:W4"/>
    <mergeCell ref="I8:O8"/>
    <mergeCell ref="F7:G7"/>
    <mergeCell ref="R9:S9"/>
    <mergeCell ref="C9:C10"/>
    <mergeCell ref="D9:D10"/>
    <mergeCell ref="E9:E10"/>
    <mergeCell ref="N9:O9"/>
    <mergeCell ref="P9:Q9"/>
    <mergeCell ref="P8:S8"/>
    <mergeCell ref="F8:G8"/>
    <mergeCell ref="C3:W3"/>
    <mergeCell ref="C2:W2"/>
    <mergeCell ref="I7:O7"/>
  </mergeCells>
  <phoneticPr fontId="8" type="noConversion"/>
  <pageMargins left="0.25" right="0.25" top="0.5" bottom="0.5" header="0.25" footer="0.25"/>
  <pageSetup paperSize="17" scale="76" fitToHeight="3" orientation="landscape" r:id="rId1"/>
  <headerFooter alignWithMargins="0">
    <oddFooter>&amp;L&amp;"Times New Roman,Bold Italic"Black &amp; Veatch Corporation&amp;C&amp;"Times New Roman,Bold Italic"Date: &amp;D&amp;R&amp;"Times New Roman,Bold Italic"Page: &amp;P of &amp;N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AH273"/>
  <sheetViews>
    <sheetView showGridLines="0" zoomScale="55" zoomScaleNormal="55" workbookViewId="0">
      <pane xSplit="5" ySplit="10" topLeftCell="F11" activePane="bottomRight" state="frozen"/>
      <selection activeCell="D11" sqref="D11"/>
      <selection pane="topRight" activeCell="D11" sqref="D11"/>
      <selection pane="bottomLeft" activeCell="D11" sqref="D11"/>
      <selection pane="bottomRight" activeCell="J49" sqref="J49"/>
    </sheetView>
  </sheetViews>
  <sheetFormatPr defaultColWidth="0" defaultRowHeight="15.75" customHeight="1" zeroHeight="1"/>
  <cols>
    <col min="1" max="1" width="22.625" customWidth="1"/>
    <col min="2" max="2" width="1.875" customWidth="1"/>
    <col min="3" max="3" width="6.125" customWidth="1"/>
    <col min="4" max="4" width="23" bestFit="1" customWidth="1"/>
    <col min="5" max="5" width="13.625" style="1" bestFit="1" customWidth="1"/>
    <col min="6" max="6" width="11.75" bestFit="1" customWidth="1"/>
    <col min="7" max="7" width="13" bestFit="1" customWidth="1"/>
    <col min="8" max="8" width="13" customWidth="1"/>
    <col min="9" max="9" width="14.5" bestFit="1" customWidth="1"/>
    <col min="10" max="10" width="12.25" bestFit="1" customWidth="1"/>
    <col min="11" max="13" width="12.25" customWidth="1"/>
    <col min="14" max="14" width="13.25" bestFit="1" customWidth="1"/>
    <col min="15" max="15" width="11.75" bestFit="1" customWidth="1"/>
    <col min="16" max="16" width="12.625" bestFit="1" customWidth="1"/>
    <col min="17" max="17" width="12.625" customWidth="1"/>
    <col min="18" max="19" width="11.75" bestFit="1" customWidth="1"/>
    <col min="20" max="21" width="11.375" bestFit="1" customWidth="1"/>
    <col min="22" max="22" width="11.375" customWidth="1"/>
    <col min="23" max="23" width="11.75" bestFit="1" customWidth="1"/>
    <col min="24" max="24" width="10.5" bestFit="1" customWidth="1"/>
    <col min="25" max="25" width="11.125" bestFit="1" customWidth="1"/>
    <col min="26" max="26" width="9.125" bestFit="1" customWidth="1"/>
    <col min="27" max="27" width="2.125" customWidth="1"/>
  </cols>
  <sheetData>
    <row r="1" spans="1:34" ht="18.75">
      <c r="A1" s="411"/>
      <c r="C1" s="4551" t="s">
        <v>499</v>
      </c>
      <c r="D1" s="4551"/>
      <c r="E1" s="4551"/>
      <c r="F1" s="4551"/>
      <c r="G1" s="4551"/>
      <c r="H1" s="4551"/>
      <c r="I1" s="4551"/>
      <c r="J1" s="4551"/>
      <c r="K1" s="4551"/>
      <c r="L1" s="4551"/>
      <c r="M1" s="4551"/>
      <c r="N1" s="4551"/>
      <c r="O1" s="4551"/>
      <c r="P1" s="4551"/>
      <c r="Q1" s="4551"/>
      <c r="R1" s="4551"/>
      <c r="S1" s="4551"/>
      <c r="T1" s="4551"/>
      <c r="U1" s="4551"/>
      <c r="V1" s="4551"/>
      <c r="W1" s="4551"/>
      <c r="X1" s="4551"/>
      <c r="Y1" s="4551"/>
      <c r="Z1" s="4551"/>
    </row>
    <row r="2" spans="1:34" ht="18.75">
      <c r="A2" s="411"/>
      <c r="C2" s="4551" t="str">
        <f>Client</f>
        <v>Grant County Public Utility District</v>
      </c>
      <c r="D2" s="4551"/>
      <c r="E2" s="4551"/>
      <c r="F2" s="4551"/>
      <c r="G2" s="4551"/>
      <c r="H2" s="4551"/>
      <c r="I2" s="4551"/>
      <c r="J2" s="4551"/>
      <c r="K2" s="4551"/>
      <c r="L2" s="4551"/>
      <c r="M2" s="4551"/>
      <c r="N2" s="4551"/>
      <c r="O2" s="4551"/>
      <c r="P2" s="4551"/>
      <c r="Q2" s="4551"/>
      <c r="R2" s="4551"/>
      <c r="S2" s="4551"/>
      <c r="T2" s="4551"/>
      <c r="U2" s="4551"/>
      <c r="V2" s="4551"/>
      <c r="W2" s="4551"/>
      <c r="X2" s="4551"/>
      <c r="Y2" s="4551"/>
      <c r="Z2" s="4551"/>
    </row>
    <row r="3" spans="1:34" ht="18.75">
      <c r="A3" s="411"/>
      <c r="C3" s="4551" t="s">
        <v>886</v>
      </c>
      <c r="D3" s="4551"/>
      <c r="E3" s="4551"/>
      <c r="F3" s="4551"/>
      <c r="G3" s="4551"/>
      <c r="H3" s="4551"/>
      <c r="I3" s="4551"/>
      <c r="J3" s="4551"/>
      <c r="K3" s="4551"/>
      <c r="L3" s="4551"/>
      <c r="M3" s="4551"/>
      <c r="N3" s="4551"/>
      <c r="O3" s="4551"/>
      <c r="P3" s="4551"/>
      <c r="Q3" s="4551"/>
      <c r="R3" s="4551"/>
      <c r="S3" s="4551"/>
      <c r="T3" s="4551"/>
      <c r="U3" s="4551"/>
      <c r="V3" s="4551"/>
      <c r="W3" s="4551"/>
      <c r="X3" s="4551"/>
      <c r="Y3" s="4551"/>
      <c r="Z3" s="4551"/>
    </row>
    <row r="4" spans="1:34" ht="18.75">
      <c r="A4" s="411"/>
      <c r="C4" s="4551"/>
      <c r="D4" s="4551"/>
      <c r="E4" s="4551"/>
      <c r="F4" s="4551"/>
      <c r="G4" s="4551"/>
      <c r="H4" s="4551"/>
      <c r="I4" s="4551"/>
      <c r="J4" s="4551"/>
      <c r="K4" s="4551"/>
      <c r="L4" s="4551"/>
      <c r="M4" s="4551"/>
      <c r="N4" s="4551"/>
      <c r="O4" s="4551"/>
      <c r="P4" s="4551"/>
      <c r="Q4" s="4551"/>
      <c r="R4" s="4551"/>
      <c r="S4" s="4551"/>
      <c r="T4" s="4551"/>
      <c r="U4" s="4551"/>
      <c r="V4" s="4551"/>
      <c r="W4" s="4551"/>
      <c r="X4" s="4551"/>
      <c r="Y4" s="4551"/>
      <c r="Z4" s="4551"/>
    </row>
    <row r="5" spans="1:34">
      <c r="A5" s="411"/>
    </row>
    <row r="6" spans="1:34">
      <c r="A6" s="411"/>
      <c r="C6" s="84"/>
      <c r="D6" s="84"/>
      <c r="E6" s="2579" t="s">
        <v>674</v>
      </c>
      <c r="F6" s="2579" t="s">
        <v>155</v>
      </c>
      <c r="G6" s="2579" t="s">
        <v>675</v>
      </c>
      <c r="H6" s="2579"/>
      <c r="I6" s="2579" t="s">
        <v>676</v>
      </c>
      <c r="J6" s="2579" t="s">
        <v>677</v>
      </c>
      <c r="K6" s="2579" t="s">
        <v>140</v>
      </c>
      <c r="L6" s="2579" t="s">
        <v>141</v>
      </c>
      <c r="M6" s="2579" t="s">
        <v>142</v>
      </c>
      <c r="N6" s="2579" t="s">
        <v>143</v>
      </c>
      <c r="O6" s="2579" t="s">
        <v>145</v>
      </c>
      <c r="P6" s="2579" t="s">
        <v>146</v>
      </c>
      <c r="Q6" s="2579"/>
      <c r="R6" s="2579" t="s">
        <v>147</v>
      </c>
      <c r="S6" s="2579" t="s">
        <v>148</v>
      </c>
      <c r="T6" s="2579" t="s">
        <v>149</v>
      </c>
      <c r="U6" s="2579" t="s">
        <v>150</v>
      </c>
      <c r="V6" s="2579"/>
      <c r="W6" s="2579" t="s">
        <v>151</v>
      </c>
      <c r="X6" s="2579" t="s">
        <v>153</v>
      </c>
      <c r="Y6" s="2579" t="s">
        <v>154</v>
      </c>
      <c r="Z6" s="2579" t="s">
        <v>449</v>
      </c>
      <c r="AA6" s="3"/>
      <c r="AB6" s="3"/>
      <c r="AC6" s="3"/>
      <c r="AD6" s="3"/>
      <c r="AE6" s="90"/>
    </row>
    <row r="7" spans="1:34" s="18" customFormat="1">
      <c r="A7" s="503"/>
      <c r="C7" s="3216"/>
      <c r="D7" s="3216"/>
      <c r="E7" s="3216"/>
      <c r="F7" s="4577" t="s">
        <v>609</v>
      </c>
      <c r="G7" s="4577"/>
      <c r="H7" s="4577"/>
      <c r="I7" s="3217" t="s">
        <v>600</v>
      </c>
      <c r="J7" s="4577" t="s">
        <v>601</v>
      </c>
      <c r="K7" s="4577"/>
      <c r="L7" s="4577"/>
      <c r="M7" s="4577"/>
      <c r="N7" s="4577"/>
      <c r="O7" s="4577"/>
      <c r="P7" s="4577"/>
      <c r="Q7" s="4577"/>
      <c r="R7" s="4577"/>
      <c r="S7" s="4577"/>
      <c r="T7" s="4577"/>
      <c r="U7" s="4577"/>
      <c r="V7" s="4577"/>
      <c r="W7" s="3218"/>
      <c r="X7" s="3218"/>
      <c r="Y7" s="3218"/>
      <c r="Z7" s="3218"/>
    </row>
    <row r="8" spans="1:34" s="18" customFormat="1">
      <c r="A8" s="503"/>
      <c r="C8" s="3216"/>
      <c r="D8" s="3216"/>
      <c r="E8" s="3216"/>
      <c r="F8" s="4577" t="s">
        <v>609</v>
      </c>
      <c r="G8" s="4577"/>
      <c r="H8" s="4577"/>
      <c r="I8" s="3217" t="s">
        <v>600</v>
      </c>
      <c r="J8" s="4577" t="s">
        <v>168</v>
      </c>
      <c r="K8" s="4577"/>
      <c r="L8" s="4577"/>
      <c r="M8" s="4577"/>
      <c r="N8" s="4577"/>
      <c r="O8" s="4577"/>
      <c r="P8" s="4577"/>
      <c r="Q8" s="3219"/>
      <c r="R8" s="4577" t="s">
        <v>606</v>
      </c>
      <c r="S8" s="4577"/>
      <c r="T8" s="4577"/>
      <c r="U8" s="4577"/>
      <c r="V8" s="4577"/>
      <c r="W8" s="3219" t="s">
        <v>169</v>
      </c>
      <c r="X8" s="3219"/>
      <c r="Y8" s="3217"/>
      <c r="Z8" s="3217"/>
    </row>
    <row r="9" spans="1:34" s="18" customFormat="1">
      <c r="A9" s="503"/>
      <c r="B9" s="2724"/>
      <c r="C9" s="4578" t="s">
        <v>867</v>
      </c>
      <c r="D9" s="4578" t="s">
        <v>118</v>
      </c>
      <c r="E9" s="4578" t="s">
        <v>602</v>
      </c>
      <c r="F9" s="3224"/>
      <c r="G9" s="3225"/>
      <c r="H9" s="3226"/>
      <c r="I9" s="3217"/>
      <c r="J9" s="3220" t="s">
        <v>170</v>
      </c>
      <c r="K9" s="3220" t="s">
        <v>170</v>
      </c>
      <c r="L9" s="3220" t="s">
        <v>2988</v>
      </c>
      <c r="M9" s="3220" t="s">
        <v>2989</v>
      </c>
      <c r="N9" s="3217" t="s">
        <v>867</v>
      </c>
      <c r="O9" s="4577" t="s">
        <v>857</v>
      </c>
      <c r="P9" s="4577"/>
      <c r="Q9" s="3217" t="s">
        <v>602</v>
      </c>
      <c r="R9" s="4577" t="s">
        <v>858</v>
      </c>
      <c r="S9" s="4577"/>
      <c r="T9" s="3217"/>
      <c r="U9" s="3217"/>
      <c r="V9" s="3217" t="s">
        <v>602</v>
      </c>
      <c r="W9" s="3217" t="s">
        <v>173</v>
      </c>
      <c r="X9" s="3217" t="s">
        <v>174</v>
      </c>
      <c r="Y9" s="3217" t="s">
        <v>103</v>
      </c>
      <c r="Z9" s="3217" t="s">
        <v>176</v>
      </c>
    </row>
    <row r="10" spans="1:34" s="18" customFormat="1">
      <c r="A10" s="503"/>
      <c r="B10" s="2724"/>
      <c r="C10" s="4578"/>
      <c r="D10" s="4578"/>
      <c r="E10" s="4578"/>
      <c r="F10" s="3217" t="s">
        <v>605</v>
      </c>
      <c r="G10" s="3217" t="s">
        <v>168</v>
      </c>
      <c r="H10" s="3217" t="s">
        <v>3472</v>
      </c>
      <c r="I10" s="3217" t="s">
        <v>168</v>
      </c>
      <c r="J10" s="3217"/>
      <c r="K10" s="3217" t="s">
        <v>175</v>
      </c>
      <c r="L10" s="3217" t="s">
        <v>175</v>
      </c>
      <c r="M10" s="3217" t="s">
        <v>175</v>
      </c>
      <c r="N10" s="3217" t="s">
        <v>856</v>
      </c>
      <c r="O10" s="3217" t="s">
        <v>985</v>
      </c>
      <c r="P10" s="3217" t="s">
        <v>986</v>
      </c>
      <c r="Q10" s="3217" t="s">
        <v>601</v>
      </c>
      <c r="R10" s="3217" t="s">
        <v>985</v>
      </c>
      <c r="S10" s="3217" t="s">
        <v>986</v>
      </c>
      <c r="T10" s="3217" t="s">
        <v>171</v>
      </c>
      <c r="U10" s="3217" t="s">
        <v>172</v>
      </c>
      <c r="V10" s="3217" t="s">
        <v>608</v>
      </c>
      <c r="W10" s="3217" t="s">
        <v>603</v>
      </c>
      <c r="X10" s="3217" t="s">
        <v>859</v>
      </c>
      <c r="Y10" s="3217" t="s">
        <v>606</v>
      </c>
      <c r="Z10" s="3217" t="s">
        <v>861</v>
      </c>
    </row>
    <row r="11" spans="1:34">
      <c r="A11" s="411"/>
      <c r="B11" s="20"/>
      <c r="C11" s="3221"/>
      <c r="D11" s="3221"/>
      <c r="E11" s="3222">
        <v>1000</v>
      </c>
      <c r="F11" s="3223">
        <v>1000</v>
      </c>
      <c r="G11" s="3223">
        <v>1000</v>
      </c>
      <c r="H11" s="3223">
        <v>1000</v>
      </c>
      <c r="I11" s="3223">
        <v>1000</v>
      </c>
      <c r="J11" s="3223">
        <v>1000</v>
      </c>
      <c r="K11" s="3223">
        <v>1000</v>
      </c>
      <c r="L11" s="3223">
        <v>1000</v>
      </c>
      <c r="M11" s="3223">
        <v>1000</v>
      </c>
      <c r="N11" s="3223">
        <v>1000</v>
      </c>
      <c r="O11" s="3223">
        <v>1000</v>
      </c>
      <c r="P11" s="3223">
        <v>1000</v>
      </c>
      <c r="Q11" s="3223">
        <v>1000</v>
      </c>
      <c r="R11" s="3223">
        <v>1000</v>
      </c>
      <c r="S11" s="3223">
        <v>1000</v>
      </c>
      <c r="T11" s="3223">
        <v>1000</v>
      </c>
      <c r="U11" s="3223">
        <v>1000</v>
      </c>
      <c r="V11" s="3223">
        <v>1000</v>
      </c>
      <c r="W11" s="3223">
        <v>1000</v>
      </c>
      <c r="X11" s="3223">
        <v>1000</v>
      </c>
      <c r="Y11" s="3223">
        <v>1000</v>
      </c>
      <c r="Z11" s="3223">
        <v>1000</v>
      </c>
    </row>
    <row r="12" spans="1:34" ht="6" customHeight="1">
      <c r="A12" s="411"/>
      <c r="B12" s="225"/>
      <c r="C12" s="258"/>
      <c r="D12" s="258"/>
      <c r="E12" s="520"/>
      <c r="F12" s="520"/>
      <c r="G12" s="520"/>
      <c r="I12" s="520"/>
      <c r="J12" s="520"/>
      <c r="K12" s="520"/>
      <c r="L12" s="520"/>
      <c r="M12" s="520"/>
      <c r="N12" s="520"/>
      <c r="O12" s="520"/>
      <c r="P12" s="520"/>
      <c r="R12" s="520"/>
      <c r="S12" s="520"/>
      <c r="T12" s="520"/>
      <c r="U12" s="520"/>
      <c r="W12" s="520"/>
      <c r="X12" s="520"/>
      <c r="Y12" s="520"/>
      <c r="Z12" s="520"/>
    </row>
    <row r="13" spans="1:34">
      <c r="A13" s="411"/>
      <c r="B13" s="225"/>
      <c r="C13" s="197"/>
      <c r="D13" s="533" t="s">
        <v>401</v>
      </c>
      <c r="E13" s="395"/>
      <c r="F13" s="534" t="str">
        <f>COS_Alloc.!F10</f>
        <v>ENR1</v>
      </c>
      <c r="G13" s="534" t="str">
        <f>COS_Alloc.!G10</f>
        <v>AED 12CP</v>
      </c>
      <c r="H13" s="534"/>
      <c r="I13" s="534" t="str">
        <f>COS_Alloc.!H10</f>
        <v>12CP</v>
      </c>
      <c r="J13" s="534" t="str">
        <f>COS_Alloc.!I10</f>
        <v>CAP1</v>
      </c>
      <c r="K13" s="534" t="str">
        <f>COS_Alloc.!J10</f>
        <v>CAP1-D</v>
      </c>
      <c r="L13" s="534" t="str">
        <f>COS_Alloc.!K10</f>
        <v>DIR-14</v>
      </c>
      <c r="M13" s="534" t="str">
        <f>COS_Alloc.!L10</f>
        <v>DIR-15</v>
      </c>
      <c r="N13" s="534" t="str">
        <f>COS_Alloc.!M10</f>
        <v>CAP3</v>
      </c>
      <c r="O13" s="534" t="str">
        <f>COS_Alloc.!N10</f>
        <v>CAP3U</v>
      </c>
      <c r="P13" s="534" t="str">
        <f>COS_Alloc.!O10</f>
        <v>CAP3R</v>
      </c>
      <c r="Q13" s="534"/>
      <c r="R13" s="534" t="str">
        <f>COS_Alloc.!P10</f>
        <v>CUS4U</v>
      </c>
      <c r="S13" s="534" t="str">
        <f>COS_Alloc.!Q10</f>
        <v>CUS4R</v>
      </c>
      <c r="T13" s="534" t="str">
        <f>COS_Alloc.!R10</f>
        <v>CUS2</v>
      </c>
      <c r="U13" s="534" t="str">
        <f>COS_Alloc.!S10</f>
        <v>CUS3</v>
      </c>
      <c r="V13" s="534"/>
      <c r="W13" s="534" t="str">
        <f>COS_Alloc.!T10</f>
        <v>CUS1</v>
      </c>
      <c r="X13" s="534" t="str">
        <f>COS_Alloc.!U10</f>
        <v>SL</v>
      </c>
      <c r="Y13" s="534" t="str">
        <f>COS_Alloc.!V10</f>
        <v>CUST</v>
      </c>
      <c r="Z13" s="534" t="str">
        <f>COS_Alloc.!W10</f>
        <v>REV</v>
      </c>
    </row>
    <row r="14" spans="1:34">
      <c r="A14" s="411"/>
      <c r="B14" s="225"/>
      <c r="C14" s="2676"/>
      <c r="D14" s="2725"/>
      <c r="E14" s="2725"/>
      <c r="F14" s="2725"/>
      <c r="G14" s="2725"/>
      <c r="H14" s="2725"/>
      <c r="I14" s="2725"/>
      <c r="J14" s="2725"/>
      <c r="K14" s="2725"/>
      <c r="L14" s="2725"/>
      <c r="M14" s="2725"/>
      <c r="N14" s="2725"/>
      <c r="O14" s="2725"/>
      <c r="P14" s="2725"/>
      <c r="Q14" s="2725"/>
      <c r="R14" s="2725"/>
      <c r="S14" s="2725"/>
      <c r="T14" s="2725"/>
      <c r="U14" s="2725"/>
      <c r="V14" s="2725"/>
      <c r="W14" s="2725"/>
      <c r="X14" s="2725"/>
      <c r="Y14" s="2725"/>
      <c r="Z14" s="2725"/>
    </row>
    <row r="15" spans="1:34">
      <c r="A15" s="411"/>
      <c r="B15" s="225"/>
      <c r="C15" s="268">
        <v>1</v>
      </c>
      <c r="D15" s="38" t="str">
        <f>'Table 7'!D14</f>
        <v>Residential-Urban (1)</v>
      </c>
      <c r="E15" s="279">
        <f>'Table 8'!E15</f>
        <v>25025.792000000001</v>
      </c>
      <c r="F15" s="524">
        <f>COS_Unbun.!F14/1000</f>
        <v>843.86400000000003</v>
      </c>
      <c r="G15" s="524">
        <f>COS_Unbun.!G14/1000</f>
        <v>13449.198</v>
      </c>
      <c r="H15" s="524">
        <f>SUM(F15:G15)</f>
        <v>14293.062</v>
      </c>
      <c r="I15" s="524">
        <f>COS_Unbun.!H14/1000</f>
        <v>1813.6969999999999</v>
      </c>
      <c r="J15" s="524">
        <f>COS_Unbun.!I14/1000</f>
        <v>873.58199999999999</v>
      </c>
      <c r="K15" s="524">
        <f>COS_Unbun.!J14/1000</f>
        <v>0</v>
      </c>
      <c r="L15" s="524">
        <f>COS_Unbun.!K14/1000</f>
        <v>0</v>
      </c>
      <c r="M15" s="524">
        <f>COS_Unbun.!L14/1000</f>
        <v>0</v>
      </c>
      <c r="N15" s="524">
        <f>COS_Unbun.!M14/1000</f>
        <v>490.02199999999999</v>
      </c>
      <c r="O15" s="524">
        <f>COS_Unbun.!N14/1000</f>
        <v>306.29599999999999</v>
      </c>
      <c r="P15" s="524">
        <f>COS_Unbun.!O14/1000</f>
        <v>0</v>
      </c>
      <c r="Q15" s="524">
        <f>SUM(J15:P15)</f>
        <v>1669.9</v>
      </c>
      <c r="R15" s="524">
        <f>COS_Unbun.!P14/1000</f>
        <v>1457.36</v>
      </c>
      <c r="S15" s="524">
        <f>COS_Unbun.!Q14/1000</f>
        <v>0</v>
      </c>
      <c r="T15" s="524">
        <f>COS_Unbun.!R14/1000</f>
        <v>357.738</v>
      </c>
      <c r="U15" s="524">
        <f>COS_Unbun.!S14/1000</f>
        <v>1140.67</v>
      </c>
      <c r="V15" s="524">
        <f>SUM(R15:U15)</f>
        <v>2955.768</v>
      </c>
      <c r="W15" s="524">
        <f>COS_Unbun.!T14/1000</f>
        <v>3637.5279999999998</v>
      </c>
      <c r="X15" s="524">
        <f>COS_Unbun.!U14/1000</f>
        <v>0</v>
      </c>
      <c r="Y15" s="524">
        <f>COS_Unbun.!V14/1000</f>
        <v>655.83699999999999</v>
      </c>
      <c r="Z15" s="524">
        <f>COS_Unbun.!W14/1000</f>
        <v>0</v>
      </c>
      <c r="AA15" s="20"/>
      <c r="AB15" s="20"/>
      <c r="AC15" s="20"/>
      <c r="AD15" s="20"/>
      <c r="AE15" s="20"/>
      <c r="AF15" s="20"/>
      <c r="AG15" s="20"/>
      <c r="AH15" s="20"/>
    </row>
    <row r="16" spans="1:34">
      <c r="A16" s="411"/>
      <c r="B16" s="225"/>
      <c r="C16" s="2676">
        <f>+MAX(C6:C15)+1</f>
        <v>2</v>
      </c>
      <c r="D16" s="2677" t="str">
        <f>'Table 7'!D15</f>
        <v>Residential-Rural (1)</v>
      </c>
      <c r="E16" s="2726">
        <f>'Table 8'!E16</f>
        <v>40082.142999999996</v>
      </c>
      <c r="F16" s="2727">
        <f>COS_Unbun.!F17/1000</f>
        <v>1190.9949999999999</v>
      </c>
      <c r="G16" s="2727">
        <f>COS_Unbun.!G17/1000</f>
        <v>18983.602999999999</v>
      </c>
      <c r="H16" s="2727">
        <f t="shared" ref="H16:H28" si="0">SUM(F16:G16)</f>
        <v>20174.597999999998</v>
      </c>
      <c r="I16" s="2727">
        <f>COS_Unbun.!H17/1000</f>
        <v>2558.5790000000002</v>
      </c>
      <c r="J16" s="2727">
        <f>COS_Unbun.!I17/1000</f>
        <v>1232.431</v>
      </c>
      <c r="K16" s="2727">
        <f>COS_Unbun.!J17/1000</f>
        <v>0</v>
      </c>
      <c r="L16" s="2727">
        <f>COS_Unbun.!K17/1000</f>
        <v>0</v>
      </c>
      <c r="M16" s="2727">
        <f>COS_Unbun.!L17/1000</f>
        <v>0</v>
      </c>
      <c r="N16" s="2727">
        <f>COS_Unbun.!M17/1000</f>
        <v>691.23099999999999</v>
      </c>
      <c r="O16" s="2727">
        <f>COS_Unbun.!N17/1000</f>
        <v>21.54</v>
      </c>
      <c r="P16" s="2727">
        <f>COS_Unbun.!O17/1000</f>
        <v>5104.4629999999997</v>
      </c>
      <c r="Q16" s="2727">
        <f t="shared" ref="Q16:Q29" si="1">SUM(J16:P16)</f>
        <v>7049.665</v>
      </c>
      <c r="R16" s="2727">
        <f>COS_Unbun.!P17/1000</f>
        <v>0</v>
      </c>
      <c r="S16" s="2727">
        <f>COS_Unbun.!Q17/1000</f>
        <v>4362.2870000000003</v>
      </c>
      <c r="T16" s="2727">
        <f>COS_Unbun.!R17/1000</f>
        <v>502.96800000000002</v>
      </c>
      <c r="U16" s="2727">
        <f>COS_Unbun.!S17/1000</f>
        <v>1069.2460000000001</v>
      </c>
      <c r="V16" s="2727">
        <f t="shared" ref="V16:V29" si="2">SUM(R16:U16)</f>
        <v>5934.5010000000002</v>
      </c>
      <c r="W16" s="2727">
        <f>COS_Unbun.!T17/1000</f>
        <v>3750.1619999999998</v>
      </c>
      <c r="X16" s="2727">
        <f>COS_Unbun.!U17/1000</f>
        <v>0</v>
      </c>
      <c r="Y16" s="2727">
        <f>COS_Unbun.!V17/1000</f>
        <v>614.63800000000003</v>
      </c>
      <c r="Z16" s="2727">
        <f>COS_Unbun.!W17/1000</f>
        <v>0</v>
      </c>
      <c r="AA16" s="20"/>
      <c r="AB16" s="20"/>
      <c r="AC16" s="20"/>
      <c r="AD16" s="20"/>
      <c r="AE16" s="20"/>
      <c r="AF16" s="20"/>
      <c r="AG16" s="20"/>
      <c r="AH16" s="20"/>
    </row>
    <row r="17" spans="1:34">
      <c r="A17" s="411"/>
      <c r="B17" s="225"/>
      <c r="C17" s="268">
        <f>+MAX(C7:C16)+1</f>
        <v>3</v>
      </c>
      <c r="D17" s="38" t="str">
        <f>'Table 7'!D16</f>
        <v>Irrigation (3)</v>
      </c>
      <c r="E17" s="270">
        <f>'Table 8'!E17</f>
        <v>40342.062000000005</v>
      </c>
      <c r="F17" s="535">
        <f>COS_Unbun.!F22/1000</f>
        <v>1465.5050000000001</v>
      </c>
      <c r="G17" s="535">
        <f>COS_Unbun.!G22/1000</f>
        <v>24299.805</v>
      </c>
      <c r="H17" s="535">
        <f t="shared" si="0"/>
        <v>25765.31</v>
      </c>
      <c r="I17" s="535">
        <f>COS_Unbun.!H22/1000</f>
        <v>1904.135</v>
      </c>
      <c r="J17" s="535">
        <f>COS_Unbun.!I22/1000</f>
        <v>1647.7750000000001</v>
      </c>
      <c r="K17" s="535">
        <f>COS_Unbun.!J22/1000</f>
        <v>0</v>
      </c>
      <c r="L17" s="535">
        <f>COS_Unbun.!K22/1000</f>
        <v>0</v>
      </c>
      <c r="M17" s="535">
        <f>COS_Unbun.!L22/1000</f>
        <v>0</v>
      </c>
      <c r="N17" s="535">
        <f>COS_Unbun.!M22/1000</f>
        <v>990.21799999999996</v>
      </c>
      <c r="O17" s="535">
        <f>COS_Unbun.!N22/1000</f>
        <v>31.007999999999999</v>
      </c>
      <c r="P17" s="535">
        <f>COS_Unbun.!O22/1000</f>
        <v>7308.63</v>
      </c>
      <c r="Q17" s="535">
        <f t="shared" si="1"/>
        <v>9977.6309999999994</v>
      </c>
      <c r="R17" s="535">
        <f>COS_Unbun.!P22/1000</f>
        <v>0</v>
      </c>
      <c r="S17" s="535">
        <f>COS_Unbun.!Q22/1000</f>
        <v>26.963000000000001</v>
      </c>
      <c r="T17" s="535">
        <f>COS_Unbun.!R22/1000</f>
        <v>393.31099999999998</v>
      </c>
      <c r="U17" s="535">
        <f>COS_Unbun.!S22/1000</f>
        <v>1247.0119999999999</v>
      </c>
      <c r="V17" s="535">
        <f t="shared" si="2"/>
        <v>1667.2860000000001</v>
      </c>
      <c r="W17" s="535">
        <f>COS_Unbun.!T22/1000</f>
        <v>882.83299999999997</v>
      </c>
      <c r="X17" s="535">
        <f>COS_Unbun.!U22/1000</f>
        <v>0</v>
      </c>
      <c r="Y17" s="535">
        <f>COS_Unbun.!V22/1000</f>
        <v>144.86699999999999</v>
      </c>
      <c r="Z17" s="535">
        <f>COS_Unbun.!W22/1000</f>
        <v>0</v>
      </c>
      <c r="AA17" s="20"/>
      <c r="AB17" s="20"/>
      <c r="AC17" s="20"/>
      <c r="AD17" s="20"/>
      <c r="AE17" s="20"/>
      <c r="AF17" s="20"/>
      <c r="AG17" s="20"/>
      <c r="AH17" s="20"/>
    </row>
    <row r="18" spans="1:34">
      <c r="A18" s="411"/>
      <c r="B18" s="225"/>
      <c r="C18" s="2676">
        <f>+MAX(C7:C17)+1</f>
        <v>4</v>
      </c>
      <c r="D18" s="2677" t="str">
        <f>'Table 7'!D17</f>
        <v>General Service (2) &amp; (PA)</v>
      </c>
      <c r="E18" s="2726">
        <f>'Table 8'!E18</f>
        <v>35431.89</v>
      </c>
      <c r="F18" s="2727">
        <f>(COS_Unbun.!F27+COS_Unbun.!F54)/1000</f>
        <v>1311.548</v>
      </c>
      <c r="G18" s="2727">
        <f>(COS_Unbun.!G27+COS_Unbun.!G54)/1000</f>
        <v>21701.214</v>
      </c>
      <c r="H18" s="2727">
        <f t="shared" si="0"/>
        <v>23012.761999999999</v>
      </c>
      <c r="I18" s="2727">
        <f>(COS_Unbun.!H27+COS_Unbun.!H54)/1000</f>
        <v>2675.3270000000002</v>
      </c>
      <c r="J18" s="2727">
        <f>(COS_Unbun.!I27+COS_Unbun.!I54)/1000</f>
        <v>1472.0119999999999</v>
      </c>
      <c r="K18" s="2727">
        <f>(COS_Unbun.!J27+COS_Unbun.!J54)/1000</f>
        <v>0</v>
      </c>
      <c r="L18" s="2727">
        <f>(COS_Unbun.!K27+COS_Unbun.!K54)/1000</f>
        <v>0</v>
      </c>
      <c r="M18" s="2727">
        <f>(COS_Unbun.!L27+COS_Unbun.!L54)/1000</f>
        <v>0</v>
      </c>
      <c r="N18" s="2727">
        <f>(COS_Unbun.!M27+COS_Unbun.!M54)/1000</f>
        <v>885.09199999999998</v>
      </c>
      <c r="O18" s="2727">
        <f>(COS_Unbun.!N27+COS_Unbun.!N54)/1000</f>
        <v>387.012</v>
      </c>
      <c r="P18" s="2727">
        <f>(COS_Unbun.!O27+COS_Unbun.!O54)/1000</f>
        <v>2059.442</v>
      </c>
      <c r="Q18" s="2727">
        <f t="shared" si="1"/>
        <v>4803.558</v>
      </c>
      <c r="R18" s="2727">
        <f>(COS_Unbun.!P27+COS_Unbun.!P54)/1000</f>
        <v>355.51100000000002</v>
      </c>
      <c r="S18" s="2727">
        <f>(COS_Unbun.!Q27+COS_Unbun.!Q54)/1000</f>
        <v>325.44499999999999</v>
      </c>
      <c r="T18" s="2727">
        <f>(COS_Unbun.!R27+COS_Unbun.!R54)/1000</f>
        <v>259.99</v>
      </c>
      <c r="U18" s="2727">
        <f>(COS_Unbun.!S27+COS_Unbun.!S54)/1000</f>
        <v>1655.982</v>
      </c>
      <c r="V18" s="2727">
        <f t="shared" si="2"/>
        <v>2596.9279999999999</v>
      </c>
      <c r="W18" s="2727">
        <f>(COS_Unbun.!T27+COS_Unbun.!T54)/1000</f>
        <v>2091.7660000000001</v>
      </c>
      <c r="X18" s="2727">
        <f>(COS_Unbun.!U27+COS_Unbun.!U54)/1000</f>
        <v>0</v>
      </c>
      <c r="Y18" s="2727">
        <f>(COS_Unbun.!V27+COS_Unbun.!V54)/1000</f>
        <v>251.54900000000001</v>
      </c>
      <c r="Z18" s="2727">
        <f>(COS_Unbun.!W27+COS_Unbun.!W54)/1000</f>
        <v>0</v>
      </c>
      <c r="AA18" s="20"/>
      <c r="AB18" s="20"/>
      <c r="AC18" s="20"/>
      <c r="AD18" s="20"/>
      <c r="AE18" s="20"/>
      <c r="AF18" s="20"/>
      <c r="AG18" s="20"/>
      <c r="AH18" s="20"/>
    </row>
    <row r="19" spans="1:34">
      <c r="A19" s="411"/>
      <c r="B19" s="225"/>
      <c r="C19" s="268">
        <f>+MAX(C8:C18)+1</f>
        <v>5</v>
      </c>
      <c r="D19" s="38" t="str">
        <f>'Table 7'!D18</f>
        <v>Large General Service (7)</v>
      </c>
      <c r="E19" s="270">
        <f>'Table 8'!E19</f>
        <v>11682.658000000001</v>
      </c>
      <c r="F19" s="535">
        <f>COS_Unbun.!F30/1000</f>
        <v>678.28599999999994</v>
      </c>
      <c r="G19" s="535">
        <f>COS_Unbun.!G30/1000</f>
        <v>8946.2960000000003</v>
      </c>
      <c r="H19" s="535">
        <f t="shared" si="0"/>
        <v>9624.5820000000003</v>
      </c>
      <c r="I19" s="535">
        <f>COS_Unbun.!H30/1000</f>
        <v>845.18600000000004</v>
      </c>
      <c r="J19" s="535">
        <f>COS_Unbun.!I30/1000</f>
        <v>444.63799999999998</v>
      </c>
      <c r="K19" s="535">
        <f>COS_Unbun.!J30/1000</f>
        <v>0</v>
      </c>
      <c r="L19" s="535">
        <f>COS_Unbun.!K30/1000</f>
        <v>0</v>
      </c>
      <c r="M19" s="535">
        <f>COS_Unbun.!L30/1000</f>
        <v>0</v>
      </c>
      <c r="N19" s="535">
        <f>COS_Unbun.!M30/1000</f>
        <v>249.25</v>
      </c>
      <c r="O19" s="535">
        <f>COS_Unbun.!N30/1000</f>
        <v>155.75200000000001</v>
      </c>
      <c r="P19" s="535">
        <f>COS_Unbun.!O30/1000</f>
        <v>0</v>
      </c>
      <c r="Q19" s="535">
        <f t="shared" si="1"/>
        <v>849.63999999999987</v>
      </c>
      <c r="R19" s="535">
        <f>COS_Unbun.!P30/1000</f>
        <v>0</v>
      </c>
      <c r="S19" s="535">
        <f>COS_Unbun.!Q30/1000</f>
        <v>0</v>
      </c>
      <c r="T19" s="535">
        <f>COS_Unbun.!R30/1000</f>
        <v>29.85</v>
      </c>
      <c r="U19" s="535">
        <f>COS_Unbun.!S30/1000</f>
        <v>126.976</v>
      </c>
      <c r="V19" s="535">
        <f t="shared" si="2"/>
        <v>156.82599999999999</v>
      </c>
      <c r="W19" s="535">
        <f>COS_Unbun.!T30/1000</f>
        <v>202.74</v>
      </c>
      <c r="X19" s="535">
        <f>COS_Unbun.!U30/1000</f>
        <v>0</v>
      </c>
      <c r="Y19" s="535">
        <f>COS_Unbun.!V30/1000</f>
        <v>3.6840000000000002</v>
      </c>
      <c r="Z19" s="535">
        <f>COS_Unbun.!W30/1000</f>
        <v>0</v>
      </c>
      <c r="AA19" s="20"/>
      <c r="AB19" s="20"/>
      <c r="AC19" s="20"/>
      <c r="AD19" s="20"/>
      <c r="AE19" s="20"/>
      <c r="AF19" s="20"/>
      <c r="AG19" s="20"/>
      <c r="AH19" s="20"/>
    </row>
    <row r="20" spans="1:34">
      <c r="A20" s="411"/>
      <c r="B20" s="225"/>
      <c r="C20" s="2676">
        <f>+MAX(C9:C19)+1</f>
        <v>6</v>
      </c>
      <c r="D20" s="2677" t="str">
        <f>'Table 7'!D19</f>
        <v>Industrial (14)</v>
      </c>
      <c r="E20" s="2726">
        <f>'Table 8'!E20</f>
        <v>33165.211999999992</v>
      </c>
      <c r="F20" s="2727">
        <f>COS_Unbun.!F33/1000</f>
        <v>2098.7660000000001</v>
      </c>
      <c r="G20" s="2727">
        <f>COS_Unbun.!G33/1000</f>
        <v>26918.233</v>
      </c>
      <c r="H20" s="2727">
        <f t="shared" si="0"/>
        <v>29016.999</v>
      </c>
      <c r="I20" s="2727">
        <f>COS_Unbun.!H33/1000</f>
        <v>1450.3</v>
      </c>
      <c r="J20" s="2727">
        <f>COS_Unbun.!I33/1000</f>
        <v>1270.095</v>
      </c>
      <c r="K20" s="2727">
        <f>COS_Unbun.!J33/1000</f>
        <v>278.30099999999999</v>
      </c>
      <c r="L20" s="2727">
        <f>COS_Unbun.!K33/1000</f>
        <v>0</v>
      </c>
      <c r="M20" s="2727">
        <f>COS_Unbun.!L33/1000</f>
        <v>0</v>
      </c>
      <c r="N20" s="2727">
        <f>COS_Unbun.!M33/1000</f>
        <v>667.49300000000005</v>
      </c>
      <c r="O20" s="2727">
        <f>COS_Unbun.!N33/1000</f>
        <v>417.07400000000001</v>
      </c>
      <c r="P20" s="2727">
        <f>COS_Unbun.!O33/1000</f>
        <v>0</v>
      </c>
      <c r="Q20" s="2727">
        <f t="shared" si="1"/>
        <v>2632.9630000000002</v>
      </c>
      <c r="R20" s="2727">
        <f>COS_Unbun.!P33/1000</f>
        <v>0</v>
      </c>
      <c r="S20" s="2727">
        <f>COS_Unbun.!Q33/1000</f>
        <v>0</v>
      </c>
      <c r="T20" s="2727">
        <f>COS_Unbun.!R33/1000</f>
        <v>0</v>
      </c>
      <c r="U20" s="2727">
        <f>COS_Unbun.!S33/1000</f>
        <v>20.634</v>
      </c>
      <c r="V20" s="2727">
        <f t="shared" si="2"/>
        <v>20.634</v>
      </c>
      <c r="W20" s="2727">
        <f>COS_Unbun.!T33/1000</f>
        <v>43.981000000000002</v>
      </c>
      <c r="X20" s="2727">
        <f>COS_Unbun.!U33/1000</f>
        <v>0</v>
      </c>
      <c r="Y20" s="2727">
        <f>COS_Unbun.!V33/1000</f>
        <v>0.33500000000000002</v>
      </c>
      <c r="Z20" s="2727">
        <f>COS_Unbun.!W33/1000</f>
        <v>0</v>
      </c>
      <c r="AA20" s="20"/>
      <c r="AB20" s="20"/>
      <c r="AC20" s="20"/>
      <c r="AD20" s="20"/>
      <c r="AE20" s="20"/>
      <c r="AF20" s="20"/>
      <c r="AG20" s="20"/>
      <c r="AH20" s="20"/>
    </row>
    <row r="21" spans="1:34">
      <c r="A21" s="411"/>
      <c r="B21" s="225"/>
      <c r="C21" s="268">
        <f>+MAX(C10:C20)+1</f>
        <v>7</v>
      </c>
      <c r="D21" s="38" t="str">
        <f>'Table 7'!D20</f>
        <v>Large Industrial (15) &amp; (94)</v>
      </c>
      <c r="E21" s="270">
        <f>'Table 8'!E21</f>
        <v>88138.185000000012</v>
      </c>
      <c r="F21" s="535">
        <f>(COS_Unbun.!F36+COS_Unbun.!F45)/1000</f>
        <v>5985.4780000000001</v>
      </c>
      <c r="G21" s="535">
        <f>(COS_Unbun.!G36+COS_Unbun.!G45)/1000</f>
        <v>71867.914000000004</v>
      </c>
      <c r="H21" s="535">
        <f t="shared" si="0"/>
        <v>77853.392000000007</v>
      </c>
      <c r="I21" s="535">
        <f>(COS_Unbun.!H36+COS_Unbun.!H45)/1000</f>
        <v>4107.5389999999998</v>
      </c>
      <c r="J21" s="535">
        <f>(COS_Unbun.!I36+COS_Unbun.!I45)/1000</f>
        <v>2942.9789999999998</v>
      </c>
      <c r="K21" s="535">
        <f>(COS_Unbun.!J36+COS_Unbun.!J45)/1000</f>
        <v>929.08100000000002</v>
      </c>
      <c r="L21" s="535">
        <f>(COS_Unbun.!K36+COS_Unbun.!K45)/1000</f>
        <v>0</v>
      </c>
      <c r="M21" s="535">
        <f>(COS_Unbun.!L36+COS_Unbun.!L45)/1000</f>
        <v>0</v>
      </c>
      <c r="N21" s="535">
        <f>(COS_Unbun.!M36+COS_Unbun.!M45)/1000</f>
        <v>1375.68</v>
      </c>
      <c r="O21" s="535">
        <f>(COS_Unbun.!N36+COS_Unbun.!N45)/1000</f>
        <v>859.23800000000006</v>
      </c>
      <c r="P21" s="535">
        <f>(COS_Unbun.!O36+COS_Unbun.!O45)/1000</f>
        <v>0</v>
      </c>
      <c r="Q21" s="535">
        <f t="shared" si="1"/>
        <v>6106.9780000000001</v>
      </c>
      <c r="R21" s="535">
        <f>(COS_Unbun.!P36+COS_Unbun.!P45)/1000</f>
        <v>0</v>
      </c>
      <c r="S21" s="535">
        <f>(COS_Unbun.!Q36+COS_Unbun.!Q45)/1000</f>
        <v>0</v>
      </c>
      <c r="T21" s="535">
        <f>(COS_Unbun.!R36+COS_Unbun.!R45)/1000</f>
        <v>0</v>
      </c>
      <c r="U21" s="535">
        <f>(COS_Unbun.!S36+COS_Unbun.!S45)/1000</f>
        <v>11.11</v>
      </c>
      <c r="V21" s="535">
        <f t="shared" si="2"/>
        <v>11.11</v>
      </c>
      <c r="W21" s="535">
        <f>(COS_Unbun.!T36+COS_Unbun.!T45)/1000</f>
        <v>58.999000000000002</v>
      </c>
      <c r="X21" s="535">
        <f>(COS_Unbun.!U36+COS_Unbun.!U45)/1000</f>
        <v>0</v>
      </c>
      <c r="Y21" s="535">
        <f>(COS_Unbun.!V36+COS_Unbun.!V45)/1000</f>
        <v>0.16700000000000001</v>
      </c>
      <c r="Z21" s="535">
        <f>(COS_Unbun.!W36+COS_Unbun.!W45)/1000</f>
        <v>0</v>
      </c>
      <c r="AA21" s="20"/>
      <c r="AB21" s="20"/>
      <c r="AC21" s="20"/>
      <c r="AD21" s="20"/>
      <c r="AE21" s="20"/>
      <c r="AF21" s="20"/>
      <c r="AG21" s="20"/>
      <c r="AH21" s="20"/>
    </row>
    <row r="22" spans="1:34">
      <c r="A22" s="411"/>
      <c r="B22" s="225"/>
      <c r="C22" s="2676">
        <f>+MAX(C11:C21)+1</f>
        <v>8</v>
      </c>
      <c r="D22" s="2677" t="str">
        <f>'Table 7'!D21</f>
        <v>Agricultural Processing (16)</v>
      </c>
      <c r="E22" s="2726">
        <f>'Table 8'!E22</f>
        <v>15253.378000000001</v>
      </c>
      <c r="F22" s="2727">
        <f>COS_Unbun.!F39/1000</f>
        <v>938.27200000000005</v>
      </c>
      <c r="G22" s="2727">
        <f>COS_Unbun.!G39/1000</f>
        <v>12020.965</v>
      </c>
      <c r="H22" s="2727">
        <f t="shared" si="0"/>
        <v>12959.237000000001</v>
      </c>
      <c r="I22" s="2727">
        <f>COS_Unbun.!H39/1000</f>
        <v>1088.547</v>
      </c>
      <c r="J22" s="2727">
        <f>COS_Unbun.!I39/1000</f>
        <v>568.09</v>
      </c>
      <c r="K22" s="2727">
        <f>COS_Unbun.!J39/1000</f>
        <v>97.22</v>
      </c>
      <c r="L22" s="2727">
        <f>COS_Unbun.!K39/1000</f>
        <v>0</v>
      </c>
      <c r="M22" s="2727">
        <f>COS_Unbun.!L39/1000</f>
        <v>0</v>
      </c>
      <c r="N22" s="2727">
        <f>COS_Unbun.!M39/1000</f>
        <v>298.42200000000003</v>
      </c>
      <c r="O22" s="2727">
        <f>COS_Unbun.!N39/1000</f>
        <v>186.523</v>
      </c>
      <c r="P22" s="2727">
        <f>COS_Unbun.!O39/1000</f>
        <v>0</v>
      </c>
      <c r="Q22" s="2727">
        <f t="shared" si="1"/>
        <v>1150.2550000000001</v>
      </c>
      <c r="R22" s="2727">
        <f>COS_Unbun.!P39/1000</f>
        <v>0</v>
      </c>
      <c r="S22" s="2727">
        <f>COS_Unbun.!Q39/1000</f>
        <v>0</v>
      </c>
      <c r="T22" s="2727">
        <f>COS_Unbun.!R39/1000</f>
        <v>0</v>
      </c>
      <c r="U22" s="2727">
        <f>COS_Unbun.!S39/1000</f>
        <v>17.459</v>
      </c>
      <c r="V22" s="2727">
        <f t="shared" si="2"/>
        <v>17.459</v>
      </c>
      <c r="W22" s="2727">
        <f>COS_Unbun.!T39/1000</f>
        <v>37.545000000000002</v>
      </c>
      <c r="X22" s="2727">
        <f>COS_Unbun.!U39/1000</f>
        <v>0</v>
      </c>
      <c r="Y22" s="2727">
        <f>COS_Unbun.!V39/1000</f>
        <v>0.33500000000000002</v>
      </c>
      <c r="Z22" s="2727">
        <f>COS_Unbun.!W39/1000</f>
        <v>0</v>
      </c>
      <c r="AA22" s="20"/>
      <c r="AB22" s="20"/>
      <c r="AC22" s="20"/>
      <c r="AD22" s="20"/>
      <c r="AE22" s="20"/>
      <c r="AF22" s="20"/>
      <c r="AG22" s="20"/>
      <c r="AH22" s="20"/>
    </row>
    <row r="23" spans="1:34">
      <c r="A23" s="411"/>
      <c r="B23" s="225"/>
      <c r="C23" s="268">
        <f>+MAX(C13:C22)+1</f>
        <v>9</v>
      </c>
      <c r="D23" s="38" t="str">
        <f>'Table 7'!D22</f>
        <v>Agricultural Boiler (85)</v>
      </c>
      <c r="E23" s="270">
        <f>'Table 8'!E23</f>
        <v>22.925999999999998</v>
      </c>
      <c r="F23" s="535">
        <f>COS_Unbun.!F42/1000</f>
        <v>0</v>
      </c>
      <c r="G23" s="535">
        <f>COS_Unbun.!G42/1000</f>
        <v>0</v>
      </c>
      <c r="H23" s="535">
        <f t="shared" si="0"/>
        <v>0</v>
      </c>
      <c r="I23" s="535">
        <f>COS_Unbun.!H42/1000</f>
        <v>0</v>
      </c>
      <c r="J23" s="535">
        <f>COS_Unbun.!I42/1000</f>
        <v>0</v>
      </c>
      <c r="K23" s="535">
        <f>COS_Unbun.!J42/1000</f>
        <v>18.120999999999999</v>
      </c>
      <c r="L23" s="535">
        <f>COS_Unbun.!K42/1000</f>
        <v>0</v>
      </c>
      <c r="M23" s="535">
        <f>COS_Unbun.!L42/1000</f>
        <v>0</v>
      </c>
      <c r="N23" s="535">
        <f>COS_Unbun.!M42/1000</f>
        <v>0</v>
      </c>
      <c r="O23" s="535">
        <f>COS_Unbun.!N42/1000</f>
        <v>0</v>
      </c>
      <c r="P23" s="535">
        <f>COS_Unbun.!O42/1000</f>
        <v>0</v>
      </c>
      <c r="Q23" s="535">
        <f t="shared" si="1"/>
        <v>18.120999999999999</v>
      </c>
      <c r="R23" s="535">
        <f>COS_Unbun.!P42/1000</f>
        <v>0</v>
      </c>
      <c r="S23" s="535">
        <f>COS_Unbun.!Q42/1000</f>
        <v>0</v>
      </c>
      <c r="T23" s="535">
        <f>COS_Unbun.!R42/1000</f>
        <v>0</v>
      </c>
      <c r="U23" s="535">
        <f>COS_Unbun.!S42/1000</f>
        <v>1.587</v>
      </c>
      <c r="V23" s="535">
        <f t="shared" si="2"/>
        <v>1.587</v>
      </c>
      <c r="W23" s="535">
        <f>COS_Unbun.!T42/1000</f>
        <v>3.218</v>
      </c>
      <c r="X23" s="535">
        <f>COS_Unbun.!U42/1000</f>
        <v>0</v>
      </c>
      <c r="Y23" s="535">
        <f>COS_Unbun.!V42/1000</f>
        <v>0</v>
      </c>
      <c r="Z23" s="535">
        <f>COS_Unbun.!W42/1000</f>
        <v>0</v>
      </c>
      <c r="AA23" s="20"/>
      <c r="AB23" s="20"/>
      <c r="AC23" s="20"/>
      <c r="AD23" s="20"/>
      <c r="AE23" s="20"/>
      <c r="AF23" s="20"/>
      <c r="AG23" s="20"/>
      <c r="AH23" s="20"/>
    </row>
    <row r="24" spans="1:34">
      <c r="A24" s="411"/>
      <c r="B24" s="225"/>
      <c r="C24" s="2676">
        <f>+MAX(C15:C23)+1</f>
        <v>10</v>
      </c>
      <c r="D24" s="2677" t="str">
        <f>'Table 7'!D23</f>
        <v>Street Lights (6)</v>
      </c>
      <c r="E24" s="2726">
        <f>'Table 8'!E24</f>
        <v>724.54099999999994</v>
      </c>
      <c r="F24" s="2727">
        <f>COS_Unbun.!F48/1000</f>
        <v>10.167</v>
      </c>
      <c r="G24" s="2727">
        <f>COS_Unbun.!G48/1000</f>
        <v>158.69300000000001</v>
      </c>
      <c r="H24" s="2727">
        <f t="shared" si="0"/>
        <v>168.86</v>
      </c>
      <c r="I24" s="2727">
        <f>COS_Unbun.!H48/1000</f>
        <v>0</v>
      </c>
      <c r="J24" s="2727">
        <f>COS_Unbun.!I48/1000</f>
        <v>9.4160000000000004</v>
      </c>
      <c r="K24" s="2727">
        <f>COS_Unbun.!J48/1000</f>
        <v>0</v>
      </c>
      <c r="L24" s="2727">
        <f>COS_Unbun.!K48/1000</f>
        <v>0</v>
      </c>
      <c r="M24" s="2727">
        <f>COS_Unbun.!L48/1000</f>
        <v>0</v>
      </c>
      <c r="N24" s="2727">
        <f>COS_Unbun.!M48/1000</f>
        <v>3.956</v>
      </c>
      <c r="O24" s="2727">
        <f>COS_Unbun.!N48/1000</f>
        <v>2.367</v>
      </c>
      <c r="P24" s="2727">
        <f>COS_Unbun.!O48/1000</f>
        <v>0</v>
      </c>
      <c r="Q24" s="2727">
        <f t="shared" si="1"/>
        <v>15.739000000000001</v>
      </c>
      <c r="R24" s="2727">
        <f>COS_Unbun.!P48/1000</f>
        <v>4.5510000000000002</v>
      </c>
      <c r="S24" s="2727">
        <f>COS_Unbun.!Q48/1000</f>
        <v>9.4610000000000003</v>
      </c>
      <c r="T24" s="2727">
        <f>COS_Unbun.!R48/1000</f>
        <v>1.7010000000000001</v>
      </c>
      <c r="U24" s="2727">
        <f>COS_Unbun.!S48/1000</f>
        <v>0</v>
      </c>
      <c r="V24" s="2727">
        <f t="shared" si="2"/>
        <v>15.713000000000001</v>
      </c>
      <c r="W24" s="2727">
        <f>COS_Unbun.!T48/1000</f>
        <v>10.727</v>
      </c>
      <c r="X24" s="2727">
        <f>COS_Unbun.!U48/1000</f>
        <v>511.49200000000002</v>
      </c>
      <c r="Y24" s="2727">
        <f>COS_Unbun.!V48/1000</f>
        <v>2.0099999999999998</v>
      </c>
      <c r="Z24" s="2727">
        <f>COS_Unbun.!W48/1000</f>
        <v>0</v>
      </c>
      <c r="AA24" s="20"/>
      <c r="AB24" s="20"/>
      <c r="AC24" s="20"/>
      <c r="AD24" s="20"/>
      <c r="AE24" s="20"/>
      <c r="AF24" s="20"/>
      <c r="AG24" s="20"/>
      <c r="AH24" s="20"/>
    </row>
    <row r="25" spans="1:34">
      <c r="A25" s="411"/>
      <c r="B25" s="225"/>
      <c r="C25" s="268">
        <f>+MAX(C10:C24)+1</f>
        <v>11</v>
      </c>
      <c r="D25" s="38" t="str">
        <f>'Table 7'!D24</f>
        <v>Street Lights (2)</v>
      </c>
      <c r="E25" s="270">
        <f>'Table 8'!E25</f>
        <v>59.689</v>
      </c>
      <c r="F25" s="535">
        <f>COS_Unbun.!F51/1000</f>
        <v>1.452</v>
      </c>
      <c r="G25" s="535">
        <f>COS_Unbun.!G51/1000</f>
        <v>19.837</v>
      </c>
      <c r="H25" s="535">
        <f t="shared" si="0"/>
        <v>21.289000000000001</v>
      </c>
      <c r="I25" s="535">
        <f>COS_Unbun.!H51/1000</f>
        <v>0</v>
      </c>
      <c r="J25" s="535">
        <f>COS_Unbun.!I51/1000</f>
        <v>1.046</v>
      </c>
      <c r="K25" s="535">
        <f>COS_Unbun.!J51/1000</f>
        <v>0</v>
      </c>
      <c r="L25" s="535">
        <f>COS_Unbun.!K51/1000</f>
        <v>0</v>
      </c>
      <c r="M25" s="535">
        <f>COS_Unbun.!L51/1000</f>
        <v>0</v>
      </c>
      <c r="N25" s="535">
        <f>COS_Unbun.!M51/1000</f>
        <v>0.56499999999999995</v>
      </c>
      <c r="O25" s="535">
        <f>COS_Unbun.!N51/1000</f>
        <v>0.23699999999999999</v>
      </c>
      <c r="P25" s="535">
        <f>COS_Unbun.!O51/1000</f>
        <v>0</v>
      </c>
      <c r="Q25" s="535">
        <f t="shared" si="1"/>
        <v>1.8479999999999999</v>
      </c>
      <c r="R25" s="535">
        <f>COS_Unbun.!P51/1000</f>
        <v>2.9129999999999998</v>
      </c>
      <c r="S25" s="535">
        <f>COS_Unbun.!Q51/1000</f>
        <v>6.149</v>
      </c>
      <c r="T25" s="535">
        <f>COS_Unbun.!R51/1000</f>
        <v>1.083</v>
      </c>
      <c r="U25" s="535">
        <f>COS_Unbun.!S51/1000</f>
        <v>0</v>
      </c>
      <c r="V25" s="535">
        <f t="shared" si="2"/>
        <v>10.145</v>
      </c>
      <c r="W25" s="535">
        <f>COS_Unbun.!T51/1000</f>
        <v>7.5090000000000003</v>
      </c>
      <c r="X25" s="535">
        <f>COS_Unbun.!U51/1000</f>
        <v>17.558</v>
      </c>
      <c r="Y25" s="535">
        <f>COS_Unbun.!V51/1000</f>
        <v>1.34</v>
      </c>
      <c r="Z25" s="535">
        <f>COS_Unbun.!W51/1000</f>
        <v>0</v>
      </c>
      <c r="AA25" s="20"/>
      <c r="AB25" s="20"/>
      <c r="AC25" s="20"/>
      <c r="AD25" s="20"/>
      <c r="AE25" s="20"/>
      <c r="AF25" s="20"/>
      <c r="AG25" s="20"/>
      <c r="AH25" s="20"/>
    </row>
    <row r="26" spans="1:34">
      <c r="A26" s="411"/>
      <c r="B26" s="225"/>
      <c r="C26" s="2676">
        <f>+MAX(C13:C25)+1</f>
        <v>12</v>
      </c>
      <c r="D26" s="2677" t="str">
        <f>'Table 7'!D25</f>
        <v>Alternate Power Sales</v>
      </c>
      <c r="E26" s="2726">
        <f>'Table 8'!E26</f>
        <v>0</v>
      </c>
      <c r="F26" s="2727">
        <f>COS_Unbun.!F57/1000</f>
        <v>0</v>
      </c>
      <c r="G26" s="2727">
        <f>COS_Unbun.!G57/1000</f>
        <v>0</v>
      </c>
      <c r="H26" s="2727">
        <f t="shared" si="0"/>
        <v>0</v>
      </c>
      <c r="I26" s="2727">
        <f>COS_Unbun.!H57/1000</f>
        <v>0</v>
      </c>
      <c r="J26" s="2727">
        <f>COS_Unbun.!I57/1000</f>
        <v>0</v>
      </c>
      <c r="K26" s="2727">
        <f>COS_Unbun.!J57/1000</f>
        <v>0</v>
      </c>
      <c r="L26" s="2727">
        <f>COS_Unbun.!K57/1000</f>
        <v>0</v>
      </c>
      <c r="M26" s="2727">
        <f>COS_Unbun.!L57/1000</f>
        <v>0</v>
      </c>
      <c r="N26" s="2727">
        <f>COS_Unbun.!M57/1000</f>
        <v>0</v>
      </c>
      <c r="O26" s="2727">
        <f>COS_Unbun.!N57/1000</f>
        <v>0</v>
      </c>
      <c r="P26" s="2727">
        <f>COS_Unbun.!O57/1000</f>
        <v>0</v>
      </c>
      <c r="Q26" s="2727">
        <f t="shared" si="1"/>
        <v>0</v>
      </c>
      <c r="R26" s="2727">
        <f>COS_Unbun.!P57/1000</f>
        <v>0</v>
      </c>
      <c r="S26" s="2727">
        <f>COS_Unbun.!Q57/1000</f>
        <v>0</v>
      </c>
      <c r="T26" s="2727">
        <f>COS_Unbun.!R57/1000</f>
        <v>0</v>
      </c>
      <c r="U26" s="2727">
        <f>COS_Unbun.!S57/1000</f>
        <v>0</v>
      </c>
      <c r="V26" s="2727">
        <f t="shared" si="2"/>
        <v>0</v>
      </c>
      <c r="W26" s="2727">
        <f>COS_Unbun.!T57/1000</f>
        <v>0</v>
      </c>
      <c r="X26" s="2727">
        <f>COS_Unbun.!U57/1000</f>
        <v>0</v>
      </c>
      <c r="Y26" s="2727">
        <f>COS_Unbun.!V57/1000</f>
        <v>0</v>
      </c>
      <c r="Z26" s="2727">
        <f>COS_Unbun.!W57/1000</f>
        <v>0</v>
      </c>
      <c r="AA26" s="20"/>
      <c r="AB26" s="20"/>
      <c r="AC26" s="20"/>
      <c r="AD26" s="20"/>
      <c r="AE26" s="20"/>
      <c r="AF26" s="20"/>
      <c r="AG26" s="20"/>
      <c r="AH26" s="20"/>
    </row>
    <row r="27" spans="1:34">
      <c r="A27" s="411"/>
      <c r="B27" s="225"/>
      <c r="C27" s="268"/>
      <c r="D27" s="536"/>
      <c r="E27" s="524"/>
      <c r="F27" s="524"/>
      <c r="G27" s="524"/>
      <c r="H27" s="524"/>
      <c r="I27" s="524"/>
      <c r="J27" s="524"/>
      <c r="K27" s="524"/>
      <c r="L27" s="524"/>
      <c r="M27" s="524"/>
      <c r="N27" s="524"/>
      <c r="O27" s="524"/>
      <c r="P27" s="524"/>
      <c r="Q27" s="524">
        <f t="shared" si="1"/>
        <v>0</v>
      </c>
      <c r="R27" s="524"/>
      <c r="S27" s="524"/>
      <c r="T27" s="524"/>
      <c r="U27" s="524"/>
      <c r="V27" s="524">
        <f t="shared" si="2"/>
        <v>0</v>
      </c>
      <c r="W27" s="524"/>
      <c r="X27" s="524"/>
      <c r="Y27" s="524"/>
      <c r="Z27" s="524"/>
      <c r="AA27" s="20"/>
      <c r="AB27" s="20"/>
      <c r="AC27" s="20"/>
      <c r="AD27" s="20"/>
      <c r="AE27" s="20"/>
      <c r="AF27" s="20"/>
      <c r="AG27" s="20"/>
      <c r="AH27" s="20"/>
    </row>
    <row r="28" spans="1:34" ht="16.5" thickBot="1">
      <c r="A28" s="411"/>
      <c r="B28" s="225"/>
      <c r="C28" s="2676">
        <f>+MAX(C15:C27)+1</f>
        <v>13</v>
      </c>
      <c r="D28" s="2728" t="s">
        <v>602</v>
      </c>
      <c r="E28" s="2729">
        <f t="shared" ref="E28:Z28" si="3">SUM(E15:E26)</f>
        <v>289928.47600000002</v>
      </c>
      <c r="F28" s="2729">
        <f t="shared" si="3"/>
        <v>14524.332999999999</v>
      </c>
      <c r="G28" s="2729">
        <f t="shared" si="3"/>
        <v>198365.75800000003</v>
      </c>
      <c r="H28" s="2729">
        <f t="shared" si="0"/>
        <v>212890.09100000001</v>
      </c>
      <c r="I28" s="2729">
        <f t="shared" si="3"/>
        <v>16443.309999999998</v>
      </c>
      <c r="J28" s="2729">
        <f t="shared" si="3"/>
        <v>10462.064</v>
      </c>
      <c r="K28" s="2729">
        <f t="shared" si="3"/>
        <v>1322.7230000000002</v>
      </c>
      <c r="L28" s="2729">
        <f>SUM(L15:L26)</f>
        <v>0</v>
      </c>
      <c r="M28" s="2729">
        <f>SUM(M15:M26)</f>
        <v>0</v>
      </c>
      <c r="N28" s="2729">
        <f t="shared" si="3"/>
        <v>5651.9289999999992</v>
      </c>
      <c r="O28" s="2729">
        <f t="shared" si="3"/>
        <v>2367.0470000000005</v>
      </c>
      <c r="P28" s="2729">
        <f t="shared" si="3"/>
        <v>14472.535</v>
      </c>
      <c r="Q28" s="2729">
        <f t="shared" si="1"/>
        <v>34276.297999999995</v>
      </c>
      <c r="R28" s="2729">
        <f t="shared" si="3"/>
        <v>1820.3349999999998</v>
      </c>
      <c r="S28" s="2729">
        <f t="shared" si="3"/>
        <v>4730.3050000000003</v>
      </c>
      <c r="T28" s="2729">
        <f t="shared" si="3"/>
        <v>1546.6410000000001</v>
      </c>
      <c r="U28" s="2729">
        <f t="shared" si="3"/>
        <v>5290.6759999999995</v>
      </c>
      <c r="V28" s="2729">
        <f t="shared" si="2"/>
        <v>13387.957</v>
      </c>
      <c r="W28" s="2729">
        <f t="shared" si="3"/>
        <v>10727.008</v>
      </c>
      <c r="X28" s="2729">
        <f t="shared" si="3"/>
        <v>529.05000000000007</v>
      </c>
      <c r="Y28" s="2729">
        <f t="shared" si="3"/>
        <v>1674.7619999999997</v>
      </c>
      <c r="Z28" s="2729">
        <f t="shared" si="3"/>
        <v>0</v>
      </c>
      <c r="AA28" s="20"/>
      <c r="AB28" s="20"/>
      <c r="AC28" s="20"/>
      <c r="AD28" s="20"/>
      <c r="AE28" s="20"/>
      <c r="AF28" s="20"/>
      <c r="AG28" s="20"/>
      <c r="AH28" s="20"/>
    </row>
    <row r="29" spans="1:34" ht="5.0999999999999996" customHeight="1" thickTop="1">
      <c r="A29" s="411"/>
      <c r="B29" s="225"/>
      <c r="C29" s="268"/>
      <c r="D29" s="269"/>
      <c r="E29" s="525"/>
      <c r="F29" s="538"/>
      <c r="G29" s="538"/>
      <c r="H29" s="538"/>
      <c r="I29" s="538"/>
      <c r="J29" s="538"/>
      <c r="K29" s="538"/>
      <c r="L29" s="538"/>
      <c r="M29" s="538"/>
      <c r="N29" s="538"/>
      <c r="O29" s="538"/>
      <c r="P29" s="538"/>
      <c r="Q29" s="538">
        <f t="shared" si="1"/>
        <v>0</v>
      </c>
      <c r="R29" s="538"/>
      <c r="S29" s="538"/>
      <c r="T29" s="538"/>
      <c r="U29" s="538"/>
      <c r="V29" s="538">
        <f t="shared" si="2"/>
        <v>0</v>
      </c>
      <c r="W29" s="538"/>
      <c r="X29" s="538"/>
      <c r="Y29" s="538"/>
      <c r="Z29" s="538"/>
      <c r="AA29" s="20"/>
      <c r="AB29" s="20"/>
      <c r="AC29" s="20"/>
      <c r="AD29" s="20"/>
      <c r="AE29" s="20"/>
      <c r="AF29" s="20"/>
      <c r="AG29" s="20"/>
      <c r="AH29" s="20"/>
    </row>
    <row r="30" spans="1:34">
      <c r="A30" s="411"/>
      <c r="B30" s="225"/>
      <c r="C30" s="268"/>
      <c r="D30" s="269"/>
      <c r="E30" s="525"/>
      <c r="F30" s="538"/>
      <c r="G30" s="538"/>
      <c r="H30" s="538"/>
      <c r="I30" s="538"/>
      <c r="J30" s="538"/>
      <c r="K30" s="538"/>
      <c r="L30" s="538"/>
      <c r="M30" s="538"/>
      <c r="N30" s="538"/>
      <c r="O30" s="538"/>
      <c r="P30" s="538"/>
      <c r="Q30" s="538"/>
      <c r="R30" s="538"/>
      <c r="S30" s="538"/>
      <c r="T30" s="538"/>
      <c r="U30" s="538"/>
      <c r="V30" s="538"/>
      <c r="W30" s="538"/>
      <c r="X30" s="538"/>
      <c r="Y30" s="538"/>
      <c r="Z30" s="538"/>
      <c r="AA30" s="20"/>
      <c r="AB30" s="20"/>
      <c r="AC30" s="20"/>
      <c r="AD30" s="20"/>
      <c r="AE30" s="20"/>
      <c r="AF30" s="20"/>
      <c r="AG30" s="20"/>
      <c r="AH30" s="20"/>
    </row>
    <row r="31" spans="1:34">
      <c r="A31" s="411"/>
      <c r="B31" s="225"/>
      <c r="C31" s="268"/>
      <c r="D31" s="536"/>
      <c r="E31" s="526"/>
      <c r="F31" s="538"/>
      <c r="G31" s="538"/>
      <c r="H31" s="538"/>
      <c r="I31" s="538"/>
      <c r="J31" s="538"/>
      <c r="K31" s="538"/>
      <c r="L31" s="538"/>
      <c r="M31" s="538"/>
      <c r="N31" s="538"/>
      <c r="O31" s="538"/>
      <c r="P31" s="538"/>
      <c r="Q31" s="538"/>
      <c r="R31" s="538"/>
      <c r="S31" s="538"/>
      <c r="T31" s="538"/>
      <c r="U31" s="538"/>
      <c r="V31" s="538"/>
      <c r="W31" s="538"/>
      <c r="X31" s="538"/>
      <c r="Y31" s="538"/>
      <c r="Z31" s="538"/>
      <c r="AA31" s="20"/>
      <c r="AB31" s="20"/>
      <c r="AC31" s="20"/>
      <c r="AD31" s="20"/>
      <c r="AE31" s="20"/>
      <c r="AF31" s="20"/>
      <c r="AG31" s="20"/>
      <c r="AH31" s="20"/>
    </row>
    <row r="32" spans="1:34">
      <c r="A32" s="411"/>
      <c r="B32" s="225"/>
      <c r="C32" s="268"/>
      <c r="D32" s="536"/>
      <c r="E32" s="525"/>
      <c r="F32" s="525"/>
      <c r="G32" s="525"/>
      <c r="H32" s="525"/>
      <c r="I32" s="525"/>
      <c r="J32" s="525"/>
      <c r="K32" s="525"/>
      <c r="L32" s="525"/>
      <c r="M32" s="525"/>
      <c r="N32" s="525"/>
      <c r="O32" s="525"/>
      <c r="P32" s="525"/>
      <c r="Q32" s="525"/>
      <c r="R32" s="525"/>
      <c r="S32" s="525"/>
      <c r="T32" s="525"/>
      <c r="U32" s="525"/>
      <c r="V32" s="525"/>
      <c r="W32" s="525"/>
      <c r="X32" s="525"/>
      <c r="Y32" s="525"/>
      <c r="Z32" s="525"/>
      <c r="AA32" s="20"/>
      <c r="AB32" s="20"/>
      <c r="AC32" s="20"/>
      <c r="AD32" s="20"/>
      <c r="AE32" s="20"/>
      <c r="AF32" s="20"/>
      <c r="AG32" s="20"/>
      <c r="AH32" s="20"/>
    </row>
    <row r="33" spans="1:34">
      <c r="A33" s="411"/>
      <c r="B33" s="225"/>
      <c r="C33" s="268"/>
      <c r="D33" s="536"/>
      <c r="E33" s="525"/>
      <c r="F33" s="525" t="s">
        <v>609</v>
      </c>
      <c r="G33" s="525" t="s">
        <v>600</v>
      </c>
      <c r="H33" s="525" t="s">
        <v>601</v>
      </c>
      <c r="I33" s="525" t="s">
        <v>2956</v>
      </c>
      <c r="J33" s="525" t="s">
        <v>175</v>
      </c>
      <c r="K33" s="525"/>
      <c r="L33" s="525"/>
      <c r="M33" s="525"/>
      <c r="N33" s="525"/>
      <c r="O33" s="525"/>
      <c r="P33" s="525"/>
      <c r="Q33" s="525"/>
      <c r="R33" s="525"/>
      <c r="S33" s="525"/>
      <c r="T33" s="525"/>
      <c r="U33" s="525"/>
      <c r="V33" s="525"/>
      <c r="W33" s="525"/>
      <c r="X33" s="525"/>
      <c r="Y33" s="525"/>
      <c r="Z33" s="525"/>
      <c r="AA33" s="20"/>
      <c r="AB33" s="20"/>
      <c r="AC33" s="20"/>
      <c r="AD33" s="20"/>
      <c r="AE33" s="20"/>
      <c r="AF33" s="20"/>
      <c r="AG33" s="20"/>
      <c r="AH33" s="20"/>
    </row>
    <row r="34" spans="1:34">
      <c r="A34" s="411"/>
      <c r="B34" s="225"/>
      <c r="C34" s="268"/>
      <c r="D34" s="536"/>
      <c r="E34" s="525" t="s">
        <v>3998</v>
      </c>
      <c r="F34" s="4252">
        <f>F28/SUM(H28)</f>
        <v>6.8224561001291498E-2</v>
      </c>
      <c r="G34" s="4252"/>
      <c r="H34" s="4252"/>
      <c r="I34" s="4252"/>
      <c r="J34" s="4252"/>
      <c r="K34" s="525"/>
      <c r="L34" s="525"/>
      <c r="M34" s="525"/>
      <c r="N34" s="525"/>
      <c r="O34" s="525"/>
      <c r="P34" s="525"/>
      <c r="Q34" s="525"/>
      <c r="R34" s="525"/>
      <c r="S34" s="525"/>
      <c r="T34" s="525"/>
      <c r="U34" s="525"/>
      <c r="V34" s="525"/>
      <c r="W34" s="525"/>
      <c r="X34" s="525"/>
      <c r="Y34" s="525"/>
      <c r="Z34" s="525"/>
      <c r="AA34" s="20"/>
      <c r="AB34" s="20"/>
      <c r="AC34" s="20"/>
      <c r="AD34" s="20"/>
      <c r="AE34" s="20"/>
      <c r="AF34" s="20"/>
      <c r="AG34" s="20"/>
      <c r="AH34" s="20"/>
    </row>
    <row r="35" spans="1:34">
      <c r="A35" s="411"/>
      <c r="B35" s="225"/>
      <c r="C35" s="268"/>
      <c r="D35" s="537"/>
      <c r="E35" s="526" t="s">
        <v>168</v>
      </c>
      <c r="F35" s="4252">
        <f>1-F34</f>
        <v>0.93177543899870852</v>
      </c>
      <c r="G35" s="4252">
        <v>1</v>
      </c>
      <c r="H35" s="4252">
        <f>(SUM(N28:P28)+J28)/(Q28+V28)</f>
        <v>0.69136872064820898</v>
      </c>
      <c r="I35" s="4252"/>
      <c r="J35" s="4252"/>
      <c r="K35" s="526"/>
      <c r="L35" s="526"/>
      <c r="M35" s="526"/>
      <c r="N35" s="526"/>
      <c r="O35" s="526"/>
      <c r="P35" s="526"/>
      <c r="Q35" s="526"/>
      <c r="R35" s="526"/>
      <c r="S35" s="526"/>
      <c r="T35" s="526"/>
      <c r="U35" s="526"/>
      <c r="V35" s="526"/>
      <c r="W35" s="526"/>
      <c r="X35" s="526"/>
      <c r="Y35" s="526"/>
      <c r="Z35" s="526"/>
      <c r="AA35" s="20"/>
      <c r="AB35" s="20"/>
      <c r="AC35" s="20"/>
      <c r="AD35" s="20"/>
      <c r="AE35" s="20"/>
      <c r="AF35" s="20"/>
      <c r="AG35" s="20"/>
      <c r="AH35" s="20"/>
    </row>
    <row r="36" spans="1:34">
      <c r="A36" s="411"/>
      <c r="B36" s="225"/>
      <c r="C36" s="268"/>
      <c r="D36" s="269"/>
      <c r="E36" s="525" t="s">
        <v>608</v>
      </c>
      <c r="F36" s="4252"/>
      <c r="G36" s="4252"/>
      <c r="H36" s="4252">
        <f>SUM(R28:U28)/(Q28+V28)</f>
        <v>0.28088044174822413</v>
      </c>
      <c r="I36" s="4252">
        <f>W28/W28</f>
        <v>1</v>
      </c>
      <c r="J36" s="4252"/>
      <c r="K36" s="538"/>
      <c r="L36" s="538"/>
      <c r="M36" s="538"/>
      <c r="N36" s="538"/>
      <c r="O36" s="538"/>
      <c r="P36" s="538"/>
      <c r="Q36" s="538"/>
      <c r="R36" s="538"/>
      <c r="S36" s="538"/>
      <c r="T36" s="538"/>
      <c r="U36" s="538"/>
      <c r="V36" s="538"/>
      <c r="W36" s="538"/>
      <c r="X36" s="538"/>
      <c r="Y36" s="538"/>
      <c r="Z36" s="538"/>
      <c r="AA36" s="20"/>
      <c r="AB36" s="20"/>
      <c r="AC36" s="20"/>
      <c r="AD36" s="20"/>
      <c r="AE36" s="20"/>
      <c r="AF36" s="20"/>
      <c r="AG36" s="20"/>
      <c r="AH36" s="20"/>
    </row>
    <row r="37" spans="1:34">
      <c r="A37" s="411"/>
      <c r="E37" s="525" t="s">
        <v>175</v>
      </c>
      <c r="F37" s="4252"/>
      <c r="G37" s="4252"/>
      <c r="H37" s="4252">
        <f>K28/(Q28+V28)</f>
        <v>2.7750837603566871E-2</v>
      </c>
      <c r="I37" s="4252"/>
      <c r="J37" s="4252">
        <f>SUM(X28:Z28)/SUM(X28:Z28)</f>
        <v>1</v>
      </c>
      <c r="K37" s="20"/>
      <c r="L37" s="20"/>
      <c r="M37" s="20"/>
      <c r="N37" s="20"/>
      <c r="O37" s="20"/>
      <c r="P37" s="20"/>
      <c r="Q37" s="20"/>
      <c r="R37" s="20"/>
      <c r="S37" s="20"/>
      <c r="T37" s="20"/>
      <c r="U37" s="20"/>
      <c r="V37" s="20"/>
      <c r="W37" s="20"/>
      <c r="X37" s="20"/>
      <c r="Y37" s="20"/>
      <c r="Z37" s="20"/>
      <c r="AA37" s="20"/>
      <c r="AB37" s="20"/>
      <c r="AC37" s="20"/>
      <c r="AD37" s="20"/>
      <c r="AE37" s="20"/>
      <c r="AF37" s="20"/>
      <c r="AG37" s="20"/>
      <c r="AH37" s="20"/>
    </row>
    <row r="38" spans="1:34">
      <c r="A38" s="411"/>
      <c r="E38" s="17"/>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row>
    <row r="39" spans="1:34">
      <c r="A39" s="411"/>
      <c r="E39" s="17"/>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row>
    <row r="40" spans="1:34">
      <c r="A40" s="411"/>
      <c r="E40" s="17"/>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row>
    <row r="41" spans="1:34">
      <c r="A41" s="411"/>
      <c r="E41" s="17"/>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row>
    <row r="42" spans="1:34">
      <c r="A42" s="411"/>
      <c r="E42" s="17"/>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row>
    <row r="43" spans="1:34">
      <c r="A43" s="411"/>
      <c r="E43" s="17"/>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row>
    <row r="44" spans="1:34">
      <c r="A44" s="411"/>
      <c r="E44" s="17"/>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row>
    <row r="45" spans="1:34">
      <c r="A45" s="411"/>
      <c r="E45" s="17"/>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row>
    <row r="46" spans="1:34">
      <c r="E46" s="17"/>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row>
    <row r="47" spans="1:34">
      <c r="E47" s="17"/>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row>
    <row r="48" spans="1:34">
      <c r="E48" s="17"/>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row>
    <row r="49" spans="5:34">
      <c r="E49" s="17"/>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row>
    <row r="50" spans="5:34">
      <c r="E50" s="17"/>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row>
    <row r="51" spans="5:34">
      <c r="E51" s="17"/>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row>
    <row r="52" spans="5:34">
      <c r="E52" s="17"/>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row>
    <row r="53" spans="5:34">
      <c r="E53" s="17"/>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row>
    <row r="54" spans="5:34">
      <c r="E54" s="17"/>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row>
    <row r="55" spans="5:34">
      <c r="E55" s="17"/>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row>
    <row r="56" spans="5:34">
      <c r="E56" s="17"/>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row>
    <row r="57" spans="5:34">
      <c r="E57" s="17"/>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row>
    <row r="58" spans="5:34">
      <c r="E58" s="17"/>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row>
    <row r="59" spans="5:34">
      <c r="E59" s="17"/>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row>
    <row r="60" spans="5:34">
      <c r="E60" s="17"/>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row>
    <row r="61" spans="5:34">
      <c r="E61" s="17"/>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row>
    <row r="62" spans="5:34">
      <c r="E62" s="17"/>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row>
    <row r="63" spans="5:34">
      <c r="E63" s="17"/>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row>
    <row r="64" spans="5:34">
      <c r="E64" s="17"/>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row>
    <row r="65" spans="5:34">
      <c r="E65" s="17"/>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row>
    <row r="66" spans="5:34">
      <c r="E66" s="17"/>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row>
    <row r="67" spans="5:34">
      <c r="E67" s="17"/>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row>
    <row r="68" spans="5:34">
      <c r="E68" s="17"/>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row>
    <row r="69" spans="5:34">
      <c r="E69" s="17"/>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row>
    <row r="70" spans="5:34">
      <c r="E70" s="17"/>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row>
    <row r="71" spans="5:34">
      <c r="E71" s="17"/>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row>
    <row r="72" spans="5:34">
      <c r="E72" s="17"/>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row>
    <row r="73" spans="5:34">
      <c r="E73" s="17"/>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row>
    <row r="74" spans="5:34">
      <c r="E74" s="17"/>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row>
    <row r="75" spans="5:34">
      <c r="E75" s="17"/>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row>
    <row r="76" spans="5:34">
      <c r="E76" s="17"/>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row>
    <row r="77" spans="5:34">
      <c r="E77" s="17"/>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row>
    <row r="78" spans="5:34"/>
    <row r="79" spans="5:34"/>
    <row r="80" spans="5:34"/>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sheetData>
  <mergeCells count="14">
    <mergeCell ref="D9:D10"/>
    <mergeCell ref="E9:E10"/>
    <mergeCell ref="C9:C10"/>
    <mergeCell ref="O9:P9"/>
    <mergeCell ref="R9:S9"/>
    <mergeCell ref="C1:Z1"/>
    <mergeCell ref="C2:Z2"/>
    <mergeCell ref="C3:Z3"/>
    <mergeCell ref="C4:Z4"/>
    <mergeCell ref="J8:P8"/>
    <mergeCell ref="R8:V8"/>
    <mergeCell ref="F7:H7"/>
    <mergeCell ref="J7:V7"/>
    <mergeCell ref="F8:H8"/>
  </mergeCells>
  <pageMargins left="0.25" right="0.25" top="0.5" bottom="0.5" header="0.25" footer="0.25"/>
  <pageSetup paperSize="17" scale="76" fitToHeight="3" orientation="landscape" r:id="rId1"/>
  <headerFooter alignWithMargins="0">
    <oddFooter>&amp;L&amp;"Times New Roman,Bold Italic"Black &amp; Veatch Corporation&amp;C&amp;"Times New Roman,Bold Italic"Date: &amp;D&amp;R&amp;"Times New Roman,Bold Italic"Page: &amp;P of &amp;N</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AF62"/>
  <sheetViews>
    <sheetView showGridLines="0" zoomScale="55" zoomScaleNormal="55" workbookViewId="0">
      <pane xSplit="4" ySplit="10" topLeftCell="E11" activePane="bottomRight" state="frozen"/>
      <selection activeCell="D11" sqref="D11"/>
      <selection pane="topRight" activeCell="D11" sqref="D11"/>
      <selection pane="bottomLeft" activeCell="D11" sqref="D11"/>
      <selection pane="bottomRight" activeCell="E11" sqref="E11"/>
    </sheetView>
  </sheetViews>
  <sheetFormatPr defaultColWidth="0" defaultRowHeight="15.75"/>
  <cols>
    <col min="1" max="1" width="22.625" customWidth="1"/>
    <col min="2" max="2" width="1.125" customWidth="1"/>
    <col min="3" max="3" width="7.625" customWidth="1"/>
    <col min="4" max="4" width="27.625" bestFit="1" customWidth="1"/>
    <col min="5" max="5" width="14.5" style="17" bestFit="1" customWidth="1"/>
    <col min="6" max="6" width="11.625" style="20" bestFit="1" customWidth="1"/>
    <col min="7" max="7" width="11.125" style="20" bestFit="1" customWidth="1"/>
    <col min="8" max="8" width="13.875" style="20" customWidth="1"/>
    <col min="9" max="9" width="11.75" style="20" bestFit="1" customWidth="1"/>
    <col min="10" max="12" width="11.75" style="20" customWidth="1"/>
    <col min="13" max="13" width="13.25" style="20" customWidth="1"/>
    <col min="14" max="14" width="11.125" style="20" bestFit="1" customWidth="1"/>
    <col min="15" max="16" width="11.625" style="20" bestFit="1" customWidth="1"/>
    <col min="17" max="17" width="11.125" style="20" bestFit="1" customWidth="1"/>
    <col min="18" max="21" width="11.625" style="20" bestFit="1" customWidth="1"/>
    <col min="22" max="22" width="12.25" style="20" bestFit="1" customWidth="1"/>
    <col min="23" max="23" width="9.125" style="20" bestFit="1" customWidth="1"/>
    <col min="24" max="24" width="11.625" style="20" bestFit="1" customWidth="1"/>
    <col min="25" max="25" width="2.125" style="20" customWidth="1"/>
    <col min="26" max="28" width="8.625" hidden="1" customWidth="1"/>
    <col min="29" max="32" width="8.625" hidden="1"/>
  </cols>
  <sheetData>
    <row r="1" spans="1:25" ht="18.75">
      <c r="A1" s="411"/>
      <c r="C1" s="4551" t="s">
        <v>500</v>
      </c>
      <c r="D1" s="4551"/>
      <c r="E1" s="4551"/>
      <c r="F1" s="4551"/>
      <c r="G1" s="4551"/>
      <c r="H1" s="4551"/>
      <c r="I1" s="4551"/>
      <c r="J1" s="4551"/>
      <c r="K1" s="4551"/>
      <c r="L1" s="4551"/>
      <c r="M1" s="4551"/>
      <c r="N1" s="4551"/>
      <c r="O1" s="4551"/>
      <c r="P1" s="4551"/>
      <c r="Q1" s="4551"/>
      <c r="R1" s="4551"/>
      <c r="S1" s="4551"/>
      <c r="T1" s="4551"/>
      <c r="U1" s="4551"/>
      <c r="V1" s="4551"/>
      <c r="W1" s="4551"/>
      <c r="X1" s="4551"/>
      <c r="Y1"/>
    </row>
    <row r="2" spans="1:25" ht="18.75">
      <c r="A2" s="411"/>
      <c r="C2" s="4551" t="str">
        <f>Client</f>
        <v>Grant County Public Utility District</v>
      </c>
      <c r="D2" s="4551"/>
      <c r="E2" s="4551"/>
      <c r="F2" s="4551"/>
      <c r="G2" s="4551"/>
      <c r="H2" s="4551"/>
      <c r="I2" s="4551"/>
      <c r="J2" s="4551"/>
      <c r="K2" s="4551"/>
      <c r="L2" s="4551"/>
      <c r="M2" s="4551"/>
      <c r="N2" s="4551"/>
      <c r="O2" s="4551"/>
      <c r="P2" s="4551"/>
      <c r="Q2" s="4551"/>
      <c r="R2" s="4551"/>
      <c r="S2" s="4551"/>
      <c r="T2" s="4551"/>
      <c r="U2" s="4551"/>
      <c r="V2" s="4551"/>
      <c r="W2" s="4551"/>
      <c r="X2" s="4551"/>
      <c r="Y2"/>
    </row>
    <row r="3" spans="1:25" ht="18.75">
      <c r="A3" s="411"/>
      <c r="C3" s="4551" t="s">
        <v>887</v>
      </c>
      <c r="D3" s="4551"/>
      <c r="E3" s="4551"/>
      <c r="F3" s="4551"/>
      <c r="G3" s="4551"/>
      <c r="H3" s="4551"/>
      <c r="I3" s="4551"/>
      <c r="J3" s="4551"/>
      <c r="K3" s="4551"/>
      <c r="L3" s="4551"/>
      <c r="M3" s="4551"/>
      <c r="N3" s="4551"/>
      <c r="O3" s="4551"/>
      <c r="P3" s="4551"/>
      <c r="Q3" s="4551"/>
      <c r="R3" s="4551"/>
      <c r="S3" s="4551"/>
      <c r="T3" s="4551"/>
      <c r="U3" s="4551"/>
      <c r="V3" s="4551"/>
      <c r="W3" s="4551"/>
      <c r="X3" s="4551"/>
      <c r="Y3"/>
    </row>
    <row r="4" spans="1:25" ht="18.75">
      <c r="A4" s="411"/>
      <c r="C4" s="4551"/>
      <c r="D4" s="4551"/>
      <c r="E4" s="4551"/>
      <c r="F4" s="4551"/>
      <c r="G4" s="4551"/>
      <c r="H4" s="4551"/>
      <c r="I4" s="4551"/>
      <c r="J4" s="4551"/>
      <c r="K4" s="4551"/>
      <c r="L4" s="4551"/>
      <c r="M4" s="4551"/>
      <c r="N4" s="4551"/>
      <c r="O4" s="4551"/>
      <c r="P4" s="4551"/>
      <c r="Q4" s="4551"/>
      <c r="R4" s="4551"/>
      <c r="S4" s="4551"/>
      <c r="T4" s="4551"/>
      <c r="U4" s="4551"/>
      <c r="V4" s="4551"/>
      <c r="W4" s="4551"/>
      <c r="X4" s="4551"/>
      <c r="Y4"/>
    </row>
    <row r="5" spans="1:25">
      <c r="A5" s="411"/>
      <c r="E5" s="1"/>
      <c r="F5"/>
      <c r="G5"/>
      <c r="H5"/>
      <c r="I5"/>
      <c r="J5"/>
      <c r="K5"/>
      <c r="L5"/>
      <c r="M5"/>
      <c r="N5"/>
      <c r="O5"/>
      <c r="P5"/>
      <c r="Q5"/>
      <c r="R5"/>
      <c r="S5"/>
      <c r="T5"/>
      <c r="U5"/>
      <c r="V5"/>
      <c r="W5"/>
      <c r="X5"/>
      <c r="Y5"/>
    </row>
    <row r="6" spans="1:25">
      <c r="A6" s="411"/>
      <c r="C6" s="84"/>
      <c r="D6" s="84"/>
      <c r="E6" s="2579" t="s">
        <v>674</v>
      </c>
      <c r="F6" s="2579" t="s">
        <v>155</v>
      </c>
      <c r="G6" s="2579" t="s">
        <v>675</v>
      </c>
      <c r="H6" s="2579" t="s">
        <v>676</v>
      </c>
      <c r="I6" s="2579" t="s">
        <v>677</v>
      </c>
      <c r="J6" s="2579" t="s">
        <v>140</v>
      </c>
      <c r="K6" s="2579" t="s">
        <v>141</v>
      </c>
      <c r="L6" s="2579" t="s">
        <v>142</v>
      </c>
      <c r="M6" s="2579" t="s">
        <v>143</v>
      </c>
      <c r="N6" s="2579" t="s">
        <v>145</v>
      </c>
      <c r="O6" s="2579" t="s">
        <v>146</v>
      </c>
      <c r="P6" s="2579" t="s">
        <v>147</v>
      </c>
      <c r="Q6" s="2579" t="s">
        <v>148</v>
      </c>
      <c r="R6" s="2579" t="s">
        <v>149</v>
      </c>
      <c r="S6" s="2579" t="s">
        <v>150</v>
      </c>
      <c r="T6" s="2579" t="s">
        <v>151</v>
      </c>
      <c r="U6" s="2579" t="s">
        <v>153</v>
      </c>
      <c r="V6" s="83" t="s">
        <v>154</v>
      </c>
      <c r="W6" s="2579" t="s">
        <v>449</v>
      </c>
      <c r="X6" s="83" t="s">
        <v>450</v>
      </c>
      <c r="Y6"/>
    </row>
    <row r="7" spans="1:25" s="18" customFormat="1">
      <c r="A7" s="503"/>
      <c r="C7" s="3228"/>
      <c r="D7" s="3229"/>
      <c r="E7" s="3229"/>
      <c r="F7" s="3230"/>
      <c r="G7" s="3230"/>
      <c r="H7" s="3230"/>
      <c r="I7" s="4579" t="s">
        <v>601</v>
      </c>
      <c r="J7" s="4581"/>
      <c r="K7" s="4581"/>
      <c r="L7" s="4581"/>
      <c r="M7" s="4581"/>
      <c r="N7" s="4581"/>
      <c r="O7" s="4580"/>
      <c r="P7" s="3230"/>
      <c r="Q7" s="3230"/>
      <c r="R7" s="3230"/>
      <c r="S7" s="3230"/>
      <c r="T7" s="3230"/>
      <c r="U7" s="3230"/>
      <c r="V7" s="3230"/>
      <c r="W7" s="3230"/>
      <c r="X7" s="3231"/>
    </row>
    <row r="8" spans="1:25" s="18" customFormat="1">
      <c r="A8" s="503"/>
      <c r="C8" s="2656"/>
      <c r="D8" s="2657"/>
      <c r="E8" s="2657"/>
      <c r="F8" s="4584" t="s">
        <v>609</v>
      </c>
      <c r="G8" s="4585"/>
      <c r="H8" s="3162" t="s">
        <v>600</v>
      </c>
      <c r="I8" s="4579" t="s">
        <v>168</v>
      </c>
      <c r="J8" s="4581"/>
      <c r="K8" s="4581"/>
      <c r="L8" s="4581"/>
      <c r="M8" s="4581"/>
      <c r="N8" s="4581"/>
      <c r="O8" s="4580"/>
      <c r="P8" s="4581" t="s">
        <v>606</v>
      </c>
      <c r="Q8" s="4581"/>
      <c r="R8" s="4581"/>
      <c r="S8" s="4581"/>
      <c r="T8" s="2654" t="s">
        <v>169</v>
      </c>
      <c r="U8" s="2922"/>
      <c r="V8" s="2654"/>
      <c r="W8" s="2654"/>
      <c r="X8" s="2654"/>
    </row>
    <row r="9" spans="1:25" s="18" customFormat="1">
      <c r="A9" s="503"/>
      <c r="B9" s="2724"/>
      <c r="C9" s="4582" t="s">
        <v>867</v>
      </c>
      <c r="D9" s="4582" t="s">
        <v>118</v>
      </c>
      <c r="E9" s="4582" t="s">
        <v>602</v>
      </c>
      <c r="F9" s="3112"/>
      <c r="G9" s="3113"/>
      <c r="H9" s="2748"/>
      <c r="I9" s="2923"/>
      <c r="J9" s="2921" t="s">
        <v>170</v>
      </c>
      <c r="K9" s="2924" t="s">
        <v>2988</v>
      </c>
      <c r="L9" s="2924" t="s">
        <v>2989</v>
      </c>
      <c r="M9" s="2654" t="s">
        <v>867</v>
      </c>
      <c r="N9" s="4579" t="s">
        <v>857</v>
      </c>
      <c r="O9" s="4580"/>
      <c r="P9" s="4581" t="s">
        <v>858</v>
      </c>
      <c r="Q9" s="4580"/>
      <c r="R9" s="4579"/>
      <c r="S9" s="4580"/>
      <c r="T9" s="2655" t="s">
        <v>173</v>
      </c>
      <c r="U9" s="2655" t="s">
        <v>174</v>
      </c>
      <c r="V9" s="2655" t="s">
        <v>103</v>
      </c>
      <c r="W9" s="2655" t="s">
        <v>176</v>
      </c>
      <c r="X9" s="2655" t="s">
        <v>602</v>
      </c>
    </row>
    <row r="10" spans="1:25" s="18" customFormat="1">
      <c r="A10" s="503"/>
      <c r="B10" s="2724"/>
      <c r="C10" s="4583"/>
      <c r="D10" s="4583"/>
      <c r="E10" s="4583"/>
      <c r="F10" s="3163" t="s">
        <v>605</v>
      </c>
      <c r="G10" s="2749" t="s">
        <v>168</v>
      </c>
      <c r="H10" s="2749" t="s">
        <v>168</v>
      </c>
      <c r="I10" s="2749" t="s">
        <v>170</v>
      </c>
      <c r="J10" s="2664" t="s">
        <v>175</v>
      </c>
      <c r="K10" s="2664" t="s">
        <v>175</v>
      </c>
      <c r="L10" s="2664" t="s">
        <v>175</v>
      </c>
      <c r="M10" s="2664" t="s">
        <v>856</v>
      </c>
      <c r="N10" s="2664" t="s">
        <v>985</v>
      </c>
      <c r="O10" s="2664" t="s">
        <v>986</v>
      </c>
      <c r="P10" s="3232" t="s">
        <v>985</v>
      </c>
      <c r="Q10" s="2664" t="s">
        <v>986</v>
      </c>
      <c r="R10" s="3233" t="s">
        <v>171</v>
      </c>
      <c r="S10" s="3161" t="s">
        <v>172</v>
      </c>
      <c r="T10" s="2664" t="s">
        <v>603</v>
      </c>
      <c r="U10" s="2664" t="s">
        <v>859</v>
      </c>
      <c r="V10" s="2664" t="s">
        <v>606</v>
      </c>
      <c r="W10" s="2664" t="s">
        <v>861</v>
      </c>
      <c r="X10" s="2664" t="s">
        <v>453</v>
      </c>
    </row>
    <row r="11" spans="1:25">
      <c r="A11" s="411"/>
      <c r="C11" s="559"/>
      <c r="D11" s="3227"/>
      <c r="E11" s="3227"/>
      <c r="F11" s="3227"/>
      <c r="G11" s="3227"/>
      <c r="H11" s="3227"/>
      <c r="I11" s="3227"/>
      <c r="J11" s="3227"/>
      <c r="K11" s="3227"/>
      <c r="L11" s="3227"/>
      <c r="M11" s="3227"/>
      <c r="N11" s="3227"/>
      <c r="O11" s="3227"/>
      <c r="P11" s="3227"/>
      <c r="Q11" s="3227"/>
      <c r="R11" s="3227"/>
      <c r="S11" s="3227"/>
      <c r="T11" s="3227"/>
      <c r="U11" s="3227"/>
      <c r="V11" s="3227"/>
      <c r="W11" s="3227"/>
      <c r="X11" s="609"/>
    </row>
    <row r="12" spans="1:25">
      <c r="A12" s="411"/>
      <c r="C12" s="1"/>
      <c r="D12" s="541" t="s">
        <v>719</v>
      </c>
      <c r="E12" s="1"/>
      <c r="F12" s="1"/>
      <c r="G12" s="1"/>
      <c r="H12" s="1"/>
      <c r="I12" s="1"/>
      <c r="J12" s="1"/>
      <c r="K12" s="1"/>
      <c r="L12" s="1"/>
      <c r="M12" s="1"/>
      <c r="N12" s="1"/>
      <c r="O12" s="1"/>
      <c r="P12" s="1"/>
      <c r="Q12" s="1"/>
      <c r="R12" s="1"/>
      <c r="S12" s="1"/>
      <c r="T12" s="1"/>
      <c r="U12" s="1"/>
      <c r="V12" s="1"/>
      <c r="W12" s="1"/>
      <c r="X12" s="1"/>
    </row>
    <row r="13" spans="1:25">
      <c r="A13" s="411"/>
      <c r="C13" s="2660">
        <v>1</v>
      </c>
      <c r="D13" s="2677" t="str">
        <f>'Table 8'!D15</f>
        <v>Residential-Urban (1)</v>
      </c>
      <c r="E13" s="2730">
        <f>COS_Unit!E15</f>
        <v>369330646</v>
      </c>
      <c r="F13" s="2731">
        <f>'Table 8'!F15*100/$E13</f>
        <v>2.2848469498520848E-4</v>
      </c>
      <c r="G13" s="2731">
        <f>'Table 8'!G15*100/$E13</f>
        <v>3.641506099117483E-3</v>
      </c>
      <c r="H13" s="2731">
        <f>'Table 8'!H15*100/$E13</f>
        <v>4.9107676810550944E-4</v>
      </c>
      <c r="I13" s="2731">
        <f>'Table 8'!I15*100/$E13</f>
        <v>2.3653114342425837E-4</v>
      </c>
      <c r="J13" s="2731">
        <f>'Table 8'!J15*100/$E13</f>
        <v>0</v>
      </c>
      <c r="K13" s="2731">
        <f>'Table 8'!K15*100/$E13</f>
        <v>0</v>
      </c>
      <c r="L13" s="2731">
        <f>'Table 8'!L15*100/$E13</f>
        <v>0</v>
      </c>
      <c r="M13" s="2731">
        <f>'Table 8'!M15*100/$E13</f>
        <v>1.3267840221415039E-4</v>
      </c>
      <c r="N13" s="2731">
        <f>'Table 8'!N15*100/$E13</f>
        <v>8.2932733396838117E-5</v>
      </c>
      <c r="O13" s="2731">
        <f>'Table 8'!O15*100/$E13</f>
        <v>0</v>
      </c>
      <c r="P13" s="2731">
        <f>'Table 8'!P15*100/$E13</f>
        <v>3.9459492890281302E-4</v>
      </c>
      <c r="Q13" s="2731">
        <f>'Table 8'!Q15*100/$E13</f>
        <v>0</v>
      </c>
      <c r="R13" s="2731">
        <f>'Table 8'!R15*100/$E13</f>
        <v>9.6861174092766739E-5</v>
      </c>
      <c r="S13" s="2731">
        <f>'Table 8'!S15*100/$E13</f>
        <v>3.0884791510098517E-4</v>
      </c>
      <c r="T13" s="2731">
        <f>'Table 8'!T15*100/$E13</f>
        <v>9.8489741899186983E-4</v>
      </c>
      <c r="U13" s="2731">
        <f>'Table 8'!U15*100/$E13</f>
        <v>0</v>
      </c>
      <c r="V13" s="2731">
        <f>'Table 8'!V15*100/$E13</f>
        <v>1.7757448700858686E-4</v>
      </c>
      <c r="W13" s="2731">
        <f>'Table 8'!W15*100/$E13</f>
        <v>0</v>
      </c>
      <c r="X13" s="2731">
        <f t="shared" ref="X13:X24" si="0">SUM(F13:W13)</f>
        <v>6.7759857653404698E-3</v>
      </c>
      <c r="Y13"/>
    </row>
    <row r="14" spans="1:25">
      <c r="A14" s="411"/>
      <c r="C14" s="236">
        <f>+MAX(C4:C13)+1</f>
        <v>2</v>
      </c>
      <c r="D14" s="38" t="str">
        <f>'Table 8'!D16</f>
        <v>Residential-Rural (1)</v>
      </c>
      <c r="E14" s="542">
        <f>COS_Unit!E18</f>
        <v>517691627</v>
      </c>
      <c r="F14" s="808">
        <f>'Table 8'!F16*100/$E14</f>
        <v>2.3005877203418625E-4</v>
      </c>
      <c r="G14" s="808">
        <f>'Table 8'!G16*100/$E14</f>
        <v>3.6669712257100108E-3</v>
      </c>
      <c r="H14" s="808">
        <f>'Table 8'!H16*100/$E14</f>
        <v>4.9422839129673621E-4</v>
      </c>
      <c r="I14" s="808">
        <f>'Table 8'!I16*100/$E14</f>
        <v>2.3806276472769766E-4</v>
      </c>
      <c r="J14" s="808">
        <f>'Table 8'!J16*100/$E14</f>
        <v>0</v>
      </c>
      <c r="K14" s="808">
        <f>'Table 8'!K16*100/$E14</f>
        <v>0</v>
      </c>
      <c r="L14" s="808">
        <f>'Table 8'!L16*100/$E14</f>
        <v>0</v>
      </c>
      <c r="M14" s="808">
        <f>'Table 8'!M16*100/$E14</f>
        <v>1.335217654582619E-4</v>
      </c>
      <c r="N14" s="808">
        <f>'Table 8'!N16*100/$E14</f>
        <v>4.1607781305684516E-6</v>
      </c>
      <c r="O14" s="808">
        <f>'Table 8'!O16*100/$E14</f>
        <v>9.8600455054298182E-4</v>
      </c>
      <c r="P14" s="808">
        <f>'Table 8'!P16*100/$E14</f>
        <v>0</v>
      </c>
      <c r="Q14" s="808">
        <f>'Table 8'!Q16*100/$E14</f>
        <v>8.4264198462688294E-4</v>
      </c>
      <c r="R14" s="808">
        <f>'Table 8'!R16*100/$E14</f>
        <v>9.7155907835457431E-5</v>
      </c>
      <c r="S14" s="808">
        <f>'Table 8'!S16*100/$E14</f>
        <v>2.0654110366749278E-4</v>
      </c>
      <c r="T14" s="808">
        <f>'Table 8'!T16*100/$E14</f>
        <v>7.2440074446094909E-4</v>
      </c>
      <c r="U14" s="808">
        <f>'Table 8'!U16*100/$E14</f>
        <v>0</v>
      </c>
      <c r="V14" s="808">
        <f>'Table 8'!V16*100/$E14</f>
        <v>1.1872666428116675E-4</v>
      </c>
      <c r="W14" s="808">
        <f>'Table 8'!W16*100/$E14</f>
        <v>0</v>
      </c>
      <c r="X14" s="808">
        <f t="shared" si="0"/>
        <v>7.7424746527723935E-3</v>
      </c>
    </row>
    <row r="15" spans="1:25">
      <c r="A15" s="411"/>
      <c r="C15" s="2660">
        <f>+MAX(C5:C14)+1</f>
        <v>3</v>
      </c>
      <c r="D15" s="2677" t="str">
        <f>'Table 8'!D17</f>
        <v>Irrigation (3)</v>
      </c>
      <c r="E15" s="2730">
        <f>COS_Unit!E23</f>
        <v>644656668.90576231</v>
      </c>
      <c r="F15" s="2732">
        <f>'Table 8'!F17*100/$E15</f>
        <v>2.2733108500801557E-4</v>
      </c>
      <c r="G15" s="2732">
        <f>'Table 8'!G17*100/$E15</f>
        <v>3.7694180750889295E-3</v>
      </c>
      <c r="H15" s="2732">
        <f>'Table 8'!H17*100/$E15</f>
        <v>2.9537195407162563E-4</v>
      </c>
      <c r="I15" s="2732">
        <f>'Table 8'!I17*100/$E15</f>
        <v>2.5560504986273184E-4</v>
      </c>
      <c r="J15" s="2732">
        <f>'Table 8'!J17*100/$E15</f>
        <v>0</v>
      </c>
      <c r="K15" s="2732">
        <f>'Table 8'!K17*100/$E15</f>
        <v>0</v>
      </c>
      <c r="L15" s="2732">
        <f>'Table 8'!L17*100/$E15</f>
        <v>0</v>
      </c>
      <c r="M15" s="2732">
        <f>'Table 8'!M17*100/$E15</f>
        <v>1.5360393334343258E-4</v>
      </c>
      <c r="N15" s="2732">
        <f>'Table 8'!N17*100/$E15</f>
        <v>4.8100022066990871E-6</v>
      </c>
      <c r="O15" s="2732">
        <f>'Table 8'!O17*100/$E15</f>
        <v>1.1337244075060357E-3</v>
      </c>
      <c r="P15" s="2732">
        <f>'Table 8'!P17*100/$E15</f>
        <v>0</v>
      </c>
      <c r="Q15" s="2732">
        <f>'Table 8'!Q17*100/$E15</f>
        <v>4.182536426058679E-6</v>
      </c>
      <c r="R15" s="2732">
        <f>'Table 8'!R17*100/$E15</f>
        <v>6.1010925500484546E-5</v>
      </c>
      <c r="S15" s="2732">
        <f>'Table 8'!S17*100/$E15</f>
        <v>1.9343816020963117E-4</v>
      </c>
      <c r="T15" s="2732">
        <f>'Table 8'!T17*100/$E15</f>
        <v>1.3694622930039913E-4</v>
      </c>
      <c r="U15" s="2732">
        <f>'Table 8'!U17*100/$E15</f>
        <v>0</v>
      </c>
      <c r="V15" s="2732">
        <f>'Table 8'!V17*100/$E15</f>
        <v>2.2471961741417593E-5</v>
      </c>
      <c r="W15" s="2732">
        <f>'Table 8'!W17*100/$E15</f>
        <v>0</v>
      </c>
      <c r="X15" s="2732">
        <f t="shared" si="0"/>
        <v>6.2579143202654616E-3</v>
      </c>
    </row>
    <row r="16" spans="1:25">
      <c r="A16" s="411"/>
      <c r="C16" s="236">
        <f t="shared" ref="C16:C21" si="1">+MAX(C7:C15)+1</f>
        <v>4</v>
      </c>
      <c r="D16" s="38" t="str">
        <f>'Table 8'!D18</f>
        <v>General Service (2) &amp; (PA)</v>
      </c>
      <c r="E16" s="542">
        <f>COS_Unit!E28+COS_Unit!E46</f>
        <v>573774999</v>
      </c>
      <c r="F16" s="808">
        <f>'Table 8'!F18*100/$E16</f>
        <v>2.2858228439472315E-4</v>
      </c>
      <c r="G16" s="808">
        <f>'Table 8'!G18*100/$E16</f>
        <v>3.7821818723056629E-3</v>
      </c>
      <c r="H16" s="808">
        <f>'Table 8'!H18*100/$E16</f>
        <v>4.6626761442423884E-4</v>
      </c>
      <c r="I16" s="808">
        <f>'Table 8'!I18*100/$E16</f>
        <v>2.5654864756489672E-4</v>
      </c>
      <c r="J16" s="808">
        <f>'Table 8'!J18*100/$E16</f>
        <v>0</v>
      </c>
      <c r="K16" s="808">
        <f>'Table 8'!K18*100/$E16</f>
        <v>0</v>
      </c>
      <c r="L16" s="808">
        <f>'Table 8'!L18*100/$E16</f>
        <v>0</v>
      </c>
      <c r="M16" s="808">
        <f>'Table 8'!M18*100/$E16</f>
        <v>1.5425767967279451E-4</v>
      </c>
      <c r="N16" s="808">
        <f>'Table 8'!N18*100/$E16</f>
        <v>6.7450133009368005E-5</v>
      </c>
      <c r="O16" s="808">
        <f>'Table 8'!O18*100/$E16</f>
        <v>3.5892850047305742E-4</v>
      </c>
      <c r="P16" s="808">
        <f>'Table 8'!P18*100/$E16</f>
        <v>6.1960001850830046E-5</v>
      </c>
      <c r="Q16" s="808">
        <f>'Table 8'!Q18*100/$E16</f>
        <v>5.6719968727671942E-5</v>
      </c>
      <c r="R16" s="808">
        <f>'Table 8'!R18*100/$E16</f>
        <v>4.5312186911789793E-5</v>
      </c>
      <c r="S16" s="808">
        <f>'Table 8'!S18*100/$E16</f>
        <v>2.8861173855363468E-4</v>
      </c>
      <c r="T16" s="808">
        <f>'Table 8'!T18*100/$E16</f>
        <v>3.6456206764770522E-4</v>
      </c>
      <c r="U16" s="808">
        <f>'Table 8'!U18*100/$E16</f>
        <v>0</v>
      </c>
      <c r="V16" s="808">
        <f>'Table 8'!V18*100/$E16</f>
        <v>4.3841052753851345E-5</v>
      </c>
      <c r="W16" s="808">
        <f>'Table 8'!W18*100/$E16</f>
        <v>0</v>
      </c>
      <c r="X16" s="808">
        <f t="shared" si="0"/>
        <v>6.1752237482902237E-3</v>
      </c>
    </row>
    <row r="17" spans="1:25">
      <c r="A17" s="411"/>
      <c r="C17" s="2660">
        <f t="shared" si="1"/>
        <v>5</v>
      </c>
      <c r="D17" s="2677" t="str">
        <f>'Table 8'!D19</f>
        <v>Large General Service (7)</v>
      </c>
      <c r="E17" s="2730">
        <f>COS_Unit!E30</f>
        <v>299772792.2890479</v>
      </c>
      <c r="F17" s="2732">
        <f>'Table 8'!F19*100/$E17</f>
        <v>2.2626669846207415E-4</v>
      </c>
      <c r="G17" s="2732">
        <f>'Table 8'!G19*100/$E17</f>
        <v>2.9843588978461307E-3</v>
      </c>
      <c r="H17" s="2732">
        <f>'Table 8'!H19*100/$E17</f>
        <v>2.8194219813819929E-4</v>
      </c>
      <c r="I17" s="2732">
        <f>'Table 8'!I19*100/$E17</f>
        <v>1.4832500194723132E-4</v>
      </c>
      <c r="J17" s="2732">
        <f>'Table 8'!J19*100/$E17</f>
        <v>0</v>
      </c>
      <c r="K17" s="2732">
        <f>'Table 8'!K19*100/$E17</f>
        <v>0</v>
      </c>
      <c r="L17" s="2732">
        <f>'Table 8'!L19*100/$E17</f>
        <v>0</v>
      </c>
      <c r="M17" s="2732">
        <f>'Table 8'!M19*100/$E17</f>
        <v>8.3146304938730848E-5</v>
      </c>
      <c r="N17" s="2732">
        <f>'Table 8'!N19*100/$E17</f>
        <v>5.1956683196859412E-5</v>
      </c>
      <c r="O17" s="2732">
        <f>'Table 8'!O19*100/$E17</f>
        <v>0</v>
      </c>
      <c r="P17" s="2732">
        <f>'Table 8'!P19*100/$E17</f>
        <v>0</v>
      </c>
      <c r="Q17" s="2732">
        <f>'Table 8'!Q19*100/$E17</f>
        <v>0</v>
      </c>
      <c r="R17" s="2732">
        <f>'Table 8'!R19*100/$E17</f>
        <v>9.9575414339864222E-6</v>
      </c>
      <c r="S17" s="2732">
        <f>'Table 8'!S19*100/$E17</f>
        <v>4.2357413102909886E-5</v>
      </c>
      <c r="T17" s="2732">
        <f>'Table 8'!T19*100/$E17</f>
        <v>6.7631221116462559E-5</v>
      </c>
      <c r="U17" s="2732">
        <f>'Table 8'!U19*100/$E17</f>
        <v>0</v>
      </c>
      <c r="V17" s="2732">
        <f>'Table 8'!V19*100/$E17</f>
        <v>1.2289307418025455E-6</v>
      </c>
      <c r="W17" s="2732">
        <f>'Table 8'!W19*100/$E17</f>
        <v>0</v>
      </c>
      <c r="X17" s="2732">
        <f t="shared" si="0"/>
        <v>3.8971708909243874E-3</v>
      </c>
    </row>
    <row r="18" spans="1:25">
      <c r="A18" s="411"/>
      <c r="C18" s="236">
        <f t="shared" si="1"/>
        <v>6</v>
      </c>
      <c r="D18" s="38" t="str">
        <f>'Table 8'!D20</f>
        <v>Industrial (14)</v>
      </c>
      <c r="E18" s="542">
        <f>COS_Unit!E32</f>
        <v>937116705.50784206</v>
      </c>
      <c r="F18" s="808">
        <f>'Table 8'!F20*100/$E18</f>
        <v>2.2395993878506705E-4</v>
      </c>
      <c r="G18" s="808">
        <f>'Table 8'!G20*100/$E18</f>
        <v>2.8724525816037475E-3</v>
      </c>
      <c r="H18" s="808">
        <f>'Table 8'!H20*100/$E18</f>
        <v>1.5476194069276075E-4</v>
      </c>
      <c r="I18" s="808">
        <f>'Table 8'!I20*100/$E18</f>
        <v>1.3553221200039437E-4</v>
      </c>
      <c r="J18" s="808">
        <f>'Table 8'!J20*100/$E18</f>
        <v>2.9697581780828801E-5</v>
      </c>
      <c r="K18" s="808">
        <f>'Table 8'!K20*100/$E18</f>
        <v>0</v>
      </c>
      <c r="L18" s="808">
        <f>'Table 8'!L20*100/$E18</f>
        <v>0</v>
      </c>
      <c r="M18" s="808">
        <f>'Table 8'!M20*100/$E18</f>
        <v>7.1228374873359273E-5</v>
      </c>
      <c r="N18" s="808">
        <f>'Table 8'!N20*100/$E18</f>
        <v>4.450608953491864E-5</v>
      </c>
      <c r="O18" s="808">
        <f>'Table 8'!O20*100/$E18</f>
        <v>0</v>
      </c>
      <c r="P18" s="808">
        <f>'Table 8'!P20*100/$E18</f>
        <v>0</v>
      </c>
      <c r="Q18" s="808">
        <f>'Table 8'!Q20*100/$E18</f>
        <v>0</v>
      </c>
      <c r="R18" s="808">
        <f>'Table 8'!R20*100/$E18</f>
        <v>0</v>
      </c>
      <c r="S18" s="808">
        <f>'Table 8'!S20*100/$E18</f>
        <v>2.2018602249565096E-6</v>
      </c>
      <c r="T18" s="808">
        <f>'Table 8'!T20*100/$E18</f>
        <v>4.6932254799753923E-6</v>
      </c>
      <c r="U18" s="808">
        <f>'Table 8'!U20*100/$E18</f>
        <v>0</v>
      </c>
      <c r="V18" s="808">
        <f>'Table 8'!V20*100/$E18</f>
        <v>3.5747948791336177E-8</v>
      </c>
      <c r="W18" s="808">
        <f>'Table 8'!W20*100/$E18</f>
        <v>0</v>
      </c>
      <c r="X18" s="808">
        <f t="shared" si="0"/>
        <v>3.5390695529248003E-3</v>
      </c>
    </row>
    <row r="19" spans="1:25">
      <c r="A19" s="411"/>
      <c r="C19" s="2660">
        <f t="shared" si="1"/>
        <v>7</v>
      </c>
      <c r="D19" s="2677" t="str">
        <f>'Table 8'!D21</f>
        <v>Large Industrial (15) &amp; (94)</v>
      </c>
      <c r="E19" s="2730">
        <f>COS_Unit!E34+COS_Unit!E40</f>
        <v>2673206552.9506884</v>
      </c>
      <c r="F19" s="2732">
        <f>'Table 8'!F21*100/$E19</f>
        <v>2.2390630433676077E-4</v>
      </c>
      <c r="G19" s="2732">
        <f>'Table 8'!G21*100/$E19</f>
        <v>2.6884534575404252E-3</v>
      </c>
      <c r="H19" s="2732">
        <f>'Table 8'!H21*100/$E19</f>
        <v>1.5365587801159972E-4</v>
      </c>
      <c r="I19" s="2732">
        <f>'Table 8'!I21*100/$E19</f>
        <v>1.1009171725811969E-4</v>
      </c>
      <c r="J19" s="2732">
        <f>'Table 8'!J21*100/$E19</f>
        <v>3.4755301604901402E-5</v>
      </c>
      <c r="K19" s="2732">
        <f>'Table 8'!K21*100/$E19</f>
        <v>0</v>
      </c>
      <c r="L19" s="2732">
        <f>'Table 8'!L21*100/$E19</f>
        <v>0</v>
      </c>
      <c r="M19" s="2732">
        <f>'Table 8'!M21*100/$E19</f>
        <v>5.1461792149264445E-5</v>
      </c>
      <c r="N19" s="2732">
        <f>'Table 8'!N21*100/$E19</f>
        <v>3.2142596652382589E-5</v>
      </c>
      <c r="O19" s="2732">
        <f>'Table 8'!O21*100/$E19</f>
        <v>0</v>
      </c>
      <c r="P19" s="2732">
        <f>'Table 8'!P21*100/$E19</f>
        <v>0</v>
      </c>
      <c r="Q19" s="2732">
        <f>'Table 8'!Q21*100/$E19</f>
        <v>0</v>
      </c>
      <c r="R19" s="2732">
        <f>'Table 8'!R21*100/$E19</f>
        <v>0</v>
      </c>
      <c r="S19" s="2732">
        <f>'Table 8'!S21*100/$E19</f>
        <v>4.1560574463416491E-7</v>
      </c>
      <c r="T19" s="2732">
        <f>'Table 8'!T21*100/$E19</f>
        <v>2.2070498044708457E-6</v>
      </c>
      <c r="U19" s="2732">
        <f>'Table 8'!U21*100/$E19</f>
        <v>0</v>
      </c>
      <c r="V19" s="2732">
        <f>'Table 8'!V21*100/$E19</f>
        <v>6.2471790597574742E-9</v>
      </c>
      <c r="W19" s="2732">
        <f>'Table 8'!W21*100/$E19</f>
        <v>0</v>
      </c>
      <c r="X19" s="2732">
        <f t="shared" si="0"/>
        <v>3.2970959502816189E-3</v>
      </c>
    </row>
    <row r="20" spans="1:25">
      <c r="A20" s="411"/>
      <c r="C20" s="236">
        <f t="shared" si="1"/>
        <v>8</v>
      </c>
      <c r="D20" s="38" t="str">
        <f>'Table 8'!D22</f>
        <v>Agricultural Processing (16)</v>
      </c>
      <c r="E20" s="542">
        <f>COS_Unit!E36</f>
        <v>418929393.88013124</v>
      </c>
      <c r="F20" s="808">
        <f>'Table 8'!F22*100/$E20</f>
        <v>2.2396900616347511E-4</v>
      </c>
      <c r="G20" s="808">
        <f>'Table 8'!G22*100/$E20</f>
        <v>2.8694489275774174E-3</v>
      </c>
      <c r="H20" s="808">
        <f>'Table 8'!H22*100/$E20</f>
        <v>2.5984020598742401E-4</v>
      </c>
      <c r="I20" s="808">
        <f>'Table 8'!I22*100/$E20</f>
        <v>1.3560518987181604E-4</v>
      </c>
      <c r="J20" s="808">
        <f>'Table 8'!J22*100/$E20</f>
        <v>2.3206774559203567E-5</v>
      </c>
      <c r="K20" s="808">
        <f>'Table 8'!K22*100/$E20</f>
        <v>0</v>
      </c>
      <c r="L20" s="808">
        <f>'Table 8'!L22*100/$E20</f>
        <v>0</v>
      </c>
      <c r="M20" s="808">
        <f>'Table 8'!M22*100/$E20</f>
        <v>7.1234438155797658E-5</v>
      </c>
      <c r="N20" s="808">
        <f>'Table 8'!N22*100/$E20</f>
        <v>4.4523731856678938E-5</v>
      </c>
      <c r="O20" s="808">
        <f>'Table 8'!O22*100/$E20</f>
        <v>0</v>
      </c>
      <c r="P20" s="808">
        <f>'Table 8'!P22*100/$E20</f>
        <v>0</v>
      </c>
      <c r="Q20" s="808">
        <f>'Table 8'!Q22*100/$E20</f>
        <v>0</v>
      </c>
      <c r="R20" s="808">
        <f>'Table 8'!R22*100/$E20</f>
        <v>0</v>
      </c>
      <c r="S20" s="808">
        <f>'Table 8'!S22*100/$E20</f>
        <v>4.1675280500836769E-6</v>
      </c>
      <c r="T20" s="808">
        <f>'Table 8'!T22*100/$E20</f>
        <v>8.9621307429057595E-6</v>
      </c>
      <c r="U20" s="808">
        <f>'Table 8'!U22*100/$E20</f>
        <v>0</v>
      </c>
      <c r="V20" s="808">
        <f>'Table 8'!V22*100/$E20</f>
        <v>7.9965742412396566E-8</v>
      </c>
      <c r="W20" s="808">
        <f>'Table 8'!W22*100/$E20</f>
        <v>0</v>
      </c>
      <c r="X20" s="808">
        <f t="shared" si="0"/>
        <v>3.6410378987072143E-3</v>
      </c>
    </row>
    <row r="21" spans="1:25">
      <c r="A21" s="411"/>
      <c r="C21" s="2660">
        <f t="shared" si="1"/>
        <v>9</v>
      </c>
      <c r="D21" s="2677" t="str">
        <f>'Table 8'!D23</f>
        <v>Agricultural Boiler (85)</v>
      </c>
      <c r="E21" s="2730">
        <f>COS_Unit!E38</f>
        <v>0</v>
      </c>
      <c r="F21" s="2732">
        <f>IFERROR('Table 8'!F23*100/$E21,0)</f>
        <v>0</v>
      </c>
      <c r="G21" s="2732">
        <f>IFERROR('Table 8'!G23*100/$E21,0)</f>
        <v>0</v>
      </c>
      <c r="H21" s="2732">
        <f>IFERROR('Table 8'!H23*100/$E21,0)</f>
        <v>0</v>
      </c>
      <c r="I21" s="2732">
        <f>IFERROR('Table 8'!I23*100/$E21,0)</f>
        <v>0</v>
      </c>
      <c r="J21" s="2732">
        <f>IFERROR('Table 8'!J23*100/$E21,0)</f>
        <v>0</v>
      </c>
      <c r="K21" s="2732">
        <f>IFERROR('Table 8'!K23*100/$E21,0)</f>
        <v>0</v>
      </c>
      <c r="L21" s="2732">
        <f>IFERROR('Table 8'!L23*100/$E21,0)</f>
        <v>0</v>
      </c>
      <c r="M21" s="2732">
        <f>IFERROR('Table 8'!M23*100/$E21,0)</f>
        <v>0</v>
      </c>
      <c r="N21" s="2732">
        <f>IFERROR('Table 8'!N23*100/$E21,0)</f>
        <v>0</v>
      </c>
      <c r="O21" s="2732">
        <f>IFERROR('Table 8'!O23*100/$E21,0)</f>
        <v>0</v>
      </c>
      <c r="P21" s="2732">
        <f>IFERROR('Table 8'!P23*100/$E21,0)</f>
        <v>0</v>
      </c>
      <c r="Q21" s="2732">
        <f>IFERROR('Table 8'!Q23*100/$E21,0)</f>
        <v>0</v>
      </c>
      <c r="R21" s="2732">
        <f>IFERROR('Table 8'!R23*100/$E21,0)</f>
        <v>0</v>
      </c>
      <c r="S21" s="2732">
        <f>IFERROR('Table 8'!S23*100/$E21,0)</f>
        <v>0</v>
      </c>
      <c r="T21" s="2732">
        <f>IFERROR('Table 8'!T23*100/$E21,0)</f>
        <v>0</v>
      </c>
      <c r="U21" s="2732">
        <f>IFERROR('Table 8'!U23*100/$E21,0)</f>
        <v>0</v>
      </c>
      <c r="V21" s="2732">
        <f>IFERROR('Table 8'!V23*100/$E21,0)</f>
        <v>0</v>
      </c>
      <c r="W21" s="2732">
        <f>IFERROR('Table 8'!W23*100/$E21,0)</f>
        <v>0</v>
      </c>
      <c r="X21" s="2732">
        <f t="shared" si="0"/>
        <v>0</v>
      </c>
    </row>
    <row r="22" spans="1:25">
      <c r="A22" s="411"/>
      <c r="C22" s="236">
        <f>+MAX(C14:C21)+1</f>
        <v>10</v>
      </c>
      <c r="D22" s="38" t="str">
        <f>'Table 8'!D24</f>
        <v>Street Lights (6)</v>
      </c>
      <c r="E22" s="542">
        <f>COS_Unit!E42</f>
        <v>4515848</v>
      </c>
      <c r="F22" s="808">
        <f>'Table 8'!F24*100/$E22</f>
        <v>2.2514043873930211E-4</v>
      </c>
      <c r="G22" s="808">
        <f>'Table 8'!G24*100/$E22</f>
        <v>3.5141351081790177E-3</v>
      </c>
      <c r="H22" s="808">
        <f>'Table 8'!H24*100/$E22</f>
        <v>0</v>
      </c>
      <c r="I22" s="808">
        <f>'Table 8'!I24*100/$E22</f>
        <v>2.0851011814392335E-4</v>
      </c>
      <c r="J22" s="808">
        <f>'Table 8'!J24*100/$E22</f>
        <v>0</v>
      </c>
      <c r="K22" s="808">
        <f>'Table 8'!K24*100/$E22</f>
        <v>0</v>
      </c>
      <c r="L22" s="808">
        <f>'Table 8'!L24*100/$E22</f>
        <v>0</v>
      </c>
      <c r="M22" s="808">
        <f>'Table 8'!M24*100/$E22</f>
        <v>8.7602594241435944E-5</v>
      </c>
      <c r="N22" s="808">
        <f>'Table 8'!N24*100/$E22</f>
        <v>5.2415404592891524E-5</v>
      </c>
      <c r="O22" s="808">
        <f>'Table 8'!O24*100/$E22</f>
        <v>0</v>
      </c>
      <c r="P22" s="808">
        <f>'Table 8'!P24*100/$E22</f>
        <v>1.007784141538865E-4</v>
      </c>
      <c r="Q22" s="808">
        <f>'Table 8'!Q24*100/$E22</f>
        <v>2.0950660872553727E-4</v>
      </c>
      <c r="R22" s="808">
        <f>'Table 8'!R24*100/$E22</f>
        <v>3.7667343985005692E-5</v>
      </c>
      <c r="S22" s="808">
        <f>'Table 8'!S24*100/$E22</f>
        <v>0</v>
      </c>
      <c r="T22" s="808">
        <f>'Table 8'!T24*100/$E22</f>
        <v>2.3754121042160854E-4</v>
      </c>
      <c r="U22" s="808">
        <f>'Table 8'!U24*100/$E22</f>
        <v>1.1326599123796905E-2</v>
      </c>
      <c r="V22" s="808">
        <f>'Table 8'!V24*100/$E22</f>
        <v>4.4509912645421188E-5</v>
      </c>
      <c r="W22" s="808">
        <f>'Table 8'!W24*100/$E22</f>
        <v>0</v>
      </c>
      <c r="X22" s="808">
        <f t="shared" si="0"/>
        <v>1.6044406277624934E-2</v>
      </c>
    </row>
    <row r="23" spans="1:25">
      <c r="A23" s="411"/>
      <c r="C23" s="2660">
        <f>+MAX(C15:C22)+1</f>
        <v>11</v>
      </c>
      <c r="D23" s="2677" t="str">
        <f>'Table 8'!D25</f>
        <v>Street Lights (2)</v>
      </c>
      <c r="E23" s="2730">
        <f>COS_Unit!E44</f>
        <v>431238</v>
      </c>
      <c r="F23" s="2732">
        <f>'Table 8'!F25*100/$E23</f>
        <v>3.3670502135711602E-4</v>
      </c>
      <c r="G23" s="2732">
        <f>'Table 8'!G25*100/$E23</f>
        <v>4.6000120583065502E-3</v>
      </c>
      <c r="H23" s="2732">
        <f>'Table 8'!H25*100/$E23</f>
        <v>0</v>
      </c>
      <c r="I23" s="2732">
        <f>'Table 8'!I25*100/$E23</f>
        <v>2.425574740630464E-4</v>
      </c>
      <c r="J23" s="2732">
        <f>'Table 8'!J25*100/$E23</f>
        <v>0</v>
      </c>
      <c r="K23" s="2732">
        <f>'Table 8'!K25*100/$E23</f>
        <v>0</v>
      </c>
      <c r="L23" s="2732">
        <f>'Table 8'!L25*100/$E23</f>
        <v>0</v>
      </c>
      <c r="M23" s="2732">
        <f>'Table 8'!M25*100/$E23</f>
        <v>1.3101813847573728E-4</v>
      </c>
      <c r="N23" s="2732">
        <f>'Table 8'!N25*100/$E23</f>
        <v>5.4958051006636704E-5</v>
      </c>
      <c r="O23" s="2732">
        <f>'Table 8'!O25*100/$E23</f>
        <v>0</v>
      </c>
      <c r="P23" s="2732">
        <f>'Table 8'!P25*100/$E23</f>
        <v>6.7549705730942072E-4</v>
      </c>
      <c r="Q23" s="2732">
        <f>'Table 8'!Q25*100/$E23</f>
        <v>1.4258947495350595E-3</v>
      </c>
      <c r="R23" s="2732">
        <f>'Table 8'!R25*100/$E23</f>
        <v>2.5113742295437787E-4</v>
      </c>
      <c r="S23" s="2732">
        <f>'Table 8'!S25*100/$E23</f>
        <v>0</v>
      </c>
      <c r="T23" s="2732">
        <f>'Table 8'!T25*100/$E23</f>
        <v>1.7412658439191354E-3</v>
      </c>
      <c r="U23" s="2732">
        <f>'Table 8'!U25*100/$E23</f>
        <v>4.071533584702647E-3</v>
      </c>
      <c r="V23" s="2732">
        <f>'Table 8'!V25*100/$E23</f>
        <v>3.1073328417254508E-4</v>
      </c>
      <c r="W23" s="2732">
        <f>'Table 8'!W25*100/$E23</f>
        <v>0</v>
      </c>
      <c r="X23" s="2732">
        <f t="shared" si="0"/>
        <v>1.3841312685802272E-2</v>
      </c>
    </row>
    <row r="24" spans="1:25">
      <c r="A24" s="411"/>
      <c r="C24" s="236">
        <f>+MAX(C17:C23)+1</f>
        <v>12</v>
      </c>
      <c r="D24" s="38" t="str">
        <f>'Table 8'!D26</f>
        <v>Alternate Power Sales</v>
      </c>
      <c r="E24" s="176">
        <f>COS_Unit!E48</f>
        <v>0</v>
      </c>
      <c r="F24" s="809">
        <f>IF(ISERROR('Table 8'!F26*100/$E24),0,'Table 8'!F26*100/$E24)</f>
        <v>0</v>
      </c>
      <c r="G24" s="809">
        <f>IF(ISERROR('Table 8'!G26*100/$E24),0,'Table 8'!G26*100/$E24)</f>
        <v>0</v>
      </c>
      <c r="H24" s="809">
        <f>IF(ISERROR('Table 8'!H26*100/$E24),0,'Table 8'!H26*100/$E24)</f>
        <v>0</v>
      </c>
      <c r="I24" s="809">
        <f>IF(ISERROR('Table 8'!I26*100/$E24),0,'Table 8'!I26*100/$E24)</f>
        <v>0</v>
      </c>
      <c r="J24" s="809">
        <f>IF(ISERROR('Table 8'!J26*100/$E24),0,'Table 8'!J26*100/$E24)</f>
        <v>0</v>
      </c>
      <c r="K24" s="809">
        <f>IF(ISERROR('Table 8'!K26*100/$E24),0,'Table 8'!K26*100/$E24)</f>
        <v>0</v>
      </c>
      <c r="L24" s="809">
        <f>IF(ISERROR('Table 8'!L26*100/$E24),0,'Table 8'!L26*100/$E24)</f>
        <v>0</v>
      </c>
      <c r="M24" s="809">
        <f>IF(ISERROR('Table 8'!M26*100/$E24),0,'Table 8'!M26*100/$E24)</f>
        <v>0</v>
      </c>
      <c r="N24" s="809">
        <f>IF(ISERROR('Table 8'!N26*100/$E24),0,'Table 8'!N26*100/$E24)</f>
        <v>0</v>
      </c>
      <c r="O24" s="809">
        <f>IF(ISERROR('Table 8'!O26*100/$E24),0,'Table 8'!O26*100/$E24)</f>
        <v>0</v>
      </c>
      <c r="P24" s="809">
        <f>IF(ISERROR('Table 8'!P26*100/$E24),0,'Table 8'!P26*100/$E24)</f>
        <v>0</v>
      </c>
      <c r="Q24" s="809">
        <f>IF(ISERROR('Table 8'!Q26*100/$E24),0,'Table 8'!Q26*100/$E24)</f>
        <v>0</v>
      </c>
      <c r="R24" s="809">
        <f>IF(ISERROR('Table 8'!R26*100/$E24),0,'Table 8'!R26*100/$E24)</f>
        <v>0</v>
      </c>
      <c r="S24" s="809">
        <f>IF(ISERROR('Table 8'!S26*100/$E24),0,'Table 8'!S26*100/$E24)</f>
        <v>0</v>
      </c>
      <c r="T24" s="809">
        <f>IF(ISERROR('Table 8'!T26*100/$E24),0,'Table 8'!T26*100/$E24)</f>
        <v>0</v>
      </c>
      <c r="U24" s="809">
        <f>IF(ISERROR('Table 8'!U26*100/$E24),0,'Table 8'!U26*100/$E24)</f>
        <v>0</v>
      </c>
      <c r="V24" s="809">
        <f>IF(ISERROR('Table 8'!V26*100/$E24),0,'Table 8'!V26*100/$E24)</f>
        <v>0</v>
      </c>
      <c r="W24" s="809">
        <f>IF(ISERROR('Table 8'!W26*100/$E24),0,'Table 8'!W26*100/$E24)</f>
        <v>0</v>
      </c>
      <c r="X24" s="809">
        <f t="shared" si="0"/>
        <v>0</v>
      </c>
    </row>
    <row r="25" spans="1:25">
      <c r="A25" s="411"/>
      <c r="C25" s="2660"/>
      <c r="D25" s="2733"/>
      <c r="E25" s="2734"/>
      <c r="F25" s="2735"/>
      <c r="G25" s="2735"/>
      <c r="H25" s="2735"/>
      <c r="I25" s="2735"/>
      <c r="J25" s="2735"/>
      <c r="K25" s="2735"/>
      <c r="L25" s="2735"/>
      <c r="M25" s="2735"/>
      <c r="N25" s="2735"/>
      <c r="O25" s="2735"/>
      <c r="P25" s="2735"/>
      <c r="Q25" s="2735"/>
      <c r="R25" s="2735"/>
      <c r="S25" s="2735"/>
      <c r="T25" s="2735"/>
      <c r="U25" s="2735"/>
      <c r="V25" s="2735"/>
      <c r="W25" s="2735"/>
      <c r="X25" s="2735"/>
      <c r="Y25" s="2684"/>
    </row>
    <row r="26" spans="1:25" ht="16.5" thickBot="1">
      <c r="A26" s="411"/>
      <c r="C26" s="236">
        <f>+MAX(C13:C24)+1</f>
        <v>13</v>
      </c>
      <c r="D26" s="251" t="s">
        <v>602</v>
      </c>
      <c r="E26" s="505">
        <f>SUM(E13:E24)</f>
        <v>6439426471.5334721</v>
      </c>
      <c r="F26" s="810">
        <f>'Table 8'!F28*100/$E26</f>
        <v>2.2555320825864175E-4</v>
      </c>
      <c r="G26" s="810">
        <f>'Table 8'!G28/$E26</f>
        <v>3.0804879732210316E-5</v>
      </c>
      <c r="H26" s="810">
        <f>'Table 8'!H28/$E26</f>
        <v>2.5535364170536482E-6</v>
      </c>
      <c r="I26" s="810">
        <f>'Table 8'!I28/$E26</f>
        <v>1.6246887896382154E-6</v>
      </c>
      <c r="J26" s="810">
        <f>'Table 8'!J28/$E26</f>
        <v>2.0541006343457939E-7</v>
      </c>
      <c r="K26" s="810">
        <f>'Table 8'!K28/$E26</f>
        <v>0</v>
      </c>
      <c r="L26" s="810">
        <f>'Table 8'!L28/$E26</f>
        <v>0</v>
      </c>
      <c r="M26" s="810">
        <f>'Table 8'!M28/$E26</f>
        <v>8.7770689283979981E-7</v>
      </c>
      <c r="N26" s="810">
        <f>'Table 8'!N28/$E26</f>
        <v>3.6758661822817843E-7</v>
      </c>
      <c r="O26" s="810">
        <f>'Table 8'!O28/$E26</f>
        <v>2.247488198518639E-6</v>
      </c>
      <c r="P26" s="810">
        <f>'Table 8'!P28/$E26</f>
        <v>2.8268588950383787E-7</v>
      </c>
      <c r="Q26" s="810">
        <f>'Table 8'!Q28/$E26</f>
        <v>7.3458483001725073E-7</v>
      </c>
      <c r="R26" s="810">
        <f>'Table 8'!R28/$E26</f>
        <v>2.4018303599508078E-7</v>
      </c>
      <c r="S26" s="810">
        <f>'Table 8'!S28/$E26</f>
        <v>8.2160671037836833E-7</v>
      </c>
      <c r="T26" s="810">
        <f>'Table 8'!T28/$E26</f>
        <v>1.6658328264823703E-6</v>
      </c>
      <c r="U26" s="810">
        <f>'Table 8'!U28/$E26</f>
        <v>8.215793787517433E-8</v>
      </c>
      <c r="V26" s="810">
        <f>'Table 8'!V28/$E26</f>
        <v>2.6007937312485148E-7</v>
      </c>
      <c r="W26" s="810">
        <f>'Table 8'!W28/$E26</f>
        <v>0</v>
      </c>
      <c r="X26" s="810">
        <f>SUM(F26:W26)</f>
        <v>2.6832163557394208E-4</v>
      </c>
    </row>
    <row r="27" spans="1:25" ht="16.5" thickTop="1">
      <c r="A27" s="411"/>
      <c r="C27" s="2660"/>
      <c r="D27" s="2736"/>
      <c r="E27" s="2726"/>
      <c r="F27" s="2737"/>
      <c r="G27" s="2737"/>
      <c r="H27" s="2737"/>
      <c r="I27" s="2737"/>
      <c r="J27" s="2737"/>
      <c r="K27" s="2737"/>
      <c r="L27" s="2737"/>
      <c r="M27" s="2737"/>
      <c r="N27" s="2737"/>
      <c r="O27" s="2737"/>
      <c r="P27" s="2737"/>
      <c r="Q27" s="2737"/>
      <c r="R27" s="2737"/>
      <c r="S27" s="2737"/>
      <c r="T27" s="2737"/>
      <c r="U27" s="2737"/>
      <c r="V27" s="2737"/>
      <c r="W27" s="2737"/>
      <c r="X27" s="2737"/>
    </row>
    <row r="28" spans="1:25" ht="18">
      <c r="A28" s="411"/>
      <c r="C28" s="236"/>
      <c r="D28" s="541" t="s">
        <v>607</v>
      </c>
      <c r="E28" s="802" t="s">
        <v>403</v>
      </c>
      <c r="F28" s="573"/>
      <c r="G28" s="453"/>
      <c r="H28" s="453"/>
      <c r="I28" s="453"/>
      <c r="J28" s="453"/>
      <c r="K28" s="453"/>
      <c r="L28" s="453"/>
      <c r="M28" s="453"/>
      <c r="N28" s="453"/>
      <c r="O28" s="453"/>
      <c r="P28" s="453"/>
      <c r="Q28" s="453"/>
      <c r="R28" s="453"/>
      <c r="S28" s="453"/>
      <c r="T28" s="453"/>
      <c r="U28" s="453"/>
      <c r="V28" s="453"/>
      <c r="W28" s="453"/>
      <c r="X28" s="453"/>
    </row>
    <row r="29" spans="1:25">
      <c r="A29" s="411"/>
      <c r="C29" s="2660">
        <f>+MAX(C4:C28)+1</f>
        <v>14</v>
      </c>
      <c r="D29" s="2677" t="str">
        <f t="shared" ref="D29:D40" si="2">D13</f>
        <v>Residential-Urban (1)</v>
      </c>
      <c r="E29" s="2726">
        <f>COS_Unit!E57</f>
        <v>0</v>
      </c>
      <c r="F29" s="2726"/>
      <c r="G29" s="2738">
        <f>IF(ISERROR('Table 8'!G15*100/$E29),0,'Table 8'!G15*100/$E29)</f>
        <v>0</v>
      </c>
      <c r="H29" s="2738">
        <f>IF(ISERROR('Table 8'!H15*100/$E29),0,'Table 8'!H15*100/$E29)</f>
        <v>0</v>
      </c>
      <c r="I29" s="2738">
        <f>IF(ISERROR('Table 8'!I15*100/$E29),0,'Table 8'!I15*100/$E29)</f>
        <v>0</v>
      </c>
      <c r="J29" s="2738">
        <f>IF(ISERROR('Table 8'!J15*100/$E29),0,'Table 8'!J15*100/$E29)</f>
        <v>0</v>
      </c>
      <c r="K29" s="2738">
        <f>IF(ISERROR('Table 8'!K15*100/$E29),0,'Table 8'!K15*100/$E29)</f>
        <v>0</v>
      </c>
      <c r="L29" s="2738">
        <f>IF(ISERROR('Table 8'!L15*100/$E29),0,'Table 8'!L15*100/$E29)</f>
        <v>0</v>
      </c>
      <c r="M29" s="2738">
        <f>IF(ISERROR('Table 8'!M15*100/$E29),0,'Table 8'!M15*100/$E29)</f>
        <v>0</v>
      </c>
      <c r="N29" s="2738">
        <f>IF(ISERROR('Table 8'!N15*100/$E29),0,'Table 8'!N15*100/$E29)</f>
        <v>0</v>
      </c>
      <c r="O29" s="2738">
        <f>IF(ISERROR('Table 8'!O15*100/$E29),0,'Table 8'!O15*100/$E29)</f>
        <v>0</v>
      </c>
      <c r="P29" s="2737"/>
      <c r="Q29" s="2737"/>
      <c r="R29" s="2739"/>
      <c r="S29" s="2739"/>
      <c r="T29" s="2739"/>
      <c r="U29" s="2740"/>
      <c r="V29" s="2740"/>
      <c r="W29" s="2740"/>
      <c r="X29" s="2738">
        <f t="shared" ref="X29:X40" si="3">SUM(G29:O29)</f>
        <v>0</v>
      </c>
    </row>
    <row r="30" spans="1:25">
      <c r="A30" s="411"/>
      <c r="C30" s="236">
        <f>+MAX(C5:C29)+1</f>
        <v>15</v>
      </c>
      <c r="D30" s="38" t="str">
        <f t="shared" si="2"/>
        <v>Residential-Rural (1)</v>
      </c>
      <c r="E30" s="270">
        <f>COS_Unit!E59</f>
        <v>0</v>
      </c>
      <c r="F30" s="270"/>
      <c r="G30" s="803">
        <f>IF(ISERROR('Table 8'!G16*100/$E30),0,'Table 8'!G16*100/$E30)</f>
        <v>0</v>
      </c>
      <c r="H30" s="803">
        <f>IF(ISERROR('Table 8'!H16*100/$E30),0,'Table 8'!H16*100/$E30)</f>
        <v>0</v>
      </c>
      <c r="I30" s="803">
        <f>IF(ISERROR('Table 8'!I16*100/$E30),0,'Table 8'!I16*100/$E30)</f>
        <v>0</v>
      </c>
      <c r="J30" s="803">
        <f>IF(ISERROR('Table 8'!J16*100/$E30),0,'Table 8'!J16*100/$E30)</f>
        <v>0</v>
      </c>
      <c r="K30" s="803">
        <f>IF(ISERROR('Table 8'!K16*100/$E30),0,'Table 8'!K16*100/$E30)</f>
        <v>0</v>
      </c>
      <c r="L30" s="803">
        <f>IF(ISERROR('Table 8'!L16*100/$E30),0,'Table 8'!L16*100/$E30)</f>
        <v>0</v>
      </c>
      <c r="M30" s="803">
        <f>IF(ISERROR('Table 8'!M16*100/$E30),0,'Table 8'!M16*100/$E30)</f>
        <v>0</v>
      </c>
      <c r="N30" s="803">
        <f>IF(ISERROR('Table 8'!N16*100/$E30),0,'Table 8'!N16*100/$E30)</f>
        <v>0</v>
      </c>
      <c r="O30" s="803">
        <f>IF(ISERROR('Table 8'!O16*100/$E30),0,'Table 8'!O16*100/$E30)</f>
        <v>0</v>
      </c>
      <c r="P30" s="453"/>
      <c r="Q30" s="453"/>
      <c r="R30" s="544"/>
      <c r="S30" s="544"/>
      <c r="T30" s="544"/>
      <c r="U30" s="544"/>
      <c r="V30" s="544"/>
      <c r="W30" s="543"/>
      <c r="X30" s="803">
        <f t="shared" si="3"/>
        <v>0</v>
      </c>
    </row>
    <row r="31" spans="1:25">
      <c r="A31" s="411"/>
      <c r="C31" s="2660">
        <f>+MAX(C6:C30)+1</f>
        <v>16</v>
      </c>
      <c r="D31" s="2677" t="str">
        <f t="shared" si="2"/>
        <v>Irrigation (3)</v>
      </c>
      <c r="E31" s="2726">
        <f>COS_Unit!E64</f>
        <v>409016.85529651248</v>
      </c>
      <c r="F31" s="2726"/>
      <c r="G31" s="2741">
        <f>IF(ISERROR('Table 8'!G17*100/$E31),0,'Table 8'!G17*100/$E31)</f>
        <v>5.9410277804771914</v>
      </c>
      <c r="H31" s="2741">
        <f>IF(ISERROR('Table 8'!H17*100/$E31),0,'Table 8'!H17*100/$E31)</f>
        <v>0.46553949436133074</v>
      </c>
      <c r="I31" s="2741">
        <f>IF(ISERROR('Table 8'!I17*100/$E31),0,'Table 8'!I17*100/$E31)</f>
        <v>0.40286237074642384</v>
      </c>
      <c r="J31" s="2741">
        <f>IF(ISERROR('Table 8'!J17*100/$E31),0,'Table 8'!J17*100/$E31)</f>
        <v>0</v>
      </c>
      <c r="K31" s="2741">
        <f>IF(ISERROR('Table 8'!K17*100/$E31),0,'Table 8'!K17*100/$E31)</f>
        <v>0</v>
      </c>
      <c r="L31" s="2741">
        <f>IF(ISERROR('Table 8'!L17*100/$E31),0,'Table 8'!L17*100/$E31)</f>
        <v>0</v>
      </c>
      <c r="M31" s="2741">
        <f>IF(ISERROR('Table 8'!M17*100/$E31),0,'Table 8'!M17*100/$E31)</f>
        <v>0.2420971134018797</v>
      </c>
      <c r="N31" s="2741">
        <f>IF(ISERROR('Table 8'!N17*100/$E31),0,'Table 8'!N17*100/$E31)</f>
        <v>7.5811056680099584E-3</v>
      </c>
      <c r="O31" s="2741">
        <f>IF(ISERROR('Table 8'!O17*100/$E31),0,'Table 8'!O17*100/$E31)</f>
        <v>1.7868774612483109</v>
      </c>
      <c r="P31" s="2737"/>
      <c r="Q31" s="2737"/>
      <c r="R31" s="2742"/>
      <c r="S31" s="2742"/>
      <c r="T31" s="2742"/>
      <c r="U31" s="2740"/>
      <c r="V31" s="2740"/>
      <c r="W31" s="2740"/>
      <c r="X31" s="2741">
        <f t="shared" si="3"/>
        <v>8.8459853259031469</v>
      </c>
    </row>
    <row r="32" spans="1:25">
      <c r="A32" s="411"/>
      <c r="C32" s="236">
        <f>+MAX(C7:C31)+1</f>
        <v>17</v>
      </c>
      <c r="D32" s="38" t="str">
        <f t="shared" si="2"/>
        <v>General Service (2) &amp; (PA)</v>
      </c>
      <c r="E32" s="270">
        <f>COS_Unit!E69+COS_Unit!E87</f>
        <v>1461562</v>
      </c>
      <c r="F32" s="270"/>
      <c r="G32" s="803">
        <f>IF(ISERROR('Table 8'!G18*100/$E32),0,'Table 8'!G18*100/$E32)</f>
        <v>1.4847959922329672</v>
      </c>
      <c r="H32" s="803">
        <f>IF(ISERROR('Table 8'!H18*100/$E32),0,'Table 8'!H18*100/$E32)</f>
        <v>0.18304574147384786</v>
      </c>
      <c r="I32" s="803">
        <f>IF(ISERROR('Table 8'!I18*100/$E32),0,'Table 8'!I18*100/$E32)</f>
        <v>0.10071498848492229</v>
      </c>
      <c r="J32" s="803">
        <f>IF(ISERROR('Table 8'!J18*100/$E32),0,'Table 8'!J18*100/$E32)</f>
        <v>0</v>
      </c>
      <c r="K32" s="803">
        <f>IF(ISERROR('Table 8'!K18*100/$E32),0,'Table 8'!K18*100/$E32)</f>
        <v>0</v>
      </c>
      <c r="L32" s="803">
        <f>IF(ISERROR('Table 8'!L18*100/$E32),0,'Table 8'!L18*100/$E32)</f>
        <v>0</v>
      </c>
      <c r="M32" s="803">
        <f>IF(ISERROR('Table 8'!M18*100/$E32),0,'Table 8'!M18*100/$E32)</f>
        <v>6.0557951014052085E-2</v>
      </c>
      <c r="N32" s="803">
        <f>IF(ISERROR('Table 8'!N18*100/$E32),0,'Table 8'!N18*100/$E32)</f>
        <v>2.6479341964282047E-2</v>
      </c>
      <c r="O32" s="803">
        <f>IF(ISERROR('Table 8'!O18*100/$E32),0,'Table 8'!O18*100/$E32)</f>
        <v>0.14090692013065476</v>
      </c>
      <c r="P32" s="453"/>
      <c r="Q32" s="453"/>
      <c r="R32" s="545"/>
      <c r="S32" s="545"/>
      <c r="T32" s="545"/>
      <c r="U32" s="543"/>
      <c r="V32" s="543"/>
      <c r="W32" s="543"/>
      <c r="X32" s="803">
        <f t="shared" si="3"/>
        <v>1.9965009353007264</v>
      </c>
    </row>
    <row r="33" spans="1:24">
      <c r="A33" s="411"/>
      <c r="C33" s="2660">
        <f>+MAX(C7:C32)+1</f>
        <v>18</v>
      </c>
      <c r="D33" s="2677" t="str">
        <f t="shared" si="2"/>
        <v>Large General Service (7)</v>
      </c>
      <c r="E33" s="2726">
        <f>COS_Unit!E71</f>
        <v>747039.01136328001</v>
      </c>
      <c r="F33" s="2726"/>
      <c r="G33" s="2741">
        <f>IF(ISERROR('Table 8'!G19*100/$E33),0,'Table 8'!G19*100/$E33)</f>
        <v>1.1975674447943223</v>
      </c>
      <c r="H33" s="2741">
        <f>IF(ISERROR('Table 8'!H19*100/$E33),0,'Table 8'!H19*100/$E33)</f>
        <v>0.11313813430674932</v>
      </c>
      <c r="I33" s="2741">
        <f>IF(ISERROR('Table 8'!I19*100/$E33),0,'Table 8'!I19*100/$E33)</f>
        <v>5.9520050925931565E-2</v>
      </c>
      <c r="J33" s="2741">
        <f>IF(ISERROR('Table 8'!J19*100/$E33),0,'Table 8'!J19*100/$E33)</f>
        <v>0</v>
      </c>
      <c r="K33" s="2741">
        <f>IF(ISERROR('Table 8'!K19*100/$E33),0,'Table 8'!K19*100/$E33)</f>
        <v>0</v>
      </c>
      <c r="L33" s="2741">
        <f>IF(ISERROR('Table 8'!L19*100/$E33),0,'Table 8'!L19*100/$E33)</f>
        <v>0</v>
      </c>
      <c r="M33" s="2741">
        <f>IF(ISERROR('Table 8'!M19*100/$E33),0,'Table 8'!M19*100/$E33)</f>
        <v>3.3365058077106421E-2</v>
      </c>
      <c r="N33" s="2741">
        <f>IF(ISERROR('Table 8'!N19*100/$E33),0,'Table 8'!N19*100/$E33)</f>
        <v>2.0849245840021985E-2</v>
      </c>
      <c r="O33" s="2741">
        <f>IF(ISERROR('Table 8'!O19*100/$E33),0,'Table 8'!O19*100/$E33)</f>
        <v>0</v>
      </c>
      <c r="P33" s="2737"/>
      <c r="Q33" s="2737"/>
      <c r="R33" s="2742"/>
      <c r="S33" s="2742"/>
      <c r="T33" s="2742"/>
      <c r="U33" s="2743"/>
      <c r="V33" s="2743"/>
      <c r="W33" s="2743"/>
      <c r="X33" s="2741">
        <f t="shared" si="3"/>
        <v>1.4244399339441314</v>
      </c>
    </row>
    <row r="34" spans="1:24">
      <c r="A34" s="411"/>
      <c r="C34" s="236">
        <f>+MAX(C8:C33)+1</f>
        <v>19</v>
      </c>
      <c r="D34" s="38" t="str">
        <f t="shared" si="2"/>
        <v>Industrial (14)</v>
      </c>
      <c r="E34" s="270">
        <f>COS_Unit!E73</f>
        <v>1585555.6584887304</v>
      </c>
      <c r="F34" s="270"/>
      <c r="G34" s="803">
        <f>IF(ISERROR('Table 8'!G20*100/$E34),0,'Table 8'!G20*100/$E34)</f>
        <v>1.6977160565689042</v>
      </c>
      <c r="H34" s="803">
        <f>IF(ISERROR('Table 8'!H20*100/$E34),0,'Table 8'!H20*100/$E34)</f>
        <v>9.1469510529977288E-2</v>
      </c>
      <c r="I34" s="803">
        <f>IF(ISERROR('Table 8'!I20*100/$E34),0,'Table 8'!I20*100/$E34)</f>
        <v>8.0104094309157756E-2</v>
      </c>
      <c r="J34" s="803">
        <f>IF(ISERROR('Table 8'!J20*100/$E34),0,'Table 8'!J20*100/$E34)</f>
        <v>1.7552269358066062E-2</v>
      </c>
      <c r="K34" s="803">
        <f>IF(ISERROR('Table 8'!K20*100/$E34),0,'Table 8'!K20*100/$E34)</f>
        <v>0</v>
      </c>
      <c r="L34" s="803">
        <f>IF(ISERROR('Table 8'!L20*100/$E34),0,'Table 8'!L20*100/$E34)</f>
        <v>0</v>
      </c>
      <c r="M34" s="803">
        <f>IF(ISERROR('Table 8'!M20*100/$E34),0,'Table 8'!M20*100/$E34)</f>
        <v>4.2098364470927484E-2</v>
      </c>
      <c r="N34" s="803">
        <f>IF(ISERROR('Table 8'!N20*100/$E34),0,'Table 8'!N20*100/$E34)</f>
        <v>2.6304595349086222E-2</v>
      </c>
      <c r="O34" s="803">
        <f>IF(ISERROR('Table 8'!O20*100/$E34),0,'Table 8'!O20*100/$E34)</f>
        <v>0</v>
      </c>
      <c r="P34" s="453"/>
      <c r="Q34" s="453"/>
      <c r="R34" s="545"/>
      <c r="S34" s="545"/>
      <c r="T34" s="545"/>
      <c r="U34" s="546"/>
      <c r="V34" s="546"/>
      <c r="W34" s="546"/>
      <c r="X34" s="803">
        <f t="shared" si="3"/>
        <v>1.9552448905861188</v>
      </c>
    </row>
    <row r="35" spans="1:24">
      <c r="A35" s="411"/>
      <c r="C35" s="2660">
        <f>+MAX(C10:C34)+1</f>
        <v>20</v>
      </c>
      <c r="D35" s="2677" t="str">
        <f t="shared" si="2"/>
        <v>Large Industrial (15) &amp; (94)</v>
      </c>
      <c r="E35" s="2726">
        <f>COS_Unit!E75+COS_Unit!E81</f>
        <v>4199125.9893269576</v>
      </c>
      <c r="F35" s="2726"/>
      <c r="G35" s="2741">
        <f>IF(ISERROR('Table 8'!G21*100/$E35),0,'Table 8'!G21*100/$E35)</f>
        <v>1.7114969682421723</v>
      </c>
      <c r="H35" s="2741">
        <f>IF(ISERROR('Table 8'!H21*100/$E35),0,'Table 8'!H21*100/$E35)</f>
        <v>9.7818903515642361E-2</v>
      </c>
      <c r="I35" s="2741">
        <f>IF(ISERROR('Table 8'!I21*100/$E35),0,'Table 8'!I21*100/$E35)</f>
        <v>7.0085513211088593E-2</v>
      </c>
      <c r="J35" s="2741">
        <f>IF(ISERROR('Table 8'!J21*100/$E35),0,'Table 8'!J21*100/$E35)</f>
        <v>2.2125580474638595E-2</v>
      </c>
      <c r="K35" s="2741">
        <f>IF(ISERROR('Table 8'!K21*100/$E35),0,'Table 8'!K21*100/$E35)</f>
        <v>0</v>
      </c>
      <c r="L35" s="2741">
        <f>IF(ISERROR('Table 8'!L21*100/$E35),0,'Table 8'!L21*100/$E35)</f>
        <v>0</v>
      </c>
      <c r="M35" s="2741">
        <f>IF(ISERROR('Table 8'!M21*100/$E35),0,'Table 8'!M21*100/$E35)</f>
        <v>3.2761103227114556E-2</v>
      </c>
      <c r="N35" s="2741">
        <f>IF(ISERROR('Table 8'!N21*100/$E35),0,'Table 8'!N21*100/$E35)</f>
        <v>2.0462305779439593E-2</v>
      </c>
      <c r="O35" s="2741">
        <f>IF(ISERROR('Table 8'!O21*100/$E35),0,'Table 8'!O21*100/$E35)</f>
        <v>0</v>
      </c>
      <c r="P35" s="2737"/>
      <c r="Q35" s="2737"/>
      <c r="R35" s="2742"/>
      <c r="S35" s="2742"/>
      <c r="T35" s="2742"/>
      <c r="U35" s="2740"/>
      <c r="V35" s="2740"/>
      <c r="W35" s="2740"/>
      <c r="X35" s="2741">
        <f t="shared" si="3"/>
        <v>1.9547503744500958</v>
      </c>
    </row>
    <row r="36" spans="1:24">
      <c r="A36" s="411"/>
      <c r="C36" s="236">
        <f>+MAX(C11:C35)+1</f>
        <v>21</v>
      </c>
      <c r="D36" s="38" t="str">
        <f t="shared" si="2"/>
        <v>Agricultural Processing (16)</v>
      </c>
      <c r="E36" s="270">
        <f>COS_Unit!E77</f>
        <v>813612.58963019704</v>
      </c>
      <c r="F36" s="270"/>
      <c r="G36" s="803">
        <f>IF(ISERROR('Table 8'!G22*100/$E36),0,'Table 8'!G22*100/$E36)</f>
        <v>1.477480210263679</v>
      </c>
      <c r="H36" s="803">
        <f>IF(ISERROR('Table 8'!H22*100/$E36),0,'Table 8'!H22*100/$E36)</f>
        <v>0.13379180876426286</v>
      </c>
      <c r="I36" s="803">
        <f>IF(ISERROR('Table 8'!I22*100/$E36),0,'Table 8'!I22*100/$E36)</f>
        <v>6.982315751262011E-2</v>
      </c>
      <c r="J36" s="803">
        <f>IF(ISERROR('Table 8'!J22*100/$E36),0,'Table 8'!J22*100/$E36)</f>
        <v>1.1949175963979172E-2</v>
      </c>
      <c r="K36" s="803">
        <f>IF(ISERROR('Table 8'!K22*100/$E36),0,'Table 8'!K22*100/$E36)</f>
        <v>0</v>
      </c>
      <c r="L36" s="803">
        <f>IF(ISERROR('Table 8'!L22*100/$E36),0,'Table 8'!L22*100/$E36)</f>
        <v>0</v>
      </c>
      <c r="M36" s="803">
        <f>IF(ISERROR('Table 8'!M22*100/$E36),0,'Table 8'!M22*100/$E36)</f>
        <v>3.6678635975340393E-2</v>
      </c>
      <c r="N36" s="803">
        <f>IF(ISERROR('Table 8'!N22*100/$E36),0,'Table 8'!N22*100/$E36)</f>
        <v>2.2925284389315851E-2</v>
      </c>
      <c r="O36" s="803">
        <f>IF(ISERROR('Table 8'!O22*100/$E36),0,'Table 8'!O22*100/$E36)</f>
        <v>0</v>
      </c>
      <c r="P36" s="453"/>
      <c r="Q36" s="453"/>
      <c r="R36" s="545"/>
      <c r="S36" s="545"/>
      <c r="T36" s="545"/>
      <c r="U36" s="543"/>
      <c r="V36" s="543"/>
      <c r="W36" s="543"/>
      <c r="X36" s="803">
        <f t="shared" si="3"/>
        <v>1.7526482728691974</v>
      </c>
    </row>
    <row r="37" spans="1:24">
      <c r="A37" s="411"/>
      <c r="C37" s="2660">
        <f>+MAX(C12:C36)+1</f>
        <v>22</v>
      </c>
      <c r="D37" s="2677" t="str">
        <f t="shared" si="2"/>
        <v>Agricultural Boiler (85)</v>
      </c>
      <c r="E37" s="2726">
        <f>COS_Unit!E79</f>
        <v>0</v>
      </c>
      <c r="F37" s="2726"/>
      <c r="G37" s="2741">
        <f>IF(ISERROR('Table 8'!G23*100/$E37),0,'Table 8'!G23*100/$E37)</f>
        <v>0</v>
      </c>
      <c r="H37" s="2741">
        <f>IF(ISERROR('Table 8'!H23*100/$E37),0,'Table 8'!H23*100/$E37)</f>
        <v>0</v>
      </c>
      <c r="I37" s="2741">
        <f>IF(ISERROR('Table 8'!I23*100/$E37),0,'Table 8'!I23*100/$E37)</f>
        <v>0</v>
      </c>
      <c r="J37" s="2741">
        <f>IF(ISERROR('Table 8'!J23*100/$E37),0,'Table 8'!J23*100/$E37)</f>
        <v>0</v>
      </c>
      <c r="K37" s="2741">
        <f>IF(ISERROR('Table 8'!K23*100/$E37),0,'Table 8'!K23*100/$E37)</f>
        <v>0</v>
      </c>
      <c r="L37" s="2741">
        <f>IF(ISERROR('Table 8'!L23*100/$E37),0,'Table 8'!L23*100/$E37)</f>
        <v>0</v>
      </c>
      <c r="M37" s="2741">
        <f>IF(ISERROR('Table 8'!M23*100/$E37),0,'Table 8'!M23*100/$E37)</f>
        <v>0</v>
      </c>
      <c r="N37" s="2741">
        <f>IF(ISERROR('Table 8'!N23*100/$E37),0,'Table 8'!N23*100/$E37)</f>
        <v>0</v>
      </c>
      <c r="O37" s="2741">
        <f>IF(ISERROR('Table 8'!O23*100/$E37),0,'Table 8'!O23*100/$E37)</f>
        <v>0</v>
      </c>
      <c r="P37" s="2737"/>
      <c r="Q37" s="2737"/>
      <c r="R37" s="2742"/>
      <c r="S37" s="2742"/>
      <c r="T37" s="2742"/>
      <c r="U37" s="2740"/>
      <c r="V37" s="2740"/>
      <c r="W37" s="2740"/>
      <c r="X37" s="2741">
        <f t="shared" si="3"/>
        <v>0</v>
      </c>
    </row>
    <row r="38" spans="1:24">
      <c r="A38" s="411"/>
      <c r="C38" s="236">
        <f>+MAX(C14:C37)+1</f>
        <v>23</v>
      </c>
      <c r="D38" s="38" t="str">
        <f t="shared" si="2"/>
        <v>Street Lights (6)</v>
      </c>
      <c r="E38" s="270">
        <f>COS_Unit!E83</f>
        <v>0</v>
      </c>
      <c r="F38" s="270"/>
      <c r="G38" s="803">
        <f>IF(ISERROR('Table 8'!G24*100/$E38),0,'Table 8'!G24*100/$E38)</f>
        <v>0</v>
      </c>
      <c r="H38" s="803">
        <f>IF(ISERROR('Table 8'!H24*100/$E38),0,'Table 8'!H24*100/$E38)</f>
        <v>0</v>
      </c>
      <c r="I38" s="803">
        <f>IF(ISERROR('Table 8'!I24*100/$E38),0,'Table 8'!I24*100/$E38)</f>
        <v>0</v>
      </c>
      <c r="J38" s="803">
        <f>IF(ISERROR('Table 8'!J24*100/$E38),0,'Table 8'!J24*100/$E38)</f>
        <v>0</v>
      </c>
      <c r="K38" s="803">
        <f>IF(ISERROR('Table 8'!K24*100/$E38),0,'Table 8'!K24*100/$E38)</f>
        <v>0</v>
      </c>
      <c r="L38" s="803">
        <f>IF(ISERROR('Table 8'!L24*100/$E38),0,'Table 8'!L24*100/$E38)</f>
        <v>0</v>
      </c>
      <c r="M38" s="803">
        <f>IF(ISERROR('Table 8'!M24*100/$E38),0,'Table 8'!M24*100/$E38)</f>
        <v>0</v>
      </c>
      <c r="N38" s="803">
        <f>IF(ISERROR('Table 8'!N24*100/$E38),0,'Table 8'!N24*100/$E38)</f>
        <v>0</v>
      </c>
      <c r="O38" s="803">
        <f>IF(ISERROR('Table 8'!O24*100/$E38),0,'Table 8'!O24*100/$E38)</f>
        <v>0</v>
      </c>
      <c r="P38" s="453"/>
      <c r="Q38" s="453"/>
      <c r="R38" s="545"/>
      <c r="S38" s="545"/>
      <c r="T38" s="545"/>
      <c r="U38" s="543"/>
      <c r="V38" s="543"/>
      <c r="W38" s="543"/>
      <c r="X38" s="803">
        <f t="shared" si="3"/>
        <v>0</v>
      </c>
    </row>
    <row r="39" spans="1:24">
      <c r="A39" s="411"/>
      <c r="C39" s="2660">
        <f>+MAX(C15:C38)+1</f>
        <v>24</v>
      </c>
      <c r="D39" s="2677" t="str">
        <f t="shared" si="2"/>
        <v>Street Lights (2)</v>
      </c>
      <c r="E39" s="2726">
        <f>COS_Unit!E85</f>
        <v>0</v>
      </c>
      <c r="F39" s="2726"/>
      <c r="G39" s="2741">
        <f>IF(ISERROR('Table 8'!G25*100/$E39),0,'Table 8'!G25*100/$E39)</f>
        <v>0</v>
      </c>
      <c r="H39" s="2741">
        <f>IF(ISERROR('Table 8'!H25*100/$E39),0,'Table 8'!H25*100/$E39)</f>
        <v>0</v>
      </c>
      <c r="I39" s="2741">
        <f>IF(ISERROR('Table 8'!I25*100/$E39),0,'Table 8'!I25*100/$E39)</f>
        <v>0</v>
      </c>
      <c r="J39" s="2741">
        <f>IF(ISERROR('Table 8'!J25*100/$E39),0,'Table 8'!J25*100/$E39)</f>
        <v>0</v>
      </c>
      <c r="K39" s="2741">
        <f>IF(ISERROR('Table 8'!K25*100/$E39),0,'Table 8'!K25*100/$E39)</f>
        <v>0</v>
      </c>
      <c r="L39" s="2741">
        <f>IF(ISERROR('Table 8'!L25*100/$E39),0,'Table 8'!L25*100/$E39)</f>
        <v>0</v>
      </c>
      <c r="M39" s="2741">
        <f>IF(ISERROR('Table 8'!M25*100/$E39),0,'Table 8'!M25*100/$E39)</f>
        <v>0</v>
      </c>
      <c r="N39" s="2741">
        <f>IF(ISERROR('Table 8'!N25*100/$E39),0,'Table 8'!N25*100/$E39)</f>
        <v>0</v>
      </c>
      <c r="O39" s="2741">
        <f>IF(ISERROR('Table 8'!O25*100/$E39),0,'Table 8'!O25*100/$E39)</f>
        <v>0</v>
      </c>
      <c r="P39" s="2737"/>
      <c r="Q39" s="2737"/>
      <c r="R39" s="2742"/>
      <c r="S39" s="2742"/>
      <c r="T39" s="2742"/>
      <c r="U39" s="2740"/>
      <c r="V39" s="2740"/>
      <c r="W39" s="2740"/>
      <c r="X39" s="2741">
        <f t="shared" si="3"/>
        <v>0</v>
      </c>
    </row>
    <row r="40" spans="1:24">
      <c r="A40" s="411"/>
      <c r="C40" s="236">
        <f>+MAX(C17:C39)+1</f>
        <v>25</v>
      </c>
      <c r="D40" s="38" t="str">
        <f t="shared" si="2"/>
        <v>Alternate Power Sales</v>
      </c>
      <c r="E40" s="270">
        <f>COS_Unit!E89</f>
        <v>0</v>
      </c>
      <c r="F40" s="270"/>
      <c r="G40" s="803">
        <f>IF(ISERROR('Table 8'!G26*100/$E40),0,'Table 8'!G26*100/$E40)</f>
        <v>0</v>
      </c>
      <c r="H40" s="803">
        <f>IF(ISERROR('Table 8'!H26*100/$E40),0,'Table 8'!H26*100/$E40)</f>
        <v>0</v>
      </c>
      <c r="I40" s="803">
        <f>IF(ISERROR('Table 8'!I26*100/$E40),0,'Table 8'!I26*100/$E40)</f>
        <v>0</v>
      </c>
      <c r="J40" s="803">
        <f>IF(ISERROR('Table 8'!J26*100/$E40),0,'Table 8'!J26*100/$E40)</f>
        <v>0</v>
      </c>
      <c r="K40" s="803">
        <f>IF(ISERROR('Table 8'!K26*100/$E40),0,'Table 8'!K26*100/$E40)</f>
        <v>0</v>
      </c>
      <c r="L40" s="803">
        <f>IF(ISERROR('Table 8'!L26*100/$E40),0,'Table 8'!L26*100/$E40)</f>
        <v>0</v>
      </c>
      <c r="M40" s="803">
        <f>IF(ISERROR('Table 8'!M26*100/$E40),0,'Table 8'!M26*100/$E40)</f>
        <v>0</v>
      </c>
      <c r="N40" s="803">
        <f>IF(ISERROR('Table 8'!N26*100/$E40),0,'Table 8'!N26*100/$E40)</f>
        <v>0</v>
      </c>
      <c r="O40" s="803">
        <f>IF(ISERROR('Table 8'!O26*100/$E40),0,'Table 8'!O26*100/$E40)</f>
        <v>0</v>
      </c>
      <c r="P40" s="453"/>
      <c r="Q40" s="453"/>
      <c r="R40" s="547"/>
      <c r="S40" s="545"/>
      <c r="T40" s="545"/>
      <c r="U40" s="543"/>
      <c r="V40" s="543"/>
      <c r="W40" s="543"/>
      <c r="X40" s="803">
        <f t="shared" si="3"/>
        <v>0</v>
      </c>
    </row>
    <row r="41" spans="1:24">
      <c r="A41" s="411"/>
      <c r="C41" s="2660"/>
      <c r="D41" s="2733"/>
      <c r="E41" s="2726"/>
      <c r="F41" s="2737"/>
      <c r="G41" s="2744"/>
      <c r="H41" s="2744"/>
      <c r="I41" s="2744"/>
      <c r="J41" s="2744"/>
      <c r="K41" s="2744"/>
      <c r="L41" s="2744"/>
      <c r="M41" s="2744"/>
      <c r="N41" s="2744"/>
      <c r="O41" s="2744"/>
      <c r="P41" s="2737"/>
      <c r="Q41" s="2737"/>
      <c r="R41" s="2743"/>
      <c r="S41" s="2743"/>
      <c r="T41" s="2743"/>
      <c r="U41" s="2740"/>
      <c r="V41" s="2740"/>
      <c r="W41" s="2740"/>
      <c r="X41" s="2744"/>
    </row>
    <row r="42" spans="1:24" ht="16.5" thickBot="1">
      <c r="A42" s="411"/>
      <c r="C42" s="236">
        <f>+MAX(C29:C40)+1</f>
        <v>26</v>
      </c>
      <c r="D42" s="251" t="s">
        <v>404</v>
      </c>
      <c r="E42" s="548">
        <f>COS_Unit!E91</f>
        <v>8806895.2488091663</v>
      </c>
      <c r="F42" s="548"/>
      <c r="G42" s="571">
        <f>SUM('Table 8'!G15:G16,'Table 8'!G18:G26)*100/$E42</f>
        <v>1.9764735253724799</v>
      </c>
      <c r="H42" s="571">
        <f>SUM('Table 8'!H15:H16,'Table 8'!H18:H26)*100/$E42</f>
        <v>0.16508854243458759</v>
      </c>
      <c r="I42" s="571">
        <f>SUM('Table 8'!I15:I16,'Table 8'!I18:I26)*100/$E42</f>
        <v>0.10008395411756298</v>
      </c>
      <c r="J42" s="571">
        <f>SUM('Table 8'!J15:J16,'Table 8'!J18:J26)*100/$E42</f>
        <v>1.5019174892296505E-2</v>
      </c>
      <c r="K42" s="571">
        <f>SUM('Table 8'!K15:K16,'Table 8'!K18:K26)*100/$E42</f>
        <v>0</v>
      </c>
      <c r="L42" s="571">
        <f>SUM('Table 8'!L15:L16,'Table 8'!L18:L26)*100/$E42</f>
        <v>0</v>
      </c>
      <c r="M42" s="571">
        <f>SUM('Table 8'!M15:M16,'Table 8'!M18:M26)*100/$E42</f>
        <v>5.2932513312569929E-2</v>
      </c>
      <c r="N42" s="571">
        <f>SUM('Table 8'!N15:N16,'Table 8'!N18:N26)*100/$E42</f>
        <v>2.6525113947686283E-2</v>
      </c>
      <c r="O42" s="571">
        <f>SUM('Table 8'!O15:O16,'Table 8'!O18:O26)*100/$E42</f>
        <v>8.1344273976333203E-2</v>
      </c>
      <c r="P42" s="453"/>
      <c r="Q42" s="453"/>
      <c r="R42" s="549"/>
      <c r="S42" s="549"/>
      <c r="T42" s="549"/>
      <c r="U42" s="543"/>
      <c r="V42" s="543"/>
      <c r="W42" s="543"/>
      <c r="X42" s="571">
        <f>SUM(G42:O42)</f>
        <v>2.4174670980535162</v>
      </c>
    </row>
    <row r="43" spans="1:24" ht="16.5" thickTop="1">
      <c r="A43" s="411"/>
      <c r="C43" s="2660"/>
      <c r="D43" s="2663"/>
      <c r="E43" s="2726"/>
      <c r="F43" s="2726"/>
      <c r="G43" s="2745"/>
      <c r="H43" s="2745"/>
      <c r="I43" s="2745"/>
      <c r="J43" s="2745"/>
      <c r="K43" s="2745"/>
      <c r="L43" s="2745"/>
      <c r="M43" s="2745"/>
      <c r="N43" s="2745"/>
      <c r="O43" s="2745"/>
      <c r="P43" s="2737"/>
      <c r="Q43" s="2737"/>
      <c r="R43" s="2746"/>
      <c r="S43" s="2746"/>
      <c r="T43" s="2746"/>
      <c r="U43" s="2740"/>
      <c r="V43" s="2740"/>
      <c r="W43" s="2740"/>
      <c r="X43" s="2745"/>
    </row>
    <row r="44" spans="1:24" ht="16.5" thickBot="1">
      <c r="A44" s="411"/>
      <c r="C44" s="236">
        <f>+MAX(C31:C42)+1</f>
        <v>27</v>
      </c>
      <c r="D44" s="251" t="s">
        <v>405</v>
      </c>
      <c r="E44" s="548">
        <f>COS_Unit!E93</f>
        <v>409016.85529651248</v>
      </c>
      <c r="F44" s="548"/>
      <c r="G44" s="571">
        <f>'Table 8'!G17*100/$E44</f>
        <v>5.9410277804771914</v>
      </c>
      <c r="H44" s="571">
        <f>'Table 8'!H17*100/$E44</f>
        <v>0.46553949436133074</v>
      </c>
      <c r="I44" s="571">
        <f>'Table 8'!I17*100/$E44</f>
        <v>0.40286237074642384</v>
      </c>
      <c r="J44" s="571">
        <f>'Table 8'!J17*100/$E44</f>
        <v>0</v>
      </c>
      <c r="K44" s="571">
        <f>'Table 8'!K17*100/$E44</f>
        <v>0</v>
      </c>
      <c r="L44" s="571">
        <f>'Table 8'!L17*100/$E44</f>
        <v>0</v>
      </c>
      <c r="M44" s="571">
        <f>'Table 8'!M17*100/$E44</f>
        <v>0.2420971134018797</v>
      </c>
      <c r="N44" s="571">
        <f>'Table 8'!N17*100/$E44</f>
        <v>7.5811056680099584E-3</v>
      </c>
      <c r="O44" s="571">
        <f>'Table 8'!O17*100/$E44</f>
        <v>1.7868774612483109</v>
      </c>
      <c r="P44" s="453"/>
      <c r="Q44" s="453"/>
      <c r="R44" s="549"/>
      <c r="S44" s="549"/>
      <c r="T44" s="549"/>
      <c r="U44" s="543"/>
      <c r="V44" s="543"/>
      <c r="W44" s="543"/>
      <c r="X44" s="571">
        <f>SUM(G44:O44)</f>
        <v>8.8459853259031469</v>
      </c>
    </row>
    <row r="45" spans="1:24" ht="16.5" thickTop="1">
      <c r="A45" s="411"/>
      <c r="C45" s="2660"/>
      <c r="D45" s="2736"/>
      <c r="E45" s="2726"/>
      <c r="F45" s="2737"/>
      <c r="G45" s="2737"/>
      <c r="H45" s="2737"/>
      <c r="I45" s="2737"/>
      <c r="J45" s="2737"/>
      <c r="K45" s="2737"/>
      <c r="L45" s="2737"/>
      <c r="M45" s="2737"/>
      <c r="N45" s="2737"/>
      <c r="O45" s="2737"/>
      <c r="P45" s="2737"/>
      <c r="Q45" s="2737"/>
      <c r="R45" s="2737"/>
      <c r="S45" s="2737"/>
      <c r="T45" s="2737"/>
      <c r="U45" s="2737"/>
      <c r="V45" s="2737"/>
      <c r="W45" s="2737"/>
      <c r="X45" s="2737"/>
    </row>
    <row r="46" spans="1:24">
      <c r="A46" s="411"/>
      <c r="C46" s="236"/>
      <c r="D46" s="541" t="s">
        <v>721</v>
      </c>
      <c r="E46" s="270"/>
      <c r="F46" s="453"/>
      <c r="G46" s="453"/>
      <c r="H46" s="453"/>
      <c r="I46" s="453"/>
      <c r="J46" s="453"/>
      <c r="K46" s="453"/>
      <c r="L46" s="453"/>
      <c r="M46" s="453"/>
      <c r="N46" s="453"/>
      <c r="O46" s="453"/>
      <c r="P46" s="453"/>
      <c r="Q46" s="453"/>
      <c r="R46" s="453"/>
      <c r="S46" s="453"/>
      <c r="T46" s="453"/>
      <c r="U46" s="453"/>
      <c r="V46" s="453"/>
      <c r="W46" s="453"/>
      <c r="X46" s="453"/>
    </row>
    <row r="47" spans="1:24">
      <c r="A47" s="411"/>
      <c r="C47" s="2660">
        <f t="shared" ref="C47:C53" si="4">+MAX(C16:C46)+1</f>
        <v>28</v>
      </c>
      <c r="D47" s="2677" t="str">
        <f t="shared" ref="D47:D58" si="5">D29</f>
        <v>Residential-Urban (1)</v>
      </c>
      <c r="E47" s="2726">
        <f>COS_Unit!E102</f>
        <v>256800</v>
      </c>
      <c r="F47" s="2737"/>
      <c r="G47" s="2737"/>
      <c r="H47" s="2737"/>
      <c r="I47" s="2737"/>
      <c r="J47" s="2737"/>
      <c r="K47" s="2737"/>
      <c r="L47" s="2737"/>
      <c r="M47" s="2737"/>
      <c r="N47" s="2737"/>
      <c r="O47" s="2737"/>
      <c r="P47" s="2739">
        <f>'Table 8'!P15*100/$E47</f>
        <v>0.56750778816199376</v>
      </c>
      <c r="Q47" s="2739">
        <f>'Table 8'!Q15*100/$E47</f>
        <v>0</v>
      </c>
      <c r="R47" s="2739">
        <f>'Table 8'!R15*100/$E47</f>
        <v>0.13930607476635515</v>
      </c>
      <c r="S47" s="2739">
        <f>'Table 8'!S15*100/$E47</f>
        <v>0.44418613707165111</v>
      </c>
      <c r="T47" s="2739">
        <f>'Table 8'!T15*100/$E47</f>
        <v>1.4164828660436137</v>
      </c>
      <c r="U47" s="2740"/>
      <c r="V47" s="2740"/>
      <c r="W47" s="2740"/>
      <c r="X47" s="2745">
        <f>SUM(P47:T47)</f>
        <v>2.5674828660436138</v>
      </c>
    </row>
    <row r="48" spans="1:24">
      <c r="A48" s="411"/>
      <c r="C48" s="236">
        <f t="shared" si="4"/>
        <v>29</v>
      </c>
      <c r="D48" s="38" t="str">
        <f t="shared" si="5"/>
        <v>Residential-Rural (1)</v>
      </c>
      <c r="E48" s="270">
        <f>COS_Unit!E104</f>
        <v>240660</v>
      </c>
      <c r="F48" s="453"/>
      <c r="G48" s="453"/>
      <c r="H48" s="453"/>
      <c r="I48" s="453"/>
      <c r="J48" s="453"/>
      <c r="K48" s="453"/>
      <c r="L48" s="453"/>
      <c r="M48" s="453"/>
      <c r="N48" s="453"/>
      <c r="O48" s="453"/>
      <c r="P48" s="545">
        <f>'Table 8'!P16*100/$E48</f>
        <v>0</v>
      </c>
      <c r="Q48" s="545">
        <f>'Table 8'!Q16*100/$E48</f>
        <v>1.8126348375301256</v>
      </c>
      <c r="R48" s="545">
        <f>'Table 8'!R16*100/$E48</f>
        <v>0.20899526302667665</v>
      </c>
      <c r="S48" s="545">
        <f>'Table 8'!S16*100/$E48</f>
        <v>0.44429734895703482</v>
      </c>
      <c r="T48" s="545">
        <f>'Table 8'!T16*100/$E48</f>
        <v>1.5582822238843179</v>
      </c>
      <c r="U48" s="543"/>
      <c r="V48" s="543"/>
      <c r="W48" s="543"/>
      <c r="X48" s="543">
        <f t="shared" ref="X48:X58" si="6">SUM(P48:T48)</f>
        <v>4.0242096733981549</v>
      </c>
    </row>
    <row r="49" spans="1:24">
      <c r="A49" s="411"/>
      <c r="C49" s="2660">
        <f t="shared" si="4"/>
        <v>30</v>
      </c>
      <c r="D49" s="2677" t="str">
        <f t="shared" si="5"/>
        <v>Irrigation (3)</v>
      </c>
      <c r="E49" s="2726">
        <f>COS_Unit!E109</f>
        <v>33103</v>
      </c>
      <c r="F49" s="2737"/>
      <c r="G49" s="2737"/>
      <c r="H49" s="2737"/>
      <c r="I49" s="2737"/>
      <c r="J49" s="2737"/>
      <c r="K49" s="2737"/>
      <c r="L49" s="2737"/>
      <c r="M49" s="2737"/>
      <c r="N49" s="2737"/>
      <c r="O49" s="2737"/>
      <c r="P49" s="2742">
        <f>'Table 8'!P17*100/$E49</f>
        <v>0</v>
      </c>
      <c r="Q49" s="2742">
        <f>'Table 8'!Q17*100/$E49</f>
        <v>8.1451832160227181E-2</v>
      </c>
      <c r="R49" s="2742">
        <f>'Table 8'!R17*100/$E49</f>
        <v>1.1881430686040539</v>
      </c>
      <c r="S49" s="2742">
        <f>'Table 8'!S17*100/$E49</f>
        <v>3.7670664290245597</v>
      </c>
      <c r="T49" s="2742">
        <f>'Table 8'!T17*100/$E49</f>
        <v>2.6669274688094737</v>
      </c>
      <c r="U49" s="2740"/>
      <c r="V49" s="2740"/>
      <c r="W49" s="2740"/>
      <c r="X49" s="2740">
        <f t="shared" si="6"/>
        <v>7.7035887985983145</v>
      </c>
    </row>
    <row r="50" spans="1:24">
      <c r="A50" s="411"/>
      <c r="C50" s="236">
        <f t="shared" si="4"/>
        <v>31</v>
      </c>
      <c r="D50" s="38" t="str">
        <f t="shared" si="5"/>
        <v>General Service (2) &amp; (PA)</v>
      </c>
      <c r="E50" s="270">
        <f>COS_Unit!E114+COS_Unit!E132</f>
        <v>98484</v>
      </c>
      <c r="F50" s="453"/>
      <c r="G50" s="453"/>
      <c r="H50" s="453"/>
      <c r="I50" s="453"/>
      <c r="J50" s="453"/>
      <c r="K50" s="453"/>
      <c r="L50" s="453"/>
      <c r="M50" s="453"/>
      <c r="N50" s="453"/>
      <c r="O50" s="453"/>
      <c r="P50" s="545">
        <f>'Table 8'!P18*100/$E50</f>
        <v>0.36098351001177864</v>
      </c>
      <c r="Q50" s="545">
        <f>'Table 8'!Q18*100/$E50</f>
        <v>0.33045469314812559</v>
      </c>
      <c r="R50" s="545">
        <f>'Table 8'!R18*100/$E50</f>
        <v>0.2639921205475001</v>
      </c>
      <c r="S50" s="545">
        <f>'Table 8'!S18*100/$E50</f>
        <v>1.6814731326916048</v>
      </c>
      <c r="T50" s="545">
        <f>'Table 8'!T18*100/$E50</f>
        <v>2.1239653141627066</v>
      </c>
      <c r="U50" s="543"/>
      <c r="V50" s="543"/>
      <c r="W50" s="543"/>
      <c r="X50" s="543">
        <f t="shared" si="6"/>
        <v>4.7608687705617161</v>
      </c>
    </row>
    <row r="51" spans="1:24">
      <c r="A51" s="411"/>
      <c r="C51" s="2660">
        <f t="shared" si="4"/>
        <v>32</v>
      </c>
      <c r="D51" s="2677" t="str">
        <f t="shared" si="5"/>
        <v>Large General Service (7)</v>
      </c>
      <c r="E51" s="2726">
        <f>COS_Unit!E116</f>
        <v>1428</v>
      </c>
      <c r="F51" s="2737"/>
      <c r="G51" s="2737"/>
      <c r="H51" s="2737"/>
      <c r="I51" s="2737"/>
      <c r="J51" s="2737"/>
      <c r="K51" s="2737"/>
      <c r="L51" s="2737"/>
      <c r="M51" s="2737"/>
      <c r="N51" s="2737"/>
      <c r="O51" s="2737"/>
      <c r="P51" s="2742">
        <f>'Table 8'!P19*100/$E51</f>
        <v>0</v>
      </c>
      <c r="Q51" s="2742">
        <f>'Table 8'!Q19*100/$E51</f>
        <v>0</v>
      </c>
      <c r="R51" s="2742">
        <f>'Table 8'!R19*100/$E51</f>
        <v>2.0903361344537816</v>
      </c>
      <c r="S51" s="2742">
        <f>'Table 8'!S19*100/$E51</f>
        <v>8.8918767507002805</v>
      </c>
      <c r="T51" s="2742">
        <f>'Table 8'!T19*100/$E51</f>
        <v>14.197478991596638</v>
      </c>
      <c r="U51" s="2740"/>
      <c r="V51" s="2740"/>
      <c r="W51" s="2740"/>
      <c r="X51" s="2740">
        <f t="shared" si="6"/>
        <v>25.179691876750702</v>
      </c>
    </row>
    <row r="52" spans="1:24">
      <c r="A52" s="411"/>
      <c r="C52" s="236">
        <f t="shared" si="4"/>
        <v>33</v>
      </c>
      <c r="D52" s="38" t="str">
        <f t="shared" si="5"/>
        <v>Industrial (14)</v>
      </c>
      <c r="E52" s="270">
        <f>COS_Unit!E118</f>
        <v>156</v>
      </c>
      <c r="F52" s="453"/>
      <c r="G52" s="453"/>
      <c r="H52" s="453"/>
      <c r="I52" s="453"/>
      <c r="J52" s="453"/>
      <c r="K52" s="453"/>
      <c r="L52" s="453"/>
      <c r="M52" s="453"/>
      <c r="N52" s="453"/>
      <c r="O52" s="453"/>
      <c r="P52" s="545">
        <f>'Table 8'!P20*100/$E52</f>
        <v>0</v>
      </c>
      <c r="Q52" s="545">
        <f>'Table 8'!Q20*100/$E52</f>
        <v>0</v>
      </c>
      <c r="R52" s="545">
        <f>'Table 8'!R20*100/$E52</f>
        <v>0</v>
      </c>
      <c r="S52" s="545">
        <f>'Table 8'!S20*100/$E52</f>
        <v>13.226923076923077</v>
      </c>
      <c r="T52" s="545">
        <f>'Table 8'!T20*100/$E52</f>
        <v>28.19294871794872</v>
      </c>
      <c r="U52" s="543"/>
      <c r="V52" s="543"/>
      <c r="W52" s="543"/>
      <c r="X52" s="543">
        <f t="shared" si="6"/>
        <v>41.419871794871796</v>
      </c>
    </row>
    <row r="53" spans="1:24">
      <c r="A53" s="411"/>
      <c r="C53" s="2660">
        <f t="shared" si="4"/>
        <v>34</v>
      </c>
      <c r="D53" s="2677" t="str">
        <f t="shared" si="5"/>
        <v>Large Industrial (15) &amp; (94)</v>
      </c>
      <c r="E53" s="2726">
        <f>COS_Unit!E120+COS_Unit!E126</f>
        <v>84</v>
      </c>
      <c r="F53" s="2737"/>
      <c r="G53" s="2737"/>
      <c r="H53" s="2737"/>
      <c r="I53" s="2737"/>
      <c r="J53" s="2737"/>
      <c r="K53" s="2737"/>
      <c r="L53" s="2737"/>
      <c r="M53" s="2737"/>
      <c r="N53" s="2737"/>
      <c r="O53" s="2737"/>
      <c r="P53" s="2742">
        <f>'Table 8'!P21*100/$E53</f>
        <v>0</v>
      </c>
      <c r="Q53" s="2742">
        <f>'Table 8'!Q21*100/$E53</f>
        <v>0</v>
      </c>
      <c r="R53" s="2742">
        <f>'Table 8'!R21*100/$E53</f>
        <v>0</v>
      </c>
      <c r="S53" s="2742">
        <f>'Table 8'!S21*100/$E53</f>
        <v>13.226190476190476</v>
      </c>
      <c r="T53" s="2742">
        <f>'Table 8'!T21*100/$E53</f>
        <v>70.236904761904768</v>
      </c>
      <c r="U53" s="2740"/>
      <c r="V53" s="2740"/>
      <c r="W53" s="2740"/>
      <c r="X53" s="2740">
        <f t="shared" si="6"/>
        <v>83.463095238095249</v>
      </c>
    </row>
    <row r="54" spans="1:24">
      <c r="A54" s="411"/>
      <c r="C54" s="236">
        <f>+MAX(C22:C53)+1</f>
        <v>35</v>
      </c>
      <c r="D54" s="38" t="str">
        <f t="shared" si="5"/>
        <v>Agricultural Processing (16)</v>
      </c>
      <c r="E54" s="270">
        <f>COS_Unit!E122</f>
        <v>132</v>
      </c>
      <c r="F54" s="453"/>
      <c r="G54" s="453"/>
      <c r="H54" s="453"/>
      <c r="I54" s="453"/>
      <c r="J54" s="453"/>
      <c r="K54" s="453"/>
      <c r="L54" s="453"/>
      <c r="M54" s="453"/>
      <c r="N54" s="453"/>
      <c r="O54" s="453"/>
      <c r="P54" s="545">
        <f>'Table 8'!P22*100/$E54</f>
        <v>0</v>
      </c>
      <c r="Q54" s="545">
        <f>'Table 8'!Q22*100/$E54</f>
        <v>0</v>
      </c>
      <c r="R54" s="545">
        <f>'Table 8'!R22*100/$E54</f>
        <v>0</v>
      </c>
      <c r="S54" s="545">
        <f>'Table 8'!S22*100/$E54</f>
        <v>13.22651515151515</v>
      </c>
      <c r="T54" s="545">
        <f>'Table 8'!T22*100/$E54</f>
        <v>28.443181818181817</v>
      </c>
      <c r="U54" s="543"/>
      <c r="V54" s="543"/>
      <c r="W54" s="543"/>
      <c r="X54" s="543">
        <f t="shared" si="6"/>
        <v>41.669696969696965</v>
      </c>
    </row>
    <row r="55" spans="1:24">
      <c r="A55" s="411"/>
      <c r="C55" s="2660">
        <f>+MAX(C23:C54)+1</f>
        <v>36</v>
      </c>
      <c r="D55" s="2677" t="str">
        <f t="shared" si="5"/>
        <v>Agricultural Boiler (85)</v>
      </c>
      <c r="E55" s="2726">
        <f>COS_Unit!E124</f>
        <v>12</v>
      </c>
      <c r="F55" s="2737"/>
      <c r="G55" s="2737"/>
      <c r="H55" s="2737"/>
      <c r="I55" s="2737"/>
      <c r="J55" s="2737"/>
      <c r="K55" s="2737"/>
      <c r="L55" s="2737"/>
      <c r="M55" s="2737"/>
      <c r="N55" s="2737"/>
      <c r="O55" s="2737"/>
      <c r="P55" s="2742">
        <f>'Table 8'!P23*100/$E55</f>
        <v>0</v>
      </c>
      <c r="Q55" s="2742">
        <f>'Table 8'!Q23*100/$E55</f>
        <v>0</v>
      </c>
      <c r="R55" s="2742">
        <f>'Table 8'!R23*100/$E55</f>
        <v>0</v>
      </c>
      <c r="S55" s="2742">
        <f>'Table 8'!S23*100/$E55</f>
        <v>13.225</v>
      </c>
      <c r="T55" s="2742">
        <f>'Table 8'!T23*100/$E55</f>
        <v>26.816666666666666</v>
      </c>
      <c r="U55" s="2740"/>
      <c r="V55" s="2740"/>
      <c r="W55" s="2740"/>
      <c r="X55" s="2740">
        <f t="shared" si="6"/>
        <v>40.041666666666664</v>
      </c>
    </row>
    <row r="56" spans="1:24">
      <c r="A56" s="411"/>
      <c r="C56" s="236">
        <f>+MAX(C24:C55)+1</f>
        <v>37</v>
      </c>
      <c r="D56" s="38" t="str">
        <f t="shared" si="5"/>
        <v>Street Lights (6)</v>
      </c>
      <c r="E56" s="270">
        <f>COS_Unit!E128</f>
        <v>792</v>
      </c>
      <c r="F56" s="399"/>
      <c r="G56" s="399"/>
      <c r="H56" s="399"/>
      <c r="I56" s="399"/>
      <c r="J56" s="399"/>
      <c r="K56" s="399"/>
      <c r="L56" s="399"/>
      <c r="M56" s="399"/>
      <c r="N56" s="399"/>
      <c r="O56" s="399"/>
      <c r="P56" s="545">
        <f>'Table 8'!P24*100/$E56</f>
        <v>0.5746212121212122</v>
      </c>
      <c r="Q56" s="545">
        <f>'Table 8'!Q24*100/$E56</f>
        <v>1.194570707070707</v>
      </c>
      <c r="R56" s="545">
        <f>'Table 8'!R24*100/$E56</f>
        <v>0.21477272727272725</v>
      </c>
      <c r="S56" s="545">
        <f>'Table 8'!S24*100/$E56</f>
        <v>0</v>
      </c>
      <c r="T56" s="545">
        <f>'Table 8'!T24*100/$E56</f>
        <v>1.3544191919191919</v>
      </c>
      <c r="U56" s="546"/>
      <c r="V56" s="546"/>
      <c r="W56" s="546"/>
      <c r="X56" s="543">
        <f t="shared" si="6"/>
        <v>3.3383838383838382</v>
      </c>
    </row>
    <row r="57" spans="1:24">
      <c r="A57" s="411"/>
      <c r="C57" s="2660">
        <f>+MAX(C25:C56)+1</f>
        <v>38</v>
      </c>
      <c r="D57" s="2677" t="str">
        <f t="shared" si="5"/>
        <v>Street Lights (2)</v>
      </c>
      <c r="E57" s="2726">
        <f>COS_Unit!E130</f>
        <v>516</v>
      </c>
      <c r="F57" s="2747"/>
      <c r="G57" s="2747"/>
      <c r="H57" s="2747"/>
      <c r="I57" s="2747"/>
      <c r="J57" s="2747"/>
      <c r="K57" s="2747"/>
      <c r="L57" s="2747"/>
      <c r="M57" s="2747"/>
      <c r="N57" s="2747"/>
      <c r="O57" s="2747"/>
      <c r="P57" s="2742">
        <f>'Table 8'!P25*100/$E57</f>
        <v>0.56453488372093019</v>
      </c>
      <c r="Q57" s="2742">
        <f>'Table 8'!Q25*100/$E57</f>
        <v>1.1916666666666667</v>
      </c>
      <c r="R57" s="2742">
        <f>'Table 8'!R25*100/$E57</f>
        <v>0.20988372093023255</v>
      </c>
      <c r="S57" s="2742">
        <f>'Table 8'!S25*100/$E57</f>
        <v>0</v>
      </c>
      <c r="T57" s="2742">
        <f>'Table 8'!T25*100/$E57</f>
        <v>1.4552325581395351</v>
      </c>
      <c r="U57" s="2743"/>
      <c r="V57" s="2743"/>
      <c r="W57" s="2743"/>
      <c r="X57" s="2740">
        <f t="shared" si="6"/>
        <v>3.4213178294573643</v>
      </c>
    </row>
    <row r="58" spans="1:24">
      <c r="A58" s="411"/>
      <c r="C58" s="236">
        <f>+MAX(C46:C57)+1</f>
        <v>39</v>
      </c>
      <c r="D58" s="38" t="str">
        <f t="shared" si="5"/>
        <v>Alternate Power Sales</v>
      </c>
      <c r="E58" s="270">
        <f>COS_Unit!E134</f>
        <v>0</v>
      </c>
      <c r="F58" s="453"/>
      <c r="G58" s="453"/>
      <c r="H58" s="453"/>
      <c r="I58" s="453"/>
      <c r="J58" s="453"/>
      <c r="K58" s="453"/>
      <c r="L58" s="453"/>
      <c r="M58" s="453"/>
      <c r="N58" s="453"/>
      <c r="O58" s="453"/>
      <c r="P58" s="547">
        <f>IF(ISERROR('Table 8'!P26*100/$E58),0,'Table 8'!P26*100/$E58)</f>
        <v>0</v>
      </c>
      <c r="Q58" s="547">
        <f>IF(ISERROR('Table 8'!Q26*100/$E58),0,'Table 8'!Q26*100/$E58)</f>
        <v>0</v>
      </c>
      <c r="R58" s="547">
        <f>IF(ISERROR('Table 8'!R26*100/$E58),0,'Table 8'!R26*100/$E58)</f>
        <v>0</v>
      </c>
      <c r="S58" s="547">
        <f>IF(ISERROR('Table 8'!S26*100/$E58),0,'Table 8'!S26*100/$E58)</f>
        <v>0</v>
      </c>
      <c r="T58" s="547">
        <f>IF(ISERROR('Table 8'!T26*100/$E58),0,'Table 8'!T26*100/$E58)</f>
        <v>0</v>
      </c>
      <c r="U58" s="543"/>
      <c r="V58" s="543"/>
      <c r="W58" s="543"/>
      <c r="X58" s="543">
        <f t="shared" si="6"/>
        <v>0</v>
      </c>
    </row>
    <row r="59" spans="1:24">
      <c r="A59" s="411"/>
      <c r="C59" s="2660"/>
      <c r="D59" s="2733"/>
      <c r="E59" s="2726"/>
      <c r="F59" s="2737"/>
      <c r="G59" s="2737"/>
      <c r="H59" s="2737"/>
      <c r="I59" s="2737"/>
      <c r="J59" s="2737"/>
      <c r="K59" s="2737"/>
      <c r="L59" s="2737"/>
      <c r="M59" s="2737"/>
      <c r="N59" s="2737"/>
      <c r="O59" s="2737"/>
      <c r="P59" s="2743"/>
      <c r="Q59" s="2743"/>
      <c r="R59" s="2743"/>
      <c r="S59" s="2743"/>
      <c r="T59" s="2743"/>
      <c r="U59" s="2740"/>
      <c r="V59" s="2740"/>
      <c r="W59" s="2740"/>
      <c r="X59" s="2740"/>
    </row>
    <row r="60" spans="1:24" ht="16.5" thickBot="1">
      <c r="A60" s="411"/>
      <c r="C60" s="236">
        <f>+MAX(C47:C58)+1</f>
        <v>40</v>
      </c>
      <c r="D60" s="251" t="s">
        <v>602</v>
      </c>
      <c r="E60" s="548">
        <f>SUM(E47:E58)</f>
        <v>632167</v>
      </c>
      <c r="F60" s="453"/>
      <c r="G60" s="453"/>
      <c r="H60" s="453"/>
      <c r="I60" s="453"/>
      <c r="J60" s="453"/>
      <c r="K60" s="453"/>
      <c r="L60" s="453"/>
      <c r="M60" s="453"/>
      <c r="N60" s="453"/>
      <c r="O60" s="453"/>
      <c r="P60" s="572">
        <f>'Table 8'!P28*100/$E60</f>
        <v>0.28795160139646642</v>
      </c>
      <c r="Q60" s="572">
        <f>'Table 8'!Q28*100/$E60</f>
        <v>0.74826825822923371</v>
      </c>
      <c r="R60" s="572">
        <f>'Table 8'!R28*100/$E60</f>
        <v>0.24465702891799163</v>
      </c>
      <c r="S60" s="572">
        <f>'Table 8'!S28*100/$E60</f>
        <v>0.83691113265956618</v>
      </c>
      <c r="T60" s="572">
        <f>'Table 8'!T28*100/$E60</f>
        <v>1.6968630124634789</v>
      </c>
      <c r="U60" s="543"/>
      <c r="V60" s="543"/>
      <c r="W60" s="543"/>
      <c r="X60" s="571">
        <f>SUM(P60:T60)</f>
        <v>3.8146510336667365</v>
      </c>
    </row>
    <row r="61" spans="1:24" ht="16.5" thickTop="1">
      <c r="A61" s="411"/>
      <c r="C61" s="236"/>
      <c r="D61" s="39"/>
      <c r="E61" s="270"/>
      <c r="F61" s="453"/>
      <c r="G61" s="453"/>
      <c r="H61" s="453"/>
      <c r="I61" s="453"/>
      <c r="J61" s="453"/>
      <c r="K61" s="453"/>
      <c r="L61" s="453"/>
      <c r="M61" s="453"/>
      <c r="N61" s="453"/>
      <c r="O61" s="453"/>
      <c r="P61" s="453"/>
      <c r="Q61" s="453"/>
      <c r="R61" s="453"/>
      <c r="S61" s="453"/>
      <c r="T61" s="453"/>
      <c r="U61" s="453"/>
      <c r="V61" s="453"/>
      <c r="W61" s="453"/>
      <c r="X61" s="453"/>
    </row>
    <row r="62" spans="1:24">
      <c r="A62" s="411"/>
    </row>
  </sheetData>
  <mergeCells count="14">
    <mergeCell ref="C3:X3"/>
    <mergeCell ref="C2:X2"/>
    <mergeCell ref="C1:X1"/>
    <mergeCell ref="C4:X4"/>
    <mergeCell ref="N9:O9"/>
    <mergeCell ref="P9:Q9"/>
    <mergeCell ref="C9:C10"/>
    <mergeCell ref="D9:D10"/>
    <mergeCell ref="E9:E10"/>
    <mergeCell ref="F8:G8"/>
    <mergeCell ref="I7:O7"/>
    <mergeCell ref="I8:O8"/>
    <mergeCell ref="P8:S8"/>
    <mergeCell ref="R9:S9"/>
  </mergeCells>
  <phoneticPr fontId="8" type="noConversion"/>
  <pageMargins left="0.25" right="0.25" top="0.5" bottom="0.5" header="0.25" footer="0.25"/>
  <pageSetup paperSize="17" scale="72" fitToHeight="5" orientation="landscape" r:id="rId1"/>
  <headerFooter alignWithMargins="0">
    <oddFooter>&amp;L&amp;"Times New Roman,Bold Italic"Black &amp; Veatch Corporation&amp;C&amp;"Times New Roman,Bold Italic"Date: &amp;D&amp;R&amp;"Times New Roman,Bold Italic"Page: &amp;P of &amp;N</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pageSetUpPr fitToPage="1"/>
  </sheetPr>
  <dimension ref="A1:AA289"/>
  <sheetViews>
    <sheetView showGridLines="0" zoomScale="80" zoomScaleNormal="80" workbookViewId="0"/>
  </sheetViews>
  <sheetFormatPr defaultColWidth="0" defaultRowHeight="0" customHeight="1" zeroHeight="1"/>
  <cols>
    <col min="1" max="1" width="22.625" style="196" customWidth="1"/>
    <col min="2" max="2" width="1.625" style="196" customWidth="1"/>
    <col min="3" max="3" width="5.125" style="196" bestFit="1" customWidth="1"/>
    <col min="4" max="4" width="26.25" style="196" bestFit="1" customWidth="1"/>
    <col min="5" max="5" width="11.375" style="196" customWidth="1"/>
    <col min="6" max="6" width="12.75" style="196" bestFit="1" customWidth="1"/>
    <col min="7" max="7" width="12.125" style="196" bestFit="1" customWidth="1"/>
    <col min="8" max="8" width="9.75" style="196" customWidth="1"/>
    <col min="9" max="9" width="3.125" style="196" customWidth="1"/>
    <col min="10" max="10" width="8.125" style="196" hidden="1" customWidth="1"/>
    <col min="11" max="11" width="12.5" style="196" hidden="1" customWidth="1"/>
    <col min="12" max="12" width="13.75" style="196" hidden="1" customWidth="1"/>
    <col min="13" max="13" width="10.625" style="196" hidden="1" customWidth="1"/>
    <col min="14" max="14" width="1.75" style="196" hidden="1" customWidth="1"/>
    <col min="15" max="15" width="13.5" style="196" hidden="1" customWidth="1"/>
    <col min="16" max="16" width="0.625" style="196" hidden="1" customWidth="1"/>
    <col min="17" max="17" width="11.5" style="196" hidden="1" customWidth="1"/>
    <col min="18" max="18" width="0.375" style="196" hidden="1" customWidth="1"/>
    <col min="19" max="19" width="11.5" style="196" hidden="1" customWidth="1"/>
    <col min="20" max="16384" width="0" style="196" hidden="1"/>
  </cols>
  <sheetData>
    <row r="1" spans="1:13" ht="22.5">
      <c r="A1" s="491"/>
      <c r="B1" s="29"/>
      <c r="C1" s="4555" t="s">
        <v>988</v>
      </c>
      <c r="D1" s="4555"/>
      <c r="E1" s="4555"/>
      <c r="F1" s="4555"/>
      <c r="G1" s="4555"/>
      <c r="H1" s="4555"/>
      <c r="I1" s="53"/>
      <c r="J1" s="53"/>
      <c r="K1" s="53"/>
      <c r="L1" s="53"/>
      <c r="M1" s="53"/>
    </row>
    <row r="2" spans="1:13" ht="22.5">
      <c r="A2" s="491"/>
      <c r="B2" s="29"/>
      <c r="C2" s="4555" t="str">
        <f>Client</f>
        <v>Grant County Public Utility District</v>
      </c>
      <c r="D2" s="4555"/>
      <c r="E2" s="4555"/>
      <c r="F2" s="4555"/>
      <c r="G2" s="4555"/>
      <c r="H2" s="4555"/>
      <c r="I2" s="53"/>
      <c r="J2" s="53"/>
      <c r="K2" s="53"/>
      <c r="L2" s="53"/>
      <c r="M2" s="53"/>
    </row>
    <row r="3" spans="1:13" ht="22.5">
      <c r="A3" s="491"/>
      <c r="B3" s="29"/>
      <c r="C3" s="4554" t="s">
        <v>1000</v>
      </c>
      <c r="D3" s="4554"/>
      <c r="E3" s="4554"/>
      <c r="F3" s="4554"/>
      <c r="G3" s="4554"/>
      <c r="H3" s="4554"/>
      <c r="I3" s="492"/>
      <c r="J3" s="492"/>
      <c r="K3" s="492"/>
      <c r="L3" s="492"/>
      <c r="M3" s="492"/>
    </row>
    <row r="4" spans="1:13" ht="18.75">
      <c r="A4" s="491"/>
      <c r="B4" s="29"/>
      <c r="C4" s="4586"/>
      <c r="D4" s="4586"/>
      <c r="E4" s="4586"/>
      <c r="F4" s="4586"/>
      <c r="G4" s="4586"/>
      <c r="H4" s="4586"/>
      <c r="J4" s="2"/>
      <c r="K4" s="2"/>
      <c r="L4" s="2"/>
    </row>
    <row r="5" spans="1:13" ht="15.75">
      <c r="A5" s="491"/>
      <c r="B5" s="29"/>
      <c r="D5" s="2"/>
      <c r="E5" s="2"/>
      <c r="F5" s="2"/>
      <c r="G5" s="2"/>
      <c r="H5" s="2"/>
      <c r="J5" s="198"/>
      <c r="K5" s="198"/>
      <c r="L5" s="198"/>
    </row>
    <row r="6" spans="1:13" s="200" customFormat="1" ht="15.75">
      <c r="A6" s="491"/>
      <c r="B6" s="199"/>
      <c r="C6" s="2760"/>
      <c r="D6" s="2760"/>
      <c r="J6" s="83"/>
      <c r="K6" s="83"/>
      <c r="L6" s="83"/>
      <c r="M6" s="83"/>
    </row>
    <row r="7" spans="1:13" s="200" customFormat="1" ht="6" customHeight="1">
      <c r="A7" s="491"/>
      <c r="B7" s="199"/>
      <c r="C7" s="2760"/>
      <c r="D7" s="2760"/>
      <c r="E7" s="495"/>
      <c r="F7" s="495"/>
      <c r="G7" s="495"/>
      <c r="H7" s="495"/>
      <c r="J7" s="83"/>
      <c r="K7" s="83"/>
      <c r="L7" s="83"/>
      <c r="M7" s="83"/>
    </row>
    <row r="8" spans="1:13" ht="15.75">
      <c r="A8" s="491"/>
      <c r="B8" s="29"/>
      <c r="C8" s="495"/>
      <c r="D8" s="495"/>
      <c r="E8" s="495" t="s">
        <v>674</v>
      </c>
      <c r="F8" s="495" t="s">
        <v>155</v>
      </c>
      <c r="G8" s="495" t="s">
        <v>675</v>
      </c>
      <c r="H8" s="495" t="s">
        <v>676</v>
      </c>
      <c r="I8" s="171"/>
      <c r="J8" s="171"/>
      <c r="K8" s="100"/>
      <c r="L8" s="100"/>
      <c r="M8" s="100"/>
    </row>
    <row r="9" spans="1:13" ht="15.75">
      <c r="A9" s="491"/>
      <c r="B9" s="29"/>
      <c r="C9" s="2749" t="s">
        <v>867</v>
      </c>
      <c r="D9" s="2749" t="s">
        <v>399</v>
      </c>
      <c r="E9" s="2749" t="s">
        <v>605</v>
      </c>
      <c r="F9" s="2749" t="s">
        <v>907</v>
      </c>
      <c r="G9" s="2749" t="s">
        <v>998</v>
      </c>
      <c r="H9" s="2749" t="s">
        <v>608</v>
      </c>
      <c r="I9" s="100"/>
      <c r="J9" s="100"/>
      <c r="K9" s="100"/>
      <c r="L9" s="100"/>
      <c r="M9" s="100"/>
    </row>
    <row r="10" spans="1:13" ht="15.75">
      <c r="A10" s="491"/>
      <c r="B10" s="29"/>
      <c r="C10" s="2657"/>
      <c r="D10" s="2748"/>
      <c r="E10" s="2749" t="s">
        <v>1001</v>
      </c>
      <c r="F10" s="2749" t="s">
        <v>1002</v>
      </c>
      <c r="G10" s="2749" t="s">
        <v>1003</v>
      </c>
      <c r="H10" s="2749" t="s">
        <v>1004</v>
      </c>
      <c r="I10" s="87"/>
      <c r="J10" s="87"/>
      <c r="K10" s="87"/>
      <c r="L10" s="87"/>
      <c r="M10" s="87"/>
    </row>
    <row r="11" spans="1:13" ht="6" customHeight="1">
      <c r="A11" s="491"/>
      <c r="B11" s="29"/>
      <c r="C11" s="236"/>
      <c r="D11" s="40"/>
      <c r="E11" s="261"/>
      <c r="F11" s="1"/>
      <c r="G11" s="1"/>
      <c r="H11" s="559"/>
      <c r="I11" s="87"/>
      <c r="J11" s="87"/>
      <c r="K11" s="87"/>
      <c r="L11" s="87"/>
      <c r="M11" s="87"/>
    </row>
    <row r="12" spans="1:13" ht="15.75">
      <c r="A12" s="491"/>
      <c r="B12" s="29"/>
      <c r="C12" s="236"/>
      <c r="D12" s="40" t="s">
        <v>442</v>
      </c>
      <c r="E12" s="261"/>
      <c r="F12" s="1"/>
      <c r="G12" s="1"/>
      <c r="H12" s="559"/>
      <c r="I12" s="87"/>
      <c r="J12" s="87"/>
      <c r="K12" s="87"/>
      <c r="L12" s="87"/>
      <c r="M12" s="87"/>
    </row>
    <row r="13" spans="1:13" ht="15.75">
      <c r="A13" s="491"/>
      <c r="B13" s="29"/>
      <c r="C13" s="2660">
        <f>+MAX(C$10:C10)+1</f>
        <v>1</v>
      </c>
      <c r="D13" s="51" t="s">
        <v>521</v>
      </c>
      <c r="E13" s="2750">
        <f>(COS_Unbun.!Y14+COS_Unbun.!Y17)/(COS_Unit!E15+COS_Unit!E18)</f>
        <v>6.1610203783462381E-2</v>
      </c>
      <c r="F13" s="2751"/>
      <c r="G13" s="2751"/>
      <c r="H13" s="2751">
        <f>(COS_Unbun.!AB14+COS_Unbun.!AB17)/(COS_Unit!E102+COS_Unit!E104)</f>
        <v>21.023422988783018</v>
      </c>
      <c r="I13" s="216"/>
      <c r="J13" s="174"/>
      <c r="K13" s="216"/>
      <c r="L13" s="216"/>
      <c r="M13" s="174"/>
    </row>
    <row r="14" spans="1:13" ht="15.75">
      <c r="A14" s="491"/>
      <c r="B14" s="29"/>
      <c r="C14" s="236">
        <f>+MAX(C$10:C13)+1</f>
        <v>2</v>
      </c>
      <c r="D14" s="1" t="str">
        <f>COS_Summ!D15</f>
        <v>Irrigation (3)</v>
      </c>
      <c r="E14" s="447"/>
      <c r="F14" s="474"/>
      <c r="G14" s="474"/>
      <c r="H14" s="474"/>
      <c r="I14" s="493"/>
      <c r="J14" s="174"/>
      <c r="K14" s="493"/>
      <c r="L14" s="493"/>
      <c r="M14" s="174"/>
    </row>
    <row r="15" spans="1:13" ht="15.75">
      <c r="A15" s="491"/>
      <c r="B15" s="29"/>
      <c r="C15" s="2660">
        <f>+MAX(C$10:C14)+1</f>
        <v>3</v>
      </c>
      <c r="D15" s="2752" t="s">
        <v>7</v>
      </c>
      <c r="E15" s="2750">
        <f>COS_Unit!E149</f>
        <v>3.9749220377251711E-2</v>
      </c>
      <c r="F15" s="2751"/>
      <c r="G15" s="2751">
        <f>COS_Unit!G149</f>
        <v>29.211999078469127</v>
      </c>
      <c r="H15" s="2751">
        <f>COS_Unit!H149</f>
        <v>101.28341013824885</v>
      </c>
      <c r="I15" s="493"/>
      <c r="J15" s="174"/>
      <c r="K15" s="493"/>
      <c r="L15" s="493"/>
      <c r="M15" s="174"/>
    </row>
    <row r="16" spans="1:13" ht="15.75">
      <c r="A16" s="491"/>
      <c r="B16" s="29"/>
      <c r="C16" s="236">
        <f>+MAX(C$10:C15)+1</f>
        <v>4</v>
      </c>
      <c r="D16" s="15" t="s">
        <v>8</v>
      </c>
      <c r="E16" s="447">
        <f>COS_Unit!E150</f>
        <v>4.0194437303012434E-2</v>
      </c>
      <c r="F16" s="474"/>
      <c r="G16" s="474">
        <f>COS_Unit!G150</f>
        <v>29.048761712315805</v>
      </c>
      <c r="H16" s="474">
        <f>COS_Unit!H150</f>
        <v>76.713765343291811</v>
      </c>
      <c r="I16" s="493"/>
      <c r="J16" s="174"/>
      <c r="K16" s="493"/>
      <c r="L16" s="493"/>
      <c r="M16" s="174"/>
    </row>
    <row r="17" spans="1:13" ht="15.75">
      <c r="A17" s="491"/>
      <c r="B17" s="29"/>
      <c r="C17" s="2660">
        <f>+MAX(C$10:C16)+1</f>
        <v>5</v>
      </c>
      <c r="D17" s="51" t="str">
        <f>COS_Summ!D16</f>
        <v>General Service (2) &amp; (PA)</v>
      </c>
      <c r="E17" s="2750"/>
      <c r="F17" s="2751"/>
      <c r="G17" s="2661"/>
      <c r="H17" s="2751"/>
      <c r="I17" s="493"/>
      <c r="J17" s="174"/>
      <c r="K17" s="493"/>
      <c r="L17" s="493"/>
      <c r="M17" s="174"/>
    </row>
    <row r="18" spans="1:13" ht="15.75">
      <c r="A18" s="491"/>
      <c r="B18" s="29"/>
      <c r="C18" s="236">
        <f>+MAX(C$10:C17)+1</f>
        <v>6</v>
      </c>
      <c r="D18" s="15" t="s">
        <v>1005</v>
      </c>
      <c r="E18" s="447">
        <f>(COS_Unbun.!Y25+COS_Unbun.!Y54)/(COS_Unit!E26+COS_Unit!E46)</f>
        <v>5.9854737128745207E-2</v>
      </c>
      <c r="F18" s="474"/>
      <c r="G18" s="16"/>
      <c r="H18" s="474">
        <f>(COS_Unbun.!AB25+COS_Unbun.!AB54)/(COS_Unit!E112+COS_Unit!E132)</f>
        <v>36.638453290443643</v>
      </c>
      <c r="I18" s="493"/>
      <c r="J18" s="174"/>
      <c r="K18" s="493"/>
      <c r="L18" s="493"/>
      <c r="M18" s="174"/>
    </row>
    <row r="19" spans="1:13" ht="15.75">
      <c r="A19" s="491"/>
      <c r="B19" s="29"/>
      <c r="C19" s="2660">
        <f>+MAX(C$10:C18)+1</f>
        <v>7</v>
      </c>
      <c r="D19" s="2752" t="s">
        <v>8</v>
      </c>
      <c r="E19" s="2750">
        <f>COS_Unit!E155</f>
        <v>4.0399357826108699E-2</v>
      </c>
      <c r="F19" s="2751">
        <f>COS_Unit!F155</f>
        <v>4.3691485902597602</v>
      </c>
      <c r="G19" s="2751"/>
      <c r="H19" s="2751">
        <f>COS_Unit!H155</f>
        <v>46.934245798535933</v>
      </c>
      <c r="I19" s="493"/>
      <c r="J19" s="174"/>
      <c r="K19" s="493"/>
      <c r="L19" s="493"/>
      <c r="M19" s="174"/>
    </row>
    <row r="20" spans="1:13" ht="15.75">
      <c r="A20" s="491"/>
      <c r="B20" s="29"/>
      <c r="C20" s="236">
        <f>+MAX(C$10:C19)+1</f>
        <v>8</v>
      </c>
      <c r="D20" s="1" t="str">
        <f>COS_Summ!D17</f>
        <v>Large General Service (7)</v>
      </c>
      <c r="E20" s="447">
        <f>COS_Unit!E158</f>
        <v>3.2118545270500072E-2</v>
      </c>
      <c r="F20" s="474">
        <f>COS_Unit!F158</f>
        <v>2.2687248914980929</v>
      </c>
      <c r="G20" s="474"/>
      <c r="H20" s="474">
        <f>COS_Unit!H158</f>
        <v>251.79691876750701</v>
      </c>
      <c r="I20" s="493"/>
      <c r="J20" s="174"/>
      <c r="K20" s="493"/>
      <c r="L20" s="493"/>
      <c r="M20" s="174"/>
    </row>
    <row r="21" spans="1:13" ht="15.75">
      <c r="A21" s="491"/>
      <c r="B21" s="29"/>
      <c r="C21" s="2660">
        <f>+MAX(C$10:C20)+1</f>
        <v>9</v>
      </c>
      <c r="D21" s="51" t="str">
        <f>COS_Summ!D18</f>
        <v>Industrial (14)</v>
      </c>
      <c r="E21" s="2750">
        <f>COS_Unit!E160</f>
        <v>2.2399568673385837E-3</v>
      </c>
      <c r="F21" s="2751">
        <f>COS_Unit!F160</f>
        <v>19.552448905861194</v>
      </c>
      <c r="G21" s="2751"/>
      <c r="H21" s="2751">
        <f>COS_Unit!H160</f>
        <v>414.19871794871796</v>
      </c>
      <c r="I21" s="493"/>
      <c r="J21" s="174"/>
      <c r="K21" s="493"/>
      <c r="L21" s="493"/>
      <c r="M21" s="174"/>
    </row>
    <row r="22" spans="1:13" ht="15.75">
      <c r="A22" s="491"/>
      <c r="B22" s="29"/>
      <c r="C22" s="236">
        <f>+MAX(C$10:C21)+1</f>
        <v>10</v>
      </c>
      <c r="D22" s="1" t="str">
        <f>COS_Summ!D19</f>
        <v>Large Industrial (15) &amp; (94)</v>
      </c>
      <c r="E22" s="447">
        <f>(COS_Unbun.!Y36+COS_Unbun.!Y45)/(COS_Unit!E34+COS_Unit!E40)</f>
        <v>2.2391255151582054E-3</v>
      </c>
      <c r="F22" s="474">
        <f>(COS_Unbun.!Z36+COS_Unbun.!Z45)/(COS_Unit!E75+COS_Unit!E81)</f>
        <v>19.547503744500961</v>
      </c>
      <c r="G22" s="16"/>
      <c r="H22" s="474">
        <f>(COS_Unbun.!AB36+COS_Unbun.!AB45)/(COS_Unit!E120+COS_Unit!E126)</f>
        <v>834.63095238095241</v>
      </c>
      <c r="I22" s="493"/>
      <c r="J22" s="174"/>
      <c r="K22" s="493"/>
      <c r="L22" s="493"/>
      <c r="M22" s="174"/>
    </row>
    <row r="23" spans="1:13" ht="15.75">
      <c r="A23" s="491"/>
      <c r="B23" s="29"/>
      <c r="C23" s="2660">
        <f>+MAX(C$10:C22)+1</f>
        <v>11</v>
      </c>
      <c r="D23" s="51" t="str">
        <f>COS_Summ!D20</f>
        <v>Agricultural Processing (16)</v>
      </c>
      <c r="E23" s="2750">
        <f>COS_Unit!E164</f>
        <v>2.240489719058875E-3</v>
      </c>
      <c r="F23" s="2751">
        <f>COS_Unit!F164</f>
        <v>17.526482728691974</v>
      </c>
      <c r="G23" s="2751"/>
      <c r="H23" s="2751">
        <f>COS_Unit!H164</f>
        <v>416.69696969696969</v>
      </c>
      <c r="I23" s="493"/>
      <c r="J23" s="174"/>
      <c r="K23" s="493"/>
      <c r="L23" s="493"/>
      <c r="M23" s="174"/>
    </row>
    <row r="24" spans="1:13" ht="15.75">
      <c r="A24" s="491"/>
      <c r="B24" s="29"/>
      <c r="C24" s="236">
        <f>+MAX(C$10:C23)+1</f>
        <v>12</v>
      </c>
      <c r="D24" s="1" t="str">
        <f>COS_Summ!D21</f>
        <v>Agricultural Boiler (85)</v>
      </c>
      <c r="E24" s="447">
        <f>IFERROR(COS_Unit!E166,0)</f>
        <v>0</v>
      </c>
      <c r="F24" s="474">
        <f>IFERROR(COS_Unit!F166,0)</f>
        <v>0</v>
      </c>
      <c r="G24" s="474"/>
      <c r="H24" s="474">
        <f>COS_Unit!H166</f>
        <v>400.41666666666669</v>
      </c>
      <c r="I24" s="493"/>
      <c r="J24" s="174"/>
      <c r="K24" s="493"/>
      <c r="L24" s="493"/>
      <c r="M24" s="174"/>
    </row>
    <row r="25" spans="1:13" ht="15.75">
      <c r="A25" s="491"/>
      <c r="B25" s="29"/>
      <c r="C25" s="2660">
        <f>+MAX(C$10:C24)+1</f>
        <v>13</v>
      </c>
      <c r="D25" s="51" t="str">
        <f>COS_Summ!D22</f>
        <v>Street Lights (6)</v>
      </c>
      <c r="E25" s="2750">
        <f>COS_Unit!E170</f>
        <v>0.16044406277624934</v>
      </c>
      <c r="F25" s="2751"/>
      <c r="G25" s="2751"/>
      <c r="H25" s="2751"/>
      <c r="I25" s="493"/>
      <c r="J25" s="174"/>
      <c r="K25" s="493"/>
      <c r="L25" s="493"/>
      <c r="M25" s="174"/>
    </row>
    <row r="26" spans="1:13" ht="15.75">
      <c r="A26" s="491"/>
      <c r="B26" s="29"/>
      <c r="C26" s="236">
        <f>+MAX(C$10:C25)+1</f>
        <v>14</v>
      </c>
      <c r="D26" s="1" t="str">
        <f>COS_Summ!D23</f>
        <v>Street Lights (2)</v>
      </c>
      <c r="E26" s="447">
        <f>COS_Unit!E172</f>
        <v>0.13841312685802271</v>
      </c>
      <c r="F26" s="474"/>
      <c r="G26" s="474"/>
      <c r="H26" s="474"/>
      <c r="I26" s="493"/>
      <c r="J26" s="174"/>
      <c r="K26" s="493"/>
      <c r="L26" s="493"/>
      <c r="M26" s="174"/>
    </row>
    <row r="27" spans="1:13" ht="15.75">
      <c r="A27" s="491"/>
      <c r="B27" s="29"/>
      <c r="C27" s="2660">
        <f>+MAX(C$10:C26)+1</f>
        <v>15</v>
      </c>
      <c r="D27" s="51" t="str">
        <f>COS_Summ!D24</f>
        <v>Alternate Power Sales</v>
      </c>
      <c r="E27" s="2750">
        <f>COS_Unit!E176</f>
        <v>0</v>
      </c>
      <c r="F27" s="2751"/>
      <c r="G27" s="2751"/>
      <c r="H27" s="2751"/>
      <c r="I27" s="493"/>
      <c r="J27" s="174"/>
      <c r="K27" s="493"/>
      <c r="L27" s="493"/>
      <c r="M27" s="174"/>
    </row>
    <row r="28" spans="1:13" ht="15.75" customHeight="1">
      <c r="A28" s="491"/>
      <c r="B28" s="29"/>
      <c r="C28" s="495"/>
      <c r="D28" s="87"/>
      <c r="E28" s="87"/>
      <c r="F28" s="87"/>
      <c r="G28" s="87"/>
      <c r="H28" s="87"/>
      <c r="I28" s="87"/>
      <c r="J28" s="87"/>
      <c r="K28" s="87"/>
      <c r="L28" s="87"/>
      <c r="M28" s="87"/>
    </row>
    <row r="29" spans="1:13" ht="15.75">
      <c r="A29" s="491"/>
      <c r="B29" s="29"/>
      <c r="C29" s="495"/>
      <c r="D29" s="1"/>
      <c r="E29" s="87"/>
      <c r="F29" s="87"/>
      <c r="G29" s="87"/>
      <c r="H29" s="87"/>
      <c r="I29" s="87"/>
      <c r="J29" s="87"/>
      <c r="K29" s="87"/>
      <c r="L29" s="87"/>
      <c r="M29" s="87"/>
    </row>
    <row r="30" spans="1:13" ht="15.75">
      <c r="A30" s="491"/>
      <c r="B30" s="29"/>
      <c r="C30" s="495"/>
      <c r="D30" s="1"/>
      <c r="E30" s="216"/>
      <c r="F30" s="216"/>
      <c r="G30" s="216"/>
      <c r="H30" s="216"/>
      <c r="I30" s="216"/>
      <c r="J30" s="174"/>
      <c r="K30" s="216"/>
      <c r="L30" s="216"/>
      <c r="M30" s="174"/>
    </row>
    <row r="31" spans="1:13" ht="15.75">
      <c r="A31" s="491"/>
      <c r="B31" s="29"/>
      <c r="C31" s="495"/>
      <c r="D31" s="87"/>
      <c r="E31" s="493"/>
      <c r="F31" s="493"/>
      <c r="G31" s="493"/>
      <c r="H31" s="493"/>
      <c r="I31" s="493"/>
      <c r="J31" s="174"/>
      <c r="K31" s="493"/>
      <c r="L31" s="493"/>
      <c r="M31" s="174"/>
    </row>
    <row r="32" spans="1:13" ht="15.75">
      <c r="A32" s="491"/>
      <c r="B32" s="29"/>
      <c r="C32" s="495"/>
      <c r="D32" s="87"/>
      <c r="E32" s="493"/>
      <c r="F32" s="493"/>
      <c r="G32" s="493"/>
      <c r="H32" s="493"/>
      <c r="I32" s="493"/>
      <c r="J32" s="174"/>
      <c r="K32" s="493"/>
      <c r="L32" s="493"/>
      <c r="M32" s="174"/>
    </row>
    <row r="33" spans="1:13" ht="15.75">
      <c r="A33" s="491"/>
      <c r="B33" s="29"/>
      <c r="C33" s="495"/>
      <c r="D33" s="87"/>
      <c r="E33" s="493"/>
      <c r="F33" s="493"/>
      <c r="G33" s="493"/>
      <c r="H33" s="493"/>
      <c r="I33" s="493"/>
      <c r="J33" s="174"/>
      <c r="K33" s="493"/>
      <c r="L33" s="493"/>
      <c r="M33" s="174"/>
    </row>
    <row r="34" spans="1:13" ht="15.75">
      <c r="A34" s="491"/>
      <c r="B34" s="29"/>
      <c r="C34" s="495"/>
      <c r="D34" s="87"/>
      <c r="E34" s="493"/>
      <c r="F34" s="493"/>
      <c r="G34" s="493"/>
      <c r="H34" s="493"/>
      <c r="I34" s="493"/>
      <c r="J34" s="174"/>
      <c r="K34" s="493"/>
      <c r="L34" s="493"/>
      <c r="M34" s="174"/>
    </row>
    <row r="35" spans="1:13" ht="15.75">
      <c r="A35" s="491"/>
      <c r="B35" s="29"/>
      <c r="C35" s="495"/>
      <c r="D35" s="87"/>
      <c r="E35" s="493"/>
      <c r="F35" s="493"/>
      <c r="G35" s="493"/>
      <c r="H35" s="493"/>
      <c r="I35" s="493"/>
      <c r="J35" s="174"/>
      <c r="K35" s="493"/>
      <c r="L35" s="493"/>
      <c r="M35" s="174"/>
    </row>
    <row r="36" spans="1:13" ht="15.75">
      <c r="A36" s="491"/>
      <c r="B36" s="29"/>
      <c r="C36" s="495"/>
      <c r="D36" s="87"/>
      <c r="E36" s="493"/>
      <c r="F36" s="493"/>
      <c r="G36" s="493"/>
      <c r="H36" s="493"/>
      <c r="I36" s="493"/>
      <c r="J36" s="174"/>
      <c r="K36" s="493"/>
      <c r="L36" s="493"/>
      <c r="M36" s="174"/>
    </row>
    <row r="37" spans="1:13" ht="15.75">
      <c r="A37" s="497"/>
      <c r="B37" s="29"/>
      <c r="C37" s="495"/>
      <c r="D37" s="87"/>
      <c r="E37" s="493"/>
      <c r="F37" s="493"/>
      <c r="G37" s="493"/>
      <c r="H37" s="493"/>
      <c r="I37" s="493"/>
      <c r="J37" s="174"/>
      <c r="K37" s="493"/>
      <c r="L37" s="493"/>
      <c r="M37" s="174"/>
    </row>
    <row r="38" spans="1:13" ht="15.75" hidden="1">
      <c r="A38" s="497"/>
      <c r="B38" s="29"/>
      <c r="C38" s="495"/>
      <c r="D38" s="87"/>
      <c r="E38" s="493"/>
      <c r="F38" s="216"/>
      <c r="G38" s="216"/>
      <c r="H38" s="216"/>
      <c r="I38" s="493"/>
      <c r="J38" s="174"/>
      <c r="K38" s="493"/>
      <c r="L38" s="216"/>
      <c r="M38" s="174"/>
    </row>
    <row r="39" spans="1:13" ht="15.75" hidden="1">
      <c r="A39" s="497"/>
      <c r="B39" s="29"/>
      <c r="C39" s="495"/>
      <c r="D39" s="498"/>
      <c r="E39" s="494"/>
      <c r="F39" s="494"/>
      <c r="G39" s="494"/>
      <c r="H39" s="494"/>
      <c r="I39" s="494"/>
      <c r="J39" s="174"/>
      <c r="K39" s="494"/>
      <c r="L39" s="494"/>
      <c r="M39" s="174"/>
    </row>
    <row r="40" spans="1:13" ht="15.75" hidden="1">
      <c r="A40" s="497"/>
      <c r="B40" s="29"/>
      <c r="C40" s="495"/>
      <c r="D40" s="87"/>
      <c r="E40" s="87"/>
      <c r="F40" s="87"/>
      <c r="G40" s="87"/>
      <c r="H40" s="87"/>
      <c r="I40" s="494"/>
      <c r="J40" s="87"/>
      <c r="K40" s="87"/>
      <c r="L40" s="87"/>
      <c r="M40" s="87"/>
    </row>
    <row r="41" spans="1:13" s="200" customFormat="1" ht="15.75" hidden="1">
      <c r="A41" s="497"/>
      <c r="B41"/>
      <c r="C41"/>
      <c r="D41"/>
      <c r="E41"/>
      <c r="F41"/>
      <c r="G41"/>
      <c r="H41"/>
      <c r="I41"/>
      <c r="J41"/>
      <c r="K41"/>
      <c r="L41"/>
      <c r="M41"/>
    </row>
    <row r="42" spans="1:13" s="200" customFormat="1" ht="15.75" hidden="1">
      <c r="A42" s="497"/>
      <c r="B42"/>
      <c r="C42"/>
      <c r="D42"/>
      <c r="E42"/>
      <c r="F42"/>
      <c r="G42"/>
      <c r="H42"/>
      <c r="I42"/>
      <c r="J42"/>
      <c r="K42"/>
      <c r="L42"/>
      <c r="M42"/>
    </row>
    <row r="43" spans="1:13" s="200" customFormat="1" ht="15.75" hidden="1">
      <c r="A43" s="497"/>
      <c r="B43"/>
      <c r="C43"/>
      <c r="D43"/>
      <c r="E43"/>
      <c r="F43"/>
      <c r="G43"/>
      <c r="H43"/>
      <c r="I43"/>
      <c r="J43"/>
      <c r="K43"/>
      <c r="L43"/>
      <c r="M43"/>
    </row>
    <row r="44" spans="1:13" s="200" customFormat="1" ht="15.75" hidden="1">
      <c r="A44" s="497"/>
      <c r="B44"/>
      <c r="C44"/>
      <c r="D44"/>
      <c r="E44"/>
      <c r="F44"/>
      <c r="G44"/>
      <c r="H44"/>
      <c r="I44"/>
      <c r="J44"/>
      <c r="K44"/>
      <c r="L44"/>
      <c r="M44"/>
    </row>
    <row r="45" spans="1:13" s="200" customFormat="1" ht="15.75" hidden="1">
      <c r="A45" s="497"/>
      <c r="B45"/>
      <c r="C45"/>
      <c r="D45"/>
      <c r="E45"/>
      <c r="F45"/>
      <c r="G45"/>
      <c r="H45"/>
      <c r="I45"/>
      <c r="J45"/>
      <c r="K45"/>
      <c r="L45"/>
      <c r="M45"/>
    </row>
    <row r="46" spans="1:13" s="200" customFormat="1" ht="15.75" hidden="1">
      <c r="A46" s="497"/>
      <c r="B46"/>
      <c r="C46"/>
      <c r="D46"/>
      <c r="E46"/>
      <c r="F46"/>
      <c r="G46"/>
      <c r="H46"/>
      <c r="I46"/>
      <c r="J46"/>
      <c r="K46"/>
      <c r="L46"/>
      <c r="M46"/>
    </row>
    <row r="47" spans="1:13" s="200" customFormat="1" ht="15.75" hidden="1">
      <c r="A47" s="497"/>
      <c r="B47"/>
      <c r="C47"/>
      <c r="D47"/>
      <c r="E47"/>
      <c r="F47"/>
      <c r="G47"/>
      <c r="H47"/>
      <c r="I47"/>
      <c r="J47"/>
      <c r="K47"/>
      <c r="L47"/>
      <c r="M47"/>
    </row>
    <row r="48" spans="1:13" s="200" customFormat="1" ht="15.75" hidden="1">
      <c r="A48" s="497"/>
      <c r="B48"/>
      <c r="C48"/>
      <c r="D48"/>
      <c r="E48"/>
      <c r="F48"/>
      <c r="G48"/>
      <c r="H48"/>
      <c r="I48"/>
      <c r="J48"/>
      <c r="K48"/>
      <c r="L48"/>
      <c r="M48"/>
    </row>
    <row r="49" spans="1:13" s="200" customFormat="1" ht="15.75" hidden="1">
      <c r="A49" s="497"/>
      <c r="B49"/>
      <c r="C49"/>
      <c r="D49"/>
      <c r="E49"/>
      <c r="F49"/>
      <c r="G49"/>
      <c r="H49"/>
      <c r="I49"/>
      <c r="J49"/>
      <c r="K49"/>
      <c r="L49"/>
      <c r="M49"/>
    </row>
    <row r="50" spans="1:13" s="200" customFormat="1" ht="15.75" hidden="1">
      <c r="A50" s="497"/>
      <c r="B50"/>
      <c r="C50"/>
      <c r="D50"/>
      <c r="E50"/>
      <c r="F50"/>
      <c r="G50"/>
      <c r="H50"/>
      <c r="I50"/>
      <c r="J50"/>
      <c r="K50"/>
      <c r="L50"/>
      <c r="M50"/>
    </row>
    <row r="51" spans="1:13" s="200" customFormat="1" ht="15.75" hidden="1">
      <c r="A51" s="497"/>
      <c r="B51"/>
      <c r="C51"/>
      <c r="D51"/>
      <c r="E51"/>
      <c r="F51"/>
      <c r="G51"/>
      <c r="H51"/>
      <c r="I51"/>
      <c r="J51"/>
      <c r="K51"/>
      <c r="L51"/>
      <c r="M51"/>
    </row>
    <row r="52" spans="1:13" s="200" customFormat="1" ht="2.25" hidden="1" customHeight="1">
      <c r="A52" s="497"/>
      <c r="B52"/>
      <c r="C52"/>
      <c r="D52"/>
      <c r="E52"/>
      <c r="F52"/>
      <c r="G52"/>
      <c r="H52"/>
      <c r="I52"/>
      <c r="J52"/>
      <c r="K52"/>
      <c r="L52"/>
      <c r="M52"/>
    </row>
    <row r="53" spans="1:13" s="200" customFormat="1" ht="15.75" hidden="1">
      <c r="A53" s="497"/>
      <c r="B53"/>
      <c r="C53"/>
      <c r="D53"/>
      <c r="E53"/>
      <c r="F53"/>
      <c r="G53"/>
      <c r="H53"/>
      <c r="I53"/>
      <c r="J53"/>
      <c r="K53"/>
      <c r="L53"/>
      <c r="M53"/>
    </row>
    <row r="54" spans="1:13" s="200" customFormat="1" ht="15.75" hidden="1">
      <c r="A54" s="497"/>
      <c r="B54" s="199"/>
      <c r="C54" s="83"/>
      <c r="D54" s="86"/>
      <c r="E54" s="86"/>
      <c r="F54" s="86"/>
      <c r="G54" s="86"/>
      <c r="H54" s="86"/>
      <c r="I54" s="86"/>
      <c r="J54" s="86"/>
      <c r="K54" s="86"/>
      <c r="L54" s="86"/>
      <c r="M54" s="86"/>
    </row>
    <row r="55" spans="1:13" s="200" customFormat="1" ht="15.75" hidden="1">
      <c r="A55" s="497"/>
      <c r="B55" s="199"/>
      <c r="C55" s="83"/>
      <c r="D55" s="86"/>
      <c r="E55" s="86"/>
      <c r="F55" s="86"/>
      <c r="G55" s="86"/>
      <c r="H55" s="86"/>
      <c r="I55" s="86"/>
      <c r="J55" s="86"/>
      <c r="K55" s="86"/>
      <c r="L55" s="86"/>
      <c r="M55" s="86"/>
    </row>
    <row r="56" spans="1:13" s="200" customFormat="1" ht="15.75" hidden="1">
      <c r="A56" s="497"/>
      <c r="B56" s="199"/>
      <c r="C56" s="83"/>
      <c r="D56" s="86"/>
      <c r="E56" s="86"/>
      <c r="F56" s="86"/>
      <c r="G56" s="86"/>
      <c r="H56" s="86"/>
      <c r="I56" s="86"/>
      <c r="J56" s="86"/>
      <c r="K56" s="86"/>
      <c r="L56" s="86"/>
      <c r="M56" s="86"/>
    </row>
    <row r="57" spans="1:13" s="200" customFormat="1" ht="15.75" hidden="1">
      <c r="A57" s="497"/>
      <c r="B57" s="199"/>
      <c r="C57" s="83"/>
      <c r="D57" s="86"/>
      <c r="E57" s="86"/>
      <c r="F57" s="86"/>
      <c r="G57" s="86"/>
      <c r="H57" s="86"/>
      <c r="I57" s="86"/>
      <c r="J57" s="86"/>
      <c r="K57" s="86"/>
      <c r="L57" s="86"/>
      <c r="M57" s="86"/>
    </row>
    <row r="58" spans="1:13" s="200" customFormat="1" ht="15.75" hidden="1">
      <c r="A58" s="497"/>
      <c r="B58" s="199"/>
      <c r="C58" s="83"/>
      <c r="D58" s="86"/>
      <c r="E58" s="86"/>
      <c r="F58" s="86"/>
      <c r="G58" s="86"/>
      <c r="H58" s="86"/>
      <c r="I58" s="86"/>
      <c r="J58" s="86"/>
      <c r="K58" s="86"/>
      <c r="L58" s="86"/>
      <c r="M58" s="86"/>
    </row>
    <row r="59" spans="1:13" s="200" customFormat="1" ht="15.75" hidden="1">
      <c r="A59" s="497"/>
      <c r="B59" s="199"/>
      <c r="C59" s="83"/>
      <c r="D59" s="86"/>
      <c r="E59" s="86"/>
      <c r="F59" s="86"/>
      <c r="G59" s="86"/>
      <c r="H59" s="86"/>
      <c r="I59" s="86"/>
      <c r="J59" s="86"/>
      <c r="K59" s="86"/>
      <c r="L59" s="86"/>
      <c r="M59" s="86"/>
    </row>
    <row r="60" spans="1:13" s="200" customFormat="1" ht="15.75" hidden="1">
      <c r="A60" s="497"/>
      <c r="B60" s="199"/>
      <c r="C60" s="83"/>
      <c r="D60" s="86"/>
      <c r="E60" s="86"/>
      <c r="F60" s="86"/>
      <c r="G60" s="86"/>
      <c r="H60" s="86"/>
      <c r="I60" s="86"/>
      <c r="J60" s="86"/>
      <c r="K60" s="86"/>
      <c r="L60" s="86"/>
      <c r="M60" s="86"/>
    </row>
    <row r="61" spans="1:13" s="200" customFormat="1" ht="15.75" hidden="1">
      <c r="A61" s="497"/>
      <c r="B61" s="199"/>
      <c r="C61" s="83"/>
      <c r="D61" s="86"/>
      <c r="E61" s="86"/>
      <c r="F61" s="86"/>
      <c r="G61" s="86"/>
      <c r="H61" s="86"/>
      <c r="I61" s="86"/>
      <c r="J61" s="86"/>
      <c r="K61" s="86"/>
      <c r="L61" s="86"/>
      <c r="M61" s="86"/>
    </row>
    <row r="62" spans="1:13" s="200" customFormat="1" ht="15.75" hidden="1">
      <c r="A62" s="497"/>
      <c r="B62" s="199"/>
      <c r="C62" s="83"/>
      <c r="D62" s="86"/>
      <c r="E62" s="86"/>
      <c r="F62" s="86"/>
      <c r="G62" s="86"/>
      <c r="H62" s="86"/>
      <c r="I62" s="86"/>
      <c r="J62" s="86"/>
      <c r="K62" s="86"/>
      <c r="L62" s="86"/>
      <c r="M62" s="86"/>
    </row>
    <row r="63" spans="1:13" s="200" customFormat="1" ht="15.75" hidden="1">
      <c r="B63" s="199"/>
      <c r="C63" s="83"/>
      <c r="D63" s="86"/>
      <c r="E63" s="86"/>
      <c r="F63" s="86"/>
      <c r="G63" s="86"/>
      <c r="H63" s="86"/>
      <c r="I63" s="86"/>
      <c r="J63" s="86"/>
      <c r="K63" s="86"/>
      <c r="L63" s="86"/>
      <c r="M63" s="86"/>
    </row>
    <row r="64" spans="1:13" s="200" customFormat="1" ht="15.75" hidden="1">
      <c r="B64" s="199"/>
      <c r="C64" s="83"/>
      <c r="D64" s="86"/>
      <c r="E64" s="86"/>
      <c r="F64" s="86"/>
      <c r="G64" s="86"/>
      <c r="H64" s="86"/>
      <c r="I64" s="86"/>
      <c r="J64" s="86"/>
      <c r="K64" s="86"/>
      <c r="L64" s="86"/>
      <c r="M64" s="86"/>
    </row>
    <row r="65" spans="2:13" s="200" customFormat="1" ht="15.75" hidden="1">
      <c r="B65" s="199"/>
      <c r="C65" s="83"/>
      <c r="D65" s="86"/>
      <c r="E65" s="86"/>
      <c r="F65" s="86"/>
      <c r="G65" s="86"/>
      <c r="H65" s="86"/>
      <c r="I65" s="86"/>
      <c r="J65" s="86"/>
      <c r="K65" s="86"/>
      <c r="L65" s="86"/>
      <c r="M65" s="86"/>
    </row>
    <row r="66" spans="2:13" s="200" customFormat="1" ht="15.75" hidden="1">
      <c r="B66" s="199"/>
      <c r="C66" s="83"/>
      <c r="D66" s="86"/>
      <c r="E66" s="86"/>
      <c r="F66" s="86"/>
      <c r="G66" s="86"/>
      <c r="H66" s="86"/>
      <c r="I66" s="86"/>
      <c r="J66" s="86"/>
      <c r="K66" s="86"/>
      <c r="L66" s="86"/>
      <c r="M66" s="86"/>
    </row>
    <row r="67" spans="2:13" s="200" customFormat="1" ht="15.75" hidden="1">
      <c r="B67" s="199"/>
      <c r="C67" s="83"/>
      <c r="D67" s="86"/>
      <c r="E67" s="86"/>
      <c r="F67" s="86"/>
      <c r="G67" s="86"/>
      <c r="H67" s="86"/>
      <c r="I67" s="86"/>
      <c r="J67" s="86"/>
      <c r="K67" s="86"/>
      <c r="L67" s="86"/>
      <c r="M67" s="86"/>
    </row>
    <row r="68" spans="2:13" s="200" customFormat="1" ht="15.75" hidden="1">
      <c r="B68" s="199"/>
      <c r="C68" s="83"/>
      <c r="D68" s="86"/>
      <c r="E68" s="86"/>
      <c r="F68" s="86"/>
      <c r="G68" s="86"/>
      <c r="H68" s="86"/>
      <c r="I68" s="86"/>
      <c r="J68" s="86"/>
      <c r="K68" s="86"/>
      <c r="L68" s="86"/>
      <c r="M68" s="86"/>
    </row>
    <row r="69" spans="2:13" s="200" customFormat="1" ht="15.75" hidden="1">
      <c r="B69" s="199"/>
      <c r="C69" s="83"/>
      <c r="D69" s="86"/>
      <c r="E69" s="86"/>
      <c r="F69" s="86"/>
      <c r="G69" s="86"/>
      <c r="H69" s="86"/>
      <c r="I69" s="86"/>
      <c r="J69" s="86"/>
      <c r="K69" s="86"/>
      <c r="L69" s="86"/>
      <c r="M69" s="86"/>
    </row>
    <row r="70" spans="2:13" s="200" customFormat="1" ht="15.75" hidden="1">
      <c r="B70" s="199"/>
      <c r="C70" s="83"/>
      <c r="D70" s="86"/>
      <c r="E70" s="86"/>
      <c r="F70" s="86"/>
      <c r="G70" s="86"/>
      <c r="H70" s="86"/>
      <c r="I70" s="86"/>
      <c r="J70" s="86"/>
      <c r="K70" s="86"/>
      <c r="L70" s="86"/>
      <c r="M70" s="86"/>
    </row>
    <row r="71" spans="2:13" s="200" customFormat="1" ht="15.75" hidden="1">
      <c r="B71" s="199"/>
      <c r="C71" s="83"/>
      <c r="D71" s="86"/>
      <c r="E71" s="86"/>
      <c r="F71" s="86"/>
      <c r="G71" s="86"/>
      <c r="H71" s="86"/>
      <c r="I71" s="86"/>
      <c r="J71" s="86"/>
      <c r="K71" s="86"/>
      <c r="L71" s="86"/>
      <c r="M71" s="86"/>
    </row>
    <row r="72" spans="2:13" s="200" customFormat="1" ht="15.75" hidden="1">
      <c r="B72" s="199"/>
      <c r="C72" s="83"/>
      <c r="D72" s="86"/>
      <c r="E72" s="86"/>
      <c r="F72" s="86"/>
      <c r="G72" s="86"/>
      <c r="H72" s="86"/>
      <c r="I72" s="86"/>
      <c r="J72" s="86"/>
      <c r="K72" s="86"/>
      <c r="L72" s="86"/>
      <c r="M72" s="86"/>
    </row>
    <row r="73" spans="2:13" s="200" customFormat="1" ht="15.75" hidden="1">
      <c r="B73" s="199"/>
      <c r="C73" s="83"/>
      <c r="D73" s="86"/>
      <c r="E73" s="86"/>
      <c r="F73" s="86"/>
      <c r="G73" s="86"/>
      <c r="H73" s="86"/>
      <c r="I73" s="86"/>
      <c r="J73" s="86"/>
      <c r="K73" s="86"/>
      <c r="L73" s="86"/>
      <c r="M73" s="86"/>
    </row>
    <row r="74" spans="2:13" s="200" customFormat="1" ht="15.75" hidden="1">
      <c r="B74" s="199"/>
      <c r="C74" s="83"/>
      <c r="D74" s="86"/>
      <c r="E74" s="86"/>
      <c r="F74" s="86"/>
      <c r="G74" s="86"/>
      <c r="H74" s="86"/>
      <c r="I74" s="86"/>
      <c r="J74" s="86"/>
      <c r="K74" s="86"/>
      <c r="L74" s="86"/>
      <c r="M74" s="86"/>
    </row>
    <row r="75" spans="2:13" s="200" customFormat="1" ht="15.75" hidden="1">
      <c r="B75" s="199"/>
      <c r="C75" s="83"/>
      <c r="D75" s="86"/>
      <c r="E75" s="86"/>
      <c r="F75" s="86"/>
      <c r="G75" s="86"/>
      <c r="H75" s="86"/>
      <c r="I75" s="86"/>
      <c r="J75" s="86"/>
      <c r="K75" s="86"/>
      <c r="L75" s="86"/>
      <c r="M75" s="86"/>
    </row>
    <row r="76" spans="2:13" s="200" customFormat="1" ht="15.75" hidden="1">
      <c r="B76" s="199"/>
      <c r="C76" s="83"/>
      <c r="D76" s="86"/>
      <c r="E76" s="86"/>
      <c r="F76" s="86"/>
      <c r="G76" s="86"/>
      <c r="H76" s="86"/>
      <c r="I76" s="86"/>
      <c r="J76" s="86"/>
      <c r="K76" s="86"/>
      <c r="L76" s="86"/>
      <c r="M76" s="86"/>
    </row>
    <row r="77" spans="2:13" s="200" customFormat="1" ht="15.75" hidden="1">
      <c r="B77" s="199"/>
      <c r="C77" s="83"/>
      <c r="D77" s="86"/>
      <c r="E77" s="86"/>
      <c r="F77" s="86"/>
      <c r="G77" s="86"/>
      <c r="H77" s="86"/>
      <c r="I77" s="86"/>
      <c r="J77" s="86"/>
      <c r="K77" s="86"/>
      <c r="L77" s="86"/>
      <c r="M77" s="86"/>
    </row>
    <row r="78" spans="2:13" s="200" customFormat="1" ht="15.75" hidden="1">
      <c r="B78" s="199"/>
      <c r="C78" s="83"/>
      <c r="D78" s="86"/>
      <c r="E78" s="86"/>
      <c r="F78" s="86"/>
      <c r="G78" s="86"/>
      <c r="H78" s="86"/>
      <c r="I78" s="86"/>
      <c r="J78" s="86"/>
      <c r="K78" s="86"/>
      <c r="L78" s="86"/>
      <c r="M78" s="86"/>
    </row>
    <row r="79" spans="2:13" s="200" customFormat="1" ht="15.75" hidden="1">
      <c r="B79" s="199"/>
      <c r="C79" s="83"/>
      <c r="D79" s="86"/>
      <c r="E79" s="86"/>
      <c r="F79" s="86"/>
      <c r="G79" s="86"/>
      <c r="H79" s="86"/>
      <c r="I79" s="86"/>
      <c r="J79" s="86"/>
      <c r="K79" s="86"/>
      <c r="L79" s="86"/>
      <c r="M79" s="86"/>
    </row>
    <row r="80" spans="2:13" s="200" customFormat="1" ht="15.75" hidden="1">
      <c r="B80" s="199"/>
      <c r="C80" s="83"/>
      <c r="D80" s="86"/>
      <c r="E80" s="86"/>
      <c r="F80" s="86"/>
      <c r="G80" s="86"/>
      <c r="H80" s="86"/>
      <c r="I80" s="86"/>
      <c r="J80" s="86"/>
      <c r="K80" s="86"/>
      <c r="L80" s="86"/>
      <c r="M80" s="86"/>
    </row>
    <row r="81" spans="2:13" s="200" customFormat="1" ht="15.75" hidden="1">
      <c r="B81" s="199"/>
      <c r="C81" s="83"/>
      <c r="D81" s="86"/>
      <c r="E81" s="86"/>
      <c r="F81" s="86"/>
      <c r="G81" s="86"/>
      <c r="H81" s="86"/>
      <c r="I81" s="86"/>
      <c r="J81" s="86"/>
      <c r="K81" s="86"/>
      <c r="L81" s="86"/>
      <c r="M81" s="86"/>
    </row>
    <row r="82" spans="2:13" s="200" customFormat="1" ht="15.75" hidden="1">
      <c r="B82" s="199"/>
      <c r="C82" s="83"/>
      <c r="D82" s="86"/>
      <c r="E82" s="86"/>
      <c r="F82" s="86"/>
      <c r="G82" s="86"/>
      <c r="H82" s="86"/>
      <c r="I82" s="86"/>
      <c r="J82" s="86"/>
      <c r="K82" s="86"/>
      <c r="L82" s="86"/>
      <c r="M82" s="86"/>
    </row>
    <row r="83" spans="2:13" s="200" customFormat="1" ht="15.75" hidden="1">
      <c r="B83" s="199"/>
      <c r="C83" s="83"/>
      <c r="D83" s="86"/>
      <c r="E83" s="86"/>
      <c r="F83" s="86"/>
      <c r="G83" s="86"/>
      <c r="H83" s="86"/>
      <c r="I83" s="86"/>
      <c r="J83" s="86"/>
      <c r="K83" s="86"/>
      <c r="L83" s="86"/>
      <c r="M83" s="86"/>
    </row>
    <row r="84" spans="2:13" s="200" customFormat="1" ht="15.75" hidden="1">
      <c r="B84" s="199"/>
      <c r="C84" s="83"/>
      <c r="D84" s="86"/>
      <c r="E84" s="86"/>
      <c r="F84" s="86"/>
      <c r="G84" s="86"/>
      <c r="H84" s="86"/>
      <c r="I84" s="86"/>
      <c r="J84" s="86"/>
      <c r="K84" s="86"/>
      <c r="L84" s="86"/>
      <c r="M84" s="86"/>
    </row>
    <row r="85" spans="2:13" s="200" customFormat="1" ht="15.75" hidden="1">
      <c r="B85" s="199"/>
      <c r="C85" s="83"/>
      <c r="D85" s="86"/>
      <c r="E85" s="86"/>
      <c r="F85" s="86"/>
      <c r="G85" s="86"/>
      <c r="H85" s="86"/>
      <c r="I85" s="86"/>
      <c r="J85" s="86"/>
      <c r="K85" s="86"/>
      <c r="L85" s="86"/>
      <c r="M85" s="86"/>
    </row>
    <row r="86" spans="2:13" s="200" customFormat="1" ht="15.75" hidden="1">
      <c r="B86" s="199"/>
      <c r="C86" s="83"/>
      <c r="D86" s="86"/>
      <c r="E86" s="86"/>
      <c r="F86" s="86"/>
      <c r="G86" s="86"/>
      <c r="H86" s="86"/>
      <c r="I86" s="86"/>
      <c r="J86" s="86"/>
      <c r="K86" s="86"/>
      <c r="L86" s="86"/>
      <c r="M86" s="86"/>
    </row>
    <row r="87" spans="2:13" s="200" customFormat="1" ht="15.75" hidden="1">
      <c r="B87" s="199"/>
      <c r="C87" s="83"/>
      <c r="D87" s="86"/>
      <c r="E87" s="86"/>
      <c r="F87" s="86"/>
      <c r="G87" s="86"/>
      <c r="H87" s="86"/>
      <c r="I87" s="86"/>
      <c r="J87" s="86"/>
      <c r="K87" s="86"/>
      <c r="L87" s="86"/>
      <c r="M87" s="86"/>
    </row>
    <row r="88" spans="2:13" s="200" customFormat="1" ht="15.75" hidden="1">
      <c r="B88" s="199"/>
      <c r="C88" s="83"/>
      <c r="D88" s="86"/>
      <c r="E88" s="86"/>
      <c r="F88" s="86"/>
      <c r="G88" s="86"/>
      <c r="H88" s="86"/>
      <c r="I88" s="86"/>
      <c r="J88" s="86"/>
      <c r="K88" s="86"/>
      <c r="L88" s="86"/>
      <c r="M88" s="86"/>
    </row>
    <row r="89" spans="2:13" s="200" customFormat="1" ht="15.75" hidden="1">
      <c r="B89" s="199"/>
      <c r="C89" s="83"/>
      <c r="D89" s="86"/>
      <c r="E89" s="86"/>
      <c r="F89" s="86"/>
      <c r="G89" s="86"/>
      <c r="H89" s="86"/>
      <c r="I89" s="86"/>
      <c r="J89" s="86"/>
      <c r="K89" s="86"/>
      <c r="L89" s="86"/>
      <c r="M89" s="86"/>
    </row>
    <row r="90" spans="2:13" s="200" customFormat="1" ht="15.75" hidden="1">
      <c r="B90" s="199"/>
      <c r="C90" s="83"/>
      <c r="D90" s="86"/>
      <c r="E90" s="86"/>
      <c r="F90" s="86"/>
      <c r="G90" s="86"/>
      <c r="H90" s="86"/>
      <c r="I90" s="86"/>
      <c r="J90" s="86"/>
      <c r="K90" s="86"/>
      <c r="L90" s="86"/>
      <c r="M90" s="86"/>
    </row>
    <row r="91" spans="2:13" s="200" customFormat="1" ht="15.75" hidden="1">
      <c r="B91" s="199"/>
      <c r="C91" s="83"/>
      <c r="D91" s="86"/>
      <c r="E91" s="86"/>
      <c r="F91" s="86"/>
      <c r="G91" s="86"/>
      <c r="H91" s="86"/>
      <c r="I91" s="86"/>
      <c r="J91" s="86"/>
      <c r="K91" s="86"/>
      <c r="L91" s="86"/>
      <c r="M91" s="86"/>
    </row>
    <row r="92" spans="2:13" s="200" customFormat="1" ht="15.75" hidden="1">
      <c r="B92" s="199"/>
      <c r="C92" s="83"/>
      <c r="D92" s="86"/>
      <c r="E92" s="86"/>
      <c r="F92" s="86"/>
      <c r="G92" s="86"/>
      <c r="H92" s="86"/>
      <c r="I92" s="86"/>
      <c r="J92" s="86"/>
      <c r="K92" s="86"/>
      <c r="L92" s="86"/>
      <c r="M92" s="86"/>
    </row>
    <row r="93" spans="2:13" s="200" customFormat="1" ht="15.75" hidden="1">
      <c r="B93" s="199"/>
      <c r="C93" s="83"/>
      <c r="D93" s="86"/>
      <c r="E93" s="86"/>
      <c r="F93" s="86"/>
      <c r="G93" s="86"/>
      <c r="H93" s="86"/>
      <c r="I93" s="86"/>
      <c r="J93" s="86"/>
      <c r="K93" s="86"/>
      <c r="L93" s="86"/>
      <c r="M93" s="86"/>
    </row>
    <row r="94" spans="2:13" s="200" customFormat="1" ht="15.75" hidden="1">
      <c r="B94" s="199"/>
      <c r="C94" s="83"/>
      <c r="D94" s="86"/>
      <c r="E94" s="86"/>
      <c r="F94" s="86"/>
      <c r="G94" s="86"/>
      <c r="H94" s="86"/>
      <c r="I94" s="86"/>
      <c r="J94" s="86"/>
      <c r="K94" s="86"/>
      <c r="L94" s="86"/>
      <c r="M94" s="86"/>
    </row>
    <row r="95" spans="2:13" s="200" customFormat="1" ht="15.75" hidden="1">
      <c r="B95" s="199"/>
      <c r="C95" s="83"/>
      <c r="D95" s="86"/>
      <c r="E95" s="86"/>
      <c r="F95" s="86"/>
      <c r="G95" s="86"/>
      <c r="H95" s="86"/>
      <c r="I95" s="86"/>
      <c r="J95" s="86"/>
      <c r="K95" s="86"/>
      <c r="L95" s="86"/>
      <c r="M95" s="86"/>
    </row>
    <row r="96" spans="2:13" s="200" customFormat="1" ht="15.75" hidden="1">
      <c r="B96" s="199"/>
      <c r="C96" s="83"/>
      <c r="D96" s="86"/>
      <c r="E96" s="86"/>
      <c r="F96" s="86"/>
      <c r="G96" s="86"/>
      <c r="H96" s="86"/>
      <c r="I96" s="86"/>
      <c r="J96" s="86"/>
      <c r="K96" s="86"/>
      <c r="L96" s="86"/>
      <c r="M96" s="86"/>
    </row>
    <row r="97" spans="2:13" s="200" customFormat="1" ht="15.75" hidden="1">
      <c r="B97" s="199"/>
      <c r="C97" s="83"/>
      <c r="D97" s="86"/>
      <c r="E97" s="86"/>
      <c r="F97" s="86"/>
      <c r="G97" s="86"/>
      <c r="H97" s="86"/>
      <c r="I97" s="86"/>
      <c r="J97" s="86"/>
      <c r="K97" s="86"/>
      <c r="L97" s="86"/>
      <c r="M97" s="86"/>
    </row>
    <row r="98" spans="2:13" s="200" customFormat="1" ht="15.75" hidden="1">
      <c r="B98" s="199"/>
      <c r="C98" s="83"/>
      <c r="D98" s="86"/>
      <c r="E98" s="86"/>
      <c r="F98" s="86"/>
      <c r="G98" s="86"/>
      <c r="H98" s="86"/>
      <c r="I98" s="86"/>
      <c r="J98" s="86"/>
      <c r="K98" s="86"/>
      <c r="L98" s="86"/>
      <c r="M98" s="86"/>
    </row>
    <row r="99" spans="2:13" s="200" customFormat="1" ht="15.75" hidden="1">
      <c r="B99" s="199"/>
      <c r="C99" s="83"/>
      <c r="D99" s="86"/>
      <c r="E99" s="86"/>
      <c r="F99" s="86"/>
      <c r="G99" s="86"/>
      <c r="H99" s="86"/>
      <c r="I99" s="86"/>
      <c r="J99" s="86"/>
      <c r="K99" s="86"/>
      <c r="L99" s="86"/>
      <c r="M99" s="86"/>
    </row>
    <row r="100" spans="2:13" s="200" customFormat="1" ht="15.75" hidden="1">
      <c r="B100" s="199"/>
      <c r="C100" s="83"/>
      <c r="D100" s="86"/>
      <c r="E100" s="86"/>
      <c r="F100" s="86"/>
      <c r="G100" s="86"/>
      <c r="H100" s="86"/>
      <c r="I100" s="86"/>
      <c r="J100" s="86"/>
      <c r="K100" s="86"/>
      <c r="L100" s="86"/>
      <c r="M100" s="86"/>
    </row>
    <row r="101" spans="2:13" s="200" customFormat="1" ht="15.75" hidden="1">
      <c r="B101" s="199"/>
      <c r="C101" s="83"/>
      <c r="D101" s="86"/>
      <c r="E101" s="86"/>
      <c r="F101" s="86"/>
      <c r="G101" s="86"/>
      <c r="H101" s="86"/>
      <c r="I101" s="86"/>
      <c r="J101" s="86"/>
      <c r="K101" s="86"/>
      <c r="L101" s="86"/>
      <c r="M101" s="86"/>
    </row>
    <row r="102" spans="2:13" s="200" customFormat="1" ht="15.75" hidden="1">
      <c r="B102" s="199"/>
      <c r="C102" s="83"/>
      <c r="D102" s="86"/>
      <c r="E102" s="86"/>
      <c r="F102" s="86"/>
      <c r="G102" s="86"/>
      <c r="H102" s="86"/>
      <c r="I102" s="86"/>
      <c r="J102" s="86"/>
      <c r="K102" s="86"/>
      <c r="L102" s="86"/>
      <c r="M102" s="86"/>
    </row>
    <row r="103" spans="2:13" s="200" customFormat="1" ht="15.75" hidden="1">
      <c r="B103" s="199"/>
      <c r="C103" s="83"/>
      <c r="D103" s="86"/>
      <c r="E103" s="86"/>
      <c r="F103" s="86"/>
      <c r="G103" s="86"/>
      <c r="H103" s="86"/>
      <c r="I103" s="86"/>
      <c r="J103" s="86"/>
      <c r="K103" s="86"/>
      <c r="L103" s="86"/>
      <c r="M103" s="86"/>
    </row>
    <row r="104" spans="2:13" s="200" customFormat="1" ht="15.75" hidden="1">
      <c r="B104" s="199"/>
      <c r="C104" s="83"/>
      <c r="D104" s="86"/>
      <c r="E104" s="86"/>
      <c r="F104" s="86"/>
      <c r="G104" s="86"/>
      <c r="H104" s="86"/>
      <c r="I104" s="86"/>
      <c r="J104" s="86"/>
      <c r="K104" s="86"/>
      <c r="L104" s="86"/>
      <c r="M104" s="86"/>
    </row>
    <row r="105" spans="2:13" s="200" customFormat="1" ht="2.25" hidden="1" customHeight="1">
      <c r="B105" s="199"/>
      <c r="C105" s="83"/>
      <c r="D105" s="86"/>
      <c r="E105" s="86"/>
      <c r="F105" s="86"/>
      <c r="G105" s="86"/>
      <c r="H105" s="86"/>
      <c r="I105" s="86"/>
      <c r="J105" s="86"/>
      <c r="K105" s="86"/>
      <c r="L105" s="86"/>
      <c r="M105" s="86"/>
    </row>
    <row r="106" spans="2:13" s="200" customFormat="1" ht="15.75" hidden="1">
      <c r="B106" s="199"/>
      <c r="C106" s="83"/>
      <c r="D106" s="86"/>
      <c r="E106" s="86"/>
      <c r="F106" s="86"/>
      <c r="G106" s="86"/>
      <c r="H106" s="86"/>
      <c r="I106" s="86"/>
      <c r="J106" s="86"/>
      <c r="K106" s="86"/>
      <c r="L106" s="86"/>
      <c r="M106" s="86"/>
    </row>
    <row r="107" spans="2:13" s="200" customFormat="1" ht="15.75" hidden="1">
      <c r="B107" s="199"/>
      <c r="C107" s="83"/>
      <c r="D107" s="86"/>
      <c r="E107" s="86"/>
      <c r="F107" s="86"/>
      <c r="G107" s="86"/>
      <c r="H107" s="86"/>
      <c r="I107" s="86"/>
      <c r="J107" s="86"/>
      <c r="K107" s="86"/>
      <c r="L107" s="86"/>
      <c r="M107" s="86"/>
    </row>
    <row r="108" spans="2:13" s="200" customFormat="1" ht="15.75" hidden="1">
      <c r="B108" s="199"/>
      <c r="C108" s="83"/>
      <c r="D108" s="86"/>
      <c r="E108" s="86"/>
      <c r="F108" s="86"/>
      <c r="G108" s="86"/>
      <c r="H108" s="86"/>
      <c r="I108" s="86"/>
      <c r="J108" s="86"/>
      <c r="K108" s="86"/>
      <c r="L108" s="86"/>
      <c r="M108" s="86"/>
    </row>
    <row r="109" spans="2:13" s="200" customFormat="1" ht="15.75" hidden="1">
      <c r="B109" s="199"/>
      <c r="C109" s="83"/>
      <c r="D109" s="86"/>
      <c r="E109" s="86"/>
      <c r="F109" s="86"/>
      <c r="G109" s="86"/>
      <c r="H109" s="86"/>
      <c r="I109" s="86"/>
      <c r="J109" s="86"/>
      <c r="K109" s="86"/>
      <c r="L109" s="86"/>
      <c r="M109" s="86"/>
    </row>
    <row r="110" spans="2:13" s="200" customFormat="1" ht="15.75" hidden="1">
      <c r="B110" s="199"/>
      <c r="C110" s="83"/>
      <c r="D110" s="86"/>
      <c r="E110" s="86"/>
      <c r="F110" s="86"/>
      <c r="G110" s="86"/>
      <c r="H110" s="86"/>
      <c r="I110" s="86"/>
      <c r="J110" s="86"/>
      <c r="K110" s="86"/>
      <c r="L110" s="86"/>
      <c r="M110" s="86"/>
    </row>
    <row r="111" spans="2:13" s="200" customFormat="1" ht="15.75" hidden="1">
      <c r="B111" s="199"/>
      <c r="C111" s="83"/>
      <c r="D111" s="86"/>
      <c r="E111" s="86"/>
      <c r="F111" s="86"/>
      <c r="G111" s="86"/>
      <c r="H111" s="86"/>
      <c r="I111" s="86"/>
      <c r="J111" s="86"/>
      <c r="K111" s="86"/>
      <c r="L111" s="86"/>
      <c r="M111" s="86"/>
    </row>
    <row r="112" spans="2:13" s="200" customFormat="1" ht="15.75" hidden="1">
      <c r="B112" s="199"/>
      <c r="C112" s="83"/>
      <c r="D112" s="86"/>
      <c r="E112" s="86"/>
      <c r="F112" s="86"/>
      <c r="G112" s="86"/>
      <c r="H112" s="86"/>
      <c r="I112" s="86"/>
      <c r="J112" s="86"/>
      <c r="K112" s="86"/>
      <c r="L112" s="86"/>
      <c r="M112" s="86"/>
    </row>
    <row r="113" spans="2:13" s="200" customFormat="1" ht="15.75" hidden="1">
      <c r="B113" s="199"/>
      <c r="C113" s="83"/>
      <c r="D113" s="86"/>
      <c r="E113" s="86"/>
      <c r="F113" s="86"/>
      <c r="G113" s="86"/>
      <c r="H113" s="86"/>
      <c r="I113" s="86"/>
      <c r="J113" s="86"/>
      <c r="K113" s="86"/>
      <c r="L113" s="86"/>
      <c r="M113" s="86"/>
    </row>
    <row r="114" spans="2:13" s="200" customFormat="1" ht="15.75" hidden="1">
      <c r="B114" s="199"/>
      <c r="C114" s="83"/>
      <c r="D114" s="86"/>
      <c r="E114" s="86"/>
      <c r="F114" s="86"/>
      <c r="G114" s="86"/>
      <c r="H114" s="86"/>
      <c r="I114" s="86"/>
      <c r="J114" s="86"/>
      <c r="K114" s="86"/>
      <c r="L114" s="86"/>
      <c r="M114" s="86"/>
    </row>
    <row r="115" spans="2:13" s="200" customFormat="1" ht="15.75" hidden="1">
      <c r="B115" s="199"/>
      <c r="C115" s="83"/>
      <c r="D115" s="86"/>
      <c r="E115" s="86"/>
      <c r="F115" s="86"/>
      <c r="G115" s="86"/>
      <c r="H115" s="86"/>
      <c r="I115" s="86"/>
      <c r="J115" s="86"/>
      <c r="K115" s="86"/>
      <c r="L115" s="86"/>
      <c r="M115" s="86"/>
    </row>
    <row r="116" spans="2:13" s="200" customFormat="1" ht="15.75" hidden="1">
      <c r="B116" s="199"/>
      <c r="C116" s="83"/>
      <c r="D116" s="86"/>
      <c r="E116" s="86"/>
      <c r="F116" s="86"/>
      <c r="G116" s="86"/>
      <c r="H116" s="86"/>
      <c r="I116" s="86"/>
      <c r="J116" s="86"/>
      <c r="K116" s="86"/>
      <c r="L116" s="86"/>
      <c r="M116" s="86"/>
    </row>
    <row r="117" spans="2:13" s="200" customFormat="1" ht="15.75" hidden="1">
      <c r="B117" s="199"/>
      <c r="C117" s="83"/>
      <c r="D117" s="86"/>
      <c r="E117" s="86"/>
      <c r="F117" s="86"/>
      <c r="G117" s="86"/>
      <c r="H117" s="86"/>
      <c r="I117" s="86"/>
      <c r="J117" s="86"/>
      <c r="K117" s="86"/>
      <c r="L117" s="86"/>
      <c r="M117" s="86"/>
    </row>
    <row r="118" spans="2:13" s="200" customFormat="1" ht="15.75" hidden="1">
      <c r="B118" s="199"/>
      <c r="C118" s="83"/>
      <c r="D118" s="86"/>
      <c r="E118" s="86"/>
      <c r="F118" s="86"/>
      <c r="G118" s="86"/>
      <c r="H118" s="86"/>
      <c r="I118" s="86"/>
      <c r="J118" s="86"/>
      <c r="K118" s="86"/>
      <c r="L118" s="86"/>
      <c r="M118" s="86"/>
    </row>
    <row r="119" spans="2:13" s="200" customFormat="1" ht="3" hidden="1" customHeight="1">
      <c r="B119" s="199"/>
      <c r="C119" s="83"/>
      <c r="D119" s="86"/>
      <c r="E119" s="86"/>
      <c r="F119" s="86"/>
      <c r="G119" s="86"/>
      <c r="H119" s="86"/>
      <c r="I119" s="86"/>
      <c r="J119" s="86"/>
      <c r="K119" s="86"/>
      <c r="L119" s="86"/>
      <c r="M119" s="86"/>
    </row>
    <row r="120" spans="2:13" s="200" customFormat="1" ht="15.75" hidden="1">
      <c r="B120" s="199"/>
      <c r="C120" s="83"/>
      <c r="D120" s="86"/>
      <c r="E120" s="86"/>
      <c r="F120" s="86"/>
      <c r="G120" s="86"/>
      <c r="H120" s="86"/>
      <c r="I120" s="86"/>
      <c r="J120" s="86"/>
      <c r="K120" s="86"/>
      <c r="L120" s="86"/>
      <c r="M120" s="86"/>
    </row>
    <row r="121" spans="2:13" s="200" customFormat="1" ht="15.75" hidden="1">
      <c r="B121" s="199"/>
      <c r="C121" s="83"/>
      <c r="D121" s="86"/>
      <c r="E121" s="86"/>
      <c r="F121" s="86"/>
      <c r="G121" s="86"/>
      <c r="H121" s="86"/>
      <c r="I121" s="86"/>
      <c r="J121" s="86"/>
      <c r="K121" s="86"/>
      <c r="L121" s="86"/>
      <c r="M121" s="86"/>
    </row>
    <row r="122" spans="2:13" s="200" customFormat="1" ht="15.75" hidden="1">
      <c r="B122" s="199"/>
      <c r="C122" s="83"/>
      <c r="D122" s="86"/>
      <c r="E122" s="86"/>
      <c r="F122" s="86"/>
      <c r="G122" s="86"/>
      <c r="H122" s="86"/>
      <c r="I122" s="86"/>
      <c r="J122" s="86"/>
      <c r="K122" s="86"/>
      <c r="L122" s="86"/>
      <c r="M122" s="86"/>
    </row>
    <row r="123" spans="2:13" s="200" customFormat="1" ht="15.75" hidden="1">
      <c r="B123" s="199"/>
      <c r="C123" s="83"/>
      <c r="D123" s="86"/>
      <c r="E123" s="86"/>
      <c r="F123" s="86"/>
      <c r="G123" s="86"/>
      <c r="H123" s="86"/>
      <c r="I123" s="86"/>
      <c r="J123" s="86"/>
      <c r="K123" s="86"/>
      <c r="L123" s="86"/>
      <c r="M123" s="86"/>
    </row>
    <row r="124" spans="2:13" s="200" customFormat="1" ht="15.75" hidden="1">
      <c r="B124" s="199"/>
      <c r="C124" s="83"/>
      <c r="D124" s="86"/>
      <c r="E124" s="86"/>
      <c r="F124" s="86"/>
      <c r="G124" s="86"/>
      <c r="H124" s="86"/>
      <c r="I124" s="86"/>
      <c r="J124" s="86"/>
      <c r="K124" s="86"/>
      <c r="L124" s="86"/>
      <c r="M124" s="86"/>
    </row>
    <row r="125" spans="2:13" s="200" customFormat="1" ht="15.75" hidden="1">
      <c r="B125" s="199"/>
      <c r="C125" s="83"/>
      <c r="D125" s="86"/>
      <c r="E125" s="86"/>
      <c r="F125" s="86"/>
      <c r="G125" s="86"/>
      <c r="H125" s="86"/>
      <c r="I125" s="86"/>
      <c r="J125" s="86"/>
      <c r="K125" s="86"/>
      <c r="L125" s="86"/>
      <c r="M125" s="86"/>
    </row>
    <row r="126" spans="2:13" s="200" customFormat="1" ht="15.75" hidden="1">
      <c r="B126" s="199"/>
      <c r="C126" s="83"/>
      <c r="D126" s="86"/>
      <c r="E126" s="86"/>
      <c r="F126" s="86"/>
      <c r="G126" s="86"/>
      <c r="H126" s="86"/>
      <c r="I126" s="86"/>
      <c r="J126" s="86"/>
      <c r="K126" s="86"/>
      <c r="L126" s="86"/>
      <c r="M126" s="86"/>
    </row>
    <row r="127" spans="2:13" s="200" customFormat="1" ht="15.75" hidden="1">
      <c r="B127" s="199"/>
      <c r="C127" s="83"/>
      <c r="D127" s="86"/>
      <c r="E127" s="86"/>
      <c r="F127" s="86"/>
      <c r="G127" s="86"/>
      <c r="H127" s="86"/>
      <c r="I127" s="86"/>
      <c r="J127" s="86"/>
      <c r="K127" s="86"/>
      <c r="L127" s="86"/>
      <c r="M127" s="86"/>
    </row>
    <row r="128" spans="2:13" s="200" customFormat="1" ht="15.75" hidden="1">
      <c r="B128" s="199"/>
      <c r="C128" s="83"/>
      <c r="D128" s="86"/>
      <c r="E128" s="86"/>
      <c r="F128" s="86"/>
      <c r="G128" s="86"/>
      <c r="H128" s="86"/>
      <c r="I128" s="86"/>
      <c r="J128" s="86"/>
      <c r="K128" s="86"/>
      <c r="L128" s="86"/>
      <c r="M128" s="86"/>
    </row>
    <row r="129" spans="2:15" s="200" customFormat="1" ht="3" hidden="1" customHeight="1">
      <c r="B129" s="199"/>
      <c r="C129" s="83"/>
      <c r="D129" s="86"/>
      <c r="E129" s="86"/>
      <c r="F129" s="86"/>
      <c r="G129" s="86"/>
      <c r="H129" s="86"/>
      <c r="I129" s="86"/>
      <c r="J129" s="86"/>
      <c r="K129" s="86"/>
      <c r="L129" s="86"/>
      <c r="M129" s="86"/>
    </row>
    <row r="130" spans="2:15" s="200" customFormat="1" ht="15.75" hidden="1">
      <c r="B130" s="199"/>
      <c r="C130" s="83"/>
      <c r="D130" s="86"/>
      <c r="E130" s="86"/>
      <c r="F130" s="86"/>
      <c r="G130" s="86"/>
      <c r="H130" s="86"/>
      <c r="I130" s="86"/>
      <c r="J130" s="86"/>
      <c r="K130" s="86"/>
      <c r="L130" s="86"/>
      <c r="M130" s="86"/>
    </row>
    <row r="131" spans="2:15" s="200" customFormat="1" ht="15.75" hidden="1">
      <c r="B131" s="199"/>
      <c r="C131" s="83"/>
      <c r="D131" s="86"/>
      <c r="E131" s="86"/>
      <c r="F131" s="86"/>
      <c r="G131" s="86"/>
      <c r="H131" s="86"/>
      <c r="I131" s="86"/>
      <c r="J131" s="86"/>
      <c r="K131" s="86"/>
      <c r="L131" s="86"/>
      <c r="M131" s="86"/>
    </row>
    <row r="132" spans="2:15" s="200" customFormat="1" ht="15.75" hidden="1">
      <c r="B132" s="199"/>
      <c r="C132" s="83"/>
      <c r="D132" s="86"/>
      <c r="E132" s="86"/>
      <c r="F132" s="86"/>
      <c r="G132" s="86"/>
      <c r="H132" s="86"/>
      <c r="I132" s="86"/>
      <c r="J132" s="86"/>
      <c r="K132" s="86"/>
      <c r="L132" s="86"/>
      <c r="M132" s="86"/>
      <c r="N132" s="499"/>
    </row>
    <row r="133" spans="2:15" ht="15.75" hidden="1">
      <c r="E133" s="500"/>
      <c r="J133" s="500"/>
      <c r="O133" s="501"/>
    </row>
    <row r="134" spans="2:15" ht="15.75" hidden="1">
      <c r="L134" s="502"/>
      <c r="M134" s="502"/>
    </row>
    <row r="135" spans="2:15" ht="15.75" hidden="1">
      <c r="C135" s="3"/>
      <c r="J135" s="197"/>
    </row>
    <row r="136" spans="2:15" ht="15.75" hidden="1">
      <c r="J136" s="197"/>
    </row>
    <row r="137" spans="2:15" ht="15.75" hidden="1">
      <c r="J137" s="197"/>
    </row>
    <row r="138" spans="2:15" ht="15.75" hidden="1">
      <c r="J138" s="197"/>
    </row>
    <row r="139" spans="2:15" ht="15.75" hidden="1">
      <c r="J139" s="197"/>
    </row>
    <row r="140" spans="2:15" ht="15.75" hidden="1">
      <c r="J140" s="197"/>
    </row>
    <row r="141" spans="2:15" ht="15.75" hidden="1">
      <c r="J141" s="197"/>
    </row>
    <row r="142" spans="2:15" ht="15.75" hidden="1">
      <c r="J142" s="197"/>
    </row>
    <row r="143" spans="2:15" ht="15.75" hidden="1">
      <c r="J143" s="197"/>
    </row>
    <row r="144" spans="2:15" ht="15.75" hidden="1">
      <c r="J144" s="197"/>
    </row>
    <row r="145" spans="10:10" ht="15.75" hidden="1">
      <c r="J145" s="197"/>
    </row>
    <row r="146" spans="10:10" ht="15.75" hidden="1">
      <c r="J146" s="197"/>
    </row>
    <row r="147" spans="10:10" ht="15.75" hidden="1">
      <c r="J147" s="197"/>
    </row>
    <row r="148" spans="10:10" ht="15.75" hidden="1">
      <c r="J148" s="197"/>
    </row>
    <row r="149" spans="10:10" ht="15.75" hidden="1">
      <c r="J149" s="197"/>
    </row>
    <row r="150" spans="10:10" ht="15.75" hidden="1">
      <c r="J150" s="197"/>
    </row>
    <row r="151" spans="10:10" ht="15.75" hidden="1">
      <c r="J151" s="197"/>
    </row>
    <row r="152" spans="10:10" ht="15.75" hidden="1">
      <c r="J152" s="197"/>
    </row>
    <row r="153" spans="10:10" ht="15.75" hidden="1">
      <c r="J153" s="197"/>
    </row>
    <row r="154" spans="10:10" ht="15.75" hidden="1">
      <c r="J154" s="197"/>
    </row>
    <row r="155" spans="10:10" ht="15.75" hidden="1">
      <c r="J155" s="197"/>
    </row>
    <row r="156" spans="10:10" ht="15.75" hidden="1">
      <c r="J156" s="197"/>
    </row>
    <row r="157" spans="10:10" ht="15.75" hidden="1"/>
    <row r="158" spans="10:10" ht="15.75" hidden="1"/>
    <row r="159" spans="10:10" ht="15.75" hidden="1"/>
    <row r="160" spans="10:10" ht="15.75" hidden="1"/>
    <row r="161" ht="15.75" hidden="1"/>
    <row r="162" ht="15.75" hidden="1"/>
    <row r="163" ht="15.75" hidden="1"/>
    <row r="164" ht="15.75" hidden="1"/>
    <row r="165" ht="15.75" hidden="1"/>
    <row r="166" ht="15.75" hidden="1"/>
    <row r="167" ht="15.75" hidden="1"/>
    <row r="168" ht="15.75" hidden="1"/>
    <row r="169" ht="15.75" hidden="1"/>
    <row r="170" ht="15.75" hidden="1"/>
    <row r="171" ht="15.75" hidden="1"/>
    <row r="172" ht="15.75" hidden="1"/>
    <row r="173" ht="15.75" hidden="1"/>
    <row r="174" ht="15.75" hidden="1"/>
    <row r="175" ht="15.75" hidden="1"/>
    <row r="176" ht="15.75" hidden="1"/>
    <row r="177" ht="15.75" hidden="1"/>
    <row r="178" ht="15.75" hidden="1"/>
    <row r="179" ht="15.75" hidden="1"/>
    <row r="180" ht="15.75" hidden="1"/>
    <row r="181" ht="15.75" hidden="1"/>
    <row r="182" ht="15.75" hidden="1"/>
    <row r="183" ht="15.75" hidden="1"/>
    <row r="184" ht="15.75" hidden="1"/>
    <row r="185" ht="15.75" hidden="1"/>
    <row r="186" ht="15.75" hidden="1"/>
    <row r="187" ht="15.75" hidden="1"/>
    <row r="188" ht="15.75" hidden="1"/>
    <row r="189" ht="15.75" hidden="1"/>
    <row r="190" ht="15.75" hidden="1"/>
    <row r="191" ht="15.75" hidden="1"/>
    <row r="192" ht="15.75" hidden="1"/>
    <row r="193" ht="15.75" hidden="1"/>
    <row r="194" ht="15.75" hidden="1"/>
    <row r="195" ht="15.75" hidden="1"/>
    <row r="196" ht="15.75" hidden="1"/>
    <row r="197" ht="15.75" hidden="1"/>
    <row r="198" ht="15.75" hidden="1"/>
    <row r="199" ht="15.75" hidden="1"/>
    <row r="200" ht="15.75" hidden="1"/>
    <row r="201" ht="15.75" hidden="1"/>
    <row r="202" ht="15.75" hidden="1"/>
    <row r="203" ht="15.75" hidden="1"/>
    <row r="204" ht="15.75" hidden="1"/>
    <row r="205" ht="15.75" hidden="1"/>
    <row r="206" ht="15.75" hidden="1"/>
    <row r="207" ht="15.75" hidden="1"/>
    <row r="208" ht="15.75" hidden="1"/>
    <row r="209" ht="15.75" hidden="1"/>
    <row r="210" ht="15.75" hidden="1"/>
    <row r="211" ht="15.75" hidden="1"/>
    <row r="212" ht="15.75" hidden="1"/>
    <row r="213" ht="15.75" hidden="1"/>
    <row r="214" ht="15.75" hidden="1"/>
    <row r="215" ht="15.75" hidden="1"/>
    <row r="216" ht="15.75" hidden="1"/>
    <row r="217" ht="15.75" hidden="1"/>
    <row r="218" ht="15.75" hidden="1"/>
    <row r="219" ht="15.75" hidden="1"/>
    <row r="220" ht="15.75" hidden="1"/>
    <row r="221" ht="15.75" hidden="1"/>
    <row r="222" ht="15.75" hidden="1"/>
    <row r="223" ht="15.75" hidden="1"/>
    <row r="224" ht="15.75" hidden="1"/>
    <row r="225" ht="15.75" hidden="1"/>
    <row r="226" ht="15.75" hidden="1"/>
    <row r="227" ht="15.75" hidden="1"/>
    <row r="228" ht="15.75" hidden="1"/>
    <row r="229" ht="15.75" hidden="1"/>
    <row r="230" ht="15.75" hidden="1"/>
    <row r="231" ht="15.75" hidden="1"/>
    <row r="232" ht="15.75" hidden="1"/>
    <row r="233" ht="15.75" hidden="1"/>
    <row r="234" ht="15.75" hidden="1"/>
    <row r="235" ht="15.75" hidden="1"/>
    <row r="236" ht="15.75" hidden="1"/>
    <row r="237" ht="15.75" hidden="1"/>
    <row r="238" ht="15.75" hidden="1"/>
    <row r="239" ht="15.75" hidden="1"/>
    <row r="240" ht="15.75" hidden="1"/>
    <row r="241" ht="15.75" hidden="1"/>
    <row r="242" ht="15.75" hidden="1"/>
    <row r="243" ht="15.75" hidden="1"/>
    <row r="244" ht="15.75" hidden="1"/>
    <row r="245" ht="15.75" hidden="1"/>
    <row r="246" ht="15.75" hidden="1"/>
    <row r="247" ht="15.75" hidden="1"/>
    <row r="248" ht="15.75" hidden="1"/>
    <row r="249" ht="15.75" hidden="1"/>
    <row r="250" ht="15.75" hidden="1"/>
    <row r="251" ht="15.75" hidden="1"/>
    <row r="252" ht="15.75" hidden="1"/>
    <row r="253" ht="15.75" hidden="1"/>
    <row r="254" ht="15.75" hidden="1"/>
    <row r="255" ht="15.75" hidden="1"/>
    <row r="256" ht="15.75" hidden="1"/>
    <row r="257" ht="15.75" hidden="1"/>
    <row r="258" ht="15.75" hidden="1"/>
    <row r="259" ht="15.75" hidden="1"/>
    <row r="260" ht="15.75" hidden="1"/>
    <row r="261" ht="15.75" hidden="1"/>
    <row r="262" ht="15.75" hidden="1"/>
    <row r="263" ht="15.75" hidden="1"/>
    <row r="264" ht="15.75" hidden="1"/>
    <row r="265" ht="15.75" hidden="1"/>
    <row r="266" ht="15.75" hidden="1"/>
    <row r="267" ht="15.75" hidden="1"/>
    <row r="268" ht="15.75" hidden="1"/>
    <row r="269" ht="15.75" hidden="1"/>
    <row r="270" ht="15.75" hidden="1"/>
    <row r="271" ht="15.75" hidden="1"/>
    <row r="272" ht="15.75" hidden="1"/>
    <row r="273" spans="27:27" ht="15.75" hidden="1"/>
    <row r="274" spans="27:27" ht="15.75" hidden="1"/>
    <row r="275" spans="27:27" ht="15.75" hidden="1"/>
    <row r="276" spans="27:27" ht="15.75" hidden="1"/>
    <row r="277" spans="27:27" ht="15.75" hidden="1"/>
    <row r="278" spans="27:27" ht="15.75" hidden="1"/>
    <row r="279" spans="27:27" ht="15.75" hidden="1"/>
    <row r="280" spans="27:27" ht="15.75" hidden="1"/>
    <row r="281" spans="27:27" ht="15.75" hidden="1"/>
    <row r="282" spans="27:27" ht="15.75" hidden="1"/>
    <row r="283" spans="27:27" ht="15.75" hidden="1">
      <c r="AA283" s="196" t="s">
        <v>194</v>
      </c>
    </row>
    <row r="284" spans="27:27" ht="15.75" hidden="1"/>
    <row r="285" spans="27:27" ht="15.75" hidden="1"/>
    <row r="286" spans="27:27" ht="15.75" hidden="1"/>
    <row r="287" spans="27:27" ht="15.75" hidden="1"/>
    <row r="288" spans="27:27" ht="15.75" hidden="1"/>
    <row r="289" ht="15.75" hidden="1"/>
  </sheetData>
  <mergeCells count="4">
    <mergeCell ref="C1:H1"/>
    <mergeCell ref="C2:H2"/>
    <mergeCell ref="C3:H3"/>
    <mergeCell ref="C4:H4"/>
  </mergeCells>
  <pageMargins left="0.5" right="0.5" top="0.5" bottom="0.5" header="0.25" footer="0.5"/>
  <pageSetup orientation="portrait" r:id="rId1"/>
  <headerFooter alignWithMargins="0">
    <oddFooter>&amp;L&amp;"Times New Roman,Bold Italic"Black &amp; Veatch Corporation&amp;C&amp;"Times New Roman,Bold Italic"Date: &amp;D&amp;R&amp;"Times New Roman,Bold Italic"Page: &amp;P of &amp;N</oddFooter>
  </headerFooter>
  <rowBreaks count="1" manualBreakCount="1">
    <brk id="132" min="1" max="13" man="1"/>
  </rowBreaks>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Y295"/>
  <sheetViews>
    <sheetView showGridLines="0" zoomScale="80" zoomScaleNormal="80" workbookViewId="0">
      <selection activeCell="F11" sqref="F11"/>
    </sheetView>
  </sheetViews>
  <sheetFormatPr defaultColWidth="0" defaultRowHeight="0" customHeight="1" zeroHeight="1"/>
  <cols>
    <col min="1" max="1" width="22.625" style="196" customWidth="1"/>
    <col min="2" max="2" width="1.625" style="196" customWidth="1"/>
    <col min="3" max="3" width="5.125" style="196" bestFit="1" customWidth="1"/>
    <col min="4" max="4" width="20.875" style="196" bestFit="1" customWidth="1"/>
    <col min="5" max="5" width="14.125" style="196" customWidth="1"/>
    <col min="6" max="6" width="49.5" style="196" bestFit="1" customWidth="1"/>
    <col min="7" max="7" width="3.125" style="196" customWidth="1"/>
    <col min="8" max="8" width="8.125" style="196" hidden="1" customWidth="1"/>
    <col min="9" max="9" width="12.5" style="196" hidden="1" customWidth="1"/>
    <col min="10" max="10" width="13.75" style="196" hidden="1" customWidth="1"/>
    <col min="11" max="11" width="10.625" style="196" hidden="1" customWidth="1"/>
    <col min="12" max="12" width="1.75" style="196" hidden="1" customWidth="1"/>
    <col min="13" max="13" width="13.5" style="196" hidden="1" customWidth="1"/>
    <col min="14" max="14" width="0.625" style="196" hidden="1" customWidth="1"/>
    <col min="15" max="15" width="11.5" style="196" hidden="1" customWidth="1"/>
    <col min="16" max="16" width="0.375" style="196" hidden="1" customWidth="1"/>
    <col min="17" max="17" width="11.5" style="196" hidden="1" customWidth="1"/>
    <col min="18" max="16384" width="0" style="196" hidden="1"/>
  </cols>
  <sheetData>
    <row r="1" spans="1:11" ht="22.5">
      <c r="A1" s="491"/>
      <c r="B1" s="29"/>
      <c r="C1" s="4555" t="s">
        <v>999</v>
      </c>
      <c r="D1" s="4555"/>
      <c r="E1" s="4555"/>
      <c r="F1" s="4555"/>
      <c r="G1" s="53"/>
      <c r="H1" s="53"/>
      <c r="I1" s="53"/>
      <c r="J1" s="53"/>
      <c r="K1" s="53"/>
    </row>
    <row r="2" spans="1:11" ht="22.5">
      <c r="A2" s="491"/>
      <c r="B2" s="29"/>
      <c r="C2" s="4555" t="str">
        <f>Client</f>
        <v>Grant County Public Utility District</v>
      </c>
      <c r="D2" s="4555"/>
      <c r="E2" s="4555"/>
      <c r="F2" s="4555"/>
      <c r="G2" s="53"/>
      <c r="H2" s="53"/>
      <c r="I2" s="53"/>
      <c r="J2" s="53"/>
      <c r="K2" s="53"/>
    </row>
    <row r="3" spans="1:11" ht="22.5">
      <c r="A3" s="491"/>
      <c r="B3" s="29"/>
      <c r="C3" s="4554" t="s">
        <v>995</v>
      </c>
      <c r="D3" s="4554"/>
      <c r="E3" s="4554"/>
      <c r="F3" s="4554"/>
      <c r="G3" s="492"/>
      <c r="H3" s="492"/>
      <c r="I3" s="492"/>
      <c r="J3" s="492"/>
      <c r="K3" s="492"/>
    </row>
    <row r="4" spans="1:11" ht="18.75">
      <c r="A4" s="491"/>
      <c r="B4" s="29"/>
      <c r="C4" s="4586"/>
      <c r="D4" s="4586"/>
      <c r="E4" s="4586"/>
      <c r="F4" s="4586"/>
      <c r="H4" s="2"/>
      <c r="I4" s="2"/>
      <c r="J4" s="2"/>
    </row>
    <row r="5" spans="1:11" ht="15.75">
      <c r="A5" s="491"/>
      <c r="B5" s="29"/>
      <c r="D5" s="2"/>
      <c r="E5" s="2"/>
      <c r="F5" s="2"/>
      <c r="H5" s="198"/>
      <c r="I5" s="198"/>
      <c r="J5" s="198"/>
    </row>
    <row r="6" spans="1:11" s="200" customFormat="1" ht="15.75">
      <c r="A6" s="491"/>
      <c r="B6" s="199"/>
      <c r="C6" s="84"/>
      <c r="D6" s="83" t="s">
        <v>674</v>
      </c>
      <c r="E6" s="83" t="s">
        <v>155</v>
      </c>
      <c r="F6" s="83" t="s">
        <v>675</v>
      </c>
      <c r="H6" s="83"/>
      <c r="I6" s="83"/>
      <c r="J6" s="83"/>
      <c r="K6" s="83"/>
    </row>
    <row r="7" spans="1:11" s="200" customFormat="1" ht="6" customHeight="1">
      <c r="A7" s="491"/>
      <c r="B7" s="199"/>
      <c r="C7" s="2653"/>
      <c r="D7" s="2653"/>
      <c r="E7" s="2609"/>
      <c r="F7" s="2609"/>
      <c r="H7" s="83"/>
      <c r="I7" s="83"/>
      <c r="J7" s="83"/>
      <c r="K7" s="83"/>
    </row>
    <row r="8" spans="1:11" ht="15.75">
      <c r="A8" s="491"/>
      <c r="B8" s="29"/>
      <c r="C8" s="2654"/>
      <c r="D8" s="2654"/>
      <c r="E8" s="2654" t="s">
        <v>865</v>
      </c>
      <c r="F8" s="2654"/>
      <c r="G8" s="171"/>
      <c r="H8" s="171"/>
      <c r="I8" s="100"/>
      <c r="J8" s="100"/>
      <c r="K8" s="100"/>
    </row>
    <row r="9" spans="1:11" ht="15.75">
      <c r="A9" s="491"/>
      <c r="B9" s="29"/>
      <c r="C9" s="2664" t="s">
        <v>867</v>
      </c>
      <c r="D9" s="2664" t="s">
        <v>989</v>
      </c>
      <c r="E9" s="2664" t="s">
        <v>470</v>
      </c>
      <c r="F9" s="2664" t="s">
        <v>399</v>
      </c>
      <c r="G9" s="100"/>
      <c r="H9" s="100"/>
      <c r="I9" s="100"/>
      <c r="J9" s="100"/>
      <c r="K9" s="100"/>
    </row>
    <row r="10" spans="1:11" ht="15.75">
      <c r="A10" s="491"/>
      <c r="B10" s="29"/>
      <c r="C10" s="236"/>
      <c r="E10" s="261"/>
      <c r="F10" s="1"/>
      <c r="G10" s="87"/>
      <c r="H10" s="87"/>
      <c r="I10" s="87"/>
      <c r="J10" s="87"/>
      <c r="K10" s="87"/>
    </row>
    <row r="11" spans="1:11" ht="15.75">
      <c r="A11" s="491"/>
      <c r="B11" s="29"/>
      <c r="C11" s="236">
        <f>+MAX(C$10:C10)+1</f>
        <v>1</v>
      </c>
      <c r="D11" s="1" t="s">
        <v>609</v>
      </c>
      <c r="E11" s="1"/>
      <c r="F11" s="1"/>
      <c r="G11" s="216"/>
      <c r="H11" s="174"/>
      <c r="I11" s="216"/>
      <c r="J11" s="216"/>
      <c r="K11" s="174"/>
    </row>
    <row r="12" spans="1:11" ht="15.75">
      <c r="A12" s="491"/>
      <c r="B12" s="29"/>
      <c r="C12" s="236">
        <f>+MAX(C$10:C11)+1</f>
        <v>2</v>
      </c>
      <c r="D12" s="250" t="s">
        <v>605</v>
      </c>
      <c r="E12" s="261" t="str">
        <f>'Table 8'!F13</f>
        <v>ENR1</v>
      </c>
      <c r="F12" s="264" t="s">
        <v>605</v>
      </c>
      <c r="G12" s="493"/>
      <c r="H12" s="174"/>
      <c r="I12" s="493"/>
      <c r="J12" s="493"/>
      <c r="K12" s="174"/>
    </row>
    <row r="13" spans="1:11" ht="15.75">
      <c r="A13" s="491"/>
      <c r="B13" s="29"/>
      <c r="C13" s="236">
        <f>+MAX(C$10:C12)+1</f>
        <v>3</v>
      </c>
      <c r="D13" s="252" t="s">
        <v>168</v>
      </c>
      <c r="E13" s="261" t="str">
        <f>'Table 8'!G13</f>
        <v>AED 12CP</v>
      </c>
      <c r="F13" s="3157" t="s">
        <v>3515</v>
      </c>
      <c r="G13" s="493"/>
      <c r="H13" s="174"/>
      <c r="I13" s="493"/>
      <c r="J13" s="493"/>
      <c r="K13" s="174"/>
    </row>
    <row r="14" spans="1:11" ht="15.75">
      <c r="A14" s="491"/>
      <c r="B14" s="29"/>
      <c r="C14" s="236">
        <f>+MAX(C$10:C13)+1</f>
        <v>4</v>
      </c>
      <c r="D14" s="1" t="s">
        <v>990</v>
      </c>
      <c r="E14" s="261" t="str">
        <f>'Table 8'!H13</f>
        <v>12CP</v>
      </c>
      <c r="F14" s="3157" t="s">
        <v>3514</v>
      </c>
      <c r="G14" s="493"/>
      <c r="H14" s="174"/>
      <c r="I14" s="493"/>
      <c r="J14" s="493"/>
      <c r="K14" s="174"/>
    </row>
    <row r="15" spans="1:11" ht="15.75">
      <c r="A15" s="491"/>
      <c r="B15" s="29"/>
      <c r="C15" s="236">
        <f>+MAX(C$10:C14)+1</f>
        <v>5</v>
      </c>
      <c r="D15" s="1" t="s">
        <v>991</v>
      </c>
      <c r="E15" s="261"/>
      <c r="F15" s="264"/>
      <c r="G15" s="493"/>
      <c r="H15" s="174"/>
      <c r="I15" s="493"/>
      <c r="J15" s="493"/>
      <c r="K15" s="174"/>
    </row>
    <row r="16" spans="1:11" ht="15.75">
      <c r="A16" s="491"/>
      <c r="B16" s="29"/>
      <c r="C16" s="236">
        <f>+MAX(C$10:C15)+1</f>
        <v>6</v>
      </c>
      <c r="D16" s="250" t="s">
        <v>170</v>
      </c>
      <c r="E16" s="261" t="str">
        <f>'Table 8'!I13</f>
        <v>CAP1</v>
      </c>
      <c r="F16" s="264" t="s">
        <v>996</v>
      </c>
      <c r="G16" s="493"/>
      <c r="H16" s="174"/>
      <c r="I16" s="493"/>
      <c r="J16" s="493"/>
      <c r="K16" s="174"/>
    </row>
    <row r="17" spans="1:11" ht="15.75">
      <c r="A17" s="491"/>
      <c r="B17" s="29"/>
      <c r="C17" s="236">
        <f>+MAX(C$10:C16)+1</f>
        <v>7</v>
      </c>
      <c r="D17" s="15" t="s">
        <v>2994</v>
      </c>
      <c r="E17" s="236" t="str">
        <f>'Table 8'!J13</f>
        <v>CAP1-D</v>
      </c>
      <c r="F17" s="38" t="s">
        <v>3101</v>
      </c>
      <c r="G17" s="493"/>
      <c r="H17" s="174"/>
      <c r="I17" s="493"/>
      <c r="J17" s="493"/>
      <c r="K17" s="174"/>
    </row>
    <row r="18" spans="1:11" ht="15.75">
      <c r="A18" s="491"/>
      <c r="B18" s="29"/>
      <c r="C18" s="236">
        <f>+MAX(C$10:C17)+1</f>
        <v>8</v>
      </c>
      <c r="D18" s="15" t="s">
        <v>2990</v>
      </c>
      <c r="E18" s="236" t="s">
        <v>2992</v>
      </c>
      <c r="F18" s="38" t="s">
        <v>3099</v>
      </c>
      <c r="G18" s="493"/>
      <c r="H18" s="174"/>
      <c r="I18" s="493"/>
      <c r="J18" s="493"/>
      <c r="K18" s="174"/>
    </row>
    <row r="19" spans="1:11" ht="15.75">
      <c r="A19" s="491"/>
      <c r="B19" s="29"/>
      <c r="C19" s="236">
        <f>+MAX(C$10:C18)+1</f>
        <v>9</v>
      </c>
      <c r="D19" s="15" t="s">
        <v>2991</v>
      </c>
      <c r="E19" s="236" t="s">
        <v>2993</v>
      </c>
      <c r="F19" s="38" t="s">
        <v>3100</v>
      </c>
      <c r="G19" s="493"/>
      <c r="H19" s="174"/>
      <c r="I19" s="493"/>
      <c r="J19" s="493"/>
      <c r="K19" s="174"/>
    </row>
    <row r="20" spans="1:11" ht="15.75">
      <c r="A20" s="491"/>
      <c r="B20" s="29"/>
      <c r="C20" s="236">
        <f>+MAX(C$10:C19)+1</f>
        <v>10</v>
      </c>
      <c r="D20" s="250" t="s">
        <v>2</v>
      </c>
      <c r="E20" s="261" t="str">
        <f>'Table 8'!M13</f>
        <v>CAP3</v>
      </c>
      <c r="F20" s="264" t="s">
        <v>997</v>
      </c>
      <c r="G20" s="493"/>
      <c r="H20" s="174"/>
      <c r="I20" s="493"/>
      <c r="J20" s="493"/>
      <c r="K20" s="174"/>
    </row>
    <row r="21" spans="1:11" ht="15.75">
      <c r="A21" s="491"/>
      <c r="B21" s="29"/>
      <c r="C21" s="236">
        <f>+MAX(C$10:C20)+1</f>
        <v>11</v>
      </c>
      <c r="D21" s="250" t="s">
        <v>857</v>
      </c>
      <c r="E21" s="261"/>
      <c r="F21" s="264"/>
      <c r="G21" s="493"/>
      <c r="H21" s="174"/>
      <c r="I21" s="493"/>
      <c r="J21" s="493"/>
      <c r="K21" s="174"/>
    </row>
    <row r="22" spans="1:11" ht="15.75">
      <c r="A22" s="491"/>
      <c r="B22" s="29"/>
      <c r="C22" s="236">
        <f>+MAX(C$10:C21)+1</f>
        <v>12</v>
      </c>
      <c r="D22" s="309" t="s">
        <v>985</v>
      </c>
      <c r="E22" s="261" t="str">
        <f>'Table 8'!N13</f>
        <v>CAP3U</v>
      </c>
      <c r="F22" s="264" t="s">
        <v>96</v>
      </c>
      <c r="G22" s="493"/>
      <c r="H22" s="174"/>
      <c r="I22" s="493"/>
      <c r="J22" s="493"/>
      <c r="K22" s="174"/>
    </row>
    <row r="23" spans="1:11" ht="15.75">
      <c r="A23" s="491"/>
      <c r="B23" s="29"/>
      <c r="C23" s="236">
        <f>+MAX(C$10:C22)+1</f>
        <v>13</v>
      </c>
      <c r="D23" s="309" t="s">
        <v>986</v>
      </c>
      <c r="E23" s="261" t="str">
        <f>'Table 8'!O13</f>
        <v>CAP3R</v>
      </c>
      <c r="F23" s="264" t="s">
        <v>97</v>
      </c>
      <c r="G23" s="493"/>
      <c r="H23" s="174"/>
      <c r="I23" s="493"/>
      <c r="J23" s="493"/>
      <c r="K23" s="174"/>
    </row>
    <row r="24" spans="1:11" ht="15.75">
      <c r="A24" s="491"/>
      <c r="B24" s="29"/>
      <c r="C24" s="236">
        <f>+MAX(C$10:C23)+1</f>
        <v>14</v>
      </c>
      <c r="D24" s="1" t="s">
        <v>606</v>
      </c>
      <c r="E24" s="261"/>
      <c r="F24" s="264"/>
      <c r="G24" s="493"/>
      <c r="H24" s="174"/>
      <c r="I24" s="493"/>
      <c r="J24" s="493"/>
      <c r="K24" s="174"/>
    </row>
    <row r="25" spans="1:11" ht="15.75">
      <c r="A25" s="491"/>
      <c r="B25" s="29"/>
      <c r="C25" s="236">
        <f>+MAX(C$10:C24)+1</f>
        <v>15</v>
      </c>
      <c r="D25" s="250" t="s">
        <v>858</v>
      </c>
      <c r="E25" s="261"/>
      <c r="F25" s="264"/>
      <c r="G25" s="493"/>
      <c r="H25" s="174"/>
      <c r="I25" s="493"/>
      <c r="J25" s="493"/>
      <c r="K25" s="174"/>
    </row>
    <row r="26" spans="1:11" ht="15.75">
      <c r="A26" s="491"/>
      <c r="B26" s="29"/>
      <c r="C26" s="236">
        <f>+MAX(C$10:C25)+1</f>
        <v>16</v>
      </c>
      <c r="D26" s="309" t="s">
        <v>985</v>
      </c>
      <c r="E26" s="261" t="str">
        <f>'Table 8'!P13</f>
        <v>CUS4U</v>
      </c>
      <c r="F26" s="264" t="s">
        <v>25</v>
      </c>
      <c r="G26" s="493"/>
      <c r="H26" s="174"/>
      <c r="I26" s="493"/>
      <c r="J26" s="493"/>
      <c r="K26" s="174"/>
    </row>
    <row r="27" spans="1:11" ht="15.75">
      <c r="A27" s="491"/>
      <c r="B27" s="29"/>
      <c r="C27" s="236">
        <f>+MAX(C$10:C26)+1</f>
        <v>17</v>
      </c>
      <c r="D27" s="309" t="s">
        <v>986</v>
      </c>
      <c r="E27" s="261" t="str">
        <f>'Table 8'!Q13</f>
        <v>CUS4R</v>
      </c>
      <c r="F27" s="264" t="s">
        <v>26</v>
      </c>
      <c r="G27" s="493"/>
      <c r="H27" s="174"/>
      <c r="I27" s="493"/>
      <c r="J27" s="493"/>
      <c r="K27" s="174"/>
    </row>
    <row r="28" spans="1:11" ht="15.75">
      <c r="A28" s="491"/>
      <c r="B28" s="29"/>
      <c r="C28" s="236">
        <f>+MAX(C$10:C27)+1</f>
        <v>18</v>
      </c>
      <c r="D28" s="250" t="s">
        <v>171</v>
      </c>
      <c r="E28" s="261" t="str">
        <f>'Table 8'!R13</f>
        <v>CUS2</v>
      </c>
      <c r="F28" s="264" t="s">
        <v>171</v>
      </c>
      <c r="G28" s="493"/>
      <c r="H28" s="174"/>
      <c r="I28" s="493"/>
      <c r="J28" s="493"/>
      <c r="K28" s="174"/>
    </row>
    <row r="29" spans="1:11" ht="15.75">
      <c r="A29" s="491"/>
      <c r="B29" s="29"/>
      <c r="C29" s="236">
        <f>+MAX(C$10:C28)+1</f>
        <v>19</v>
      </c>
      <c r="D29" s="250" t="s">
        <v>172</v>
      </c>
      <c r="E29" s="261" t="str">
        <f>'Table 8'!S13</f>
        <v>CUS3</v>
      </c>
      <c r="F29" s="264" t="s">
        <v>172</v>
      </c>
      <c r="G29" s="493"/>
      <c r="H29" s="174"/>
      <c r="I29" s="493"/>
      <c r="J29" s="493"/>
      <c r="K29" s="174"/>
    </row>
    <row r="30" spans="1:11" ht="15.75">
      <c r="A30" s="491"/>
      <c r="B30" s="29"/>
      <c r="C30" s="236">
        <f>+MAX(C$10:C29)+1</f>
        <v>20</v>
      </c>
      <c r="D30" s="1" t="s">
        <v>992</v>
      </c>
      <c r="E30" s="261" t="str">
        <f>'Table 8'!T13</f>
        <v>CUS1</v>
      </c>
      <c r="F30" s="264" t="s">
        <v>137</v>
      </c>
      <c r="G30" s="493"/>
      <c r="H30" s="174"/>
      <c r="I30" s="493"/>
      <c r="J30" s="493"/>
      <c r="K30" s="174"/>
    </row>
    <row r="31" spans="1:11" ht="15.75">
      <c r="A31" s="491"/>
      <c r="B31" s="29"/>
      <c r="C31" s="236">
        <f>+MAX(C$10:C30)+1</f>
        <v>21</v>
      </c>
      <c r="D31" s="1" t="s">
        <v>468</v>
      </c>
      <c r="E31" s="261" t="str">
        <f>'Table 8'!U13</f>
        <v>SL</v>
      </c>
      <c r="F31" s="264" t="s">
        <v>468</v>
      </c>
      <c r="G31" s="493"/>
      <c r="H31" s="174"/>
      <c r="I31" s="493"/>
      <c r="J31" s="493"/>
      <c r="K31" s="174"/>
    </row>
    <row r="32" spans="1:11" ht="15.75">
      <c r="A32" s="491"/>
      <c r="B32" s="29"/>
      <c r="C32" s="236">
        <f>+MAX(C$10:C31)+1</f>
        <v>22</v>
      </c>
      <c r="D32" s="1" t="s">
        <v>993</v>
      </c>
      <c r="E32" s="261" t="str">
        <f>'Table 8'!V13</f>
        <v>CUST</v>
      </c>
      <c r="F32" s="264" t="s">
        <v>382</v>
      </c>
      <c r="G32" s="493"/>
      <c r="H32" s="174"/>
      <c r="I32" s="493"/>
      <c r="J32" s="493"/>
      <c r="K32" s="174"/>
    </row>
    <row r="33" spans="1:11" ht="15.75">
      <c r="A33" s="491"/>
      <c r="B33" s="29"/>
      <c r="C33" s="236">
        <f>+MAX(C$10:C32)+1</f>
        <v>23</v>
      </c>
      <c r="D33" s="1" t="s">
        <v>994</v>
      </c>
      <c r="E33" s="261" t="str">
        <f>'Table 8'!W13</f>
        <v>REV</v>
      </c>
      <c r="F33" s="264" t="s">
        <v>304</v>
      </c>
      <c r="G33" s="493"/>
      <c r="H33" s="174"/>
      <c r="I33" s="493"/>
      <c r="J33" s="493"/>
      <c r="K33" s="174"/>
    </row>
    <row r="34" spans="1:11" ht="15.75">
      <c r="A34" s="491"/>
      <c r="B34" s="29"/>
      <c r="C34" s="236"/>
      <c r="D34" s="1"/>
      <c r="E34" s="1"/>
      <c r="F34" s="1"/>
      <c r="G34" s="493"/>
      <c r="H34" s="174"/>
      <c r="I34" s="493"/>
      <c r="J34" s="493"/>
      <c r="K34" s="174"/>
    </row>
    <row r="35" spans="1:11" ht="15.75" hidden="1">
      <c r="A35" s="491"/>
      <c r="B35" s="29"/>
      <c r="C35" s="495"/>
      <c r="D35" s="1"/>
      <c r="E35" s="87"/>
      <c r="F35" s="87"/>
      <c r="G35" s="87"/>
      <c r="H35" s="87"/>
      <c r="I35" s="87"/>
      <c r="J35" s="87"/>
      <c r="K35" s="87"/>
    </row>
    <row r="36" spans="1:11" ht="15.75" hidden="1">
      <c r="A36" s="491"/>
      <c r="B36" s="29"/>
      <c r="C36" s="495"/>
      <c r="D36" s="1"/>
      <c r="E36" s="216"/>
      <c r="F36" s="216"/>
      <c r="G36" s="216"/>
      <c r="H36" s="174"/>
      <c r="I36" s="216"/>
      <c r="J36" s="216"/>
      <c r="K36" s="174"/>
    </row>
    <row r="37" spans="1:11" ht="15.75" hidden="1">
      <c r="A37" s="491"/>
      <c r="B37" s="29"/>
      <c r="C37" s="495"/>
      <c r="D37" s="87"/>
      <c r="E37" s="493"/>
      <c r="F37" s="493"/>
      <c r="G37" s="493"/>
      <c r="H37" s="174"/>
      <c r="I37" s="493"/>
      <c r="J37" s="493"/>
      <c r="K37" s="174"/>
    </row>
    <row r="38" spans="1:11" ht="15.75" hidden="1">
      <c r="A38" s="491"/>
      <c r="B38" s="29"/>
      <c r="C38" s="495"/>
      <c r="D38" s="87"/>
      <c r="E38" s="493"/>
      <c r="F38" s="493"/>
      <c r="G38" s="493"/>
      <c r="H38" s="174"/>
      <c r="I38" s="493"/>
      <c r="J38" s="493"/>
      <c r="K38" s="174"/>
    </row>
    <row r="39" spans="1:11" ht="15.75" hidden="1">
      <c r="A39" s="491"/>
      <c r="B39" s="29"/>
      <c r="C39" s="495"/>
      <c r="D39" s="87"/>
      <c r="E39" s="493"/>
      <c r="F39" s="493"/>
      <c r="G39" s="493"/>
      <c r="H39" s="174"/>
      <c r="I39" s="493"/>
      <c r="J39" s="493"/>
      <c r="K39" s="174"/>
    </row>
    <row r="40" spans="1:11" ht="15.75" hidden="1">
      <c r="A40" s="491"/>
      <c r="B40" s="29"/>
      <c r="C40" s="495"/>
      <c r="D40" s="87"/>
      <c r="E40" s="493"/>
      <c r="F40" s="493"/>
      <c r="G40" s="493"/>
      <c r="H40" s="174"/>
      <c r="I40" s="493"/>
      <c r="J40" s="493"/>
      <c r="K40" s="174"/>
    </row>
    <row r="41" spans="1:11" ht="15.75" hidden="1">
      <c r="A41" s="491"/>
      <c r="B41" s="29"/>
      <c r="C41" s="495"/>
      <c r="D41" s="87"/>
      <c r="E41" s="493"/>
      <c r="F41" s="493"/>
      <c r="G41" s="493"/>
      <c r="H41" s="174"/>
      <c r="I41" s="493"/>
      <c r="J41" s="493"/>
      <c r="K41" s="174"/>
    </row>
    <row r="42" spans="1:11" ht="15.75" hidden="1">
      <c r="A42" s="491"/>
      <c r="B42" s="29"/>
      <c r="C42" s="495"/>
      <c r="D42" s="87"/>
      <c r="E42" s="493"/>
      <c r="F42" s="493"/>
      <c r="G42" s="493"/>
      <c r="H42" s="174"/>
      <c r="I42" s="493"/>
      <c r="J42" s="493"/>
      <c r="K42" s="174"/>
    </row>
    <row r="43" spans="1:11" ht="15.75" hidden="1">
      <c r="A43" s="497"/>
      <c r="B43" s="29"/>
      <c r="C43" s="495"/>
      <c r="D43" s="87"/>
      <c r="E43" s="493"/>
      <c r="F43" s="493"/>
      <c r="G43" s="493"/>
      <c r="H43" s="174"/>
      <c r="I43" s="493"/>
      <c r="J43" s="493"/>
      <c r="K43" s="174"/>
    </row>
    <row r="44" spans="1:11" ht="15.75" hidden="1">
      <c r="A44" s="497"/>
      <c r="B44" s="29"/>
      <c r="C44" s="495"/>
      <c r="D44" s="87"/>
      <c r="E44" s="493"/>
      <c r="F44" s="216"/>
      <c r="G44" s="493"/>
      <c r="H44" s="174"/>
      <c r="I44" s="493"/>
      <c r="J44" s="216"/>
      <c r="K44" s="174"/>
    </row>
    <row r="45" spans="1:11" ht="15.75" hidden="1">
      <c r="A45" s="497"/>
      <c r="B45" s="29"/>
      <c r="C45" s="495"/>
      <c r="D45" s="498"/>
      <c r="E45" s="494"/>
      <c r="F45" s="494"/>
      <c r="G45" s="494"/>
      <c r="H45" s="174"/>
      <c r="I45" s="494"/>
      <c r="J45" s="494"/>
      <c r="K45" s="174"/>
    </row>
    <row r="46" spans="1:11" ht="15.75" hidden="1">
      <c r="A46" s="497"/>
      <c r="B46" s="29"/>
      <c r="C46" s="495"/>
      <c r="D46" s="87"/>
      <c r="E46" s="87"/>
      <c r="F46" s="87"/>
      <c r="G46" s="494"/>
      <c r="H46" s="87"/>
      <c r="I46" s="87"/>
      <c r="J46" s="87"/>
      <c r="K46" s="87"/>
    </row>
    <row r="47" spans="1:11" s="200" customFormat="1" ht="15.75" hidden="1">
      <c r="A47" s="497"/>
      <c r="B47"/>
      <c r="C47"/>
      <c r="D47"/>
      <c r="E47"/>
      <c r="F47"/>
      <c r="G47"/>
      <c r="H47"/>
      <c r="I47"/>
      <c r="J47"/>
      <c r="K47"/>
    </row>
    <row r="48" spans="1:11" s="200" customFormat="1" ht="15.75" hidden="1">
      <c r="A48" s="497"/>
      <c r="B48"/>
      <c r="C48"/>
      <c r="D48"/>
      <c r="E48"/>
      <c r="F48"/>
      <c r="G48"/>
      <c r="H48"/>
      <c r="I48"/>
      <c r="J48"/>
      <c r="K48"/>
    </row>
    <row r="49" spans="1:11" s="200" customFormat="1" ht="15.75" hidden="1">
      <c r="A49" s="497"/>
      <c r="B49"/>
      <c r="C49"/>
      <c r="D49"/>
      <c r="E49"/>
      <c r="F49"/>
      <c r="G49"/>
      <c r="H49"/>
      <c r="I49"/>
      <c r="J49"/>
      <c r="K49"/>
    </row>
    <row r="50" spans="1:11" s="200" customFormat="1" ht="15.75" hidden="1">
      <c r="A50" s="497"/>
      <c r="B50"/>
      <c r="C50"/>
      <c r="D50"/>
      <c r="E50"/>
      <c r="F50"/>
      <c r="G50"/>
      <c r="H50"/>
      <c r="I50"/>
      <c r="J50"/>
      <c r="K50"/>
    </row>
    <row r="51" spans="1:11" s="200" customFormat="1" ht="15.75" hidden="1">
      <c r="A51" s="497"/>
      <c r="B51"/>
      <c r="C51"/>
      <c r="D51"/>
      <c r="E51"/>
      <c r="F51"/>
      <c r="G51"/>
      <c r="H51"/>
      <c r="I51"/>
      <c r="J51"/>
      <c r="K51"/>
    </row>
    <row r="52" spans="1:11" s="200" customFormat="1" ht="15.75" hidden="1">
      <c r="A52" s="497"/>
      <c r="B52"/>
      <c r="C52"/>
      <c r="D52"/>
      <c r="E52"/>
      <c r="F52"/>
      <c r="G52"/>
      <c r="H52"/>
      <c r="I52"/>
      <c r="J52"/>
      <c r="K52"/>
    </row>
    <row r="53" spans="1:11" s="200" customFormat="1" ht="15.75" hidden="1">
      <c r="A53" s="497"/>
      <c r="B53"/>
      <c r="C53"/>
      <c r="D53"/>
      <c r="E53"/>
      <c r="F53"/>
      <c r="G53"/>
      <c r="H53"/>
      <c r="I53"/>
      <c r="J53"/>
      <c r="K53"/>
    </row>
    <row r="54" spans="1:11" s="200" customFormat="1" ht="15.75" hidden="1">
      <c r="A54" s="497"/>
      <c r="B54"/>
      <c r="C54"/>
      <c r="D54"/>
      <c r="E54"/>
      <c r="F54"/>
      <c r="G54"/>
      <c r="H54"/>
      <c r="I54"/>
      <c r="J54"/>
      <c r="K54"/>
    </row>
    <row r="55" spans="1:11" s="200" customFormat="1" ht="15.75" hidden="1">
      <c r="A55" s="497"/>
      <c r="B55"/>
      <c r="C55"/>
      <c r="D55"/>
      <c r="E55"/>
      <c r="F55"/>
      <c r="G55"/>
      <c r="H55"/>
      <c r="I55"/>
      <c r="J55"/>
      <c r="K55"/>
    </row>
    <row r="56" spans="1:11" s="200" customFormat="1" ht="15.75" hidden="1">
      <c r="A56" s="497"/>
      <c r="B56"/>
      <c r="C56"/>
      <c r="D56"/>
      <c r="E56"/>
      <c r="F56"/>
      <c r="G56"/>
      <c r="H56"/>
      <c r="I56"/>
      <c r="J56"/>
      <c r="K56"/>
    </row>
    <row r="57" spans="1:11" s="200" customFormat="1" ht="15.75" hidden="1">
      <c r="A57" s="497"/>
      <c r="B57"/>
      <c r="C57"/>
      <c r="D57"/>
      <c r="E57"/>
      <c r="F57"/>
      <c r="G57"/>
      <c r="H57"/>
      <c r="I57"/>
      <c r="J57"/>
      <c r="K57"/>
    </row>
    <row r="58" spans="1:11" s="200" customFormat="1" ht="2.25" hidden="1" customHeight="1">
      <c r="A58" s="497"/>
      <c r="B58"/>
      <c r="C58"/>
      <c r="D58"/>
      <c r="E58"/>
      <c r="F58"/>
      <c r="G58"/>
      <c r="H58"/>
      <c r="I58"/>
      <c r="J58"/>
      <c r="K58"/>
    </row>
    <row r="59" spans="1:11" s="200" customFormat="1" ht="15.75" hidden="1">
      <c r="A59" s="497"/>
      <c r="B59"/>
      <c r="C59"/>
      <c r="D59"/>
      <c r="E59"/>
      <c r="F59"/>
      <c r="G59"/>
      <c r="H59"/>
      <c r="I59"/>
      <c r="J59"/>
      <c r="K59"/>
    </row>
    <row r="60" spans="1:11" s="200" customFormat="1" ht="15.75" hidden="1">
      <c r="A60" s="497"/>
      <c r="B60" s="199"/>
      <c r="C60" s="83"/>
      <c r="D60" s="86"/>
      <c r="E60" s="86"/>
      <c r="F60" s="86"/>
      <c r="G60" s="86"/>
      <c r="H60" s="86"/>
      <c r="I60" s="86"/>
      <c r="J60" s="86"/>
      <c r="K60" s="86"/>
    </row>
    <row r="61" spans="1:11" s="200" customFormat="1" ht="15.75" hidden="1">
      <c r="A61" s="497"/>
      <c r="B61" s="199"/>
      <c r="C61" s="83"/>
      <c r="D61" s="86"/>
      <c r="E61" s="86"/>
      <c r="F61" s="86"/>
      <c r="G61" s="86"/>
      <c r="H61" s="86"/>
      <c r="I61" s="86"/>
      <c r="J61" s="86"/>
      <c r="K61" s="86"/>
    </row>
    <row r="62" spans="1:11" s="200" customFormat="1" ht="15.75" hidden="1">
      <c r="A62" s="497"/>
      <c r="B62" s="199"/>
      <c r="C62" s="83"/>
      <c r="D62" s="86"/>
      <c r="E62" s="86"/>
      <c r="F62" s="86"/>
      <c r="G62" s="86"/>
      <c r="H62" s="86"/>
      <c r="I62" s="86"/>
      <c r="J62" s="86"/>
      <c r="K62" s="86"/>
    </row>
    <row r="63" spans="1:11" s="200" customFormat="1" ht="15.75" hidden="1">
      <c r="A63" s="497"/>
      <c r="B63" s="199"/>
      <c r="C63" s="83"/>
      <c r="D63" s="86"/>
      <c r="E63" s="86"/>
      <c r="F63" s="86"/>
      <c r="G63" s="86"/>
      <c r="H63" s="86"/>
      <c r="I63" s="86"/>
      <c r="J63" s="86"/>
      <c r="K63" s="86"/>
    </row>
    <row r="64" spans="1:11" s="200" customFormat="1" ht="15.75" hidden="1">
      <c r="A64" s="497"/>
      <c r="B64" s="199"/>
      <c r="C64" s="83"/>
      <c r="D64" s="86"/>
      <c r="E64" s="86"/>
      <c r="F64" s="86"/>
      <c r="G64" s="86"/>
      <c r="H64" s="86"/>
      <c r="I64" s="86"/>
      <c r="J64" s="86"/>
      <c r="K64" s="86"/>
    </row>
    <row r="65" spans="1:11" s="200" customFormat="1" ht="15.75" hidden="1">
      <c r="A65" s="497"/>
      <c r="B65" s="199"/>
      <c r="C65" s="83"/>
      <c r="D65" s="86"/>
      <c r="E65" s="86"/>
      <c r="F65" s="86"/>
      <c r="G65" s="86"/>
      <c r="H65" s="86"/>
      <c r="I65" s="86"/>
      <c r="J65" s="86"/>
      <c r="K65" s="86"/>
    </row>
    <row r="66" spans="1:11" s="200" customFormat="1" ht="15.75" hidden="1">
      <c r="A66" s="497"/>
      <c r="B66" s="199"/>
      <c r="C66" s="83"/>
      <c r="D66" s="86"/>
      <c r="E66" s="86"/>
      <c r="F66" s="86"/>
      <c r="G66" s="86"/>
      <c r="H66" s="86"/>
      <c r="I66" s="86"/>
      <c r="J66" s="86"/>
      <c r="K66" s="86"/>
    </row>
    <row r="67" spans="1:11" s="200" customFormat="1" ht="15.75" hidden="1">
      <c r="A67" s="497"/>
      <c r="B67" s="199"/>
      <c r="C67" s="83"/>
      <c r="D67" s="86"/>
      <c r="E67" s="86"/>
      <c r="F67" s="86"/>
      <c r="G67" s="86"/>
      <c r="H67" s="86"/>
      <c r="I67" s="86"/>
      <c r="J67" s="86"/>
      <c r="K67" s="86"/>
    </row>
    <row r="68" spans="1:11" s="200" customFormat="1" ht="15.75" hidden="1">
      <c r="A68" s="497"/>
      <c r="B68" s="199"/>
      <c r="C68" s="83"/>
      <c r="D68" s="86"/>
      <c r="E68" s="86"/>
      <c r="F68" s="86"/>
      <c r="G68" s="86"/>
      <c r="H68" s="86"/>
      <c r="I68" s="86"/>
      <c r="J68" s="86"/>
      <c r="K68" s="86"/>
    </row>
    <row r="69" spans="1:11" s="200" customFormat="1" ht="15.75" hidden="1">
      <c r="B69" s="199"/>
      <c r="C69" s="83"/>
      <c r="D69" s="86"/>
      <c r="E69" s="86"/>
      <c r="F69" s="86"/>
      <c r="G69" s="86"/>
      <c r="H69" s="86"/>
      <c r="I69" s="86"/>
      <c r="J69" s="86"/>
      <c r="K69" s="86"/>
    </row>
    <row r="70" spans="1:11" s="200" customFormat="1" ht="15.75" hidden="1">
      <c r="B70" s="199"/>
      <c r="C70" s="83"/>
      <c r="D70" s="86"/>
      <c r="E70" s="86"/>
      <c r="F70" s="86"/>
      <c r="G70" s="86"/>
      <c r="H70" s="86"/>
      <c r="I70" s="86"/>
      <c r="J70" s="86"/>
      <c r="K70" s="86"/>
    </row>
    <row r="71" spans="1:11" s="200" customFormat="1" ht="15.75" hidden="1">
      <c r="B71" s="199"/>
      <c r="C71" s="83"/>
      <c r="D71" s="86"/>
      <c r="E71" s="86"/>
      <c r="F71" s="86"/>
      <c r="G71" s="86"/>
      <c r="H71" s="86"/>
      <c r="I71" s="86"/>
      <c r="J71" s="86"/>
      <c r="K71" s="86"/>
    </row>
    <row r="72" spans="1:11" s="200" customFormat="1" ht="15.75" hidden="1">
      <c r="B72" s="199"/>
      <c r="C72" s="83"/>
      <c r="D72" s="86"/>
      <c r="E72" s="86"/>
      <c r="F72" s="86"/>
      <c r="G72" s="86"/>
      <c r="H72" s="86"/>
      <c r="I72" s="86"/>
      <c r="J72" s="86"/>
      <c r="K72" s="86"/>
    </row>
    <row r="73" spans="1:11" s="200" customFormat="1" ht="15.75" hidden="1">
      <c r="B73" s="199"/>
      <c r="C73" s="83"/>
      <c r="D73" s="86"/>
      <c r="E73" s="86"/>
      <c r="F73" s="86"/>
      <c r="G73" s="86"/>
      <c r="H73" s="86"/>
      <c r="I73" s="86"/>
      <c r="J73" s="86"/>
      <c r="K73" s="86"/>
    </row>
    <row r="74" spans="1:11" s="200" customFormat="1" ht="15.75" hidden="1">
      <c r="B74" s="199"/>
      <c r="C74" s="83"/>
      <c r="D74" s="86"/>
      <c r="E74" s="86"/>
      <c r="F74" s="86"/>
      <c r="G74" s="86"/>
      <c r="H74" s="86"/>
      <c r="I74" s="86"/>
      <c r="J74" s="86"/>
      <c r="K74" s="86"/>
    </row>
    <row r="75" spans="1:11" s="200" customFormat="1" ht="15.75" hidden="1">
      <c r="B75" s="199"/>
      <c r="C75" s="83"/>
      <c r="D75" s="86"/>
      <c r="E75" s="86"/>
      <c r="F75" s="86"/>
      <c r="G75" s="86"/>
      <c r="H75" s="86"/>
      <c r="I75" s="86"/>
      <c r="J75" s="86"/>
      <c r="K75" s="86"/>
    </row>
    <row r="76" spans="1:11" s="200" customFormat="1" ht="15.75" hidden="1">
      <c r="B76" s="199"/>
      <c r="C76" s="83"/>
      <c r="D76" s="86"/>
      <c r="E76" s="86"/>
      <c r="F76" s="86"/>
      <c r="G76" s="86"/>
      <c r="H76" s="86"/>
      <c r="I76" s="86"/>
      <c r="J76" s="86"/>
      <c r="K76" s="86"/>
    </row>
    <row r="77" spans="1:11" s="200" customFormat="1" ht="15.75" hidden="1">
      <c r="B77" s="199"/>
      <c r="C77" s="83"/>
      <c r="D77" s="86"/>
      <c r="E77" s="86"/>
      <c r="F77" s="86"/>
      <c r="G77" s="86"/>
      <c r="H77" s="86"/>
      <c r="I77" s="86"/>
      <c r="J77" s="86"/>
      <c r="K77" s="86"/>
    </row>
    <row r="78" spans="1:11" s="200" customFormat="1" ht="15.75" hidden="1">
      <c r="B78" s="199"/>
      <c r="C78" s="83"/>
      <c r="D78" s="86"/>
      <c r="E78" s="86"/>
      <c r="F78" s="86"/>
      <c r="G78" s="86"/>
      <c r="H78" s="86"/>
      <c r="I78" s="86"/>
      <c r="J78" s="86"/>
      <c r="K78" s="86"/>
    </row>
    <row r="79" spans="1:11" s="200" customFormat="1" ht="15.75" hidden="1">
      <c r="B79" s="199"/>
      <c r="C79" s="83"/>
      <c r="D79" s="86"/>
      <c r="E79" s="86"/>
      <c r="F79" s="86"/>
      <c r="G79" s="86"/>
      <c r="H79" s="86"/>
      <c r="I79" s="86"/>
      <c r="J79" s="86"/>
      <c r="K79" s="86"/>
    </row>
    <row r="80" spans="1:11" s="200" customFormat="1" ht="15.75" hidden="1">
      <c r="B80" s="199"/>
      <c r="C80" s="83"/>
      <c r="D80" s="86"/>
      <c r="E80" s="86"/>
      <c r="F80" s="86"/>
      <c r="G80" s="86"/>
      <c r="H80" s="86"/>
      <c r="I80" s="86"/>
      <c r="J80" s="86"/>
      <c r="K80" s="86"/>
    </row>
    <row r="81" spans="2:11" s="200" customFormat="1" ht="15.75" hidden="1">
      <c r="B81" s="199"/>
      <c r="C81" s="83"/>
      <c r="D81" s="86"/>
      <c r="E81" s="86"/>
      <c r="F81" s="86"/>
      <c r="G81" s="86"/>
      <c r="H81" s="86"/>
      <c r="I81" s="86"/>
      <c r="J81" s="86"/>
      <c r="K81" s="86"/>
    </row>
    <row r="82" spans="2:11" s="200" customFormat="1" ht="15.75" hidden="1">
      <c r="B82" s="199"/>
      <c r="C82" s="83"/>
      <c r="D82" s="86"/>
      <c r="E82" s="86"/>
      <c r="F82" s="86"/>
      <c r="G82" s="86"/>
      <c r="H82" s="86"/>
      <c r="I82" s="86"/>
      <c r="J82" s="86"/>
      <c r="K82" s="86"/>
    </row>
    <row r="83" spans="2:11" s="200" customFormat="1" ht="15.75" hidden="1">
      <c r="B83" s="199"/>
      <c r="C83" s="83"/>
      <c r="D83" s="86"/>
      <c r="E83" s="86"/>
      <c r="F83" s="86"/>
      <c r="G83" s="86"/>
      <c r="H83" s="86"/>
      <c r="I83" s="86"/>
      <c r="J83" s="86"/>
      <c r="K83" s="86"/>
    </row>
    <row r="84" spans="2:11" s="200" customFormat="1" ht="15.75" hidden="1">
      <c r="B84" s="199"/>
      <c r="C84" s="83"/>
      <c r="D84" s="86"/>
      <c r="E84" s="86"/>
      <c r="F84" s="86"/>
      <c r="G84" s="86"/>
      <c r="H84" s="86"/>
      <c r="I84" s="86"/>
      <c r="J84" s="86"/>
      <c r="K84" s="86"/>
    </row>
    <row r="85" spans="2:11" s="200" customFormat="1" ht="15.75" hidden="1">
      <c r="B85" s="199"/>
      <c r="C85" s="83"/>
      <c r="D85" s="86"/>
      <c r="E85" s="86"/>
      <c r="F85" s="86"/>
      <c r="G85" s="86"/>
      <c r="H85" s="86"/>
      <c r="I85" s="86"/>
      <c r="J85" s="86"/>
      <c r="K85" s="86"/>
    </row>
    <row r="86" spans="2:11" s="200" customFormat="1" ht="15.75" hidden="1">
      <c r="B86" s="199"/>
      <c r="C86" s="83"/>
      <c r="D86" s="86"/>
      <c r="E86" s="86"/>
      <c r="F86" s="86"/>
      <c r="G86" s="86"/>
      <c r="H86" s="86"/>
      <c r="I86" s="86"/>
      <c r="J86" s="86"/>
      <c r="K86" s="86"/>
    </row>
    <row r="87" spans="2:11" s="200" customFormat="1" ht="15.75" hidden="1">
      <c r="B87" s="199"/>
      <c r="C87" s="83"/>
      <c r="D87" s="86"/>
      <c r="E87" s="86"/>
      <c r="F87" s="86"/>
      <c r="G87" s="86"/>
      <c r="H87" s="86"/>
      <c r="I87" s="86"/>
      <c r="J87" s="86"/>
      <c r="K87" s="86"/>
    </row>
    <row r="88" spans="2:11" s="200" customFormat="1" ht="15.75" hidden="1">
      <c r="B88" s="199"/>
      <c r="C88" s="83"/>
      <c r="D88" s="86"/>
      <c r="E88" s="86"/>
      <c r="F88" s="86"/>
      <c r="G88" s="86"/>
      <c r="H88" s="86"/>
      <c r="I88" s="86"/>
      <c r="J88" s="86"/>
      <c r="K88" s="86"/>
    </row>
    <row r="89" spans="2:11" s="200" customFormat="1" ht="15.75" hidden="1">
      <c r="B89" s="199"/>
      <c r="C89" s="83"/>
      <c r="D89" s="86"/>
      <c r="E89" s="86"/>
      <c r="F89" s="86"/>
      <c r="G89" s="86"/>
      <c r="H89" s="86"/>
      <c r="I89" s="86"/>
      <c r="J89" s="86"/>
      <c r="K89" s="86"/>
    </row>
    <row r="90" spans="2:11" s="200" customFormat="1" ht="15.75" hidden="1">
      <c r="B90" s="199"/>
      <c r="C90" s="83"/>
      <c r="D90" s="86"/>
      <c r="E90" s="86"/>
      <c r="F90" s="86"/>
      <c r="G90" s="86"/>
      <c r="H90" s="86"/>
      <c r="I90" s="86"/>
      <c r="J90" s="86"/>
      <c r="K90" s="86"/>
    </row>
    <row r="91" spans="2:11" s="200" customFormat="1" ht="15.75" hidden="1">
      <c r="B91" s="199"/>
      <c r="C91" s="83"/>
      <c r="D91" s="86"/>
      <c r="E91" s="86"/>
      <c r="F91" s="86"/>
      <c r="G91" s="86"/>
      <c r="H91" s="86"/>
      <c r="I91" s="86"/>
      <c r="J91" s="86"/>
      <c r="K91" s="86"/>
    </row>
    <row r="92" spans="2:11" s="200" customFormat="1" ht="15.75" hidden="1">
      <c r="B92" s="199"/>
      <c r="C92" s="83"/>
      <c r="D92" s="86"/>
      <c r="E92" s="86"/>
      <c r="F92" s="86"/>
      <c r="G92" s="86"/>
      <c r="H92" s="86"/>
      <c r="I92" s="86"/>
      <c r="J92" s="86"/>
      <c r="K92" s="86"/>
    </row>
    <row r="93" spans="2:11" s="200" customFormat="1" ht="15.75" hidden="1">
      <c r="B93" s="199"/>
      <c r="C93" s="83"/>
      <c r="D93" s="86"/>
      <c r="E93" s="86"/>
      <c r="F93" s="86"/>
      <c r="G93" s="86"/>
      <c r="H93" s="86"/>
      <c r="I93" s="86"/>
      <c r="J93" s="86"/>
      <c r="K93" s="86"/>
    </row>
    <row r="94" spans="2:11" s="200" customFormat="1" ht="15.75" hidden="1">
      <c r="B94" s="199"/>
      <c r="C94" s="83"/>
      <c r="D94" s="86"/>
      <c r="E94" s="86"/>
      <c r="F94" s="86"/>
      <c r="G94" s="86"/>
      <c r="H94" s="86"/>
      <c r="I94" s="86"/>
      <c r="J94" s="86"/>
      <c r="K94" s="86"/>
    </row>
    <row r="95" spans="2:11" s="200" customFormat="1" ht="15.75" hidden="1">
      <c r="B95" s="199"/>
      <c r="C95" s="83"/>
      <c r="D95" s="86"/>
      <c r="E95" s="86"/>
      <c r="F95" s="86"/>
      <c r="G95" s="86"/>
      <c r="H95" s="86"/>
      <c r="I95" s="86"/>
      <c r="J95" s="86"/>
      <c r="K95" s="86"/>
    </row>
    <row r="96" spans="2:11" s="200" customFormat="1" ht="15.75" hidden="1">
      <c r="B96" s="199"/>
      <c r="C96" s="83"/>
      <c r="D96" s="86"/>
      <c r="E96" s="86"/>
      <c r="F96" s="86"/>
      <c r="G96" s="86"/>
      <c r="H96" s="86"/>
      <c r="I96" s="86"/>
      <c r="J96" s="86"/>
      <c r="K96" s="86"/>
    </row>
    <row r="97" spans="2:11" s="200" customFormat="1" ht="15.75" hidden="1">
      <c r="B97" s="199"/>
      <c r="C97" s="83"/>
      <c r="D97" s="86"/>
      <c r="E97" s="86"/>
      <c r="F97" s="86"/>
      <c r="G97" s="86"/>
      <c r="H97" s="86"/>
      <c r="I97" s="86"/>
      <c r="J97" s="86"/>
      <c r="K97" s="86"/>
    </row>
    <row r="98" spans="2:11" s="200" customFormat="1" ht="15.75" hidden="1">
      <c r="B98" s="199"/>
      <c r="C98" s="83"/>
      <c r="D98" s="86"/>
      <c r="E98" s="86"/>
      <c r="F98" s="86"/>
      <c r="G98" s="86"/>
      <c r="H98" s="86"/>
      <c r="I98" s="86"/>
      <c r="J98" s="86"/>
      <c r="K98" s="86"/>
    </row>
    <row r="99" spans="2:11" s="200" customFormat="1" ht="15.75" hidden="1">
      <c r="B99" s="199"/>
      <c r="C99" s="83"/>
      <c r="D99" s="86"/>
      <c r="E99" s="86"/>
      <c r="F99" s="86"/>
      <c r="G99" s="86"/>
      <c r="H99" s="86"/>
      <c r="I99" s="86"/>
      <c r="J99" s="86"/>
      <c r="K99" s="86"/>
    </row>
    <row r="100" spans="2:11" s="200" customFormat="1" ht="15.75" hidden="1">
      <c r="B100" s="199"/>
      <c r="C100" s="83"/>
      <c r="D100" s="86"/>
      <c r="E100" s="86"/>
      <c r="F100" s="86"/>
      <c r="G100" s="86"/>
      <c r="H100" s="86"/>
      <c r="I100" s="86"/>
      <c r="J100" s="86"/>
      <c r="K100" s="86"/>
    </row>
    <row r="101" spans="2:11" s="200" customFormat="1" ht="15.75" hidden="1">
      <c r="B101" s="199"/>
      <c r="C101" s="83"/>
      <c r="D101" s="86"/>
      <c r="E101" s="86"/>
      <c r="F101" s="86"/>
      <c r="G101" s="86"/>
      <c r="H101" s="86"/>
      <c r="I101" s="86"/>
      <c r="J101" s="86"/>
      <c r="K101" s="86"/>
    </row>
    <row r="102" spans="2:11" s="200" customFormat="1" ht="15.75" hidden="1">
      <c r="B102" s="199"/>
      <c r="C102" s="83"/>
      <c r="D102" s="86"/>
      <c r="E102" s="86"/>
      <c r="F102" s="86"/>
      <c r="G102" s="86"/>
      <c r="H102" s="86"/>
      <c r="I102" s="86"/>
      <c r="J102" s="86"/>
      <c r="K102" s="86"/>
    </row>
    <row r="103" spans="2:11" s="200" customFormat="1" ht="15.75" hidden="1">
      <c r="B103" s="199"/>
      <c r="C103" s="83"/>
      <c r="D103" s="86"/>
      <c r="E103" s="86"/>
      <c r="F103" s="86"/>
      <c r="G103" s="86"/>
      <c r="H103" s="86"/>
      <c r="I103" s="86"/>
      <c r="J103" s="86"/>
      <c r="K103" s="86"/>
    </row>
    <row r="104" spans="2:11" s="200" customFormat="1" ht="15.75" hidden="1">
      <c r="B104" s="199"/>
      <c r="C104" s="83"/>
      <c r="D104" s="86"/>
      <c r="E104" s="86"/>
      <c r="F104" s="86"/>
      <c r="G104" s="86"/>
      <c r="H104" s="86"/>
      <c r="I104" s="86"/>
      <c r="J104" s="86"/>
      <c r="K104" s="86"/>
    </row>
    <row r="105" spans="2:11" s="200" customFormat="1" ht="15.75" hidden="1">
      <c r="B105" s="199"/>
      <c r="C105" s="83"/>
      <c r="D105" s="86"/>
      <c r="E105" s="86"/>
      <c r="F105" s="86"/>
      <c r="G105" s="86"/>
      <c r="H105" s="86"/>
      <c r="I105" s="86"/>
      <c r="J105" s="86"/>
      <c r="K105" s="86"/>
    </row>
    <row r="106" spans="2:11" s="200" customFormat="1" ht="15.75" hidden="1">
      <c r="B106" s="199"/>
      <c r="C106" s="83"/>
      <c r="D106" s="86"/>
      <c r="E106" s="86"/>
      <c r="F106" s="86"/>
      <c r="G106" s="86"/>
      <c r="H106" s="86"/>
      <c r="I106" s="86"/>
      <c r="J106" s="86"/>
      <c r="K106" s="86"/>
    </row>
    <row r="107" spans="2:11" s="200" customFormat="1" ht="15.75" hidden="1">
      <c r="B107" s="199"/>
      <c r="C107" s="83"/>
      <c r="D107" s="86"/>
      <c r="E107" s="86"/>
      <c r="F107" s="86"/>
      <c r="G107" s="86"/>
      <c r="H107" s="86"/>
      <c r="I107" s="86"/>
      <c r="J107" s="86"/>
      <c r="K107" s="86"/>
    </row>
    <row r="108" spans="2:11" s="200" customFormat="1" ht="15.75" hidden="1">
      <c r="B108" s="199"/>
      <c r="C108" s="83"/>
      <c r="D108" s="86"/>
      <c r="E108" s="86"/>
      <c r="F108" s="86"/>
      <c r="G108" s="86"/>
      <c r="H108" s="86"/>
      <c r="I108" s="86"/>
      <c r="J108" s="86"/>
      <c r="K108" s="86"/>
    </row>
    <row r="109" spans="2:11" s="200" customFormat="1" ht="15.75" hidden="1">
      <c r="B109" s="199"/>
      <c r="C109" s="83"/>
      <c r="D109" s="86"/>
      <c r="E109" s="86"/>
      <c r="F109" s="86"/>
      <c r="G109" s="86"/>
      <c r="H109" s="86"/>
      <c r="I109" s="86"/>
      <c r="J109" s="86"/>
      <c r="K109" s="86"/>
    </row>
    <row r="110" spans="2:11" s="200" customFormat="1" ht="15.75" hidden="1">
      <c r="B110" s="199"/>
      <c r="C110" s="83"/>
      <c r="D110" s="86"/>
      <c r="E110" s="86"/>
      <c r="F110" s="86"/>
      <c r="G110" s="86"/>
      <c r="H110" s="86"/>
      <c r="I110" s="86"/>
      <c r="J110" s="86"/>
      <c r="K110" s="86"/>
    </row>
    <row r="111" spans="2:11" s="200" customFormat="1" ht="2.25" hidden="1" customHeight="1">
      <c r="B111" s="199"/>
      <c r="C111" s="83"/>
      <c r="D111" s="86"/>
      <c r="E111" s="86"/>
      <c r="F111" s="86"/>
      <c r="G111" s="86"/>
      <c r="H111" s="86"/>
      <c r="I111" s="86"/>
      <c r="J111" s="86"/>
      <c r="K111" s="86"/>
    </row>
    <row r="112" spans="2:11" s="200" customFormat="1" ht="15.75" hidden="1">
      <c r="B112" s="199"/>
      <c r="C112" s="83"/>
      <c r="D112" s="86"/>
      <c r="E112" s="86"/>
      <c r="F112" s="86"/>
      <c r="G112" s="86"/>
      <c r="H112" s="86"/>
      <c r="I112" s="86"/>
      <c r="J112" s="86"/>
      <c r="K112" s="86"/>
    </row>
    <row r="113" spans="2:11" s="200" customFormat="1" ht="15.75" hidden="1">
      <c r="B113" s="199"/>
      <c r="C113" s="83"/>
      <c r="D113" s="86"/>
      <c r="E113" s="86"/>
      <c r="F113" s="86"/>
      <c r="G113" s="86"/>
      <c r="H113" s="86"/>
      <c r="I113" s="86"/>
      <c r="J113" s="86"/>
      <c r="K113" s="86"/>
    </row>
    <row r="114" spans="2:11" s="200" customFormat="1" ht="15.75" hidden="1">
      <c r="B114" s="199"/>
      <c r="C114" s="83"/>
      <c r="D114" s="86"/>
      <c r="E114" s="86"/>
      <c r="F114" s="86"/>
      <c r="G114" s="86"/>
      <c r="H114" s="86"/>
      <c r="I114" s="86"/>
      <c r="J114" s="86"/>
      <c r="K114" s="86"/>
    </row>
    <row r="115" spans="2:11" s="200" customFormat="1" ht="15.75" hidden="1">
      <c r="B115" s="199"/>
      <c r="C115" s="83"/>
      <c r="D115" s="86"/>
      <c r="E115" s="86"/>
      <c r="F115" s="86"/>
      <c r="G115" s="86"/>
      <c r="H115" s="86"/>
      <c r="I115" s="86"/>
      <c r="J115" s="86"/>
      <c r="K115" s="86"/>
    </row>
    <row r="116" spans="2:11" s="200" customFormat="1" ht="15.75" hidden="1">
      <c r="B116" s="199"/>
      <c r="C116" s="83"/>
      <c r="D116" s="86"/>
      <c r="E116" s="86"/>
      <c r="F116" s="86"/>
      <c r="G116" s="86"/>
      <c r="H116" s="86"/>
      <c r="I116" s="86"/>
      <c r="J116" s="86"/>
      <c r="K116" s="86"/>
    </row>
    <row r="117" spans="2:11" s="200" customFormat="1" ht="15.75" hidden="1">
      <c r="B117" s="199"/>
      <c r="C117" s="83"/>
      <c r="D117" s="86"/>
      <c r="E117" s="86"/>
      <c r="F117" s="86"/>
      <c r="G117" s="86"/>
      <c r="H117" s="86"/>
      <c r="I117" s="86"/>
      <c r="J117" s="86"/>
      <c r="K117" s="86"/>
    </row>
    <row r="118" spans="2:11" s="200" customFormat="1" ht="15.75" hidden="1">
      <c r="B118" s="199"/>
      <c r="C118" s="83"/>
      <c r="D118" s="86"/>
      <c r="E118" s="86"/>
      <c r="F118" s="86"/>
      <c r="G118" s="86"/>
      <c r="H118" s="86"/>
      <c r="I118" s="86"/>
      <c r="J118" s="86"/>
      <c r="K118" s="86"/>
    </row>
    <row r="119" spans="2:11" s="200" customFormat="1" ht="15.75" hidden="1">
      <c r="B119" s="199"/>
      <c r="C119" s="83"/>
      <c r="D119" s="86"/>
      <c r="E119" s="86"/>
      <c r="F119" s="86"/>
      <c r="G119" s="86"/>
      <c r="H119" s="86"/>
      <c r="I119" s="86"/>
      <c r="J119" s="86"/>
      <c r="K119" s="86"/>
    </row>
    <row r="120" spans="2:11" s="200" customFormat="1" ht="15.75" hidden="1">
      <c r="B120" s="199"/>
      <c r="C120" s="83"/>
      <c r="D120" s="86"/>
      <c r="E120" s="86"/>
      <c r="F120" s="86"/>
      <c r="G120" s="86"/>
      <c r="H120" s="86"/>
      <c r="I120" s="86"/>
      <c r="J120" s="86"/>
      <c r="K120" s="86"/>
    </row>
    <row r="121" spans="2:11" s="200" customFormat="1" ht="15.75" hidden="1">
      <c r="B121" s="199"/>
      <c r="C121" s="83"/>
      <c r="D121" s="86"/>
      <c r="E121" s="86"/>
      <c r="F121" s="86"/>
      <c r="G121" s="86"/>
      <c r="H121" s="86"/>
      <c r="I121" s="86"/>
      <c r="J121" s="86"/>
      <c r="K121" s="86"/>
    </row>
    <row r="122" spans="2:11" s="200" customFormat="1" ht="15.75" hidden="1">
      <c r="B122" s="199"/>
      <c r="C122" s="83"/>
      <c r="D122" s="86"/>
      <c r="E122" s="86"/>
      <c r="F122" s="86"/>
      <c r="G122" s="86"/>
      <c r="H122" s="86"/>
      <c r="I122" s="86"/>
      <c r="J122" s="86"/>
      <c r="K122" s="86"/>
    </row>
    <row r="123" spans="2:11" s="200" customFormat="1" ht="15.75" hidden="1">
      <c r="B123" s="199"/>
      <c r="C123" s="83"/>
      <c r="D123" s="86"/>
      <c r="E123" s="86"/>
      <c r="F123" s="86"/>
      <c r="G123" s="86"/>
      <c r="H123" s="86"/>
      <c r="I123" s="86"/>
      <c r="J123" s="86"/>
      <c r="K123" s="86"/>
    </row>
    <row r="124" spans="2:11" s="200" customFormat="1" ht="15.75" hidden="1">
      <c r="B124" s="199"/>
      <c r="C124" s="83"/>
      <c r="D124" s="86"/>
      <c r="E124" s="86"/>
      <c r="F124" s="86"/>
      <c r="G124" s="86"/>
      <c r="H124" s="86"/>
      <c r="I124" s="86"/>
      <c r="J124" s="86"/>
      <c r="K124" s="86"/>
    </row>
    <row r="125" spans="2:11" s="200" customFormat="1" ht="3" hidden="1" customHeight="1">
      <c r="B125" s="199"/>
      <c r="C125" s="83"/>
      <c r="D125" s="86"/>
      <c r="E125" s="86"/>
      <c r="F125" s="86"/>
      <c r="G125" s="86"/>
      <c r="H125" s="86"/>
      <c r="I125" s="86"/>
      <c r="J125" s="86"/>
      <c r="K125" s="86"/>
    </row>
    <row r="126" spans="2:11" s="200" customFormat="1" ht="15.75" hidden="1">
      <c r="B126" s="199"/>
      <c r="C126" s="83"/>
      <c r="D126" s="86"/>
      <c r="E126" s="86"/>
      <c r="F126" s="86"/>
      <c r="G126" s="86"/>
      <c r="H126" s="86"/>
      <c r="I126" s="86"/>
      <c r="J126" s="86"/>
      <c r="K126" s="86"/>
    </row>
    <row r="127" spans="2:11" s="200" customFormat="1" ht="15.75" hidden="1">
      <c r="B127" s="199"/>
      <c r="C127" s="83"/>
      <c r="D127" s="86"/>
      <c r="E127" s="86"/>
      <c r="F127" s="86"/>
      <c r="G127" s="86"/>
      <c r="H127" s="86"/>
      <c r="I127" s="86"/>
      <c r="J127" s="86"/>
      <c r="K127" s="86"/>
    </row>
    <row r="128" spans="2:11" s="200" customFormat="1" ht="15.75" hidden="1">
      <c r="B128" s="199"/>
      <c r="C128" s="83"/>
      <c r="D128" s="86"/>
      <c r="E128" s="86"/>
      <c r="F128" s="86"/>
      <c r="G128" s="86"/>
      <c r="H128" s="86"/>
      <c r="I128" s="86"/>
      <c r="J128" s="86"/>
      <c r="K128" s="86"/>
    </row>
    <row r="129" spans="2:13" s="200" customFormat="1" ht="15.75" hidden="1">
      <c r="B129" s="199"/>
      <c r="C129" s="83"/>
      <c r="D129" s="86"/>
      <c r="E129" s="86"/>
      <c r="F129" s="86"/>
      <c r="G129" s="86"/>
      <c r="H129" s="86"/>
      <c r="I129" s="86"/>
      <c r="J129" s="86"/>
      <c r="K129" s="86"/>
    </row>
    <row r="130" spans="2:13" s="200" customFormat="1" ht="15.75" hidden="1">
      <c r="B130" s="199"/>
      <c r="C130" s="83"/>
      <c r="D130" s="86"/>
      <c r="E130" s="86"/>
      <c r="F130" s="86"/>
      <c r="G130" s="86"/>
      <c r="H130" s="86"/>
      <c r="I130" s="86"/>
      <c r="J130" s="86"/>
      <c r="K130" s="86"/>
    </row>
    <row r="131" spans="2:13" s="200" customFormat="1" ht="15.75" hidden="1">
      <c r="B131" s="199"/>
      <c r="C131" s="83"/>
      <c r="D131" s="86"/>
      <c r="E131" s="86"/>
      <c r="F131" s="86"/>
      <c r="G131" s="86"/>
      <c r="H131" s="86"/>
      <c r="I131" s="86"/>
      <c r="J131" s="86"/>
      <c r="K131" s="86"/>
    </row>
    <row r="132" spans="2:13" s="200" customFormat="1" ht="15.75" hidden="1">
      <c r="B132" s="199"/>
      <c r="C132" s="83"/>
      <c r="D132" s="86"/>
      <c r="E132" s="86"/>
      <c r="F132" s="86"/>
      <c r="G132" s="86"/>
      <c r="H132" s="86"/>
      <c r="I132" s="86"/>
      <c r="J132" s="86"/>
      <c r="K132" s="86"/>
    </row>
    <row r="133" spans="2:13" s="200" customFormat="1" ht="15.75" hidden="1">
      <c r="B133" s="199"/>
      <c r="C133" s="83"/>
      <c r="D133" s="86"/>
      <c r="E133" s="86"/>
      <c r="F133" s="86"/>
      <c r="G133" s="86"/>
      <c r="H133" s="86"/>
      <c r="I133" s="86"/>
      <c r="J133" s="86"/>
      <c r="K133" s="86"/>
    </row>
    <row r="134" spans="2:13" s="200" customFormat="1" ht="15.75" hidden="1">
      <c r="B134" s="199"/>
      <c r="C134" s="83"/>
      <c r="D134" s="86"/>
      <c r="E134" s="86"/>
      <c r="F134" s="86"/>
      <c r="G134" s="86"/>
      <c r="H134" s="86"/>
      <c r="I134" s="86"/>
      <c r="J134" s="86"/>
      <c r="K134" s="86"/>
    </row>
    <row r="135" spans="2:13" s="200" customFormat="1" ht="3" hidden="1" customHeight="1">
      <c r="B135" s="199"/>
      <c r="C135" s="83"/>
      <c r="D135" s="86"/>
      <c r="E135" s="86"/>
      <c r="F135" s="86"/>
      <c r="G135" s="86"/>
      <c r="H135" s="86"/>
      <c r="I135" s="86"/>
      <c r="J135" s="86"/>
      <c r="K135" s="86"/>
    </row>
    <row r="136" spans="2:13" s="200" customFormat="1" ht="15.75" hidden="1">
      <c r="B136" s="199"/>
      <c r="C136" s="83"/>
      <c r="D136" s="86"/>
      <c r="E136" s="86"/>
      <c r="F136" s="86"/>
      <c r="G136" s="86"/>
      <c r="H136" s="86"/>
      <c r="I136" s="86"/>
      <c r="J136" s="86"/>
      <c r="K136" s="86"/>
    </row>
    <row r="137" spans="2:13" s="200" customFormat="1" ht="15.75" hidden="1">
      <c r="B137" s="199"/>
      <c r="C137" s="83"/>
      <c r="D137" s="86"/>
      <c r="E137" s="86"/>
      <c r="F137" s="86"/>
      <c r="G137" s="86"/>
      <c r="H137" s="86"/>
      <c r="I137" s="86"/>
      <c r="J137" s="86"/>
      <c r="K137" s="86"/>
    </row>
    <row r="138" spans="2:13" s="200" customFormat="1" ht="15.75" hidden="1">
      <c r="B138" s="199"/>
      <c r="C138" s="83"/>
      <c r="D138" s="86"/>
      <c r="E138" s="86"/>
      <c r="F138" s="86"/>
      <c r="G138" s="86"/>
      <c r="H138" s="86"/>
      <c r="I138" s="86"/>
      <c r="J138" s="86"/>
      <c r="K138" s="86"/>
      <c r="L138" s="499"/>
    </row>
    <row r="139" spans="2:13" ht="15.75" hidden="1">
      <c r="E139" s="500"/>
      <c r="H139" s="500"/>
      <c r="M139" s="501"/>
    </row>
    <row r="140" spans="2:13" ht="15.75" hidden="1">
      <c r="J140" s="502"/>
      <c r="K140" s="502"/>
    </row>
    <row r="141" spans="2:13" ht="15.75" hidden="1">
      <c r="C141" s="3"/>
      <c r="H141" s="197"/>
    </row>
    <row r="142" spans="2:13" ht="15.75" hidden="1">
      <c r="H142" s="197"/>
    </row>
    <row r="143" spans="2:13" ht="15.75" hidden="1">
      <c r="H143" s="197"/>
    </row>
    <row r="144" spans="2:13" ht="15.75" hidden="1">
      <c r="H144" s="197"/>
    </row>
    <row r="145" spans="8:8" ht="15.75" hidden="1">
      <c r="H145" s="197"/>
    </row>
    <row r="146" spans="8:8" ht="15.75" hidden="1">
      <c r="H146" s="197"/>
    </row>
    <row r="147" spans="8:8" ht="15.75" hidden="1">
      <c r="H147" s="197"/>
    </row>
    <row r="148" spans="8:8" ht="15.75" hidden="1">
      <c r="H148" s="197"/>
    </row>
    <row r="149" spans="8:8" ht="15.75" hidden="1">
      <c r="H149" s="197"/>
    </row>
    <row r="150" spans="8:8" ht="15.75" hidden="1">
      <c r="H150" s="197"/>
    </row>
    <row r="151" spans="8:8" ht="15.75" hidden="1">
      <c r="H151" s="197"/>
    </row>
    <row r="152" spans="8:8" ht="15.75" hidden="1">
      <c r="H152" s="197"/>
    </row>
    <row r="153" spans="8:8" ht="15.75" hidden="1">
      <c r="H153" s="197"/>
    </row>
    <row r="154" spans="8:8" ht="15.75" hidden="1">
      <c r="H154" s="197"/>
    </row>
    <row r="155" spans="8:8" ht="15.75" hidden="1">
      <c r="H155" s="197"/>
    </row>
    <row r="156" spans="8:8" ht="15.75" hidden="1">
      <c r="H156" s="197"/>
    </row>
    <row r="157" spans="8:8" ht="15.75" hidden="1">
      <c r="H157" s="197"/>
    </row>
    <row r="158" spans="8:8" ht="15.75" hidden="1">
      <c r="H158" s="197"/>
    </row>
    <row r="159" spans="8:8" ht="15.75" hidden="1">
      <c r="H159" s="197"/>
    </row>
    <row r="160" spans="8:8" ht="15.75" hidden="1">
      <c r="H160" s="197"/>
    </row>
    <row r="161" spans="8:8" ht="15.75" hidden="1">
      <c r="H161" s="197"/>
    </row>
    <row r="162" spans="8:8" ht="15.75" hidden="1">
      <c r="H162" s="197"/>
    </row>
    <row r="163" spans="8:8" ht="15.75" hidden="1"/>
    <row r="164" spans="8:8" ht="15.75" hidden="1"/>
    <row r="165" spans="8:8" ht="15.75" hidden="1"/>
    <row r="166" spans="8:8" ht="15.75" hidden="1"/>
    <row r="167" spans="8:8" ht="15.75" hidden="1"/>
    <row r="168" spans="8:8" ht="15.75" hidden="1"/>
    <row r="169" spans="8:8" ht="15.75" hidden="1"/>
    <row r="170" spans="8:8" ht="15.75" hidden="1"/>
    <row r="171" spans="8:8" ht="15.75" hidden="1"/>
    <row r="172" spans="8:8" ht="15.75" hidden="1"/>
    <row r="173" spans="8:8" ht="15.75" hidden="1"/>
    <row r="174" spans="8:8" ht="15.75" hidden="1"/>
    <row r="175" spans="8:8" ht="15.75" hidden="1"/>
    <row r="176" spans="8:8" ht="15.75" hidden="1"/>
    <row r="177" ht="15.75" hidden="1"/>
    <row r="178" ht="15.75" hidden="1"/>
    <row r="179" ht="15.75" hidden="1"/>
    <row r="180" ht="15.75" hidden="1"/>
    <row r="181" ht="15.75" hidden="1"/>
    <row r="182" ht="15.75" hidden="1"/>
    <row r="183" ht="15.75" hidden="1"/>
    <row r="184" ht="15.75" hidden="1"/>
    <row r="185" ht="15.75" hidden="1"/>
    <row r="186" ht="15.75" hidden="1"/>
    <row r="187" ht="15.75" hidden="1"/>
    <row r="188" ht="15.75" hidden="1"/>
    <row r="189" ht="15.75" hidden="1"/>
    <row r="190" ht="15.75" hidden="1"/>
    <row r="191" ht="15.75" hidden="1"/>
    <row r="192" ht="15.75" hidden="1"/>
    <row r="193" ht="15.75" hidden="1"/>
    <row r="194" ht="15.75" hidden="1"/>
    <row r="195" ht="15.75" hidden="1"/>
    <row r="196" ht="15.75" hidden="1"/>
    <row r="197" ht="15.75" hidden="1"/>
    <row r="198" ht="15.75" hidden="1"/>
    <row r="199" ht="15.75" hidden="1"/>
    <row r="200" ht="15.75" hidden="1"/>
    <row r="201" ht="15.75" hidden="1"/>
    <row r="202" ht="15.75" hidden="1"/>
    <row r="203" ht="15.75" hidden="1"/>
    <row r="204" ht="15.75" hidden="1"/>
    <row r="205" ht="15.75" hidden="1"/>
    <row r="206" ht="15.75" hidden="1"/>
    <row r="207" ht="15.75" hidden="1"/>
    <row r="208" ht="15.75" hidden="1"/>
    <row r="209" ht="15.75" hidden="1"/>
    <row r="210" ht="15.75" hidden="1"/>
    <row r="211" ht="15.75" hidden="1"/>
    <row r="212" ht="15.75" hidden="1"/>
    <row r="213" ht="15.75" hidden="1"/>
    <row r="214" ht="15.75" hidden="1"/>
    <row r="215" ht="15.75" hidden="1"/>
    <row r="216" ht="15.75" hidden="1"/>
    <row r="217" ht="15.75" hidden="1"/>
    <row r="218" ht="15.75" hidden="1"/>
    <row r="219" ht="15.75" hidden="1"/>
    <row r="220" ht="15.75" hidden="1"/>
    <row r="221" ht="15.75" hidden="1"/>
    <row r="222" ht="15.75" hidden="1"/>
    <row r="223" ht="15.75" hidden="1"/>
    <row r="224" ht="15.75" hidden="1"/>
    <row r="225" ht="15.75" hidden="1"/>
    <row r="226" ht="15.75" hidden="1"/>
    <row r="227" ht="15.75" hidden="1"/>
    <row r="228" ht="15.75" hidden="1"/>
    <row r="229" ht="15.75" hidden="1"/>
    <row r="230" ht="15.75" hidden="1"/>
    <row r="231" ht="15.75" hidden="1"/>
    <row r="232" ht="15.75" hidden="1"/>
    <row r="233" ht="15.75" hidden="1"/>
    <row r="234" ht="15.75" hidden="1"/>
    <row r="235" ht="15.75" hidden="1"/>
    <row r="236" ht="15.75" hidden="1"/>
    <row r="237" ht="15.75" hidden="1"/>
    <row r="238" ht="15.75" hidden="1"/>
    <row r="239" ht="15.75" hidden="1"/>
    <row r="240" ht="15.75" hidden="1"/>
    <row r="241" ht="15.75" hidden="1"/>
    <row r="242" ht="15.75" hidden="1"/>
    <row r="243" ht="15.75" hidden="1"/>
    <row r="244" ht="15.75" hidden="1"/>
    <row r="245" ht="15.75" hidden="1"/>
    <row r="246" ht="15.75" hidden="1"/>
    <row r="247" ht="15.75" hidden="1"/>
    <row r="248" ht="15.75" hidden="1"/>
    <row r="249" ht="15.75" hidden="1"/>
    <row r="250" ht="15.75" hidden="1"/>
    <row r="251" ht="15.75" hidden="1"/>
    <row r="252" ht="15.75" hidden="1"/>
    <row r="253" ht="15.75" hidden="1"/>
    <row r="254" ht="15.75" hidden="1"/>
    <row r="255" ht="15.75" hidden="1"/>
    <row r="256" ht="15.75" hidden="1"/>
    <row r="257" ht="15.75" hidden="1"/>
    <row r="258" ht="15.75" hidden="1"/>
    <row r="259" ht="15.75" hidden="1"/>
    <row r="260" ht="15.75" hidden="1"/>
    <row r="261" ht="15.75" hidden="1"/>
    <row r="262" ht="15.75" hidden="1"/>
    <row r="263" ht="15.75" hidden="1"/>
    <row r="264" ht="15.75" hidden="1"/>
    <row r="265" ht="15.75" hidden="1"/>
    <row r="266" ht="15.75" hidden="1"/>
    <row r="267" ht="15.75" hidden="1"/>
    <row r="268" ht="15.75" hidden="1"/>
    <row r="269" ht="15.75" hidden="1"/>
    <row r="270" ht="15.75" hidden="1"/>
    <row r="271" ht="15.75" hidden="1"/>
    <row r="272" ht="15.75" hidden="1"/>
    <row r="273" ht="15.75" hidden="1"/>
    <row r="274" ht="15.75" hidden="1"/>
    <row r="275" ht="15.75" hidden="1"/>
    <row r="276" ht="15.75" hidden="1"/>
    <row r="277" ht="15.75" hidden="1"/>
    <row r="278" ht="15.75" hidden="1"/>
    <row r="279" ht="15.75" hidden="1"/>
    <row r="280" ht="15.75" hidden="1"/>
    <row r="281" ht="15.75" hidden="1"/>
    <row r="282" ht="15.75" hidden="1"/>
    <row r="283" ht="15.75" hidden="1"/>
    <row r="284" ht="15.75" hidden="1"/>
    <row r="285" ht="15.75" hidden="1"/>
    <row r="286" ht="15.75" hidden="1"/>
    <row r="287" ht="15.75" hidden="1"/>
    <row r="288" ht="15.75" hidden="1"/>
    <row r="289" spans="25:25" ht="15.75" hidden="1">
      <c r="Y289" s="196" t="s">
        <v>194</v>
      </c>
    </row>
    <row r="290" spans="25:25" ht="15.75" hidden="1"/>
    <row r="291" spans="25:25" ht="15.75" hidden="1"/>
    <row r="292" spans="25:25" ht="15.75" hidden="1"/>
    <row r="293" spans="25:25" ht="15.75" hidden="1"/>
    <row r="294" spans="25:25" ht="15.75" hidden="1"/>
    <row r="295" spans="25:25" ht="15.75" hidden="1"/>
  </sheetData>
  <mergeCells count="4">
    <mergeCell ref="C3:F3"/>
    <mergeCell ref="C2:F2"/>
    <mergeCell ref="C1:F1"/>
    <mergeCell ref="C4:F4"/>
  </mergeCells>
  <pageMargins left="0.5" right="0.5" top="0.5" bottom="0.5" header="0.25" footer="0.5"/>
  <pageSetup orientation="portrait" r:id="rId1"/>
  <headerFooter alignWithMargins="0">
    <oddFooter>&amp;L&amp;"Times New Roman,Bold Italic"Black &amp; Veatch Corporation&amp;C&amp;"Times New Roman,Bold Italic"Date: &amp;D&amp;R&amp;"Times New Roman,Bold Italic"Page: &amp;P of &amp;N</oddFooter>
  </headerFooter>
  <rowBreaks count="1" manualBreakCount="1">
    <brk id="138" min="1" max="13"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R57"/>
  <sheetViews>
    <sheetView zoomScale="70" zoomScaleNormal="70" workbookViewId="0">
      <pane xSplit="4" ySplit="3" topLeftCell="H4" activePane="bottomRight" state="frozen"/>
      <selection activeCell="L147" sqref="L147"/>
      <selection pane="topRight" activeCell="L147" sqref="L147"/>
      <selection pane="bottomLeft" activeCell="L147" sqref="L147"/>
      <selection pane="bottomRight" activeCell="S1" sqref="S1:V1048576"/>
    </sheetView>
  </sheetViews>
  <sheetFormatPr defaultRowHeight="15.75"/>
  <cols>
    <col min="1" max="1" width="22.5" style="196" customWidth="1"/>
    <col min="2" max="2" width="2.5" customWidth="1"/>
    <col min="3" max="3" width="7.375" style="18" bestFit="1" customWidth="1"/>
    <col min="4" max="4" width="40.625" bestFit="1" customWidth="1"/>
    <col min="5" max="5" width="12.125" bestFit="1" customWidth="1"/>
    <col min="6" max="6" width="11.75" bestFit="1" customWidth="1"/>
    <col min="7" max="8" width="12.125" bestFit="1" customWidth="1"/>
    <col min="9" max="9" width="11.75" bestFit="1" customWidth="1"/>
    <col min="10" max="16" width="12.125" bestFit="1" customWidth="1"/>
    <col min="17" max="18" width="12.625" bestFit="1" customWidth="1"/>
  </cols>
  <sheetData>
    <row r="1" spans="1:19">
      <c r="A1" s="411"/>
      <c r="B1" s="86"/>
      <c r="C1" s="90"/>
      <c r="D1" s="86"/>
      <c r="E1" s="86"/>
      <c r="F1" s="86"/>
      <c r="G1" s="86"/>
      <c r="H1" s="86"/>
      <c r="I1" s="86"/>
      <c r="J1" s="86"/>
      <c r="K1" s="86"/>
      <c r="L1" s="86"/>
      <c r="M1" s="86"/>
      <c r="N1" s="86"/>
      <c r="O1" s="86"/>
      <c r="P1" s="86"/>
      <c r="Q1" s="86"/>
      <c r="R1" s="86"/>
      <c r="S1" s="86"/>
    </row>
    <row r="2" spans="1:19">
      <c r="A2" s="411"/>
      <c r="B2" s="86"/>
      <c r="C2" s="83"/>
      <c r="D2" s="2769"/>
      <c r="E2" s="2579" t="s">
        <v>674</v>
      </c>
      <c r="F2" s="2579" t="s">
        <v>155</v>
      </c>
      <c r="G2" s="2579" t="s">
        <v>675</v>
      </c>
      <c r="H2" s="2579" t="s">
        <v>676</v>
      </c>
      <c r="I2" s="2579" t="s">
        <v>677</v>
      </c>
      <c r="J2" s="2579" t="s">
        <v>140</v>
      </c>
      <c r="K2" s="2579" t="s">
        <v>141</v>
      </c>
      <c r="L2" s="2579" t="s">
        <v>142</v>
      </c>
      <c r="M2" s="2579" t="s">
        <v>143</v>
      </c>
      <c r="N2" s="2579" t="s">
        <v>145</v>
      </c>
      <c r="O2" s="2579" t="s">
        <v>146</v>
      </c>
      <c r="P2" s="2579" t="s">
        <v>147</v>
      </c>
      <c r="Q2" s="2579" t="s">
        <v>148</v>
      </c>
      <c r="R2" s="2579" t="s">
        <v>149</v>
      </c>
      <c r="S2" s="86"/>
    </row>
    <row r="3" spans="1:19" ht="25.5" customHeight="1">
      <c r="A3" s="411"/>
      <c r="B3" s="86"/>
      <c r="C3" s="2611" t="s">
        <v>867</v>
      </c>
      <c r="D3" s="2612" t="s">
        <v>118</v>
      </c>
      <c r="E3" s="2614">
        <f>Dashboard!F$7</f>
        <v>2013</v>
      </c>
      <c r="F3" s="2614">
        <f>Dashboard!G$7</f>
        <v>2014</v>
      </c>
      <c r="G3" s="2614">
        <f>Dashboard!H$7</f>
        <v>2015</v>
      </c>
      <c r="H3" s="2614">
        <f>Dashboard!I$7</f>
        <v>2016</v>
      </c>
      <c r="I3" s="2614">
        <f>Dashboard!J$7</f>
        <v>2017</v>
      </c>
      <c r="J3" s="2614">
        <f>Dashboard!K$7</f>
        <v>2018</v>
      </c>
      <c r="K3" s="2614">
        <f>Dashboard!L$7</f>
        <v>2019</v>
      </c>
      <c r="L3" s="2614">
        <f>Dashboard!M$7</f>
        <v>2020</v>
      </c>
      <c r="M3" s="2614">
        <f>Dashboard!N$7</f>
        <v>2021</v>
      </c>
      <c r="N3" s="2614">
        <f>Dashboard!O$7</f>
        <v>2022</v>
      </c>
      <c r="O3" s="2614">
        <f>Dashboard!P$7</f>
        <v>2023</v>
      </c>
      <c r="P3" s="2614">
        <f>Dashboard!Q$7</f>
        <v>2024</v>
      </c>
      <c r="Q3" s="2614">
        <f>Dashboard!R$7</f>
        <v>2025</v>
      </c>
      <c r="R3" s="2614">
        <f>Dashboard!S$7</f>
        <v>2026</v>
      </c>
      <c r="S3" s="86"/>
    </row>
    <row r="4" spans="1:19">
      <c r="A4" s="411"/>
      <c r="B4" s="86"/>
      <c r="C4" s="90"/>
      <c r="D4" s="2583"/>
      <c r="E4" s="86"/>
      <c r="F4" s="86"/>
      <c r="G4" s="86"/>
      <c r="H4" s="86"/>
      <c r="I4" s="86"/>
      <c r="J4" s="86"/>
      <c r="K4" s="86"/>
      <c r="L4" s="86"/>
      <c r="M4" s="86"/>
      <c r="N4" s="86"/>
      <c r="O4" s="86"/>
      <c r="P4" s="86"/>
      <c r="Q4" s="86"/>
      <c r="R4" s="86"/>
      <c r="S4" s="86"/>
    </row>
    <row r="5" spans="1:19">
      <c r="A5" s="411"/>
      <c r="B5" s="86"/>
      <c r="C5" s="90"/>
      <c r="D5" s="2584" t="s">
        <v>3016</v>
      </c>
      <c r="E5" s="86"/>
      <c r="F5" s="86"/>
      <c r="G5" s="86"/>
      <c r="H5" s="86"/>
      <c r="I5" s="86"/>
      <c r="J5" s="86"/>
      <c r="K5" s="86"/>
      <c r="L5" s="86"/>
      <c r="M5" s="86"/>
      <c r="N5" s="86"/>
      <c r="O5" s="86"/>
      <c r="P5" s="86"/>
      <c r="Q5" s="86"/>
      <c r="R5" s="86"/>
      <c r="S5" s="86"/>
    </row>
    <row r="6" spans="1:19">
      <c r="A6" s="411"/>
      <c r="B6" s="86"/>
      <c r="C6" s="54">
        <v>1</v>
      </c>
      <c r="D6" s="2640" t="s">
        <v>13</v>
      </c>
      <c r="E6" s="2641">
        <f>Cust_Detail!J142</f>
        <v>18237</v>
      </c>
      <c r="F6" s="2641">
        <f>Cust_Detail!K142</f>
        <v>18517</v>
      </c>
      <c r="G6" s="2641">
        <f>Cust_Detail!L142</f>
        <v>18763</v>
      </c>
      <c r="H6" s="2641">
        <f>Cust_Detail!M142</f>
        <v>19186</v>
      </c>
      <c r="I6" s="2641">
        <f>Cust_Detail!N142</f>
        <v>19448</v>
      </c>
      <c r="J6" s="2641">
        <f>Cust_Detail!O142</f>
        <v>19715</v>
      </c>
      <c r="K6" s="2641">
        <f>Cust_Detail!P142</f>
        <v>19985</v>
      </c>
      <c r="L6" s="2641">
        <f>Cust_Detail!Q142</f>
        <v>20260</v>
      </c>
      <c r="M6" s="2641">
        <f>Cust_Detail!R142</f>
        <v>20538</v>
      </c>
      <c r="N6" s="2641">
        <f>Cust_Detail!S142</f>
        <v>20821</v>
      </c>
      <c r="O6" s="2641">
        <f>Cust_Detail!T142</f>
        <v>21108</v>
      </c>
      <c r="P6" s="2641">
        <f>Cust_Detail!U142</f>
        <v>21400</v>
      </c>
      <c r="Q6" s="2641">
        <f>Cust_Detail!V142</f>
        <v>21696</v>
      </c>
      <c r="R6" s="2641">
        <f>Cust_Detail!W142</f>
        <v>21996</v>
      </c>
      <c r="S6" s="86"/>
    </row>
    <row r="7" spans="1:19">
      <c r="A7" s="411"/>
      <c r="B7" s="86"/>
      <c r="C7" s="90">
        <f>IF(ISBLANK(E7),"",MAX($C$5:$C6)+1)</f>
        <v>2</v>
      </c>
      <c r="D7" s="2585" t="s">
        <v>14</v>
      </c>
      <c r="E7" s="2580">
        <f>Cust_Detail!J143</f>
        <v>17443</v>
      </c>
      <c r="F7" s="2580">
        <f>Cust_Detail!K143</f>
        <v>17481</v>
      </c>
      <c r="G7" s="2580">
        <f>Cust_Detail!L143</f>
        <v>17584.5</v>
      </c>
      <c r="H7" s="2580">
        <f>Cust_Detail!M143</f>
        <v>17981</v>
      </c>
      <c r="I7" s="2580">
        <f>Cust_Detail!N143</f>
        <v>18227</v>
      </c>
      <c r="J7" s="2580">
        <f>Cust_Detail!O143</f>
        <v>18477</v>
      </c>
      <c r="K7" s="2580">
        <f>Cust_Detail!P143</f>
        <v>18730</v>
      </c>
      <c r="L7" s="2580">
        <f>Cust_Detail!Q143</f>
        <v>18987</v>
      </c>
      <c r="M7" s="2580">
        <f>Cust_Detail!R143</f>
        <v>19248</v>
      </c>
      <c r="N7" s="2580">
        <f>Cust_Detail!S143</f>
        <v>19513</v>
      </c>
      <c r="O7" s="2580">
        <f>Cust_Detail!T143</f>
        <v>19782</v>
      </c>
      <c r="P7" s="2580">
        <f>Cust_Detail!U143</f>
        <v>20055</v>
      </c>
      <c r="Q7" s="2580">
        <f>Cust_Detail!V143</f>
        <v>20332</v>
      </c>
      <c r="R7" s="2580">
        <f>Cust_Detail!W143</f>
        <v>20613</v>
      </c>
      <c r="S7" s="86"/>
    </row>
    <row r="8" spans="1:19" s="51" customFormat="1">
      <c r="A8" s="411"/>
      <c r="B8" s="86"/>
      <c r="C8" s="54">
        <f>IF(ISBLANK(E8),"",MAX($C$5:$C7)+1)</f>
        <v>3</v>
      </c>
      <c r="D8" s="2640" t="s">
        <v>15</v>
      </c>
      <c r="E8" s="2641">
        <f>Cust_Detail!J144</f>
        <v>4709.4285714285716</v>
      </c>
      <c r="F8" s="2641">
        <f>Cust_Detail!K144</f>
        <v>4708</v>
      </c>
      <c r="G8" s="2641">
        <f>Cust_Detail!L144</f>
        <v>4521</v>
      </c>
      <c r="H8" s="2641">
        <f>Cust_Detail!M144</f>
        <v>4544</v>
      </c>
      <c r="I8" s="2641">
        <f>Cust_Detail!N144</f>
        <v>4566</v>
      </c>
      <c r="J8" s="2641">
        <f>Cust_Detail!O144</f>
        <v>4589</v>
      </c>
      <c r="K8" s="2641">
        <f>Cust_Detail!P144</f>
        <v>4612</v>
      </c>
      <c r="L8" s="2641">
        <f>Cust_Detail!Q144</f>
        <v>4635</v>
      </c>
      <c r="M8" s="2641">
        <f>Cust_Detail!R144</f>
        <v>4658</v>
      </c>
      <c r="N8" s="2641">
        <f>Cust_Detail!S144</f>
        <v>4682</v>
      </c>
      <c r="O8" s="2641">
        <f>Cust_Detail!T144</f>
        <v>4705</v>
      </c>
      <c r="P8" s="2641">
        <f>Cust_Detail!U144</f>
        <v>4729</v>
      </c>
      <c r="Q8" s="2641">
        <f>Cust_Detail!V144</f>
        <v>4752</v>
      </c>
      <c r="R8" s="2641">
        <f>Cust_Detail!W144</f>
        <v>4776</v>
      </c>
    </row>
    <row r="9" spans="1:19">
      <c r="A9" s="411"/>
      <c r="B9" s="86"/>
      <c r="C9" s="90">
        <f>IF(ISBLANK(E9),"",MAX($C$5:$C8)+1)</f>
        <v>4</v>
      </c>
      <c r="D9" s="2585" t="s">
        <v>21</v>
      </c>
      <c r="E9" s="2580">
        <f>Cust_Detail!J145</f>
        <v>6341.6666666666661</v>
      </c>
      <c r="F9" s="2580">
        <f>Cust_Detail!K145</f>
        <v>6337</v>
      </c>
      <c r="G9" s="2580">
        <f>Cust_Detail!L145</f>
        <v>6260</v>
      </c>
      <c r="H9" s="2580">
        <f>Cust_Detail!M145</f>
        <v>6550</v>
      </c>
      <c r="I9" s="2580">
        <f>Cust_Detail!N145</f>
        <v>6745</v>
      </c>
      <c r="J9" s="2580">
        <f>Cust_Detail!O145</f>
        <v>6943</v>
      </c>
      <c r="K9" s="2580">
        <f>Cust_Detail!P145</f>
        <v>7143</v>
      </c>
      <c r="L9" s="2580">
        <f>Cust_Detail!Q145</f>
        <v>7348</v>
      </c>
      <c r="M9" s="2580">
        <f>Cust_Detail!R145</f>
        <v>7555</v>
      </c>
      <c r="N9" s="2580">
        <f>Cust_Detail!S145</f>
        <v>7766</v>
      </c>
      <c r="O9" s="2580">
        <f>Cust_Detail!T145</f>
        <v>7980</v>
      </c>
      <c r="P9" s="2580">
        <f>Cust_Detail!U145</f>
        <v>8196</v>
      </c>
      <c r="Q9" s="2580">
        <f>Cust_Detail!V145</f>
        <v>8417</v>
      </c>
      <c r="R9" s="2580">
        <f>Cust_Detail!W145</f>
        <v>8640</v>
      </c>
      <c r="S9" s="86"/>
    </row>
    <row r="10" spans="1:19" s="51" customFormat="1">
      <c r="A10" s="411"/>
      <c r="B10" s="86"/>
      <c r="C10" s="54">
        <f>IF(ISBLANK(E10),"",MAX($C$5:$C9)+1)</f>
        <v>5</v>
      </c>
      <c r="D10" s="2640" t="s">
        <v>22</v>
      </c>
      <c r="E10" s="2641">
        <f>Cust_Detail!J146</f>
        <v>95.25</v>
      </c>
      <c r="F10" s="2641">
        <f>Cust_Detail!K146</f>
        <v>93</v>
      </c>
      <c r="G10" s="2641">
        <f>Cust_Detail!L146</f>
        <v>98</v>
      </c>
      <c r="H10" s="2641">
        <f>Cust_Detail!M146</f>
        <v>101</v>
      </c>
      <c r="I10" s="2641">
        <f>Cust_Detail!N146</f>
        <v>103</v>
      </c>
      <c r="J10" s="2641">
        <f>Cust_Detail!O146</f>
        <v>105</v>
      </c>
      <c r="K10" s="2641">
        <f>Cust_Detail!P146</f>
        <v>107</v>
      </c>
      <c r="L10" s="2641">
        <f>Cust_Detail!Q146</f>
        <v>109</v>
      </c>
      <c r="M10" s="2641">
        <f>Cust_Detail!R146</f>
        <v>112</v>
      </c>
      <c r="N10" s="2641">
        <f>Cust_Detail!S146</f>
        <v>114</v>
      </c>
      <c r="O10" s="2641">
        <f>Cust_Detail!T146</f>
        <v>116</v>
      </c>
      <c r="P10" s="2641">
        <f>Cust_Detail!U146</f>
        <v>119</v>
      </c>
      <c r="Q10" s="2641">
        <f>Cust_Detail!V146</f>
        <v>121</v>
      </c>
      <c r="R10" s="2641">
        <f>Cust_Detail!W146</f>
        <v>124</v>
      </c>
    </row>
    <row r="11" spans="1:19">
      <c r="A11" s="411"/>
      <c r="B11" s="86"/>
      <c r="C11" s="90">
        <f>IF(ISBLANK(E11),"",MAX($C$5:$C10)+1)</f>
        <v>6</v>
      </c>
      <c r="D11" s="2585" t="s">
        <v>16</v>
      </c>
      <c r="E11" s="2580">
        <f>Cust_Detail!J147</f>
        <v>7.583333333333333</v>
      </c>
      <c r="F11" s="2580">
        <f>Cust_Detail!K147</f>
        <v>12</v>
      </c>
      <c r="G11" s="2580">
        <f>Cust_Detail!L147</f>
        <v>13</v>
      </c>
      <c r="H11" s="2580">
        <f>Cust_Detail!M147</f>
        <v>13</v>
      </c>
      <c r="I11" s="2580">
        <f>Cust_Detail!N147</f>
        <v>13</v>
      </c>
      <c r="J11" s="2580">
        <f>Cust_Detail!O147</f>
        <v>13</v>
      </c>
      <c r="K11" s="2580">
        <f>Cust_Detail!P147</f>
        <v>13</v>
      </c>
      <c r="L11" s="2580">
        <f>Cust_Detail!Q147</f>
        <v>13</v>
      </c>
      <c r="M11" s="2580">
        <f>Cust_Detail!R147</f>
        <v>13</v>
      </c>
      <c r="N11" s="2580">
        <f>Cust_Detail!S147</f>
        <v>13</v>
      </c>
      <c r="O11" s="2580">
        <f>Cust_Detail!T147</f>
        <v>13</v>
      </c>
      <c r="P11" s="2580">
        <f>Cust_Detail!U147</f>
        <v>13</v>
      </c>
      <c r="Q11" s="2580">
        <f>Cust_Detail!V147</f>
        <v>13</v>
      </c>
      <c r="R11" s="2580">
        <f>Cust_Detail!W147</f>
        <v>13</v>
      </c>
      <c r="S11" s="86"/>
    </row>
    <row r="12" spans="1:19" s="51" customFormat="1">
      <c r="A12" s="411"/>
      <c r="B12" s="86"/>
      <c r="C12" s="54">
        <f>IF(ISBLANK(E12),"",MAX($C$5:$C11)+1)</f>
        <v>7</v>
      </c>
      <c r="D12" s="2640" t="s">
        <v>17</v>
      </c>
      <c r="E12" s="2641">
        <f>Cust_Detail!J148</f>
        <v>7.25</v>
      </c>
      <c r="F12" s="2641">
        <f>Cust_Detail!K148</f>
        <v>7</v>
      </c>
      <c r="G12" s="2641">
        <f>Cust_Detail!L148</f>
        <v>7</v>
      </c>
      <c r="H12" s="2641">
        <f>Cust_Detail!M148</f>
        <v>7</v>
      </c>
      <c r="I12" s="2641">
        <f>Cust_Detail!N148</f>
        <v>7</v>
      </c>
      <c r="J12" s="2641">
        <f>Cust_Detail!O148</f>
        <v>7</v>
      </c>
      <c r="K12" s="2641">
        <f>Cust_Detail!P148</f>
        <v>7</v>
      </c>
      <c r="L12" s="2641">
        <f>Cust_Detail!Q148</f>
        <v>7</v>
      </c>
      <c r="M12" s="2641">
        <f>Cust_Detail!R148</f>
        <v>7</v>
      </c>
      <c r="N12" s="2641">
        <f>Cust_Detail!S148</f>
        <v>7</v>
      </c>
      <c r="O12" s="2641">
        <f>Cust_Detail!T148</f>
        <v>7</v>
      </c>
      <c r="P12" s="2641">
        <f>Cust_Detail!U148</f>
        <v>7</v>
      </c>
      <c r="Q12" s="2641">
        <f>Cust_Detail!V148</f>
        <v>7</v>
      </c>
      <c r="R12" s="2641">
        <f>Cust_Detail!W148</f>
        <v>7</v>
      </c>
    </row>
    <row r="13" spans="1:19">
      <c r="A13" s="411"/>
      <c r="B13" s="86"/>
      <c r="C13" s="90">
        <f>IF(ISBLANK(E13),"",MAX($C$5:$C12)+1)</f>
        <v>8</v>
      </c>
      <c r="D13" s="2585" t="s">
        <v>18</v>
      </c>
      <c r="E13" s="2580">
        <f>Cust_Detail!J149</f>
        <v>10</v>
      </c>
      <c r="F13" s="2580">
        <f>Cust_Detail!K149</f>
        <v>11</v>
      </c>
      <c r="G13" s="2580">
        <f>Cust_Detail!L149</f>
        <v>11</v>
      </c>
      <c r="H13" s="2580">
        <f>Cust_Detail!M149</f>
        <v>11</v>
      </c>
      <c r="I13" s="2580">
        <f>Cust_Detail!N149</f>
        <v>11</v>
      </c>
      <c r="J13" s="2580">
        <f>Cust_Detail!O149</f>
        <v>11</v>
      </c>
      <c r="K13" s="2580">
        <f>Cust_Detail!P149</f>
        <v>11</v>
      </c>
      <c r="L13" s="2580">
        <f>Cust_Detail!Q149</f>
        <v>11</v>
      </c>
      <c r="M13" s="2580">
        <f>Cust_Detail!R149</f>
        <v>11</v>
      </c>
      <c r="N13" s="2580">
        <f>Cust_Detail!S149</f>
        <v>11</v>
      </c>
      <c r="O13" s="2580">
        <f>Cust_Detail!T149</f>
        <v>11</v>
      </c>
      <c r="P13" s="2580">
        <f>Cust_Detail!U149</f>
        <v>11</v>
      </c>
      <c r="Q13" s="2580">
        <f>Cust_Detail!V149</f>
        <v>11</v>
      </c>
      <c r="R13" s="2580">
        <f>Cust_Detail!W149</f>
        <v>11</v>
      </c>
      <c r="S13" s="86"/>
    </row>
    <row r="14" spans="1:19" s="51" customFormat="1">
      <c r="A14" s="411"/>
      <c r="B14" s="86"/>
      <c r="C14" s="54">
        <f>IF(ISBLANK(E14),"",MAX($C$5:$C13)+1)</f>
        <v>9</v>
      </c>
      <c r="D14" s="2640" t="s">
        <v>19</v>
      </c>
      <c r="E14" s="2641">
        <f>Cust_Detail!J150</f>
        <v>1</v>
      </c>
      <c r="F14" s="2641">
        <f>Cust_Detail!K150</f>
        <v>1</v>
      </c>
      <c r="G14" s="2641">
        <f>Cust_Detail!L150</f>
        <v>1</v>
      </c>
      <c r="H14" s="2641">
        <f>Cust_Detail!M150</f>
        <v>1</v>
      </c>
      <c r="I14" s="2641">
        <f>Cust_Detail!N150</f>
        <v>1</v>
      </c>
      <c r="J14" s="2641">
        <f>Cust_Detail!O150</f>
        <v>1</v>
      </c>
      <c r="K14" s="2641">
        <f>Cust_Detail!P150</f>
        <v>1</v>
      </c>
      <c r="L14" s="2641">
        <f>Cust_Detail!Q150</f>
        <v>1</v>
      </c>
      <c r="M14" s="2641">
        <f>Cust_Detail!R150</f>
        <v>1</v>
      </c>
      <c r="N14" s="2641">
        <f>Cust_Detail!S150</f>
        <v>1</v>
      </c>
      <c r="O14" s="2641">
        <f>Cust_Detail!T150</f>
        <v>1</v>
      </c>
      <c r="P14" s="2641">
        <f>Cust_Detail!U150</f>
        <v>1</v>
      </c>
      <c r="Q14" s="2641">
        <f>Cust_Detail!V150</f>
        <v>1</v>
      </c>
      <c r="R14" s="2641">
        <f>Cust_Detail!W150</f>
        <v>1</v>
      </c>
    </row>
    <row r="15" spans="1:19">
      <c r="A15" s="411"/>
      <c r="B15" s="86"/>
      <c r="C15" s="90">
        <f>IF(ISBLANK(E15),"",MAX($C$5:$C14)+1)</f>
        <v>10</v>
      </c>
      <c r="D15" s="2585" t="s">
        <v>20</v>
      </c>
      <c r="E15" s="2580">
        <f>Cust_Detail!J151</f>
        <v>1</v>
      </c>
      <c r="F15" s="2580">
        <f>Cust_Detail!K151</f>
        <v>1</v>
      </c>
      <c r="G15" s="2580">
        <f>Cust_Detail!L151</f>
        <v>0</v>
      </c>
      <c r="H15" s="2580">
        <f>Cust_Detail!M151</f>
        <v>1</v>
      </c>
      <c r="I15" s="2580">
        <f>Cust_Detail!N151</f>
        <v>1</v>
      </c>
      <c r="J15" s="2580">
        <f>Cust_Detail!O151</f>
        <v>1</v>
      </c>
      <c r="K15" s="2580">
        <f>Cust_Detail!P151</f>
        <v>1</v>
      </c>
      <c r="L15" s="2580">
        <f>Cust_Detail!Q151</f>
        <v>1</v>
      </c>
      <c r="M15" s="2580">
        <f>Cust_Detail!R151</f>
        <v>1</v>
      </c>
      <c r="N15" s="2580">
        <f>Cust_Detail!S151</f>
        <v>0</v>
      </c>
      <c r="O15" s="2580">
        <f>Cust_Detail!T151</f>
        <v>0</v>
      </c>
      <c r="P15" s="2580">
        <f>Cust_Detail!U151</f>
        <v>0</v>
      </c>
      <c r="Q15" s="2580">
        <f>Cust_Detail!V151</f>
        <v>0</v>
      </c>
      <c r="R15" s="2580">
        <f>Cust_Detail!W151</f>
        <v>0</v>
      </c>
      <c r="S15" s="86"/>
    </row>
    <row r="16" spans="1:19" s="51" customFormat="1">
      <c r="A16" s="411"/>
      <c r="B16" s="86"/>
      <c r="C16" s="54">
        <f>IF(ISBLANK(E16),"",MAX($C$5:$C15)+1)</f>
        <v>11</v>
      </c>
      <c r="D16" s="2640" t="s">
        <v>4</v>
      </c>
      <c r="E16" s="2641">
        <f>Cust_Detail!J152</f>
        <v>64.75</v>
      </c>
      <c r="F16" s="2641">
        <f>Cust_Detail!K152</f>
        <v>66</v>
      </c>
      <c r="G16" s="2641">
        <f>Cust_Detail!L152</f>
        <v>66</v>
      </c>
      <c r="H16" s="2641">
        <f>Cust_Detail!M152</f>
        <v>66</v>
      </c>
      <c r="I16" s="2641">
        <f>Cust_Detail!N152</f>
        <v>66</v>
      </c>
      <c r="J16" s="2641">
        <f>Cust_Detail!O152</f>
        <v>66</v>
      </c>
      <c r="K16" s="2641">
        <f>Cust_Detail!P152</f>
        <v>66</v>
      </c>
      <c r="L16" s="2641">
        <f>Cust_Detail!Q152</f>
        <v>66</v>
      </c>
      <c r="M16" s="2641">
        <f>Cust_Detail!R152</f>
        <v>66</v>
      </c>
      <c r="N16" s="2641">
        <f>Cust_Detail!S152</f>
        <v>66</v>
      </c>
      <c r="O16" s="2641">
        <f>Cust_Detail!T152</f>
        <v>66</v>
      </c>
      <c r="P16" s="2641">
        <f>Cust_Detail!U152</f>
        <v>66</v>
      </c>
      <c r="Q16" s="2641">
        <f>Cust_Detail!V152</f>
        <v>66</v>
      </c>
      <c r="R16" s="2641">
        <f>Cust_Detail!W152</f>
        <v>66</v>
      </c>
    </row>
    <row r="17" spans="1:19">
      <c r="A17" s="411"/>
      <c r="B17" s="86"/>
      <c r="C17" s="90">
        <f>IF(ISBLANK(E17),"",MAX($C$5:$C16)+1)</f>
        <v>12</v>
      </c>
      <c r="D17" s="2585" t="s">
        <v>5</v>
      </c>
      <c r="E17" s="2580">
        <f>Cust_Detail!J153</f>
        <v>40.916666666666664</v>
      </c>
      <c r="F17" s="2580">
        <f>Cust_Detail!K153</f>
        <v>41</v>
      </c>
      <c r="G17" s="2580">
        <f>Cust_Detail!L153</f>
        <v>43</v>
      </c>
      <c r="H17" s="2580">
        <f>Cust_Detail!M153</f>
        <v>43</v>
      </c>
      <c r="I17" s="2580">
        <f>Cust_Detail!N153</f>
        <v>43</v>
      </c>
      <c r="J17" s="2580">
        <f>Cust_Detail!O153</f>
        <v>43</v>
      </c>
      <c r="K17" s="2580">
        <f>Cust_Detail!P153</f>
        <v>43</v>
      </c>
      <c r="L17" s="2580">
        <f>Cust_Detail!Q153</f>
        <v>43</v>
      </c>
      <c r="M17" s="2580">
        <f>Cust_Detail!R153</f>
        <v>43</v>
      </c>
      <c r="N17" s="2580">
        <f>Cust_Detail!S153</f>
        <v>43</v>
      </c>
      <c r="O17" s="2580">
        <f>Cust_Detail!T153</f>
        <v>43</v>
      </c>
      <c r="P17" s="2580">
        <f>Cust_Detail!U153</f>
        <v>43</v>
      </c>
      <c r="Q17" s="2580">
        <f>Cust_Detail!V153</f>
        <v>43</v>
      </c>
      <c r="R17" s="2580">
        <f>Cust_Detail!W153</f>
        <v>43</v>
      </c>
      <c r="S17" s="86"/>
    </row>
    <row r="18" spans="1:19" s="51" customFormat="1">
      <c r="A18" s="411"/>
      <c r="B18" s="86"/>
      <c r="C18" s="54">
        <f>IF(ISBLANK(E18),"",MAX($C$5:$C17)+1)</f>
        <v>13</v>
      </c>
      <c r="D18" s="2640" t="s">
        <v>23</v>
      </c>
      <c r="E18" s="2641">
        <f>Cust_Detail!J154</f>
        <v>11.083333333333334</v>
      </c>
      <c r="F18" s="2641">
        <f>Cust_Detail!K154</f>
        <v>12</v>
      </c>
      <c r="G18" s="2641">
        <f>Cust_Detail!L154</f>
        <v>11</v>
      </c>
      <c r="H18" s="2641">
        <f>Cust_Detail!M154</f>
        <v>11</v>
      </c>
      <c r="I18" s="2641">
        <f>Cust_Detail!N154</f>
        <v>11</v>
      </c>
      <c r="J18" s="2641">
        <f>Cust_Detail!O154</f>
        <v>11</v>
      </c>
      <c r="K18" s="2641">
        <f>Cust_Detail!P154</f>
        <v>11</v>
      </c>
      <c r="L18" s="2641">
        <f>Cust_Detail!Q154</f>
        <v>11</v>
      </c>
      <c r="M18" s="2641">
        <f>Cust_Detail!R154</f>
        <v>11</v>
      </c>
      <c r="N18" s="2641">
        <f>Cust_Detail!S154</f>
        <v>11</v>
      </c>
      <c r="O18" s="2641">
        <f>Cust_Detail!T154</f>
        <v>11</v>
      </c>
      <c r="P18" s="2641">
        <f>Cust_Detail!U154</f>
        <v>11</v>
      </c>
      <c r="Q18" s="2641">
        <f>Cust_Detail!V154</f>
        <v>11</v>
      </c>
      <c r="R18" s="2641">
        <f>Cust_Detail!W154</f>
        <v>11</v>
      </c>
    </row>
    <row r="19" spans="1:19">
      <c r="A19" s="411"/>
      <c r="B19" s="86"/>
      <c r="C19" s="90">
        <f>IF(ISBLANK(E19),"",MAX($C$5:$C18)+1)</f>
        <v>14</v>
      </c>
      <c r="D19" s="2585" t="s">
        <v>66</v>
      </c>
      <c r="E19" s="2580">
        <f>Cust_Detail!J155</f>
        <v>0</v>
      </c>
      <c r="F19" s="2580">
        <f>Cust_Detail!K155</f>
        <v>0</v>
      </c>
      <c r="G19" s="2580">
        <f>Cust_Detail!L155</f>
        <v>0</v>
      </c>
      <c r="H19" s="2580">
        <f>Cust_Detail!M155</f>
        <v>0</v>
      </c>
      <c r="I19" s="2580">
        <f>Cust_Detail!N155</f>
        <v>0</v>
      </c>
      <c r="J19" s="2580">
        <f>Cust_Detail!O155</f>
        <v>0</v>
      </c>
      <c r="K19" s="2580">
        <f>Cust_Detail!P155</f>
        <v>0</v>
      </c>
      <c r="L19" s="2580">
        <f>Cust_Detail!Q155</f>
        <v>0</v>
      </c>
      <c r="M19" s="2580">
        <f>Cust_Detail!R155</f>
        <v>0</v>
      </c>
      <c r="N19" s="2580">
        <f>Cust_Detail!S155</f>
        <v>0</v>
      </c>
      <c r="O19" s="2580">
        <f>Cust_Detail!T155</f>
        <v>0</v>
      </c>
      <c r="P19" s="2580">
        <f>Cust_Detail!U155</f>
        <v>0</v>
      </c>
      <c r="Q19" s="2580">
        <f>Cust_Detail!V155</f>
        <v>0</v>
      </c>
      <c r="R19" s="2580">
        <f>Cust_Detail!W155</f>
        <v>0</v>
      </c>
      <c r="S19" s="86"/>
    </row>
    <row r="20" spans="1:19" s="51" customFormat="1">
      <c r="A20" s="411"/>
      <c r="B20" s="86"/>
      <c r="C20" s="54">
        <f>IF(ISBLANK(E20),"",MAX($C$5:$C19)+1)</f>
        <v>15</v>
      </c>
      <c r="D20" s="2642" t="s">
        <v>3015</v>
      </c>
      <c r="E20" s="2643">
        <f>SUM(E6:E19)</f>
        <v>46969.928571428572</v>
      </c>
      <c r="F20" s="2643">
        <f t="shared" ref="F20:R20" si="0">SUM(F6:F19)</f>
        <v>47287</v>
      </c>
      <c r="G20" s="2643">
        <f t="shared" si="0"/>
        <v>47378.5</v>
      </c>
      <c r="H20" s="2643">
        <f t="shared" si="0"/>
        <v>48515</v>
      </c>
      <c r="I20" s="2643">
        <f t="shared" si="0"/>
        <v>49242</v>
      </c>
      <c r="J20" s="2643">
        <f t="shared" si="0"/>
        <v>49982</v>
      </c>
      <c r="K20" s="2643">
        <f t="shared" si="0"/>
        <v>50730</v>
      </c>
      <c r="L20" s="2643">
        <f t="shared" si="0"/>
        <v>51492</v>
      </c>
      <c r="M20" s="2643">
        <f t="shared" si="0"/>
        <v>52264</v>
      </c>
      <c r="N20" s="2643">
        <f t="shared" si="0"/>
        <v>53048</v>
      </c>
      <c r="O20" s="2643">
        <f t="shared" si="0"/>
        <v>53843</v>
      </c>
      <c r="P20" s="2643">
        <f t="shared" si="0"/>
        <v>54651</v>
      </c>
      <c r="Q20" s="2643">
        <f t="shared" si="0"/>
        <v>55470</v>
      </c>
      <c r="R20" s="2643">
        <f t="shared" si="0"/>
        <v>56301</v>
      </c>
    </row>
    <row r="21" spans="1:19">
      <c r="A21" s="411"/>
      <c r="B21" s="86"/>
      <c r="C21" s="90" t="str">
        <f>IF(ISBLANK(E21),"",MAX($C$5:$C20)+1)</f>
        <v/>
      </c>
      <c r="D21" s="2583"/>
      <c r="E21" s="86"/>
      <c r="F21" s="86"/>
      <c r="G21" s="86"/>
      <c r="H21" s="86"/>
      <c r="I21" s="86"/>
      <c r="J21" s="86"/>
      <c r="K21" s="86"/>
      <c r="L21" s="86"/>
      <c r="M21" s="86"/>
      <c r="N21" s="86"/>
      <c r="O21" s="86"/>
      <c r="P21" s="86"/>
      <c r="Q21" s="86"/>
      <c r="R21" s="86"/>
      <c r="S21" s="86"/>
    </row>
    <row r="22" spans="1:19" s="51" customFormat="1">
      <c r="A22" s="411"/>
      <c r="B22" s="86"/>
      <c r="C22" s="54" t="str">
        <f>IF(ISBLANK(E22),"",MAX($C$5:$C21)+1)</f>
        <v/>
      </c>
      <c r="D22" s="2644" t="s">
        <v>3033</v>
      </c>
    </row>
    <row r="23" spans="1:19">
      <c r="A23" s="411"/>
      <c r="B23" s="86"/>
      <c r="C23" s="90">
        <f>IF(ISBLANK(E23),"",MAX($C$5:$C22)+1)</f>
        <v>16</v>
      </c>
      <c r="D23" s="2585" t="s">
        <v>13</v>
      </c>
      <c r="E23" s="2613">
        <f>Cust_Detail!J189/1000</f>
        <v>353.4</v>
      </c>
      <c r="F23" s="2613">
        <f>Cust_Detail!K189/1000</f>
        <v>346.9</v>
      </c>
      <c r="G23" s="2613">
        <f>Cust_Detail!L189/1000</f>
        <v>321.3</v>
      </c>
      <c r="H23" s="2613">
        <f>Cust_Detail!M189/1000</f>
        <v>331.1</v>
      </c>
      <c r="I23" s="2613">
        <f>Cust_Detail!N189/1000</f>
        <v>335.7</v>
      </c>
      <c r="J23" s="2613">
        <f>Cust_Detail!O189/1000</f>
        <v>340.3</v>
      </c>
      <c r="K23" s="2613">
        <f>Cust_Detail!P189/1000</f>
        <v>344.9</v>
      </c>
      <c r="L23" s="2613">
        <f>Cust_Detail!Q189/1000</f>
        <v>349.7</v>
      </c>
      <c r="M23" s="2613">
        <f>Cust_Detail!R189/1000</f>
        <v>354.5</v>
      </c>
      <c r="N23" s="2613">
        <f>Cust_Detail!S189/1000</f>
        <v>359.3</v>
      </c>
      <c r="O23" s="2613">
        <f>Cust_Detail!T189/1000</f>
        <v>364.3</v>
      </c>
      <c r="P23" s="2613">
        <f>Cust_Detail!U189/1000</f>
        <v>369.3</v>
      </c>
      <c r="Q23" s="2613">
        <f>Cust_Detail!V189/1000</f>
        <v>374.4</v>
      </c>
      <c r="R23" s="2613">
        <f>Cust_Detail!W189/1000</f>
        <v>379.6</v>
      </c>
      <c r="S23" s="86"/>
    </row>
    <row r="24" spans="1:19" s="51" customFormat="1">
      <c r="A24" s="411"/>
      <c r="B24" s="86"/>
      <c r="C24" s="54">
        <f>IF(ISBLANK(E24),"",MAX($C$5:$C23)+1)</f>
        <v>17</v>
      </c>
      <c r="D24" s="2640" t="s">
        <v>14</v>
      </c>
      <c r="E24" s="2645">
        <f>Cust_Detail!J190/1000</f>
        <v>421.2</v>
      </c>
      <c r="F24" s="2645">
        <f>Cust_Detail!K190/1000</f>
        <v>417.4</v>
      </c>
      <c r="G24" s="2645">
        <f>Cust_Detail!L190/1000</f>
        <v>450.4</v>
      </c>
      <c r="H24" s="2645">
        <f>Cust_Detail!M190/1000</f>
        <v>464.1</v>
      </c>
      <c r="I24" s="2645">
        <f>Cust_Detail!N190/1000</f>
        <v>470.5</v>
      </c>
      <c r="J24" s="2645">
        <f>Cust_Detail!O190/1000</f>
        <v>476.9</v>
      </c>
      <c r="K24" s="2645">
        <f>Cust_Detail!P190/1000</f>
        <v>483.5</v>
      </c>
      <c r="L24" s="2645">
        <f>Cust_Detail!Q190/1000</f>
        <v>490.1</v>
      </c>
      <c r="M24" s="2645">
        <f>Cust_Detail!R190/1000</f>
        <v>496.9</v>
      </c>
      <c r="N24" s="2645">
        <f>Cust_Detail!S190/1000</f>
        <v>503.7</v>
      </c>
      <c r="O24" s="2645">
        <f>Cust_Detail!T190/1000</f>
        <v>510.6</v>
      </c>
      <c r="P24" s="2645">
        <f>Cust_Detail!U190/1000</f>
        <v>517.70000000000005</v>
      </c>
      <c r="Q24" s="2645">
        <f>Cust_Detail!V190/1000</f>
        <v>524.79999999999995</v>
      </c>
      <c r="R24" s="2645">
        <f>Cust_Detail!W190/1000</f>
        <v>532.1</v>
      </c>
    </row>
    <row r="25" spans="1:19">
      <c r="A25" s="411"/>
      <c r="B25" s="86"/>
      <c r="C25" s="90">
        <f>IF(ISBLANK(E25),"",MAX($C$5:$C24)+1)</f>
        <v>18</v>
      </c>
      <c r="D25" s="2585" t="s">
        <v>15</v>
      </c>
      <c r="E25" s="2613">
        <f>Cust_Detail!J191/1000</f>
        <v>541.79999999999995</v>
      </c>
      <c r="F25" s="2613">
        <f>Cust_Detail!K191/1000</f>
        <v>541.79999999999995</v>
      </c>
      <c r="G25" s="2613">
        <f>Cust_Detail!L191/1000</f>
        <v>600</v>
      </c>
      <c r="H25" s="2613">
        <f>Cust_Detail!M191/1000</f>
        <v>619.29999999999995</v>
      </c>
      <c r="I25" s="2613">
        <f>Cust_Detail!N191/1000</f>
        <v>592</v>
      </c>
      <c r="J25" s="2613">
        <f>Cust_Detail!O191/1000</f>
        <v>599.6</v>
      </c>
      <c r="K25" s="2613">
        <f>Cust_Detail!P191/1000</f>
        <v>607.1</v>
      </c>
      <c r="L25" s="2613">
        <f>Cust_Detail!Q191/1000</f>
        <v>614.6</v>
      </c>
      <c r="M25" s="2613">
        <f>Cust_Detail!R191/1000</f>
        <v>622.1</v>
      </c>
      <c r="N25" s="2613">
        <f>Cust_Detail!S191/1000</f>
        <v>629.6</v>
      </c>
      <c r="O25" s="2613">
        <f>Cust_Detail!T191/1000</f>
        <v>637.1</v>
      </c>
      <c r="P25" s="2613">
        <f>Cust_Detail!U191/1000</f>
        <v>644.70000000000005</v>
      </c>
      <c r="Q25" s="2613">
        <f>Cust_Detail!V191/1000</f>
        <v>652.20000000000005</v>
      </c>
      <c r="R25" s="2613">
        <f>Cust_Detail!W191/1000</f>
        <v>659.7</v>
      </c>
      <c r="S25" s="86"/>
    </row>
    <row r="26" spans="1:19" s="51" customFormat="1">
      <c r="A26" s="411"/>
      <c r="B26" s="86"/>
      <c r="C26" s="54">
        <f>IF(ISBLANK(E26),"",MAX($C$5:$C25)+1)</f>
        <v>19</v>
      </c>
      <c r="D26" s="2640" t="s">
        <v>21</v>
      </c>
      <c r="E26" s="2645">
        <f>Cust_Detail!J192/1000</f>
        <v>472</v>
      </c>
      <c r="F26" s="2645">
        <f>Cust_Detail!K192/1000</f>
        <v>475.5</v>
      </c>
      <c r="G26" s="2645">
        <f>Cust_Detail!L192/1000</f>
        <v>477.8</v>
      </c>
      <c r="H26" s="2645">
        <f>Cust_Detail!M192/1000</f>
        <v>505.8</v>
      </c>
      <c r="I26" s="2645">
        <f>Cust_Detail!N192/1000</f>
        <v>514.1</v>
      </c>
      <c r="J26" s="2645">
        <f>Cust_Detail!O192/1000</f>
        <v>522.4</v>
      </c>
      <c r="K26" s="2645">
        <f>Cust_Detail!P192/1000</f>
        <v>530.79999999999995</v>
      </c>
      <c r="L26" s="2645">
        <f>Cust_Detail!Q192/1000</f>
        <v>539.20000000000005</v>
      </c>
      <c r="M26" s="2645">
        <f>Cust_Detail!R192/1000</f>
        <v>547.5</v>
      </c>
      <c r="N26" s="2645">
        <f>Cust_Detail!S192/1000</f>
        <v>555.9</v>
      </c>
      <c r="O26" s="2645">
        <f>Cust_Detail!T192/1000</f>
        <v>564.20000000000005</v>
      </c>
      <c r="P26" s="2645">
        <f>Cust_Detail!U192/1000</f>
        <v>572.6</v>
      </c>
      <c r="Q26" s="2645">
        <f>Cust_Detail!V192/1000</f>
        <v>580.9</v>
      </c>
      <c r="R26" s="2645">
        <f>Cust_Detail!W192/1000</f>
        <v>589.29999999999995</v>
      </c>
    </row>
    <row r="27" spans="1:19">
      <c r="A27" s="411"/>
      <c r="B27" s="86"/>
      <c r="C27" s="90">
        <f>IF(ISBLANK(E27),"",MAX($C$5:$C26)+1)</f>
        <v>20</v>
      </c>
      <c r="D27" s="2585" t="s">
        <v>22</v>
      </c>
      <c r="E27" s="2613">
        <f>Cust_Detail!J193/1000</f>
        <v>272.7</v>
      </c>
      <c r="F27" s="2613">
        <f>Cust_Detail!K193/1000</f>
        <v>216.4</v>
      </c>
      <c r="G27" s="2613">
        <f>Cust_Detail!L193/1000</f>
        <v>279.8</v>
      </c>
      <c r="H27" s="2613">
        <f>Cust_Detail!M193/1000</f>
        <v>254.4</v>
      </c>
      <c r="I27" s="2613">
        <f>Cust_Detail!N193/1000</f>
        <v>259.5</v>
      </c>
      <c r="J27" s="2613">
        <f>Cust_Detail!O193/1000</f>
        <v>264.5</v>
      </c>
      <c r="K27" s="2613">
        <f>Cust_Detail!P193/1000</f>
        <v>269.5</v>
      </c>
      <c r="L27" s="2613">
        <f>Cust_Detail!Q193/1000</f>
        <v>274.60000000000002</v>
      </c>
      <c r="M27" s="2613">
        <f>Cust_Detail!R193/1000</f>
        <v>282.10000000000002</v>
      </c>
      <c r="N27" s="2613">
        <f>Cust_Detail!S193/1000</f>
        <v>287.2</v>
      </c>
      <c r="O27" s="2613">
        <f>Cust_Detail!T193/1000</f>
        <v>292.2</v>
      </c>
      <c r="P27" s="2613">
        <f>Cust_Detail!U193/1000</f>
        <v>299.8</v>
      </c>
      <c r="Q27" s="2613">
        <f>Cust_Detail!V193/1000</f>
        <v>304.8</v>
      </c>
      <c r="R27" s="2613">
        <f>Cust_Detail!W193/1000</f>
        <v>312.39999999999998</v>
      </c>
      <c r="S27" s="86"/>
    </row>
    <row r="28" spans="1:19" s="51" customFormat="1">
      <c r="A28" s="411"/>
      <c r="B28" s="86"/>
      <c r="C28" s="54">
        <f>IF(ISBLANK(E28),"",MAX($C$5:$C27)+1)</f>
        <v>21</v>
      </c>
      <c r="D28" s="2640" t="s">
        <v>16</v>
      </c>
      <c r="E28" s="2645">
        <f>Cust_Detail!J194/1000</f>
        <v>260.8</v>
      </c>
      <c r="F28" s="2645">
        <f>Cust_Detail!K194/1000</f>
        <v>388</v>
      </c>
      <c r="G28" s="2645">
        <f>Cust_Detail!L194/1000</f>
        <v>423.8</v>
      </c>
      <c r="H28" s="2645">
        <f>Cust_Detail!M194/1000</f>
        <v>427</v>
      </c>
      <c r="I28" s="2645">
        <f>Cust_Detail!N194/1000</f>
        <v>525.6</v>
      </c>
      <c r="J28" s="2645">
        <f>Cust_Detail!O194/1000</f>
        <v>588.29999999999995</v>
      </c>
      <c r="K28" s="2645">
        <f>Cust_Detail!P194/1000</f>
        <v>668.4</v>
      </c>
      <c r="L28" s="2645">
        <f>Cust_Detail!Q194/1000</f>
        <v>767.3</v>
      </c>
      <c r="M28" s="2645">
        <f>Cust_Detail!R194/1000</f>
        <v>819.4</v>
      </c>
      <c r="N28" s="2645">
        <f>Cust_Detail!S194/1000</f>
        <v>870.3</v>
      </c>
      <c r="O28" s="2645">
        <f>Cust_Detail!T194/1000</f>
        <v>902.4</v>
      </c>
      <c r="P28" s="2645">
        <f>Cust_Detail!U194/1000</f>
        <v>937.1</v>
      </c>
      <c r="Q28" s="2645">
        <f>Cust_Detail!V194/1000</f>
        <v>966.8</v>
      </c>
      <c r="R28" s="2645">
        <f>Cust_Detail!W194/1000</f>
        <v>992.6</v>
      </c>
    </row>
    <row r="29" spans="1:19">
      <c r="A29" s="411"/>
      <c r="B29" s="86"/>
      <c r="C29" s="90">
        <f>IF(ISBLANK(E29),"",MAX($C$5:$C28)+1)</f>
        <v>22</v>
      </c>
      <c r="D29" s="2585" t="s">
        <v>17</v>
      </c>
      <c r="E29" s="2613">
        <f>Cust_Detail!J195/1000</f>
        <v>1309.0999999999999</v>
      </c>
      <c r="F29" s="2613">
        <f>Cust_Detail!K195/1000</f>
        <v>1398.4</v>
      </c>
      <c r="G29" s="2613">
        <f>Cust_Detail!L195/1000</f>
        <v>1597</v>
      </c>
      <c r="H29" s="2613">
        <f>Cust_Detail!M195/1000</f>
        <v>1541.6</v>
      </c>
      <c r="I29" s="2613">
        <f>Cust_Detail!N195/1000</f>
        <v>1662.8</v>
      </c>
      <c r="J29" s="2613">
        <f>Cust_Detail!O195/1000</f>
        <v>1793.7</v>
      </c>
      <c r="K29" s="2613">
        <f>Cust_Detail!P195/1000</f>
        <v>1959.6</v>
      </c>
      <c r="L29" s="2613">
        <f>Cust_Detail!Q195/1000</f>
        <v>2139.9</v>
      </c>
      <c r="M29" s="2613">
        <f>Cust_Detail!R195/1000</f>
        <v>2342.6999999999998</v>
      </c>
      <c r="N29" s="2613">
        <f>Cust_Detail!S195/1000</f>
        <v>2438.9</v>
      </c>
      <c r="O29" s="2613">
        <f>Cust_Detail!T195/1000</f>
        <v>2550</v>
      </c>
      <c r="P29" s="2613">
        <f>Cust_Detail!U195/1000</f>
        <v>2673.2</v>
      </c>
      <c r="Q29" s="2613">
        <f>Cust_Detail!V195/1000</f>
        <v>2741.3</v>
      </c>
      <c r="R29" s="2613">
        <f>Cust_Detail!W195/1000</f>
        <v>2816.3</v>
      </c>
      <c r="S29" s="86"/>
    </row>
    <row r="30" spans="1:19" s="51" customFormat="1">
      <c r="A30" s="411"/>
      <c r="B30" s="86"/>
      <c r="C30" s="54">
        <f>IF(ISBLANK(E30),"",MAX($C$5:$C29)+1)</f>
        <v>23</v>
      </c>
      <c r="D30" s="2640" t="s">
        <v>18</v>
      </c>
      <c r="E30" s="2645">
        <f>Cust_Detail!J196/1000</f>
        <v>267.7</v>
      </c>
      <c r="F30" s="2645">
        <f>Cust_Detail!K196/1000</f>
        <v>306.7</v>
      </c>
      <c r="G30" s="2645">
        <f>Cust_Detail!L196/1000</f>
        <v>339.7</v>
      </c>
      <c r="H30" s="2645">
        <f>Cust_Detail!M196/1000</f>
        <v>345.7</v>
      </c>
      <c r="I30" s="2645">
        <f>Cust_Detail!N196/1000</f>
        <v>363.5</v>
      </c>
      <c r="J30" s="2645">
        <f>Cust_Detail!O196/1000</f>
        <v>367.3</v>
      </c>
      <c r="K30" s="2645">
        <f>Cust_Detail!P196/1000</f>
        <v>407.6</v>
      </c>
      <c r="L30" s="2645">
        <f>Cust_Detail!Q196/1000</f>
        <v>410.7</v>
      </c>
      <c r="M30" s="2645">
        <f>Cust_Detail!R196/1000</f>
        <v>411.7</v>
      </c>
      <c r="N30" s="2645">
        <f>Cust_Detail!S196/1000</f>
        <v>413.8</v>
      </c>
      <c r="O30" s="2645">
        <f>Cust_Detail!T196/1000</f>
        <v>415.9</v>
      </c>
      <c r="P30" s="2645">
        <f>Cust_Detail!U196/1000</f>
        <v>418.9</v>
      </c>
      <c r="Q30" s="2645">
        <f>Cust_Detail!V196/1000</f>
        <v>420</v>
      </c>
      <c r="R30" s="2645">
        <f>Cust_Detail!W196/1000</f>
        <v>422.1</v>
      </c>
    </row>
    <row r="31" spans="1:19">
      <c r="A31" s="411"/>
      <c r="B31" s="86"/>
      <c r="C31" s="90">
        <f>IF(ISBLANK(E31),"",MAX($C$5:$C30)+1)</f>
        <v>24</v>
      </c>
      <c r="D31" s="2585" t="s">
        <v>19</v>
      </c>
      <c r="E31" s="2613">
        <f>Cust_Detail!J197/1000</f>
        <v>0</v>
      </c>
      <c r="F31" s="2613">
        <f>Cust_Detail!K197/1000</f>
        <v>0</v>
      </c>
      <c r="G31" s="2613">
        <f>Cust_Detail!L197/1000</f>
        <v>0</v>
      </c>
      <c r="H31" s="2613">
        <f>Cust_Detail!M197/1000</f>
        <v>0</v>
      </c>
      <c r="I31" s="2613">
        <f>Cust_Detail!N197/1000</f>
        <v>0</v>
      </c>
      <c r="J31" s="2613">
        <f>Cust_Detail!O197/1000</f>
        <v>0</v>
      </c>
      <c r="K31" s="2613">
        <f>Cust_Detail!P197/1000</f>
        <v>0</v>
      </c>
      <c r="L31" s="2613">
        <f>Cust_Detail!Q197/1000</f>
        <v>0</v>
      </c>
      <c r="M31" s="2613">
        <f>Cust_Detail!R197/1000</f>
        <v>0</v>
      </c>
      <c r="N31" s="2613">
        <f>Cust_Detail!S197/1000</f>
        <v>0</v>
      </c>
      <c r="O31" s="2613">
        <f>Cust_Detail!T197/1000</f>
        <v>0</v>
      </c>
      <c r="P31" s="2613">
        <f>Cust_Detail!U197/1000</f>
        <v>0</v>
      </c>
      <c r="Q31" s="2613">
        <f>Cust_Detail!V197/1000</f>
        <v>0</v>
      </c>
      <c r="R31" s="2613">
        <f>Cust_Detail!W197/1000</f>
        <v>0</v>
      </c>
      <c r="S31" s="86"/>
    </row>
    <row r="32" spans="1:19" s="51" customFormat="1">
      <c r="A32" s="411"/>
      <c r="B32" s="86"/>
      <c r="C32" s="54">
        <f>IF(ISBLANK(E32),"",MAX($C$5:$C31)+1)</f>
        <v>25</v>
      </c>
      <c r="D32" s="2640" t="s">
        <v>20</v>
      </c>
      <c r="E32" s="2645">
        <f>Cust_Detail!J198/1000</f>
        <v>7.7</v>
      </c>
      <c r="F32" s="2645">
        <f>Cust_Detail!K198/1000</f>
        <v>32.6</v>
      </c>
      <c r="G32" s="2645">
        <f>Cust_Detail!L198/1000</f>
        <v>0</v>
      </c>
      <c r="H32" s="2645">
        <f>Cust_Detail!M198/1000</f>
        <v>26.5</v>
      </c>
      <c r="I32" s="2645">
        <f>Cust_Detail!N198/1000</f>
        <v>102.4</v>
      </c>
      <c r="J32" s="2645">
        <f>Cust_Detail!O198/1000</f>
        <v>136.19999999999999</v>
      </c>
      <c r="K32" s="2645">
        <f>Cust_Detail!P198/1000</f>
        <v>173.2</v>
      </c>
      <c r="L32" s="2645">
        <f>Cust_Detail!Q198/1000</f>
        <v>119.4</v>
      </c>
      <c r="M32" s="2645">
        <f>Cust_Detail!R198/1000</f>
        <v>25</v>
      </c>
      <c r="N32" s="2645">
        <f>Cust_Detail!S198/1000</f>
        <v>0</v>
      </c>
      <c r="O32" s="2645">
        <f>Cust_Detail!T198/1000</f>
        <v>0</v>
      </c>
      <c r="P32" s="2645">
        <f>Cust_Detail!U198/1000</f>
        <v>0</v>
      </c>
      <c r="Q32" s="2645">
        <f>Cust_Detail!V198/1000</f>
        <v>0</v>
      </c>
      <c r="R32" s="2645">
        <f>Cust_Detail!W198/1000</f>
        <v>0</v>
      </c>
    </row>
    <row r="33" spans="1:19">
      <c r="A33" s="411"/>
      <c r="B33" s="86"/>
      <c r="C33" s="90">
        <f>IF(ISBLANK(E33),"",MAX($C$5:$C32)+1)</f>
        <v>26</v>
      </c>
      <c r="D33" s="2585" t="s">
        <v>4</v>
      </c>
      <c r="E33" s="2613">
        <f>Cust_Detail!J199/1000</f>
        <v>4.5</v>
      </c>
      <c r="F33" s="2613">
        <f>Cust_Detail!K199/1000</f>
        <v>4.5</v>
      </c>
      <c r="G33" s="2613">
        <f>Cust_Detail!L199/1000</f>
        <v>4.5</v>
      </c>
      <c r="H33" s="2613">
        <f>Cust_Detail!M199/1000</f>
        <v>4.5</v>
      </c>
      <c r="I33" s="2613">
        <f>Cust_Detail!N199/1000</f>
        <v>4.5</v>
      </c>
      <c r="J33" s="2613">
        <f>Cust_Detail!O199/1000</f>
        <v>4.5</v>
      </c>
      <c r="K33" s="2613">
        <f>Cust_Detail!P199/1000</f>
        <v>4.5</v>
      </c>
      <c r="L33" s="2613">
        <f>Cust_Detail!Q199/1000</f>
        <v>4.5</v>
      </c>
      <c r="M33" s="2613">
        <f>Cust_Detail!R199/1000</f>
        <v>4.5</v>
      </c>
      <c r="N33" s="2613">
        <f>Cust_Detail!S199/1000</f>
        <v>4.5</v>
      </c>
      <c r="O33" s="2613">
        <f>Cust_Detail!T199/1000</f>
        <v>4.5</v>
      </c>
      <c r="P33" s="2613">
        <f>Cust_Detail!U199/1000</f>
        <v>4.5</v>
      </c>
      <c r="Q33" s="2613">
        <f>Cust_Detail!V199/1000</f>
        <v>4.5</v>
      </c>
      <c r="R33" s="2613">
        <f>Cust_Detail!W199/1000</f>
        <v>4.5</v>
      </c>
      <c r="S33" s="86"/>
    </row>
    <row r="34" spans="1:19" s="51" customFormat="1">
      <c r="A34" s="411"/>
      <c r="B34" s="86"/>
      <c r="C34" s="54">
        <f>IF(ISBLANK(E34),"",MAX($C$5:$C33)+1)</f>
        <v>27</v>
      </c>
      <c r="D34" s="2640" t="s">
        <v>5</v>
      </c>
      <c r="E34" s="2645">
        <f>Cust_Detail!J200/1000</f>
        <v>0.4</v>
      </c>
      <c r="F34" s="2645">
        <f>Cust_Detail!K200/1000</f>
        <v>0.4</v>
      </c>
      <c r="G34" s="2645">
        <f>Cust_Detail!L200/1000</f>
        <v>0.4</v>
      </c>
      <c r="H34" s="2645">
        <f>Cust_Detail!M200/1000</f>
        <v>0.4</v>
      </c>
      <c r="I34" s="2645">
        <f>Cust_Detail!N200/1000</f>
        <v>0.4</v>
      </c>
      <c r="J34" s="2645">
        <f>Cust_Detail!O200/1000</f>
        <v>0.4</v>
      </c>
      <c r="K34" s="2645">
        <f>Cust_Detail!P200/1000</f>
        <v>0.4</v>
      </c>
      <c r="L34" s="2645">
        <f>Cust_Detail!Q200/1000</f>
        <v>0.4</v>
      </c>
      <c r="M34" s="2645">
        <f>Cust_Detail!R200/1000</f>
        <v>0.4</v>
      </c>
      <c r="N34" s="2645">
        <f>Cust_Detail!S200/1000</f>
        <v>0.4</v>
      </c>
      <c r="O34" s="2645">
        <f>Cust_Detail!T200/1000</f>
        <v>0.4</v>
      </c>
      <c r="P34" s="2645">
        <f>Cust_Detail!U200/1000</f>
        <v>0.4</v>
      </c>
      <c r="Q34" s="2645">
        <f>Cust_Detail!V200/1000</f>
        <v>0.4</v>
      </c>
      <c r="R34" s="2645">
        <f>Cust_Detail!W200/1000</f>
        <v>0.4</v>
      </c>
    </row>
    <row r="35" spans="1:19">
      <c r="A35" s="411"/>
      <c r="B35" s="86"/>
      <c r="C35" s="90">
        <f>IF(ISBLANK(E35),"",MAX($C$5:$C34)+1)</f>
        <v>28</v>
      </c>
      <c r="D35" s="2585" t="s">
        <v>23</v>
      </c>
      <c r="E35" s="2613">
        <f>Cust_Detail!J201/1000</f>
        <v>1.5</v>
      </c>
      <c r="F35" s="2613">
        <f>Cust_Detail!K201/1000</f>
        <v>1.4</v>
      </c>
      <c r="G35" s="2613">
        <f>Cust_Detail!L201/1000</f>
        <v>1.2</v>
      </c>
      <c r="H35" s="2613">
        <f>Cust_Detail!M201/1000</f>
        <v>1.2</v>
      </c>
      <c r="I35" s="2613">
        <f>Cust_Detail!N201/1000</f>
        <v>1.2</v>
      </c>
      <c r="J35" s="2613">
        <f>Cust_Detail!O201/1000</f>
        <v>1.2</v>
      </c>
      <c r="K35" s="2613">
        <f>Cust_Detail!P201/1000</f>
        <v>1.2</v>
      </c>
      <c r="L35" s="2613">
        <f>Cust_Detail!Q201/1000</f>
        <v>1.2</v>
      </c>
      <c r="M35" s="2613">
        <f>Cust_Detail!R201/1000</f>
        <v>1.2</v>
      </c>
      <c r="N35" s="2613">
        <f>Cust_Detail!S201/1000</f>
        <v>1.2</v>
      </c>
      <c r="O35" s="2613">
        <f>Cust_Detail!T201/1000</f>
        <v>1.2</v>
      </c>
      <c r="P35" s="2613">
        <f>Cust_Detail!U201/1000</f>
        <v>1.2</v>
      </c>
      <c r="Q35" s="2613">
        <f>Cust_Detail!V201/1000</f>
        <v>1.2</v>
      </c>
      <c r="R35" s="2613">
        <f>Cust_Detail!W201/1000</f>
        <v>1.2</v>
      </c>
      <c r="S35" s="86"/>
    </row>
    <row r="36" spans="1:19" s="51" customFormat="1">
      <c r="A36" s="411"/>
      <c r="B36" s="86"/>
      <c r="C36" s="54">
        <f>IF(ISBLANK(E36),"",MAX($C$5:$C35)+1)</f>
        <v>29</v>
      </c>
      <c r="D36" s="2640" t="s">
        <v>66</v>
      </c>
      <c r="E36" s="2645">
        <f>Cust_Detail!J202/1000</f>
        <v>0</v>
      </c>
      <c r="F36" s="2645">
        <f>Cust_Detail!K202/1000</f>
        <v>0</v>
      </c>
      <c r="G36" s="2645">
        <f>Cust_Detail!L202/1000</f>
        <v>0</v>
      </c>
      <c r="H36" s="2645">
        <f>Cust_Detail!M202/1000</f>
        <v>0</v>
      </c>
      <c r="I36" s="2645">
        <f>Cust_Detail!N202/1000</f>
        <v>0</v>
      </c>
      <c r="J36" s="2645">
        <f>Cust_Detail!O202/1000</f>
        <v>0</v>
      </c>
      <c r="K36" s="2645">
        <f>Cust_Detail!P202/1000</f>
        <v>0</v>
      </c>
      <c r="L36" s="2645">
        <f>Cust_Detail!Q202/1000</f>
        <v>0</v>
      </c>
      <c r="M36" s="2645">
        <f>Cust_Detail!R202/1000</f>
        <v>0</v>
      </c>
      <c r="N36" s="2645">
        <f>Cust_Detail!S202/1000</f>
        <v>0</v>
      </c>
      <c r="O36" s="2645">
        <f>Cust_Detail!T202/1000</f>
        <v>0</v>
      </c>
      <c r="P36" s="2645">
        <f>Cust_Detail!U202/1000</f>
        <v>0</v>
      </c>
      <c r="Q36" s="2645">
        <f>Cust_Detail!V202/1000</f>
        <v>0</v>
      </c>
      <c r="R36" s="2645">
        <f>Cust_Detail!W202/1000</f>
        <v>0</v>
      </c>
    </row>
    <row r="37" spans="1:19">
      <c r="A37" s="411"/>
      <c r="B37" s="86"/>
      <c r="C37" s="90">
        <f>IF(ISBLANK(E37),"",MAX($C$5:$C36)+1)</f>
        <v>30</v>
      </c>
      <c r="D37" s="2586" t="s">
        <v>602</v>
      </c>
      <c r="E37" s="2582">
        <f>SUM(E23:E36)</f>
        <v>3912.7999999999997</v>
      </c>
      <c r="F37" s="2582">
        <f t="shared" ref="F37:R37" si="1">SUM(F23:F36)</f>
        <v>4129.9999999999991</v>
      </c>
      <c r="G37" s="2582">
        <f t="shared" si="1"/>
        <v>4495.8999999999996</v>
      </c>
      <c r="H37" s="2582">
        <f t="shared" si="1"/>
        <v>4521.5999999999985</v>
      </c>
      <c r="I37" s="2582">
        <f t="shared" si="1"/>
        <v>4832.1999999999989</v>
      </c>
      <c r="J37" s="2582">
        <f t="shared" si="1"/>
        <v>5095.2999999999993</v>
      </c>
      <c r="K37" s="2582">
        <f t="shared" si="1"/>
        <v>5450.7</v>
      </c>
      <c r="L37" s="2582">
        <f t="shared" si="1"/>
        <v>5711.5999999999985</v>
      </c>
      <c r="M37" s="2582">
        <f t="shared" si="1"/>
        <v>5907.9999999999991</v>
      </c>
      <c r="N37" s="2582">
        <f t="shared" si="1"/>
        <v>6064.7999999999993</v>
      </c>
      <c r="O37" s="2582">
        <f t="shared" si="1"/>
        <v>6242.7999999999984</v>
      </c>
      <c r="P37" s="2582">
        <f t="shared" si="1"/>
        <v>6439.3999999999987</v>
      </c>
      <c r="Q37" s="2582">
        <f t="shared" si="1"/>
        <v>6571.3</v>
      </c>
      <c r="R37" s="2582">
        <f t="shared" si="1"/>
        <v>6710.2</v>
      </c>
      <c r="S37" s="86"/>
    </row>
    <row r="38" spans="1:19" s="51" customFormat="1">
      <c r="A38" s="411"/>
      <c r="B38" s="86"/>
      <c r="C38" s="54" t="str">
        <f>IF(ISBLANK(E38),"",MAX($C$5:$C37)+1)</f>
        <v/>
      </c>
      <c r="D38" s="2646"/>
    </row>
    <row r="39" spans="1:19">
      <c r="A39" s="411"/>
      <c r="B39" s="86"/>
      <c r="C39" s="90" t="str">
        <f>IF(ISBLANK(E39),"",MAX($C$5:$C38)+1)</f>
        <v/>
      </c>
      <c r="D39" s="2584" t="s">
        <v>3017</v>
      </c>
      <c r="E39" s="86"/>
      <c r="F39" s="86"/>
      <c r="G39" s="86"/>
      <c r="H39" s="86"/>
      <c r="I39" s="86"/>
      <c r="J39" s="86"/>
      <c r="K39" s="86"/>
      <c r="L39" s="86"/>
      <c r="M39" s="86"/>
      <c r="N39" s="86"/>
      <c r="O39" s="86"/>
      <c r="P39" s="86"/>
      <c r="Q39" s="86"/>
      <c r="R39" s="86"/>
      <c r="S39" s="86"/>
    </row>
    <row r="40" spans="1:19" s="51" customFormat="1">
      <c r="A40" s="411"/>
      <c r="B40" s="86"/>
      <c r="C40" s="54">
        <f>IF(ISBLANK(E40),"",MAX($C$5:$C39)+1)</f>
        <v>31</v>
      </c>
      <c r="D40" s="2640" t="s">
        <v>13</v>
      </c>
      <c r="E40" s="2647">
        <f>Rev!I249/1000</f>
        <v>18904.435365022229</v>
      </c>
      <c r="F40" s="2647">
        <f>Rev!J249/1000</f>
        <v>19136.168310945937</v>
      </c>
      <c r="G40" s="2647">
        <f>Rev!K249/1000</f>
        <v>18472.179041710886</v>
      </c>
      <c r="H40" s="2647">
        <f>Rev!L249/1000</f>
        <v>19336.694712858964</v>
      </c>
      <c r="I40" s="2647">
        <f>Rev!M249/1000</f>
        <v>19590.733990148758</v>
      </c>
      <c r="J40" s="2647">
        <f>Rev!N249/1000</f>
        <v>19859.268915104185</v>
      </c>
      <c r="K40" s="2647">
        <f>Rev!O249/1000</f>
        <v>20131.634527240978</v>
      </c>
      <c r="L40" s="2647">
        <f>Rev!P249/1000</f>
        <v>20419.170625645871</v>
      </c>
      <c r="M40" s="2647">
        <f>Rev!Q249/1000</f>
        <v>20688.838406242598</v>
      </c>
      <c r="N40" s="2647">
        <f>Rev!R249/1000</f>
        <v>20973.776150653375</v>
      </c>
      <c r="O40" s="2647">
        <f>Rev!S249/1000</f>
        <v>21262.939872481165</v>
      </c>
      <c r="P40" s="2647">
        <f>Rev!T249/1000</f>
        <v>21568.089237511842</v>
      </c>
      <c r="Q40" s="2647">
        <f>Rev!U249/1000</f>
        <v>21854.54506943683</v>
      </c>
      <c r="R40" s="2647">
        <f>Rev!V249/1000</f>
        <v>22156.895785932975</v>
      </c>
    </row>
    <row r="41" spans="1:19">
      <c r="A41" s="411"/>
      <c r="B41" s="86"/>
      <c r="C41" s="90">
        <f>IF(ISBLANK(E41),"",MAX($C$5:$C40)+1)</f>
        <v>32</v>
      </c>
      <c r="D41" s="2585" t="s">
        <v>14</v>
      </c>
      <c r="E41" s="2581">
        <f>Rev!I250/1000</f>
        <v>20639.017209508726</v>
      </c>
      <c r="F41" s="2581">
        <f>Rev!J250/1000</f>
        <v>20990.467340879863</v>
      </c>
      <c r="G41" s="2581">
        <f>Rev!K250/1000</f>
        <v>22952.601947685835</v>
      </c>
      <c r="H41" s="2581">
        <f>Rev!L250/1000</f>
        <v>23993.912742000488</v>
      </c>
      <c r="I41" s="2581">
        <f>Rev!M250/1000</f>
        <v>24312.960822319925</v>
      </c>
      <c r="J41" s="2581">
        <f>Rev!N250/1000</f>
        <v>24646.143987634547</v>
      </c>
      <c r="K41" s="2581">
        <f>Rev!O250/1000</f>
        <v>24984.185534128119</v>
      </c>
      <c r="L41" s="2581">
        <f>Rev!P250/1000</f>
        <v>25337.003257363045</v>
      </c>
      <c r="M41" s="2581">
        <f>Rev!Q250/1000</f>
        <v>25675.660273892165</v>
      </c>
      <c r="N41" s="2581">
        <f>Rev!R250/1000</f>
        <v>26029.225385239584</v>
      </c>
      <c r="O41" s="2581">
        <f>Rev!S250/1000</f>
        <v>26388.09861157327</v>
      </c>
      <c r="P41" s="2581">
        <f>Rev!T250/1000</f>
        <v>26762.559682764069</v>
      </c>
      <c r="Q41" s="2581">
        <f>Rev!U250/1000</f>
        <v>27122.044364543937</v>
      </c>
      <c r="R41" s="2581">
        <f>Rev!V250/1000</f>
        <v>27497.256904028585</v>
      </c>
      <c r="S41" s="86"/>
    </row>
    <row r="42" spans="1:19" s="51" customFormat="1">
      <c r="A42" s="411"/>
      <c r="B42" s="86"/>
      <c r="C42" s="54">
        <f>IF(ISBLANK(E42),"",MAX($C$5:$C41)+1)</f>
        <v>33</v>
      </c>
      <c r="D42" s="2640" t="s">
        <v>15</v>
      </c>
      <c r="E42" s="2647">
        <f>(Rev!I251+Rev!I252)/1000</f>
        <v>20898.813817650305</v>
      </c>
      <c r="F42" s="2647">
        <f>(Rev!J251+Rev!J252)/1000</f>
        <v>23028.980079743611</v>
      </c>
      <c r="G42" s="2647">
        <f>(Rev!K251+Rev!K252)/1000</f>
        <v>21928.95592096067</v>
      </c>
      <c r="H42" s="2647">
        <f>(Rev!L251+Rev!L252)/1000</f>
        <v>24640.27639985619</v>
      </c>
      <c r="I42" s="2647">
        <f>(Rev!M251+Rev!M252)/1000</f>
        <v>23928.01032411127</v>
      </c>
      <c r="J42" s="2647">
        <f>(Rev!N251+Rev!N252)/1000</f>
        <v>24173.0264542351</v>
      </c>
      <c r="K42" s="2647">
        <f>(Rev!O251+Rev!O252)/1000</f>
        <v>24418.042584358922</v>
      </c>
      <c r="L42" s="2647">
        <f>(Rev!P251+Rev!P252)/1000</f>
        <v>24663.058714482748</v>
      </c>
      <c r="M42" s="2647">
        <f>(Rev!Q251+Rev!Q252)/1000</f>
        <v>24908.074844606566</v>
      </c>
      <c r="N42" s="2647">
        <f>(Rev!R251+Rev!R252)/1000</f>
        <v>25154.771820923492</v>
      </c>
      <c r="O42" s="2647">
        <f>(Rev!S251+Rev!S252)/1000</f>
        <v>25399.787951047329</v>
      </c>
      <c r="P42" s="2647">
        <f>(Rev!T251+Rev!T252)/1000</f>
        <v>25646.484927364243</v>
      </c>
      <c r="Q42" s="2647">
        <f>(Rev!U251+Rev!U252)/1000</f>
        <v>25891.501057488065</v>
      </c>
      <c r="R42" s="2647">
        <f>(Rev!V251+Rev!V252)/1000</f>
        <v>26138.198033804983</v>
      </c>
    </row>
    <row r="43" spans="1:19">
      <c r="A43" s="411"/>
      <c r="B43" s="86"/>
      <c r="C43" s="90">
        <f>IF(ISBLANK(E43),"",MAX($C$5:$C42)+1)</f>
        <v>34</v>
      </c>
      <c r="D43" s="2585" t="s">
        <v>21</v>
      </c>
      <c r="E43" s="2581">
        <f>(Rev!I253+Rev!I254)/1000</f>
        <v>20055.010549909042</v>
      </c>
      <c r="F43" s="2581">
        <f>(Rev!J253+Rev!J254)/1000</f>
        <v>20673.042147933131</v>
      </c>
      <c r="G43" s="2581">
        <f>(Rev!K253+Rev!K254)/1000</f>
        <v>21312.090647101664</v>
      </c>
      <c r="H43" s="2581">
        <f>(Rev!L253+Rev!L254)/1000</f>
        <v>23296.096687842601</v>
      </c>
      <c r="I43" s="2581">
        <f>(Rev!M253+Rev!M254)/1000</f>
        <v>23704.776337456988</v>
      </c>
      <c r="J43" s="2581">
        <f>(Rev!N253+Rev!N254)/1000</f>
        <v>24115.462025245735</v>
      </c>
      <c r="K43" s="2581">
        <f>(Rev!O253+Rev!O254)/1000</f>
        <v>24526.800522084082</v>
      </c>
      <c r="L43" s="2581">
        <f>(Rev!P253+Rev!P254)/1000</f>
        <v>24939.139901716873</v>
      </c>
      <c r="M43" s="2581">
        <f>(Rev!Q253+Rev!Q254)/1000</f>
        <v>25352.343334368812</v>
      </c>
      <c r="N43" s="2581">
        <f>(Rev!R253+Rev!R254)/1000</f>
        <v>25766.581363181154</v>
      </c>
      <c r="O43" s="2581">
        <f>(Rev!S253+Rev!S254)/1000</f>
        <v>26181.587115385726</v>
      </c>
      <c r="P43" s="2581">
        <f>(Rev!T253+Rev!T254)/1000</f>
        <v>26597.245167933524</v>
      </c>
      <c r="Q43" s="2581">
        <f>(Rev!U253+Rev!U254)/1000</f>
        <v>27014.317991062613</v>
      </c>
      <c r="R43" s="2581">
        <f>(Rev!V253+Rev!V254)/1000</f>
        <v>27431.978885486937</v>
      </c>
      <c r="S43" s="86"/>
    </row>
    <row r="44" spans="1:19" s="51" customFormat="1">
      <c r="A44" s="411"/>
      <c r="B44" s="86"/>
      <c r="C44" s="54">
        <f>IF(ISBLANK(E44),"",MAX($C$5:$C43)+1)</f>
        <v>35</v>
      </c>
      <c r="D44" s="2640" t="s">
        <v>22</v>
      </c>
      <c r="E44" s="2647">
        <f>Rev!I255/1000</f>
        <v>8170.8567544106145</v>
      </c>
      <c r="F44" s="2647">
        <f>Rev!J255/1000</f>
        <v>6665.0936592082826</v>
      </c>
      <c r="G44" s="2647">
        <f>Rev!K255/1000</f>
        <v>8766.0620633190229</v>
      </c>
      <c r="H44" s="2647">
        <f>Rev!L255/1000</f>
        <v>8163.6101982922773</v>
      </c>
      <c r="I44" s="2647">
        <f>Rev!M255/1000</f>
        <v>8335.8450008362724</v>
      </c>
      <c r="J44" s="2647">
        <f>Rev!N255/1000</f>
        <v>8497.7060688136735</v>
      </c>
      <c r="K44" s="2647">
        <f>Rev!O255/1000</f>
        <v>8659.5671367910709</v>
      </c>
      <c r="L44" s="2647">
        <f>Rev!P255/1000</f>
        <v>8810.2327882560076</v>
      </c>
      <c r="M44" s="2647">
        <f>Rev!Q255/1000</f>
        <v>9064.2198067345907</v>
      </c>
      <c r="N44" s="2647">
        <f>Rev!R255/1000</f>
        <v>9226.0808747119881</v>
      </c>
      <c r="O44" s="2647">
        <f>Rev!S255/1000</f>
        <v>9387.9419426893874</v>
      </c>
      <c r="P44" s="2647">
        <f>Rev!T255/1000</f>
        <v>9618.5110257106862</v>
      </c>
      <c r="Q44" s="2647">
        <f>Rev!U255/1000</f>
        <v>9792.5946126329054</v>
      </c>
      <c r="R44" s="2647">
        <f>Rev!V255/1000</f>
        <v>10035.386214599004</v>
      </c>
    </row>
    <row r="45" spans="1:19">
      <c r="A45" s="411"/>
      <c r="B45" s="86"/>
      <c r="C45" s="90">
        <f>IF(ISBLANK(E45),"",MAX($C$5:$C44)+1)</f>
        <v>36</v>
      </c>
      <c r="D45" s="2585" t="s">
        <v>16</v>
      </c>
      <c r="E45" s="2581">
        <f>Rev!I256/1000</f>
        <v>6364.2884380321948</v>
      </c>
      <c r="F45" s="2581">
        <f>Rev!J256/1000</f>
        <v>9498.0490266200195</v>
      </c>
      <c r="G45" s="2581">
        <f>Rev!K256/1000</f>
        <v>10707.81579026596</v>
      </c>
      <c r="H45" s="2581">
        <f>Rev!L256/1000</f>
        <v>11291.095306770663</v>
      </c>
      <c r="I45" s="2581">
        <f>Rev!M256/1000</f>
        <v>13900.883269670105</v>
      </c>
      <c r="J45" s="2581">
        <f>Rev!N256/1000</f>
        <v>15792.710970608943</v>
      </c>
      <c r="K45" s="2581">
        <f>Rev!O256/1000</f>
        <v>18144.55712891039</v>
      </c>
      <c r="L45" s="2581">
        <f>Rev!P256/1000</f>
        <v>21044.036330621439</v>
      </c>
      <c r="M45" s="2581">
        <f>Rev!Q256/1000</f>
        <v>22698.396339450999</v>
      </c>
      <c r="N45" s="2581">
        <f>Rev!R256/1000</f>
        <v>24333.864593313334</v>
      </c>
      <c r="O45" s="2581">
        <f>Rev!S256/1000</f>
        <v>25254.17277575345</v>
      </c>
      <c r="P45" s="2581">
        <f>Rev!T256/1000</f>
        <v>26277.314605053663</v>
      </c>
      <c r="Q45" s="2581">
        <f>Rev!U256/1000</f>
        <v>27270.888738364702</v>
      </c>
      <c r="R45" s="2581">
        <f>Rev!V256/1000</f>
        <v>28070.354563841109</v>
      </c>
      <c r="S45" s="86"/>
    </row>
    <row r="46" spans="1:19" s="51" customFormat="1">
      <c r="A46" s="411"/>
      <c r="B46" s="86"/>
      <c r="C46" s="54">
        <f>IF(ISBLANK(E46),"",MAX($C$5:$C45)+1)</f>
        <v>37</v>
      </c>
      <c r="D46" s="2640" t="s">
        <v>17</v>
      </c>
      <c r="E46" s="2647">
        <f>Rev!I257/1000</f>
        <v>45475.796683017856</v>
      </c>
      <c r="F46" s="2647">
        <f>Rev!J257/1000</f>
        <v>49337.820498001936</v>
      </c>
      <c r="G46" s="2647">
        <f>Rev!K257/1000</f>
        <v>57093.260338718967</v>
      </c>
      <c r="H46" s="2647">
        <f>Rev!L257/1000</f>
        <v>55537.49887601714</v>
      </c>
      <c r="I46" s="2647">
        <f>Rev!M257/1000</f>
        <v>60104.173471371781</v>
      </c>
      <c r="J46" s="2647">
        <f>Rev!N257/1000</f>
        <v>65147.546868791396</v>
      </c>
      <c r="K46" s="2647">
        <f>Rev!O257/1000</f>
        <v>71363.776061670345</v>
      </c>
      <c r="L46" s="2647">
        <f>Rev!P257/1000</f>
        <v>78181.787415281666</v>
      </c>
      <c r="M46" s="2647">
        <f>Rev!Q257/1000</f>
        <v>85840.264840078482</v>
      </c>
      <c r="N46" s="2647">
        <f>Rev!R257/1000</f>
        <v>89498.629959206664</v>
      </c>
      <c r="O46" s="2647">
        <f>Rev!S257/1000</f>
        <v>93721.663406699648</v>
      </c>
      <c r="P46" s="2647">
        <f>Rev!T257/1000</f>
        <v>98373.786094436437</v>
      </c>
      <c r="Q46" s="2647">
        <f>Rev!U257/1000</f>
        <v>101080.18051590813</v>
      </c>
      <c r="R46" s="2647">
        <f>Rev!V257/1000</f>
        <v>104007.93546382579</v>
      </c>
    </row>
    <row r="47" spans="1:19">
      <c r="A47" s="411"/>
      <c r="B47" s="86"/>
      <c r="C47" s="90">
        <f>IF(ISBLANK(E47),"",MAX($C$5:$C46)+1)</f>
        <v>38</v>
      </c>
      <c r="D47" s="2585" t="s">
        <v>18</v>
      </c>
      <c r="E47" s="2581">
        <f>Rev!I258/1000</f>
        <v>7021.3011308399127</v>
      </c>
      <c r="F47" s="2581">
        <f>Rev!J258/1000</f>
        <v>7919.6882089324063</v>
      </c>
      <c r="G47" s="2581">
        <f>Rev!K258/1000</f>
        <v>8984.2451695211912</v>
      </c>
      <c r="H47" s="2581">
        <f>Rev!L258/1000</f>
        <v>9530.3397387739024</v>
      </c>
      <c r="I47" s="2581">
        <f>Rev!M258/1000</f>
        <v>10038.493700286243</v>
      </c>
      <c r="J47" s="2581">
        <f>Rev!N258/1000</f>
        <v>10143.145318966552</v>
      </c>
      <c r="K47" s="2581">
        <f>Rev!O258/1000</f>
        <v>11284.056471414171</v>
      </c>
      <c r="L47" s="2581">
        <f>Rev!P258/1000</f>
        <v>11357.718262523709</v>
      </c>
      <c r="M47" s="2581">
        <f>Rev!Q258/1000</f>
        <v>11395.969178446734</v>
      </c>
      <c r="N47" s="2581">
        <f>Rev!R258/1000</f>
        <v>11452.345553469464</v>
      </c>
      <c r="O47" s="2581">
        <f>Rev!S258/1000</f>
        <v>11509.003810367303</v>
      </c>
      <c r="P47" s="2581">
        <f>Rev!T258/1000</f>
        <v>11584.149923444636</v>
      </c>
      <c r="Q47" s="2581">
        <f>Rev!U258/1000</f>
        <v>11623.171614472874</v>
      </c>
      <c r="R47" s="2581">
        <f>Rev!V258/1000</f>
        <v>11680.684001675732</v>
      </c>
      <c r="S47" s="86"/>
    </row>
    <row r="48" spans="1:19" s="51" customFormat="1">
      <c r="A48" s="411"/>
      <c r="B48" s="86"/>
      <c r="C48" s="54">
        <f>IF(ISBLANK(E48),"",MAX($C$5:$C47)+1)</f>
        <v>39</v>
      </c>
      <c r="D48" s="2640" t="s">
        <v>19</v>
      </c>
      <c r="E48" s="2647">
        <f>Rev!I259/1000</f>
        <v>12.058299905415506</v>
      </c>
      <c r="F48" s="2647">
        <f>Rev!J259/1000</f>
        <v>12.058299905415506</v>
      </c>
      <c r="G48" s="2647">
        <f>Rev!K259/1000</f>
        <v>12.661214900686282</v>
      </c>
      <c r="H48" s="2647">
        <f>Rev!L259/1000</f>
        <v>13.29686207308937</v>
      </c>
      <c r="I48" s="2647">
        <f>Rev!M259/1000</f>
        <v>13.29686207308937</v>
      </c>
      <c r="J48" s="2647">
        <f>Rev!N259/1000</f>
        <v>13.29686207308937</v>
      </c>
      <c r="K48" s="2647">
        <f>Rev!O259/1000</f>
        <v>13.29686207308937</v>
      </c>
      <c r="L48" s="2647">
        <f>Rev!P259/1000</f>
        <v>13.29686207308937</v>
      </c>
      <c r="M48" s="2647">
        <f>Rev!Q259/1000</f>
        <v>13.29686207308937</v>
      </c>
      <c r="N48" s="2647">
        <f>Rev!R259/1000</f>
        <v>13.29686207308937</v>
      </c>
      <c r="O48" s="2647">
        <f>Rev!S259/1000</f>
        <v>13.29686207308937</v>
      </c>
      <c r="P48" s="2647">
        <f>Rev!T259/1000</f>
        <v>13.29686207308937</v>
      </c>
      <c r="Q48" s="2647">
        <f>Rev!U259/1000</f>
        <v>13.29686207308937</v>
      </c>
      <c r="R48" s="2647">
        <f>Rev!V259/1000</f>
        <v>13.29686207308937</v>
      </c>
    </row>
    <row r="49" spans="1:252">
      <c r="A49" s="411"/>
      <c r="B49" s="86"/>
      <c r="C49" s="90">
        <f>IF(ISBLANK(E49),"",MAX($C$5:$C48)+1)</f>
        <v>40</v>
      </c>
      <c r="D49" s="2585" t="s">
        <v>20</v>
      </c>
      <c r="E49" s="2581">
        <f>Rev!I260/1000</f>
        <v>342.38876242103453</v>
      </c>
      <c r="F49" s="2581">
        <f>Rev!J260/1000</f>
        <v>1314.4862935280628</v>
      </c>
      <c r="G49" s="2581">
        <f>Rev!K260/1000</f>
        <v>0</v>
      </c>
      <c r="H49" s="2581">
        <f>Rev!L260/1000</f>
        <v>1074.7432237976061</v>
      </c>
      <c r="I49" s="2581">
        <f>Rev!M260/1000</f>
        <v>4211.2808725680825</v>
      </c>
      <c r="J49" s="2581">
        <f>Rev!N260/1000</f>
        <v>5619.279911000559</v>
      </c>
      <c r="K49" s="2581">
        <f>Rev!O260/1000</f>
        <v>7164.8184235358349</v>
      </c>
      <c r="L49" s="2581">
        <f>Rev!P260/1000</f>
        <v>4904.9468715119665</v>
      </c>
      <c r="M49" s="2581">
        <f>Rev!Q260/1000</f>
        <v>1015.9203821267956</v>
      </c>
      <c r="N49" s="2581">
        <f>Rev!R260/1000</f>
        <v>0</v>
      </c>
      <c r="O49" s="2581">
        <f>Rev!S260/1000</f>
        <v>0</v>
      </c>
      <c r="P49" s="2581">
        <f>Rev!T260/1000</f>
        <v>0</v>
      </c>
      <c r="Q49" s="2581">
        <f>Rev!U260/1000</f>
        <v>0</v>
      </c>
      <c r="R49" s="2581">
        <f>Rev!V260/1000</f>
        <v>0</v>
      </c>
      <c r="S49" s="86"/>
    </row>
    <row r="50" spans="1:252" s="51" customFormat="1">
      <c r="A50" s="411"/>
      <c r="B50" s="86"/>
      <c r="C50" s="54">
        <f>IF(ISBLANK(E50),"",MAX($C$5:$C49)+1)</f>
        <v>41</v>
      </c>
      <c r="D50" s="2640" t="s">
        <v>4</v>
      </c>
      <c r="E50" s="2647">
        <f>Rev!I261/1000</f>
        <v>953.99573999999996</v>
      </c>
      <c r="F50" s="2647">
        <f>Rev!J261/1000</f>
        <v>921.11800000000005</v>
      </c>
      <c r="G50" s="2647">
        <f>Rev!K261/1000</f>
        <v>950.42100000000005</v>
      </c>
      <c r="H50" s="2647">
        <f>Rev!L261/1000</f>
        <v>931.54</v>
      </c>
      <c r="I50" s="2647">
        <f>Rev!M261/1000</f>
        <v>931.54</v>
      </c>
      <c r="J50" s="2647">
        <f>Rev!N261/1000</f>
        <v>931.54</v>
      </c>
      <c r="K50" s="2647">
        <f>Rev!O261/1000</f>
        <v>931.54</v>
      </c>
      <c r="L50" s="2647">
        <f>Rev!P261/1000</f>
        <v>931.54</v>
      </c>
      <c r="M50" s="2647">
        <f>Rev!Q261/1000</f>
        <v>931.54</v>
      </c>
      <c r="N50" s="2647">
        <f>Rev!R261/1000</f>
        <v>931.54</v>
      </c>
      <c r="O50" s="2647">
        <f>Rev!S261/1000</f>
        <v>931.54</v>
      </c>
      <c r="P50" s="2647">
        <f>Rev!T261/1000</f>
        <v>931.54</v>
      </c>
      <c r="Q50" s="2647">
        <f>Rev!U261/1000</f>
        <v>931.54</v>
      </c>
      <c r="R50" s="2647">
        <f>Rev!V261/1000</f>
        <v>931.54</v>
      </c>
    </row>
    <row r="51" spans="1:252">
      <c r="A51" s="411"/>
      <c r="B51" s="86"/>
      <c r="C51" s="90">
        <f>IF(ISBLANK(E51),"",MAX($C$5:$C50)+1)</f>
        <v>42</v>
      </c>
      <c r="D51" s="2585" t="s">
        <v>5</v>
      </c>
      <c r="E51" s="2581">
        <f>Rev!I262/1000</f>
        <v>25.497912826336027</v>
      </c>
      <c r="F51" s="2581">
        <f>Rev!J262/1000</f>
        <v>23.961962811111789</v>
      </c>
      <c r="G51" s="2581">
        <f>Rev!K262/1000</f>
        <v>27.962174384723987</v>
      </c>
      <c r="H51" s="2581">
        <f>Rev!L262/1000</f>
        <v>28.61586107642994</v>
      </c>
      <c r="I51" s="2581">
        <f>Rev!M262/1000</f>
        <v>28.61586107642994</v>
      </c>
      <c r="J51" s="2581">
        <f>Rev!N262/1000</f>
        <v>28.61586107642994</v>
      </c>
      <c r="K51" s="2581">
        <f>Rev!O262/1000</f>
        <v>28.61586107642994</v>
      </c>
      <c r="L51" s="2581">
        <f>Rev!P262/1000</f>
        <v>28.61586107642994</v>
      </c>
      <c r="M51" s="2581">
        <f>Rev!Q262/1000</f>
        <v>28.61586107642994</v>
      </c>
      <c r="N51" s="2581">
        <f>Rev!R262/1000</f>
        <v>28.61586107642994</v>
      </c>
      <c r="O51" s="2581">
        <f>Rev!S262/1000</f>
        <v>28.61586107642994</v>
      </c>
      <c r="P51" s="2581">
        <f>Rev!T262/1000</f>
        <v>28.61586107642994</v>
      </c>
      <c r="Q51" s="2581">
        <f>Rev!U262/1000</f>
        <v>28.61586107642994</v>
      </c>
      <c r="R51" s="2581">
        <f>Rev!V262/1000</f>
        <v>28.61586107642994</v>
      </c>
      <c r="S51" s="86"/>
    </row>
    <row r="52" spans="1:252" s="51" customFormat="1">
      <c r="A52" s="411"/>
      <c r="B52" s="86"/>
      <c r="C52" s="54">
        <f>IF(ISBLANK(E52),"",MAX($C$5:$C51)+1)</f>
        <v>43</v>
      </c>
      <c r="D52" s="2640" t="s">
        <v>23</v>
      </c>
      <c r="E52" s="2647">
        <f>Rev!I263/1000</f>
        <v>50.99897</v>
      </c>
      <c r="F52" s="2647">
        <f>Rev!J263/1000</f>
        <v>50.99897</v>
      </c>
      <c r="G52" s="2647">
        <f>Rev!K263/1000</f>
        <v>50.99897</v>
      </c>
      <c r="H52" s="2647">
        <f>Rev!L263/1000</f>
        <v>50.99897</v>
      </c>
      <c r="I52" s="2647">
        <f>Rev!M263/1000</f>
        <v>50.99897</v>
      </c>
      <c r="J52" s="2647">
        <f>Rev!N263/1000</f>
        <v>50.99897</v>
      </c>
      <c r="K52" s="2647">
        <f>Rev!O263/1000</f>
        <v>50.99897</v>
      </c>
      <c r="L52" s="2647">
        <f>Rev!P263/1000</f>
        <v>50.99897</v>
      </c>
      <c r="M52" s="2647">
        <f>Rev!Q263/1000</f>
        <v>50.99897</v>
      </c>
      <c r="N52" s="2647">
        <f>Rev!R263/1000</f>
        <v>50.99897</v>
      </c>
      <c r="O52" s="2647">
        <f>Rev!S263/1000</f>
        <v>50.99897</v>
      </c>
      <c r="P52" s="2647">
        <f>Rev!T263/1000</f>
        <v>50.99897</v>
      </c>
      <c r="Q52" s="2647">
        <f>Rev!U263/1000</f>
        <v>50.99897</v>
      </c>
      <c r="R52" s="2647">
        <f>Rev!V263/1000</f>
        <v>50.99897</v>
      </c>
    </row>
    <row r="53" spans="1:252">
      <c r="A53" s="411"/>
      <c r="B53" s="86"/>
      <c r="C53" s="90">
        <f>IF(ISBLANK(E53),"",MAX($C$5:$C52)+1)</f>
        <v>44</v>
      </c>
      <c r="D53" s="2585" t="s">
        <v>66</v>
      </c>
      <c r="E53" s="2581">
        <f>Rev!I264/1000</f>
        <v>0</v>
      </c>
      <c r="F53" s="2581">
        <f>Rev!J264/1000</f>
        <v>0</v>
      </c>
      <c r="G53" s="2581">
        <f>Rev!K264/1000</f>
        <v>0</v>
      </c>
      <c r="H53" s="2581">
        <f>Rev!L264/1000</f>
        <v>0</v>
      </c>
      <c r="I53" s="2581">
        <f>Rev!M264/1000</f>
        <v>0</v>
      </c>
      <c r="J53" s="2581">
        <f>Rev!N264/1000</f>
        <v>0</v>
      </c>
      <c r="K53" s="2581">
        <f>Rev!O264/1000</f>
        <v>0</v>
      </c>
      <c r="L53" s="2581">
        <f>Rev!P264/1000</f>
        <v>0</v>
      </c>
      <c r="M53" s="2581">
        <f>Rev!Q264/1000</f>
        <v>0</v>
      </c>
      <c r="N53" s="2581">
        <f>Rev!R264/1000</f>
        <v>0</v>
      </c>
      <c r="O53" s="2581">
        <f>Rev!S264/1000</f>
        <v>0</v>
      </c>
      <c r="P53" s="2581">
        <f>Rev!T264/1000</f>
        <v>0</v>
      </c>
      <c r="Q53" s="2581">
        <f>Rev!U264/1000</f>
        <v>0</v>
      </c>
      <c r="R53" s="2581">
        <f>Rev!V264/1000</f>
        <v>0</v>
      </c>
      <c r="S53" s="86"/>
    </row>
    <row r="54" spans="1:252" s="51" customFormat="1">
      <c r="A54" s="411"/>
      <c r="B54" s="86"/>
      <c r="C54" s="54">
        <f>IF(ISBLANK(E54),"",MAX($C$5:$C53)+1)</f>
        <v>45</v>
      </c>
      <c r="D54" s="2642" t="s">
        <v>602</v>
      </c>
      <c r="E54" s="2643">
        <f>SUM(E40:E53)</f>
        <v>148914.45963354368</v>
      </c>
      <c r="F54" s="2643">
        <f t="shared" ref="F54:R54" si="2">SUM(F40:F53)</f>
        <v>159571.93279850975</v>
      </c>
      <c r="G54" s="2643">
        <f t="shared" si="2"/>
        <v>171259.25427856963</v>
      </c>
      <c r="H54" s="2643">
        <f t="shared" si="2"/>
        <v>177888.71957935934</v>
      </c>
      <c r="I54" s="2643">
        <f t="shared" si="2"/>
        <v>189151.60948191892</v>
      </c>
      <c r="J54" s="2643">
        <f t="shared" si="2"/>
        <v>199018.74221355023</v>
      </c>
      <c r="K54" s="2643">
        <f t="shared" si="2"/>
        <v>211701.89008328339</v>
      </c>
      <c r="L54" s="2643">
        <f t="shared" si="2"/>
        <v>220681.54586055284</v>
      </c>
      <c r="M54" s="2643">
        <f t="shared" si="2"/>
        <v>227664.13909909726</v>
      </c>
      <c r="N54" s="2643">
        <f t="shared" si="2"/>
        <v>233459.72739384856</v>
      </c>
      <c r="O54" s="2643">
        <f t="shared" si="2"/>
        <v>240129.64717914682</v>
      </c>
      <c r="P54" s="2643">
        <f t="shared" si="2"/>
        <v>247452.59235736865</v>
      </c>
      <c r="Q54" s="2643">
        <f t="shared" si="2"/>
        <v>252673.69565705961</v>
      </c>
      <c r="R54" s="2643">
        <f t="shared" si="2"/>
        <v>258043.14154634462</v>
      </c>
    </row>
    <row r="55" spans="1:252">
      <c r="A55" s="411"/>
      <c r="B55" s="86"/>
      <c r="C55" s="90"/>
      <c r="D55" s="86"/>
      <c r="E55" s="2581"/>
      <c r="F55" s="86"/>
      <c r="G55" s="86"/>
      <c r="H55" s="86"/>
      <c r="I55" s="86"/>
      <c r="J55" s="86"/>
      <c r="K55" s="86"/>
      <c r="L55" s="86"/>
      <c r="M55" s="86"/>
      <c r="N55" s="86"/>
      <c r="O55" s="86"/>
      <c r="P55" s="86"/>
      <c r="Q55" s="86"/>
      <c r="R55" s="86"/>
      <c r="S55" s="86"/>
    </row>
    <row r="56" spans="1:252" s="51" customFormat="1">
      <c r="A56" s="411"/>
      <c r="B56" s="86"/>
      <c r="C56" s="90"/>
      <c r="D56" s="86"/>
      <c r="E56" s="2581"/>
      <c r="F56" s="86"/>
      <c r="G56" s="86"/>
      <c r="H56" s="86"/>
      <c r="I56" s="86"/>
      <c r="J56" s="86"/>
      <c r="K56" s="86"/>
      <c r="L56" s="86"/>
      <c r="M56" s="86"/>
      <c r="N56" s="86"/>
      <c r="O56" s="86"/>
      <c r="P56" s="86"/>
      <c r="Q56" s="86"/>
      <c r="R56" s="86"/>
      <c r="S56" s="8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row>
    <row r="57" spans="1:252">
      <c r="A57" s="411"/>
      <c r="B57" s="86"/>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V57"/>
  <sheetViews>
    <sheetView zoomScaleNormal="100" workbookViewId="0">
      <pane xSplit="4" ySplit="3" topLeftCell="E4" activePane="bottomRight" state="frozen"/>
      <selection activeCell="L147" sqref="L147"/>
      <selection pane="topRight" activeCell="L147" sqref="L147"/>
      <selection pane="bottomLeft" activeCell="L147" sqref="L147"/>
      <selection pane="bottomRight" activeCell="I20" sqref="I20"/>
    </sheetView>
  </sheetViews>
  <sheetFormatPr defaultRowHeight="15.75"/>
  <cols>
    <col min="1" max="1" width="22.5" style="196" customWidth="1"/>
    <col min="2" max="2" width="2.5" customWidth="1"/>
    <col min="3" max="3" width="7.375" style="18" bestFit="1" customWidth="1"/>
    <col min="4" max="4" width="25.125" bestFit="1" customWidth="1"/>
    <col min="5" max="5" width="12" customWidth="1"/>
    <col min="6" max="6" width="15.75" customWidth="1"/>
    <col min="7" max="7" width="14.125" customWidth="1"/>
    <col min="8" max="8" width="17.75" bestFit="1" customWidth="1"/>
  </cols>
  <sheetData>
    <row r="1" spans="1:256">
      <c r="A1" s="411"/>
      <c r="B1" s="86"/>
      <c r="C1" s="90"/>
      <c r="D1" s="86"/>
      <c r="E1" s="86"/>
      <c r="F1" s="86"/>
    </row>
    <row r="2" spans="1:256">
      <c r="A2" s="411"/>
      <c r="B2" s="86"/>
      <c r="C2" s="83"/>
      <c r="D2" s="2769"/>
      <c r="E2" s="2579" t="s">
        <v>674</v>
      </c>
      <c r="F2" s="2579" t="s">
        <v>155</v>
      </c>
      <c r="G2" s="2579" t="s">
        <v>675</v>
      </c>
      <c r="H2" s="2579" t="s">
        <v>676</v>
      </c>
    </row>
    <row r="3" spans="1:256" ht="28.5">
      <c r="A3" s="411"/>
      <c r="B3" s="86"/>
      <c r="C3" s="3305" t="s">
        <v>867</v>
      </c>
      <c r="D3" s="3306" t="s">
        <v>118</v>
      </c>
      <c r="E3" s="3307" t="s">
        <v>606</v>
      </c>
      <c r="F3" s="3307" t="s">
        <v>3188</v>
      </c>
      <c r="G3" s="3307" t="s">
        <v>861</v>
      </c>
      <c r="H3" s="3308" t="s">
        <v>3997</v>
      </c>
    </row>
    <row r="4" spans="1:256">
      <c r="A4" s="411"/>
      <c r="B4" s="86"/>
      <c r="C4" s="90"/>
      <c r="D4" s="2585"/>
      <c r="E4" s="3292"/>
      <c r="F4" s="3292"/>
      <c r="G4" s="3292"/>
      <c r="H4" s="3292"/>
    </row>
    <row r="5" spans="1:256">
      <c r="A5" s="411"/>
      <c r="B5" s="86"/>
      <c r="C5" s="54">
        <v>1</v>
      </c>
      <c r="D5" s="2640" t="s">
        <v>13</v>
      </c>
      <c r="E5" s="3293">
        <f>Cust_Detail!N142</f>
        <v>19448</v>
      </c>
      <c r="F5" s="3293">
        <f>Cust_Detail!N189</f>
        <v>335700</v>
      </c>
      <c r="G5" s="3294">
        <f>Rev!M249</f>
        <v>19590733.990148757</v>
      </c>
      <c r="H5" s="3295">
        <f t="shared" ref="H5:H15" si="0">G5/F5</f>
        <v>58.357861156236986</v>
      </c>
    </row>
    <row r="6" spans="1:256">
      <c r="A6" s="411"/>
      <c r="B6" s="86"/>
      <c r="C6" s="90">
        <f>IF(ISBLANK($D6),"",MAX($C$4:$C5)+1)</f>
        <v>2</v>
      </c>
      <c r="D6" s="2585" t="s">
        <v>14</v>
      </c>
      <c r="E6" s="3296">
        <f>Cust_Detail!N143</f>
        <v>18227</v>
      </c>
      <c r="F6" s="3296">
        <f>Cust_Detail!N190</f>
        <v>470500</v>
      </c>
      <c r="G6" s="3297">
        <f>Rev!M250</f>
        <v>24312960.822319925</v>
      </c>
      <c r="H6" s="3298">
        <f t="shared" si="0"/>
        <v>51.674730759447236</v>
      </c>
    </row>
    <row r="7" spans="1:256">
      <c r="A7" s="411"/>
      <c r="B7" s="86"/>
      <c r="C7" s="54">
        <f>IF(ISBLANK($D7),"",MAX($C$4:$C6)+1)</f>
        <v>3</v>
      </c>
      <c r="D7" s="2640" t="s">
        <v>2763</v>
      </c>
      <c r="E7" s="3293">
        <f>E5+E6</f>
        <v>37675</v>
      </c>
      <c r="F7" s="3293">
        <f>F5+F6</f>
        <v>806200</v>
      </c>
      <c r="G7" s="3294">
        <f>G5+G6</f>
        <v>43903694.812468678</v>
      </c>
      <c r="H7" s="3299">
        <f t="shared" si="0"/>
        <v>54.457572330028128</v>
      </c>
    </row>
    <row r="8" spans="1:256" s="51" customFormat="1">
      <c r="A8" s="411"/>
      <c r="B8" s="86"/>
      <c r="C8" s="90">
        <f>IF(ISBLANK($D8),"",MAX($C$4:$C7)+1)</f>
        <v>4</v>
      </c>
      <c r="D8" s="2585" t="s">
        <v>15</v>
      </c>
      <c r="E8" s="3296">
        <f>Cust_Detail!N144</f>
        <v>4566</v>
      </c>
      <c r="F8" s="3296">
        <f>Cust_Detail!N191</f>
        <v>592000</v>
      </c>
      <c r="G8" s="3297">
        <f>Rev!M251+Rev!M252</f>
        <v>23928010.324111272</v>
      </c>
      <c r="H8" s="3298">
        <f t="shared" si="0"/>
        <v>40.418936358296065</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c r="A9" s="411"/>
      <c r="B9" s="86"/>
      <c r="C9" s="54">
        <f>IF(ISBLANK($D9),"",MAX($C$4:$C8)+1)</f>
        <v>5</v>
      </c>
      <c r="D9" s="2640" t="s">
        <v>21</v>
      </c>
      <c r="E9" s="3293">
        <f>Cust_Detail!N145</f>
        <v>6745</v>
      </c>
      <c r="F9" s="3293">
        <f>Cust_Detail!N192</f>
        <v>514100</v>
      </c>
      <c r="G9" s="3294">
        <f>Rev!M253+Rev!M254</f>
        <v>23704776.337456986</v>
      </c>
      <c r="H9" s="3299">
        <f t="shared" si="0"/>
        <v>46.10927122633143</v>
      </c>
    </row>
    <row r="10" spans="1:256" s="51" customFormat="1">
      <c r="A10" s="411"/>
      <c r="B10" s="86"/>
      <c r="C10" s="90">
        <f>IF(ISBLANK($D10),"",MAX($C$4:$C9)+1)</f>
        <v>6</v>
      </c>
      <c r="D10" s="2585" t="s">
        <v>22</v>
      </c>
      <c r="E10" s="3296">
        <f>Cust_Detail!N146</f>
        <v>103</v>
      </c>
      <c r="F10" s="3296">
        <f>Cust_Detail!N193</f>
        <v>259500</v>
      </c>
      <c r="G10" s="3297">
        <f>Rev!M255</f>
        <v>8335845.0008362718</v>
      </c>
      <c r="H10" s="3298">
        <f t="shared" si="0"/>
        <v>32.122716766228407</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c r="A11" s="411"/>
      <c r="B11" s="86"/>
      <c r="C11" s="54">
        <f>IF(ISBLANK($D11),"",MAX($C$4:$C10)+1)</f>
        <v>7</v>
      </c>
      <c r="D11" s="2640" t="s">
        <v>16</v>
      </c>
      <c r="E11" s="3293">
        <f>Cust_Detail!N147</f>
        <v>13</v>
      </c>
      <c r="F11" s="3293">
        <f>Cust_Detail!N194</f>
        <v>525600</v>
      </c>
      <c r="G11" s="3294">
        <f>Rev!M256</f>
        <v>13900883.269670105</v>
      </c>
      <c r="H11" s="3299">
        <f t="shared" si="0"/>
        <v>26.44764701230994</v>
      </c>
    </row>
    <row r="12" spans="1:256" s="51" customFormat="1">
      <c r="A12" s="411"/>
      <c r="B12" s="86"/>
      <c r="C12" s="90">
        <f>IF(ISBLANK($D12),"",MAX($C$4:$C11)+1)</f>
        <v>8</v>
      </c>
      <c r="D12" s="2585" t="s">
        <v>17</v>
      </c>
      <c r="E12" s="3296">
        <f>Cust_Detail!N148</f>
        <v>7</v>
      </c>
      <c r="F12" s="3296">
        <f>Cust_Detail!N195</f>
        <v>1662800</v>
      </c>
      <c r="G12" s="3297">
        <f>Rev!M257</f>
        <v>60104173.471371785</v>
      </c>
      <c r="H12" s="3298">
        <f t="shared" si="0"/>
        <v>36.146363646482911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411"/>
      <c r="B13" s="86"/>
      <c r="C13" s="54">
        <f>IF(ISBLANK($D13),"",MAX($C$4:$C12)+1)</f>
        <v>9</v>
      </c>
      <c r="D13" s="2640" t="s">
        <v>18</v>
      </c>
      <c r="E13" s="3293">
        <f>Cust_Detail!N149</f>
        <v>11</v>
      </c>
      <c r="F13" s="3293">
        <f>Cust_Detail!N196</f>
        <v>363500</v>
      </c>
      <c r="G13" s="3294">
        <f>Rev!M258</f>
        <v>10038493.700286243</v>
      </c>
      <c r="H13" s="3300">
        <f t="shared" si="0"/>
        <v>27.616213755945648</v>
      </c>
    </row>
    <row r="14" spans="1:256" s="51" customFormat="1">
      <c r="A14" s="411"/>
      <c r="B14" s="86"/>
      <c r="C14" s="90">
        <f>IF(ISBLANK($D14),"",MAX($C$4:$C13)+1)</f>
        <v>10</v>
      </c>
      <c r="D14" s="2585" t="s">
        <v>19</v>
      </c>
      <c r="E14" s="3296">
        <f>Cust_Detail!N150</f>
        <v>1</v>
      </c>
      <c r="F14" s="3296">
        <f>Cust_Detail!N197</f>
        <v>0</v>
      </c>
      <c r="G14" s="3297">
        <f>Rev!M259</f>
        <v>13296.862073089371</v>
      </c>
      <c r="H14" s="3301" t="s">
        <v>2279</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c r="A15" s="411"/>
      <c r="B15" s="86"/>
      <c r="C15" s="54">
        <f>IF(ISBLANK($D15),"",MAX($C$4:$C14)+1)</f>
        <v>11</v>
      </c>
      <c r="D15" s="2640" t="s">
        <v>20</v>
      </c>
      <c r="E15" s="3293">
        <f>Cust_Detail!N151</f>
        <v>1</v>
      </c>
      <c r="F15" s="3293">
        <f>Cust_Detail!N198</f>
        <v>102400</v>
      </c>
      <c r="G15" s="3294">
        <f>Rev!M260</f>
        <v>4211280.8725680821</v>
      </c>
      <c r="H15" s="3300">
        <f t="shared" si="0"/>
        <v>41.125789771172677</v>
      </c>
    </row>
    <row r="16" spans="1:256" s="51" customFormat="1">
      <c r="A16" s="411"/>
      <c r="B16" s="86"/>
      <c r="C16" s="90">
        <f>IF(ISBLANK($D16),"",MAX($C$4:$C15)+1)</f>
        <v>12</v>
      </c>
      <c r="D16" s="2585" t="s">
        <v>4</v>
      </c>
      <c r="E16" s="3296">
        <f>Cust_Detail!N152</f>
        <v>66</v>
      </c>
      <c r="F16" s="3296">
        <f>Cust_Detail!N199</f>
        <v>4500</v>
      </c>
      <c r="G16" s="3297">
        <f>Rev!M261</f>
        <v>931540</v>
      </c>
      <c r="H16" s="3301">
        <f>G16/F16</f>
        <v>207.00888888888889</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c r="A17" s="411"/>
      <c r="B17" s="86"/>
      <c r="C17" s="54">
        <f>IF(ISBLANK($D17),"",MAX($C$4:$C16)+1)</f>
        <v>13</v>
      </c>
      <c r="D17" s="2640" t="s">
        <v>5</v>
      </c>
      <c r="E17" s="3293">
        <f>Cust_Detail!N153</f>
        <v>43</v>
      </c>
      <c r="F17" s="3293">
        <f>Cust_Detail!N200</f>
        <v>400</v>
      </c>
      <c r="G17" s="3294">
        <f>Rev!M262</f>
        <v>28615.861076429941</v>
      </c>
      <c r="H17" s="3299">
        <f>G17/F17</f>
        <v>71.539652691074849</v>
      </c>
    </row>
    <row r="18" spans="1:256" s="51" customFormat="1">
      <c r="A18" s="411"/>
      <c r="B18" s="86"/>
      <c r="C18" s="90">
        <f>IF(ISBLANK($D18),"",MAX($C$4:$C17)+1)</f>
        <v>14</v>
      </c>
      <c r="D18" s="2585" t="s">
        <v>23</v>
      </c>
      <c r="E18" s="3296">
        <f>Cust_Detail!N154</f>
        <v>11</v>
      </c>
      <c r="F18" s="3296">
        <f>Cust_Detail!N201</f>
        <v>1200</v>
      </c>
      <c r="G18" s="3297">
        <f>Rev!M263</f>
        <v>50998.97</v>
      </c>
      <c r="H18" s="3301">
        <f>G18/F18</f>
        <v>42.499141666666667</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c r="A19" s="411"/>
      <c r="B19" s="86"/>
      <c r="C19" s="54">
        <f>IF(ISBLANK($D19),"",MAX($C$4:$C18)+1)</f>
        <v>15</v>
      </c>
      <c r="D19" s="2640" t="s">
        <v>66</v>
      </c>
      <c r="E19" s="3293">
        <f>Cust_Detail!N155</f>
        <v>0</v>
      </c>
      <c r="F19" s="3293">
        <f>Cust_Detail!N202</f>
        <v>0</v>
      </c>
      <c r="G19" s="3294">
        <f>Rev!M264</f>
        <v>0</v>
      </c>
      <c r="H19" s="3299" t="s">
        <v>2279</v>
      </c>
    </row>
    <row r="20" spans="1:256" s="51" customFormat="1">
      <c r="A20" s="411"/>
      <c r="B20" s="86"/>
      <c r="C20" s="90">
        <f>IF(ISBLANK($D20),"",MAX($C$4:$C19)+1)</f>
        <v>16</v>
      </c>
      <c r="D20" s="2586" t="s">
        <v>602</v>
      </c>
      <c r="E20" s="3302">
        <f>SUM(E7:E19)</f>
        <v>49242</v>
      </c>
      <c r="F20" s="3302">
        <f>SUM(F7:F19)</f>
        <v>4832200</v>
      </c>
      <c r="G20" s="3303">
        <f>SUM(G7:G19)</f>
        <v>189151609.48191893</v>
      </c>
      <c r="H20" s="3304">
        <f>G20/F20</f>
        <v>39.143994346657614</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c r="A21" s="411"/>
      <c r="B21" s="86"/>
      <c r="C21" s="54"/>
      <c r="D21" s="2644"/>
      <c r="E21" s="51"/>
      <c r="F21" s="51"/>
      <c r="G21" s="51"/>
      <c r="H21" s="51"/>
    </row>
    <row r="22" spans="1:256" s="51" customFormat="1">
      <c r="A22" s="411"/>
      <c r="B22" s="86"/>
      <c r="C22" s="90"/>
      <c r="D22" s="2585"/>
      <c r="E22"/>
      <c r="F22" s="86"/>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c r="A23" s="411"/>
      <c r="B23" s="86"/>
      <c r="C23" s="54"/>
      <c r="D23" s="2640"/>
      <c r="E23" s="51"/>
      <c r="F23" s="51"/>
      <c r="G23" s="51"/>
      <c r="H23" s="51"/>
    </row>
    <row r="24" spans="1:256" s="51" customFormat="1">
      <c r="A24" s="411"/>
      <c r="B24" s="86"/>
      <c r="C24" s="90"/>
      <c r="D24" s="2585"/>
      <c r="E24"/>
      <c r="F24" s="86"/>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c r="A25" s="411"/>
      <c r="B25" s="86"/>
      <c r="C25" s="54"/>
      <c r="D25" s="2640"/>
      <c r="E25" s="51"/>
      <c r="F25" s="51"/>
      <c r="G25" s="51"/>
      <c r="H25" s="51"/>
    </row>
    <row r="26" spans="1:256" s="51" customFormat="1">
      <c r="A26" s="411"/>
      <c r="B26" s="86"/>
      <c r="C26" s="90"/>
      <c r="D26" s="2585"/>
      <c r="E26"/>
      <c r="F26" s="8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c r="A27" s="411"/>
      <c r="B27" s="86"/>
      <c r="C27" s="54"/>
      <c r="D27" s="2640"/>
      <c r="E27" s="51"/>
      <c r="F27" s="51"/>
      <c r="G27" s="51"/>
      <c r="H27" s="51"/>
    </row>
    <row r="28" spans="1:256" s="51" customFormat="1">
      <c r="A28" s="411"/>
      <c r="B28" s="86"/>
      <c r="C28" s="90"/>
      <c r="D28" s="2585"/>
      <c r="E28"/>
      <c r="F28" s="86"/>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c r="A29" s="411"/>
      <c r="B29" s="86"/>
      <c r="C29" s="54"/>
      <c r="D29" s="2640"/>
      <c r="E29" s="51"/>
      <c r="F29" s="51"/>
      <c r="G29" s="51"/>
      <c r="H29" s="51"/>
    </row>
    <row r="30" spans="1:256" s="51" customFormat="1">
      <c r="A30" s="411"/>
      <c r="B30" s="86"/>
      <c r="C30" s="90"/>
      <c r="D30" s="2585"/>
      <c r="E30"/>
      <c r="F30" s="86"/>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c r="A31" s="411"/>
      <c r="B31" s="86"/>
      <c r="C31" s="54"/>
      <c r="D31" s="2640"/>
      <c r="E31" s="51"/>
      <c r="F31" s="51"/>
      <c r="G31" s="51"/>
      <c r="H31" s="51"/>
    </row>
    <row r="32" spans="1:256" s="51" customFormat="1">
      <c r="A32" s="411"/>
      <c r="B32" s="86"/>
      <c r="C32" s="90"/>
      <c r="D32" s="2585"/>
      <c r="E32"/>
      <c r="F32" s="86"/>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c r="A33" s="411"/>
      <c r="B33" s="86"/>
      <c r="C33" s="54"/>
      <c r="D33" s="2640"/>
      <c r="E33" s="51"/>
      <c r="F33" s="51"/>
      <c r="G33" s="51"/>
      <c r="H33" s="51"/>
    </row>
    <row r="34" spans="1:256" s="51" customFormat="1">
      <c r="A34" s="411"/>
      <c r="B34" s="86"/>
      <c r="C34" s="90"/>
      <c r="D34" s="2585"/>
      <c r="E34"/>
      <c r="F34" s="86"/>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c r="A35" s="411"/>
      <c r="B35" s="86"/>
      <c r="C35" s="54"/>
      <c r="D35" s="2640"/>
      <c r="E35" s="51"/>
      <c r="F35" s="51"/>
      <c r="G35" s="51"/>
      <c r="H35" s="51"/>
    </row>
    <row r="36" spans="1:256" s="51" customFormat="1">
      <c r="A36" s="411"/>
      <c r="B36" s="86"/>
      <c r="C36" s="90"/>
      <c r="D36" s="2586"/>
      <c r="E36"/>
      <c r="F36" s="8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c r="A37" s="411"/>
      <c r="B37" s="86"/>
      <c r="C37" s="54"/>
      <c r="D37" s="2646"/>
      <c r="E37" s="51"/>
      <c r="F37" s="51"/>
      <c r="G37" s="51"/>
      <c r="H37" s="51"/>
    </row>
    <row r="38" spans="1:256" s="51" customFormat="1">
      <c r="A38" s="411"/>
      <c r="B38" s="86"/>
      <c r="C38" s="90"/>
      <c r="D38" s="2584"/>
      <c r="E38" s="86"/>
      <c r="F38" s="86"/>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c r="A39" s="411"/>
      <c r="B39" s="86"/>
      <c r="C39" s="54"/>
      <c r="D39" s="2640"/>
      <c r="E39" s="51"/>
      <c r="F39" s="51"/>
      <c r="G39" s="51"/>
      <c r="H39" s="51"/>
    </row>
    <row r="40" spans="1:256" s="51" customFormat="1">
      <c r="A40" s="411"/>
      <c r="B40" s="86"/>
      <c r="C40" s="90"/>
      <c r="D40" s="2585"/>
      <c r="E40"/>
      <c r="F40" s="86"/>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c r="A41" s="411"/>
      <c r="B41" s="86"/>
      <c r="C41" s="54"/>
      <c r="D41" s="2640"/>
      <c r="E41" s="51"/>
      <c r="F41" s="51"/>
      <c r="G41" s="51"/>
      <c r="H41" s="51"/>
    </row>
    <row r="42" spans="1:256" s="51" customFormat="1">
      <c r="A42" s="411"/>
      <c r="B42" s="86"/>
      <c r="C42" s="90"/>
      <c r="D42" s="2585"/>
      <c r="E42"/>
      <c r="F42" s="86"/>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411"/>
      <c r="B43" s="86"/>
      <c r="C43" s="54"/>
      <c r="D43" s="2640"/>
      <c r="E43" s="51"/>
      <c r="F43" s="51"/>
      <c r="G43" s="51"/>
      <c r="H43" s="51"/>
    </row>
    <row r="44" spans="1:256" s="51" customFormat="1">
      <c r="A44" s="411"/>
      <c r="B44" s="86"/>
      <c r="C44" s="90"/>
      <c r="D44" s="2585"/>
      <c r="E44"/>
      <c r="F44" s="86"/>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c r="A45" s="411"/>
      <c r="B45" s="86"/>
      <c r="C45" s="54"/>
      <c r="D45" s="2640"/>
      <c r="E45" s="51"/>
      <c r="F45" s="51"/>
      <c r="G45" s="51"/>
      <c r="H45" s="51"/>
    </row>
    <row r="46" spans="1:256" s="51" customFormat="1">
      <c r="A46" s="411"/>
      <c r="B46" s="86"/>
      <c r="C46" s="90"/>
      <c r="D46" s="2585"/>
      <c r="E46"/>
      <c r="F46" s="8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c r="A47" s="411"/>
      <c r="B47" s="86"/>
      <c r="C47" s="54"/>
      <c r="D47" s="2640"/>
      <c r="E47" s="51"/>
      <c r="F47" s="51"/>
      <c r="G47" s="51"/>
      <c r="H47" s="51"/>
    </row>
    <row r="48" spans="1:256" s="51" customFormat="1">
      <c r="A48" s="411"/>
      <c r="B48" s="86"/>
      <c r="C48" s="90"/>
      <c r="D48" s="2585"/>
      <c r="E48"/>
      <c r="F48" s="86"/>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c r="A49" s="411"/>
      <c r="B49" s="86"/>
      <c r="C49" s="54"/>
      <c r="D49" s="2640"/>
      <c r="E49" s="51"/>
      <c r="F49" s="51"/>
      <c r="G49" s="51"/>
      <c r="H49" s="51"/>
    </row>
    <row r="50" spans="1:256" s="51" customFormat="1">
      <c r="A50" s="411"/>
      <c r="B50" s="86"/>
      <c r="C50" s="90"/>
      <c r="D50" s="2585"/>
      <c r="E50"/>
      <c r="F50" s="86"/>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c r="A51" s="411"/>
      <c r="B51" s="86"/>
      <c r="C51" s="54"/>
      <c r="D51" s="2640"/>
      <c r="E51" s="51"/>
      <c r="F51" s="51"/>
      <c r="G51" s="51"/>
      <c r="H51" s="51"/>
    </row>
    <row r="52" spans="1:256" s="51" customFormat="1">
      <c r="A52" s="411"/>
      <c r="B52" s="86"/>
      <c r="C52" s="90"/>
      <c r="D52" s="2585"/>
      <c r="E52"/>
      <c r="F52" s="86"/>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c r="A53" s="411"/>
      <c r="B53" s="86"/>
      <c r="C53" s="54"/>
      <c r="D53" s="2642"/>
      <c r="E53" s="51"/>
      <c r="F53" s="51"/>
      <c r="G53" s="51"/>
      <c r="H53" s="51"/>
    </row>
    <row r="54" spans="1:256" s="51" customFormat="1">
      <c r="A54" s="411"/>
      <c r="B54" s="86"/>
      <c r="C54" s="90"/>
      <c r="D54" s="86"/>
      <c r="E54" s="86"/>
      <c r="F54" s="86"/>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c r="A55" s="411"/>
      <c r="B55" s="86"/>
      <c r="C55" s="90"/>
      <c r="D55" s="86"/>
      <c r="E55" s="86"/>
      <c r="F55" s="86"/>
    </row>
    <row r="56" spans="1:256" s="51" customFormat="1">
      <c r="A56" s="411"/>
      <c r="B56" s="86"/>
      <c r="C56" s="18"/>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c r="A57" s="411"/>
      <c r="B57" s="86"/>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pageSetUpPr fitToPage="1"/>
  </sheetPr>
  <dimension ref="A1:AD229"/>
  <sheetViews>
    <sheetView showGridLines="0" zoomScale="55" zoomScaleNormal="55" workbookViewId="0">
      <pane xSplit="7" ySplit="11" topLeftCell="AB123" activePane="bottomRight" state="frozen"/>
      <selection activeCell="I98" sqref="I98"/>
      <selection pane="topRight" activeCell="I98" sqref="I98"/>
      <selection pane="bottomLeft" activeCell="I98" sqref="I98"/>
      <selection pane="bottomRight" activeCell="H211" sqref="H211"/>
    </sheetView>
  </sheetViews>
  <sheetFormatPr defaultRowHeight="15.75"/>
  <cols>
    <col min="1" max="1" width="22.5" customWidth="1"/>
    <col min="2" max="2" width="2" style="86" customWidth="1"/>
    <col min="3" max="3" width="6.125" style="86" bestFit="1" customWidth="1"/>
    <col min="4" max="4" width="8.25" style="86" bestFit="1" customWidth="1"/>
    <col min="5" max="5" width="42.125" style="86" customWidth="1"/>
    <col min="6" max="6" width="14" style="86" bestFit="1" customWidth="1"/>
    <col min="7" max="7" width="18.75" style="86" bestFit="1" customWidth="1"/>
    <col min="8" max="8" width="26.25" style="137" bestFit="1" customWidth="1"/>
    <col min="9" max="9" width="13.375" style="86" bestFit="1" customWidth="1"/>
    <col min="10" max="10" width="14.25" style="86" bestFit="1" customWidth="1"/>
    <col min="11" max="11" width="13.75" style="86" bestFit="1" customWidth="1"/>
    <col min="12" max="12" width="13.375" style="86" bestFit="1" customWidth="1"/>
    <col min="13" max="13" width="11.25" style="86" bestFit="1" customWidth="1"/>
    <col min="14" max="15" width="13" style="86" bestFit="1" customWidth="1"/>
    <col min="16" max="16" width="13.75" style="86" bestFit="1" customWidth="1"/>
    <col min="17" max="17" width="12.25" style="86" bestFit="1" customWidth="1"/>
    <col min="18" max="18" width="13.375" style="86" bestFit="1" customWidth="1"/>
    <col min="19" max="23" width="12.25" style="86" bestFit="1" customWidth="1"/>
    <col min="24" max="24" width="13.375" style="86" bestFit="1" customWidth="1"/>
    <col min="25" max="25" width="12.25" style="86" bestFit="1" customWidth="1"/>
    <col min="26" max="26" width="10" style="86" bestFit="1" customWidth="1"/>
    <col min="27" max="27" width="2.125" style="86" customWidth="1"/>
    <col min="28" max="28" width="13.125" style="86" bestFit="1" customWidth="1"/>
    <col min="29" max="45" width="16.625" style="86" customWidth="1"/>
    <col min="46" max="16384" width="9" style="86"/>
  </cols>
  <sheetData>
    <row r="1" spans="1:30" ht="22.5">
      <c r="A1" s="411"/>
      <c r="B1"/>
      <c r="C1" s="14"/>
      <c r="D1" s="14"/>
      <c r="E1" s="4405" t="s">
        <v>167</v>
      </c>
      <c r="F1" s="4405"/>
      <c r="G1" s="4405"/>
      <c r="H1" s="4405"/>
      <c r="I1" s="4405"/>
      <c r="J1" s="4405"/>
      <c r="K1" s="4405"/>
      <c r="L1" s="4405"/>
      <c r="M1" s="4405"/>
      <c r="N1" s="4405"/>
      <c r="O1" s="4405"/>
      <c r="P1" s="4405"/>
      <c r="Q1" s="4405"/>
      <c r="R1" s="4405"/>
      <c r="S1" s="4405"/>
      <c r="T1" s="4405"/>
      <c r="U1" s="4405"/>
      <c r="V1" s="4405"/>
      <c r="W1" s="4405"/>
      <c r="X1" s="4405"/>
      <c r="Y1" s="4405"/>
      <c r="Z1" s="4405"/>
      <c r="AA1" s="214"/>
    </row>
    <row r="2" spans="1:30" ht="22.5">
      <c r="A2" s="411"/>
      <c r="B2"/>
      <c r="C2" s="14"/>
      <c r="D2" s="14"/>
      <c r="E2" s="4405" t="str">
        <f>Client</f>
        <v>Grant County Public Utility District</v>
      </c>
      <c r="F2" s="4405"/>
      <c r="G2" s="4405"/>
      <c r="H2" s="4405"/>
      <c r="I2" s="4405"/>
      <c r="J2" s="4405"/>
      <c r="K2" s="4405"/>
      <c r="L2" s="4405"/>
      <c r="M2" s="4405"/>
      <c r="N2" s="4405"/>
      <c r="O2" s="4405"/>
      <c r="P2" s="4405"/>
      <c r="Q2" s="4405"/>
      <c r="R2" s="4405"/>
      <c r="S2" s="4405"/>
      <c r="T2" s="4405"/>
      <c r="U2" s="4405"/>
      <c r="V2" s="4405"/>
      <c r="W2" s="4405"/>
      <c r="X2" s="4405"/>
      <c r="Y2" s="4405"/>
      <c r="Z2" s="4405"/>
      <c r="AA2" s="214"/>
    </row>
    <row r="3" spans="1:30" ht="22.5">
      <c r="A3" s="411"/>
      <c r="B3"/>
      <c r="C3" s="14"/>
      <c r="D3" s="14"/>
      <c r="E3" s="4405" t="s">
        <v>116</v>
      </c>
      <c r="F3" s="4405"/>
      <c r="G3" s="4405"/>
      <c r="H3" s="4405"/>
      <c r="I3" s="4405"/>
      <c r="J3" s="4405"/>
      <c r="K3" s="4405"/>
      <c r="L3" s="4405"/>
      <c r="M3" s="4405"/>
      <c r="N3" s="4405"/>
      <c r="O3" s="4405"/>
      <c r="P3" s="4405"/>
      <c r="Q3" s="4405"/>
      <c r="R3" s="4405"/>
      <c r="S3" s="4405"/>
      <c r="T3" s="4405"/>
      <c r="U3" s="4405"/>
      <c r="V3" s="4405"/>
      <c r="W3" s="4405"/>
      <c r="X3" s="4405"/>
      <c r="Y3" s="4405"/>
      <c r="Z3" s="4405"/>
    </row>
    <row r="4" spans="1:30">
      <c r="A4" s="411"/>
      <c r="B4"/>
      <c r="C4" s="14"/>
      <c r="D4" s="14"/>
      <c r="E4"/>
      <c r="F4"/>
      <c r="G4"/>
      <c r="H4" s="18"/>
      <c r="I4"/>
      <c r="J4"/>
      <c r="K4"/>
      <c r="L4"/>
      <c r="M4"/>
      <c r="N4"/>
      <c r="O4"/>
      <c r="P4"/>
      <c r="Q4"/>
      <c r="R4"/>
      <c r="S4"/>
      <c r="T4"/>
      <c r="U4"/>
      <c r="V4"/>
      <c r="W4"/>
      <c r="X4"/>
      <c r="Y4"/>
      <c r="Z4"/>
    </row>
    <row r="5" spans="1:30">
      <c r="A5" s="411"/>
      <c r="B5"/>
      <c r="C5" s="14"/>
      <c r="D5" s="14"/>
      <c r="E5"/>
      <c r="F5"/>
      <c r="G5"/>
      <c r="H5" s="18"/>
      <c r="I5"/>
      <c r="J5"/>
      <c r="K5"/>
      <c r="L5"/>
      <c r="M5"/>
      <c r="N5"/>
      <c r="O5"/>
      <c r="P5"/>
      <c r="Q5"/>
      <c r="R5"/>
      <c r="S5"/>
      <c r="T5"/>
      <c r="U5"/>
      <c r="V5"/>
      <c r="W5"/>
      <c r="X5"/>
      <c r="Y5"/>
      <c r="Z5"/>
      <c r="AA5" s="195"/>
    </row>
    <row r="6" spans="1:30">
      <c r="A6" s="411"/>
      <c r="B6"/>
      <c r="C6" s="14"/>
      <c r="D6" s="14"/>
      <c r="E6"/>
      <c r="F6"/>
      <c r="G6"/>
      <c r="H6" s="18"/>
      <c r="I6"/>
      <c r="J6"/>
      <c r="K6"/>
      <c r="L6"/>
      <c r="M6"/>
      <c r="N6"/>
      <c r="O6"/>
      <c r="P6"/>
      <c r="Q6"/>
      <c r="R6"/>
      <c r="S6"/>
      <c r="T6"/>
      <c r="U6"/>
      <c r="V6"/>
      <c r="W6"/>
      <c r="X6"/>
      <c r="Y6"/>
      <c r="Z6"/>
      <c r="AA6" s="85"/>
    </row>
    <row r="7" spans="1:30" ht="16.5" thickBot="1">
      <c r="A7" s="411"/>
      <c r="B7"/>
      <c r="C7" s="12"/>
      <c r="D7" s="12"/>
      <c r="E7"/>
      <c r="F7" s="2579" t="s">
        <v>674</v>
      </c>
      <c r="G7" s="2579" t="s">
        <v>155</v>
      </c>
      <c r="H7" s="2579" t="s">
        <v>675</v>
      </c>
      <c r="I7" s="2579" t="s">
        <v>676</v>
      </c>
      <c r="J7" s="2579" t="s">
        <v>677</v>
      </c>
      <c r="K7" s="2579" t="s">
        <v>140</v>
      </c>
      <c r="L7" s="2579" t="s">
        <v>141</v>
      </c>
      <c r="M7" s="2579" t="s">
        <v>142</v>
      </c>
      <c r="N7" s="2579" t="s">
        <v>143</v>
      </c>
      <c r="O7" s="2579" t="s">
        <v>145</v>
      </c>
      <c r="P7" s="2579" t="s">
        <v>146</v>
      </c>
      <c r="Q7" s="2579" t="s">
        <v>147</v>
      </c>
      <c r="R7" s="2579" t="s">
        <v>148</v>
      </c>
      <c r="S7" s="2579" t="s">
        <v>149</v>
      </c>
      <c r="T7" s="2579" t="s">
        <v>150</v>
      </c>
      <c r="U7" s="2579" t="s">
        <v>151</v>
      </c>
      <c r="V7" s="2579" t="s">
        <v>153</v>
      </c>
      <c r="W7" s="2579" t="s">
        <v>154</v>
      </c>
      <c r="X7" s="2579" t="s">
        <v>449</v>
      </c>
      <c r="Y7" s="2579" t="s">
        <v>450</v>
      </c>
      <c r="Z7" s="2579" t="s">
        <v>451</v>
      </c>
      <c r="AA7" s="2579"/>
    </row>
    <row r="8" spans="1:30">
      <c r="A8" s="411"/>
      <c r="B8"/>
      <c r="C8" s="3174"/>
      <c r="D8" s="3175"/>
      <c r="E8" s="3176"/>
      <c r="F8" s="3176"/>
      <c r="G8" s="3176"/>
      <c r="H8" s="3176"/>
      <c r="I8" s="4587" t="s">
        <v>900</v>
      </c>
      <c r="J8" s="4588"/>
      <c r="K8" s="4591" t="s">
        <v>600</v>
      </c>
      <c r="L8" s="4593" t="s">
        <v>601</v>
      </c>
      <c r="M8" s="4593"/>
      <c r="N8" s="4593"/>
      <c r="O8" s="4593"/>
      <c r="P8" s="4593"/>
      <c r="Q8" s="4593"/>
      <c r="R8" s="4593"/>
      <c r="S8" s="3177"/>
      <c r="T8" s="3177"/>
      <c r="U8" s="3177"/>
      <c r="V8" s="3177"/>
      <c r="W8" s="3178" t="s">
        <v>608</v>
      </c>
      <c r="X8" s="3176"/>
      <c r="Y8" s="3176"/>
      <c r="Z8" s="3179"/>
      <c r="AA8" s="195"/>
      <c r="AB8" s="195"/>
    </row>
    <row r="9" spans="1:30">
      <c r="A9" s="411"/>
      <c r="B9"/>
      <c r="C9" s="3180"/>
      <c r="D9" s="2657"/>
      <c r="E9" s="3181"/>
      <c r="F9" s="3181"/>
      <c r="G9" s="3181"/>
      <c r="H9" s="3181"/>
      <c r="I9" s="4589"/>
      <c r="J9" s="4590"/>
      <c r="K9" s="4592"/>
      <c r="L9" s="4594" t="s">
        <v>168</v>
      </c>
      <c r="M9" s="4594"/>
      <c r="N9" s="4594"/>
      <c r="O9" s="4594"/>
      <c r="P9" s="4594"/>
      <c r="Q9" s="4594"/>
      <c r="R9" s="4595"/>
      <c r="S9" s="4596" t="s">
        <v>606</v>
      </c>
      <c r="T9" s="4594"/>
      <c r="U9" s="4594"/>
      <c r="V9" s="4594"/>
      <c r="W9" s="2600" t="s">
        <v>169</v>
      </c>
      <c r="X9" s="3165"/>
      <c r="Y9" s="3181"/>
      <c r="Z9" s="3182"/>
      <c r="AA9" s="195"/>
      <c r="AB9" s="195"/>
    </row>
    <row r="10" spans="1:30">
      <c r="A10" s="411"/>
      <c r="B10"/>
      <c r="C10" s="4611" t="s">
        <v>867</v>
      </c>
      <c r="D10" s="2843"/>
      <c r="E10" s="4613" t="s">
        <v>399</v>
      </c>
      <c r="F10" s="3158" t="s">
        <v>865</v>
      </c>
      <c r="G10" s="3165"/>
      <c r="H10" s="3158" t="s">
        <v>869</v>
      </c>
      <c r="I10" s="4603" t="s">
        <v>605</v>
      </c>
      <c r="J10" s="4601" t="s">
        <v>168</v>
      </c>
      <c r="K10" s="4601" t="s">
        <v>168</v>
      </c>
      <c r="L10" s="4605" t="s">
        <v>170</v>
      </c>
      <c r="M10" s="3164" t="s">
        <v>486</v>
      </c>
      <c r="N10" s="3164" t="s">
        <v>2988</v>
      </c>
      <c r="O10" s="3164" t="s">
        <v>2989</v>
      </c>
      <c r="P10" s="3165" t="s">
        <v>867</v>
      </c>
      <c r="Q10" s="4596" t="s">
        <v>857</v>
      </c>
      <c r="R10" s="4595"/>
      <c r="S10" s="4607" t="s">
        <v>858</v>
      </c>
      <c r="T10" s="4608"/>
      <c r="U10" s="4601" t="s">
        <v>171</v>
      </c>
      <c r="V10" s="4601" t="s">
        <v>172</v>
      </c>
      <c r="W10" s="2600" t="s">
        <v>173</v>
      </c>
      <c r="X10" s="4597" t="str">
        <f>COS_RB!W9</f>
        <v>Street Lights</v>
      </c>
      <c r="Y10" s="3165" t="s">
        <v>683</v>
      </c>
      <c r="Z10" s="3183" t="s">
        <v>210</v>
      </c>
      <c r="AA10" s="222"/>
      <c r="AB10" s="195"/>
    </row>
    <row r="11" spans="1:30" ht="16.5" thickBot="1">
      <c r="A11" s="411"/>
      <c r="B11"/>
      <c r="C11" s="4612"/>
      <c r="D11" s="3184"/>
      <c r="E11" s="4614"/>
      <c r="F11" s="3185" t="s">
        <v>122</v>
      </c>
      <c r="G11" s="3186" t="s">
        <v>602</v>
      </c>
      <c r="H11" s="3185" t="s">
        <v>870</v>
      </c>
      <c r="I11" s="4604"/>
      <c r="J11" s="4609"/>
      <c r="K11" s="4609"/>
      <c r="L11" s="4606"/>
      <c r="M11" s="3187" t="s">
        <v>175</v>
      </c>
      <c r="N11" s="3187" t="s">
        <v>175</v>
      </c>
      <c r="O11" s="3187" t="s">
        <v>175</v>
      </c>
      <c r="P11" s="3186" t="s">
        <v>856</v>
      </c>
      <c r="Q11" s="3186" t="s">
        <v>985</v>
      </c>
      <c r="R11" s="3186" t="s">
        <v>986</v>
      </c>
      <c r="S11" s="3188" t="s">
        <v>985</v>
      </c>
      <c r="T11" s="3188" t="s">
        <v>986</v>
      </c>
      <c r="U11" s="4609"/>
      <c r="V11" s="4609"/>
      <c r="W11" s="3186" t="s">
        <v>603</v>
      </c>
      <c r="X11" s="4598"/>
      <c r="Y11" s="3186" t="s">
        <v>606</v>
      </c>
      <c r="Z11" s="3189" t="s">
        <v>861</v>
      </c>
      <c r="AA11" s="222"/>
      <c r="AB11" s="195"/>
    </row>
    <row r="12" spans="1:30">
      <c r="A12" s="411"/>
      <c r="B12"/>
      <c r="C12" s="2846"/>
      <c r="D12" s="495"/>
      <c r="E12" s="87"/>
      <c r="F12" s="87"/>
      <c r="G12" s="87"/>
      <c r="I12" s="215"/>
      <c r="J12" s="87"/>
      <c r="K12" s="87"/>
      <c r="L12" s="87"/>
      <c r="M12" s="87"/>
      <c r="N12" s="87"/>
      <c r="O12" s="87"/>
      <c r="P12" s="87"/>
      <c r="Q12" s="87"/>
      <c r="R12" s="87"/>
      <c r="S12" s="87"/>
      <c r="T12" s="87"/>
      <c r="U12" s="87"/>
      <c r="V12" s="87"/>
      <c r="W12" s="87"/>
      <c r="X12" s="87"/>
      <c r="Y12" s="87"/>
      <c r="Z12" s="2847"/>
      <c r="AA12" s="87"/>
      <c r="AB12" s="190"/>
      <c r="AC12" s="87"/>
      <c r="AD12" s="87"/>
    </row>
    <row r="13" spans="1:30">
      <c r="A13" s="411"/>
      <c r="B13"/>
      <c r="C13" s="2839">
        <f>IF(ISBLANK($E13),"",+MAX(C$12:C12)+1)</f>
        <v>1</v>
      </c>
      <c r="D13" s="2869"/>
      <c r="E13" s="61" t="s">
        <v>388</v>
      </c>
      <c r="F13" s="61"/>
      <c r="G13" s="2763"/>
      <c r="H13" s="2869"/>
      <c r="I13" s="2763"/>
      <c r="J13" s="2763"/>
      <c r="K13" s="2763"/>
      <c r="L13" s="2763"/>
      <c r="M13" s="2763"/>
      <c r="N13" s="2763"/>
      <c r="O13" s="2763"/>
      <c r="P13" s="2763"/>
      <c r="Q13" s="2763"/>
      <c r="R13" s="2763"/>
      <c r="S13" s="2763"/>
      <c r="T13" s="2763"/>
      <c r="U13" s="2763"/>
      <c r="V13" s="2763"/>
      <c r="W13" s="2763"/>
      <c r="X13" s="2763"/>
      <c r="Y13" s="2763"/>
      <c r="Z13" s="2870"/>
      <c r="AA13" s="2760"/>
      <c r="AB13" s="2938"/>
      <c r="AC13" s="87"/>
      <c r="AD13" s="87"/>
    </row>
    <row r="14" spans="1:30">
      <c r="A14" s="411"/>
      <c r="B14"/>
      <c r="C14" s="2846" t="str">
        <f>IF(ISBLANK($E14),"",+MAX(C$12:C13)+1)</f>
        <v/>
      </c>
      <c r="D14" s="495"/>
      <c r="E14" s="88"/>
      <c r="F14" s="88"/>
      <c r="G14" s="2760"/>
      <c r="H14" s="495"/>
      <c r="I14" s="2760"/>
      <c r="J14" s="2760"/>
      <c r="K14" s="2760"/>
      <c r="L14" s="2760"/>
      <c r="M14" s="2760"/>
      <c r="N14" s="2760"/>
      <c r="O14" s="2760"/>
      <c r="P14" s="2760"/>
      <c r="Q14" s="2760"/>
      <c r="R14" s="2760"/>
      <c r="S14" s="2760"/>
      <c r="T14" s="2760"/>
      <c r="U14" s="2760"/>
      <c r="V14" s="2760"/>
      <c r="W14" s="2760"/>
      <c r="X14" s="2760"/>
      <c r="Y14" s="2760"/>
      <c r="Z14" s="2856"/>
      <c r="AA14" s="2760"/>
      <c r="AB14" s="2938"/>
      <c r="AC14" s="87"/>
      <c r="AD14" s="87"/>
    </row>
    <row r="15" spans="1:30" ht="16.5" thickBot="1">
      <c r="A15" s="411"/>
      <c r="B15" s="51"/>
      <c r="C15" s="2839">
        <f>IF(ISBLANK($E15),"",+MAX(C$12:C14)+1)</f>
        <v>2</v>
      </c>
      <c r="D15" s="2869"/>
      <c r="E15" s="61" t="s">
        <v>698</v>
      </c>
      <c r="F15" s="61"/>
      <c r="G15" s="2763"/>
      <c r="H15" s="2869"/>
      <c r="I15" s="2763"/>
      <c r="J15" s="2763"/>
      <c r="K15" s="2763"/>
      <c r="L15" s="2763"/>
      <c r="M15" s="2763"/>
      <c r="N15" s="2763"/>
      <c r="O15" s="2763"/>
      <c r="P15" s="2763"/>
      <c r="Q15" s="2763"/>
      <c r="R15" s="2763"/>
      <c r="S15" s="2763"/>
      <c r="T15" s="2763"/>
      <c r="U15" s="2763"/>
      <c r="V15" s="2763"/>
      <c r="W15" s="2763"/>
      <c r="X15" s="2763"/>
      <c r="Y15" s="2763"/>
      <c r="Z15" s="2870"/>
      <c r="AA15" s="2760"/>
      <c r="AB15" s="2938"/>
      <c r="AC15" s="87"/>
      <c r="AD15" s="87"/>
    </row>
    <row r="16" spans="1:30">
      <c r="A16" s="411"/>
      <c r="B16"/>
      <c r="C16" s="2846">
        <f>IF(ISBLANK($E16),"",+MAX(C$12:C15)+1)</f>
        <v>3</v>
      </c>
      <c r="D16" s="495">
        <f>'O&amp;M_Summ'!D9</f>
        <v>555010</v>
      </c>
      <c r="E16" s="2857" t="str">
        <f>'O&amp;M_Summ'!E9</f>
        <v>PURC POWER, BPA</v>
      </c>
      <c r="F16" s="2857"/>
      <c r="G16" s="2858">
        <f>COS_RR!G46</f>
        <v>2047252.48</v>
      </c>
      <c r="H16" s="2859" t="str">
        <f>COS_RR!H46</f>
        <v>Energy</v>
      </c>
      <c r="I16" s="2858">
        <f>COS_RR!J46</f>
        <v>2047252</v>
      </c>
      <c r="J16" s="2858">
        <f>COS_RR!K46</f>
        <v>0</v>
      </c>
      <c r="K16" s="2858">
        <f>COS_RR!L46</f>
        <v>0</v>
      </c>
      <c r="L16" s="2858">
        <f>COS_RR!M46</f>
        <v>0</v>
      </c>
      <c r="M16" s="2858">
        <f>COS_RR!N46</f>
        <v>0</v>
      </c>
      <c r="N16" s="2858">
        <f>COS_RR!O46</f>
        <v>0</v>
      </c>
      <c r="O16" s="2858">
        <f>COS_RR!P46</f>
        <v>0</v>
      </c>
      <c r="P16" s="2858">
        <f>COS_RR!Q46</f>
        <v>0</v>
      </c>
      <c r="Q16" s="2858">
        <f>COS_RR!R46</f>
        <v>0</v>
      </c>
      <c r="R16" s="2858">
        <f>COS_RR!S46</f>
        <v>0</v>
      </c>
      <c r="S16" s="2858">
        <f>COS_RR!T46</f>
        <v>0</v>
      </c>
      <c r="T16" s="2858">
        <f>COS_RR!U46</f>
        <v>0</v>
      </c>
      <c r="U16" s="2858">
        <f>COS_RR!V46</f>
        <v>0</v>
      </c>
      <c r="V16" s="2858">
        <f>COS_RR!W46</f>
        <v>0</v>
      </c>
      <c r="W16" s="2858">
        <f>COS_RR!X46</f>
        <v>0</v>
      </c>
      <c r="X16" s="2858">
        <f>COS_RR!Y46</f>
        <v>0</v>
      </c>
      <c r="Y16" s="2858">
        <f>COS_RR!Z46</f>
        <v>0</v>
      </c>
      <c r="Z16" s="2858">
        <f>COS_RR!AA46</f>
        <v>0</v>
      </c>
      <c r="AA16" s="2858">
        <f>COS_RR!AB46</f>
        <v>0</v>
      </c>
      <c r="AB16" s="2932"/>
      <c r="AC16" s="87"/>
      <c r="AD16" s="87"/>
    </row>
    <row r="17" spans="1:30">
      <c r="A17" s="411"/>
      <c r="B17" s="51"/>
      <c r="C17" s="2839">
        <f>IF(ISBLANK($E17),"",+MAX(C$12:C16)+1)</f>
        <v>4</v>
      </c>
      <c r="D17" s="2869">
        <f>'O&amp;M_Summ'!D10</f>
        <v>555000</v>
      </c>
      <c r="E17" s="2688" t="str">
        <f>'O&amp;M_Summ'!E10</f>
        <v>PURC POWER</v>
      </c>
      <c r="F17" s="2688"/>
      <c r="G17" s="2661">
        <f>COS_RR!G47</f>
        <v>0</v>
      </c>
      <c r="H17" s="2871" t="str">
        <f>COS_RR!H47</f>
        <v>Energy</v>
      </c>
      <c r="I17" s="2694">
        <f>COS_RR!J47</f>
        <v>0</v>
      </c>
      <c r="J17" s="2694">
        <f>COS_RR!K47</f>
        <v>0</v>
      </c>
      <c r="K17" s="2694">
        <f>COS_RR!L47</f>
        <v>0</v>
      </c>
      <c r="L17" s="2694">
        <f>COS_RR!M47</f>
        <v>0</v>
      </c>
      <c r="M17" s="2694">
        <f>COS_RR!N47</f>
        <v>0</v>
      </c>
      <c r="N17" s="2694">
        <f>COS_RR!O47</f>
        <v>0</v>
      </c>
      <c r="O17" s="2694">
        <f>COS_RR!P47</f>
        <v>0</v>
      </c>
      <c r="P17" s="2694">
        <f>COS_RR!Q47</f>
        <v>0</v>
      </c>
      <c r="Q17" s="2694">
        <f>COS_RR!R47</f>
        <v>0</v>
      </c>
      <c r="R17" s="2694">
        <f>COS_RR!S47</f>
        <v>0</v>
      </c>
      <c r="S17" s="2694">
        <f>COS_RR!T47</f>
        <v>0</v>
      </c>
      <c r="T17" s="2694">
        <f>COS_RR!U47</f>
        <v>0</v>
      </c>
      <c r="U17" s="2694">
        <f>COS_RR!V47</f>
        <v>0</v>
      </c>
      <c r="V17" s="2694">
        <f>COS_RR!W47</f>
        <v>0</v>
      </c>
      <c r="W17" s="2694">
        <f>COS_RR!X47</f>
        <v>0</v>
      </c>
      <c r="X17" s="2694">
        <f>COS_RR!Y47</f>
        <v>0</v>
      </c>
      <c r="Y17" s="2694">
        <f>COS_RR!Z47</f>
        <v>0</v>
      </c>
      <c r="Z17" s="2872">
        <f>COS_RR!AA47</f>
        <v>0</v>
      </c>
      <c r="AA17" s="2858">
        <f>COS_RR!AB47</f>
        <v>0</v>
      </c>
      <c r="AB17" s="2932"/>
      <c r="AC17" s="87"/>
      <c r="AD17" s="87"/>
    </row>
    <row r="18" spans="1:30">
      <c r="A18" s="411"/>
      <c r="B18"/>
      <c r="C18" s="2846">
        <f>IF(ISBLANK($E18),"",+MAX(C$12:C17)+1)</f>
        <v>5</v>
      </c>
      <c r="D18" s="495">
        <f>'O&amp;M_Summ'!D11</f>
        <v>555020</v>
      </c>
      <c r="E18" s="2857" t="str">
        <f>'O&amp;M_Summ'!E11</f>
        <v>PURC POWER, PR</v>
      </c>
      <c r="F18" s="2861">
        <f>COS_RR!F48</f>
        <v>0</v>
      </c>
      <c r="G18" s="493">
        <f>COS_RR!G48</f>
        <v>0</v>
      </c>
      <c r="H18" s="2860" t="str">
        <f>COS_RR!H48</f>
        <v>Energy</v>
      </c>
      <c r="I18" s="104">
        <f>COS_RR!J48</f>
        <v>0</v>
      </c>
      <c r="J18" s="104">
        <f>COS_RR!K48</f>
        <v>0</v>
      </c>
      <c r="K18" s="104">
        <f>COS_RR!L48</f>
        <v>0</v>
      </c>
      <c r="L18" s="104">
        <f>COS_RR!M48</f>
        <v>0</v>
      </c>
      <c r="M18" s="104">
        <f>COS_RR!N48</f>
        <v>0</v>
      </c>
      <c r="N18" s="104">
        <f>COS_RR!O48</f>
        <v>0</v>
      </c>
      <c r="O18" s="104">
        <f>COS_RR!P48</f>
        <v>0</v>
      </c>
      <c r="P18" s="104">
        <f>COS_RR!Q48</f>
        <v>0</v>
      </c>
      <c r="Q18" s="104">
        <f>COS_RR!R48</f>
        <v>0</v>
      </c>
      <c r="R18" s="104">
        <f>COS_RR!S48</f>
        <v>0</v>
      </c>
      <c r="S18" s="104">
        <f>COS_RR!T48</f>
        <v>0</v>
      </c>
      <c r="T18" s="104">
        <f>COS_RR!U48</f>
        <v>0</v>
      </c>
      <c r="U18" s="104">
        <f>COS_RR!V48</f>
        <v>0</v>
      </c>
      <c r="V18" s="104">
        <f>COS_RR!W48</f>
        <v>0</v>
      </c>
      <c r="W18" s="104">
        <f>COS_RR!X48</f>
        <v>0</v>
      </c>
      <c r="X18" s="104">
        <f>COS_RR!Y48</f>
        <v>0</v>
      </c>
      <c r="Y18" s="104">
        <f>COS_RR!Z48</f>
        <v>0</v>
      </c>
      <c r="Z18" s="2848">
        <f>COS_RR!AA48</f>
        <v>0</v>
      </c>
      <c r="AA18" s="104">
        <f>COS_RR!AB48</f>
        <v>0</v>
      </c>
      <c r="AB18" s="2932"/>
      <c r="AC18" s="87"/>
      <c r="AD18" s="87"/>
    </row>
    <row r="19" spans="1:30">
      <c r="A19" s="411"/>
      <c r="B19" s="51"/>
      <c r="C19" s="2839">
        <f>IF(ISBLANK($E19),"",+MAX(C$12:C18)+1)</f>
        <v>6</v>
      </c>
      <c r="D19" s="2869">
        <f>'O&amp;M_Summ'!D11</f>
        <v>555020</v>
      </c>
      <c r="E19" s="2688" t="str">
        <f>'O&amp;M_Summ'!E11</f>
        <v>PURC POWER, PR</v>
      </c>
      <c r="F19" s="2874">
        <f>COS_RR!F49</f>
        <v>1</v>
      </c>
      <c r="G19" s="2661">
        <f>COS_RR!G49</f>
        <v>174102849.54167992</v>
      </c>
      <c r="H19" s="2871" t="str">
        <f>COS_RR!H49</f>
        <v>Power - Capacity</v>
      </c>
      <c r="I19" s="2694">
        <f>COS_RR!J49</f>
        <v>0</v>
      </c>
      <c r="J19" s="2694">
        <f>COS_RR!K49</f>
        <v>174102850</v>
      </c>
      <c r="K19" s="2694">
        <f>COS_RR!L49</f>
        <v>0</v>
      </c>
      <c r="L19" s="2694">
        <f>COS_RR!M49</f>
        <v>0</v>
      </c>
      <c r="M19" s="2694">
        <f>COS_RR!N49</f>
        <v>0</v>
      </c>
      <c r="N19" s="2694">
        <f>COS_RR!O49</f>
        <v>0</v>
      </c>
      <c r="O19" s="2694">
        <f>COS_RR!P49</f>
        <v>0</v>
      </c>
      <c r="P19" s="2694">
        <f>COS_RR!Q49</f>
        <v>0</v>
      </c>
      <c r="Q19" s="2694">
        <f>COS_RR!R49</f>
        <v>0</v>
      </c>
      <c r="R19" s="2694">
        <f>COS_RR!S49</f>
        <v>0</v>
      </c>
      <c r="S19" s="2694">
        <f>COS_RR!T49</f>
        <v>0</v>
      </c>
      <c r="T19" s="2694">
        <f>COS_RR!U49</f>
        <v>0</v>
      </c>
      <c r="U19" s="2694">
        <f>COS_RR!V49</f>
        <v>0</v>
      </c>
      <c r="V19" s="2694">
        <f>COS_RR!W49</f>
        <v>0</v>
      </c>
      <c r="W19" s="2694">
        <f>COS_RR!X49</f>
        <v>0</v>
      </c>
      <c r="X19" s="2694">
        <f>COS_RR!Y49</f>
        <v>0</v>
      </c>
      <c r="Y19" s="2694">
        <f>COS_RR!Z49</f>
        <v>0</v>
      </c>
      <c r="Z19" s="2872">
        <f>COS_RR!AA49</f>
        <v>0</v>
      </c>
      <c r="AA19" s="104">
        <f>COS_RR!AB49</f>
        <v>0</v>
      </c>
      <c r="AB19" s="2932"/>
      <c r="AC19" s="87"/>
      <c r="AD19" s="87"/>
    </row>
    <row r="20" spans="1:30">
      <c r="A20" s="411"/>
      <c r="B20"/>
      <c r="C20" s="2846">
        <f>IF(ISBLANK($E20),"",+MAX(C$12:C19)+1)</f>
        <v>7</v>
      </c>
      <c r="D20" s="495">
        <f>'O&amp;M_Summ'!D12</f>
        <v>555020</v>
      </c>
      <c r="E20" s="2857" t="str">
        <f>'O&amp;M_Summ'!E12</f>
        <v>PURC POWER, PR - EUDL</v>
      </c>
      <c r="F20" s="2861">
        <f>COS_RR!F50</f>
        <v>0</v>
      </c>
      <c r="G20" s="493">
        <f>COS_RR!G50</f>
        <v>0</v>
      </c>
      <c r="H20" s="2860" t="str">
        <f>COS_RR!H50</f>
        <v>Energy</v>
      </c>
      <c r="I20" s="104">
        <f>COS_RR!J50</f>
        <v>0</v>
      </c>
      <c r="J20" s="104">
        <f>COS_RR!K50</f>
        <v>0</v>
      </c>
      <c r="K20" s="104">
        <f>COS_RR!L50</f>
        <v>0</v>
      </c>
      <c r="L20" s="104">
        <f>COS_RR!M50</f>
        <v>0</v>
      </c>
      <c r="M20" s="104">
        <f>COS_RR!N50</f>
        <v>0</v>
      </c>
      <c r="N20" s="104">
        <f>COS_RR!O50</f>
        <v>0</v>
      </c>
      <c r="O20" s="104">
        <f>COS_RR!P50</f>
        <v>0</v>
      </c>
      <c r="P20" s="104">
        <f>COS_RR!Q50</f>
        <v>0</v>
      </c>
      <c r="Q20" s="104">
        <f>COS_RR!R50</f>
        <v>0</v>
      </c>
      <c r="R20" s="104">
        <f>COS_RR!S50</f>
        <v>0</v>
      </c>
      <c r="S20" s="104">
        <f>COS_RR!T50</f>
        <v>0</v>
      </c>
      <c r="T20" s="104">
        <f>COS_RR!U50</f>
        <v>0</v>
      </c>
      <c r="U20" s="104">
        <f>COS_RR!V50</f>
        <v>0</v>
      </c>
      <c r="V20" s="104">
        <f>COS_RR!W50</f>
        <v>0</v>
      </c>
      <c r="W20" s="104">
        <f>COS_RR!X50</f>
        <v>0</v>
      </c>
      <c r="X20" s="104">
        <f>COS_RR!Y50</f>
        <v>0</v>
      </c>
      <c r="Y20" s="104">
        <f>COS_RR!Z50</f>
        <v>0</v>
      </c>
      <c r="Z20" s="2848">
        <f>COS_RR!AA50</f>
        <v>0</v>
      </c>
      <c r="AA20" s="104">
        <f>COS_RR!AB50</f>
        <v>0</v>
      </c>
      <c r="AB20" s="2932"/>
      <c r="AC20" s="87"/>
      <c r="AD20" s="87"/>
    </row>
    <row r="21" spans="1:30">
      <c r="A21" s="411"/>
      <c r="B21" s="51"/>
      <c r="C21" s="2839">
        <f>IF(ISBLANK($E21),"",+MAX(C$12:C20)+1)</f>
        <v>8</v>
      </c>
      <c r="D21" s="2869">
        <f>'O&amp;M_Summ'!D12</f>
        <v>555020</v>
      </c>
      <c r="E21" s="2688" t="str">
        <f>'O&amp;M_Summ'!E12</f>
        <v>PURC POWER, PR - EUDL</v>
      </c>
      <c r="F21" s="2874">
        <f>COS_RR!F51</f>
        <v>1</v>
      </c>
      <c r="G21" s="2661">
        <f>COS_RR!G51</f>
        <v>-86654691.012235552</v>
      </c>
      <c r="H21" s="2871" t="str">
        <f>COS_RR!H51</f>
        <v>Power - Capacity</v>
      </c>
      <c r="I21" s="2694">
        <f>COS_RR!J51</f>
        <v>0</v>
      </c>
      <c r="J21" s="2694">
        <f>COS_RR!K51</f>
        <v>-86654691</v>
      </c>
      <c r="K21" s="2694">
        <f>COS_RR!L51</f>
        <v>0</v>
      </c>
      <c r="L21" s="2694">
        <f>COS_RR!M51</f>
        <v>0</v>
      </c>
      <c r="M21" s="2694">
        <f>COS_RR!N51</f>
        <v>0</v>
      </c>
      <c r="N21" s="2694">
        <f>COS_RR!O51</f>
        <v>0</v>
      </c>
      <c r="O21" s="2694">
        <f>COS_RR!P51</f>
        <v>0</v>
      </c>
      <c r="P21" s="2694">
        <f>COS_RR!Q51</f>
        <v>0</v>
      </c>
      <c r="Q21" s="2694">
        <f>COS_RR!R51</f>
        <v>0</v>
      </c>
      <c r="R21" s="2694">
        <f>COS_RR!S51</f>
        <v>0</v>
      </c>
      <c r="S21" s="2694">
        <f>COS_RR!T51</f>
        <v>0</v>
      </c>
      <c r="T21" s="2694">
        <f>COS_RR!U51</f>
        <v>0</v>
      </c>
      <c r="U21" s="2694">
        <f>COS_RR!V51</f>
        <v>0</v>
      </c>
      <c r="V21" s="2694">
        <f>COS_RR!W51</f>
        <v>0</v>
      </c>
      <c r="W21" s="2694">
        <f>COS_RR!X51</f>
        <v>0</v>
      </c>
      <c r="X21" s="2694">
        <f>COS_RR!Y51</f>
        <v>0</v>
      </c>
      <c r="Y21" s="2694">
        <f>COS_RR!Z51</f>
        <v>0</v>
      </c>
      <c r="Z21" s="2872">
        <f>COS_RR!AA51</f>
        <v>0</v>
      </c>
      <c r="AA21" s="104">
        <f>COS_RR!AB51</f>
        <v>0</v>
      </c>
      <c r="AB21" s="2932"/>
      <c r="AC21" s="87"/>
      <c r="AD21" s="87"/>
    </row>
    <row r="22" spans="1:30">
      <c r="A22" s="411"/>
      <c r="B22"/>
      <c r="C22" s="2846">
        <f>IF(ISBLANK($E22),"",+MAX(C$12:C21)+1)</f>
        <v>9</v>
      </c>
      <c r="D22" s="495">
        <f>'O&amp;M_Summ'!D13</f>
        <v>555020</v>
      </c>
      <c r="E22" s="2857" t="str">
        <f>'O&amp;M_Summ'!E13</f>
        <v>PURC POWER, PR - REASONABLE PORTION</v>
      </c>
      <c r="F22" s="2861">
        <f>COS_RR!F52</f>
        <v>0</v>
      </c>
      <c r="G22" s="493">
        <f>COS_RR!G52</f>
        <v>0</v>
      </c>
      <c r="H22" s="2860" t="str">
        <f>COS_RR!H52</f>
        <v>Energy</v>
      </c>
      <c r="I22" s="104">
        <f>COS_RR!J52</f>
        <v>0</v>
      </c>
      <c r="J22" s="104">
        <f>COS_RR!K52</f>
        <v>0</v>
      </c>
      <c r="K22" s="104">
        <f>COS_RR!L52</f>
        <v>0</v>
      </c>
      <c r="L22" s="104">
        <f>COS_RR!M52</f>
        <v>0</v>
      </c>
      <c r="M22" s="104">
        <f>COS_RR!N52</f>
        <v>0</v>
      </c>
      <c r="N22" s="104">
        <f>COS_RR!O52</f>
        <v>0</v>
      </c>
      <c r="O22" s="104">
        <f>COS_RR!P52</f>
        <v>0</v>
      </c>
      <c r="P22" s="104">
        <f>COS_RR!Q52</f>
        <v>0</v>
      </c>
      <c r="Q22" s="104">
        <f>COS_RR!R52</f>
        <v>0</v>
      </c>
      <c r="R22" s="104">
        <f>COS_RR!S52</f>
        <v>0</v>
      </c>
      <c r="S22" s="104">
        <f>COS_RR!T52</f>
        <v>0</v>
      </c>
      <c r="T22" s="104">
        <f>COS_RR!U52</f>
        <v>0</v>
      </c>
      <c r="U22" s="104">
        <f>COS_RR!V52</f>
        <v>0</v>
      </c>
      <c r="V22" s="104">
        <f>COS_RR!W52</f>
        <v>0</v>
      </c>
      <c r="W22" s="104">
        <f>COS_RR!X52</f>
        <v>0</v>
      </c>
      <c r="X22" s="104">
        <f>COS_RR!Y52</f>
        <v>0</v>
      </c>
      <c r="Y22" s="104">
        <f>COS_RR!Z52</f>
        <v>0</v>
      </c>
      <c r="Z22" s="2848">
        <f>COS_RR!AA52</f>
        <v>0</v>
      </c>
      <c r="AA22" s="104">
        <f>COS_RR!AB52</f>
        <v>0</v>
      </c>
      <c r="AB22" s="2932"/>
      <c r="AC22" s="87"/>
      <c r="AD22" s="87"/>
    </row>
    <row r="23" spans="1:30">
      <c r="A23" s="411"/>
      <c r="B23" s="51"/>
      <c r="C23" s="2839">
        <f>IF(ISBLANK($E23),"",+MAX(C$12:C22)+1)</f>
        <v>10</v>
      </c>
      <c r="D23" s="2869">
        <f>'O&amp;M_Summ'!D13</f>
        <v>555020</v>
      </c>
      <c r="E23" s="2688" t="str">
        <f>'O&amp;M_Summ'!E13</f>
        <v>PURC POWER, PR - REASONABLE PORTION</v>
      </c>
      <c r="F23" s="2874">
        <f>COS_RR!F53</f>
        <v>1</v>
      </c>
      <c r="G23" s="2661">
        <f>COS_RR!G53</f>
        <v>-764.03775527885557</v>
      </c>
      <c r="H23" s="2871" t="str">
        <f>COS_RR!H53</f>
        <v>Power - Capacity</v>
      </c>
      <c r="I23" s="2694">
        <f>COS_RR!J53</f>
        <v>0</v>
      </c>
      <c r="J23" s="2694">
        <f>COS_RR!K53</f>
        <v>-764</v>
      </c>
      <c r="K23" s="2694">
        <f>COS_RR!L53</f>
        <v>0</v>
      </c>
      <c r="L23" s="2694">
        <f>COS_RR!M53</f>
        <v>0</v>
      </c>
      <c r="M23" s="2694">
        <f>COS_RR!N53</f>
        <v>0</v>
      </c>
      <c r="N23" s="2694">
        <f>COS_RR!O53</f>
        <v>0</v>
      </c>
      <c r="O23" s="2694">
        <f>COS_RR!P53</f>
        <v>0</v>
      </c>
      <c r="P23" s="2694">
        <f>COS_RR!Q53</f>
        <v>0</v>
      </c>
      <c r="Q23" s="2694">
        <f>COS_RR!R53</f>
        <v>0</v>
      </c>
      <c r="R23" s="2694">
        <f>COS_RR!S53</f>
        <v>0</v>
      </c>
      <c r="S23" s="2694">
        <f>COS_RR!T53</f>
        <v>0</v>
      </c>
      <c r="T23" s="2694">
        <f>COS_RR!U53</f>
        <v>0</v>
      </c>
      <c r="U23" s="2694">
        <f>COS_RR!V53</f>
        <v>0</v>
      </c>
      <c r="V23" s="2694">
        <f>COS_RR!W53</f>
        <v>0</v>
      </c>
      <c r="W23" s="2694">
        <f>COS_RR!X53</f>
        <v>0</v>
      </c>
      <c r="X23" s="2694">
        <f>COS_RR!Y53</f>
        <v>0</v>
      </c>
      <c r="Y23" s="2694">
        <f>COS_RR!Z53</f>
        <v>0</v>
      </c>
      <c r="Z23" s="2872">
        <f>COS_RR!AA53</f>
        <v>0</v>
      </c>
      <c r="AA23" s="104">
        <f>COS_RR!AB53</f>
        <v>0</v>
      </c>
      <c r="AB23" s="2932"/>
      <c r="AC23" s="87"/>
      <c r="AD23" s="87"/>
    </row>
    <row r="24" spans="1:30">
      <c r="A24" s="411"/>
      <c r="B24"/>
      <c r="C24" s="2846">
        <f>IF(ISBLANK($E24),"",+MAX(C$12:C23)+1)</f>
        <v>11</v>
      </c>
      <c r="D24" s="495">
        <f>'O&amp;M_Summ'!D14</f>
        <v>555025</v>
      </c>
      <c r="E24" s="2857" t="str">
        <f>'O&amp;M_Summ'!E14</f>
        <v>MEANINGFUL PRIORITY STEP UP</v>
      </c>
      <c r="F24" s="2861">
        <f>COS_RR!F54</f>
        <v>0</v>
      </c>
      <c r="G24" s="493">
        <f>COS_RR!G54</f>
        <v>0</v>
      </c>
      <c r="H24" s="2860" t="str">
        <f>COS_RR!H54</f>
        <v>Energy</v>
      </c>
      <c r="I24" s="104">
        <f>COS_RR!J54</f>
        <v>0</v>
      </c>
      <c r="J24" s="104">
        <f>COS_RR!K54</f>
        <v>0</v>
      </c>
      <c r="K24" s="104">
        <f>COS_RR!L54</f>
        <v>0</v>
      </c>
      <c r="L24" s="104">
        <f>COS_RR!M54</f>
        <v>0</v>
      </c>
      <c r="M24" s="104">
        <f>COS_RR!N54</f>
        <v>0</v>
      </c>
      <c r="N24" s="104">
        <f>COS_RR!O54</f>
        <v>0</v>
      </c>
      <c r="O24" s="104">
        <f>COS_RR!P54</f>
        <v>0</v>
      </c>
      <c r="P24" s="104">
        <f>COS_RR!Q54</f>
        <v>0</v>
      </c>
      <c r="Q24" s="104">
        <f>COS_RR!R54</f>
        <v>0</v>
      </c>
      <c r="R24" s="104">
        <f>COS_RR!S54</f>
        <v>0</v>
      </c>
      <c r="S24" s="104">
        <f>COS_RR!T54</f>
        <v>0</v>
      </c>
      <c r="T24" s="104">
        <f>COS_RR!U54</f>
        <v>0</v>
      </c>
      <c r="U24" s="104">
        <f>COS_RR!V54</f>
        <v>0</v>
      </c>
      <c r="V24" s="104">
        <f>COS_RR!W54</f>
        <v>0</v>
      </c>
      <c r="W24" s="104">
        <f>COS_RR!X54</f>
        <v>0</v>
      </c>
      <c r="X24" s="104">
        <f>COS_RR!Y54</f>
        <v>0</v>
      </c>
      <c r="Y24" s="104">
        <f>COS_RR!Z54</f>
        <v>0</v>
      </c>
      <c r="Z24" s="2848">
        <f>COS_RR!AA54</f>
        <v>0</v>
      </c>
      <c r="AA24" s="104">
        <f>COS_RR!AB54</f>
        <v>0</v>
      </c>
      <c r="AB24" s="2932"/>
      <c r="AC24" s="87"/>
      <c r="AD24" s="87"/>
    </row>
    <row r="25" spans="1:30">
      <c r="A25" s="411"/>
      <c r="B25" s="51"/>
      <c r="C25" s="2839">
        <f>IF(ISBLANK($E25),"",+MAX(C$12:C24)+1)</f>
        <v>12</v>
      </c>
      <c r="D25" s="2869">
        <f>'O&amp;M_Summ'!D14</f>
        <v>555025</v>
      </c>
      <c r="E25" s="2688" t="str">
        <f>'O&amp;M_Summ'!E14</f>
        <v>MEANINGFUL PRIORITY STEP UP</v>
      </c>
      <c r="F25" s="2874">
        <f>COS_RR!F55</f>
        <v>1</v>
      </c>
      <c r="G25" s="2661">
        <f>COS_RR!G55</f>
        <v>0</v>
      </c>
      <c r="H25" s="2871" t="str">
        <f>COS_RR!H55</f>
        <v>Power - Capacity</v>
      </c>
      <c r="I25" s="2694">
        <f>COS_RR!J55</f>
        <v>0</v>
      </c>
      <c r="J25" s="2694">
        <f>COS_RR!K55</f>
        <v>0</v>
      </c>
      <c r="K25" s="2694">
        <f>COS_RR!L55</f>
        <v>0</v>
      </c>
      <c r="L25" s="2694">
        <f>COS_RR!M55</f>
        <v>0</v>
      </c>
      <c r="M25" s="2694">
        <f>COS_RR!N55</f>
        <v>0</v>
      </c>
      <c r="N25" s="2694">
        <f>COS_RR!O55</f>
        <v>0</v>
      </c>
      <c r="O25" s="2694">
        <f>COS_RR!P55</f>
        <v>0</v>
      </c>
      <c r="P25" s="2694">
        <f>COS_RR!Q55</f>
        <v>0</v>
      </c>
      <c r="Q25" s="2694">
        <f>COS_RR!R55</f>
        <v>0</v>
      </c>
      <c r="R25" s="2694">
        <f>COS_RR!S55</f>
        <v>0</v>
      </c>
      <c r="S25" s="2694">
        <f>COS_RR!T55</f>
        <v>0</v>
      </c>
      <c r="T25" s="2694">
        <f>COS_RR!U55</f>
        <v>0</v>
      </c>
      <c r="U25" s="2694">
        <f>COS_RR!V55</f>
        <v>0</v>
      </c>
      <c r="V25" s="2694">
        <f>COS_RR!W55</f>
        <v>0</v>
      </c>
      <c r="W25" s="2694">
        <f>COS_RR!X55</f>
        <v>0</v>
      </c>
      <c r="X25" s="2694">
        <f>COS_RR!Y55</f>
        <v>0</v>
      </c>
      <c r="Y25" s="2694">
        <f>COS_RR!Z55</f>
        <v>0</v>
      </c>
      <c r="Z25" s="2872">
        <f>COS_RR!AA55</f>
        <v>0</v>
      </c>
      <c r="AA25" s="104">
        <f>COS_RR!AB55</f>
        <v>0</v>
      </c>
      <c r="AB25" s="2932"/>
      <c r="AC25" s="87"/>
      <c r="AD25" s="87"/>
    </row>
    <row r="26" spans="1:30">
      <c r="A26" s="411"/>
      <c r="B26"/>
      <c r="C26" s="2846">
        <f>IF(ISBLANK($E26),"",+MAX(C$12:C25)+1)</f>
        <v>13</v>
      </c>
      <c r="D26" s="495">
        <f>'O&amp;M_Summ'!D15</f>
        <v>555030</v>
      </c>
      <c r="E26" s="2857" t="str">
        <f>'O&amp;M_Summ'!E15</f>
        <v>PURC POWER, WAN</v>
      </c>
      <c r="F26" s="2861">
        <f>COS_RR!F56</f>
        <v>0</v>
      </c>
      <c r="G26" s="493">
        <f>COS_RR!G56</f>
        <v>0</v>
      </c>
      <c r="H26" s="2860" t="str">
        <f>COS_RR!H56</f>
        <v>Energy</v>
      </c>
      <c r="I26" s="104">
        <f>COS_RR!J56</f>
        <v>0</v>
      </c>
      <c r="J26" s="104">
        <f>COS_RR!K56</f>
        <v>0</v>
      </c>
      <c r="K26" s="104">
        <f>COS_RR!L56</f>
        <v>0</v>
      </c>
      <c r="L26" s="104">
        <f>COS_RR!M56</f>
        <v>0</v>
      </c>
      <c r="M26" s="104">
        <f>COS_RR!N56</f>
        <v>0</v>
      </c>
      <c r="N26" s="104">
        <f>COS_RR!O56</f>
        <v>0</v>
      </c>
      <c r="O26" s="104">
        <f>COS_RR!P56</f>
        <v>0</v>
      </c>
      <c r="P26" s="104">
        <f>COS_RR!Q56</f>
        <v>0</v>
      </c>
      <c r="Q26" s="104">
        <f>COS_RR!R56</f>
        <v>0</v>
      </c>
      <c r="R26" s="104">
        <f>COS_RR!S56</f>
        <v>0</v>
      </c>
      <c r="S26" s="104">
        <f>COS_RR!T56</f>
        <v>0</v>
      </c>
      <c r="T26" s="104">
        <f>COS_RR!U56</f>
        <v>0</v>
      </c>
      <c r="U26" s="104">
        <f>COS_RR!V56</f>
        <v>0</v>
      </c>
      <c r="V26" s="104">
        <f>COS_RR!W56</f>
        <v>0</v>
      </c>
      <c r="W26" s="104">
        <f>COS_RR!X56</f>
        <v>0</v>
      </c>
      <c r="X26" s="104">
        <f>COS_RR!Y56</f>
        <v>0</v>
      </c>
      <c r="Y26" s="104">
        <f>COS_RR!Z56</f>
        <v>0</v>
      </c>
      <c r="Z26" s="2848">
        <f>COS_RR!AA56</f>
        <v>0</v>
      </c>
      <c r="AA26" s="104">
        <f>COS_RR!AB56</f>
        <v>0</v>
      </c>
      <c r="AB26" s="2932"/>
      <c r="AC26" s="87"/>
      <c r="AD26" s="87"/>
    </row>
    <row r="27" spans="1:30">
      <c r="A27" s="411"/>
      <c r="B27" s="51"/>
      <c r="C27" s="2839">
        <f>IF(ISBLANK($E27),"",+MAX(C$12:C26)+1)</f>
        <v>14</v>
      </c>
      <c r="D27" s="2869">
        <f>'O&amp;M_Summ'!D15</f>
        <v>555030</v>
      </c>
      <c r="E27" s="2688" t="str">
        <f>'O&amp;M_Summ'!E15</f>
        <v>PURC POWER, WAN</v>
      </c>
      <c r="F27" s="2874">
        <f>COS_RR!F57</f>
        <v>1</v>
      </c>
      <c r="G27" s="2661">
        <f>COS_RR!G57</f>
        <v>0</v>
      </c>
      <c r="H27" s="2871" t="str">
        <f>COS_RR!H57</f>
        <v>Power - Capacity</v>
      </c>
      <c r="I27" s="2694">
        <f>COS_RR!J57</f>
        <v>0</v>
      </c>
      <c r="J27" s="2694">
        <f>COS_RR!K57</f>
        <v>0</v>
      </c>
      <c r="K27" s="2694">
        <f>COS_RR!L57</f>
        <v>0</v>
      </c>
      <c r="L27" s="2694">
        <f>COS_RR!M57</f>
        <v>0</v>
      </c>
      <c r="M27" s="2694">
        <f>COS_RR!N57</f>
        <v>0</v>
      </c>
      <c r="N27" s="2694">
        <f>COS_RR!O57</f>
        <v>0</v>
      </c>
      <c r="O27" s="2694">
        <f>COS_RR!P57</f>
        <v>0</v>
      </c>
      <c r="P27" s="2694">
        <f>COS_RR!Q57</f>
        <v>0</v>
      </c>
      <c r="Q27" s="2694">
        <f>COS_RR!R57</f>
        <v>0</v>
      </c>
      <c r="R27" s="2694">
        <f>COS_RR!S57</f>
        <v>0</v>
      </c>
      <c r="S27" s="2694">
        <f>COS_RR!T57</f>
        <v>0</v>
      </c>
      <c r="T27" s="2694">
        <f>COS_RR!U57</f>
        <v>0</v>
      </c>
      <c r="U27" s="2694">
        <f>COS_RR!V57</f>
        <v>0</v>
      </c>
      <c r="V27" s="2694">
        <f>COS_RR!W57</f>
        <v>0</v>
      </c>
      <c r="W27" s="2694">
        <f>COS_RR!X57</f>
        <v>0</v>
      </c>
      <c r="X27" s="2694">
        <f>COS_RR!Y57</f>
        <v>0</v>
      </c>
      <c r="Y27" s="2694">
        <f>COS_RR!Z57</f>
        <v>0</v>
      </c>
      <c r="Z27" s="2872">
        <f>COS_RR!AA57</f>
        <v>0</v>
      </c>
      <c r="AA27" s="104">
        <f>COS_RR!AB57</f>
        <v>0</v>
      </c>
      <c r="AB27" s="2932"/>
      <c r="AC27" s="87"/>
      <c r="AD27" s="87"/>
    </row>
    <row r="28" spans="1:30">
      <c r="A28" s="411"/>
      <c r="B28"/>
      <c r="C28" s="2846">
        <f>IF(ISBLANK($E28),"",+MAX(C$12:C27)+1)</f>
        <v>15</v>
      </c>
      <c r="D28" s="495">
        <f>'O&amp;M_Summ'!D16</f>
        <v>555035</v>
      </c>
      <c r="E28" s="2857" t="str">
        <f>'O&amp;M_Summ'!E16</f>
        <v>DSC PRP ADJ TO POWER COST</v>
      </c>
      <c r="F28" s="2861">
        <f>COS_RR!F58</f>
        <v>0</v>
      </c>
      <c r="G28" s="493">
        <f>COS_RR!G58</f>
        <v>0</v>
      </c>
      <c r="H28" s="2860" t="str">
        <f>COS_RR!H58</f>
        <v>Energy</v>
      </c>
      <c r="I28" s="104">
        <f>COS_RR!J58</f>
        <v>0</v>
      </c>
      <c r="J28" s="104">
        <f>COS_RR!K58</f>
        <v>0</v>
      </c>
      <c r="K28" s="104">
        <f>COS_RR!L58</f>
        <v>0</v>
      </c>
      <c r="L28" s="104">
        <f>COS_RR!M58</f>
        <v>0</v>
      </c>
      <c r="M28" s="104">
        <f>COS_RR!N58</f>
        <v>0</v>
      </c>
      <c r="N28" s="104">
        <f>COS_RR!O58</f>
        <v>0</v>
      </c>
      <c r="O28" s="104">
        <f>COS_RR!P58</f>
        <v>0</v>
      </c>
      <c r="P28" s="104">
        <f>COS_RR!Q58</f>
        <v>0</v>
      </c>
      <c r="Q28" s="104">
        <f>COS_RR!R58</f>
        <v>0</v>
      </c>
      <c r="R28" s="104">
        <f>COS_RR!S58</f>
        <v>0</v>
      </c>
      <c r="S28" s="104">
        <f>COS_RR!T58</f>
        <v>0</v>
      </c>
      <c r="T28" s="104">
        <f>COS_RR!U58</f>
        <v>0</v>
      </c>
      <c r="U28" s="104">
        <f>COS_RR!V58</f>
        <v>0</v>
      </c>
      <c r="V28" s="104">
        <f>COS_RR!W58</f>
        <v>0</v>
      </c>
      <c r="W28" s="104">
        <f>COS_RR!X58</f>
        <v>0</v>
      </c>
      <c r="X28" s="104">
        <f>COS_RR!Y58</f>
        <v>0</v>
      </c>
      <c r="Y28" s="104">
        <f>COS_RR!Z58</f>
        <v>0</v>
      </c>
      <c r="Z28" s="2848">
        <f>COS_RR!AA58</f>
        <v>0</v>
      </c>
      <c r="AA28" s="104">
        <f>COS_RR!AB58</f>
        <v>0</v>
      </c>
      <c r="AB28" s="2932"/>
      <c r="AC28" s="87"/>
      <c r="AD28" s="87"/>
    </row>
    <row r="29" spans="1:30">
      <c r="A29" s="411"/>
      <c r="B29" s="51"/>
      <c r="C29" s="2839">
        <f>IF(ISBLANK($E29),"",+MAX(C$12:C28)+1)</f>
        <v>16</v>
      </c>
      <c r="D29" s="2869">
        <f>'O&amp;M_Summ'!D16</f>
        <v>555035</v>
      </c>
      <c r="E29" s="2688" t="str">
        <f>'O&amp;M_Summ'!E16</f>
        <v>DSC PRP ADJ TO POWER COST</v>
      </c>
      <c r="F29" s="2874">
        <f>COS_RR!F59</f>
        <v>1</v>
      </c>
      <c r="G29" s="2661">
        <f>COS_RR!G59</f>
        <v>0</v>
      </c>
      <c r="H29" s="2871" t="str">
        <f>COS_RR!H59</f>
        <v>Power - Capacity</v>
      </c>
      <c r="I29" s="2694">
        <f>COS_RR!J59</f>
        <v>0</v>
      </c>
      <c r="J29" s="2694">
        <f>COS_RR!K59</f>
        <v>0</v>
      </c>
      <c r="K29" s="2694">
        <f>COS_RR!L59</f>
        <v>0</v>
      </c>
      <c r="L29" s="2694">
        <f>COS_RR!M59</f>
        <v>0</v>
      </c>
      <c r="M29" s="2694">
        <f>COS_RR!N59</f>
        <v>0</v>
      </c>
      <c r="N29" s="2694">
        <f>COS_RR!O59</f>
        <v>0</v>
      </c>
      <c r="O29" s="2694">
        <f>COS_RR!P59</f>
        <v>0</v>
      </c>
      <c r="P29" s="2694">
        <f>COS_RR!Q59</f>
        <v>0</v>
      </c>
      <c r="Q29" s="2694">
        <f>COS_RR!R59</f>
        <v>0</v>
      </c>
      <c r="R29" s="2694">
        <f>COS_RR!S59</f>
        <v>0</v>
      </c>
      <c r="S29" s="2694">
        <f>COS_RR!T59</f>
        <v>0</v>
      </c>
      <c r="T29" s="2694">
        <f>COS_RR!U59</f>
        <v>0</v>
      </c>
      <c r="U29" s="2694">
        <f>COS_RR!V59</f>
        <v>0</v>
      </c>
      <c r="V29" s="2694">
        <f>COS_RR!W59</f>
        <v>0</v>
      </c>
      <c r="W29" s="2694">
        <f>COS_RR!X59</f>
        <v>0</v>
      </c>
      <c r="X29" s="2694">
        <f>COS_RR!Y59</f>
        <v>0</v>
      </c>
      <c r="Y29" s="2694">
        <f>COS_RR!Z59</f>
        <v>0</v>
      </c>
      <c r="Z29" s="2872">
        <f>COS_RR!AA59</f>
        <v>0</v>
      </c>
      <c r="AA29" s="104">
        <f>COS_RR!AB59</f>
        <v>0</v>
      </c>
      <c r="AB29" s="2932"/>
      <c r="AC29" s="87"/>
      <c r="AD29" s="87"/>
    </row>
    <row r="30" spans="1:30">
      <c r="A30" s="411"/>
      <c r="B30"/>
      <c r="C30" s="2846">
        <f>IF(ISBLANK($E30),"",+MAX(C$12:C29)+1)</f>
        <v>17</v>
      </c>
      <c r="D30" s="495">
        <f>'O&amp;M_Summ'!D17</f>
        <v>555070</v>
      </c>
      <c r="E30" s="2857" t="str">
        <f>'O&amp;M_Summ'!E17</f>
        <v>PURCHASED POWER-MARKET</v>
      </c>
      <c r="F30" s="2861">
        <f>COS_RR!F60</f>
        <v>0.15</v>
      </c>
      <c r="G30" s="493">
        <f>COS_RR!G60</f>
        <v>21332420.933054905</v>
      </c>
      <c r="H30" s="2860" t="str">
        <f>COS_RR!H60</f>
        <v>Energy</v>
      </c>
      <c r="I30" s="104">
        <f>COS_RR!J60</f>
        <v>21332421</v>
      </c>
      <c r="J30" s="104">
        <f>COS_RR!K60</f>
        <v>0</v>
      </c>
      <c r="K30" s="104">
        <f>COS_RR!L60</f>
        <v>0</v>
      </c>
      <c r="L30" s="104">
        <f>COS_RR!M60</f>
        <v>0</v>
      </c>
      <c r="M30" s="104">
        <f>COS_RR!N60</f>
        <v>0</v>
      </c>
      <c r="N30" s="104">
        <f>COS_RR!O60</f>
        <v>0</v>
      </c>
      <c r="O30" s="104">
        <f>COS_RR!P60</f>
        <v>0</v>
      </c>
      <c r="P30" s="104">
        <f>COS_RR!Q60</f>
        <v>0</v>
      </c>
      <c r="Q30" s="104">
        <f>COS_RR!R60</f>
        <v>0</v>
      </c>
      <c r="R30" s="104">
        <f>COS_RR!S60</f>
        <v>0</v>
      </c>
      <c r="S30" s="104">
        <f>COS_RR!T60</f>
        <v>0</v>
      </c>
      <c r="T30" s="104">
        <f>COS_RR!U60</f>
        <v>0</v>
      </c>
      <c r="U30" s="104">
        <f>COS_RR!V60</f>
        <v>0</v>
      </c>
      <c r="V30" s="104">
        <f>COS_RR!W60</f>
        <v>0</v>
      </c>
      <c r="W30" s="104">
        <f>COS_RR!X60</f>
        <v>0</v>
      </c>
      <c r="X30" s="104">
        <f>COS_RR!Y60</f>
        <v>0</v>
      </c>
      <c r="Y30" s="104">
        <f>COS_RR!Z60</f>
        <v>0</v>
      </c>
      <c r="Z30" s="2848">
        <f>COS_RR!AA60</f>
        <v>0</v>
      </c>
      <c r="AA30" s="104">
        <f>COS_RR!AB60</f>
        <v>0</v>
      </c>
      <c r="AB30" s="2932"/>
      <c r="AC30" s="87"/>
      <c r="AD30" s="87"/>
    </row>
    <row r="31" spans="1:30">
      <c r="A31" s="411"/>
      <c r="B31" s="51"/>
      <c r="C31" s="2839">
        <f>IF(ISBLANK($E31),"",+MAX(C$12:C30)+1)</f>
        <v>18</v>
      </c>
      <c r="D31" s="2869">
        <f>'O&amp;M_Summ'!D17</f>
        <v>555070</v>
      </c>
      <c r="E31" s="2688" t="str">
        <f>'O&amp;M_Summ'!E17</f>
        <v>PURCHASED POWER-MARKET</v>
      </c>
      <c r="F31" s="2874">
        <f>COS_RR!F61</f>
        <v>0.85</v>
      </c>
      <c r="G31" s="2661">
        <f>COS_RR!G61</f>
        <v>120883718.62064447</v>
      </c>
      <c r="H31" s="2871" t="str">
        <f>COS_RR!H61</f>
        <v>Power - Capacity</v>
      </c>
      <c r="I31" s="2694">
        <f>COS_RR!J61</f>
        <v>0</v>
      </c>
      <c r="J31" s="2694">
        <f>COS_RR!K61</f>
        <v>120883719</v>
      </c>
      <c r="K31" s="2694">
        <f>COS_RR!L61</f>
        <v>0</v>
      </c>
      <c r="L31" s="2694">
        <f>COS_RR!M61</f>
        <v>0</v>
      </c>
      <c r="M31" s="2694">
        <f>COS_RR!N61</f>
        <v>0</v>
      </c>
      <c r="N31" s="2694">
        <f>COS_RR!O61</f>
        <v>0</v>
      </c>
      <c r="O31" s="2694">
        <f>COS_RR!P61</f>
        <v>0</v>
      </c>
      <c r="P31" s="2694">
        <f>COS_RR!Q61</f>
        <v>0</v>
      </c>
      <c r="Q31" s="2694">
        <f>COS_RR!R61</f>
        <v>0</v>
      </c>
      <c r="R31" s="2694">
        <f>COS_RR!S61</f>
        <v>0</v>
      </c>
      <c r="S31" s="2694">
        <f>COS_RR!T61</f>
        <v>0</v>
      </c>
      <c r="T31" s="2694">
        <f>COS_RR!U61</f>
        <v>0</v>
      </c>
      <c r="U31" s="2694">
        <f>COS_RR!V61</f>
        <v>0</v>
      </c>
      <c r="V31" s="2694">
        <f>COS_RR!W61</f>
        <v>0</v>
      </c>
      <c r="W31" s="2694">
        <f>COS_RR!X61</f>
        <v>0</v>
      </c>
      <c r="X31" s="2694">
        <f>COS_RR!Y61</f>
        <v>0</v>
      </c>
      <c r="Y31" s="2694">
        <f>COS_RR!Z61</f>
        <v>0</v>
      </c>
      <c r="Z31" s="2872">
        <f>COS_RR!AA61</f>
        <v>0</v>
      </c>
      <c r="AA31" s="104">
        <f>COS_RR!AB61</f>
        <v>0</v>
      </c>
      <c r="AB31" s="2932"/>
      <c r="AC31" s="87"/>
      <c r="AD31" s="87"/>
    </row>
    <row r="32" spans="1:30">
      <c r="A32" s="411"/>
      <c r="B32"/>
      <c r="C32" s="2846">
        <f>IF(ISBLANK($E32),"",+MAX(C$12:C31)+1)</f>
        <v>19</v>
      </c>
      <c r="D32" s="495">
        <f>'O&amp;M_Summ'!D18</f>
        <v>555500</v>
      </c>
      <c r="E32" s="2857" t="str">
        <f>'O&amp;M_Summ'!E18</f>
        <v>PURC POWER, QC</v>
      </c>
      <c r="F32" s="2857"/>
      <c r="G32" s="493">
        <f>COS_RR!G62</f>
        <v>446232.42886960175</v>
      </c>
      <c r="H32" s="2860" t="str">
        <f>COS_RR!H62</f>
        <v>Power - Capacity</v>
      </c>
      <c r="I32" s="104">
        <f>COS_RR!J62</f>
        <v>0</v>
      </c>
      <c r="J32" s="104">
        <f>COS_RR!K62</f>
        <v>446232</v>
      </c>
      <c r="K32" s="104">
        <f>COS_RR!L62</f>
        <v>0</v>
      </c>
      <c r="L32" s="104">
        <f>COS_RR!M62</f>
        <v>0</v>
      </c>
      <c r="M32" s="104">
        <f>COS_RR!N62</f>
        <v>0</v>
      </c>
      <c r="N32" s="104">
        <f>COS_RR!O62</f>
        <v>0</v>
      </c>
      <c r="O32" s="104">
        <f>COS_RR!P62</f>
        <v>0</v>
      </c>
      <c r="P32" s="104">
        <f>COS_RR!Q62</f>
        <v>0</v>
      </c>
      <c r="Q32" s="104">
        <f>COS_RR!R62</f>
        <v>0</v>
      </c>
      <c r="R32" s="104">
        <f>COS_RR!S62</f>
        <v>0</v>
      </c>
      <c r="S32" s="104">
        <f>COS_RR!T62</f>
        <v>0</v>
      </c>
      <c r="T32" s="104">
        <f>COS_RR!U62</f>
        <v>0</v>
      </c>
      <c r="U32" s="104">
        <f>COS_RR!V62</f>
        <v>0</v>
      </c>
      <c r="V32" s="104">
        <f>COS_RR!W62</f>
        <v>0</v>
      </c>
      <c r="W32" s="104">
        <f>COS_RR!X62</f>
        <v>0</v>
      </c>
      <c r="X32" s="104">
        <f>COS_RR!Y62</f>
        <v>0</v>
      </c>
      <c r="Y32" s="104">
        <f>COS_RR!Z62</f>
        <v>0</v>
      </c>
      <c r="Z32" s="2848">
        <f>COS_RR!AA62</f>
        <v>0</v>
      </c>
      <c r="AA32" s="104">
        <f>COS_RR!AB62</f>
        <v>0</v>
      </c>
      <c r="AB32" s="2932"/>
      <c r="AC32" s="87"/>
      <c r="AD32" s="87"/>
    </row>
    <row r="33" spans="1:30">
      <c r="A33" s="411"/>
      <c r="B33" s="51"/>
      <c r="C33" s="2839">
        <f>IF(ISBLANK($E33),"",+MAX(C$12:C32)+1)</f>
        <v>20</v>
      </c>
      <c r="D33" s="2869">
        <f>'O&amp;M_Summ'!D19</f>
        <v>555666</v>
      </c>
      <c r="E33" s="2688" t="str">
        <f>'O&amp;M_Summ'!E19</f>
        <v>NET BOOKOUTS - PURCHASE</v>
      </c>
      <c r="F33" s="2688"/>
      <c r="G33" s="2661">
        <f>COS_RR!G63</f>
        <v>0</v>
      </c>
      <c r="H33" s="2871" t="str">
        <f>COS_RR!H63</f>
        <v>Energy</v>
      </c>
      <c r="I33" s="2694">
        <f>COS_RR!J63</f>
        <v>0</v>
      </c>
      <c r="J33" s="2694">
        <f>COS_RR!K63</f>
        <v>0</v>
      </c>
      <c r="K33" s="2694">
        <f>COS_RR!L63</f>
        <v>0</v>
      </c>
      <c r="L33" s="2694">
        <f>COS_RR!M63</f>
        <v>0</v>
      </c>
      <c r="M33" s="2694">
        <f>COS_RR!N63</f>
        <v>0</v>
      </c>
      <c r="N33" s="2694">
        <f>COS_RR!O63</f>
        <v>0</v>
      </c>
      <c r="O33" s="2694">
        <f>COS_RR!P63</f>
        <v>0</v>
      </c>
      <c r="P33" s="2694">
        <f>COS_RR!Q63</f>
        <v>0</v>
      </c>
      <c r="Q33" s="2694">
        <f>COS_RR!R63</f>
        <v>0</v>
      </c>
      <c r="R33" s="2694">
        <f>COS_RR!S63</f>
        <v>0</v>
      </c>
      <c r="S33" s="2694">
        <f>COS_RR!T63</f>
        <v>0</v>
      </c>
      <c r="T33" s="2694">
        <f>COS_RR!U63</f>
        <v>0</v>
      </c>
      <c r="U33" s="2694">
        <f>COS_RR!V63</f>
        <v>0</v>
      </c>
      <c r="V33" s="2694">
        <f>COS_RR!W63</f>
        <v>0</v>
      </c>
      <c r="W33" s="2694">
        <f>COS_RR!X63</f>
        <v>0</v>
      </c>
      <c r="X33" s="2694">
        <f>COS_RR!Y63</f>
        <v>0</v>
      </c>
      <c r="Y33" s="2694">
        <f>COS_RR!Z63</f>
        <v>0</v>
      </c>
      <c r="Z33" s="2872">
        <f>COS_RR!AA63</f>
        <v>0</v>
      </c>
      <c r="AA33" s="104">
        <f>COS_RR!AB63</f>
        <v>0</v>
      </c>
      <c r="AB33" s="2932"/>
      <c r="AC33" s="87"/>
      <c r="AD33" s="87"/>
    </row>
    <row r="34" spans="1:30">
      <c r="A34" s="411"/>
      <c r="B34"/>
      <c r="C34" s="2846">
        <f>IF(ISBLANK($E34),"",+MAX(C$12:C33)+1)</f>
        <v>21</v>
      </c>
      <c r="D34" s="495">
        <f>'O&amp;M_Summ'!D20</f>
        <v>555900</v>
      </c>
      <c r="E34" s="2857" t="str">
        <f>'O&amp;M_Summ'!E20</f>
        <v>POWER PURCHASES, 9 CANYON</v>
      </c>
      <c r="F34" s="2857"/>
      <c r="G34" s="493">
        <f>COS_RR!G64</f>
        <v>933183.36930000002</v>
      </c>
      <c r="H34" s="2860" t="str">
        <f>COS_RR!H64</f>
        <v>Power - Capacity</v>
      </c>
      <c r="I34" s="104">
        <f>COS_RR!J64</f>
        <v>0</v>
      </c>
      <c r="J34" s="104">
        <f>COS_RR!K64</f>
        <v>933183</v>
      </c>
      <c r="K34" s="104">
        <f>COS_RR!L64</f>
        <v>0</v>
      </c>
      <c r="L34" s="104">
        <f>COS_RR!M64</f>
        <v>0</v>
      </c>
      <c r="M34" s="104">
        <f>COS_RR!N64</f>
        <v>0</v>
      </c>
      <c r="N34" s="104">
        <f>COS_RR!O64</f>
        <v>0</v>
      </c>
      <c r="O34" s="104">
        <f>COS_RR!P64</f>
        <v>0</v>
      </c>
      <c r="P34" s="104">
        <f>COS_RR!Q64</f>
        <v>0</v>
      </c>
      <c r="Q34" s="104">
        <f>COS_RR!R64</f>
        <v>0</v>
      </c>
      <c r="R34" s="104">
        <f>COS_RR!S64</f>
        <v>0</v>
      </c>
      <c r="S34" s="104">
        <f>COS_RR!T64</f>
        <v>0</v>
      </c>
      <c r="T34" s="104">
        <f>COS_RR!U64</f>
        <v>0</v>
      </c>
      <c r="U34" s="104">
        <f>COS_RR!V64</f>
        <v>0</v>
      </c>
      <c r="V34" s="104">
        <f>COS_RR!W64</f>
        <v>0</v>
      </c>
      <c r="W34" s="104">
        <f>COS_RR!X64</f>
        <v>0</v>
      </c>
      <c r="X34" s="104">
        <f>COS_RR!Y64</f>
        <v>0</v>
      </c>
      <c r="Y34" s="104">
        <f>COS_RR!Z64</f>
        <v>0</v>
      </c>
      <c r="Z34" s="2848">
        <f>COS_RR!AA64</f>
        <v>0</v>
      </c>
      <c r="AA34" s="104">
        <f>COS_RR!AB64</f>
        <v>0</v>
      </c>
      <c r="AB34" s="2932"/>
      <c r="AC34" s="87"/>
      <c r="AD34" s="87"/>
    </row>
    <row r="35" spans="1:30">
      <c r="A35" s="411"/>
      <c r="B35" s="51"/>
      <c r="C35" s="2839">
        <f>IF(ISBLANK($E35),"",+MAX(C$12:C34)+1)</f>
        <v>22</v>
      </c>
      <c r="D35" s="2869">
        <f>'O&amp;M_Summ'!D21</f>
        <v>555999</v>
      </c>
      <c r="E35" s="2688" t="str">
        <f>'O&amp;M_Summ'!E21</f>
        <v>POWER PURCHASES, OTHER</v>
      </c>
      <c r="F35" s="2688"/>
      <c r="G35" s="2661">
        <f>COS_RR!G65</f>
        <v>0</v>
      </c>
      <c r="H35" s="2871" t="str">
        <f>COS_RR!H65</f>
        <v>Energy</v>
      </c>
      <c r="I35" s="2694">
        <f>COS_RR!J65</f>
        <v>0</v>
      </c>
      <c r="J35" s="2694">
        <f>COS_RR!K65</f>
        <v>0</v>
      </c>
      <c r="K35" s="2694">
        <f>COS_RR!L65</f>
        <v>0</v>
      </c>
      <c r="L35" s="2694">
        <f>COS_RR!M65</f>
        <v>0</v>
      </c>
      <c r="M35" s="2694">
        <f>COS_RR!N65</f>
        <v>0</v>
      </c>
      <c r="N35" s="2694">
        <f>COS_RR!O65</f>
        <v>0</v>
      </c>
      <c r="O35" s="2694">
        <f>COS_RR!P65</f>
        <v>0</v>
      </c>
      <c r="P35" s="2694">
        <f>COS_RR!Q65</f>
        <v>0</v>
      </c>
      <c r="Q35" s="2694">
        <f>COS_RR!R65</f>
        <v>0</v>
      </c>
      <c r="R35" s="2694">
        <f>COS_RR!S65</f>
        <v>0</v>
      </c>
      <c r="S35" s="2694">
        <f>COS_RR!T65</f>
        <v>0</v>
      </c>
      <c r="T35" s="2694">
        <f>COS_RR!U65</f>
        <v>0</v>
      </c>
      <c r="U35" s="2694">
        <f>COS_RR!V65</f>
        <v>0</v>
      </c>
      <c r="V35" s="2694">
        <f>COS_RR!W65</f>
        <v>0</v>
      </c>
      <c r="W35" s="2694">
        <f>COS_RR!X65</f>
        <v>0</v>
      </c>
      <c r="X35" s="2694">
        <f>COS_RR!Y65</f>
        <v>0</v>
      </c>
      <c r="Y35" s="2694">
        <f>COS_RR!Z65</f>
        <v>0</v>
      </c>
      <c r="Z35" s="2872">
        <f>COS_RR!AA65</f>
        <v>0</v>
      </c>
      <c r="AA35" s="104">
        <f>COS_RR!AB65</f>
        <v>0</v>
      </c>
      <c r="AB35" s="2932"/>
      <c r="AC35" s="87"/>
      <c r="AD35" s="87"/>
    </row>
    <row r="36" spans="1:30" ht="16.5" thickBot="1">
      <c r="A36" s="411"/>
      <c r="B36"/>
      <c r="C36" s="2846">
        <f>IF(ISBLANK($E36),"",+MAX(C$12:C35)+1)</f>
        <v>23</v>
      </c>
      <c r="D36" s="495">
        <f>'O&amp;M_Summ'!D22</f>
        <v>557050</v>
      </c>
      <c r="E36" s="2857" t="str">
        <f>'O&amp;M_Summ'!E22</f>
        <v>OTH PWR EXP-MISC</v>
      </c>
      <c r="F36" s="2857"/>
      <c r="G36" s="493">
        <f>COS_RR!G66</f>
        <v>0</v>
      </c>
      <c r="H36" s="2862" t="str">
        <f>COS_RR!H66</f>
        <v>Energy</v>
      </c>
      <c r="I36" s="104">
        <f>COS_RR!J66</f>
        <v>0</v>
      </c>
      <c r="J36" s="104">
        <f>COS_RR!K66</f>
        <v>0</v>
      </c>
      <c r="K36" s="104">
        <f>COS_RR!L66</f>
        <v>0</v>
      </c>
      <c r="L36" s="104">
        <f>COS_RR!M66</f>
        <v>0</v>
      </c>
      <c r="M36" s="104">
        <f>COS_RR!N66</f>
        <v>0</v>
      </c>
      <c r="N36" s="104">
        <f>COS_RR!O66</f>
        <v>0</v>
      </c>
      <c r="O36" s="104">
        <f>COS_RR!P66</f>
        <v>0</v>
      </c>
      <c r="P36" s="104">
        <f>COS_RR!Q66</f>
        <v>0</v>
      </c>
      <c r="Q36" s="104">
        <f>COS_RR!R66</f>
        <v>0</v>
      </c>
      <c r="R36" s="104">
        <f>COS_RR!S66</f>
        <v>0</v>
      </c>
      <c r="S36" s="104">
        <f>COS_RR!T66</f>
        <v>0</v>
      </c>
      <c r="T36" s="104">
        <f>COS_RR!U66</f>
        <v>0</v>
      </c>
      <c r="U36" s="104">
        <f>COS_RR!V66</f>
        <v>0</v>
      </c>
      <c r="V36" s="104">
        <f>COS_RR!W66</f>
        <v>0</v>
      </c>
      <c r="W36" s="104">
        <f>COS_RR!X66</f>
        <v>0</v>
      </c>
      <c r="X36" s="104">
        <f>COS_RR!Y66</f>
        <v>0</v>
      </c>
      <c r="Y36" s="104">
        <f>COS_RR!Z66</f>
        <v>0</v>
      </c>
      <c r="Z36" s="2848">
        <f>COS_RR!AA66</f>
        <v>0</v>
      </c>
      <c r="AA36" s="104">
        <f>COS_RR!AB66</f>
        <v>0</v>
      </c>
      <c r="AB36" s="2932"/>
      <c r="AC36" s="87"/>
      <c r="AD36" s="87"/>
    </row>
    <row r="37" spans="1:30">
      <c r="A37" s="411"/>
      <c r="B37" s="51"/>
      <c r="C37" s="2839">
        <f>IF(ISBLANK($E37),"",+MAX(C$12:C36)+1)</f>
        <v>24</v>
      </c>
      <c r="D37" s="2688"/>
      <c r="E37" s="2875" t="str">
        <f>'O&amp;M_Summ'!E23</f>
        <v>Total Purchased Power</v>
      </c>
      <c r="F37" s="2875"/>
      <c r="G37" s="2876">
        <f>SUM(G16:G36)</f>
        <v>233090202.32355806</v>
      </c>
      <c r="H37" s="2877"/>
      <c r="I37" s="2876">
        <f t="shared" ref="I37:Z37" si="0">SUM(I16:I36)</f>
        <v>23379673</v>
      </c>
      <c r="J37" s="2876">
        <f t="shared" si="0"/>
        <v>209710529</v>
      </c>
      <c r="K37" s="2876">
        <f t="shared" si="0"/>
        <v>0</v>
      </c>
      <c r="L37" s="2876">
        <f t="shared" si="0"/>
        <v>0</v>
      </c>
      <c r="M37" s="2876">
        <f t="shared" si="0"/>
        <v>0</v>
      </c>
      <c r="N37" s="2876">
        <f t="shared" si="0"/>
        <v>0</v>
      </c>
      <c r="O37" s="2876">
        <f t="shared" si="0"/>
        <v>0</v>
      </c>
      <c r="P37" s="2876">
        <f t="shared" si="0"/>
        <v>0</v>
      </c>
      <c r="Q37" s="2876">
        <f t="shared" si="0"/>
        <v>0</v>
      </c>
      <c r="R37" s="2876">
        <f t="shared" si="0"/>
        <v>0</v>
      </c>
      <c r="S37" s="2876">
        <f t="shared" si="0"/>
        <v>0</v>
      </c>
      <c r="T37" s="2876">
        <f t="shared" si="0"/>
        <v>0</v>
      </c>
      <c r="U37" s="2876">
        <f t="shared" si="0"/>
        <v>0</v>
      </c>
      <c r="V37" s="2876">
        <f t="shared" si="0"/>
        <v>0</v>
      </c>
      <c r="W37" s="2876">
        <f t="shared" si="0"/>
        <v>0</v>
      </c>
      <c r="X37" s="2876">
        <f t="shared" si="0"/>
        <v>0</v>
      </c>
      <c r="Y37" s="2876">
        <f t="shared" si="0"/>
        <v>0</v>
      </c>
      <c r="Z37" s="2878">
        <f t="shared" si="0"/>
        <v>0</v>
      </c>
      <c r="AA37" s="216"/>
      <c r="AB37" s="2932"/>
      <c r="AC37" s="87"/>
      <c r="AD37" s="87"/>
    </row>
    <row r="38" spans="1:30">
      <c r="A38" s="411"/>
      <c r="B38"/>
      <c r="C38" s="2846" t="str">
        <f>IF(ISBLANK($E38),"",+MAX(C$12:C37)+1)</f>
        <v/>
      </c>
      <c r="D38" s="2857"/>
      <c r="E38" s="2857"/>
      <c r="F38" s="2857"/>
      <c r="G38" s="104"/>
      <c r="H38" s="495"/>
      <c r="I38" s="104"/>
      <c r="J38" s="104"/>
      <c r="K38" s="104"/>
      <c r="L38" s="104"/>
      <c r="M38" s="104"/>
      <c r="N38" s="104"/>
      <c r="O38" s="104"/>
      <c r="P38" s="104"/>
      <c r="Q38" s="104"/>
      <c r="R38" s="104"/>
      <c r="S38" s="104"/>
      <c r="T38" s="104"/>
      <c r="U38" s="104"/>
      <c r="V38" s="104"/>
      <c r="W38" s="104"/>
      <c r="X38" s="104"/>
      <c r="Y38" s="104"/>
      <c r="Z38" s="2848"/>
      <c r="AA38" s="104"/>
      <c r="AB38" s="2932"/>
      <c r="AC38" s="87"/>
      <c r="AD38" s="87"/>
    </row>
    <row r="39" spans="1:30" ht="16.5" thickBot="1">
      <c r="A39" s="411"/>
      <c r="B39" s="51"/>
      <c r="C39" s="2839">
        <f>IF(ISBLANK($E39),"",+MAX(C$12:C38)+1)</f>
        <v>25</v>
      </c>
      <c r="D39" s="2688"/>
      <c r="E39" s="2671" t="s">
        <v>753</v>
      </c>
      <c r="F39" s="2671"/>
      <c r="G39" s="2694"/>
      <c r="H39" s="2869"/>
      <c r="I39" s="2694"/>
      <c r="J39" s="2694"/>
      <c r="K39" s="2694"/>
      <c r="L39" s="2694"/>
      <c r="M39" s="2694"/>
      <c r="N39" s="2694"/>
      <c r="O39" s="2694"/>
      <c r="P39" s="2694"/>
      <c r="Q39" s="2694"/>
      <c r="R39" s="2694"/>
      <c r="S39" s="2694"/>
      <c r="T39" s="2694"/>
      <c r="U39" s="2694"/>
      <c r="V39" s="2694"/>
      <c r="W39" s="2694"/>
      <c r="X39" s="2694"/>
      <c r="Y39" s="2694"/>
      <c r="Z39" s="2872"/>
      <c r="AA39" s="104"/>
      <c r="AB39" s="2932"/>
      <c r="AC39" s="87"/>
      <c r="AD39" s="87"/>
    </row>
    <row r="40" spans="1:30">
      <c r="A40" s="411"/>
      <c r="B40"/>
      <c r="C40" s="2846">
        <f>IF(ISBLANK($E40),"",+MAX(C$12:C39)+1)</f>
        <v>26</v>
      </c>
      <c r="D40" s="2851">
        <f>'O&amp;M_Summ'!D26</f>
        <v>535500</v>
      </c>
      <c r="E40" s="2852" t="str">
        <f>'O&amp;M_Summ'!E26</f>
        <v>SUPV &amp; ENG, QC OPERATIONS</v>
      </c>
      <c r="F40" s="2857"/>
      <c r="G40" s="2858">
        <f>COS_RR!G70</f>
        <v>10471.09741946662</v>
      </c>
      <c r="H40" s="2859" t="str">
        <f>COS_RR!H70</f>
        <v>Power - Capacity</v>
      </c>
      <c r="I40" s="2858">
        <f>COS_RR!J70</f>
        <v>0</v>
      </c>
      <c r="J40" s="2858">
        <f>COS_RR!K70</f>
        <v>10471</v>
      </c>
      <c r="K40" s="2858">
        <f>COS_RR!L70</f>
        <v>0</v>
      </c>
      <c r="L40" s="2858">
        <f>COS_RR!M70</f>
        <v>0</v>
      </c>
      <c r="M40" s="2858">
        <f>COS_RR!N70</f>
        <v>0</v>
      </c>
      <c r="N40" s="2858">
        <f>COS_RR!O70</f>
        <v>0</v>
      </c>
      <c r="O40" s="2858">
        <f>COS_RR!P70</f>
        <v>0</v>
      </c>
      <c r="P40" s="2858">
        <f>COS_RR!Q70</f>
        <v>0</v>
      </c>
      <c r="Q40" s="2858">
        <f>COS_RR!R70</f>
        <v>0</v>
      </c>
      <c r="R40" s="2858">
        <f>COS_RR!S70</f>
        <v>0</v>
      </c>
      <c r="S40" s="2858">
        <f>COS_RR!T70</f>
        <v>0</v>
      </c>
      <c r="T40" s="2858">
        <f>COS_RR!U70</f>
        <v>0</v>
      </c>
      <c r="U40" s="2858">
        <f>COS_RR!V70</f>
        <v>0</v>
      </c>
      <c r="V40" s="2858">
        <f>COS_RR!W70</f>
        <v>0</v>
      </c>
      <c r="W40" s="2858">
        <f>COS_RR!X70</f>
        <v>0</v>
      </c>
      <c r="X40" s="2858">
        <f>COS_RR!Y70</f>
        <v>0</v>
      </c>
      <c r="Y40" s="2858">
        <f>COS_RR!Z70</f>
        <v>0</v>
      </c>
      <c r="Z40" s="2858">
        <f>COS_RR!AA70</f>
        <v>0</v>
      </c>
      <c r="AA40" s="2858">
        <f>COS_RR!AB70</f>
        <v>0</v>
      </c>
      <c r="AB40" s="2932"/>
      <c r="AC40" s="87"/>
      <c r="AD40" s="87"/>
    </row>
    <row r="41" spans="1:30">
      <c r="A41" s="411"/>
      <c r="B41" s="51"/>
      <c r="C41" s="2839">
        <f>IF(ISBLANK($E41),"",+MAX(C$12:C40)+1)</f>
        <v>27</v>
      </c>
      <c r="D41" s="2879">
        <f>'O&amp;M_Summ'!D27</f>
        <v>535000</v>
      </c>
      <c r="E41" s="2880" t="str">
        <f>'O&amp;M_Summ'!E27</f>
        <v>DAM O&amp;M (WAN, PEC, PR, and QC)</v>
      </c>
      <c r="F41" s="2688"/>
      <c r="G41" s="2661">
        <f>COS_RR!G71</f>
        <v>0</v>
      </c>
      <c r="H41" s="2871" t="str">
        <f>COS_RR!H71</f>
        <v>Power - Capacity</v>
      </c>
      <c r="I41" s="2694">
        <f>COS_RR!J71</f>
        <v>0</v>
      </c>
      <c r="J41" s="2694">
        <f>COS_RR!K71</f>
        <v>0</v>
      </c>
      <c r="K41" s="2694">
        <f>COS_RR!L71</f>
        <v>0</v>
      </c>
      <c r="L41" s="2694">
        <f>COS_RR!M71</f>
        <v>0</v>
      </c>
      <c r="M41" s="2694">
        <f>COS_RR!N71</f>
        <v>0</v>
      </c>
      <c r="N41" s="2694">
        <f>COS_RR!O71</f>
        <v>0</v>
      </c>
      <c r="O41" s="2694">
        <f>COS_RR!P71</f>
        <v>0</v>
      </c>
      <c r="P41" s="2694">
        <f>COS_RR!Q71</f>
        <v>0</v>
      </c>
      <c r="Q41" s="2694">
        <f>COS_RR!R71</f>
        <v>0</v>
      </c>
      <c r="R41" s="2694">
        <f>COS_RR!S71</f>
        <v>0</v>
      </c>
      <c r="S41" s="2694">
        <f>COS_RR!T71</f>
        <v>0</v>
      </c>
      <c r="T41" s="2694">
        <f>COS_RR!U71</f>
        <v>0</v>
      </c>
      <c r="U41" s="2694">
        <f>COS_RR!V71</f>
        <v>0</v>
      </c>
      <c r="V41" s="2694">
        <f>COS_RR!W71</f>
        <v>0</v>
      </c>
      <c r="W41" s="2694">
        <f>COS_RR!X71</f>
        <v>0</v>
      </c>
      <c r="X41" s="2694">
        <f>COS_RR!Y71</f>
        <v>0</v>
      </c>
      <c r="Y41" s="2694">
        <f>COS_RR!Z71</f>
        <v>0</v>
      </c>
      <c r="Z41" s="2872">
        <f>COS_RR!AA71</f>
        <v>0</v>
      </c>
      <c r="AA41" s="2858">
        <f>COS_RR!AB71</f>
        <v>0</v>
      </c>
      <c r="AB41" s="2932"/>
      <c r="AC41" s="87"/>
      <c r="AD41" s="87"/>
    </row>
    <row r="42" spans="1:30">
      <c r="A42" s="411"/>
      <c r="B42"/>
      <c r="C42" s="2846">
        <f>IF(ISBLANK($E42),"",+MAX(C$12:C41)+1)</f>
        <v>28</v>
      </c>
      <c r="D42" s="2851">
        <f>'O&amp;M_Summ'!D28</f>
        <v>535600</v>
      </c>
      <c r="E42" s="2852" t="str">
        <f>'O&amp;M_Summ'!E28</f>
        <v>SUPV &amp; ENG, PEC OPERATIONS</v>
      </c>
      <c r="F42" s="2857"/>
      <c r="G42" s="493">
        <f>COS_RR!G72</f>
        <v>53360.774935999536</v>
      </c>
      <c r="H42" s="2860" t="str">
        <f>COS_RR!H72</f>
        <v>Power - Capacity</v>
      </c>
      <c r="I42" s="104">
        <f>COS_RR!J72</f>
        <v>0</v>
      </c>
      <c r="J42" s="104">
        <f>COS_RR!K72</f>
        <v>53361</v>
      </c>
      <c r="K42" s="104">
        <f>COS_RR!L72</f>
        <v>0</v>
      </c>
      <c r="L42" s="104">
        <f>COS_RR!M72</f>
        <v>0</v>
      </c>
      <c r="M42" s="104">
        <f>COS_RR!N72</f>
        <v>0</v>
      </c>
      <c r="N42" s="104">
        <f>COS_RR!O72</f>
        <v>0</v>
      </c>
      <c r="O42" s="104">
        <f>COS_RR!P72</f>
        <v>0</v>
      </c>
      <c r="P42" s="104">
        <f>COS_RR!Q72</f>
        <v>0</v>
      </c>
      <c r="Q42" s="104">
        <f>COS_RR!R72</f>
        <v>0</v>
      </c>
      <c r="R42" s="104">
        <f>COS_RR!S72</f>
        <v>0</v>
      </c>
      <c r="S42" s="104">
        <f>COS_RR!T72</f>
        <v>0</v>
      </c>
      <c r="T42" s="104">
        <f>COS_RR!U72</f>
        <v>0</v>
      </c>
      <c r="U42" s="104">
        <f>COS_RR!V72</f>
        <v>0</v>
      </c>
      <c r="V42" s="104">
        <f>COS_RR!W72</f>
        <v>0</v>
      </c>
      <c r="W42" s="104">
        <f>COS_RR!X72</f>
        <v>0</v>
      </c>
      <c r="X42" s="104">
        <f>COS_RR!Y72</f>
        <v>0</v>
      </c>
      <c r="Y42" s="104">
        <f>COS_RR!Z72</f>
        <v>0</v>
      </c>
      <c r="Z42" s="2848">
        <f>COS_RR!AA72</f>
        <v>0</v>
      </c>
      <c r="AA42" s="104">
        <f>COS_RR!AB72</f>
        <v>0</v>
      </c>
      <c r="AB42" s="2932"/>
      <c r="AC42" s="87"/>
      <c r="AD42" s="87"/>
    </row>
    <row r="43" spans="1:30">
      <c r="A43" s="411"/>
      <c r="B43" s="51"/>
      <c r="C43" s="2839">
        <f>IF(ISBLANK($E43),"",+MAX(C$12:C42)+1)</f>
        <v>29</v>
      </c>
      <c r="D43" s="2879">
        <f>'O&amp;M_Summ'!D29</f>
        <v>536000</v>
      </c>
      <c r="E43" s="2880" t="str">
        <f>'O&amp;M_Summ'!E29</f>
        <v>WATER FOR POWER</v>
      </c>
      <c r="F43" s="2688"/>
      <c r="G43" s="2661">
        <f>COS_RR!G73</f>
        <v>0</v>
      </c>
      <c r="H43" s="2871" t="str">
        <f>COS_RR!H73</f>
        <v>Power - Capacity</v>
      </c>
      <c r="I43" s="2694">
        <f>COS_RR!J73</f>
        <v>0</v>
      </c>
      <c r="J43" s="2694">
        <f>COS_RR!K73</f>
        <v>0</v>
      </c>
      <c r="K43" s="2694">
        <f>COS_RR!L73</f>
        <v>0</v>
      </c>
      <c r="L43" s="2694">
        <f>COS_RR!M73</f>
        <v>0</v>
      </c>
      <c r="M43" s="2694">
        <f>COS_RR!N73</f>
        <v>0</v>
      </c>
      <c r="N43" s="2694">
        <f>COS_RR!O73</f>
        <v>0</v>
      </c>
      <c r="O43" s="2694">
        <f>COS_RR!P73</f>
        <v>0</v>
      </c>
      <c r="P43" s="2694">
        <f>COS_RR!Q73</f>
        <v>0</v>
      </c>
      <c r="Q43" s="2694">
        <f>COS_RR!R73</f>
        <v>0</v>
      </c>
      <c r="R43" s="2694">
        <f>COS_RR!S73</f>
        <v>0</v>
      </c>
      <c r="S43" s="2694">
        <f>COS_RR!T73</f>
        <v>0</v>
      </c>
      <c r="T43" s="2694">
        <f>COS_RR!U73</f>
        <v>0</v>
      </c>
      <c r="U43" s="2694">
        <f>COS_RR!V73</f>
        <v>0</v>
      </c>
      <c r="V43" s="2694">
        <f>COS_RR!W73</f>
        <v>0</v>
      </c>
      <c r="W43" s="2694">
        <f>COS_RR!X73</f>
        <v>0</v>
      </c>
      <c r="X43" s="2694">
        <f>COS_RR!Y73</f>
        <v>0</v>
      </c>
      <c r="Y43" s="2694">
        <f>COS_RR!Z73</f>
        <v>0</v>
      </c>
      <c r="Z43" s="2872">
        <f>COS_RR!AA73</f>
        <v>0</v>
      </c>
      <c r="AA43" s="104">
        <f>COS_RR!AB73</f>
        <v>0</v>
      </c>
      <c r="AB43" s="2932"/>
      <c r="AC43" s="87"/>
      <c r="AD43" s="87"/>
    </row>
    <row r="44" spans="1:30">
      <c r="A44" s="411"/>
      <c r="B44"/>
      <c r="C44" s="2846">
        <f>IF(ISBLANK($E44),"",+MAX(C$12:C43)+1)</f>
        <v>30</v>
      </c>
      <c r="D44" s="2851">
        <f>'O&amp;M_Summ'!D30</f>
        <v>537010</v>
      </c>
      <c r="E44" s="2852" t="str">
        <f>'O&amp;M_Summ'!E30</f>
        <v>HYDRAULIC EXPENSES (MAJOR)</v>
      </c>
      <c r="F44" s="2857"/>
      <c r="G44" s="493">
        <f>COS_RR!G74</f>
        <v>0</v>
      </c>
      <c r="H44" s="2860" t="str">
        <f>COS_RR!H74</f>
        <v>Power - Capacity</v>
      </c>
      <c r="I44" s="104">
        <f>COS_RR!J74</f>
        <v>0</v>
      </c>
      <c r="J44" s="104">
        <f>COS_RR!K74</f>
        <v>0</v>
      </c>
      <c r="K44" s="104">
        <f>COS_RR!L74</f>
        <v>0</v>
      </c>
      <c r="L44" s="104">
        <f>COS_RR!M74</f>
        <v>0</v>
      </c>
      <c r="M44" s="104">
        <f>COS_RR!N74</f>
        <v>0</v>
      </c>
      <c r="N44" s="104">
        <f>COS_RR!O74</f>
        <v>0</v>
      </c>
      <c r="O44" s="104">
        <f>COS_RR!P74</f>
        <v>0</v>
      </c>
      <c r="P44" s="104">
        <f>COS_RR!Q74</f>
        <v>0</v>
      </c>
      <c r="Q44" s="104">
        <f>COS_RR!R74</f>
        <v>0</v>
      </c>
      <c r="R44" s="104">
        <f>COS_RR!S74</f>
        <v>0</v>
      </c>
      <c r="S44" s="104">
        <f>COS_RR!T74</f>
        <v>0</v>
      </c>
      <c r="T44" s="104">
        <f>COS_RR!U74</f>
        <v>0</v>
      </c>
      <c r="U44" s="104">
        <f>COS_RR!V74</f>
        <v>0</v>
      </c>
      <c r="V44" s="104">
        <f>COS_RR!W74</f>
        <v>0</v>
      </c>
      <c r="W44" s="104">
        <f>COS_RR!X74</f>
        <v>0</v>
      </c>
      <c r="X44" s="104">
        <f>COS_RR!Y74</f>
        <v>0</v>
      </c>
      <c r="Y44" s="104">
        <f>COS_RR!Z74</f>
        <v>0</v>
      </c>
      <c r="Z44" s="2848">
        <f>COS_RR!AA74</f>
        <v>0</v>
      </c>
      <c r="AA44" s="104">
        <f>COS_RR!AB74</f>
        <v>0</v>
      </c>
      <c r="AB44" s="2932"/>
      <c r="AC44" s="87"/>
      <c r="AD44" s="87"/>
    </row>
    <row r="45" spans="1:30">
      <c r="A45" s="411"/>
      <c r="B45" s="51"/>
      <c r="C45" s="2839">
        <f>IF(ISBLANK($E45),"",+MAX(C$12:C44)+1)</f>
        <v>31</v>
      </c>
      <c r="D45" s="2879">
        <f>'O&amp;M_Summ'!D31</f>
        <v>537500</v>
      </c>
      <c r="E45" s="2880" t="str">
        <f>'O&amp;M_Summ'!E31</f>
        <v>HYDRL EXP-QC</v>
      </c>
      <c r="F45" s="2688"/>
      <c r="G45" s="2661">
        <f>COS_RR!G75</f>
        <v>16765.91948544604</v>
      </c>
      <c r="H45" s="2871" t="str">
        <f>COS_RR!H75</f>
        <v>Power - Capacity</v>
      </c>
      <c r="I45" s="2694">
        <f>COS_RR!J75</f>
        <v>0</v>
      </c>
      <c r="J45" s="2694">
        <f>COS_RR!K75</f>
        <v>16766</v>
      </c>
      <c r="K45" s="2694">
        <f>COS_RR!L75</f>
        <v>0</v>
      </c>
      <c r="L45" s="2694">
        <f>COS_RR!M75</f>
        <v>0</v>
      </c>
      <c r="M45" s="2694">
        <f>COS_RR!N75</f>
        <v>0</v>
      </c>
      <c r="N45" s="2694">
        <f>COS_RR!O75</f>
        <v>0</v>
      </c>
      <c r="O45" s="2694">
        <f>COS_RR!P75</f>
        <v>0</v>
      </c>
      <c r="P45" s="2694">
        <f>COS_RR!Q75</f>
        <v>0</v>
      </c>
      <c r="Q45" s="2694">
        <f>COS_RR!R75</f>
        <v>0</v>
      </c>
      <c r="R45" s="2694">
        <f>COS_RR!S75</f>
        <v>0</v>
      </c>
      <c r="S45" s="2694">
        <f>COS_RR!T75</f>
        <v>0</v>
      </c>
      <c r="T45" s="2694">
        <f>COS_RR!U75</f>
        <v>0</v>
      </c>
      <c r="U45" s="2694">
        <f>COS_RR!V75</f>
        <v>0</v>
      </c>
      <c r="V45" s="2694">
        <f>COS_RR!W75</f>
        <v>0</v>
      </c>
      <c r="W45" s="2694">
        <f>COS_RR!X75</f>
        <v>0</v>
      </c>
      <c r="X45" s="2694">
        <f>COS_RR!Y75</f>
        <v>0</v>
      </c>
      <c r="Y45" s="2694">
        <f>COS_RR!Z75</f>
        <v>0</v>
      </c>
      <c r="Z45" s="2872">
        <f>COS_RR!AA75</f>
        <v>0</v>
      </c>
      <c r="AA45" s="104">
        <f>COS_RR!AB75</f>
        <v>0</v>
      </c>
      <c r="AB45" s="2932"/>
      <c r="AC45" s="87"/>
      <c r="AD45" s="87"/>
    </row>
    <row r="46" spans="1:30">
      <c r="A46" s="411"/>
      <c r="B46"/>
      <c r="C46" s="2846">
        <f>IF(ISBLANK($E46),"",+MAX(C$12:C45)+1)</f>
        <v>32</v>
      </c>
      <c r="D46" s="2851">
        <f>'O&amp;M_Summ'!D32</f>
        <v>537600</v>
      </c>
      <c r="E46" s="2852" t="str">
        <f>'O&amp;M_Summ'!E32</f>
        <v>HYDRL EXP-PEC</v>
      </c>
      <c r="F46" s="2857"/>
      <c r="G46" s="493">
        <f>COS_RR!G76</f>
        <v>12273.663158997804</v>
      </c>
      <c r="H46" s="2860" t="str">
        <f>COS_RR!H76</f>
        <v>Power - Capacity</v>
      </c>
      <c r="I46" s="104">
        <f>COS_RR!J76</f>
        <v>0</v>
      </c>
      <c r="J46" s="104">
        <f>COS_RR!K76</f>
        <v>12274</v>
      </c>
      <c r="K46" s="104">
        <f>COS_RR!L76</f>
        <v>0</v>
      </c>
      <c r="L46" s="104">
        <f>COS_RR!M76</f>
        <v>0</v>
      </c>
      <c r="M46" s="104">
        <f>COS_RR!N76</f>
        <v>0</v>
      </c>
      <c r="N46" s="104">
        <f>COS_RR!O76</f>
        <v>0</v>
      </c>
      <c r="O46" s="104">
        <f>COS_RR!P76</f>
        <v>0</v>
      </c>
      <c r="P46" s="104">
        <f>COS_RR!Q76</f>
        <v>0</v>
      </c>
      <c r="Q46" s="104">
        <f>COS_RR!R76</f>
        <v>0</v>
      </c>
      <c r="R46" s="104">
        <f>COS_RR!S76</f>
        <v>0</v>
      </c>
      <c r="S46" s="104">
        <f>COS_RR!T76</f>
        <v>0</v>
      </c>
      <c r="T46" s="104">
        <f>COS_RR!U76</f>
        <v>0</v>
      </c>
      <c r="U46" s="104">
        <f>COS_RR!V76</f>
        <v>0</v>
      </c>
      <c r="V46" s="104">
        <f>COS_RR!W76</f>
        <v>0</v>
      </c>
      <c r="W46" s="104">
        <f>COS_RR!X76</f>
        <v>0</v>
      </c>
      <c r="X46" s="104">
        <f>COS_RR!Y76</f>
        <v>0</v>
      </c>
      <c r="Y46" s="104">
        <f>COS_RR!Z76</f>
        <v>0</v>
      </c>
      <c r="Z46" s="2848">
        <f>COS_RR!AA76</f>
        <v>0</v>
      </c>
      <c r="AA46" s="104">
        <f>COS_RR!AB76</f>
        <v>0</v>
      </c>
      <c r="AB46" s="2932"/>
      <c r="AC46" s="87"/>
      <c r="AD46" s="87"/>
    </row>
    <row r="47" spans="1:30">
      <c r="A47" s="411"/>
      <c r="B47" s="51"/>
      <c r="C47" s="2839">
        <f>IF(ISBLANK($E47),"",+MAX(C$12:C46)+1)</f>
        <v>33</v>
      </c>
      <c r="D47" s="2879">
        <f>'O&amp;M_Summ'!D33</f>
        <v>538500</v>
      </c>
      <c r="E47" s="2880" t="str">
        <f>'O&amp;M_Summ'!E33</f>
        <v>ELECTRIC EXP-QC</v>
      </c>
      <c r="F47" s="2688"/>
      <c r="G47" s="2661">
        <f>COS_RR!G77</f>
        <v>16765.479654006282</v>
      </c>
      <c r="H47" s="2871" t="str">
        <f>COS_RR!H77</f>
        <v>Power - Capacity</v>
      </c>
      <c r="I47" s="2694">
        <f>COS_RR!J77</f>
        <v>0</v>
      </c>
      <c r="J47" s="2694">
        <f>COS_RR!K77</f>
        <v>16765</v>
      </c>
      <c r="K47" s="2694">
        <f>COS_RR!L77</f>
        <v>0</v>
      </c>
      <c r="L47" s="2694">
        <f>COS_RR!M77</f>
        <v>0</v>
      </c>
      <c r="M47" s="2694">
        <f>COS_RR!N77</f>
        <v>0</v>
      </c>
      <c r="N47" s="2694">
        <f>COS_RR!O77</f>
        <v>0</v>
      </c>
      <c r="O47" s="2694">
        <f>COS_RR!P77</f>
        <v>0</v>
      </c>
      <c r="P47" s="2694">
        <f>COS_RR!Q77</f>
        <v>0</v>
      </c>
      <c r="Q47" s="2694">
        <f>COS_RR!R77</f>
        <v>0</v>
      </c>
      <c r="R47" s="2694">
        <f>COS_RR!S77</f>
        <v>0</v>
      </c>
      <c r="S47" s="2694">
        <f>COS_RR!T77</f>
        <v>0</v>
      </c>
      <c r="T47" s="2694">
        <f>COS_RR!U77</f>
        <v>0</v>
      </c>
      <c r="U47" s="2694">
        <f>COS_RR!V77</f>
        <v>0</v>
      </c>
      <c r="V47" s="2694">
        <f>COS_RR!W77</f>
        <v>0</v>
      </c>
      <c r="W47" s="2694">
        <f>COS_RR!X77</f>
        <v>0</v>
      </c>
      <c r="X47" s="2694">
        <f>COS_RR!Y77</f>
        <v>0</v>
      </c>
      <c r="Y47" s="2694">
        <f>COS_RR!Z77</f>
        <v>0</v>
      </c>
      <c r="Z47" s="2872">
        <f>COS_RR!AA77</f>
        <v>0</v>
      </c>
      <c r="AA47" s="104">
        <f>COS_RR!AB77</f>
        <v>0</v>
      </c>
      <c r="AB47" s="2932"/>
      <c r="AC47" s="87"/>
      <c r="AD47" s="87"/>
    </row>
    <row r="48" spans="1:30">
      <c r="A48" s="411"/>
      <c r="B48"/>
      <c r="C48" s="2846">
        <f>IF(ISBLANK($E48),"",+MAX(C$12:C47)+1)</f>
        <v>34</v>
      </c>
      <c r="D48" s="2851">
        <f>'O&amp;M_Summ'!D34</f>
        <v>538600</v>
      </c>
      <c r="E48" s="2852" t="str">
        <f>'O&amp;M_Summ'!E34</f>
        <v>ELECTRIC EXP-PEC</v>
      </c>
      <c r="F48" s="2857"/>
      <c r="G48" s="493">
        <f>COS_RR!G78</f>
        <v>12273.374993571759</v>
      </c>
      <c r="H48" s="2860" t="str">
        <f>COS_RR!H78</f>
        <v>Power - Capacity</v>
      </c>
      <c r="I48" s="104">
        <f>COS_RR!J78</f>
        <v>0</v>
      </c>
      <c r="J48" s="104">
        <f>COS_RR!K78</f>
        <v>12273</v>
      </c>
      <c r="K48" s="104">
        <f>COS_RR!L78</f>
        <v>0</v>
      </c>
      <c r="L48" s="104">
        <f>COS_RR!M78</f>
        <v>0</v>
      </c>
      <c r="M48" s="104">
        <f>COS_RR!N78</f>
        <v>0</v>
      </c>
      <c r="N48" s="104">
        <f>COS_RR!O78</f>
        <v>0</v>
      </c>
      <c r="O48" s="104">
        <f>COS_RR!P78</f>
        <v>0</v>
      </c>
      <c r="P48" s="104">
        <f>COS_RR!Q78</f>
        <v>0</v>
      </c>
      <c r="Q48" s="104">
        <f>COS_RR!R78</f>
        <v>0</v>
      </c>
      <c r="R48" s="104">
        <f>COS_RR!S78</f>
        <v>0</v>
      </c>
      <c r="S48" s="104">
        <f>COS_RR!T78</f>
        <v>0</v>
      </c>
      <c r="T48" s="104">
        <f>COS_RR!U78</f>
        <v>0</v>
      </c>
      <c r="U48" s="104">
        <f>COS_RR!V78</f>
        <v>0</v>
      </c>
      <c r="V48" s="104">
        <f>COS_RR!W78</f>
        <v>0</v>
      </c>
      <c r="W48" s="104">
        <f>COS_RR!X78</f>
        <v>0</v>
      </c>
      <c r="X48" s="104">
        <f>COS_RR!Y78</f>
        <v>0</v>
      </c>
      <c r="Y48" s="104">
        <f>COS_RR!Z78</f>
        <v>0</v>
      </c>
      <c r="Z48" s="2848">
        <f>COS_RR!AA78</f>
        <v>0</v>
      </c>
      <c r="AA48" s="104">
        <f>COS_RR!AB78</f>
        <v>0</v>
      </c>
      <c r="AB48" s="2932"/>
      <c r="AC48" s="2939"/>
      <c r="AD48" s="87"/>
    </row>
    <row r="49" spans="1:30">
      <c r="A49" s="411"/>
      <c r="B49" s="51"/>
      <c r="C49" s="2839">
        <f>IF(ISBLANK($E49),"",+MAX(C$12:C48)+1)</f>
        <v>35</v>
      </c>
      <c r="D49" s="2879">
        <f>'O&amp;M_Summ'!D35</f>
        <v>539010</v>
      </c>
      <c r="E49" s="2880" t="str">
        <f>'O&amp;M_Summ'!E35</f>
        <v>MISC HYD GENR-GENERAL EXP</v>
      </c>
      <c r="F49" s="2688"/>
      <c r="G49" s="2661">
        <f>COS_RR!G79</f>
        <v>0</v>
      </c>
      <c r="H49" s="2871" t="str">
        <f>COS_RR!H79</f>
        <v>Power - Capacity</v>
      </c>
      <c r="I49" s="2694">
        <f>COS_RR!J79</f>
        <v>0</v>
      </c>
      <c r="J49" s="2694">
        <f>COS_RR!K79</f>
        <v>0</v>
      </c>
      <c r="K49" s="2694">
        <f>COS_RR!L79</f>
        <v>0</v>
      </c>
      <c r="L49" s="2694">
        <f>COS_RR!M79</f>
        <v>0</v>
      </c>
      <c r="M49" s="2694">
        <f>COS_RR!N79</f>
        <v>0</v>
      </c>
      <c r="N49" s="2694">
        <f>COS_RR!O79</f>
        <v>0</v>
      </c>
      <c r="O49" s="2694">
        <f>COS_RR!P79</f>
        <v>0</v>
      </c>
      <c r="P49" s="2694">
        <f>COS_RR!Q79</f>
        <v>0</v>
      </c>
      <c r="Q49" s="2694">
        <f>COS_RR!R79</f>
        <v>0</v>
      </c>
      <c r="R49" s="2694">
        <f>COS_RR!S79</f>
        <v>0</v>
      </c>
      <c r="S49" s="2694">
        <f>COS_RR!T79</f>
        <v>0</v>
      </c>
      <c r="T49" s="2694">
        <f>COS_RR!U79</f>
        <v>0</v>
      </c>
      <c r="U49" s="2694">
        <f>COS_RR!V79</f>
        <v>0</v>
      </c>
      <c r="V49" s="2694">
        <f>COS_RR!W79</f>
        <v>0</v>
      </c>
      <c r="W49" s="2694">
        <f>COS_RR!X79</f>
        <v>0</v>
      </c>
      <c r="X49" s="2694">
        <f>COS_RR!Y79</f>
        <v>0</v>
      </c>
      <c r="Y49" s="2694">
        <f>COS_RR!Z79</f>
        <v>0</v>
      </c>
      <c r="Z49" s="2872">
        <f>COS_RR!AA79</f>
        <v>0</v>
      </c>
      <c r="AA49" s="104">
        <f>COS_RR!AB79</f>
        <v>0</v>
      </c>
      <c r="AB49" s="2932"/>
      <c r="AC49" s="2939"/>
      <c r="AD49" s="87"/>
    </row>
    <row r="50" spans="1:30">
      <c r="A50" s="411"/>
      <c r="B50"/>
      <c r="C50" s="2846">
        <f>IF(ISBLANK($E50),"",+MAX(C$12:C49)+1)</f>
        <v>36</v>
      </c>
      <c r="D50" s="2851">
        <f>'O&amp;M_Summ'!D36</f>
        <v>539600</v>
      </c>
      <c r="E50" s="2852" t="str">
        <f>'O&amp;M_Summ'!E36</f>
        <v>MISC HYD GENR-PEC</v>
      </c>
      <c r="F50" s="2857"/>
      <c r="G50" s="493">
        <f>COS_RR!G80</f>
        <v>0</v>
      </c>
      <c r="H50" s="2860" t="str">
        <f>COS_RR!H80</f>
        <v>Power - Capacity</v>
      </c>
      <c r="I50" s="104">
        <f>COS_RR!J80</f>
        <v>0</v>
      </c>
      <c r="J50" s="104">
        <f>COS_RR!K80</f>
        <v>0</v>
      </c>
      <c r="K50" s="104">
        <f>COS_RR!L80</f>
        <v>0</v>
      </c>
      <c r="L50" s="104">
        <f>COS_RR!M80</f>
        <v>0</v>
      </c>
      <c r="M50" s="104">
        <f>COS_RR!N80</f>
        <v>0</v>
      </c>
      <c r="N50" s="104">
        <f>COS_RR!O80</f>
        <v>0</v>
      </c>
      <c r="O50" s="104">
        <f>COS_RR!P80</f>
        <v>0</v>
      </c>
      <c r="P50" s="104">
        <f>COS_RR!Q80</f>
        <v>0</v>
      </c>
      <c r="Q50" s="104">
        <f>COS_RR!R80</f>
        <v>0</v>
      </c>
      <c r="R50" s="104">
        <f>COS_RR!S80</f>
        <v>0</v>
      </c>
      <c r="S50" s="104">
        <f>COS_RR!T80</f>
        <v>0</v>
      </c>
      <c r="T50" s="104">
        <f>COS_RR!U80</f>
        <v>0</v>
      </c>
      <c r="U50" s="104">
        <f>COS_RR!V80</f>
        <v>0</v>
      </c>
      <c r="V50" s="104">
        <f>COS_RR!W80</f>
        <v>0</v>
      </c>
      <c r="W50" s="104">
        <f>COS_RR!X80</f>
        <v>0</v>
      </c>
      <c r="X50" s="104">
        <f>COS_RR!Y80</f>
        <v>0</v>
      </c>
      <c r="Y50" s="104">
        <f>COS_RR!Z80</f>
        <v>0</v>
      </c>
      <c r="Z50" s="2848">
        <f>COS_RR!AA80</f>
        <v>0</v>
      </c>
      <c r="AA50" s="104">
        <f>COS_RR!AB80</f>
        <v>0</v>
      </c>
      <c r="AB50" s="2932"/>
      <c r="AC50" s="2939"/>
      <c r="AD50" s="87"/>
    </row>
    <row r="51" spans="1:30">
      <c r="A51" s="411"/>
      <c r="B51" s="51"/>
      <c r="C51" s="2839">
        <f>IF(ISBLANK($E51),"",+MAX(C$12:C50)+1)</f>
        <v>37</v>
      </c>
      <c r="D51" s="2879">
        <f>'O&amp;M_Summ'!D37</f>
        <v>541500</v>
      </c>
      <c r="E51" s="2880" t="str">
        <f>'O&amp;M_Summ'!E37</f>
        <v>HYD MAINT-SUPV &amp; ENG-QC</v>
      </c>
      <c r="F51" s="2688"/>
      <c r="G51" s="2661">
        <f>COS_RR!G81</f>
        <v>0</v>
      </c>
      <c r="H51" s="2871" t="str">
        <f>COS_RR!H81</f>
        <v>Power - Capacity</v>
      </c>
      <c r="I51" s="2694">
        <f>COS_RR!J81</f>
        <v>0</v>
      </c>
      <c r="J51" s="2694">
        <f>COS_RR!K81</f>
        <v>0</v>
      </c>
      <c r="K51" s="2694">
        <f>COS_RR!L81</f>
        <v>0</v>
      </c>
      <c r="L51" s="2694">
        <f>COS_RR!M81</f>
        <v>0</v>
      </c>
      <c r="M51" s="2694">
        <f>COS_RR!N81</f>
        <v>0</v>
      </c>
      <c r="N51" s="2694">
        <f>COS_RR!O81</f>
        <v>0</v>
      </c>
      <c r="O51" s="2694">
        <f>COS_RR!P81</f>
        <v>0</v>
      </c>
      <c r="P51" s="2694">
        <f>COS_RR!Q81</f>
        <v>0</v>
      </c>
      <c r="Q51" s="2694">
        <f>COS_RR!R81</f>
        <v>0</v>
      </c>
      <c r="R51" s="2694">
        <f>COS_RR!S81</f>
        <v>0</v>
      </c>
      <c r="S51" s="2694">
        <f>COS_RR!T81</f>
        <v>0</v>
      </c>
      <c r="T51" s="2694">
        <f>COS_RR!U81</f>
        <v>0</v>
      </c>
      <c r="U51" s="2694">
        <f>COS_RR!V81</f>
        <v>0</v>
      </c>
      <c r="V51" s="2694">
        <f>COS_RR!W81</f>
        <v>0</v>
      </c>
      <c r="W51" s="2694">
        <f>COS_RR!X81</f>
        <v>0</v>
      </c>
      <c r="X51" s="2694">
        <f>COS_RR!Y81</f>
        <v>0</v>
      </c>
      <c r="Y51" s="2694">
        <f>COS_RR!Z81</f>
        <v>0</v>
      </c>
      <c r="Z51" s="2872">
        <f>COS_RR!AA81</f>
        <v>0</v>
      </c>
      <c r="AA51" s="104">
        <f>COS_RR!AB81</f>
        <v>0</v>
      </c>
      <c r="AB51" s="2932"/>
      <c r="AC51" s="2939"/>
      <c r="AD51" s="87"/>
    </row>
    <row r="52" spans="1:30">
      <c r="A52" s="411"/>
      <c r="B52"/>
      <c r="C52" s="2846">
        <f>IF(ISBLANK($E52),"",+MAX(C$12:C51)+1)</f>
        <v>38</v>
      </c>
      <c r="D52" s="2851">
        <f>'O&amp;M_Summ'!D38</f>
        <v>541600</v>
      </c>
      <c r="E52" s="2852" t="str">
        <f>'O&amp;M_Summ'!E38</f>
        <v>HYD MAINT-SUPV &amp; ENG-PEC</v>
      </c>
      <c r="F52" s="2857"/>
      <c r="G52" s="493">
        <f>COS_RR!G82</f>
        <v>0</v>
      </c>
      <c r="H52" s="2860" t="str">
        <f>COS_RR!H82</f>
        <v>Power - Capacity</v>
      </c>
      <c r="I52" s="104">
        <f>COS_RR!J82</f>
        <v>0</v>
      </c>
      <c r="J52" s="104">
        <f>COS_RR!K82</f>
        <v>0</v>
      </c>
      <c r="K52" s="104">
        <f>COS_RR!L82</f>
        <v>0</v>
      </c>
      <c r="L52" s="104">
        <f>COS_RR!M82</f>
        <v>0</v>
      </c>
      <c r="M52" s="104">
        <f>COS_RR!N82</f>
        <v>0</v>
      </c>
      <c r="N52" s="104">
        <f>COS_RR!O82</f>
        <v>0</v>
      </c>
      <c r="O52" s="104">
        <f>COS_RR!P82</f>
        <v>0</v>
      </c>
      <c r="P52" s="104">
        <f>COS_RR!Q82</f>
        <v>0</v>
      </c>
      <c r="Q52" s="104">
        <f>COS_RR!R82</f>
        <v>0</v>
      </c>
      <c r="R52" s="104">
        <f>COS_RR!S82</f>
        <v>0</v>
      </c>
      <c r="S52" s="104">
        <f>COS_RR!T82</f>
        <v>0</v>
      </c>
      <c r="T52" s="104">
        <f>COS_RR!U82</f>
        <v>0</v>
      </c>
      <c r="U52" s="104">
        <f>COS_RR!V82</f>
        <v>0</v>
      </c>
      <c r="V52" s="104">
        <f>COS_RR!W82</f>
        <v>0</v>
      </c>
      <c r="W52" s="104">
        <f>COS_RR!X82</f>
        <v>0</v>
      </c>
      <c r="X52" s="104">
        <f>COS_RR!Y82</f>
        <v>0</v>
      </c>
      <c r="Y52" s="104">
        <f>COS_RR!Z82</f>
        <v>0</v>
      </c>
      <c r="Z52" s="2848">
        <f>COS_RR!AA82</f>
        <v>0</v>
      </c>
      <c r="AA52" s="104">
        <f>COS_RR!AB82</f>
        <v>0</v>
      </c>
      <c r="AB52" s="2932"/>
      <c r="AC52" s="2939"/>
      <c r="AD52" s="87"/>
    </row>
    <row r="53" spans="1:30">
      <c r="A53" s="411"/>
      <c r="B53" s="51"/>
      <c r="C53" s="2839">
        <f>IF(ISBLANK($E53),"",+MAX(C$12:C52)+1)</f>
        <v>39</v>
      </c>
      <c r="D53" s="2879">
        <f>'O&amp;M_Summ'!D39</f>
        <v>543010</v>
      </c>
      <c r="E53" s="2880" t="str">
        <f>'O&amp;M_Summ'!E39</f>
        <v>HYD MAINT DAMS-GENERAL</v>
      </c>
      <c r="F53" s="2688"/>
      <c r="G53" s="2661">
        <f>COS_RR!G83</f>
        <v>0</v>
      </c>
      <c r="H53" s="2871" t="str">
        <f>COS_RR!H83</f>
        <v>Power - Capacity</v>
      </c>
      <c r="I53" s="2694">
        <f>COS_RR!J83</f>
        <v>0</v>
      </c>
      <c r="J53" s="2694">
        <f>COS_RR!K83</f>
        <v>0</v>
      </c>
      <c r="K53" s="2694">
        <f>COS_RR!L83</f>
        <v>0</v>
      </c>
      <c r="L53" s="2694">
        <f>COS_RR!M83</f>
        <v>0</v>
      </c>
      <c r="M53" s="2694">
        <f>COS_RR!N83</f>
        <v>0</v>
      </c>
      <c r="N53" s="2694">
        <f>COS_RR!O83</f>
        <v>0</v>
      </c>
      <c r="O53" s="2694">
        <f>COS_RR!P83</f>
        <v>0</v>
      </c>
      <c r="P53" s="2694">
        <f>COS_RR!Q83</f>
        <v>0</v>
      </c>
      <c r="Q53" s="2694">
        <f>COS_RR!R83</f>
        <v>0</v>
      </c>
      <c r="R53" s="2694">
        <f>COS_RR!S83</f>
        <v>0</v>
      </c>
      <c r="S53" s="2694">
        <f>COS_RR!T83</f>
        <v>0</v>
      </c>
      <c r="T53" s="2694">
        <f>COS_RR!U83</f>
        <v>0</v>
      </c>
      <c r="U53" s="2694">
        <f>COS_RR!V83</f>
        <v>0</v>
      </c>
      <c r="V53" s="2694">
        <f>COS_RR!W83</f>
        <v>0</v>
      </c>
      <c r="W53" s="2694">
        <f>COS_RR!X83</f>
        <v>0</v>
      </c>
      <c r="X53" s="2694">
        <f>COS_RR!Y83</f>
        <v>0</v>
      </c>
      <c r="Y53" s="2694">
        <f>COS_RR!Z83</f>
        <v>0</v>
      </c>
      <c r="Z53" s="2872">
        <f>COS_RR!AA83</f>
        <v>0</v>
      </c>
      <c r="AA53" s="104">
        <f>COS_RR!AB83</f>
        <v>0</v>
      </c>
      <c r="AB53" s="2932"/>
      <c r="AC53" s="2939"/>
      <c r="AD53" s="87"/>
    </row>
    <row r="54" spans="1:30">
      <c r="A54" s="411"/>
      <c r="B54"/>
      <c r="C54" s="2846">
        <f>IF(ISBLANK($E54),"",+MAX(C$12:C53)+1)</f>
        <v>40</v>
      </c>
      <c r="D54" s="2851">
        <f>'O&amp;M_Summ'!D40</f>
        <v>544500</v>
      </c>
      <c r="E54" s="2852" t="str">
        <f>'O&amp;M_Summ'!E40</f>
        <v>HYD MAINT ELEC PLT-QC</v>
      </c>
      <c r="F54" s="2857"/>
      <c r="G54" s="493">
        <f>COS_RR!G84</f>
        <v>328685.88326341863</v>
      </c>
      <c r="H54" s="2860" t="str">
        <f>COS_RR!H84</f>
        <v>Power - Capacity</v>
      </c>
      <c r="I54" s="104">
        <f>COS_RR!J84</f>
        <v>0</v>
      </c>
      <c r="J54" s="104">
        <f>COS_RR!K84</f>
        <v>328686</v>
      </c>
      <c r="K54" s="104">
        <f>COS_RR!L84</f>
        <v>0</v>
      </c>
      <c r="L54" s="104">
        <f>COS_RR!M84</f>
        <v>0</v>
      </c>
      <c r="M54" s="104">
        <f>COS_RR!N84</f>
        <v>0</v>
      </c>
      <c r="N54" s="104">
        <f>COS_RR!O84</f>
        <v>0</v>
      </c>
      <c r="O54" s="104">
        <f>COS_RR!P84</f>
        <v>0</v>
      </c>
      <c r="P54" s="104">
        <f>COS_RR!Q84</f>
        <v>0</v>
      </c>
      <c r="Q54" s="104">
        <f>COS_RR!R84</f>
        <v>0</v>
      </c>
      <c r="R54" s="104">
        <f>COS_RR!S84</f>
        <v>0</v>
      </c>
      <c r="S54" s="104">
        <f>COS_RR!T84</f>
        <v>0</v>
      </c>
      <c r="T54" s="104">
        <f>COS_RR!U84</f>
        <v>0</v>
      </c>
      <c r="U54" s="104">
        <f>COS_RR!V84</f>
        <v>0</v>
      </c>
      <c r="V54" s="104">
        <f>COS_RR!W84</f>
        <v>0</v>
      </c>
      <c r="W54" s="104">
        <f>COS_RR!X84</f>
        <v>0</v>
      </c>
      <c r="X54" s="104">
        <f>COS_RR!Y84</f>
        <v>0</v>
      </c>
      <c r="Y54" s="104">
        <f>COS_RR!Z84</f>
        <v>0</v>
      </c>
      <c r="Z54" s="2848">
        <f>COS_RR!AA84</f>
        <v>0</v>
      </c>
      <c r="AA54" s="104">
        <f>COS_RR!AB84</f>
        <v>0</v>
      </c>
      <c r="AB54" s="2932"/>
      <c r="AC54" s="2939"/>
      <c r="AD54" s="87"/>
    </row>
    <row r="55" spans="1:30">
      <c r="A55" s="411"/>
      <c r="B55" s="51"/>
      <c r="C55" s="2839">
        <f>IF(ISBLANK($E55),"",+MAX(C$12:C54)+1)</f>
        <v>41</v>
      </c>
      <c r="D55" s="2879">
        <f>'O&amp;M_Summ'!D41</f>
        <v>544600</v>
      </c>
      <c r="E55" s="2880" t="str">
        <f>'O&amp;M_Summ'!E41</f>
        <v>HYD MAINT ELEC PLT-PEC</v>
      </c>
      <c r="F55" s="2688"/>
      <c r="G55" s="2661">
        <f>COS_RR!G85</f>
        <v>184467.50499073809</v>
      </c>
      <c r="H55" s="2871" t="str">
        <f>COS_RR!H85</f>
        <v>Power - Capacity</v>
      </c>
      <c r="I55" s="2694">
        <f>COS_RR!J85</f>
        <v>0</v>
      </c>
      <c r="J55" s="2694">
        <f>COS_RR!K85</f>
        <v>184468</v>
      </c>
      <c r="K55" s="2694">
        <f>COS_RR!L85</f>
        <v>0</v>
      </c>
      <c r="L55" s="2694">
        <f>COS_RR!M85</f>
        <v>0</v>
      </c>
      <c r="M55" s="2694">
        <f>COS_RR!N85</f>
        <v>0</v>
      </c>
      <c r="N55" s="2694">
        <f>COS_RR!O85</f>
        <v>0</v>
      </c>
      <c r="O55" s="2694">
        <f>COS_RR!P85</f>
        <v>0</v>
      </c>
      <c r="P55" s="2694">
        <f>COS_RR!Q85</f>
        <v>0</v>
      </c>
      <c r="Q55" s="2694">
        <f>COS_RR!R85</f>
        <v>0</v>
      </c>
      <c r="R55" s="2694">
        <f>COS_RR!S85</f>
        <v>0</v>
      </c>
      <c r="S55" s="2694">
        <f>COS_RR!T85</f>
        <v>0</v>
      </c>
      <c r="T55" s="2694">
        <f>COS_RR!U85</f>
        <v>0</v>
      </c>
      <c r="U55" s="2694">
        <f>COS_RR!V85</f>
        <v>0</v>
      </c>
      <c r="V55" s="2694">
        <f>COS_RR!W85</f>
        <v>0</v>
      </c>
      <c r="W55" s="2694">
        <f>COS_RR!X85</f>
        <v>0</v>
      </c>
      <c r="X55" s="2694">
        <f>COS_RR!Y85</f>
        <v>0</v>
      </c>
      <c r="Y55" s="2694">
        <f>COS_RR!Z85</f>
        <v>0</v>
      </c>
      <c r="Z55" s="2872">
        <f>COS_RR!AA85</f>
        <v>0</v>
      </c>
      <c r="AA55" s="104">
        <f>COS_RR!AB85</f>
        <v>0</v>
      </c>
      <c r="AB55" s="2932"/>
      <c r="AC55" s="2939"/>
      <c r="AD55" s="87"/>
    </row>
    <row r="56" spans="1:30">
      <c r="A56" s="411"/>
      <c r="B56"/>
      <c r="C56" s="2846">
        <f>IF(ISBLANK($E56),"",+MAX(C$12:C55)+1)</f>
        <v>42</v>
      </c>
      <c r="D56" s="2851">
        <f>'O&amp;M_Summ'!D42</f>
        <v>545010</v>
      </c>
      <c r="E56" s="2852" t="str">
        <f>'O&amp;M_Summ'!E42</f>
        <v>HYD MAINT MISC-GENERAL</v>
      </c>
      <c r="F56" s="2857"/>
      <c r="G56" s="493">
        <f>COS_RR!G86</f>
        <v>0</v>
      </c>
      <c r="H56" s="2860" t="str">
        <f>COS_RR!H86</f>
        <v>Power - Capacity</v>
      </c>
      <c r="I56" s="104">
        <f>COS_RR!J86</f>
        <v>0</v>
      </c>
      <c r="J56" s="104">
        <f>COS_RR!K86</f>
        <v>0</v>
      </c>
      <c r="K56" s="104">
        <f>COS_RR!L86</f>
        <v>0</v>
      </c>
      <c r="L56" s="104">
        <f>COS_RR!M86</f>
        <v>0</v>
      </c>
      <c r="M56" s="104">
        <f>COS_RR!N86</f>
        <v>0</v>
      </c>
      <c r="N56" s="104">
        <f>COS_RR!O86</f>
        <v>0</v>
      </c>
      <c r="O56" s="104">
        <f>COS_RR!P86</f>
        <v>0</v>
      </c>
      <c r="P56" s="104">
        <f>COS_RR!Q86</f>
        <v>0</v>
      </c>
      <c r="Q56" s="104">
        <f>COS_RR!R86</f>
        <v>0</v>
      </c>
      <c r="R56" s="104">
        <f>COS_RR!S86</f>
        <v>0</v>
      </c>
      <c r="S56" s="104">
        <f>COS_RR!T86</f>
        <v>0</v>
      </c>
      <c r="T56" s="104">
        <f>COS_RR!U86</f>
        <v>0</v>
      </c>
      <c r="U56" s="104">
        <f>COS_RR!V86</f>
        <v>0</v>
      </c>
      <c r="V56" s="104">
        <f>COS_RR!W86</f>
        <v>0</v>
      </c>
      <c r="W56" s="104">
        <f>COS_RR!X86</f>
        <v>0</v>
      </c>
      <c r="X56" s="104">
        <f>COS_RR!Y86</f>
        <v>0</v>
      </c>
      <c r="Y56" s="104">
        <f>COS_RR!Z86</f>
        <v>0</v>
      </c>
      <c r="Z56" s="2848">
        <f>COS_RR!AA86</f>
        <v>0</v>
      </c>
      <c r="AA56" s="104">
        <f>COS_RR!AB86</f>
        <v>0</v>
      </c>
      <c r="AB56" s="2932"/>
      <c r="AC56" s="2939"/>
      <c r="AD56" s="87"/>
    </row>
    <row r="57" spans="1:30">
      <c r="A57" s="411"/>
      <c r="B57" s="51"/>
      <c r="C57" s="2839">
        <f>IF(ISBLANK($E57),"",+MAX(C$12:C56)+1)</f>
        <v>43</v>
      </c>
      <c r="D57" s="2879">
        <f>'O&amp;M_Summ'!D43</f>
        <v>545500</v>
      </c>
      <c r="E57" s="2880" t="str">
        <f>'O&amp;M_Summ'!E43</f>
        <v>HYD MAINT MISC-QC</v>
      </c>
      <c r="F57" s="2688"/>
      <c r="G57" s="2661">
        <f>COS_RR!G87</f>
        <v>0</v>
      </c>
      <c r="H57" s="2871" t="str">
        <f>COS_RR!H87</f>
        <v>Power - Capacity</v>
      </c>
      <c r="I57" s="2694">
        <f>COS_RR!J87</f>
        <v>0</v>
      </c>
      <c r="J57" s="2694">
        <f>COS_RR!K87</f>
        <v>0</v>
      </c>
      <c r="K57" s="2694">
        <f>COS_RR!L87</f>
        <v>0</v>
      </c>
      <c r="L57" s="2694">
        <f>COS_RR!M87</f>
        <v>0</v>
      </c>
      <c r="M57" s="2694">
        <f>COS_RR!N87</f>
        <v>0</v>
      </c>
      <c r="N57" s="2694">
        <f>COS_RR!O87</f>
        <v>0</v>
      </c>
      <c r="O57" s="2694">
        <f>COS_RR!P87</f>
        <v>0</v>
      </c>
      <c r="P57" s="2694">
        <f>COS_RR!Q87</f>
        <v>0</v>
      </c>
      <c r="Q57" s="2694">
        <f>COS_RR!R87</f>
        <v>0</v>
      </c>
      <c r="R57" s="2694">
        <f>COS_RR!S87</f>
        <v>0</v>
      </c>
      <c r="S57" s="2694">
        <f>COS_RR!T87</f>
        <v>0</v>
      </c>
      <c r="T57" s="2694">
        <f>COS_RR!U87</f>
        <v>0</v>
      </c>
      <c r="U57" s="2694">
        <f>COS_RR!V87</f>
        <v>0</v>
      </c>
      <c r="V57" s="2694">
        <f>COS_RR!W87</f>
        <v>0</v>
      </c>
      <c r="W57" s="2694">
        <f>COS_RR!X87</f>
        <v>0</v>
      </c>
      <c r="X57" s="2694">
        <f>COS_RR!Y87</f>
        <v>0</v>
      </c>
      <c r="Y57" s="2694">
        <f>COS_RR!Z87</f>
        <v>0</v>
      </c>
      <c r="Z57" s="2872">
        <f>COS_RR!AA87</f>
        <v>0</v>
      </c>
      <c r="AA57" s="104">
        <f>COS_RR!AB87</f>
        <v>0</v>
      </c>
      <c r="AB57" s="2932"/>
      <c r="AC57" s="2939"/>
      <c r="AD57" s="87"/>
    </row>
    <row r="58" spans="1:30">
      <c r="A58" s="411"/>
      <c r="B58"/>
      <c r="C58" s="2846">
        <f>IF(ISBLANK($E58),"",+MAX(C$12:C57)+1)</f>
        <v>44</v>
      </c>
      <c r="D58" s="2851">
        <f>'O&amp;M_Summ'!D44</f>
        <v>547010</v>
      </c>
      <c r="E58" s="2852" t="str">
        <f>'O&amp;M_Summ'!E44</f>
        <v>OTHER GENERATION - FUEL</v>
      </c>
      <c r="F58" s="2857"/>
      <c r="G58" s="493">
        <f>COS_RR!G88</f>
        <v>0</v>
      </c>
      <c r="H58" s="2860" t="str">
        <f>COS_RR!H88</f>
        <v>Power - Capacity</v>
      </c>
      <c r="I58" s="104">
        <f>COS_RR!J88</f>
        <v>0</v>
      </c>
      <c r="J58" s="104">
        <f>COS_RR!K88</f>
        <v>0</v>
      </c>
      <c r="K58" s="104">
        <f>COS_RR!L88</f>
        <v>0</v>
      </c>
      <c r="L58" s="104">
        <f>COS_RR!M88</f>
        <v>0</v>
      </c>
      <c r="M58" s="104">
        <f>COS_RR!N88</f>
        <v>0</v>
      </c>
      <c r="N58" s="104">
        <f>COS_RR!O88</f>
        <v>0</v>
      </c>
      <c r="O58" s="104">
        <f>COS_RR!P88</f>
        <v>0</v>
      </c>
      <c r="P58" s="104">
        <f>COS_RR!Q88</f>
        <v>0</v>
      </c>
      <c r="Q58" s="104">
        <f>COS_RR!R88</f>
        <v>0</v>
      </c>
      <c r="R58" s="104">
        <f>COS_RR!S88</f>
        <v>0</v>
      </c>
      <c r="S58" s="104">
        <f>COS_RR!T88</f>
        <v>0</v>
      </c>
      <c r="T58" s="104">
        <f>COS_RR!U88</f>
        <v>0</v>
      </c>
      <c r="U58" s="104">
        <f>COS_RR!V88</f>
        <v>0</v>
      </c>
      <c r="V58" s="104">
        <f>COS_RR!W88</f>
        <v>0</v>
      </c>
      <c r="W58" s="104">
        <f>COS_RR!X88</f>
        <v>0</v>
      </c>
      <c r="X58" s="104">
        <f>COS_RR!Y88</f>
        <v>0</v>
      </c>
      <c r="Y58" s="104">
        <f>COS_RR!Z88</f>
        <v>0</v>
      </c>
      <c r="Z58" s="2848">
        <f>COS_RR!AA88</f>
        <v>0</v>
      </c>
      <c r="AA58" s="104">
        <f>COS_RR!AB88</f>
        <v>0</v>
      </c>
      <c r="AB58" s="2932"/>
      <c r="AC58" s="2939"/>
      <c r="AD58" s="87"/>
    </row>
    <row r="59" spans="1:30">
      <c r="A59" s="411"/>
      <c r="B59" s="51"/>
      <c r="C59" s="2839">
        <f>IF(ISBLANK($E59),"",+MAX(C$12:C58)+1)</f>
        <v>45</v>
      </c>
      <c r="D59" s="2879">
        <f>'O&amp;M_Summ'!D45</f>
        <v>548010</v>
      </c>
      <c r="E59" s="2880" t="str">
        <f>'O&amp;M_Summ'!E45</f>
        <v>OTHER GENERATION - EXPENSES</v>
      </c>
      <c r="F59" s="2688"/>
      <c r="G59" s="2661">
        <f>COS_RR!G89</f>
        <v>0</v>
      </c>
      <c r="H59" s="2871" t="str">
        <f>COS_RR!H89</f>
        <v>Power - Capacity</v>
      </c>
      <c r="I59" s="2694">
        <f>COS_RR!J89</f>
        <v>0</v>
      </c>
      <c r="J59" s="2694">
        <f>COS_RR!K89</f>
        <v>0</v>
      </c>
      <c r="K59" s="2694">
        <f>COS_RR!L89</f>
        <v>0</v>
      </c>
      <c r="L59" s="2694">
        <f>COS_RR!M89</f>
        <v>0</v>
      </c>
      <c r="M59" s="2694">
        <f>COS_RR!N89</f>
        <v>0</v>
      </c>
      <c r="N59" s="2694">
        <f>COS_RR!O89</f>
        <v>0</v>
      </c>
      <c r="O59" s="2694">
        <f>COS_RR!P89</f>
        <v>0</v>
      </c>
      <c r="P59" s="2694">
        <f>COS_RR!Q89</f>
        <v>0</v>
      </c>
      <c r="Q59" s="2694">
        <f>COS_RR!R89</f>
        <v>0</v>
      </c>
      <c r="R59" s="2694">
        <f>COS_RR!S89</f>
        <v>0</v>
      </c>
      <c r="S59" s="2694">
        <f>COS_RR!T89</f>
        <v>0</v>
      </c>
      <c r="T59" s="2694">
        <f>COS_RR!U89</f>
        <v>0</v>
      </c>
      <c r="U59" s="2694">
        <f>COS_RR!V89</f>
        <v>0</v>
      </c>
      <c r="V59" s="2694">
        <f>COS_RR!W89</f>
        <v>0</v>
      </c>
      <c r="W59" s="2694">
        <f>COS_RR!X89</f>
        <v>0</v>
      </c>
      <c r="X59" s="2694">
        <f>COS_RR!Y89</f>
        <v>0</v>
      </c>
      <c r="Y59" s="2694">
        <f>COS_RR!Z89</f>
        <v>0</v>
      </c>
      <c r="Z59" s="2872">
        <f>COS_RR!AA89</f>
        <v>0</v>
      </c>
      <c r="AA59" s="104">
        <f>COS_RR!AB89</f>
        <v>0</v>
      </c>
      <c r="AB59" s="2932"/>
      <c r="AC59" s="2939"/>
      <c r="AD59" s="87"/>
    </row>
    <row r="60" spans="1:30">
      <c r="A60" s="411"/>
      <c r="B60"/>
      <c r="C60" s="2846">
        <f>IF(ISBLANK($E60),"",+MAX(C$12:C59)+1)</f>
        <v>46</v>
      </c>
      <c r="D60" s="2851">
        <f>'O&amp;M_Summ'!D46</f>
        <v>549000</v>
      </c>
      <c r="E60" s="2852" t="str">
        <f>'O&amp;M_Summ'!E46</f>
        <v>MISC OTHER POWER EXPENSE</v>
      </c>
      <c r="F60" s="2857"/>
      <c r="G60" s="493">
        <f>COS_RR!G90</f>
        <v>0</v>
      </c>
      <c r="H60" s="2860" t="str">
        <f>COS_RR!H90</f>
        <v>Power - Capacity</v>
      </c>
      <c r="I60" s="104">
        <f>COS_RR!J90</f>
        <v>0</v>
      </c>
      <c r="J60" s="104">
        <f>COS_RR!K90</f>
        <v>0</v>
      </c>
      <c r="K60" s="104">
        <f>COS_RR!L90</f>
        <v>0</v>
      </c>
      <c r="L60" s="104">
        <f>COS_RR!M90</f>
        <v>0</v>
      </c>
      <c r="M60" s="104">
        <f>COS_RR!N90</f>
        <v>0</v>
      </c>
      <c r="N60" s="104">
        <f>COS_RR!O90</f>
        <v>0</v>
      </c>
      <c r="O60" s="104">
        <f>COS_RR!P90</f>
        <v>0</v>
      </c>
      <c r="P60" s="104">
        <f>COS_RR!Q90</f>
        <v>0</v>
      </c>
      <c r="Q60" s="104">
        <f>COS_RR!R90</f>
        <v>0</v>
      </c>
      <c r="R60" s="104">
        <f>COS_RR!S90</f>
        <v>0</v>
      </c>
      <c r="S60" s="104">
        <f>COS_RR!T90</f>
        <v>0</v>
      </c>
      <c r="T60" s="104">
        <f>COS_RR!U90</f>
        <v>0</v>
      </c>
      <c r="U60" s="104">
        <f>COS_RR!V90</f>
        <v>0</v>
      </c>
      <c r="V60" s="104">
        <f>COS_RR!W90</f>
        <v>0</v>
      </c>
      <c r="W60" s="104">
        <f>COS_RR!X90</f>
        <v>0</v>
      </c>
      <c r="X60" s="104">
        <f>COS_RR!Y90</f>
        <v>0</v>
      </c>
      <c r="Y60" s="104">
        <f>COS_RR!Z90</f>
        <v>0</v>
      </c>
      <c r="Z60" s="2848">
        <f>COS_RR!AA90</f>
        <v>0</v>
      </c>
      <c r="AA60" s="104">
        <f>COS_RR!AB90</f>
        <v>0</v>
      </c>
      <c r="AB60" s="2932"/>
      <c r="AC60" s="2939"/>
      <c r="AD60" s="87"/>
    </row>
    <row r="61" spans="1:30" ht="16.5" thickBot="1">
      <c r="A61" s="411"/>
      <c r="B61" s="51"/>
      <c r="C61" s="2839">
        <f>IF(ISBLANK($E61),"",+MAX(C$12:C60)+1)</f>
        <v>47</v>
      </c>
      <c r="D61" s="2879">
        <f>'O&amp;M_Summ'!D47</f>
        <v>550000</v>
      </c>
      <c r="E61" s="2880" t="str">
        <f>'O&amp;M_Summ'!E47</f>
        <v>OTHER GENERATION - RENT</v>
      </c>
      <c r="F61" s="2688"/>
      <c r="G61" s="2661">
        <f>COS_RR!G91</f>
        <v>0</v>
      </c>
      <c r="H61" s="2881" t="str">
        <f>COS_RR!H91</f>
        <v>Power - Capacity</v>
      </c>
      <c r="I61" s="2694">
        <f>COS_RR!J91</f>
        <v>0</v>
      </c>
      <c r="J61" s="2694">
        <f>COS_RR!K91</f>
        <v>0</v>
      </c>
      <c r="K61" s="2694">
        <f>COS_RR!L91</f>
        <v>0</v>
      </c>
      <c r="L61" s="2694">
        <f>COS_RR!M91</f>
        <v>0</v>
      </c>
      <c r="M61" s="2694">
        <f>COS_RR!N91</f>
        <v>0</v>
      </c>
      <c r="N61" s="2694">
        <f>COS_RR!O91</f>
        <v>0</v>
      </c>
      <c r="O61" s="2694">
        <f>COS_RR!P91</f>
        <v>0</v>
      </c>
      <c r="P61" s="2694">
        <f>COS_RR!Q91</f>
        <v>0</v>
      </c>
      <c r="Q61" s="2694">
        <f>COS_RR!R91</f>
        <v>0</v>
      </c>
      <c r="R61" s="2694">
        <f>COS_RR!S91</f>
        <v>0</v>
      </c>
      <c r="S61" s="2694">
        <f>COS_RR!T91</f>
        <v>0</v>
      </c>
      <c r="T61" s="2694">
        <f>COS_RR!U91</f>
        <v>0</v>
      </c>
      <c r="U61" s="2694">
        <f>COS_RR!V91</f>
        <v>0</v>
      </c>
      <c r="V61" s="2694">
        <f>COS_RR!W91</f>
        <v>0</v>
      </c>
      <c r="W61" s="2694">
        <f>COS_RR!X91</f>
        <v>0</v>
      </c>
      <c r="X61" s="2694">
        <f>COS_RR!Y91</f>
        <v>0</v>
      </c>
      <c r="Y61" s="2694">
        <f>COS_RR!Z91</f>
        <v>0</v>
      </c>
      <c r="Z61" s="2872">
        <f>COS_RR!AA91</f>
        <v>0</v>
      </c>
      <c r="AA61" s="104">
        <f>COS_RR!AB91</f>
        <v>0</v>
      </c>
      <c r="AB61" s="2932"/>
      <c r="AC61" s="2939"/>
      <c r="AD61" s="87"/>
    </row>
    <row r="62" spans="1:30">
      <c r="A62" s="411"/>
      <c r="B62"/>
      <c r="C62" s="2846">
        <f>IF(ISBLANK($E62),"",+MAX(C$12:C61)+1)</f>
        <v>48</v>
      </c>
      <c r="D62" s="2857"/>
      <c r="E62" s="2854" t="str">
        <f>'O&amp;M_Summ'!E48</f>
        <v>Total Generation</v>
      </c>
      <c r="F62" s="2854"/>
      <c r="G62" s="2849">
        <f>SUM(G40:G61)</f>
        <v>635063.69790164474</v>
      </c>
      <c r="H62" s="2863"/>
      <c r="I62" s="2849">
        <f t="shared" ref="I62:Z62" si="1">SUM(I40:I61)</f>
        <v>0</v>
      </c>
      <c r="J62" s="2849">
        <f t="shared" si="1"/>
        <v>635064</v>
      </c>
      <c r="K62" s="2849">
        <f t="shared" si="1"/>
        <v>0</v>
      </c>
      <c r="L62" s="2849">
        <f t="shared" si="1"/>
        <v>0</v>
      </c>
      <c r="M62" s="2849">
        <f t="shared" si="1"/>
        <v>0</v>
      </c>
      <c r="N62" s="2849">
        <f t="shared" si="1"/>
        <v>0</v>
      </c>
      <c r="O62" s="2849">
        <f t="shared" si="1"/>
        <v>0</v>
      </c>
      <c r="P62" s="2849">
        <f t="shared" si="1"/>
        <v>0</v>
      </c>
      <c r="Q62" s="2849">
        <f t="shared" si="1"/>
        <v>0</v>
      </c>
      <c r="R62" s="2849">
        <f t="shared" si="1"/>
        <v>0</v>
      </c>
      <c r="S62" s="2849">
        <f t="shared" si="1"/>
        <v>0</v>
      </c>
      <c r="T62" s="2849">
        <f t="shared" si="1"/>
        <v>0</v>
      </c>
      <c r="U62" s="2849">
        <f t="shared" si="1"/>
        <v>0</v>
      </c>
      <c r="V62" s="2849">
        <f t="shared" si="1"/>
        <v>0</v>
      </c>
      <c r="W62" s="2849">
        <f t="shared" si="1"/>
        <v>0</v>
      </c>
      <c r="X62" s="2849">
        <f t="shared" si="1"/>
        <v>0</v>
      </c>
      <c r="Y62" s="2849">
        <f t="shared" si="1"/>
        <v>0</v>
      </c>
      <c r="Z62" s="2849">
        <f t="shared" si="1"/>
        <v>0</v>
      </c>
      <c r="AA62" s="216"/>
      <c r="AB62" s="2932"/>
      <c r="AC62" s="2939"/>
      <c r="AD62" s="87"/>
    </row>
    <row r="63" spans="1:30">
      <c r="A63" s="411"/>
      <c r="B63" s="51"/>
      <c r="C63" s="2839" t="str">
        <f>IF(ISBLANK($E63),"",+MAX(C$12:C62)+1)</f>
        <v/>
      </c>
      <c r="D63" s="2688"/>
      <c r="E63" s="2688"/>
      <c r="F63" s="2688"/>
      <c r="G63" s="2694"/>
      <c r="H63" s="2869"/>
      <c r="I63" s="2694"/>
      <c r="J63" s="2694"/>
      <c r="K63" s="2694"/>
      <c r="L63" s="2694"/>
      <c r="M63" s="2694"/>
      <c r="N63" s="2694"/>
      <c r="O63" s="2694"/>
      <c r="P63" s="2694"/>
      <c r="Q63" s="2694"/>
      <c r="R63" s="2694"/>
      <c r="S63" s="2694"/>
      <c r="T63" s="2694"/>
      <c r="U63" s="2694"/>
      <c r="V63" s="2694"/>
      <c r="W63" s="2694"/>
      <c r="X63" s="2694"/>
      <c r="Y63" s="2694"/>
      <c r="Z63" s="2872"/>
      <c r="AA63" s="104"/>
      <c r="AB63" s="2932"/>
      <c r="AC63" s="2939"/>
      <c r="AD63" s="87"/>
    </row>
    <row r="64" spans="1:30" ht="16.5" thickBot="1">
      <c r="A64" s="411"/>
      <c r="B64"/>
      <c r="C64" s="2846">
        <f>IF(ISBLANK($E64),"",+MAX(C$12:C63)+1)</f>
        <v>49</v>
      </c>
      <c r="D64" s="2857"/>
      <c r="E64" s="1587" t="s">
        <v>600</v>
      </c>
      <c r="F64" s="1587"/>
      <c r="G64" s="104"/>
      <c r="H64" s="495"/>
      <c r="I64" s="104"/>
      <c r="J64" s="104"/>
      <c r="K64" s="104"/>
      <c r="L64" s="104"/>
      <c r="M64" s="104"/>
      <c r="N64" s="104"/>
      <c r="O64" s="104"/>
      <c r="P64" s="104"/>
      <c r="Q64" s="104"/>
      <c r="R64" s="104"/>
      <c r="S64" s="104"/>
      <c r="T64" s="104"/>
      <c r="U64" s="104"/>
      <c r="V64" s="104"/>
      <c r="W64" s="104"/>
      <c r="X64" s="104"/>
      <c r="Y64" s="104"/>
      <c r="Z64" s="2848"/>
      <c r="AA64" s="104"/>
      <c r="AB64" s="2932"/>
      <c r="AC64" s="2939"/>
      <c r="AD64" s="87"/>
    </row>
    <row r="65" spans="1:30">
      <c r="A65" s="411"/>
      <c r="B65" s="51"/>
      <c r="C65" s="2839">
        <f>IF(ISBLANK($E65),"",+MAX(C$12:C64)+1)</f>
        <v>50</v>
      </c>
      <c r="D65" s="2879">
        <f>'O&amp;M_Summ'!D51</f>
        <v>560000</v>
      </c>
      <c r="E65" s="2880" t="str">
        <f>'O&amp;M_Summ'!E51</f>
        <v>T/OPERS-SUPV &amp; ENG</v>
      </c>
      <c r="F65" s="2688"/>
      <c r="G65" s="2873">
        <f>COS_RR!G95</f>
        <v>121430.21571194817</v>
      </c>
      <c r="H65" s="2882" t="str">
        <f>COS_RR!H95</f>
        <v>Trans - Capacity</v>
      </c>
      <c r="I65" s="2873">
        <f>COS_RR!J95</f>
        <v>0</v>
      </c>
      <c r="J65" s="2873">
        <f>COS_RR!K95</f>
        <v>0</v>
      </c>
      <c r="K65" s="2873">
        <f>COS_RR!L95</f>
        <v>121430</v>
      </c>
      <c r="L65" s="2873">
        <f>COS_RR!M95</f>
        <v>0</v>
      </c>
      <c r="M65" s="2873">
        <f>COS_RR!N95</f>
        <v>0</v>
      </c>
      <c r="N65" s="2873">
        <f>COS_RR!O95</f>
        <v>0</v>
      </c>
      <c r="O65" s="2873">
        <f>COS_RR!P95</f>
        <v>0</v>
      </c>
      <c r="P65" s="2873">
        <f>COS_RR!Q95</f>
        <v>0</v>
      </c>
      <c r="Q65" s="2873">
        <f>COS_RR!R95</f>
        <v>0</v>
      </c>
      <c r="R65" s="2873">
        <f>COS_RR!S95</f>
        <v>0</v>
      </c>
      <c r="S65" s="2873">
        <f>COS_RR!T95</f>
        <v>0</v>
      </c>
      <c r="T65" s="2873">
        <f>COS_RR!U95</f>
        <v>0</v>
      </c>
      <c r="U65" s="2873">
        <f>COS_RR!V95</f>
        <v>0</v>
      </c>
      <c r="V65" s="2873">
        <f>COS_RR!W95</f>
        <v>0</v>
      </c>
      <c r="W65" s="2873">
        <f>COS_RR!X95</f>
        <v>0</v>
      </c>
      <c r="X65" s="2873">
        <f>COS_RR!Y95</f>
        <v>0</v>
      </c>
      <c r="Y65" s="2873">
        <f>COS_RR!Z95</f>
        <v>0</v>
      </c>
      <c r="Z65" s="2873">
        <f>COS_RR!AA95</f>
        <v>0</v>
      </c>
      <c r="AA65" s="2858">
        <f>COS_RR!AB95</f>
        <v>0</v>
      </c>
      <c r="AB65" s="2932"/>
      <c r="AC65" s="2939"/>
      <c r="AD65" s="87"/>
    </row>
    <row r="66" spans="1:30">
      <c r="A66" s="411"/>
      <c r="B66"/>
      <c r="C66" s="2846">
        <f>IF(ISBLANK($E66),"",+MAX(C$12:C65)+1)</f>
        <v>51</v>
      </c>
      <c r="D66" s="2851">
        <f>'O&amp;M_Summ'!D52</f>
        <v>561000</v>
      </c>
      <c r="E66" s="2852" t="str">
        <f>'O&amp;M_Summ'!E52</f>
        <v>T/OPERS-LOAD DISPATCHING</v>
      </c>
      <c r="F66" s="2857"/>
      <c r="G66" s="493">
        <f>COS_RR!G96</f>
        <v>386111.65754077194</v>
      </c>
      <c r="H66" s="2860" t="str">
        <f>COS_RR!H96</f>
        <v>Trans - Capacity</v>
      </c>
      <c r="I66" s="104">
        <f>COS_RR!J96</f>
        <v>0</v>
      </c>
      <c r="J66" s="104">
        <f>COS_RR!K96</f>
        <v>0</v>
      </c>
      <c r="K66" s="104">
        <f>COS_RR!L96</f>
        <v>386112</v>
      </c>
      <c r="L66" s="104">
        <f>COS_RR!M96</f>
        <v>0</v>
      </c>
      <c r="M66" s="104">
        <f>COS_RR!N96</f>
        <v>0</v>
      </c>
      <c r="N66" s="104">
        <f>COS_RR!O96</f>
        <v>0</v>
      </c>
      <c r="O66" s="104">
        <f>COS_RR!P96</f>
        <v>0</v>
      </c>
      <c r="P66" s="104">
        <f>COS_RR!Q96</f>
        <v>0</v>
      </c>
      <c r="Q66" s="104">
        <f>COS_RR!R96</f>
        <v>0</v>
      </c>
      <c r="R66" s="104">
        <f>COS_RR!S96</f>
        <v>0</v>
      </c>
      <c r="S66" s="104">
        <f>COS_RR!T96</f>
        <v>0</v>
      </c>
      <c r="T66" s="104">
        <f>COS_RR!U96</f>
        <v>0</v>
      </c>
      <c r="U66" s="104">
        <f>COS_RR!V96</f>
        <v>0</v>
      </c>
      <c r="V66" s="104">
        <f>COS_RR!W96</f>
        <v>0</v>
      </c>
      <c r="W66" s="104">
        <f>COS_RR!X96</f>
        <v>0</v>
      </c>
      <c r="X66" s="104">
        <f>COS_RR!Y96</f>
        <v>0</v>
      </c>
      <c r="Y66" s="104">
        <f>COS_RR!Z96</f>
        <v>0</v>
      </c>
      <c r="Z66" s="2848">
        <f>COS_RR!AA96</f>
        <v>0</v>
      </c>
      <c r="AA66" s="104">
        <f>COS_RR!AB96</f>
        <v>0</v>
      </c>
      <c r="AB66" s="2932"/>
      <c r="AC66" s="2939"/>
      <c r="AD66" s="87"/>
    </row>
    <row r="67" spans="1:30">
      <c r="A67" s="411"/>
      <c r="B67" s="51"/>
      <c r="C67" s="2839">
        <f>IF(ISBLANK($E67),"",+MAX(C$12:C66)+1)</f>
        <v>52</v>
      </c>
      <c r="D67" s="2879">
        <f>'O&amp;M_Summ'!D53</f>
        <v>561010</v>
      </c>
      <c r="E67" s="2880" t="str">
        <f>'O&amp;M_Summ'!E53</f>
        <v>T/OPERS-LOAD DISPATCH-GEN</v>
      </c>
      <c r="F67" s="2688"/>
      <c r="G67" s="2661">
        <f>COS_RR!G97</f>
        <v>928683.03817135957</v>
      </c>
      <c r="H67" s="2871" t="str">
        <f>COS_RR!H97</f>
        <v>Trans - Capacity</v>
      </c>
      <c r="I67" s="2694">
        <f>COS_RR!J97</f>
        <v>0</v>
      </c>
      <c r="J67" s="2694">
        <f>COS_RR!K97</f>
        <v>0</v>
      </c>
      <c r="K67" s="2694">
        <f>COS_RR!L97</f>
        <v>928683</v>
      </c>
      <c r="L67" s="2694">
        <f>COS_RR!M97</f>
        <v>0</v>
      </c>
      <c r="M67" s="2694">
        <f>COS_RR!N97</f>
        <v>0</v>
      </c>
      <c r="N67" s="2694">
        <f>COS_RR!O97</f>
        <v>0</v>
      </c>
      <c r="O67" s="2694">
        <f>COS_RR!P97</f>
        <v>0</v>
      </c>
      <c r="P67" s="2694">
        <f>COS_RR!Q97</f>
        <v>0</v>
      </c>
      <c r="Q67" s="2694">
        <f>COS_RR!R97</f>
        <v>0</v>
      </c>
      <c r="R67" s="2694">
        <f>COS_RR!S97</f>
        <v>0</v>
      </c>
      <c r="S67" s="2694">
        <f>COS_RR!T97</f>
        <v>0</v>
      </c>
      <c r="T67" s="2694">
        <f>COS_RR!U97</f>
        <v>0</v>
      </c>
      <c r="U67" s="2694">
        <f>COS_RR!V97</f>
        <v>0</v>
      </c>
      <c r="V67" s="2694">
        <f>COS_RR!W97</f>
        <v>0</v>
      </c>
      <c r="W67" s="2694">
        <f>COS_RR!X97</f>
        <v>0</v>
      </c>
      <c r="X67" s="2694">
        <f>COS_RR!Y97</f>
        <v>0</v>
      </c>
      <c r="Y67" s="2694">
        <f>COS_RR!Z97</f>
        <v>0</v>
      </c>
      <c r="Z67" s="2872">
        <f>COS_RR!AA97</f>
        <v>0</v>
      </c>
      <c r="AA67" s="104">
        <f>COS_RR!AB97</f>
        <v>0</v>
      </c>
      <c r="AB67" s="2932"/>
      <c r="AC67" s="2939"/>
      <c r="AD67" s="87"/>
    </row>
    <row r="68" spans="1:30">
      <c r="A68" s="411"/>
      <c r="B68"/>
      <c r="C68" s="2846">
        <f>IF(ISBLANK($E68),"",+MAX(C$12:C67)+1)</f>
        <v>53</v>
      </c>
      <c r="D68" s="2851">
        <f>'O&amp;M_Summ'!D54</f>
        <v>561500</v>
      </c>
      <c r="E68" s="2852" t="str">
        <f>'O&amp;M_Summ'!E54</f>
        <v>T/OPERS-LOAD DISPATCH, QC</v>
      </c>
      <c r="F68" s="2857"/>
      <c r="G68" s="493">
        <f>COS_RR!G98</f>
        <v>1286.8940691746482</v>
      </c>
      <c r="H68" s="2860" t="str">
        <f>COS_RR!H98</f>
        <v>Trans - Capacity</v>
      </c>
      <c r="I68" s="104">
        <f>COS_RR!J98</f>
        <v>0</v>
      </c>
      <c r="J68" s="104">
        <f>COS_RR!K98</f>
        <v>0</v>
      </c>
      <c r="K68" s="104">
        <f>COS_RR!L98</f>
        <v>1287</v>
      </c>
      <c r="L68" s="104">
        <f>COS_RR!M98</f>
        <v>0</v>
      </c>
      <c r="M68" s="104">
        <f>COS_RR!N98</f>
        <v>0</v>
      </c>
      <c r="N68" s="104">
        <f>COS_RR!O98</f>
        <v>0</v>
      </c>
      <c r="O68" s="104">
        <f>COS_RR!P98</f>
        <v>0</v>
      </c>
      <c r="P68" s="104">
        <f>COS_RR!Q98</f>
        <v>0</v>
      </c>
      <c r="Q68" s="104">
        <f>COS_RR!R98</f>
        <v>0</v>
      </c>
      <c r="R68" s="104">
        <f>COS_RR!S98</f>
        <v>0</v>
      </c>
      <c r="S68" s="104">
        <f>COS_RR!T98</f>
        <v>0</v>
      </c>
      <c r="T68" s="104">
        <f>COS_RR!U98</f>
        <v>0</v>
      </c>
      <c r="U68" s="104">
        <f>COS_RR!V98</f>
        <v>0</v>
      </c>
      <c r="V68" s="104">
        <f>COS_RR!W98</f>
        <v>0</v>
      </c>
      <c r="W68" s="104">
        <f>COS_RR!X98</f>
        <v>0</v>
      </c>
      <c r="X68" s="104">
        <f>COS_RR!Y98</f>
        <v>0</v>
      </c>
      <c r="Y68" s="104">
        <f>COS_RR!Z98</f>
        <v>0</v>
      </c>
      <c r="Z68" s="2848">
        <f>COS_RR!AA98</f>
        <v>0</v>
      </c>
      <c r="AA68" s="104">
        <f>COS_RR!AB98</f>
        <v>0</v>
      </c>
      <c r="AB68" s="2932"/>
      <c r="AC68" s="2939"/>
      <c r="AD68" s="87"/>
    </row>
    <row r="69" spans="1:30">
      <c r="A69" s="411"/>
      <c r="B69" s="51"/>
      <c r="C69" s="2839">
        <f>IF(ISBLANK($E69),"",+MAX(C$12:C68)+1)</f>
        <v>54</v>
      </c>
      <c r="D69" s="2879">
        <f>'O&amp;M_Summ'!D55</f>
        <v>561600</v>
      </c>
      <c r="E69" s="2880" t="str">
        <f>'O&amp;M_Summ'!E55</f>
        <v>T/OPERS-LOAD DISPATCH, PEC</v>
      </c>
      <c r="F69" s="2688"/>
      <c r="G69" s="2661">
        <f>COS_RR!G99</f>
        <v>1051.6883627725224</v>
      </c>
      <c r="H69" s="2871" t="str">
        <f>COS_RR!H99</f>
        <v>Trans - Capacity</v>
      </c>
      <c r="I69" s="2694">
        <f>COS_RR!J99</f>
        <v>0</v>
      </c>
      <c r="J69" s="2694">
        <f>COS_RR!K99</f>
        <v>0</v>
      </c>
      <c r="K69" s="2694">
        <f>COS_RR!L99</f>
        <v>1052</v>
      </c>
      <c r="L69" s="2694">
        <f>COS_RR!M99</f>
        <v>0</v>
      </c>
      <c r="M69" s="2694">
        <f>COS_RR!N99</f>
        <v>0</v>
      </c>
      <c r="N69" s="2694">
        <f>COS_RR!O99</f>
        <v>0</v>
      </c>
      <c r="O69" s="2694">
        <f>COS_RR!P99</f>
        <v>0</v>
      </c>
      <c r="P69" s="2694">
        <f>COS_RR!Q99</f>
        <v>0</v>
      </c>
      <c r="Q69" s="2694">
        <f>COS_RR!R99</f>
        <v>0</v>
      </c>
      <c r="R69" s="2694">
        <f>COS_RR!S99</f>
        <v>0</v>
      </c>
      <c r="S69" s="2694">
        <f>COS_RR!T99</f>
        <v>0</v>
      </c>
      <c r="T69" s="2694">
        <f>COS_RR!U99</f>
        <v>0</v>
      </c>
      <c r="U69" s="2694">
        <f>COS_RR!V99</f>
        <v>0</v>
      </c>
      <c r="V69" s="2694">
        <f>COS_RR!W99</f>
        <v>0</v>
      </c>
      <c r="W69" s="2694">
        <f>COS_RR!X99</f>
        <v>0</v>
      </c>
      <c r="X69" s="2694">
        <f>COS_RR!Y99</f>
        <v>0</v>
      </c>
      <c r="Y69" s="2694">
        <f>COS_RR!Z99</f>
        <v>0</v>
      </c>
      <c r="Z69" s="2872">
        <f>COS_RR!AA99</f>
        <v>0</v>
      </c>
      <c r="AA69" s="104">
        <f>COS_RR!AB99</f>
        <v>0</v>
      </c>
      <c r="AB69" s="2932"/>
      <c r="AC69" s="2939"/>
      <c r="AD69" s="87"/>
    </row>
    <row r="70" spans="1:30">
      <c r="A70" s="411"/>
      <c r="B70"/>
      <c r="C70" s="2846">
        <f>IF(ISBLANK($E70),"",+MAX(C$12:C69)+1)</f>
        <v>55</v>
      </c>
      <c r="D70" s="2851">
        <f>'O&amp;M_Summ'!D56</f>
        <v>562000</v>
      </c>
      <c r="E70" s="2852" t="str">
        <f>'O&amp;M_Summ'!E56</f>
        <v>T/OPERS-STATION EXP</v>
      </c>
      <c r="F70" s="2857"/>
      <c r="G70" s="493">
        <f>COS_RR!G100</f>
        <v>18834.822924865101</v>
      </c>
      <c r="H70" s="2860" t="str">
        <f>COS_RR!H100</f>
        <v>Trans - Capacity</v>
      </c>
      <c r="I70" s="104">
        <f>COS_RR!J100</f>
        <v>0</v>
      </c>
      <c r="J70" s="104">
        <f>COS_RR!K100</f>
        <v>0</v>
      </c>
      <c r="K70" s="104">
        <f>COS_RR!L100</f>
        <v>18835</v>
      </c>
      <c r="L70" s="104">
        <f>COS_RR!M100</f>
        <v>0</v>
      </c>
      <c r="M70" s="104">
        <f>COS_RR!N100</f>
        <v>0</v>
      </c>
      <c r="N70" s="104">
        <f>COS_RR!O100</f>
        <v>0</v>
      </c>
      <c r="O70" s="104">
        <f>COS_RR!P100</f>
        <v>0</v>
      </c>
      <c r="P70" s="104">
        <f>COS_RR!Q100</f>
        <v>0</v>
      </c>
      <c r="Q70" s="104">
        <f>COS_RR!R100</f>
        <v>0</v>
      </c>
      <c r="R70" s="104">
        <f>COS_RR!S100</f>
        <v>0</v>
      </c>
      <c r="S70" s="104">
        <f>COS_RR!T100</f>
        <v>0</v>
      </c>
      <c r="T70" s="104">
        <f>COS_RR!U100</f>
        <v>0</v>
      </c>
      <c r="U70" s="104">
        <f>COS_RR!V100</f>
        <v>0</v>
      </c>
      <c r="V70" s="104">
        <f>COS_RR!W100</f>
        <v>0</v>
      </c>
      <c r="W70" s="104">
        <f>COS_RR!X100</f>
        <v>0</v>
      </c>
      <c r="X70" s="104">
        <f>COS_RR!Y100</f>
        <v>0</v>
      </c>
      <c r="Y70" s="104">
        <f>COS_RR!Z100</f>
        <v>0</v>
      </c>
      <c r="Z70" s="2848">
        <f>COS_RR!AA100</f>
        <v>0</v>
      </c>
      <c r="AA70" s="104">
        <f>COS_RR!AB100</f>
        <v>0</v>
      </c>
      <c r="AB70" s="2932"/>
      <c r="AC70" s="2939"/>
      <c r="AD70" s="87"/>
    </row>
    <row r="71" spans="1:30">
      <c r="A71" s="411"/>
      <c r="B71" s="51"/>
      <c r="C71" s="2839">
        <f>IF(ISBLANK($E71),"",+MAX(C$12:C70)+1)</f>
        <v>56</v>
      </c>
      <c r="D71" s="2879">
        <f>'O&amp;M_Summ'!D57</f>
        <v>563000</v>
      </c>
      <c r="E71" s="2880" t="str">
        <f>'O&amp;M_Summ'!E57</f>
        <v>T/OPERS-OVERHEAD LINE EXP</v>
      </c>
      <c r="F71" s="2688"/>
      <c r="G71" s="2661">
        <f>COS_RR!G101</f>
        <v>47086.901664597543</v>
      </c>
      <c r="H71" s="2871" t="str">
        <f>COS_RR!H101</f>
        <v>Trans - Capacity</v>
      </c>
      <c r="I71" s="2694">
        <f>COS_RR!J101</f>
        <v>0</v>
      </c>
      <c r="J71" s="2694">
        <f>COS_RR!K101</f>
        <v>0</v>
      </c>
      <c r="K71" s="2694">
        <f>COS_RR!L101</f>
        <v>47087</v>
      </c>
      <c r="L71" s="2694">
        <f>COS_RR!M101</f>
        <v>0</v>
      </c>
      <c r="M71" s="2694">
        <f>COS_RR!N101</f>
        <v>0</v>
      </c>
      <c r="N71" s="2694">
        <f>COS_RR!O101</f>
        <v>0</v>
      </c>
      <c r="O71" s="2694">
        <f>COS_RR!P101</f>
        <v>0</v>
      </c>
      <c r="P71" s="2694">
        <f>COS_RR!Q101</f>
        <v>0</v>
      </c>
      <c r="Q71" s="2694">
        <f>COS_RR!R101</f>
        <v>0</v>
      </c>
      <c r="R71" s="2694">
        <f>COS_RR!S101</f>
        <v>0</v>
      </c>
      <c r="S71" s="2694">
        <f>COS_RR!T101</f>
        <v>0</v>
      </c>
      <c r="T71" s="2694">
        <f>COS_RR!U101</f>
        <v>0</v>
      </c>
      <c r="U71" s="2694">
        <f>COS_RR!V101</f>
        <v>0</v>
      </c>
      <c r="V71" s="2694">
        <f>COS_RR!W101</f>
        <v>0</v>
      </c>
      <c r="W71" s="2694">
        <f>COS_RR!X101</f>
        <v>0</v>
      </c>
      <c r="X71" s="2694">
        <f>COS_RR!Y101</f>
        <v>0</v>
      </c>
      <c r="Y71" s="2694">
        <f>COS_RR!Z101</f>
        <v>0</v>
      </c>
      <c r="Z71" s="2872">
        <f>COS_RR!AA101</f>
        <v>0</v>
      </c>
      <c r="AA71" s="104">
        <f>COS_RR!AB101</f>
        <v>0</v>
      </c>
      <c r="AB71" s="2932"/>
      <c r="AC71" s="2939"/>
      <c r="AD71" s="87"/>
    </row>
    <row r="72" spans="1:30">
      <c r="A72" s="411"/>
      <c r="B72"/>
      <c r="C72" s="2846">
        <f>IF(ISBLANK($E72),"",+MAX(C$12:C71)+1)</f>
        <v>57</v>
      </c>
      <c r="D72" s="2851">
        <f>'O&amp;M_Summ'!D58</f>
        <v>565010</v>
      </c>
      <c r="E72" s="2852" t="str">
        <f>'O&amp;M_Summ'!E58</f>
        <v>T/TRANSMISSION BY OTHERS</v>
      </c>
      <c r="F72" s="2857"/>
      <c r="G72" s="493">
        <f>COS_RR!G102</f>
        <v>633385.04069380811</v>
      </c>
      <c r="H72" s="2860" t="str">
        <f>COS_RR!H102</f>
        <v>Trans - Capacity</v>
      </c>
      <c r="I72" s="104">
        <f>COS_RR!J102</f>
        <v>0</v>
      </c>
      <c r="J72" s="104">
        <f>COS_RR!K102</f>
        <v>0</v>
      </c>
      <c r="K72" s="104">
        <f>COS_RR!L102</f>
        <v>633385</v>
      </c>
      <c r="L72" s="104">
        <f>COS_RR!M102</f>
        <v>0</v>
      </c>
      <c r="M72" s="104">
        <f>COS_RR!N102</f>
        <v>0</v>
      </c>
      <c r="N72" s="104">
        <f>COS_RR!O102</f>
        <v>0</v>
      </c>
      <c r="O72" s="104">
        <f>COS_RR!P102</f>
        <v>0</v>
      </c>
      <c r="P72" s="104">
        <f>COS_RR!Q102</f>
        <v>0</v>
      </c>
      <c r="Q72" s="104">
        <f>COS_RR!R102</f>
        <v>0</v>
      </c>
      <c r="R72" s="104">
        <f>COS_RR!S102</f>
        <v>0</v>
      </c>
      <c r="S72" s="104">
        <f>COS_RR!T102</f>
        <v>0</v>
      </c>
      <c r="T72" s="104">
        <f>COS_RR!U102</f>
        <v>0</v>
      </c>
      <c r="U72" s="104">
        <f>COS_RR!V102</f>
        <v>0</v>
      </c>
      <c r="V72" s="104">
        <f>COS_RR!W102</f>
        <v>0</v>
      </c>
      <c r="W72" s="104">
        <f>COS_RR!X102</f>
        <v>0</v>
      </c>
      <c r="X72" s="104">
        <f>COS_RR!Y102</f>
        <v>0</v>
      </c>
      <c r="Y72" s="104">
        <f>COS_RR!Z102</f>
        <v>0</v>
      </c>
      <c r="Z72" s="2848">
        <f>COS_RR!AA102</f>
        <v>0</v>
      </c>
      <c r="AA72" s="104">
        <f>COS_RR!AB102</f>
        <v>0</v>
      </c>
      <c r="AB72" s="2932"/>
      <c r="AC72" s="2939"/>
      <c r="AD72" s="87"/>
    </row>
    <row r="73" spans="1:30">
      <c r="A73" s="411"/>
      <c r="B73" s="51"/>
      <c r="C73" s="2839">
        <f>IF(ISBLANK($E73),"",+MAX(C$12:C72)+1)</f>
        <v>58</v>
      </c>
      <c r="D73" s="2879">
        <f>'O&amp;M_Summ'!D59</f>
        <v>566000</v>
      </c>
      <c r="E73" s="2880" t="str">
        <f>'O&amp;M_Summ'!E59</f>
        <v>T/OPERS-MISC EXP</v>
      </c>
      <c r="F73" s="2688"/>
      <c r="G73" s="2661">
        <f>COS_RR!G103</f>
        <v>593789.60226556344</v>
      </c>
      <c r="H73" s="2871" t="str">
        <f>COS_RR!H103</f>
        <v>Trans - Capacity</v>
      </c>
      <c r="I73" s="2694">
        <f>COS_RR!J103</f>
        <v>0</v>
      </c>
      <c r="J73" s="2694">
        <f>COS_RR!K103</f>
        <v>0</v>
      </c>
      <c r="K73" s="2694">
        <f>COS_RR!L103</f>
        <v>593790</v>
      </c>
      <c r="L73" s="2694">
        <f>COS_RR!M103</f>
        <v>0</v>
      </c>
      <c r="M73" s="2694">
        <f>COS_RR!N103</f>
        <v>0</v>
      </c>
      <c r="N73" s="2694">
        <f>COS_RR!O103</f>
        <v>0</v>
      </c>
      <c r="O73" s="2694">
        <f>COS_RR!P103</f>
        <v>0</v>
      </c>
      <c r="P73" s="2694">
        <f>COS_RR!Q103</f>
        <v>0</v>
      </c>
      <c r="Q73" s="2694">
        <f>COS_RR!R103</f>
        <v>0</v>
      </c>
      <c r="R73" s="2694">
        <f>COS_RR!S103</f>
        <v>0</v>
      </c>
      <c r="S73" s="2694">
        <f>COS_RR!T103</f>
        <v>0</v>
      </c>
      <c r="T73" s="2694">
        <f>COS_RR!U103</f>
        <v>0</v>
      </c>
      <c r="U73" s="2694">
        <f>COS_RR!V103</f>
        <v>0</v>
      </c>
      <c r="V73" s="2694">
        <f>COS_RR!W103</f>
        <v>0</v>
      </c>
      <c r="W73" s="2694">
        <f>COS_RR!X103</f>
        <v>0</v>
      </c>
      <c r="X73" s="2694">
        <f>COS_RR!Y103</f>
        <v>0</v>
      </c>
      <c r="Y73" s="2694">
        <f>COS_RR!Z103</f>
        <v>0</v>
      </c>
      <c r="Z73" s="2872">
        <f>COS_RR!AA103</f>
        <v>0</v>
      </c>
      <c r="AA73" s="104">
        <f>COS_RR!AB103</f>
        <v>0</v>
      </c>
      <c r="AB73" s="2932"/>
      <c r="AC73" s="2939"/>
      <c r="AD73" s="87"/>
    </row>
    <row r="74" spans="1:30">
      <c r="A74" s="411"/>
      <c r="B74"/>
      <c r="C74" s="2846">
        <f>IF(ISBLANK($E74),"",+MAX(C$12:C73)+1)</f>
        <v>59</v>
      </c>
      <c r="D74" s="2851">
        <f>'O&amp;M_Summ'!D60</f>
        <v>567000</v>
      </c>
      <c r="E74" s="2852" t="str">
        <f>'O&amp;M_Summ'!E60</f>
        <v>T/RENTS</v>
      </c>
      <c r="F74" s="2857"/>
      <c r="G74" s="493">
        <f>COS_RR!G104</f>
        <v>0</v>
      </c>
      <c r="H74" s="2860" t="str">
        <f>COS_RR!H104</f>
        <v>Trans - Capacity</v>
      </c>
      <c r="I74" s="104">
        <f>COS_RR!J104</f>
        <v>0</v>
      </c>
      <c r="J74" s="104">
        <f>COS_RR!K104</f>
        <v>0</v>
      </c>
      <c r="K74" s="104">
        <f>COS_RR!L104</f>
        <v>0</v>
      </c>
      <c r="L74" s="104">
        <f>COS_RR!M104</f>
        <v>0</v>
      </c>
      <c r="M74" s="104">
        <f>COS_RR!N104</f>
        <v>0</v>
      </c>
      <c r="N74" s="104">
        <f>COS_RR!O104</f>
        <v>0</v>
      </c>
      <c r="O74" s="104">
        <f>COS_RR!P104</f>
        <v>0</v>
      </c>
      <c r="P74" s="104">
        <f>COS_RR!Q104</f>
        <v>0</v>
      </c>
      <c r="Q74" s="104">
        <f>COS_RR!R104</f>
        <v>0</v>
      </c>
      <c r="R74" s="104">
        <f>COS_RR!S104</f>
        <v>0</v>
      </c>
      <c r="S74" s="104">
        <f>COS_RR!T104</f>
        <v>0</v>
      </c>
      <c r="T74" s="104">
        <f>COS_RR!U104</f>
        <v>0</v>
      </c>
      <c r="U74" s="104">
        <f>COS_RR!V104</f>
        <v>0</v>
      </c>
      <c r="V74" s="104">
        <f>COS_RR!W104</f>
        <v>0</v>
      </c>
      <c r="W74" s="104">
        <f>COS_RR!X104</f>
        <v>0</v>
      </c>
      <c r="X74" s="104">
        <f>COS_RR!Y104</f>
        <v>0</v>
      </c>
      <c r="Y74" s="104">
        <f>COS_RR!Z104</f>
        <v>0</v>
      </c>
      <c r="Z74" s="2848">
        <f>COS_RR!AA104</f>
        <v>0</v>
      </c>
      <c r="AA74" s="104">
        <f>COS_RR!AB104</f>
        <v>0</v>
      </c>
      <c r="AB74" s="2932"/>
      <c r="AC74" s="2939"/>
      <c r="AD74" s="87"/>
    </row>
    <row r="75" spans="1:30">
      <c r="A75" s="411"/>
      <c r="B75" s="51"/>
      <c r="C75" s="2839">
        <f>IF(ISBLANK($E75),"",+MAX(C$12:C74)+1)</f>
        <v>60</v>
      </c>
      <c r="D75" s="2879">
        <f>'O&amp;M_Summ'!D61</f>
        <v>568000</v>
      </c>
      <c r="E75" s="2880" t="str">
        <f>'O&amp;M_Summ'!E61</f>
        <v>T/MAINT-SUPR &amp; ENG</v>
      </c>
      <c r="F75" s="2688"/>
      <c r="G75" s="2661">
        <f>COS_RR!G105</f>
        <v>122250.06702633711</v>
      </c>
      <c r="H75" s="2871" t="str">
        <f>COS_RR!H105</f>
        <v>Trans - Capacity</v>
      </c>
      <c r="I75" s="2694">
        <f>COS_RR!J105</f>
        <v>0</v>
      </c>
      <c r="J75" s="2694">
        <f>COS_RR!K105</f>
        <v>0</v>
      </c>
      <c r="K75" s="2694">
        <f>COS_RR!L105</f>
        <v>122250</v>
      </c>
      <c r="L75" s="2694">
        <f>COS_RR!M105</f>
        <v>0</v>
      </c>
      <c r="M75" s="2694">
        <f>COS_RR!N105</f>
        <v>0</v>
      </c>
      <c r="N75" s="2694">
        <f>COS_RR!O105</f>
        <v>0</v>
      </c>
      <c r="O75" s="2694">
        <f>COS_RR!P105</f>
        <v>0</v>
      </c>
      <c r="P75" s="2694">
        <f>COS_RR!Q105</f>
        <v>0</v>
      </c>
      <c r="Q75" s="2694">
        <f>COS_RR!R105</f>
        <v>0</v>
      </c>
      <c r="R75" s="2694">
        <f>COS_RR!S105</f>
        <v>0</v>
      </c>
      <c r="S75" s="2694">
        <f>COS_RR!T105</f>
        <v>0</v>
      </c>
      <c r="T75" s="2694">
        <f>COS_RR!U105</f>
        <v>0</v>
      </c>
      <c r="U75" s="2694">
        <f>COS_RR!V105</f>
        <v>0</v>
      </c>
      <c r="V75" s="2694">
        <f>COS_RR!W105</f>
        <v>0</v>
      </c>
      <c r="W75" s="2694">
        <f>COS_RR!X105</f>
        <v>0</v>
      </c>
      <c r="X75" s="2694">
        <f>COS_RR!Y105</f>
        <v>0</v>
      </c>
      <c r="Y75" s="2694">
        <f>COS_RR!Z105</f>
        <v>0</v>
      </c>
      <c r="Z75" s="2872">
        <f>COS_RR!AA105</f>
        <v>0</v>
      </c>
      <c r="AA75" s="104">
        <f>COS_RR!AB105</f>
        <v>0</v>
      </c>
      <c r="AB75" s="2932"/>
      <c r="AC75" s="2939"/>
      <c r="AD75" s="87"/>
    </row>
    <row r="76" spans="1:30">
      <c r="A76" s="411"/>
      <c r="B76"/>
      <c r="C76" s="2846">
        <f>IF(ISBLANK($E76),"",+MAX(C$12:C75)+1)</f>
        <v>61</v>
      </c>
      <c r="D76" s="2851">
        <f>'O&amp;M_Summ'!D62</f>
        <v>570000</v>
      </c>
      <c r="E76" s="2852" t="str">
        <f>'O&amp;M_Summ'!E62</f>
        <v>T/MAINT-STA EQUIP</v>
      </c>
      <c r="F76" s="2857"/>
      <c r="G76" s="493">
        <f>COS_RR!G106</f>
        <v>460481.05367297883</v>
      </c>
      <c r="H76" s="2860" t="str">
        <f>COS_RR!H106</f>
        <v>Trans - Capacity</v>
      </c>
      <c r="I76" s="104">
        <f>COS_RR!J106</f>
        <v>0</v>
      </c>
      <c r="J76" s="104">
        <f>COS_RR!K106</f>
        <v>0</v>
      </c>
      <c r="K76" s="104">
        <f>COS_RR!L106</f>
        <v>460481</v>
      </c>
      <c r="L76" s="104">
        <f>COS_RR!M106</f>
        <v>0</v>
      </c>
      <c r="M76" s="104">
        <f>COS_RR!N106</f>
        <v>0</v>
      </c>
      <c r="N76" s="104">
        <f>COS_RR!O106</f>
        <v>0</v>
      </c>
      <c r="O76" s="104">
        <f>COS_RR!P106</f>
        <v>0</v>
      </c>
      <c r="P76" s="104">
        <f>COS_RR!Q106</f>
        <v>0</v>
      </c>
      <c r="Q76" s="104">
        <f>COS_RR!R106</f>
        <v>0</v>
      </c>
      <c r="R76" s="104">
        <f>COS_RR!S106</f>
        <v>0</v>
      </c>
      <c r="S76" s="104">
        <f>COS_RR!T106</f>
        <v>0</v>
      </c>
      <c r="T76" s="104">
        <f>COS_RR!U106</f>
        <v>0</v>
      </c>
      <c r="U76" s="104">
        <f>COS_RR!V106</f>
        <v>0</v>
      </c>
      <c r="V76" s="104">
        <f>COS_RR!W106</f>
        <v>0</v>
      </c>
      <c r="W76" s="104">
        <f>COS_RR!X106</f>
        <v>0</v>
      </c>
      <c r="X76" s="104">
        <f>COS_RR!Y106</f>
        <v>0</v>
      </c>
      <c r="Y76" s="104">
        <f>COS_RR!Z106</f>
        <v>0</v>
      </c>
      <c r="Z76" s="2848">
        <f>COS_RR!AA106</f>
        <v>0</v>
      </c>
      <c r="AA76" s="104">
        <f>COS_RR!AB106</f>
        <v>0</v>
      </c>
      <c r="AB76" s="2932"/>
      <c r="AC76" s="2939"/>
      <c r="AD76" s="87"/>
    </row>
    <row r="77" spans="1:30" ht="16.5" thickBot="1">
      <c r="A77" s="411"/>
      <c r="B77" s="51"/>
      <c r="C77" s="2839">
        <f>IF(ISBLANK($E77),"",+MAX(C$12:C76)+1)</f>
        <v>62</v>
      </c>
      <c r="D77" s="2879">
        <f>'O&amp;M_Summ'!D63</f>
        <v>571050</v>
      </c>
      <c r="E77" s="2880" t="str">
        <f>'O&amp;M_Summ'!E63</f>
        <v>T/MAINT-OVERHEAD LINES</v>
      </c>
      <c r="F77" s="2688"/>
      <c r="G77" s="2661">
        <f>COS_RR!G107</f>
        <v>206076.89828060256</v>
      </c>
      <c r="H77" s="2881" t="str">
        <f>COS_RR!H107</f>
        <v>Trans - Capacity</v>
      </c>
      <c r="I77" s="2694">
        <f>COS_RR!J107</f>
        <v>0</v>
      </c>
      <c r="J77" s="2694">
        <f>COS_RR!K107</f>
        <v>0</v>
      </c>
      <c r="K77" s="2694">
        <f>COS_RR!L107</f>
        <v>206077</v>
      </c>
      <c r="L77" s="2694">
        <f>COS_RR!M107</f>
        <v>0</v>
      </c>
      <c r="M77" s="2694">
        <f>COS_RR!N107</f>
        <v>0</v>
      </c>
      <c r="N77" s="2694">
        <f>COS_RR!O107</f>
        <v>0</v>
      </c>
      <c r="O77" s="2694">
        <f>COS_RR!P107</f>
        <v>0</v>
      </c>
      <c r="P77" s="2694">
        <f>COS_RR!Q107</f>
        <v>0</v>
      </c>
      <c r="Q77" s="2694">
        <f>COS_RR!R107</f>
        <v>0</v>
      </c>
      <c r="R77" s="2694">
        <f>COS_RR!S107</f>
        <v>0</v>
      </c>
      <c r="S77" s="2694">
        <f>COS_RR!T107</f>
        <v>0</v>
      </c>
      <c r="T77" s="2694">
        <f>COS_RR!U107</f>
        <v>0</v>
      </c>
      <c r="U77" s="2694">
        <f>COS_RR!V107</f>
        <v>0</v>
      </c>
      <c r="V77" s="2694">
        <f>COS_RR!W107</f>
        <v>0</v>
      </c>
      <c r="W77" s="2694">
        <f>COS_RR!X107</f>
        <v>0</v>
      </c>
      <c r="X77" s="2694">
        <f>COS_RR!Y107</f>
        <v>0</v>
      </c>
      <c r="Y77" s="2694">
        <f>COS_RR!Z107</f>
        <v>0</v>
      </c>
      <c r="Z77" s="2872">
        <f>COS_RR!AA107</f>
        <v>0</v>
      </c>
      <c r="AA77" s="104">
        <f>COS_RR!AB107</f>
        <v>0</v>
      </c>
      <c r="AB77" s="2932"/>
      <c r="AC77" s="2939"/>
      <c r="AD77" s="87"/>
    </row>
    <row r="78" spans="1:30">
      <c r="A78" s="411"/>
      <c r="B78"/>
      <c r="C78" s="2846">
        <f>IF(ISBLANK($E78),"",+MAX(C$12:C77)+1)</f>
        <v>63</v>
      </c>
      <c r="D78" s="2857"/>
      <c r="E78" s="2854" t="str">
        <f>'O&amp;M_Summ'!E64</f>
        <v>Total Transmission</v>
      </c>
      <c r="F78" s="2854"/>
      <c r="G78" s="2849">
        <f>SUM(G65:G77)</f>
        <v>3520467.8803847791</v>
      </c>
      <c r="H78" s="2863"/>
      <c r="I78" s="2849">
        <f t="shared" ref="I78:Z78" si="2">SUM(I65:I77)</f>
        <v>0</v>
      </c>
      <c r="J78" s="2849">
        <f t="shared" si="2"/>
        <v>0</v>
      </c>
      <c r="K78" s="2849">
        <f t="shared" si="2"/>
        <v>3520469</v>
      </c>
      <c r="L78" s="2849">
        <f t="shared" si="2"/>
        <v>0</v>
      </c>
      <c r="M78" s="2849">
        <f t="shared" si="2"/>
        <v>0</v>
      </c>
      <c r="N78" s="2849">
        <f t="shared" si="2"/>
        <v>0</v>
      </c>
      <c r="O78" s="2849">
        <f t="shared" si="2"/>
        <v>0</v>
      </c>
      <c r="P78" s="2849">
        <f t="shared" si="2"/>
        <v>0</v>
      </c>
      <c r="Q78" s="2849">
        <f t="shared" si="2"/>
        <v>0</v>
      </c>
      <c r="R78" s="2849">
        <f t="shared" si="2"/>
        <v>0</v>
      </c>
      <c r="S78" s="2849">
        <f t="shared" si="2"/>
        <v>0</v>
      </c>
      <c r="T78" s="2849">
        <f t="shared" si="2"/>
        <v>0</v>
      </c>
      <c r="U78" s="2849">
        <f t="shared" si="2"/>
        <v>0</v>
      </c>
      <c r="V78" s="2849">
        <f t="shared" si="2"/>
        <v>0</v>
      </c>
      <c r="W78" s="2849">
        <f t="shared" si="2"/>
        <v>0</v>
      </c>
      <c r="X78" s="2849">
        <f t="shared" si="2"/>
        <v>0</v>
      </c>
      <c r="Y78" s="2849">
        <f t="shared" si="2"/>
        <v>0</v>
      </c>
      <c r="Z78" s="2850">
        <f t="shared" si="2"/>
        <v>0</v>
      </c>
      <c r="AA78" s="216"/>
      <c r="AB78" s="2932"/>
      <c r="AC78" s="2939"/>
      <c r="AD78" s="87"/>
    </row>
    <row r="79" spans="1:30" s="87" customFormat="1">
      <c r="A79" s="411"/>
      <c r="B79" s="2684"/>
      <c r="C79" s="2839" t="str">
        <f>IF(ISBLANK($E79),"",+MAX(C$12:C78)+1)</f>
        <v/>
      </c>
      <c r="D79" s="2688"/>
      <c r="E79" s="2875"/>
      <c r="F79" s="2875"/>
      <c r="G79" s="2694"/>
      <c r="H79" s="2869"/>
      <c r="I79" s="2763"/>
      <c r="J79" s="2763"/>
      <c r="K79" s="2763"/>
      <c r="L79" s="2763"/>
      <c r="M79" s="2763"/>
      <c r="N79" s="2763"/>
      <c r="O79" s="2763"/>
      <c r="P79" s="2763"/>
      <c r="Q79" s="2763"/>
      <c r="R79" s="2763"/>
      <c r="S79" s="2763"/>
      <c r="T79" s="2763"/>
      <c r="U79" s="2763"/>
      <c r="V79" s="2763"/>
      <c r="W79" s="2763"/>
      <c r="X79" s="2763"/>
      <c r="Y79" s="2763"/>
      <c r="Z79" s="2870"/>
      <c r="AA79" s="2760"/>
      <c r="AB79" s="2932"/>
      <c r="AC79" s="2939"/>
    </row>
    <row r="80" spans="1:30">
      <c r="A80" s="411"/>
      <c r="B80"/>
      <c r="C80" s="12"/>
      <c r="D80" s="12"/>
      <c r="E80"/>
      <c r="F80" s="2579" t="s">
        <v>674</v>
      </c>
      <c r="G80" s="2579" t="s">
        <v>155</v>
      </c>
      <c r="H80" s="2579" t="s">
        <v>675</v>
      </c>
      <c r="I80" s="2579" t="s">
        <v>676</v>
      </c>
      <c r="J80" s="2579" t="s">
        <v>677</v>
      </c>
      <c r="K80" s="2579" t="s">
        <v>140</v>
      </c>
      <c r="L80" s="2579" t="s">
        <v>141</v>
      </c>
      <c r="M80" s="2579" t="s">
        <v>142</v>
      </c>
      <c r="N80" s="2579" t="s">
        <v>143</v>
      </c>
      <c r="O80" s="2579" t="s">
        <v>145</v>
      </c>
      <c r="P80" s="2579" t="s">
        <v>146</v>
      </c>
      <c r="Q80" s="2579" t="s">
        <v>147</v>
      </c>
      <c r="R80" s="2579" t="s">
        <v>148</v>
      </c>
      <c r="S80" s="2579" t="s">
        <v>149</v>
      </c>
      <c r="T80" s="2579" t="s">
        <v>150</v>
      </c>
      <c r="U80" s="2579" t="s">
        <v>151</v>
      </c>
      <c r="V80" s="2579" t="s">
        <v>153</v>
      </c>
      <c r="W80" s="2579" t="s">
        <v>154</v>
      </c>
      <c r="X80" s="2579" t="s">
        <v>449</v>
      </c>
      <c r="Y80" s="2579" t="s">
        <v>450</v>
      </c>
      <c r="Z80" s="2579" t="s">
        <v>451</v>
      </c>
    </row>
    <row r="81" spans="1:30">
      <c r="A81" s="411"/>
      <c r="B81"/>
      <c r="C81" s="2653"/>
      <c r="D81" s="2653"/>
      <c r="E81" s="2658"/>
      <c r="F81" s="2658"/>
      <c r="G81" s="2658"/>
      <c r="H81" s="2658"/>
      <c r="I81" s="4599" t="s">
        <v>900</v>
      </c>
      <c r="J81" s="4600"/>
      <c r="K81" s="4601" t="s">
        <v>600</v>
      </c>
      <c r="L81" s="4602" t="s">
        <v>601</v>
      </c>
      <c r="M81" s="4602"/>
      <c r="N81" s="4602"/>
      <c r="O81" s="4602"/>
      <c r="P81" s="4602"/>
      <c r="Q81" s="4602"/>
      <c r="R81" s="4602"/>
      <c r="S81" s="2834"/>
      <c r="T81" s="2834"/>
      <c r="U81" s="2834"/>
      <c r="V81" s="2834"/>
      <c r="W81" s="2599" t="s">
        <v>608</v>
      </c>
      <c r="X81" s="2658"/>
      <c r="Y81" s="2658"/>
      <c r="Z81" s="2658"/>
      <c r="AA81" s="195"/>
      <c r="AB81" s="195"/>
    </row>
    <row r="82" spans="1:30">
      <c r="A82" s="411"/>
      <c r="B82"/>
      <c r="C82" s="2609"/>
      <c r="D82" s="2609"/>
      <c r="E82" s="2658"/>
      <c r="F82" s="2658"/>
      <c r="G82" s="2658"/>
      <c r="H82" s="2658"/>
      <c r="I82" s="4589"/>
      <c r="J82" s="4590"/>
      <c r="K82" s="4592"/>
      <c r="L82" s="4594" t="s">
        <v>168</v>
      </c>
      <c r="M82" s="4594"/>
      <c r="N82" s="4594"/>
      <c r="O82" s="4594"/>
      <c r="P82" s="4594"/>
      <c r="Q82" s="4594"/>
      <c r="R82" s="4595"/>
      <c r="S82" s="4596" t="s">
        <v>606</v>
      </c>
      <c r="T82" s="4594"/>
      <c r="U82" s="4594"/>
      <c r="V82" s="4594"/>
      <c r="W82" s="2600" t="s">
        <v>169</v>
      </c>
      <c r="X82" s="2599"/>
      <c r="Y82" s="2658"/>
      <c r="Z82" s="2658"/>
      <c r="AA82" s="195"/>
      <c r="AB82" s="195"/>
    </row>
    <row r="83" spans="1:30">
      <c r="A83" s="411"/>
      <c r="B83"/>
      <c r="C83" s="4617" t="s">
        <v>867</v>
      </c>
      <c r="D83" s="2843"/>
      <c r="E83" s="4613" t="s">
        <v>399</v>
      </c>
      <c r="F83" s="2608" t="s">
        <v>865</v>
      </c>
      <c r="G83" s="2599"/>
      <c r="H83" s="2608" t="s">
        <v>869</v>
      </c>
      <c r="I83" s="4603" t="s">
        <v>605</v>
      </c>
      <c r="J83" s="4601" t="s">
        <v>168</v>
      </c>
      <c r="K83" s="4601" t="s">
        <v>168</v>
      </c>
      <c r="L83" s="4605" t="s">
        <v>170</v>
      </c>
      <c r="M83" s="2607" t="s">
        <v>486</v>
      </c>
      <c r="N83" s="2607" t="s">
        <v>2988</v>
      </c>
      <c r="O83" s="2607" t="s">
        <v>2989</v>
      </c>
      <c r="P83" s="2599" t="s">
        <v>867</v>
      </c>
      <c r="Q83" s="4596" t="s">
        <v>857</v>
      </c>
      <c r="R83" s="4595"/>
      <c r="S83" s="4607" t="s">
        <v>858</v>
      </c>
      <c r="T83" s="4608"/>
      <c r="U83" s="4601" t="s">
        <v>171</v>
      </c>
      <c r="V83" s="4601" t="s">
        <v>172</v>
      </c>
      <c r="W83" s="2600" t="s">
        <v>173</v>
      </c>
      <c r="X83" s="4597">
        <f>COS_RB!W86</f>
        <v>0</v>
      </c>
      <c r="Y83" s="2599" t="s">
        <v>683</v>
      </c>
      <c r="Z83" s="2608" t="s">
        <v>210</v>
      </c>
      <c r="AA83" s="221"/>
      <c r="AB83" s="195"/>
    </row>
    <row r="84" spans="1:30" ht="16.5" thickBot="1">
      <c r="A84" s="411"/>
      <c r="B84"/>
      <c r="C84" s="4618"/>
      <c r="D84" s="2844"/>
      <c r="E84" s="4619"/>
      <c r="F84" s="2659" t="s">
        <v>122</v>
      </c>
      <c r="G84" s="2600" t="s">
        <v>602</v>
      </c>
      <c r="H84" s="2845" t="s">
        <v>870</v>
      </c>
      <c r="I84" s="4620"/>
      <c r="J84" s="4610"/>
      <c r="K84" s="4610"/>
      <c r="L84" s="4615"/>
      <c r="M84" s="2835" t="s">
        <v>175</v>
      </c>
      <c r="N84" s="2835" t="s">
        <v>175</v>
      </c>
      <c r="O84" s="2835" t="s">
        <v>175</v>
      </c>
      <c r="P84" s="2836" t="s">
        <v>856</v>
      </c>
      <c r="Q84" s="2600" t="s">
        <v>985</v>
      </c>
      <c r="R84" s="2600" t="s">
        <v>986</v>
      </c>
      <c r="S84" s="2837" t="s">
        <v>985</v>
      </c>
      <c r="T84" s="2599" t="s">
        <v>986</v>
      </c>
      <c r="U84" s="4610"/>
      <c r="V84" s="4610"/>
      <c r="W84" s="2836" t="s">
        <v>603</v>
      </c>
      <c r="X84" s="4616"/>
      <c r="Y84" s="2836" t="s">
        <v>606</v>
      </c>
      <c r="Z84" s="2838" t="s">
        <v>861</v>
      </c>
      <c r="AA84" s="222"/>
      <c r="AB84" s="195"/>
    </row>
    <row r="85" spans="1:30">
      <c r="A85" s="411"/>
      <c r="B85"/>
      <c r="C85" s="2846"/>
      <c r="D85" s="495"/>
      <c r="E85" s="87"/>
      <c r="F85" s="87"/>
      <c r="G85" s="87"/>
      <c r="I85" s="215"/>
      <c r="J85" s="87"/>
      <c r="K85" s="87"/>
      <c r="L85" s="87"/>
      <c r="M85" s="87"/>
      <c r="N85" s="87"/>
      <c r="O85" s="87"/>
      <c r="P85" s="87"/>
      <c r="Q85" s="87"/>
      <c r="R85" s="87"/>
      <c r="S85" s="87"/>
      <c r="T85" s="87"/>
      <c r="U85" s="87"/>
      <c r="V85" s="87"/>
      <c r="W85" s="87"/>
      <c r="X85" s="87"/>
      <c r="Y85" s="87"/>
      <c r="Z85" s="2847"/>
      <c r="AA85" s="87"/>
      <c r="AB85" s="190"/>
      <c r="AC85" s="87"/>
      <c r="AD85" s="87"/>
    </row>
    <row r="86" spans="1:30" s="87" customFormat="1" ht="16.5" thickBot="1">
      <c r="A86" s="411"/>
      <c r="B86" s="20"/>
      <c r="C86" s="2846">
        <f>IF(ISBLANK($E86),"",+MAX(C$12:C79)+1)</f>
        <v>64</v>
      </c>
      <c r="D86" s="2857"/>
      <c r="E86" s="1587" t="s">
        <v>783</v>
      </c>
      <c r="F86" s="1587"/>
      <c r="G86" s="104"/>
      <c r="H86" s="495"/>
      <c r="I86" s="2760"/>
      <c r="J86" s="2760"/>
      <c r="K86" s="2760"/>
      <c r="L86" s="2760"/>
      <c r="M86" s="2760"/>
      <c r="N86" s="2760"/>
      <c r="O86" s="2760"/>
      <c r="P86" s="2760"/>
      <c r="Q86" s="2760"/>
      <c r="R86" s="2760"/>
      <c r="S86" s="2760"/>
      <c r="T86" s="2760"/>
      <c r="U86" s="2760"/>
      <c r="V86" s="2760"/>
      <c r="W86" s="2760"/>
      <c r="X86" s="2760"/>
      <c r="Y86" s="2760"/>
      <c r="Z86" s="2856"/>
      <c r="AA86" s="2760"/>
      <c r="AB86" s="2932"/>
      <c r="AC86" s="2939"/>
    </row>
    <row r="87" spans="1:30" s="87" customFormat="1">
      <c r="A87" s="411"/>
      <c r="B87" s="2684"/>
      <c r="C87" s="2839">
        <f>IF(ISBLANK($E87),"",+MAX(C$12:C86)+1)</f>
        <v>65</v>
      </c>
      <c r="D87" s="2879">
        <f>'O&amp;M_Summ'!D67</f>
        <v>580000</v>
      </c>
      <c r="E87" s="2880" t="str">
        <f>'O&amp;M_Summ'!E67</f>
        <v>D/OPERS-SUPV &amp; ENG</v>
      </c>
      <c r="F87" s="2688"/>
      <c r="G87" s="2873">
        <f>COS_RR!G111</f>
        <v>183830.40716682861</v>
      </c>
      <c r="H87" s="2882" t="str">
        <f>COS_RR!H111</f>
        <v>Dist OC</v>
      </c>
      <c r="I87" s="2873">
        <f>COS_RR!J111</f>
        <v>0</v>
      </c>
      <c r="J87" s="2873">
        <f>COS_RR!K111</f>
        <v>0</v>
      </c>
      <c r="K87" s="2873">
        <f>COS_RR!L111</f>
        <v>0</v>
      </c>
      <c r="L87" s="2873">
        <f>COS_RR!M111</f>
        <v>32906</v>
      </c>
      <c r="M87" s="2873">
        <f>COS_RR!N111</f>
        <v>0</v>
      </c>
      <c r="N87" s="2873">
        <f>COS_RR!O111</f>
        <v>0</v>
      </c>
      <c r="O87" s="2873">
        <f>COS_RR!P111</f>
        <v>0</v>
      </c>
      <c r="P87" s="2873">
        <f>COS_RR!Q111</f>
        <v>29321</v>
      </c>
      <c r="Q87" s="2873">
        <f>COS_RR!R111</f>
        <v>10772</v>
      </c>
      <c r="R87" s="2873">
        <f>COS_RR!S111</f>
        <v>63697</v>
      </c>
      <c r="S87" s="2873">
        <f>COS_RR!T111</f>
        <v>8677</v>
      </c>
      <c r="T87" s="2873">
        <f>COS_RR!U111</f>
        <v>22133</v>
      </c>
      <c r="U87" s="2873">
        <f>COS_RR!V111</f>
        <v>8033</v>
      </c>
      <c r="V87" s="2873">
        <f>COS_RR!W111</f>
        <v>5607</v>
      </c>
      <c r="W87" s="2873">
        <f>COS_RR!X111</f>
        <v>0</v>
      </c>
      <c r="X87" s="2873">
        <f>COS_RR!Y111</f>
        <v>2684</v>
      </c>
      <c r="Y87" s="2873">
        <f>COS_RR!Z111</f>
        <v>0</v>
      </c>
      <c r="Z87" s="2873">
        <f>COS_RR!AA111</f>
        <v>0</v>
      </c>
      <c r="AA87" s="2858">
        <f>COS_RR!AB111</f>
        <v>0</v>
      </c>
      <c r="AB87" s="2932"/>
      <c r="AC87" s="2939"/>
    </row>
    <row r="88" spans="1:30" s="87" customFormat="1">
      <c r="A88" s="411"/>
      <c r="B88" s="20"/>
      <c r="C88" s="2846">
        <f>IF(ISBLANK($E88),"",+MAX(C$12:C87)+1)</f>
        <v>66</v>
      </c>
      <c r="D88" s="2851">
        <f>'O&amp;M_Summ'!D68</f>
        <v>581010</v>
      </c>
      <c r="E88" s="2852" t="str">
        <f>'O&amp;M_Summ'!E68</f>
        <v>D/OPERS-LOAD DISPATCHING</v>
      </c>
      <c r="F88" s="2857"/>
      <c r="G88" s="493">
        <f>COS_RR!G112</f>
        <v>1788932.9602317007</v>
      </c>
      <c r="H88" s="2864" t="str">
        <f>COS_RR!H112</f>
        <v>Substation and Lines</v>
      </c>
      <c r="I88" s="104">
        <f>COS_RR!J112</f>
        <v>0</v>
      </c>
      <c r="J88" s="104">
        <f>COS_RR!K112</f>
        <v>0</v>
      </c>
      <c r="K88" s="104">
        <f>COS_RR!L112</f>
        <v>0</v>
      </c>
      <c r="L88" s="104">
        <f>COS_RR!M112</f>
        <v>425945</v>
      </c>
      <c r="M88" s="104">
        <f>COS_RR!N112</f>
        <v>0</v>
      </c>
      <c r="N88" s="104">
        <f>COS_RR!O112</f>
        <v>0</v>
      </c>
      <c r="O88" s="104">
        <f>COS_RR!P112</f>
        <v>0</v>
      </c>
      <c r="P88" s="104">
        <f>COS_RR!Q112</f>
        <v>0</v>
      </c>
      <c r="Q88" s="104">
        <f>COS_RR!R112</f>
        <v>139537</v>
      </c>
      <c r="R88" s="104">
        <f>COS_RR!S112</f>
        <v>824698</v>
      </c>
      <c r="S88" s="104">
        <f>COS_RR!T112</f>
        <v>112166</v>
      </c>
      <c r="T88" s="104">
        <f>COS_RR!U112</f>
        <v>286587</v>
      </c>
      <c r="U88" s="104">
        <f>COS_RR!V112</f>
        <v>0</v>
      </c>
      <c r="V88" s="104">
        <f>COS_RR!W112</f>
        <v>0</v>
      </c>
      <c r="W88" s="104">
        <f>COS_RR!X112</f>
        <v>0</v>
      </c>
      <c r="X88" s="104">
        <f>COS_RR!Y112</f>
        <v>0</v>
      </c>
      <c r="Y88" s="104">
        <f>COS_RR!Z112</f>
        <v>0</v>
      </c>
      <c r="Z88" s="2848">
        <f>COS_RR!AA112</f>
        <v>0</v>
      </c>
      <c r="AA88" s="2760">
        <f>COS_RR!AB112</f>
        <v>0</v>
      </c>
      <c r="AB88" s="2932"/>
      <c r="AC88" s="2939"/>
    </row>
    <row r="89" spans="1:30" s="87" customFormat="1">
      <c r="A89" s="411"/>
      <c r="B89" s="2684"/>
      <c r="C89" s="2839">
        <f>IF(ISBLANK($E89),"",+MAX(C$12:C88)+1)</f>
        <v>67</v>
      </c>
      <c r="D89" s="2879">
        <f>'O&amp;M_Summ'!D69</f>
        <v>582000</v>
      </c>
      <c r="E89" s="2880" t="str">
        <f>'O&amp;M_Summ'!E69</f>
        <v>D/OPERS-STATION EXPENSE</v>
      </c>
      <c r="F89" s="2688"/>
      <c r="G89" s="2661">
        <f>COS_RR!G113</f>
        <v>1057283.788673986</v>
      </c>
      <c r="H89" s="2883" t="str">
        <f>COS_RR!H113</f>
        <v>Substations</v>
      </c>
      <c r="I89" s="2694">
        <f>COS_RR!J113</f>
        <v>0</v>
      </c>
      <c r="J89" s="2694">
        <f>COS_RR!K113</f>
        <v>0</v>
      </c>
      <c r="K89" s="2694">
        <f>COS_RR!L113</f>
        <v>0</v>
      </c>
      <c r="L89" s="2694">
        <f>COS_RR!M113</f>
        <v>1057284</v>
      </c>
      <c r="M89" s="2694">
        <f>COS_RR!N113</f>
        <v>0</v>
      </c>
      <c r="N89" s="2694">
        <f>COS_RR!O113</f>
        <v>0</v>
      </c>
      <c r="O89" s="2694">
        <f>COS_RR!P113</f>
        <v>0</v>
      </c>
      <c r="P89" s="2694">
        <f>COS_RR!Q113</f>
        <v>0</v>
      </c>
      <c r="Q89" s="2694">
        <f>COS_RR!R113</f>
        <v>0</v>
      </c>
      <c r="R89" s="2694">
        <f>COS_RR!S113</f>
        <v>0</v>
      </c>
      <c r="S89" s="2694">
        <f>COS_RR!T113</f>
        <v>0</v>
      </c>
      <c r="T89" s="2694">
        <f>COS_RR!U113</f>
        <v>0</v>
      </c>
      <c r="U89" s="2694">
        <f>COS_RR!V113</f>
        <v>0</v>
      </c>
      <c r="V89" s="2694">
        <f>COS_RR!W113</f>
        <v>0</v>
      </c>
      <c r="W89" s="2694">
        <f>COS_RR!X113</f>
        <v>0</v>
      </c>
      <c r="X89" s="2694">
        <f>COS_RR!Y113</f>
        <v>0</v>
      </c>
      <c r="Y89" s="2694">
        <f>COS_RR!Z113</f>
        <v>0</v>
      </c>
      <c r="Z89" s="2872">
        <f>COS_RR!AA113</f>
        <v>0</v>
      </c>
      <c r="AA89" s="2760">
        <f>COS_RR!AB113</f>
        <v>0</v>
      </c>
      <c r="AB89" s="2932"/>
      <c r="AC89" s="2939"/>
    </row>
    <row r="90" spans="1:30" s="87" customFormat="1">
      <c r="A90" s="411"/>
      <c r="B90" s="20"/>
      <c r="C90" s="2846">
        <f>IF(ISBLANK($E90),"",+MAX(C$12:C89)+1)</f>
        <v>68</v>
      </c>
      <c r="D90" s="2851">
        <f>'O&amp;M_Summ'!D70</f>
        <v>583000</v>
      </c>
      <c r="E90" s="2852" t="str">
        <f>'O&amp;M_Summ'!E70</f>
        <v>D/OPERS-OVERHEAD LINES</v>
      </c>
      <c r="F90" s="2857"/>
      <c r="G90" s="493">
        <f>COS_RR!G114</f>
        <v>1618694.195786719</v>
      </c>
      <c r="H90" s="2864" t="str">
        <f>COS_RR!H114</f>
        <v>Overhead Plant</v>
      </c>
      <c r="I90" s="104">
        <f>COS_RR!J114</f>
        <v>0</v>
      </c>
      <c r="J90" s="104">
        <f>COS_RR!K114</f>
        <v>0</v>
      </c>
      <c r="K90" s="104">
        <f>COS_RR!L114</f>
        <v>0</v>
      </c>
      <c r="L90" s="104">
        <f>COS_RR!M114</f>
        <v>0</v>
      </c>
      <c r="M90" s="104">
        <f>COS_RR!N114</f>
        <v>0</v>
      </c>
      <c r="N90" s="104">
        <f>COS_RR!O114</f>
        <v>0</v>
      </c>
      <c r="O90" s="104">
        <f>COS_RR!P114</f>
        <v>0</v>
      </c>
      <c r="P90" s="104">
        <f>COS_RR!Q114</f>
        <v>0</v>
      </c>
      <c r="Q90" s="104">
        <f>COS_RR!R114</f>
        <v>145574</v>
      </c>
      <c r="R90" s="104">
        <f>COS_RR!S114</f>
        <v>1199122</v>
      </c>
      <c r="S90" s="104">
        <f>COS_RR!T114</f>
        <v>62389</v>
      </c>
      <c r="T90" s="104">
        <f>COS_RR!U114</f>
        <v>211610</v>
      </c>
      <c r="U90" s="104">
        <f>COS_RR!V114</f>
        <v>0</v>
      </c>
      <c r="V90" s="104">
        <f>COS_RR!W114</f>
        <v>0</v>
      </c>
      <c r="W90" s="104">
        <f>COS_RR!X114</f>
        <v>0</v>
      </c>
      <c r="X90" s="104">
        <f>COS_RR!Y114</f>
        <v>0</v>
      </c>
      <c r="Y90" s="104">
        <f>COS_RR!Z114</f>
        <v>0</v>
      </c>
      <c r="Z90" s="2848">
        <f>COS_RR!AA114</f>
        <v>0</v>
      </c>
      <c r="AA90" s="2760">
        <f>COS_RR!AB114</f>
        <v>0</v>
      </c>
      <c r="AB90" s="2932"/>
      <c r="AC90" s="2939"/>
    </row>
    <row r="91" spans="1:30" s="87" customFormat="1">
      <c r="A91" s="411"/>
      <c r="B91" s="2684"/>
      <c r="C91" s="2839">
        <f>IF(ISBLANK($E91),"",+MAX(C$12:C90)+1)</f>
        <v>69</v>
      </c>
      <c r="D91" s="2879">
        <f>'O&amp;M_Summ'!D71</f>
        <v>584000</v>
      </c>
      <c r="E91" s="2880" t="str">
        <f>'O&amp;M_Summ'!E71</f>
        <v>D/UNDERGROUND LINE EXPENSE</v>
      </c>
      <c r="F91" s="2688"/>
      <c r="G91" s="2661">
        <f>COS_RR!G115</f>
        <v>0</v>
      </c>
      <c r="H91" s="2883" t="str">
        <f>COS_RR!H115</f>
        <v>Underground Plant</v>
      </c>
      <c r="I91" s="2694">
        <f>COS_RR!J115</f>
        <v>0</v>
      </c>
      <c r="J91" s="2694">
        <f>COS_RR!K115</f>
        <v>0</v>
      </c>
      <c r="K91" s="2694">
        <f>COS_RR!L115</f>
        <v>0</v>
      </c>
      <c r="L91" s="2694">
        <f>COS_RR!M115</f>
        <v>0</v>
      </c>
      <c r="M91" s="2694">
        <f>COS_RR!N115</f>
        <v>0</v>
      </c>
      <c r="N91" s="2694">
        <f>COS_RR!O115</f>
        <v>0</v>
      </c>
      <c r="O91" s="2694">
        <f>COS_RR!P115</f>
        <v>0</v>
      </c>
      <c r="P91" s="2694">
        <f>COS_RR!Q115</f>
        <v>0</v>
      </c>
      <c r="Q91" s="2694">
        <f>COS_RR!R115</f>
        <v>0</v>
      </c>
      <c r="R91" s="2694">
        <f>COS_RR!S115</f>
        <v>0</v>
      </c>
      <c r="S91" s="2694">
        <f>COS_RR!T115</f>
        <v>0</v>
      </c>
      <c r="T91" s="2694">
        <f>COS_RR!U115</f>
        <v>0</v>
      </c>
      <c r="U91" s="2694">
        <f>COS_RR!V115</f>
        <v>0</v>
      </c>
      <c r="V91" s="2694">
        <f>COS_RR!W115</f>
        <v>0</v>
      </c>
      <c r="W91" s="2694">
        <f>COS_RR!X115</f>
        <v>0</v>
      </c>
      <c r="X91" s="2694">
        <f>COS_RR!Y115</f>
        <v>0</v>
      </c>
      <c r="Y91" s="2694">
        <f>COS_RR!Z115</f>
        <v>0</v>
      </c>
      <c r="Z91" s="2872">
        <f>COS_RR!AA115</f>
        <v>0</v>
      </c>
      <c r="AA91" s="2760">
        <f>COS_RR!AB115</f>
        <v>0</v>
      </c>
      <c r="AB91" s="2932"/>
      <c r="AC91" s="2939"/>
    </row>
    <row r="92" spans="1:30" s="87" customFormat="1">
      <c r="A92" s="411"/>
      <c r="B92" s="20"/>
      <c r="C92" s="2846">
        <f>IF(ISBLANK($E92),"",+MAX(C$12:C91)+1)</f>
        <v>70</v>
      </c>
      <c r="D92" s="2851">
        <f>'O&amp;M_Summ'!D72</f>
        <v>586000</v>
      </c>
      <c r="E92" s="2852" t="str">
        <f>'O&amp;M_Summ'!E72</f>
        <v>D/METER EXPENSE</v>
      </c>
      <c r="F92" s="2857"/>
      <c r="G92" s="493">
        <f>COS_RR!G116</f>
        <v>0</v>
      </c>
      <c r="H92" s="2864" t="str">
        <f>COS_RR!H116</f>
        <v>Meters</v>
      </c>
      <c r="I92" s="104">
        <f>COS_RR!J116</f>
        <v>0</v>
      </c>
      <c r="J92" s="104">
        <f>COS_RR!K116</f>
        <v>0</v>
      </c>
      <c r="K92" s="104">
        <f>COS_RR!L116</f>
        <v>0</v>
      </c>
      <c r="L92" s="104">
        <f>COS_RR!M116</f>
        <v>0</v>
      </c>
      <c r="M92" s="104">
        <f>COS_RR!N116</f>
        <v>0</v>
      </c>
      <c r="N92" s="104">
        <f>COS_RR!O116</f>
        <v>0</v>
      </c>
      <c r="O92" s="104">
        <f>COS_RR!P116</f>
        <v>0</v>
      </c>
      <c r="P92" s="104">
        <f>COS_RR!Q116</f>
        <v>0</v>
      </c>
      <c r="Q92" s="104">
        <f>COS_RR!R116</f>
        <v>0</v>
      </c>
      <c r="R92" s="104">
        <f>COS_RR!S116</f>
        <v>0</v>
      </c>
      <c r="S92" s="104">
        <f>COS_RR!T116</f>
        <v>0</v>
      </c>
      <c r="T92" s="104">
        <f>COS_RR!U116</f>
        <v>0</v>
      </c>
      <c r="U92" s="104">
        <f>COS_RR!V116</f>
        <v>0</v>
      </c>
      <c r="V92" s="104">
        <f>COS_RR!W116</f>
        <v>0</v>
      </c>
      <c r="W92" s="104">
        <f>COS_RR!X116</f>
        <v>0</v>
      </c>
      <c r="X92" s="104">
        <f>COS_RR!Y116</f>
        <v>0</v>
      </c>
      <c r="Y92" s="104">
        <f>COS_RR!Z116</f>
        <v>0</v>
      </c>
      <c r="Z92" s="2848">
        <f>COS_RR!AA116</f>
        <v>0</v>
      </c>
      <c r="AA92" s="2760">
        <f>COS_RR!AB116</f>
        <v>0</v>
      </c>
      <c r="AB92" s="2932"/>
      <c r="AC92" s="2939"/>
    </row>
    <row r="93" spans="1:30" s="87" customFormat="1">
      <c r="A93" s="411"/>
      <c r="B93" s="2684"/>
      <c r="C93" s="2839">
        <f>IF(ISBLANK($E93),"",+MAX(C$12:C92)+1)</f>
        <v>71</v>
      </c>
      <c r="D93" s="2879">
        <f>'O&amp;M_Summ'!D73</f>
        <v>584010</v>
      </c>
      <c r="E93" s="2880" t="str">
        <f>'O&amp;M_Summ'!E73</f>
        <v>D/OPERS-UNDERGRD, PRIM &amp; S</v>
      </c>
      <c r="F93" s="2688"/>
      <c r="G93" s="2661">
        <f>COS_RR!G117</f>
        <v>211457.4201337978</v>
      </c>
      <c r="H93" s="2883" t="str">
        <f>COS_RR!H117</f>
        <v>Underground Plant</v>
      </c>
      <c r="I93" s="2694">
        <f>COS_RR!J117</f>
        <v>0</v>
      </c>
      <c r="J93" s="2694">
        <f>COS_RR!K117</f>
        <v>0</v>
      </c>
      <c r="K93" s="2694">
        <f>COS_RR!L117</f>
        <v>0</v>
      </c>
      <c r="L93" s="2694">
        <f>COS_RR!M117</f>
        <v>0</v>
      </c>
      <c r="M93" s="2694">
        <f>COS_RR!N117</f>
        <v>0</v>
      </c>
      <c r="N93" s="2694">
        <f>COS_RR!O117</f>
        <v>0</v>
      </c>
      <c r="O93" s="2694">
        <f>COS_RR!P117</f>
        <v>0</v>
      </c>
      <c r="P93" s="2694">
        <f>COS_RR!Q117</f>
        <v>0</v>
      </c>
      <c r="Q93" s="2694">
        <f>COS_RR!R117</f>
        <v>25575</v>
      </c>
      <c r="R93" s="2694">
        <f>COS_RR!S117</f>
        <v>85044</v>
      </c>
      <c r="S93" s="2694">
        <f>COS_RR!T117</f>
        <v>31258</v>
      </c>
      <c r="T93" s="2694">
        <f>COS_RR!U117</f>
        <v>69581</v>
      </c>
      <c r="U93" s="2694">
        <f>COS_RR!V117</f>
        <v>0</v>
      </c>
      <c r="V93" s="2694">
        <f>COS_RR!W117</f>
        <v>0</v>
      </c>
      <c r="W93" s="2694">
        <f>COS_RR!X117</f>
        <v>0</v>
      </c>
      <c r="X93" s="2694">
        <f>COS_RR!Y117</f>
        <v>0</v>
      </c>
      <c r="Y93" s="2694">
        <f>COS_RR!Z117</f>
        <v>0</v>
      </c>
      <c r="Z93" s="2872">
        <f>COS_RR!AA117</f>
        <v>0</v>
      </c>
      <c r="AA93" s="2760">
        <f>COS_RR!AB117</f>
        <v>0</v>
      </c>
      <c r="AB93" s="2932"/>
      <c r="AC93" s="2939"/>
    </row>
    <row r="94" spans="1:30" s="87" customFormat="1">
      <c r="A94" s="411"/>
      <c r="B94" s="20"/>
      <c r="C94" s="2846">
        <f>IF(ISBLANK($E94),"",+MAX(C$12:C93)+1)</f>
        <v>72</v>
      </c>
      <c r="D94" s="2851">
        <f>'O&amp;M_Summ'!D74</f>
        <v>586010</v>
      </c>
      <c r="E94" s="2852" t="str">
        <f>'O&amp;M_Summ'!E74</f>
        <v>D/OPERS-METER INSTALL EXP</v>
      </c>
      <c r="F94" s="2857"/>
      <c r="G94" s="493">
        <f>COS_RR!G118</f>
        <v>2705063.5654438548</v>
      </c>
      <c r="H94" s="2864" t="str">
        <f>COS_RR!H118</f>
        <v>Meters</v>
      </c>
      <c r="I94" s="104">
        <f>COS_RR!J118</f>
        <v>0</v>
      </c>
      <c r="J94" s="104">
        <f>COS_RR!K118</f>
        <v>0</v>
      </c>
      <c r="K94" s="104">
        <f>COS_RR!L118</f>
        <v>0</v>
      </c>
      <c r="L94" s="104">
        <f>COS_RR!M118</f>
        <v>0</v>
      </c>
      <c r="M94" s="104">
        <f>COS_RR!N118</f>
        <v>0</v>
      </c>
      <c r="N94" s="104">
        <f>COS_RR!O118</f>
        <v>0</v>
      </c>
      <c r="O94" s="104">
        <f>COS_RR!P118</f>
        <v>0</v>
      </c>
      <c r="P94" s="104">
        <f>COS_RR!Q118</f>
        <v>0</v>
      </c>
      <c r="Q94" s="104">
        <f>COS_RR!R118</f>
        <v>0</v>
      </c>
      <c r="R94" s="104">
        <f>COS_RR!S118</f>
        <v>0</v>
      </c>
      <c r="S94" s="104">
        <f>COS_RR!T118</f>
        <v>0</v>
      </c>
      <c r="T94" s="104">
        <f>COS_RR!U118</f>
        <v>0</v>
      </c>
      <c r="U94" s="104">
        <f>COS_RR!V118</f>
        <v>0</v>
      </c>
      <c r="V94" s="104">
        <f>COS_RR!W118</f>
        <v>2705064</v>
      </c>
      <c r="W94" s="104">
        <f>COS_RR!X118</f>
        <v>0</v>
      </c>
      <c r="X94" s="104">
        <f>COS_RR!Y118</f>
        <v>0</v>
      </c>
      <c r="Y94" s="104">
        <f>COS_RR!Z118</f>
        <v>0</v>
      </c>
      <c r="Z94" s="2848">
        <f>COS_RR!AA118</f>
        <v>0</v>
      </c>
      <c r="AA94" s="2760">
        <f>COS_RR!AB118</f>
        <v>0</v>
      </c>
      <c r="AB94" s="2932"/>
      <c r="AC94" s="2939"/>
    </row>
    <row r="95" spans="1:30" s="87" customFormat="1">
      <c r="A95" s="411"/>
      <c r="B95" s="2684"/>
      <c r="C95" s="2839">
        <f>IF(ISBLANK($E95),"",+MAX(C$12:C94)+1)</f>
        <v>73</v>
      </c>
      <c r="D95" s="2879">
        <f>'O&amp;M_Summ'!D75</f>
        <v>587000</v>
      </c>
      <c r="E95" s="2880" t="str">
        <f>'O&amp;M_Summ'!E75</f>
        <v>D/OPERS-CUST INSTALL EXP</v>
      </c>
      <c r="F95" s="2688"/>
      <c r="G95" s="2661">
        <f>COS_RR!G119</f>
        <v>64433.585866952235</v>
      </c>
      <c r="H95" s="2883" t="str">
        <f>COS_RR!H119</f>
        <v>Dist OC</v>
      </c>
      <c r="I95" s="2694">
        <f>COS_RR!J119</f>
        <v>0</v>
      </c>
      <c r="J95" s="2694">
        <f>COS_RR!K119</f>
        <v>0</v>
      </c>
      <c r="K95" s="2694">
        <f>COS_RR!L119</f>
        <v>0</v>
      </c>
      <c r="L95" s="2694">
        <f>COS_RR!M119</f>
        <v>11534</v>
      </c>
      <c r="M95" s="2694">
        <f>COS_RR!N119</f>
        <v>0</v>
      </c>
      <c r="N95" s="2694">
        <f>COS_RR!O119</f>
        <v>0</v>
      </c>
      <c r="O95" s="2694">
        <f>COS_RR!P119</f>
        <v>0</v>
      </c>
      <c r="P95" s="2694">
        <f>COS_RR!Q119</f>
        <v>10277</v>
      </c>
      <c r="Q95" s="2694">
        <f>COS_RR!R119</f>
        <v>3776</v>
      </c>
      <c r="R95" s="2694">
        <f>COS_RR!S119</f>
        <v>22326</v>
      </c>
      <c r="S95" s="2694">
        <f>COS_RR!T119</f>
        <v>3041</v>
      </c>
      <c r="T95" s="2694">
        <f>COS_RR!U119</f>
        <v>7758</v>
      </c>
      <c r="U95" s="2694">
        <f>COS_RR!V119</f>
        <v>2816</v>
      </c>
      <c r="V95" s="2694">
        <f>COS_RR!W119</f>
        <v>1965</v>
      </c>
      <c r="W95" s="2694">
        <f>COS_RR!X119</f>
        <v>0</v>
      </c>
      <c r="X95" s="2694">
        <f>COS_RR!Y119</f>
        <v>941</v>
      </c>
      <c r="Y95" s="2694">
        <f>COS_RR!Z119</f>
        <v>0</v>
      </c>
      <c r="Z95" s="2872">
        <f>COS_RR!AA119</f>
        <v>0</v>
      </c>
      <c r="AA95" s="2760">
        <f>COS_RR!AB119</f>
        <v>0</v>
      </c>
      <c r="AB95" s="2932"/>
      <c r="AC95" s="2939"/>
    </row>
    <row r="96" spans="1:30" s="87" customFormat="1">
      <c r="A96" s="411"/>
      <c r="B96" s="20"/>
      <c r="C96" s="2846">
        <f>IF(ISBLANK($E96),"",+MAX(C$12:C95)+1)</f>
        <v>74</v>
      </c>
      <c r="D96" s="2851">
        <f>'O&amp;M_Summ'!D76</f>
        <v>588000</v>
      </c>
      <c r="E96" s="2852" t="str">
        <f>'O&amp;M_Summ'!E76</f>
        <v>D/OPERS-MISC GEN EXP</v>
      </c>
      <c r="F96" s="2857"/>
      <c r="G96" s="493">
        <f>COS_RR!G120</f>
        <v>7773926.7348932307</v>
      </c>
      <c r="H96" s="2864" t="str">
        <f>COS_RR!H120</f>
        <v>Dist OC</v>
      </c>
      <c r="I96" s="104">
        <f>COS_RR!J120</f>
        <v>0</v>
      </c>
      <c r="J96" s="104">
        <f>COS_RR!K120</f>
        <v>0</v>
      </c>
      <c r="K96" s="104">
        <f>COS_RR!L120</f>
        <v>0</v>
      </c>
      <c r="L96" s="104">
        <f>COS_RR!M120</f>
        <v>1391533</v>
      </c>
      <c r="M96" s="104">
        <f>COS_RR!N120</f>
        <v>0</v>
      </c>
      <c r="N96" s="104">
        <f>COS_RR!O120</f>
        <v>0</v>
      </c>
      <c r="O96" s="104">
        <f>COS_RR!P120</f>
        <v>0</v>
      </c>
      <c r="P96" s="104">
        <f>COS_RR!Q120</f>
        <v>1239941</v>
      </c>
      <c r="Q96" s="104">
        <f>COS_RR!R120</f>
        <v>455552</v>
      </c>
      <c r="R96" s="104">
        <f>COS_RR!S120</f>
        <v>2693666</v>
      </c>
      <c r="S96" s="104">
        <f>COS_RR!T120</f>
        <v>366929</v>
      </c>
      <c r="T96" s="104">
        <f>COS_RR!U120</f>
        <v>935981</v>
      </c>
      <c r="U96" s="104">
        <f>COS_RR!V120</f>
        <v>339721</v>
      </c>
      <c r="V96" s="104">
        <f>COS_RR!W120</f>
        <v>237105</v>
      </c>
      <c r="W96" s="104">
        <f>COS_RR!X120</f>
        <v>0</v>
      </c>
      <c r="X96" s="104">
        <f>COS_RR!Y120</f>
        <v>113499</v>
      </c>
      <c r="Y96" s="104">
        <f>COS_RR!Z120</f>
        <v>0</v>
      </c>
      <c r="Z96" s="2848">
        <f>COS_RR!AA120</f>
        <v>0</v>
      </c>
      <c r="AA96" s="2760">
        <f>COS_RR!AB120</f>
        <v>0</v>
      </c>
      <c r="AB96" s="2932"/>
      <c r="AC96" s="2939"/>
    </row>
    <row r="97" spans="1:29" s="87" customFormat="1">
      <c r="A97" s="411"/>
      <c r="B97" s="2684"/>
      <c r="C97" s="2839">
        <f>IF(ISBLANK($E97),"",+MAX(C$12:C96)+1)</f>
        <v>75</v>
      </c>
      <c r="D97" s="2879">
        <f>'O&amp;M_Summ'!D77</f>
        <v>588030</v>
      </c>
      <c r="E97" s="2880" t="str">
        <f>'O&amp;M_Summ'!E77</f>
        <v>D/OPERS-MISC-EDP</v>
      </c>
      <c r="F97" s="2688"/>
      <c r="G97" s="2661">
        <f>COS_RR!G121</f>
        <v>72129.092713803955</v>
      </c>
      <c r="H97" s="2883" t="str">
        <f>COS_RR!H121</f>
        <v>Dist OC</v>
      </c>
      <c r="I97" s="2694">
        <f>COS_RR!J121</f>
        <v>0</v>
      </c>
      <c r="J97" s="2694">
        <f>COS_RR!K121</f>
        <v>0</v>
      </c>
      <c r="K97" s="2694">
        <f>COS_RR!L121</f>
        <v>0</v>
      </c>
      <c r="L97" s="2694">
        <f>COS_RR!M121</f>
        <v>12911</v>
      </c>
      <c r="M97" s="2694">
        <f>COS_RR!N121</f>
        <v>0</v>
      </c>
      <c r="N97" s="2694">
        <f>COS_RR!O121</f>
        <v>0</v>
      </c>
      <c r="O97" s="2694">
        <f>COS_RR!P121</f>
        <v>0</v>
      </c>
      <c r="P97" s="2694">
        <f>COS_RR!Q121</f>
        <v>11505</v>
      </c>
      <c r="Q97" s="2694">
        <f>COS_RR!R121</f>
        <v>4227</v>
      </c>
      <c r="R97" s="2694">
        <f>COS_RR!S121</f>
        <v>24993</v>
      </c>
      <c r="S97" s="2694">
        <f>COS_RR!T121</f>
        <v>3404</v>
      </c>
      <c r="T97" s="2694">
        <f>COS_RR!U121</f>
        <v>8684</v>
      </c>
      <c r="U97" s="2694">
        <f>COS_RR!V121</f>
        <v>3152</v>
      </c>
      <c r="V97" s="2694">
        <f>COS_RR!W121</f>
        <v>2200</v>
      </c>
      <c r="W97" s="2694">
        <f>COS_RR!X121</f>
        <v>0</v>
      </c>
      <c r="X97" s="2694">
        <f>COS_RR!Y121</f>
        <v>1053</v>
      </c>
      <c r="Y97" s="2694">
        <f>COS_RR!Z121</f>
        <v>0</v>
      </c>
      <c r="Z97" s="2872">
        <f>COS_RR!AA121</f>
        <v>0</v>
      </c>
      <c r="AA97" s="2760">
        <f>COS_RR!AB121</f>
        <v>0</v>
      </c>
      <c r="AB97" s="2932"/>
      <c r="AC97" s="2939"/>
    </row>
    <row r="98" spans="1:29" s="87" customFormat="1">
      <c r="A98" s="411"/>
      <c r="B98" s="20"/>
      <c r="C98" s="2846">
        <f>IF(ISBLANK($E98),"",+MAX(C$12:C97)+1)</f>
        <v>76</v>
      </c>
      <c r="D98" s="2851">
        <f>'O&amp;M_Summ'!D78</f>
        <v>590000</v>
      </c>
      <c r="E98" s="2852" t="str">
        <f>'O&amp;M_Summ'!E78</f>
        <v>D/MAINT-SUPV &amp; ENG</v>
      </c>
      <c r="F98" s="2857"/>
      <c r="G98" s="493">
        <f>COS_RR!G122</f>
        <v>470272.89719930821</v>
      </c>
      <c r="H98" s="2864" t="str">
        <f>COS_RR!H122</f>
        <v>Dist OC</v>
      </c>
      <c r="I98" s="104">
        <f>COS_RR!J122</f>
        <v>0</v>
      </c>
      <c r="J98" s="104">
        <f>COS_RR!K122</f>
        <v>0</v>
      </c>
      <c r="K98" s="104">
        <f>COS_RR!L122</f>
        <v>0</v>
      </c>
      <c r="L98" s="104">
        <f>COS_RR!M122</f>
        <v>84179</v>
      </c>
      <c r="M98" s="104">
        <f>COS_RR!N122</f>
        <v>0</v>
      </c>
      <c r="N98" s="104">
        <f>COS_RR!O122</f>
        <v>0</v>
      </c>
      <c r="O98" s="104">
        <f>COS_RR!P122</f>
        <v>0</v>
      </c>
      <c r="P98" s="104">
        <f>COS_RR!Q122</f>
        <v>75009</v>
      </c>
      <c r="Q98" s="104">
        <f>COS_RR!R122</f>
        <v>27558</v>
      </c>
      <c r="R98" s="104">
        <f>COS_RR!S122</f>
        <v>162950</v>
      </c>
      <c r="S98" s="104">
        <f>COS_RR!T122</f>
        <v>22197</v>
      </c>
      <c r="T98" s="104">
        <f>COS_RR!U122</f>
        <v>56621</v>
      </c>
      <c r="U98" s="104">
        <f>COS_RR!V122</f>
        <v>20551</v>
      </c>
      <c r="V98" s="104">
        <f>COS_RR!W122</f>
        <v>14343</v>
      </c>
      <c r="W98" s="104">
        <f>COS_RR!X122</f>
        <v>0</v>
      </c>
      <c r="X98" s="104">
        <f>COS_RR!Y122</f>
        <v>6866</v>
      </c>
      <c r="Y98" s="104">
        <f>COS_RR!Z122</f>
        <v>0</v>
      </c>
      <c r="Z98" s="2848">
        <f>COS_RR!AA122</f>
        <v>0</v>
      </c>
      <c r="AA98" s="2760">
        <f>COS_RR!AB122</f>
        <v>0</v>
      </c>
      <c r="AB98" s="2932"/>
      <c r="AC98" s="2939"/>
    </row>
    <row r="99" spans="1:29" s="87" customFormat="1">
      <c r="A99" s="411"/>
      <c r="B99" s="2684"/>
      <c r="C99" s="2839">
        <f>IF(ISBLANK($E99),"",+MAX(C$12:C98)+1)</f>
        <v>77</v>
      </c>
      <c r="D99" s="2879">
        <f>'O&amp;M_Summ'!D79</f>
        <v>592000</v>
      </c>
      <c r="E99" s="2880" t="str">
        <f>'O&amp;M_Summ'!E79</f>
        <v>D/MAINT-STATION EQUIPMT</v>
      </c>
      <c r="F99" s="2688"/>
      <c r="G99" s="2661">
        <f>COS_RR!G123</f>
        <v>2359614.9980782904</v>
      </c>
      <c r="H99" s="2883" t="str">
        <f>COS_RR!H123</f>
        <v>Substations Direct</v>
      </c>
      <c r="I99" s="2694">
        <f>COS_RR!J123</f>
        <v>0</v>
      </c>
      <c r="J99" s="2694">
        <f>COS_RR!K123</f>
        <v>0</v>
      </c>
      <c r="K99" s="2694">
        <f>COS_RR!L123</f>
        <v>0</v>
      </c>
      <c r="L99" s="2694">
        <f>COS_RR!M123</f>
        <v>1482609</v>
      </c>
      <c r="M99" s="2694">
        <f>COS_RR!N123</f>
        <v>877006</v>
      </c>
      <c r="N99" s="2694">
        <f>COS_RR!O123</f>
        <v>0</v>
      </c>
      <c r="O99" s="2694">
        <f>COS_RR!P123</f>
        <v>0</v>
      </c>
      <c r="P99" s="2694">
        <f>COS_RR!Q123</f>
        <v>0</v>
      </c>
      <c r="Q99" s="2694">
        <f>COS_RR!R123</f>
        <v>0</v>
      </c>
      <c r="R99" s="2694">
        <f>COS_RR!S123</f>
        <v>0</v>
      </c>
      <c r="S99" s="2694">
        <f>COS_RR!T123</f>
        <v>0</v>
      </c>
      <c r="T99" s="2694">
        <f>COS_RR!U123</f>
        <v>0</v>
      </c>
      <c r="U99" s="2694">
        <f>COS_RR!V123</f>
        <v>0</v>
      </c>
      <c r="V99" s="2694">
        <f>COS_RR!W123</f>
        <v>0</v>
      </c>
      <c r="W99" s="2694">
        <f>COS_RR!X123</f>
        <v>0</v>
      </c>
      <c r="X99" s="2694">
        <f>COS_RR!Y123</f>
        <v>0</v>
      </c>
      <c r="Y99" s="2694">
        <f>COS_RR!Z123</f>
        <v>0</v>
      </c>
      <c r="Z99" s="2872">
        <f>COS_RR!AA123</f>
        <v>0</v>
      </c>
      <c r="AA99" s="2760">
        <f>COS_RR!AB123</f>
        <v>0</v>
      </c>
      <c r="AB99" s="2932"/>
      <c r="AC99" s="2939"/>
    </row>
    <row r="100" spans="1:29" s="87" customFormat="1">
      <c r="A100" s="411"/>
      <c r="B100" s="20"/>
      <c r="C100" s="2846">
        <f>IF(ISBLANK($E100),"",+MAX(C$12:C99)+1)</f>
        <v>78</v>
      </c>
      <c r="D100" s="2851">
        <f>'O&amp;M_Summ'!D80</f>
        <v>593000</v>
      </c>
      <c r="E100" s="2852" t="str">
        <f>'O&amp;M_Summ'!E80</f>
        <v>D/MAINT-OH LINE, FIBER O&amp;M</v>
      </c>
      <c r="F100" s="2857"/>
      <c r="G100" s="493">
        <f>COS_RR!G124</f>
        <v>0</v>
      </c>
      <c r="H100" s="2864" t="str">
        <f>COS_RR!H124</f>
        <v>Overhead Plant</v>
      </c>
      <c r="I100" s="104">
        <f>COS_RR!J124</f>
        <v>0</v>
      </c>
      <c r="J100" s="104">
        <f>COS_RR!K124</f>
        <v>0</v>
      </c>
      <c r="K100" s="104">
        <f>COS_RR!L124</f>
        <v>0</v>
      </c>
      <c r="L100" s="104">
        <f>COS_RR!M124</f>
        <v>0</v>
      </c>
      <c r="M100" s="104">
        <f>COS_RR!N124</f>
        <v>0</v>
      </c>
      <c r="N100" s="104">
        <f>COS_RR!O124</f>
        <v>0</v>
      </c>
      <c r="O100" s="104">
        <f>COS_RR!P124</f>
        <v>0</v>
      </c>
      <c r="P100" s="104">
        <f>COS_RR!Q124</f>
        <v>0</v>
      </c>
      <c r="Q100" s="104">
        <f>COS_RR!R124</f>
        <v>0</v>
      </c>
      <c r="R100" s="104">
        <f>COS_RR!S124</f>
        <v>0</v>
      </c>
      <c r="S100" s="104">
        <f>COS_RR!T124</f>
        <v>0</v>
      </c>
      <c r="T100" s="104">
        <f>COS_RR!U124</f>
        <v>0</v>
      </c>
      <c r="U100" s="104">
        <f>COS_RR!V124</f>
        <v>0</v>
      </c>
      <c r="V100" s="104">
        <f>COS_RR!W124</f>
        <v>0</v>
      </c>
      <c r="W100" s="104">
        <f>COS_RR!X124</f>
        <v>0</v>
      </c>
      <c r="X100" s="104">
        <f>COS_RR!Y124</f>
        <v>0</v>
      </c>
      <c r="Y100" s="104">
        <f>COS_RR!Z124</f>
        <v>0</v>
      </c>
      <c r="Z100" s="2848">
        <f>COS_RR!AA124</f>
        <v>0</v>
      </c>
      <c r="AA100" s="2760">
        <f>COS_RR!AB124</f>
        <v>0</v>
      </c>
      <c r="AB100" s="2932"/>
      <c r="AC100" s="2939"/>
    </row>
    <row r="101" spans="1:29" s="87" customFormat="1">
      <c r="A101" s="411"/>
      <c r="B101" s="2684"/>
      <c r="C101" s="2839">
        <f>IF(ISBLANK($E101),"",+MAX(C$12:C100)+1)</f>
        <v>79</v>
      </c>
      <c r="D101" s="2879">
        <f>'O&amp;M_Summ'!D81</f>
        <v>593010</v>
      </c>
      <c r="E101" s="2880" t="str">
        <f>'O&amp;M_Summ'!E81</f>
        <v>D/MAINT-OH LINE, GEN</v>
      </c>
      <c r="F101" s="2688"/>
      <c r="G101" s="2661">
        <f>COS_RR!G125</f>
        <v>176099.53246972532</v>
      </c>
      <c r="H101" s="2883" t="str">
        <f>COS_RR!H125</f>
        <v>Overhead Plant</v>
      </c>
      <c r="I101" s="2694">
        <f>COS_RR!J125</f>
        <v>0</v>
      </c>
      <c r="J101" s="2694">
        <f>COS_RR!K125</f>
        <v>0</v>
      </c>
      <c r="K101" s="2694">
        <f>COS_RR!L125</f>
        <v>0</v>
      </c>
      <c r="L101" s="2694">
        <f>COS_RR!M125</f>
        <v>0</v>
      </c>
      <c r="M101" s="2694">
        <f>COS_RR!N125</f>
        <v>0</v>
      </c>
      <c r="N101" s="2694">
        <f>COS_RR!O125</f>
        <v>0</v>
      </c>
      <c r="O101" s="2694">
        <f>COS_RR!P125</f>
        <v>0</v>
      </c>
      <c r="P101" s="2694">
        <f>COS_RR!Q125</f>
        <v>0</v>
      </c>
      <c r="Q101" s="2694">
        <f>COS_RR!R125</f>
        <v>15837</v>
      </c>
      <c r="R101" s="2694">
        <f>COS_RR!S125</f>
        <v>130454</v>
      </c>
      <c r="S101" s="2694">
        <f>COS_RR!T125</f>
        <v>6787</v>
      </c>
      <c r="T101" s="2694">
        <f>COS_RR!U125</f>
        <v>23021</v>
      </c>
      <c r="U101" s="2694">
        <f>COS_RR!V125</f>
        <v>0</v>
      </c>
      <c r="V101" s="2694">
        <f>COS_RR!W125</f>
        <v>0</v>
      </c>
      <c r="W101" s="2694">
        <f>COS_RR!X125</f>
        <v>0</v>
      </c>
      <c r="X101" s="2694">
        <f>COS_RR!Y125</f>
        <v>0</v>
      </c>
      <c r="Y101" s="2694">
        <f>COS_RR!Z125</f>
        <v>0</v>
      </c>
      <c r="Z101" s="2872">
        <f>COS_RR!AA125</f>
        <v>0</v>
      </c>
      <c r="AA101" s="2760">
        <f>COS_RR!AB125</f>
        <v>0</v>
      </c>
      <c r="AB101" s="2932"/>
    </row>
    <row r="102" spans="1:29" s="87" customFormat="1">
      <c r="A102" s="411"/>
      <c r="B102" s="20"/>
      <c r="C102" s="2846">
        <f>IF(ISBLANK($E102),"",+MAX(C$12:C101)+1)</f>
        <v>80</v>
      </c>
      <c r="D102" s="2851">
        <f>'O&amp;M_Summ'!D82</f>
        <v>594010</v>
      </c>
      <c r="E102" s="2852" t="str">
        <f>'O&amp;M_Summ'!E82</f>
        <v>D/MAINT-UNDERGRD, PRIM &amp; SEC</v>
      </c>
      <c r="F102" s="2857"/>
      <c r="G102" s="493">
        <f>COS_RR!G126</f>
        <v>0</v>
      </c>
      <c r="H102" s="2864" t="str">
        <f>COS_RR!H126</f>
        <v>Underground Plant</v>
      </c>
      <c r="I102" s="104">
        <f>COS_RR!J126</f>
        <v>0</v>
      </c>
      <c r="J102" s="104">
        <f>COS_RR!K126</f>
        <v>0</v>
      </c>
      <c r="K102" s="104">
        <f>COS_RR!L126</f>
        <v>0</v>
      </c>
      <c r="L102" s="104">
        <f>COS_RR!M126</f>
        <v>0</v>
      </c>
      <c r="M102" s="104">
        <f>COS_RR!N126</f>
        <v>0</v>
      </c>
      <c r="N102" s="104">
        <f>COS_RR!O126</f>
        <v>0</v>
      </c>
      <c r="O102" s="104">
        <f>COS_RR!P126</f>
        <v>0</v>
      </c>
      <c r="P102" s="104">
        <f>COS_RR!Q126</f>
        <v>0</v>
      </c>
      <c r="Q102" s="104">
        <f>COS_RR!R126</f>
        <v>0</v>
      </c>
      <c r="R102" s="104">
        <f>COS_RR!S126</f>
        <v>0</v>
      </c>
      <c r="S102" s="104">
        <f>COS_RR!T126</f>
        <v>0</v>
      </c>
      <c r="T102" s="104">
        <f>COS_RR!U126</f>
        <v>0</v>
      </c>
      <c r="U102" s="104">
        <f>COS_RR!V126</f>
        <v>0</v>
      </c>
      <c r="V102" s="104">
        <f>COS_RR!W126</f>
        <v>0</v>
      </c>
      <c r="W102" s="104">
        <f>COS_RR!X126</f>
        <v>0</v>
      </c>
      <c r="X102" s="104">
        <f>COS_RR!Y126</f>
        <v>0</v>
      </c>
      <c r="Y102" s="104">
        <f>COS_RR!Z126</f>
        <v>0</v>
      </c>
      <c r="Z102" s="2848">
        <f>COS_RR!AA126</f>
        <v>0</v>
      </c>
      <c r="AA102" s="2760">
        <f>COS_RR!AB126</f>
        <v>0</v>
      </c>
      <c r="AB102" s="2932"/>
    </row>
    <row r="103" spans="1:29" s="87" customFormat="1">
      <c r="A103" s="411"/>
      <c r="B103" s="2684"/>
      <c r="C103" s="2839">
        <f>IF(ISBLANK($E103),"",+MAX(C$12:C102)+1)</f>
        <v>81</v>
      </c>
      <c r="D103" s="2879">
        <f>'O&amp;M_Summ'!D83</f>
        <v>595000</v>
      </c>
      <c r="E103" s="2880" t="str">
        <f>'O&amp;M_Summ'!E83</f>
        <v>D/MAINT-LINE TRANSFORMERS</v>
      </c>
      <c r="F103" s="2688"/>
      <c r="G103" s="2661">
        <f>COS_RR!G127</f>
        <v>0</v>
      </c>
      <c r="H103" s="2883" t="str">
        <f>COS_RR!H127</f>
        <v>Line Transformers</v>
      </c>
      <c r="I103" s="2694">
        <f>COS_RR!J127</f>
        <v>0</v>
      </c>
      <c r="J103" s="2694">
        <f>COS_RR!K127</f>
        <v>0</v>
      </c>
      <c r="K103" s="2694">
        <f>COS_RR!L127</f>
        <v>0</v>
      </c>
      <c r="L103" s="2694">
        <f>COS_RR!M127</f>
        <v>0</v>
      </c>
      <c r="M103" s="2694">
        <f>COS_RR!N127</f>
        <v>0</v>
      </c>
      <c r="N103" s="2694">
        <f>COS_RR!O127</f>
        <v>0</v>
      </c>
      <c r="O103" s="2694">
        <f>COS_RR!P127</f>
        <v>0</v>
      </c>
      <c r="P103" s="2694">
        <f>COS_RR!Q127</f>
        <v>0</v>
      </c>
      <c r="Q103" s="2694">
        <f>COS_RR!R127</f>
        <v>0</v>
      </c>
      <c r="R103" s="2694">
        <f>COS_RR!S127</f>
        <v>0</v>
      </c>
      <c r="S103" s="2694">
        <f>COS_RR!T127</f>
        <v>0</v>
      </c>
      <c r="T103" s="2694">
        <f>COS_RR!U127</f>
        <v>0</v>
      </c>
      <c r="U103" s="2694">
        <f>COS_RR!V127</f>
        <v>0</v>
      </c>
      <c r="V103" s="2694">
        <f>COS_RR!W127</f>
        <v>0</v>
      </c>
      <c r="W103" s="2694">
        <f>COS_RR!X127</f>
        <v>0</v>
      </c>
      <c r="X103" s="2694">
        <f>COS_RR!Y127</f>
        <v>0</v>
      </c>
      <c r="Y103" s="2694">
        <f>COS_RR!Z127</f>
        <v>0</v>
      </c>
      <c r="Z103" s="2872">
        <f>COS_RR!AA127</f>
        <v>0</v>
      </c>
      <c r="AA103" s="2760">
        <f>COS_RR!AB127</f>
        <v>0</v>
      </c>
      <c r="AB103" s="2932"/>
    </row>
    <row r="104" spans="1:29" s="87" customFormat="1">
      <c r="A104" s="411"/>
      <c r="B104" s="20"/>
      <c r="C104" s="2846">
        <f>IF(ISBLANK($E104),"",+MAX(C$12:C103)+1)</f>
        <v>82</v>
      </c>
      <c r="D104" s="2851">
        <f>'O&amp;M_Summ'!D84</f>
        <v>596010</v>
      </c>
      <c r="E104" s="2852" t="str">
        <f>'O&amp;M_Summ'!E84</f>
        <v>D/MAINT-OVERHD STREET LIGHTING</v>
      </c>
      <c r="F104" s="2857"/>
      <c r="G104" s="493">
        <f>COS_RR!G128</f>
        <v>11785.873880125786</v>
      </c>
      <c r="H104" s="2864" t="str">
        <f>COS_RR!H128</f>
        <v>Street Lights</v>
      </c>
      <c r="I104" s="104">
        <f>COS_RR!J128</f>
        <v>0</v>
      </c>
      <c r="J104" s="104">
        <f>COS_RR!K128</f>
        <v>0</v>
      </c>
      <c r="K104" s="104">
        <f>COS_RR!L128</f>
        <v>0</v>
      </c>
      <c r="L104" s="104">
        <f>COS_RR!M128</f>
        <v>0</v>
      </c>
      <c r="M104" s="104">
        <f>COS_RR!N128</f>
        <v>0</v>
      </c>
      <c r="N104" s="104">
        <f>COS_RR!O128</f>
        <v>0</v>
      </c>
      <c r="O104" s="104">
        <f>COS_RR!P128</f>
        <v>0</v>
      </c>
      <c r="P104" s="104">
        <f>COS_RR!Q128</f>
        <v>0</v>
      </c>
      <c r="Q104" s="104">
        <f>COS_RR!R128</f>
        <v>0</v>
      </c>
      <c r="R104" s="104">
        <f>COS_RR!S128</f>
        <v>0</v>
      </c>
      <c r="S104" s="104">
        <f>COS_RR!T128</f>
        <v>0</v>
      </c>
      <c r="T104" s="104">
        <f>COS_RR!U128</f>
        <v>0</v>
      </c>
      <c r="U104" s="104">
        <f>COS_RR!V128</f>
        <v>0</v>
      </c>
      <c r="V104" s="104">
        <f>COS_RR!W128</f>
        <v>0</v>
      </c>
      <c r="W104" s="104">
        <f>COS_RR!X128</f>
        <v>0</v>
      </c>
      <c r="X104" s="104">
        <f>COS_RR!Y128</f>
        <v>11786</v>
      </c>
      <c r="Y104" s="104">
        <f>COS_RR!Z128</f>
        <v>0</v>
      </c>
      <c r="Z104" s="2848">
        <f>COS_RR!AA128</f>
        <v>0</v>
      </c>
      <c r="AA104" s="2760">
        <f>COS_RR!AB128</f>
        <v>0</v>
      </c>
      <c r="AB104" s="2932"/>
    </row>
    <row r="105" spans="1:29" s="87" customFormat="1" ht="16.5" thickBot="1">
      <c r="A105" s="411"/>
      <c r="B105" s="2684"/>
      <c r="C105" s="2839">
        <f>IF(ISBLANK($E105),"",+MAX(C$12:C104)+1)</f>
        <v>83</v>
      </c>
      <c r="D105" s="2879">
        <f>'O&amp;M_Summ'!D85</f>
        <v>597000</v>
      </c>
      <c r="E105" s="2880" t="str">
        <f>'O&amp;M_Summ'!E85</f>
        <v>D/MAINT-METERS</v>
      </c>
      <c r="F105" s="2688"/>
      <c r="G105" s="2661">
        <f>COS_RR!G129</f>
        <v>0</v>
      </c>
      <c r="H105" s="2884" t="str">
        <f>COS_RR!H129</f>
        <v>Meters</v>
      </c>
      <c r="I105" s="2694">
        <f>COS_RR!J129</f>
        <v>0</v>
      </c>
      <c r="J105" s="2694">
        <f>COS_RR!K129</f>
        <v>0</v>
      </c>
      <c r="K105" s="2694">
        <f>COS_RR!L129</f>
        <v>0</v>
      </c>
      <c r="L105" s="2694">
        <f>COS_RR!M129</f>
        <v>0</v>
      </c>
      <c r="M105" s="2694">
        <f>COS_RR!N129</f>
        <v>0</v>
      </c>
      <c r="N105" s="2694">
        <f>COS_RR!O129</f>
        <v>0</v>
      </c>
      <c r="O105" s="2694">
        <f>COS_RR!P129</f>
        <v>0</v>
      </c>
      <c r="P105" s="2694">
        <f>COS_RR!Q129</f>
        <v>0</v>
      </c>
      <c r="Q105" s="2694">
        <f>COS_RR!R129</f>
        <v>0</v>
      </c>
      <c r="R105" s="2694">
        <f>COS_RR!S129</f>
        <v>0</v>
      </c>
      <c r="S105" s="2694">
        <f>COS_RR!T129</f>
        <v>0</v>
      </c>
      <c r="T105" s="2694">
        <f>COS_RR!U129</f>
        <v>0</v>
      </c>
      <c r="U105" s="2694">
        <f>COS_RR!V129</f>
        <v>0</v>
      </c>
      <c r="V105" s="2694">
        <f>COS_RR!W129</f>
        <v>0</v>
      </c>
      <c r="W105" s="2694">
        <f>COS_RR!X129</f>
        <v>0</v>
      </c>
      <c r="X105" s="2694">
        <f>COS_RR!Y129</f>
        <v>0</v>
      </c>
      <c r="Y105" s="2694">
        <f>COS_RR!Z129</f>
        <v>0</v>
      </c>
      <c r="Z105" s="2872">
        <f>COS_RR!AA129</f>
        <v>0</v>
      </c>
      <c r="AA105" s="2760">
        <f>COS_RR!AB129</f>
        <v>0</v>
      </c>
      <c r="AB105" s="2932"/>
    </row>
    <row r="106" spans="1:29" s="87" customFormat="1">
      <c r="A106" s="411"/>
      <c r="B106" s="20"/>
      <c r="C106" s="2846">
        <f>IF(ISBLANK($E106),"",+MAX(C$12:C105)+1)</f>
        <v>84</v>
      </c>
      <c r="D106" s="2865"/>
      <c r="E106" s="2854" t="str">
        <f>'O&amp;M_Summ'!E86</f>
        <v>Total Dist Electrical</v>
      </c>
      <c r="F106" s="2854"/>
      <c r="G106" s="2849">
        <f>SUM(G87:G105)</f>
        <v>18493525.052538324</v>
      </c>
      <c r="H106" s="495"/>
      <c r="I106" s="2849">
        <f t="shared" ref="I106:Z106" si="3">SUM(I87:I105)</f>
        <v>0</v>
      </c>
      <c r="J106" s="2849">
        <f t="shared" si="3"/>
        <v>0</v>
      </c>
      <c r="K106" s="2849">
        <f t="shared" si="3"/>
        <v>0</v>
      </c>
      <c r="L106" s="2849">
        <f t="shared" si="3"/>
        <v>4498901</v>
      </c>
      <c r="M106" s="2849">
        <f t="shared" si="3"/>
        <v>877006</v>
      </c>
      <c r="N106" s="2849">
        <f t="shared" si="3"/>
        <v>0</v>
      </c>
      <c r="O106" s="2849">
        <f t="shared" si="3"/>
        <v>0</v>
      </c>
      <c r="P106" s="2849">
        <f t="shared" si="3"/>
        <v>1366053</v>
      </c>
      <c r="Q106" s="2849">
        <f t="shared" si="3"/>
        <v>828408</v>
      </c>
      <c r="R106" s="2849">
        <f t="shared" si="3"/>
        <v>5206950</v>
      </c>
      <c r="S106" s="2849">
        <f t="shared" si="3"/>
        <v>616848</v>
      </c>
      <c r="T106" s="2849">
        <f t="shared" si="3"/>
        <v>1621976</v>
      </c>
      <c r="U106" s="2849">
        <f t="shared" si="3"/>
        <v>374273</v>
      </c>
      <c r="V106" s="2849">
        <f t="shared" si="3"/>
        <v>2966284</v>
      </c>
      <c r="W106" s="2849">
        <f t="shared" si="3"/>
        <v>0</v>
      </c>
      <c r="X106" s="2849">
        <f t="shared" si="3"/>
        <v>136829</v>
      </c>
      <c r="Y106" s="2849">
        <f t="shared" si="3"/>
        <v>0</v>
      </c>
      <c r="Z106" s="2849">
        <f t="shared" si="3"/>
        <v>0</v>
      </c>
      <c r="AA106" s="2760"/>
      <c r="AB106" s="2932"/>
    </row>
    <row r="107" spans="1:29" s="87" customFormat="1">
      <c r="A107" s="411"/>
      <c r="B107" s="2684"/>
      <c r="C107" s="2839" t="str">
        <f>IF(ISBLANK($E107),"",+MAX(C$12:C106)+1)</f>
        <v/>
      </c>
      <c r="D107" s="2688"/>
      <c r="E107" s="2875"/>
      <c r="F107" s="2875"/>
      <c r="G107" s="2694"/>
      <c r="H107" s="2869"/>
      <c r="I107" s="2763"/>
      <c r="J107" s="2763"/>
      <c r="K107" s="2763"/>
      <c r="L107" s="2763"/>
      <c r="M107" s="2763"/>
      <c r="N107" s="2763"/>
      <c r="O107" s="2763"/>
      <c r="P107" s="2763"/>
      <c r="Q107" s="2763"/>
      <c r="R107" s="2763"/>
      <c r="S107" s="2763"/>
      <c r="T107" s="2763"/>
      <c r="U107" s="2763"/>
      <c r="V107" s="2763"/>
      <c r="W107" s="2763"/>
      <c r="X107" s="2763"/>
      <c r="Y107" s="2763"/>
      <c r="Z107" s="2870"/>
      <c r="AA107" s="2760"/>
      <c r="AB107" s="2932"/>
    </row>
    <row r="108" spans="1:29" s="87" customFormat="1" ht="16.5" thickBot="1">
      <c r="A108" s="411"/>
      <c r="B108" s="20"/>
      <c r="C108" s="2846">
        <f>IF(ISBLANK($E108),"",+MAX(C$12:C107)+1)</f>
        <v>85</v>
      </c>
      <c r="D108" s="2857"/>
      <c r="E108" s="1587" t="s">
        <v>983</v>
      </c>
      <c r="F108" s="1587"/>
      <c r="G108" s="104"/>
      <c r="H108" s="495"/>
      <c r="I108" s="2760"/>
      <c r="J108" s="2760"/>
      <c r="K108" s="2760"/>
      <c r="L108" s="2760"/>
      <c r="M108" s="2760"/>
      <c r="N108" s="2760"/>
      <c r="O108" s="2760"/>
      <c r="P108" s="2760"/>
      <c r="Q108" s="2760"/>
      <c r="R108" s="2760"/>
      <c r="S108" s="2760"/>
      <c r="T108" s="2760"/>
      <c r="U108" s="2760"/>
      <c r="V108" s="2760"/>
      <c r="W108" s="2760"/>
      <c r="X108" s="2760"/>
      <c r="Y108" s="2760"/>
      <c r="Z108" s="2856"/>
      <c r="AA108" s="2760"/>
      <c r="AB108" s="2932"/>
    </row>
    <row r="109" spans="1:29" s="87" customFormat="1">
      <c r="A109" s="411"/>
      <c r="B109" s="2684"/>
      <c r="C109" s="2839">
        <f>IF(ISBLANK($E109),"",+MAX(C$12:C108)+1)</f>
        <v>86</v>
      </c>
      <c r="D109" s="2869">
        <f>'O&amp;M_Summ'!D89</f>
        <v>935803</v>
      </c>
      <c r="E109" s="2688" t="str">
        <f>'O&amp;M_Summ'!E89</f>
        <v>WFON-AERIAL</v>
      </c>
      <c r="F109" s="2688"/>
      <c r="G109" s="2873">
        <f>COS_RR!G133</f>
        <v>0</v>
      </c>
      <c r="H109" s="2882" t="str">
        <f>COS_RR!H133</f>
        <v>Dist OC</v>
      </c>
      <c r="I109" s="2873">
        <f>COS_RR!J133</f>
        <v>0</v>
      </c>
      <c r="J109" s="2873">
        <f>COS_RR!K133</f>
        <v>0</v>
      </c>
      <c r="K109" s="2873">
        <f>COS_RR!L133</f>
        <v>0</v>
      </c>
      <c r="L109" s="2873">
        <f>COS_RR!M133</f>
        <v>0</v>
      </c>
      <c r="M109" s="2873">
        <f>COS_RR!N133</f>
        <v>0</v>
      </c>
      <c r="N109" s="2873">
        <f>COS_RR!O133</f>
        <v>0</v>
      </c>
      <c r="O109" s="2873">
        <f>COS_RR!P133</f>
        <v>0</v>
      </c>
      <c r="P109" s="2873">
        <f>COS_RR!Q133</f>
        <v>0</v>
      </c>
      <c r="Q109" s="2873">
        <f>COS_RR!R133</f>
        <v>0</v>
      </c>
      <c r="R109" s="2873">
        <f>COS_RR!S133</f>
        <v>0</v>
      </c>
      <c r="S109" s="2873">
        <f>COS_RR!T133</f>
        <v>0</v>
      </c>
      <c r="T109" s="2873">
        <f>COS_RR!U133</f>
        <v>0</v>
      </c>
      <c r="U109" s="2873">
        <f>COS_RR!V133</f>
        <v>0</v>
      </c>
      <c r="V109" s="2873">
        <f>COS_RR!W133</f>
        <v>0</v>
      </c>
      <c r="W109" s="2873">
        <f>COS_RR!X133</f>
        <v>0</v>
      </c>
      <c r="X109" s="2873">
        <f>COS_RR!Y133</f>
        <v>0</v>
      </c>
      <c r="Y109" s="2873">
        <f>COS_RR!Z133</f>
        <v>0</v>
      </c>
      <c r="Z109" s="2873">
        <f>COS_RR!AA133</f>
        <v>0</v>
      </c>
      <c r="AA109" s="2858">
        <f>COS_RR!AB133</f>
        <v>0</v>
      </c>
      <c r="AB109" s="2932"/>
    </row>
    <row r="110" spans="1:29" s="87" customFormat="1" ht="16.5" thickBot="1">
      <c r="A110" s="411"/>
      <c r="B110" s="20"/>
      <c r="C110" s="2846">
        <f>IF(ISBLANK($E110),"",+MAX(C$12:C109)+1)</f>
        <v>87</v>
      </c>
      <c r="D110" s="495">
        <f>'O&amp;M_Summ'!D90</f>
        <v>935804</v>
      </c>
      <c r="E110" s="2857" t="str">
        <f>'O&amp;M_Summ'!E90</f>
        <v>WFON-UNDERGROUND CABLE EXPENSE</v>
      </c>
      <c r="F110" s="2857"/>
      <c r="G110" s="493">
        <f>COS_RR!G134</f>
        <v>0</v>
      </c>
      <c r="H110" s="2862" t="str">
        <f>COS_RR!H134</f>
        <v>Dist OC</v>
      </c>
      <c r="I110" s="104">
        <f>COS_RR!J134</f>
        <v>0</v>
      </c>
      <c r="J110" s="104">
        <f>COS_RR!K134</f>
        <v>0</v>
      </c>
      <c r="K110" s="104">
        <f>COS_RR!L134</f>
        <v>0</v>
      </c>
      <c r="L110" s="104">
        <f>COS_RR!M134</f>
        <v>0</v>
      </c>
      <c r="M110" s="104">
        <f>COS_RR!N134</f>
        <v>0</v>
      </c>
      <c r="N110" s="104">
        <f>COS_RR!O134</f>
        <v>0</v>
      </c>
      <c r="O110" s="104">
        <f>COS_RR!P134</f>
        <v>0</v>
      </c>
      <c r="P110" s="104">
        <f>COS_RR!Q134</f>
        <v>0</v>
      </c>
      <c r="Q110" s="104">
        <f>COS_RR!R134</f>
        <v>0</v>
      </c>
      <c r="R110" s="104">
        <f>COS_RR!S134</f>
        <v>0</v>
      </c>
      <c r="S110" s="104">
        <f>COS_RR!T134</f>
        <v>0</v>
      </c>
      <c r="T110" s="104">
        <f>COS_RR!U134</f>
        <v>0</v>
      </c>
      <c r="U110" s="104">
        <f>COS_RR!V134</f>
        <v>0</v>
      </c>
      <c r="V110" s="104">
        <f>COS_RR!W134</f>
        <v>0</v>
      </c>
      <c r="W110" s="104">
        <f>COS_RR!X134</f>
        <v>0</v>
      </c>
      <c r="X110" s="104">
        <f>COS_RR!Y134</f>
        <v>0</v>
      </c>
      <c r="Y110" s="104">
        <f>COS_RR!Z134</f>
        <v>0</v>
      </c>
      <c r="Z110" s="2848">
        <f>COS_RR!AA134</f>
        <v>0</v>
      </c>
      <c r="AA110" s="2760">
        <f>COS_RR!AB134</f>
        <v>0</v>
      </c>
      <c r="AB110" s="2932"/>
    </row>
    <row r="111" spans="1:29" s="87" customFormat="1">
      <c r="A111" s="411"/>
      <c r="B111" s="2684"/>
      <c r="C111" s="2839">
        <f>IF(ISBLANK($E111),"",+MAX(C$12:C110)+1)</f>
        <v>88</v>
      </c>
      <c r="D111" s="2688"/>
      <c r="E111" s="2875" t="str">
        <f>'O&amp;M_Summ'!E91</f>
        <v>Total Dist Fiber Optic Net</v>
      </c>
      <c r="F111" s="2875"/>
      <c r="G111" s="2876">
        <f>SUM(G109:G110)</f>
        <v>0</v>
      </c>
      <c r="H111" s="2869"/>
      <c r="I111" s="2876">
        <f t="shared" ref="I111:Z111" si="4">SUM(I109:I110)</f>
        <v>0</v>
      </c>
      <c r="J111" s="2876">
        <f t="shared" si="4"/>
        <v>0</v>
      </c>
      <c r="K111" s="2876">
        <f t="shared" si="4"/>
        <v>0</v>
      </c>
      <c r="L111" s="2876">
        <f t="shared" si="4"/>
        <v>0</v>
      </c>
      <c r="M111" s="2876">
        <f t="shared" si="4"/>
        <v>0</v>
      </c>
      <c r="N111" s="2876">
        <f t="shared" si="4"/>
        <v>0</v>
      </c>
      <c r="O111" s="2876">
        <f t="shared" si="4"/>
        <v>0</v>
      </c>
      <c r="P111" s="2876">
        <f t="shared" si="4"/>
        <v>0</v>
      </c>
      <c r="Q111" s="2876">
        <f t="shared" si="4"/>
        <v>0</v>
      </c>
      <c r="R111" s="2876">
        <f t="shared" si="4"/>
        <v>0</v>
      </c>
      <c r="S111" s="2876">
        <f t="shared" si="4"/>
        <v>0</v>
      </c>
      <c r="T111" s="2876">
        <f t="shared" si="4"/>
        <v>0</v>
      </c>
      <c r="U111" s="2876">
        <f t="shared" si="4"/>
        <v>0</v>
      </c>
      <c r="V111" s="2876">
        <f t="shared" si="4"/>
        <v>0</v>
      </c>
      <c r="W111" s="2876">
        <f t="shared" si="4"/>
        <v>0</v>
      </c>
      <c r="X111" s="2876">
        <f t="shared" si="4"/>
        <v>0</v>
      </c>
      <c r="Y111" s="2876">
        <f t="shared" si="4"/>
        <v>0</v>
      </c>
      <c r="Z111" s="2876">
        <f t="shared" si="4"/>
        <v>0</v>
      </c>
      <c r="AA111" s="2760"/>
      <c r="AB111" s="2932"/>
    </row>
    <row r="112" spans="1:29" s="87" customFormat="1">
      <c r="A112" s="411"/>
      <c r="B112" s="20"/>
      <c r="C112" s="2846" t="str">
        <f>IF(ISBLANK($E112),"",+MAX(C$12:C111)+1)</f>
        <v/>
      </c>
      <c r="D112" s="2857"/>
      <c r="E112" s="2854"/>
      <c r="F112" s="2854"/>
      <c r="G112" s="104"/>
      <c r="H112" s="495"/>
      <c r="I112" s="2760"/>
      <c r="J112" s="2760"/>
      <c r="K112" s="2760"/>
      <c r="L112" s="2760"/>
      <c r="M112" s="2760"/>
      <c r="N112" s="2760"/>
      <c r="O112" s="2760"/>
      <c r="P112" s="2760"/>
      <c r="Q112" s="2760"/>
      <c r="R112" s="2760"/>
      <c r="S112" s="2760"/>
      <c r="T112" s="2760"/>
      <c r="U112" s="2760"/>
      <c r="V112" s="2760"/>
      <c r="W112" s="2760"/>
      <c r="X112" s="2760"/>
      <c r="Y112" s="2760"/>
      <c r="Z112" s="2856"/>
      <c r="AA112" s="2760"/>
      <c r="AB112" s="2932"/>
    </row>
    <row r="113" spans="1:30" s="87" customFormat="1">
      <c r="A113" s="411"/>
      <c r="B113" s="2684"/>
      <c r="C113" s="2839" t="str">
        <f>IF(ISBLANK($E113),"",+MAX(C$12:C112)+1)</f>
        <v/>
      </c>
      <c r="D113" s="2688"/>
      <c r="E113" s="2875"/>
      <c r="F113" s="2875"/>
      <c r="G113" s="2694"/>
      <c r="H113" s="2869"/>
      <c r="I113" s="2763"/>
      <c r="J113" s="2763"/>
      <c r="K113" s="2763"/>
      <c r="L113" s="2763"/>
      <c r="M113" s="2763"/>
      <c r="N113" s="2763"/>
      <c r="O113" s="2763"/>
      <c r="P113" s="2763"/>
      <c r="Q113" s="2763"/>
      <c r="R113" s="2763"/>
      <c r="S113" s="2763"/>
      <c r="T113" s="2763"/>
      <c r="U113" s="2763"/>
      <c r="V113" s="2763"/>
      <c r="W113" s="2763"/>
      <c r="X113" s="2763"/>
      <c r="Y113" s="2763"/>
      <c r="Z113" s="2870"/>
      <c r="AA113" s="2760"/>
      <c r="AB113" s="2932"/>
    </row>
    <row r="114" spans="1:30" ht="16.5" thickBot="1">
      <c r="A114" s="411"/>
      <c r="B114"/>
      <c r="C114" s="2846">
        <f>IF(ISBLANK($E114),"",+MAX(C$12:C113)+1)</f>
        <v>89</v>
      </c>
      <c r="D114" s="2857"/>
      <c r="E114" s="1587" t="s">
        <v>699</v>
      </c>
      <c r="F114" s="1587"/>
      <c r="G114" s="2858"/>
      <c r="H114" s="495"/>
      <c r="I114" s="2858"/>
      <c r="J114" s="2858"/>
      <c r="K114" s="2858"/>
      <c r="L114" s="2858"/>
      <c r="M114" s="2858"/>
      <c r="N114" s="2858"/>
      <c r="O114" s="2858"/>
      <c r="P114" s="2858"/>
      <c r="Q114" s="2858"/>
      <c r="R114" s="2858"/>
      <c r="S114" s="2858"/>
      <c r="T114" s="2858"/>
      <c r="U114" s="2858"/>
      <c r="V114" s="2858"/>
      <c r="W114" s="2858"/>
      <c r="X114" s="2858"/>
      <c r="Y114" s="2858"/>
      <c r="Z114" s="2866"/>
      <c r="AA114" s="2858"/>
      <c r="AB114" s="2932"/>
      <c r="AC114" s="87"/>
      <c r="AD114" s="87"/>
    </row>
    <row r="115" spans="1:30">
      <c r="A115" s="411"/>
      <c r="B115" s="51"/>
      <c r="C115" s="2839">
        <f>IF(ISBLANK($E115),"",+MAX(C$12:C114)+1)</f>
        <v>90</v>
      </c>
      <c r="D115" s="2869">
        <f>'O&amp;M_Summ'!D94</f>
        <v>901000</v>
      </c>
      <c r="E115" s="2688" t="str">
        <f>'O&amp;M_Summ'!E94</f>
        <v>CUST ACCTS-SUPV</v>
      </c>
      <c r="F115" s="2688"/>
      <c r="G115" s="2873">
        <f>COS_RR!G139</f>
        <v>841294.12955183338</v>
      </c>
      <c r="H115" s="2882" t="str">
        <f>COS_RR!H139</f>
        <v>Accts &amp; Services</v>
      </c>
      <c r="I115" s="2873">
        <f>COS_RR!J139</f>
        <v>0</v>
      </c>
      <c r="J115" s="2873">
        <f>COS_RR!K139</f>
        <v>0</v>
      </c>
      <c r="K115" s="2873">
        <f>COS_RR!L139</f>
        <v>0</v>
      </c>
      <c r="L115" s="2873">
        <f>COS_RR!M139</f>
        <v>0</v>
      </c>
      <c r="M115" s="2873">
        <f>COS_RR!N139</f>
        <v>0</v>
      </c>
      <c r="N115" s="2873">
        <f>COS_RR!O139</f>
        <v>0</v>
      </c>
      <c r="O115" s="2873">
        <f>COS_RR!P139</f>
        <v>0</v>
      </c>
      <c r="P115" s="2873">
        <f>COS_RR!Q139</f>
        <v>0</v>
      </c>
      <c r="Q115" s="2873">
        <f>COS_RR!R139</f>
        <v>0</v>
      </c>
      <c r="R115" s="2873">
        <f>COS_RR!S139</f>
        <v>0</v>
      </c>
      <c r="S115" s="2873">
        <f>COS_RR!T139</f>
        <v>0</v>
      </c>
      <c r="T115" s="2873">
        <f>COS_RR!U139</f>
        <v>0</v>
      </c>
      <c r="U115" s="2873">
        <f>COS_RR!V139</f>
        <v>0</v>
      </c>
      <c r="V115" s="2873">
        <f>COS_RR!W139</f>
        <v>0</v>
      </c>
      <c r="W115" s="2873">
        <f>COS_RR!X139</f>
        <v>841294</v>
      </c>
      <c r="X115" s="2873">
        <f>COS_RR!Y139</f>
        <v>0</v>
      </c>
      <c r="Y115" s="2873">
        <f>COS_RR!Z139</f>
        <v>0</v>
      </c>
      <c r="Z115" s="2873">
        <f>COS_RR!AA139</f>
        <v>0</v>
      </c>
      <c r="AA115" s="2858">
        <f>COS_RR!AB139</f>
        <v>0</v>
      </c>
      <c r="AB115" s="2932"/>
      <c r="AC115" s="87"/>
      <c r="AD115" s="87"/>
    </row>
    <row r="116" spans="1:30">
      <c r="A116" s="411"/>
      <c r="B116"/>
      <c r="C116" s="2846">
        <f>IF(ISBLANK($E116),"",+MAX(C$12:C115)+1)</f>
        <v>91</v>
      </c>
      <c r="D116" s="495">
        <f>'O&amp;M_Summ'!D95</f>
        <v>902000</v>
      </c>
      <c r="E116" s="2857" t="str">
        <f>'O&amp;M_Summ'!E95</f>
        <v>CUST ACCTS-METER READING EXP</v>
      </c>
      <c r="F116" s="2857"/>
      <c r="G116" s="493">
        <f>COS_RR!G140</f>
        <v>1390834.8794610377</v>
      </c>
      <c r="H116" s="2860" t="str">
        <f>COS_RR!H140</f>
        <v>Accts &amp; Services</v>
      </c>
      <c r="I116" s="104">
        <f>COS_RR!J140</f>
        <v>0</v>
      </c>
      <c r="J116" s="104">
        <f>COS_RR!K140</f>
        <v>0</v>
      </c>
      <c r="K116" s="104">
        <f>COS_RR!L140</f>
        <v>0</v>
      </c>
      <c r="L116" s="104">
        <f>COS_RR!M140</f>
        <v>0</v>
      </c>
      <c r="M116" s="104">
        <f>COS_RR!N140</f>
        <v>0</v>
      </c>
      <c r="N116" s="104">
        <f>COS_RR!O140</f>
        <v>0</v>
      </c>
      <c r="O116" s="104">
        <f>COS_RR!P140</f>
        <v>0</v>
      </c>
      <c r="P116" s="104">
        <f>COS_RR!Q140</f>
        <v>0</v>
      </c>
      <c r="Q116" s="104">
        <f>COS_RR!R140</f>
        <v>0</v>
      </c>
      <c r="R116" s="104">
        <f>COS_RR!S140</f>
        <v>0</v>
      </c>
      <c r="S116" s="104">
        <f>COS_RR!T140</f>
        <v>0</v>
      </c>
      <c r="T116" s="104">
        <f>COS_RR!U140</f>
        <v>0</v>
      </c>
      <c r="U116" s="104">
        <f>COS_RR!V140</f>
        <v>0</v>
      </c>
      <c r="V116" s="104">
        <f>COS_RR!W140</f>
        <v>0</v>
      </c>
      <c r="W116" s="104">
        <f>COS_RR!X140</f>
        <v>1390835</v>
      </c>
      <c r="X116" s="104">
        <f>COS_RR!Y140</f>
        <v>0</v>
      </c>
      <c r="Y116" s="104">
        <f>COS_RR!Z140</f>
        <v>0</v>
      </c>
      <c r="Z116" s="2848">
        <f>COS_RR!AA140</f>
        <v>0</v>
      </c>
      <c r="AA116" s="104">
        <f>COS_RR!AB140</f>
        <v>0</v>
      </c>
      <c r="AB116" s="2932"/>
      <c r="AC116" s="87"/>
      <c r="AD116" s="87"/>
    </row>
    <row r="117" spans="1:30">
      <c r="A117" s="411"/>
      <c r="B117" s="51"/>
      <c r="C117" s="2839">
        <f>IF(ISBLANK($E117),"",+MAX(C$12:C116)+1)</f>
        <v>92</v>
      </c>
      <c r="D117" s="2869">
        <f>'O&amp;M_Summ'!D96</f>
        <v>903000</v>
      </c>
      <c r="E117" s="2688" t="str">
        <f>'O&amp;M_Summ'!E96</f>
        <v>CUST ACCTS-REC &amp; COLL EXP</v>
      </c>
      <c r="F117" s="2688"/>
      <c r="G117" s="2661">
        <f>COS_RR!G141</f>
        <v>3572564.932895097</v>
      </c>
      <c r="H117" s="2871" t="str">
        <f>COS_RR!H141</f>
        <v>Accts &amp; Services</v>
      </c>
      <c r="I117" s="2694">
        <f>COS_RR!J141</f>
        <v>0</v>
      </c>
      <c r="J117" s="2694">
        <f>COS_RR!K141</f>
        <v>0</v>
      </c>
      <c r="K117" s="2694">
        <f>COS_RR!L141</f>
        <v>0</v>
      </c>
      <c r="L117" s="2694">
        <f>COS_RR!M141</f>
        <v>0</v>
      </c>
      <c r="M117" s="2694">
        <f>COS_RR!N141</f>
        <v>0</v>
      </c>
      <c r="N117" s="2694">
        <f>COS_RR!O141</f>
        <v>0</v>
      </c>
      <c r="O117" s="2694">
        <f>COS_RR!P141</f>
        <v>0</v>
      </c>
      <c r="P117" s="2694">
        <f>COS_RR!Q141</f>
        <v>0</v>
      </c>
      <c r="Q117" s="2694">
        <f>COS_RR!R141</f>
        <v>0</v>
      </c>
      <c r="R117" s="2694">
        <f>COS_RR!S141</f>
        <v>0</v>
      </c>
      <c r="S117" s="2694">
        <f>COS_RR!T141</f>
        <v>0</v>
      </c>
      <c r="T117" s="2694">
        <f>COS_RR!U141</f>
        <v>0</v>
      </c>
      <c r="U117" s="2694">
        <f>COS_RR!V141</f>
        <v>0</v>
      </c>
      <c r="V117" s="2694">
        <f>COS_RR!W141</f>
        <v>0</v>
      </c>
      <c r="W117" s="2694">
        <f>COS_RR!X141</f>
        <v>3572565</v>
      </c>
      <c r="X117" s="2694">
        <f>COS_RR!Y141</f>
        <v>0</v>
      </c>
      <c r="Y117" s="2694">
        <f>COS_RR!Z141</f>
        <v>0</v>
      </c>
      <c r="Z117" s="2872">
        <f>COS_RR!AA141</f>
        <v>0</v>
      </c>
      <c r="AA117" s="104">
        <f>COS_RR!AB141</f>
        <v>0</v>
      </c>
      <c r="AB117" s="2932"/>
      <c r="AC117" s="87"/>
      <c r="AD117" s="87"/>
    </row>
    <row r="118" spans="1:30">
      <c r="A118" s="411"/>
      <c r="B118"/>
      <c r="C118" s="2846">
        <f>IF(ISBLANK($E118),"",+MAX(C$12:C117)+1)</f>
        <v>93</v>
      </c>
      <c r="D118" s="495">
        <f>'O&amp;M_Summ'!D97</f>
        <v>903010</v>
      </c>
      <c r="E118" s="2857" t="str">
        <f>'O&amp;M_Summ'!E97</f>
        <v>CUST ACCTS-CASH OVER/SHORT</v>
      </c>
      <c r="F118" s="2857"/>
      <c r="G118" s="493">
        <f>COS_RR!G142</f>
        <v>3062.9848592154121</v>
      </c>
      <c r="H118" s="2860" t="str">
        <f>COS_RR!H142</f>
        <v>Accts &amp; Services</v>
      </c>
      <c r="I118" s="104">
        <f>COS_RR!J142</f>
        <v>0</v>
      </c>
      <c r="J118" s="104">
        <f>COS_RR!K142</f>
        <v>0</v>
      </c>
      <c r="K118" s="104">
        <f>COS_RR!L142</f>
        <v>0</v>
      </c>
      <c r="L118" s="104">
        <f>COS_RR!M142</f>
        <v>0</v>
      </c>
      <c r="M118" s="104">
        <f>COS_RR!N142</f>
        <v>0</v>
      </c>
      <c r="N118" s="104">
        <f>COS_RR!O142</f>
        <v>0</v>
      </c>
      <c r="O118" s="104">
        <f>COS_RR!P142</f>
        <v>0</v>
      </c>
      <c r="P118" s="104">
        <f>COS_RR!Q142</f>
        <v>0</v>
      </c>
      <c r="Q118" s="104">
        <f>COS_RR!R142</f>
        <v>0</v>
      </c>
      <c r="R118" s="104">
        <f>COS_RR!S142</f>
        <v>0</v>
      </c>
      <c r="S118" s="104">
        <f>COS_RR!T142</f>
        <v>0</v>
      </c>
      <c r="T118" s="104">
        <f>COS_RR!U142</f>
        <v>0</v>
      </c>
      <c r="U118" s="104">
        <f>COS_RR!V142</f>
        <v>0</v>
      </c>
      <c r="V118" s="104">
        <f>COS_RR!W142</f>
        <v>0</v>
      </c>
      <c r="W118" s="104">
        <f>COS_RR!X142</f>
        <v>3063</v>
      </c>
      <c r="X118" s="104">
        <f>COS_RR!Y142</f>
        <v>0</v>
      </c>
      <c r="Y118" s="104">
        <f>COS_RR!Z142</f>
        <v>0</v>
      </c>
      <c r="Z118" s="2848">
        <f>COS_RR!AA142</f>
        <v>0</v>
      </c>
      <c r="AA118" s="104">
        <f>COS_RR!AB142</f>
        <v>0</v>
      </c>
      <c r="AB118" s="2932"/>
      <c r="AC118" s="87"/>
      <c r="AD118" s="87"/>
    </row>
    <row r="119" spans="1:30">
      <c r="A119" s="411"/>
      <c r="B119" s="51"/>
      <c r="C119" s="2839">
        <f>IF(ISBLANK($E119),"",+MAX(C$12:C118)+1)</f>
        <v>94</v>
      </c>
      <c r="D119" s="2869">
        <f>'O&amp;M_Summ'!D98</f>
        <v>903030</v>
      </c>
      <c r="E119" s="2688" t="str">
        <f>'O&amp;M_Summ'!E98</f>
        <v>CUST ACCTS-EDP</v>
      </c>
      <c r="F119" s="2688"/>
      <c r="G119" s="2661">
        <f>COS_RR!G143</f>
        <v>0</v>
      </c>
      <c r="H119" s="2871" t="str">
        <f>COS_RR!H143</f>
        <v>Accts &amp; Services</v>
      </c>
      <c r="I119" s="2694">
        <f>COS_RR!J143</f>
        <v>0</v>
      </c>
      <c r="J119" s="2694">
        <f>COS_RR!K143</f>
        <v>0</v>
      </c>
      <c r="K119" s="2694">
        <f>COS_RR!L143</f>
        <v>0</v>
      </c>
      <c r="L119" s="2694">
        <f>COS_RR!M143</f>
        <v>0</v>
      </c>
      <c r="M119" s="2694">
        <f>COS_RR!N143</f>
        <v>0</v>
      </c>
      <c r="N119" s="2694">
        <f>COS_RR!O143</f>
        <v>0</v>
      </c>
      <c r="O119" s="2694">
        <f>COS_RR!P143</f>
        <v>0</v>
      </c>
      <c r="P119" s="2694">
        <f>COS_RR!Q143</f>
        <v>0</v>
      </c>
      <c r="Q119" s="2694">
        <f>COS_RR!R143</f>
        <v>0</v>
      </c>
      <c r="R119" s="2694">
        <f>COS_RR!S143</f>
        <v>0</v>
      </c>
      <c r="S119" s="2694">
        <f>COS_RR!T143</f>
        <v>0</v>
      </c>
      <c r="T119" s="2694">
        <f>COS_RR!U143</f>
        <v>0</v>
      </c>
      <c r="U119" s="2694">
        <f>COS_RR!V143</f>
        <v>0</v>
      </c>
      <c r="V119" s="2694">
        <f>COS_RR!W143</f>
        <v>0</v>
      </c>
      <c r="W119" s="2694">
        <f>COS_RR!X143</f>
        <v>0</v>
      </c>
      <c r="X119" s="2694">
        <f>COS_RR!Y143</f>
        <v>0</v>
      </c>
      <c r="Y119" s="2694">
        <f>COS_RR!Z143</f>
        <v>0</v>
      </c>
      <c r="Z119" s="2872">
        <f>COS_RR!AA143</f>
        <v>0</v>
      </c>
      <c r="AA119" s="104">
        <f>COS_RR!AB143</f>
        <v>0</v>
      </c>
      <c r="AB119" s="2932"/>
      <c r="AC119" s="87"/>
      <c r="AD119" s="87"/>
    </row>
    <row r="120" spans="1:30">
      <c r="A120" s="411"/>
      <c r="B120"/>
      <c r="C120" s="2846">
        <f>IF(ISBLANK($E120),"",+MAX(C$12:C119)+1)</f>
        <v>95</v>
      </c>
      <c r="D120" s="495">
        <f>'O&amp;M_Summ'!D99</f>
        <v>904000</v>
      </c>
      <c r="E120" s="2857" t="str">
        <f>'O&amp;M_Summ'!E99</f>
        <v>CUST ACCTS-UNCOLLECTIBLE ACCTS</v>
      </c>
      <c r="F120" s="2857"/>
      <c r="G120" s="493">
        <f>COS_RR!G144</f>
        <v>506817.8760414006</v>
      </c>
      <c r="H120" s="2860" t="str">
        <f>COS_RR!H144</f>
        <v>Accts &amp; Services</v>
      </c>
      <c r="I120" s="104">
        <f>COS_RR!J144</f>
        <v>0</v>
      </c>
      <c r="J120" s="104">
        <f>COS_RR!K144</f>
        <v>0</v>
      </c>
      <c r="K120" s="104">
        <f>COS_RR!L144</f>
        <v>0</v>
      </c>
      <c r="L120" s="104">
        <f>COS_RR!M144</f>
        <v>0</v>
      </c>
      <c r="M120" s="104">
        <f>COS_RR!N144</f>
        <v>0</v>
      </c>
      <c r="N120" s="104">
        <f>COS_RR!O144</f>
        <v>0</v>
      </c>
      <c r="O120" s="104">
        <f>COS_RR!P144</f>
        <v>0</v>
      </c>
      <c r="P120" s="104">
        <f>COS_RR!Q144</f>
        <v>0</v>
      </c>
      <c r="Q120" s="104">
        <f>COS_RR!R144</f>
        <v>0</v>
      </c>
      <c r="R120" s="104">
        <f>COS_RR!S144</f>
        <v>0</v>
      </c>
      <c r="S120" s="104">
        <f>COS_RR!T144</f>
        <v>0</v>
      </c>
      <c r="T120" s="104">
        <f>COS_RR!U144</f>
        <v>0</v>
      </c>
      <c r="U120" s="104">
        <f>COS_RR!V144</f>
        <v>0</v>
      </c>
      <c r="V120" s="104">
        <f>COS_RR!W144</f>
        <v>0</v>
      </c>
      <c r="W120" s="104">
        <f>COS_RR!X144</f>
        <v>506818</v>
      </c>
      <c r="X120" s="104">
        <f>COS_RR!Y144</f>
        <v>0</v>
      </c>
      <c r="Y120" s="104">
        <f>COS_RR!Z144</f>
        <v>0</v>
      </c>
      <c r="Z120" s="2848">
        <f>COS_RR!AA144</f>
        <v>0</v>
      </c>
      <c r="AA120" s="104">
        <f>COS_RR!AB144</f>
        <v>0</v>
      </c>
      <c r="AB120" s="2932"/>
      <c r="AC120" s="87"/>
      <c r="AD120" s="87"/>
    </row>
    <row r="121" spans="1:30">
      <c r="A121" s="411"/>
      <c r="B121" s="51"/>
      <c r="C121" s="2839">
        <f>IF(ISBLANK($E121),"",+MAX(C$12:C120)+1)</f>
        <v>96</v>
      </c>
      <c r="D121" s="2869">
        <f>'O&amp;M_Summ'!D100</f>
        <v>906000</v>
      </c>
      <c r="E121" s="2688" t="str">
        <f>'O&amp;M_Summ'!E100</f>
        <v>ENERGY CONSERVATION O&amp;M</v>
      </c>
      <c r="F121" s="2688"/>
      <c r="G121" s="2661">
        <f>COS_RR!G145</f>
        <v>0</v>
      </c>
      <c r="H121" s="2871" t="str">
        <f>COS_RR!H145</f>
        <v>Accts &amp; Services</v>
      </c>
      <c r="I121" s="2694">
        <f>COS_RR!J145</f>
        <v>0</v>
      </c>
      <c r="J121" s="2694">
        <f>COS_RR!K145</f>
        <v>0</v>
      </c>
      <c r="K121" s="2694">
        <f>COS_RR!L145</f>
        <v>0</v>
      </c>
      <c r="L121" s="2694">
        <f>COS_RR!M145</f>
        <v>0</v>
      </c>
      <c r="M121" s="2694">
        <f>COS_RR!N145</f>
        <v>0</v>
      </c>
      <c r="N121" s="2694">
        <f>COS_RR!O145</f>
        <v>0</v>
      </c>
      <c r="O121" s="2694">
        <f>COS_RR!P145</f>
        <v>0</v>
      </c>
      <c r="P121" s="2694">
        <f>COS_RR!Q145</f>
        <v>0</v>
      </c>
      <c r="Q121" s="2694">
        <f>COS_RR!R145</f>
        <v>0</v>
      </c>
      <c r="R121" s="2694">
        <f>COS_RR!S145</f>
        <v>0</v>
      </c>
      <c r="S121" s="2694">
        <f>COS_RR!T145</f>
        <v>0</v>
      </c>
      <c r="T121" s="2694">
        <f>COS_RR!U145</f>
        <v>0</v>
      </c>
      <c r="U121" s="2694">
        <f>COS_RR!V145</f>
        <v>0</v>
      </c>
      <c r="V121" s="2694">
        <f>COS_RR!W145</f>
        <v>0</v>
      </c>
      <c r="W121" s="2694">
        <f>COS_RR!X145</f>
        <v>0</v>
      </c>
      <c r="X121" s="2694">
        <f>COS_RR!Y145</f>
        <v>0</v>
      </c>
      <c r="Y121" s="2694">
        <f>COS_RR!Z145</f>
        <v>0</v>
      </c>
      <c r="Z121" s="2872">
        <f>COS_RR!AA145</f>
        <v>0</v>
      </c>
      <c r="AA121" s="104">
        <f>COS_RR!AB145</f>
        <v>0</v>
      </c>
      <c r="AB121" s="2932"/>
      <c r="AC121" s="87"/>
      <c r="AD121" s="87"/>
    </row>
    <row r="122" spans="1:30">
      <c r="A122" s="411"/>
      <c r="B122"/>
      <c r="C122" s="2846">
        <f>IF(ISBLANK($E122),"",+MAX(C$12:C121)+1)</f>
        <v>97</v>
      </c>
      <c r="D122" s="495">
        <f>'O&amp;M_Summ'!D101</f>
        <v>906100</v>
      </c>
      <c r="E122" s="2857" t="str">
        <f>'O&amp;M_Summ'!E101</f>
        <v>CUSTOMER INCENTIVES</v>
      </c>
      <c r="F122" s="2857"/>
      <c r="G122" s="493">
        <f>COS_RR!G146</f>
        <v>3089579.7676259074</v>
      </c>
      <c r="H122" s="2860" t="str">
        <f>COS_RR!H146</f>
        <v># of Retail Customers</v>
      </c>
      <c r="I122" s="104">
        <f>COS_RR!J146</f>
        <v>0</v>
      </c>
      <c r="J122" s="104">
        <f>COS_RR!K146</f>
        <v>0</v>
      </c>
      <c r="K122" s="104">
        <f>COS_RR!L146</f>
        <v>0</v>
      </c>
      <c r="L122" s="104">
        <f>COS_RR!M146</f>
        <v>0</v>
      </c>
      <c r="M122" s="104">
        <f>COS_RR!N146</f>
        <v>0</v>
      </c>
      <c r="N122" s="104">
        <f>COS_RR!O146</f>
        <v>0</v>
      </c>
      <c r="O122" s="104">
        <f>COS_RR!P146</f>
        <v>0</v>
      </c>
      <c r="P122" s="104">
        <f>COS_RR!Q146</f>
        <v>0</v>
      </c>
      <c r="Q122" s="104">
        <f>COS_RR!R146</f>
        <v>0</v>
      </c>
      <c r="R122" s="104">
        <f>COS_RR!S146</f>
        <v>0</v>
      </c>
      <c r="S122" s="104">
        <f>COS_RR!T146</f>
        <v>0</v>
      </c>
      <c r="T122" s="104">
        <f>COS_RR!U146</f>
        <v>0</v>
      </c>
      <c r="U122" s="104">
        <f>COS_RR!V146</f>
        <v>0</v>
      </c>
      <c r="V122" s="104">
        <f>COS_RR!W146</f>
        <v>0</v>
      </c>
      <c r="W122" s="104">
        <f>COS_RR!X146</f>
        <v>0</v>
      </c>
      <c r="X122" s="104">
        <f>COS_RR!Y146</f>
        <v>0</v>
      </c>
      <c r="Y122" s="104">
        <f>COS_RR!Z146</f>
        <v>3089580</v>
      </c>
      <c r="Z122" s="2848">
        <f>COS_RR!AA146</f>
        <v>0</v>
      </c>
      <c r="AA122" s="104">
        <f>COS_RR!AB146</f>
        <v>0</v>
      </c>
      <c r="AB122" s="2932"/>
      <c r="AC122" s="87"/>
      <c r="AD122" s="87"/>
    </row>
    <row r="123" spans="1:30">
      <c r="A123" s="411"/>
      <c r="B123" s="51"/>
      <c r="C123" s="2839">
        <f>IF(ISBLANK($E123),"",+MAX(C$12:C122)+1)</f>
        <v>98</v>
      </c>
      <c r="D123" s="2869">
        <f>'O&amp;M_Summ'!D102</f>
        <v>908000</v>
      </c>
      <c r="E123" s="2688" t="str">
        <f>'O&amp;M_Summ'!E102</f>
        <v>CUST OPERS-CUST ASSISTANCE</v>
      </c>
      <c r="F123" s="2688"/>
      <c r="G123" s="2661">
        <f>COS_RR!G147</f>
        <v>1343579.1040080118</v>
      </c>
      <c r="H123" s="2871" t="str">
        <f>COS_RR!H147</f>
        <v>Accts &amp; Services</v>
      </c>
      <c r="I123" s="2694">
        <f>COS_RR!J147</f>
        <v>0</v>
      </c>
      <c r="J123" s="2694">
        <f>COS_RR!K147</f>
        <v>0</v>
      </c>
      <c r="K123" s="2694">
        <f>COS_RR!L147</f>
        <v>0</v>
      </c>
      <c r="L123" s="2694">
        <f>COS_RR!M147</f>
        <v>0</v>
      </c>
      <c r="M123" s="2694">
        <f>COS_RR!N147</f>
        <v>0</v>
      </c>
      <c r="N123" s="2694">
        <f>COS_RR!O147</f>
        <v>0</v>
      </c>
      <c r="O123" s="2694">
        <f>COS_RR!P147</f>
        <v>0</v>
      </c>
      <c r="P123" s="2694">
        <f>COS_RR!Q147</f>
        <v>0</v>
      </c>
      <c r="Q123" s="2694">
        <f>COS_RR!R147</f>
        <v>0</v>
      </c>
      <c r="R123" s="2694">
        <f>COS_RR!S147</f>
        <v>0</v>
      </c>
      <c r="S123" s="2694">
        <f>COS_RR!T147</f>
        <v>0</v>
      </c>
      <c r="T123" s="2694">
        <f>COS_RR!U147</f>
        <v>0</v>
      </c>
      <c r="U123" s="2694">
        <f>COS_RR!V147</f>
        <v>0</v>
      </c>
      <c r="V123" s="2694">
        <f>COS_RR!W147</f>
        <v>0</v>
      </c>
      <c r="W123" s="2694">
        <f>COS_RR!X147</f>
        <v>1343579</v>
      </c>
      <c r="X123" s="2694">
        <f>COS_RR!Y147</f>
        <v>0</v>
      </c>
      <c r="Y123" s="2694">
        <f>COS_RR!Z147</f>
        <v>0</v>
      </c>
      <c r="Z123" s="2872">
        <f>COS_RR!AA147</f>
        <v>0</v>
      </c>
      <c r="AA123" s="104">
        <f>COS_RR!AB147</f>
        <v>0</v>
      </c>
      <c r="AB123" s="2932"/>
      <c r="AC123" s="87"/>
      <c r="AD123" s="87"/>
    </row>
    <row r="124" spans="1:30">
      <c r="A124" s="411"/>
      <c r="B124"/>
      <c r="C124" s="2846">
        <f>IF(ISBLANK($E124),"",+MAX(C$12:C123)+1)</f>
        <v>99</v>
      </c>
      <c r="D124" s="495">
        <f>'O&amp;M_Summ'!D103</f>
        <v>909010</v>
      </c>
      <c r="E124" s="2857" t="str">
        <f>'O&amp;M_Summ'!E103</f>
        <v>CUST OPERS-PUB REL &amp; AD EXP</v>
      </c>
      <c r="F124" s="2857"/>
      <c r="G124" s="493">
        <f>COS_RR!G148</f>
        <v>0</v>
      </c>
      <c r="H124" s="2860" t="str">
        <f>COS_RR!H148</f>
        <v>Accts &amp; Services</v>
      </c>
      <c r="I124" s="104">
        <f>COS_RR!J148</f>
        <v>0</v>
      </c>
      <c r="J124" s="104">
        <f>COS_RR!K148</f>
        <v>0</v>
      </c>
      <c r="K124" s="104">
        <f>COS_RR!L148</f>
        <v>0</v>
      </c>
      <c r="L124" s="104">
        <f>COS_RR!M148</f>
        <v>0</v>
      </c>
      <c r="M124" s="104">
        <f>COS_RR!N148</f>
        <v>0</v>
      </c>
      <c r="N124" s="104">
        <f>COS_RR!O148</f>
        <v>0</v>
      </c>
      <c r="O124" s="104">
        <f>COS_RR!P148</f>
        <v>0</v>
      </c>
      <c r="P124" s="104">
        <f>COS_RR!Q148</f>
        <v>0</v>
      </c>
      <c r="Q124" s="104">
        <f>COS_RR!R148</f>
        <v>0</v>
      </c>
      <c r="R124" s="104">
        <f>COS_RR!S148</f>
        <v>0</v>
      </c>
      <c r="S124" s="104">
        <f>COS_RR!T148</f>
        <v>0</v>
      </c>
      <c r="T124" s="104">
        <f>COS_RR!U148</f>
        <v>0</v>
      </c>
      <c r="U124" s="104">
        <f>COS_RR!V148</f>
        <v>0</v>
      </c>
      <c r="V124" s="104">
        <f>COS_RR!W148</f>
        <v>0</v>
      </c>
      <c r="W124" s="104">
        <f>COS_RR!X148</f>
        <v>0</v>
      </c>
      <c r="X124" s="104">
        <f>COS_RR!Y148</f>
        <v>0</v>
      </c>
      <c r="Y124" s="104">
        <f>COS_RR!Z148</f>
        <v>0</v>
      </c>
      <c r="Z124" s="2848">
        <f>COS_RR!AA148</f>
        <v>0</v>
      </c>
      <c r="AA124" s="104">
        <f>COS_RR!AB148</f>
        <v>0</v>
      </c>
      <c r="AB124" s="2932"/>
      <c r="AC124" s="87"/>
      <c r="AD124" s="87"/>
    </row>
    <row r="125" spans="1:30" ht="16.5" thickBot="1">
      <c r="A125" s="411"/>
      <c r="B125" s="51"/>
      <c r="C125" s="2839">
        <f>IF(ISBLANK($E125),"",+MAX(C$12:C124)+1)</f>
        <v>100</v>
      </c>
      <c r="D125" s="2869">
        <f>'O&amp;M_Summ'!D104</f>
        <v>910020</v>
      </c>
      <c r="E125" s="2688" t="str">
        <f>'O&amp;M_Summ'!E104</f>
        <v>CUST OPERS-MISC, RATE STUDY</v>
      </c>
      <c r="F125" s="2688"/>
      <c r="G125" s="2661">
        <f>COS_RR!G149</f>
        <v>11582.844538480284</v>
      </c>
      <c r="H125" s="2881" t="str">
        <f>COS_RR!H149</f>
        <v>Accts &amp; Services</v>
      </c>
      <c r="I125" s="2694">
        <f>COS_RR!J149</f>
        <v>0</v>
      </c>
      <c r="J125" s="2694">
        <f>COS_RR!K149</f>
        <v>0</v>
      </c>
      <c r="K125" s="2694">
        <f>COS_RR!L149</f>
        <v>0</v>
      </c>
      <c r="L125" s="2694">
        <f>COS_RR!M149</f>
        <v>0</v>
      </c>
      <c r="M125" s="2694">
        <f>COS_RR!N149</f>
        <v>0</v>
      </c>
      <c r="N125" s="2694">
        <f>COS_RR!O149</f>
        <v>0</v>
      </c>
      <c r="O125" s="2694">
        <f>COS_RR!P149</f>
        <v>0</v>
      </c>
      <c r="P125" s="2694">
        <f>COS_RR!Q149</f>
        <v>0</v>
      </c>
      <c r="Q125" s="2694">
        <f>COS_RR!R149</f>
        <v>0</v>
      </c>
      <c r="R125" s="2694">
        <f>COS_RR!S149</f>
        <v>0</v>
      </c>
      <c r="S125" s="2694">
        <f>COS_RR!T149</f>
        <v>0</v>
      </c>
      <c r="T125" s="2694">
        <f>COS_RR!U149</f>
        <v>0</v>
      </c>
      <c r="U125" s="2694">
        <f>COS_RR!V149</f>
        <v>0</v>
      </c>
      <c r="V125" s="2694">
        <f>COS_RR!W149</f>
        <v>0</v>
      </c>
      <c r="W125" s="2694">
        <f>COS_RR!X149</f>
        <v>11583</v>
      </c>
      <c r="X125" s="2694">
        <f>COS_RR!Y149</f>
        <v>0</v>
      </c>
      <c r="Y125" s="2694">
        <f>COS_RR!Z149</f>
        <v>0</v>
      </c>
      <c r="Z125" s="2872">
        <f>COS_RR!AA149</f>
        <v>0</v>
      </c>
      <c r="AA125" s="104">
        <f>COS_RR!AB149</f>
        <v>0</v>
      </c>
      <c r="AB125" s="2932"/>
      <c r="AC125" s="87"/>
      <c r="AD125" s="87"/>
    </row>
    <row r="126" spans="1:30">
      <c r="A126" s="411"/>
      <c r="B126"/>
      <c r="C126" s="2846">
        <f>IF(ISBLANK($E126),"",+MAX(C$12:C125)+1)</f>
        <v>101</v>
      </c>
      <c r="D126" s="495"/>
      <c r="E126" s="2854" t="str">
        <f>'O&amp;M_Summ'!E105</f>
        <v>Total Customer</v>
      </c>
      <c r="F126" s="2854"/>
      <c r="G126" s="2849">
        <f>SUM(G115:G125)</f>
        <v>10759316.518980984</v>
      </c>
      <c r="H126" s="2863"/>
      <c r="I126" s="2849">
        <f t="shared" ref="I126:Z126" si="5">SUM(I115:I125)</f>
        <v>0</v>
      </c>
      <c r="J126" s="2849">
        <f t="shared" si="5"/>
        <v>0</v>
      </c>
      <c r="K126" s="2849">
        <f t="shared" si="5"/>
        <v>0</v>
      </c>
      <c r="L126" s="2849">
        <f t="shared" si="5"/>
        <v>0</v>
      </c>
      <c r="M126" s="2849">
        <f t="shared" si="5"/>
        <v>0</v>
      </c>
      <c r="N126" s="2849">
        <f t="shared" si="5"/>
        <v>0</v>
      </c>
      <c r="O126" s="2849">
        <f t="shared" si="5"/>
        <v>0</v>
      </c>
      <c r="P126" s="2849">
        <f t="shared" si="5"/>
        <v>0</v>
      </c>
      <c r="Q126" s="2849">
        <f t="shared" si="5"/>
        <v>0</v>
      </c>
      <c r="R126" s="2849">
        <f t="shared" si="5"/>
        <v>0</v>
      </c>
      <c r="S126" s="2849">
        <f t="shared" si="5"/>
        <v>0</v>
      </c>
      <c r="T126" s="2849">
        <f t="shared" si="5"/>
        <v>0</v>
      </c>
      <c r="U126" s="2849">
        <f t="shared" si="5"/>
        <v>0</v>
      </c>
      <c r="V126" s="2849">
        <f t="shared" si="5"/>
        <v>0</v>
      </c>
      <c r="W126" s="2849">
        <f t="shared" si="5"/>
        <v>7669737</v>
      </c>
      <c r="X126" s="2849">
        <f t="shared" si="5"/>
        <v>0</v>
      </c>
      <c r="Y126" s="2849">
        <f t="shared" si="5"/>
        <v>3089580</v>
      </c>
      <c r="Z126" s="2850">
        <f t="shared" si="5"/>
        <v>0</v>
      </c>
      <c r="AA126" s="216"/>
      <c r="AB126" s="2932"/>
      <c r="AC126" s="87"/>
      <c r="AD126" s="87"/>
    </row>
    <row r="127" spans="1:30">
      <c r="A127" s="411"/>
      <c r="B127" s="51"/>
      <c r="C127" s="2839" t="str">
        <f>IF(ISBLANK($E127),"",+MAX(C$12:C126)+1)</f>
        <v/>
      </c>
      <c r="D127" s="2869"/>
      <c r="E127" s="2885"/>
      <c r="F127" s="2885"/>
      <c r="G127" s="2694"/>
      <c r="H127" s="2869"/>
      <c r="I127" s="2694"/>
      <c r="J127" s="2694"/>
      <c r="K127" s="2694"/>
      <c r="L127" s="2694"/>
      <c r="M127" s="2694"/>
      <c r="N127" s="2694"/>
      <c r="O127" s="2694"/>
      <c r="P127" s="2694"/>
      <c r="Q127" s="2694"/>
      <c r="R127" s="2694"/>
      <c r="S127" s="2694"/>
      <c r="T127" s="2694"/>
      <c r="U127" s="2694"/>
      <c r="V127" s="2694"/>
      <c r="W127" s="2694"/>
      <c r="X127" s="2694"/>
      <c r="Y127" s="2694"/>
      <c r="Z127" s="2872"/>
      <c r="AA127" s="104"/>
      <c r="AB127" s="2932"/>
      <c r="AC127" s="87"/>
      <c r="AD127" s="87"/>
    </row>
    <row r="128" spans="1:30" ht="16.5" thickBot="1">
      <c r="A128" s="411"/>
      <c r="B128"/>
      <c r="C128" s="2846">
        <f>IF(ISBLANK($E128),"",+MAX(C$12:C127)+1)</f>
        <v>102</v>
      </c>
      <c r="D128" s="495"/>
      <c r="E128" s="1587" t="s">
        <v>982</v>
      </c>
      <c r="F128" s="1587"/>
      <c r="G128" s="104"/>
      <c r="H128" s="495"/>
      <c r="I128" s="104"/>
      <c r="J128" s="104"/>
      <c r="K128" s="104"/>
      <c r="L128" s="104"/>
      <c r="M128" s="104"/>
      <c r="N128" s="104"/>
      <c r="O128" s="104"/>
      <c r="P128" s="104"/>
      <c r="Q128" s="104"/>
      <c r="R128" s="104"/>
      <c r="S128" s="104"/>
      <c r="T128" s="104"/>
      <c r="U128" s="104"/>
      <c r="V128" s="104"/>
      <c r="W128" s="104"/>
      <c r="X128" s="104"/>
      <c r="Y128" s="104"/>
      <c r="Z128" s="2848"/>
      <c r="AA128" s="104"/>
      <c r="AB128" s="2932"/>
      <c r="AC128" s="87"/>
      <c r="AD128" s="87"/>
    </row>
    <row r="129" spans="1:30">
      <c r="A129" s="411"/>
      <c r="B129" s="51"/>
      <c r="C129" s="2839">
        <f>IF(ISBLANK($E129),"",+MAX(C$12:C128)+1)</f>
        <v>103</v>
      </c>
      <c r="D129" s="2869">
        <f>'O&amp;M_Summ'!D108</f>
        <v>923801</v>
      </c>
      <c r="E129" s="2688" t="str">
        <f>'O&amp;M_Summ'!E108</f>
        <v>WFON-LEGAL</v>
      </c>
      <c r="F129" s="2688"/>
      <c r="G129" s="2873">
        <f>COS_RR!G153</f>
        <v>0</v>
      </c>
      <c r="H129" s="2882" t="str">
        <f>COS_RR!H153</f>
        <v>Total Plant Before Gen Plant</v>
      </c>
      <c r="I129" s="2873">
        <f>COS_RR!J153</f>
        <v>0</v>
      </c>
      <c r="J129" s="2873">
        <f>COS_RR!K153</f>
        <v>0</v>
      </c>
      <c r="K129" s="2873">
        <f>COS_RR!L153</f>
        <v>0</v>
      </c>
      <c r="L129" s="2873">
        <f>COS_RR!M153</f>
        <v>0</v>
      </c>
      <c r="M129" s="2873">
        <f>COS_RR!N153</f>
        <v>0</v>
      </c>
      <c r="N129" s="2873">
        <f>COS_RR!O153</f>
        <v>0</v>
      </c>
      <c r="O129" s="2873">
        <f>COS_RR!P153</f>
        <v>0</v>
      </c>
      <c r="P129" s="2873">
        <f>COS_RR!Q153</f>
        <v>0</v>
      </c>
      <c r="Q129" s="2873">
        <f>COS_RR!R153</f>
        <v>0</v>
      </c>
      <c r="R129" s="2873">
        <f>COS_RR!S153</f>
        <v>0</v>
      </c>
      <c r="S129" s="2873">
        <f>COS_RR!T153</f>
        <v>0</v>
      </c>
      <c r="T129" s="2873">
        <f>COS_RR!U153</f>
        <v>0</v>
      </c>
      <c r="U129" s="2873">
        <f>COS_RR!V153</f>
        <v>0</v>
      </c>
      <c r="V129" s="2873">
        <f>COS_RR!W153</f>
        <v>0</v>
      </c>
      <c r="W129" s="2873">
        <f>COS_RR!X153</f>
        <v>0</v>
      </c>
      <c r="X129" s="2873">
        <f>COS_RR!Y153</f>
        <v>0</v>
      </c>
      <c r="Y129" s="2873">
        <f>COS_RR!Z153</f>
        <v>0</v>
      </c>
      <c r="Z129" s="2873">
        <f>COS_RR!AA153</f>
        <v>0</v>
      </c>
      <c r="AA129" s="2858">
        <f>COS_RR!AB153</f>
        <v>0</v>
      </c>
      <c r="AB129" s="2932"/>
      <c r="AC129" s="87"/>
      <c r="AD129" s="87"/>
    </row>
    <row r="130" spans="1:30">
      <c r="A130" s="411"/>
      <c r="B130"/>
      <c r="C130" s="2846">
        <f>IF(ISBLANK($E130),"",+MAX(C$12:C129)+1)</f>
        <v>104</v>
      </c>
      <c r="D130" s="495">
        <f>'O&amp;M_Summ'!D109</f>
        <v>930801</v>
      </c>
      <c r="E130" s="2857" t="str">
        <f>'O&amp;M_Summ'!E109</f>
        <v>WFON-GENERAL AND ADMIN EXPENSE</v>
      </c>
      <c r="F130" s="2857"/>
      <c r="G130" s="493">
        <f>COS_RR!G154</f>
        <v>508723.62149190204</v>
      </c>
      <c r="H130" s="2860" t="str">
        <f>COS_RR!H154</f>
        <v>Total Plant Before Gen Plant</v>
      </c>
      <c r="I130" s="104">
        <f>COS_RR!J154</f>
        <v>0</v>
      </c>
      <c r="J130" s="104">
        <f>COS_RR!K154</f>
        <v>25792</v>
      </c>
      <c r="K130" s="104">
        <f>COS_RR!L154</f>
        <v>144020</v>
      </c>
      <c r="L130" s="104">
        <f>COS_RR!M154</f>
        <v>60640</v>
      </c>
      <c r="M130" s="104">
        <f>COS_RR!N154</f>
        <v>0</v>
      </c>
      <c r="N130" s="104">
        <f>COS_RR!O154</f>
        <v>0</v>
      </c>
      <c r="O130" s="104">
        <f>COS_RR!P154</f>
        <v>0</v>
      </c>
      <c r="P130" s="104">
        <f>COS_RR!Q154</f>
        <v>54077</v>
      </c>
      <c r="Q130" s="104">
        <f>COS_RR!R154</f>
        <v>19891</v>
      </c>
      <c r="R130" s="104">
        <f>COS_RR!S154</f>
        <v>117464</v>
      </c>
      <c r="S130" s="104">
        <f>COS_RR!T154</f>
        <v>15974</v>
      </c>
      <c r="T130" s="104">
        <f>COS_RR!U154</f>
        <v>40800</v>
      </c>
      <c r="U130" s="104">
        <f>COS_RR!V154</f>
        <v>14804</v>
      </c>
      <c r="V130" s="104">
        <f>COS_RR!W154</f>
        <v>10327</v>
      </c>
      <c r="W130" s="104">
        <f>COS_RR!X154</f>
        <v>0</v>
      </c>
      <c r="X130" s="104">
        <f>COS_RR!Y154</f>
        <v>4935</v>
      </c>
      <c r="Y130" s="104">
        <f>COS_RR!Z154</f>
        <v>0</v>
      </c>
      <c r="Z130" s="2848">
        <f>COS_RR!AA154</f>
        <v>0</v>
      </c>
      <c r="AA130" s="104">
        <f>COS_RR!AB154</f>
        <v>0</v>
      </c>
      <c r="AB130" s="2932"/>
      <c r="AC130" s="87"/>
      <c r="AD130" s="87"/>
    </row>
    <row r="131" spans="1:30">
      <c r="A131" s="411"/>
      <c r="B131" s="51"/>
      <c r="C131" s="2839">
        <f>IF(ISBLANK($E131),"",+MAX(C$12:C130)+1)</f>
        <v>105</v>
      </c>
      <c r="D131" s="2869">
        <f>'O&amp;M_Summ'!D110</f>
        <v>935801</v>
      </c>
      <c r="E131" s="2688" t="str">
        <f>'O&amp;M_Summ'!E110</f>
        <v>WFON-GATEWAY MAIN</v>
      </c>
      <c r="F131" s="2688"/>
      <c r="G131" s="2661">
        <f>COS_RR!G155</f>
        <v>1109648.2221095494</v>
      </c>
      <c r="H131" s="2871" t="str">
        <f>COS_RR!H155</f>
        <v>Total Plant Before Gen Plant</v>
      </c>
      <c r="I131" s="2694">
        <f>COS_RR!J155</f>
        <v>0</v>
      </c>
      <c r="J131" s="2694">
        <f>COS_RR!K155</f>
        <v>56259</v>
      </c>
      <c r="K131" s="2694">
        <f>COS_RR!L155</f>
        <v>314141</v>
      </c>
      <c r="L131" s="2694">
        <f>COS_RR!M155</f>
        <v>132270</v>
      </c>
      <c r="M131" s="2694">
        <f>COS_RR!N155</f>
        <v>0</v>
      </c>
      <c r="N131" s="2694">
        <f>COS_RR!O155</f>
        <v>0</v>
      </c>
      <c r="O131" s="2694">
        <f>COS_RR!P155</f>
        <v>0</v>
      </c>
      <c r="P131" s="2694">
        <f>COS_RR!Q155</f>
        <v>117956</v>
      </c>
      <c r="Q131" s="2694">
        <f>COS_RR!R155</f>
        <v>43387</v>
      </c>
      <c r="R131" s="2694">
        <f>COS_RR!S155</f>
        <v>256218</v>
      </c>
      <c r="S131" s="2694">
        <f>COS_RR!T155</f>
        <v>34843</v>
      </c>
      <c r="T131" s="2694">
        <f>COS_RR!U155</f>
        <v>88994</v>
      </c>
      <c r="U131" s="2694">
        <f>COS_RR!V155</f>
        <v>32291</v>
      </c>
      <c r="V131" s="2694">
        <f>COS_RR!W155</f>
        <v>22526</v>
      </c>
      <c r="W131" s="2694">
        <f>COS_RR!X155</f>
        <v>0</v>
      </c>
      <c r="X131" s="2694">
        <f>COS_RR!Y155</f>
        <v>10764</v>
      </c>
      <c r="Y131" s="2694">
        <f>COS_RR!Z155</f>
        <v>0</v>
      </c>
      <c r="Z131" s="2872">
        <f>COS_RR!AA155</f>
        <v>0</v>
      </c>
      <c r="AA131" s="104">
        <f>COS_RR!AB155</f>
        <v>0</v>
      </c>
      <c r="AB131" s="2932"/>
      <c r="AC131" s="87"/>
      <c r="AD131" s="87"/>
    </row>
    <row r="132" spans="1:30">
      <c r="A132" s="411"/>
      <c r="B132"/>
      <c r="C132" s="2846">
        <f>IF(ISBLANK($E132),"",+MAX(C$12:C131)+1)</f>
        <v>106</v>
      </c>
      <c r="D132" s="495">
        <f>'O&amp;M_Summ'!D111</f>
        <v>935802</v>
      </c>
      <c r="E132" s="2857" t="str">
        <f>'O&amp;M_Summ'!E111</f>
        <v>WFON-HUB CABINET EXPENSE</v>
      </c>
      <c r="F132" s="2857"/>
      <c r="G132" s="493">
        <f>COS_RR!G156</f>
        <v>0</v>
      </c>
      <c r="H132" s="2860" t="str">
        <f>COS_RR!H156</f>
        <v>Total Plant Before Gen Plant</v>
      </c>
      <c r="I132" s="104">
        <f>COS_RR!J156</f>
        <v>0</v>
      </c>
      <c r="J132" s="104">
        <f>COS_RR!K156</f>
        <v>0</v>
      </c>
      <c r="K132" s="104">
        <f>COS_RR!L156</f>
        <v>0</v>
      </c>
      <c r="L132" s="104">
        <f>COS_RR!M156</f>
        <v>0</v>
      </c>
      <c r="M132" s="104">
        <f>COS_RR!N156</f>
        <v>0</v>
      </c>
      <c r="N132" s="104">
        <f>COS_RR!O156</f>
        <v>0</v>
      </c>
      <c r="O132" s="104">
        <f>COS_RR!P156</f>
        <v>0</v>
      </c>
      <c r="P132" s="104">
        <f>COS_RR!Q156</f>
        <v>0</v>
      </c>
      <c r="Q132" s="104">
        <f>COS_RR!R156</f>
        <v>0</v>
      </c>
      <c r="R132" s="104">
        <f>COS_RR!S156</f>
        <v>0</v>
      </c>
      <c r="S132" s="104">
        <f>COS_RR!T156</f>
        <v>0</v>
      </c>
      <c r="T132" s="104">
        <f>COS_RR!U156</f>
        <v>0</v>
      </c>
      <c r="U132" s="104">
        <f>COS_RR!V156</f>
        <v>0</v>
      </c>
      <c r="V132" s="104">
        <f>COS_RR!W156</f>
        <v>0</v>
      </c>
      <c r="W132" s="104">
        <f>COS_RR!X156</f>
        <v>0</v>
      </c>
      <c r="X132" s="104">
        <f>COS_RR!Y156</f>
        <v>0</v>
      </c>
      <c r="Y132" s="104">
        <f>COS_RR!Z156</f>
        <v>0</v>
      </c>
      <c r="Z132" s="2848">
        <f>COS_RR!AA156</f>
        <v>0</v>
      </c>
      <c r="AA132" s="104">
        <f>COS_RR!AB156</f>
        <v>0</v>
      </c>
      <c r="AB132" s="2932"/>
      <c r="AC132" s="87"/>
      <c r="AD132" s="87"/>
    </row>
    <row r="133" spans="1:30">
      <c r="A133" s="411"/>
      <c r="B133" s="51"/>
      <c r="C133" s="2839">
        <f>IF(ISBLANK($E133),"",+MAX(C$12:C132)+1)</f>
        <v>107</v>
      </c>
      <c r="D133" s="2869">
        <f>'O&amp;M_Summ'!D112</f>
        <v>935805</v>
      </c>
      <c r="E133" s="2688" t="str">
        <f>'O&amp;M_Summ'!E112</f>
        <v>WFON-MAINT GEN PLT MISC</v>
      </c>
      <c r="F133" s="2688"/>
      <c r="G133" s="2661">
        <f>COS_RR!G157</f>
        <v>100205.55183939403</v>
      </c>
      <c r="H133" s="2871" t="str">
        <f>COS_RR!H157</f>
        <v>Total Plant Before Gen Plant</v>
      </c>
      <c r="I133" s="2694">
        <f>COS_RR!J157</f>
        <v>0</v>
      </c>
      <c r="J133" s="2694">
        <f>COS_RR!K157</f>
        <v>5080</v>
      </c>
      <c r="K133" s="2694">
        <f>COS_RR!L157</f>
        <v>28368</v>
      </c>
      <c r="L133" s="2694">
        <f>COS_RR!M157</f>
        <v>11945</v>
      </c>
      <c r="M133" s="2694">
        <f>COS_RR!N157</f>
        <v>0</v>
      </c>
      <c r="N133" s="2694">
        <f>COS_RR!O157</f>
        <v>0</v>
      </c>
      <c r="O133" s="2694">
        <f>COS_RR!P157</f>
        <v>0</v>
      </c>
      <c r="P133" s="2694">
        <f>COS_RR!Q157</f>
        <v>10652</v>
      </c>
      <c r="Q133" s="2694">
        <f>COS_RR!R157</f>
        <v>3918</v>
      </c>
      <c r="R133" s="2694">
        <f>COS_RR!S157</f>
        <v>23137</v>
      </c>
      <c r="S133" s="2694">
        <f>COS_RR!T157</f>
        <v>3146</v>
      </c>
      <c r="T133" s="2694">
        <f>COS_RR!U157</f>
        <v>8036</v>
      </c>
      <c r="U133" s="2694">
        <f>COS_RR!V157</f>
        <v>2916</v>
      </c>
      <c r="V133" s="2694">
        <f>COS_RR!W157</f>
        <v>2034</v>
      </c>
      <c r="W133" s="2694">
        <f>COS_RR!X157</f>
        <v>0</v>
      </c>
      <c r="X133" s="2694">
        <f>COS_RR!Y157</f>
        <v>972</v>
      </c>
      <c r="Y133" s="2694">
        <f>COS_RR!Z157</f>
        <v>0</v>
      </c>
      <c r="Z133" s="2872">
        <f>COS_RR!AA157</f>
        <v>0</v>
      </c>
      <c r="AA133" s="104">
        <f>COS_RR!AB157</f>
        <v>0</v>
      </c>
      <c r="AB133" s="2932"/>
      <c r="AC133" s="87"/>
      <c r="AD133" s="87"/>
    </row>
    <row r="134" spans="1:30">
      <c r="A134" s="411"/>
      <c r="B134"/>
      <c r="C134" s="2846">
        <f>IF(ISBLANK($E134),"",+MAX(C$12:C133)+1)</f>
        <v>108</v>
      </c>
      <c r="D134" s="495">
        <f>'O&amp;M_Summ'!D113</f>
        <v>935806</v>
      </c>
      <c r="E134" s="2857" t="str">
        <f>'O&amp;M_Summ'!E113</f>
        <v>WFON-NOC MONITORING EXPENSE</v>
      </c>
      <c r="F134" s="2857"/>
      <c r="G134" s="493">
        <f>COS_RR!G158</f>
        <v>197608.30572523485</v>
      </c>
      <c r="H134" s="2860" t="str">
        <f>COS_RR!H158</f>
        <v>Total Plant Before Gen Plant</v>
      </c>
      <c r="I134" s="104">
        <f>COS_RR!J158</f>
        <v>0</v>
      </c>
      <c r="J134" s="104">
        <f>COS_RR!K158</f>
        <v>10019</v>
      </c>
      <c r="K134" s="104">
        <f>COS_RR!L158</f>
        <v>55943</v>
      </c>
      <c r="L134" s="104">
        <f>COS_RR!M158</f>
        <v>23555</v>
      </c>
      <c r="M134" s="104">
        <f>COS_RR!N158</f>
        <v>0</v>
      </c>
      <c r="N134" s="104">
        <f>COS_RR!O158</f>
        <v>0</v>
      </c>
      <c r="O134" s="104">
        <f>COS_RR!P158</f>
        <v>0</v>
      </c>
      <c r="P134" s="104">
        <f>COS_RR!Q158</f>
        <v>21006</v>
      </c>
      <c r="Q134" s="104">
        <f>COS_RR!R158</f>
        <v>7726</v>
      </c>
      <c r="R134" s="104">
        <f>COS_RR!S158</f>
        <v>45628</v>
      </c>
      <c r="S134" s="104">
        <f>COS_RR!T158</f>
        <v>6205</v>
      </c>
      <c r="T134" s="104">
        <f>COS_RR!U158</f>
        <v>15848</v>
      </c>
      <c r="U134" s="104">
        <f>COS_RR!V158</f>
        <v>5750</v>
      </c>
      <c r="V134" s="104">
        <f>COS_RR!W158</f>
        <v>4011</v>
      </c>
      <c r="W134" s="104">
        <f>COS_RR!X158</f>
        <v>0</v>
      </c>
      <c r="X134" s="104">
        <f>COS_RR!Y158</f>
        <v>1917</v>
      </c>
      <c r="Y134" s="104">
        <f>COS_RR!Z158</f>
        <v>0</v>
      </c>
      <c r="Z134" s="2848">
        <f>COS_RR!AA158</f>
        <v>0</v>
      </c>
      <c r="AA134" s="104">
        <f>COS_RR!AB158</f>
        <v>0</v>
      </c>
      <c r="AB134" s="2932"/>
      <c r="AC134" s="87"/>
      <c r="AD134" s="87"/>
    </row>
    <row r="135" spans="1:30" ht="16.5" thickBot="1">
      <c r="A135" s="411"/>
      <c r="B135" s="51"/>
      <c r="C135" s="2839">
        <f>IF(ISBLANK($E135),"",+MAX(C$12:C134)+1)</f>
        <v>109</v>
      </c>
      <c r="D135" s="2869">
        <f>'O&amp;M_Summ'!D114</f>
        <v>935807</v>
      </c>
      <c r="E135" s="2688" t="str">
        <f>'O&amp;M_Summ'!E114</f>
        <v>WFON-INFORMATION MNGMT EXP</v>
      </c>
      <c r="F135" s="2688"/>
      <c r="G135" s="2661">
        <f>COS_RR!G159</f>
        <v>236834.71155017437</v>
      </c>
      <c r="H135" s="2881" t="str">
        <f>COS_RR!H159</f>
        <v>Total Plant Before Gen Plant</v>
      </c>
      <c r="I135" s="2694">
        <f>COS_RR!J159</f>
        <v>0</v>
      </c>
      <c r="J135" s="2694">
        <f>COS_RR!K159</f>
        <v>12008</v>
      </c>
      <c r="K135" s="2694">
        <f>COS_RR!L159</f>
        <v>67048</v>
      </c>
      <c r="L135" s="2694">
        <f>COS_RR!M159</f>
        <v>28231</v>
      </c>
      <c r="M135" s="2694">
        <f>COS_RR!N159</f>
        <v>0</v>
      </c>
      <c r="N135" s="2694">
        <f>COS_RR!O159</f>
        <v>0</v>
      </c>
      <c r="O135" s="2694">
        <f>COS_RR!P159</f>
        <v>0</v>
      </c>
      <c r="P135" s="2694">
        <f>COS_RR!Q159</f>
        <v>25176</v>
      </c>
      <c r="Q135" s="2694">
        <f>COS_RR!R159</f>
        <v>9260</v>
      </c>
      <c r="R135" s="2694">
        <f>COS_RR!S159</f>
        <v>54685</v>
      </c>
      <c r="S135" s="2694">
        <f>COS_RR!T159</f>
        <v>7437</v>
      </c>
      <c r="T135" s="2694">
        <f>COS_RR!U159</f>
        <v>18994</v>
      </c>
      <c r="U135" s="2694">
        <f>COS_RR!V159</f>
        <v>6892</v>
      </c>
      <c r="V135" s="2694">
        <f>COS_RR!W159</f>
        <v>4808</v>
      </c>
      <c r="W135" s="2694">
        <f>COS_RR!X159</f>
        <v>0</v>
      </c>
      <c r="X135" s="2694">
        <f>COS_RR!Y159</f>
        <v>2297</v>
      </c>
      <c r="Y135" s="2694">
        <f>COS_RR!Z159</f>
        <v>0</v>
      </c>
      <c r="Z135" s="2872">
        <f>COS_RR!AA159</f>
        <v>0</v>
      </c>
      <c r="AA135" s="104">
        <f>COS_RR!AB159</f>
        <v>0</v>
      </c>
      <c r="AB135" s="2932"/>
      <c r="AC135" s="87"/>
      <c r="AD135" s="87"/>
    </row>
    <row r="136" spans="1:30">
      <c r="A136" s="411"/>
      <c r="B136"/>
      <c r="C136" s="2846">
        <f>IF(ISBLANK($E136),"",+MAX(C$12:C135)+1)</f>
        <v>110</v>
      </c>
      <c r="D136" s="495"/>
      <c r="E136" s="2854" t="str">
        <f>'O&amp;M_Summ'!E115</f>
        <v>Total Fiber Optic Net Op</v>
      </c>
      <c r="F136" s="2854"/>
      <c r="G136" s="2849">
        <f>SUM(G129:G135)</f>
        <v>2153020.4127162546</v>
      </c>
      <c r="H136" s="2863"/>
      <c r="I136" s="2849">
        <f t="shared" ref="I136:Z136" si="6">SUM(I129:I135)</f>
        <v>0</v>
      </c>
      <c r="J136" s="2849">
        <f t="shared" si="6"/>
        <v>109158</v>
      </c>
      <c r="K136" s="2849">
        <f t="shared" si="6"/>
        <v>609520</v>
      </c>
      <c r="L136" s="2849">
        <f t="shared" si="6"/>
        <v>256641</v>
      </c>
      <c r="M136" s="2849">
        <f t="shared" si="6"/>
        <v>0</v>
      </c>
      <c r="N136" s="2849">
        <f t="shared" si="6"/>
        <v>0</v>
      </c>
      <c r="O136" s="2849">
        <f t="shared" si="6"/>
        <v>0</v>
      </c>
      <c r="P136" s="2849">
        <f t="shared" si="6"/>
        <v>228867</v>
      </c>
      <c r="Q136" s="2849">
        <f t="shared" si="6"/>
        <v>84182</v>
      </c>
      <c r="R136" s="2849">
        <f t="shared" si="6"/>
        <v>497132</v>
      </c>
      <c r="S136" s="2849">
        <f t="shared" si="6"/>
        <v>67605</v>
      </c>
      <c r="T136" s="2849">
        <f t="shared" si="6"/>
        <v>172672</v>
      </c>
      <c r="U136" s="2849">
        <f t="shared" si="6"/>
        <v>62653</v>
      </c>
      <c r="V136" s="2849">
        <f t="shared" si="6"/>
        <v>43706</v>
      </c>
      <c r="W136" s="2849">
        <f t="shared" si="6"/>
        <v>0</v>
      </c>
      <c r="X136" s="2849">
        <f t="shared" si="6"/>
        <v>20885</v>
      </c>
      <c r="Y136" s="2849">
        <f t="shared" si="6"/>
        <v>0</v>
      </c>
      <c r="Z136" s="2850">
        <f t="shared" si="6"/>
        <v>0</v>
      </c>
      <c r="AA136" s="216"/>
      <c r="AB136" s="2932"/>
      <c r="AC136" s="87"/>
      <c r="AD136" s="87"/>
    </row>
    <row r="137" spans="1:30">
      <c r="A137" s="411"/>
      <c r="B137" s="51"/>
      <c r="C137" s="2839" t="str">
        <f>IF(ISBLANK($E137),"",+MAX(C$12:C136)+1)</f>
        <v/>
      </c>
      <c r="D137" s="2869"/>
      <c r="E137" s="2886"/>
      <c r="F137" s="2886"/>
      <c r="G137" s="2694"/>
      <c r="H137" s="2869"/>
      <c r="I137" s="2763"/>
      <c r="J137" s="2763"/>
      <c r="K137" s="2763"/>
      <c r="L137" s="2763"/>
      <c r="M137" s="2763"/>
      <c r="N137" s="2763"/>
      <c r="O137" s="2763"/>
      <c r="P137" s="2763"/>
      <c r="Q137" s="2763"/>
      <c r="R137" s="2763"/>
      <c r="S137" s="2763"/>
      <c r="T137" s="2763"/>
      <c r="U137" s="2763"/>
      <c r="V137" s="2763"/>
      <c r="W137" s="2763"/>
      <c r="X137" s="2763"/>
      <c r="Y137" s="2763"/>
      <c r="Z137" s="2870"/>
      <c r="AA137" s="2760"/>
      <c r="AB137" s="2932"/>
      <c r="AC137" s="87"/>
      <c r="AD137" s="87"/>
    </row>
    <row r="138" spans="1:30" ht="16.5" thickBot="1">
      <c r="A138" s="411"/>
      <c r="B138"/>
      <c r="C138" s="2846">
        <f>IF(ISBLANK($E138),"",+MAX(C$12:C137)+1)</f>
        <v>111</v>
      </c>
      <c r="D138" s="495"/>
      <c r="E138" s="1587" t="s">
        <v>700</v>
      </c>
      <c r="F138" s="1587"/>
      <c r="G138" s="2858"/>
      <c r="H138" s="495"/>
      <c r="I138" s="2858"/>
      <c r="J138" s="2858"/>
      <c r="K138" s="2858"/>
      <c r="L138" s="2858"/>
      <c r="M138" s="2858"/>
      <c r="N138" s="2858"/>
      <c r="O138" s="2858"/>
      <c r="P138" s="2858"/>
      <c r="Q138" s="2858"/>
      <c r="R138" s="2858"/>
      <c r="S138" s="2858"/>
      <c r="T138" s="2858"/>
      <c r="U138" s="2858"/>
      <c r="V138" s="2858"/>
      <c r="W138" s="2858"/>
      <c r="X138" s="2858"/>
      <c r="Y138" s="2858"/>
      <c r="Z138" s="2866"/>
      <c r="AA138" s="2858"/>
      <c r="AB138" s="2932"/>
      <c r="AC138" s="87"/>
      <c r="AD138" s="87"/>
    </row>
    <row r="139" spans="1:30">
      <c r="A139" s="411"/>
      <c r="B139" s="51"/>
      <c r="C139" s="2839">
        <f>IF(ISBLANK($E139),"",+MAX(C$12:C138)+1)</f>
        <v>112</v>
      </c>
      <c r="D139" s="2869">
        <f>'O&amp;M_Summ'!D119</f>
        <v>426500</v>
      </c>
      <c r="E139" s="2688" t="str">
        <f>'O&amp;M_Summ'!E119</f>
        <v>OTHER DEDUCTIONS</v>
      </c>
      <c r="F139" s="2688"/>
      <c r="G139" s="2873">
        <f>COS_RR!G164</f>
        <v>0</v>
      </c>
      <c r="H139" s="2882" t="str">
        <f>COS_RR!H164</f>
        <v>Supervised O&amp;M</v>
      </c>
      <c r="I139" s="2873">
        <f>COS_RR!J164</f>
        <v>0</v>
      </c>
      <c r="J139" s="2873">
        <f>COS_RR!K164</f>
        <v>0</v>
      </c>
      <c r="K139" s="2873">
        <f>COS_RR!L164</f>
        <v>0</v>
      </c>
      <c r="L139" s="2873">
        <f>COS_RR!M164</f>
        <v>0</v>
      </c>
      <c r="M139" s="2873">
        <f>COS_RR!N164</f>
        <v>0</v>
      </c>
      <c r="N139" s="2873">
        <f>COS_RR!O164</f>
        <v>0</v>
      </c>
      <c r="O139" s="2873">
        <f>COS_RR!P164</f>
        <v>0</v>
      </c>
      <c r="P139" s="2873">
        <f>COS_RR!Q164</f>
        <v>0</v>
      </c>
      <c r="Q139" s="2873">
        <f>COS_RR!R164</f>
        <v>0</v>
      </c>
      <c r="R139" s="2873">
        <f>COS_RR!S164</f>
        <v>0</v>
      </c>
      <c r="S139" s="2873">
        <f>COS_RR!T164</f>
        <v>0</v>
      </c>
      <c r="T139" s="2873">
        <f>COS_RR!U164</f>
        <v>0</v>
      </c>
      <c r="U139" s="2873">
        <f>COS_RR!V164</f>
        <v>0</v>
      </c>
      <c r="V139" s="2873">
        <f>COS_RR!W164</f>
        <v>0</v>
      </c>
      <c r="W139" s="2873">
        <f>COS_RR!X164</f>
        <v>0</v>
      </c>
      <c r="X139" s="2873">
        <f>COS_RR!Y164</f>
        <v>0</v>
      </c>
      <c r="Y139" s="2873">
        <f>COS_RR!Z164</f>
        <v>0</v>
      </c>
      <c r="Z139" s="2873">
        <f>COS_RR!AA164</f>
        <v>0</v>
      </c>
      <c r="AA139" s="2858">
        <f>COS_RR!AB164</f>
        <v>0</v>
      </c>
      <c r="AB139" s="2932"/>
      <c r="AC139" s="87"/>
      <c r="AD139" s="87"/>
    </row>
    <row r="140" spans="1:30">
      <c r="A140" s="411"/>
      <c r="B140"/>
      <c r="C140" s="2846">
        <f>IF(ISBLANK($E140),"",+MAX(C$12:C139)+1)</f>
        <v>113</v>
      </c>
      <c r="D140" s="495">
        <f>'O&amp;M_Summ'!D120</f>
        <v>920010</v>
      </c>
      <c r="E140" s="2857" t="str">
        <f>'O&amp;M_Summ'!E120</f>
        <v>A&amp;G SALARIES-GENERAL</v>
      </c>
      <c r="F140" s="2857"/>
      <c r="G140" s="493">
        <f>COS_RR!G165</f>
        <v>50178.712872474323</v>
      </c>
      <c r="H140" s="2860" t="str">
        <f>COS_RR!H165</f>
        <v>Supervised O&amp;M</v>
      </c>
      <c r="I140" s="104">
        <f>COS_RR!J165</f>
        <v>0</v>
      </c>
      <c r="J140" s="104">
        <f>COS_RR!K165</f>
        <v>1156</v>
      </c>
      <c r="K140" s="104">
        <f>COS_RR!L165</f>
        <v>5239</v>
      </c>
      <c r="L140" s="104">
        <f>COS_RR!M165</f>
        <v>7934</v>
      </c>
      <c r="M140" s="104">
        <f>COS_RR!N165</f>
        <v>1477</v>
      </c>
      <c r="N140" s="104">
        <f>COS_RR!O165</f>
        <v>0</v>
      </c>
      <c r="O140" s="104">
        <f>COS_RR!P165</f>
        <v>0</v>
      </c>
      <c r="P140" s="104">
        <f>COS_RR!Q165</f>
        <v>2414</v>
      </c>
      <c r="Q140" s="104">
        <f>COS_RR!R165</f>
        <v>1496</v>
      </c>
      <c r="R140" s="104">
        <f>COS_RR!S165</f>
        <v>9413</v>
      </c>
      <c r="S140" s="104">
        <f>COS_RR!T165</f>
        <v>1112</v>
      </c>
      <c r="T140" s="104">
        <f>COS_RR!U165</f>
        <v>2925</v>
      </c>
      <c r="U140" s="104">
        <f>COS_RR!V165</f>
        <v>661</v>
      </c>
      <c r="V140" s="104">
        <f>COS_RR!W165</f>
        <v>5451</v>
      </c>
      <c r="W140" s="104">
        <f>COS_RR!X165</f>
        <v>10129</v>
      </c>
      <c r="X140" s="104">
        <f>COS_RR!Y165</f>
        <v>221</v>
      </c>
      <c r="Y140" s="104">
        <f>COS_RR!Z165</f>
        <v>550</v>
      </c>
      <c r="Z140" s="2848">
        <f>COS_RR!AA165</f>
        <v>0</v>
      </c>
      <c r="AA140" s="104">
        <f>COS_RR!AB165</f>
        <v>0</v>
      </c>
      <c r="AB140" s="2932"/>
      <c r="AC140" s="87"/>
      <c r="AD140" s="87"/>
    </row>
    <row r="141" spans="1:30">
      <c r="A141" s="411"/>
      <c r="B141" s="51"/>
      <c r="C141" s="2839">
        <f>IF(ISBLANK($E141),"",+MAX(C$12:C140)+1)</f>
        <v>114</v>
      </c>
      <c r="D141" s="2869">
        <f>'O&amp;M_Summ'!D121</f>
        <v>920030</v>
      </c>
      <c r="E141" s="2688" t="str">
        <f>'O&amp;M_Summ'!E121</f>
        <v>A&amp;G SALARIES-EDP</v>
      </c>
      <c r="F141" s="2688"/>
      <c r="G141" s="2661">
        <f>COS_RR!G166</f>
        <v>0</v>
      </c>
      <c r="H141" s="2871" t="str">
        <f>COS_RR!H166</f>
        <v>Supervised O&amp;M</v>
      </c>
      <c r="I141" s="2694">
        <f>COS_RR!J166</f>
        <v>0</v>
      </c>
      <c r="J141" s="2694">
        <f>COS_RR!K166</f>
        <v>0</v>
      </c>
      <c r="K141" s="2694">
        <f>COS_RR!L166</f>
        <v>0</v>
      </c>
      <c r="L141" s="2694">
        <f>COS_RR!M166</f>
        <v>0</v>
      </c>
      <c r="M141" s="2694">
        <f>COS_RR!N166</f>
        <v>0</v>
      </c>
      <c r="N141" s="2694">
        <f>COS_RR!O166</f>
        <v>0</v>
      </c>
      <c r="O141" s="2694">
        <f>COS_RR!P166</f>
        <v>0</v>
      </c>
      <c r="P141" s="2694">
        <f>COS_RR!Q166</f>
        <v>0</v>
      </c>
      <c r="Q141" s="2694">
        <f>COS_RR!R166</f>
        <v>0</v>
      </c>
      <c r="R141" s="2694">
        <f>COS_RR!S166</f>
        <v>0</v>
      </c>
      <c r="S141" s="2694">
        <f>COS_RR!T166</f>
        <v>0</v>
      </c>
      <c r="T141" s="2694">
        <f>COS_RR!U166</f>
        <v>0</v>
      </c>
      <c r="U141" s="2694">
        <f>COS_RR!V166</f>
        <v>0</v>
      </c>
      <c r="V141" s="2694">
        <f>COS_RR!W166</f>
        <v>0</v>
      </c>
      <c r="W141" s="2694">
        <f>COS_RR!X166</f>
        <v>0</v>
      </c>
      <c r="X141" s="2694">
        <f>COS_RR!Y166</f>
        <v>0</v>
      </c>
      <c r="Y141" s="2694">
        <f>COS_RR!Z166</f>
        <v>0</v>
      </c>
      <c r="Z141" s="2872">
        <f>COS_RR!AA166</f>
        <v>0</v>
      </c>
      <c r="AA141" s="104">
        <f>COS_RR!AB166</f>
        <v>0</v>
      </c>
      <c r="AB141" s="2932"/>
      <c r="AC141" s="87"/>
      <c r="AD141" s="87"/>
    </row>
    <row r="142" spans="1:30">
      <c r="A142" s="411"/>
      <c r="B142"/>
      <c r="C142" s="2846">
        <f>IF(ISBLANK($E142),"",+MAX(C$12:C141)+1)</f>
        <v>115</v>
      </c>
      <c r="D142" s="495">
        <f>'O&amp;M_Summ'!D122</f>
        <v>920050</v>
      </c>
      <c r="E142" s="2857" t="str">
        <f>'O&amp;M_Summ'!E122</f>
        <v>A&amp;G CERTIFICATE PAY</v>
      </c>
      <c r="F142" s="2857"/>
      <c r="G142" s="493">
        <f>COS_RR!G167</f>
        <v>107567.9110985619</v>
      </c>
      <c r="H142" s="2860" t="str">
        <f>COS_RR!H167</f>
        <v>Supervised O&amp;M</v>
      </c>
      <c r="I142" s="104">
        <f>COS_RR!J167</f>
        <v>0</v>
      </c>
      <c r="J142" s="104">
        <f>COS_RR!K167</f>
        <v>2479</v>
      </c>
      <c r="K142" s="104">
        <f>COS_RR!L167</f>
        <v>11231</v>
      </c>
      <c r="L142" s="104">
        <f>COS_RR!M167</f>
        <v>17009</v>
      </c>
      <c r="M142" s="104">
        <f>COS_RR!N167</f>
        <v>3166</v>
      </c>
      <c r="N142" s="104">
        <f>COS_RR!O167</f>
        <v>0</v>
      </c>
      <c r="O142" s="104">
        <f>COS_RR!P167</f>
        <v>0</v>
      </c>
      <c r="P142" s="104">
        <f>COS_RR!Q167</f>
        <v>5176</v>
      </c>
      <c r="Q142" s="104">
        <f>COS_RR!R167</f>
        <v>3206</v>
      </c>
      <c r="R142" s="104">
        <f>COS_RR!S167</f>
        <v>20178</v>
      </c>
      <c r="S142" s="104">
        <f>COS_RR!T167</f>
        <v>2383</v>
      </c>
      <c r="T142" s="104">
        <f>COS_RR!U167</f>
        <v>6270</v>
      </c>
      <c r="U142" s="104">
        <f>COS_RR!V167</f>
        <v>1418</v>
      </c>
      <c r="V142" s="104">
        <f>COS_RR!W167</f>
        <v>11686</v>
      </c>
      <c r="W142" s="104">
        <f>COS_RR!X167</f>
        <v>21714</v>
      </c>
      <c r="X142" s="104">
        <f>COS_RR!Y167</f>
        <v>474</v>
      </c>
      <c r="Y142" s="104">
        <f>COS_RR!Z167</f>
        <v>1179</v>
      </c>
      <c r="Z142" s="2848">
        <f>COS_RR!AA167</f>
        <v>0</v>
      </c>
      <c r="AA142" s="104">
        <f>COS_RR!AB167</f>
        <v>0</v>
      </c>
      <c r="AB142" s="2932"/>
      <c r="AC142" s="87"/>
      <c r="AD142" s="87"/>
    </row>
    <row r="143" spans="1:30">
      <c r="A143" s="411"/>
      <c r="B143" s="51"/>
      <c r="C143" s="2839">
        <f>IF(ISBLANK($E143),"",+MAX(C$12:C142)+1)</f>
        <v>116</v>
      </c>
      <c r="D143" s="2869">
        <f>'O&amp;M_Summ'!D124</f>
        <v>921010</v>
      </c>
      <c r="E143" s="2688" t="str">
        <f>'O&amp;M_Summ'!E124</f>
        <v>OFC SUP&amp;EXP-GENERAL</v>
      </c>
      <c r="F143" s="2688"/>
      <c r="G143" s="2661">
        <f>COS_RR!G169</f>
        <v>11269801.523527637</v>
      </c>
      <c r="H143" s="2871" t="str">
        <f>COS_RR!H169</f>
        <v>Supervised O&amp;M</v>
      </c>
      <c r="I143" s="2694">
        <f>COS_RR!J169</f>
        <v>0</v>
      </c>
      <c r="J143" s="2694">
        <f>COS_RR!K169</f>
        <v>259675</v>
      </c>
      <c r="K143" s="2694">
        <f>COS_RR!L169</f>
        <v>1176670</v>
      </c>
      <c r="L143" s="2694">
        <f>COS_RR!M169</f>
        <v>1782025</v>
      </c>
      <c r="M143" s="2694">
        <f>COS_RR!N169</f>
        <v>331659</v>
      </c>
      <c r="N143" s="2694">
        <f>COS_RR!O169</f>
        <v>0</v>
      </c>
      <c r="O143" s="2694">
        <f>COS_RR!P169</f>
        <v>0</v>
      </c>
      <c r="P143" s="2694">
        <f>COS_RR!Q169</f>
        <v>542265</v>
      </c>
      <c r="Q143" s="2694">
        <f>COS_RR!R169</f>
        <v>335936</v>
      </c>
      <c r="R143" s="2694">
        <f>COS_RR!S169</f>
        <v>2114069</v>
      </c>
      <c r="S143" s="2694">
        <f>COS_RR!T169</f>
        <v>249641</v>
      </c>
      <c r="T143" s="2694">
        <f>COS_RR!U169</f>
        <v>656953</v>
      </c>
      <c r="U143" s="2694">
        <f>COS_RR!V169</f>
        <v>148555</v>
      </c>
      <c r="V143" s="2694">
        <f>COS_RR!W169</f>
        <v>1224330</v>
      </c>
      <c r="W143" s="2694">
        <f>COS_RR!X169</f>
        <v>2274907</v>
      </c>
      <c r="X143" s="2694">
        <f>COS_RR!Y169</f>
        <v>49619</v>
      </c>
      <c r="Y143" s="2694">
        <f>COS_RR!Z169</f>
        <v>123496</v>
      </c>
      <c r="Z143" s="2872">
        <f>COS_RR!AA169</f>
        <v>0</v>
      </c>
      <c r="AA143" s="104">
        <f>COS_RR!AB169</f>
        <v>0</v>
      </c>
      <c r="AB143" s="2932"/>
      <c r="AC143" s="87"/>
      <c r="AD143" s="87"/>
    </row>
    <row r="144" spans="1:30">
      <c r="A144" s="411"/>
      <c r="B144"/>
      <c r="C144" s="2846">
        <f>IF(ISBLANK($E144),"",+MAX(C$12:C143)+1)</f>
        <v>117</v>
      </c>
      <c r="D144" s="495">
        <f>'O&amp;M_Summ'!D125</f>
        <v>921030</v>
      </c>
      <c r="E144" s="2857" t="str">
        <f>'O&amp;M_Summ'!E125</f>
        <v>OFC SUP&amp;EXP-EDP</v>
      </c>
      <c r="F144" s="2857"/>
      <c r="G144" s="493">
        <f>COS_RR!G170</f>
        <v>144491.25570735912</v>
      </c>
      <c r="H144" s="2860" t="str">
        <f>COS_RR!H170</f>
        <v>Supervised O&amp;M</v>
      </c>
      <c r="I144" s="104">
        <f>COS_RR!J170</f>
        <v>0</v>
      </c>
      <c r="J144" s="104">
        <f>COS_RR!K170</f>
        <v>3329</v>
      </c>
      <c r="K144" s="104">
        <f>COS_RR!L170</f>
        <v>15086</v>
      </c>
      <c r="L144" s="104">
        <f>COS_RR!M170</f>
        <v>22848</v>
      </c>
      <c r="M144" s="104">
        <f>COS_RR!N170</f>
        <v>4252</v>
      </c>
      <c r="N144" s="104">
        <f>COS_RR!O170</f>
        <v>0</v>
      </c>
      <c r="O144" s="104">
        <f>COS_RR!P170</f>
        <v>0</v>
      </c>
      <c r="P144" s="104">
        <f>COS_RR!Q170</f>
        <v>6952</v>
      </c>
      <c r="Q144" s="104">
        <f>COS_RR!R170</f>
        <v>4307</v>
      </c>
      <c r="R144" s="104">
        <f>COS_RR!S170</f>
        <v>27105</v>
      </c>
      <c r="S144" s="104">
        <f>COS_RR!T170</f>
        <v>3201</v>
      </c>
      <c r="T144" s="104">
        <f>COS_RR!U170</f>
        <v>8423</v>
      </c>
      <c r="U144" s="104">
        <f>COS_RR!V170</f>
        <v>1905</v>
      </c>
      <c r="V144" s="104">
        <f>COS_RR!W170</f>
        <v>15697</v>
      </c>
      <c r="W144" s="104">
        <f>COS_RR!X170</f>
        <v>29167</v>
      </c>
      <c r="X144" s="104">
        <f>COS_RR!Y170</f>
        <v>636</v>
      </c>
      <c r="Y144" s="104">
        <f>COS_RR!Z170</f>
        <v>1583</v>
      </c>
      <c r="Z144" s="2848">
        <f>COS_RR!AA170</f>
        <v>0</v>
      </c>
      <c r="AA144" s="104">
        <f>COS_RR!AB170</f>
        <v>0</v>
      </c>
      <c r="AB144" s="2932"/>
      <c r="AC144" s="87"/>
      <c r="AD144" s="87"/>
    </row>
    <row r="145" spans="1:30">
      <c r="A145" s="411"/>
      <c r="B145" s="51"/>
      <c r="C145" s="2839">
        <f>IF(ISBLANK($E145),"",+MAX(C$12:C144)+1)</f>
        <v>118</v>
      </c>
      <c r="D145" s="2869">
        <f>'O&amp;M_Summ'!D126</f>
        <v>921500</v>
      </c>
      <c r="E145" s="2688" t="str">
        <f>'O&amp;M_Summ'!E126</f>
        <v>OFC SUP&amp;EXP-QC ADMIN COSTS</v>
      </c>
      <c r="F145" s="2688"/>
      <c r="G145" s="2661">
        <f>COS_RR!G171</f>
        <v>58894.109395256644</v>
      </c>
      <c r="H145" s="2871" t="str">
        <f>COS_RR!H171</f>
        <v>Supervised O&amp;M</v>
      </c>
      <c r="I145" s="2694">
        <f>COS_RR!J171</f>
        <v>0</v>
      </c>
      <c r="J145" s="2694">
        <f>COS_RR!K171</f>
        <v>1357</v>
      </c>
      <c r="K145" s="2694">
        <f>COS_RR!L171</f>
        <v>6149</v>
      </c>
      <c r="L145" s="2694">
        <f>COS_RR!M171</f>
        <v>9313</v>
      </c>
      <c r="M145" s="2694">
        <f>COS_RR!N171</f>
        <v>1733</v>
      </c>
      <c r="N145" s="2694">
        <f>COS_RR!O171</f>
        <v>0</v>
      </c>
      <c r="O145" s="2694">
        <f>COS_RR!P171</f>
        <v>0</v>
      </c>
      <c r="P145" s="2694">
        <f>COS_RR!Q171</f>
        <v>2834</v>
      </c>
      <c r="Q145" s="2694">
        <f>COS_RR!R171</f>
        <v>1756</v>
      </c>
      <c r="R145" s="2694">
        <f>COS_RR!S171</f>
        <v>11048</v>
      </c>
      <c r="S145" s="2694">
        <f>COS_RR!T171</f>
        <v>1305</v>
      </c>
      <c r="T145" s="2694">
        <f>COS_RR!U171</f>
        <v>3433</v>
      </c>
      <c r="U145" s="2694">
        <f>COS_RR!V171</f>
        <v>776</v>
      </c>
      <c r="V145" s="2694">
        <f>COS_RR!W171</f>
        <v>6398</v>
      </c>
      <c r="W145" s="2694">
        <f>COS_RR!X171</f>
        <v>11888</v>
      </c>
      <c r="X145" s="2694">
        <f>COS_RR!Y171</f>
        <v>259</v>
      </c>
      <c r="Y145" s="2694">
        <f>COS_RR!Z171</f>
        <v>645</v>
      </c>
      <c r="Z145" s="2872">
        <f>COS_RR!AA171</f>
        <v>0</v>
      </c>
      <c r="AA145" s="104">
        <f>COS_RR!AB171</f>
        <v>0</v>
      </c>
      <c r="AB145" s="2932"/>
      <c r="AC145" s="87"/>
      <c r="AD145" s="87"/>
    </row>
    <row r="146" spans="1:30">
      <c r="A146" s="411"/>
      <c r="B146"/>
      <c r="C146" s="2846">
        <f>IF(ISBLANK($E146),"",+MAX(C$12:C145)+1)</f>
        <v>119</v>
      </c>
      <c r="D146" s="495">
        <f>'O&amp;M_Summ'!D127</f>
        <v>921600</v>
      </c>
      <c r="E146" s="2857" t="str">
        <f>'O&amp;M_Summ'!E127</f>
        <v>OFC SUP&amp;EXP-PEC ADMIN COSTS</v>
      </c>
      <c r="F146" s="2857"/>
      <c r="G146" s="493">
        <f>COS_RR!G172</f>
        <v>41454.187965341363</v>
      </c>
      <c r="H146" s="2860" t="str">
        <f>COS_RR!H172</f>
        <v>Supervised O&amp;M</v>
      </c>
      <c r="I146" s="104">
        <f>COS_RR!J172</f>
        <v>0</v>
      </c>
      <c r="J146" s="104">
        <f>COS_RR!K172</f>
        <v>955</v>
      </c>
      <c r="K146" s="104">
        <f>COS_RR!L172</f>
        <v>4328</v>
      </c>
      <c r="L146" s="104">
        <f>COS_RR!M172</f>
        <v>6555</v>
      </c>
      <c r="M146" s="104">
        <f>COS_RR!N172</f>
        <v>1220</v>
      </c>
      <c r="N146" s="104">
        <f>COS_RR!O172</f>
        <v>0</v>
      </c>
      <c r="O146" s="104">
        <f>COS_RR!P172</f>
        <v>0</v>
      </c>
      <c r="P146" s="104">
        <f>COS_RR!Q172</f>
        <v>1995</v>
      </c>
      <c r="Q146" s="104">
        <f>COS_RR!R172</f>
        <v>1236</v>
      </c>
      <c r="R146" s="104">
        <f>COS_RR!S172</f>
        <v>7776</v>
      </c>
      <c r="S146" s="104">
        <f>COS_RR!T172</f>
        <v>918</v>
      </c>
      <c r="T146" s="104">
        <f>COS_RR!U172</f>
        <v>2416</v>
      </c>
      <c r="U146" s="104">
        <f>COS_RR!V172</f>
        <v>546</v>
      </c>
      <c r="V146" s="104">
        <f>COS_RR!W172</f>
        <v>4504</v>
      </c>
      <c r="W146" s="104">
        <f>COS_RR!X172</f>
        <v>8368</v>
      </c>
      <c r="X146" s="104">
        <f>COS_RR!Y172</f>
        <v>183</v>
      </c>
      <c r="Y146" s="104">
        <f>COS_RR!Z172</f>
        <v>454</v>
      </c>
      <c r="Z146" s="2848">
        <f>COS_RR!AA172</f>
        <v>0</v>
      </c>
      <c r="AA146" s="104">
        <f>COS_RR!AB172</f>
        <v>0</v>
      </c>
      <c r="AB146" s="2932"/>
      <c r="AC146" s="87"/>
      <c r="AD146" s="87"/>
    </row>
    <row r="147" spans="1:30">
      <c r="A147" s="411"/>
      <c r="B147" s="51"/>
      <c r="C147" s="2839">
        <f>IF(ISBLANK($E147),"",+MAX(C$12:C146)+1)</f>
        <v>120</v>
      </c>
      <c r="D147" s="2869">
        <f>'O&amp;M_Summ'!D128</f>
        <v>923010</v>
      </c>
      <c r="E147" s="2688" t="str">
        <f>'O&amp;M_Summ'!E128</f>
        <v>O/S SERVICES-ATTORNEY</v>
      </c>
      <c r="F147" s="2688"/>
      <c r="G147" s="2661">
        <f>COS_RR!G173</f>
        <v>431554.37323281885</v>
      </c>
      <c r="H147" s="2871" t="str">
        <f>COS_RR!H173</f>
        <v>Total OC Plant</v>
      </c>
      <c r="I147" s="2694">
        <f>COS_RR!J173</f>
        <v>0</v>
      </c>
      <c r="J147" s="2694">
        <f>COS_RR!K173</f>
        <v>20715</v>
      </c>
      <c r="K147" s="2694">
        <f>COS_RR!L173</f>
        <v>138874</v>
      </c>
      <c r="L147" s="2694">
        <f>COS_RR!M173</f>
        <v>48679</v>
      </c>
      <c r="M147" s="2694">
        <f>COS_RR!N173</f>
        <v>0</v>
      </c>
      <c r="N147" s="2694">
        <f>COS_RR!O173</f>
        <v>0</v>
      </c>
      <c r="O147" s="2694">
        <f>COS_RR!P173</f>
        <v>0</v>
      </c>
      <c r="P147" s="2694">
        <f>COS_RR!Q173</f>
        <v>43371</v>
      </c>
      <c r="Q147" s="2694">
        <f>COS_RR!R173</f>
        <v>15968</v>
      </c>
      <c r="R147" s="2694">
        <f>COS_RR!S173</f>
        <v>94251</v>
      </c>
      <c r="S147" s="2694">
        <f>COS_RR!T173</f>
        <v>12817</v>
      </c>
      <c r="T147" s="2694">
        <f>COS_RR!U173</f>
        <v>32755</v>
      </c>
      <c r="U147" s="2694">
        <f>COS_RR!V173</f>
        <v>11868</v>
      </c>
      <c r="V147" s="2694">
        <f>COS_RR!W173</f>
        <v>8286</v>
      </c>
      <c r="W147" s="2694">
        <f>COS_RR!X173</f>
        <v>0</v>
      </c>
      <c r="X147" s="2694">
        <f>COS_RR!Y173</f>
        <v>3970</v>
      </c>
      <c r="Y147" s="2694">
        <f>COS_RR!Z173</f>
        <v>0</v>
      </c>
      <c r="Z147" s="2872">
        <f>COS_RR!AA173</f>
        <v>0</v>
      </c>
      <c r="AA147" s="104">
        <f>COS_RR!AB173</f>
        <v>0</v>
      </c>
      <c r="AB147" s="2932"/>
      <c r="AC147" s="87"/>
      <c r="AD147" s="87"/>
    </row>
    <row r="148" spans="1:30">
      <c r="A148" s="411"/>
      <c r="B148"/>
      <c r="C148" s="2846">
        <f>IF(ISBLANK($E148),"",+MAX(C$12:C147)+1)</f>
        <v>121</v>
      </c>
      <c r="D148" s="495">
        <f>'O&amp;M_Summ'!D129</f>
        <v>923020</v>
      </c>
      <c r="E148" s="2857" t="str">
        <f>'O&amp;M_Summ'!E129</f>
        <v>O/S SERVICES-AUDITORS</v>
      </c>
      <c r="F148" s="2857"/>
      <c r="G148" s="493">
        <f>COS_RR!G174</f>
        <v>145328.3953453709</v>
      </c>
      <c r="H148" s="2860" t="str">
        <f>COS_RR!H174</f>
        <v>Total OC Plant</v>
      </c>
      <c r="I148" s="104">
        <f>COS_RR!J174</f>
        <v>0</v>
      </c>
      <c r="J148" s="104">
        <f>COS_RR!K174</f>
        <v>6976</v>
      </c>
      <c r="K148" s="104">
        <f>COS_RR!L174</f>
        <v>46767</v>
      </c>
      <c r="L148" s="104">
        <f>COS_RR!M174</f>
        <v>16393</v>
      </c>
      <c r="M148" s="104">
        <f>COS_RR!N174</f>
        <v>0</v>
      </c>
      <c r="N148" s="104">
        <f>COS_RR!O174</f>
        <v>0</v>
      </c>
      <c r="O148" s="104">
        <f>COS_RR!P174</f>
        <v>0</v>
      </c>
      <c r="P148" s="104">
        <f>COS_RR!Q174</f>
        <v>14606</v>
      </c>
      <c r="Q148" s="104">
        <f>COS_RR!R174</f>
        <v>5377</v>
      </c>
      <c r="R148" s="104">
        <f>COS_RR!S174</f>
        <v>31740</v>
      </c>
      <c r="S148" s="104">
        <f>COS_RR!T174</f>
        <v>4316</v>
      </c>
      <c r="T148" s="104">
        <f>COS_RR!U174</f>
        <v>11030</v>
      </c>
      <c r="U148" s="104">
        <f>COS_RR!V174</f>
        <v>3997</v>
      </c>
      <c r="V148" s="104">
        <f>COS_RR!W174</f>
        <v>2790</v>
      </c>
      <c r="W148" s="104">
        <f>COS_RR!X174</f>
        <v>0</v>
      </c>
      <c r="X148" s="104">
        <f>COS_RR!Y174</f>
        <v>1337</v>
      </c>
      <c r="Y148" s="104">
        <f>COS_RR!Z174</f>
        <v>0</v>
      </c>
      <c r="Z148" s="2848">
        <f>COS_RR!AA174</f>
        <v>0</v>
      </c>
      <c r="AA148" s="104">
        <f>COS_RR!AB174</f>
        <v>0</v>
      </c>
      <c r="AB148" s="2932"/>
      <c r="AC148" s="87"/>
      <c r="AD148" s="87"/>
    </row>
    <row r="149" spans="1:30">
      <c r="A149" s="411"/>
      <c r="B149" s="51"/>
      <c r="C149" s="2839">
        <f>IF(ISBLANK($E149),"",+MAX(C$12:C148)+1)</f>
        <v>122</v>
      </c>
      <c r="D149" s="2869">
        <f>'O&amp;M_Summ'!D130</f>
        <v>923030</v>
      </c>
      <c r="E149" s="2688" t="str">
        <f>'O&amp;M_Summ'!E130</f>
        <v>O/S SERVICES-CONSULTANTS</v>
      </c>
      <c r="F149" s="2688"/>
      <c r="G149" s="2661">
        <f>COS_RR!G175</f>
        <v>75857.144306838687</v>
      </c>
      <c r="H149" s="2871" t="str">
        <f>COS_RR!H175</f>
        <v>Total OC Plant</v>
      </c>
      <c r="I149" s="2694">
        <f>COS_RR!J175</f>
        <v>0</v>
      </c>
      <c r="J149" s="2694">
        <f>COS_RR!K175</f>
        <v>3641</v>
      </c>
      <c r="K149" s="2694">
        <f>COS_RR!L175</f>
        <v>24411</v>
      </c>
      <c r="L149" s="2694">
        <f>COS_RR!M175</f>
        <v>8557</v>
      </c>
      <c r="M149" s="2694">
        <f>COS_RR!N175</f>
        <v>0</v>
      </c>
      <c r="N149" s="2694">
        <f>COS_RR!O175</f>
        <v>0</v>
      </c>
      <c r="O149" s="2694">
        <f>COS_RR!P175</f>
        <v>0</v>
      </c>
      <c r="P149" s="2694">
        <f>COS_RR!Q175</f>
        <v>7624</v>
      </c>
      <c r="Q149" s="2694">
        <f>COS_RR!R175</f>
        <v>2807</v>
      </c>
      <c r="R149" s="2694">
        <f>COS_RR!S175</f>
        <v>16567</v>
      </c>
      <c r="S149" s="2694">
        <f>COS_RR!T175</f>
        <v>2253</v>
      </c>
      <c r="T149" s="2694">
        <f>COS_RR!U175</f>
        <v>5758</v>
      </c>
      <c r="U149" s="2694">
        <f>COS_RR!V175</f>
        <v>2086</v>
      </c>
      <c r="V149" s="2694">
        <f>COS_RR!W175</f>
        <v>1456</v>
      </c>
      <c r="W149" s="2694">
        <f>COS_RR!X175</f>
        <v>0</v>
      </c>
      <c r="X149" s="2694">
        <f>COS_RR!Y175</f>
        <v>698</v>
      </c>
      <c r="Y149" s="2694">
        <f>COS_RR!Z175</f>
        <v>0</v>
      </c>
      <c r="Z149" s="2872">
        <f>COS_RR!AA175</f>
        <v>0</v>
      </c>
      <c r="AA149" s="104">
        <f>COS_RR!AB175</f>
        <v>0</v>
      </c>
      <c r="AB149" s="2932"/>
      <c r="AC149" s="87"/>
      <c r="AD149" s="87"/>
    </row>
    <row r="150" spans="1:30">
      <c r="A150" s="411"/>
      <c r="B150"/>
      <c r="C150" s="2846">
        <f>IF(ISBLANK($E150),"",+MAX(C$12:C149)+1)</f>
        <v>123</v>
      </c>
      <c r="D150" s="495">
        <f>'O&amp;M_Summ'!D131</f>
        <v>923040</v>
      </c>
      <c r="E150" s="2857" t="str">
        <f>'O&amp;M_Summ'!E131</f>
        <v>O/S SERVICES-OTHER</v>
      </c>
      <c r="F150" s="2857"/>
      <c r="G150" s="493">
        <f>COS_RR!G176</f>
        <v>0</v>
      </c>
      <c r="H150" s="2860" t="str">
        <f>COS_RR!H176</f>
        <v>Total OC Plant</v>
      </c>
      <c r="I150" s="104">
        <f>COS_RR!J176</f>
        <v>0</v>
      </c>
      <c r="J150" s="104">
        <f>COS_RR!K176</f>
        <v>0</v>
      </c>
      <c r="K150" s="104">
        <f>COS_RR!L176</f>
        <v>0</v>
      </c>
      <c r="L150" s="104">
        <f>COS_RR!M176</f>
        <v>0</v>
      </c>
      <c r="M150" s="104">
        <f>COS_RR!N176</f>
        <v>0</v>
      </c>
      <c r="N150" s="104">
        <f>COS_RR!O176</f>
        <v>0</v>
      </c>
      <c r="O150" s="104">
        <f>COS_RR!P176</f>
        <v>0</v>
      </c>
      <c r="P150" s="104">
        <f>COS_RR!Q176</f>
        <v>0</v>
      </c>
      <c r="Q150" s="104">
        <f>COS_RR!R176</f>
        <v>0</v>
      </c>
      <c r="R150" s="104">
        <f>COS_RR!S176</f>
        <v>0</v>
      </c>
      <c r="S150" s="104">
        <f>COS_RR!T176</f>
        <v>0</v>
      </c>
      <c r="T150" s="104">
        <f>COS_RR!U176</f>
        <v>0</v>
      </c>
      <c r="U150" s="104">
        <f>COS_RR!V176</f>
        <v>0</v>
      </c>
      <c r="V150" s="104">
        <f>COS_RR!W176</f>
        <v>0</v>
      </c>
      <c r="W150" s="104">
        <f>COS_RR!X176</f>
        <v>0</v>
      </c>
      <c r="X150" s="104">
        <f>COS_RR!Y176</f>
        <v>0</v>
      </c>
      <c r="Y150" s="104">
        <f>COS_RR!Z176</f>
        <v>0</v>
      </c>
      <c r="Z150" s="2848">
        <f>COS_RR!AA176</f>
        <v>0</v>
      </c>
      <c r="AA150" s="104">
        <f>COS_RR!AB176</f>
        <v>0</v>
      </c>
      <c r="AB150" s="2932"/>
      <c r="AC150" s="87"/>
      <c r="AD150" s="87"/>
    </row>
    <row r="151" spans="1:30">
      <c r="A151" s="411"/>
      <c r="B151" s="51"/>
      <c r="C151" s="2839">
        <f>IF(ISBLANK($E151),"",+MAX(C$12:C150)+1)</f>
        <v>124</v>
      </c>
      <c r="D151" s="2869">
        <f>'O&amp;M_Summ'!D132</f>
        <v>924020</v>
      </c>
      <c r="E151" s="2688" t="str">
        <f>'O&amp;M_Summ'!E132</f>
        <v>PROPERTY INSURANCE</v>
      </c>
      <c r="F151" s="2887">
        <f>COS_RR!F177</f>
        <v>0.6</v>
      </c>
      <c r="G151" s="2661">
        <f>COS_RR!G177</f>
        <v>132404.51465849185</v>
      </c>
      <c r="H151" s="2871" t="str">
        <f>COS_RR!H177</f>
        <v>Substations</v>
      </c>
      <c r="I151" s="2694">
        <f>COS_RR!J177</f>
        <v>0</v>
      </c>
      <c r="J151" s="2694">
        <f>COS_RR!K177</f>
        <v>0</v>
      </c>
      <c r="K151" s="2694">
        <f>COS_RR!L177</f>
        <v>0</v>
      </c>
      <c r="L151" s="2694">
        <f>COS_RR!M177</f>
        <v>132405</v>
      </c>
      <c r="M151" s="2694">
        <f>COS_RR!N177</f>
        <v>0</v>
      </c>
      <c r="N151" s="2694">
        <f>COS_RR!O177</f>
        <v>0</v>
      </c>
      <c r="O151" s="2694">
        <f>COS_RR!P177</f>
        <v>0</v>
      </c>
      <c r="P151" s="2694">
        <f>COS_RR!Q177</f>
        <v>0</v>
      </c>
      <c r="Q151" s="2694">
        <f>COS_RR!R177</f>
        <v>0</v>
      </c>
      <c r="R151" s="2694">
        <f>COS_RR!S177</f>
        <v>0</v>
      </c>
      <c r="S151" s="2694">
        <f>COS_RR!T177</f>
        <v>0</v>
      </c>
      <c r="T151" s="2694">
        <f>COS_RR!U177</f>
        <v>0</v>
      </c>
      <c r="U151" s="2694">
        <f>COS_RR!V177</f>
        <v>0</v>
      </c>
      <c r="V151" s="2694">
        <f>COS_RR!W177</f>
        <v>0</v>
      </c>
      <c r="W151" s="2694">
        <f>COS_RR!X177</f>
        <v>0</v>
      </c>
      <c r="X151" s="2694">
        <f>COS_RR!Y177</f>
        <v>0</v>
      </c>
      <c r="Y151" s="2694">
        <f>COS_RR!Z177</f>
        <v>0</v>
      </c>
      <c r="Z151" s="2872">
        <f>COS_RR!AA177</f>
        <v>0</v>
      </c>
      <c r="AA151" s="104">
        <f>COS_RR!AB177</f>
        <v>0</v>
      </c>
      <c r="AB151" s="2932"/>
      <c r="AC151" s="87"/>
      <c r="AD151" s="87"/>
    </row>
    <row r="152" spans="1:30">
      <c r="A152" s="411"/>
      <c r="B152"/>
      <c r="C152" s="2846">
        <f>IF(ISBLANK($E152),"",+MAX(C$12:C151)+1)</f>
        <v>125</v>
      </c>
      <c r="D152" s="495">
        <f>'O&amp;M_Summ'!D132</f>
        <v>924020</v>
      </c>
      <c r="E152" s="2857" t="str">
        <f>'O&amp;M_Summ'!E132</f>
        <v>PROPERTY INSURANCE</v>
      </c>
      <c r="F152" s="2867">
        <f>COS_RR!F178</f>
        <v>0.2</v>
      </c>
      <c r="G152" s="493">
        <f>COS_RR!G178</f>
        <v>44134.838219497287</v>
      </c>
      <c r="H152" s="2860" t="str">
        <f>COS_RR!H178</f>
        <v>Power - Capacity</v>
      </c>
      <c r="I152" s="104">
        <f>COS_RR!J178</f>
        <v>0</v>
      </c>
      <c r="J152" s="104">
        <f>COS_RR!K178</f>
        <v>44135</v>
      </c>
      <c r="K152" s="104">
        <f>COS_RR!L178</f>
        <v>0</v>
      </c>
      <c r="L152" s="104">
        <f>COS_RR!M178</f>
        <v>0</v>
      </c>
      <c r="M152" s="104">
        <f>COS_RR!N178</f>
        <v>0</v>
      </c>
      <c r="N152" s="104">
        <f>COS_RR!O178</f>
        <v>0</v>
      </c>
      <c r="O152" s="104">
        <f>COS_RR!P178</f>
        <v>0</v>
      </c>
      <c r="P152" s="104">
        <f>COS_RR!Q178</f>
        <v>0</v>
      </c>
      <c r="Q152" s="104">
        <f>COS_RR!R178</f>
        <v>0</v>
      </c>
      <c r="R152" s="104">
        <f>COS_RR!S178</f>
        <v>0</v>
      </c>
      <c r="S152" s="104">
        <f>COS_RR!T178</f>
        <v>0</v>
      </c>
      <c r="T152" s="104">
        <f>COS_RR!U178</f>
        <v>0</v>
      </c>
      <c r="U152" s="104">
        <f>COS_RR!V178</f>
        <v>0</v>
      </c>
      <c r="V152" s="104">
        <f>COS_RR!W178</f>
        <v>0</v>
      </c>
      <c r="W152" s="104">
        <f>COS_RR!X178</f>
        <v>0</v>
      </c>
      <c r="X152" s="104">
        <f>COS_RR!Y178</f>
        <v>0</v>
      </c>
      <c r="Y152" s="104">
        <f>COS_RR!Z178</f>
        <v>0</v>
      </c>
      <c r="Z152" s="2848">
        <f>COS_RR!AA178</f>
        <v>0</v>
      </c>
      <c r="AA152" s="104">
        <f>COS_RR!AB178</f>
        <v>0</v>
      </c>
      <c r="AB152" s="2932"/>
      <c r="AC152" s="87"/>
      <c r="AD152" s="87"/>
    </row>
    <row r="153" spans="1:30">
      <c r="A153" s="411"/>
      <c r="B153" s="51"/>
      <c r="C153" s="2839">
        <f>IF(ISBLANK($E153),"",+MAX(C$12:C152)+1)</f>
        <v>126</v>
      </c>
      <c r="D153" s="2869">
        <f>'O&amp;M_Summ'!D132</f>
        <v>924020</v>
      </c>
      <c r="E153" s="2688" t="str">
        <f>'O&amp;M_Summ'!E132</f>
        <v>PROPERTY INSURANCE</v>
      </c>
      <c r="F153" s="2874">
        <f>COS_RR!F179</f>
        <v>0.2</v>
      </c>
      <c r="G153" s="2661">
        <f>COS_RR!G179</f>
        <v>44134.838219497287</v>
      </c>
      <c r="H153" s="2871" t="str">
        <f>COS_RR!H179</f>
        <v>Electric General Plant</v>
      </c>
      <c r="I153" s="2694">
        <f>COS_RR!J179</f>
        <v>0</v>
      </c>
      <c r="J153" s="2694">
        <f>COS_RR!K179</f>
        <v>2238</v>
      </c>
      <c r="K153" s="2694">
        <f>COS_RR!L179</f>
        <v>12495</v>
      </c>
      <c r="L153" s="2694">
        <f>COS_RR!M179</f>
        <v>5261</v>
      </c>
      <c r="M153" s="2694">
        <f>COS_RR!N179</f>
        <v>0</v>
      </c>
      <c r="N153" s="2694">
        <f>COS_RR!O179</f>
        <v>0</v>
      </c>
      <c r="O153" s="2694">
        <f>COS_RR!P179</f>
        <v>0</v>
      </c>
      <c r="P153" s="2694">
        <f>COS_RR!Q179</f>
        <v>4692</v>
      </c>
      <c r="Q153" s="2694">
        <f>COS_RR!R179</f>
        <v>1726</v>
      </c>
      <c r="R153" s="2694">
        <f>COS_RR!S179</f>
        <v>10191</v>
      </c>
      <c r="S153" s="2694">
        <f>COS_RR!T179</f>
        <v>1386</v>
      </c>
      <c r="T153" s="2694">
        <f>COS_RR!U179</f>
        <v>3540</v>
      </c>
      <c r="U153" s="2694">
        <f>COS_RR!V179</f>
        <v>1284</v>
      </c>
      <c r="V153" s="2694">
        <f>COS_RR!W179</f>
        <v>896</v>
      </c>
      <c r="W153" s="2694">
        <f>COS_RR!X179</f>
        <v>0</v>
      </c>
      <c r="X153" s="2694">
        <f>COS_RR!Y179</f>
        <v>428</v>
      </c>
      <c r="Y153" s="2694">
        <f>COS_RR!Z179</f>
        <v>0</v>
      </c>
      <c r="Z153" s="2872">
        <f>COS_RR!AA179</f>
        <v>0</v>
      </c>
      <c r="AA153" s="104">
        <f>COS_RR!AB179</f>
        <v>0</v>
      </c>
      <c r="AB153" s="2932"/>
      <c r="AC153" s="87"/>
      <c r="AD153" s="87"/>
    </row>
    <row r="154" spans="1:30">
      <c r="A154" s="411"/>
      <c r="C154" s="495"/>
      <c r="D154" s="495"/>
      <c r="E154" s="2857"/>
      <c r="F154" s="2934"/>
      <c r="G154" s="493"/>
      <c r="H154" s="495"/>
      <c r="I154" s="104"/>
      <c r="J154" s="104"/>
      <c r="K154" s="104"/>
      <c r="L154" s="104"/>
      <c r="M154" s="104"/>
      <c r="N154" s="104"/>
      <c r="O154" s="104"/>
      <c r="P154" s="104"/>
      <c r="Q154" s="104"/>
      <c r="R154" s="104"/>
      <c r="S154" s="104"/>
      <c r="T154" s="104"/>
      <c r="U154" s="104"/>
      <c r="V154" s="104"/>
      <c r="W154" s="104"/>
      <c r="X154" s="104"/>
      <c r="Y154" s="104"/>
      <c r="Z154" s="104"/>
      <c r="AA154" s="104"/>
      <c r="AB154" s="2932"/>
      <c r="AC154" s="87"/>
      <c r="AD154" s="87"/>
    </row>
    <row r="155" spans="1:30">
      <c r="A155" s="411"/>
      <c r="B155"/>
      <c r="C155" s="12"/>
      <c r="D155" s="12"/>
      <c r="E155"/>
      <c r="F155" s="2579" t="s">
        <v>674</v>
      </c>
      <c r="G155" s="2579" t="s">
        <v>155</v>
      </c>
      <c r="H155" s="2579" t="s">
        <v>675</v>
      </c>
      <c r="I155" s="2579" t="s">
        <v>676</v>
      </c>
      <c r="J155" s="2579" t="s">
        <v>677</v>
      </c>
      <c r="K155" s="2579" t="s">
        <v>140</v>
      </c>
      <c r="L155" s="2579" t="s">
        <v>141</v>
      </c>
      <c r="M155" s="2579" t="s">
        <v>142</v>
      </c>
      <c r="N155" s="2579" t="s">
        <v>143</v>
      </c>
      <c r="O155" s="2579" t="s">
        <v>145</v>
      </c>
      <c r="P155" s="2579" t="s">
        <v>146</v>
      </c>
      <c r="Q155" s="2579" t="s">
        <v>147</v>
      </c>
      <c r="R155" s="2579" t="s">
        <v>148</v>
      </c>
      <c r="S155" s="2579" t="s">
        <v>149</v>
      </c>
      <c r="T155" s="2579" t="s">
        <v>150</v>
      </c>
      <c r="U155" s="2579" t="s">
        <v>151</v>
      </c>
      <c r="V155" s="2579" t="s">
        <v>153</v>
      </c>
      <c r="W155" s="2579" t="s">
        <v>154</v>
      </c>
      <c r="X155" s="2579" t="s">
        <v>449</v>
      </c>
      <c r="Y155" s="2579" t="s">
        <v>450</v>
      </c>
      <c r="Z155" s="2579" t="s">
        <v>451</v>
      </c>
    </row>
    <row r="156" spans="1:30">
      <c r="A156" s="411"/>
      <c r="B156"/>
      <c r="C156" s="2653"/>
      <c r="D156" s="2653"/>
      <c r="E156" s="2658"/>
      <c r="F156" s="2658"/>
      <c r="G156" s="2658"/>
      <c r="H156" s="2658"/>
      <c r="I156" s="4599" t="s">
        <v>900</v>
      </c>
      <c r="J156" s="4600"/>
      <c r="K156" s="4601" t="s">
        <v>600</v>
      </c>
      <c r="L156" s="4602" t="s">
        <v>601</v>
      </c>
      <c r="M156" s="4602"/>
      <c r="N156" s="4602"/>
      <c r="O156" s="4602"/>
      <c r="P156" s="4602"/>
      <c r="Q156" s="4602"/>
      <c r="R156" s="4602"/>
      <c r="S156" s="2834"/>
      <c r="T156" s="2834"/>
      <c r="U156" s="2834"/>
      <c r="V156" s="2834"/>
      <c r="W156" s="2599" t="s">
        <v>608</v>
      </c>
      <c r="X156" s="2658"/>
      <c r="Y156" s="2658"/>
      <c r="Z156" s="2658"/>
      <c r="AA156" s="195"/>
      <c r="AB156" s="195"/>
    </row>
    <row r="157" spans="1:30">
      <c r="A157" s="411"/>
      <c r="B157"/>
      <c r="C157" s="2609"/>
      <c r="D157" s="2609"/>
      <c r="E157" s="2658"/>
      <c r="F157" s="2658"/>
      <c r="G157" s="2658"/>
      <c r="H157" s="2658"/>
      <c r="I157" s="4589"/>
      <c r="J157" s="4590"/>
      <c r="K157" s="4592"/>
      <c r="L157" s="4594" t="s">
        <v>168</v>
      </c>
      <c r="M157" s="4594"/>
      <c r="N157" s="4594"/>
      <c r="O157" s="4594"/>
      <c r="P157" s="4594"/>
      <c r="Q157" s="4594"/>
      <c r="R157" s="4595"/>
      <c r="S157" s="4596" t="s">
        <v>606</v>
      </c>
      <c r="T157" s="4594"/>
      <c r="U157" s="4594"/>
      <c r="V157" s="4594"/>
      <c r="W157" s="2600" t="s">
        <v>169</v>
      </c>
      <c r="X157" s="2599"/>
      <c r="Y157" s="2658"/>
      <c r="Z157" s="2658"/>
      <c r="AA157" s="195"/>
      <c r="AB157" s="195"/>
    </row>
    <row r="158" spans="1:30">
      <c r="A158" s="411"/>
      <c r="B158"/>
      <c r="C158" s="4617" t="s">
        <v>867</v>
      </c>
      <c r="D158" s="2843"/>
      <c r="E158" s="4613" t="s">
        <v>399</v>
      </c>
      <c r="F158" s="2608" t="s">
        <v>865</v>
      </c>
      <c r="G158" s="2599"/>
      <c r="H158" s="2608" t="s">
        <v>869</v>
      </c>
      <c r="I158" s="4603" t="s">
        <v>605</v>
      </c>
      <c r="J158" s="4601" t="s">
        <v>168</v>
      </c>
      <c r="K158" s="4601" t="s">
        <v>168</v>
      </c>
      <c r="L158" s="4605" t="s">
        <v>170</v>
      </c>
      <c r="M158" s="2607" t="s">
        <v>486</v>
      </c>
      <c r="N158" s="2607" t="s">
        <v>2988</v>
      </c>
      <c r="O158" s="2607" t="s">
        <v>2989</v>
      </c>
      <c r="P158" s="2599" t="s">
        <v>867</v>
      </c>
      <c r="Q158" s="4596" t="s">
        <v>857</v>
      </c>
      <c r="R158" s="4595"/>
      <c r="S158" s="4607" t="s">
        <v>858</v>
      </c>
      <c r="T158" s="4608"/>
      <c r="U158" s="4601" t="s">
        <v>171</v>
      </c>
      <c r="V158" s="4601" t="s">
        <v>172</v>
      </c>
      <c r="W158" s="2600" t="s">
        <v>173</v>
      </c>
      <c r="X158" s="4597">
        <f>COS_RB!W189</f>
        <v>0</v>
      </c>
      <c r="Y158" s="2599" t="s">
        <v>683</v>
      </c>
      <c r="Z158" s="2608" t="s">
        <v>210</v>
      </c>
      <c r="AA158" s="221"/>
      <c r="AB158" s="195"/>
    </row>
    <row r="159" spans="1:30" ht="16.5" thickBot="1">
      <c r="A159" s="411"/>
      <c r="B159"/>
      <c r="C159" s="4618"/>
      <c r="D159" s="2844"/>
      <c r="E159" s="4619"/>
      <c r="F159" s="2659" t="s">
        <v>122</v>
      </c>
      <c r="G159" s="2600" t="s">
        <v>602</v>
      </c>
      <c r="H159" s="2845" t="s">
        <v>870</v>
      </c>
      <c r="I159" s="4620"/>
      <c r="J159" s="4610"/>
      <c r="K159" s="4610"/>
      <c r="L159" s="4615"/>
      <c r="M159" s="2835" t="s">
        <v>175</v>
      </c>
      <c r="N159" s="2835" t="s">
        <v>175</v>
      </c>
      <c r="O159" s="2835" t="s">
        <v>175</v>
      </c>
      <c r="P159" s="2836" t="s">
        <v>856</v>
      </c>
      <c r="Q159" s="2600" t="s">
        <v>985</v>
      </c>
      <c r="R159" s="2600" t="s">
        <v>986</v>
      </c>
      <c r="S159" s="2837" t="s">
        <v>985</v>
      </c>
      <c r="T159" s="2599" t="s">
        <v>986</v>
      </c>
      <c r="U159" s="4610"/>
      <c r="V159" s="4610"/>
      <c r="W159" s="2836" t="s">
        <v>603</v>
      </c>
      <c r="X159" s="4616"/>
      <c r="Y159" s="2836" t="s">
        <v>606</v>
      </c>
      <c r="Z159" s="2838" t="s">
        <v>861</v>
      </c>
      <c r="AA159" s="222"/>
      <c r="AB159" s="195"/>
    </row>
    <row r="160" spans="1:30">
      <c r="A160" s="411"/>
      <c r="B160"/>
      <c r="C160" s="2846"/>
      <c r="D160" s="495"/>
      <c r="E160" s="87"/>
      <c r="F160" s="87"/>
      <c r="G160" s="87"/>
      <c r="I160" s="215"/>
      <c r="J160" s="87"/>
      <c r="K160" s="87"/>
      <c r="L160" s="87"/>
      <c r="M160" s="87"/>
      <c r="N160" s="87"/>
      <c r="O160" s="87"/>
      <c r="P160" s="87"/>
      <c r="Q160" s="87"/>
      <c r="R160" s="87"/>
      <c r="S160" s="87"/>
      <c r="T160" s="87"/>
      <c r="U160" s="87"/>
      <c r="V160" s="87"/>
      <c r="W160" s="87"/>
      <c r="X160" s="87"/>
      <c r="Y160" s="87"/>
      <c r="Z160" s="2847"/>
      <c r="AA160" s="87"/>
      <c r="AB160" s="190"/>
      <c r="AC160" s="87"/>
      <c r="AD160" s="87"/>
    </row>
    <row r="161" spans="1:30">
      <c r="A161" s="411"/>
      <c r="B161"/>
      <c r="C161" s="2846">
        <f>IF(ISBLANK($E161),"",+MAX(C$12:C153)+1)</f>
        <v>127</v>
      </c>
      <c r="D161" s="495">
        <f>'O&amp;M_Summ'!D133</f>
        <v>924040</v>
      </c>
      <c r="E161" s="2857" t="str">
        <f>'O&amp;M_Summ'!E133</f>
        <v>INSURANCE ADMINISTRATION</v>
      </c>
      <c r="F161" s="2857"/>
      <c r="G161" s="493">
        <f>COS_RR!G180</f>
        <v>0</v>
      </c>
      <c r="H161" s="2860" t="str">
        <f>COS_RR!H180</f>
        <v>Total OC Plant</v>
      </c>
      <c r="I161" s="104">
        <f>COS_RR!J180</f>
        <v>0</v>
      </c>
      <c r="J161" s="104">
        <f>COS_RR!K180</f>
        <v>0</v>
      </c>
      <c r="K161" s="104">
        <f>COS_RR!L180</f>
        <v>0</v>
      </c>
      <c r="L161" s="104">
        <f>COS_RR!M180</f>
        <v>0</v>
      </c>
      <c r="M161" s="104">
        <f>COS_RR!N180</f>
        <v>0</v>
      </c>
      <c r="N161" s="104">
        <f>COS_RR!O180</f>
        <v>0</v>
      </c>
      <c r="O161" s="104">
        <f>COS_RR!P180</f>
        <v>0</v>
      </c>
      <c r="P161" s="104">
        <f>COS_RR!Q180</f>
        <v>0</v>
      </c>
      <c r="Q161" s="104">
        <f>COS_RR!R180</f>
        <v>0</v>
      </c>
      <c r="R161" s="104">
        <f>COS_RR!S180</f>
        <v>0</v>
      </c>
      <c r="S161" s="104">
        <f>COS_RR!T180</f>
        <v>0</v>
      </c>
      <c r="T161" s="104">
        <f>COS_RR!U180</f>
        <v>0</v>
      </c>
      <c r="U161" s="104">
        <f>COS_RR!V180</f>
        <v>0</v>
      </c>
      <c r="V161" s="104">
        <f>COS_RR!W180</f>
        <v>0</v>
      </c>
      <c r="W161" s="104">
        <f>COS_RR!X180</f>
        <v>0</v>
      </c>
      <c r="X161" s="104">
        <f>COS_RR!Y180</f>
        <v>0</v>
      </c>
      <c r="Y161" s="104">
        <f>COS_RR!Z180</f>
        <v>0</v>
      </c>
      <c r="Z161" s="2848">
        <f>COS_RR!AA180</f>
        <v>0</v>
      </c>
      <c r="AA161" s="104">
        <f>COS_RR!AB180</f>
        <v>0</v>
      </c>
      <c r="AB161" s="2932"/>
      <c r="AC161" s="87"/>
      <c r="AD161" s="87"/>
    </row>
    <row r="162" spans="1:30">
      <c r="A162" s="411"/>
      <c r="B162" s="51"/>
      <c r="C162" s="2839">
        <f>IF(ISBLANK($E162),"",+MAX(C$12:C161)+1)</f>
        <v>128</v>
      </c>
      <c r="D162" s="2869">
        <f>'O&amp;M_Summ'!D134</f>
        <v>924500</v>
      </c>
      <c r="E162" s="2688" t="str">
        <f>'O&amp;M_Summ'!E134</f>
        <v>PROPERTY INSURANCE - QC</v>
      </c>
      <c r="F162" s="2688"/>
      <c r="G162" s="2661">
        <f>COS_RR!G181</f>
        <v>17629.263841202664</v>
      </c>
      <c r="H162" s="2871" t="str">
        <f>COS_RR!H181</f>
        <v>Power - Capacity</v>
      </c>
      <c r="I162" s="2694">
        <f>COS_RR!J181</f>
        <v>0</v>
      </c>
      <c r="J162" s="2694">
        <f>COS_RR!K181</f>
        <v>17629</v>
      </c>
      <c r="K162" s="2694">
        <f>COS_RR!L181</f>
        <v>0</v>
      </c>
      <c r="L162" s="2694">
        <f>COS_RR!M181</f>
        <v>0</v>
      </c>
      <c r="M162" s="2694">
        <f>COS_RR!N181</f>
        <v>0</v>
      </c>
      <c r="N162" s="2694">
        <f>COS_RR!O181</f>
        <v>0</v>
      </c>
      <c r="O162" s="2694">
        <f>COS_RR!P181</f>
        <v>0</v>
      </c>
      <c r="P162" s="2694">
        <f>COS_RR!Q181</f>
        <v>0</v>
      </c>
      <c r="Q162" s="2694">
        <f>COS_RR!R181</f>
        <v>0</v>
      </c>
      <c r="R162" s="2694">
        <f>COS_RR!S181</f>
        <v>0</v>
      </c>
      <c r="S162" s="2694">
        <f>COS_RR!T181</f>
        <v>0</v>
      </c>
      <c r="T162" s="2694">
        <f>COS_RR!U181</f>
        <v>0</v>
      </c>
      <c r="U162" s="2694">
        <f>COS_RR!V181</f>
        <v>0</v>
      </c>
      <c r="V162" s="2694">
        <f>COS_RR!W181</f>
        <v>0</v>
      </c>
      <c r="W162" s="2694">
        <f>COS_RR!X181</f>
        <v>0</v>
      </c>
      <c r="X162" s="2694">
        <f>COS_RR!Y181</f>
        <v>0</v>
      </c>
      <c r="Y162" s="2694">
        <f>COS_RR!Z181</f>
        <v>0</v>
      </c>
      <c r="Z162" s="2872">
        <f>COS_RR!AA181</f>
        <v>0</v>
      </c>
      <c r="AA162" s="104">
        <f>COS_RR!AB181</f>
        <v>0</v>
      </c>
      <c r="AB162" s="2932"/>
      <c r="AC162" s="87"/>
      <c r="AD162" s="87"/>
    </row>
    <row r="163" spans="1:30">
      <c r="A163" s="411"/>
      <c r="B163"/>
      <c r="C163" s="2846">
        <f>IF(ISBLANK($E163),"",+MAX(C$12:C162)+1)</f>
        <v>129</v>
      </c>
      <c r="D163" s="495">
        <f>'O&amp;M_Summ'!D135</f>
        <v>924600</v>
      </c>
      <c r="E163" s="2857" t="str">
        <f>'O&amp;M_Summ'!E135</f>
        <v>PROPERTY INSURANCE - PEC</v>
      </c>
      <c r="F163" s="2857"/>
      <c r="G163" s="493">
        <f>COS_RR!G182</f>
        <v>14771.316190231813</v>
      </c>
      <c r="H163" s="2860" t="str">
        <f>COS_RR!H182</f>
        <v>Power - Capacity</v>
      </c>
      <c r="I163" s="104">
        <f>COS_RR!J182</f>
        <v>0</v>
      </c>
      <c r="J163" s="104">
        <f>COS_RR!K182</f>
        <v>14771</v>
      </c>
      <c r="K163" s="104">
        <f>COS_RR!L182</f>
        <v>0</v>
      </c>
      <c r="L163" s="104">
        <f>COS_RR!M182</f>
        <v>0</v>
      </c>
      <c r="M163" s="104">
        <f>COS_RR!N182</f>
        <v>0</v>
      </c>
      <c r="N163" s="104">
        <f>COS_RR!O182</f>
        <v>0</v>
      </c>
      <c r="O163" s="104">
        <f>COS_RR!P182</f>
        <v>0</v>
      </c>
      <c r="P163" s="104">
        <f>COS_RR!Q182</f>
        <v>0</v>
      </c>
      <c r="Q163" s="104">
        <f>COS_RR!R182</f>
        <v>0</v>
      </c>
      <c r="R163" s="104">
        <f>COS_RR!S182</f>
        <v>0</v>
      </c>
      <c r="S163" s="104">
        <f>COS_RR!T182</f>
        <v>0</v>
      </c>
      <c r="T163" s="104">
        <f>COS_RR!U182</f>
        <v>0</v>
      </c>
      <c r="U163" s="104">
        <f>COS_RR!V182</f>
        <v>0</v>
      </c>
      <c r="V163" s="104">
        <f>COS_RR!W182</f>
        <v>0</v>
      </c>
      <c r="W163" s="104">
        <f>COS_RR!X182</f>
        <v>0</v>
      </c>
      <c r="X163" s="104">
        <f>COS_RR!Y182</f>
        <v>0</v>
      </c>
      <c r="Y163" s="104">
        <f>COS_RR!Z182</f>
        <v>0</v>
      </c>
      <c r="Z163" s="2848">
        <f>COS_RR!AA182</f>
        <v>0</v>
      </c>
      <c r="AA163" s="104">
        <f>COS_RR!AB182</f>
        <v>0</v>
      </c>
      <c r="AB163" s="2932"/>
      <c r="AC163" s="87"/>
      <c r="AD163" s="87"/>
    </row>
    <row r="164" spans="1:30">
      <c r="A164" s="411"/>
      <c r="B164" s="51"/>
      <c r="C164" s="2839">
        <f>IF(ISBLANK($E164),"",+MAX(C$12:C163)+1)</f>
        <v>130</v>
      </c>
      <c r="D164" s="2869">
        <f>'O&amp;M_Summ'!D136</f>
        <v>925030</v>
      </c>
      <c r="E164" s="2688" t="str">
        <f>'O&amp;M_Summ'!E136</f>
        <v>INJ &amp; DAMAGES-GENERAL</v>
      </c>
      <c r="F164" s="2688"/>
      <c r="G164" s="2661">
        <f>COS_RR!G183</f>
        <v>947980.59970268712</v>
      </c>
      <c r="H164" s="2871" t="str">
        <f>COS_RR!H183</f>
        <v>Supervised O&amp;M</v>
      </c>
      <c r="I164" s="2694">
        <f>COS_RR!J183</f>
        <v>0</v>
      </c>
      <c r="J164" s="2694">
        <f>COS_RR!K183</f>
        <v>21843</v>
      </c>
      <c r="K164" s="2694">
        <f>COS_RR!L183</f>
        <v>98978</v>
      </c>
      <c r="L164" s="2694">
        <f>COS_RR!M183</f>
        <v>149898</v>
      </c>
      <c r="M164" s="2694">
        <f>COS_RR!N183</f>
        <v>27898</v>
      </c>
      <c r="N164" s="2694">
        <f>COS_RR!O183</f>
        <v>0</v>
      </c>
      <c r="O164" s="2694">
        <f>COS_RR!P183</f>
        <v>0</v>
      </c>
      <c r="P164" s="2694">
        <f>COS_RR!Q183</f>
        <v>45614</v>
      </c>
      <c r="Q164" s="2694">
        <f>COS_RR!R183</f>
        <v>28258</v>
      </c>
      <c r="R164" s="2694">
        <f>COS_RR!S183</f>
        <v>177829</v>
      </c>
      <c r="S164" s="2694">
        <f>COS_RR!T183</f>
        <v>20999</v>
      </c>
      <c r="T164" s="2694">
        <f>COS_RR!U183</f>
        <v>55261</v>
      </c>
      <c r="U164" s="2694">
        <f>COS_RR!V183</f>
        <v>12496</v>
      </c>
      <c r="V164" s="2694">
        <f>COS_RR!W183</f>
        <v>102987</v>
      </c>
      <c r="W164" s="2694">
        <f>COS_RR!X183</f>
        <v>191358</v>
      </c>
      <c r="X164" s="2694">
        <f>COS_RR!Y183</f>
        <v>4174</v>
      </c>
      <c r="Y164" s="2694">
        <f>COS_RR!Z183</f>
        <v>10388</v>
      </c>
      <c r="Z164" s="2872">
        <f>COS_RR!AA183</f>
        <v>0</v>
      </c>
      <c r="AA164" s="104">
        <f>COS_RR!AB183</f>
        <v>0</v>
      </c>
      <c r="AB164" s="2932"/>
      <c r="AC164" s="87"/>
      <c r="AD164" s="87"/>
    </row>
    <row r="165" spans="1:30">
      <c r="A165" s="411"/>
      <c r="B165"/>
      <c r="C165" s="2846">
        <f>IF(ISBLANK($E165),"",+MAX(C$12:C164)+1)</f>
        <v>131</v>
      </c>
      <c r="D165" s="495">
        <f>'O&amp;M_Summ'!D137</f>
        <v>925040</v>
      </c>
      <c r="E165" s="2857" t="str">
        <f>'O&amp;M_Summ'!E137</f>
        <v>INJ &amp; DAMAGES-LIAB INSUR</v>
      </c>
      <c r="F165" s="2857"/>
      <c r="G165" s="493">
        <f>COS_RR!G184</f>
        <v>585755.95574474777</v>
      </c>
      <c r="H165" s="2860" t="str">
        <f>COS_RR!H184</f>
        <v>Supervised O&amp;M</v>
      </c>
      <c r="I165" s="104">
        <f>COS_RR!J184</f>
        <v>0</v>
      </c>
      <c r="J165" s="104">
        <f>COS_RR!K184</f>
        <v>13497</v>
      </c>
      <c r="K165" s="104">
        <f>COS_RR!L184</f>
        <v>61158</v>
      </c>
      <c r="L165" s="104">
        <f>COS_RR!M184</f>
        <v>92622</v>
      </c>
      <c r="M165" s="104">
        <f>COS_RR!N184</f>
        <v>17238</v>
      </c>
      <c r="N165" s="104">
        <f>COS_RR!O184</f>
        <v>0</v>
      </c>
      <c r="O165" s="104">
        <f>COS_RR!P184</f>
        <v>0</v>
      </c>
      <c r="P165" s="104">
        <f>COS_RR!Q184</f>
        <v>28185</v>
      </c>
      <c r="Q165" s="104">
        <f>COS_RR!R184</f>
        <v>17461</v>
      </c>
      <c r="R165" s="104">
        <f>COS_RR!S184</f>
        <v>109880</v>
      </c>
      <c r="S165" s="104">
        <f>COS_RR!T184</f>
        <v>12975</v>
      </c>
      <c r="T165" s="104">
        <f>COS_RR!U184</f>
        <v>34146</v>
      </c>
      <c r="U165" s="104">
        <f>COS_RR!V184</f>
        <v>7721</v>
      </c>
      <c r="V165" s="104">
        <f>COS_RR!W184</f>
        <v>63635</v>
      </c>
      <c r="W165" s="104">
        <f>COS_RR!X184</f>
        <v>118240</v>
      </c>
      <c r="X165" s="104">
        <f>COS_RR!Y184</f>
        <v>2579</v>
      </c>
      <c r="Y165" s="104">
        <f>COS_RR!Z184</f>
        <v>6419</v>
      </c>
      <c r="Z165" s="2848">
        <f>COS_RR!AA184</f>
        <v>0</v>
      </c>
      <c r="AA165" s="104">
        <f>COS_RR!AB184</f>
        <v>0</v>
      </c>
      <c r="AB165" s="2932"/>
      <c r="AC165" s="87"/>
      <c r="AD165" s="87"/>
    </row>
    <row r="166" spans="1:30">
      <c r="A166" s="411"/>
      <c r="B166" s="51"/>
      <c r="C166" s="2839">
        <f>IF(ISBLANK($E166),"",+MAX(C$12:C165)+1)</f>
        <v>132</v>
      </c>
      <c r="D166" s="2869">
        <f>'O&amp;M_Summ'!D138</f>
        <v>925050</v>
      </c>
      <c r="E166" s="2688" t="str">
        <f>'O&amp;M_Summ'!E138</f>
        <v>INJ &amp; DAMAGES-MINOR CLAIMS</v>
      </c>
      <c r="F166" s="2688"/>
      <c r="G166" s="2661">
        <f>COS_RR!G185</f>
        <v>1883.9617632422355</v>
      </c>
      <c r="H166" s="2871" t="str">
        <f>COS_RR!H185</f>
        <v>Supervised O&amp;M</v>
      </c>
      <c r="I166" s="2694">
        <f>COS_RR!J185</f>
        <v>0</v>
      </c>
      <c r="J166" s="2694">
        <f>COS_RR!K185</f>
        <v>43</v>
      </c>
      <c r="K166" s="2694">
        <f>COS_RR!L185</f>
        <v>197</v>
      </c>
      <c r="L166" s="2694">
        <f>COS_RR!M185</f>
        <v>298</v>
      </c>
      <c r="M166" s="2694">
        <f>COS_RR!N185</f>
        <v>55</v>
      </c>
      <c r="N166" s="2694">
        <f>COS_RR!O185</f>
        <v>0</v>
      </c>
      <c r="O166" s="2694">
        <f>COS_RR!P185</f>
        <v>0</v>
      </c>
      <c r="P166" s="2694">
        <f>COS_RR!Q185</f>
        <v>91</v>
      </c>
      <c r="Q166" s="2694">
        <f>COS_RR!R185</f>
        <v>56</v>
      </c>
      <c r="R166" s="2694">
        <f>COS_RR!S185</f>
        <v>353</v>
      </c>
      <c r="S166" s="2694">
        <f>COS_RR!T185</f>
        <v>42</v>
      </c>
      <c r="T166" s="2694">
        <f>COS_RR!U185</f>
        <v>110</v>
      </c>
      <c r="U166" s="2694">
        <f>COS_RR!V185</f>
        <v>25</v>
      </c>
      <c r="V166" s="2694">
        <f>COS_RR!W185</f>
        <v>205</v>
      </c>
      <c r="W166" s="2694">
        <f>COS_RR!X185</f>
        <v>380</v>
      </c>
      <c r="X166" s="2694">
        <f>COS_RR!Y185</f>
        <v>8</v>
      </c>
      <c r="Y166" s="2694">
        <f>COS_RR!Z185</f>
        <v>21</v>
      </c>
      <c r="Z166" s="2872">
        <f>COS_RR!AA185</f>
        <v>0</v>
      </c>
      <c r="AA166" s="104">
        <f>COS_RR!AB185</f>
        <v>0</v>
      </c>
      <c r="AB166" s="2932"/>
      <c r="AC166" s="87"/>
      <c r="AD166" s="87"/>
    </row>
    <row r="167" spans="1:30">
      <c r="A167" s="411"/>
      <c r="B167"/>
      <c r="C167" s="2846">
        <f>IF(ISBLANK($E167),"",+MAX(C$12:C166)+1)</f>
        <v>133</v>
      </c>
      <c r="D167" s="495">
        <f>'O&amp;M_Summ'!D142</f>
        <v>926999</v>
      </c>
      <c r="E167" s="2857" t="str">
        <f>'O&amp;M_Summ'!E142</f>
        <v>OPEB EXPENSE</v>
      </c>
      <c r="F167" s="2857"/>
      <c r="G167" s="493">
        <f>COS_RR!G189</f>
        <v>239938.67617993004</v>
      </c>
      <c r="H167" s="2860" t="str">
        <f>COS_RR!H189</f>
        <v>Supervised O&amp;M</v>
      </c>
      <c r="I167" s="104">
        <f>COS_RR!J189</f>
        <v>0</v>
      </c>
      <c r="J167" s="104">
        <f>COS_RR!K189</f>
        <v>5529</v>
      </c>
      <c r="K167" s="104">
        <f>COS_RR!L189</f>
        <v>25052</v>
      </c>
      <c r="L167" s="104">
        <f>COS_RR!M189</f>
        <v>37940</v>
      </c>
      <c r="M167" s="104">
        <f>COS_RR!N189</f>
        <v>7061</v>
      </c>
      <c r="N167" s="104">
        <f>COS_RR!O189</f>
        <v>0</v>
      </c>
      <c r="O167" s="104">
        <f>COS_RR!P189</f>
        <v>0</v>
      </c>
      <c r="P167" s="104">
        <f>COS_RR!Q189</f>
        <v>11545</v>
      </c>
      <c r="Q167" s="104">
        <f>COS_RR!R189</f>
        <v>7152</v>
      </c>
      <c r="R167" s="104">
        <f>COS_RR!S189</f>
        <v>45009</v>
      </c>
      <c r="S167" s="104">
        <f>COS_RR!T189</f>
        <v>5315</v>
      </c>
      <c r="T167" s="104">
        <f>COS_RR!U189</f>
        <v>13987</v>
      </c>
      <c r="U167" s="104">
        <f>COS_RR!V189</f>
        <v>3163</v>
      </c>
      <c r="V167" s="104">
        <f>COS_RR!W189</f>
        <v>26066</v>
      </c>
      <c r="W167" s="104">
        <f>COS_RR!X189</f>
        <v>48434</v>
      </c>
      <c r="X167" s="104">
        <f>COS_RR!Y189</f>
        <v>1056</v>
      </c>
      <c r="Y167" s="104">
        <f>COS_RR!Z189</f>
        <v>2629</v>
      </c>
      <c r="Z167" s="2848">
        <f>COS_RR!AA189</f>
        <v>0</v>
      </c>
      <c r="AA167" s="104">
        <f>COS_RR!AB189</f>
        <v>0</v>
      </c>
      <c r="AB167" s="2932"/>
      <c r="AC167" s="87"/>
      <c r="AD167" s="87"/>
    </row>
    <row r="168" spans="1:30">
      <c r="A168" s="411"/>
      <c r="B168" s="51"/>
      <c r="C168" s="2839">
        <f>IF(ISBLANK($E168),"",+MAX(C$12:C167)+1)</f>
        <v>134</v>
      </c>
      <c r="D168" s="2869">
        <f>'O&amp;M_Summ'!D143</f>
        <v>928030</v>
      </c>
      <c r="E168" s="2688" t="str">
        <f>'O&amp;M_Summ'!E143</f>
        <v>REG COMM EXP-LITIGATION</v>
      </c>
      <c r="F168" s="2688"/>
      <c r="G168" s="2661">
        <f>COS_RR!G190</f>
        <v>0</v>
      </c>
      <c r="H168" s="2871" t="str">
        <f>COS_RR!H190</f>
        <v>Total OC Plant</v>
      </c>
      <c r="I168" s="2694">
        <f>COS_RR!J190</f>
        <v>0</v>
      </c>
      <c r="J168" s="2694">
        <f>COS_RR!K190</f>
        <v>0</v>
      </c>
      <c r="K168" s="2694">
        <f>COS_RR!L190</f>
        <v>0</v>
      </c>
      <c r="L168" s="2694">
        <f>COS_RR!M190</f>
        <v>0</v>
      </c>
      <c r="M168" s="2694">
        <f>COS_RR!N190</f>
        <v>0</v>
      </c>
      <c r="N168" s="2694">
        <f>COS_RR!O190</f>
        <v>0</v>
      </c>
      <c r="O168" s="2694">
        <f>COS_RR!P190</f>
        <v>0</v>
      </c>
      <c r="P168" s="2694">
        <f>COS_RR!Q190</f>
        <v>0</v>
      </c>
      <c r="Q168" s="2694">
        <f>COS_RR!R190</f>
        <v>0</v>
      </c>
      <c r="R168" s="2694">
        <f>COS_RR!S190</f>
        <v>0</v>
      </c>
      <c r="S168" s="2694">
        <f>COS_RR!T190</f>
        <v>0</v>
      </c>
      <c r="T168" s="2694">
        <f>COS_RR!U190</f>
        <v>0</v>
      </c>
      <c r="U168" s="2694">
        <f>COS_RR!V190</f>
        <v>0</v>
      </c>
      <c r="V168" s="2694">
        <f>COS_RR!W190</f>
        <v>0</v>
      </c>
      <c r="W168" s="2694">
        <f>COS_RR!X190</f>
        <v>0</v>
      </c>
      <c r="X168" s="2694">
        <f>COS_RR!Y190</f>
        <v>0</v>
      </c>
      <c r="Y168" s="2694">
        <f>COS_RR!Z190</f>
        <v>0</v>
      </c>
      <c r="Z168" s="2872">
        <f>COS_RR!AA190</f>
        <v>0</v>
      </c>
      <c r="AA168" s="104">
        <f>COS_RR!AB190</f>
        <v>0</v>
      </c>
      <c r="AB168" s="2932"/>
      <c r="AC168" s="87"/>
      <c r="AD168" s="87"/>
    </row>
    <row r="169" spans="1:30">
      <c r="A169" s="411"/>
      <c r="B169"/>
      <c r="C169" s="2846">
        <f>IF(ISBLANK($E169),"",+MAX(C$12:C168)+1)</f>
        <v>135</v>
      </c>
      <c r="D169" s="495">
        <f>'O&amp;M_Summ'!D144</f>
        <v>928500</v>
      </c>
      <c r="E169" s="2857" t="str">
        <f>'O&amp;M_Summ'!E144</f>
        <v>REG COMM EXP-FERC-QC</v>
      </c>
      <c r="F169" s="2857"/>
      <c r="G169" s="493">
        <f>COS_RR!G191</f>
        <v>20601.316296556783</v>
      </c>
      <c r="H169" s="2860" t="str">
        <f>COS_RR!H191</f>
        <v>Total OC Plant</v>
      </c>
      <c r="I169" s="104">
        <f>COS_RR!J191</f>
        <v>0</v>
      </c>
      <c r="J169" s="104">
        <f>COS_RR!K191</f>
        <v>989</v>
      </c>
      <c r="K169" s="104">
        <f>COS_RR!L191</f>
        <v>6630</v>
      </c>
      <c r="L169" s="104">
        <f>COS_RR!M191</f>
        <v>2324</v>
      </c>
      <c r="M169" s="104">
        <f>COS_RR!N191</f>
        <v>0</v>
      </c>
      <c r="N169" s="104">
        <f>COS_RR!O191</f>
        <v>0</v>
      </c>
      <c r="O169" s="104">
        <f>COS_RR!P191</f>
        <v>0</v>
      </c>
      <c r="P169" s="104">
        <f>COS_RR!Q191</f>
        <v>2070</v>
      </c>
      <c r="Q169" s="104">
        <f>COS_RR!R191</f>
        <v>762</v>
      </c>
      <c r="R169" s="104">
        <f>COS_RR!S191</f>
        <v>4499</v>
      </c>
      <c r="S169" s="104">
        <f>COS_RR!T191</f>
        <v>612</v>
      </c>
      <c r="T169" s="104">
        <f>COS_RR!U191</f>
        <v>1564</v>
      </c>
      <c r="U169" s="104">
        <f>COS_RR!V191</f>
        <v>567</v>
      </c>
      <c r="V169" s="104">
        <f>COS_RR!W191</f>
        <v>396</v>
      </c>
      <c r="W169" s="104">
        <f>COS_RR!X191</f>
        <v>0</v>
      </c>
      <c r="X169" s="104">
        <f>COS_RR!Y191</f>
        <v>190</v>
      </c>
      <c r="Y169" s="104">
        <f>COS_RR!Z191</f>
        <v>0</v>
      </c>
      <c r="Z169" s="2848">
        <f>COS_RR!AA191</f>
        <v>0</v>
      </c>
      <c r="AA169" s="104">
        <f>COS_RR!AB191</f>
        <v>0</v>
      </c>
      <c r="AB169" s="2932"/>
      <c r="AC169" s="87"/>
      <c r="AD169" s="87"/>
    </row>
    <row r="170" spans="1:30">
      <c r="A170" s="411"/>
      <c r="B170" s="51"/>
      <c r="C170" s="2839">
        <f>IF(ISBLANK($E170),"",+MAX(C$12:C169)+1)</f>
        <v>136</v>
      </c>
      <c r="D170" s="2869">
        <f>'O&amp;M_Summ'!D145</f>
        <v>928600</v>
      </c>
      <c r="E170" s="2688" t="str">
        <f>'O&amp;M_Summ'!E145</f>
        <v>REG COMM EXP-FERC-PEC</v>
      </c>
      <c r="F170" s="2688"/>
      <c r="G170" s="2661">
        <f>COS_RR!G192</f>
        <v>7469.4356713515899</v>
      </c>
      <c r="H170" s="2871" t="str">
        <f>COS_RR!H192</f>
        <v>Total OC Plant</v>
      </c>
      <c r="I170" s="2694">
        <f>COS_RR!J192</f>
        <v>0</v>
      </c>
      <c r="J170" s="2694">
        <f>COS_RR!K192</f>
        <v>359</v>
      </c>
      <c r="K170" s="2694">
        <f>COS_RR!L192</f>
        <v>2404</v>
      </c>
      <c r="L170" s="2694">
        <f>COS_RR!M192</f>
        <v>843</v>
      </c>
      <c r="M170" s="2694">
        <f>COS_RR!N192</f>
        <v>0</v>
      </c>
      <c r="N170" s="2694">
        <f>COS_RR!O192</f>
        <v>0</v>
      </c>
      <c r="O170" s="2694">
        <f>COS_RR!P192</f>
        <v>0</v>
      </c>
      <c r="P170" s="2694">
        <f>COS_RR!Q192</f>
        <v>751</v>
      </c>
      <c r="Q170" s="2694">
        <f>COS_RR!R192</f>
        <v>276</v>
      </c>
      <c r="R170" s="2694">
        <f>COS_RR!S192</f>
        <v>1631</v>
      </c>
      <c r="S170" s="2694">
        <f>COS_RR!T192</f>
        <v>222</v>
      </c>
      <c r="T170" s="2694">
        <f>COS_RR!U192</f>
        <v>567</v>
      </c>
      <c r="U170" s="2694">
        <f>COS_RR!V192</f>
        <v>205</v>
      </c>
      <c r="V170" s="2694">
        <f>COS_RR!W192</f>
        <v>143</v>
      </c>
      <c r="W170" s="2694">
        <f>COS_RR!X192</f>
        <v>0</v>
      </c>
      <c r="X170" s="2694">
        <f>COS_RR!Y192</f>
        <v>69</v>
      </c>
      <c r="Y170" s="2694">
        <f>COS_RR!Z192</f>
        <v>0</v>
      </c>
      <c r="Z170" s="2872">
        <f>COS_RR!AA192</f>
        <v>0</v>
      </c>
      <c r="AA170" s="104">
        <f>COS_RR!AB192</f>
        <v>0</v>
      </c>
      <c r="AB170" s="2932"/>
      <c r="AC170" s="87"/>
      <c r="AD170" s="87"/>
    </row>
    <row r="171" spans="1:30">
      <c r="A171" s="411"/>
      <c r="B171"/>
      <c r="C171" s="2846">
        <f>IF(ISBLANK($E171),"",+MAX(C$12:C170)+1)</f>
        <v>137</v>
      </c>
      <c r="D171" s="495">
        <f>'O&amp;M_Summ'!D146</f>
        <v>929010</v>
      </c>
      <c r="E171" s="2857" t="str">
        <f>'O&amp;M_Summ'!E146</f>
        <v>DUPLIC CHARGES-KWH USE</v>
      </c>
      <c r="F171" s="2857"/>
      <c r="G171" s="493">
        <f>COS_RR!G193</f>
        <v>-1088688.5376744128</v>
      </c>
      <c r="H171" s="2860" t="str">
        <f>COS_RR!H193</f>
        <v>Total OC Plant</v>
      </c>
      <c r="I171" s="104">
        <f>COS_RR!J193</f>
        <v>0</v>
      </c>
      <c r="J171" s="104">
        <f>COS_RR!K193</f>
        <v>-52257</v>
      </c>
      <c r="K171" s="104">
        <f>COS_RR!L193</f>
        <v>-350340</v>
      </c>
      <c r="L171" s="104">
        <f>COS_RR!M193</f>
        <v>-122804</v>
      </c>
      <c r="M171" s="104">
        <f>COS_RR!N193</f>
        <v>0</v>
      </c>
      <c r="N171" s="104">
        <f>COS_RR!O193</f>
        <v>0</v>
      </c>
      <c r="O171" s="104">
        <f>COS_RR!P193</f>
        <v>0</v>
      </c>
      <c r="P171" s="104">
        <f>COS_RR!Q193</f>
        <v>-109413</v>
      </c>
      <c r="Q171" s="104">
        <f>COS_RR!R193</f>
        <v>-40281</v>
      </c>
      <c r="R171" s="104">
        <f>COS_RR!S193</f>
        <v>-237770</v>
      </c>
      <c r="S171" s="104">
        <f>COS_RR!T193</f>
        <v>-32334</v>
      </c>
      <c r="T171" s="104">
        <f>COS_RR!U193</f>
        <v>-82631</v>
      </c>
      <c r="U171" s="104">
        <f>COS_RR!V193</f>
        <v>-29939</v>
      </c>
      <c r="V171" s="104">
        <f>COS_RR!W193</f>
        <v>-20903</v>
      </c>
      <c r="W171" s="104">
        <f>COS_RR!X193</f>
        <v>0</v>
      </c>
      <c r="X171" s="104">
        <f>COS_RR!Y193</f>
        <v>-10016</v>
      </c>
      <c r="Y171" s="104">
        <f>COS_RR!Z193</f>
        <v>0</v>
      </c>
      <c r="Z171" s="2848">
        <f>COS_RR!AA193</f>
        <v>0</v>
      </c>
      <c r="AA171" s="104">
        <f>COS_RR!AB193</f>
        <v>0</v>
      </c>
      <c r="AB171" s="2932"/>
      <c r="AC171" s="87"/>
      <c r="AD171" s="87"/>
    </row>
    <row r="172" spans="1:30">
      <c r="A172" s="411"/>
      <c r="B172" s="51"/>
      <c r="C172" s="2839">
        <f>IF(ISBLANK($E172),"",+MAX(C$12:C171)+1)</f>
        <v>138</v>
      </c>
      <c r="D172" s="2869">
        <f>'O&amp;M_Summ'!D147</f>
        <v>929020</v>
      </c>
      <c r="E172" s="2688" t="str">
        <f>'O&amp;M_Summ'!E147</f>
        <v>DUPLIC CHARGES-ADMIN OFF RENT</v>
      </c>
      <c r="F172" s="2688"/>
      <c r="G172" s="2661">
        <f>COS_RR!G194</f>
        <v>-296651.24484335637</v>
      </c>
      <c r="H172" s="2871" t="str">
        <f>COS_RR!H194</f>
        <v>Total OC Plant</v>
      </c>
      <c r="I172" s="2694">
        <f>COS_RR!J194</f>
        <v>0</v>
      </c>
      <c r="J172" s="2694">
        <f>COS_RR!K194</f>
        <v>-14239</v>
      </c>
      <c r="K172" s="2694">
        <f>COS_RR!L194</f>
        <v>-95462</v>
      </c>
      <c r="L172" s="2694">
        <f>COS_RR!M194</f>
        <v>-33462</v>
      </c>
      <c r="M172" s="2694">
        <f>COS_RR!N194</f>
        <v>0</v>
      </c>
      <c r="N172" s="2694">
        <f>COS_RR!O194</f>
        <v>0</v>
      </c>
      <c r="O172" s="2694">
        <f>COS_RR!P194</f>
        <v>0</v>
      </c>
      <c r="P172" s="2694">
        <f>COS_RR!Q194</f>
        <v>-29813</v>
      </c>
      <c r="Q172" s="2694">
        <f>COS_RR!R194</f>
        <v>-10976</v>
      </c>
      <c r="R172" s="2694">
        <f>COS_RR!S194</f>
        <v>-64789</v>
      </c>
      <c r="S172" s="2694">
        <f>COS_RR!T194</f>
        <v>-8811</v>
      </c>
      <c r="T172" s="2694">
        <f>COS_RR!U194</f>
        <v>-22516</v>
      </c>
      <c r="U172" s="2694">
        <f>COS_RR!V194</f>
        <v>-8158</v>
      </c>
      <c r="V172" s="2694">
        <f>COS_RR!W194</f>
        <v>-5696</v>
      </c>
      <c r="W172" s="2694">
        <f>COS_RR!X194</f>
        <v>0</v>
      </c>
      <c r="X172" s="2694">
        <f>COS_RR!Y194</f>
        <v>-2729</v>
      </c>
      <c r="Y172" s="2694">
        <f>COS_RR!Z194</f>
        <v>0</v>
      </c>
      <c r="Z172" s="2872">
        <f>COS_RR!AA194</f>
        <v>0</v>
      </c>
      <c r="AA172" s="104">
        <f>COS_RR!AB194</f>
        <v>0</v>
      </c>
      <c r="AB172" s="2932"/>
      <c r="AC172" s="87"/>
      <c r="AD172" s="87"/>
    </row>
    <row r="173" spans="1:30">
      <c r="A173" s="411"/>
      <c r="B173"/>
      <c r="C173" s="2846">
        <f>IF(ISBLANK($E173),"",+MAX(C$12:C172)+1)</f>
        <v>139</v>
      </c>
      <c r="D173" s="495">
        <f>'O&amp;M_Summ'!D148</f>
        <v>929880</v>
      </c>
      <c r="E173" s="2857" t="str">
        <f>'O&amp;M_Summ'!E148</f>
        <v>G/A CAPITALIZED-ON CLOSING</v>
      </c>
      <c r="F173" s="2857"/>
      <c r="G173" s="493">
        <f>COS_RR!G195</f>
        <v>-82292.734789597744</v>
      </c>
      <c r="H173" s="2860" t="str">
        <f>COS_RR!H195</f>
        <v>Total OC Plant</v>
      </c>
      <c r="I173" s="104">
        <f>COS_RR!J195</f>
        <v>0</v>
      </c>
      <c r="J173" s="104">
        <f>COS_RR!K195</f>
        <v>-3950</v>
      </c>
      <c r="K173" s="104">
        <f>COS_RR!L195</f>
        <v>-26482</v>
      </c>
      <c r="L173" s="104">
        <f>COS_RR!M195</f>
        <v>-9283</v>
      </c>
      <c r="M173" s="104">
        <f>COS_RR!N195</f>
        <v>0</v>
      </c>
      <c r="N173" s="104">
        <f>COS_RR!O195</f>
        <v>0</v>
      </c>
      <c r="O173" s="104">
        <f>COS_RR!P195</f>
        <v>0</v>
      </c>
      <c r="P173" s="104">
        <f>COS_RR!Q195</f>
        <v>-8270</v>
      </c>
      <c r="Q173" s="104">
        <f>COS_RR!R195</f>
        <v>-3045</v>
      </c>
      <c r="R173" s="104">
        <f>COS_RR!S195</f>
        <v>-17973</v>
      </c>
      <c r="S173" s="104">
        <f>COS_RR!T195</f>
        <v>-2444</v>
      </c>
      <c r="T173" s="104">
        <f>COS_RR!U195</f>
        <v>-6246</v>
      </c>
      <c r="U173" s="104">
        <f>COS_RR!V195</f>
        <v>-2263</v>
      </c>
      <c r="V173" s="104">
        <f>COS_RR!W195</f>
        <v>-1580</v>
      </c>
      <c r="W173" s="104">
        <f>COS_RR!X195</f>
        <v>0</v>
      </c>
      <c r="X173" s="104">
        <f>COS_RR!Y195</f>
        <v>-757</v>
      </c>
      <c r="Y173" s="104">
        <f>COS_RR!Z195</f>
        <v>0</v>
      </c>
      <c r="Z173" s="2848">
        <f>COS_RR!AA195</f>
        <v>0</v>
      </c>
      <c r="AA173" s="104">
        <f>COS_RR!AB195</f>
        <v>0</v>
      </c>
      <c r="AB173" s="2932"/>
      <c r="AC173" s="87"/>
      <c r="AD173" s="87"/>
    </row>
    <row r="174" spans="1:30">
      <c r="A174" s="411"/>
      <c r="B174" s="51"/>
      <c r="C174" s="2839">
        <f>IF(ISBLANK($E174),"",+MAX(C$12:C173)+1)</f>
        <v>140</v>
      </c>
      <c r="D174" s="2869">
        <f>'O&amp;M_Summ'!D149</f>
        <v>929980</v>
      </c>
      <c r="E174" s="2688" t="str">
        <f>'O&amp;M_Summ'!E149</f>
        <v>G/A CAPITALIZED-ON CWIP</v>
      </c>
      <c r="F174" s="2688"/>
      <c r="G174" s="2661">
        <f>COS_RR!G196</f>
        <v>-1917964.3588241022</v>
      </c>
      <c r="H174" s="2871" t="str">
        <f>COS_RR!H196</f>
        <v>Total OC Plant</v>
      </c>
      <c r="I174" s="2694">
        <f>COS_RR!J196</f>
        <v>0</v>
      </c>
      <c r="J174" s="2694">
        <f>COS_RR!K196</f>
        <v>-92062</v>
      </c>
      <c r="K174" s="2694">
        <f>COS_RR!L196</f>
        <v>-617201</v>
      </c>
      <c r="L174" s="2694">
        <f>COS_RR!M196</f>
        <v>-216346</v>
      </c>
      <c r="M174" s="2694">
        <f>COS_RR!N196</f>
        <v>0</v>
      </c>
      <c r="N174" s="2694">
        <f>COS_RR!O196</f>
        <v>0</v>
      </c>
      <c r="O174" s="2694">
        <f>COS_RR!P196</f>
        <v>0</v>
      </c>
      <c r="P174" s="2694">
        <f>COS_RR!Q196</f>
        <v>-192755</v>
      </c>
      <c r="Q174" s="2694">
        <f>COS_RR!R196</f>
        <v>-70965</v>
      </c>
      <c r="R174" s="2694">
        <f>COS_RR!S196</f>
        <v>-418883</v>
      </c>
      <c r="S174" s="2694">
        <f>COS_RR!T196</f>
        <v>-56964</v>
      </c>
      <c r="T174" s="2694">
        <f>COS_RR!U196</f>
        <v>-145573</v>
      </c>
      <c r="U174" s="2694">
        <f>COS_RR!V196</f>
        <v>-52744</v>
      </c>
      <c r="V174" s="2694">
        <f>COS_RR!W196</f>
        <v>-36825</v>
      </c>
      <c r="W174" s="2694">
        <f>COS_RR!X196</f>
        <v>0</v>
      </c>
      <c r="X174" s="2694">
        <f>COS_RR!Y196</f>
        <v>-17645</v>
      </c>
      <c r="Y174" s="2694">
        <f>COS_RR!Z196</f>
        <v>0</v>
      </c>
      <c r="Z174" s="2872">
        <f>COS_RR!AA196</f>
        <v>0</v>
      </c>
      <c r="AA174" s="104">
        <f>COS_RR!AB196</f>
        <v>0</v>
      </c>
      <c r="AB174" s="2932"/>
      <c r="AC174" s="87"/>
      <c r="AD174" s="87"/>
    </row>
    <row r="175" spans="1:30">
      <c r="A175" s="411"/>
      <c r="B175"/>
      <c r="C175" s="2846">
        <f>IF(ISBLANK($E175),"",+MAX(C$12:C174)+1)</f>
        <v>141</v>
      </c>
      <c r="D175" s="495">
        <f>'O&amp;M_Summ'!D150</f>
        <v>930010</v>
      </c>
      <c r="E175" s="2857" t="str">
        <f>'O&amp;M_Summ'!E150</f>
        <v>MISC GENERAL EXPENSE</v>
      </c>
      <c r="F175" s="2857"/>
      <c r="G175" s="493">
        <f>COS_RR!G197</f>
        <v>2907894.1307480792</v>
      </c>
      <c r="H175" s="2860" t="str">
        <f>COS_RR!H197</f>
        <v>Supervised O&amp;M</v>
      </c>
      <c r="I175" s="104">
        <f>COS_RR!J197</f>
        <v>0</v>
      </c>
      <c r="J175" s="104">
        <f>COS_RR!K197</f>
        <v>67003</v>
      </c>
      <c r="K175" s="104">
        <f>COS_RR!L197</f>
        <v>303611</v>
      </c>
      <c r="L175" s="104">
        <f>COS_RR!M197</f>
        <v>459808</v>
      </c>
      <c r="M175" s="104">
        <f>COS_RR!N197</f>
        <v>85576</v>
      </c>
      <c r="N175" s="104">
        <f>COS_RR!O197</f>
        <v>0</v>
      </c>
      <c r="O175" s="104">
        <f>COS_RR!P197</f>
        <v>0</v>
      </c>
      <c r="P175" s="104">
        <f>COS_RR!Q197</f>
        <v>139918</v>
      </c>
      <c r="Q175" s="104">
        <f>COS_RR!R197</f>
        <v>86680</v>
      </c>
      <c r="R175" s="104">
        <f>COS_RR!S197</f>
        <v>545483</v>
      </c>
      <c r="S175" s="104">
        <f>COS_RR!T197</f>
        <v>64414</v>
      </c>
      <c r="T175" s="104">
        <f>COS_RR!U197</f>
        <v>169511</v>
      </c>
      <c r="U175" s="104">
        <f>COS_RR!V197</f>
        <v>38331</v>
      </c>
      <c r="V175" s="104">
        <f>COS_RR!W197</f>
        <v>315908</v>
      </c>
      <c r="W175" s="104">
        <f>COS_RR!X197</f>
        <v>586984</v>
      </c>
      <c r="X175" s="104">
        <f>COS_RR!Y197</f>
        <v>12803</v>
      </c>
      <c r="Y175" s="104">
        <f>COS_RR!Z197</f>
        <v>31865</v>
      </c>
      <c r="Z175" s="2848">
        <f>COS_RR!AA197</f>
        <v>0</v>
      </c>
      <c r="AA175" s="104">
        <f>COS_RR!AB197</f>
        <v>0</v>
      </c>
      <c r="AB175" s="2932"/>
      <c r="AC175" s="87"/>
      <c r="AD175" s="87"/>
    </row>
    <row r="176" spans="1:30">
      <c r="A176" s="411"/>
      <c r="B176" s="51"/>
      <c r="C176" s="2839">
        <f>IF(ISBLANK($E176),"",+MAX(C$12:C175)+1)</f>
        <v>142</v>
      </c>
      <c r="D176" s="2869">
        <f>'O&amp;M_Summ'!D151</f>
        <v>930110</v>
      </c>
      <c r="E176" s="2688" t="str">
        <f>'O&amp;M_Summ'!E151</f>
        <v>GEN AD EXP-PUBLIC RELATIONS</v>
      </c>
      <c r="F176" s="2688"/>
      <c r="G176" s="2661">
        <f>COS_RR!G198</f>
        <v>611551.05238398421</v>
      </c>
      <c r="H176" s="2871" t="str">
        <f>COS_RR!H198</f>
        <v>Supervised O&amp;M</v>
      </c>
      <c r="I176" s="2694">
        <f>COS_RR!J198</f>
        <v>0</v>
      </c>
      <c r="J176" s="2694">
        <f>COS_RR!K198</f>
        <v>14091</v>
      </c>
      <c r="K176" s="2694">
        <f>COS_RR!L198</f>
        <v>63851</v>
      </c>
      <c r="L176" s="2694">
        <f>COS_RR!M198</f>
        <v>96701</v>
      </c>
      <c r="M176" s="2694">
        <f>COS_RR!N198</f>
        <v>17997</v>
      </c>
      <c r="N176" s="2694">
        <f>COS_RR!O198</f>
        <v>0</v>
      </c>
      <c r="O176" s="2694">
        <f>COS_RR!P198</f>
        <v>0</v>
      </c>
      <c r="P176" s="2694">
        <f>COS_RR!Q198</f>
        <v>29426</v>
      </c>
      <c r="Q176" s="2694">
        <f>COS_RR!R198</f>
        <v>18229</v>
      </c>
      <c r="R176" s="2694">
        <f>COS_RR!S198</f>
        <v>114719</v>
      </c>
      <c r="S176" s="2694">
        <f>COS_RR!T198</f>
        <v>13547</v>
      </c>
      <c r="T176" s="2694">
        <f>COS_RR!U198</f>
        <v>35649</v>
      </c>
      <c r="U176" s="2694">
        <f>COS_RR!V198</f>
        <v>8061</v>
      </c>
      <c r="V176" s="2694">
        <f>COS_RR!W198</f>
        <v>66438</v>
      </c>
      <c r="W176" s="2694">
        <f>COS_RR!X198</f>
        <v>123447</v>
      </c>
      <c r="X176" s="2694">
        <f>COS_RR!Y198</f>
        <v>2693</v>
      </c>
      <c r="Y176" s="2694">
        <f>COS_RR!Z198</f>
        <v>6701</v>
      </c>
      <c r="Z176" s="2872">
        <f>COS_RR!AA198</f>
        <v>0</v>
      </c>
      <c r="AA176" s="104">
        <f>COS_RR!AB198</f>
        <v>0</v>
      </c>
      <c r="AB176" s="2932"/>
      <c r="AC176" s="87"/>
      <c r="AD176" s="87"/>
    </row>
    <row r="177" spans="1:30">
      <c r="A177" s="411"/>
      <c r="B177"/>
      <c r="C177" s="2846">
        <f>IF(ISBLANK($E177),"",+MAX(C$12:C176)+1)</f>
        <v>143</v>
      </c>
      <c r="D177" s="495">
        <f>'O&amp;M_Summ'!D152</f>
        <v>931000</v>
      </c>
      <c r="E177" s="2857" t="str">
        <f>'O&amp;M_Summ'!E152</f>
        <v>RENTS EPHRATA OFFICE</v>
      </c>
      <c r="F177" s="2857"/>
      <c r="G177" s="493">
        <f>COS_RR!G199</f>
        <v>0</v>
      </c>
      <c r="H177" s="2860" t="str">
        <f>COS_RR!H199</f>
        <v>Supervised O&amp;M</v>
      </c>
      <c r="I177" s="104">
        <f>COS_RR!J199</f>
        <v>0</v>
      </c>
      <c r="J177" s="104">
        <f>COS_RR!K199</f>
        <v>0</v>
      </c>
      <c r="K177" s="104">
        <f>COS_RR!L199</f>
        <v>0</v>
      </c>
      <c r="L177" s="104">
        <f>COS_RR!M199</f>
        <v>0</v>
      </c>
      <c r="M177" s="104">
        <f>COS_RR!N199</f>
        <v>0</v>
      </c>
      <c r="N177" s="104">
        <f>COS_RR!O199</f>
        <v>0</v>
      </c>
      <c r="O177" s="104">
        <f>COS_RR!P199</f>
        <v>0</v>
      </c>
      <c r="P177" s="104">
        <f>COS_RR!Q199</f>
        <v>0</v>
      </c>
      <c r="Q177" s="104">
        <f>COS_RR!R199</f>
        <v>0</v>
      </c>
      <c r="R177" s="104">
        <f>COS_RR!S199</f>
        <v>0</v>
      </c>
      <c r="S177" s="104">
        <f>COS_RR!T199</f>
        <v>0</v>
      </c>
      <c r="T177" s="104">
        <f>COS_RR!U199</f>
        <v>0</v>
      </c>
      <c r="U177" s="104">
        <f>COS_RR!V199</f>
        <v>0</v>
      </c>
      <c r="V177" s="104">
        <f>COS_RR!W199</f>
        <v>0</v>
      </c>
      <c r="W177" s="104">
        <f>COS_RR!X199</f>
        <v>0</v>
      </c>
      <c r="X177" s="104">
        <f>COS_RR!Y199</f>
        <v>0</v>
      </c>
      <c r="Y177" s="104">
        <f>COS_RR!Z199</f>
        <v>0</v>
      </c>
      <c r="Z177" s="2848">
        <f>COS_RR!AA199</f>
        <v>0</v>
      </c>
      <c r="AA177" s="104">
        <f>COS_RR!AB199</f>
        <v>0</v>
      </c>
      <c r="AB177" s="2932"/>
      <c r="AC177" s="87"/>
      <c r="AD177" s="87"/>
    </row>
    <row r="178" spans="1:30">
      <c r="A178" s="411"/>
      <c r="B178" s="51"/>
      <c r="C178" s="2839">
        <f>IF(ISBLANK($E178),"",+MAX(C$12:C177)+1)</f>
        <v>144</v>
      </c>
      <c r="D178" s="2869">
        <f>'O&amp;M_Summ'!D153</f>
        <v>931010</v>
      </c>
      <c r="E178" s="2688" t="str">
        <f>'O&amp;M_Summ'!E153</f>
        <v>LEASE EXPENSE</v>
      </c>
      <c r="F178" s="2688"/>
      <c r="G178" s="2661">
        <f>COS_RR!G200</f>
        <v>0</v>
      </c>
      <c r="H178" s="2871" t="str">
        <f>COS_RR!H200</f>
        <v>Supervised O&amp;M</v>
      </c>
      <c r="I178" s="2694">
        <f>COS_RR!J200</f>
        <v>0</v>
      </c>
      <c r="J178" s="2694">
        <f>COS_RR!K200</f>
        <v>0</v>
      </c>
      <c r="K178" s="2694">
        <f>COS_RR!L200</f>
        <v>0</v>
      </c>
      <c r="L178" s="2694">
        <f>COS_RR!M200</f>
        <v>0</v>
      </c>
      <c r="M178" s="2694">
        <f>COS_RR!N200</f>
        <v>0</v>
      </c>
      <c r="N178" s="2694">
        <f>COS_RR!O200</f>
        <v>0</v>
      </c>
      <c r="O178" s="2694">
        <f>COS_RR!P200</f>
        <v>0</v>
      </c>
      <c r="P178" s="2694">
        <f>COS_RR!Q200</f>
        <v>0</v>
      </c>
      <c r="Q178" s="2694">
        <f>COS_RR!R200</f>
        <v>0</v>
      </c>
      <c r="R178" s="2694">
        <f>COS_RR!S200</f>
        <v>0</v>
      </c>
      <c r="S178" s="2694">
        <f>COS_RR!T200</f>
        <v>0</v>
      </c>
      <c r="T178" s="2694">
        <f>COS_RR!U200</f>
        <v>0</v>
      </c>
      <c r="U178" s="2694">
        <f>COS_RR!V200</f>
        <v>0</v>
      </c>
      <c r="V178" s="2694">
        <f>COS_RR!W200</f>
        <v>0</v>
      </c>
      <c r="W178" s="2694">
        <f>COS_RR!X200</f>
        <v>0</v>
      </c>
      <c r="X178" s="2694">
        <f>COS_RR!Y200</f>
        <v>0</v>
      </c>
      <c r="Y178" s="2694">
        <f>COS_RR!Z200</f>
        <v>0</v>
      </c>
      <c r="Z178" s="2872">
        <f>COS_RR!AA200</f>
        <v>0</v>
      </c>
      <c r="AA178" s="104">
        <f>COS_RR!AB200</f>
        <v>0</v>
      </c>
      <c r="AB178" s="2932"/>
      <c r="AC178" s="87"/>
      <c r="AD178" s="87"/>
    </row>
    <row r="179" spans="1:30">
      <c r="A179" s="411"/>
      <c r="B179"/>
      <c r="C179" s="2846">
        <f>IF(ISBLANK($E179),"",+MAX(C$12:C178)+1)</f>
        <v>145</v>
      </c>
      <c r="D179" s="495">
        <f>'O&amp;M_Summ'!D154</f>
        <v>935010</v>
      </c>
      <c r="E179" s="2857" t="str">
        <f>'O&amp;M_Summ'!E154</f>
        <v>MAINT GEN PLT-MISC</v>
      </c>
      <c r="F179" s="2857"/>
      <c r="G179" s="493">
        <f>COS_RR!G201</f>
        <v>4219318.4112972347</v>
      </c>
      <c r="H179" s="2860" t="str">
        <f>COS_RR!H201</f>
        <v>Total OC Plant</v>
      </c>
      <c r="I179" s="104">
        <f>COS_RR!J201</f>
        <v>0</v>
      </c>
      <c r="J179" s="104">
        <f>COS_RR!K201</f>
        <v>202527</v>
      </c>
      <c r="K179" s="104">
        <f>COS_RR!L201</f>
        <v>1357777</v>
      </c>
      <c r="L179" s="104">
        <f>COS_RR!M201</f>
        <v>475939</v>
      </c>
      <c r="M179" s="104">
        <f>COS_RR!N201</f>
        <v>0</v>
      </c>
      <c r="N179" s="104">
        <f>COS_RR!O201</f>
        <v>0</v>
      </c>
      <c r="O179" s="104">
        <f>COS_RR!P201</f>
        <v>0</v>
      </c>
      <c r="P179" s="104">
        <f>COS_RR!Q201</f>
        <v>424042</v>
      </c>
      <c r="Q179" s="104">
        <f>COS_RR!R201</f>
        <v>156115</v>
      </c>
      <c r="R179" s="104">
        <f>COS_RR!S201</f>
        <v>921499</v>
      </c>
      <c r="S179" s="104">
        <f>COS_RR!T201</f>
        <v>125314</v>
      </c>
      <c r="T179" s="104">
        <f>COS_RR!U201</f>
        <v>320246</v>
      </c>
      <c r="U179" s="104">
        <f>COS_RR!V201</f>
        <v>116031</v>
      </c>
      <c r="V179" s="104">
        <f>COS_RR!W201</f>
        <v>81011</v>
      </c>
      <c r="W179" s="104">
        <f>COS_RR!X201</f>
        <v>0</v>
      </c>
      <c r="X179" s="104">
        <f>COS_RR!Y201</f>
        <v>38818</v>
      </c>
      <c r="Y179" s="104">
        <f>COS_RR!Z201</f>
        <v>0</v>
      </c>
      <c r="Z179" s="2848">
        <f>COS_RR!AA201</f>
        <v>0</v>
      </c>
      <c r="AA179" s="104">
        <f>COS_RR!AB201</f>
        <v>0</v>
      </c>
      <c r="AB179" s="2932"/>
      <c r="AC179" s="87"/>
      <c r="AD179" s="87"/>
    </row>
    <row r="180" spans="1:30" ht="16.5" thickBot="1">
      <c r="A180" s="411"/>
      <c r="B180" s="51"/>
      <c r="C180" s="2839">
        <f>IF(ISBLANK($E180),"",+MAX(C$12:C179)+1)</f>
        <v>146</v>
      </c>
      <c r="D180" s="2869">
        <f>'O&amp;M_Summ'!D155</f>
        <v>935020</v>
      </c>
      <c r="E180" s="2688" t="str">
        <f>'O&amp;M_Summ'!E155</f>
        <v>MAINT GEN PLT-COMMUNICATION</v>
      </c>
      <c r="F180" s="2688"/>
      <c r="G180" s="2661">
        <f>COS_RR!G202</f>
        <v>4969962.8067435892</v>
      </c>
      <c r="H180" s="2881" t="str">
        <f>COS_RR!H202</f>
        <v>Total OC Plant</v>
      </c>
      <c r="I180" s="2694">
        <f>COS_RR!J202</f>
        <v>0</v>
      </c>
      <c r="J180" s="2694">
        <f>COS_RR!K202</f>
        <v>238558</v>
      </c>
      <c r="K180" s="2694">
        <f>COS_RR!L202</f>
        <v>1599334</v>
      </c>
      <c r="L180" s="2694">
        <f>COS_RR!M202</f>
        <v>560612</v>
      </c>
      <c r="M180" s="2694">
        <f>COS_RR!N202</f>
        <v>0</v>
      </c>
      <c r="N180" s="2694">
        <f>COS_RR!O202</f>
        <v>0</v>
      </c>
      <c r="O180" s="2694">
        <f>COS_RR!P202</f>
        <v>0</v>
      </c>
      <c r="P180" s="2694">
        <f>COS_RR!Q202</f>
        <v>499481</v>
      </c>
      <c r="Q180" s="2694">
        <f>COS_RR!R202</f>
        <v>183889</v>
      </c>
      <c r="R180" s="2694">
        <f>COS_RR!S202</f>
        <v>1085440</v>
      </c>
      <c r="S180" s="2694">
        <f>COS_RR!T202</f>
        <v>147608</v>
      </c>
      <c r="T180" s="2694">
        <f>COS_RR!U202</f>
        <v>377220</v>
      </c>
      <c r="U180" s="2694">
        <f>COS_RR!V202</f>
        <v>136674</v>
      </c>
      <c r="V180" s="2694">
        <f>COS_RR!W202</f>
        <v>95423</v>
      </c>
      <c r="W180" s="2694">
        <f>COS_RR!X202</f>
        <v>0</v>
      </c>
      <c r="X180" s="2694">
        <f>COS_RR!Y202</f>
        <v>45724</v>
      </c>
      <c r="Y180" s="2694">
        <f>COS_RR!Z202</f>
        <v>0</v>
      </c>
      <c r="Z180" s="2872">
        <f>COS_RR!AA202</f>
        <v>0</v>
      </c>
      <c r="AA180" s="104">
        <f>COS_RR!AB202</f>
        <v>0</v>
      </c>
      <c r="AB180" s="2932"/>
      <c r="AC180" s="87"/>
      <c r="AD180" s="87"/>
    </row>
    <row r="181" spans="1:30">
      <c r="A181" s="411"/>
      <c r="B181"/>
      <c r="C181" s="2846">
        <f>IF(ISBLANK($E181),"",+MAX(C$12:C180)+1)</f>
        <v>147</v>
      </c>
      <c r="D181" s="2857"/>
      <c r="E181" s="2854" t="str">
        <f>'O&amp;M_Summ'!E156</f>
        <v>Total A&amp;D</v>
      </c>
      <c r="F181" s="2854"/>
      <c r="G181" s="2849">
        <f>SUM(G139:G180)</f>
        <v>23704961.854980513</v>
      </c>
      <c r="H181" s="2863"/>
      <c r="I181" s="2849">
        <f t="shared" ref="I181:Z181" si="7">SUM(I139:I180)</f>
        <v>0</v>
      </c>
      <c r="J181" s="2849">
        <f t="shared" si="7"/>
        <v>780987</v>
      </c>
      <c r="K181" s="2849">
        <f t="shared" si="7"/>
        <v>3870757</v>
      </c>
      <c r="L181" s="2849">
        <f t="shared" si="7"/>
        <v>3552069</v>
      </c>
      <c r="M181" s="2849">
        <f t="shared" si="7"/>
        <v>499332</v>
      </c>
      <c r="N181" s="2849">
        <f t="shared" si="7"/>
        <v>0</v>
      </c>
      <c r="O181" s="2849">
        <f t="shared" si="7"/>
        <v>0</v>
      </c>
      <c r="P181" s="2849">
        <f t="shared" si="7"/>
        <v>1472801</v>
      </c>
      <c r="Q181" s="2849">
        <f t="shared" si="7"/>
        <v>747426</v>
      </c>
      <c r="R181" s="2849">
        <f t="shared" si="7"/>
        <v>4609265</v>
      </c>
      <c r="S181" s="2849">
        <f t="shared" si="7"/>
        <v>569827</v>
      </c>
      <c r="T181" s="2849">
        <f t="shared" si="7"/>
        <v>1484798</v>
      </c>
      <c r="U181" s="2849">
        <f t="shared" si="7"/>
        <v>403266</v>
      </c>
      <c r="V181" s="2849">
        <f t="shared" si="7"/>
        <v>1968702</v>
      </c>
      <c r="W181" s="2849">
        <f t="shared" si="7"/>
        <v>3425016</v>
      </c>
      <c r="X181" s="2849">
        <f t="shared" si="7"/>
        <v>134792</v>
      </c>
      <c r="Y181" s="2849">
        <f t="shared" si="7"/>
        <v>185930</v>
      </c>
      <c r="Z181" s="2850">
        <f t="shared" si="7"/>
        <v>0</v>
      </c>
      <c r="AA181" s="216"/>
      <c r="AB181" s="2932"/>
      <c r="AC181" s="87"/>
      <c r="AD181" s="87"/>
    </row>
    <row r="182" spans="1:30">
      <c r="A182" s="411"/>
      <c r="B182" s="51"/>
      <c r="C182" s="2839" t="str">
        <f>IF(ISBLANK($E182),"",+MAX(C$12:C181)+1)</f>
        <v/>
      </c>
      <c r="D182" s="2688"/>
      <c r="E182" s="2886"/>
      <c r="F182" s="2886"/>
      <c r="G182" s="2694"/>
      <c r="H182" s="2869"/>
      <c r="I182" s="2694"/>
      <c r="J182" s="2694"/>
      <c r="K182" s="2694"/>
      <c r="L182" s="2694"/>
      <c r="M182" s="2694"/>
      <c r="N182" s="2694"/>
      <c r="O182" s="2694"/>
      <c r="P182" s="2694"/>
      <c r="Q182" s="2694"/>
      <c r="R182" s="2694"/>
      <c r="S182" s="2694"/>
      <c r="T182" s="2694"/>
      <c r="U182" s="2694"/>
      <c r="V182" s="2694"/>
      <c r="W182" s="2694"/>
      <c r="X182" s="2694"/>
      <c r="Y182" s="2694"/>
      <c r="Z182" s="2872"/>
      <c r="AA182" s="104"/>
      <c r="AB182" s="2932"/>
      <c r="AC182" s="87"/>
      <c r="AD182" s="87"/>
    </row>
    <row r="183" spans="1:30">
      <c r="A183" s="411"/>
      <c r="B183"/>
      <c r="C183" s="2846">
        <f>IF(ISBLANK($E183),"",+MAX(C$12:C182)+1)</f>
        <v>148</v>
      </c>
      <c r="D183" s="2857"/>
      <c r="E183" s="2853" t="s">
        <v>111</v>
      </c>
      <c r="F183" s="2853"/>
      <c r="G183" s="105">
        <f>SUM(G37,G62,G78,G106,G111,G126,G136,G181)</f>
        <v>292356557.74106055</v>
      </c>
      <c r="H183" s="495"/>
      <c r="I183" s="105">
        <f t="shared" ref="I183:Z183" si="8">SUM(I37,I62,I78,I106,I111,I126,I136,I181)</f>
        <v>23379673</v>
      </c>
      <c r="J183" s="105">
        <f t="shared" si="8"/>
        <v>211235738</v>
      </c>
      <c r="K183" s="105">
        <f t="shared" si="8"/>
        <v>8000746</v>
      </c>
      <c r="L183" s="105">
        <f t="shared" si="8"/>
        <v>8307611</v>
      </c>
      <c r="M183" s="105">
        <f t="shared" si="8"/>
        <v>1376338</v>
      </c>
      <c r="N183" s="105">
        <f t="shared" si="8"/>
        <v>0</v>
      </c>
      <c r="O183" s="105">
        <f t="shared" si="8"/>
        <v>0</v>
      </c>
      <c r="P183" s="105">
        <f t="shared" si="8"/>
        <v>3067721</v>
      </c>
      <c r="Q183" s="105">
        <f t="shared" si="8"/>
        <v>1660016</v>
      </c>
      <c r="R183" s="105">
        <f t="shared" si="8"/>
        <v>10313347</v>
      </c>
      <c r="S183" s="105">
        <f t="shared" si="8"/>
        <v>1254280</v>
      </c>
      <c r="T183" s="105">
        <f t="shared" si="8"/>
        <v>3279446</v>
      </c>
      <c r="U183" s="105">
        <f t="shared" si="8"/>
        <v>840192</v>
      </c>
      <c r="V183" s="105">
        <f t="shared" si="8"/>
        <v>4978692</v>
      </c>
      <c r="W183" s="105">
        <f t="shared" si="8"/>
        <v>11094753</v>
      </c>
      <c r="X183" s="105">
        <f t="shared" si="8"/>
        <v>292506</v>
      </c>
      <c r="Y183" s="105">
        <f t="shared" si="8"/>
        <v>3275510</v>
      </c>
      <c r="Z183" s="105">
        <f t="shared" si="8"/>
        <v>0</v>
      </c>
      <c r="AA183" s="105"/>
      <c r="AB183" s="2932"/>
      <c r="AC183" s="87"/>
      <c r="AD183" s="87"/>
    </row>
    <row r="184" spans="1:30">
      <c r="A184" s="411"/>
      <c r="B184" s="51"/>
      <c r="C184" s="2839" t="str">
        <f>IF(ISBLANK($E184),"",+MAX(C$12:C183)+1)</f>
        <v/>
      </c>
      <c r="D184" s="2688"/>
      <c r="E184" s="61"/>
      <c r="F184" s="61"/>
      <c r="G184" s="2763"/>
      <c r="H184" s="2869"/>
      <c r="I184" s="2763"/>
      <c r="J184" s="2763"/>
      <c r="K184" s="2763"/>
      <c r="L184" s="2763"/>
      <c r="M184" s="2763"/>
      <c r="N184" s="2763"/>
      <c r="O184" s="2763"/>
      <c r="P184" s="2763"/>
      <c r="Q184" s="2763"/>
      <c r="R184" s="2763"/>
      <c r="S184" s="2763"/>
      <c r="T184" s="2763"/>
      <c r="U184" s="2763"/>
      <c r="V184" s="2763"/>
      <c r="W184" s="2763"/>
      <c r="X184" s="2763"/>
      <c r="Y184" s="2763"/>
      <c r="Z184" s="2870"/>
      <c r="AA184" s="2760"/>
      <c r="AB184" s="2932"/>
      <c r="AC184" s="87"/>
      <c r="AD184" s="87"/>
    </row>
    <row r="185" spans="1:30" s="87" customFormat="1" ht="16.5" thickBot="1">
      <c r="A185" s="411"/>
      <c r="B185" s="20"/>
      <c r="C185" s="2846">
        <f>IF(ISBLANK($E185),"",+MAX(C$12:C184)+1)</f>
        <v>149</v>
      </c>
      <c r="D185" s="2857"/>
      <c r="E185" s="88" t="s">
        <v>614</v>
      </c>
      <c r="F185" s="88"/>
      <c r="G185" s="2858"/>
      <c r="H185" s="85"/>
      <c r="I185" s="2858"/>
      <c r="J185" s="2858"/>
      <c r="K185" s="2858"/>
      <c r="L185" s="2858"/>
      <c r="M185" s="2858"/>
      <c r="N185" s="2858"/>
      <c r="O185" s="2858"/>
      <c r="P185" s="2858"/>
      <c r="Q185" s="2858"/>
      <c r="R185" s="2858"/>
      <c r="S185" s="2858"/>
      <c r="T185" s="2858"/>
      <c r="U185" s="2858"/>
      <c r="V185" s="2858"/>
      <c r="W185" s="2858"/>
      <c r="X185" s="2858"/>
      <c r="Y185" s="2858"/>
      <c r="Z185" s="2866"/>
      <c r="AA185" s="2858"/>
      <c r="AB185" s="2932"/>
    </row>
    <row r="186" spans="1:30" s="87" customFormat="1">
      <c r="A186" s="411"/>
      <c r="B186" s="2684"/>
      <c r="C186" s="2839">
        <f>IF(ISBLANK($E186),"",+MAX(C$12:C185)+1)</f>
        <v>150</v>
      </c>
      <c r="D186" s="2688"/>
      <c r="E186" s="2688" t="str">
        <f>'Fin Forecast - Elec'!D80</f>
        <v>Existing Debt Service</v>
      </c>
      <c r="F186" s="2688"/>
      <c r="G186" s="2873">
        <f>COS_RR!G208</f>
        <v>4720759.0671651904</v>
      </c>
      <c r="H186" s="2882" t="str">
        <f>COS_RR!H208</f>
        <v>Total OC Plant less Fiber</v>
      </c>
      <c r="I186" s="2873">
        <f>COS_RR!J208</f>
        <v>0</v>
      </c>
      <c r="J186" s="2873">
        <f>COS_RR!K208</f>
        <v>223764</v>
      </c>
      <c r="K186" s="2873">
        <f>COS_RR!L208</f>
        <v>1558323</v>
      </c>
      <c r="L186" s="2873">
        <f>COS_RR!M208</f>
        <v>525893</v>
      </c>
      <c r="M186" s="2873">
        <f>COS_RR!N208</f>
        <v>0</v>
      </c>
      <c r="N186" s="2873">
        <f>COS_RR!O208</f>
        <v>0</v>
      </c>
      <c r="O186" s="2873">
        <f>COS_RR!P208</f>
        <v>0</v>
      </c>
      <c r="P186" s="2873">
        <f>COS_RR!Q208</f>
        <v>468771</v>
      </c>
      <c r="Q186" s="2873">
        <f>COS_RR!R208</f>
        <v>172308</v>
      </c>
      <c r="R186" s="2873">
        <f>COS_RR!S208</f>
        <v>1018268</v>
      </c>
      <c r="S186" s="2873">
        <f>COS_RR!T208</f>
        <v>138790</v>
      </c>
      <c r="T186" s="2873">
        <f>COS_RR!U208</f>
        <v>353585</v>
      </c>
      <c r="U186" s="2873">
        <f>COS_RR!V208</f>
        <v>128405</v>
      </c>
      <c r="V186" s="2873">
        <f>COS_RR!W208</f>
        <v>89694</v>
      </c>
      <c r="W186" s="2873">
        <f>COS_RR!X208</f>
        <v>0</v>
      </c>
      <c r="X186" s="2873">
        <f>COS_RR!Y208</f>
        <v>42959</v>
      </c>
      <c r="Y186" s="2873">
        <f>COS_RR!Z208</f>
        <v>0</v>
      </c>
      <c r="Z186" s="2873">
        <f>COS_RR!AA208</f>
        <v>0</v>
      </c>
      <c r="AA186" s="2858">
        <f>COS_RR!AB208</f>
        <v>0</v>
      </c>
      <c r="AB186" s="2932"/>
    </row>
    <row r="187" spans="1:30" s="87" customFormat="1">
      <c r="A187" s="411"/>
      <c r="B187" s="20"/>
      <c r="C187" s="2846">
        <f>IF(ISBLANK($E187),"",+MAX(C$12:C186)+1)</f>
        <v>151</v>
      </c>
      <c r="D187" s="2857"/>
      <c r="E187" s="2857" t="str">
        <f>'Fin Forecast - Elec'!D81</f>
        <v>Use of Finance Plan Reserve</v>
      </c>
      <c r="F187" s="2857"/>
      <c r="G187" s="493">
        <f>COS_RR!G209</f>
        <v>0</v>
      </c>
      <c r="H187" s="2860" t="str">
        <f>COS_RR!H209</f>
        <v>Total OC Plant less Fiber</v>
      </c>
      <c r="I187" s="104">
        <f>COS_RR!J209</f>
        <v>0</v>
      </c>
      <c r="J187" s="104">
        <f>COS_RR!K209</f>
        <v>0</v>
      </c>
      <c r="K187" s="104">
        <f>COS_RR!L209</f>
        <v>0</v>
      </c>
      <c r="L187" s="104">
        <f>COS_RR!M209</f>
        <v>0</v>
      </c>
      <c r="M187" s="104">
        <f>COS_RR!N209</f>
        <v>0</v>
      </c>
      <c r="N187" s="104">
        <f>COS_RR!O209</f>
        <v>0</v>
      </c>
      <c r="O187" s="104">
        <f>COS_RR!P209</f>
        <v>0</v>
      </c>
      <c r="P187" s="104">
        <f>COS_RR!Q209</f>
        <v>0</v>
      </c>
      <c r="Q187" s="104">
        <f>COS_RR!R209</f>
        <v>0</v>
      </c>
      <c r="R187" s="104">
        <f>COS_RR!S209</f>
        <v>0</v>
      </c>
      <c r="S187" s="104">
        <f>COS_RR!T209</f>
        <v>0</v>
      </c>
      <c r="T187" s="104">
        <f>COS_RR!U209</f>
        <v>0</v>
      </c>
      <c r="U187" s="104">
        <f>COS_RR!V209</f>
        <v>0</v>
      </c>
      <c r="V187" s="104">
        <f>COS_RR!W209</f>
        <v>0</v>
      </c>
      <c r="W187" s="104">
        <f>COS_RR!X209</f>
        <v>0</v>
      </c>
      <c r="X187" s="104">
        <f>COS_RR!Y209</f>
        <v>0</v>
      </c>
      <c r="Y187" s="104">
        <f>COS_RR!Z209</f>
        <v>0</v>
      </c>
      <c r="Z187" s="2848">
        <f>COS_RR!AA209</f>
        <v>0</v>
      </c>
      <c r="AA187" s="104">
        <f>COS_RR!AB209</f>
        <v>0</v>
      </c>
      <c r="AB187" s="2932"/>
    </row>
    <row r="188" spans="1:30" s="87" customFormat="1" ht="16.5" thickBot="1">
      <c r="A188" s="411"/>
      <c r="B188" s="2684"/>
      <c r="C188" s="2839">
        <f>IF(ISBLANK($E188),"",+MAX(C$12:C187)+1)</f>
        <v>152</v>
      </c>
      <c r="D188" s="2688"/>
      <c r="E188" s="2688" t="str">
        <f>'Fin Forecast - Elec'!D82</f>
        <v>Proposed Debt</v>
      </c>
      <c r="F188" s="2688"/>
      <c r="G188" s="2661">
        <f>COS_RR!G210</f>
        <v>3787500</v>
      </c>
      <c r="H188" s="2881" t="str">
        <f>COS_RR!H210</f>
        <v>Total OC Plant less Fiber</v>
      </c>
      <c r="I188" s="2694">
        <f>COS_RR!J210</f>
        <v>0</v>
      </c>
      <c r="J188" s="2694">
        <f>COS_RR!K210</f>
        <v>179528</v>
      </c>
      <c r="K188" s="2694">
        <f>COS_RR!L210</f>
        <v>1250254</v>
      </c>
      <c r="L188" s="2694">
        <f>COS_RR!M210</f>
        <v>421928</v>
      </c>
      <c r="M188" s="2694">
        <f>COS_RR!N210</f>
        <v>0</v>
      </c>
      <c r="N188" s="2694">
        <f>COS_RR!O210</f>
        <v>0</v>
      </c>
      <c r="O188" s="2694">
        <f>COS_RR!P210</f>
        <v>0</v>
      </c>
      <c r="P188" s="2694">
        <f>COS_RR!Q210</f>
        <v>376099</v>
      </c>
      <c r="Q188" s="2694">
        <f>COS_RR!R210</f>
        <v>138244</v>
      </c>
      <c r="R188" s="2694">
        <f>COS_RR!S210</f>
        <v>816964</v>
      </c>
      <c r="S188" s="2694">
        <f>COS_RR!T210</f>
        <v>111353</v>
      </c>
      <c r="T188" s="2694">
        <f>COS_RR!U210</f>
        <v>283684</v>
      </c>
      <c r="U188" s="2694">
        <f>COS_RR!V210</f>
        <v>103020</v>
      </c>
      <c r="V188" s="2694">
        <f>COS_RR!W210</f>
        <v>71963</v>
      </c>
      <c r="W188" s="2694">
        <f>COS_RR!X210</f>
        <v>0</v>
      </c>
      <c r="X188" s="2694">
        <f>COS_RR!Y210</f>
        <v>34466</v>
      </c>
      <c r="Y188" s="2694">
        <f>COS_RR!Z210</f>
        <v>0</v>
      </c>
      <c r="Z188" s="2872">
        <f>COS_RR!AA210</f>
        <v>0</v>
      </c>
      <c r="AA188" s="104">
        <f>COS_RR!AB210</f>
        <v>0</v>
      </c>
      <c r="AB188" s="2932"/>
    </row>
    <row r="189" spans="1:30" s="87" customFormat="1">
      <c r="A189" s="411"/>
      <c r="B189" s="20"/>
      <c r="C189" s="2846">
        <f>IF(ISBLANK($E189),"",+MAX(C$12:C188)+1)</f>
        <v>153</v>
      </c>
      <c r="D189" s="495"/>
      <c r="E189" s="2854" t="s">
        <v>615</v>
      </c>
      <c r="F189" s="2854"/>
      <c r="G189" s="2849">
        <f>SUM(G186:G188)</f>
        <v>8508259.0671651904</v>
      </c>
      <c r="H189" s="85"/>
      <c r="I189" s="2849">
        <f t="shared" ref="I189:Z189" si="9">SUM(I186:I188)</f>
        <v>0</v>
      </c>
      <c r="J189" s="2849">
        <f t="shared" si="9"/>
        <v>403292</v>
      </c>
      <c r="K189" s="2849">
        <f t="shared" si="9"/>
        <v>2808577</v>
      </c>
      <c r="L189" s="2849">
        <f t="shared" si="9"/>
        <v>947821</v>
      </c>
      <c r="M189" s="2849">
        <f t="shared" si="9"/>
        <v>0</v>
      </c>
      <c r="N189" s="2849">
        <f t="shared" si="9"/>
        <v>0</v>
      </c>
      <c r="O189" s="2849">
        <f t="shared" si="9"/>
        <v>0</v>
      </c>
      <c r="P189" s="2849">
        <f t="shared" si="9"/>
        <v>844870</v>
      </c>
      <c r="Q189" s="2849">
        <f t="shared" si="9"/>
        <v>310552</v>
      </c>
      <c r="R189" s="2849">
        <f t="shared" si="9"/>
        <v>1835232</v>
      </c>
      <c r="S189" s="2849">
        <f t="shared" si="9"/>
        <v>250143</v>
      </c>
      <c r="T189" s="2849">
        <f t="shared" si="9"/>
        <v>637269</v>
      </c>
      <c r="U189" s="2849">
        <f t="shared" si="9"/>
        <v>231425</v>
      </c>
      <c r="V189" s="2849">
        <f t="shared" si="9"/>
        <v>161657</v>
      </c>
      <c r="W189" s="2849">
        <f t="shared" si="9"/>
        <v>0</v>
      </c>
      <c r="X189" s="2849">
        <f t="shared" si="9"/>
        <v>77425</v>
      </c>
      <c r="Y189" s="2849">
        <f t="shared" si="9"/>
        <v>0</v>
      </c>
      <c r="Z189" s="2850">
        <f t="shared" si="9"/>
        <v>0</v>
      </c>
      <c r="AA189" s="216"/>
      <c r="AB189" s="2932"/>
    </row>
    <row r="190" spans="1:30" s="87" customFormat="1">
      <c r="A190" s="411"/>
      <c r="B190" s="2684"/>
      <c r="C190" s="2839" t="str">
        <f>IF(ISBLANK($E190),"",+MAX(C$12:C189)+1)</f>
        <v/>
      </c>
      <c r="D190" s="2869"/>
      <c r="E190" s="2875"/>
      <c r="F190" s="2875"/>
      <c r="G190" s="2662"/>
      <c r="H190" s="2888"/>
      <c r="I190" s="2662"/>
      <c r="J190" s="2662"/>
      <c r="K190" s="2662"/>
      <c r="L190" s="2662"/>
      <c r="M190" s="2662"/>
      <c r="N190" s="2662"/>
      <c r="O190" s="2662"/>
      <c r="P190" s="2662"/>
      <c r="Q190" s="2662"/>
      <c r="R190" s="2662"/>
      <c r="S190" s="2662"/>
      <c r="T190" s="2662"/>
      <c r="U190" s="2662"/>
      <c r="V190" s="2662"/>
      <c r="W190" s="2662"/>
      <c r="X190" s="2662"/>
      <c r="Y190" s="2662"/>
      <c r="Z190" s="2889"/>
      <c r="AA190" s="216"/>
      <c r="AB190" s="2932"/>
    </row>
    <row r="191" spans="1:30" s="87" customFormat="1" ht="16.5" thickBot="1">
      <c r="A191" s="411"/>
      <c r="B191" s="20"/>
      <c r="C191" s="2846">
        <f>IF(ISBLANK($E191),"",+MAX(C$12:C190)+1)</f>
        <v>154</v>
      </c>
      <c r="D191" s="495"/>
      <c r="E191" s="1587" t="s">
        <v>1941</v>
      </c>
      <c r="F191" s="88"/>
      <c r="G191" s="2760"/>
      <c r="H191" s="85"/>
      <c r="I191" s="2760"/>
      <c r="J191" s="2760"/>
      <c r="K191" s="2760"/>
      <c r="L191" s="2760"/>
      <c r="M191" s="2760"/>
      <c r="N191" s="2760"/>
      <c r="O191" s="2760"/>
      <c r="P191" s="2760"/>
      <c r="Q191" s="2760"/>
      <c r="R191" s="2760"/>
      <c r="S191" s="2760"/>
      <c r="T191" s="2760"/>
      <c r="U191" s="2760"/>
      <c r="V191" s="2760"/>
      <c r="W191" s="2760"/>
      <c r="X191" s="2760"/>
      <c r="Y191" s="2760"/>
      <c r="Z191" s="2856"/>
      <c r="AA191" s="2760"/>
      <c r="AB191" s="2932"/>
    </row>
    <row r="192" spans="1:30" s="87" customFormat="1">
      <c r="A192" s="411"/>
      <c r="B192" s="2684"/>
      <c r="C192" s="2839">
        <f>IF(ISBLANK($E192),"",+MAX(C$12:C191)+1)</f>
        <v>155</v>
      </c>
      <c r="D192" s="2869"/>
      <c r="E192" s="2688" t="s">
        <v>2997</v>
      </c>
      <c r="F192" s="61"/>
      <c r="G192" s="2873">
        <f>COS_RR!G214</f>
        <v>0</v>
      </c>
      <c r="H192" s="2882" t="str">
        <f>COS_RR!H214</f>
        <v>Rate 14 Direct</v>
      </c>
      <c r="I192" s="2873">
        <f>COS_RR!J214</f>
        <v>0</v>
      </c>
      <c r="J192" s="2873">
        <f>COS_RR!K214</f>
        <v>0</v>
      </c>
      <c r="K192" s="2873">
        <f>COS_RR!L214</f>
        <v>0</v>
      </c>
      <c r="L192" s="2873">
        <f>COS_RR!M214</f>
        <v>0</v>
      </c>
      <c r="M192" s="2873">
        <f>COS_RR!N214</f>
        <v>0</v>
      </c>
      <c r="N192" s="2873">
        <f>COS_RR!O214</f>
        <v>0</v>
      </c>
      <c r="O192" s="2873">
        <f>COS_RR!P214</f>
        <v>0</v>
      </c>
      <c r="P192" s="2873">
        <f>COS_RR!Q214</f>
        <v>0</v>
      </c>
      <c r="Q192" s="2873">
        <f>COS_RR!R214</f>
        <v>0</v>
      </c>
      <c r="R192" s="2873">
        <f>COS_RR!S214</f>
        <v>0</v>
      </c>
      <c r="S192" s="2873">
        <f>COS_RR!T214</f>
        <v>0</v>
      </c>
      <c r="T192" s="2873">
        <f>COS_RR!U214</f>
        <v>0</v>
      </c>
      <c r="U192" s="2873">
        <f>COS_RR!V214</f>
        <v>0</v>
      </c>
      <c r="V192" s="2873">
        <f>COS_RR!W214</f>
        <v>0</v>
      </c>
      <c r="W192" s="2873">
        <f>COS_RR!X214</f>
        <v>0</v>
      </c>
      <c r="X192" s="2873">
        <f>COS_RR!Y214</f>
        <v>0</v>
      </c>
      <c r="Y192" s="2873">
        <f>COS_RR!Z214</f>
        <v>0</v>
      </c>
      <c r="Z192" s="2873">
        <f>COS_RR!AA214</f>
        <v>0</v>
      </c>
      <c r="AA192" s="2858">
        <f>COS_RR!AB214</f>
        <v>0</v>
      </c>
      <c r="AB192" s="2932"/>
    </row>
    <row r="193" spans="1:28" s="87" customFormat="1">
      <c r="A193" s="411"/>
      <c r="B193" s="20"/>
      <c r="C193" s="2846">
        <f>IF(ISBLANK($E193),"",+MAX(C$12:C192)+1)</f>
        <v>156</v>
      </c>
      <c r="D193" s="495"/>
      <c r="E193" s="2857" t="s">
        <v>2998</v>
      </c>
      <c r="F193" s="88"/>
      <c r="G193" s="493">
        <f>COS_RR!G215</f>
        <v>0</v>
      </c>
      <c r="H193" s="2860" t="str">
        <f>COS_RR!H215</f>
        <v>Rate 15 Direct</v>
      </c>
      <c r="I193" s="104">
        <f>COS_RR!J215</f>
        <v>0</v>
      </c>
      <c r="J193" s="104">
        <f>COS_RR!K215</f>
        <v>0</v>
      </c>
      <c r="K193" s="104">
        <f>COS_RR!L215</f>
        <v>0</v>
      </c>
      <c r="L193" s="104">
        <f>COS_RR!M215</f>
        <v>0</v>
      </c>
      <c r="M193" s="104">
        <f>COS_RR!N215</f>
        <v>0</v>
      </c>
      <c r="N193" s="104">
        <f>COS_RR!O215</f>
        <v>0</v>
      </c>
      <c r="O193" s="104">
        <f>COS_RR!P215</f>
        <v>0</v>
      </c>
      <c r="P193" s="104">
        <f>COS_RR!Q215</f>
        <v>0</v>
      </c>
      <c r="Q193" s="104">
        <f>COS_RR!R215</f>
        <v>0</v>
      </c>
      <c r="R193" s="104">
        <f>COS_RR!S215</f>
        <v>0</v>
      </c>
      <c r="S193" s="104">
        <f>COS_RR!T215</f>
        <v>0</v>
      </c>
      <c r="T193" s="104">
        <f>COS_RR!U215</f>
        <v>0</v>
      </c>
      <c r="U193" s="104">
        <f>COS_RR!V215</f>
        <v>0</v>
      </c>
      <c r="V193" s="104">
        <f>COS_RR!W215</f>
        <v>0</v>
      </c>
      <c r="W193" s="104">
        <f>COS_RR!X215</f>
        <v>0</v>
      </c>
      <c r="X193" s="104">
        <f>COS_RR!Y215</f>
        <v>0</v>
      </c>
      <c r="Y193" s="104">
        <f>COS_RR!Z215</f>
        <v>0</v>
      </c>
      <c r="Z193" s="2848">
        <f>COS_RR!AA215</f>
        <v>0</v>
      </c>
      <c r="AA193" s="2760">
        <f>COS_RR!AB215</f>
        <v>0</v>
      </c>
      <c r="AB193" s="2932"/>
    </row>
    <row r="194" spans="1:28" s="87" customFormat="1">
      <c r="A194" s="411"/>
      <c r="B194" s="2684"/>
      <c r="C194" s="2839">
        <f>IF(ISBLANK($E194),"",+MAX(C$12:C193)+1)</f>
        <v>157</v>
      </c>
      <c r="D194" s="2869"/>
      <c r="E194" s="2688" t="s">
        <v>2999</v>
      </c>
      <c r="F194" s="61"/>
      <c r="G194" s="2661">
        <f>COS_RR!G216</f>
        <v>0</v>
      </c>
      <c r="H194" s="2871" t="str">
        <f>COS_RR!H216</f>
        <v>Rate 14 Direct</v>
      </c>
      <c r="I194" s="2694">
        <f>COS_RR!J216</f>
        <v>0</v>
      </c>
      <c r="J194" s="2694">
        <f>COS_RR!K216</f>
        <v>0</v>
      </c>
      <c r="K194" s="2694">
        <f>COS_RR!L216</f>
        <v>0</v>
      </c>
      <c r="L194" s="2694">
        <f>COS_RR!M216</f>
        <v>0</v>
      </c>
      <c r="M194" s="2694">
        <f>COS_RR!N216</f>
        <v>0</v>
      </c>
      <c r="N194" s="2694">
        <f>COS_RR!O216</f>
        <v>0</v>
      </c>
      <c r="O194" s="2694">
        <f>COS_RR!P216</f>
        <v>0</v>
      </c>
      <c r="P194" s="2694">
        <f>COS_RR!Q216</f>
        <v>0</v>
      </c>
      <c r="Q194" s="2694">
        <f>COS_RR!R216</f>
        <v>0</v>
      </c>
      <c r="R194" s="2694">
        <f>COS_RR!S216</f>
        <v>0</v>
      </c>
      <c r="S194" s="2694">
        <f>COS_RR!T216</f>
        <v>0</v>
      </c>
      <c r="T194" s="2694">
        <f>COS_RR!U216</f>
        <v>0</v>
      </c>
      <c r="U194" s="2694">
        <f>COS_RR!V216</f>
        <v>0</v>
      </c>
      <c r="V194" s="2694">
        <f>COS_RR!W216</f>
        <v>0</v>
      </c>
      <c r="W194" s="2694">
        <f>COS_RR!X216</f>
        <v>0</v>
      </c>
      <c r="X194" s="2694">
        <f>COS_RR!Y216</f>
        <v>0</v>
      </c>
      <c r="Y194" s="2694">
        <f>COS_RR!Z216</f>
        <v>0</v>
      </c>
      <c r="Z194" s="2872">
        <f>COS_RR!AA216</f>
        <v>0</v>
      </c>
      <c r="AA194" s="2760">
        <f>COS_RR!AB216</f>
        <v>0</v>
      </c>
      <c r="AB194" s="2932"/>
    </row>
    <row r="195" spans="1:28" s="87" customFormat="1">
      <c r="A195" s="411"/>
      <c r="B195" s="20"/>
      <c r="C195" s="2846">
        <f>IF(ISBLANK($E195),"",+MAX(C$12:C194)+1)</f>
        <v>158</v>
      </c>
      <c r="D195" s="495"/>
      <c r="E195" s="2857" t="s">
        <v>3000</v>
      </c>
      <c r="F195" s="88"/>
      <c r="G195" s="493">
        <f>COS_RR!G217</f>
        <v>0</v>
      </c>
      <c r="H195" s="2860" t="str">
        <f>COS_RR!H217</f>
        <v>Rate 15 Direct</v>
      </c>
      <c r="I195" s="104">
        <f>COS_RR!J217</f>
        <v>0</v>
      </c>
      <c r="J195" s="104">
        <f>COS_RR!K217</f>
        <v>0</v>
      </c>
      <c r="K195" s="104">
        <f>COS_RR!L217</f>
        <v>0</v>
      </c>
      <c r="L195" s="104">
        <f>COS_RR!M217</f>
        <v>0</v>
      </c>
      <c r="M195" s="104">
        <f>COS_RR!N217</f>
        <v>0</v>
      </c>
      <c r="N195" s="104">
        <f>COS_RR!O217</f>
        <v>0</v>
      </c>
      <c r="O195" s="104">
        <f>COS_RR!P217</f>
        <v>0</v>
      </c>
      <c r="P195" s="104">
        <f>COS_RR!Q217</f>
        <v>0</v>
      </c>
      <c r="Q195" s="104">
        <f>COS_RR!R217</f>
        <v>0</v>
      </c>
      <c r="R195" s="104">
        <f>COS_RR!S217</f>
        <v>0</v>
      </c>
      <c r="S195" s="104">
        <f>COS_RR!T217</f>
        <v>0</v>
      </c>
      <c r="T195" s="104">
        <f>COS_RR!U217</f>
        <v>0</v>
      </c>
      <c r="U195" s="104">
        <f>COS_RR!V217</f>
        <v>0</v>
      </c>
      <c r="V195" s="104">
        <f>COS_RR!W217</f>
        <v>0</v>
      </c>
      <c r="W195" s="104">
        <f>COS_RR!X217</f>
        <v>0</v>
      </c>
      <c r="X195" s="104">
        <f>COS_RR!Y217</f>
        <v>0</v>
      </c>
      <c r="Y195" s="104">
        <f>COS_RR!Z217</f>
        <v>0</v>
      </c>
      <c r="Z195" s="2848">
        <f>COS_RR!AA217</f>
        <v>0</v>
      </c>
      <c r="AA195" s="2760">
        <f>COS_RR!AB217</f>
        <v>0</v>
      </c>
      <c r="AB195" s="2932"/>
    </row>
    <row r="196" spans="1:28" s="87" customFormat="1" ht="16.5" thickBot="1">
      <c r="A196" s="411"/>
      <c r="B196" s="2684"/>
      <c r="C196" s="2839">
        <f>IF(ISBLANK($E196),"",+MAX(C$12:C195)+1)</f>
        <v>159</v>
      </c>
      <c r="D196" s="2869"/>
      <c r="E196" s="2688" t="s">
        <v>3001</v>
      </c>
      <c r="F196" s="61"/>
      <c r="G196" s="2661">
        <f>COS_RR!G218</f>
        <v>31901862.832594763</v>
      </c>
      <c r="H196" s="2881" t="str">
        <f>COS_RR!H218</f>
        <v>Total OC Plant</v>
      </c>
      <c r="I196" s="2694">
        <f>COS_RR!J218</f>
        <v>0</v>
      </c>
      <c r="J196" s="2694">
        <f>COS_RR!K218</f>
        <v>1531289</v>
      </c>
      <c r="K196" s="2694">
        <f>COS_RR!L218</f>
        <v>10266019</v>
      </c>
      <c r="L196" s="2694">
        <f>COS_RR!M218</f>
        <v>3598530</v>
      </c>
      <c r="M196" s="2694">
        <f>COS_RR!N218</f>
        <v>0</v>
      </c>
      <c r="N196" s="2694">
        <f>COS_RR!O218</f>
        <v>0</v>
      </c>
      <c r="O196" s="2694">
        <f>COS_RR!P218</f>
        <v>0</v>
      </c>
      <c r="P196" s="2694">
        <f>COS_RR!Q218</f>
        <v>3206137</v>
      </c>
      <c r="Q196" s="2694">
        <f>COS_RR!R218</f>
        <v>1180369</v>
      </c>
      <c r="R196" s="2694">
        <f>COS_RR!S218</f>
        <v>6967367</v>
      </c>
      <c r="S196" s="2694">
        <f>COS_RR!T218</f>
        <v>947485</v>
      </c>
      <c r="T196" s="2694">
        <f>COS_RR!U218</f>
        <v>2421351</v>
      </c>
      <c r="U196" s="2694">
        <f>COS_RR!V218</f>
        <v>877301</v>
      </c>
      <c r="V196" s="2694">
        <f>COS_RR!W218</f>
        <v>612516</v>
      </c>
      <c r="W196" s="2694">
        <f>COS_RR!X218</f>
        <v>0</v>
      </c>
      <c r="X196" s="2694">
        <f>COS_RR!Y218</f>
        <v>293497</v>
      </c>
      <c r="Y196" s="2694">
        <f>COS_RR!Z218</f>
        <v>0</v>
      </c>
      <c r="Z196" s="2872">
        <f>COS_RR!AA218</f>
        <v>0</v>
      </c>
      <c r="AA196" s="2760">
        <f>COS_RR!AB218</f>
        <v>0</v>
      </c>
      <c r="AB196" s="2932"/>
    </row>
    <row r="197" spans="1:28" s="87" customFormat="1">
      <c r="A197" s="411"/>
      <c r="B197" s="225"/>
      <c r="C197" s="2846">
        <f>IF(ISBLANK($E197),"",+MAX(C$12:C196)+1)</f>
        <v>160</v>
      </c>
      <c r="D197" s="495"/>
      <c r="E197" s="2854" t="s">
        <v>1942</v>
      </c>
      <c r="F197" s="2855"/>
      <c r="G197" s="2849">
        <f>SUM(G192:G196)</f>
        <v>31901862.832594763</v>
      </c>
      <c r="H197" s="495"/>
      <c r="I197" s="2868">
        <f t="shared" ref="I197:Z197" si="10">SUM(I192:I196)</f>
        <v>0</v>
      </c>
      <c r="J197" s="2868">
        <f t="shared" si="10"/>
        <v>1531289</v>
      </c>
      <c r="K197" s="2868">
        <f t="shared" si="10"/>
        <v>10266019</v>
      </c>
      <c r="L197" s="2868">
        <f t="shared" si="10"/>
        <v>3598530</v>
      </c>
      <c r="M197" s="2868">
        <f t="shared" si="10"/>
        <v>0</v>
      </c>
      <c r="N197" s="2868">
        <f t="shared" si="10"/>
        <v>0</v>
      </c>
      <c r="O197" s="2868">
        <f t="shared" si="10"/>
        <v>0</v>
      </c>
      <c r="P197" s="2868">
        <f t="shared" si="10"/>
        <v>3206137</v>
      </c>
      <c r="Q197" s="2868">
        <f t="shared" si="10"/>
        <v>1180369</v>
      </c>
      <c r="R197" s="2868">
        <f t="shared" si="10"/>
        <v>6967367</v>
      </c>
      <c r="S197" s="2868">
        <f t="shared" si="10"/>
        <v>947485</v>
      </c>
      <c r="T197" s="2868">
        <f t="shared" si="10"/>
        <v>2421351</v>
      </c>
      <c r="U197" s="2868">
        <f t="shared" si="10"/>
        <v>877301</v>
      </c>
      <c r="V197" s="2868">
        <f t="shared" si="10"/>
        <v>612516</v>
      </c>
      <c r="W197" s="2868">
        <f t="shared" si="10"/>
        <v>0</v>
      </c>
      <c r="X197" s="2868">
        <f t="shared" si="10"/>
        <v>293497</v>
      </c>
      <c r="Y197" s="2868">
        <f t="shared" si="10"/>
        <v>0</v>
      </c>
      <c r="Z197" s="2868">
        <f t="shared" si="10"/>
        <v>0</v>
      </c>
      <c r="AA197" s="104"/>
      <c r="AB197" s="2932"/>
    </row>
    <row r="198" spans="1:28" s="87" customFormat="1">
      <c r="A198" s="411"/>
      <c r="B198" s="2684"/>
      <c r="C198" s="2839" t="str">
        <f>IF(ISBLANK($E198),"",+MAX(C$12:C197)+1)</f>
        <v/>
      </c>
      <c r="D198" s="2869"/>
      <c r="E198" s="2671"/>
      <c r="F198" s="2671"/>
      <c r="G198" s="2662"/>
      <c r="H198" s="2869"/>
      <c r="I198" s="2694"/>
      <c r="J198" s="2694"/>
      <c r="K198" s="2694"/>
      <c r="L198" s="2694"/>
      <c r="M198" s="2694"/>
      <c r="N198" s="2694"/>
      <c r="O198" s="2694"/>
      <c r="P198" s="2694"/>
      <c r="Q198" s="2694"/>
      <c r="R198" s="2694"/>
      <c r="S198" s="2694"/>
      <c r="T198" s="2694"/>
      <c r="U198" s="2694"/>
      <c r="V198" s="2694"/>
      <c r="W198" s="2694"/>
      <c r="X198" s="2694"/>
      <c r="Y198" s="2694"/>
      <c r="Z198" s="2872"/>
      <c r="AA198" s="104"/>
      <c r="AB198" s="2932"/>
    </row>
    <row r="199" spans="1:28" s="87" customFormat="1" ht="16.5" thickBot="1">
      <c r="A199" s="411"/>
      <c r="B199" s="20"/>
      <c r="C199" s="2846">
        <f>IF(ISBLANK($E199),"",+MAX(C$12:C198)+1)</f>
        <v>161</v>
      </c>
      <c r="D199" s="495"/>
      <c r="E199" s="1587" t="s">
        <v>489</v>
      </c>
      <c r="F199" s="1587"/>
      <c r="G199" s="216"/>
      <c r="H199" s="495"/>
      <c r="I199" s="104"/>
      <c r="J199" s="104"/>
      <c r="K199" s="104"/>
      <c r="L199" s="104"/>
      <c r="M199" s="104"/>
      <c r="N199" s="104"/>
      <c r="O199" s="104"/>
      <c r="P199" s="104"/>
      <c r="Q199" s="104"/>
      <c r="R199" s="104"/>
      <c r="S199" s="104"/>
      <c r="T199" s="104"/>
      <c r="U199" s="104"/>
      <c r="V199" s="104"/>
      <c r="W199" s="104"/>
      <c r="X199" s="104"/>
      <c r="Y199" s="104"/>
      <c r="Z199" s="2848"/>
      <c r="AA199" s="104"/>
      <c r="AB199" s="2932"/>
    </row>
    <row r="200" spans="1:28" s="87" customFormat="1">
      <c r="A200" s="411"/>
      <c r="B200" s="2684"/>
      <c r="C200" s="2839">
        <f>IF(ISBLANK($E200),"",+MAX(C$12:C199)+1)</f>
        <v>162</v>
      </c>
      <c r="D200" s="2688"/>
      <c r="E200" s="2688" t="str">
        <f>'Fin Forecast - Elec'!D88</f>
        <v>Taxes</v>
      </c>
      <c r="F200" s="2688"/>
      <c r="G200" s="2873">
        <f>COS_RR!G222</f>
        <v>20596507.288357612</v>
      </c>
      <c r="H200" s="2882" t="str">
        <f>COS_RR!H222</f>
        <v>Total OC Plant</v>
      </c>
      <c r="I200" s="2873">
        <f>COS_RR!J222</f>
        <v>0</v>
      </c>
      <c r="J200" s="2873">
        <f>COS_RR!K222</f>
        <v>988632</v>
      </c>
      <c r="K200" s="2873">
        <f>COS_RR!L222</f>
        <v>6627956</v>
      </c>
      <c r="L200" s="2873">
        <f>COS_RR!M222</f>
        <v>2323286</v>
      </c>
      <c r="M200" s="2873">
        <f>COS_RR!N222</f>
        <v>0</v>
      </c>
      <c r="N200" s="2873">
        <f>COS_RR!O222</f>
        <v>0</v>
      </c>
      <c r="O200" s="2873">
        <f>COS_RR!P222</f>
        <v>0</v>
      </c>
      <c r="P200" s="2873">
        <f>COS_RR!Q222</f>
        <v>2069949</v>
      </c>
      <c r="Q200" s="2873">
        <f>COS_RR!R222</f>
        <v>762071</v>
      </c>
      <c r="R200" s="2873">
        <f>COS_RR!S222</f>
        <v>4498277</v>
      </c>
      <c r="S200" s="2873">
        <f>COS_RR!T222</f>
        <v>611716</v>
      </c>
      <c r="T200" s="2873">
        <f>COS_RR!U222</f>
        <v>1563275</v>
      </c>
      <c r="U200" s="2873">
        <f>COS_RR!V222</f>
        <v>566404</v>
      </c>
      <c r="V200" s="2873">
        <f>COS_RR!W222</f>
        <v>395453</v>
      </c>
      <c r="W200" s="2873">
        <f>COS_RR!X222</f>
        <v>0</v>
      </c>
      <c r="X200" s="2873">
        <f>COS_RR!Y222</f>
        <v>189488</v>
      </c>
      <c r="Y200" s="2873">
        <f>COS_RR!Z222</f>
        <v>0</v>
      </c>
      <c r="Z200" s="2873">
        <f>COS_RR!AA222</f>
        <v>0</v>
      </c>
      <c r="AA200" s="2858">
        <f>COS_RR!AB222</f>
        <v>0</v>
      </c>
      <c r="AB200" s="2932"/>
    </row>
    <row r="201" spans="1:28" s="87" customFormat="1">
      <c r="A201" s="411"/>
      <c r="B201" s="20"/>
      <c r="C201" s="2846">
        <f>IF(ISBLANK($E201),"",+MAX(C$12:C200)+1)</f>
        <v>163</v>
      </c>
      <c r="D201" s="2857"/>
      <c r="E201" s="2857" t="str">
        <f>'Fin Forecast - Elec'!D89</f>
        <v>Transfer to/(from) Finance Plan Reserve (Debt Service)</v>
      </c>
      <c r="F201" s="2857"/>
      <c r="G201" s="493">
        <f>COS_RR!G223</f>
        <v>0</v>
      </c>
      <c r="H201" s="2860" t="str">
        <f>COS_RR!H223</f>
        <v>Total OC Plant less Fiber</v>
      </c>
      <c r="I201" s="104">
        <f>COS_RR!J223</f>
        <v>0</v>
      </c>
      <c r="J201" s="104">
        <f>COS_RR!K223</f>
        <v>0</v>
      </c>
      <c r="K201" s="104">
        <f>COS_RR!L223</f>
        <v>0</v>
      </c>
      <c r="L201" s="104">
        <f>COS_RR!M223</f>
        <v>0</v>
      </c>
      <c r="M201" s="104">
        <f>COS_RR!N223</f>
        <v>0</v>
      </c>
      <c r="N201" s="104">
        <f>COS_RR!O223</f>
        <v>0</v>
      </c>
      <c r="O201" s="104">
        <f>COS_RR!P223</f>
        <v>0</v>
      </c>
      <c r="P201" s="104">
        <f>COS_RR!Q223</f>
        <v>0</v>
      </c>
      <c r="Q201" s="104">
        <f>COS_RR!R223</f>
        <v>0</v>
      </c>
      <c r="R201" s="104">
        <f>COS_RR!S223</f>
        <v>0</v>
      </c>
      <c r="S201" s="104">
        <f>COS_RR!T223</f>
        <v>0</v>
      </c>
      <c r="T201" s="104">
        <f>COS_RR!U223</f>
        <v>0</v>
      </c>
      <c r="U201" s="104">
        <f>COS_RR!V223</f>
        <v>0</v>
      </c>
      <c r="V201" s="104">
        <f>COS_RR!W223</f>
        <v>0</v>
      </c>
      <c r="W201" s="104">
        <f>COS_RR!X223</f>
        <v>0</v>
      </c>
      <c r="X201" s="104">
        <f>COS_RR!Y223</f>
        <v>0</v>
      </c>
      <c r="Y201" s="104">
        <f>COS_RR!Z223</f>
        <v>0</v>
      </c>
      <c r="Z201" s="2848">
        <f>COS_RR!AA223</f>
        <v>0</v>
      </c>
      <c r="AA201" s="2858">
        <f>COS_RR!AB223</f>
        <v>0</v>
      </c>
      <c r="AB201" s="2932"/>
    </row>
    <row r="202" spans="1:28" s="87" customFormat="1" ht="16.5" thickBot="1">
      <c r="A202" s="411"/>
      <c r="B202" s="2684"/>
      <c r="C202" s="2839">
        <f>IF(ISBLANK($E202),"",+MAX(C$12:C201)+1)</f>
        <v>164</v>
      </c>
      <c r="D202" s="2688"/>
      <c r="E202" s="2688" t="str">
        <f>'Fin Forecast - Elec'!D90</f>
        <v>Transfer to/(from) Finance Plan Reserve (PRP Capital)</v>
      </c>
      <c r="F202" s="2688"/>
      <c r="G202" s="2873">
        <f>COS_RR!G224</f>
        <v>98146906.637001559</v>
      </c>
      <c r="H202" s="2881" t="str">
        <f>COS_RR!H224</f>
        <v>Power - Capacity</v>
      </c>
      <c r="I202" s="2873">
        <f>COS_RR!J224</f>
        <v>0</v>
      </c>
      <c r="J202" s="2873">
        <f>COS_RR!K224</f>
        <v>98146907</v>
      </c>
      <c r="K202" s="2873">
        <f>COS_RR!L224</f>
        <v>0</v>
      </c>
      <c r="L202" s="2873">
        <f>COS_RR!M224</f>
        <v>0</v>
      </c>
      <c r="M202" s="2873">
        <f>COS_RR!N224</f>
        <v>0</v>
      </c>
      <c r="N202" s="2873">
        <f>COS_RR!O224</f>
        <v>0</v>
      </c>
      <c r="O202" s="2873">
        <f>COS_RR!P224</f>
        <v>0</v>
      </c>
      <c r="P202" s="2873">
        <f>COS_RR!Q224</f>
        <v>0</v>
      </c>
      <c r="Q202" s="2873">
        <f>COS_RR!R224</f>
        <v>0</v>
      </c>
      <c r="R202" s="2873">
        <f>COS_RR!S224</f>
        <v>0</v>
      </c>
      <c r="S202" s="2873">
        <f>COS_RR!T224</f>
        <v>0</v>
      </c>
      <c r="T202" s="2873">
        <f>COS_RR!U224</f>
        <v>0</v>
      </c>
      <c r="U202" s="2873">
        <f>COS_RR!V224</f>
        <v>0</v>
      </c>
      <c r="V202" s="2873">
        <f>COS_RR!W224</f>
        <v>0</v>
      </c>
      <c r="W202" s="2873">
        <f>COS_RR!X224</f>
        <v>0</v>
      </c>
      <c r="X202" s="2873">
        <f>COS_RR!Y224</f>
        <v>0</v>
      </c>
      <c r="Y202" s="2873">
        <f>COS_RR!Z224</f>
        <v>0</v>
      </c>
      <c r="Z202" s="2873">
        <f>COS_RR!AA224</f>
        <v>0</v>
      </c>
      <c r="AA202" s="2858">
        <f>COS_RR!AB224</f>
        <v>0</v>
      </c>
      <c r="AB202" s="2932"/>
    </row>
    <row r="203" spans="1:28" s="87" customFormat="1">
      <c r="A203" s="411"/>
      <c r="C203" s="2846">
        <f>IF(ISBLANK($E203),"",+MAX(C$12:C202)+1)</f>
        <v>165</v>
      </c>
      <c r="D203" s="495"/>
      <c r="E203" s="2854" t="s">
        <v>275</v>
      </c>
      <c r="F203" s="2854"/>
      <c r="G203" s="2849">
        <f>SUM(G200:G201)</f>
        <v>20596507.288357612</v>
      </c>
      <c r="H203" s="85"/>
      <c r="I203" s="2849">
        <f t="shared" ref="I203:Z203" si="11">SUM(I200:I201)</f>
        <v>0</v>
      </c>
      <c r="J203" s="2849">
        <f t="shared" si="11"/>
        <v>988632</v>
      </c>
      <c r="K203" s="2849">
        <f t="shared" si="11"/>
        <v>6627956</v>
      </c>
      <c r="L203" s="2849">
        <f t="shared" si="11"/>
        <v>2323286</v>
      </c>
      <c r="M203" s="2849">
        <f t="shared" si="11"/>
        <v>0</v>
      </c>
      <c r="N203" s="2849">
        <f t="shared" si="11"/>
        <v>0</v>
      </c>
      <c r="O203" s="2849">
        <f t="shared" si="11"/>
        <v>0</v>
      </c>
      <c r="P203" s="2849">
        <f t="shared" si="11"/>
        <v>2069949</v>
      </c>
      <c r="Q203" s="2849">
        <f t="shared" si="11"/>
        <v>762071</v>
      </c>
      <c r="R203" s="2849">
        <f t="shared" si="11"/>
        <v>4498277</v>
      </c>
      <c r="S203" s="2849">
        <f t="shared" si="11"/>
        <v>611716</v>
      </c>
      <c r="T203" s="2849">
        <f t="shared" si="11"/>
        <v>1563275</v>
      </c>
      <c r="U203" s="2849">
        <f t="shared" si="11"/>
        <v>566404</v>
      </c>
      <c r="V203" s="2849">
        <f t="shared" si="11"/>
        <v>395453</v>
      </c>
      <c r="W203" s="2849">
        <f t="shared" si="11"/>
        <v>0</v>
      </c>
      <c r="X203" s="2849">
        <f t="shared" si="11"/>
        <v>189488</v>
      </c>
      <c r="Y203" s="2849">
        <f t="shared" si="11"/>
        <v>0</v>
      </c>
      <c r="Z203" s="2850">
        <f t="shared" si="11"/>
        <v>0</v>
      </c>
      <c r="AA203" s="216"/>
      <c r="AB203" s="2932"/>
    </row>
    <row r="204" spans="1:28" s="2684" customFormat="1">
      <c r="A204" s="411"/>
      <c r="C204" s="2839" t="str">
        <f>IF(ISBLANK($E204),"",+MAX(C$12:C203)+1)</f>
        <v/>
      </c>
      <c r="D204" s="2869"/>
      <c r="E204" s="2671"/>
      <c r="F204" s="2671"/>
      <c r="G204" s="2662"/>
      <c r="H204" s="2869"/>
      <c r="I204" s="2694"/>
      <c r="J204" s="2694"/>
      <c r="K204" s="2694"/>
      <c r="L204" s="2694"/>
      <c r="M204" s="2694"/>
      <c r="N204" s="2694"/>
      <c r="O204" s="2694"/>
      <c r="P204" s="2694"/>
      <c r="Q204" s="2694"/>
      <c r="R204" s="2694"/>
      <c r="S204" s="2694"/>
      <c r="T204" s="2694"/>
      <c r="U204" s="2694"/>
      <c r="V204" s="2694"/>
      <c r="W204" s="2694"/>
      <c r="X204" s="2694"/>
      <c r="Y204" s="2694"/>
      <c r="Z204" s="2872"/>
      <c r="AA204" s="2694"/>
      <c r="AB204" s="2940"/>
    </row>
    <row r="205" spans="1:28" s="87" customFormat="1" ht="16.5" thickBot="1">
      <c r="A205" s="411"/>
      <c r="C205" s="2846">
        <f>IF(ISBLANK($E205),"",+MAX(C$12:C204)+1)</f>
        <v>166</v>
      </c>
      <c r="D205" s="495"/>
      <c r="E205" s="1587" t="s">
        <v>389</v>
      </c>
      <c r="F205" s="1587"/>
      <c r="G205" s="216"/>
      <c r="H205" s="495"/>
      <c r="I205" s="104"/>
      <c r="J205" s="104"/>
      <c r="K205" s="104"/>
      <c r="L205" s="104"/>
      <c r="M205" s="104"/>
      <c r="N205" s="104"/>
      <c r="O205" s="104"/>
      <c r="P205" s="104"/>
      <c r="Q205" s="104"/>
      <c r="R205" s="104"/>
      <c r="S205" s="104"/>
      <c r="T205" s="104"/>
      <c r="U205" s="104"/>
      <c r="V205" s="104"/>
      <c r="W205" s="104"/>
      <c r="X205" s="104"/>
      <c r="Y205" s="104"/>
      <c r="Z205" s="2848"/>
      <c r="AA205" s="104"/>
      <c r="AB205" s="2932"/>
    </row>
    <row r="206" spans="1:28" s="2684" customFormat="1">
      <c r="A206" s="411"/>
      <c r="C206" s="2839">
        <f>IF(ISBLANK($E206),"",+MAX(C$12:C205)+1)</f>
        <v>167</v>
      </c>
      <c r="D206" s="2688"/>
      <c r="E206" s="2688" t="str">
        <f>'Fin Forecast - Elec'!D26</f>
        <v>Green Power Sales</v>
      </c>
      <c r="F206" s="2688"/>
      <c r="G206" s="2873">
        <f>COS_RR!G229</f>
        <v>0</v>
      </c>
      <c r="H206" s="2882" t="str">
        <f>COS_RR!H229</f>
        <v># of Retail Customers</v>
      </c>
      <c r="I206" s="2873">
        <f>COS_RR!J229</f>
        <v>0</v>
      </c>
      <c r="J206" s="2873">
        <f>COS_RR!K229</f>
        <v>0</v>
      </c>
      <c r="K206" s="2873">
        <f>COS_RR!L229</f>
        <v>0</v>
      </c>
      <c r="L206" s="2873">
        <f>COS_RR!M229</f>
        <v>0</v>
      </c>
      <c r="M206" s="2873">
        <f>COS_RR!N229</f>
        <v>0</v>
      </c>
      <c r="N206" s="2873">
        <f>COS_RR!O229</f>
        <v>0</v>
      </c>
      <c r="O206" s="2873">
        <f>COS_RR!P229</f>
        <v>0</v>
      </c>
      <c r="P206" s="2873">
        <f>COS_RR!Q229</f>
        <v>0</v>
      </c>
      <c r="Q206" s="2873">
        <f>COS_RR!R229</f>
        <v>0</v>
      </c>
      <c r="R206" s="2873">
        <f>COS_RR!S229</f>
        <v>0</v>
      </c>
      <c r="S206" s="2873">
        <f>COS_RR!T229</f>
        <v>0</v>
      </c>
      <c r="T206" s="2873">
        <f>COS_RR!U229</f>
        <v>0</v>
      </c>
      <c r="U206" s="2873">
        <f>COS_RR!V229</f>
        <v>0</v>
      </c>
      <c r="V206" s="2873">
        <f>COS_RR!W229</f>
        <v>0</v>
      </c>
      <c r="W206" s="2873">
        <f>COS_RR!X229</f>
        <v>0</v>
      </c>
      <c r="X206" s="2873">
        <f>COS_RR!Y229</f>
        <v>0</v>
      </c>
      <c r="Y206" s="2873">
        <f>COS_RR!Z229</f>
        <v>0</v>
      </c>
      <c r="Z206" s="2873">
        <f>COS_RR!AA229</f>
        <v>0</v>
      </c>
      <c r="AA206" s="2873">
        <f>COS_RR!AB229</f>
        <v>0</v>
      </c>
      <c r="AB206" s="2940"/>
    </row>
    <row r="207" spans="1:28" s="87" customFormat="1">
      <c r="A207" s="411"/>
      <c r="C207" s="2846">
        <f>IF(ISBLANK($E207),"",+MAX(C$12:C206)+1)</f>
        <v>168</v>
      </c>
      <c r="D207" s="495"/>
      <c r="E207" s="2857" t="str">
        <f>'Fin Forecast - Elec'!D27</f>
        <v>Penalty for Late Payment</v>
      </c>
      <c r="F207" s="2857"/>
      <c r="G207" s="493">
        <f>COS_RR!G230</f>
        <v>-1239007.6809670983</v>
      </c>
      <c r="H207" s="2860" t="str">
        <f>COS_RR!H230</f>
        <v># of Retail Customers</v>
      </c>
      <c r="I207" s="104">
        <f>COS_RR!J230</f>
        <v>0</v>
      </c>
      <c r="J207" s="104">
        <f>COS_RR!K230</f>
        <v>0</v>
      </c>
      <c r="K207" s="104">
        <f>COS_RR!L230</f>
        <v>0</v>
      </c>
      <c r="L207" s="104">
        <f>COS_RR!M230</f>
        <v>0</v>
      </c>
      <c r="M207" s="104">
        <f>COS_RR!N230</f>
        <v>0</v>
      </c>
      <c r="N207" s="104">
        <f>COS_RR!O230</f>
        <v>0</v>
      </c>
      <c r="O207" s="104">
        <f>COS_RR!P230</f>
        <v>0</v>
      </c>
      <c r="P207" s="104">
        <f>COS_RR!Q230</f>
        <v>0</v>
      </c>
      <c r="Q207" s="104">
        <f>COS_RR!R230</f>
        <v>0</v>
      </c>
      <c r="R207" s="104">
        <f>COS_RR!S230</f>
        <v>0</v>
      </c>
      <c r="S207" s="104">
        <f>COS_RR!T230</f>
        <v>0</v>
      </c>
      <c r="T207" s="104">
        <f>COS_RR!U230</f>
        <v>0</v>
      </c>
      <c r="U207" s="104">
        <f>COS_RR!V230</f>
        <v>0</v>
      </c>
      <c r="V207" s="104">
        <f>COS_RR!W230</f>
        <v>0</v>
      </c>
      <c r="W207" s="104">
        <f>COS_RR!X230</f>
        <v>0</v>
      </c>
      <c r="X207" s="104">
        <f>COS_RR!Y230</f>
        <v>0</v>
      </c>
      <c r="Y207" s="104">
        <f>COS_RR!Z230</f>
        <v>-1239008</v>
      </c>
      <c r="Z207" s="2848">
        <f>COS_RR!AA230</f>
        <v>0</v>
      </c>
      <c r="AA207" s="104">
        <f>COS_RR!AB230</f>
        <v>0</v>
      </c>
      <c r="AB207" s="2932"/>
    </row>
    <row r="208" spans="1:28" s="2684" customFormat="1">
      <c r="A208" s="411"/>
      <c r="C208" s="2839">
        <f>IF(ISBLANK($E208),"",+MAX(C$12:C207)+1)</f>
        <v>169</v>
      </c>
      <c r="D208" s="2869"/>
      <c r="E208" s="2688" t="str">
        <f>'Fin Forecast - Elec'!D28</f>
        <v>Misc Service Revenue</v>
      </c>
      <c r="F208" s="2688"/>
      <c r="G208" s="2661">
        <f>COS_RR!G231</f>
        <v>-341774.96887544438</v>
      </c>
      <c r="H208" s="2871" t="str">
        <f>COS_RR!H231</f>
        <v># of Retail Customers</v>
      </c>
      <c r="I208" s="2694">
        <f>COS_RR!J231</f>
        <v>0</v>
      </c>
      <c r="J208" s="2694">
        <f>COS_RR!K231</f>
        <v>0</v>
      </c>
      <c r="K208" s="2694">
        <f>COS_RR!L231</f>
        <v>0</v>
      </c>
      <c r="L208" s="2694">
        <f>COS_RR!M231</f>
        <v>0</v>
      </c>
      <c r="M208" s="2694">
        <f>COS_RR!N231</f>
        <v>0</v>
      </c>
      <c r="N208" s="2694">
        <f>COS_RR!O231</f>
        <v>0</v>
      </c>
      <c r="O208" s="2694">
        <f>COS_RR!P231</f>
        <v>0</v>
      </c>
      <c r="P208" s="2694">
        <f>COS_RR!Q231</f>
        <v>0</v>
      </c>
      <c r="Q208" s="2694">
        <f>COS_RR!R231</f>
        <v>0</v>
      </c>
      <c r="R208" s="2694">
        <f>COS_RR!S231</f>
        <v>0</v>
      </c>
      <c r="S208" s="2694">
        <f>COS_RR!T231</f>
        <v>0</v>
      </c>
      <c r="T208" s="2694">
        <f>COS_RR!U231</f>
        <v>0</v>
      </c>
      <c r="U208" s="2694">
        <f>COS_RR!V231</f>
        <v>0</v>
      </c>
      <c r="V208" s="2694">
        <f>COS_RR!W231</f>
        <v>0</v>
      </c>
      <c r="W208" s="2694">
        <f>COS_RR!X231</f>
        <v>0</v>
      </c>
      <c r="X208" s="2694">
        <f>COS_RR!Y231</f>
        <v>0</v>
      </c>
      <c r="Y208" s="2694">
        <f>COS_RR!Z231</f>
        <v>-341775</v>
      </c>
      <c r="Z208" s="2872">
        <f>COS_RR!AA231</f>
        <v>0</v>
      </c>
      <c r="AA208" s="2694">
        <f>COS_RR!AB231</f>
        <v>0</v>
      </c>
      <c r="AB208" s="2940"/>
    </row>
    <row r="209" spans="1:28" s="87" customFormat="1">
      <c r="A209" s="411"/>
      <c r="C209" s="2846">
        <f>IF(ISBLANK($E209),"",+MAX(C$12:C208)+1)</f>
        <v>170</v>
      </c>
      <c r="D209" s="495"/>
      <c r="E209" s="2857" t="str">
        <f>'Fin Forecast - Elec'!D29</f>
        <v>Rent from Elec Property</v>
      </c>
      <c r="F209" s="2857"/>
      <c r="G209" s="493">
        <f>COS_RR!G232</f>
        <v>-391171.11723485723</v>
      </c>
      <c r="H209" s="2860" t="str">
        <f>COS_RR!H232</f>
        <v>Line &amp; Laterals</v>
      </c>
      <c r="I209" s="104">
        <f>COS_RR!J232</f>
        <v>0</v>
      </c>
      <c r="J209" s="104">
        <f>COS_RR!K232</f>
        <v>0</v>
      </c>
      <c r="K209" s="104">
        <f>COS_RR!L232</f>
        <v>0</v>
      </c>
      <c r="L209" s="104">
        <f>COS_RR!M232</f>
        <v>0</v>
      </c>
      <c r="M209" s="104">
        <f>COS_RR!N232</f>
        <v>0</v>
      </c>
      <c r="N209" s="104">
        <f>COS_RR!O232</f>
        <v>0</v>
      </c>
      <c r="O209" s="104">
        <f>COS_RR!P232</f>
        <v>0</v>
      </c>
      <c r="P209" s="104">
        <f>COS_RR!Q232</f>
        <v>0</v>
      </c>
      <c r="Q209" s="104">
        <f>COS_RR!R232</f>
        <v>-40900</v>
      </c>
      <c r="R209" s="104">
        <f>COS_RR!S232</f>
        <v>-227383</v>
      </c>
      <c r="S209" s="104">
        <f>COS_RR!T232</f>
        <v>-35210</v>
      </c>
      <c r="T209" s="104">
        <f>COS_RR!U232</f>
        <v>-87679</v>
      </c>
      <c r="U209" s="104">
        <f>COS_RR!V232</f>
        <v>0</v>
      </c>
      <c r="V209" s="104">
        <f>COS_RR!W232</f>
        <v>0</v>
      </c>
      <c r="W209" s="104">
        <f>COS_RR!X232</f>
        <v>0</v>
      </c>
      <c r="X209" s="104">
        <f>COS_RR!Y232</f>
        <v>0</v>
      </c>
      <c r="Y209" s="104">
        <f>COS_RR!Z232</f>
        <v>0</v>
      </c>
      <c r="Z209" s="2848">
        <f>COS_RR!AA232</f>
        <v>0</v>
      </c>
      <c r="AA209" s="104">
        <f>COS_RR!AB232</f>
        <v>0</v>
      </c>
      <c r="AB209" s="2932"/>
    </row>
    <row r="210" spans="1:28" s="2684" customFormat="1">
      <c r="A210" s="411"/>
      <c r="C210" s="2839">
        <f>IF(ISBLANK($E210),"",+MAX(C$12:C209)+1)</f>
        <v>171</v>
      </c>
      <c r="D210" s="2869"/>
      <c r="E210" s="2688" t="str">
        <f>'Fin Forecast - Elec'!D30</f>
        <v>Other Electric Revenues</v>
      </c>
      <c r="F210" s="2688"/>
      <c r="G210" s="2661">
        <f>COS_RR!G233</f>
        <v>-16178.886610810479</v>
      </c>
      <c r="H210" s="2871" t="str">
        <f>COS_RR!H233</f>
        <v>Total OC Plant less Fiber</v>
      </c>
      <c r="I210" s="2694">
        <f>COS_RR!J233</f>
        <v>0</v>
      </c>
      <c r="J210" s="2694">
        <f>COS_RR!K233</f>
        <v>-767</v>
      </c>
      <c r="K210" s="2694">
        <f>COS_RR!L233</f>
        <v>-5341</v>
      </c>
      <c r="L210" s="2694">
        <f>COS_RR!M233</f>
        <v>-1802</v>
      </c>
      <c r="M210" s="2694">
        <f>COS_RR!N233</f>
        <v>0</v>
      </c>
      <c r="N210" s="2694">
        <f>COS_RR!O233</f>
        <v>0</v>
      </c>
      <c r="O210" s="2694">
        <f>COS_RR!P233</f>
        <v>0</v>
      </c>
      <c r="P210" s="2694">
        <f>COS_RR!Q233</f>
        <v>-1607</v>
      </c>
      <c r="Q210" s="2694">
        <f>COS_RR!R233</f>
        <v>-591</v>
      </c>
      <c r="R210" s="2694">
        <f>COS_RR!S233</f>
        <v>-3490</v>
      </c>
      <c r="S210" s="2694">
        <f>COS_RR!T233</f>
        <v>-476</v>
      </c>
      <c r="T210" s="2694">
        <f>COS_RR!U233</f>
        <v>-1212</v>
      </c>
      <c r="U210" s="2694">
        <f>COS_RR!V233</f>
        <v>-440</v>
      </c>
      <c r="V210" s="2694">
        <f>COS_RR!W233</f>
        <v>-307</v>
      </c>
      <c r="W210" s="2694">
        <f>COS_RR!X233</f>
        <v>0</v>
      </c>
      <c r="X210" s="2694">
        <f>COS_RR!Y233</f>
        <v>-147</v>
      </c>
      <c r="Y210" s="2694">
        <f>COS_RR!Z233</f>
        <v>0</v>
      </c>
      <c r="Z210" s="2872">
        <f>COS_RR!AA233</f>
        <v>0</v>
      </c>
      <c r="AA210" s="2694">
        <f>COS_RR!AB233</f>
        <v>0</v>
      </c>
      <c r="AB210" s="2940"/>
    </row>
    <row r="211" spans="1:28" s="87" customFormat="1">
      <c r="A211" s="411"/>
      <c r="C211" s="2846">
        <f>IF(ISBLANK($E211),"",+MAX(C$12:C210)+1)</f>
        <v>172</v>
      </c>
      <c r="D211" s="495"/>
      <c r="E211" s="2857" t="str">
        <f>'Fin Forecast - Elec'!D31</f>
        <v>Interest and Other Income, and JLB Payments</v>
      </c>
      <c r="F211" s="2857"/>
      <c r="G211" s="493">
        <f>COS_RR!G234</f>
        <v>-28686301.45745568</v>
      </c>
      <c r="H211" s="2860" t="str">
        <f>COS_RR!H234</f>
        <v>Total OC Plant less Fiber</v>
      </c>
      <c r="I211" s="104">
        <f>COS_RR!J234</f>
        <v>0</v>
      </c>
      <c r="J211" s="104">
        <f>COS_RR!K234</f>
        <v>-1359731</v>
      </c>
      <c r="K211" s="104">
        <f>COS_RR!L234</f>
        <v>-9469348</v>
      </c>
      <c r="L211" s="104">
        <f>COS_RR!M234</f>
        <v>-3195654</v>
      </c>
      <c r="M211" s="104">
        <f>COS_RR!N234</f>
        <v>0</v>
      </c>
      <c r="N211" s="104">
        <f>COS_RR!O234</f>
        <v>0</v>
      </c>
      <c r="O211" s="104">
        <f>COS_RR!P234</f>
        <v>0</v>
      </c>
      <c r="P211" s="104">
        <f>COS_RR!Q234</f>
        <v>-2848550</v>
      </c>
      <c r="Q211" s="104">
        <f>COS_RR!R234</f>
        <v>-1047050</v>
      </c>
      <c r="R211" s="104">
        <f>COS_RR!S234</f>
        <v>-6187635</v>
      </c>
      <c r="S211" s="104">
        <f>COS_RR!T234</f>
        <v>-843377</v>
      </c>
      <c r="T211" s="104">
        <f>COS_RR!U234</f>
        <v>-2148604</v>
      </c>
      <c r="U211" s="104">
        <f>COS_RR!V234</f>
        <v>-780267</v>
      </c>
      <c r="V211" s="104">
        <f>COS_RR!W234</f>
        <v>-545040</v>
      </c>
      <c r="W211" s="104">
        <f>COS_RR!X234</f>
        <v>0</v>
      </c>
      <c r="X211" s="104">
        <f>COS_RR!Y234</f>
        <v>-261045</v>
      </c>
      <c r="Y211" s="104">
        <f>COS_RR!Z234</f>
        <v>0</v>
      </c>
      <c r="Z211" s="2848">
        <f>COS_RR!AA234</f>
        <v>0</v>
      </c>
      <c r="AA211" s="104">
        <f>COS_RR!AB234</f>
        <v>0</v>
      </c>
      <c r="AB211" s="2932"/>
    </row>
    <row r="212" spans="1:28" s="2684" customFormat="1">
      <c r="A212" s="411"/>
      <c r="C212" s="2839">
        <f>IF(ISBLANK($E212),"",+MAX(C$12:C211)+1)</f>
        <v>173</v>
      </c>
      <c r="D212" s="2869"/>
      <c r="E212" s="2688" t="str">
        <f>'Fin Forecast - Elec'!D20</f>
        <v>Sales to Other Utilities</v>
      </c>
      <c r="F212" s="2887">
        <f>COS_RR!F235</f>
        <v>7.3119769891054995E-2</v>
      </c>
      <c r="G212" s="2661">
        <f>COS_RR!G235</f>
        <v>-8855337.8278590236</v>
      </c>
      <c r="H212" s="2871" t="str">
        <f>COS_RR!H235</f>
        <v>Energy</v>
      </c>
      <c r="I212" s="2694">
        <f>COS_RR!J235</f>
        <v>-8855338</v>
      </c>
      <c r="J212" s="2694">
        <f>COS_RR!K235</f>
        <v>0</v>
      </c>
      <c r="K212" s="2694">
        <f>COS_RR!L235</f>
        <v>0</v>
      </c>
      <c r="L212" s="2694">
        <f>COS_RR!M235</f>
        <v>0</v>
      </c>
      <c r="M212" s="2694">
        <f>COS_RR!N235</f>
        <v>0</v>
      </c>
      <c r="N212" s="2694">
        <f>COS_RR!O235</f>
        <v>0</v>
      </c>
      <c r="O212" s="2694">
        <f>COS_RR!P235</f>
        <v>0</v>
      </c>
      <c r="P212" s="2694">
        <f>COS_RR!Q235</f>
        <v>0</v>
      </c>
      <c r="Q212" s="2694">
        <f>COS_RR!R235</f>
        <v>0</v>
      </c>
      <c r="R212" s="2694">
        <f>COS_RR!S235</f>
        <v>0</v>
      </c>
      <c r="S212" s="2694">
        <f>COS_RR!T235</f>
        <v>0</v>
      </c>
      <c r="T212" s="2694">
        <f>COS_RR!U235</f>
        <v>0</v>
      </c>
      <c r="U212" s="2694">
        <f>COS_RR!V235</f>
        <v>0</v>
      </c>
      <c r="V212" s="2694">
        <f>COS_RR!W235</f>
        <v>0</v>
      </c>
      <c r="W212" s="2694">
        <f>COS_RR!X235</f>
        <v>0</v>
      </c>
      <c r="X212" s="2694">
        <f>COS_RR!Y235</f>
        <v>0</v>
      </c>
      <c r="Y212" s="2694">
        <f>COS_RR!Z235</f>
        <v>0</v>
      </c>
      <c r="Z212" s="2872">
        <f>COS_RR!AA235</f>
        <v>0</v>
      </c>
      <c r="AA212" s="2694">
        <f>COS_RR!AB235</f>
        <v>0</v>
      </c>
      <c r="AB212" s="2940"/>
    </row>
    <row r="213" spans="1:28" s="87" customFormat="1">
      <c r="A213" s="411"/>
      <c r="C213" s="2846">
        <f>IF(ISBLANK($E213),"",+MAX(C$12:C212)+1)</f>
        <v>174</v>
      </c>
      <c r="D213" s="495"/>
      <c r="E213" s="2857" t="str">
        <f>'Fin Forecast - Elec'!D20</f>
        <v>Sales to Other Utilities</v>
      </c>
      <c r="F213" s="2933">
        <f>COS_RR!F236</f>
        <v>0.92688023010894505</v>
      </c>
      <c r="G213" s="493">
        <f>COS_RR!G236</f>
        <v>-112251961.07438123</v>
      </c>
      <c r="H213" s="2860" t="str">
        <f>COS_RR!H236</f>
        <v>Power - Capacity</v>
      </c>
      <c r="I213" s="104">
        <f>COS_RR!J236</f>
        <v>0</v>
      </c>
      <c r="J213" s="104">
        <f>COS_RR!K236</f>
        <v>-112251961</v>
      </c>
      <c r="K213" s="104">
        <f>COS_RR!L236</f>
        <v>0</v>
      </c>
      <c r="L213" s="104">
        <f>COS_RR!M236</f>
        <v>0</v>
      </c>
      <c r="M213" s="104">
        <f>COS_RR!N236</f>
        <v>0</v>
      </c>
      <c r="N213" s="104">
        <f>COS_RR!O236</f>
        <v>0</v>
      </c>
      <c r="O213" s="104">
        <f>COS_RR!P236</f>
        <v>0</v>
      </c>
      <c r="P213" s="104">
        <f>COS_RR!Q236</f>
        <v>0</v>
      </c>
      <c r="Q213" s="104">
        <f>COS_RR!R236</f>
        <v>0</v>
      </c>
      <c r="R213" s="104">
        <f>COS_RR!S236</f>
        <v>0</v>
      </c>
      <c r="S213" s="104">
        <f>COS_RR!T236</f>
        <v>0</v>
      </c>
      <c r="T213" s="104">
        <f>COS_RR!U236</f>
        <v>0</v>
      </c>
      <c r="U213" s="104">
        <f>COS_RR!V236</f>
        <v>0</v>
      </c>
      <c r="V213" s="104">
        <f>COS_RR!W236</f>
        <v>0</v>
      </c>
      <c r="W213" s="104">
        <f>COS_RR!X236</f>
        <v>0</v>
      </c>
      <c r="X213" s="104">
        <f>COS_RR!Y236</f>
        <v>0</v>
      </c>
      <c r="Y213" s="104">
        <f>COS_RR!Z236</f>
        <v>0</v>
      </c>
      <c r="Z213" s="2848">
        <f>COS_RR!AA236</f>
        <v>0</v>
      </c>
      <c r="AA213" s="104">
        <f>COS_RR!AB236</f>
        <v>0</v>
      </c>
      <c r="AB213" s="2932"/>
    </row>
    <row r="214" spans="1:28" s="2684" customFormat="1" ht="16.5" thickBot="1">
      <c r="A214" s="411"/>
      <c r="C214" s="2839">
        <f>IF(ISBLANK($E214),"",+MAX(C$12:C213)+1)</f>
        <v>175</v>
      </c>
      <c r="D214" s="2869"/>
      <c r="E214" s="2688" t="str">
        <f>'Fin Forecast - Elec'!D21</f>
        <v>Fiber Optic Network Sales</v>
      </c>
      <c r="F214" s="2941"/>
      <c r="G214" s="2942">
        <f>COS_RR!G237</f>
        <v>-5634359.6840295177</v>
      </c>
      <c r="H214" s="2881" t="str">
        <f>COS_RR!H237</f>
        <v>Total Plant Before Gen Plant</v>
      </c>
      <c r="I214" s="2943">
        <f>COS_RR!J237</f>
        <v>0</v>
      </c>
      <c r="J214" s="2943">
        <f>COS_RR!K237</f>
        <v>-285662</v>
      </c>
      <c r="K214" s="2943">
        <f>COS_RR!L237</f>
        <v>-1595087</v>
      </c>
      <c r="L214" s="2943">
        <f>COS_RR!M237</f>
        <v>-671616</v>
      </c>
      <c r="M214" s="2943">
        <f>COS_RR!N237</f>
        <v>0</v>
      </c>
      <c r="N214" s="2943">
        <f>COS_RR!O237</f>
        <v>0</v>
      </c>
      <c r="O214" s="2943">
        <f>COS_RR!P237</f>
        <v>0</v>
      </c>
      <c r="P214" s="2943">
        <f>COS_RR!Q237</f>
        <v>-598932</v>
      </c>
      <c r="Q214" s="2943">
        <f>COS_RR!R237</f>
        <v>-220303</v>
      </c>
      <c r="R214" s="2943">
        <f>COS_RR!S237</f>
        <v>-1300974</v>
      </c>
      <c r="S214" s="2943">
        <f>COS_RR!T237</f>
        <v>-176919</v>
      </c>
      <c r="T214" s="2943">
        <f>COS_RR!U237</f>
        <v>-451876</v>
      </c>
      <c r="U214" s="2943">
        <f>COS_RR!V237</f>
        <v>-163960</v>
      </c>
      <c r="V214" s="2943">
        <f>COS_RR!W237</f>
        <v>-114378</v>
      </c>
      <c r="W214" s="2943">
        <f>COS_RR!X237</f>
        <v>0</v>
      </c>
      <c r="X214" s="2943">
        <f>COS_RR!Y237</f>
        <v>-54653</v>
      </c>
      <c r="Y214" s="2943">
        <f>COS_RR!Z237</f>
        <v>0</v>
      </c>
      <c r="Z214" s="2944">
        <f>COS_RR!AA237</f>
        <v>0</v>
      </c>
      <c r="AA214" s="2694">
        <f>COS_RR!AB237</f>
        <v>0</v>
      </c>
      <c r="AB214" s="2940"/>
    </row>
    <row r="215" spans="1:28" s="87" customFormat="1">
      <c r="A215" s="411"/>
      <c r="B215" s="2847"/>
      <c r="C215" s="2846">
        <f>IF(ISBLANK($E215),"",+MAX(C$12:C214)+1)</f>
        <v>176</v>
      </c>
      <c r="D215" s="495"/>
      <c r="E215" s="2935" t="s">
        <v>309</v>
      </c>
      <c r="F215" s="2935"/>
      <c r="G215" s="216">
        <f>SUM(G206:G214)</f>
        <v>-157416092.69741368</v>
      </c>
      <c r="H215" s="495"/>
      <c r="I215" s="216">
        <f t="shared" ref="I215:Z215" si="12">SUM(I206:I214)</f>
        <v>-8855338</v>
      </c>
      <c r="J215" s="216">
        <f t="shared" si="12"/>
        <v>-113898121</v>
      </c>
      <c r="K215" s="216">
        <f t="shared" si="12"/>
        <v>-11069776</v>
      </c>
      <c r="L215" s="216">
        <f t="shared" si="12"/>
        <v>-3869072</v>
      </c>
      <c r="M215" s="216">
        <f t="shared" si="12"/>
        <v>0</v>
      </c>
      <c r="N215" s="216">
        <f t="shared" si="12"/>
        <v>0</v>
      </c>
      <c r="O215" s="216">
        <f t="shared" si="12"/>
        <v>0</v>
      </c>
      <c r="P215" s="216">
        <f t="shared" si="12"/>
        <v>-3449089</v>
      </c>
      <c r="Q215" s="216">
        <f t="shared" si="12"/>
        <v>-1308844</v>
      </c>
      <c r="R215" s="216">
        <f t="shared" si="12"/>
        <v>-7719482</v>
      </c>
      <c r="S215" s="216">
        <f t="shared" si="12"/>
        <v>-1055982</v>
      </c>
      <c r="T215" s="216">
        <f t="shared" si="12"/>
        <v>-2689371</v>
      </c>
      <c r="U215" s="216">
        <f t="shared" si="12"/>
        <v>-944667</v>
      </c>
      <c r="V215" s="216">
        <f t="shared" si="12"/>
        <v>-659725</v>
      </c>
      <c r="W215" s="216">
        <f t="shared" si="12"/>
        <v>0</v>
      </c>
      <c r="X215" s="216">
        <f t="shared" si="12"/>
        <v>-315845</v>
      </c>
      <c r="Y215" s="216">
        <f t="shared" si="12"/>
        <v>-1580783</v>
      </c>
      <c r="Z215" s="216">
        <f t="shared" si="12"/>
        <v>0</v>
      </c>
      <c r="AA215" s="216"/>
      <c r="AB215" s="495"/>
    </row>
    <row r="216" spans="1:28" s="2684" customFormat="1">
      <c r="A216" s="411"/>
      <c r="B216" s="2945"/>
      <c r="C216" s="2839" t="str">
        <f>IF(ISBLANK($E216),"",+MAX(C$12:C215)+1)</f>
        <v/>
      </c>
      <c r="D216" s="2869"/>
      <c r="E216" s="2671"/>
      <c r="F216" s="2671"/>
      <c r="G216" s="2694"/>
      <c r="H216" s="2869"/>
      <c r="I216" s="2694"/>
      <c r="J216" s="2694"/>
      <c r="K216" s="2694"/>
      <c r="L216" s="2694"/>
      <c r="M216" s="2694"/>
      <c r="N216" s="2694"/>
      <c r="O216" s="2694"/>
      <c r="P216" s="2694"/>
      <c r="Q216" s="2694"/>
      <c r="R216" s="2694"/>
      <c r="S216" s="2694"/>
      <c r="T216" s="2694"/>
      <c r="U216" s="2694"/>
      <c r="V216" s="2694"/>
      <c r="W216" s="2694"/>
      <c r="X216" s="2694"/>
      <c r="Y216" s="2694"/>
      <c r="Z216" s="2872"/>
      <c r="AA216" s="2694"/>
      <c r="AB216" s="2869"/>
    </row>
    <row r="217" spans="1:28" s="87" customFormat="1" ht="16.5" thickBot="1">
      <c r="A217" s="411"/>
      <c r="B217" s="2847"/>
      <c r="C217" s="2846">
        <f>IF(ISBLANK($E217),"",+MAX(C$12:C216)+1)</f>
        <v>177</v>
      </c>
      <c r="D217" s="495"/>
      <c r="E217" s="2855" t="s">
        <v>2248</v>
      </c>
      <c r="F217" s="2855"/>
      <c r="G217" s="216"/>
      <c r="H217" s="216"/>
      <c r="I217" s="104"/>
      <c r="J217" s="104"/>
      <c r="K217" s="104"/>
      <c r="L217" s="104"/>
      <c r="M217" s="104"/>
      <c r="N217" s="104"/>
      <c r="O217" s="104"/>
      <c r="P217" s="104"/>
      <c r="Q217" s="104"/>
      <c r="R217" s="104"/>
      <c r="S217" s="104"/>
      <c r="T217" s="104"/>
      <c r="U217" s="104"/>
      <c r="V217" s="104"/>
      <c r="W217" s="104"/>
      <c r="X217" s="104"/>
      <c r="Y217" s="104"/>
      <c r="Z217" s="2848"/>
      <c r="AA217" s="104"/>
      <c r="AB217" s="2932"/>
    </row>
    <row r="218" spans="1:28" s="2684" customFormat="1">
      <c r="A218" s="411"/>
      <c r="B218" s="2945"/>
      <c r="C218" s="2839">
        <f>IF(ISBLANK($E218),"",+MAX(C$12:C217)+1)</f>
        <v>178</v>
      </c>
      <c r="D218" s="2869"/>
      <c r="E218" s="2688" t="s">
        <v>2982</v>
      </c>
      <c r="F218" s="2946"/>
      <c r="G218" s="2873">
        <f>COS_RR!G241</f>
        <v>0</v>
      </c>
      <c r="H218" s="2882" t="str">
        <f>COS_RR!H241</f>
        <v>Rate 14 Direct</v>
      </c>
      <c r="I218" s="2873">
        <f>COS_RR!J241</f>
        <v>0</v>
      </c>
      <c r="J218" s="2873">
        <f>COS_RR!K241</f>
        <v>0</v>
      </c>
      <c r="K218" s="2873">
        <f>COS_RR!L241</f>
        <v>0</v>
      </c>
      <c r="L218" s="2873">
        <f>COS_RR!M241</f>
        <v>0</v>
      </c>
      <c r="M218" s="2873">
        <f>COS_RR!N241</f>
        <v>0</v>
      </c>
      <c r="N218" s="2873">
        <f>COS_RR!O241</f>
        <v>0</v>
      </c>
      <c r="O218" s="2873">
        <f>COS_RR!P241</f>
        <v>0</v>
      </c>
      <c r="P218" s="2873">
        <f>COS_RR!Q241</f>
        <v>0</v>
      </c>
      <c r="Q218" s="2873">
        <f>COS_RR!R241</f>
        <v>0</v>
      </c>
      <c r="R218" s="2873">
        <f>COS_RR!S241</f>
        <v>0</v>
      </c>
      <c r="S218" s="2873">
        <f>COS_RR!T241</f>
        <v>0</v>
      </c>
      <c r="T218" s="2873">
        <f>COS_RR!U241</f>
        <v>0</v>
      </c>
      <c r="U218" s="2873">
        <f>COS_RR!V241</f>
        <v>0</v>
      </c>
      <c r="V218" s="2873">
        <f>COS_RR!W241</f>
        <v>0</v>
      </c>
      <c r="W218" s="2873">
        <f>COS_RR!X241</f>
        <v>0</v>
      </c>
      <c r="X218" s="2873">
        <f>COS_RR!Y241</f>
        <v>0</v>
      </c>
      <c r="Y218" s="2873">
        <f>COS_RR!Z241</f>
        <v>0</v>
      </c>
      <c r="Z218" s="2873">
        <f>COS_RR!AA241</f>
        <v>0</v>
      </c>
      <c r="AA218" s="2873">
        <f>COS_RR!AB241</f>
        <v>0</v>
      </c>
      <c r="AB218" s="2940"/>
    </row>
    <row r="219" spans="1:28" s="87" customFormat="1">
      <c r="A219" s="411"/>
      <c r="B219" s="2847"/>
      <c r="C219" s="2846">
        <f>IF(ISBLANK($E219),"",+MAX(C$12:C218)+1)</f>
        <v>179</v>
      </c>
      <c r="D219" s="495"/>
      <c r="E219" s="2857" t="s">
        <v>2983</v>
      </c>
      <c r="F219" s="2855"/>
      <c r="G219" s="493">
        <f>COS_RR!G242</f>
        <v>0</v>
      </c>
      <c r="H219" s="2860" t="str">
        <f>COS_RR!H242</f>
        <v>Rate 15 Direct</v>
      </c>
      <c r="I219" s="104">
        <f>COS_RR!J242</f>
        <v>0</v>
      </c>
      <c r="J219" s="104">
        <f>COS_RR!K242</f>
        <v>0</v>
      </c>
      <c r="K219" s="104">
        <f>COS_RR!L242</f>
        <v>0</v>
      </c>
      <c r="L219" s="104">
        <f>COS_RR!M242</f>
        <v>0</v>
      </c>
      <c r="M219" s="104">
        <f>COS_RR!N242</f>
        <v>0</v>
      </c>
      <c r="N219" s="104">
        <f>COS_RR!O242</f>
        <v>0</v>
      </c>
      <c r="O219" s="104">
        <f>COS_RR!P242</f>
        <v>0</v>
      </c>
      <c r="P219" s="104">
        <f>COS_RR!Q242</f>
        <v>0</v>
      </c>
      <c r="Q219" s="104">
        <f>COS_RR!R242</f>
        <v>0</v>
      </c>
      <c r="R219" s="104">
        <f>COS_RR!S242</f>
        <v>0</v>
      </c>
      <c r="S219" s="104">
        <f>COS_RR!T242</f>
        <v>0</v>
      </c>
      <c r="T219" s="104">
        <f>COS_RR!U242</f>
        <v>0</v>
      </c>
      <c r="U219" s="104">
        <f>COS_RR!V242</f>
        <v>0</v>
      </c>
      <c r="V219" s="104">
        <f>COS_RR!W242</f>
        <v>0</v>
      </c>
      <c r="W219" s="104">
        <f>COS_RR!X242</f>
        <v>0</v>
      </c>
      <c r="X219" s="104">
        <f>COS_RR!Y242</f>
        <v>0</v>
      </c>
      <c r="Y219" s="104">
        <f>COS_RR!Z242</f>
        <v>0</v>
      </c>
      <c r="Z219" s="2848">
        <f>COS_RR!AA242</f>
        <v>0</v>
      </c>
      <c r="AA219" s="104">
        <f>COS_RR!AB242</f>
        <v>0</v>
      </c>
      <c r="AB219" s="2932"/>
    </row>
    <row r="220" spans="1:28" s="2684" customFormat="1">
      <c r="A220" s="411"/>
      <c r="B220" s="2945"/>
      <c r="C220" s="2839">
        <f>IF(ISBLANK($E220),"",+MAX(C$12:C219)+1)</f>
        <v>180</v>
      </c>
      <c r="D220" s="2869"/>
      <c r="E220" s="2688" t="s">
        <v>2984</v>
      </c>
      <c r="F220" s="2946"/>
      <c r="G220" s="2661">
        <f>COS_RR!G243</f>
        <v>0</v>
      </c>
      <c r="H220" s="2871" t="str">
        <f>COS_RR!H243</f>
        <v>Rate 14 Direct</v>
      </c>
      <c r="I220" s="2694">
        <f>COS_RR!J243</f>
        <v>0</v>
      </c>
      <c r="J220" s="2694">
        <f>COS_RR!K243</f>
        <v>0</v>
      </c>
      <c r="K220" s="2694">
        <f>COS_RR!L243</f>
        <v>0</v>
      </c>
      <c r="L220" s="2694">
        <f>COS_RR!M243</f>
        <v>0</v>
      </c>
      <c r="M220" s="2694">
        <f>COS_RR!N243</f>
        <v>0</v>
      </c>
      <c r="N220" s="2694">
        <f>COS_RR!O243</f>
        <v>0</v>
      </c>
      <c r="O220" s="2694">
        <f>COS_RR!P243</f>
        <v>0</v>
      </c>
      <c r="P220" s="2694">
        <f>COS_RR!Q243</f>
        <v>0</v>
      </c>
      <c r="Q220" s="2694">
        <f>COS_RR!R243</f>
        <v>0</v>
      </c>
      <c r="R220" s="2694">
        <f>COS_RR!S243</f>
        <v>0</v>
      </c>
      <c r="S220" s="2694">
        <f>COS_RR!T243</f>
        <v>0</v>
      </c>
      <c r="T220" s="2694">
        <f>COS_RR!U243</f>
        <v>0</v>
      </c>
      <c r="U220" s="2694">
        <f>COS_RR!V243</f>
        <v>0</v>
      </c>
      <c r="V220" s="2694">
        <f>COS_RR!W243</f>
        <v>0</v>
      </c>
      <c r="W220" s="2694">
        <f>COS_RR!X243</f>
        <v>0</v>
      </c>
      <c r="X220" s="2694">
        <f>COS_RR!Y243</f>
        <v>0</v>
      </c>
      <c r="Y220" s="2694">
        <f>COS_RR!Z243</f>
        <v>0</v>
      </c>
      <c r="Z220" s="2872">
        <f>COS_RR!AA243</f>
        <v>0</v>
      </c>
      <c r="AA220" s="2694">
        <f>COS_RR!AB243</f>
        <v>0</v>
      </c>
      <c r="AB220" s="2940"/>
    </row>
    <row r="221" spans="1:28" s="87" customFormat="1">
      <c r="A221" s="411"/>
      <c r="B221" s="2847"/>
      <c r="C221" s="2846">
        <f>IF(ISBLANK($E221),"",+MAX(C$12:C220)+1)</f>
        <v>181</v>
      </c>
      <c r="D221" s="495"/>
      <c r="E221" s="2857" t="s">
        <v>2985</v>
      </c>
      <c r="F221" s="2855"/>
      <c r="G221" s="493">
        <f>COS_RR!G244</f>
        <v>0</v>
      </c>
      <c r="H221" s="2860" t="str">
        <f>COS_RR!H244</f>
        <v>Rate 15 Direct</v>
      </c>
      <c r="I221" s="104">
        <f>COS_RR!J244</f>
        <v>0</v>
      </c>
      <c r="J221" s="104">
        <f>COS_RR!K244</f>
        <v>0</v>
      </c>
      <c r="K221" s="104">
        <f>COS_RR!L244</f>
        <v>0</v>
      </c>
      <c r="L221" s="104">
        <f>COS_RR!M244</f>
        <v>0</v>
      </c>
      <c r="M221" s="104">
        <f>COS_RR!N244</f>
        <v>0</v>
      </c>
      <c r="N221" s="104">
        <f>COS_RR!O244</f>
        <v>0</v>
      </c>
      <c r="O221" s="104">
        <f>COS_RR!P244</f>
        <v>0</v>
      </c>
      <c r="P221" s="104">
        <f>COS_RR!Q244</f>
        <v>0</v>
      </c>
      <c r="Q221" s="104">
        <f>COS_RR!R244</f>
        <v>0</v>
      </c>
      <c r="R221" s="104">
        <f>COS_RR!S244</f>
        <v>0</v>
      </c>
      <c r="S221" s="104">
        <f>COS_RR!T244</f>
        <v>0</v>
      </c>
      <c r="T221" s="104">
        <f>COS_RR!U244</f>
        <v>0</v>
      </c>
      <c r="U221" s="104">
        <f>COS_RR!V244</f>
        <v>0</v>
      </c>
      <c r="V221" s="104">
        <f>COS_RR!W244</f>
        <v>0</v>
      </c>
      <c r="W221" s="104">
        <f>COS_RR!X244</f>
        <v>0</v>
      </c>
      <c r="X221" s="104">
        <f>COS_RR!Y244</f>
        <v>0</v>
      </c>
      <c r="Y221" s="104">
        <f>COS_RR!Z244</f>
        <v>0</v>
      </c>
      <c r="Z221" s="2848">
        <f>COS_RR!AA244</f>
        <v>0</v>
      </c>
      <c r="AA221" s="104">
        <f>COS_RR!AB244</f>
        <v>0</v>
      </c>
      <c r="AB221" s="2932"/>
    </row>
    <row r="222" spans="1:28" s="2684" customFormat="1" ht="16.5" thickBot="1">
      <c r="A222" s="411"/>
      <c r="B222" s="2945"/>
      <c r="C222" s="2839">
        <f>IF(ISBLANK($E222),"",+MAX(C$12:C221)+1)</f>
        <v>182</v>
      </c>
      <c r="D222" s="2869"/>
      <c r="E222" s="2688" t="s">
        <v>2986</v>
      </c>
      <c r="F222" s="2946"/>
      <c r="G222" s="2661">
        <f>COS_RR!G245</f>
        <v>-2343733.2385153715</v>
      </c>
      <c r="H222" s="2881" t="str">
        <f>COS_RR!H245</f>
        <v>Substation and Lines</v>
      </c>
      <c r="I222" s="2694">
        <f>COS_RR!J245</f>
        <v>0</v>
      </c>
      <c r="J222" s="2694">
        <f>COS_RR!K245</f>
        <v>0</v>
      </c>
      <c r="K222" s="2694">
        <f>COS_RR!L245</f>
        <v>0</v>
      </c>
      <c r="L222" s="2694">
        <f>COS_RR!M245</f>
        <v>-558043</v>
      </c>
      <c r="M222" s="2694">
        <f>COS_RR!N245</f>
        <v>0</v>
      </c>
      <c r="N222" s="2694">
        <f>COS_RR!O245</f>
        <v>0</v>
      </c>
      <c r="O222" s="2694">
        <f>COS_RR!P245</f>
        <v>0</v>
      </c>
      <c r="P222" s="2694">
        <f>COS_RR!Q245</f>
        <v>0</v>
      </c>
      <c r="Q222" s="2694">
        <f>COS_RR!R245</f>
        <v>-182811</v>
      </c>
      <c r="R222" s="2694">
        <f>COS_RR!S245</f>
        <v>-1080461</v>
      </c>
      <c r="S222" s="2694">
        <f>COS_RR!T245</f>
        <v>-146952</v>
      </c>
      <c r="T222" s="2694">
        <f>COS_RR!U245</f>
        <v>-375466</v>
      </c>
      <c r="U222" s="2694">
        <f>COS_RR!V245</f>
        <v>0</v>
      </c>
      <c r="V222" s="2694">
        <f>COS_RR!W245</f>
        <v>0</v>
      </c>
      <c r="W222" s="2694">
        <f>COS_RR!X245</f>
        <v>0</v>
      </c>
      <c r="X222" s="2694">
        <f>COS_RR!Y245</f>
        <v>0</v>
      </c>
      <c r="Y222" s="2694">
        <f>COS_RR!Z245</f>
        <v>0</v>
      </c>
      <c r="Z222" s="2872">
        <f>COS_RR!AA245</f>
        <v>0</v>
      </c>
      <c r="AA222" s="2694">
        <f>COS_RR!AB245</f>
        <v>0</v>
      </c>
      <c r="AB222" s="2940"/>
    </row>
    <row r="223" spans="1:28" s="87" customFormat="1">
      <c r="A223" s="411"/>
      <c r="B223" s="2847"/>
      <c r="C223" s="2846">
        <f>IF(ISBLANK($E223),"",+MAX(C$12:C222)+1)</f>
        <v>183</v>
      </c>
      <c r="D223" s="495"/>
      <c r="E223" s="2935" t="s">
        <v>2987</v>
      </c>
      <c r="F223" s="2855"/>
      <c r="G223" s="2849">
        <f>SUM(G218:G222)</f>
        <v>-2343733.2385153715</v>
      </c>
      <c r="H223" s="495"/>
      <c r="I223" s="2868">
        <f t="shared" ref="I223:Z223" si="13">SUM(I218:I222)</f>
        <v>0</v>
      </c>
      <c r="J223" s="2868">
        <f t="shared" si="13"/>
        <v>0</v>
      </c>
      <c r="K223" s="2868">
        <f t="shared" si="13"/>
        <v>0</v>
      </c>
      <c r="L223" s="2868">
        <f t="shared" si="13"/>
        <v>-558043</v>
      </c>
      <c r="M223" s="2868">
        <f t="shared" si="13"/>
        <v>0</v>
      </c>
      <c r="N223" s="2868">
        <f t="shared" si="13"/>
        <v>0</v>
      </c>
      <c r="O223" s="2868">
        <f t="shared" si="13"/>
        <v>0</v>
      </c>
      <c r="P223" s="2868">
        <f t="shared" si="13"/>
        <v>0</v>
      </c>
      <c r="Q223" s="2868">
        <f t="shared" si="13"/>
        <v>-182811</v>
      </c>
      <c r="R223" s="2868">
        <f t="shared" si="13"/>
        <v>-1080461</v>
      </c>
      <c r="S223" s="2868">
        <f t="shared" si="13"/>
        <v>-146952</v>
      </c>
      <c r="T223" s="2868">
        <f t="shared" si="13"/>
        <v>-375466</v>
      </c>
      <c r="U223" s="2868">
        <f t="shared" si="13"/>
        <v>0</v>
      </c>
      <c r="V223" s="2868">
        <f t="shared" si="13"/>
        <v>0</v>
      </c>
      <c r="W223" s="2868">
        <f t="shared" si="13"/>
        <v>0</v>
      </c>
      <c r="X223" s="2868">
        <f t="shared" si="13"/>
        <v>0</v>
      </c>
      <c r="Y223" s="2868">
        <f t="shared" si="13"/>
        <v>0</v>
      </c>
      <c r="Z223" s="2868">
        <f t="shared" si="13"/>
        <v>0</v>
      </c>
      <c r="AA223" s="104"/>
      <c r="AB223" s="2932"/>
    </row>
    <row r="224" spans="1:28" s="2684" customFormat="1">
      <c r="A224" s="411"/>
      <c r="B224" s="2945"/>
      <c r="C224" s="2839" t="str">
        <f>IF(ISBLANK($E224),"",+MAX(C$12:C223)+1)</f>
        <v/>
      </c>
      <c r="D224" s="2869"/>
      <c r="E224" s="2947"/>
      <c r="F224" s="2947"/>
      <c r="G224" s="2694"/>
      <c r="H224" s="2869"/>
      <c r="I224" s="2694"/>
      <c r="J224" s="2694"/>
      <c r="K224" s="2694"/>
      <c r="L224" s="2694"/>
      <c r="M224" s="2694"/>
      <c r="N224" s="2694"/>
      <c r="O224" s="2694"/>
      <c r="P224" s="2694"/>
      <c r="Q224" s="2694"/>
      <c r="R224" s="2694"/>
      <c r="S224" s="2694"/>
      <c r="T224" s="2694"/>
      <c r="U224" s="2694"/>
      <c r="V224" s="2694"/>
      <c r="W224" s="2694"/>
      <c r="X224" s="2694"/>
      <c r="Y224" s="2694"/>
      <c r="Z224" s="2872"/>
      <c r="AA224" s="2694"/>
      <c r="AB224" s="2869"/>
    </row>
    <row r="225" spans="1:30">
      <c r="A225" s="411"/>
      <c r="B225" s="2847"/>
      <c r="C225" s="2846">
        <f>IF(ISBLANK($E225),"",+MAX(C$12:C224)+1)</f>
        <v>184</v>
      </c>
      <c r="D225" s="2857"/>
      <c r="E225" s="88" t="s">
        <v>385</v>
      </c>
      <c r="F225" s="88"/>
      <c r="G225" s="105">
        <f>SUM(G183,G189,G197,G203,G215,G223)</f>
        <v>193603360.99324906</v>
      </c>
      <c r="H225" s="495"/>
      <c r="I225" s="105">
        <f>SUM(I183,I189,I197,I203,I215,I217)</f>
        <v>14524335</v>
      </c>
      <c r="J225" s="105">
        <f>SUM(J183,J189,J197,J203,J215,J217)</f>
        <v>100260830</v>
      </c>
      <c r="K225" s="105">
        <f>SUM(K183,K189,K197,K203,K215,K217)</f>
        <v>16633522</v>
      </c>
      <c r="L225" s="105">
        <f t="shared" ref="L225:Z225" si="14">SUM(L183,L189,L197,L203,L215,L223)</f>
        <v>10750133</v>
      </c>
      <c r="M225" s="105">
        <f t="shared" si="14"/>
        <v>1376338</v>
      </c>
      <c r="N225" s="105">
        <f t="shared" si="14"/>
        <v>0</v>
      </c>
      <c r="O225" s="105">
        <f t="shared" si="14"/>
        <v>0</v>
      </c>
      <c r="P225" s="105">
        <f t="shared" si="14"/>
        <v>5739588</v>
      </c>
      <c r="Q225" s="105">
        <f t="shared" si="14"/>
        <v>2421353</v>
      </c>
      <c r="R225" s="105">
        <f t="shared" si="14"/>
        <v>14814280</v>
      </c>
      <c r="S225" s="105">
        <f t="shared" si="14"/>
        <v>1860690</v>
      </c>
      <c r="T225" s="105">
        <f t="shared" si="14"/>
        <v>4836504</v>
      </c>
      <c r="U225" s="105">
        <f t="shared" si="14"/>
        <v>1570655</v>
      </c>
      <c r="V225" s="105">
        <f t="shared" si="14"/>
        <v>5488593</v>
      </c>
      <c r="W225" s="105">
        <f t="shared" si="14"/>
        <v>11094753</v>
      </c>
      <c r="X225" s="105">
        <f t="shared" si="14"/>
        <v>537071</v>
      </c>
      <c r="Y225" s="105">
        <f t="shared" si="14"/>
        <v>1694727</v>
      </c>
      <c r="Z225" s="105">
        <f t="shared" si="14"/>
        <v>0</v>
      </c>
      <c r="AA225" s="105"/>
      <c r="AB225" s="2760"/>
      <c r="AC225" s="87"/>
      <c r="AD225" s="87"/>
    </row>
    <row r="226" spans="1:30" s="2684" customFormat="1">
      <c r="A226" s="411"/>
      <c r="B226" s="2945"/>
      <c r="C226" s="2839" t="str">
        <f>IF(ISBLANK($E226),"",+MAX(C$12:C225)+1)</f>
        <v/>
      </c>
      <c r="D226" s="2869"/>
      <c r="E226" s="2688"/>
      <c r="F226" s="2688"/>
      <c r="G226" s="2694"/>
      <c r="H226" s="2869"/>
      <c r="I226" s="2694"/>
      <c r="J226" s="2694"/>
      <c r="K226" s="2694"/>
      <c r="L226" s="2694"/>
      <c r="M226" s="2694"/>
      <c r="N226" s="2694"/>
      <c r="O226" s="2694"/>
      <c r="P226" s="2694"/>
      <c r="Q226" s="2694"/>
      <c r="R226" s="2694"/>
      <c r="S226" s="2694"/>
      <c r="T226" s="2694"/>
      <c r="U226" s="2694"/>
      <c r="V226" s="2694"/>
      <c r="W226" s="2694"/>
      <c r="X226" s="2694"/>
      <c r="Y226" s="2694"/>
      <c r="Z226" s="2872"/>
      <c r="AA226" s="2694"/>
      <c r="AB226" s="2869"/>
    </row>
    <row r="227" spans="1:30" s="87" customFormat="1">
      <c r="A227" s="411"/>
      <c r="B227" s="2847"/>
      <c r="C227" s="2846">
        <f>IF(ISBLANK($E227),"",+MAX(C$12:C226)+1)</f>
        <v>185</v>
      </c>
      <c r="D227" s="495"/>
      <c r="E227" s="1587" t="s">
        <v>191</v>
      </c>
      <c r="F227" s="2853"/>
      <c r="G227" s="105">
        <f>COS_RR!G250</f>
        <v>16367366.616701007</v>
      </c>
      <c r="H227" s="495"/>
      <c r="I227" s="105">
        <f>'COS_Supervised O&amp;M'!I122</f>
        <v>0</v>
      </c>
      <c r="J227" s="105">
        <f>'COS_Supervised O&amp;M'!J122</f>
        <v>377132</v>
      </c>
      <c r="K227" s="105">
        <f>'COS_Supervised O&amp;M'!K122</f>
        <v>1708902</v>
      </c>
      <c r="L227" s="105">
        <f>'COS_Supervised O&amp;M'!L122</f>
        <v>2588072</v>
      </c>
      <c r="M227" s="105">
        <f>'COS_Supervised O&amp;M'!M122</f>
        <v>481675</v>
      </c>
      <c r="N227" s="105"/>
      <c r="O227" s="105"/>
      <c r="P227" s="105">
        <f>'COS_Supervised O&amp;M'!P122</f>
        <v>787543</v>
      </c>
      <c r="Q227" s="105">
        <f>'COS_Supervised O&amp;M'!Q122</f>
        <v>487887</v>
      </c>
      <c r="R227" s="105">
        <f>'COS_Supervised O&amp;M'!R122</f>
        <v>3070307</v>
      </c>
      <c r="S227" s="105">
        <f>'COS_Supervised O&amp;M'!S122</f>
        <v>362559</v>
      </c>
      <c r="T227" s="105">
        <f>'COS_Supervised O&amp;M'!T122</f>
        <v>954107</v>
      </c>
      <c r="U227" s="105">
        <f>'COS_Supervised O&amp;M'!U122</f>
        <v>215750</v>
      </c>
      <c r="V227" s="105">
        <f>'COS_Supervised O&amp;M'!V122</f>
        <v>1778120</v>
      </c>
      <c r="W227" s="105">
        <f>'COS_Supervised O&amp;M'!W122</f>
        <v>3303895.2570004533</v>
      </c>
      <c r="X227" s="105">
        <f>'COS_Supervised O&amp;M'!X122</f>
        <v>72062</v>
      </c>
      <c r="Y227" s="105">
        <f>'COS_Supervised O&amp;M'!Y122</f>
        <v>179355.57053417651</v>
      </c>
      <c r="Z227" s="105">
        <f>'COS_Supervised O&amp;M'!Z122</f>
        <v>0</v>
      </c>
      <c r="AA227" s="105"/>
      <c r="AB227" s="495"/>
    </row>
    <row r="228" spans="1:30" s="87" customFormat="1">
      <c r="A228" s="411"/>
      <c r="B228" s="2847"/>
      <c r="C228" s="2846"/>
      <c r="D228" s="495"/>
      <c r="E228" s="2936"/>
      <c r="F228" s="2936"/>
      <c r="G228" s="217"/>
      <c r="H228" s="2937"/>
      <c r="I228" s="104"/>
      <c r="J228" s="104"/>
      <c r="K228" s="104"/>
      <c r="L228" s="104"/>
      <c r="M228" s="104"/>
      <c r="N228" s="104"/>
      <c r="O228" s="104"/>
      <c r="P228" s="104"/>
      <c r="Q228" s="104"/>
      <c r="R228" s="104"/>
      <c r="S228" s="104"/>
      <c r="T228" s="104"/>
      <c r="U228" s="104"/>
      <c r="V228" s="104"/>
      <c r="W228" s="104"/>
      <c r="X228" s="104"/>
      <c r="Y228" s="104"/>
      <c r="Z228" s="2848"/>
      <c r="AA228" s="104"/>
      <c r="AB228" s="137"/>
    </row>
    <row r="229" spans="1:30" s="87" customFormat="1">
      <c r="A229" s="411"/>
      <c r="B229" s="2847"/>
      <c r="C229" s="2846"/>
      <c r="D229" s="495"/>
      <c r="E229" s="2936"/>
      <c r="F229" s="2936"/>
      <c r="G229" s="217"/>
      <c r="H229" s="2937"/>
      <c r="I229" s="104"/>
      <c r="J229" s="104"/>
      <c r="K229" s="104"/>
      <c r="L229" s="104"/>
      <c r="M229" s="104"/>
      <c r="N229" s="104"/>
      <c r="O229" s="104"/>
      <c r="P229" s="104"/>
      <c r="Q229" s="104"/>
      <c r="R229" s="104"/>
      <c r="S229" s="104"/>
      <c r="T229" s="104"/>
      <c r="U229" s="104"/>
      <c r="V229" s="104"/>
      <c r="W229" s="104"/>
      <c r="X229" s="104"/>
      <c r="Y229" s="104"/>
      <c r="Z229" s="104"/>
      <c r="AA229" s="104"/>
      <c r="AB229" s="137"/>
    </row>
  </sheetData>
  <mergeCells count="51">
    <mergeCell ref="X83:X84"/>
    <mergeCell ref="X158:X159"/>
    <mergeCell ref="C158:C159"/>
    <mergeCell ref="E158:E159"/>
    <mergeCell ref="I158:I159"/>
    <mergeCell ref="J158:J159"/>
    <mergeCell ref="K158:K159"/>
    <mergeCell ref="L158:L159"/>
    <mergeCell ref="Q158:R158"/>
    <mergeCell ref="S158:T158"/>
    <mergeCell ref="U158:U159"/>
    <mergeCell ref="V158:V159"/>
    <mergeCell ref="C83:C84"/>
    <mergeCell ref="E83:E84"/>
    <mergeCell ref="I83:I84"/>
    <mergeCell ref="J83:J84"/>
    <mergeCell ref="L83:L84"/>
    <mergeCell ref="I156:J157"/>
    <mergeCell ref="K156:K157"/>
    <mergeCell ref="L156:R156"/>
    <mergeCell ref="L157:R157"/>
    <mergeCell ref="Q83:R83"/>
    <mergeCell ref="C10:C11"/>
    <mergeCell ref="E10:E11"/>
    <mergeCell ref="J10:J11"/>
    <mergeCell ref="K10:K11"/>
    <mergeCell ref="K83:K84"/>
    <mergeCell ref="S157:V157"/>
    <mergeCell ref="X10:X11"/>
    <mergeCell ref="I81:J82"/>
    <mergeCell ref="K81:K82"/>
    <mergeCell ref="L81:R81"/>
    <mergeCell ref="L82:R82"/>
    <mergeCell ref="S82:V82"/>
    <mergeCell ref="I10:I11"/>
    <mergeCell ref="L10:L11"/>
    <mergeCell ref="S10:T10"/>
    <mergeCell ref="U10:U11"/>
    <mergeCell ref="V10:V11"/>
    <mergeCell ref="Q10:R10"/>
    <mergeCell ref="S83:T83"/>
    <mergeCell ref="U83:U84"/>
    <mergeCell ref="V83:V84"/>
    <mergeCell ref="E1:Z1"/>
    <mergeCell ref="E2:Z2"/>
    <mergeCell ref="E3:Z3"/>
    <mergeCell ref="I8:J9"/>
    <mergeCell ref="K8:K9"/>
    <mergeCell ref="L8:R8"/>
    <mergeCell ref="L9:R9"/>
    <mergeCell ref="S9:V9"/>
  </mergeCells>
  <dataValidations count="1">
    <dataValidation type="list" allowBlank="1" showInputMessage="1" showErrorMessage="1" sqref="H186:H188 H161:H180 H206:H214 H109:H110 H192:H196 H129:H135 H218:H222 H87:H105 H65:H77 H40:H61 H16:H36 H115:H125 H139:H154 H200:H202">
      <formula1>Allocation</formula1>
    </dataValidation>
  </dataValidations>
  <printOptions horizontalCentered="1"/>
  <pageMargins left="0.25" right="0.25" top="0.5" bottom="0.5" header="0.25" footer="0.25"/>
  <pageSetup scale="30" fitToHeight="0" orientation="landscape" r:id="rId1"/>
  <headerFooter alignWithMargins="0">
    <oddFooter>&amp;L&amp;"Times New Roman,Bold Italic"Black &amp; Veatch Corporation&amp;C&amp;"Times New Roman,Bold Italic"Date: &amp;D&amp;R&amp;"Times New Roman,Bold Italic"Page: &amp;P of&amp;N</oddFooter>
  </headerFooter>
  <rowBreaks count="2" manualBreakCount="2">
    <brk id="85" min="2" max="26" man="1"/>
    <brk id="183" min="2" max="26" man="1"/>
  </rowBreaks>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pageSetUpPr fitToPage="1"/>
  </sheetPr>
  <dimension ref="A1:AQ262"/>
  <sheetViews>
    <sheetView showGridLines="0" zoomScale="70" zoomScaleNormal="70" zoomScaleSheetLayoutView="75" workbookViewId="0">
      <pane xSplit="4" ySplit="7" topLeftCell="K8" activePane="bottomRight" state="frozen"/>
      <selection activeCell="F9" sqref="F9"/>
      <selection pane="topRight" activeCell="F9" sqref="F9"/>
      <selection pane="bottomLeft" activeCell="F9" sqref="F9"/>
      <selection pane="bottomRight" activeCell="R1" sqref="R1:U1048576"/>
    </sheetView>
  </sheetViews>
  <sheetFormatPr defaultColWidth="0" defaultRowHeight="0" customHeight="1" zeroHeight="1"/>
  <cols>
    <col min="1" max="1" width="22.5" style="1466" customWidth="1"/>
    <col min="2" max="2" width="2" style="1466" customWidth="1"/>
    <col min="3" max="3" width="6.75" style="1466" bestFit="1" customWidth="1"/>
    <col min="4" max="4" width="37.625" style="1466" bestFit="1" customWidth="1"/>
    <col min="5" max="17" width="15.875" style="1481" bestFit="1" customWidth="1"/>
    <col min="18" max="18" width="5" customWidth="1"/>
    <col min="19" max="31" width="9" customWidth="1"/>
    <col min="32" max="32" width="14" bestFit="1" customWidth="1"/>
    <col min="33" max="39" width="0" style="1466" hidden="1" customWidth="1"/>
    <col min="40" max="43" width="0" style="1466" hidden="1"/>
    <col min="44" max="16384" width="9" style="1466" hidden="1"/>
  </cols>
  <sheetData>
    <row r="1" spans="1:32" ht="23.25">
      <c r="A1" s="1360"/>
      <c r="B1" s="1463"/>
      <c r="C1" s="1464"/>
      <c r="D1" s="1465"/>
      <c r="E1" s="1465"/>
      <c r="F1" s="1465"/>
      <c r="G1" s="1465"/>
      <c r="H1" s="1465"/>
      <c r="I1" s="1465"/>
      <c r="J1" s="1465"/>
      <c r="K1" s="1465"/>
      <c r="L1" s="1465"/>
      <c r="M1" s="1465"/>
      <c r="N1" s="1465"/>
      <c r="O1" s="1465"/>
      <c r="P1" s="1465"/>
      <c r="Q1" s="1465"/>
    </row>
    <row r="2" spans="1:32" ht="23.25">
      <c r="A2" s="1360"/>
      <c r="B2" s="1463"/>
      <c r="C2" s="4421" t="str">
        <f>Client</f>
        <v>Grant County Public Utility District</v>
      </c>
      <c r="D2" s="4421"/>
      <c r="E2" s="4421"/>
      <c r="F2" s="1467"/>
      <c r="G2" s="1467"/>
      <c r="H2" s="1467"/>
      <c r="I2" s="1467"/>
      <c r="J2" s="1467"/>
      <c r="K2" s="1467"/>
      <c r="L2" s="1467"/>
      <c r="M2" s="1467"/>
      <c r="N2" s="1467"/>
      <c r="O2" s="1467"/>
      <c r="P2" s="1467"/>
      <c r="Q2" s="1467"/>
    </row>
    <row r="3" spans="1:32" ht="23.25">
      <c r="A3" s="1360"/>
      <c r="B3" s="1463"/>
      <c r="C3" s="4421" t="s">
        <v>554</v>
      </c>
      <c r="D3" s="4421"/>
      <c r="E3" s="4421"/>
      <c r="F3" s="1467"/>
      <c r="G3" s="1467"/>
      <c r="H3" s="1467"/>
      <c r="I3" s="1467"/>
      <c r="J3" s="1467"/>
      <c r="K3" s="1467"/>
      <c r="L3" s="1467"/>
      <c r="M3" s="1467"/>
      <c r="N3" s="1467"/>
      <c r="O3" s="1467"/>
      <c r="P3" s="1467"/>
      <c r="Q3" s="1467"/>
    </row>
    <row r="4" spans="1:32" ht="18.75">
      <c r="A4" s="1360"/>
      <c r="B4" s="1463"/>
      <c r="C4" s="1468"/>
      <c r="D4" s="1469"/>
      <c r="E4" s="1468"/>
      <c r="F4" s="1468"/>
      <c r="G4" s="1468"/>
      <c r="H4" s="1468"/>
      <c r="I4" s="1468"/>
      <c r="J4" s="1468"/>
      <c r="K4" s="1468"/>
      <c r="L4" s="1468"/>
      <c r="M4" s="1468"/>
      <c r="N4" s="1468"/>
      <c r="O4" s="1468"/>
      <c r="P4" s="1468"/>
      <c r="Q4" s="1468"/>
    </row>
    <row r="5" spans="1:32" ht="15.75">
      <c r="A5" s="1360"/>
      <c r="B5" s="1463"/>
      <c r="C5" s="1464"/>
      <c r="D5" s="1464"/>
      <c r="E5" s="2579" t="s">
        <v>674</v>
      </c>
      <c r="F5" s="2579" t="s">
        <v>155</v>
      </c>
      <c r="G5" s="2579" t="s">
        <v>675</v>
      </c>
      <c r="H5" s="2579" t="s">
        <v>676</v>
      </c>
      <c r="I5" s="2579" t="s">
        <v>677</v>
      </c>
      <c r="J5" s="2579" t="s">
        <v>140</v>
      </c>
      <c r="K5" s="2579" t="s">
        <v>141</v>
      </c>
      <c r="L5" s="2579" t="s">
        <v>142</v>
      </c>
      <c r="M5" s="2579" t="s">
        <v>143</v>
      </c>
      <c r="N5" s="2579" t="s">
        <v>145</v>
      </c>
      <c r="O5" s="2579" t="s">
        <v>146</v>
      </c>
      <c r="P5" s="2579" t="s">
        <v>147</v>
      </c>
      <c r="Q5" s="2579" t="s">
        <v>148</v>
      </c>
    </row>
    <row r="6" spans="1:32" ht="15.75">
      <c r="A6" s="1360"/>
      <c r="B6" s="1463"/>
      <c r="C6" s="4621" t="s">
        <v>867</v>
      </c>
      <c r="D6" s="4621" t="s">
        <v>399</v>
      </c>
      <c r="E6" s="4623" t="s">
        <v>3034</v>
      </c>
      <c r="F6" s="4624"/>
      <c r="G6" s="4624"/>
      <c r="H6" s="4624"/>
      <c r="I6" s="4624"/>
      <c r="J6" s="4624"/>
      <c r="K6" s="4624"/>
      <c r="L6" s="4624"/>
      <c r="M6" s="4624"/>
      <c r="N6" s="4624"/>
      <c r="O6" s="4624"/>
      <c r="P6" s="2636"/>
      <c r="Q6" s="2636"/>
    </row>
    <row r="7" spans="1:32" ht="15.75">
      <c r="A7" s="1360"/>
      <c r="B7" s="1463"/>
      <c r="C7" s="4622" t="s">
        <v>867</v>
      </c>
      <c r="D7" s="4622"/>
      <c r="E7" s="2614">
        <f>Dashboard!G$7</f>
        <v>2014</v>
      </c>
      <c r="F7" s="2614">
        <f>Dashboard!H$7</f>
        <v>2015</v>
      </c>
      <c r="G7" s="2614">
        <f>Dashboard!I$7</f>
        <v>2016</v>
      </c>
      <c r="H7" s="2614">
        <f>Dashboard!J$7</f>
        <v>2017</v>
      </c>
      <c r="I7" s="2614">
        <f>Dashboard!K$7</f>
        <v>2018</v>
      </c>
      <c r="J7" s="2614">
        <f>Dashboard!L$7</f>
        <v>2019</v>
      </c>
      <c r="K7" s="2614">
        <f>Dashboard!M$7</f>
        <v>2020</v>
      </c>
      <c r="L7" s="2614">
        <f>Dashboard!N$7</f>
        <v>2021</v>
      </c>
      <c r="M7" s="2614">
        <f>Dashboard!O$7</f>
        <v>2022</v>
      </c>
      <c r="N7" s="2614">
        <f>Dashboard!P$7</f>
        <v>2023</v>
      </c>
      <c r="O7" s="2614">
        <f>Dashboard!Q$7</f>
        <v>2024</v>
      </c>
      <c r="P7" s="2614">
        <f>Dashboard!R$7</f>
        <v>2025</v>
      </c>
      <c r="Q7" s="2614">
        <f>Dashboard!S$7</f>
        <v>2026</v>
      </c>
    </row>
    <row r="8" spans="1:32" ht="15.75">
      <c r="A8" s="1360"/>
      <c r="B8" s="1463"/>
      <c r="C8" s="1463"/>
      <c r="D8" s="1474"/>
      <c r="E8" s="1463"/>
      <c r="F8" s="1463"/>
      <c r="G8" s="1463"/>
      <c r="H8" s="1463"/>
      <c r="I8" s="1463"/>
      <c r="J8" s="1463"/>
      <c r="K8" s="1463"/>
      <c r="L8" s="1463"/>
      <c r="M8" s="1463"/>
      <c r="N8" s="1463"/>
      <c r="O8" s="1463"/>
      <c r="P8" s="1463"/>
      <c r="Q8" s="1463"/>
    </row>
    <row r="9" spans="1:32" ht="15.75">
      <c r="A9" s="1360"/>
      <c r="B9" s="1463"/>
      <c r="C9" s="1464"/>
      <c r="D9" s="2615" t="s">
        <v>883</v>
      </c>
      <c r="E9" s="1464"/>
      <c r="F9" s="1464"/>
      <c r="G9" s="1464"/>
      <c r="H9" s="1464"/>
      <c r="I9" s="1464"/>
      <c r="J9" s="1464"/>
      <c r="K9" s="1464"/>
      <c r="L9" s="1464"/>
      <c r="M9" s="1464"/>
      <c r="N9" s="1464"/>
      <c r="O9" s="1464"/>
      <c r="P9" s="1464"/>
      <c r="Q9" s="1464"/>
    </row>
    <row r="10" spans="1:32" s="2620" customFormat="1" ht="15.75">
      <c r="A10" s="1360"/>
      <c r="B10" s="2619"/>
      <c r="C10" s="2616">
        <v>1</v>
      </c>
      <c r="D10" s="2617" t="s">
        <v>189</v>
      </c>
      <c r="E10" s="2618"/>
      <c r="F10" s="2618"/>
      <c r="G10" s="2618"/>
      <c r="H10" s="2618"/>
      <c r="I10" s="2618"/>
      <c r="J10" s="2618"/>
      <c r="K10" s="2618"/>
      <c r="L10" s="2618"/>
      <c r="M10" s="2618"/>
      <c r="N10" s="2618"/>
      <c r="O10" s="2618"/>
      <c r="P10" s="2618"/>
      <c r="Q10" s="2618"/>
      <c r="R10"/>
      <c r="S10"/>
      <c r="T10"/>
      <c r="U10"/>
      <c r="V10"/>
      <c r="W10"/>
      <c r="X10"/>
      <c r="Y10"/>
      <c r="Z10"/>
      <c r="AA10"/>
      <c r="AB10"/>
      <c r="AC10"/>
      <c r="AD10"/>
      <c r="AE10"/>
      <c r="AF10"/>
    </row>
    <row r="11" spans="1:32" ht="15.75">
      <c r="A11" s="1360"/>
      <c r="B11" s="1463"/>
      <c r="C11" s="1476">
        <f>IF(D11="","",MAX(C$9:C10)+1)</f>
        <v>2</v>
      </c>
      <c r="D11" s="1482" t="s">
        <v>282</v>
      </c>
    </row>
    <row r="12" spans="1:32" s="2620" customFormat="1" ht="15.75">
      <c r="A12" s="1360"/>
      <c r="B12" s="2619"/>
      <c r="C12" s="2616">
        <f>IF(D12="","",MAX(C$9:C11)+1)</f>
        <v>3</v>
      </c>
      <c r="D12" s="2621" t="s">
        <v>521</v>
      </c>
      <c r="E12" s="1934">
        <f>'Fin Forecast - Elec'!I14</f>
        <v>40126635.651825801</v>
      </c>
      <c r="F12" s="1934">
        <f>'Fin Forecast - Elec'!J14</f>
        <v>41424780.989396721</v>
      </c>
      <c r="G12" s="1934">
        <f>'Fin Forecast - Elec'!K14</f>
        <v>43330607.45485945</v>
      </c>
      <c r="H12" s="1934">
        <f>'Fin Forecast - Elec'!L14</f>
        <v>43903694.812468678</v>
      </c>
      <c r="I12" s="1934">
        <f>'Fin Forecast - Elec'!M14</f>
        <v>44505412.902738735</v>
      </c>
      <c r="J12" s="1934">
        <f>'Fin Forecast - Elec'!N14</f>
        <v>45115820.061369091</v>
      </c>
      <c r="K12" s="1934">
        <f>'Fin Forecast - Elec'!O14</f>
        <v>45756173.883008912</v>
      </c>
      <c r="L12" s="1934">
        <f>'Fin Forecast - Elec'!P14</f>
        <v>46364498.680134758</v>
      </c>
      <c r="M12" s="1934">
        <f>'Fin Forecast - Elec'!Q14</f>
        <v>47003001.535892956</v>
      </c>
      <c r="N12" s="1934">
        <f>'Fin Forecast - Elec'!R14</f>
        <v>47651038.484054431</v>
      </c>
      <c r="O12" s="1934">
        <f>'Fin Forecast - Elec'!S14</f>
        <v>48330648.920275912</v>
      </c>
      <c r="P12" s="1934">
        <f>'Fin Forecast - Elec'!T14</f>
        <v>48976589.433980763</v>
      </c>
      <c r="Q12" s="1934">
        <f>'Fin Forecast - Elec'!U14</f>
        <v>49654152.68996156</v>
      </c>
      <c r="R12"/>
      <c r="S12"/>
      <c r="T12"/>
      <c r="U12"/>
      <c r="V12"/>
      <c r="W12"/>
      <c r="X12"/>
      <c r="Y12"/>
      <c r="Z12"/>
      <c r="AA12"/>
      <c r="AB12"/>
      <c r="AC12"/>
      <c r="AD12"/>
      <c r="AE12"/>
      <c r="AF12"/>
    </row>
    <row r="13" spans="1:32" ht="15.75">
      <c r="A13" s="1360"/>
      <c r="B13" s="1463"/>
      <c r="C13" s="1476">
        <f>IF(D13="","",MAX(C$9:C12)+1)</f>
        <v>4</v>
      </c>
      <c r="D13" s="1484" t="s">
        <v>727</v>
      </c>
      <c r="E13" s="1483">
        <f>'Fin Forecast - Elec'!I15</f>
        <v>23028980.079743613</v>
      </c>
      <c r="F13" s="1483">
        <f>'Fin Forecast - Elec'!J15</f>
        <v>21928955.920960672</v>
      </c>
      <c r="G13" s="1483">
        <f>'Fin Forecast - Elec'!K15</f>
        <v>24640276.399856191</v>
      </c>
      <c r="H13" s="1483">
        <f>'Fin Forecast - Elec'!L15</f>
        <v>23928010.324111272</v>
      </c>
      <c r="I13" s="1483">
        <f>'Fin Forecast - Elec'!M15</f>
        <v>24173026.454235099</v>
      </c>
      <c r="J13" s="1483">
        <f>'Fin Forecast - Elec'!N15</f>
        <v>24418042.584358923</v>
      </c>
      <c r="K13" s="1483">
        <f>'Fin Forecast - Elec'!O15</f>
        <v>24663058.714482747</v>
      </c>
      <c r="L13" s="1483">
        <f>'Fin Forecast - Elec'!P15</f>
        <v>24908074.844606567</v>
      </c>
      <c r="M13" s="1483">
        <f>'Fin Forecast - Elec'!Q15</f>
        <v>25154771.820923492</v>
      </c>
      <c r="N13" s="1483">
        <f>'Fin Forecast - Elec'!R15</f>
        <v>25399787.951047327</v>
      </c>
      <c r="O13" s="1483">
        <f>'Fin Forecast - Elec'!S15</f>
        <v>25646484.927364241</v>
      </c>
      <c r="P13" s="1483">
        <f>'Fin Forecast - Elec'!T15</f>
        <v>25891501.057488065</v>
      </c>
      <c r="Q13" s="1483">
        <f>'Fin Forecast - Elec'!U15</f>
        <v>26138198.033804983</v>
      </c>
    </row>
    <row r="14" spans="1:32" s="2620" customFormat="1" ht="15.75">
      <c r="A14" s="1360"/>
      <c r="B14" s="2619"/>
      <c r="C14" s="2616">
        <f>IF(D14="","",MAX(C$9:C13)+1)</f>
        <v>5</v>
      </c>
      <c r="D14" s="2621" t="s">
        <v>2221</v>
      </c>
      <c r="E14" s="1934">
        <f>'Fin Forecast - Elec'!I16</f>
        <v>95420238.134129256</v>
      </c>
      <c r="F14" s="1934">
        <f>'Fin Forecast - Elec'!J16</f>
        <v>106876135.2238275</v>
      </c>
      <c r="G14" s="1934">
        <f>'Fin Forecast - Elec'!K16</f>
        <v>108906680.89356728</v>
      </c>
      <c r="H14" s="1934">
        <f>'Fin Forecast - Elec'!L16</f>
        <v>120308749.51426256</v>
      </c>
      <c r="I14" s="1934">
        <f>'Fin Forecast - Elec'!M16</f>
        <v>129329148.02549994</v>
      </c>
      <c r="J14" s="1934">
        <f>'Fin Forecast - Elec'!N16</f>
        <v>141156872.60647896</v>
      </c>
      <c r="K14" s="1934">
        <f>'Fin Forecast - Elec'!O16</f>
        <v>149251158.43198472</v>
      </c>
      <c r="L14" s="1934">
        <f>'Fin Forecast - Elec'!P16</f>
        <v>155380410.74327952</v>
      </c>
      <c r="M14" s="1934">
        <f>'Fin Forecast - Elec'!Q16</f>
        <v>160290799.20595571</v>
      </c>
      <c r="N14" s="1934">
        <f>'Fin Forecast - Elec'!R16</f>
        <v>166067665.91296864</v>
      </c>
      <c r="O14" s="1934">
        <f>'Fin Forecast - Elec'!S16</f>
        <v>172464303.67865202</v>
      </c>
      <c r="P14" s="1934">
        <f>'Fin Forecast - Elec'!T16</f>
        <v>176794450.33451432</v>
      </c>
      <c r="Q14" s="1934">
        <f>'Fin Forecast - Elec'!U16</f>
        <v>181239635.99150169</v>
      </c>
      <c r="R14"/>
      <c r="S14"/>
      <c r="T14"/>
      <c r="U14"/>
      <c r="V14"/>
      <c r="W14"/>
      <c r="X14"/>
      <c r="Y14"/>
      <c r="Z14"/>
      <c r="AA14"/>
      <c r="AB14"/>
      <c r="AC14"/>
      <c r="AD14"/>
      <c r="AE14"/>
      <c r="AF14"/>
    </row>
    <row r="15" spans="1:32" ht="18">
      <c r="A15" s="1360"/>
      <c r="B15" s="1463"/>
      <c r="C15" s="1476">
        <f>IF(D15="","",MAX(C$9:C14)+1)</f>
        <v>6</v>
      </c>
      <c r="D15" s="1484" t="s">
        <v>2220</v>
      </c>
      <c r="E15" s="1485">
        <f>'Fin Forecast - Elec'!I17</f>
        <v>996078.93281111179</v>
      </c>
      <c r="F15" s="1485">
        <f>'Fin Forecast - Elec'!J17</f>
        <v>1029382.144384724</v>
      </c>
      <c r="G15" s="1485">
        <f>'Fin Forecast - Elec'!K17</f>
        <v>1011154.8310764299</v>
      </c>
      <c r="H15" s="1485">
        <f>'Fin Forecast - Elec'!L17</f>
        <v>1011154.8310764299</v>
      </c>
      <c r="I15" s="1485">
        <f>'Fin Forecast - Elec'!M17</f>
        <v>1011154.8310764299</v>
      </c>
      <c r="J15" s="1485">
        <f>'Fin Forecast - Elec'!N17</f>
        <v>1011154.8310764299</v>
      </c>
      <c r="K15" s="1485">
        <f>'Fin Forecast - Elec'!O17</f>
        <v>1011154.8310764299</v>
      </c>
      <c r="L15" s="1485">
        <f>'Fin Forecast - Elec'!P17</f>
        <v>1011154.8310764299</v>
      </c>
      <c r="M15" s="1485">
        <f>'Fin Forecast - Elec'!Q17</f>
        <v>1011154.8310764299</v>
      </c>
      <c r="N15" s="1485">
        <f>'Fin Forecast - Elec'!R17</f>
        <v>1011154.8310764299</v>
      </c>
      <c r="O15" s="1485">
        <f>'Fin Forecast - Elec'!S17</f>
        <v>1011154.8310764299</v>
      </c>
      <c r="P15" s="1485">
        <f>'Fin Forecast - Elec'!T17</f>
        <v>1011154.8310764299</v>
      </c>
      <c r="Q15" s="1485">
        <f>'Fin Forecast - Elec'!U17</f>
        <v>1011154.8310764299</v>
      </c>
    </row>
    <row r="16" spans="1:32" s="2620" customFormat="1" ht="15.75">
      <c r="A16" s="1360"/>
      <c r="B16" s="2619"/>
      <c r="C16" s="2616">
        <f>IF(D16="","",MAX(C$9:C15)+1)</f>
        <v>7</v>
      </c>
      <c r="D16" s="2622" t="s">
        <v>2155</v>
      </c>
      <c r="E16" s="1934">
        <f>'Fin Forecast - Elec'!I18</f>
        <v>159571932.79850978</v>
      </c>
      <c r="F16" s="1934">
        <f>'Fin Forecast - Elec'!J18</f>
        <v>171259254.27856961</v>
      </c>
      <c r="G16" s="1934">
        <f>'Fin Forecast - Elec'!K18</f>
        <v>177888719.57935935</v>
      </c>
      <c r="H16" s="1934">
        <f>'Fin Forecast - Elec'!L18</f>
        <v>189151609.48191893</v>
      </c>
      <c r="I16" s="1934">
        <f>'Fin Forecast - Elec'!M18</f>
        <v>199018742.21355021</v>
      </c>
      <c r="J16" s="1934">
        <f>'Fin Forecast - Elec'!N18</f>
        <v>211701890.08328342</v>
      </c>
      <c r="K16" s="1934">
        <f>'Fin Forecast - Elec'!O18</f>
        <v>220681545.86055282</v>
      </c>
      <c r="L16" s="1934">
        <f>'Fin Forecast - Elec'!P18</f>
        <v>227664139.09909728</v>
      </c>
      <c r="M16" s="1934">
        <f>'Fin Forecast - Elec'!Q18</f>
        <v>233459727.3938486</v>
      </c>
      <c r="N16" s="1934">
        <f>'Fin Forecast - Elec'!R18</f>
        <v>240129647.17914683</v>
      </c>
      <c r="O16" s="1934">
        <f>'Fin Forecast - Elec'!S18</f>
        <v>247452592.35736862</v>
      </c>
      <c r="P16" s="1934">
        <f>'Fin Forecast - Elec'!T18</f>
        <v>252673695.65705961</v>
      </c>
      <c r="Q16" s="1934">
        <f>'Fin Forecast - Elec'!U18</f>
        <v>258043141.54634467</v>
      </c>
      <c r="R16"/>
      <c r="S16"/>
      <c r="T16"/>
      <c r="U16"/>
      <c r="V16"/>
      <c r="W16"/>
      <c r="X16"/>
      <c r="Y16"/>
      <c r="Z16"/>
      <c r="AA16"/>
      <c r="AB16"/>
      <c r="AC16"/>
      <c r="AD16"/>
      <c r="AE16"/>
      <c r="AF16"/>
    </row>
    <row r="17" spans="1:32" ht="15.75">
      <c r="A17" s="1360"/>
      <c r="B17" s="1463"/>
      <c r="C17" s="1476"/>
      <c r="D17" s="1482"/>
      <c r="E17" s="1487"/>
      <c r="F17" s="1487"/>
      <c r="G17" s="1487"/>
      <c r="H17" s="1487"/>
      <c r="I17" s="1487"/>
      <c r="J17" s="1487"/>
      <c r="K17" s="1487"/>
      <c r="L17" s="1487"/>
      <c r="M17" s="1487"/>
      <c r="N17" s="1487"/>
      <c r="O17" s="1487"/>
      <c r="P17" s="1487"/>
      <c r="Q17" s="1487"/>
    </row>
    <row r="18" spans="1:32" s="2620" customFormat="1" ht="15.75">
      <c r="A18" s="1360"/>
      <c r="B18" s="2619"/>
      <c r="C18" s="2616">
        <f>IF(D18="","",MAX(C$9:C17)+1)</f>
        <v>8</v>
      </c>
      <c r="D18" s="2623" t="s">
        <v>264</v>
      </c>
      <c r="E18" s="1934">
        <f>'Fin Forecast - Elec'!I20</f>
        <v>81069782.100000009</v>
      </c>
      <c r="F18" s="1934">
        <f>'Fin Forecast - Elec'!J20</f>
        <v>82051166.86999999</v>
      </c>
      <c r="G18" s="1934">
        <f>'Fin Forecast - Elec'!K20</f>
        <v>48076352.579858921</v>
      </c>
      <c r="H18" s="1934">
        <f>'Fin Forecast - Elec'!L20</f>
        <v>35992377.538601264</v>
      </c>
      <c r="I18" s="1934">
        <f>'Fin Forecast - Elec'!M20</f>
        <v>24642763.423588555</v>
      </c>
      <c r="J18" s="1934">
        <f>'Fin Forecast - Elec'!N20</f>
        <v>22914055.701018848</v>
      </c>
      <c r="K18" s="1934">
        <f>'Fin Forecast - Elec'!O20</f>
        <v>43172392.291625708</v>
      </c>
      <c r="L18" s="1934">
        <f>'Fin Forecast - Elec'!P20</f>
        <v>107117376.3092228</v>
      </c>
      <c r="M18" s="1934">
        <f>'Fin Forecast - Elec'!Q20</f>
        <v>115565419.68582402</v>
      </c>
      <c r="N18" s="1934">
        <f>'Fin Forecast - Elec'!R20</f>
        <v>116787151.32321164</v>
      </c>
      <c r="O18" s="1934">
        <f>'Fin Forecast - Elec'!S20</f>
        <v>121107298.90224025</v>
      </c>
      <c r="P18" s="1934">
        <f>'Fin Forecast - Elec'!T20</f>
        <v>120788226.76333712</v>
      </c>
      <c r="Q18" s="1934">
        <f>'Fin Forecast - Elec'!U20</f>
        <v>126949775.10137782</v>
      </c>
      <c r="R18"/>
      <c r="S18"/>
      <c r="T18"/>
      <c r="U18"/>
      <c r="V18"/>
      <c r="W18"/>
      <c r="X18"/>
      <c r="Y18"/>
      <c r="Z18"/>
      <c r="AA18"/>
      <c r="AB18"/>
      <c r="AC18"/>
      <c r="AD18"/>
      <c r="AE18"/>
      <c r="AF18"/>
    </row>
    <row r="19" spans="1:32" ht="15.75">
      <c r="A19" s="1360"/>
      <c r="B19" s="1463"/>
      <c r="C19" s="1476">
        <f>IF(D19="","",MAX(C$9:C18)+1)</f>
        <v>9</v>
      </c>
      <c r="D19" s="1482" t="s">
        <v>2771</v>
      </c>
      <c r="E19" s="1483">
        <f>'Fin Forecast - Elec'!I21</f>
        <v>5100712.3199999994</v>
      </c>
      <c r="F19" s="1483">
        <f>'Fin Forecast - Elec'!J21</f>
        <v>5338187.4400000004</v>
      </c>
      <c r="G19" s="1483">
        <f>'Fin Forecast - Elec'!K21</f>
        <v>5203236.6376320003</v>
      </c>
      <c r="H19" s="1483">
        <f>'Fin Forecast - Elec'!L21</f>
        <v>5255269.0040083202</v>
      </c>
      <c r="I19" s="1483">
        <f>'Fin Forecast - Elec'!M21</f>
        <v>5307821.6940484038</v>
      </c>
      <c r="J19" s="1483">
        <f>'Fin Forecast - Elec'!N21</f>
        <v>5360899.9109888878</v>
      </c>
      <c r="K19" s="1483">
        <f>'Fin Forecast - Elec'!O21</f>
        <v>5414508.9100987772</v>
      </c>
      <c r="L19" s="1483">
        <f>'Fin Forecast - Elec'!P21</f>
        <v>5468653.9991997648</v>
      </c>
      <c r="M19" s="1483">
        <f>'Fin Forecast - Elec'!Q21</f>
        <v>5523340.5391917629</v>
      </c>
      <c r="N19" s="1483">
        <f>'Fin Forecast - Elec'!R21</f>
        <v>5578573.9445836805</v>
      </c>
      <c r="O19" s="1483">
        <f>'Fin Forecast - Elec'!S21</f>
        <v>5634359.6840295177</v>
      </c>
      <c r="P19" s="1483">
        <f>'Fin Forecast - Elec'!T21</f>
        <v>5690703.2808698127</v>
      </c>
      <c r="Q19" s="1483">
        <f>'Fin Forecast - Elec'!U21</f>
        <v>5747610.3136785105</v>
      </c>
    </row>
    <row r="20" spans="1:32" s="2620" customFormat="1" ht="15.75">
      <c r="A20" s="1360"/>
      <c r="B20" s="2619"/>
      <c r="C20" s="2616" t="str">
        <f>IF(D20="","",MAX(C$9:C19)+1)</f>
        <v/>
      </c>
      <c r="D20" s="2623"/>
      <c r="E20" s="1934"/>
      <c r="F20" s="1934"/>
      <c r="G20" s="1934"/>
      <c r="H20" s="1934"/>
      <c r="I20" s="1934"/>
      <c r="J20" s="1934"/>
      <c r="K20" s="1934"/>
      <c r="L20" s="1934"/>
      <c r="M20" s="1934"/>
      <c r="N20" s="1934"/>
      <c r="O20" s="1934"/>
      <c r="P20" s="1934"/>
      <c r="Q20" s="1934"/>
      <c r="R20"/>
      <c r="S20"/>
      <c r="T20"/>
      <c r="U20"/>
      <c r="V20"/>
      <c r="W20"/>
      <c r="X20"/>
      <c r="Y20"/>
      <c r="Z20"/>
      <c r="AA20"/>
      <c r="AB20"/>
      <c r="AC20"/>
      <c r="AD20"/>
      <c r="AE20"/>
      <c r="AF20"/>
    </row>
    <row r="21" spans="1:32" ht="15.75">
      <c r="A21" s="1360"/>
      <c r="B21" s="1463"/>
      <c r="C21" s="1476">
        <f>IF(D21="","",MAX(C$9:C20)+1)</f>
        <v>10</v>
      </c>
      <c r="D21" s="1489" t="s">
        <v>1040</v>
      </c>
      <c r="E21" s="1490">
        <f>'Fin Forecast - Elec'!I23</f>
        <v>245742427.21850979</v>
      </c>
      <c r="F21" s="1490">
        <f>'Fin Forecast - Elec'!J23</f>
        <v>258648608.58856958</v>
      </c>
      <c r="G21" s="1490">
        <f>'Fin Forecast - Elec'!K23</f>
        <v>231168308.79685029</v>
      </c>
      <c r="H21" s="1490">
        <f>'Fin Forecast - Elec'!L23</f>
        <v>230399256.02452853</v>
      </c>
      <c r="I21" s="1490">
        <f>'Fin Forecast - Elec'!M23</f>
        <v>228969327.33118716</v>
      </c>
      <c r="J21" s="1490">
        <f>'Fin Forecast - Elec'!N23</f>
        <v>239976845.69529116</v>
      </c>
      <c r="K21" s="1490">
        <f>'Fin Forecast - Elec'!O23</f>
        <v>269268447.06227732</v>
      </c>
      <c r="L21" s="1490">
        <f>'Fin Forecast - Elec'!P23</f>
        <v>340250169.40751982</v>
      </c>
      <c r="M21" s="1490">
        <f>'Fin Forecast - Elec'!Q23</f>
        <v>354548487.61886442</v>
      </c>
      <c r="N21" s="1490">
        <f>'Fin Forecast - Elec'!R23</f>
        <v>362495372.44694209</v>
      </c>
      <c r="O21" s="1490">
        <f>'Fin Forecast - Elec'!S23</f>
        <v>374194250.94363838</v>
      </c>
      <c r="P21" s="1490">
        <f>'Fin Forecast - Elec'!T23</f>
        <v>379152625.70126659</v>
      </c>
      <c r="Q21" s="1490">
        <f>'Fin Forecast - Elec'!U23</f>
        <v>390740526.96140099</v>
      </c>
    </row>
    <row r="22" spans="1:32" s="2620" customFormat="1" ht="15.75">
      <c r="A22" s="1360"/>
      <c r="B22" s="2619"/>
      <c r="C22" s="2616" t="str">
        <f>IF(D22="","",MAX(C$9:C21)+1)</f>
        <v/>
      </c>
      <c r="D22" s="2623"/>
      <c r="E22" s="2624"/>
      <c r="F22" s="2624"/>
      <c r="G22" s="2624"/>
      <c r="H22" s="2624"/>
      <c r="I22" s="2624"/>
      <c r="J22" s="2624"/>
      <c r="K22" s="2624"/>
      <c r="L22" s="2624"/>
      <c r="M22" s="2624"/>
      <c r="N22" s="2624"/>
      <c r="O22" s="2624"/>
      <c r="P22" s="2624"/>
      <c r="Q22" s="2624"/>
      <c r="R22"/>
      <c r="S22"/>
      <c r="T22"/>
      <c r="U22"/>
      <c r="V22"/>
      <c r="W22"/>
      <c r="X22"/>
      <c r="Y22"/>
      <c r="Z22"/>
      <c r="AA22"/>
      <c r="AB22"/>
      <c r="AC22"/>
      <c r="AD22"/>
      <c r="AE22"/>
      <c r="AF22"/>
    </row>
    <row r="23" spans="1:32" ht="15.75">
      <c r="A23" s="1360"/>
      <c r="B23" s="1463"/>
      <c r="C23" s="1476">
        <f>IF(D23="","",MAX(C$9:C22)+1)</f>
        <v>11</v>
      </c>
      <c r="D23" s="1491" t="s">
        <v>308</v>
      </c>
      <c r="E23" s="1483"/>
      <c r="F23" s="1483"/>
      <c r="G23" s="1483"/>
      <c r="H23" s="1483"/>
      <c r="I23" s="1483"/>
      <c r="J23" s="1483"/>
      <c r="K23" s="1483"/>
      <c r="L23" s="1483"/>
      <c r="M23" s="1483"/>
      <c r="N23" s="1483"/>
      <c r="O23" s="1483"/>
      <c r="P23" s="1483"/>
      <c r="Q23" s="1483"/>
    </row>
    <row r="24" spans="1:32" s="2620" customFormat="1" ht="15.75">
      <c r="A24" s="1360"/>
      <c r="B24" s="2619"/>
      <c r="C24" s="2616">
        <f>IF(D24="","",MAX(C$9:C23)+1)</f>
        <v>12</v>
      </c>
      <c r="D24" s="2623" t="str">
        <f>'Other Inc_Summ.'!D9</f>
        <v>Green Power Sales</v>
      </c>
      <c r="E24" s="1934">
        <f>'Fin Forecast - Elec'!I26</f>
        <v>8312.32</v>
      </c>
      <c r="F24" s="1934">
        <f>'Fin Forecast - Elec'!J26</f>
        <v>21962.86</v>
      </c>
      <c r="G24" s="1934">
        <f>'Fin Forecast - Elec'!K26</f>
        <v>0</v>
      </c>
      <c r="H24" s="1934">
        <f>'Fin Forecast - Elec'!L26</f>
        <v>0</v>
      </c>
      <c r="I24" s="1934">
        <f>'Fin Forecast - Elec'!M26</f>
        <v>0</v>
      </c>
      <c r="J24" s="1934">
        <f>'Fin Forecast - Elec'!N26</f>
        <v>0</v>
      </c>
      <c r="K24" s="1934">
        <f>'Fin Forecast - Elec'!O26</f>
        <v>0</v>
      </c>
      <c r="L24" s="1934">
        <f>'Fin Forecast - Elec'!P26</f>
        <v>0</v>
      </c>
      <c r="M24" s="1934">
        <f>'Fin Forecast - Elec'!Q26</f>
        <v>0</v>
      </c>
      <c r="N24" s="1934">
        <f>'Fin Forecast - Elec'!R26</f>
        <v>0</v>
      </c>
      <c r="O24" s="1934">
        <f>'Fin Forecast - Elec'!S26</f>
        <v>0</v>
      </c>
      <c r="P24" s="1934">
        <f>'Fin Forecast - Elec'!T26</f>
        <v>0</v>
      </c>
      <c r="Q24" s="1934">
        <f>'Fin Forecast - Elec'!U26</f>
        <v>0</v>
      </c>
      <c r="R24"/>
      <c r="S24"/>
      <c r="T24"/>
      <c r="U24"/>
      <c r="V24"/>
      <c r="W24"/>
      <c r="X24"/>
      <c r="Y24"/>
      <c r="Z24"/>
      <c r="AA24"/>
      <c r="AB24"/>
      <c r="AC24"/>
      <c r="AD24"/>
      <c r="AE24"/>
      <c r="AF24"/>
    </row>
    <row r="25" spans="1:32" ht="15.75">
      <c r="A25" s="1360"/>
      <c r="B25" s="1463"/>
      <c r="C25" s="1476">
        <f>IF(D25="","",MAX(C$9:C24)+1)</f>
        <v>13</v>
      </c>
      <c r="D25" s="1482" t="str">
        <f>'Other Inc_Summ.'!D10</f>
        <v>Penalty for Late Payment</v>
      </c>
      <c r="E25" s="1483">
        <f>'Fin Forecast - Elec'!I27</f>
        <v>1070843.33</v>
      </c>
      <c r="F25" s="1483">
        <f>'Fin Forecast - Elec'!J27</f>
        <v>1130591.47</v>
      </c>
      <c r="G25" s="1483">
        <f>'Fin Forecast - Elec'!K27</f>
        <v>1075898.8828876247</v>
      </c>
      <c r="H25" s="1483">
        <f>'Fin Forecast - Elec'!L27</f>
        <v>1120931.9424245609</v>
      </c>
      <c r="I25" s="1483">
        <f>'Fin Forecast - Elec'!M27</f>
        <v>1138130.016615696</v>
      </c>
      <c r="J25" s="1483">
        <f>'Fin Forecast - Elec'!N27</f>
        <v>1145168.7260796092</v>
      </c>
      <c r="K25" s="1483">
        <f>'Fin Forecast - Elec'!O27</f>
        <v>1168954.8098880309</v>
      </c>
      <c r="L25" s="1483">
        <f>'Fin Forecast - Elec'!P27</f>
        <v>1185445.0442753227</v>
      </c>
      <c r="M25" s="1483">
        <f>'Fin Forecast - Elec'!Q27</f>
        <v>1201692.2185354177</v>
      </c>
      <c r="N25" s="1483">
        <f>'Fin Forecast - Elec'!R27</f>
        <v>1221101.4226961986</v>
      </c>
      <c r="O25" s="1483">
        <f>'Fin Forecast - Elec'!S27</f>
        <v>1239007.6809670983</v>
      </c>
      <c r="P25" s="1483">
        <f>'Fin Forecast - Elec'!T27</f>
        <v>1257400.1777108759</v>
      </c>
      <c r="Q25" s="1483">
        <f>'Fin Forecast - Elec'!U27</f>
        <v>1276529.3416397022</v>
      </c>
    </row>
    <row r="26" spans="1:32" s="2620" customFormat="1" ht="15.75">
      <c r="A26" s="1360"/>
      <c r="B26" s="2619"/>
      <c r="C26" s="2616">
        <f>IF(D26="","",MAX(C$9:C25)+1)</f>
        <v>14</v>
      </c>
      <c r="D26" s="2623" t="str">
        <f>'Other Inc_Summ.'!D11</f>
        <v>Misc Service Revenue</v>
      </c>
      <c r="E26" s="1934">
        <f>'Fin Forecast - Elec'!I28</f>
        <v>299368.84999999998</v>
      </c>
      <c r="F26" s="1934">
        <f>'Fin Forecast - Elec'!J28</f>
        <v>278170.17</v>
      </c>
      <c r="G26" s="1934">
        <f>'Fin Forecast - Elec'!K28</f>
        <v>318135.56791921792</v>
      </c>
      <c r="H26" s="1934">
        <f>'Fin Forecast - Elec'!L28</f>
        <v>306343.61733102566</v>
      </c>
      <c r="I26" s="1934">
        <f>'Fin Forecast - Elec'!M28</f>
        <v>308747.20264285553</v>
      </c>
      <c r="J26" s="1934">
        <f>'Fin Forecast - Elec'!N28</f>
        <v>320454.03961913334</v>
      </c>
      <c r="K26" s="1934">
        <f>'Fin Forecast - Elec'!O28</f>
        <v>321250.16329460923</v>
      </c>
      <c r="L26" s="1934">
        <f>'Fin Forecast - Elec'!P28</f>
        <v>326368.817174064</v>
      </c>
      <c r="M26" s="1934">
        <f>'Fin Forecast - Elec'!Q28</f>
        <v>332419.7793354381</v>
      </c>
      <c r="N26" s="1934">
        <f>'Fin Forecast - Elec'!R28</f>
        <v>336528.61046030361</v>
      </c>
      <c r="O26" s="1934">
        <f>'Fin Forecast - Elec'!S28</f>
        <v>341774.96887544438</v>
      </c>
      <c r="P26" s="1934">
        <f>'Fin Forecast - Elec'!T28</f>
        <v>347065.17885208089</v>
      </c>
      <c r="Q26" s="1934">
        <f>'Fin Forecast - Elec'!U28</f>
        <v>352094.15949153726</v>
      </c>
      <c r="R26"/>
      <c r="S26"/>
      <c r="T26"/>
      <c r="U26"/>
      <c r="V26"/>
      <c r="W26"/>
      <c r="X26"/>
      <c r="Y26"/>
      <c r="Z26"/>
      <c r="AA26"/>
      <c r="AB26"/>
      <c r="AC26"/>
      <c r="AD26"/>
      <c r="AE26"/>
      <c r="AF26"/>
    </row>
    <row r="27" spans="1:32" ht="15.75">
      <c r="A27" s="1360"/>
      <c r="B27" s="1463"/>
      <c r="C27" s="1476">
        <f>IF(D27="","",MAX(C$9:C26)+1)</f>
        <v>15</v>
      </c>
      <c r="D27" s="1482" t="str">
        <f>'Other Inc_Summ.'!D12</f>
        <v>Rent from Elec Property</v>
      </c>
      <c r="E27" s="1483">
        <f>'Fin Forecast - Elec'!I29</f>
        <v>329971.7</v>
      </c>
      <c r="F27" s="1483">
        <f>'Fin Forecast - Elec'!J29</f>
        <v>337837.58</v>
      </c>
      <c r="G27" s="1483">
        <f>'Fin Forecast - Elec'!K29</f>
        <v>355207.52325314796</v>
      </c>
      <c r="H27" s="1483">
        <f>'Fin Forecast - Elec'!L29</f>
        <v>349897.91194930824</v>
      </c>
      <c r="I27" s="1483">
        <f>'Fin Forecast - Elec'!M29</f>
        <v>356734.02588360914</v>
      </c>
      <c r="J27" s="1483">
        <f>'Fin Forecast - Elec'!N29</f>
        <v>364617.57741360727</v>
      </c>
      <c r="K27" s="1483">
        <f>'Fin Forecast - Elec'!O29</f>
        <v>367848.82966694527</v>
      </c>
      <c r="L27" s="1483">
        <f>'Fin Forecast - Elec'!P29</f>
        <v>374012.86893128115</v>
      </c>
      <c r="M27" s="1483">
        <f>'Fin Forecast - Elec'!Q29</f>
        <v>379946.12920596352</v>
      </c>
      <c r="N27" s="1483">
        <f>'Fin Forecast - Elec'!R29</f>
        <v>385209.69269612752</v>
      </c>
      <c r="O27" s="1483">
        <f>'Fin Forecast - Elec'!S29</f>
        <v>391171.11723485723</v>
      </c>
      <c r="P27" s="1483">
        <f>'Fin Forecast - Elec'!T29</f>
        <v>397062.96732932632</v>
      </c>
      <c r="Q27" s="1483">
        <f>'Fin Forecast - Elec'!U29</f>
        <v>402940.59787353105</v>
      </c>
    </row>
    <row r="28" spans="1:32" s="2620" customFormat="1" ht="15.75">
      <c r="A28" s="1360"/>
      <c r="B28" s="2619"/>
      <c r="C28" s="2616">
        <f>IF(D28="","",MAX(C$9:C27)+1)</f>
        <v>16</v>
      </c>
      <c r="D28" s="2623" t="str">
        <f>'Other Inc_Summ.'!D13</f>
        <v>Other Electric Revenues</v>
      </c>
      <c r="E28" s="1934">
        <f>'Fin Forecast - Elec'!I30</f>
        <v>12924.88</v>
      </c>
      <c r="F28" s="1934">
        <f>'Fin Forecast - Elec'!J30</f>
        <v>12909.89</v>
      </c>
      <c r="G28" s="1934">
        <f>'Fin Forecast - Elec'!K30</f>
        <v>15645.498211009537</v>
      </c>
      <c r="H28" s="1934">
        <f>'Fin Forecast - Elec'!L30</f>
        <v>14187.31265016965</v>
      </c>
      <c r="I28" s="1934">
        <f>'Fin Forecast - Elec'!M30</f>
        <v>14619.950978229965</v>
      </c>
      <c r="J28" s="1934">
        <f>'Fin Forecast - Elec'!N30</f>
        <v>15264.320949846189</v>
      </c>
      <c r="K28" s="1934">
        <f>'Fin Forecast - Elec'!O30</f>
        <v>15133.431173543871</v>
      </c>
      <c r="L28" s="1934">
        <f>'Fin Forecast - Elec'!P30</f>
        <v>15458.312152807912</v>
      </c>
      <c r="M28" s="1934">
        <f>'Fin Forecast - Elec'!Q30</f>
        <v>15746.191094658108</v>
      </c>
      <c r="N28" s="1934">
        <f>'Fin Forecast - Elec'!R30</f>
        <v>15911.657091419576</v>
      </c>
      <c r="O28" s="1934">
        <f>'Fin Forecast - Elec'!S30</f>
        <v>16178.886610810479</v>
      </c>
      <c r="P28" s="1934">
        <f>'Fin Forecast - Elec'!T30</f>
        <v>16426.319601249812</v>
      </c>
      <c r="Q28" s="1934">
        <f>'Fin Forecast - Elec'!U30</f>
        <v>16659.86414116525</v>
      </c>
      <c r="R28"/>
      <c r="S28"/>
      <c r="T28"/>
      <c r="U28"/>
      <c r="V28"/>
      <c r="W28"/>
      <c r="X28"/>
      <c r="Y28"/>
      <c r="Z28"/>
      <c r="AA28"/>
      <c r="AB28"/>
      <c r="AC28"/>
      <c r="AD28"/>
      <c r="AE28"/>
      <c r="AF28"/>
    </row>
    <row r="29" spans="1:32" ht="15.75">
      <c r="A29" s="1360"/>
      <c r="B29" s="1463"/>
      <c r="C29" s="1476">
        <f>IF(D29="","",MAX(C$9:C28)+1)</f>
        <v>17</v>
      </c>
      <c r="D29" s="1482" t="str">
        <f>'Other Inc_Summ.'!D14</f>
        <v>Interest and Other Income, and JLB Payments</v>
      </c>
      <c r="E29" s="1483">
        <f>'Fin Forecast - Elec'!I31</f>
        <v>3090567.3200000003</v>
      </c>
      <c r="F29" s="1483">
        <f>'Fin Forecast - Elec'!J31</f>
        <v>4349055.8100000005</v>
      </c>
      <c r="G29" s="1483">
        <f>'Fin Forecast - Elec'!K31</f>
        <v>6291061.243626738</v>
      </c>
      <c r="H29" s="1483">
        <f>'Fin Forecast - Elec'!L31</f>
        <v>7766347.2979476731</v>
      </c>
      <c r="I29" s="1483">
        <f>'Fin Forecast - Elec'!M31</f>
        <v>14906377.944111161</v>
      </c>
      <c r="J29" s="1483">
        <f>'Fin Forecast - Elec'!N31</f>
        <v>15316958.379292076</v>
      </c>
      <c r="K29" s="1483">
        <f>'Fin Forecast - Elec'!O31</f>
        <v>16323777.404787961</v>
      </c>
      <c r="L29" s="1483">
        <f>'Fin Forecast - Elec'!P31</f>
        <v>18521357.465201512</v>
      </c>
      <c r="M29" s="1483">
        <f>'Fin Forecast - Elec'!Q31</f>
        <v>21561325.174006425</v>
      </c>
      <c r="N29" s="1483">
        <f>'Fin Forecast - Elec'!R31</f>
        <v>25159350.369345762</v>
      </c>
      <c r="O29" s="1483">
        <f>'Fin Forecast - Elec'!S31</f>
        <v>28686301.45745568</v>
      </c>
      <c r="P29" s="1483">
        <f>'Fin Forecast - Elec'!T31</f>
        <v>33152431.373971581</v>
      </c>
      <c r="Q29" s="1483">
        <f>'Fin Forecast - Elec'!U31</f>
        <v>37525640.217348956</v>
      </c>
    </row>
    <row r="30" spans="1:32" s="2620" customFormat="1" ht="15.75">
      <c r="A30" s="1360"/>
      <c r="B30" s="2619"/>
      <c r="C30" s="2616">
        <f>IF(D30="","",MAX(C$9:C29)+1)</f>
        <v>18</v>
      </c>
      <c r="D30" s="2623" t="str">
        <f>'Other Inc_Summ.'!D15</f>
        <v>Contributions in Aid of Construction</v>
      </c>
      <c r="E30" s="1934">
        <f>'Fin Forecast - Elec'!I32</f>
        <v>22766657.059999999</v>
      </c>
      <c r="F30" s="1934">
        <f>'Fin Forecast - Elec'!J32</f>
        <v>13222301.92</v>
      </c>
      <c r="G30" s="1934">
        <f>'Fin Forecast - Elec'!K32</f>
        <v>18881042.1085</v>
      </c>
      <c r="H30" s="1934">
        <f>'Fin Forecast - Elec'!L32</f>
        <v>3771216.7979882499</v>
      </c>
      <c r="I30" s="1934">
        <f>'Fin Forecast - Elec'!M32</f>
        <v>6481437.273579197</v>
      </c>
      <c r="J30" s="1934">
        <f>'Fin Forecast - Elec'!N32</f>
        <v>13491703.741310302</v>
      </c>
      <c r="K30" s="1934">
        <f>'Fin Forecast - Elec'!O32</f>
        <v>2302016.4081461993</v>
      </c>
      <c r="L30" s="1934">
        <f>'Fin Forecast - Elec'!P32</f>
        <v>2312375.481982857</v>
      </c>
      <c r="M30" s="1934">
        <f>'Fin Forecast - Elec'!Q32</f>
        <v>2322781.1716517797</v>
      </c>
      <c r="N30" s="1934">
        <f>'Fin Forecast - Elec'!R32</f>
        <v>2333233.6869242126</v>
      </c>
      <c r="O30" s="1934">
        <f>'Fin Forecast - Elec'!S32</f>
        <v>2343733.2385153715</v>
      </c>
      <c r="P30" s="1934">
        <f>'Fin Forecast - Elec'!T32</f>
        <v>2354280.0380886905</v>
      </c>
      <c r="Q30" s="1934">
        <f>'Fin Forecast - Elec'!U32</f>
        <v>2364874.2982600895</v>
      </c>
      <c r="R30"/>
      <c r="S30"/>
      <c r="T30"/>
      <c r="U30"/>
      <c r="V30"/>
      <c r="W30"/>
      <c r="X30"/>
      <c r="Y30"/>
      <c r="Z30"/>
      <c r="AA30"/>
      <c r="AB30"/>
      <c r="AC30"/>
      <c r="AD30"/>
      <c r="AE30"/>
      <c r="AF30"/>
    </row>
    <row r="31" spans="1:32" ht="15.75">
      <c r="A31" s="1360"/>
      <c r="B31" s="1492"/>
      <c r="C31" s="1476">
        <f>IF(D31="","",MAX(C$9:C30)+1)</f>
        <v>19</v>
      </c>
      <c r="D31" s="1493" t="s">
        <v>309</v>
      </c>
      <c r="E31" s="1490">
        <f>'Fin Forecast - Elec'!I33</f>
        <v>27578645.460000001</v>
      </c>
      <c r="F31" s="1490">
        <f>'Fin Forecast - Elec'!J33</f>
        <v>19352829.699999999</v>
      </c>
      <c r="G31" s="1490">
        <f>'Fin Forecast - Elec'!K33</f>
        <v>26936990.824397739</v>
      </c>
      <c r="H31" s="1490">
        <f>'Fin Forecast - Elec'!L33</f>
        <v>13328924.880290989</v>
      </c>
      <c r="I31" s="1490">
        <f>'Fin Forecast - Elec'!M33</f>
        <v>23206046.413810749</v>
      </c>
      <c r="J31" s="1490">
        <f>'Fin Forecast - Elec'!N33</f>
        <v>30654166.784664575</v>
      </c>
      <c r="K31" s="1490">
        <f>'Fin Forecast - Elec'!O33</f>
        <v>20498981.046957288</v>
      </c>
      <c r="L31" s="1490">
        <f>'Fin Forecast - Elec'!P33</f>
        <v>22735017.989717845</v>
      </c>
      <c r="M31" s="1490">
        <f>'Fin Forecast - Elec'!Q33</f>
        <v>25813910.663829684</v>
      </c>
      <c r="N31" s="1490">
        <f>'Fin Forecast - Elec'!R33</f>
        <v>29451335.439214021</v>
      </c>
      <c r="O31" s="1490">
        <f>'Fin Forecast - Elec'!S33</f>
        <v>33018167.349659264</v>
      </c>
      <c r="P31" s="1490">
        <f>'Fin Forecast - Elec'!T33</f>
        <v>37524666.055553809</v>
      </c>
      <c r="Q31" s="1490">
        <f>'Fin Forecast - Elec'!U33</f>
        <v>41938738.478754982</v>
      </c>
    </row>
    <row r="32" spans="1:32" s="2620" customFormat="1" ht="15.75" customHeight="1">
      <c r="A32" s="1360"/>
      <c r="B32" s="2625"/>
      <c r="C32" s="2616" t="str">
        <f>IF(D32="","",MAX(C$9:C31)+1)</f>
        <v/>
      </c>
      <c r="D32" s="2617"/>
      <c r="E32" s="2626"/>
      <c r="F32" s="2626"/>
      <c r="G32" s="2626"/>
      <c r="H32" s="2626"/>
      <c r="I32" s="2626"/>
      <c r="J32" s="2626"/>
      <c r="K32" s="2626"/>
      <c r="L32" s="2626"/>
      <c r="M32" s="2626"/>
      <c r="N32" s="2626"/>
      <c r="O32" s="2626"/>
      <c r="P32" s="2626"/>
      <c r="Q32" s="2626"/>
      <c r="R32"/>
      <c r="S32"/>
      <c r="T32"/>
      <c r="U32"/>
      <c r="V32"/>
      <c r="W32"/>
      <c r="X32"/>
      <c r="Y32"/>
      <c r="Z32"/>
      <c r="AA32"/>
      <c r="AB32"/>
      <c r="AC32"/>
      <c r="AD32"/>
      <c r="AE32"/>
      <c r="AF32"/>
    </row>
    <row r="33" spans="1:32" ht="15.75" customHeight="1">
      <c r="A33" s="1360"/>
      <c r="B33" s="1492"/>
      <c r="C33" s="1476">
        <f>IF(D33="","",MAX(C$9:C32)+1)</f>
        <v>20</v>
      </c>
      <c r="D33" s="1466" t="s">
        <v>1041</v>
      </c>
      <c r="E33" s="1490">
        <f>'Fin Forecast - Elec'!I35</f>
        <v>273321072.67850977</v>
      </c>
      <c r="F33" s="1490">
        <f>'Fin Forecast - Elec'!J35</f>
        <v>278001438.28856957</v>
      </c>
      <c r="G33" s="1490">
        <f>'Fin Forecast - Elec'!K35</f>
        <v>258105299.62124804</v>
      </c>
      <c r="H33" s="1490">
        <f>'Fin Forecast - Elec'!L35</f>
        <v>243728180.90481952</v>
      </c>
      <c r="I33" s="1490">
        <f>'Fin Forecast - Elec'!M35</f>
        <v>252175373.74499792</v>
      </c>
      <c r="J33" s="1490">
        <f>'Fin Forecast - Elec'!N35</f>
        <v>270631012.47995573</v>
      </c>
      <c r="K33" s="1490">
        <f>'Fin Forecast - Elec'!O35</f>
        <v>289767428.10923463</v>
      </c>
      <c r="L33" s="1490">
        <f>'Fin Forecast - Elec'!P35</f>
        <v>362985187.39723766</v>
      </c>
      <c r="M33" s="1490">
        <f>'Fin Forecast - Elec'!Q35</f>
        <v>380362398.2826941</v>
      </c>
      <c r="N33" s="1490">
        <f>'Fin Forecast - Elec'!R35</f>
        <v>391946707.88615608</v>
      </c>
      <c r="O33" s="1490">
        <f>'Fin Forecast - Elec'!S35</f>
        <v>407212418.29329765</v>
      </c>
      <c r="P33" s="1490">
        <f>'Fin Forecast - Elec'!T35</f>
        <v>416677291.75682038</v>
      </c>
      <c r="Q33" s="1490">
        <f>'Fin Forecast - Elec'!U35</f>
        <v>432679265.44015598</v>
      </c>
    </row>
    <row r="34" spans="1:32" s="2620" customFormat="1" ht="15.75" customHeight="1">
      <c r="A34" s="1360"/>
      <c r="B34" s="2625"/>
      <c r="C34" s="2616" t="str">
        <f>IF(D34="","",MAX(C$9:C33)+1)</f>
        <v/>
      </c>
      <c r="D34" s="2627"/>
      <c r="E34" s="2626"/>
      <c r="F34" s="2626"/>
      <c r="G34" s="2626"/>
      <c r="H34" s="2626"/>
      <c r="I34" s="2626"/>
      <c r="J34" s="2626"/>
      <c r="K34" s="2626"/>
      <c r="L34" s="2626"/>
      <c r="M34" s="2626"/>
      <c r="N34" s="2626"/>
      <c r="O34" s="2626"/>
      <c r="P34" s="2626"/>
      <c r="Q34" s="2626"/>
      <c r="R34"/>
      <c r="S34"/>
      <c r="T34"/>
      <c r="U34"/>
      <c r="V34"/>
      <c r="W34"/>
      <c r="X34"/>
      <c r="Y34"/>
      <c r="Z34"/>
      <c r="AA34"/>
      <c r="AB34"/>
      <c r="AC34"/>
      <c r="AD34"/>
      <c r="AE34"/>
      <c r="AF34"/>
    </row>
    <row r="35" spans="1:32" ht="15.75" customHeight="1">
      <c r="A35" s="1360"/>
      <c r="B35" s="1492"/>
      <c r="C35" s="1476">
        <f>IF(D35="","",MAX(C$9:C34)+1)</f>
        <v>21</v>
      </c>
      <c r="D35" s="1496" t="s">
        <v>1047</v>
      </c>
      <c r="E35" s="1483">
        <f>'Fin Forecast - Elec'!I58</f>
        <v>0</v>
      </c>
      <c r="F35" s="1483">
        <f>'Fin Forecast - Elec'!J58</f>
        <v>0</v>
      </c>
      <c r="G35" s="1483">
        <f>'Fin Forecast - Elec'!K58</f>
        <v>0</v>
      </c>
      <c r="H35" s="1483">
        <f>'Fin Forecast - Elec'!L58</f>
        <v>3783000</v>
      </c>
      <c r="I35" s="1483">
        <f>'Fin Forecast - Elec'!M58</f>
        <v>8040400</v>
      </c>
      <c r="J35" s="1483">
        <f>'Fin Forecast - Elec'!N58</f>
        <v>12957800</v>
      </c>
      <c r="K35" s="1483">
        <f>'Fin Forecast - Elec'!O58</f>
        <v>18191200</v>
      </c>
      <c r="L35" s="1483">
        <f>'Fin Forecast - Elec'!P58</f>
        <v>23695400</v>
      </c>
      <c r="M35" s="1483">
        <f>'Fin Forecast - Elec'!Q58</f>
        <v>29453900</v>
      </c>
      <c r="N35" s="1483">
        <f>'Fin Forecast - Elec'!R58</f>
        <v>35703700</v>
      </c>
      <c r="O35" s="1483">
        <f>'Fin Forecast - Elec'!S58</f>
        <v>42477600</v>
      </c>
      <c r="P35" s="1483">
        <f>'Fin Forecast - Elec'!T58</f>
        <v>49294500</v>
      </c>
      <c r="Q35" s="1483">
        <f>'Fin Forecast - Elec'!U58</f>
        <v>56510200</v>
      </c>
    </row>
    <row r="36" spans="1:32" s="2620" customFormat="1" ht="15.75" customHeight="1">
      <c r="A36" s="1360"/>
      <c r="B36" s="2625"/>
      <c r="C36" s="2616" t="str">
        <f>IF(D36="","",MAX(C$9:C35)+1)</f>
        <v/>
      </c>
      <c r="D36" s="2627"/>
      <c r="E36" s="2626"/>
      <c r="F36" s="2626"/>
      <c r="G36" s="2626"/>
      <c r="H36" s="2626"/>
      <c r="I36" s="2626"/>
      <c r="J36" s="2626"/>
      <c r="K36" s="2626"/>
      <c r="L36" s="2626"/>
      <c r="M36" s="2626"/>
      <c r="N36" s="2626"/>
      <c r="O36" s="2626"/>
      <c r="P36" s="2626"/>
      <c r="Q36" s="2626"/>
      <c r="R36"/>
      <c r="S36"/>
      <c r="T36"/>
      <c r="U36"/>
      <c r="V36"/>
      <c r="W36"/>
      <c r="X36"/>
      <c r="Y36"/>
      <c r="Z36"/>
      <c r="AA36"/>
      <c r="AB36"/>
      <c r="AC36"/>
      <c r="AD36"/>
      <c r="AE36"/>
      <c r="AF36"/>
    </row>
    <row r="37" spans="1:32" ht="15.75" customHeight="1">
      <c r="A37" s="1360"/>
      <c r="B37" s="1492"/>
      <c r="C37" s="1476">
        <f>IF(D37="","",MAX(C$9:C36)+1)</f>
        <v>22</v>
      </c>
      <c r="D37" s="1489" t="s">
        <v>190</v>
      </c>
      <c r="E37" s="1490">
        <f>'Fin Forecast - Elec'!I60</f>
        <v>273321072.67850977</v>
      </c>
      <c r="F37" s="1490">
        <f>'Fin Forecast - Elec'!J60</f>
        <v>278001438.28856957</v>
      </c>
      <c r="G37" s="1490">
        <f>'Fin Forecast - Elec'!K60</f>
        <v>258105299.62124804</v>
      </c>
      <c r="H37" s="1490">
        <f>'Fin Forecast - Elec'!L60</f>
        <v>247511180.90481952</v>
      </c>
      <c r="I37" s="1490">
        <f>'Fin Forecast - Elec'!M60</f>
        <v>260215773.74499792</v>
      </c>
      <c r="J37" s="1490">
        <f>'Fin Forecast - Elec'!N60</f>
        <v>283588812.47995573</v>
      </c>
      <c r="K37" s="1490">
        <f>'Fin Forecast - Elec'!O60</f>
        <v>307958628.10923463</v>
      </c>
      <c r="L37" s="1490">
        <f>'Fin Forecast - Elec'!P60</f>
        <v>386680587.39723766</v>
      </c>
      <c r="M37" s="1490">
        <f>'Fin Forecast - Elec'!Q60</f>
        <v>409816298.2826941</v>
      </c>
      <c r="N37" s="1490">
        <f>'Fin Forecast - Elec'!R60</f>
        <v>427650407.88615608</v>
      </c>
      <c r="O37" s="1490">
        <f>'Fin Forecast - Elec'!S60</f>
        <v>449690018.29329765</v>
      </c>
      <c r="P37" s="1490">
        <f>'Fin Forecast - Elec'!T60</f>
        <v>465971791.75682038</v>
      </c>
      <c r="Q37" s="1490">
        <f>'Fin Forecast - Elec'!U60</f>
        <v>489189465.44015598</v>
      </c>
    </row>
    <row r="38" spans="1:32" s="2620" customFormat="1" ht="15.75" customHeight="1">
      <c r="A38" s="1360"/>
      <c r="B38" s="2625"/>
      <c r="C38" s="2616" t="str">
        <f>IF(D38="","",MAX(C$9:C37)+1)</f>
        <v/>
      </c>
      <c r="D38" s="2627"/>
      <c r="E38" s="2626"/>
      <c r="F38" s="2626"/>
      <c r="G38" s="2626"/>
      <c r="H38" s="2626"/>
      <c r="I38" s="2626"/>
      <c r="J38" s="2626"/>
      <c r="K38" s="2626"/>
      <c r="L38" s="2626"/>
      <c r="M38" s="2626"/>
      <c r="N38" s="2626"/>
      <c r="O38" s="2626"/>
      <c r="P38" s="2626"/>
      <c r="Q38" s="2626"/>
      <c r="R38"/>
      <c r="S38"/>
      <c r="T38"/>
      <c r="U38"/>
      <c r="V38"/>
      <c r="W38"/>
      <c r="X38"/>
      <c r="Y38"/>
      <c r="Z38"/>
      <c r="AA38"/>
      <c r="AB38"/>
      <c r="AC38"/>
      <c r="AD38"/>
      <c r="AE38"/>
      <c r="AF38"/>
    </row>
    <row r="39" spans="1:32" ht="15.75">
      <c r="A39" s="1360"/>
      <c r="B39" s="1463"/>
      <c r="C39" s="4621" t="s">
        <v>867</v>
      </c>
      <c r="D39" s="4621" t="s">
        <v>399</v>
      </c>
      <c r="E39" s="4623" t="s">
        <v>3034</v>
      </c>
      <c r="F39" s="4624"/>
      <c r="G39" s="4624"/>
      <c r="H39" s="4624"/>
      <c r="I39" s="4624"/>
      <c r="J39" s="4624"/>
      <c r="K39" s="4624"/>
      <c r="L39" s="4624"/>
      <c r="M39" s="4624"/>
      <c r="N39" s="4624"/>
      <c r="O39" s="4624"/>
      <c r="P39" s="2636"/>
      <c r="Q39" s="2636"/>
    </row>
    <row r="40" spans="1:32" ht="15.75">
      <c r="A40" s="1360"/>
      <c r="B40" s="1463"/>
      <c r="C40" s="4622" t="s">
        <v>867</v>
      </c>
      <c r="D40" s="4622"/>
      <c r="E40" s="2614">
        <f>E7</f>
        <v>2014</v>
      </c>
      <c r="F40" s="2614">
        <f t="shared" ref="F40:Q40" si="0">F7</f>
        <v>2015</v>
      </c>
      <c r="G40" s="2614">
        <f t="shared" si="0"/>
        <v>2016</v>
      </c>
      <c r="H40" s="2614">
        <f t="shared" si="0"/>
        <v>2017</v>
      </c>
      <c r="I40" s="2614">
        <f t="shared" si="0"/>
        <v>2018</v>
      </c>
      <c r="J40" s="2614">
        <f t="shared" si="0"/>
        <v>2019</v>
      </c>
      <c r="K40" s="2614">
        <f t="shared" si="0"/>
        <v>2020</v>
      </c>
      <c r="L40" s="2614">
        <f t="shared" si="0"/>
        <v>2021</v>
      </c>
      <c r="M40" s="2614">
        <f t="shared" si="0"/>
        <v>2022</v>
      </c>
      <c r="N40" s="2614">
        <f t="shared" si="0"/>
        <v>2023</v>
      </c>
      <c r="O40" s="2614">
        <f t="shared" si="0"/>
        <v>2024</v>
      </c>
      <c r="P40" s="2614">
        <f t="shared" si="0"/>
        <v>2025</v>
      </c>
      <c r="Q40" s="2614">
        <f t="shared" si="0"/>
        <v>2026</v>
      </c>
    </row>
    <row r="41" spans="1:32" ht="15.75" customHeight="1">
      <c r="A41" s="1360"/>
      <c r="B41" s="1463"/>
      <c r="C41" s="1476">
        <f>IF(D41="","",MAX(C$9:C38)+1)</f>
        <v>23</v>
      </c>
      <c r="D41" s="2615" t="s">
        <v>884</v>
      </c>
      <c r="E41" s="1483"/>
      <c r="F41" s="1483"/>
      <c r="G41" s="1483"/>
      <c r="H41" s="1483"/>
      <c r="I41" s="1483"/>
      <c r="J41" s="1483"/>
      <c r="K41" s="1483"/>
      <c r="L41" s="1483"/>
      <c r="M41" s="1483"/>
      <c r="N41" s="1483"/>
      <c r="O41" s="1483"/>
      <c r="P41" s="1483"/>
      <c r="Q41" s="1483"/>
    </row>
    <row r="42" spans="1:32" s="2620" customFormat="1" ht="15.75" customHeight="1">
      <c r="A42" s="1360"/>
      <c r="B42" s="2619"/>
      <c r="C42" s="2616">
        <f>IF(D42="","",MAX(C$9:C41)+1)</f>
        <v>24</v>
      </c>
      <c r="D42" s="2628" t="s">
        <v>713</v>
      </c>
      <c r="E42" s="2629"/>
      <c r="F42" s="2629"/>
      <c r="G42" s="2629"/>
      <c r="H42" s="2629"/>
      <c r="I42" s="2629"/>
      <c r="J42" s="2629"/>
      <c r="K42" s="2629"/>
      <c r="L42" s="2629"/>
      <c r="M42" s="2629"/>
      <c r="N42" s="2629"/>
      <c r="O42" s="2629"/>
      <c r="P42" s="2629"/>
      <c r="Q42" s="2629"/>
      <c r="R42"/>
      <c r="S42"/>
      <c r="T42"/>
      <c r="U42"/>
      <c r="V42"/>
      <c r="W42"/>
      <c r="X42"/>
      <c r="Y42"/>
      <c r="Z42"/>
      <c r="AA42"/>
      <c r="AB42"/>
      <c r="AC42"/>
      <c r="AD42"/>
      <c r="AE42"/>
      <c r="AF42"/>
    </row>
    <row r="43" spans="1:32" ht="15.75" customHeight="1">
      <c r="A43" s="1360"/>
      <c r="B43" s="1463"/>
      <c r="C43" s="1476">
        <f>IF(D43="","",MAX(C$9:C42)+1)</f>
        <v>25</v>
      </c>
      <c r="D43" s="1486" t="s">
        <v>2282</v>
      </c>
      <c r="E43" s="1483">
        <f>'Fin Forecast - Elec'!I64</f>
        <v>107261620.67</v>
      </c>
      <c r="F43" s="1483">
        <f>'Fin Forecast - Elec'!J64</f>
        <v>115383956.84999999</v>
      </c>
      <c r="G43" s="1483">
        <f>'Fin Forecast - Elec'!K64</f>
        <v>114823135.93920723</v>
      </c>
      <c r="H43" s="1483">
        <f>'Fin Forecast - Elec'!L64</f>
        <v>116671199.562686</v>
      </c>
      <c r="I43" s="1483">
        <f>'Fin Forecast - Elec'!M64</f>
        <v>127279625.13555317</v>
      </c>
      <c r="J43" s="1483">
        <f>'Fin Forecast - Elec'!N64</f>
        <v>134049266.69362669</v>
      </c>
      <c r="K43" s="1483">
        <f>'Fin Forecast - Elec'!O64</f>
        <v>144612218.08112264</v>
      </c>
      <c r="L43" s="1483">
        <f>'Fin Forecast - Elec'!P64</f>
        <v>156519110.80220935</v>
      </c>
      <c r="M43" s="1483">
        <f>'Fin Forecast - Elec'!Q64</f>
        <v>155347812.82198545</v>
      </c>
      <c r="N43" s="1483">
        <f>'Fin Forecast - Elec'!R64</f>
        <v>166619928.29523996</v>
      </c>
      <c r="O43" s="1483">
        <f>'Fin Forecast - Elec'!S64</f>
        <v>174102849.54167992</v>
      </c>
      <c r="P43" s="1483">
        <f>'Fin Forecast - Elec'!T64</f>
        <v>183049483.59444222</v>
      </c>
      <c r="Q43" s="1483">
        <f>'Fin Forecast - Elec'!U64</f>
        <v>192239464.24400994</v>
      </c>
    </row>
    <row r="44" spans="1:32" s="2620" customFormat="1" ht="15.75" customHeight="1">
      <c r="A44" s="1360"/>
      <c r="B44" s="2619"/>
      <c r="C44" s="2616">
        <f>IF(D44="","",MAX(C$9:C43)+1)</f>
        <v>26</v>
      </c>
      <c r="D44" s="2622" t="s">
        <v>2740</v>
      </c>
      <c r="E44" s="1934">
        <f>'Fin Forecast - Elec'!I65</f>
        <v>0</v>
      </c>
      <c r="F44" s="1934">
        <f>'Fin Forecast - Elec'!J65</f>
        <v>0</v>
      </c>
      <c r="G44" s="1934">
        <f>'Fin Forecast - Elec'!K65</f>
        <v>-22331156</v>
      </c>
      <c r="H44" s="1934">
        <f>'Fin Forecast - Elec'!L65</f>
        <v>-27158062</v>
      </c>
      <c r="I44" s="1934">
        <f>'Fin Forecast - Elec'!M65</f>
        <v>-29268149.043546669</v>
      </c>
      <c r="J44" s="1934">
        <f>'Fin Forecast - Elec'!N65</f>
        <v>-38768509.543191545</v>
      </c>
      <c r="K44" s="1934">
        <f>'Fin Forecast - Elec'!O65</f>
        <v>-50617381.579403922</v>
      </c>
      <c r="L44" s="1934">
        <f>'Fin Forecast - Elec'!P65</f>
        <v>-59823693.53993424</v>
      </c>
      <c r="M44" s="1934">
        <f>'Fin Forecast - Elec'!Q65</f>
        <v>-69354432.552820072</v>
      </c>
      <c r="N44" s="1934">
        <f>'Fin Forecast - Elec'!R65</f>
        <v>-77056309.364797801</v>
      </c>
      <c r="O44" s="1934">
        <f>'Fin Forecast - Elec'!S65</f>
        <v>-86654691.012235552</v>
      </c>
      <c r="P44" s="1934">
        <f>'Fin Forecast - Elec'!T65</f>
        <v>-88404604.947769329</v>
      </c>
      <c r="Q44" s="1934">
        <f>'Fin Forecast - Elec'!U65</f>
        <v>-92946228.790804625</v>
      </c>
      <c r="R44"/>
      <c r="S44"/>
      <c r="T44"/>
      <c r="U44"/>
      <c r="V44"/>
      <c r="W44"/>
      <c r="X44"/>
      <c r="Y44"/>
      <c r="Z44"/>
      <c r="AA44"/>
      <c r="AB44"/>
      <c r="AC44"/>
      <c r="AD44"/>
      <c r="AE44"/>
      <c r="AF44"/>
    </row>
    <row r="45" spans="1:32" ht="15.75" customHeight="1">
      <c r="A45" s="1360"/>
      <c r="B45" s="1463"/>
      <c r="C45" s="1476">
        <f>IF(D45="","",MAX(C$9:C44)+1)</f>
        <v>27</v>
      </c>
      <c r="D45" s="1486" t="s">
        <v>2741</v>
      </c>
      <c r="E45" s="1483">
        <f>'Fin Forecast - Elec'!I66</f>
        <v>54469470.229999997</v>
      </c>
      <c r="F45" s="1483">
        <f>'Fin Forecast - Elec'!J66</f>
        <v>43555640.840000004</v>
      </c>
      <c r="G45" s="1483">
        <f>'Fin Forecast - Elec'!K66</f>
        <v>13332459.16</v>
      </c>
      <c r="H45" s="1483">
        <f>'Fin Forecast - Elec'!L66</f>
        <v>12878309.359999999</v>
      </c>
      <c r="I45" s="1483">
        <f>'Fin Forecast - Elec'!M66</f>
        <v>10615986.178582095</v>
      </c>
      <c r="J45" s="1483">
        <f>'Fin Forecast - Elec'!N66</f>
        <v>21054529.889413234</v>
      </c>
      <c r="K45" s="1483">
        <f>'Fin Forecast - Elec'!O66</f>
        <v>45889950.905892216</v>
      </c>
      <c r="L45" s="1483">
        <f>'Fin Forecast - Elec'!P66</f>
        <v>112717916.89019872</v>
      </c>
      <c r="M45" s="1483">
        <f>'Fin Forecast - Elec'!Q66</f>
        <v>124787420.04669285</v>
      </c>
      <c r="N45" s="1483">
        <f>'Fin Forecast - Elec'!R66</f>
        <v>132243110.39536577</v>
      </c>
      <c r="O45" s="1483">
        <f>'Fin Forecast - Elec'!S66</f>
        <v>142216139.55369937</v>
      </c>
      <c r="P45" s="1483">
        <f>'Fin Forecast - Elec'!T66</f>
        <v>148679659.5540238</v>
      </c>
      <c r="Q45" s="1483">
        <f>'Fin Forecast - Elec'!U66</f>
        <v>158797248.46992144</v>
      </c>
    </row>
    <row r="46" spans="1:32" s="2620" customFormat="1" ht="15.75" customHeight="1">
      <c r="A46" s="1360"/>
      <c r="B46" s="2619"/>
      <c r="C46" s="2616">
        <f>IF(D46="","",MAX(C$9:C45)+1)</f>
        <v>28</v>
      </c>
      <c r="D46" s="2622" t="s">
        <v>2281</v>
      </c>
      <c r="E46" s="2630">
        <f>'Fin Forecast - Elec'!I67</f>
        <v>-2579863.1600000262</v>
      </c>
      <c r="F46" s="2630">
        <f>'Fin Forecast - Elec'!J67</f>
        <v>-25801327.039999977</v>
      </c>
      <c r="G46" s="2630">
        <f>'Fin Forecast - Elec'!K67</f>
        <v>559851.14440000057</v>
      </c>
      <c r="H46" s="2630">
        <f>'Fin Forecast - Elec'!L67</f>
        <v>647170.29454399645</v>
      </c>
      <c r="I46" s="2630">
        <f>'Fin Forecast - Elec'!M67</f>
        <v>1110450.0554540604</v>
      </c>
      <c r="J46" s="2630">
        <f>'Fin Forecast - Elec'!N67</f>
        <v>1821394.160458535</v>
      </c>
      <c r="K46" s="2630">
        <f>'Fin Forecast - Elec'!O67</f>
        <v>3266546.7372475863</v>
      </c>
      <c r="L46" s="2630">
        <f>'Fin Forecast - Elec'!P67</f>
        <v>3705916.1113198698</v>
      </c>
      <c r="M46" s="2630">
        <f>'Fin Forecast - Elec'!Q67</f>
        <v>4022271.451477021</v>
      </c>
      <c r="N46" s="2630">
        <f>'Fin Forecast - Elec'!R67</f>
        <v>3023305.6937494576</v>
      </c>
      <c r="O46" s="2630">
        <f>'Fin Forecast - Elec'!S67</f>
        <v>3425904.2404143214</v>
      </c>
      <c r="P46" s="2630">
        <f>'Fin Forecast - Elec'!T67</f>
        <v>3449387.0847286582</v>
      </c>
      <c r="Q46" s="2630">
        <f>'Fin Forecast - Elec'!U67</f>
        <v>3554490.9180107117</v>
      </c>
      <c r="R46"/>
      <c r="S46"/>
      <c r="T46"/>
      <c r="U46"/>
      <c r="V46"/>
      <c r="W46"/>
      <c r="X46"/>
      <c r="Y46"/>
      <c r="Z46"/>
      <c r="AA46"/>
      <c r="AB46"/>
      <c r="AC46"/>
      <c r="AD46"/>
      <c r="AE46"/>
      <c r="AF46"/>
    </row>
    <row r="47" spans="1:32" ht="15.75" customHeight="1">
      <c r="A47" s="1360"/>
      <c r="B47" s="1463"/>
      <c r="C47" s="1476">
        <f>IF(D47="","",MAX(C$9:C46)+1)</f>
        <v>29</v>
      </c>
      <c r="D47" s="1482" t="s">
        <v>2283</v>
      </c>
      <c r="E47" s="1505">
        <f>'Fin Forecast - Elec'!I68</f>
        <v>159151227.73999998</v>
      </c>
      <c r="F47" s="1505">
        <f>'Fin Forecast - Elec'!J68</f>
        <v>133138270.65000002</v>
      </c>
      <c r="G47" s="1505">
        <f>'Fin Forecast - Elec'!K68</f>
        <v>106384290.24360722</v>
      </c>
      <c r="H47" s="1505">
        <f>'Fin Forecast - Elec'!L68</f>
        <v>103038617.21722999</v>
      </c>
      <c r="I47" s="1505">
        <f>'Fin Forecast - Elec'!M68</f>
        <v>109737912.32604267</v>
      </c>
      <c r="J47" s="1505">
        <f>'Fin Forecast - Elec'!N68</f>
        <v>118156681.20030692</v>
      </c>
      <c r="K47" s="1505">
        <f>'Fin Forecast - Elec'!O68</f>
        <v>143151334.14485851</v>
      </c>
      <c r="L47" s="1505">
        <f>'Fin Forecast - Elec'!P68</f>
        <v>213119250.26379368</v>
      </c>
      <c r="M47" s="1505">
        <f>'Fin Forecast - Elec'!Q68</f>
        <v>214803071.76733527</v>
      </c>
      <c r="N47" s="1505">
        <f>'Fin Forecast - Elec'!R68</f>
        <v>224830035.01955739</v>
      </c>
      <c r="O47" s="1505">
        <f>'Fin Forecast - Elec'!S68</f>
        <v>233090202.32355806</v>
      </c>
      <c r="P47" s="1505">
        <f>'Fin Forecast - Elec'!T68</f>
        <v>246773925.28542536</v>
      </c>
      <c r="Q47" s="1505">
        <f>'Fin Forecast - Elec'!U68</f>
        <v>261644974.84113747</v>
      </c>
    </row>
    <row r="48" spans="1:32" s="2620" customFormat="1" ht="15.75" customHeight="1">
      <c r="A48" s="1360"/>
      <c r="B48" s="2619"/>
      <c r="C48" s="2616">
        <f>IF(D48="","",MAX(C$9:C47)+1)</f>
        <v>30</v>
      </c>
      <c r="D48" s="2623" t="s">
        <v>753</v>
      </c>
      <c r="E48" s="1934">
        <f>'Fin Forecast - Elec'!I69</f>
        <v>405417.2</v>
      </c>
      <c r="F48" s="1934">
        <f>'Fin Forecast - Elec'!J69</f>
        <v>418725.12</v>
      </c>
      <c r="G48" s="1934">
        <f>'Fin Forecast - Elec'!K69</f>
        <v>455028.15503329912</v>
      </c>
      <c r="H48" s="1934">
        <f>'Fin Forecast - Elec'!L69</f>
        <v>502522.19229343906</v>
      </c>
      <c r="I48" s="1934">
        <f>'Fin Forecast - Elec'!M69</f>
        <v>530303.82626700692</v>
      </c>
      <c r="J48" s="1934">
        <f>'Fin Forecast - Elec'!N69</f>
        <v>543420.22634831513</v>
      </c>
      <c r="K48" s="1934">
        <f>'Fin Forecast - Elec'!O69</f>
        <v>563438.85317375325</v>
      </c>
      <c r="L48" s="1934">
        <f>'Fin Forecast - Elec'!P69</f>
        <v>577492.46389164461</v>
      </c>
      <c r="M48" s="1934">
        <f>'Fin Forecast - Elec'!Q69</f>
        <v>592985.74542125559</v>
      </c>
      <c r="N48" s="1934">
        <f>'Fin Forecast - Elec'!R69</f>
        <v>618120.2517056705</v>
      </c>
      <c r="O48" s="1934">
        <f>'Fin Forecast - Elec'!S69</f>
        <v>635063.69790164474</v>
      </c>
      <c r="P48" s="1934">
        <f>'Fin Forecast - Elec'!T69</f>
        <v>653342.73910223681</v>
      </c>
      <c r="Q48" s="1934">
        <f>'Fin Forecast - Elec'!U69</f>
        <v>683409.9654822906</v>
      </c>
      <c r="R48"/>
      <c r="S48"/>
      <c r="T48"/>
      <c r="U48"/>
      <c r="V48"/>
      <c r="W48"/>
      <c r="X48"/>
      <c r="Y48"/>
      <c r="Z48"/>
      <c r="AA48"/>
      <c r="AB48"/>
      <c r="AC48"/>
      <c r="AD48"/>
      <c r="AE48"/>
      <c r="AF48"/>
    </row>
    <row r="49" spans="1:32" ht="15.75" customHeight="1">
      <c r="A49" s="1360"/>
      <c r="B49" s="1463"/>
      <c r="C49" s="1476">
        <f>IF(D49="","",MAX(C$9:C48)+1)</f>
        <v>31</v>
      </c>
      <c r="D49" s="1482" t="s">
        <v>600</v>
      </c>
      <c r="E49" s="1483">
        <f>'Fin Forecast - Elec'!I70</f>
        <v>4721334.16</v>
      </c>
      <c r="F49" s="1483">
        <f>'Fin Forecast - Elec'!J70</f>
        <v>8075510.46</v>
      </c>
      <c r="G49" s="1483">
        <f>'Fin Forecast - Elec'!K70</f>
        <v>2566753.9179197438</v>
      </c>
      <c r="H49" s="1483">
        <f>'Fin Forecast - Elec'!L70</f>
        <v>2751826.7140462874</v>
      </c>
      <c r="I49" s="1483">
        <f>'Fin Forecast - Elec'!M70</f>
        <v>2895166.6470514582</v>
      </c>
      <c r="J49" s="1483">
        <f>'Fin Forecast - Elec'!N70</f>
        <v>2977280.9494048376</v>
      </c>
      <c r="K49" s="1483">
        <f>'Fin Forecast - Elec'!O70</f>
        <v>3091418.9213395794</v>
      </c>
      <c r="L49" s="1483">
        <f>'Fin Forecast - Elec'!P70</f>
        <v>3177710.5344355055</v>
      </c>
      <c r="M49" s="1483">
        <f>'Fin Forecast - Elec'!Q70</f>
        <v>3274249.7984641865</v>
      </c>
      <c r="N49" s="1483">
        <f>'Fin Forecast - Elec'!R70</f>
        <v>3416477.7732745847</v>
      </c>
      <c r="O49" s="1483">
        <f>'Fin Forecast - Elec'!S70</f>
        <v>3520467.8803847791</v>
      </c>
      <c r="P49" s="1483">
        <f>'Fin Forecast - Elec'!T70</f>
        <v>3632351.8566670059</v>
      </c>
      <c r="Q49" s="1483">
        <f>'Fin Forecast - Elec'!U70</f>
        <v>3801447.4401745857</v>
      </c>
    </row>
    <row r="50" spans="1:32" s="2620" customFormat="1" ht="15.75" customHeight="1">
      <c r="A50" s="1360"/>
      <c r="B50" s="2619"/>
      <c r="C50" s="2616">
        <f>IF(D50="","",MAX(C$9:C49)+1)</f>
        <v>32</v>
      </c>
      <c r="D50" s="2623" t="s">
        <v>601</v>
      </c>
      <c r="E50" s="1934">
        <f>'Fin Forecast - Elec'!I71</f>
        <v>14625271.010000002</v>
      </c>
      <c r="F50" s="1934">
        <f>'Fin Forecast - Elec'!J71</f>
        <v>13903667.529999999</v>
      </c>
      <c r="G50" s="1934">
        <f>'Fin Forecast - Elec'!K71</f>
        <v>13374530.556853719</v>
      </c>
      <c r="H50" s="1934">
        <f>'Fin Forecast - Elec'!L71</f>
        <v>14732458.858004173</v>
      </c>
      <c r="I50" s="1934">
        <f>'Fin Forecast - Elec'!M71</f>
        <v>15517677.528446738</v>
      </c>
      <c r="J50" s="1934">
        <f>'Fin Forecast - Elec'!N71</f>
        <v>15882420.172470961</v>
      </c>
      <c r="K50" s="1934">
        <f>'Fin Forecast - Elec'!O71</f>
        <v>16471212.033784516</v>
      </c>
      <c r="L50" s="1934">
        <f>'Fin Forecast - Elec'!P71</f>
        <v>16820601.784516007</v>
      </c>
      <c r="M50" s="1934">
        <f>'Fin Forecast - Elec'!Q71</f>
        <v>17262032.579929501</v>
      </c>
      <c r="N50" s="1934">
        <f>'Fin Forecast - Elec'!R71</f>
        <v>18039491.139086608</v>
      </c>
      <c r="O50" s="1934">
        <f>'Fin Forecast - Elec'!S71</f>
        <v>18493525.052538324</v>
      </c>
      <c r="P50" s="1934">
        <f>'Fin Forecast - Elec'!T71</f>
        <v>18998187.84503172</v>
      </c>
      <c r="Q50" s="1934">
        <f>'Fin Forecast - Elec'!U71</f>
        <v>19940275.70607635</v>
      </c>
      <c r="R50"/>
      <c r="S50"/>
      <c r="T50"/>
      <c r="U50"/>
      <c r="V50"/>
      <c r="W50"/>
      <c r="X50"/>
      <c r="Y50"/>
      <c r="Z50"/>
      <c r="AA50"/>
      <c r="AB50"/>
      <c r="AC50"/>
      <c r="AD50"/>
      <c r="AE50"/>
      <c r="AF50"/>
    </row>
    <row r="51" spans="1:32" ht="15.75" customHeight="1">
      <c r="A51" s="1360"/>
      <c r="B51" s="1463"/>
      <c r="C51" s="1476">
        <f>IF(D51="","",MAX(C$9:C50)+1)</f>
        <v>33</v>
      </c>
      <c r="D51" s="1482" t="s">
        <v>376</v>
      </c>
      <c r="E51" s="1483">
        <f>'Fin Forecast - Elec'!I72</f>
        <v>7109752.8799999999</v>
      </c>
      <c r="F51" s="1483">
        <f>'Fin Forecast - Elec'!J72</f>
        <v>6850413.0599999996</v>
      </c>
      <c r="G51" s="1483">
        <f>'Fin Forecast - Elec'!K72</f>
        <v>8031695.6079924935</v>
      </c>
      <c r="H51" s="1483">
        <f>'Fin Forecast - Elec'!L72</f>
        <v>8770846.2548130881</v>
      </c>
      <c r="I51" s="1483">
        <f>'Fin Forecast - Elec'!M72</f>
        <v>9179493.7004864793</v>
      </c>
      <c r="J51" s="1483">
        <f>'Fin Forecast - Elec'!N72</f>
        <v>9356845.7757435367</v>
      </c>
      <c r="K51" s="1483">
        <f>'Fin Forecast - Elec'!O72</f>
        <v>9711208.7877193484</v>
      </c>
      <c r="L51" s="1483">
        <f>'Fin Forecast - Elec'!P72</f>
        <v>9793303.890052693</v>
      </c>
      <c r="M51" s="1483">
        <f>'Fin Forecast - Elec'!Q72</f>
        <v>10030396.694008408</v>
      </c>
      <c r="N51" s="1483">
        <f>'Fin Forecast - Elec'!R72</f>
        <v>10574863.577084396</v>
      </c>
      <c r="O51" s="1483">
        <f>'Fin Forecast - Elec'!S72</f>
        <v>10759316.518980984</v>
      </c>
      <c r="P51" s="1483">
        <f>'Fin Forecast - Elec'!T72</f>
        <v>10996980.162808452</v>
      </c>
      <c r="Q51" s="1483">
        <f>'Fin Forecast - Elec'!U72</f>
        <v>11679705.194819774</v>
      </c>
    </row>
    <row r="52" spans="1:32" s="2620" customFormat="1" ht="15.75" customHeight="1">
      <c r="A52" s="1360"/>
      <c r="B52" s="2619"/>
      <c r="C52" s="2616">
        <f>IF(D52="","",MAX(C$9:C51)+1)</f>
        <v>34</v>
      </c>
      <c r="D52" s="2623" t="s">
        <v>288</v>
      </c>
      <c r="E52" s="1934">
        <f>'Fin Forecast - Elec'!I73</f>
        <v>1297662.7</v>
      </c>
      <c r="F52" s="1934">
        <f>'Fin Forecast - Elec'!J73</f>
        <v>1280121.67</v>
      </c>
      <c r="G52" s="1934">
        <f>'Fin Forecast - Elec'!K73</f>
        <v>1587465.3423760985</v>
      </c>
      <c r="H52" s="1934">
        <f>'Fin Forecast - Elec'!L73</f>
        <v>1739382.8247952205</v>
      </c>
      <c r="I52" s="1934">
        <f>'Fin Forecast - Elec'!M73</f>
        <v>1824952.0116274948</v>
      </c>
      <c r="J52" s="1934">
        <f>'Fin Forecast - Elec'!N73</f>
        <v>1863186.9450650269</v>
      </c>
      <c r="K52" s="1934">
        <f>'Fin Forecast - Elec'!O73</f>
        <v>1933167.2405346793</v>
      </c>
      <c r="L52" s="1934">
        <f>'Fin Forecast - Elec'!P73</f>
        <v>1959140.9308490793</v>
      </c>
      <c r="M52" s="1934">
        <f>'Fin Forecast - Elec'!Q73</f>
        <v>2008138.9780987659</v>
      </c>
      <c r="N52" s="1934">
        <f>'Fin Forecast - Elec'!R73</f>
        <v>2109831.5794569179</v>
      </c>
      <c r="O52" s="1934">
        <f>'Fin Forecast - Elec'!S73</f>
        <v>2153020.4127162546</v>
      </c>
      <c r="P52" s="1934">
        <f>'Fin Forecast - Elec'!T73</f>
        <v>2204985.7331777783</v>
      </c>
      <c r="Q52" s="1934">
        <f>'Fin Forecast - Elec'!U73</f>
        <v>2330998.4928866625</v>
      </c>
      <c r="R52"/>
      <c r="S52"/>
      <c r="T52"/>
      <c r="U52"/>
      <c r="V52"/>
      <c r="W52"/>
      <c r="X52"/>
      <c r="Y52"/>
      <c r="Z52"/>
      <c r="AA52"/>
      <c r="AB52"/>
      <c r="AC52"/>
      <c r="AD52"/>
      <c r="AE52"/>
      <c r="AF52"/>
    </row>
    <row r="53" spans="1:32" ht="18">
      <c r="A53" s="1360"/>
      <c r="B53" s="1463"/>
      <c r="C53" s="1476">
        <f>IF(D53="","",MAX(C$9:C52)+1)</f>
        <v>35</v>
      </c>
      <c r="D53" s="1482" t="s">
        <v>377</v>
      </c>
      <c r="E53" s="1485">
        <f>'Fin Forecast - Elec'!I74</f>
        <v>12235955.66</v>
      </c>
      <c r="F53" s="1485">
        <f>'Fin Forecast - Elec'!J74</f>
        <v>13760308.120000001</v>
      </c>
      <c r="G53" s="1485">
        <f>'Fin Forecast - Elec'!K74</f>
        <v>16093361.551131595</v>
      </c>
      <c r="H53" s="1485">
        <f>'Fin Forecast - Elec'!L74</f>
        <v>17645876.315125987</v>
      </c>
      <c r="I53" s="1485">
        <f>'Fin Forecast - Elec'!M74</f>
        <v>18523584.669170365</v>
      </c>
      <c r="J53" s="1485">
        <f>'Fin Forecast - Elec'!N74</f>
        <v>18917980.143920753</v>
      </c>
      <c r="K53" s="1485">
        <f>'Fin Forecast - Elec'!O74</f>
        <v>19627297.458039869</v>
      </c>
      <c r="L53" s="1485">
        <f>'Fin Forecast - Elec'!P74</f>
        <v>19911382.254342586</v>
      </c>
      <c r="M53" s="1485">
        <f>'Fin Forecast - Elec'!Q74</f>
        <v>20412665.865144849</v>
      </c>
      <c r="N53" s="1485">
        <f>'Fin Forecast - Elec'!R74</f>
        <v>21430985.531307399</v>
      </c>
      <c r="O53" s="1485">
        <f>'Fin Forecast - Elec'!S74</f>
        <v>21883167.474369351</v>
      </c>
      <c r="P53" s="1485">
        <f>'Fin Forecast - Elec'!T74</f>
        <v>22420614.67173573</v>
      </c>
      <c r="Q53" s="1485">
        <f>'Fin Forecast - Elec'!U74</f>
        <v>23679080.360316493</v>
      </c>
    </row>
    <row r="54" spans="1:32" s="2620" customFormat="1" ht="15.75" customHeight="1">
      <c r="A54" s="1360"/>
      <c r="B54" s="2619"/>
      <c r="C54" s="2616">
        <f>IF(D54="","",MAX(C$9:C53)+1)</f>
        <v>36</v>
      </c>
      <c r="D54" s="2631" t="s">
        <v>714</v>
      </c>
      <c r="E54" s="1934">
        <f>'Fin Forecast - Elec'!I75</f>
        <v>199546621.34999993</v>
      </c>
      <c r="F54" s="1934">
        <f>'Fin Forecast - Elec'!J75</f>
        <v>177427016.61000001</v>
      </c>
      <c r="G54" s="1934">
        <f>'Fin Forecast - Elec'!K75</f>
        <v>148493125.37491417</v>
      </c>
      <c r="H54" s="1934">
        <f>'Fin Forecast - Elec'!L75</f>
        <v>149181530.37630817</v>
      </c>
      <c r="I54" s="1934">
        <f>'Fin Forecast - Elec'!M75</f>
        <v>158209090.7090922</v>
      </c>
      <c r="J54" s="1934">
        <f>'Fin Forecast - Elec'!N75</f>
        <v>167697815.41326034</v>
      </c>
      <c r="K54" s="1934">
        <f>'Fin Forecast - Elec'!O75</f>
        <v>194549077.43945026</v>
      </c>
      <c r="L54" s="1934">
        <f>'Fin Forecast - Elec'!P75</f>
        <v>265358882.12188122</v>
      </c>
      <c r="M54" s="1934">
        <f>'Fin Forecast - Elec'!Q75</f>
        <v>268383541.42840225</v>
      </c>
      <c r="N54" s="1934">
        <f>'Fin Forecast - Elec'!R75</f>
        <v>281019804.87147295</v>
      </c>
      <c r="O54" s="1934">
        <f>'Fin Forecast - Elec'!S75</f>
        <v>290534763.36044937</v>
      </c>
      <c r="P54" s="1934">
        <f>'Fin Forecast - Elec'!T75</f>
        <v>305680388.29394829</v>
      </c>
      <c r="Q54" s="1934">
        <f>'Fin Forecast - Elec'!U75</f>
        <v>323759892.00089359</v>
      </c>
      <c r="R54"/>
      <c r="S54"/>
      <c r="T54"/>
      <c r="U54"/>
      <c r="V54"/>
      <c r="W54"/>
      <c r="X54"/>
      <c r="Y54"/>
      <c r="Z54"/>
      <c r="AA54"/>
      <c r="AB54"/>
      <c r="AC54"/>
      <c r="AD54"/>
      <c r="AE54"/>
      <c r="AF54"/>
    </row>
    <row r="55" spans="1:32" ht="15.75" customHeight="1">
      <c r="A55" s="1360"/>
      <c r="B55" s="1463"/>
      <c r="C55" s="1476" t="str">
        <f>IF(D55="","",MAX(C$9:C54)+1)</f>
        <v/>
      </c>
      <c r="D55" s="1480"/>
      <c r="E55" s="1483"/>
      <c r="F55" s="1483"/>
      <c r="G55" s="1483"/>
      <c r="H55" s="1483"/>
      <c r="I55" s="1483"/>
      <c r="J55" s="1483"/>
      <c r="K55" s="1483"/>
      <c r="L55" s="1483"/>
      <c r="M55" s="1483"/>
      <c r="N55" s="1483"/>
      <c r="O55" s="1483"/>
      <c r="P55" s="1483"/>
      <c r="Q55" s="1483"/>
    </row>
    <row r="56" spans="1:32" s="2620" customFormat="1" ht="15.75" customHeight="1">
      <c r="A56" s="1360"/>
      <c r="B56" s="2619"/>
      <c r="C56" s="2616">
        <f>IF(D56="","",MAX(C$9:C55)+1)</f>
        <v>37</v>
      </c>
      <c r="D56" s="2627" t="s">
        <v>715</v>
      </c>
      <c r="E56" s="1934">
        <f>'Fin Forecast - Elec'!I77</f>
        <v>73774451.328509837</v>
      </c>
      <c r="F56" s="1934">
        <f>'Fin Forecast - Elec'!J77</f>
        <v>100574421.67856956</v>
      </c>
      <c r="G56" s="1934">
        <f>'Fin Forecast - Elec'!K77</f>
        <v>109612174.24633387</v>
      </c>
      <c r="H56" s="1934">
        <f>'Fin Forecast - Elec'!L77</f>
        <v>98329650.528511345</v>
      </c>
      <c r="I56" s="1934">
        <f>'Fin Forecast - Elec'!M77</f>
        <v>102006683.03590572</v>
      </c>
      <c r="J56" s="1934">
        <f>'Fin Forecast - Elec'!N77</f>
        <v>115890997.06669539</v>
      </c>
      <c r="K56" s="1934">
        <f>'Fin Forecast - Elec'!O77</f>
        <v>113409550.66978437</v>
      </c>
      <c r="L56" s="1934">
        <f>'Fin Forecast - Elec'!P77</f>
        <v>121321705.27535644</v>
      </c>
      <c r="M56" s="1934">
        <f>'Fin Forecast - Elec'!Q77</f>
        <v>141432756.85429186</v>
      </c>
      <c r="N56" s="1934">
        <f>'Fin Forecast - Elec'!R77</f>
        <v>146630603.01468313</v>
      </c>
      <c r="O56" s="1934">
        <f>'Fin Forecast - Elec'!S77</f>
        <v>159155254.93284827</v>
      </c>
      <c r="P56" s="1934">
        <f>'Fin Forecast - Elec'!T77</f>
        <v>160291403.46287209</v>
      </c>
      <c r="Q56" s="1934">
        <f>'Fin Forecast - Elec'!U77</f>
        <v>165429573.43926239</v>
      </c>
      <c r="R56"/>
      <c r="S56"/>
      <c r="T56"/>
      <c r="U56"/>
      <c r="V56"/>
      <c r="W56"/>
      <c r="X56"/>
      <c r="Y56"/>
      <c r="Z56"/>
      <c r="AA56"/>
      <c r="AB56"/>
      <c r="AC56"/>
      <c r="AD56"/>
      <c r="AE56"/>
      <c r="AF56"/>
    </row>
    <row r="57" spans="1:32" ht="15.75" customHeight="1">
      <c r="A57" s="1360"/>
      <c r="B57" s="1463"/>
      <c r="C57" s="1476" t="str">
        <f>IF(D57="","",MAX(C$9:C56)+1)</f>
        <v/>
      </c>
      <c r="D57" s="1482"/>
      <c r="E57" s="1483"/>
      <c r="F57" s="1483"/>
      <c r="G57" s="1483"/>
      <c r="H57" s="1483"/>
      <c r="I57" s="1483"/>
      <c r="J57" s="1483"/>
      <c r="K57" s="1483"/>
      <c r="L57" s="1483"/>
      <c r="M57" s="1483"/>
      <c r="N57" s="1483"/>
      <c r="O57" s="1483"/>
      <c r="P57" s="1483"/>
      <c r="Q57" s="1483"/>
    </row>
    <row r="58" spans="1:32" s="2620" customFormat="1" ht="15.75" customHeight="1">
      <c r="A58" s="1360"/>
      <c r="B58" s="2619"/>
      <c r="C58" s="2616">
        <f>IF(D58="","",MAX(C$9:C57)+1)</f>
        <v>38</v>
      </c>
      <c r="D58" s="2628" t="s">
        <v>614</v>
      </c>
      <c r="E58" s="1934"/>
      <c r="F58" s="1934"/>
      <c r="G58" s="1934"/>
      <c r="H58" s="1934"/>
      <c r="I58" s="1934"/>
      <c r="J58" s="1934"/>
      <c r="K58" s="1934"/>
      <c r="L58" s="1934"/>
      <c r="M58" s="1934"/>
      <c r="N58" s="1934"/>
      <c r="O58" s="1934"/>
      <c r="P58" s="1934"/>
      <c r="Q58" s="1934"/>
      <c r="R58"/>
      <c r="S58"/>
      <c r="T58"/>
      <c r="U58"/>
      <c r="V58"/>
      <c r="W58"/>
      <c r="X58"/>
      <c r="Y58"/>
      <c r="Z58"/>
      <c r="AA58"/>
      <c r="AB58"/>
      <c r="AC58"/>
      <c r="AD58"/>
      <c r="AE58"/>
      <c r="AF58"/>
    </row>
    <row r="59" spans="1:32" ht="15.75" customHeight="1">
      <c r="A59" s="1360"/>
      <c r="B59" s="1463"/>
      <c r="C59" s="1476">
        <f>IF(D59="","",MAX(C$9:C58)+1)</f>
        <v>39</v>
      </c>
      <c r="D59" s="1482" t="s">
        <v>573</v>
      </c>
      <c r="E59" s="1483">
        <f>'Fin Forecast - Elec'!I80</f>
        <v>12152044.449999981</v>
      </c>
      <c r="F59" s="1483">
        <f>'Fin Forecast - Elec'!J80</f>
        <v>8291478.4299999997</v>
      </c>
      <c r="G59" s="1483">
        <f>'Fin Forecast - Elec'!K80</f>
        <v>7143831.2599999802</v>
      </c>
      <c r="H59" s="1483">
        <f>'Fin Forecast - Elec'!L80</f>
        <v>7143831.2599999802</v>
      </c>
      <c r="I59" s="1483">
        <f>'Fin Forecast - Elec'!M80</f>
        <v>7143831.2599999802</v>
      </c>
      <c r="J59" s="1483">
        <f>'Fin Forecast - Elec'!N80</f>
        <v>21200956.259999979</v>
      </c>
      <c r="K59" s="1483">
        <f>'Fin Forecast - Elec'!O80</f>
        <v>21186331.259999979</v>
      </c>
      <c r="L59" s="1483">
        <f>'Fin Forecast - Elec'!P80</f>
        <v>21167956.259999979</v>
      </c>
      <c r="M59" s="1483">
        <f>'Fin Forecast - Elec'!Q80</f>
        <v>21151931.25999999</v>
      </c>
      <c r="N59" s="1483">
        <f>'Fin Forecast - Elec'!R80</f>
        <v>18736480.945051692</v>
      </c>
      <c r="O59" s="1483">
        <f>'Fin Forecast - Elec'!S80</f>
        <v>4720759.0671651904</v>
      </c>
      <c r="P59" s="1483">
        <f>'Fin Forecast - Elec'!T80</f>
        <v>3927060.0943969074</v>
      </c>
      <c r="Q59" s="1483">
        <f>'Fin Forecast - Elec'!U80</f>
        <v>3061645.7122670086</v>
      </c>
    </row>
    <row r="60" spans="1:32" s="2620" customFormat="1" ht="15.75" customHeight="1">
      <c r="A60" s="1360"/>
      <c r="B60" s="2619"/>
      <c r="C60" s="2616">
        <f>IF(D60="","",MAX(C$9:C59)+1)</f>
        <v>40</v>
      </c>
      <c r="D60" s="2623" t="s">
        <v>2656</v>
      </c>
      <c r="E60" s="1934">
        <f>'Fin Forecast - Elec'!I81</f>
        <v>0</v>
      </c>
      <c r="F60" s="1934">
        <f>'Fin Forecast - Elec'!J81</f>
        <v>0</v>
      </c>
      <c r="G60" s="1934">
        <f>'Fin Forecast - Elec'!K81</f>
        <v>0</v>
      </c>
      <c r="H60" s="1934">
        <f>'Fin Forecast - Elec'!L81</f>
        <v>0</v>
      </c>
      <c r="I60" s="1934">
        <f>'Fin Forecast - Elec'!M81</f>
        <v>0</v>
      </c>
      <c r="J60" s="1934">
        <f>'Fin Forecast - Elec'!N81</f>
        <v>0</v>
      </c>
      <c r="K60" s="1934">
        <f>'Fin Forecast - Elec'!O81</f>
        <v>0</v>
      </c>
      <c r="L60" s="1934">
        <f>'Fin Forecast - Elec'!P81</f>
        <v>0</v>
      </c>
      <c r="M60" s="1934">
        <f>'Fin Forecast - Elec'!Q81</f>
        <v>0</v>
      </c>
      <c r="N60" s="1934">
        <f>'Fin Forecast - Elec'!R81</f>
        <v>0</v>
      </c>
      <c r="O60" s="1934">
        <f>'Fin Forecast - Elec'!S81</f>
        <v>0</v>
      </c>
      <c r="P60" s="1934">
        <f>'Fin Forecast - Elec'!T81</f>
        <v>0</v>
      </c>
      <c r="Q60" s="1934">
        <f>'Fin Forecast - Elec'!U81</f>
        <v>0</v>
      </c>
      <c r="R60"/>
      <c r="S60"/>
      <c r="T60"/>
      <c r="U60"/>
      <c r="V60"/>
      <c r="W60"/>
      <c r="X60"/>
      <c r="Y60"/>
      <c r="Z60"/>
      <c r="AA60"/>
      <c r="AB60"/>
      <c r="AC60"/>
      <c r="AD60"/>
      <c r="AE60"/>
      <c r="AF60"/>
    </row>
    <row r="61" spans="1:32" ht="15.75" customHeight="1">
      <c r="A61" s="1360"/>
      <c r="B61" s="1463"/>
      <c r="C61" s="1476">
        <f>IF(D61="","",MAX(C$9:C60)+1)</f>
        <v>41</v>
      </c>
      <c r="D61" s="1482" t="s">
        <v>484</v>
      </c>
      <c r="E61" s="1485">
        <f>'Fin Forecast - Elec'!I82</f>
        <v>0</v>
      </c>
      <c r="F61" s="1485">
        <f>'Fin Forecast - Elec'!J82</f>
        <v>1262500</v>
      </c>
      <c r="G61" s="1485">
        <f>'Fin Forecast - Elec'!K82</f>
        <v>1262500</v>
      </c>
      <c r="H61" s="1485">
        <f>'Fin Forecast - Elec'!L82</f>
        <v>2525000</v>
      </c>
      <c r="I61" s="1485">
        <f>'Fin Forecast - Elec'!M82</f>
        <v>3787500</v>
      </c>
      <c r="J61" s="1485">
        <f>'Fin Forecast - Elec'!N82</f>
        <v>3787500</v>
      </c>
      <c r="K61" s="1485">
        <f>'Fin Forecast - Elec'!O82</f>
        <v>3787500</v>
      </c>
      <c r="L61" s="1485">
        <f>'Fin Forecast - Elec'!P82</f>
        <v>3787500</v>
      </c>
      <c r="M61" s="1485">
        <f>'Fin Forecast - Elec'!Q82</f>
        <v>3787500</v>
      </c>
      <c r="N61" s="1485">
        <f>'Fin Forecast - Elec'!R82</f>
        <v>3787500</v>
      </c>
      <c r="O61" s="1485">
        <f>'Fin Forecast - Elec'!S82</f>
        <v>3787500</v>
      </c>
      <c r="P61" s="1485">
        <f>'Fin Forecast - Elec'!T82</f>
        <v>3787500</v>
      </c>
      <c r="Q61" s="1485">
        <f>'Fin Forecast - Elec'!U82</f>
        <v>3787500</v>
      </c>
    </row>
    <row r="62" spans="1:32" s="2620" customFormat="1" ht="15.75" customHeight="1">
      <c r="A62" s="1360"/>
      <c r="B62" s="2619"/>
      <c r="C62" s="2616">
        <f>IF(D62="","",MAX(C$9:C61)+1)</f>
        <v>42</v>
      </c>
      <c r="D62" s="2631" t="s">
        <v>615</v>
      </c>
      <c r="E62" s="1934">
        <f>'Fin Forecast - Elec'!I83</f>
        <v>12152044.449999981</v>
      </c>
      <c r="F62" s="1934">
        <f>'Fin Forecast - Elec'!J83</f>
        <v>9553978.4299999997</v>
      </c>
      <c r="G62" s="1934">
        <f>'Fin Forecast - Elec'!K83</f>
        <v>8406331.2599999793</v>
      </c>
      <c r="H62" s="1934">
        <f>'Fin Forecast - Elec'!L83</f>
        <v>9668831.2599999793</v>
      </c>
      <c r="I62" s="1934">
        <f>'Fin Forecast - Elec'!M83</f>
        <v>10931331.259999979</v>
      </c>
      <c r="J62" s="1934">
        <f>'Fin Forecast - Elec'!N83</f>
        <v>24988456.259999979</v>
      </c>
      <c r="K62" s="1934">
        <f>'Fin Forecast - Elec'!O83</f>
        <v>24973831.259999979</v>
      </c>
      <c r="L62" s="1934">
        <f>'Fin Forecast - Elec'!P83</f>
        <v>24955456.259999979</v>
      </c>
      <c r="M62" s="1934">
        <f>'Fin Forecast - Elec'!Q83</f>
        <v>24939431.25999999</v>
      </c>
      <c r="N62" s="1934">
        <f>'Fin Forecast - Elec'!R83</f>
        <v>22523980.945051692</v>
      </c>
      <c r="O62" s="1934">
        <f>'Fin Forecast - Elec'!S83</f>
        <v>8508259.0671651904</v>
      </c>
      <c r="P62" s="1934">
        <f>'Fin Forecast - Elec'!T83</f>
        <v>7714560.0943969078</v>
      </c>
      <c r="Q62" s="1934">
        <f>'Fin Forecast - Elec'!U83</f>
        <v>6849145.7122670086</v>
      </c>
      <c r="R62"/>
      <c r="S62"/>
      <c r="T62"/>
      <c r="U62"/>
      <c r="V62"/>
      <c r="W62"/>
      <c r="X62"/>
      <c r="Y62"/>
      <c r="Z62"/>
      <c r="AA62"/>
      <c r="AB62"/>
      <c r="AC62"/>
      <c r="AD62"/>
      <c r="AE62"/>
      <c r="AF62"/>
    </row>
    <row r="63" spans="1:32" ht="15.75" customHeight="1">
      <c r="A63" s="1360"/>
      <c r="B63" s="1463"/>
      <c r="C63" s="1476" t="str">
        <f>IF(D63="","",MAX(C$9:C62)+1)</f>
        <v/>
      </c>
      <c r="D63" s="1482"/>
      <c r="E63" s="1483"/>
      <c r="F63" s="1483"/>
      <c r="G63" s="1483"/>
      <c r="H63" s="1483"/>
      <c r="I63" s="1483"/>
      <c r="J63" s="1483"/>
      <c r="K63" s="1483"/>
      <c r="L63" s="1483"/>
      <c r="M63" s="1483"/>
      <c r="N63" s="1483"/>
      <c r="O63" s="1483"/>
      <c r="P63" s="1483"/>
      <c r="Q63" s="1483"/>
    </row>
    <row r="64" spans="1:32" s="2620" customFormat="1" ht="15.75" customHeight="1">
      <c r="A64" s="1360"/>
      <c r="B64" s="2619"/>
      <c r="C64" s="3237">
        <f>IF(D64="","",MAX(C$9:C63)+1)</f>
        <v>43</v>
      </c>
      <c r="D64" s="2627" t="s">
        <v>481</v>
      </c>
      <c r="E64" s="2626">
        <f>'Fin Forecast - Elec'!I85</f>
        <v>61622406.878509857</v>
      </c>
      <c r="F64" s="2626">
        <f>'Fin Forecast - Elec'!J85</f>
        <v>91020443.248569548</v>
      </c>
      <c r="G64" s="2626">
        <f>'Fin Forecast - Elec'!K85</f>
        <v>101205842.98633389</v>
      </c>
      <c r="H64" s="2626">
        <f>'Fin Forecast - Elec'!L85</f>
        <v>88660819.26851137</v>
      </c>
      <c r="I64" s="2626">
        <f>'Fin Forecast - Elec'!M85</f>
        <v>91075351.775905743</v>
      </c>
      <c r="J64" s="2626">
        <f>'Fin Forecast - Elec'!N85</f>
        <v>90902540.806695417</v>
      </c>
      <c r="K64" s="2626">
        <f>'Fin Forecast - Elec'!O85</f>
        <v>88435719.409784392</v>
      </c>
      <c r="L64" s="2626">
        <f>'Fin Forecast - Elec'!P85</f>
        <v>96366249.015356466</v>
      </c>
      <c r="M64" s="2626">
        <f>'Fin Forecast - Elec'!Q85</f>
        <v>116493325.59429187</v>
      </c>
      <c r="N64" s="2626">
        <f>'Fin Forecast - Elec'!R85</f>
        <v>124106622.06963143</v>
      </c>
      <c r="O64" s="2626">
        <f>'Fin Forecast - Elec'!S85</f>
        <v>150646995.86568308</v>
      </c>
      <c r="P64" s="2626">
        <f>'Fin Forecast - Elec'!T85</f>
        <v>152576843.36847517</v>
      </c>
      <c r="Q64" s="2626">
        <f>'Fin Forecast - Elec'!U85</f>
        <v>158580427.72699538</v>
      </c>
      <c r="R64"/>
      <c r="S64"/>
      <c r="T64"/>
      <c r="U64"/>
      <c r="V64"/>
      <c r="W64"/>
      <c r="X64"/>
      <c r="Y64"/>
      <c r="Z64"/>
      <c r="AA64"/>
      <c r="AB64"/>
      <c r="AC64"/>
      <c r="AD64"/>
      <c r="AE64"/>
      <c r="AF64"/>
    </row>
    <row r="65" spans="1:32" ht="15.75" customHeight="1">
      <c r="A65" s="1360"/>
      <c r="B65" s="1463"/>
      <c r="C65" s="1476" t="str">
        <f>IF(D65="","",MAX(C$9:C64)+1)</f>
        <v/>
      </c>
      <c r="D65" s="1480"/>
      <c r="E65" s="1483"/>
      <c r="F65" s="1483"/>
      <c r="G65" s="1483"/>
      <c r="H65" s="1483"/>
      <c r="I65" s="1483"/>
      <c r="J65" s="1483"/>
      <c r="K65" s="1483"/>
      <c r="L65" s="1483"/>
      <c r="M65" s="1483"/>
      <c r="N65" s="1483"/>
      <c r="O65" s="1483"/>
      <c r="P65" s="1483"/>
      <c r="Q65" s="1483"/>
    </row>
    <row r="66" spans="1:32" s="2620" customFormat="1" ht="15.75" customHeight="1">
      <c r="A66" s="1360"/>
      <c r="B66" s="2619"/>
      <c r="C66" s="2616">
        <f>IF(D66="","",MAX(C$9:C65)+1)</f>
        <v>44</v>
      </c>
      <c r="D66" s="2617" t="s">
        <v>135</v>
      </c>
      <c r="E66" s="2626"/>
      <c r="F66" s="2626"/>
      <c r="G66" s="2626"/>
      <c r="H66" s="2626"/>
      <c r="I66" s="2626"/>
      <c r="J66" s="2626"/>
      <c r="K66" s="2626"/>
      <c r="L66" s="2626"/>
      <c r="M66" s="2626"/>
      <c r="N66" s="2626"/>
      <c r="O66" s="2626"/>
      <c r="P66" s="2626"/>
      <c r="Q66" s="2626"/>
      <c r="R66"/>
      <c r="S66"/>
      <c r="T66"/>
      <c r="U66"/>
      <c r="V66"/>
      <c r="W66"/>
      <c r="X66"/>
      <c r="Y66"/>
      <c r="Z66"/>
      <c r="AA66"/>
      <c r="AB66"/>
      <c r="AC66"/>
      <c r="AD66"/>
      <c r="AE66"/>
      <c r="AF66"/>
    </row>
    <row r="67" spans="1:32" ht="15.75" customHeight="1">
      <c r="A67" s="1360"/>
      <c r="B67" s="1463"/>
      <c r="C67" s="1476">
        <f>IF(D67="","",MAX(C$9:C66)+1)</f>
        <v>45</v>
      </c>
      <c r="D67" s="1401" t="s">
        <v>843</v>
      </c>
      <c r="E67" s="1483">
        <f>'Fin Forecast - Elec'!I88</f>
        <v>12192740.140000001</v>
      </c>
      <c r="F67" s="1483">
        <f>'Fin Forecast - Elec'!J88</f>
        <v>13646063.579999996</v>
      </c>
      <c r="G67" s="1483">
        <f>'Fin Forecast - Elec'!K88</f>
        <v>13539431.041859569</v>
      </c>
      <c r="H67" s="1483">
        <f>'Fin Forecast - Elec'!L88</f>
        <v>14218841.996213386</v>
      </c>
      <c r="I67" s="1483">
        <f>'Fin Forecast - Elec'!M88</f>
        <v>15212802.056590391</v>
      </c>
      <c r="J67" s="1483">
        <f>'Fin Forecast - Elec'!N88</f>
        <v>16524514.695752164</v>
      </c>
      <c r="K67" s="1483">
        <f>'Fin Forecast - Elec'!O88</f>
        <v>17226971.246271096</v>
      </c>
      <c r="L67" s="1483">
        <f>'Fin Forecast - Elec'!P88</f>
        <v>18075284.395378157</v>
      </c>
      <c r="M67" s="1483">
        <f>'Fin Forecast - Elec'!Q88</f>
        <v>18830807.372860372</v>
      </c>
      <c r="N67" s="1483">
        <f>'Fin Forecast - Elec'!R88</f>
        <v>19675152.906458043</v>
      </c>
      <c r="O67" s="1483">
        <f>'Fin Forecast - Elec'!S88</f>
        <v>20596507.288357612</v>
      </c>
      <c r="P67" s="1483">
        <f>'Fin Forecast - Elec'!T88</f>
        <v>21336398.959891859</v>
      </c>
      <c r="Q67" s="1483">
        <f>'Fin Forecast - Elec'!U88</f>
        <v>22110166.84089189</v>
      </c>
    </row>
    <row r="68" spans="1:32" s="2620" customFormat="1" ht="15.75" customHeight="1">
      <c r="A68" s="1360"/>
      <c r="B68" s="2619"/>
      <c r="C68" s="2616">
        <f>IF(D68="","",MAX(C$9:C67)+1)</f>
        <v>46</v>
      </c>
      <c r="D68" s="2632" t="s">
        <v>3479</v>
      </c>
      <c r="E68" s="1934">
        <f>'Fin Forecast - Elec'!I89</f>
        <v>0</v>
      </c>
      <c r="F68" s="1934">
        <f>'Fin Forecast - Elec'!J89</f>
        <v>0</v>
      </c>
      <c r="G68" s="1934">
        <f>'Fin Forecast - Elec'!K89</f>
        <v>0</v>
      </c>
      <c r="H68" s="1934">
        <f>'Fin Forecast - Elec'!L89</f>
        <v>0</v>
      </c>
      <c r="I68" s="1934">
        <f>'Fin Forecast - Elec'!M89</f>
        <v>0</v>
      </c>
      <c r="J68" s="1934">
        <f>'Fin Forecast - Elec'!N89</f>
        <v>0</v>
      </c>
      <c r="K68" s="1934">
        <f>'Fin Forecast - Elec'!O89</f>
        <v>0</v>
      </c>
      <c r="L68" s="1934">
        <f>'Fin Forecast - Elec'!P89</f>
        <v>0</v>
      </c>
      <c r="M68" s="1934">
        <f>'Fin Forecast - Elec'!Q89</f>
        <v>0</v>
      </c>
      <c r="N68" s="1934">
        <f>'Fin Forecast - Elec'!R89</f>
        <v>0</v>
      </c>
      <c r="O68" s="1934">
        <f>'Fin Forecast - Elec'!S89</f>
        <v>0</v>
      </c>
      <c r="P68" s="1934">
        <f>'Fin Forecast - Elec'!T89</f>
        <v>0</v>
      </c>
      <c r="Q68" s="1934">
        <f>'Fin Forecast - Elec'!U89</f>
        <v>0</v>
      </c>
      <c r="R68"/>
      <c r="S68"/>
      <c r="T68"/>
      <c r="U68"/>
      <c r="V68"/>
      <c r="W68"/>
      <c r="X68"/>
      <c r="Y68"/>
      <c r="Z68"/>
      <c r="AA68"/>
      <c r="AB68"/>
      <c r="AC68"/>
      <c r="AD68"/>
      <c r="AE68"/>
      <c r="AF68"/>
    </row>
    <row r="69" spans="1:32" s="2620" customFormat="1" ht="15.75" customHeight="1">
      <c r="A69" s="1360"/>
      <c r="B69" s="1463"/>
      <c r="C69" s="1476">
        <f>IF(D69="","",MAX(C$9:C68)+1)</f>
        <v>47</v>
      </c>
      <c r="D69" s="1401" t="s">
        <v>3480</v>
      </c>
      <c r="E69" s="1483">
        <f>'Fin Forecast - Elec'!I90</f>
        <v>37182000</v>
      </c>
      <c r="F69" s="1483">
        <f>'Fin Forecast - Elec'!J90</f>
        <v>12083702.953720002</v>
      </c>
      <c r="G69" s="1483">
        <f>'Fin Forecast - Elec'!K90</f>
        <v>27666486.961203694</v>
      </c>
      <c r="H69" s="1483">
        <f>'Fin Forecast - Elec'!L90</f>
        <v>5140761.4783228701</v>
      </c>
      <c r="I69" s="1483">
        <f>'Fin Forecast - Elec'!M90</f>
        <v>20104210.091357153</v>
      </c>
      <c r="J69" s="1483">
        <f>'Fin Forecast - Elec'!N90</f>
        <v>21661554.312975064</v>
      </c>
      <c r="K69" s="1483">
        <f>'Fin Forecast - Elec'!O90</f>
        <v>41867330.008197173</v>
      </c>
      <c r="L69" s="1483">
        <f>'Fin Forecast - Elec'!P90</f>
        <v>50453845.665016897</v>
      </c>
      <c r="M69" s="1483">
        <f>'Fin Forecast - Elec'!Q90</f>
        <v>66283168.257466801</v>
      </c>
      <c r="N69" s="1483">
        <f>'Fin Forecast - Elec'!R90</f>
        <v>68152354.060868725</v>
      </c>
      <c r="O69" s="1483">
        <f>'Fin Forecast - Elec'!S90</f>
        <v>98146906.637001559</v>
      </c>
      <c r="P69" s="1483">
        <f>'Fin Forecast - Elec'!T90</f>
        <v>100083313.21184322</v>
      </c>
      <c r="Q69" s="1483">
        <f>'Fin Forecast - Elec'!U90</f>
        <v>101807638.99208324</v>
      </c>
      <c r="R69"/>
      <c r="S69"/>
      <c r="T69"/>
      <c r="U69"/>
      <c r="V69"/>
      <c r="W69"/>
      <c r="X69"/>
      <c r="Y69"/>
      <c r="Z69"/>
      <c r="AA69"/>
      <c r="AB69"/>
      <c r="AC69"/>
      <c r="AD69"/>
      <c r="AE69"/>
      <c r="AF69"/>
    </row>
    <row r="70" spans="1:32" ht="15.75" customHeight="1">
      <c r="A70" s="1360"/>
      <c r="B70" s="2619"/>
      <c r="C70" s="2616">
        <f>IF(D70="","",MAX(C$9:C69)+1)</f>
        <v>48</v>
      </c>
      <c r="D70" s="2632" t="s">
        <v>1941</v>
      </c>
      <c r="E70" s="1934">
        <f>'Fin Forecast - Elec'!I92</f>
        <v>43454998.460000001</v>
      </c>
      <c r="F70" s="1934">
        <f>'Fin Forecast - Elec'!J92</f>
        <v>36659184.746062398</v>
      </c>
      <c r="G70" s="1934">
        <f>'Fin Forecast - Elec'!K92</f>
        <v>59999222.552695818</v>
      </c>
      <c r="H70" s="1934">
        <f>'Fin Forecast - Elec'!L92</f>
        <v>69299537.898900956</v>
      </c>
      <c r="I70" s="1934">
        <f>'Fin Forecast - Elec'!M92</f>
        <v>55761096.780477867</v>
      </c>
      <c r="J70" s="1934">
        <f>'Fin Forecast - Elec'!N92</f>
        <v>52719294.060464561</v>
      </c>
      <c r="K70" s="1934">
        <f>'Fin Forecast - Elec'!O92</f>
        <v>29345320.730032656</v>
      </c>
      <c r="L70" s="1934">
        <f>'Fin Forecast - Elec'!P92</f>
        <v>27846208.057557296</v>
      </c>
      <c r="M70" s="1934">
        <f>'Fin Forecast - Elec'!Q92</f>
        <v>31387073.699986964</v>
      </c>
      <c r="N70" s="1934">
        <f>'Fin Forecast - Elec'!R92</f>
        <v>36279392.549446926</v>
      </c>
      <c r="O70" s="1934">
        <f>'Fin Forecast - Elec'!S92</f>
        <v>31901862.832594763</v>
      </c>
      <c r="P70" s="1934">
        <f>'Fin Forecast - Elec'!T92</f>
        <v>31158184.660147019</v>
      </c>
      <c r="Q70" s="1934">
        <f>'Fin Forecast - Elec'!U92</f>
        <v>34661890.528807357</v>
      </c>
    </row>
    <row r="71" spans="1:32" s="2620" customFormat="1" ht="15.75" customHeight="1">
      <c r="A71" s="1360"/>
      <c r="B71" s="1463"/>
      <c r="C71" s="1476">
        <f>IF(D71="","",MAX(C$9:C70)+1)</f>
        <v>49</v>
      </c>
      <c r="D71" s="1493" t="s">
        <v>716</v>
      </c>
      <c r="E71" s="3236">
        <f>'Fin Forecast - Elec'!I93</f>
        <v>92829738.599999994</v>
      </c>
      <c r="F71" s="3236">
        <f>'Fin Forecast - Elec'!J93</f>
        <v>62388951.2797824</v>
      </c>
      <c r="G71" s="3236">
        <f>'Fin Forecast - Elec'!K93</f>
        <v>101205140.55575907</v>
      </c>
      <c r="H71" s="3236">
        <f>'Fin Forecast - Elec'!L93</f>
        <v>88659141.373437211</v>
      </c>
      <c r="I71" s="3236">
        <f>'Fin Forecast - Elec'!M93</f>
        <v>91078108.928425401</v>
      </c>
      <c r="J71" s="3236">
        <f>'Fin Forecast - Elec'!N93</f>
        <v>90905363.069191784</v>
      </c>
      <c r="K71" s="3236">
        <f>'Fin Forecast - Elec'!O93</f>
        <v>88439621.98450093</v>
      </c>
      <c r="L71" s="3236">
        <f>'Fin Forecast - Elec'!P93</f>
        <v>96375338.117952362</v>
      </c>
      <c r="M71" s="3236">
        <f>'Fin Forecast - Elec'!Q93</f>
        <v>116501049.33031413</v>
      </c>
      <c r="N71" s="3236">
        <f>'Fin Forecast - Elec'!R93</f>
        <v>124106899.51677369</v>
      </c>
      <c r="O71" s="3236">
        <f>'Fin Forecast - Elec'!S93</f>
        <v>150645276.75795394</v>
      </c>
      <c r="P71" s="3236">
        <f>'Fin Forecast - Elec'!T93</f>
        <v>152577896.83188209</v>
      </c>
      <c r="Q71" s="3236">
        <f>'Fin Forecast - Elec'!U93</f>
        <v>158579696.36178249</v>
      </c>
      <c r="R71"/>
      <c r="S71"/>
      <c r="T71"/>
      <c r="U71"/>
      <c r="V71"/>
      <c r="W71"/>
      <c r="X71"/>
      <c r="Y71"/>
      <c r="Z71"/>
      <c r="AA71"/>
      <c r="AB71"/>
      <c r="AC71"/>
      <c r="AD71"/>
      <c r="AE71"/>
      <c r="AF71"/>
    </row>
    <row r="72" spans="1:32" ht="15.75" customHeight="1">
      <c r="A72" s="1360"/>
      <c r="B72" s="2619"/>
      <c r="C72" s="2616" t="str">
        <f>IF(D72="","",MAX(C$9:C71)+1)</f>
        <v/>
      </c>
      <c r="D72" s="2617"/>
      <c r="E72" s="1934"/>
      <c r="F72" s="1934"/>
      <c r="G72" s="1934"/>
      <c r="H72" s="1934"/>
      <c r="I72" s="1934"/>
      <c r="J72" s="1934"/>
      <c r="K72" s="1934"/>
      <c r="L72" s="1934"/>
      <c r="M72" s="1934"/>
      <c r="N72" s="1934"/>
      <c r="O72" s="1934"/>
      <c r="P72" s="1934"/>
      <c r="Q72" s="1934"/>
    </row>
    <row r="73" spans="1:32" s="2620" customFormat="1" ht="15.75" customHeight="1">
      <c r="A73" s="1360"/>
      <c r="B73" s="1463"/>
      <c r="C73" s="1476">
        <f>IF(D73="","",MAX(C$9:C72)+1)</f>
        <v>50</v>
      </c>
      <c r="D73" s="1480" t="s">
        <v>553</v>
      </c>
      <c r="E73" s="1490">
        <f>'Fin Forecast - Elec'!I95</f>
        <v>304528404.39999992</v>
      </c>
      <c r="F73" s="1490">
        <f>'Fin Forecast - Elec'!J95</f>
        <v>249369946.31978244</v>
      </c>
      <c r="G73" s="1490">
        <f>'Fin Forecast - Elec'!K95</f>
        <v>258104597.19067323</v>
      </c>
      <c r="H73" s="1490">
        <f>'Fin Forecast - Elec'!L95</f>
        <v>247509503.00974536</v>
      </c>
      <c r="I73" s="1490">
        <f>'Fin Forecast - Elec'!M95</f>
        <v>260218530.89751759</v>
      </c>
      <c r="J73" s="1490">
        <f>'Fin Forecast - Elec'!N95</f>
        <v>283591634.74245214</v>
      </c>
      <c r="K73" s="1490">
        <f>'Fin Forecast - Elec'!O95</f>
        <v>307962530.6839512</v>
      </c>
      <c r="L73" s="1490">
        <f>'Fin Forecast - Elec'!P95</f>
        <v>386689676.49983352</v>
      </c>
      <c r="M73" s="1490">
        <f>'Fin Forecast - Elec'!Q95</f>
        <v>409824022.01871634</v>
      </c>
      <c r="N73" s="1490">
        <f>'Fin Forecast - Elec'!R95</f>
        <v>427650685.33329833</v>
      </c>
      <c r="O73" s="1490">
        <f>'Fin Forecast - Elec'!S95</f>
        <v>449688299.18556851</v>
      </c>
      <c r="P73" s="1490">
        <f>'Fin Forecast - Elec'!T95</f>
        <v>465972845.22022724</v>
      </c>
      <c r="Q73" s="1490">
        <f>'Fin Forecast - Elec'!U95</f>
        <v>489188734.07494307</v>
      </c>
      <c r="R73"/>
      <c r="S73"/>
      <c r="T73"/>
      <c r="U73"/>
      <c r="V73"/>
      <c r="W73"/>
      <c r="X73"/>
      <c r="Y73"/>
      <c r="Z73"/>
      <c r="AA73"/>
      <c r="AB73"/>
      <c r="AC73"/>
      <c r="AD73"/>
      <c r="AE73"/>
      <c r="AF73"/>
    </row>
    <row r="74" spans="1:32" ht="15.75" customHeight="1">
      <c r="A74" s="1360"/>
      <c r="B74" s="2619"/>
      <c r="C74" s="2616" t="str">
        <f>IF(D74="","",MAX(C$9:C73)+1)</f>
        <v/>
      </c>
      <c r="D74" s="2617"/>
      <c r="E74" s="2626"/>
      <c r="F74" s="2626"/>
      <c r="G74" s="2626"/>
      <c r="H74" s="2626"/>
      <c r="I74" s="2626"/>
      <c r="J74" s="2626"/>
      <c r="K74" s="2626"/>
      <c r="L74" s="2626"/>
      <c r="M74" s="2626"/>
      <c r="N74" s="2626"/>
      <c r="O74" s="2626"/>
      <c r="P74" s="2626"/>
      <c r="Q74" s="2626"/>
    </row>
    <row r="75" spans="1:32" s="2620" customFormat="1" ht="15.75" customHeight="1">
      <c r="A75" s="1360"/>
      <c r="B75" s="1463"/>
      <c r="C75" s="1476">
        <f>IF(D75="","",MAX(C$9:C74)+1)</f>
        <v>51</v>
      </c>
      <c r="D75" s="1480" t="s">
        <v>136</v>
      </c>
      <c r="E75" s="1490">
        <f>'Fin Forecast - Elec'!I97</f>
        <v>190779264.51999992</v>
      </c>
      <c r="F75" s="1490">
        <f>'Fin Forecast - Elec'!J97</f>
        <v>142627762.30978245</v>
      </c>
      <c r="G75" s="1490">
        <f>'Fin Forecast - Elec'!K97</f>
        <v>177888017.14878455</v>
      </c>
      <c r="H75" s="1490">
        <f>'Fin Forecast - Elec'!L97</f>
        <v>192932931.58684477</v>
      </c>
      <c r="I75" s="1490">
        <f>'Fin Forecast - Elec'!M97</f>
        <v>207061899.36606988</v>
      </c>
      <c r="J75" s="1490">
        <f>'Fin Forecast - Elec'!N97</f>
        <v>224662512.34577984</v>
      </c>
      <c r="K75" s="1490">
        <f>'Fin Forecast - Elec'!O97</f>
        <v>238876648.43526939</v>
      </c>
      <c r="L75" s="1490">
        <f>'Fin Forecast - Elec'!P97</f>
        <v>251368628.20169309</v>
      </c>
      <c r="M75" s="1490">
        <f>'Fin Forecast - Elec'!Q97</f>
        <v>262921351.12987086</v>
      </c>
      <c r="N75" s="1490">
        <f>'Fin Forecast - Elec'!R97</f>
        <v>275833624.62628901</v>
      </c>
      <c r="O75" s="1490">
        <f>'Fin Forecast - Elec'!S97</f>
        <v>289928473.24963945</v>
      </c>
      <c r="P75" s="1490">
        <f>'Fin Forecast - Elec'!T97</f>
        <v>301969249.12046647</v>
      </c>
      <c r="Q75" s="1490">
        <f>'Fin Forecast - Elec'!U97</f>
        <v>314552610.18113172</v>
      </c>
      <c r="R75"/>
      <c r="S75"/>
      <c r="T75"/>
      <c r="U75"/>
      <c r="V75"/>
      <c r="W75"/>
      <c r="X75"/>
      <c r="Y75"/>
      <c r="Z75"/>
      <c r="AA75"/>
      <c r="AB75"/>
      <c r="AC75"/>
      <c r="AD75"/>
      <c r="AE75"/>
      <c r="AF75"/>
    </row>
    <row r="76" spans="1:32" ht="15.75" customHeight="1">
      <c r="A76" s="1360"/>
      <c r="B76" s="2619"/>
      <c r="C76" s="2616" t="str">
        <f>IF(D76="","",MAX(C$9:C75)+1)</f>
        <v/>
      </c>
      <c r="D76" s="2633"/>
      <c r="E76" s="2626"/>
      <c r="F76" s="2626"/>
      <c r="G76" s="2626"/>
      <c r="H76" s="2626"/>
      <c r="I76" s="2626"/>
      <c r="J76" s="2626"/>
      <c r="K76" s="2626"/>
      <c r="L76" s="2626"/>
      <c r="M76" s="2626"/>
      <c r="N76" s="2626"/>
      <c r="O76" s="2626"/>
      <c r="P76" s="2626"/>
      <c r="Q76" s="2626"/>
    </row>
    <row r="77" spans="1:32" s="2620" customFormat="1" ht="15.75" customHeight="1">
      <c r="A77" s="1360"/>
      <c r="B77" s="1463"/>
      <c r="C77" s="1476">
        <f>IF(D77="","",MAX(C$9:C76)+1)</f>
        <v>52</v>
      </c>
      <c r="D77" s="1482" t="s">
        <v>655</v>
      </c>
      <c r="E77" s="1490">
        <f>'Fin Forecast - Elec'!I99</f>
        <v>-31207331.721490145</v>
      </c>
      <c r="F77" s="1490">
        <f>'Fin Forecast - Elec'!J99</f>
        <v>28631491.968787134</v>
      </c>
      <c r="G77" s="1490">
        <f>'Fin Forecast - Elec'!K99</f>
        <v>702.43057480454445</v>
      </c>
      <c r="H77" s="1490">
        <f>'Fin Forecast - Elec'!L99</f>
        <v>1677.8950741589069</v>
      </c>
      <c r="I77" s="1490">
        <f>'Fin Forecast - Elec'!M99</f>
        <v>-2757.1525196731091</v>
      </c>
      <c r="J77" s="1490">
        <f>'Fin Forecast - Elec'!N99</f>
        <v>-2822.2624964118004</v>
      </c>
      <c r="K77" s="1490">
        <f>'Fin Forecast - Elec'!O99</f>
        <v>-3902.5747165679932</v>
      </c>
      <c r="L77" s="1490">
        <f>'Fin Forecast - Elec'!P99</f>
        <v>-9089.1025958657265</v>
      </c>
      <c r="M77" s="1490">
        <f>'Fin Forecast - Elec'!Q99</f>
        <v>-7723.736022233963</v>
      </c>
      <c r="N77" s="1490">
        <f>'Fin Forecast - Elec'!R99</f>
        <v>-277.44714224338531</v>
      </c>
      <c r="O77" s="1490">
        <f>'Fin Forecast - Elec'!S99</f>
        <v>1719.1077291369438</v>
      </c>
      <c r="P77" s="1490">
        <f>'Fin Forecast - Elec'!T99</f>
        <v>-1053.4634068608284</v>
      </c>
      <c r="Q77" s="1490">
        <f>'Fin Forecast - Elec'!U99</f>
        <v>731.36521291732788</v>
      </c>
      <c r="R77"/>
      <c r="S77"/>
      <c r="T77"/>
      <c r="U77"/>
      <c r="V77"/>
      <c r="W77"/>
      <c r="X77"/>
      <c r="Y77"/>
      <c r="Z77"/>
      <c r="AA77"/>
      <c r="AB77"/>
      <c r="AC77"/>
      <c r="AD77"/>
      <c r="AE77"/>
      <c r="AF77"/>
    </row>
    <row r="78" spans="1:32" ht="15.75" customHeight="1">
      <c r="A78" s="1360"/>
      <c r="B78" s="2619"/>
      <c r="C78" s="2616" t="str">
        <f>IF(D78="","",MAX(C$9:C77)+1)</f>
        <v/>
      </c>
      <c r="D78" s="2634"/>
      <c r="E78" s="2626"/>
      <c r="F78" s="2626"/>
      <c r="G78" s="2626"/>
      <c r="H78" s="2626"/>
      <c r="I78" s="2626"/>
      <c r="J78" s="2626"/>
      <c r="K78" s="2626"/>
      <c r="L78" s="2626"/>
      <c r="M78" s="2626"/>
      <c r="N78" s="2626"/>
      <c r="O78" s="2626"/>
      <c r="P78" s="2626"/>
      <c r="Q78" s="2626"/>
    </row>
    <row r="79" spans="1:32" s="2620" customFormat="1" ht="15.75" customHeight="1">
      <c r="A79" s="1360"/>
      <c r="B79" s="1463"/>
      <c r="C79" s="1476">
        <f>IF(D79="","",MAX(C$9:C78)+1)</f>
        <v>53</v>
      </c>
      <c r="D79" s="1480" t="s">
        <v>273</v>
      </c>
      <c r="E79" s="1490">
        <f>'Fin Forecast - Elec'!I101</f>
        <v>42976632.878629848</v>
      </c>
      <c r="F79" s="1490">
        <f>'Fin Forecast - Elec'!J101</f>
        <v>71608124.847416982</v>
      </c>
      <c r="G79" s="1490">
        <f>'Fin Forecast - Elec'!K101</f>
        <v>71608827.277991787</v>
      </c>
      <c r="H79" s="1490">
        <f>'Fin Forecast - Elec'!L101</f>
        <v>71610505.173065946</v>
      </c>
      <c r="I79" s="1490">
        <f>'Fin Forecast - Elec'!M101</f>
        <v>71607748.020546272</v>
      </c>
      <c r="J79" s="1490">
        <f>'Fin Forecast - Elec'!N101</f>
        <v>71604925.758049861</v>
      </c>
      <c r="K79" s="1490">
        <f>'Fin Forecast - Elec'!O101</f>
        <v>71601023.183333293</v>
      </c>
      <c r="L79" s="1490">
        <f>'Fin Forecast - Elec'!P101</f>
        <v>71591934.080737427</v>
      </c>
      <c r="M79" s="1490">
        <f>'Fin Forecast - Elec'!Q101</f>
        <v>71584210.344715193</v>
      </c>
      <c r="N79" s="1490">
        <f>'Fin Forecast - Elec'!R101</f>
        <v>71583932.89757295</v>
      </c>
      <c r="O79" s="1490">
        <f>'Fin Forecast - Elec'!S101</f>
        <v>71585652.005302086</v>
      </c>
      <c r="P79" s="1490">
        <f>'Fin Forecast - Elec'!T101</f>
        <v>71584598.541895226</v>
      </c>
      <c r="Q79" s="1490">
        <f>'Fin Forecast - Elec'!U101</f>
        <v>71585329.907108143</v>
      </c>
      <c r="R79"/>
      <c r="S79"/>
      <c r="T79"/>
      <c r="U79"/>
      <c r="V79"/>
      <c r="W79"/>
      <c r="X79"/>
      <c r="Y79"/>
      <c r="Z79"/>
      <c r="AA79"/>
      <c r="AB79"/>
      <c r="AC79"/>
      <c r="AD79"/>
      <c r="AE79"/>
      <c r="AF79"/>
    </row>
    <row r="80" spans="1:32" ht="15.75" customHeight="1">
      <c r="A80" s="1360"/>
      <c r="B80" s="2619"/>
      <c r="C80" s="2616" t="str">
        <f>IF(D80="","",MAX(C$9:C79)+1)</f>
        <v/>
      </c>
      <c r="D80" s="2620"/>
      <c r="E80" s="2635"/>
      <c r="F80" s="2635"/>
      <c r="G80" s="2635"/>
      <c r="H80" s="2635"/>
      <c r="I80" s="2635"/>
      <c r="J80" s="2635"/>
      <c r="K80" s="2635"/>
      <c r="L80" s="2635"/>
      <c r="M80" s="2635"/>
      <c r="N80" s="2635"/>
      <c r="O80" s="2635"/>
      <c r="P80" s="2635"/>
      <c r="Q80" s="2635"/>
    </row>
    <row r="81" spans="1:32" s="2620" customFormat="1" ht="15.75">
      <c r="A81" s="1360"/>
      <c r="B81" s="1463"/>
      <c r="C81" s="1476">
        <f>IF(D81="","",MAX(C$9:C80)+1)</f>
        <v>54</v>
      </c>
      <c r="D81" s="1480" t="s">
        <v>2216</v>
      </c>
      <c r="E81" s="2589">
        <f>'Fin Forecast - Elec'!I103</f>
        <v>6.9366360833637435</v>
      </c>
      <c r="F81" s="2589">
        <f>'Fin Forecast - Elec'!J103</f>
        <v>10.798615840978993</v>
      </c>
      <c r="G81" s="2589">
        <f>'Fin Forecast - Elec'!K103</f>
        <v>11.243122201029101</v>
      </c>
      <c r="H81" s="2589">
        <f>'Fin Forecast - Elec'!L103</f>
        <v>8.4798079072927042</v>
      </c>
      <c r="I81" s="2589">
        <f>'Fin Forecast - Elec'!M103</f>
        <v>7.9555256540120292</v>
      </c>
      <c r="J81" s="2589">
        <f>'Fin Forecast - Elec'!N103</f>
        <v>3.848557892321915</v>
      </c>
      <c r="K81" s="2589">
        <f>'Fin Forecast - Elec'!O103</f>
        <v>3.7364266022950554</v>
      </c>
      <c r="L81" s="2589">
        <f>'Fin Forecast - Elec'!P103</f>
        <v>4.2579358136207075</v>
      </c>
      <c r="M81" s="2589">
        <f>'Fin Forecast - Elec'!Q103</f>
        <v>4.8026126119241077</v>
      </c>
      <c r="N81" s="2589">
        <f>'Fin Forecast - Elec'!R103</f>
        <v>5.8687348926906138</v>
      </c>
      <c r="O81" s="2589">
        <f>'Fin Forecast - Elec'!S103</f>
        <v>16.601835252575203</v>
      </c>
      <c r="P81" s="2589">
        <f>'Fin Forecast - Elec'!T103</f>
        <v>18.394165563597618</v>
      </c>
      <c r="Q81" s="2589">
        <f>'Fin Forecast - Elec'!U103</f>
        <v>21.429906934160154</v>
      </c>
      <c r="R81"/>
      <c r="S81"/>
      <c r="T81"/>
      <c r="U81"/>
      <c r="V81"/>
      <c r="W81"/>
      <c r="X81"/>
      <c r="Y81"/>
      <c r="Z81"/>
      <c r="AA81"/>
      <c r="AB81"/>
      <c r="AC81"/>
      <c r="AD81"/>
      <c r="AE81"/>
      <c r="AF81"/>
    </row>
    <row r="82" spans="1:32" ht="15.75">
      <c r="A82" s="1360"/>
    </row>
    <row r="83" spans="1:32" ht="15.75">
      <c r="A83" s="1360"/>
    </row>
    <row r="84" spans="1:32" ht="15.75">
      <c r="A84" s="1360"/>
    </row>
    <row r="85" spans="1:32" ht="15.75">
      <c r="A85" s="1360"/>
    </row>
    <row r="86" spans="1:32" ht="15.75">
      <c r="A86" s="1360"/>
    </row>
    <row r="87" spans="1:32" ht="15.75">
      <c r="A87" s="1360"/>
    </row>
    <row r="88" spans="1:32" ht="15.75"/>
    <row r="89" spans="1:32" ht="15.75"/>
    <row r="90" spans="1:32" ht="15.75"/>
    <row r="91" spans="1:32" ht="15.75"/>
    <row r="92" spans="1:32" ht="15.75"/>
    <row r="93" spans="1:32" ht="15.75"/>
    <row r="94" spans="1:32" ht="15.75"/>
    <row r="95" spans="1:32" ht="15.75"/>
    <row r="96" spans="1:32" ht="15.75"/>
    <row r="97" ht="15.75"/>
    <row r="98" ht="15.75"/>
    <row r="99" ht="15.75"/>
    <row r="100" ht="15.75"/>
    <row r="101" ht="15.75"/>
    <row r="102" ht="15.75"/>
    <row r="103" ht="15.75"/>
    <row r="104" ht="15.75"/>
    <row r="105" ht="15.75"/>
    <row r="106" ht="15.75"/>
    <row r="107" ht="15.75"/>
    <row r="108" ht="15.75"/>
    <row r="109" ht="15.75"/>
    <row r="110" ht="15.75"/>
    <row r="111" ht="15.75"/>
    <row r="112" ht="15.75"/>
    <row r="113" ht="15.75"/>
    <row r="114" ht="15.75"/>
    <row r="115" ht="15.75"/>
    <row r="116" ht="15.75"/>
    <row r="117" ht="15.75"/>
    <row r="118" ht="15.75"/>
    <row r="119" ht="15.75"/>
    <row r="120" ht="15.75"/>
    <row r="121" ht="15.75"/>
    <row r="122" ht="15.75"/>
    <row r="123" ht="15.75"/>
    <row r="124" ht="15.75"/>
    <row r="125" ht="15.75"/>
    <row r="126" ht="15.75"/>
    <row r="127" ht="15.75"/>
    <row r="128" ht="15.75"/>
    <row r="129" ht="15.75"/>
    <row r="130" ht="15.75"/>
    <row r="131" ht="15.75"/>
    <row r="132" ht="15.75"/>
    <row r="133" ht="15.75"/>
    <row r="134" ht="15.75"/>
    <row r="135" ht="15.75"/>
    <row r="136" ht="15.75"/>
    <row r="137" ht="15.75"/>
    <row r="138" ht="15.75"/>
    <row r="139" ht="15.75"/>
    <row r="140" ht="15.75"/>
    <row r="141" ht="15.75"/>
    <row r="142" ht="15.75"/>
    <row r="143" ht="15.75"/>
    <row r="144" ht="15.75"/>
    <row r="145" ht="15.75"/>
    <row r="146" ht="15.75"/>
    <row r="147" ht="15.75"/>
    <row r="148" ht="15.75"/>
    <row r="149" ht="15.75"/>
    <row r="150" ht="15.75"/>
    <row r="151" ht="15.75"/>
    <row r="152" ht="15.75"/>
    <row r="153" ht="15.75"/>
    <row r="154" ht="15.75"/>
    <row r="155" ht="15.75"/>
    <row r="156" ht="15.75"/>
    <row r="157" ht="15.75"/>
    <row r="158" ht="15.75"/>
    <row r="159" ht="15.75"/>
    <row r="160"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row r="195" ht="15.75"/>
    <row r="196" ht="15.75"/>
    <row r="197" ht="15.75"/>
    <row r="198" ht="15.75"/>
    <row r="199" ht="15.75"/>
    <row r="200" ht="15.75"/>
    <row r="201" ht="15.75"/>
    <row r="202" ht="15.75"/>
    <row r="203" ht="15.75"/>
    <row r="204" ht="15.75"/>
    <row r="205" ht="15.75"/>
    <row r="206" ht="15.75"/>
    <row r="207" ht="15.75"/>
    <row r="208" ht="15.75"/>
    <row r="209" ht="15.75"/>
    <row r="210" ht="15.75"/>
    <row r="211" ht="15.75"/>
    <row r="212" ht="15.75"/>
    <row r="213" ht="15.75"/>
    <row r="214" ht="15.75"/>
    <row r="215" ht="15.75"/>
    <row r="216" ht="15.75"/>
    <row r="217" ht="15.75"/>
    <row r="218" ht="15.75"/>
    <row r="219" ht="15.75"/>
    <row r="220" ht="15.75"/>
    <row r="221" ht="15.75"/>
    <row r="222" ht="15.75"/>
    <row r="223" ht="15.75"/>
    <row r="224" ht="15.75"/>
    <row r="225" ht="15.75"/>
    <row r="226" ht="15.75"/>
    <row r="227" ht="15.75"/>
    <row r="228" ht="15.75"/>
    <row r="229" ht="15.75"/>
    <row r="230" ht="15.75"/>
    <row r="231" ht="15.75"/>
    <row r="232" ht="15.75"/>
    <row r="233" ht="15.75"/>
    <row r="234" ht="15.75"/>
    <row r="235" ht="15.75"/>
    <row r="236" ht="15.75"/>
    <row r="237" ht="15.75"/>
    <row r="238" ht="15.75"/>
    <row r="239" ht="15.75"/>
    <row r="240" ht="15.75"/>
    <row r="241" ht="15.75"/>
    <row r="242" ht="15.75"/>
    <row r="243" ht="15.75"/>
    <row r="244" ht="15.75"/>
    <row r="245" ht="15.75"/>
    <row r="246" ht="15.75"/>
    <row r="247" ht="15.75"/>
    <row r="248" ht="15.75"/>
    <row r="249" ht="15.75"/>
    <row r="250" ht="15.75"/>
    <row r="251" ht="15.75"/>
    <row r="252" ht="15.75"/>
    <row r="253" ht="15.75"/>
    <row r="254" ht="15.75"/>
    <row r="255" ht="15.75"/>
    <row r="256" ht="15.75"/>
    <row r="257" ht="15.75"/>
    <row r="258" ht="15.75"/>
    <row r="259" ht="15.75"/>
    <row r="260" ht="15.75"/>
    <row r="261" ht="15.75"/>
    <row r="262" ht="15.75"/>
  </sheetData>
  <mergeCells count="8">
    <mergeCell ref="C39:C40"/>
    <mergeCell ref="D39:D40"/>
    <mergeCell ref="E39:O39"/>
    <mergeCell ref="C2:E2"/>
    <mergeCell ref="C3:E3"/>
    <mergeCell ref="C6:C7"/>
    <mergeCell ref="D6:D7"/>
    <mergeCell ref="E6:O6"/>
  </mergeCells>
  <printOptions horizontalCentered="1"/>
  <pageMargins left="0.5" right="0.5" top="0.5" bottom="0.5" header="0.5" footer="0.25"/>
  <pageSetup scale="35" fitToHeight="0" orientation="landscape" r:id="rId1"/>
  <headerFooter alignWithMargins="0">
    <oddFooter>&amp;L&amp;"Times New Roman,Bold Italic"&amp;F: &amp;A&amp;C&amp;"Times New Roman,Bold Italic"Date: &amp;D&amp;R&amp;"Times New Roman,Bold Italic"Page: &amp;P of &amp;N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pageSetUpPr fitToPage="1"/>
  </sheetPr>
  <dimension ref="A1:Y697"/>
  <sheetViews>
    <sheetView showGridLines="0" zoomScale="55" zoomScaleNormal="55" workbookViewId="0">
      <pane xSplit="5" ySplit="11" topLeftCell="F12" activePane="bottomRight" state="frozen"/>
      <selection activeCell="I98" sqref="I98"/>
      <selection pane="topRight" activeCell="I98" sqref="I98"/>
      <selection pane="bottomLeft" activeCell="I98" sqref="I98"/>
      <selection pane="bottomRight" activeCell="G12" sqref="G12"/>
    </sheetView>
  </sheetViews>
  <sheetFormatPr defaultRowHeight="0" customHeight="1" zeroHeight="1"/>
  <cols>
    <col min="1" max="1" width="22.5" customWidth="1"/>
    <col min="2" max="2" width="2" customWidth="1"/>
    <col min="3" max="3" width="6.75" bestFit="1" customWidth="1"/>
    <col min="4" max="4" width="29.625" bestFit="1" customWidth="1"/>
    <col min="5" max="5" width="14" bestFit="1" customWidth="1"/>
    <col min="6" max="6" width="9.625" bestFit="1" customWidth="1"/>
    <col min="7" max="7" width="12" bestFit="1" customWidth="1"/>
    <col min="8" max="8" width="17.875" bestFit="1" customWidth="1"/>
    <col min="9" max="9" width="16" bestFit="1" customWidth="1"/>
    <col min="10" max="10" width="14.5" bestFit="1" customWidth="1"/>
    <col min="11" max="12" width="10.375" bestFit="1" customWidth="1"/>
    <col min="13" max="13" width="17.875" bestFit="1" customWidth="1"/>
    <col min="14" max="14" width="8.5" bestFit="1" customWidth="1"/>
    <col min="15" max="15" width="8.125" bestFit="1" customWidth="1"/>
    <col min="16" max="16" width="8.5" bestFit="1" customWidth="1"/>
    <col min="17" max="17" width="8.125" bestFit="1" customWidth="1"/>
    <col min="18" max="18" width="12" bestFit="1" customWidth="1"/>
    <col min="19" max="19" width="10.125" bestFit="1" customWidth="1"/>
    <col min="20" max="20" width="13.25" bestFit="1" customWidth="1"/>
    <col min="21" max="21" width="17" bestFit="1" customWidth="1"/>
    <col min="22" max="22" width="14.625" bestFit="1" customWidth="1"/>
    <col min="23" max="23" width="12" bestFit="1" customWidth="1"/>
    <col min="24" max="24" width="13.125" bestFit="1" customWidth="1"/>
    <col min="25" max="42" width="16.625" customWidth="1"/>
  </cols>
  <sheetData>
    <row r="1" spans="1:25" ht="22.5">
      <c r="A1" s="411"/>
      <c r="C1" s="14"/>
      <c r="D1" s="4405" t="s">
        <v>167</v>
      </c>
      <c r="E1" s="4405"/>
      <c r="F1" s="4405"/>
      <c r="G1" s="4405"/>
      <c r="H1" s="4405"/>
      <c r="I1" s="4405"/>
      <c r="J1" s="4405"/>
      <c r="K1" s="4405"/>
      <c r="L1" s="4405"/>
      <c r="M1" s="4405"/>
      <c r="N1" s="4405"/>
      <c r="O1" s="4405"/>
      <c r="P1" s="4405"/>
      <c r="Q1" s="4405"/>
      <c r="R1" s="4405"/>
      <c r="S1" s="4405"/>
      <c r="T1" s="4405"/>
      <c r="U1" s="4405"/>
      <c r="V1" s="4405"/>
      <c r="W1" s="4405"/>
    </row>
    <row r="2" spans="1:25" ht="22.5">
      <c r="A2" s="411"/>
      <c r="C2" s="14"/>
      <c r="D2" s="4405" t="str">
        <f>Client</f>
        <v>Grant County Public Utility District</v>
      </c>
      <c r="E2" s="4405"/>
      <c r="F2" s="4405"/>
      <c r="G2" s="4405"/>
      <c r="H2" s="4405"/>
      <c r="I2" s="4405"/>
      <c r="J2" s="4405"/>
      <c r="K2" s="4405"/>
      <c r="L2" s="4405"/>
      <c r="M2" s="4405"/>
      <c r="N2" s="4405"/>
      <c r="O2" s="4405"/>
      <c r="P2" s="4405"/>
      <c r="Q2" s="4405"/>
      <c r="R2" s="4405"/>
      <c r="S2" s="4405"/>
      <c r="T2" s="4405"/>
      <c r="U2" s="4405"/>
      <c r="V2" s="4405"/>
      <c r="W2" s="4405"/>
    </row>
    <row r="3" spans="1:25" ht="22.5">
      <c r="A3" s="411"/>
      <c r="C3" s="14"/>
      <c r="D3" s="4405" t="s">
        <v>116</v>
      </c>
      <c r="E3" s="4405"/>
      <c r="F3" s="4405"/>
      <c r="G3" s="4405"/>
      <c r="H3" s="4405"/>
      <c r="I3" s="4405"/>
      <c r="J3" s="4405"/>
      <c r="K3" s="4405"/>
      <c r="L3" s="4405"/>
      <c r="M3" s="4405"/>
      <c r="N3" s="4405"/>
      <c r="O3" s="4405"/>
      <c r="P3" s="4405"/>
      <c r="Q3" s="4405"/>
      <c r="R3" s="4405"/>
      <c r="S3" s="4405"/>
      <c r="T3" s="4405"/>
      <c r="U3" s="4405"/>
      <c r="V3" s="4405"/>
      <c r="W3" s="4405"/>
    </row>
    <row r="4" spans="1:25" ht="16.5" customHeight="1">
      <c r="A4" s="411"/>
      <c r="C4" s="14"/>
    </row>
    <row r="5" spans="1:25" ht="16.5" customHeight="1">
      <c r="A5" s="411"/>
      <c r="C5" s="14"/>
    </row>
    <row r="6" spans="1:25" ht="16.5" customHeight="1">
      <c r="A6" s="411"/>
      <c r="C6" s="14"/>
    </row>
    <row r="7" spans="1:25" ht="16.5" customHeight="1">
      <c r="A7" s="411"/>
      <c r="C7" s="12"/>
      <c r="F7" s="2579" t="s">
        <v>674</v>
      </c>
      <c r="G7" s="2579" t="s">
        <v>155</v>
      </c>
      <c r="H7" s="2579" t="s">
        <v>675</v>
      </c>
      <c r="I7" s="2579" t="s">
        <v>676</v>
      </c>
      <c r="J7" s="2579" t="s">
        <v>677</v>
      </c>
      <c r="K7" s="2579" t="s">
        <v>140</v>
      </c>
      <c r="L7" s="2579" t="s">
        <v>141</v>
      </c>
      <c r="M7" s="2579" t="s">
        <v>142</v>
      </c>
      <c r="N7" s="2579" t="s">
        <v>143</v>
      </c>
      <c r="O7" s="2579" t="s">
        <v>145</v>
      </c>
      <c r="P7" s="2579" t="s">
        <v>146</v>
      </c>
      <c r="Q7" s="2579" t="s">
        <v>147</v>
      </c>
      <c r="R7" s="2579" t="s">
        <v>148</v>
      </c>
      <c r="S7" s="2579" t="s">
        <v>149</v>
      </c>
      <c r="T7" s="2579" t="s">
        <v>150</v>
      </c>
      <c r="U7" s="2579" t="s">
        <v>151</v>
      </c>
      <c r="V7" s="2579" t="s">
        <v>153</v>
      </c>
      <c r="W7" s="2579" t="s">
        <v>154</v>
      </c>
    </row>
    <row r="8" spans="1:25" ht="16.5" customHeight="1">
      <c r="A8" s="411"/>
      <c r="C8" s="3264"/>
      <c r="D8" s="3265"/>
      <c r="E8" s="3265"/>
      <c r="F8" s="4630" t="s">
        <v>900</v>
      </c>
      <c r="G8" s="4631"/>
      <c r="H8" s="4632" t="s">
        <v>600</v>
      </c>
      <c r="I8" s="4633" t="s">
        <v>601</v>
      </c>
      <c r="J8" s="4633"/>
      <c r="K8" s="4633"/>
      <c r="L8" s="4633"/>
      <c r="M8" s="4633"/>
      <c r="N8" s="4633"/>
      <c r="O8" s="4633"/>
      <c r="P8" s="3266"/>
      <c r="Q8" s="3266"/>
      <c r="R8" s="3266"/>
      <c r="S8" s="3266"/>
      <c r="T8" s="3239" t="s">
        <v>608</v>
      </c>
      <c r="U8" s="3265"/>
      <c r="V8" s="3265"/>
      <c r="W8" s="3267"/>
      <c r="X8" s="5"/>
    </row>
    <row r="9" spans="1:25" ht="16.5" customHeight="1">
      <c r="A9" s="411"/>
      <c r="C9" s="3268"/>
      <c r="D9" s="3181"/>
      <c r="E9" s="3181"/>
      <c r="F9" s="4589"/>
      <c r="G9" s="4590"/>
      <c r="H9" s="4592"/>
      <c r="I9" s="4594" t="s">
        <v>168</v>
      </c>
      <c r="J9" s="4594"/>
      <c r="K9" s="4594"/>
      <c r="L9" s="4594"/>
      <c r="M9" s="4594"/>
      <c r="N9" s="4594"/>
      <c r="O9" s="4595"/>
      <c r="P9" s="4596" t="s">
        <v>606</v>
      </c>
      <c r="Q9" s="4594"/>
      <c r="R9" s="4594"/>
      <c r="S9" s="4594"/>
      <c r="T9" s="2600" t="s">
        <v>169</v>
      </c>
      <c r="U9" s="3181"/>
      <c r="V9" s="3181"/>
      <c r="W9" s="3269"/>
      <c r="X9" s="5"/>
    </row>
    <row r="10" spans="1:25" ht="16.5" customHeight="1">
      <c r="A10" s="411"/>
      <c r="C10" s="4625" t="s">
        <v>867</v>
      </c>
      <c r="D10" s="4613" t="s">
        <v>399</v>
      </c>
      <c r="E10" s="3166" t="s">
        <v>865</v>
      </c>
      <c r="F10" s="4603" t="s">
        <v>605</v>
      </c>
      <c r="G10" s="4601" t="s">
        <v>168</v>
      </c>
      <c r="H10" s="4601" t="s">
        <v>168</v>
      </c>
      <c r="I10" s="4605" t="s">
        <v>170</v>
      </c>
      <c r="J10" s="3167" t="s">
        <v>486</v>
      </c>
      <c r="K10" s="3167" t="s">
        <v>2988</v>
      </c>
      <c r="L10" s="3167" t="s">
        <v>2989</v>
      </c>
      <c r="M10" s="3169" t="s">
        <v>867</v>
      </c>
      <c r="N10" s="4596" t="s">
        <v>857</v>
      </c>
      <c r="O10" s="4595"/>
      <c r="P10" s="4607" t="s">
        <v>858</v>
      </c>
      <c r="Q10" s="4608"/>
      <c r="R10" s="4601" t="s">
        <v>171</v>
      </c>
      <c r="S10" s="4601" t="s">
        <v>172</v>
      </c>
      <c r="T10" s="2600" t="s">
        <v>173</v>
      </c>
      <c r="U10" s="4597" t="str">
        <f>COS_RB!W9</f>
        <v>Street Lights</v>
      </c>
      <c r="V10" s="3169" t="s">
        <v>683</v>
      </c>
      <c r="W10" s="3270" t="s">
        <v>210</v>
      </c>
      <c r="X10" s="5"/>
    </row>
    <row r="11" spans="1:25" ht="16.5" customHeight="1">
      <c r="A11" s="411"/>
      <c r="C11" s="4626"/>
      <c r="D11" s="4627"/>
      <c r="E11" s="3271" t="s">
        <v>122</v>
      </c>
      <c r="F11" s="4628"/>
      <c r="G11" s="4629"/>
      <c r="H11" s="4629"/>
      <c r="I11" s="4635"/>
      <c r="J11" s="3272" t="s">
        <v>175</v>
      </c>
      <c r="K11" s="3272" t="s">
        <v>175</v>
      </c>
      <c r="L11" s="3272" t="s">
        <v>175</v>
      </c>
      <c r="M11" s="3273" t="s">
        <v>856</v>
      </c>
      <c r="N11" s="3273" t="s">
        <v>985</v>
      </c>
      <c r="O11" s="3273" t="s">
        <v>986</v>
      </c>
      <c r="P11" s="3246" t="s">
        <v>985</v>
      </c>
      <c r="Q11" s="3246" t="s">
        <v>986</v>
      </c>
      <c r="R11" s="4629"/>
      <c r="S11" s="4629"/>
      <c r="T11" s="3273" t="s">
        <v>603</v>
      </c>
      <c r="U11" s="4634"/>
      <c r="V11" s="3273" t="s">
        <v>606</v>
      </c>
      <c r="W11" s="3274" t="s">
        <v>861</v>
      </c>
      <c r="X11" s="5"/>
    </row>
    <row r="12" spans="1:25" s="20" customFormat="1" ht="15.75">
      <c r="A12" s="411"/>
      <c r="B12" s="225"/>
      <c r="C12" s="342"/>
      <c r="D12" s="252"/>
      <c r="E12" s="252"/>
      <c r="F12" s="313"/>
      <c r="G12" s="313"/>
      <c r="H12" s="313"/>
      <c r="I12" s="313"/>
      <c r="J12" s="313"/>
      <c r="K12" s="313"/>
      <c r="L12" s="313"/>
      <c r="M12" s="313"/>
      <c r="N12" s="313"/>
      <c r="O12" s="313"/>
      <c r="P12" s="313"/>
      <c r="Q12" s="313"/>
      <c r="R12" s="313"/>
      <c r="S12" s="313"/>
      <c r="T12" s="313"/>
      <c r="U12" s="313"/>
      <c r="V12" s="313"/>
      <c r="W12" s="313"/>
      <c r="X12" s="137"/>
      <c r="Y12"/>
    </row>
    <row r="13" spans="1:25" s="20" customFormat="1" ht="16.5" customHeight="1">
      <c r="A13" s="411"/>
      <c r="B13" s="225"/>
      <c r="C13" s="2839">
        <f>+MAX(C$12:C12)+1</f>
        <v>1</v>
      </c>
      <c r="D13" s="2840" t="str">
        <f>COS_RR!E260</f>
        <v>Intangible Plant OC</v>
      </c>
      <c r="E13" s="2841">
        <f t="shared" ref="E13:E55" si="0">SUM(F13:W13)</f>
        <v>1</v>
      </c>
      <c r="F13" s="2842">
        <f>COS_RR!J260</f>
        <v>0</v>
      </c>
      <c r="G13" s="2842">
        <f>COS_RR!K260</f>
        <v>1</v>
      </c>
      <c r="H13" s="2842">
        <f>COS_RR!L260</f>
        <v>0</v>
      </c>
      <c r="I13" s="2842">
        <f>COS_RR!M260</f>
        <v>0</v>
      </c>
      <c r="J13" s="2842">
        <f>COS_RR!N260</f>
        <v>0</v>
      </c>
      <c r="K13" s="2842">
        <f>COS_RR!O260</f>
        <v>0</v>
      </c>
      <c r="L13" s="2842">
        <f>COS_RR!P260</f>
        <v>0</v>
      </c>
      <c r="M13" s="2842">
        <f>COS_RR!Q260</f>
        <v>0</v>
      </c>
      <c r="N13" s="2842">
        <f>COS_RR!R260</f>
        <v>0</v>
      </c>
      <c r="O13" s="2842">
        <f>COS_RR!S260</f>
        <v>0</v>
      </c>
      <c r="P13" s="2842">
        <f>COS_RR!T260</f>
        <v>0</v>
      </c>
      <c r="Q13" s="2842">
        <f>COS_RR!U260</f>
        <v>0</v>
      </c>
      <c r="R13" s="2842">
        <f>COS_RR!V260</f>
        <v>0</v>
      </c>
      <c r="S13" s="2842">
        <f>COS_RR!W260</f>
        <v>0</v>
      </c>
      <c r="T13" s="2842">
        <f>COS_RR!X260</f>
        <v>0</v>
      </c>
      <c r="U13" s="2842">
        <f>COS_RR!Y260</f>
        <v>0</v>
      </c>
      <c r="V13" s="2842">
        <f>COS_RR!Z260</f>
        <v>0</v>
      </c>
      <c r="W13" s="2842">
        <f>COS_RR!AA260</f>
        <v>0</v>
      </c>
      <c r="X13" s="137"/>
      <c r="Y13"/>
    </row>
    <row r="14" spans="1:25" s="20" customFormat="1" ht="16.5" customHeight="1">
      <c r="A14" s="411"/>
      <c r="B14" s="225"/>
      <c r="C14" s="342">
        <f>+MAX(C$12:C13)+1</f>
        <v>2</v>
      </c>
      <c r="D14" s="416" t="str">
        <f>COS_RR!E261</f>
        <v>Trans OC</v>
      </c>
      <c r="E14" s="915">
        <f t="shared" si="0"/>
        <v>1</v>
      </c>
      <c r="F14" s="335">
        <f>COS_RR!J261</f>
        <v>0</v>
      </c>
      <c r="G14" s="335">
        <f>COS_RR!K261</f>
        <v>0</v>
      </c>
      <c r="H14" s="335">
        <f>COS_RR!L261</f>
        <v>1</v>
      </c>
      <c r="I14" s="335">
        <f>COS_RR!M261</f>
        <v>0</v>
      </c>
      <c r="J14" s="335">
        <f>COS_RR!N261</f>
        <v>0</v>
      </c>
      <c r="K14" s="335">
        <f>COS_RR!O261</f>
        <v>0</v>
      </c>
      <c r="L14" s="335">
        <f>COS_RR!P261</f>
        <v>0</v>
      </c>
      <c r="M14" s="335">
        <f>COS_RR!Q261</f>
        <v>0</v>
      </c>
      <c r="N14" s="335">
        <f>COS_RR!R261</f>
        <v>0</v>
      </c>
      <c r="O14" s="335">
        <f>COS_RR!S261</f>
        <v>0</v>
      </c>
      <c r="P14" s="335">
        <f>COS_RR!T261</f>
        <v>0</v>
      </c>
      <c r="Q14" s="335">
        <f>COS_RR!U261</f>
        <v>0</v>
      </c>
      <c r="R14" s="335">
        <f>COS_RR!V261</f>
        <v>0</v>
      </c>
      <c r="S14" s="335">
        <f>COS_RR!W261</f>
        <v>0</v>
      </c>
      <c r="T14" s="335">
        <f>COS_RR!X261</f>
        <v>0</v>
      </c>
      <c r="U14" s="335">
        <f>COS_RR!Y261</f>
        <v>0</v>
      </c>
      <c r="V14" s="335">
        <f>COS_RR!Z261</f>
        <v>0</v>
      </c>
      <c r="W14" s="335">
        <f>COS_RR!AA261</f>
        <v>0</v>
      </c>
      <c r="X14" s="137"/>
      <c r="Y14"/>
    </row>
    <row r="15" spans="1:25" s="20" customFormat="1" ht="16.5" customHeight="1">
      <c r="A15" s="411"/>
      <c r="B15" s="225"/>
      <c r="C15" s="2839">
        <f>+MAX(C$12:C14)+1</f>
        <v>3</v>
      </c>
      <c r="D15" s="2840" t="str">
        <f>COS_RR!E262</f>
        <v>Dist OC</v>
      </c>
      <c r="E15" s="2841">
        <f t="shared" si="0"/>
        <v>0.99999999999999989</v>
      </c>
      <c r="F15" s="2842">
        <f>COS_RR!J262</f>
        <v>0</v>
      </c>
      <c r="G15" s="2842">
        <f>COS_RR!K262</f>
        <v>0</v>
      </c>
      <c r="H15" s="2842">
        <f>COS_RR!L262</f>
        <v>0</v>
      </c>
      <c r="I15" s="2842">
        <f>COS_RR!M262</f>
        <v>0.17900000000000016</v>
      </c>
      <c r="J15" s="2842">
        <f>COS_RR!N262</f>
        <v>0</v>
      </c>
      <c r="K15" s="2842">
        <f>COS_RR!O262</f>
        <v>0</v>
      </c>
      <c r="L15" s="2842">
        <f>COS_RR!P262</f>
        <v>0</v>
      </c>
      <c r="M15" s="2842">
        <f>COS_RR!Q262</f>
        <v>0.1595</v>
      </c>
      <c r="N15" s="2842">
        <f>COS_RR!R262</f>
        <v>5.8599999999999999E-2</v>
      </c>
      <c r="O15" s="2842">
        <f>COS_RR!S262</f>
        <v>0.34649999999999997</v>
      </c>
      <c r="P15" s="2842">
        <f>COS_RR!T262</f>
        <v>4.7199999999999999E-2</v>
      </c>
      <c r="Q15" s="2842">
        <f>COS_RR!U262</f>
        <v>0.12039999999999999</v>
      </c>
      <c r="R15" s="2842">
        <f>COS_RR!V262</f>
        <v>4.3700000000000003E-2</v>
      </c>
      <c r="S15" s="2842">
        <f>COS_RR!W262</f>
        <v>3.0499999999999999E-2</v>
      </c>
      <c r="T15" s="2842">
        <f>COS_RR!X262</f>
        <v>0</v>
      </c>
      <c r="U15" s="2842">
        <f>COS_RR!Y262</f>
        <v>1.46E-2</v>
      </c>
      <c r="V15" s="2842">
        <f>COS_RR!Z262</f>
        <v>0</v>
      </c>
      <c r="W15" s="2842">
        <f>COS_RR!AA262</f>
        <v>0</v>
      </c>
      <c r="X15" s="137"/>
    </row>
    <row r="16" spans="1:25" s="20" customFormat="1" ht="16.5" customHeight="1">
      <c r="A16" s="411"/>
      <c r="B16" s="225"/>
      <c r="C16" s="342">
        <f>+MAX(C$12:C15)+1</f>
        <v>4</v>
      </c>
      <c r="D16" s="416" t="str">
        <f>COS_RR!E263</f>
        <v>Trans &amp; Dist OC</v>
      </c>
      <c r="E16" s="915">
        <f t="shared" si="0"/>
        <v>1</v>
      </c>
      <c r="F16" s="335">
        <f>COS_RR!J263</f>
        <v>0</v>
      </c>
      <c r="G16" s="335">
        <f>COS_RR!K263</f>
        <v>0</v>
      </c>
      <c r="H16" s="335">
        <f>COS_RR!L263</f>
        <v>0.29810000000000003</v>
      </c>
      <c r="I16" s="335">
        <f>COS_RR!M263</f>
        <v>0.12559999999999999</v>
      </c>
      <c r="J16" s="335">
        <f>COS_RR!N263</f>
        <v>0</v>
      </c>
      <c r="K16" s="335">
        <f>COS_RR!O263</f>
        <v>0</v>
      </c>
      <c r="L16" s="335">
        <f>COS_RR!P263</f>
        <v>0</v>
      </c>
      <c r="M16" s="335">
        <f>COS_RR!Q263</f>
        <v>0.112</v>
      </c>
      <c r="N16" s="335">
        <f>COS_RR!R263</f>
        <v>4.1200000000000001E-2</v>
      </c>
      <c r="O16" s="335">
        <f>COS_RR!S263</f>
        <v>0.2432</v>
      </c>
      <c r="P16" s="335">
        <f>COS_RR!T263</f>
        <v>3.3099999999999997E-2</v>
      </c>
      <c r="Q16" s="335">
        <f>COS_RR!U263</f>
        <v>8.4500000000000006E-2</v>
      </c>
      <c r="R16" s="335">
        <f>COS_RR!V263</f>
        <v>3.0700000000000002E-2</v>
      </c>
      <c r="S16" s="335">
        <f>COS_RR!W263</f>
        <v>2.1399999999999999E-2</v>
      </c>
      <c r="T16" s="335">
        <f>COS_RR!X263</f>
        <v>0</v>
      </c>
      <c r="U16" s="335">
        <f>COS_RR!Y263</f>
        <v>1.0200000000000001E-2</v>
      </c>
      <c r="V16" s="335">
        <f>COS_RR!Z263</f>
        <v>0</v>
      </c>
      <c r="W16" s="335">
        <f>COS_RR!AA263</f>
        <v>0</v>
      </c>
      <c r="X16" s="137"/>
    </row>
    <row r="17" spans="1:24" s="20" customFormat="1" ht="16.5" customHeight="1">
      <c r="A17" s="411"/>
      <c r="B17" s="225"/>
      <c r="C17" s="2839">
        <f>+MAX(C$12:C16)+1</f>
        <v>5</v>
      </c>
      <c r="D17" s="2840" t="str">
        <f>COS_RR!E264</f>
        <v>Trans &amp; Dist Sub OC</v>
      </c>
      <c r="E17" s="2841">
        <f t="shared" si="0"/>
        <v>1</v>
      </c>
      <c r="F17" s="2842">
        <f>COS_RR!J264</f>
        <v>0</v>
      </c>
      <c r="G17" s="2842">
        <f>COS_RR!K264</f>
        <v>0</v>
      </c>
      <c r="H17" s="2842">
        <f>COS_RR!L264</f>
        <v>0.70350000000000001</v>
      </c>
      <c r="I17" s="2842">
        <f>COS_RR!M264</f>
        <v>0.29649999999999999</v>
      </c>
      <c r="J17" s="2842">
        <f>COS_RR!N264</f>
        <v>0</v>
      </c>
      <c r="K17" s="2842">
        <f>COS_RR!O264</f>
        <v>0</v>
      </c>
      <c r="L17" s="2842">
        <f>COS_RR!P264</f>
        <v>0</v>
      </c>
      <c r="M17" s="2842">
        <f>COS_RR!Q264</f>
        <v>0</v>
      </c>
      <c r="N17" s="2842">
        <f>COS_RR!R264</f>
        <v>0</v>
      </c>
      <c r="O17" s="2842">
        <f>COS_RR!S264</f>
        <v>0</v>
      </c>
      <c r="P17" s="2842">
        <f>COS_RR!T264</f>
        <v>0</v>
      </c>
      <c r="Q17" s="2842">
        <f>COS_RR!U264</f>
        <v>0</v>
      </c>
      <c r="R17" s="2842">
        <f>COS_RR!V264</f>
        <v>0</v>
      </c>
      <c r="S17" s="2842">
        <f>COS_RR!W264</f>
        <v>0</v>
      </c>
      <c r="T17" s="2842">
        <f>COS_RR!X264</f>
        <v>0</v>
      </c>
      <c r="U17" s="2842">
        <f>COS_RR!Y264</f>
        <v>0</v>
      </c>
      <c r="V17" s="2842">
        <f>COS_RR!Z264</f>
        <v>0</v>
      </c>
      <c r="W17" s="2842">
        <f>COS_RR!AA264</f>
        <v>0</v>
      </c>
      <c r="X17" s="137"/>
    </row>
    <row r="18" spans="1:24" s="20" customFormat="1" ht="16.5" customHeight="1">
      <c r="A18" s="411"/>
      <c r="B18" s="225"/>
      <c r="C18" s="342">
        <f>+MAX(C$12:C17)+1</f>
        <v>6</v>
      </c>
      <c r="D18" s="416" t="str">
        <f>COS_RR!E265</f>
        <v>Total Plant Before Gen Plant</v>
      </c>
      <c r="E18" s="915">
        <f t="shared" si="0"/>
        <v>1</v>
      </c>
      <c r="F18" s="335">
        <f>COS_RR!J265</f>
        <v>0</v>
      </c>
      <c r="G18" s="335">
        <f>COS_RR!K265</f>
        <v>5.0700000000000002E-2</v>
      </c>
      <c r="H18" s="335">
        <f>COS_RR!L265</f>
        <v>0.28310000000000002</v>
      </c>
      <c r="I18" s="335">
        <f>COS_RR!M265</f>
        <v>0.1192</v>
      </c>
      <c r="J18" s="335">
        <f>COS_RR!N265</f>
        <v>0</v>
      </c>
      <c r="K18" s="335">
        <f>COS_RR!O265</f>
        <v>0</v>
      </c>
      <c r="L18" s="335">
        <f>COS_RR!P265</f>
        <v>0</v>
      </c>
      <c r="M18" s="335">
        <f>COS_RR!Q265</f>
        <v>0.10630000000000001</v>
      </c>
      <c r="N18" s="335">
        <f>COS_RR!R265</f>
        <v>3.9100000000000003E-2</v>
      </c>
      <c r="O18" s="335">
        <f>COS_RR!S265</f>
        <v>0.23089999999999999</v>
      </c>
      <c r="P18" s="335">
        <f>COS_RR!T265</f>
        <v>3.1399999999999997E-2</v>
      </c>
      <c r="Q18" s="335">
        <f>COS_RR!U265</f>
        <v>8.0199999999999994E-2</v>
      </c>
      <c r="R18" s="335">
        <f>COS_RR!V265</f>
        <v>2.9100000000000001E-2</v>
      </c>
      <c r="S18" s="335">
        <f>COS_RR!W265</f>
        <v>2.0299999999999999E-2</v>
      </c>
      <c r="T18" s="335">
        <f>COS_RR!X265</f>
        <v>0</v>
      </c>
      <c r="U18" s="335">
        <f>COS_RR!Y265</f>
        <v>9.7000000000000003E-3</v>
      </c>
      <c r="V18" s="335">
        <f>COS_RR!Z265</f>
        <v>0</v>
      </c>
      <c r="W18" s="335">
        <f>COS_RR!AA265</f>
        <v>0</v>
      </c>
      <c r="X18" s="137"/>
    </row>
    <row r="19" spans="1:24" s="20" customFormat="1" ht="16.5" customHeight="1">
      <c r="A19" s="411"/>
      <c r="B19" s="225"/>
      <c r="C19" s="2839">
        <f>+MAX(C$12:C18)+1</f>
        <v>7</v>
      </c>
      <c r="D19" s="2840" t="str">
        <f>COS_RR!E266</f>
        <v>Electric General Plant</v>
      </c>
      <c r="E19" s="2841">
        <f t="shared" si="0"/>
        <v>1</v>
      </c>
      <c r="F19" s="2842">
        <f>COS_RR!J266</f>
        <v>0</v>
      </c>
      <c r="G19" s="2842">
        <f>COS_RR!K266</f>
        <v>5.0700000000000002E-2</v>
      </c>
      <c r="H19" s="2842">
        <f>COS_RR!L266</f>
        <v>0.28310000000000002</v>
      </c>
      <c r="I19" s="2842">
        <f>COS_RR!M266</f>
        <v>0.1192</v>
      </c>
      <c r="J19" s="2842">
        <f>COS_RR!N266</f>
        <v>0</v>
      </c>
      <c r="K19" s="2842">
        <f>COS_RR!O266</f>
        <v>0</v>
      </c>
      <c r="L19" s="2842">
        <f>COS_RR!P266</f>
        <v>0</v>
      </c>
      <c r="M19" s="2842">
        <f>COS_RR!Q266</f>
        <v>0.10630000000000001</v>
      </c>
      <c r="N19" s="2842">
        <f>COS_RR!R266</f>
        <v>3.9100000000000003E-2</v>
      </c>
      <c r="O19" s="2842">
        <f>COS_RR!S266</f>
        <v>0.23089999999999999</v>
      </c>
      <c r="P19" s="2842">
        <f>COS_RR!T266</f>
        <v>3.1399999999999997E-2</v>
      </c>
      <c r="Q19" s="2842">
        <f>COS_RR!U266</f>
        <v>8.0199999999999994E-2</v>
      </c>
      <c r="R19" s="2842">
        <f>COS_RR!V266</f>
        <v>2.9100000000000001E-2</v>
      </c>
      <c r="S19" s="2842">
        <f>COS_RR!W266</f>
        <v>2.0299999999999999E-2</v>
      </c>
      <c r="T19" s="2842">
        <f>COS_RR!X266</f>
        <v>0</v>
      </c>
      <c r="U19" s="2842">
        <f>COS_RR!Y266</f>
        <v>9.7000000000000003E-3</v>
      </c>
      <c r="V19" s="2842">
        <f>COS_RR!Z266</f>
        <v>0</v>
      </c>
      <c r="W19" s="2842">
        <f>COS_RR!AA266</f>
        <v>0</v>
      </c>
      <c r="X19" s="137"/>
    </row>
    <row r="20" spans="1:24" s="20" customFormat="1" ht="16.5" customHeight="1">
      <c r="A20" s="411"/>
      <c r="B20" s="225"/>
      <c r="C20" s="342">
        <f>+MAX(C$12:C19)+1</f>
        <v>8</v>
      </c>
      <c r="D20" s="416" t="str">
        <f>COS_RR!E267</f>
        <v>Supervised O&amp;M</v>
      </c>
      <c r="E20" s="915">
        <f t="shared" si="0"/>
        <v>1.0000000128813407</v>
      </c>
      <c r="F20" s="335">
        <f>COS_RR!J267</f>
        <v>0</v>
      </c>
      <c r="G20" s="335">
        <f>COS_RR!K267</f>
        <v>2.3041702971031416E-2</v>
      </c>
      <c r="H20" s="335">
        <f>COS_RR!L267</f>
        <v>0.10440909891126059</v>
      </c>
      <c r="I20" s="335">
        <f>COS_RR!M267</f>
        <v>0.15812390964342252</v>
      </c>
      <c r="J20" s="335">
        <f>COS_RR!N267</f>
        <v>2.9428985815501092E-2</v>
      </c>
      <c r="K20" s="335">
        <f>COS_RR!O267</f>
        <v>0</v>
      </c>
      <c r="L20" s="335">
        <f>COS_RR!P267</f>
        <v>0</v>
      </c>
      <c r="M20" s="335">
        <f>COS_RR!Q267</f>
        <v>4.811665910852167E-2</v>
      </c>
      <c r="N20" s="335">
        <f>COS_RR!R267</f>
        <v>2.9808521518798734E-2</v>
      </c>
      <c r="O20" s="335">
        <f>COS_RR!S267</f>
        <v>0.1875871098816291</v>
      </c>
      <c r="P20" s="335">
        <f>COS_RR!T267</f>
        <v>2.2151333717303701E-2</v>
      </c>
      <c r="Q20" s="335">
        <f>COS_RR!U267</f>
        <v>5.8293250364810915E-2</v>
      </c>
      <c r="R20" s="335">
        <f>COS_RR!V267</f>
        <v>1.318171731913502E-2</v>
      </c>
      <c r="S20" s="335">
        <f>COS_RR!W267</f>
        <v>0.10863812375202948</v>
      </c>
      <c r="T20" s="335">
        <f>COS_RR!X267</f>
        <v>0.20185869446030555</v>
      </c>
      <c r="U20" s="335">
        <f>COS_RR!Y267</f>
        <v>4.4027852303662003E-3</v>
      </c>
      <c r="V20" s="335">
        <f>COS_RR!Z267</f>
        <v>1.0958120187224552E-2</v>
      </c>
      <c r="W20" s="335">
        <f>COS_RR!AA267</f>
        <v>0</v>
      </c>
      <c r="X20" s="137"/>
    </row>
    <row r="21" spans="1:24" s="20" customFormat="1" ht="16.5" customHeight="1">
      <c r="A21" s="411"/>
      <c r="B21" s="225"/>
      <c r="C21" s="2839">
        <f>+MAX(C$12:C20)+1</f>
        <v>9</v>
      </c>
      <c r="D21" s="2840" t="str">
        <f>COS_RR!E268</f>
        <v>Energy</v>
      </c>
      <c r="E21" s="2841">
        <f t="shared" si="0"/>
        <v>1</v>
      </c>
      <c r="F21" s="2842">
        <f>COS_RR!J268</f>
        <v>1</v>
      </c>
      <c r="G21" s="2842">
        <f>COS_RR!K268</f>
        <v>0</v>
      </c>
      <c r="H21" s="2842">
        <f>COS_RR!L268</f>
        <v>0</v>
      </c>
      <c r="I21" s="2842">
        <f>COS_RR!M268</f>
        <v>0</v>
      </c>
      <c r="J21" s="2842">
        <f>COS_RR!N268</f>
        <v>0</v>
      </c>
      <c r="K21" s="2842">
        <f>COS_RR!O268</f>
        <v>0</v>
      </c>
      <c r="L21" s="2842">
        <f>COS_RR!P268</f>
        <v>0</v>
      </c>
      <c r="M21" s="2842">
        <f>COS_RR!Q268</f>
        <v>0</v>
      </c>
      <c r="N21" s="2842">
        <f>COS_RR!R268</f>
        <v>0</v>
      </c>
      <c r="O21" s="2842">
        <f>COS_RR!S268</f>
        <v>0</v>
      </c>
      <c r="P21" s="2842">
        <f>COS_RR!T268</f>
        <v>0</v>
      </c>
      <c r="Q21" s="2842">
        <f>COS_RR!U268</f>
        <v>0</v>
      </c>
      <c r="R21" s="2842">
        <f>COS_RR!V268</f>
        <v>0</v>
      </c>
      <c r="S21" s="2842">
        <f>COS_RR!W268</f>
        <v>0</v>
      </c>
      <c r="T21" s="2842">
        <f>COS_RR!X268</f>
        <v>0</v>
      </c>
      <c r="U21" s="2842">
        <f>COS_RR!Y268</f>
        <v>0</v>
      </c>
      <c r="V21" s="2842">
        <f>COS_RR!Z268</f>
        <v>0</v>
      </c>
      <c r="W21" s="2842">
        <f>COS_RR!AA268</f>
        <v>0</v>
      </c>
      <c r="X21" s="137"/>
    </row>
    <row r="22" spans="1:24" s="20" customFormat="1" ht="16.5" customHeight="1">
      <c r="A22" s="411"/>
      <c r="B22" s="225"/>
      <c r="C22" s="342">
        <f>+MAX(C$12:C21)+1</f>
        <v>10</v>
      </c>
      <c r="D22" s="416" t="str">
        <f>COS_RR!E269</f>
        <v>Trans - Capacity</v>
      </c>
      <c r="E22" s="915">
        <f t="shared" si="0"/>
        <v>1</v>
      </c>
      <c r="F22" s="335">
        <f>COS_RR!J269</f>
        <v>0</v>
      </c>
      <c r="G22" s="335">
        <f>COS_RR!K269</f>
        <v>0</v>
      </c>
      <c r="H22" s="335">
        <f>COS_RR!L269</f>
        <v>1</v>
      </c>
      <c r="I22" s="335">
        <f>COS_RR!M269</f>
        <v>0</v>
      </c>
      <c r="J22" s="335">
        <f>COS_RR!N269</f>
        <v>0</v>
      </c>
      <c r="K22" s="335">
        <f>COS_RR!O269</f>
        <v>0</v>
      </c>
      <c r="L22" s="335">
        <f>COS_RR!P269</f>
        <v>0</v>
      </c>
      <c r="M22" s="335">
        <f>COS_RR!Q269</f>
        <v>0</v>
      </c>
      <c r="N22" s="335">
        <f>COS_RR!R269</f>
        <v>0</v>
      </c>
      <c r="O22" s="335">
        <f>COS_RR!S269</f>
        <v>0</v>
      </c>
      <c r="P22" s="335">
        <f>COS_RR!T269</f>
        <v>0</v>
      </c>
      <c r="Q22" s="335">
        <f>COS_RR!U269</f>
        <v>0</v>
      </c>
      <c r="R22" s="335">
        <f>COS_RR!V269</f>
        <v>0</v>
      </c>
      <c r="S22" s="335">
        <f>COS_RR!W269</f>
        <v>0</v>
      </c>
      <c r="T22" s="335">
        <f>COS_RR!X269</f>
        <v>0</v>
      </c>
      <c r="U22" s="335">
        <f>COS_RR!Y269</f>
        <v>0</v>
      </c>
      <c r="V22" s="335">
        <f>COS_RR!Z269</f>
        <v>0</v>
      </c>
      <c r="W22" s="335">
        <f>COS_RR!AA269</f>
        <v>0</v>
      </c>
      <c r="X22" s="137"/>
    </row>
    <row r="23" spans="1:24" s="20" customFormat="1" ht="16.5" customHeight="1">
      <c r="A23" s="411"/>
      <c r="B23" s="225"/>
      <c r="C23" s="2839">
        <f>+MAX(C$12:C22)+1</f>
        <v>11</v>
      </c>
      <c r="D23" s="2840" t="str">
        <f>COS_RR!E270</f>
        <v>Substations</v>
      </c>
      <c r="E23" s="2841">
        <f t="shared" si="0"/>
        <v>1</v>
      </c>
      <c r="F23" s="2842">
        <f>COS_RR!J270</f>
        <v>0</v>
      </c>
      <c r="G23" s="2842">
        <f>COS_RR!K270</f>
        <v>0</v>
      </c>
      <c r="H23" s="2842">
        <f>COS_RR!L270</f>
        <v>0</v>
      </c>
      <c r="I23" s="2842">
        <f>COS_RR!M270</f>
        <v>1</v>
      </c>
      <c r="J23" s="2842">
        <f>COS_RR!N270</f>
        <v>0</v>
      </c>
      <c r="K23" s="2842">
        <f>COS_RR!O270</f>
        <v>0</v>
      </c>
      <c r="L23" s="2842">
        <f>COS_RR!P270</f>
        <v>0</v>
      </c>
      <c r="M23" s="2842">
        <f>COS_RR!Q270</f>
        <v>0</v>
      </c>
      <c r="N23" s="2842">
        <f>COS_RR!R270</f>
        <v>0</v>
      </c>
      <c r="O23" s="2842">
        <f>COS_RR!S270</f>
        <v>0</v>
      </c>
      <c r="P23" s="2842">
        <f>COS_RR!T270</f>
        <v>0</v>
      </c>
      <c r="Q23" s="2842">
        <f>COS_RR!U270</f>
        <v>0</v>
      </c>
      <c r="R23" s="2842">
        <f>COS_RR!V270</f>
        <v>0</v>
      </c>
      <c r="S23" s="2842">
        <f>COS_RR!W270</f>
        <v>0</v>
      </c>
      <c r="T23" s="2842">
        <f>COS_RR!X270</f>
        <v>0</v>
      </c>
      <c r="U23" s="2842">
        <f>COS_RR!Y270</f>
        <v>0</v>
      </c>
      <c r="V23" s="2842">
        <f>COS_RR!Z270</f>
        <v>0</v>
      </c>
      <c r="W23" s="2842">
        <f>COS_RR!AA270</f>
        <v>0</v>
      </c>
      <c r="X23" s="137"/>
    </row>
    <row r="24" spans="1:24" s="20" customFormat="1" ht="16.5" customHeight="1">
      <c r="A24" s="411"/>
      <c r="B24" s="225"/>
      <c r="C24" s="342">
        <f>+MAX(C$12:C23)+1</f>
        <v>12</v>
      </c>
      <c r="D24" s="416" t="str">
        <f>COS_RR!E271</f>
        <v>Substations Direct</v>
      </c>
      <c r="E24" s="915">
        <f t="shared" si="0"/>
        <v>1</v>
      </c>
      <c r="F24" s="335">
        <f>COS_RR!J271</f>
        <v>0</v>
      </c>
      <c r="G24" s="335">
        <f>COS_RR!K271</f>
        <v>0</v>
      </c>
      <c r="H24" s="335">
        <f>COS_RR!L271</f>
        <v>0</v>
      </c>
      <c r="I24" s="335">
        <f>COS_RR!M271</f>
        <v>0.62832677620921085</v>
      </c>
      <c r="J24" s="335">
        <f>COS_RR!N271</f>
        <v>0.37167322379078915</v>
      </c>
      <c r="K24" s="335">
        <f>COS_RR!O271</f>
        <v>0</v>
      </c>
      <c r="L24" s="335">
        <f>COS_RR!P271</f>
        <v>0</v>
      </c>
      <c r="M24" s="335">
        <f>COS_RR!Q271</f>
        <v>0</v>
      </c>
      <c r="N24" s="335">
        <f>COS_RR!R271</f>
        <v>0</v>
      </c>
      <c r="O24" s="335">
        <f>COS_RR!S271</f>
        <v>0</v>
      </c>
      <c r="P24" s="335">
        <f>COS_RR!T271</f>
        <v>0</v>
      </c>
      <c r="Q24" s="335">
        <f>COS_RR!U271</f>
        <v>0</v>
      </c>
      <c r="R24" s="335">
        <f>COS_RR!V271</f>
        <v>0</v>
      </c>
      <c r="S24" s="335">
        <f>COS_RR!W271</f>
        <v>0</v>
      </c>
      <c r="T24" s="335">
        <f>COS_RR!X271</f>
        <v>0</v>
      </c>
      <c r="U24" s="335">
        <f>COS_RR!Y271</f>
        <v>0</v>
      </c>
      <c r="V24" s="335">
        <f>COS_RR!Z271</f>
        <v>0</v>
      </c>
      <c r="W24" s="335">
        <f>COS_RR!AA271</f>
        <v>0</v>
      </c>
      <c r="X24" s="137"/>
    </row>
    <row r="25" spans="1:24" s="20" customFormat="1" ht="16.5" customHeight="1">
      <c r="A25" s="411"/>
      <c r="B25" s="225"/>
      <c r="C25" s="2839">
        <f>+MAX(C$12:C24)+1</f>
        <v>13</v>
      </c>
      <c r="D25" s="2840" t="str">
        <f>COS_RR!E272</f>
        <v>Line Transformers</v>
      </c>
      <c r="E25" s="2841">
        <f t="shared" si="0"/>
        <v>1</v>
      </c>
      <c r="F25" s="2842">
        <f>COS_RR!J272</f>
        <v>0</v>
      </c>
      <c r="G25" s="2842">
        <f>COS_RR!K272</f>
        <v>0</v>
      </c>
      <c r="H25" s="2842">
        <f>COS_RR!L272</f>
        <v>0</v>
      </c>
      <c r="I25" s="2842">
        <f>COS_RR!M272</f>
        <v>0</v>
      </c>
      <c r="J25" s="2842">
        <f>COS_RR!N272</f>
        <v>0</v>
      </c>
      <c r="K25" s="2842">
        <f>COS_RR!O272</f>
        <v>0</v>
      </c>
      <c r="L25" s="2842">
        <f>COS_RR!P272</f>
        <v>0</v>
      </c>
      <c r="M25" s="2842">
        <f>COS_RR!Q272</f>
        <v>1</v>
      </c>
      <c r="N25" s="2842">
        <f>COS_RR!R272</f>
        <v>0</v>
      </c>
      <c r="O25" s="2842">
        <f>COS_RR!S272</f>
        <v>0</v>
      </c>
      <c r="P25" s="2842">
        <f>COS_RR!T272</f>
        <v>0</v>
      </c>
      <c r="Q25" s="2842">
        <f>COS_RR!U272</f>
        <v>0</v>
      </c>
      <c r="R25" s="2842">
        <f>COS_RR!V272</f>
        <v>0</v>
      </c>
      <c r="S25" s="2842">
        <f>COS_RR!W272</f>
        <v>0</v>
      </c>
      <c r="T25" s="2842">
        <f>COS_RR!X272</f>
        <v>0</v>
      </c>
      <c r="U25" s="2842">
        <f>COS_RR!Y272</f>
        <v>0</v>
      </c>
      <c r="V25" s="2842">
        <f>COS_RR!Z272</f>
        <v>0</v>
      </c>
      <c r="W25" s="2842">
        <f>COS_RR!AA272</f>
        <v>0</v>
      </c>
      <c r="X25" s="137"/>
    </row>
    <row r="26" spans="1:24" s="20" customFormat="1" ht="16.5" customHeight="1">
      <c r="A26" s="411"/>
      <c r="B26" s="225"/>
      <c r="C26" s="342">
        <f>+MAX(C$12:C25)+1</f>
        <v>14</v>
      </c>
      <c r="D26" s="416" t="str">
        <f>COS_RR!E273</f>
        <v>Power - Capacity</v>
      </c>
      <c r="E26" s="915">
        <f t="shared" si="0"/>
        <v>1</v>
      </c>
      <c r="F26" s="335">
        <f>COS_RR!J273</f>
        <v>0</v>
      </c>
      <c r="G26" s="335">
        <f>COS_RR!K273</f>
        <v>1</v>
      </c>
      <c r="H26" s="335">
        <f>COS_RR!L273</f>
        <v>0</v>
      </c>
      <c r="I26" s="335">
        <f>COS_RR!M273</f>
        <v>0</v>
      </c>
      <c r="J26" s="335">
        <f>COS_RR!N273</f>
        <v>0</v>
      </c>
      <c r="K26" s="335">
        <f>COS_RR!O273</f>
        <v>0</v>
      </c>
      <c r="L26" s="335">
        <f>COS_RR!P273</f>
        <v>0</v>
      </c>
      <c r="M26" s="335">
        <f>COS_RR!Q273</f>
        <v>0</v>
      </c>
      <c r="N26" s="335">
        <f>COS_RR!R273</f>
        <v>0</v>
      </c>
      <c r="O26" s="335">
        <f>COS_RR!S273</f>
        <v>0</v>
      </c>
      <c r="P26" s="335">
        <f>COS_RR!T273</f>
        <v>0</v>
      </c>
      <c r="Q26" s="335">
        <f>COS_RR!U273</f>
        <v>0</v>
      </c>
      <c r="R26" s="335">
        <f>COS_RR!V273</f>
        <v>0</v>
      </c>
      <c r="S26" s="335">
        <f>COS_RR!W273</f>
        <v>0</v>
      </c>
      <c r="T26" s="335">
        <f>COS_RR!X273</f>
        <v>0</v>
      </c>
      <c r="U26" s="335">
        <f>COS_RR!Y273</f>
        <v>0</v>
      </c>
      <c r="V26" s="335">
        <f>COS_RR!Z273</f>
        <v>0</v>
      </c>
      <c r="W26" s="335">
        <f>COS_RR!AA273</f>
        <v>0</v>
      </c>
      <c r="X26" s="137"/>
    </row>
    <row r="27" spans="1:24" s="20" customFormat="1" ht="16.5" customHeight="1">
      <c r="A27" s="411"/>
      <c r="B27" s="225"/>
      <c r="C27" s="2839">
        <f>+MAX(C$12:C26)+1</f>
        <v>15</v>
      </c>
      <c r="D27" s="2840" t="str">
        <f>COS_RR!E274</f>
        <v>Overhead Plant</v>
      </c>
      <c r="E27" s="2841">
        <f t="shared" si="0"/>
        <v>1</v>
      </c>
      <c r="F27" s="2842">
        <f>COS_RR!J274</f>
        <v>0</v>
      </c>
      <c r="G27" s="2842">
        <f>COS_RR!K274</f>
        <v>0</v>
      </c>
      <c r="H27" s="2842">
        <f>COS_RR!L274</f>
        <v>0</v>
      </c>
      <c r="I27" s="2842">
        <f>COS_RR!M274</f>
        <v>0</v>
      </c>
      <c r="J27" s="2842">
        <f>COS_RR!N274</f>
        <v>0</v>
      </c>
      <c r="K27" s="2842">
        <f>COS_RR!O274</f>
        <v>0</v>
      </c>
      <c r="L27" s="2842">
        <f>COS_RR!P274</f>
        <v>0</v>
      </c>
      <c r="M27" s="2842">
        <f>COS_RR!Q274</f>
        <v>0</v>
      </c>
      <c r="N27" s="2842">
        <f>COS_RR!R274</f>
        <v>8.9932980383756134E-2</v>
      </c>
      <c r="O27" s="2842">
        <f>COS_RR!S274</f>
        <v>0.74079566667686747</v>
      </c>
      <c r="P27" s="2842">
        <f>COS_RR!T274</f>
        <v>3.854270587875263E-2</v>
      </c>
      <c r="Q27" s="2842">
        <f>COS_RR!U274</f>
        <v>0.13072864706062368</v>
      </c>
      <c r="R27" s="2842">
        <f>COS_RR!V274</f>
        <v>0</v>
      </c>
      <c r="S27" s="2842">
        <f>COS_RR!W274</f>
        <v>0</v>
      </c>
      <c r="T27" s="2842">
        <f>COS_RR!X274</f>
        <v>0</v>
      </c>
      <c r="U27" s="2842">
        <f>COS_RR!Y274</f>
        <v>0</v>
      </c>
      <c r="V27" s="2842">
        <f>COS_RR!Z274</f>
        <v>0</v>
      </c>
      <c r="W27" s="2842">
        <f>COS_RR!AA274</f>
        <v>0</v>
      </c>
      <c r="X27" s="137"/>
    </row>
    <row r="28" spans="1:24" s="20" customFormat="1" ht="16.5" customHeight="1">
      <c r="A28" s="411"/>
      <c r="B28" s="225"/>
      <c r="C28" s="342">
        <f>+MAX(C$12:C27)+1</f>
        <v>16</v>
      </c>
      <c r="D28" s="416" t="str">
        <f>COS_RR!E275</f>
        <v>Underground Plant</v>
      </c>
      <c r="E28" s="915">
        <f t="shared" si="0"/>
        <v>0.99999999999999978</v>
      </c>
      <c r="F28" s="335">
        <f>COS_RR!J275</f>
        <v>0</v>
      </c>
      <c r="G28" s="335">
        <f>COS_RR!K275</f>
        <v>0</v>
      </c>
      <c r="H28" s="335">
        <f>COS_RR!L275</f>
        <v>0</v>
      </c>
      <c r="I28" s="335">
        <f>COS_RR!M275</f>
        <v>0</v>
      </c>
      <c r="J28" s="335">
        <f>COS_RR!N275</f>
        <v>0</v>
      </c>
      <c r="K28" s="335">
        <f>COS_RR!O275</f>
        <v>0</v>
      </c>
      <c r="L28" s="335">
        <f>COS_RR!P275</f>
        <v>0</v>
      </c>
      <c r="M28" s="335">
        <f>COS_RR!Q275</f>
        <v>0</v>
      </c>
      <c r="N28" s="335">
        <f>COS_RR!R275</f>
        <v>0.12094438190970096</v>
      </c>
      <c r="O28" s="335">
        <f>COS_RR!S275</f>
        <v>0.40217908877703212</v>
      </c>
      <c r="P28" s="335">
        <f>COS_RR!T275</f>
        <v>0.14782091122296784</v>
      </c>
      <c r="Q28" s="335">
        <f>COS_RR!U275</f>
        <v>0.32905561809029898</v>
      </c>
      <c r="R28" s="335">
        <f>COS_RR!V275</f>
        <v>0</v>
      </c>
      <c r="S28" s="335">
        <f>COS_RR!W275</f>
        <v>0</v>
      </c>
      <c r="T28" s="335">
        <f>COS_RR!X275</f>
        <v>0</v>
      </c>
      <c r="U28" s="335">
        <f>COS_RR!Y275</f>
        <v>0</v>
      </c>
      <c r="V28" s="335">
        <f>COS_RR!Z275</f>
        <v>0</v>
      </c>
      <c r="W28" s="335">
        <f>COS_RR!AA275</f>
        <v>0</v>
      </c>
      <c r="X28" s="137"/>
    </row>
    <row r="29" spans="1:24" s="20" customFormat="1" ht="16.5" customHeight="1">
      <c r="A29" s="411"/>
      <c r="B29" s="225"/>
      <c r="C29" s="2839">
        <f>+MAX(C$12:C28)+1</f>
        <v>17</v>
      </c>
      <c r="D29" s="2840" t="str">
        <f>COS_RR!E276</f>
        <v>Services</v>
      </c>
      <c r="E29" s="2841">
        <f t="shared" si="0"/>
        <v>1</v>
      </c>
      <c r="F29" s="2842">
        <f>COS_RR!J276</f>
        <v>0</v>
      </c>
      <c r="G29" s="2842">
        <f>COS_RR!K276</f>
        <v>0</v>
      </c>
      <c r="H29" s="2842">
        <f>COS_RR!L276</f>
        <v>0</v>
      </c>
      <c r="I29" s="2842">
        <f>COS_RR!M276</f>
        <v>0</v>
      </c>
      <c r="J29" s="2842">
        <f>COS_RR!N276</f>
        <v>0</v>
      </c>
      <c r="K29" s="2842">
        <f>COS_RR!O276</f>
        <v>0</v>
      </c>
      <c r="L29" s="2842">
        <f>COS_RR!P276</f>
        <v>0</v>
      </c>
      <c r="M29" s="2842">
        <f>COS_RR!Q276</f>
        <v>0</v>
      </c>
      <c r="N29" s="2842">
        <f>COS_RR!R276</f>
        <v>0</v>
      </c>
      <c r="O29" s="2842">
        <f>COS_RR!S276</f>
        <v>0</v>
      </c>
      <c r="P29" s="2842">
        <f>COS_RR!T276</f>
        <v>0</v>
      </c>
      <c r="Q29" s="2842">
        <f>COS_RR!U276</f>
        <v>0</v>
      </c>
      <c r="R29" s="2842">
        <f>COS_RR!V276</f>
        <v>1</v>
      </c>
      <c r="S29" s="2842">
        <f>COS_RR!W276</f>
        <v>0</v>
      </c>
      <c r="T29" s="2842">
        <f>COS_RR!X276</f>
        <v>0</v>
      </c>
      <c r="U29" s="2842">
        <f>COS_RR!Y276</f>
        <v>0</v>
      </c>
      <c r="V29" s="2842">
        <f>COS_RR!Z276</f>
        <v>0</v>
      </c>
      <c r="W29" s="2842">
        <f>COS_RR!AA276</f>
        <v>0</v>
      </c>
      <c r="X29" s="137"/>
    </row>
    <row r="30" spans="1:24" s="20" customFormat="1" ht="16.5" customHeight="1">
      <c r="A30" s="411"/>
      <c r="B30" s="225"/>
      <c r="C30" s="342">
        <f>+MAX(C$12:C29)+1</f>
        <v>18</v>
      </c>
      <c r="D30" s="416" t="str">
        <f>COS_RR!E277</f>
        <v>Meters</v>
      </c>
      <c r="E30" s="915">
        <f t="shared" si="0"/>
        <v>1</v>
      </c>
      <c r="F30" s="335">
        <f>COS_RR!J277</f>
        <v>0</v>
      </c>
      <c r="G30" s="335">
        <f>COS_RR!K277</f>
        <v>0</v>
      </c>
      <c r="H30" s="335">
        <f>COS_RR!L277</f>
        <v>0</v>
      </c>
      <c r="I30" s="335">
        <f>COS_RR!M277</f>
        <v>0</v>
      </c>
      <c r="J30" s="335">
        <f>COS_RR!N277</f>
        <v>0</v>
      </c>
      <c r="K30" s="335">
        <f>COS_RR!O277</f>
        <v>0</v>
      </c>
      <c r="L30" s="335">
        <f>COS_RR!P277</f>
        <v>0</v>
      </c>
      <c r="M30" s="335">
        <f>COS_RR!Q277</f>
        <v>0</v>
      </c>
      <c r="N30" s="335">
        <f>COS_RR!R277</f>
        <v>0</v>
      </c>
      <c r="O30" s="335">
        <f>COS_RR!S277</f>
        <v>0</v>
      </c>
      <c r="P30" s="335">
        <f>COS_RR!T277</f>
        <v>0</v>
      </c>
      <c r="Q30" s="335">
        <f>COS_RR!U277</f>
        <v>0</v>
      </c>
      <c r="R30" s="335">
        <f>COS_RR!V277</f>
        <v>0</v>
      </c>
      <c r="S30" s="335">
        <f>COS_RR!W277</f>
        <v>1</v>
      </c>
      <c r="T30" s="335">
        <f>COS_RR!X277</f>
        <v>0</v>
      </c>
      <c r="U30" s="335">
        <f>COS_RR!Y277</f>
        <v>0</v>
      </c>
      <c r="V30" s="335">
        <f>COS_RR!Z277</f>
        <v>0</v>
      </c>
      <c r="W30" s="335">
        <f>COS_RR!AA277</f>
        <v>0</v>
      </c>
      <c r="X30" s="137"/>
    </row>
    <row r="31" spans="1:24" s="20" customFormat="1" ht="16.5" customHeight="1">
      <c r="A31" s="411"/>
      <c r="B31" s="225"/>
      <c r="C31" s="2839">
        <f>+MAX(C$12:C30)+1</f>
        <v>19</v>
      </c>
      <c r="D31" s="2840" t="str">
        <f>COS_RR!E278</f>
        <v>Street Lights</v>
      </c>
      <c r="E31" s="2841">
        <f t="shared" si="0"/>
        <v>1</v>
      </c>
      <c r="F31" s="2842">
        <f>COS_RR!J278</f>
        <v>0</v>
      </c>
      <c r="G31" s="2842">
        <f>COS_RR!K278</f>
        <v>0</v>
      </c>
      <c r="H31" s="2842">
        <f>COS_RR!L278</f>
        <v>0</v>
      </c>
      <c r="I31" s="2842">
        <f>COS_RR!M278</f>
        <v>0</v>
      </c>
      <c r="J31" s="2842">
        <f>COS_RR!N278</f>
        <v>0</v>
      </c>
      <c r="K31" s="2842">
        <f>COS_RR!O278</f>
        <v>0</v>
      </c>
      <c r="L31" s="2842">
        <f>COS_RR!P278</f>
        <v>0</v>
      </c>
      <c r="M31" s="2842">
        <f>COS_RR!Q278</f>
        <v>0</v>
      </c>
      <c r="N31" s="2842">
        <f>COS_RR!R278</f>
        <v>0</v>
      </c>
      <c r="O31" s="2842">
        <f>COS_RR!S278</f>
        <v>0</v>
      </c>
      <c r="P31" s="2842">
        <f>COS_RR!T278</f>
        <v>0</v>
      </c>
      <c r="Q31" s="2842">
        <f>COS_RR!U278</f>
        <v>0</v>
      </c>
      <c r="R31" s="2842">
        <f>COS_RR!V278</f>
        <v>0</v>
      </c>
      <c r="S31" s="2842">
        <f>COS_RR!W278</f>
        <v>0</v>
      </c>
      <c r="T31" s="2842">
        <f>COS_RR!X278</f>
        <v>0</v>
      </c>
      <c r="U31" s="2842">
        <f>COS_RR!Y278</f>
        <v>1</v>
      </c>
      <c r="V31" s="2842">
        <f>COS_RR!Z278</f>
        <v>0</v>
      </c>
      <c r="W31" s="2842">
        <f>COS_RR!AA278</f>
        <v>0</v>
      </c>
      <c r="X31" s="137"/>
    </row>
    <row r="32" spans="1:24" s="20" customFormat="1" ht="16.5" customHeight="1">
      <c r="A32" s="411"/>
      <c r="B32" s="225"/>
      <c r="C32" s="342">
        <f>+MAX(C$12:C31)+1</f>
        <v>20</v>
      </c>
      <c r="D32" s="416" t="str">
        <f>COS_RR!E279</f>
        <v>Total Net Plant</v>
      </c>
      <c r="E32" s="915">
        <f t="shared" si="0"/>
        <v>1</v>
      </c>
      <c r="F32" s="335">
        <f>COS_RR!J279</f>
        <v>0</v>
      </c>
      <c r="G32" s="335">
        <f>COS_RR!K279</f>
        <v>3.4299999999999997E-2</v>
      </c>
      <c r="H32" s="335">
        <f>COS_RR!L279</f>
        <v>0.34079999999999999</v>
      </c>
      <c r="I32" s="335">
        <f>COS_RR!M279</f>
        <v>0.12859999999999999</v>
      </c>
      <c r="J32" s="335">
        <f>COS_RR!N279</f>
        <v>0</v>
      </c>
      <c r="K32" s="335">
        <f>COS_RR!O279</f>
        <v>0</v>
      </c>
      <c r="L32" s="335">
        <f>COS_RR!P279</f>
        <v>0</v>
      </c>
      <c r="M32" s="335">
        <f>COS_RR!Q279</f>
        <v>7.3400000000000007E-2</v>
      </c>
      <c r="N32" s="335">
        <f>COS_RR!R279</f>
        <v>4.1200000000000001E-2</v>
      </c>
      <c r="O32" s="335">
        <f>COS_RR!S279</f>
        <v>0.2278</v>
      </c>
      <c r="P32" s="335">
        <f>COS_RR!T279</f>
        <v>3.5700000000000003E-2</v>
      </c>
      <c r="Q32" s="335">
        <f>COS_RR!U279</f>
        <v>8.8800000000000004E-2</v>
      </c>
      <c r="R32" s="335">
        <f>COS_RR!V279</f>
        <v>1.2999999999999999E-2</v>
      </c>
      <c r="S32" s="335">
        <f>COS_RR!W279</f>
        <v>1.04E-2</v>
      </c>
      <c r="T32" s="335">
        <f>COS_RR!X279</f>
        <v>0</v>
      </c>
      <c r="U32" s="335">
        <f>COS_RR!Y279</f>
        <v>6.0000000000000001E-3</v>
      </c>
      <c r="V32" s="335">
        <f>COS_RR!Z279</f>
        <v>0</v>
      </c>
      <c r="W32" s="335">
        <f>COS_RR!AA279</f>
        <v>0</v>
      </c>
      <c r="X32" s="137"/>
    </row>
    <row r="33" spans="1:25" s="20" customFormat="1" ht="16.5" customHeight="1">
      <c r="A33" s="411"/>
      <c r="B33" s="225"/>
      <c r="C33" s="2839">
        <f>+MAX(C$12:C32)+1</f>
        <v>21</v>
      </c>
      <c r="D33" s="2840" t="str">
        <f>COS_RR!E280</f>
        <v>Line &amp; Laterals</v>
      </c>
      <c r="E33" s="2841">
        <f t="shared" si="0"/>
        <v>1</v>
      </c>
      <c r="F33" s="2842">
        <f>COS_RR!J280</f>
        <v>0</v>
      </c>
      <c r="G33" s="2842">
        <f>COS_RR!K280</f>
        <v>0</v>
      </c>
      <c r="H33" s="2842">
        <f>COS_RR!L280</f>
        <v>0</v>
      </c>
      <c r="I33" s="2842">
        <f>COS_RR!M280</f>
        <v>0</v>
      </c>
      <c r="J33" s="2842">
        <f>COS_RR!N280</f>
        <v>0</v>
      </c>
      <c r="K33" s="2842">
        <f>COS_RR!O280</f>
        <v>0</v>
      </c>
      <c r="L33" s="2842">
        <f>COS_RR!P280</f>
        <v>0</v>
      </c>
      <c r="M33" s="2842">
        <f>COS_RR!Q280</f>
        <v>0</v>
      </c>
      <c r="N33" s="2842">
        <f>COS_RR!R280</f>
        <v>0.10455751542596795</v>
      </c>
      <c r="O33" s="2842">
        <f>COS_RR!S280</f>
        <v>0.58128655923910522</v>
      </c>
      <c r="P33" s="2842">
        <f>COS_RR!T280</f>
        <v>9.0011189549133924E-2</v>
      </c>
      <c r="Q33" s="2842">
        <f>COS_RR!U280</f>
        <v>0.22414473578579303</v>
      </c>
      <c r="R33" s="2842">
        <f>COS_RR!V280</f>
        <v>0</v>
      </c>
      <c r="S33" s="2842">
        <f>COS_RR!W280</f>
        <v>0</v>
      </c>
      <c r="T33" s="2842">
        <f>COS_RR!X280</f>
        <v>0</v>
      </c>
      <c r="U33" s="2842">
        <f>COS_RR!Y280</f>
        <v>0</v>
      </c>
      <c r="V33" s="2842">
        <f>COS_RR!Z280</f>
        <v>0</v>
      </c>
      <c r="W33" s="2842">
        <f>COS_RR!AA280</f>
        <v>0</v>
      </c>
      <c r="X33" s="137"/>
    </row>
    <row r="34" spans="1:25" s="20" customFormat="1" ht="16.5" customHeight="1">
      <c r="A34" s="411"/>
      <c r="B34" s="225"/>
      <c r="C34" s="342">
        <f>+MAX(C$12:C33)+1</f>
        <v>22</v>
      </c>
      <c r="D34" s="416" t="str">
        <f>COS_RR!E281</f>
        <v>Total OC Plant</v>
      </c>
      <c r="E34" s="915">
        <f t="shared" si="0"/>
        <v>1.0000000000000002</v>
      </c>
      <c r="F34" s="335">
        <f>COS_RR!J281</f>
        <v>0</v>
      </c>
      <c r="G34" s="335">
        <f>COS_RR!K281</f>
        <v>4.8000000000000001E-2</v>
      </c>
      <c r="H34" s="335">
        <f>COS_RR!L281</f>
        <v>0.3218000000000002</v>
      </c>
      <c r="I34" s="335">
        <f>COS_RR!M281</f>
        <v>0.1128</v>
      </c>
      <c r="J34" s="335">
        <f>COS_RR!N281</f>
        <v>0</v>
      </c>
      <c r="K34" s="335">
        <f>COS_RR!O281</f>
        <v>0</v>
      </c>
      <c r="L34" s="335">
        <f>COS_RR!P281</f>
        <v>0</v>
      </c>
      <c r="M34" s="335">
        <f>COS_RR!Q281</f>
        <v>0.10050000000000001</v>
      </c>
      <c r="N34" s="335">
        <f>COS_RR!R281</f>
        <v>3.6999999999999998E-2</v>
      </c>
      <c r="O34" s="335">
        <f>COS_RR!S281</f>
        <v>0.21840000000000001</v>
      </c>
      <c r="P34" s="335">
        <f>COS_RR!T281</f>
        <v>2.9700000000000001E-2</v>
      </c>
      <c r="Q34" s="335">
        <f>COS_RR!U281</f>
        <v>7.5899999999999995E-2</v>
      </c>
      <c r="R34" s="335">
        <f>COS_RR!V281</f>
        <v>2.75E-2</v>
      </c>
      <c r="S34" s="335">
        <f>COS_RR!W281</f>
        <v>1.9199999999999998E-2</v>
      </c>
      <c r="T34" s="335">
        <f>COS_RR!X281</f>
        <v>0</v>
      </c>
      <c r="U34" s="335">
        <f>COS_RR!Y281</f>
        <v>9.1999999999999998E-3</v>
      </c>
      <c r="V34" s="335">
        <f>COS_RR!Z281</f>
        <v>0</v>
      </c>
      <c r="W34" s="335">
        <f>COS_RR!AA281</f>
        <v>0</v>
      </c>
      <c r="X34" s="137"/>
    </row>
    <row r="35" spans="1:25" s="20" customFormat="1" ht="16.5" customHeight="1">
      <c r="A35" s="411"/>
      <c r="B35" s="225"/>
      <c r="C35" s="2839">
        <f>+MAX(C$12:C34)+1</f>
        <v>23</v>
      </c>
      <c r="D35" s="2840" t="str">
        <f>COS_RR!E282</f>
        <v>Total OC Plant less Fiber</v>
      </c>
      <c r="E35" s="2841">
        <f t="shared" si="0"/>
        <v>1</v>
      </c>
      <c r="F35" s="2842">
        <f>COS_RR!J282</f>
        <v>0</v>
      </c>
      <c r="G35" s="2842">
        <f>COS_RR!K282</f>
        <v>4.7399999999999998E-2</v>
      </c>
      <c r="H35" s="2842">
        <f>COS_RR!L282</f>
        <v>0.33010000000000006</v>
      </c>
      <c r="I35" s="2842">
        <f>COS_RR!M282</f>
        <v>0.1114</v>
      </c>
      <c r="J35" s="2842">
        <f>COS_RR!N282</f>
        <v>0</v>
      </c>
      <c r="K35" s="2842">
        <f>COS_RR!O282</f>
        <v>0</v>
      </c>
      <c r="L35" s="2842">
        <f>COS_RR!P282</f>
        <v>0</v>
      </c>
      <c r="M35" s="2842">
        <f>COS_RR!Q282</f>
        <v>9.9299999999999999E-2</v>
      </c>
      <c r="N35" s="2842">
        <f>COS_RR!R282</f>
        <v>3.6499999999999998E-2</v>
      </c>
      <c r="O35" s="2842">
        <f>COS_RR!S282</f>
        <v>0.2157</v>
      </c>
      <c r="P35" s="2842">
        <f>COS_RR!T282</f>
        <v>2.9399999999999999E-2</v>
      </c>
      <c r="Q35" s="2842">
        <f>COS_RR!U282</f>
        <v>7.4899999999999994E-2</v>
      </c>
      <c r="R35" s="2842">
        <f>COS_RR!V282</f>
        <v>2.7199999999999998E-2</v>
      </c>
      <c r="S35" s="2842">
        <f>COS_RR!W282</f>
        <v>1.9E-2</v>
      </c>
      <c r="T35" s="2842">
        <f>COS_RR!X282</f>
        <v>0</v>
      </c>
      <c r="U35" s="2842">
        <f>COS_RR!Y282</f>
        <v>9.1000000000000004E-3</v>
      </c>
      <c r="V35" s="2842">
        <f>COS_RR!Z282</f>
        <v>0</v>
      </c>
      <c r="W35" s="2842">
        <f>COS_RR!AA282</f>
        <v>0</v>
      </c>
      <c r="X35" s="137"/>
    </row>
    <row r="36" spans="1:25" s="20" customFormat="1" ht="16.5" customHeight="1">
      <c r="A36" s="411"/>
      <c r="B36" s="225"/>
      <c r="C36" s="342">
        <f>+MAX(C$12:C35)+1</f>
        <v>24</v>
      </c>
      <c r="D36" s="416" t="str">
        <f>COS_RR!E283</f>
        <v>Accts &amp; Services</v>
      </c>
      <c r="E36" s="915">
        <f t="shared" si="0"/>
        <v>1</v>
      </c>
      <c r="F36" s="335">
        <f>COS_RR!J283</f>
        <v>0</v>
      </c>
      <c r="G36" s="335">
        <f>COS_RR!K283</f>
        <v>0</v>
      </c>
      <c r="H36" s="335">
        <f>COS_RR!L283</f>
        <v>0</v>
      </c>
      <c r="I36" s="335">
        <f>COS_RR!M283</f>
        <v>0</v>
      </c>
      <c r="J36" s="335">
        <f>COS_RR!N283</f>
        <v>0</v>
      </c>
      <c r="K36" s="335">
        <f>COS_RR!O283</f>
        <v>0</v>
      </c>
      <c r="L36" s="335">
        <f>COS_RR!P283</f>
        <v>0</v>
      </c>
      <c r="M36" s="335">
        <f>COS_RR!Q283</f>
        <v>0</v>
      </c>
      <c r="N36" s="335">
        <f>COS_RR!R283</f>
        <v>0</v>
      </c>
      <c r="O36" s="335">
        <f>COS_RR!S283</f>
        <v>0</v>
      </c>
      <c r="P36" s="335">
        <f>COS_RR!T283</f>
        <v>0</v>
      </c>
      <c r="Q36" s="335">
        <f>COS_RR!U283</f>
        <v>0</v>
      </c>
      <c r="R36" s="335">
        <f>COS_RR!V283</f>
        <v>0</v>
      </c>
      <c r="S36" s="335">
        <f>COS_RR!W283</f>
        <v>0</v>
      </c>
      <c r="T36" s="335">
        <f>COS_RR!X283</f>
        <v>1</v>
      </c>
      <c r="U36" s="335">
        <f>COS_RR!Y283</f>
        <v>0</v>
      </c>
      <c r="V36" s="335">
        <f>COS_RR!Z283</f>
        <v>0</v>
      </c>
      <c r="W36" s="335">
        <f>COS_RR!AA283</f>
        <v>0</v>
      </c>
      <c r="X36" s="137"/>
    </row>
    <row r="37" spans="1:25" s="20" customFormat="1" ht="16.5" customHeight="1">
      <c r="A37" s="411"/>
      <c r="B37" s="225"/>
      <c r="C37" s="2839">
        <f>+MAX(C$12:C36)+1</f>
        <v>25</v>
      </c>
      <c r="D37" s="2840" t="str">
        <f>COS_RR!E284</f>
        <v># of Retail Customers</v>
      </c>
      <c r="E37" s="2841">
        <f t="shared" si="0"/>
        <v>1</v>
      </c>
      <c r="F37" s="2842">
        <f>COS_RR!J284</f>
        <v>0</v>
      </c>
      <c r="G37" s="2842">
        <f>COS_RR!K284</f>
        <v>0</v>
      </c>
      <c r="H37" s="2842">
        <f>COS_RR!L284</f>
        <v>0</v>
      </c>
      <c r="I37" s="2842">
        <f>COS_RR!M284</f>
        <v>0</v>
      </c>
      <c r="J37" s="2842">
        <f>COS_RR!N284</f>
        <v>0</v>
      </c>
      <c r="K37" s="2842">
        <f>COS_RR!O284</f>
        <v>0</v>
      </c>
      <c r="L37" s="2842">
        <f>COS_RR!P284</f>
        <v>0</v>
      </c>
      <c r="M37" s="2842">
        <f>COS_RR!Q284</f>
        <v>0</v>
      </c>
      <c r="N37" s="2842">
        <f>COS_RR!R284</f>
        <v>0</v>
      </c>
      <c r="O37" s="2842">
        <f>COS_RR!S284</f>
        <v>0</v>
      </c>
      <c r="P37" s="2842">
        <f>COS_RR!T284</f>
        <v>0</v>
      </c>
      <c r="Q37" s="2842">
        <f>COS_RR!U284</f>
        <v>0</v>
      </c>
      <c r="R37" s="2842">
        <f>COS_RR!V284</f>
        <v>0</v>
      </c>
      <c r="S37" s="2842">
        <f>COS_RR!W284</f>
        <v>0</v>
      </c>
      <c r="T37" s="2842">
        <f>COS_RR!X284</f>
        <v>0</v>
      </c>
      <c r="U37" s="2842">
        <f>COS_RR!Y284</f>
        <v>0</v>
      </c>
      <c r="V37" s="2842">
        <f>COS_RR!Z284</f>
        <v>1</v>
      </c>
      <c r="W37" s="2842">
        <f>COS_RR!AA284</f>
        <v>0</v>
      </c>
      <c r="X37" s="137"/>
    </row>
    <row r="38" spans="1:25" s="20" customFormat="1" ht="16.5" customHeight="1">
      <c r="A38" s="411"/>
      <c r="B38" s="225"/>
      <c r="C38" s="342">
        <f>+MAX(C$12:C37)+1</f>
        <v>26</v>
      </c>
      <c r="D38" s="416" t="str">
        <f>COS_RR!E285</f>
        <v>Base Rate Revenue</v>
      </c>
      <c r="E38" s="915">
        <f t="shared" si="0"/>
        <v>1</v>
      </c>
      <c r="F38" s="335">
        <f>COS_RR!J285</f>
        <v>0</v>
      </c>
      <c r="G38" s="335">
        <f>COS_RR!K285</f>
        <v>0</v>
      </c>
      <c r="H38" s="335">
        <f>COS_RR!L285</f>
        <v>0</v>
      </c>
      <c r="I38" s="335">
        <f>COS_RR!M285</f>
        <v>0</v>
      </c>
      <c r="J38" s="335">
        <f>COS_RR!N285</f>
        <v>0</v>
      </c>
      <c r="K38" s="335">
        <f>COS_RR!O285</f>
        <v>0</v>
      </c>
      <c r="L38" s="335">
        <f>COS_RR!P285</f>
        <v>0</v>
      </c>
      <c r="M38" s="335">
        <f>COS_RR!Q285</f>
        <v>0</v>
      </c>
      <c r="N38" s="335">
        <f>COS_RR!R285</f>
        <v>0</v>
      </c>
      <c r="O38" s="335">
        <f>COS_RR!S285</f>
        <v>0</v>
      </c>
      <c r="P38" s="335">
        <f>COS_RR!T285</f>
        <v>0</v>
      </c>
      <c r="Q38" s="335">
        <f>COS_RR!U285</f>
        <v>0</v>
      </c>
      <c r="R38" s="335">
        <f>COS_RR!V285</f>
        <v>0</v>
      </c>
      <c r="S38" s="335">
        <f>COS_RR!W285</f>
        <v>0</v>
      </c>
      <c r="T38" s="335">
        <f>COS_RR!X285</f>
        <v>0</v>
      </c>
      <c r="U38" s="335">
        <f>COS_RR!Y285</f>
        <v>0</v>
      </c>
      <c r="V38" s="335">
        <f>COS_RR!Z285</f>
        <v>0</v>
      </c>
      <c r="W38" s="335">
        <f>COS_RR!AA285</f>
        <v>1</v>
      </c>
      <c r="X38" s="137"/>
    </row>
    <row r="39" spans="1:25" s="20" customFormat="1" ht="16.5" customHeight="1">
      <c r="A39" s="411"/>
      <c r="B39" s="225"/>
      <c r="C39" s="2839">
        <f>+MAX(C$12:C38)+1</f>
        <v>27</v>
      </c>
      <c r="D39" s="2840" t="str">
        <f>COS_RR!E286</f>
        <v>Cust. Svc (Remainder)</v>
      </c>
      <c r="E39" s="2841">
        <f t="shared" si="0"/>
        <v>1</v>
      </c>
      <c r="F39" s="2842">
        <f>COS_RR!J286</f>
        <v>0</v>
      </c>
      <c r="G39" s="2842">
        <f>COS_RR!K286</f>
        <v>0</v>
      </c>
      <c r="H39" s="2842">
        <f>COS_RR!L286</f>
        <v>0</v>
      </c>
      <c r="I39" s="2842">
        <f>COS_RR!M286</f>
        <v>0</v>
      </c>
      <c r="J39" s="2842">
        <f>COS_RR!N286</f>
        <v>0</v>
      </c>
      <c r="K39" s="2842">
        <f>COS_RR!O286</f>
        <v>0</v>
      </c>
      <c r="L39" s="2842">
        <f>COS_RR!P286</f>
        <v>0</v>
      </c>
      <c r="M39" s="2842">
        <f>COS_RR!Q286</f>
        <v>0</v>
      </c>
      <c r="N39" s="2842">
        <f>COS_RR!R286</f>
        <v>0</v>
      </c>
      <c r="O39" s="2842">
        <f>COS_RR!S286</f>
        <v>0</v>
      </c>
      <c r="P39" s="2842">
        <f>COS_RR!T286</f>
        <v>0</v>
      </c>
      <c r="Q39" s="2842">
        <f>COS_RR!U286</f>
        <v>0</v>
      </c>
      <c r="R39" s="2842">
        <f>COS_RR!V286</f>
        <v>0</v>
      </c>
      <c r="S39" s="2842">
        <f>COS_RR!W286</f>
        <v>0</v>
      </c>
      <c r="T39" s="2842">
        <f>COS_RR!X286</f>
        <v>0.6885</v>
      </c>
      <c r="U39" s="2842">
        <f>COS_RR!Y286</f>
        <v>0</v>
      </c>
      <c r="V39" s="2842">
        <f>COS_RR!Z286</f>
        <v>0.3115</v>
      </c>
      <c r="W39" s="2842">
        <f>COS_RR!AA286</f>
        <v>0</v>
      </c>
      <c r="X39" s="137"/>
    </row>
    <row r="40" spans="1:25" s="20" customFormat="1" ht="16.5" customHeight="1">
      <c r="A40" s="411"/>
      <c r="B40" s="225"/>
      <c r="C40" s="342">
        <f>+MAX(C$12:C39)+1</f>
        <v>28</v>
      </c>
      <c r="D40" s="416" t="str">
        <f>COS_RR!E287</f>
        <v>Substation and Lines</v>
      </c>
      <c r="E40" s="915">
        <f t="shared" si="0"/>
        <v>1</v>
      </c>
      <c r="F40" s="335">
        <f>COS_RR!J287</f>
        <v>0</v>
      </c>
      <c r="G40" s="335">
        <f>COS_RR!K287</f>
        <v>0</v>
      </c>
      <c r="H40" s="335">
        <f>COS_RR!L287</f>
        <v>0</v>
      </c>
      <c r="I40" s="335">
        <f>COS_RR!M287</f>
        <v>0.23810000000000001</v>
      </c>
      <c r="J40" s="335">
        <f>COS_RR!N287</f>
        <v>0</v>
      </c>
      <c r="K40" s="335">
        <f>COS_RR!O287</f>
        <v>0</v>
      </c>
      <c r="L40" s="335">
        <f>COS_RR!P287</f>
        <v>0</v>
      </c>
      <c r="M40" s="335">
        <f>COS_RR!Q287</f>
        <v>0</v>
      </c>
      <c r="N40" s="335">
        <f>COS_RR!R287</f>
        <v>7.8E-2</v>
      </c>
      <c r="O40" s="335">
        <f>COS_RR!S287</f>
        <v>0.46100000000000002</v>
      </c>
      <c r="P40" s="335">
        <f>COS_RR!T287</f>
        <v>6.2700000000000006E-2</v>
      </c>
      <c r="Q40" s="335">
        <f>COS_RR!U287</f>
        <v>0.16020000000000001</v>
      </c>
      <c r="R40" s="335">
        <f>COS_RR!V287</f>
        <v>0</v>
      </c>
      <c r="S40" s="335">
        <f>COS_RR!W287</f>
        <v>0</v>
      </c>
      <c r="T40" s="335">
        <f>COS_RR!X287</f>
        <v>0</v>
      </c>
      <c r="U40" s="335">
        <f>COS_RR!Y287</f>
        <v>0</v>
      </c>
      <c r="V40" s="335">
        <f>COS_RR!Z287</f>
        <v>0</v>
      </c>
      <c r="W40" s="335">
        <f>COS_RR!AA287</f>
        <v>0</v>
      </c>
      <c r="X40" s="137"/>
    </row>
    <row r="41" spans="1:25" ht="16.5" customHeight="1">
      <c r="A41" s="411"/>
      <c r="B41" s="225"/>
      <c r="C41" s="2839">
        <f>+MAX(C$12:C40)+1</f>
        <v>29</v>
      </c>
      <c r="D41" s="2840" t="str">
        <f>COS_RR!E288</f>
        <v>Prod. O&amp;M</v>
      </c>
      <c r="E41" s="2841">
        <f t="shared" si="0"/>
        <v>1</v>
      </c>
      <c r="F41" s="2842">
        <f>COS_RR!J288</f>
        <v>0.1003</v>
      </c>
      <c r="G41" s="2842">
        <f>COS_RR!K288</f>
        <v>0.89970000000000006</v>
      </c>
      <c r="H41" s="2842">
        <f>COS_RR!L288</f>
        <v>0</v>
      </c>
      <c r="I41" s="2842">
        <f>COS_RR!M288</f>
        <v>0</v>
      </c>
      <c r="J41" s="2842">
        <f>COS_RR!N288</f>
        <v>0</v>
      </c>
      <c r="K41" s="2842">
        <f>COS_RR!O288</f>
        <v>0</v>
      </c>
      <c r="L41" s="2842">
        <f>COS_RR!P288</f>
        <v>0</v>
      </c>
      <c r="M41" s="2842">
        <f>COS_RR!Q288</f>
        <v>0</v>
      </c>
      <c r="N41" s="2842">
        <f>COS_RR!R288</f>
        <v>0</v>
      </c>
      <c r="O41" s="2842">
        <f>COS_RR!S288</f>
        <v>0</v>
      </c>
      <c r="P41" s="2842">
        <f>COS_RR!T288</f>
        <v>0</v>
      </c>
      <c r="Q41" s="2842">
        <f>COS_RR!U288</f>
        <v>0</v>
      </c>
      <c r="R41" s="2842">
        <f>COS_RR!V288</f>
        <v>0</v>
      </c>
      <c r="S41" s="2842">
        <f>COS_RR!W288</f>
        <v>0</v>
      </c>
      <c r="T41" s="2842">
        <f>COS_RR!X288</f>
        <v>0</v>
      </c>
      <c r="U41" s="2842">
        <f>COS_RR!Y288</f>
        <v>0</v>
      </c>
      <c r="V41" s="2842">
        <f>COS_RR!Z288</f>
        <v>0</v>
      </c>
      <c r="W41" s="2842">
        <f>COS_RR!AA288</f>
        <v>0</v>
      </c>
      <c r="X41" s="137"/>
    </row>
    <row r="42" spans="1:25" ht="16.5" customHeight="1">
      <c r="A42" s="411"/>
      <c r="B42" s="225"/>
      <c r="C42" s="342">
        <f>+MAX(C$12:C41)+1</f>
        <v>30</v>
      </c>
      <c r="D42" s="416" t="str">
        <f>COS_RR!E289</f>
        <v>Generation O&amp;M</v>
      </c>
      <c r="E42" s="915">
        <f t="shared" si="0"/>
        <v>1</v>
      </c>
      <c r="F42" s="335">
        <f>COS_RR!J289</f>
        <v>0</v>
      </c>
      <c r="G42" s="335">
        <f>COS_RR!K289</f>
        <v>1</v>
      </c>
      <c r="H42" s="335">
        <f>COS_RR!L289</f>
        <v>0</v>
      </c>
      <c r="I42" s="335">
        <f>COS_RR!M289</f>
        <v>0</v>
      </c>
      <c r="J42" s="335">
        <f>COS_RR!N289</f>
        <v>0</v>
      </c>
      <c r="K42" s="335">
        <f>COS_RR!O289</f>
        <v>0</v>
      </c>
      <c r="L42" s="335">
        <f>COS_RR!P289</f>
        <v>0</v>
      </c>
      <c r="M42" s="335">
        <f>COS_RR!Q289</f>
        <v>0</v>
      </c>
      <c r="N42" s="335">
        <f>COS_RR!R289</f>
        <v>0</v>
      </c>
      <c r="O42" s="335">
        <f>COS_RR!S289</f>
        <v>0</v>
      </c>
      <c r="P42" s="335">
        <f>COS_RR!T289</f>
        <v>0</v>
      </c>
      <c r="Q42" s="335">
        <f>COS_RR!U289</f>
        <v>0</v>
      </c>
      <c r="R42" s="335">
        <f>COS_RR!V289</f>
        <v>0</v>
      </c>
      <c r="S42" s="335">
        <f>COS_RR!W289</f>
        <v>0</v>
      </c>
      <c r="T42" s="335">
        <f>COS_RR!X289</f>
        <v>0</v>
      </c>
      <c r="U42" s="335">
        <f>COS_RR!Y289</f>
        <v>0</v>
      </c>
      <c r="V42" s="335">
        <f>COS_RR!Z289</f>
        <v>0</v>
      </c>
      <c r="W42" s="335">
        <f>COS_RR!AA289</f>
        <v>0</v>
      </c>
      <c r="X42" s="137"/>
    </row>
    <row r="43" spans="1:25" ht="16.5" customHeight="1">
      <c r="A43" s="411"/>
      <c r="B43" s="225"/>
      <c r="C43" s="2839">
        <f>+MAX(C$12:C42)+1</f>
        <v>31</v>
      </c>
      <c r="D43" s="2840" t="str">
        <f>COS_RR!E290</f>
        <v>Trans O&amp;M</v>
      </c>
      <c r="E43" s="2841">
        <f t="shared" si="0"/>
        <v>1</v>
      </c>
      <c r="F43" s="2842">
        <f>COS_RR!J290</f>
        <v>0</v>
      </c>
      <c r="G43" s="2842">
        <f>COS_RR!K290</f>
        <v>0</v>
      </c>
      <c r="H43" s="2842">
        <f>COS_RR!L290</f>
        <v>1</v>
      </c>
      <c r="I43" s="2842">
        <f>COS_RR!M290</f>
        <v>0</v>
      </c>
      <c r="J43" s="2842">
        <f>COS_RR!N290</f>
        <v>0</v>
      </c>
      <c r="K43" s="2842">
        <f>COS_RR!O290</f>
        <v>0</v>
      </c>
      <c r="L43" s="2842">
        <f>COS_RR!P290</f>
        <v>0</v>
      </c>
      <c r="M43" s="2842">
        <f>COS_RR!Q290</f>
        <v>0</v>
      </c>
      <c r="N43" s="2842">
        <f>COS_RR!R290</f>
        <v>0</v>
      </c>
      <c r="O43" s="2842">
        <f>COS_RR!S290</f>
        <v>0</v>
      </c>
      <c r="P43" s="2842">
        <f>COS_RR!T290</f>
        <v>0</v>
      </c>
      <c r="Q43" s="2842">
        <f>COS_RR!U290</f>
        <v>0</v>
      </c>
      <c r="R43" s="2842">
        <f>COS_RR!V290</f>
        <v>0</v>
      </c>
      <c r="S43" s="2842">
        <f>COS_RR!W290</f>
        <v>0</v>
      </c>
      <c r="T43" s="2842">
        <f>COS_RR!X290</f>
        <v>0</v>
      </c>
      <c r="U43" s="2842">
        <f>COS_RR!Y290</f>
        <v>0</v>
      </c>
      <c r="V43" s="2842">
        <f>COS_RR!Z290</f>
        <v>0</v>
      </c>
      <c r="W43" s="2842">
        <f>COS_RR!AA290</f>
        <v>0</v>
      </c>
      <c r="X43" s="137"/>
    </row>
    <row r="44" spans="1:25" ht="16.5" customHeight="1">
      <c r="A44" s="411"/>
      <c r="B44" s="225"/>
      <c r="C44" s="342">
        <f>+MAX(C$12:C43)+1</f>
        <v>32</v>
      </c>
      <c r="D44" s="416" t="str">
        <f>COS_RR!E291</f>
        <v>Dist O&amp;M</v>
      </c>
      <c r="E44" s="915">
        <f t="shared" si="0"/>
        <v>1</v>
      </c>
      <c r="F44" s="335">
        <f>COS_RR!J291</f>
        <v>0</v>
      </c>
      <c r="G44" s="335">
        <f>COS_RR!K291</f>
        <v>0</v>
      </c>
      <c r="H44" s="335">
        <f>COS_RR!L291</f>
        <v>0</v>
      </c>
      <c r="I44" s="335">
        <f>COS_RR!M291</f>
        <v>0.24329999999999999</v>
      </c>
      <c r="J44" s="335">
        <f>COS_RR!N291</f>
        <v>4.7399999999999998E-2</v>
      </c>
      <c r="K44" s="335">
        <f>COS_RR!O291</f>
        <v>0</v>
      </c>
      <c r="L44" s="335">
        <f>COS_RR!P291</f>
        <v>0</v>
      </c>
      <c r="M44" s="335">
        <f>COS_RR!Q291</f>
        <v>7.3899999999999993E-2</v>
      </c>
      <c r="N44" s="335">
        <f>COS_RR!R291</f>
        <v>4.48E-2</v>
      </c>
      <c r="O44" s="335">
        <f>COS_RR!S291</f>
        <v>0.28150000000000008</v>
      </c>
      <c r="P44" s="335">
        <f>COS_RR!T291</f>
        <v>3.3399999999999999E-2</v>
      </c>
      <c r="Q44" s="335">
        <f>COS_RR!U291</f>
        <v>8.77E-2</v>
      </c>
      <c r="R44" s="335">
        <f>COS_RR!V291</f>
        <v>2.0199999999999999E-2</v>
      </c>
      <c r="S44" s="335">
        <f>COS_RR!W291</f>
        <v>0.16039999999999999</v>
      </c>
      <c r="T44" s="335">
        <f>COS_RR!X291</f>
        <v>0</v>
      </c>
      <c r="U44" s="335">
        <f>COS_RR!Y291</f>
        <v>7.4000000000000003E-3</v>
      </c>
      <c r="V44" s="335">
        <f>COS_RR!Z291</f>
        <v>0</v>
      </c>
      <c r="W44" s="335">
        <f>COS_RR!AA291</f>
        <v>0</v>
      </c>
      <c r="X44" s="137"/>
      <c r="Y44" s="20"/>
    </row>
    <row r="45" spans="1:25" ht="16.5" customHeight="1">
      <c r="A45" s="411"/>
      <c r="B45" s="225"/>
      <c r="C45" s="2839">
        <f>+MAX(C$12:C44)+1</f>
        <v>33</v>
      </c>
      <c r="D45" s="2840" t="str">
        <f>COS_RR!E292</f>
        <v>Cust. Accts.</v>
      </c>
      <c r="E45" s="2841">
        <f t="shared" si="0"/>
        <v>1</v>
      </c>
      <c r="F45" s="2842">
        <f>COS_RR!J292</f>
        <v>0</v>
      </c>
      <c r="G45" s="2842">
        <f>COS_RR!K292</f>
        <v>0</v>
      </c>
      <c r="H45" s="2842">
        <f>COS_RR!L292</f>
        <v>0</v>
      </c>
      <c r="I45" s="2842">
        <f>COS_RR!M292</f>
        <v>0</v>
      </c>
      <c r="J45" s="2842">
        <f>COS_RR!N292</f>
        <v>0</v>
      </c>
      <c r="K45" s="2842">
        <f>COS_RR!O292</f>
        <v>0</v>
      </c>
      <c r="L45" s="2842">
        <f>COS_RR!P292</f>
        <v>0</v>
      </c>
      <c r="M45" s="2842">
        <f>COS_RR!Q292</f>
        <v>0</v>
      </c>
      <c r="N45" s="2842">
        <f>COS_RR!R292</f>
        <v>0</v>
      </c>
      <c r="O45" s="2842">
        <f>COS_RR!S292</f>
        <v>0</v>
      </c>
      <c r="P45" s="2842">
        <f>COS_RR!T292</f>
        <v>0</v>
      </c>
      <c r="Q45" s="2842">
        <f>COS_RR!U292</f>
        <v>0</v>
      </c>
      <c r="R45" s="2842">
        <f>COS_RR!V292</f>
        <v>0</v>
      </c>
      <c r="S45" s="2842">
        <f>COS_RR!W292</f>
        <v>0</v>
      </c>
      <c r="T45" s="2842">
        <f>COS_RR!X292</f>
        <v>0.71279999999999999</v>
      </c>
      <c r="U45" s="2842">
        <f>COS_RR!Y292</f>
        <v>0</v>
      </c>
      <c r="V45" s="2842">
        <f>COS_RR!Z292</f>
        <v>0.28720000000000001</v>
      </c>
      <c r="W45" s="2842">
        <f>COS_RR!AA292</f>
        <v>0</v>
      </c>
      <c r="X45" s="137"/>
    </row>
    <row r="46" spans="1:25" ht="16.5" customHeight="1">
      <c r="A46" s="411"/>
      <c r="B46" s="225"/>
      <c r="C46" s="342">
        <f>+MAX(C$12:C45)+1</f>
        <v>34</v>
      </c>
      <c r="D46" s="416" t="str">
        <f>COS_RR!E293</f>
        <v>Fiber Optic Network</v>
      </c>
      <c r="E46" s="915">
        <f t="shared" si="0"/>
        <v>1</v>
      </c>
      <c r="F46" s="335">
        <f>COS_RR!J293</f>
        <v>0</v>
      </c>
      <c r="G46" s="335">
        <f>COS_RR!K293</f>
        <v>5.0700000000000002E-2</v>
      </c>
      <c r="H46" s="335">
        <f>COS_RR!L293</f>
        <v>0.28310000000000002</v>
      </c>
      <c r="I46" s="335">
        <f>COS_RR!M293</f>
        <v>0.1192</v>
      </c>
      <c r="J46" s="335">
        <f>COS_RR!N293</f>
        <v>0</v>
      </c>
      <c r="K46" s="335">
        <f>COS_RR!O293</f>
        <v>0</v>
      </c>
      <c r="L46" s="335">
        <f>COS_RR!P293</f>
        <v>0</v>
      </c>
      <c r="M46" s="335">
        <f>COS_RR!Q293</f>
        <v>0.10630000000000001</v>
      </c>
      <c r="N46" s="335">
        <f>COS_RR!R293</f>
        <v>3.9100000000000003E-2</v>
      </c>
      <c r="O46" s="335">
        <f>COS_RR!S293</f>
        <v>0.23089999999999999</v>
      </c>
      <c r="P46" s="335">
        <f>COS_RR!T293</f>
        <v>3.1399999999999997E-2</v>
      </c>
      <c r="Q46" s="335">
        <f>COS_RR!U293</f>
        <v>8.0199999999999994E-2</v>
      </c>
      <c r="R46" s="335">
        <f>COS_RR!V293</f>
        <v>2.9100000000000001E-2</v>
      </c>
      <c r="S46" s="335">
        <f>COS_RR!W293</f>
        <v>2.0299999999999999E-2</v>
      </c>
      <c r="T46" s="335">
        <f>COS_RR!X293</f>
        <v>0</v>
      </c>
      <c r="U46" s="335">
        <f>COS_RR!Y293</f>
        <v>9.7000000000000003E-3</v>
      </c>
      <c r="V46" s="335">
        <f>COS_RR!Z293</f>
        <v>0</v>
      </c>
      <c r="W46" s="335">
        <f>COS_RR!AA293</f>
        <v>0</v>
      </c>
      <c r="X46" s="137"/>
    </row>
    <row r="47" spans="1:25" ht="16.5" customHeight="1">
      <c r="A47" s="411"/>
      <c r="B47" s="225"/>
      <c r="C47" s="2839">
        <f>+MAX(C$12:C46)+1</f>
        <v>35</v>
      </c>
      <c r="D47" s="2840" t="str">
        <f>COS_RR!E294</f>
        <v>Admin &amp; General</v>
      </c>
      <c r="E47" s="2841">
        <f t="shared" si="0"/>
        <v>1</v>
      </c>
      <c r="F47" s="2842">
        <f>COS_RR!J294</f>
        <v>0</v>
      </c>
      <c r="G47" s="2842">
        <f>COS_RR!K294</f>
        <v>3.3700000000000001E-2</v>
      </c>
      <c r="H47" s="2842">
        <f>COS_RR!L294</f>
        <v>0.1676</v>
      </c>
      <c r="I47" s="2842">
        <f>COS_RR!M294</f>
        <v>0.1487</v>
      </c>
      <c r="J47" s="2842">
        <f>COS_RR!N294</f>
        <v>2.0299999999999999E-2</v>
      </c>
      <c r="K47" s="2842">
        <f>COS_RR!O294</f>
        <v>0</v>
      </c>
      <c r="L47" s="2842">
        <f>COS_RR!P294</f>
        <v>0</v>
      </c>
      <c r="M47" s="2842">
        <f>COS_RR!Q294</f>
        <v>6.3100000000000003E-2</v>
      </c>
      <c r="N47" s="2842">
        <f>COS_RR!R294</f>
        <v>3.1600000000000003E-2</v>
      </c>
      <c r="O47" s="2842">
        <f>COS_RR!S294</f>
        <v>0.19439999999999999</v>
      </c>
      <c r="P47" s="2842">
        <f>COS_RR!T294</f>
        <v>2.41E-2</v>
      </c>
      <c r="Q47" s="2842">
        <f>COS_RR!U294</f>
        <v>6.2799999999999995E-2</v>
      </c>
      <c r="R47" s="2842">
        <f>COS_RR!V294</f>
        <v>1.7299999999999999E-2</v>
      </c>
      <c r="S47" s="2842">
        <f>COS_RR!W294</f>
        <v>8.0699999999999994E-2</v>
      </c>
      <c r="T47" s="2842">
        <f>COS_RR!X294</f>
        <v>0.14229999999999998</v>
      </c>
      <c r="U47" s="2842">
        <f>COS_RR!Y294</f>
        <v>5.7999999999999996E-3</v>
      </c>
      <c r="V47" s="2842">
        <f>COS_RR!Z294</f>
        <v>7.6E-3</v>
      </c>
      <c r="W47" s="2842">
        <f>COS_RR!AA294</f>
        <v>0</v>
      </c>
      <c r="X47" s="137"/>
    </row>
    <row r="48" spans="1:25" ht="16.5" customHeight="1">
      <c r="A48" s="411"/>
      <c r="B48" s="225"/>
      <c r="C48" s="342">
        <f>+MAX(C$12:C47)+1</f>
        <v>36</v>
      </c>
      <c r="D48" s="416" t="str">
        <f>COS_RR!E295</f>
        <v>Debt (Existing)</v>
      </c>
      <c r="E48" s="915">
        <f t="shared" si="0"/>
        <v>1</v>
      </c>
      <c r="F48" s="335">
        <f>COS_RR!J295</f>
        <v>0</v>
      </c>
      <c r="G48" s="335">
        <f>COS_RR!K295</f>
        <v>4.7399999999999998E-2</v>
      </c>
      <c r="H48" s="335">
        <f>COS_RR!L295</f>
        <v>0.3301</v>
      </c>
      <c r="I48" s="335">
        <f>COS_RR!M295</f>
        <v>0.1114</v>
      </c>
      <c r="J48" s="335">
        <f>COS_RR!N295</f>
        <v>0</v>
      </c>
      <c r="K48" s="335">
        <f>COS_RR!O295</f>
        <v>0</v>
      </c>
      <c r="L48" s="335">
        <f>COS_RR!P295</f>
        <v>0</v>
      </c>
      <c r="M48" s="335">
        <f>COS_RR!Q295</f>
        <v>9.9299999999999999E-2</v>
      </c>
      <c r="N48" s="335">
        <f>COS_RR!R295</f>
        <v>3.6499999999999998E-2</v>
      </c>
      <c r="O48" s="335">
        <f>COS_RR!S295</f>
        <v>0.2157</v>
      </c>
      <c r="P48" s="335">
        <f>COS_RR!T295</f>
        <v>2.9399999999999999E-2</v>
      </c>
      <c r="Q48" s="335">
        <f>COS_RR!U295</f>
        <v>7.4899999999999994E-2</v>
      </c>
      <c r="R48" s="335">
        <f>COS_RR!V295</f>
        <v>2.7199999999999998E-2</v>
      </c>
      <c r="S48" s="335">
        <f>COS_RR!W295</f>
        <v>1.9E-2</v>
      </c>
      <c r="T48" s="335">
        <f>COS_RR!X295</f>
        <v>0</v>
      </c>
      <c r="U48" s="335">
        <f>COS_RR!Y295</f>
        <v>9.1000000000000004E-3</v>
      </c>
      <c r="V48" s="335">
        <f>COS_RR!Z295</f>
        <v>0</v>
      </c>
      <c r="W48" s="335">
        <f>COS_RR!AA295</f>
        <v>0</v>
      </c>
      <c r="X48" s="137"/>
    </row>
    <row r="49" spans="1:24" ht="16.5" customHeight="1">
      <c r="A49" s="411"/>
      <c r="B49" s="225"/>
      <c r="C49" s="2839">
        <f>+MAX(C$12:C48)+1</f>
        <v>37</v>
      </c>
      <c r="D49" s="2840" t="str">
        <f>COS_RR!E296</f>
        <v>Debt (Proposed)</v>
      </c>
      <c r="E49" s="2841">
        <f t="shared" si="0"/>
        <v>1</v>
      </c>
      <c r="F49" s="2842">
        <f>COS_RR!J296</f>
        <v>0</v>
      </c>
      <c r="G49" s="2842">
        <f>COS_RR!K296</f>
        <v>4.7399999999999998E-2</v>
      </c>
      <c r="H49" s="2842">
        <f>COS_RR!L296</f>
        <v>0.3301</v>
      </c>
      <c r="I49" s="2842">
        <f>COS_RR!M296</f>
        <v>0.1114</v>
      </c>
      <c r="J49" s="2842">
        <f>COS_RR!N296</f>
        <v>0</v>
      </c>
      <c r="K49" s="2842">
        <f>COS_RR!O296</f>
        <v>0</v>
      </c>
      <c r="L49" s="2842">
        <f>COS_RR!P296</f>
        <v>0</v>
      </c>
      <c r="M49" s="2842">
        <f>COS_RR!Q296</f>
        <v>9.9299999999999999E-2</v>
      </c>
      <c r="N49" s="2842">
        <f>COS_RR!R296</f>
        <v>3.6499999999999998E-2</v>
      </c>
      <c r="O49" s="2842">
        <f>COS_RR!S296</f>
        <v>0.2157</v>
      </c>
      <c r="P49" s="2842">
        <f>COS_RR!T296</f>
        <v>2.9399999999999999E-2</v>
      </c>
      <c r="Q49" s="2842">
        <f>COS_RR!U296</f>
        <v>7.4899999999999994E-2</v>
      </c>
      <c r="R49" s="2842">
        <f>COS_RR!V296</f>
        <v>2.7199999999999998E-2</v>
      </c>
      <c r="S49" s="2842">
        <f>COS_RR!W296</f>
        <v>1.9E-2</v>
      </c>
      <c r="T49" s="2842">
        <f>COS_RR!X296</f>
        <v>0</v>
      </c>
      <c r="U49" s="2842">
        <f>COS_RR!Y296</f>
        <v>9.1000000000000004E-3</v>
      </c>
      <c r="V49" s="2842">
        <f>COS_RR!Z296</f>
        <v>0</v>
      </c>
      <c r="W49" s="2842">
        <f>COS_RR!AA296</f>
        <v>0</v>
      </c>
      <c r="X49" s="137"/>
    </row>
    <row r="50" spans="1:24" ht="16.5" customHeight="1">
      <c r="A50" s="411"/>
      <c r="B50" s="225"/>
      <c r="C50" s="342">
        <f>+MAX(C$12:C49)+1</f>
        <v>38</v>
      </c>
      <c r="D50" s="416" t="str">
        <f>COS_RR!E297</f>
        <v>Other Exp</v>
      </c>
      <c r="E50" s="915">
        <f t="shared" si="0"/>
        <v>1</v>
      </c>
      <c r="F50" s="335">
        <f>COS_RR!J297</f>
        <v>0</v>
      </c>
      <c r="G50" s="335">
        <f>COS_RR!K297</f>
        <v>0.83489999999999998</v>
      </c>
      <c r="H50" s="335">
        <f>COS_RR!L297</f>
        <v>5.5700000000000083E-2</v>
      </c>
      <c r="I50" s="335">
        <f>COS_RR!M297</f>
        <v>1.9599999999999999E-2</v>
      </c>
      <c r="J50" s="335">
        <f>COS_RR!N297</f>
        <v>0</v>
      </c>
      <c r="K50" s="335">
        <f>COS_RR!O297</f>
        <v>0</v>
      </c>
      <c r="L50" s="335">
        <f>COS_RR!P297</f>
        <v>0</v>
      </c>
      <c r="M50" s="335">
        <f>COS_RR!Q297</f>
        <v>1.7399999999999999E-2</v>
      </c>
      <c r="N50" s="335">
        <f>COS_RR!R297</f>
        <v>6.4000000000000003E-3</v>
      </c>
      <c r="O50" s="335">
        <f>COS_RR!S297</f>
        <v>3.7900000000000003E-2</v>
      </c>
      <c r="P50" s="335">
        <f>COS_RR!T297</f>
        <v>5.1999999999999998E-3</v>
      </c>
      <c r="Q50" s="335">
        <f>COS_RR!U297</f>
        <v>1.32E-2</v>
      </c>
      <c r="R50" s="335">
        <f>COS_RR!V297</f>
        <v>4.7999999999999996E-3</v>
      </c>
      <c r="S50" s="335">
        <f>COS_RR!W297</f>
        <v>3.3E-3</v>
      </c>
      <c r="T50" s="335">
        <f>COS_RR!X297</f>
        <v>0</v>
      </c>
      <c r="U50" s="335">
        <f>COS_RR!Y297</f>
        <v>1.6000000000000001E-3</v>
      </c>
      <c r="V50" s="335">
        <f>COS_RR!Z297</f>
        <v>0</v>
      </c>
      <c r="W50" s="335">
        <f>COS_RR!AA297</f>
        <v>0</v>
      </c>
      <c r="X50" s="137"/>
    </row>
    <row r="51" spans="1:24" ht="16.5" customHeight="1">
      <c r="A51" s="411"/>
      <c r="B51" s="225"/>
      <c r="C51" s="2839">
        <f>+MAX(C$12:C50)+1</f>
        <v>39</v>
      </c>
      <c r="D51" s="2840" t="str">
        <f>COS_RR!E298</f>
        <v>Cash Financed Capital</v>
      </c>
      <c r="E51" s="2841">
        <f t="shared" si="0"/>
        <v>1.0000000000000002</v>
      </c>
      <c r="F51" s="2842">
        <f>COS_RR!J298</f>
        <v>0</v>
      </c>
      <c r="G51" s="2842">
        <f>COS_RR!K298</f>
        <v>4.8000000000000001E-2</v>
      </c>
      <c r="H51" s="2842">
        <f>COS_RR!L298</f>
        <v>0.3218000000000002</v>
      </c>
      <c r="I51" s="2842">
        <f>COS_RR!M298</f>
        <v>0.1128</v>
      </c>
      <c r="J51" s="2842">
        <f>COS_RR!N298</f>
        <v>0</v>
      </c>
      <c r="K51" s="2842">
        <f>COS_RR!O298</f>
        <v>0</v>
      </c>
      <c r="L51" s="2842">
        <f>COS_RR!P298</f>
        <v>0</v>
      </c>
      <c r="M51" s="2842">
        <f>COS_RR!Q298</f>
        <v>0.10050000000000001</v>
      </c>
      <c r="N51" s="2842">
        <f>COS_RR!R298</f>
        <v>3.6999999999999998E-2</v>
      </c>
      <c r="O51" s="2842">
        <f>COS_RR!S298</f>
        <v>0.21840000000000001</v>
      </c>
      <c r="P51" s="2842">
        <f>COS_RR!T298</f>
        <v>2.9700000000000001E-2</v>
      </c>
      <c r="Q51" s="2842">
        <f>COS_RR!U298</f>
        <v>7.5899999999999995E-2</v>
      </c>
      <c r="R51" s="2842">
        <f>COS_RR!V298</f>
        <v>2.75E-2</v>
      </c>
      <c r="S51" s="2842">
        <f>COS_RR!W298</f>
        <v>1.9199999999999998E-2</v>
      </c>
      <c r="T51" s="2842">
        <f>COS_RR!X298</f>
        <v>0</v>
      </c>
      <c r="U51" s="2842">
        <f>COS_RR!Y298</f>
        <v>9.1999999999999998E-3</v>
      </c>
      <c r="V51" s="2842">
        <f>COS_RR!Z298</f>
        <v>0</v>
      </c>
      <c r="W51" s="2842">
        <f>COS_RR!AA298</f>
        <v>0</v>
      </c>
      <c r="X51" s="137"/>
    </row>
    <row r="52" spans="1:24" ht="16.5" customHeight="1">
      <c r="A52" s="411"/>
      <c r="B52" s="225"/>
      <c r="C52" s="342">
        <f>+MAX(C$12:C51)+1</f>
        <v>40</v>
      </c>
      <c r="D52" s="416" t="str">
        <f>COS_RR!E299</f>
        <v>Other Rev.</v>
      </c>
      <c r="E52" s="915">
        <f t="shared" si="0"/>
        <v>1</v>
      </c>
      <c r="F52" s="335">
        <f>COS_RR!J299</f>
        <v>5.6300000000000003E-2</v>
      </c>
      <c r="G52" s="335">
        <f>COS_RR!K299</f>
        <v>0.72350000000000003</v>
      </c>
      <c r="H52" s="335">
        <f>COS_RR!L299</f>
        <v>7.0399999999999907E-2</v>
      </c>
      <c r="I52" s="335">
        <f>COS_RR!M299</f>
        <v>2.46E-2</v>
      </c>
      <c r="J52" s="335">
        <f>COS_RR!N299</f>
        <v>0</v>
      </c>
      <c r="K52" s="335">
        <f>COS_RR!O299</f>
        <v>0</v>
      </c>
      <c r="L52" s="335">
        <f>COS_RR!P299</f>
        <v>0</v>
      </c>
      <c r="M52" s="335">
        <f>COS_RR!Q299</f>
        <v>2.1899999999999999E-2</v>
      </c>
      <c r="N52" s="335">
        <f>COS_RR!R299</f>
        <v>8.3000000000000001E-3</v>
      </c>
      <c r="O52" s="335">
        <f>COS_RR!S299</f>
        <v>4.9000000000000002E-2</v>
      </c>
      <c r="P52" s="335">
        <f>COS_RR!T299</f>
        <v>6.7000000000000002E-3</v>
      </c>
      <c r="Q52" s="335">
        <f>COS_RR!U299</f>
        <v>1.7100000000000001E-2</v>
      </c>
      <c r="R52" s="335">
        <f>COS_RR!V299</f>
        <v>6.0000000000000001E-3</v>
      </c>
      <c r="S52" s="335">
        <f>COS_RR!W299</f>
        <v>4.1999999999999997E-3</v>
      </c>
      <c r="T52" s="335">
        <f>COS_RR!X299</f>
        <v>0</v>
      </c>
      <c r="U52" s="335">
        <f>COS_RR!Y299</f>
        <v>2E-3</v>
      </c>
      <c r="V52" s="335">
        <f>COS_RR!Z299</f>
        <v>0.01</v>
      </c>
      <c r="W52" s="335">
        <f>COS_RR!AA299</f>
        <v>0</v>
      </c>
      <c r="X52" s="86"/>
    </row>
    <row r="53" spans="1:24" ht="16.5" customHeight="1">
      <c r="A53" s="411"/>
      <c r="B53" s="225"/>
      <c r="C53" s="2839">
        <f>+MAX(C$12:C52)+1</f>
        <v>41</v>
      </c>
      <c r="D53" s="2840" t="str">
        <f>COS_RR!E300</f>
        <v>Rate 14 Direct</v>
      </c>
      <c r="E53" s="2841">
        <f t="shared" si="0"/>
        <v>1</v>
      </c>
      <c r="F53" s="2842">
        <f>COS_RR!J300</f>
        <v>0</v>
      </c>
      <c r="G53" s="2842">
        <f>COS_RR!K300</f>
        <v>0</v>
      </c>
      <c r="H53" s="2842">
        <f>COS_RR!L300</f>
        <v>0</v>
      </c>
      <c r="I53" s="2842">
        <f>COS_RR!M300</f>
        <v>0</v>
      </c>
      <c r="J53" s="2842">
        <f>COS_RR!N300</f>
        <v>0</v>
      </c>
      <c r="K53" s="2842">
        <f>COS_RR!O300</f>
        <v>1</v>
      </c>
      <c r="L53" s="2842">
        <f>COS_RR!P300</f>
        <v>0</v>
      </c>
      <c r="M53" s="2842">
        <f>COS_RR!Q300</f>
        <v>0</v>
      </c>
      <c r="N53" s="2842">
        <f>COS_RR!R300</f>
        <v>0</v>
      </c>
      <c r="O53" s="2842">
        <f>COS_RR!S300</f>
        <v>0</v>
      </c>
      <c r="P53" s="2842">
        <f>COS_RR!T300</f>
        <v>0</v>
      </c>
      <c r="Q53" s="2842">
        <f>COS_RR!U300</f>
        <v>0</v>
      </c>
      <c r="R53" s="2842">
        <f>COS_RR!V300</f>
        <v>0</v>
      </c>
      <c r="S53" s="2842">
        <f>COS_RR!W300</f>
        <v>0</v>
      </c>
      <c r="T53" s="2842">
        <f>COS_RR!X300</f>
        <v>0</v>
      </c>
      <c r="U53" s="2842">
        <f>COS_RR!Y300</f>
        <v>0</v>
      </c>
      <c r="V53" s="2842">
        <f>COS_RR!Z300</f>
        <v>0</v>
      </c>
      <c r="W53" s="2842">
        <f>COS_RR!AA300</f>
        <v>0</v>
      </c>
      <c r="X53" s="86"/>
    </row>
    <row r="54" spans="1:24" ht="16.5" customHeight="1">
      <c r="A54" s="411"/>
      <c r="B54" s="225"/>
      <c r="C54" s="342">
        <f>+MAX(C$12:C53)+1</f>
        <v>42</v>
      </c>
      <c r="D54" s="416" t="str">
        <f>COS_RR!E301</f>
        <v>Rate 15 Direct</v>
      </c>
      <c r="E54" s="915">
        <f t="shared" si="0"/>
        <v>1</v>
      </c>
      <c r="F54" s="335">
        <f>COS_RR!J301</f>
        <v>0</v>
      </c>
      <c r="G54" s="335">
        <f>COS_RR!K301</f>
        <v>0</v>
      </c>
      <c r="H54" s="335">
        <f>COS_RR!L301</f>
        <v>0</v>
      </c>
      <c r="I54" s="335">
        <f>COS_RR!M301</f>
        <v>0</v>
      </c>
      <c r="J54" s="335">
        <f>COS_RR!N301</f>
        <v>0</v>
      </c>
      <c r="K54" s="335">
        <f>COS_RR!O301</f>
        <v>0</v>
      </c>
      <c r="L54" s="335">
        <f>COS_RR!P301</f>
        <v>1</v>
      </c>
      <c r="M54" s="335">
        <f>COS_RR!Q301</f>
        <v>0</v>
      </c>
      <c r="N54" s="335">
        <f>COS_RR!R301</f>
        <v>0</v>
      </c>
      <c r="O54" s="335">
        <f>COS_RR!S301</f>
        <v>0</v>
      </c>
      <c r="P54" s="335">
        <f>COS_RR!T301</f>
        <v>0</v>
      </c>
      <c r="Q54" s="335">
        <f>COS_RR!U301</f>
        <v>0</v>
      </c>
      <c r="R54" s="335">
        <f>COS_RR!V301</f>
        <v>0</v>
      </c>
      <c r="S54" s="335">
        <f>COS_RR!W301</f>
        <v>0</v>
      </c>
      <c r="T54" s="335">
        <f>COS_RR!X301</f>
        <v>0</v>
      </c>
      <c r="U54" s="335">
        <f>COS_RR!Y301</f>
        <v>0</v>
      </c>
      <c r="V54" s="335">
        <f>COS_RR!Z301</f>
        <v>0</v>
      </c>
      <c r="W54" s="335">
        <f>COS_RR!AA301</f>
        <v>0</v>
      </c>
      <c r="X54" s="86"/>
    </row>
    <row r="55" spans="1:24" ht="16.5" customHeight="1">
      <c r="A55" s="411"/>
      <c r="B55" s="225"/>
      <c r="C55" s="2839">
        <f>+MAX(C$12:C54)+1</f>
        <v>43</v>
      </c>
      <c r="D55" s="2840" t="str">
        <f>COS_RR!E302</f>
        <v>Investment Inc.</v>
      </c>
      <c r="E55" s="2841">
        <f t="shared" si="0"/>
        <v>1</v>
      </c>
      <c r="F55" s="2842">
        <f>COS_RR!J302</f>
        <v>0</v>
      </c>
      <c r="G55" s="2842">
        <f>COS_RR!K302</f>
        <v>0</v>
      </c>
      <c r="H55" s="2842">
        <f>COS_RR!L302</f>
        <v>0</v>
      </c>
      <c r="I55" s="2842">
        <f>COS_RR!M302</f>
        <v>0.23810000000000001</v>
      </c>
      <c r="J55" s="2842">
        <f>COS_RR!N302</f>
        <v>0</v>
      </c>
      <c r="K55" s="2842">
        <f>COS_RR!O302</f>
        <v>0</v>
      </c>
      <c r="L55" s="2842">
        <f>COS_RR!P302</f>
        <v>0</v>
      </c>
      <c r="M55" s="2842">
        <f>COS_RR!Q302</f>
        <v>0</v>
      </c>
      <c r="N55" s="2842">
        <f>COS_RR!R302</f>
        <v>7.8E-2</v>
      </c>
      <c r="O55" s="2842">
        <f>COS_RR!S302</f>
        <v>0.46100000000000002</v>
      </c>
      <c r="P55" s="2842">
        <f>COS_RR!T302</f>
        <v>6.2700000000000006E-2</v>
      </c>
      <c r="Q55" s="2842">
        <f>COS_RR!U302</f>
        <v>0.16020000000000001</v>
      </c>
      <c r="R55" s="2842">
        <f>COS_RR!V302</f>
        <v>0</v>
      </c>
      <c r="S55" s="2842">
        <f>COS_RR!W302</f>
        <v>0</v>
      </c>
      <c r="T55" s="2842">
        <f>COS_RR!X302</f>
        <v>0</v>
      </c>
      <c r="U55" s="2842">
        <f>COS_RR!Y302</f>
        <v>0</v>
      </c>
      <c r="V55" s="2842">
        <f>COS_RR!Z302</f>
        <v>0</v>
      </c>
      <c r="W55" s="2842">
        <f>COS_RR!AA302</f>
        <v>0</v>
      </c>
      <c r="X55" s="86"/>
    </row>
    <row r="56" spans="1:24" ht="16.5" customHeight="1">
      <c r="A56" s="411"/>
      <c r="B56" s="225"/>
      <c r="C56" s="342"/>
      <c r="F56" s="46"/>
      <c r="G56" s="46"/>
      <c r="H56" s="46"/>
      <c r="I56" s="46"/>
      <c r="J56" s="46"/>
      <c r="K56" s="46"/>
      <c r="L56" s="46"/>
      <c r="M56" s="46"/>
      <c r="N56" s="46"/>
      <c r="O56" s="46"/>
      <c r="P56" s="46"/>
      <c r="Q56" s="46"/>
      <c r="R56" s="46"/>
      <c r="S56" s="46"/>
      <c r="T56" s="46"/>
      <c r="U56" s="46"/>
      <c r="V56" s="46"/>
      <c r="W56" s="334"/>
      <c r="X56" s="86"/>
    </row>
    <row r="57" spans="1:24" ht="16.5" hidden="1" customHeight="1">
      <c r="X57" s="86"/>
    </row>
    <row r="58" spans="1:24" ht="16.5" hidden="1" customHeight="1">
      <c r="X58" s="86"/>
    </row>
    <row r="59" spans="1:24" ht="16.5" hidden="1" customHeight="1">
      <c r="X59" s="86"/>
    </row>
    <row r="60" spans="1:24" ht="16.5" hidden="1" customHeight="1">
      <c r="X60" s="86"/>
    </row>
    <row r="61" spans="1:24" ht="16.5" hidden="1" customHeight="1">
      <c r="X61" s="86"/>
    </row>
    <row r="62" spans="1:24" ht="16.5" hidden="1" customHeight="1">
      <c r="X62" s="86"/>
    </row>
    <row r="63" spans="1:24" ht="16.5" hidden="1" customHeight="1">
      <c r="X63" s="86"/>
    </row>
    <row r="64" spans="1:24" ht="16.5" hidden="1" customHeight="1">
      <c r="X64" s="86"/>
    </row>
    <row r="65" spans="24:24" ht="16.5" hidden="1" customHeight="1">
      <c r="X65" s="86"/>
    </row>
    <row r="66" spans="24:24" ht="16.5" hidden="1" customHeight="1">
      <c r="X66" s="86"/>
    </row>
    <row r="67" spans="24:24" ht="16.5" hidden="1" customHeight="1"/>
    <row r="68" spans="24:24" ht="16.5" hidden="1" customHeight="1"/>
    <row r="69" spans="24:24" ht="16.5" hidden="1" customHeight="1"/>
    <row r="70" spans="24:24" ht="16.5" hidden="1" customHeight="1"/>
    <row r="71" spans="24:24" ht="16.5" hidden="1" customHeight="1"/>
    <row r="72" spans="24:24" ht="16.5" hidden="1" customHeight="1"/>
    <row r="73" spans="24:24" ht="16.5" hidden="1" customHeight="1"/>
    <row r="74" spans="24:24" ht="16.5" hidden="1" customHeight="1"/>
    <row r="75" spans="24:24" ht="16.5" hidden="1" customHeight="1"/>
    <row r="76" spans="24:24" ht="16.5" hidden="1" customHeight="1"/>
    <row r="77" spans="24:24" ht="16.5" hidden="1" customHeight="1"/>
    <row r="78" spans="24:24" ht="16.5" hidden="1" customHeight="1"/>
    <row r="79" spans="24:24" ht="16.5" hidden="1" customHeight="1"/>
    <row r="80" spans="24:24" ht="16.5" hidden="1" customHeight="1"/>
    <row r="81" ht="16.5" hidden="1" customHeight="1"/>
    <row r="82" ht="16.5" hidden="1" customHeight="1"/>
    <row r="83" ht="16.5" hidden="1" customHeight="1"/>
    <row r="84" ht="16.5" hidden="1" customHeight="1"/>
    <row r="85" ht="16.5" hidden="1" customHeight="1"/>
    <row r="86" ht="16.5" hidden="1" customHeight="1"/>
    <row r="87" ht="16.5" hidden="1" customHeight="1"/>
    <row r="88" ht="16.5" hidden="1" customHeight="1"/>
    <row r="89" ht="16.5" hidden="1" customHeight="1"/>
    <row r="90" ht="16.5" hidden="1" customHeight="1"/>
    <row r="91" ht="16.5" hidden="1" customHeight="1"/>
    <row r="92" ht="16.5" hidden="1" customHeight="1"/>
    <row r="93" ht="16.5" hidden="1" customHeight="1"/>
    <row r="94" ht="16.5" hidden="1" customHeight="1"/>
    <row r="95" ht="16.5" hidden="1" customHeight="1"/>
    <row r="96" ht="16.5" hidden="1" customHeight="1"/>
    <row r="97" ht="16.5" hidden="1" customHeight="1"/>
    <row r="98" ht="16.5" hidden="1" customHeight="1"/>
    <row r="99" ht="16.5" hidden="1" customHeight="1"/>
    <row r="100" ht="16.5" hidden="1" customHeight="1"/>
    <row r="101" ht="16.5" hidden="1" customHeight="1"/>
    <row r="102" ht="16.5" hidden="1" customHeight="1"/>
    <row r="103" ht="16.5" hidden="1" customHeight="1"/>
    <row r="104" ht="16.5" hidden="1" customHeight="1"/>
    <row r="105" ht="16.5" hidden="1" customHeight="1"/>
    <row r="106" ht="16.5" hidden="1" customHeight="1"/>
    <row r="107" ht="16.5" hidden="1" customHeight="1"/>
    <row r="108" ht="16.5" hidden="1" customHeight="1"/>
    <row r="109" ht="16.5" hidden="1" customHeight="1"/>
    <row r="110" ht="16.5" hidden="1" customHeight="1"/>
    <row r="111" ht="16.5" hidden="1" customHeight="1"/>
    <row r="112" ht="16.5" hidden="1" customHeight="1"/>
    <row r="113" ht="16.5" hidden="1" customHeight="1"/>
    <row r="114" ht="16.5" hidden="1" customHeight="1"/>
    <row r="115" ht="16.5" hidden="1" customHeight="1"/>
    <row r="116" ht="16.5" hidden="1" customHeight="1"/>
    <row r="117" ht="16.5" hidden="1" customHeight="1"/>
    <row r="118" ht="16.5" hidden="1" customHeight="1"/>
    <row r="119" ht="16.5" hidden="1" customHeight="1"/>
    <row r="120" ht="16.5" hidden="1" customHeight="1"/>
    <row r="121" ht="16.5" hidden="1" customHeight="1"/>
    <row r="122" ht="16.5" hidden="1" customHeight="1"/>
    <row r="123" ht="16.5" hidden="1" customHeight="1"/>
    <row r="124" ht="16.5" hidden="1" customHeight="1"/>
    <row r="125" ht="16.5" hidden="1" customHeight="1"/>
    <row r="126" ht="16.5" hidden="1" customHeight="1"/>
    <row r="127" ht="16.5" hidden="1" customHeight="1"/>
    <row r="128" ht="16.5" hidden="1" customHeight="1"/>
    <row r="129" ht="16.5" hidden="1" customHeight="1"/>
    <row r="130" ht="16.5" hidden="1" customHeight="1"/>
    <row r="131" ht="16.5" hidden="1" customHeight="1"/>
    <row r="132" ht="16.5" hidden="1" customHeight="1"/>
    <row r="133" ht="16.5" hidden="1" customHeight="1"/>
    <row r="134" ht="16.5" hidden="1" customHeight="1"/>
    <row r="135" ht="16.5" hidden="1" customHeight="1"/>
    <row r="136" ht="16.5" hidden="1" customHeight="1"/>
    <row r="137" ht="16.5" hidden="1" customHeight="1"/>
    <row r="138" ht="16.5" hidden="1" customHeight="1"/>
    <row r="139" ht="16.5" hidden="1" customHeight="1"/>
    <row r="140" ht="16.5" hidden="1" customHeight="1"/>
    <row r="141" ht="16.5" hidden="1" customHeight="1"/>
    <row r="142" ht="16.5" hidden="1" customHeight="1"/>
    <row r="143" ht="16.5" hidden="1" customHeight="1"/>
    <row r="144" ht="16.5" hidden="1" customHeight="1"/>
    <row r="145" ht="16.5" hidden="1" customHeight="1"/>
    <row r="146" ht="16.5" hidden="1" customHeight="1"/>
    <row r="147" ht="16.5" hidden="1" customHeight="1"/>
    <row r="148" ht="16.5" hidden="1" customHeight="1"/>
    <row r="149" ht="16.5" hidden="1" customHeight="1"/>
    <row r="150" ht="16.5" hidden="1" customHeight="1"/>
    <row r="151" ht="16.5" hidden="1" customHeight="1"/>
    <row r="152" ht="16.5" hidden="1" customHeight="1"/>
    <row r="153" ht="16.5" hidden="1" customHeight="1"/>
    <row r="154" ht="16.5" hidden="1" customHeight="1"/>
    <row r="155" ht="16.5" hidden="1" customHeight="1"/>
    <row r="156" ht="16.5" hidden="1" customHeight="1"/>
    <row r="157" ht="16.5" hidden="1" customHeight="1"/>
    <row r="158" ht="16.5" hidden="1" customHeight="1"/>
    <row r="159" ht="16.5" hidden="1" customHeight="1"/>
    <row r="160" ht="16.5" hidden="1" customHeight="1"/>
    <row r="161" ht="16.5" hidden="1" customHeight="1"/>
    <row r="162" ht="16.5" hidden="1" customHeight="1"/>
    <row r="163" ht="16.5" hidden="1" customHeight="1"/>
    <row r="164" ht="16.5" hidden="1" customHeight="1"/>
    <row r="165" ht="16.5" hidden="1" customHeight="1"/>
    <row r="166" ht="16.5" hidden="1" customHeight="1"/>
    <row r="167" ht="16.5" hidden="1" customHeight="1"/>
    <row r="168" ht="16.5" hidden="1" customHeight="1"/>
    <row r="169" ht="16.5" hidden="1" customHeight="1"/>
    <row r="170" ht="16.5" hidden="1" customHeight="1"/>
    <row r="171" ht="16.5" hidden="1" customHeight="1"/>
    <row r="172" ht="16.5" hidden="1" customHeight="1"/>
    <row r="173" ht="16.5" hidden="1" customHeight="1"/>
    <row r="174" ht="16.5" hidden="1" customHeight="1"/>
    <row r="175" ht="16.5" hidden="1" customHeight="1"/>
    <row r="176" ht="16.5" hidden="1" customHeight="1"/>
    <row r="177" ht="16.5" hidden="1" customHeight="1"/>
    <row r="178" ht="16.5" hidden="1" customHeight="1"/>
    <row r="179" ht="16.5" hidden="1" customHeight="1"/>
    <row r="180" ht="16.5" hidden="1" customHeight="1"/>
    <row r="181" ht="16.5" hidden="1" customHeight="1"/>
    <row r="182" ht="16.5" hidden="1" customHeight="1"/>
    <row r="183" ht="16.5" hidden="1" customHeight="1"/>
    <row r="184" ht="16.5" hidden="1" customHeight="1"/>
    <row r="185" ht="16.5" hidden="1" customHeight="1"/>
    <row r="186" ht="16.5" hidden="1" customHeight="1"/>
    <row r="187" ht="16.5" hidden="1" customHeight="1"/>
    <row r="188" ht="16.5" hidden="1" customHeight="1"/>
    <row r="189" ht="16.5" hidden="1" customHeight="1"/>
    <row r="190" ht="16.5" hidden="1" customHeight="1"/>
    <row r="191" ht="16.5" hidden="1" customHeight="1"/>
    <row r="192" ht="16.5" hidden="1" customHeight="1"/>
    <row r="193" ht="16.5" hidden="1" customHeight="1"/>
    <row r="194" ht="16.5" hidden="1" customHeight="1"/>
    <row r="195" ht="16.5" hidden="1" customHeight="1"/>
    <row r="196" ht="16.5" hidden="1" customHeight="1"/>
    <row r="197" ht="16.5" hidden="1" customHeight="1"/>
    <row r="198" ht="16.5" hidden="1" customHeight="1"/>
    <row r="199" ht="16.5" hidden="1" customHeight="1"/>
    <row r="200" ht="16.5" hidden="1" customHeight="1"/>
    <row r="201" ht="16.5" hidden="1" customHeight="1"/>
    <row r="202" ht="16.5" hidden="1" customHeight="1"/>
    <row r="203" ht="16.5" hidden="1" customHeight="1"/>
    <row r="204" ht="16.5" hidden="1" customHeight="1"/>
    <row r="205" ht="16.5" hidden="1" customHeight="1"/>
    <row r="206" ht="16.5" hidden="1" customHeight="1"/>
    <row r="207" ht="15.75" hidden="1"/>
    <row r="208" ht="15.75" hidden="1"/>
    <row r="209" ht="15.75" hidden="1"/>
    <row r="210" ht="15.75" hidden="1"/>
    <row r="211" ht="15.75" hidden="1"/>
    <row r="212" ht="15.75" hidden="1"/>
    <row r="213" ht="15.75" hidden="1"/>
    <row r="214" ht="15.75" hidden="1"/>
    <row r="215" ht="15.75" hidden="1"/>
    <row r="216" ht="15.75" hidden="1"/>
    <row r="217" ht="15.75" hidden="1"/>
    <row r="218" ht="15.75" hidden="1"/>
    <row r="219" ht="15.75" hidden="1"/>
    <row r="220" ht="15.75" hidden="1"/>
    <row r="221" ht="15.75" hidden="1"/>
    <row r="222" ht="15.75" hidden="1"/>
    <row r="223" ht="15.75" hidden="1"/>
    <row r="224" ht="15.75" hidden="1"/>
    <row r="225" ht="15.75" hidden="1"/>
    <row r="226" ht="15.75" hidden="1"/>
    <row r="227" ht="15.75" hidden="1"/>
    <row r="228" ht="15.75" hidden="1"/>
    <row r="229" ht="15.75" hidden="1"/>
    <row r="230" ht="15.75" hidden="1"/>
    <row r="231" ht="15.75" hidden="1"/>
    <row r="232" ht="15.75" hidden="1"/>
    <row r="233" ht="15.75" hidden="1"/>
    <row r="234" ht="15.75" hidden="1"/>
    <row r="235" ht="15.75" hidden="1"/>
    <row r="236" ht="15.75" hidden="1"/>
    <row r="237" ht="15.75" hidden="1"/>
    <row r="238" ht="15.75" hidden="1"/>
    <row r="239" ht="15.75" hidden="1"/>
    <row r="240" ht="15.75" hidden="1"/>
    <row r="241" ht="15.75" hidden="1"/>
    <row r="242" ht="15.75" hidden="1"/>
    <row r="243" ht="15.75" hidden="1"/>
    <row r="244" ht="15.75" hidden="1"/>
    <row r="245" ht="15.75" hidden="1"/>
    <row r="246" ht="15.75" hidden="1"/>
    <row r="247" ht="15.75" hidden="1"/>
    <row r="248" ht="15.75" hidden="1"/>
    <row r="249" ht="15.75" hidden="1"/>
    <row r="250" ht="15.75" hidden="1"/>
    <row r="251" ht="15.75" hidden="1"/>
    <row r="252" ht="15.75" hidden="1"/>
    <row r="253" ht="15.75" hidden="1"/>
    <row r="254" ht="15.75" hidden="1"/>
    <row r="255" ht="15.75" hidden="1"/>
    <row r="256" ht="15.75" hidden="1"/>
    <row r="257" ht="15.75" hidden="1"/>
    <row r="258" ht="15.75" hidden="1"/>
    <row r="259" ht="15.75" hidden="1"/>
    <row r="260" ht="15.75" hidden="1"/>
    <row r="261" ht="15.75" hidden="1"/>
    <row r="262" ht="15.75" hidden="1"/>
    <row r="263" ht="15.75" hidden="1"/>
    <row r="264" ht="15.75" hidden="1"/>
    <row r="265" ht="15.75" hidden="1"/>
    <row r="266" ht="15.75" hidden="1"/>
    <row r="267" ht="15.75" hidden="1"/>
    <row r="268" ht="15.75" hidden="1"/>
    <row r="269" ht="15.75" hidden="1"/>
    <row r="270" ht="15.75" hidden="1"/>
    <row r="271" ht="15.75" hidden="1"/>
    <row r="272" ht="15.75" hidden="1"/>
    <row r="273" ht="15.75" hidden="1"/>
    <row r="274" ht="15.75" hidden="1"/>
    <row r="275" ht="15.75" hidden="1"/>
    <row r="276" ht="15.75" hidden="1"/>
    <row r="277" ht="15.75" hidden="1"/>
    <row r="278" ht="15.75" hidden="1"/>
    <row r="279" ht="15.75" hidden="1"/>
    <row r="280" ht="15.75" hidden="1"/>
    <row r="281" ht="15.75" hidden="1"/>
    <row r="282" ht="15.75" hidden="1"/>
    <row r="283" ht="15.75" hidden="1"/>
    <row r="284" ht="15.75" hidden="1"/>
    <row r="285" ht="15.75" hidden="1"/>
    <row r="286" ht="15.75" hidden="1"/>
    <row r="287" ht="15.75" hidden="1"/>
    <row r="288" ht="15.75" hidden="1"/>
    <row r="289" ht="15.75" hidden="1"/>
    <row r="290" ht="15.75" hidden="1"/>
    <row r="291" ht="15.75" hidden="1"/>
    <row r="292" ht="15.75" hidden="1"/>
    <row r="293" ht="15.75" hidden="1"/>
    <row r="294" ht="15.75" hidden="1"/>
    <row r="295" ht="15.75" hidden="1"/>
    <row r="296" ht="15.75" hidden="1"/>
    <row r="297" ht="15.75" hidden="1"/>
    <row r="298" ht="15.75" hidden="1"/>
    <row r="299" ht="15.75" hidden="1"/>
    <row r="300" ht="15.75" hidden="1"/>
    <row r="301" ht="15.75" hidden="1"/>
    <row r="302" ht="15.75" hidden="1"/>
    <row r="303" ht="15.75" hidden="1"/>
    <row r="304" ht="15.75" hidden="1"/>
    <row r="305" ht="15.75" hidden="1"/>
    <row r="306" ht="15.75" hidden="1"/>
    <row r="307" ht="15.75" hidden="1"/>
    <row r="308" ht="15.75" hidden="1"/>
    <row r="309" ht="15.75" hidden="1"/>
    <row r="310" ht="15.75" hidden="1"/>
    <row r="311" ht="15.75" hidden="1"/>
    <row r="312" ht="15.75" hidden="1"/>
    <row r="313" ht="15.75" hidden="1"/>
    <row r="314" ht="15.75" hidden="1"/>
    <row r="315" ht="15.75" hidden="1"/>
    <row r="316" ht="15.75" hidden="1"/>
    <row r="317" ht="15.75" hidden="1"/>
    <row r="318" ht="15.75" hidden="1"/>
    <row r="319" ht="15.75" hidden="1"/>
    <row r="320" ht="15.75" hidden="1"/>
    <row r="321" ht="15.75" hidden="1"/>
    <row r="322" ht="15.75" hidden="1"/>
    <row r="323" ht="15.75" hidden="1"/>
    <row r="324" ht="15.75" hidden="1"/>
    <row r="325" ht="15.75" hidden="1"/>
    <row r="326" ht="15.75" hidden="1"/>
    <row r="327" ht="15.75" hidden="1"/>
    <row r="328" ht="15.75" hidden="1"/>
    <row r="329" ht="15.75" hidden="1"/>
    <row r="330" ht="15.75" hidden="1"/>
    <row r="331" ht="15.75" hidden="1"/>
    <row r="332" ht="15.75" hidden="1"/>
    <row r="333" ht="15.75" hidden="1"/>
    <row r="334" ht="15.75" hidden="1"/>
    <row r="335" ht="15.75" hidden="1"/>
    <row r="336" ht="15.75" hidden="1"/>
    <row r="337" ht="15.75" hidden="1"/>
    <row r="338" ht="15.75" hidden="1"/>
    <row r="339" ht="15.75" hidden="1"/>
    <row r="340" ht="15.75" hidden="1"/>
    <row r="341" ht="15.75" hidden="1"/>
    <row r="342" ht="15.75" hidden="1"/>
    <row r="343" ht="15.75" hidden="1"/>
    <row r="344" ht="15.75" hidden="1"/>
    <row r="345" ht="15.75" hidden="1"/>
    <row r="346" ht="15.75" hidden="1"/>
    <row r="347" ht="15.75" hidden="1"/>
    <row r="348" ht="15.75" hidden="1"/>
    <row r="349" ht="15.75" hidden="1"/>
    <row r="350" ht="15.75" hidden="1"/>
    <row r="351" ht="15.75" hidden="1"/>
    <row r="352" ht="15.75" hidden="1"/>
    <row r="353" ht="15.75" hidden="1"/>
    <row r="354" ht="15.75" hidden="1"/>
    <row r="355" ht="15.75" hidden="1"/>
    <row r="356" ht="15.75" hidden="1"/>
    <row r="357" ht="15.75" hidden="1"/>
    <row r="358" ht="15.75" hidden="1"/>
    <row r="359" ht="15.75" hidden="1"/>
    <row r="360" ht="15.75" hidden="1"/>
    <row r="361" ht="15.75" hidden="1"/>
    <row r="362" ht="15.75" hidden="1"/>
    <row r="363" ht="15.75" hidden="1"/>
    <row r="364" ht="15.75" hidden="1"/>
    <row r="365" ht="15.75" hidden="1"/>
    <row r="366" ht="15.75" hidden="1"/>
    <row r="367" ht="15.75" hidden="1"/>
    <row r="368" ht="15.75" hidden="1"/>
    <row r="369" ht="15.75" hidden="1"/>
    <row r="370" ht="15.75" hidden="1"/>
    <row r="371" ht="15.75" hidden="1"/>
    <row r="372" ht="15.75" hidden="1"/>
    <row r="373" ht="15.75" hidden="1"/>
    <row r="374" ht="15.75" hidden="1"/>
    <row r="375" ht="15.75" hidden="1"/>
    <row r="376" ht="15.75" hidden="1"/>
    <row r="377" ht="15.75" hidden="1"/>
    <row r="378" ht="15.75" hidden="1"/>
    <row r="379" ht="15.75" hidden="1"/>
    <row r="380" ht="15.75" hidden="1"/>
    <row r="381" ht="15.75" hidden="1"/>
    <row r="382" ht="15.75" hidden="1"/>
    <row r="383" ht="15.75" hidden="1"/>
    <row r="384" ht="15.75" hidden="1"/>
    <row r="385" ht="15.75" hidden="1"/>
    <row r="386" ht="15.75" hidden="1"/>
    <row r="387" ht="15.75" hidden="1"/>
    <row r="388" ht="15.75" hidden="1"/>
    <row r="389" ht="15.75" hidden="1"/>
    <row r="390" ht="15.75" hidden="1"/>
    <row r="391" ht="15.75" hidden="1"/>
    <row r="392" ht="15.75" hidden="1"/>
    <row r="393" ht="15.75" hidden="1"/>
    <row r="394" ht="15.75" hidden="1"/>
    <row r="395" ht="15.75" hidden="1"/>
    <row r="396" ht="15.75" hidden="1"/>
    <row r="397" ht="15.75" hidden="1"/>
    <row r="398" ht="15.75" hidden="1"/>
    <row r="399" ht="15.75" hidden="1"/>
    <row r="400" ht="15.75" hidden="1"/>
    <row r="401" ht="15.75" hidden="1"/>
    <row r="402" ht="15.75" hidden="1"/>
    <row r="403" ht="15.75" hidden="1"/>
    <row r="404" ht="15.75" hidden="1"/>
    <row r="405" ht="15.75" hidden="1"/>
    <row r="406" ht="15.75" hidden="1"/>
    <row r="407" ht="15.75" hidden="1"/>
    <row r="408" ht="15.75" hidden="1"/>
    <row r="409" ht="15.75" hidden="1"/>
    <row r="410" ht="15.75" hidden="1"/>
    <row r="411" ht="15.75" hidden="1"/>
    <row r="412" ht="15.75" hidden="1"/>
    <row r="413" ht="15.75" hidden="1"/>
    <row r="414" ht="15.75" hidden="1"/>
    <row r="415" ht="15.75" hidden="1"/>
    <row r="416" ht="15.75" hidden="1"/>
    <row r="417" ht="15.75" hidden="1"/>
    <row r="418" ht="15.75" hidden="1"/>
    <row r="419" ht="15.75"/>
    <row r="420" ht="15.75"/>
    <row r="421" ht="15.75"/>
    <row r="422" ht="15.75"/>
    <row r="423" ht="15.75"/>
    <row r="424" ht="15.75"/>
    <row r="425" ht="15.75"/>
    <row r="426" ht="15.75"/>
    <row r="427" ht="15.75"/>
    <row r="428" ht="15.75"/>
    <row r="429" ht="15.75"/>
    <row r="430" ht="15.75"/>
    <row r="431" ht="15.75"/>
    <row r="432" ht="15.75"/>
    <row r="433" ht="15.75"/>
    <row r="434" ht="15.75"/>
    <row r="435" ht="15.75"/>
    <row r="436" ht="15.75"/>
    <row r="437" ht="15.75"/>
    <row r="438" ht="15.75"/>
    <row r="439" ht="15.75"/>
    <row r="440" ht="15.75"/>
    <row r="441" ht="15.75"/>
    <row r="442" ht="15.75"/>
    <row r="443" ht="15.75"/>
    <row r="444" ht="15.75"/>
    <row r="445" ht="15.75"/>
    <row r="446" ht="15.75"/>
    <row r="447" ht="15.75"/>
    <row r="448" ht="15.75"/>
    <row r="449" ht="15.75"/>
    <row r="450" ht="15.75"/>
    <row r="451" ht="15.75"/>
    <row r="452" ht="15.75"/>
    <row r="453" ht="15.75"/>
    <row r="454" ht="15.75"/>
    <row r="455" ht="15.75"/>
    <row r="456" ht="15.75"/>
    <row r="457" ht="15.75"/>
    <row r="458" ht="15.75"/>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sheetData>
  <mergeCells count="19">
    <mergeCell ref="S10:S11"/>
    <mergeCell ref="D1:W1"/>
    <mergeCell ref="D2:W2"/>
    <mergeCell ref="D3:W3"/>
    <mergeCell ref="F8:G9"/>
    <mergeCell ref="H8:H9"/>
    <mergeCell ref="I8:O8"/>
    <mergeCell ref="I9:O9"/>
    <mergeCell ref="P9:S9"/>
    <mergeCell ref="U10:U11"/>
    <mergeCell ref="I10:I11"/>
    <mergeCell ref="N10:O10"/>
    <mergeCell ref="P10:Q10"/>
    <mergeCell ref="R10:R11"/>
    <mergeCell ref="C10:C11"/>
    <mergeCell ref="D10:D11"/>
    <mergeCell ref="F10:F11"/>
    <mergeCell ref="G10:G11"/>
    <mergeCell ref="H10:H11"/>
  </mergeCells>
  <printOptions horizontalCentered="1"/>
  <pageMargins left="0.25" right="0.25" top="0.5" bottom="0.5" header="0.25" footer="0.25"/>
  <pageSetup scale="40" fitToHeight="0" orientation="landscape" r:id="rId1"/>
  <headerFooter alignWithMargins="0">
    <oddFooter>&amp;L&amp;"Times New Roman,Bold Italic"Black &amp; Veatch Corporation&amp;C&amp;"Times New Roman,Bold Italic"Date: &amp;D&amp;R&amp;"Times New Roman,Bold Italic"Page: &amp;P of&amp;N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B284"/>
  <sheetViews>
    <sheetView showGridLines="0" zoomScale="89" zoomScaleNormal="89" workbookViewId="0">
      <pane xSplit="1" ySplit="8" topLeftCell="B9" activePane="bottomRight" state="frozen"/>
      <selection activeCell="G45" sqref="G45"/>
      <selection pane="topRight" activeCell="G45" sqref="G45"/>
      <selection pane="bottomLeft" activeCell="G45" sqref="G45"/>
      <selection pane="bottomRight" activeCell="G45" sqref="G45"/>
    </sheetView>
  </sheetViews>
  <sheetFormatPr defaultColWidth="0" defaultRowHeight="15.75" zeroHeight="1"/>
  <cols>
    <col min="1" max="1" width="22.625" customWidth="1"/>
    <col min="2" max="2" width="2" style="1" customWidth="1"/>
    <col min="3" max="3" width="9" customWidth="1"/>
    <col min="4" max="4" width="0.375" customWidth="1"/>
    <col min="5" max="5" width="30.75" customWidth="1"/>
    <col min="6" max="6" width="0.375" customWidth="1"/>
    <col min="7" max="7" width="155.125" customWidth="1"/>
    <col min="8" max="8" width="1.75" customWidth="1"/>
  </cols>
  <sheetData>
    <row r="1" spans="1:8" ht="22.5">
      <c r="A1" s="411"/>
      <c r="C1" s="430" t="s">
        <v>391</v>
      </c>
      <c r="D1" s="430"/>
      <c r="E1" s="109"/>
      <c r="F1" s="109"/>
      <c r="G1" s="430"/>
      <c r="H1" s="53"/>
    </row>
    <row r="2" spans="1:8" ht="22.5">
      <c r="A2" s="411"/>
      <c r="C2" s="430" t="s">
        <v>717</v>
      </c>
      <c r="D2" s="430"/>
      <c r="E2" s="109"/>
      <c r="F2" s="109"/>
      <c r="G2" s="430"/>
      <c r="H2" s="53"/>
    </row>
    <row r="3" spans="1:8" ht="22.5">
      <c r="A3" s="411"/>
      <c r="C3" s="430" t="s">
        <v>474</v>
      </c>
      <c r="D3" s="430"/>
      <c r="E3" s="109"/>
      <c r="F3" s="109"/>
      <c r="G3" s="430"/>
      <c r="H3" s="53"/>
    </row>
    <row r="4" spans="1:8" ht="15.75" customHeight="1">
      <c r="A4" s="411"/>
      <c r="C4" s="7"/>
      <c r="G4" s="50"/>
    </row>
    <row r="5" spans="1:8">
      <c r="A5" s="411"/>
    </row>
    <row r="6" spans="1:8">
      <c r="A6" s="411"/>
      <c r="H6" s="20"/>
    </row>
    <row r="7" spans="1:8">
      <c r="A7" s="411"/>
      <c r="C7" s="431" t="s">
        <v>867</v>
      </c>
      <c r="D7" s="86"/>
      <c r="E7" s="431" t="s">
        <v>201</v>
      </c>
      <c r="F7" s="86"/>
      <c r="G7" s="4341" t="s">
        <v>399</v>
      </c>
      <c r="H7" s="20"/>
    </row>
    <row r="8" spans="1:8">
      <c r="A8" s="411"/>
      <c r="C8" s="432" t="s">
        <v>398</v>
      </c>
      <c r="D8" s="86"/>
      <c r="E8" s="432" t="s">
        <v>202</v>
      </c>
      <c r="F8" s="86"/>
      <c r="G8" s="4342"/>
      <c r="H8" s="20"/>
    </row>
    <row r="9" spans="1:8">
      <c r="A9" s="411"/>
      <c r="C9" s="65"/>
      <c r="D9" s="51"/>
      <c r="E9" s="65"/>
      <c r="F9" s="51"/>
      <c r="G9" s="102"/>
      <c r="H9" s="20"/>
    </row>
    <row r="10" spans="1:8">
      <c r="A10" s="411"/>
      <c r="C10" s="51"/>
      <c r="D10" s="51"/>
      <c r="E10" s="58" t="s">
        <v>475</v>
      </c>
      <c r="F10" s="51"/>
      <c r="G10" s="51"/>
    </row>
    <row r="11" spans="1:8">
      <c r="A11" s="411"/>
      <c r="C11" s="54">
        <f>MAX($C$9:C10)+1</f>
        <v>1</v>
      </c>
      <c r="D11" s="51"/>
      <c r="E11" s="107" t="s">
        <v>476</v>
      </c>
      <c r="F11" s="51"/>
      <c r="G11" s="51" t="s">
        <v>477</v>
      </c>
    </row>
    <row r="12" spans="1:8">
      <c r="A12" s="411"/>
      <c r="C12" s="51"/>
      <c r="D12" s="51"/>
      <c r="E12" s="51"/>
      <c r="F12" s="51"/>
      <c r="G12" s="51"/>
    </row>
    <row r="13" spans="1:8">
      <c r="A13" s="411"/>
      <c r="C13" s="51"/>
      <c r="D13" s="51"/>
      <c r="E13" s="51"/>
      <c r="F13" s="51"/>
      <c r="G13" s="51"/>
    </row>
    <row r="14" spans="1:8">
      <c r="A14" s="411"/>
      <c r="C14" s="51"/>
      <c r="D14" s="51"/>
      <c r="E14" s="51"/>
      <c r="F14" s="51"/>
      <c r="G14" s="51"/>
    </row>
    <row r="15" spans="1:8">
      <c r="A15" s="411"/>
      <c r="C15" s="51"/>
      <c r="D15" s="51"/>
      <c r="E15" s="51"/>
      <c r="F15" s="51"/>
      <c r="G15" s="51"/>
    </row>
    <row r="16" spans="1:8">
      <c r="A16" s="411"/>
      <c r="C16" s="51"/>
      <c r="D16" s="51"/>
      <c r="E16" s="51"/>
      <c r="F16" s="51"/>
      <c r="G16" s="51"/>
    </row>
    <row r="17" spans="1:7">
      <c r="A17" s="411"/>
      <c r="C17" s="51"/>
      <c r="D17" s="51"/>
      <c r="E17" s="51"/>
      <c r="F17" s="51"/>
      <c r="G17" s="51"/>
    </row>
    <row r="18" spans="1:7">
      <c r="A18" s="411"/>
      <c r="C18" s="51"/>
      <c r="D18" s="51"/>
      <c r="E18" s="51"/>
      <c r="F18" s="51"/>
      <c r="G18" s="51"/>
    </row>
    <row r="19" spans="1:7">
      <c r="A19" s="411"/>
      <c r="C19" s="51"/>
      <c r="D19" s="51"/>
      <c r="E19" s="51"/>
      <c r="F19" s="51"/>
      <c r="G19" s="51"/>
    </row>
    <row r="20" spans="1:7">
      <c r="A20" s="411"/>
      <c r="C20" s="51"/>
      <c r="D20" s="51"/>
      <c r="E20" s="51"/>
      <c r="F20" s="51"/>
      <c r="G20" s="51"/>
    </row>
    <row r="21" spans="1:7">
      <c r="A21" s="411"/>
      <c r="C21" s="51"/>
      <c r="D21" s="51"/>
      <c r="E21" s="51"/>
      <c r="F21" s="51"/>
      <c r="G21" s="51"/>
    </row>
    <row r="22" spans="1:7">
      <c r="A22" s="411"/>
      <c r="C22" s="51"/>
      <c r="D22" s="51"/>
      <c r="E22" s="51"/>
      <c r="F22" s="51"/>
      <c r="G22" s="51"/>
    </row>
    <row r="23" spans="1:7">
      <c r="A23" s="411"/>
      <c r="C23" s="51"/>
      <c r="D23" s="51"/>
      <c r="E23" s="51"/>
      <c r="F23" s="51"/>
      <c r="G23" s="51"/>
    </row>
    <row r="24" spans="1:7">
      <c r="A24" s="411"/>
      <c r="C24" s="51"/>
      <c r="D24" s="51"/>
      <c r="E24" s="51"/>
      <c r="F24" s="51"/>
      <c r="G24" s="51"/>
    </row>
    <row r="25" spans="1:7">
      <c r="A25" s="411"/>
      <c r="C25" s="51"/>
      <c r="D25" s="51"/>
      <c r="E25" s="51"/>
      <c r="F25" s="51"/>
      <c r="G25" s="51"/>
    </row>
    <row r="26" spans="1:7">
      <c r="A26" s="411"/>
      <c r="C26" s="51"/>
      <c r="D26" s="51"/>
      <c r="E26" s="51"/>
      <c r="F26" s="51"/>
      <c r="G26" s="51"/>
    </row>
    <row r="27" spans="1:7">
      <c r="A27" s="411"/>
      <c r="C27" s="51"/>
      <c r="D27" s="51"/>
      <c r="E27" s="51"/>
      <c r="F27" s="51"/>
      <c r="G27" s="51"/>
    </row>
    <row r="28" spans="1:7">
      <c r="A28" s="411"/>
      <c r="C28" s="51"/>
      <c r="D28" s="51"/>
      <c r="E28" s="51"/>
      <c r="F28" s="51"/>
      <c r="G28" s="51"/>
    </row>
    <row r="29" spans="1:7">
      <c r="A29" s="411"/>
      <c r="C29" s="51"/>
      <c r="D29" s="51"/>
      <c r="E29" s="51"/>
      <c r="F29" s="51"/>
      <c r="G29" s="51"/>
    </row>
    <row r="30" spans="1:7">
      <c r="A30" s="411"/>
      <c r="C30" s="51"/>
      <c r="D30" s="51"/>
      <c r="E30" s="51"/>
      <c r="F30" s="51"/>
      <c r="G30" s="51"/>
    </row>
    <row r="31" spans="1:7">
      <c r="A31" s="411"/>
      <c r="C31" s="51"/>
      <c r="D31" s="51"/>
      <c r="E31" s="51"/>
      <c r="F31" s="51"/>
      <c r="G31" s="51"/>
    </row>
    <row r="32" spans="1:7">
      <c r="A32" s="411"/>
      <c r="C32" s="51"/>
      <c r="D32" s="51"/>
      <c r="E32" s="51"/>
      <c r="F32" s="51"/>
      <c r="G32" s="51"/>
    </row>
    <row r="33" spans="1:7">
      <c r="A33" s="411"/>
      <c r="C33" s="51"/>
      <c r="D33" s="51"/>
      <c r="E33" s="51"/>
      <c r="F33" s="51"/>
      <c r="G33" s="51"/>
    </row>
    <row r="34" spans="1:7">
      <c r="A34" s="415"/>
      <c r="C34" s="51"/>
      <c r="D34" s="51"/>
      <c r="E34" s="51"/>
      <c r="F34" s="51"/>
      <c r="G34" s="51"/>
    </row>
    <row r="35" spans="1:7">
      <c r="A35" s="415"/>
      <c r="C35" s="51"/>
      <c r="D35" s="51"/>
      <c r="E35" s="51"/>
      <c r="F35" s="51"/>
      <c r="G35" s="51"/>
    </row>
    <row r="36" spans="1:7">
      <c r="A36" s="415"/>
      <c r="C36" s="51"/>
      <c r="D36" s="51"/>
      <c r="E36" s="51"/>
      <c r="F36" s="51"/>
      <c r="G36" s="51"/>
    </row>
    <row r="37" spans="1:7">
      <c r="A37" s="415"/>
      <c r="C37" s="51"/>
      <c r="D37" s="51"/>
      <c r="E37" s="51"/>
      <c r="F37" s="51"/>
      <c r="G37" s="51"/>
    </row>
    <row r="38" spans="1:7">
      <c r="A38" s="415"/>
      <c r="C38" s="51"/>
      <c r="D38" s="51"/>
      <c r="E38" s="51"/>
      <c r="F38" s="51"/>
      <c r="G38" s="51"/>
    </row>
    <row r="39" spans="1:7">
      <c r="A39" s="415"/>
      <c r="C39" s="51"/>
      <c r="D39" s="51"/>
      <c r="E39" s="51"/>
      <c r="F39" s="51"/>
      <c r="G39" s="51"/>
    </row>
    <row r="40" spans="1:7">
      <c r="A40" s="415"/>
      <c r="C40" s="51"/>
      <c r="D40" s="51"/>
      <c r="E40" s="51"/>
      <c r="F40" s="51"/>
      <c r="G40" s="51"/>
    </row>
    <row r="41" spans="1:7">
      <c r="A41" s="415"/>
      <c r="C41" s="51"/>
      <c r="D41" s="51"/>
      <c r="E41" s="51"/>
      <c r="F41" s="51"/>
      <c r="G41" s="51"/>
    </row>
    <row r="42" spans="1:7">
      <c r="A42" s="415"/>
      <c r="C42" s="51"/>
      <c r="D42" s="51"/>
      <c r="E42" s="51"/>
      <c r="F42" s="51"/>
      <c r="G42" s="51"/>
    </row>
    <row r="43" spans="1:7">
      <c r="A43" s="415"/>
      <c r="C43" s="51"/>
      <c r="D43" s="51"/>
      <c r="E43" s="51"/>
      <c r="F43" s="51"/>
      <c r="G43" s="51"/>
    </row>
    <row r="44" spans="1:7">
      <c r="A44" s="415"/>
      <c r="C44" s="51"/>
      <c r="D44" s="51"/>
      <c r="E44" s="51"/>
      <c r="F44" s="51"/>
      <c r="G44" s="51"/>
    </row>
    <row r="45" spans="1:7">
      <c r="A45" s="415"/>
      <c r="C45" s="51"/>
      <c r="D45" s="51"/>
      <c r="E45" s="51"/>
      <c r="F45" s="51"/>
      <c r="G45" s="51"/>
    </row>
    <row r="46" spans="1:7">
      <c r="A46" s="415"/>
      <c r="C46" s="51"/>
      <c r="D46" s="51"/>
      <c r="E46" s="51"/>
      <c r="F46" s="51"/>
      <c r="G46" s="51"/>
    </row>
    <row r="47" spans="1:7">
      <c r="A47" s="415"/>
      <c r="C47" s="51"/>
      <c r="D47" s="51"/>
      <c r="E47" s="51"/>
      <c r="F47" s="51"/>
      <c r="G47" s="51"/>
    </row>
    <row r="48" spans="1:7">
      <c r="A48" s="415"/>
      <c r="C48" s="51"/>
      <c r="D48" s="51"/>
      <c r="E48" s="51"/>
      <c r="F48" s="51"/>
      <c r="G48" s="51"/>
    </row>
    <row r="49" spans="1:7">
      <c r="A49" s="415"/>
      <c r="C49" s="51"/>
      <c r="D49" s="51"/>
      <c r="E49" s="51"/>
      <c r="F49" s="51"/>
      <c r="G49" s="51"/>
    </row>
    <row r="50" spans="1:7">
      <c r="A50" s="415"/>
      <c r="C50" s="51"/>
      <c r="D50" s="51"/>
      <c r="E50" s="51"/>
      <c r="F50" s="51"/>
      <c r="G50" s="51"/>
    </row>
    <row r="51" spans="1:7">
      <c r="A51" s="415"/>
      <c r="C51" s="51"/>
      <c r="D51" s="51"/>
      <c r="E51" s="51"/>
      <c r="F51" s="51"/>
      <c r="G51" s="51"/>
    </row>
    <row r="52" spans="1:7">
      <c r="A52" s="415"/>
      <c r="C52" s="51"/>
      <c r="D52" s="51"/>
      <c r="E52" s="51"/>
      <c r="F52" s="51"/>
      <c r="G52" s="51"/>
    </row>
    <row r="53" spans="1:7">
      <c r="A53" s="415"/>
      <c r="C53" s="51"/>
      <c r="D53" s="51"/>
      <c r="E53" s="51"/>
      <c r="F53" s="51"/>
      <c r="G53" s="51"/>
    </row>
    <row r="54" spans="1:7">
      <c r="A54" s="415"/>
      <c r="C54" s="51"/>
      <c r="D54" s="51"/>
      <c r="E54" s="51"/>
      <c r="F54" s="51"/>
      <c r="G54" s="51"/>
    </row>
    <row r="55" spans="1:7">
      <c r="A55" s="415"/>
      <c r="C55" s="51"/>
      <c r="D55" s="51"/>
      <c r="E55" s="51"/>
      <c r="F55" s="51"/>
      <c r="G55" s="51"/>
    </row>
    <row r="56" spans="1:7">
      <c r="A56" s="415"/>
      <c r="C56" s="51"/>
      <c r="D56" s="51"/>
      <c r="E56" s="51"/>
      <c r="F56" s="51"/>
      <c r="G56" s="51"/>
    </row>
    <row r="57" spans="1:7">
      <c r="A57" s="415"/>
      <c r="C57" s="51"/>
      <c r="D57" s="51"/>
      <c r="E57" s="51"/>
      <c r="F57" s="51"/>
      <c r="G57" s="51"/>
    </row>
    <row r="58" spans="1:7" ht="7.5" customHeight="1">
      <c r="A58" s="415"/>
    </row>
    <row r="59" spans="1:7" hidden="1"/>
    <row r="60" spans="1:7" hidden="1"/>
    <row r="61" spans="1:7" hidden="1"/>
    <row r="62" spans="1:7" hidden="1"/>
    <row r="63" spans="1:7" hidden="1"/>
    <row r="64" spans="1:7"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spans="28:28" hidden="1"/>
    <row r="242" spans="28:28" hidden="1">
      <c r="AB242" t="s">
        <v>194</v>
      </c>
    </row>
    <row r="243" spans="28:28" hidden="1"/>
    <row r="244" spans="28:28" hidden="1"/>
    <row r="245" spans="28:28" hidden="1"/>
    <row r="246" spans="28:28" hidden="1"/>
    <row r="247" spans="28:28" hidden="1"/>
    <row r="248" spans="28:28" hidden="1"/>
    <row r="249" spans="28:28" hidden="1"/>
    <row r="250" spans="28:28" hidden="1"/>
    <row r="251" spans="28:28" hidden="1"/>
    <row r="252" spans="28:28" hidden="1"/>
    <row r="253" spans="28:28" hidden="1"/>
    <row r="254" spans="28:28" hidden="1"/>
    <row r="255" spans="28:28" hidden="1"/>
    <row r="256" spans="28:28"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sheetData>
  <mergeCells count="1">
    <mergeCell ref="G7:G8"/>
  </mergeCells>
  <phoneticPr fontId="8" type="noConversion"/>
  <hyperlinks>
    <hyperlink ref="E11" location="Contacts!A1" display="Contact"/>
  </hyperlinks>
  <pageMargins left="0.75" right="0.75" top="0.75" bottom="0.75" header="0.5" footer="0.5"/>
  <pageSetup scale="51" orientation="landscape"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Y56"/>
  <sheetViews>
    <sheetView zoomScaleNormal="100" workbookViewId="0">
      <selection activeCell="F9" sqref="F9"/>
    </sheetView>
  </sheetViews>
  <sheetFormatPr defaultRowHeight="15.75"/>
  <cols>
    <col min="1" max="1" width="22.5" customWidth="1"/>
    <col min="2" max="2" width="9" style="726"/>
    <col min="3" max="3" width="23.25" style="726" customWidth="1"/>
    <col min="4" max="4" width="9.75" style="726" bestFit="1" customWidth="1"/>
    <col min="5" max="5" width="12" style="726" bestFit="1" customWidth="1"/>
    <col min="6" max="6" width="10.75" style="726" bestFit="1" customWidth="1"/>
    <col min="7" max="7" width="9" style="726" bestFit="1" customWidth="1"/>
    <col min="8" max="8" width="11.75" style="726" bestFit="1" customWidth="1"/>
    <col min="9" max="9" width="11" style="726" customWidth="1"/>
    <col min="10" max="10" width="12.125" style="726" bestFit="1" customWidth="1"/>
    <col min="11" max="11" width="9.25" style="726" bestFit="1" customWidth="1"/>
    <col min="12" max="12" width="8.625" style="726" customWidth="1"/>
    <col min="13" max="13" width="9" style="726"/>
    <col min="14" max="14" width="22.5" style="726" bestFit="1" customWidth="1"/>
    <col min="15" max="15" width="12" style="726" customWidth="1"/>
    <col min="16" max="16" width="11.875" style="726" customWidth="1"/>
    <col min="17" max="17" width="12.125" style="726" bestFit="1" customWidth="1"/>
    <col min="18" max="18" width="12.125" style="726" customWidth="1"/>
    <col min="19" max="19" width="12.625" style="726" customWidth="1"/>
    <col min="20" max="20" width="9.125" style="726" bestFit="1" customWidth="1"/>
    <col min="21" max="21" width="11.875" style="726" bestFit="1" customWidth="1"/>
    <col min="22" max="23" width="9.625" style="726" bestFit="1" customWidth="1"/>
    <col min="24" max="24" width="10.25" style="726" bestFit="1" customWidth="1"/>
    <col min="25" max="25" width="8" style="726" bestFit="1" customWidth="1"/>
    <col min="26" max="16384" width="9" style="726"/>
  </cols>
  <sheetData>
    <row r="1" spans="1:25">
      <c r="A1" s="411"/>
    </row>
    <row r="2" spans="1:25">
      <c r="A2" s="411"/>
    </row>
    <row r="3" spans="1:25" ht="18.75">
      <c r="A3" s="411"/>
      <c r="C3" s="4638" t="s">
        <v>3538</v>
      </c>
      <c r="D3" s="4638"/>
      <c r="E3" s="4638"/>
      <c r="F3" s="4638"/>
      <c r="G3" s="4638"/>
      <c r="H3" s="4638"/>
      <c r="I3" s="4638"/>
      <c r="J3" s="4638"/>
      <c r="K3" s="4638"/>
      <c r="L3" s="4638"/>
    </row>
    <row r="4" spans="1:25" ht="18.75">
      <c r="A4" s="411"/>
      <c r="C4" s="4638">
        <f>'COS_Summ (cumulative)'!D5</f>
        <v>2024</v>
      </c>
      <c r="D4" s="4638"/>
      <c r="E4" s="4638"/>
      <c r="F4" s="4638"/>
      <c r="G4" s="4638"/>
      <c r="H4" s="4638"/>
      <c r="I4" s="4638"/>
      <c r="J4" s="4638"/>
      <c r="K4" s="4638"/>
      <c r="L4" s="4638"/>
    </row>
    <row r="5" spans="1:25" ht="16.5" thickBot="1">
      <c r="A5" s="411"/>
    </row>
    <row r="6" spans="1:25" ht="48" thickBot="1">
      <c r="A6" s="411"/>
      <c r="C6" s="3029" t="s">
        <v>3473</v>
      </c>
      <c r="D6" s="3062" t="s">
        <v>609</v>
      </c>
      <c r="E6" s="3114" t="s">
        <v>600</v>
      </c>
      <c r="F6" s="3114" t="s">
        <v>601</v>
      </c>
      <c r="G6" s="3114" t="s">
        <v>608</v>
      </c>
      <c r="H6" s="3115" t="s">
        <v>468</v>
      </c>
      <c r="I6" s="3116" t="str">
        <f>'COS_Summ (cumulative)'!D5 &amp; " Total Cost"</f>
        <v>2024 Total Cost</v>
      </c>
      <c r="J6" s="3117" t="str">
        <f>'COS_Summ (cumulative)'!D5 &amp; " Forecasted Revenue"</f>
        <v>2024 Forecasted Revenue</v>
      </c>
      <c r="K6" s="4636" t="s">
        <v>3474</v>
      </c>
      <c r="L6" s="4637"/>
      <c r="N6" s="3029" t="s">
        <v>3473</v>
      </c>
      <c r="O6" s="3118" t="s">
        <v>3475</v>
      </c>
      <c r="P6" s="3114" t="s">
        <v>3476</v>
      </c>
      <c r="Q6" s="3114" t="s">
        <v>600</v>
      </c>
      <c r="R6" s="3114" t="s">
        <v>3477</v>
      </c>
      <c r="S6" s="3114" t="s">
        <v>3478</v>
      </c>
      <c r="T6" s="3114" t="s">
        <v>608</v>
      </c>
      <c r="U6" s="3115" t="s">
        <v>468</v>
      </c>
      <c r="V6" s="3116" t="str">
        <f>I6</f>
        <v>2024 Total Cost</v>
      </c>
      <c r="W6" s="3117" t="str">
        <f>J6</f>
        <v>2024 Forecasted Revenue</v>
      </c>
      <c r="X6" s="4636" t="s">
        <v>3474</v>
      </c>
      <c r="Y6" s="4637"/>
    </row>
    <row r="7" spans="1:25">
      <c r="A7" s="411"/>
      <c r="C7" s="3030"/>
      <c r="D7" s="3031"/>
      <c r="E7" s="3032"/>
      <c r="F7" s="3032"/>
      <c r="G7" s="3032"/>
      <c r="H7" s="3033"/>
      <c r="I7" s="3034"/>
      <c r="J7" s="3035"/>
      <c r="K7" s="3036" t="s">
        <v>3189</v>
      </c>
      <c r="L7" s="3037" t="s">
        <v>393</v>
      </c>
      <c r="N7" s="3030"/>
      <c r="O7" s="3031"/>
      <c r="P7" s="3032"/>
      <c r="Q7" s="3032"/>
      <c r="R7" s="3032"/>
      <c r="S7" s="3032"/>
      <c r="T7" s="3032"/>
      <c r="U7" s="3033"/>
      <c r="V7" s="3034"/>
      <c r="W7" s="3035"/>
      <c r="X7" s="3036" t="s">
        <v>3189</v>
      </c>
      <c r="Y7" s="3037" t="s">
        <v>393</v>
      </c>
    </row>
    <row r="8" spans="1:25">
      <c r="A8" s="411"/>
      <c r="C8" s="3038" t="s">
        <v>521</v>
      </c>
      <c r="D8" s="3039">
        <f>'Table 8'!F15+'Table 8'!F16+'Table 8'!G15+'Table 8'!G16</f>
        <v>34467.660000000003</v>
      </c>
      <c r="E8" s="3040">
        <f>'Table 8'!H15+'Table 8'!H16</f>
        <v>4372.2759999999998</v>
      </c>
      <c r="F8" s="3040">
        <f>SUM('Table 8'!$I15:$S16)</f>
        <v>17609.833999999999</v>
      </c>
      <c r="G8" s="3040">
        <f>'Table 8'!T15+'Table 8'!T16+'Table 8'!V15+'Table 8'!V16</f>
        <v>8658.1650000000009</v>
      </c>
      <c r="H8" s="3041">
        <f>'Table 8'!U15+'Table 8'!U16</f>
        <v>0</v>
      </c>
      <c r="I8" s="3042">
        <f t="shared" ref="I8:I16" si="0">SUM(D8:H8)</f>
        <v>65107.935000000005</v>
      </c>
      <c r="J8" s="3043">
        <f>COS_Summ!F14/1000</f>
        <v>53490.448920275914</v>
      </c>
      <c r="K8" s="3044">
        <f>J8-I8</f>
        <v>-11617.486079724091</v>
      </c>
      <c r="L8" s="3045">
        <f>K8/J8</f>
        <v>-0.21718804598254932</v>
      </c>
      <c r="N8" s="3038" t="s">
        <v>521</v>
      </c>
      <c r="O8" s="3039">
        <f>'Table 8'!F15+'Table 8'!F16</f>
        <v>2034.8589999999999</v>
      </c>
      <c r="P8" s="3040">
        <f>'Table 8'!G15+'Table 8'!G16</f>
        <v>32432.800999999999</v>
      </c>
      <c r="Q8" s="3040">
        <f>E8</f>
        <v>4372.2759999999998</v>
      </c>
      <c r="R8" s="3040">
        <f>SUM('Table 8'!$I15:$O16)</f>
        <v>8719.5649999999987</v>
      </c>
      <c r="S8" s="3040">
        <f>SUM('Table 8'!$P15:$S16)</f>
        <v>8890.2690000000002</v>
      </c>
      <c r="T8" s="3040">
        <f>G8</f>
        <v>8658.1650000000009</v>
      </c>
      <c r="U8" s="3041">
        <f>H8</f>
        <v>0</v>
      </c>
      <c r="V8" s="3042">
        <f t="shared" ref="V8:V16" si="1">SUM(O8:U8)</f>
        <v>65107.93499999999</v>
      </c>
      <c r="W8" s="3043">
        <f>J8</f>
        <v>53490.448920275914</v>
      </c>
      <c r="X8" s="3044">
        <f>W8-V8</f>
        <v>-11617.486079724076</v>
      </c>
      <c r="Y8" s="3045">
        <f>X8/W8</f>
        <v>-0.21718804598254904</v>
      </c>
    </row>
    <row r="9" spans="1:25">
      <c r="A9" s="411"/>
      <c r="C9" s="3038" t="s">
        <v>15</v>
      </c>
      <c r="D9" s="3046">
        <f>'Table 8'!F17+'Table 8'!G17</f>
        <v>25765.31</v>
      </c>
      <c r="E9" s="3047">
        <f>'Table 8'!H17</f>
        <v>1904.135</v>
      </c>
      <c r="F9" s="3047">
        <f>SUM('Table 8'!$I17:$S17)</f>
        <v>11644.916999999999</v>
      </c>
      <c r="G9" s="3047">
        <f>'Table 8'!T17+'Table 8'!V17</f>
        <v>1027.7</v>
      </c>
      <c r="H9" s="3048">
        <f>'Table 8'!U17</f>
        <v>0</v>
      </c>
      <c r="I9" s="3049">
        <f t="shared" si="0"/>
        <v>40342.061999999998</v>
      </c>
      <c r="J9" s="3050">
        <f>COS_Summ!F15/1000</f>
        <v>32493.884927364241</v>
      </c>
      <c r="K9" s="3051">
        <f>J9-I9</f>
        <v>-7848.1770726357572</v>
      </c>
      <c r="L9" s="3045">
        <f t="shared" ref="L9:L16" si="2">K9/J9</f>
        <v>-0.24152781639312484</v>
      </c>
      <c r="N9" s="3038" t="s">
        <v>15</v>
      </c>
      <c r="O9" s="3046">
        <f>'Table 8'!F17</f>
        <v>1465.5050000000001</v>
      </c>
      <c r="P9" s="3047">
        <f>'Table 8'!G17</f>
        <v>24299.805</v>
      </c>
      <c r="Q9" s="3047">
        <f t="shared" ref="Q9:Q16" si="3">E9</f>
        <v>1904.135</v>
      </c>
      <c r="R9" s="3047">
        <f>SUM('Table 8'!$I17:$O17)</f>
        <v>9977.6309999999994</v>
      </c>
      <c r="S9" s="3047">
        <f>SUM('Table 8'!$P17:$S17)</f>
        <v>1667.2860000000001</v>
      </c>
      <c r="T9" s="3047">
        <f t="shared" ref="T9:T16" si="4">G9</f>
        <v>1027.7</v>
      </c>
      <c r="U9" s="3048">
        <f t="shared" ref="U9:U16" si="5">H9</f>
        <v>0</v>
      </c>
      <c r="V9" s="3049">
        <f t="shared" si="1"/>
        <v>40342.061999999998</v>
      </c>
      <c r="W9" s="3050">
        <f t="shared" ref="W9:W16" si="6">J9</f>
        <v>32493.884927364241</v>
      </c>
      <c r="X9" s="3051">
        <f>W9-V9</f>
        <v>-7848.1770726357572</v>
      </c>
      <c r="Y9" s="3045">
        <f t="shared" ref="Y9:Y16" si="7">X9/W9</f>
        <v>-0.24152781639312484</v>
      </c>
    </row>
    <row r="10" spans="1:25">
      <c r="A10" s="411"/>
      <c r="C10" s="3038" t="s">
        <v>501</v>
      </c>
      <c r="D10" s="3046">
        <f>'Table 8'!F18+'Table 8'!G18+'Table 8'!F25+'Table 8'!G25</f>
        <v>23034.050999999999</v>
      </c>
      <c r="E10" s="3047">
        <f>'Table 8'!H18+'Table 8'!H25</f>
        <v>2675.3270000000002</v>
      </c>
      <c r="F10" s="3047">
        <f>SUM('Table 8'!$I18:$S18)+SUM('Table 8'!$I25:$S25)</f>
        <v>7412.4790000000003</v>
      </c>
      <c r="G10" s="3047">
        <f>'Table 8'!T18+'Table 8'!V18+'Table 8'!T25+'Table 8'!V25</f>
        <v>2352.1640000000002</v>
      </c>
      <c r="H10" s="3048">
        <f>'Table 8'!U25+'Table 8'!U18</f>
        <v>17.558</v>
      </c>
      <c r="I10" s="3049">
        <f t="shared" si="0"/>
        <v>35491.578999999998</v>
      </c>
      <c r="J10" s="3050">
        <f>COS_Summ!F16/1000+COS_Summ!F23/1000</f>
        <v>30877.059999009951</v>
      </c>
      <c r="K10" s="3051">
        <f t="shared" ref="K10:K16" si="8">J10-I10</f>
        <v>-4614.5190009900471</v>
      </c>
      <c r="L10" s="3045">
        <f t="shared" si="2"/>
        <v>-0.14944813402370588</v>
      </c>
      <c r="N10" s="3038" t="s">
        <v>501</v>
      </c>
      <c r="O10" s="3046">
        <f>'Table 8'!F18+'Table 8'!F25</f>
        <v>1313</v>
      </c>
      <c r="P10" s="3047">
        <f>'Table 8'!G18+'Table 8'!G25</f>
        <v>21721.050999999999</v>
      </c>
      <c r="Q10" s="3047">
        <f t="shared" si="3"/>
        <v>2675.3270000000002</v>
      </c>
      <c r="R10" s="3047">
        <f>SUM('Table 8'!$I18:$O18)+SUM('Table 8'!$I25:$O25)</f>
        <v>4805.4059999999999</v>
      </c>
      <c r="S10" s="3047">
        <f>SUM('Table 8'!$P18:$S18)+SUM('Table 8'!$P25:$S25)</f>
        <v>2607.0729999999999</v>
      </c>
      <c r="T10" s="3047">
        <f t="shared" si="4"/>
        <v>2352.1640000000002</v>
      </c>
      <c r="U10" s="3048">
        <f t="shared" si="5"/>
        <v>17.558</v>
      </c>
      <c r="V10" s="3049">
        <f t="shared" si="1"/>
        <v>35491.578999999991</v>
      </c>
      <c r="W10" s="3050">
        <f t="shared" si="6"/>
        <v>30877.059999009951</v>
      </c>
      <c r="X10" s="3051">
        <f t="shared" ref="X10:X16" si="9">W10-V10</f>
        <v>-4614.5190009900398</v>
      </c>
      <c r="Y10" s="3045">
        <f t="shared" si="7"/>
        <v>-0.14944813402370566</v>
      </c>
    </row>
    <row r="11" spans="1:25">
      <c r="A11" s="411"/>
      <c r="C11" s="3038" t="s">
        <v>22</v>
      </c>
      <c r="D11" s="3046">
        <f>'Table 8'!F19+'Table 8'!G19</f>
        <v>9624.5820000000003</v>
      </c>
      <c r="E11" s="3047">
        <f>'Table 8'!H19</f>
        <v>845.18600000000004</v>
      </c>
      <c r="F11" s="3047">
        <f>SUM('Table 8'!$I19:$S19)</f>
        <v>1006.4659999999999</v>
      </c>
      <c r="G11" s="3047">
        <f>'Table 8'!T19+'Table 8'!V19</f>
        <v>206.42400000000001</v>
      </c>
      <c r="H11" s="3048">
        <f>'Table 8'!U19</f>
        <v>0</v>
      </c>
      <c r="I11" s="3049">
        <f t="shared" si="0"/>
        <v>11682.658000000001</v>
      </c>
      <c r="J11" s="3050">
        <f>COS_Summ!F17/1000</f>
        <v>10285.911025710688</v>
      </c>
      <c r="K11" s="3051">
        <f t="shared" si="8"/>
        <v>-1396.7469742893136</v>
      </c>
      <c r="L11" s="3045">
        <f t="shared" si="2"/>
        <v>-0.13579224735640835</v>
      </c>
      <c r="N11" s="3038" t="s">
        <v>22</v>
      </c>
      <c r="O11" s="3046">
        <f>'Table 8'!F19</f>
        <v>678.28599999999994</v>
      </c>
      <c r="P11" s="3047">
        <f>'Table 8'!G19</f>
        <v>8946.2960000000003</v>
      </c>
      <c r="Q11" s="3047">
        <f t="shared" si="3"/>
        <v>845.18600000000004</v>
      </c>
      <c r="R11" s="3047">
        <f>SUM('Table 8'!$I19:$O19)</f>
        <v>849.63999999999987</v>
      </c>
      <c r="S11" s="3047">
        <f>SUM('Table 8'!$P19:$S19)</f>
        <v>156.82599999999999</v>
      </c>
      <c r="T11" s="3047">
        <f t="shared" si="4"/>
        <v>206.42400000000001</v>
      </c>
      <c r="U11" s="3048">
        <f t="shared" si="5"/>
        <v>0</v>
      </c>
      <c r="V11" s="3049">
        <f t="shared" si="1"/>
        <v>11682.657999999999</v>
      </c>
      <c r="W11" s="3050">
        <f t="shared" si="6"/>
        <v>10285.911025710688</v>
      </c>
      <c r="X11" s="3051">
        <f t="shared" si="9"/>
        <v>-1396.7469742893118</v>
      </c>
      <c r="Y11" s="3045">
        <f t="shared" si="7"/>
        <v>-0.13579224735640816</v>
      </c>
    </row>
    <row r="12" spans="1:25">
      <c r="A12" s="411"/>
      <c r="C12" s="3038" t="s">
        <v>16</v>
      </c>
      <c r="D12" s="3046">
        <f>'Table 8'!F20+'Table 8'!G20</f>
        <v>29016.999</v>
      </c>
      <c r="E12" s="3047">
        <f>'Table 8'!H20</f>
        <v>1450.3</v>
      </c>
      <c r="F12" s="3047">
        <f>SUM('Table 8'!$I20:$S20)</f>
        <v>2653.5970000000002</v>
      </c>
      <c r="G12" s="3047">
        <f>'Table 8'!T20+'Table 8'!V20</f>
        <v>44.316000000000003</v>
      </c>
      <c r="H12" s="3048">
        <f>'Table 8'!U20</f>
        <v>0</v>
      </c>
      <c r="I12" s="3049">
        <f t="shared" si="0"/>
        <v>33165.212</v>
      </c>
      <c r="J12" s="3050">
        <f>COS_Summ!F18/1000</f>
        <v>36974.914605053666</v>
      </c>
      <c r="K12" s="3051">
        <f t="shared" si="8"/>
        <v>3809.702605053666</v>
      </c>
      <c r="L12" s="3045">
        <f t="shared" si="2"/>
        <v>0.10303479117523</v>
      </c>
      <c r="N12" s="3038" t="s">
        <v>16</v>
      </c>
      <c r="O12" s="3046">
        <f>'Table 8'!F20</f>
        <v>2098.7660000000001</v>
      </c>
      <c r="P12" s="3047">
        <f>'Table 8'!G20</f>
        <v>26918.233</v>
      </c>
      <c r="Q12" s="3047">
        <f t="shared" si="3"/>
        <v>1450.3</v>
      </c>
      <c r="R12" s="3047">
        <f>SUM('Table 8'!$I20:$O20)</f>
        <v>2632.9630000000002</v>
      </c>
      <c r="S12" s="3047">
        <f>SUM('Table 8'!$P20:$S20)</f>
        <v>20.634</v>
      </c>
      <c r="T12" s="3047">
        <f t="shared" si="4"/>
        <v>44.316000000000003</v>
      </c>
      <c r="U12" s="3048">
        <f t="shared" si="5"/>
        <v>0</v>
      </c>
      <c r="V12" s="3049">
        <f t="shared" si="1"/>
        <v>33165.212</v>
      </c>
      <c r="W12" s="3050">
        <f t="shared" si="6"/>
        <v>36974.914605053666</v>
      </c>
      <c r="X12" s="3051">
        <f t="shared" si="9"/>
        <v>3809.702605053666</v>
      </c>
      <c r="Y12" s="3045">
        <f t="shared" si="7"/>
        <v>0.10303479117523</v>
      </c>
    </row>
    <row r="13" spans="1:25">
      <c r="A13" s="411"/>
      <c r="C13" s="3038" t="s">
        <v>268</v>
      </c>
      <c r="D13" s="3046">
        <f>'Table 8'!F21+'Table 8'!G21</f>
        <v>77853.392000000007</v>
      </c>
      <c r="E13" s="3047">
        <f>'Table 8'!H21</f>
        <v>4107.5389999999998</v>
      </c>
      <c r="F13" s="3047">
        <f>SUM('Table 8'!$I21:$S21)</f>
        <v>6118.0879999999997</v>
      </c>
      <c r="G13" s="3047">
        <f>'Table 8'!T21+'Table 8'!V21</f>
        <v>59.166000000000004</v>
      </c>
      <c r="H13" s="3048">
        <f>'Table 8'!U21</f>
        <v>0</v>
      </c>
      <c r="I13" s="3049">
        <f t="shared" si="0"/>
        <v>88138.185000000012</v>
      </c>
      <c r="J13" s="3050">
        <f>COS_Summ!F19/1000</f>
        <v>102973.78609443644</v>
      </c>
      <c r="K13" s="3051">
        <f t="shared" si="8"/>
        <v>14835.601094436424</v>
      </c>
      <c r="L13" s="3045">
        <f t="shared" si="2"/>
        <v>0.1440716288787402</v>
      </c>
      <c r="N13" s="3038" t="s">
        <v>268</v>
      </c>
      <c r="O13" s="3046">
        <f>'Table 8'!F21</f>
        <v>5985.4780000000001</v>
      </c>
      <c r="P13" s="3047">
        <f>'Table 8'!G21</f>
        <v>71867.914000000004</v>
      </c>
      <c r="Q13" s="3047">
        <f t="shared" si="3"/>
        <v>4107.5389999999998</v>
      </c>
      <c r="R13" s="3047">
        <f>SUM('Table 8'!$I21:$O21)</f>
        <v>6106.9780000000001</v>
      </c>
      <c r="S13" s="3047">
        <f>SUM('Table 8'!$P21:$S21)</f>
        <v>11.11</v>
      </c>
      <c r="T13" s="3047">
        <f t="shared" si="4"/>
        <v>59.166000000000004</v>
      </c>
      <c r="U13" s="3048">
        <f t="shared" si="5"/>
        <v>0</v>
      </c>
      <c r="V13" s="3049">
        <f t="shared" si="1"/>
        <v>88138.185000000012</v>
      </c>
      <c r="W13" s="3050">
        <f t="shared" si="6"/>
        <v>102973.78609443644</v>
      </c>
      <c r="X13" s="3051">
        <f t="shared" si="9"/>
        <v>14835.601094436424</v>
      </c>
      <c r="Y13" s="3045">
        <f t="shared" si="7"/>
        <v>0.1440716288787402</v>
      </c>
    </row>
    <row r="14" spans="1:25">
      <c r="A14" s="411"/>
      <c r="C14" s="3038" t="s">
        <v>18</v>
      </c>
      <c r="D14" s="3046">
        <f>'Table 8'!F22+'Table 8'!G22</f>
        <v>12959.237000000001</v>
      </c>
      <c r="E14" s="3047">
        <f>'Table 8'!H22</f>
        <v>1088.547</v>
      </c>
      <c r="F14" s="3047">
        <f>SUM('Table 8'!$I22:$S22)</f>
        <v>1167.7140000000002</v>
      </c>
      <c r="G14" s="3047">
        <f>'Table 8'!T22+'Table 8'!V22</f>
        <v>37.880000000000003</v>
      </c>
      <c r="H14" s="3048">
        <f>'Table 8'!U22</f>
        <v>0</v>
      </c>
      <c r="I14" s="3049">
        <f t="shared" si="0"/>
        <v>15253.378000000001</v>
      </c>
      <c r="J14" s="3050">
        <f>COS_Summ!F20/1000</f>
        <v>16300.049923444636</v>
      </c>
      <c r="K14" s="3051">
        <f t="shared" si="8"/>
        <v>1046.6719234446355</v>
      </c>
      <c r="L14" s="3045">
        <f t="shared" si="2"/>
        <v>6.4212804768112378E-2</v>
      </c>
      <c r="N14" s="3038" t="s">
        <v>18</v>
      </c>
      <c r="O14" s="3046">
        <f>'Table 8'!F22</f>
        <v>938.27200000000005</v>
      </c>
      <c r="P14" s="3047">
        <f>'Table 8'!G22</f>
        <v>12020.965</v>
      </c>
      <c r="Q14" s="3047">
        <f t="shared" si="3"/>
        <v>1088.547</v>
      </c>
      <c r="R14" s="3047">
        <f>SUM('Table 8'!$I22:$O22)</f>
        <v>1150.2550000000001</v>
      </c>
      <c r="S14" s="3047">
        <f>SUM('Table 8'!$P22:$S22)</f>
        <v>17.459</v>
      </c>
      <c r="T14" s="3047">
        <f t="shared" si="4"/>
        <v>37.880000000000003</v>
      </c>
      <c r="U14" s="3048">
        <f t="shared" si="5"/>
        <v>0</v>
      </c>
      <c r="V14" s="3049">
        <f t="shared" si="1"/>
        <v>15253.378000000001</v>
      </c>
      <c r="W14" s="3050">
        <f t="shared" si="6"/>
        <v>16300.049923444636</v>
      </c>
      <c r="X14" s="3051">
        <f t="shared" si="9"/>
        <v>1046.6719234446355</v>
      </c>
      <c r="Y14" s="3045">
        <f t="shared" si="7"/>
        <v>6.4212804768112378E-2</v>
      </c>
    </row>
    <row r="15" spans="1:25">
      <c r="A15" s="411"/>
      <c r="C15" s="3038" t="s">
        <v>19</v>
      </c>
      <c r="D15" s="3046">
        <f>'Table 8'!F23+'Table 8'!G23</f>
        <v>0</v>
      </c>
      <c r="E15" s="3047">
        <f>'Table 8'!H23</f>
        <v>0</v>
      </c>
      <c r="F15" s="3047">
        <f>SUM('Table 8'!$I23:$S23)</f>
        <v>19.707999999999998</v>
      </c>
      <c r="G15" s="3047">
        <f>'Table 8'!T23+'Table 8'!V23</f>
        <v>3.218</v>
      </c>
      <c r="H15" s="3048">
        <f>'Table 8'!U23</f>
        <v>0</v>
      </c>
      <c r="I15" s="3049">
        <f t="shared" si="0"/>
        <v>22.925999999999998</v>
      </c>
      <c r="J15" s="3050">
        <f>COS_Summ!F21/1000</f>
        <v>18.69686207308937</v>
      </c>
      <c r="K15" s="3051">
        <f t="shared" si="8"/>
        <v>-4.229137926910628</v>
      </c>
      <c r="L15" s="3045">
        <f t="shared" si="2"/>
        <v>-0.22619506473215523</v>
      </c>
      <c r="N15" s="3038" t="s">
        <v>19</v>
      </c>
      <c r="O15" s="3046">
        <f>'Table 8'!F23</f>
        <v>0</v>
      </c>
      <c r="P15" s="3047">
        <f>'Table 8'!G23</f>
        <v>0</v>
      </c>
      <c r="Q15" s="3047">
        <f t="shared" si="3"/>
        <v>0</v>
      </c>
      <c r="R15" s="3047">
        <f>SUM('Table 8'!$I23:$O23)</f>
        <v>18.120999999999999</v>
      </c>
      <c r="S15" s="3047">
        <f>SUM('Table 8'!$P23:$S23)</f>
        <v>1.587</v>
      </c>
      <c r="T15" s="3047">
        <f t="shared" si="4"/>
        <v>3.218</v>
      </c>
      <c r="U15" s="3048">
        <f t="shared" si="5"/>
        <v>0</v>
      </c>
      <c r="V15" s="3049">
        <f t="shared" si="1"/>
        <v>22.925999999999998</v>
      </c>
      <c r="W15" s="3050">
        <f t="shared" si="6"/>
        <v>18.69686207308937</v>
      </c>
      <c r="X15" s="3051">
        <f t="shared" si="9"/>
        <v>-4.229137926910628</v>
      </c>
      <c r="Y15" s="3045">
        <f t="shared" si="7"/>
        <v>-0.22619506473215523</v>
      </c>
    </row>
    <row r="16" spans="1:25">
      <c r="A16" s="411"/>
      <c r="C16" s="3038" t="s">
        <v>4</v>
      </c>
      <c r="D16" s="3046">
        <f>'Table 8'!F24+'Table 8'!G24</f>
        <v>168.86</v>
      </c>
      <c r="E16" s="3047">
        <f>'Table 8'!H24</f>
        <v>0</v>
      </c>
      <c r="F16" s="3047">
        <f>SUM('Table 8'!$I24:$S24)</f>
        <v>31.451999999999998</v>
      </c>
      <c r="G16" s="3047">
        <f>'Table 8'!T24+'Table 8'!V24</f>
        <v>12.737</v>
      </c>
      <c r="H16" s="3048">
        <f>'Table 8'!U24</f>
        <v>511.49200000000002</v>
      </c>
      <c r="I16" s="3049">
        <f t="shared" si="0"/>
        <v>724.54100000000005</v>
      </c>
      <c r="J16" s="3050">
        <f>COS_Summ!F22/1000</f>
        <v>964.74</v>
      </c>
      <c r="K16" s="3051">
        <f t="shared" si="8"/>
        <v>240.19899999999996</v>
      </c>
      <c r="L16" s="3045">
        <f t="shared" si="2"/>
        <v>0.24897796297448013</v>
      </c>
      <c r="N16" s="3038" t="s">
        <v>4</v>
      </c>
      <c r="O16" s="3046">
        <f>'Table 8'!F24</f>
        <v>10.167</v>
      </c>
      <c r="P16" s="3047">
        <f>'Table 8'!G24</f>
        <v>158.69300000000001</v>
      </c>
      <c r="Q16" s="3047">
        <f t="shared" si="3"/>
        <v>0</v>
      </c>
      <c r="R16" s="3047">
        <f>SUM('Table 8'!$I24:$O24)</f>
        <v>15.739000000000001</v>
      </c>
      <c r="S16" s="3047">
        <f>SUM('Table 8'!$P24:$S24)</f>
        <v>15.713000000000001</v>
      </c>
      <c r="T16" s="3047">
        <f t="shared" si="4"/>
        <v>12.737</v>
      </c>
      <c r="U16" s="3048">
        <f t="shared" si="5"/>
        <v>511.49200000000002</v>
      </c>
      <c r="V16" s="3049">
        <f t="shared" si="1"/>
        <v>724.54100000000005</v>
      </c>
      <c r="W16" s="3050">
        <f t="shared" si="6"/>
        <v>964.74</v>
      </c>
      <c r="X16" s="3051">
        <f t="shared" si="9"/>
        <v>240.19899999999996</v>
      </c>
      <c r="Y16" s="3045">
        <f t="shared" si="7"/>
        <v>0.24897796297448013</v>
      </c>
    </row>
    <row r="17" spans="1:25">
      <c r="A17" s="411"/>
      <c r="C17" s="3052"/>
      <c r="D17" s="3039"/>
      <c r="E17" s="3040"/>
      <c r="F17" s="3040"/>
      <c r="G17" s="3040"/>
      <c r="H17" s="3041"/>
      <c r="I17" s="3042"/>
      <c r="J17" s="3043"/>
      <c r="K17" s="3044"/>
      <c r="L17" s="3053"/>
      <c r="N17" s="3052"/>
      <c r="O17" s="3039"/>
      <c r="P17" s="3040"/>
      <c r="Q17" s="3040"/>
      <c r="R17" s="3040"/>
      <c r="S17" s="3040"/>
      <c r="T17" s="3040"/>
      <c r="U17" s="3041"/>
      <c r="V17" s="3042"/>
      <c r="W17" s="3043"/>
      <c r="X17" s="3044"/>
      <c r="Y17" s="3053"/>
    </row>
    <row r="18" spans="1:25" ht="16.5" thickBot="1">
      <c r="A18" s="411"/>
      <c r="C18" s="3054" t="s">
        <v>602</v>
      </c>
      <c r="D18" s="3055">
        <f t="shared" ref="D18:K18" si="10">SUM(D8:D16)</f>
        <v>212890.09099999999</v>
      </c>
      <c r="E18" s="3056">
        <f t="shared" si="10"/>
        <v>16443.309999999998</v>
      </c>
      <c r="F18" s="3056">
        <f t="shared" si="10"/>
        <v>47664.25499999999</v>
      </c>
      <c r="G18" s="3056">
        <f t="shared" si="10"/>
        <v>12401.770000000002</v>
      </c>
      <c r="H18" s="3057">
        <f t="shared" si="10"/>
        <v>529.05000000000007</v>
      </c>
      <c r="I18" s="3058">
        <f t="shared" si="10"/>
        <v>289928.47600000002</v>
      </c>
      <c r="J18" s="3059">
        <f t="shared" si="10"/>
        <v>284379.49235736864</v>
      </c>
      <c r="K18" s="3060">
        <f t="shared" si="10"/>
        <v>-5548.9836426313959</v>
      </c>
      <c r="L18" s="3061">
        <f>K18/J18</f>
        <v>-1.9512601266121553E-2</v>
      </c>
      <c r="N18" s="3054" t="s">
        <v>602</v>
      </c>
      <c r="O18" s="3055">
        <f t="shared" ref="O18:X18" si="11">SUM(O8:O16)</f>
        <v>14524.333000000001</v>
      </c>
      <c r="P18" s="3056">
        <f t="shared" si="11"/>
        <v>198365.75800000003</v>
      </c>
      <c r="Q18" s="3056">
        <f t="shared" si="11"/>
        <v>16443.309999999998</v>
      </c>
      <c r="R18" s="3056">
        <f t="shared" si="11"/>
        <v>34276.297999999995</v>
      </c>
      <c r="S18" s="3056">
        <f t="shared" si="11"/>
        <v>13387.957</v>
      </c>
      <c r="T18" s="3056">
        <f t="shared" si="11"/>
        <v>12401.770000000002</v>
      </c>
      <c r="U18" s="3057">
        <f t="shared" si="11"/>
        <v>529.05000000000007</v>
      </c>
      <c r="V18" s="3058">
        <f t="shared" si="11"/>
        <v>289928.47600000002</v>
      </c>
      <c r="W18" s="3059">
        <f t="shared" si="11"/>
        <v>284379.49235736864</v>
      </c>
      <c r="X18" s="3060">
        <f t="shared" si="11"/>
        <v>-5548.9836426313705</v>
      </c>
      <c r="Y18" s="3061">
        <f>X18/W18</f>
        <v>-1.9512601266121463E-2</v>
      </c>
    </row>
    <row r="19" spans="1:25">
      <c r="A19" s="411"/>
      <c r="O19"/>
    </row>
    <row r="20" spans="1:25">
      <c r="A20" s="411"/>
    </row>
    <row r="21" spans="1:25">
      <c r="A21" s="411"/>
    </row>
    <row r="22" spans="1:25">
      <c r="A22" s="411"/>
    </row>
    <row r="23" spans="1:25">
      <c r="A23" s="411"/>
    </row>
    <row r="24" spans="1:25">
      <c r="A24" s="411"/>
    </row>
    <row r="25" spans="1:25">
      <c r="A25" s="411"/>
    </row>
    <row r="26" spans="1:25">
      <c r="A26" s="411"/>
    </row>
    <row r="27" spans="1:25">
      <c r="A27" s="411"/>
    </row>
    <row r="28" spans="1:25">
      <c r="A28" s="411"/>
    </row>
    <row r="29" spans="1:25">
      <c r="A29" s="411"/>
    </row>
    <row r="30" spans="1:25">
      <c r="A30" s="411"/>
    </row>
    <row r="31" spans="1:25">
      <c r="A31" s="411"/>
    </row>
    <row r="32" spans="1:25">
      <c r="A32" s="411"/>
    </row>
    <row r="33" spans="1:1">
      <c r="A33" s="411"/>
    </row>
    <row r="34" spans="1:1">
      <c r="A34" s="411"/>
    </row>
    <row r="35" spans="1:1">
      <c r="A35" s="411"/>
    </row>
    <row r="36" spans="1:1">
      <c r="A36" s="411"/>
    </row>
    <row r="37" spans="1:1">
      <c r="A37" s="411"/>
    </row>
    <row r="38" spans="1:1">
      <c r="A38" s="411"/>
    </row>
    <row r="39" spans="1:1">
      <c r="A39" s="411"/>
    </row>
    <row r="40" spans="1:1">
      <c r="A40" s="411"/>
    </row>
    <row r="41" spans="1:1">
      <c r="A41" s="411"/>
    </row>
    <row r="42" spans="1:1">
      <c r="A42" s="411"/>
    </row>
    <row r="43" spans="1:1">
      <c r="A43" s="411"/>
    </row>
    <row r="44" spans="1:1">
      <c r="A44" s="411"/>
    </row>
    <row r="45" spans="1:1">
      <c r="A45" s="411"/>
    </row>
    <row r="46" spans="1:1">
      <c r="A46" s="411"/>
    </row>
    <row r="47" spans="1:1">
      <c r="A47" s="411"/>
    </row>
    <row r="48" spans="1:1">
      <c r="A48" s="411"/>
    </row>
    <row r="49" spans="1:1">
      <c r="A49" s="411"/>
    </row>
    <row r="50" spans="1:1">
      <c r="A50" s="411"/>
    </row>
    <row r="51" spans="1:1">
      <c r="A51" s="411"/>
    </row>
    <row r="52" spans="1:1">
      <c r="A52" s="411"/>
    </row>
    <row r="53" spans="1:1">
      <c r="A53" s="411"/>
    </row>
    <row r="54" spans="1:1">
      <c r="A54" s="411"/>
    </row>
    <row r="55" spans="1:1">
      <c r="A55" s="411"/>
    </row>
    <row r="56" spans="1:1">
      <c r="A56" s="411"/>
    </row>
  </sheetData>
  <mergeCells count="4">
    <mergeCell ref="K6:L6"/>
    <mergeCell ref="X6:Y6"/>
    <mergeCell ref="C3:L3"/>
    <mergeCell ref="C4:L4"/>
  </mergeCells>
  <printOptions horizontalCentered="1"/>
  <pageMargins left="0.7" right="0.7" top="0.75" bottom="0.75" header="0.3" footer="0.3"/>
  <pageSetup scale="9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B286"/>
  <sheetViews>
    <sheetView showGridLines="0" zoomScale="80" zoomScaleNormal="80" workbookViewId="0">
      <selection activeCell="B1" sqref="B1"/>
    </sheetView>
  </sheetViews>
  <sheetFormatPr defaultColWidth="0" defaultRowHeight="15.75" zeroHeight="1"/>
  <cols>
    <col min="1" max="1" width="22.5" style="196" customWidth="1"/>
    <col min="2" max="2" width="2.5" style="20" customWidth="1"/>
    <col min="3" max="3" width="9" style="13" customWidth="1"/>
    <col min="4" max="4" width="17.5" style="2" customWidth="1"/>
    <col min="5" max="7" width="9" style="2" customWidth="1"/>
    <col min="8" max="8" width="34.375" style="2" customWidth="1"/>
    <col min="9" max="9" width="1.5" style="2" customWidth="1"/>
    <col min="10" max="10" width="14.75" style="2" customWidth="1"/>
    <col min="11" max="11" width="3.875" style="2" customWidth="1"/>
    <col min="12" max="12" width="13" style="2" customWidth="1"/>
    <col min="13" max="13" width="2.875" style="2" customWidth="1"/>
    <col min="14" max="14" width="9" style="2" customWidth="1"/>
    <col min="15" max="15" width="11.5" style="2" customWidth="1"/>
    <col min="16" max="23" width="9" style="2" customWidth="1"/>
    <col min="24" max="26" width="0" hidden="1" customWidth="1"/>
    <col min="27" max="27" width="21.25" hidden="1" customWidth="1"/>
    <col min="28" max="28" width="7.5" hidden="1" customWidth="1"/>
  </cols>
  <sheetData>
    <row r="1" spans="1:19" ht="15.75" customHeight="1">
      <c r="A1" s="411"/>
      <c r="C1" s="4640" t="str">
        <f>Main!C2</f>
        <v>Grant County Public Utility District</v>
      </c>
      <c r="D1" s="4642"/>
      <c r="E1" s="4641"/>
      <c r="F1" s="4641"/>
      <c r="G1" s="4641"/>
      <c r="H1" s="4641"/>
      <c r="I1" s="4641"/>
      <c r="J1" s="4641"/>
      <c r="K1" s="4641"/>
      <c r="L1" s="4641"/>
    </row>
    <row r="2" spans="1:19">
      <c r="A2" s="411"/>
      <c r="C2" s="4640"/>
      <c r="D2" s="4642"/>
      <c r="E2" s="4641"/>
      <c r="F2" s="4641"/>
      <c r="G2" s="4641"/>
      <c r="H2" s="4641"/>
      <c r="I2" s="4641"/>
      <c r="J2" s="4641"/>
      <c r="K2" s="4641"/>
      <c r="L2" s="4641"/>
    </row>
    <row r="3" spans="1:19" ht="15.75" customHeight="1">
      <c r="A3" s="411"/>
      <c r="C3" s="4640" t="str">
        <f>Main!C4</f>
        <v>Electric Cost of Service Model</v>
      </c>
      <c r="D3" s="4640"/>
      <c r="E3" s="4640"/>
      <c r="F3" s="4641"/>
      <c r="G3" s="4641"/>
      <c r="H3" s="4641"/>
      <c r="I3" s="4641"/>
      <c r="J3" s="4641"/>
      <c r="K3" s="4641"/>
      <c r="L3" s="4641"/>
      <c r="M3" s="4641"/>
    </row>
    <row r="4" spans="1:19">
      <c r="A4" s="411"/>
      <c r="C4" s="4640"/>
      <c r="D4" s="4640"/>
      <c r="E4" s="4640"/>
      <c r="F4" s="4641"/>
      <c r="G4" s="4641"/>
      <c r="H4" s="4641"/>
      <c r="I4" s="4641"/>
      <c r="J4" s="4641"/>
      <c r="K4" s="4641"/>
      <c r="L4" s="4641"/>
      <c r="M4" s="4641"/>
    </row>
    <row r="5" spans="1:19">
      <c r="A5" s="411"/>
      <c r="C5" s="4640" t="s">
        <v>477</v>
      </c>
      <c r="D5" s="4640"/>
      <c r="E5" s="4640"/>
      <c r="F5" s="4641"/>
      <c r="G5" s="4641"/>
      <c r="H5" s="4641"/>
      <c r="I5" s="4641"/>
      <c r="J5" s="4641"/>
      <c r="K5" s="4641"/>
      <c r="L5" s="4641"/>
      <c r="M5" s="4641"/>
    </row>
    <row r="6" spans="1:19">
      <c r="A6" s="411"/>
      <c r="C6" s="4640"/>
      <c r="D6" s="4640"/>
      <c r="E6" s="4640"/>
      <c r="F6" s="4641"/>
      <c r="G6" s="4641"/>
      <c r="H6" s="4641"/>
      <c r="I6" s="4641"/>
      <c r="J6" s="4641"/>
      <c r="K6" s="4641"/>
      <c r="L6" s="4641"/>
      <c r="M6" s="4641"/>
    </row>
    <row r="7" spans="1:19">
      <c r="A7" s="411"/>
      <c r="C7" s="135"/>
    </row>
    <row r="8" spans="1:19" ht="15.75" customHeight="1">
      <c r="A8" s="411"/>
      <c r="C8" s="4639" t="s">
        <v>2307</v>
      </c>
      <c r="D8" s="4639"/>
      <c r="E8" s="4639"/>
      <c r="F8" s="4639"/>
      <c r="G8" s="4639"/>
      <c r="H8" s="4639"/>
      <c r="I8" s="4639"/>
      <c r="J8" s="4639"/>
      <c r="K8" s="4639"/>
      <c r="L8" s="4639"/>
      <c r="M8" s="11"/>
      <c r="N8" s="11"/>
      <c r="O8" s="11"/>
      <c r="P8" s="11"/>
      <c r="Q8" s="11"/>
      <c r="R8" s="11"/>
      <c r="S8" s="11"/>
    </row>
    <row r="9" spans="1:19">
      <c r="A9" s="411"/>
      <c r="C9" s="4639"/>
      <c r="D9" s="4639"/>
      <c r="E9" s="4639"/>
      <c r="F9" s="4639"/>
      <c r="G9" s="4639"/>
      <c r="H9" s="4639"/>
      <c r="I9" s="4639"/>
      <c r="J9" s="4639"/>
      <c r="K9" s="4639"/>
      <c r="L9" s="4639"/>
      <c r="M9" s="11"/>
      <c r="N9" s="11"/>
      <c r="O9" s="11"/>
      <c r="P9" s="11"/>
      <c r="Q9" s="11"/>
      <c r="R9" s="11"/>
      <c r="S9" s="11"/>
    </row>
    <row r="10" spans="1:19">
      <c r="A10" s="411"/>
      <c r="C10" s="4639"/>
      <c r="D10" s="4639"/>
      <c r="E10" s="4639"/>
      <c r="F10" s="4639"/>
      <c r="G10" s="4639"/>
      <c r="H10" s="4639"/>
      <c r="I10" s="4639"/>
      <c r="J10" s="4639"/>
      <c r="K10" s="4639"/>
      <c r="L10" s="4639"/>
      <c r="M10" s="11"/>
      <c r="N10" s="11"/>
      <c r="O10" s="11"/>
      <c r="P10" s="11"/>
      <c r="Q10" s="11"/>
      <c r="R10" s="11"/>
      <c r="S10" s="11"/>
    </row>
    <row r="11" spans="1:19">
      <c r="A11" s="411"/>
      <c r="C11" s="550" t="s">
        <v>455</v>
      </c>
      <c r="D11" s="11"/>
      <c r="E11" s="11"/>
      <c r="F11" s="11"/>
      <c r="G11" s="11"/>
      <c r="H11" s="11"/>
      <c r="I11" s="11"/>
      <c r="L11" s="11"/>
      <c r="M11" s="11"/>
      <c r="N11" s="11"/>
      <c r="O11" s="11"/>
      <c r="P11" s="11"/>
      <c r="Q11" s="11"/>
      <c r="R11" s="11"/>
      <c r="S11" s="11"/>
    </row>
    <row r="12" spans="1:19">
      <c r="A12" s="411"/>
      <c r="C12" s="550"/>
      <c r="D12" s="11"/>
      <c r="E12" s="11"/>
      <c r="F12" s="11"/>
      <c r="G12" s="11"/>
      <c r="H12" s="11"/>
      <c r="I12" s="11"/>
      <c r="L12" s="11"/>
      <c r="M12" s="11"/>
      <c r="N12" s="11"/>
      <c r="O12" s="11"/>
      <c r="P12" s="11"/>
      <c r="Q12" s="11"/>
      <c r="R12" s="11"/>
      <c r="S12" s="11"/>
    </row>
    <row r="13" spans="1:19">
      <c r="A13" s="411"/>
      <c r="C13" s="254" t="s">
        <v>456</v>
      </c>
      <c r="D13" s="11"/>
      <c r="E13" s="10"/>
      <c r="F13" s="11"/>
      <c r="G13" s="11"/>
      <c r="H13" s="11"/>
      <c r="I13" s="551"/>
      <c r="L13" s="11"/>
      <c r="M13" s="122"/>
      <c r="N13" s="11"/>
      <c r="O13" s="122"/>
      <c r="P13" s="11"/>
      <c r="Q13" s="122"/>
      <c r="R13" s="11"/>
      <c r="S13" s="122"/>
    </row>
    <row r="14" spans="1:19">
      <c r="A14" s="411"/>
      <c r="C14" s="254"/>
      <c r="D14" s="11"/>
      <c r="E14" s="10"/>
      <c r="F14" s="11"/>
      <c r="G14" s="11"/>
      <c r="H14" s="11"/>
      <c r="I14" s="552"/>
      <c r="L14" s="11"/>
      <c r="M14" s="544"/>
      <c r="N14" s="11"/>
      <c r="O14" s="544"/>
      <c r="P14" s="11"/>
      <c r="Q14" s="544"/>
      <c r="R14" s="11"/>
      <c r="S14" s="544"/>
    </row>
    <row r="15" spans="1:19">
      <c r="A15" s="411"/>
      <c r="C15" s="254"/>
      <c r="D15" s="11" t="s">
        <v>454</v>
      </c>
      <c r="E15" s="10"/>
      <c r="F15" s="11" t="s">
        <v>457</v>
      </c>
      <c r="G15" s="11"/>
      <c r="H15" s="11" t="s">
        <v>528</v>
      </c>
      <c r="I15" s="553"/>
      <c r="J15" s="2" t="s">
        <v>458</v>
      </c>
      <c r="L15" s="553" t="s">
        <v>459</v>
      </c>
      <c r="M15" s="553"/>
      <c r="N15" s="553" t="s">
        <v>460</v>
      </c>
      <c r="O15" s="553"/>
      <c r="P15" s="553"/>
      <c r="Q15" s="553"/>
      <c r="R15" s="553"/>
    </row>
    <row r="16" spans="1:19">
      <c r="A16" s="411"/>
      <c r="C16" s="254"/>
      <c r="D16" s="11"/>
      <c r="E16" s="10"/>
      <c r="F16" s="11"/>
      <c r="G16" s="11"/>
      <c r="H16" s="11"/>
      <c r="I16" s="553"/>
      <c r="L16" s="553"/>
      <c r="M16" s="553"/>
      <c r="N16" s="554"/>
      <c r="O16" s="553"/>
      <c r="P16" s="553"/>
      <c r="Q16" s="553"/>
      <c r="R16" s="553"/>
      <c r="S16" s="553"/>
    </row>
    <row r="17" spans="1:19">
      <c r="A17" s="411"/>
      <c r="C17" s="248"/>
      <c r="D17" s="287" t="s">
        <v>461</v>
      </c>
      <c r="F17" s="554" t="s">
        <v>462</v>
      </c>
      <c r="G17" s="553"/>
      <c r="H17" s="17" t="s">
        <v>529</v>
      </c>
      <c r="I17" s="553"/>
      <c r="J17" s="17" t="s">
        <v>463</v>
      </c>
      <c r="K17" s="4"/>
      <c r="L17" s="17" t="s">
        <v>464</v>
      </c>
      <c r="M17" s="553"/>
      <c r="N17" s="555" t="s">
        <v>465</v>
      </c>
      <c r="O17" s="553"/>
      <c r="P17" s="553"/>
      <c r="Q17" s="416"/>
      <c r="R17" s="416"/>
      <c r="S17" s="553"/>
    </row>
    <row r="18" spans="1:19">
      <c r="A18" s="411"/>
      <c r="C18" s="248"/>
      <c r="D18" s="287"/>
      <c r="F18" s="554"/>
      <c r="G18" s="553"/>
      <c r="H18" s="17"/>
      <c r="I18" s="553"/>
      <c r="J18" s="17"/>
      <c r="K18" s="4"/>
      <c r="L18" s="17"/>
      <c r="M18" s="553"/>
      <c r="N18" s="555"/>
      <c r="O18" s="553"/>
      <c r="P18" s="553"/>
      <c r="Q18" s="416"/>
      <c r="R18" s="416"/>
      <c r="S18" s="553"/>
    </row>
    <row r="19" spans="1:19">
      <c r="A19" s="411"/>
      <c r="C19" s="248"/>
      <c r="D19" s="287" t="s">
        <v>2298</v>
      </c>
      <c r="F19" s="554" t="s">
        <v>2299</v>
      </c>
      <c r="G19" s="553"/>
      <c r="H19" s="17" t="s">
        <v>529</v>
      </c>
      <c r="I19" s="553"/>
      <c r="J19" s="11" t="s">
        <v>2300</v>
      </c>
      <c r="K19" s="4"/>
      <c r="L19" s="17" t="s">
        <v>464</v>
      </c>
      <c r="M19" s="553"/>
      <c r="N19" s="555" t="s">
        <v>2301</v>
      </c>
      <c r="O19" s="553"/>
      <c r="P19" s="553"/>
      <c r="Q19" s="416"/>
      <c r="R19" s="416"/>
      <c r="S19" s="553"/>
    </row>
    <row r="20" spans="1:19">
      <c r="A20" s="411"/>
      <c r="C20" s="249"/>
      <c r="D20" s="287"/>
      <c r="F20" s="554"/>
      <c r="G20" s="553"/>
      <c r="H20" s="17"/>
      <c r="I20" s="553"/>
      <c r="J20" s="17"/>
      <c r="K20" s="4"/>
      <c r="L20" s="17"/>
      <c r="M20" s="553"/>
      <c r="N20" s="555"/>
      <c r="O20" s="553"/>
      <c r="P20" s="416"/>
      <c r="Q20" s="416"/>
      <c r="R20" s="416"/>
      <c r="S20" s="553"/>
    </row>
    <row r="21" spans="1:19">
      <c r="A21" s="411"/>
      <c r="C21" s="249"/>
      <c r="D21" s="287" t="s">
        <v>2734</v>
      </c>
      <c r="F21" s="554" t="s">
        <v>2302</v>
      </c>
      <c r="G21" s="553"/>
      <c r="H21" s="17" t="s">
        <v>2303</v>
      </c>
      <c r="I21" s="553"/>
      <c r="J21" s="11" t="s">
        <v>2304</v>
      </c>
      <c r="K21" s="4"/>
      <c r="L21" s="17" t="s">
        <v>2305</v>
      </c>
      <c r="M21" s="553"/>
      <c r="N21" s="555" t="s">
        <v>2306</v>
      </c>
      <c r="O21" s="553"/>
      <c r="P21" s="553"/>
      <c r="Q21" s="553"/>
      <c r="R21" s="553"/>
      <c r="S21" s="553"/>
    </row>
    <row r="22" spans="1:19">
      <c r="A22" s="411"/>
      <c r="C22" s="310"/>
      <c r="D22" s="287"/>
      <c r="F22" s="554"/>
      <c r="G22" s="553"/>
      <c r="H22" s="17"/>
      <c r="I22" s="553"/>
      <c r="L22" s="553"/>
    </row>
    <row r="23" spans="1:19">
      <c r="A23" s="411"/>
      <c r="C23" s="249"/>
      <c r="D23" s="287" t="s">
        <v>2308</v>
      </c>
      <c r="F23" s="554" t="s">
        <v>2309</v>
      </c>
      <c r="G23" s="553"/>
      <c r="H23" s="17" t="s">
        <v>2303</v>
      </c>
      <c r="I23" s="553"/>
      <c r="J23" s="11" t="s">
        <v>2310</v>
      </c>
      <c r="K23" s="4"/>
      <c r="L23" s="17" t="s">
        <v>2305</v>
      </c>
      <c r="N23" s="555" t="s">
        <v>2311</v>
      </c>
    </row>
    <row r="24" spans="1:19">
      <c r="A24" s="411"/>
      <c r="C24" s="249"/>
      <c r="D24" s="11"/>
      <c r="E24" s="553"/>
      <c r="F24" s="556"/>
      <c r="G24" s="553"/>
      <c r="H24" s="11"/>
      <c r="I24" s="553"/>
      <c r="L24" s="553"/>
    </row>
    <row r="25" spans="1:19">
      <c r="A25" s="411"/>
      <c r="C25" s="249"/>
      <c r="D25" s="11"/>
      <c r="E25" s="553"/>
      <c r="F25" s="556"/>
      <c r="G25" s="553"/>
      <c r="H25" s="11"/>
      <c r="I25" s="553"/>
      <c r="L25" s="553"/>
    </row>
    <row r="26" spans="1:19">
      <c r="A26" s="411"/>
      <c r="C26" s="249"/>
      <c r="D26" s="11"/>
      <c r="E26" s="553"/>
      <c r="F26" s="556"/>
      <c r="G26" s="553"/>
      <c r="H26" s="11"/>
      <c r="I26" s="553"/>
      <c r="L26" s="553"/>
    </row>
    <row r="27" spans="1:19">
      <c r="A27" s="411"/>
      <c r="C27" s="249"/>
      <c r="D27" s="11"/>
      <c r="E27" s="553"/>
      <c r="F27" s="556"/>
      <c r="G27" s="553"/>
      <c r="H27" s="11"/>
      <c r="I27" s="553"/>
      <c r="L27" s="553"/>
    </row>
    <row r="28" spans="1:19">
      <c r="A28" s="411"/>
      <c r="C28" s="249"/>
      <c r="D28" s="11"/>
      <c r="E28" s="553"/>
      <c r="F28" s="556"/>
      <c r="G28" s="553"/>
      <c r="H28" s="557"/>
      <c r="I28" s="557"/>
      <c r="J28" s="557"/>
      <c r="K28" s="557"/>
      <c r="L28" s="557"/>
    </row>
    <row r="29" spans="1:19">
      <c r="A29" s="411"/>
      <c r="C29" s="249"/>
      <c r="D29" s="11"/>
      <c r="E29" s="553"/>
      <c r="F29" s="556"/>
      <c r="G29" s="553"/>
      <c r="H29" s="11"/>
      <c r="I29" s="553"/>
      <c r="L29" s="553"/>
    </row>
    <row r="30" spans="1:19">
      <c r="A30" s="411"/>
      <c r="C30" s="249"/>
      <c r="D30" s="11"/>
      <c r="E30" s="553"/>
      <c r="F30" s="556"/>
      <c r="G30" s="553"/>
      <c r="H30" s="11"/>
      <c r="I30" s="553"/>
      <c r="L30" s="553"/>
    </row>
    <row r="31" spans="1:19">
      <c r="A31" s="411"/>
      <c r="D31" s="557"/>
      <c r="E31" s="557"/>
      <c r="F31" s="557"/>
      <c r="G31" s="557"/>
      <c r="H31" s="11"/>
      <c r="I31" s="553"/>
      <c r="L31" s="553"/>
    </row>
    <row r="32" spans="1:19">
      <c r="A32" s="411"/>
      <c r="C32" s="249"/>
      <c r="D32" s="11"/>
      <c r="E32" s="553"/>
      <c r="F32" s="11"/>
      <c r="G32" s="553"/>
    </row>
    <row r="33" spans="1:7">
      <c r="A33" s="411"/>
      <c r="C33" s="249"/>
      <c r="D33" s="11"/>
      <c r="E33" s="553"/>
      <c r="F33" s="11"/>
      <c r="G33" s="553"/>
    </row>
    <row r="34" spans="1:7">
      <c r="A34" s="411"/>
      <c r="D34" s="11"/>
      <c r="E34" s="553"/>
      <c r="F34" s="11"/>
      <c r="G34" s="553"/>
    </row>
    <row r="35" spans="1:7">
      <c r="A35" s="411"/>
    </row>
    <row r="36" spans="1:7">
      <c r="A36" s="411"/>
    </row>
    <row r="37" spans="1:7">
      <c r="A37" s="411"/>
    </row>
    <row r="38" spans="1:7">
      <c r="A38" s="411"/>
    </row>
    <row r="39" spans="1:7">
      <c r="A39" s="411"/>
    </row>
    <row r="40" spans="1:7">
      <c r="A40" s="411"/>
    </row>
    <row r="41" spans="1:7">
      <c r="A41" s="411"/>
    </row>
    <row r="42" spans="1:7">
      <c r="A42" s="411"/>
    </row>
    <row r="43" spans="1:7">
      <c r="A43" s="411"/>
    </row>
    <row r="44" spans="1:7">
      <c r="A44" s="411"/>
    </row>
    <row r="45" spans="1:7">
      <c r="A45" s="411"/>
    </row>
    <row r="46" spans="1:7">
      <c r="A46" s="411"/>
    </row>
    <row r="47" spans="1:7">
      <c r="A47" s="411"/>
    </row>
    <row r="48" spans="1:7">
      <c r="A48" s="411"/>
    </row>
    <row r="49" spans="1:1">
      <c r="A49" s="411"/>
    </row>
    <row r="50" spans="1:1">
      <c r="A50" s="411"/>
    </row>
    <row r="51" spans="1:1">
      <c r="A51" s="411"/>
    </row>
    <row r="52" spans="1:1">
      <c r="A52" s="411"/>
    </row>
    <row r="53" spans="1:1">
      <c r="A53" s="411"/>
    </row>
    <row r="54" spans="1:1">
      <c r="A54" s="411"/>
    </row>
    <row r="55" spans="1:1">
      <c r="A55" s="411"/>
    </row>
    <row r="56" spans="1:1">
      <c r="A56" s="411"/>
    </row>
    <row r="57" spans="1:1">
      <c r="A57" s="411"/>
    </row>
    <row r="58" spans="1:1" hidden="1"/>
    <row r="59" spans="1:1" hidden="1"/>
    <row r="60" spans="1:1" hidden="1"/>
    <row r="61" spans="1:1" hidden="1"/>
    <row r="62" spans="1:1" hidden="1"/>
    <row r="63" spans="1:1" hidden="1"/>
    <row r="64" spans="1: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sheetData>
  <mergeCells count="4">
    <mergeCell ref="C8:L10"/>
    <mergeCell ref="C3:M4"/>
    <mergeCell ref="C5:M6"/>
    <mergeCell ref="C1:L2"/>
  </mergeCells>
  <phoneticPr fontId="8" type="noConversion"/>
  <hyperlinks>
    <hyperlink ref="N17" r:id="rId1"/>
    <hyperlink ref="N19" r:id="rId2"/>
    <hyperlink ref="N21" r:id="rId3"/>
    <hyperlink ref="N23" r:id="rId4"/>
  </hyperlinks>
  <pageMargins left="0.75" right="0.75" top="1" bottom="1" header="0.5" footer="0.5"/>
  <pageSetup orientation="portrait" r:id="rId5"/>
  <headerFooter alignWithMargins="0"/>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B337"/>
  <sheetViews>
    <sheetView showGridLines="0" zoomScale="89" zoomScaleNormal="89" workbookViewId="0">
      <pane xSplit="1" ySplit="8" topLeftCell="F20" activePane="bottomRight" state="frozen"/>
      <selection activeCell="G45" sqref="G45"/>
      <selection pane="topRight" activeCell="G45" sqref="G45"/>
      <selection pane="bottomLeft" activeCell="G45" sqref="G45"/>
      <selection pane="bottomRight" activeCell="G45" sqref="G45"/>
    </sheetView>
  </sheetViews>
  <sheetFormatPr defaultColWidth="0" defaultRowHeight="15.75" zeroHeight="1"/>
  <cols>
    <col min="1" max="1" width="22.5" customWidth="1"/>
    <col min="2" max="2" width="2.625" customWidth="1"/>
    <col min="3" max="3" width="6.125" bestFit="1" customWidth="1"/>
    <col min="4" max="4" width="0.25" customWidth="1"/>
    <col min="5" max="5" width="30.75" customWidth="1"/>
    <col min="6" max="6" width="0.25" customWidth="1"/>
    <col min="7" max="7" width="155.125" customWidth="1"/>
    <col min="8" max="8" width="2.625" customWidth="1"/>
  </cols>
  <sheetData>
    <row r="1" spans="1:8" ht="22.5">
      <c r="A1" s="415"/>
      <c r="G1" s="4343" t="s">
        <v>391</v>
      </c>
      <c r="H1" s="4343"/>
    </row>
    <row r="2" spans="1:8" ht="22.5">
      <c r="A2" s="415"/>
      <c r="C2" s="7"/>
      <c r="D2" s="7"/>
      <c r="G2" s="4343" t="s">
        <v>717</v>
      </c>
      <c r="H2" s="4343"/>
    </row>
    <row r="3" spans="1:8" ht="22.5">
      <c r="A3" s="415"/>
      <c r="C3" s="7"/>
      <c r="D3" s="7"/>
      <c r="G3" s="4343" t="s">
        <v>397</v>
      </c>
      <c r="H3" s="4343"/>
    </row>
    <row r="4" spans="1:8" ht="15.75" customHeight="1">
      <c r="A4" s="415"/>
      <c r="C4" s="7"/>
      <c r="D4" s="7"/>
      <c r="G4" s="50"/>
    </row>
    <row r="5" spans="1:8">
      <c r="A5" s="415"/>
    </row>
    <row r="6" spans="1:8">
      <c r="A6" s="415"/>
    </row>
    <row r="7" spans="1:8">
      <c r="A7" s="415"/>
      <c r="C7" s="431" t="s">
        <v>867</v>
      </c>
      <c r="D7" s="86"/>
      <c r="E7" s="431" t="s">
        <v>201</v>
      </c>
      <c r="F7" s="86"/>
      <c r="G7" s="4341" t="s">
        <v>399</v>
      </c>
    </row>
    <row r="8" spans="1:8">
      <c r="A8" s="415"/>
      <c r="C8" s="432" t="s">
        <v>398</v>
      </c>
      <c r="D8" s="86"/>
      <c r="E8" s="432" t="s">
        <v>202</v>
      </c>
      <c r="F8" s="86"/>
      <c r="G8" s="4342"/>
    </row>
    <row r="9" spans="1:8">
      <c r="A9" s="415"/>
      <c r="C9" s="65"/>
      <c r="D9" s="65"/>
      <c r="E9" s="65"/>
      <c r="F9" s="65"/>
      <c r="G9" s="102"/>
    </row>
    <row r="10" spans="1:8">
      <c r="A10" s="415"/>
      <c r="C10" s="51"/>
      <c r="D10" s="51"/>
      <c r="E10" s="61" t="s">
        <v>575</v>
      </c>
      <c r="F10" s="61"/>
      <c r="G10" s="51"/>
    </row>
    <row r="11" spans="1:8">
      <c r="A11" s="415"/>
      <c r="C11" s="54">
        <f>MAX($C$9:C10)+1</f>
        <v>1</v>
      </c>
      <c r="D11" s="54"/>
      <c r="E11" s="107" t="s">
        <v>428</v>
      </c>
      <c r="F11" s="51"/>
      <c r="G11" s="51" t="s">
        <v>590</v>
      </c>
    </row>
    <row r="12" spans="1:8">
      <c r="A12" s="415"/>
      <c r="C12" s="54">
        <f>MAX($C$9:C11)+1</f>
        <v>2</v>
      </c>
      <c r="D12" s="54"/>
      <c r="E12" s="107" t="s">
        <v>483</v>
      </c>
      <c r="F12" s="51"/>
      <c r="G12" s="51" t="s">
        <v>429</v>
      </c>
    </row>
    <row r="13" spans="1:8">
      <c r="A13" s="415"/>
      <c r="C13" s="54">
        <f>MAX($C$9:C12)+1</f>
        <v>3</v>
      </c>
      <c r="D13" s="54"/>
      <c r="E13" s="107" t="s">
        <v>290</v>
      </c>
      <c r="F13" s="51"/>
      <c r="G13" s="51" t="s">
        <v>292</v>
      </c>
    </row>
    <row r="14" spans="1:8">
      <c r="A14" s="415"/>
      <c r="C14" s="54">
        <f>MAX($C$9:C13)+1</f>
        <v>4</v>
      </c>
      <c r="D14" s="54"/>
      <c r="E14" s="107" t="s">
        <v>180</v>
      </c>
      <c r="F14" s="51"/>
      <c r="G14" s="51" t="s">
        <v>594</v>
      </c>
    </row>
    <row r="15" spans="1:8">
      <c r="A15" s="415"/>
      <c r="C15" s="54">
        <f>MAX($C$9:C14)+1</f>
        <v>5</v>
      </c>
      <c r="D15" s="54"/>
      <c r="E15" s="107" t="s">
        <v>706</v>
      </c>
      <c r="F15" s="51"/>
      <c r="G15" s="51" t="s">
        <v>593</v>
      </c>
    </row>
    <row r="16" spans="1:8">
      <c r="A16" s="415"/>
      <c r="C16" s="54">
        <f>MAX($C$9:C15)+1</f>
        <v>6</v>
      </c>
      <c r="D16" s="54"/>
      <c r="E16" s="107" t="s">
        <v>291</v>
      </c>
      <c r="F16" s="51"/>
      <c r="G16" s="51" t="s">
        <v>293</v>
      </c>
    </row>
    <row r="17" spans="1:7">
      <c r="A17" s="415"/>
      <c r="C17" s="54"/>
      <c r="D17" s="54"/>
      <c r="E17" s="51"/>
      <c r="F17" s="51"/>
      <c r="G17" s="51"/>
    </row>
    <row r="18" spans="1:7">
      <c r="A18" s="415"/>
      <c r="C18" s="54"/>
      <c r="D18" s="54"/>
      <c r="E18" s="58" t="s">
        <v>110</v>
      </c>
      <c r="F18" s="58"/>
      <c r="G18" s="51"/>
    </row>
    <row r="19" spans="1:7">
      <c r="A19" s="415"/>
      <c r="C19" s="54">
        <f>MAX($C$9:C18)+1</f>
        <v>7</v>
      </c>
      <c r="D19" s="54"/>
      <c r="E19" s="107" t="s">
        <v>431</v>
      </c>
      <c r="F19" s="51"/>
      <c r="G19" s="51" t="s">
        <v>432</v>
      </c>
    </row>
    <row r="20" spans="1:7">
      <c r="A20" s="415"/>
      <c r="C20" s="54">
        <f>MAX($C$9:C19)+1</f>
        <v>8</v>
      </c>
      <c r="D20" s="54"/>
      <c r="E20" s="107" t="s">
        <v>433</v>
      </c>
      <c r="F20" s="51"/>
      <c r="G20" s="51" t="s">
        <v>595</v>
      </c>
    </row>
    <row r="21" spans="1:7">
      <c r="A21" s="415"/>
      <c r="C21" s="54">
        <f>MAX($C$9:C20)+1</f>
        <v>9</v>
      </c>
      <c r="D21" s="54"/>
      <c r="E21" s="107" t="s">
        <v>576</v>
      </c>
      <c r="F21" s="51"/>
      <c r="G21" s="51" t="s">
        <v>596</v>
      </c>
    </row>
    <row r="22" spans="1:7">
      <c r="A22" s="415"/>
      <c r="C22" s="54">
        <f>MAX($C$9:C21)+1</f>
        <v>10</v>
      </c>
      <c r="D22" s="54"/>
      <c r="E22" s="107" t="s">
        <v>577</v>
      </c>
      <c r="F22" s="51"/>
      <c r="G22" s="51" t="s">
        <v>690</v>
      </c>
    </row>
    <row r="23" spans="1:7">
      <c r="A23" s="415"/>
      <c r="C23" s="54">
        <f>MAX($C$9:C22)+1</f>
        <v>11</v>
      </c>
      <c r="D23" s="54"/>
      <c r="E23" s="107" t="s">
        <v>434</v>
      </c>
      <c r="F23" s="51"/>
      <c r="G23" s="51" t="s">
        <v>690</v>
      </c>
    </row>
    <row r="24" spans="1:7">
      <c r="A24" s="415"/>
      <c r="C24" s="54">
        <f>MAX($C$9:C23)+1</f>
        <v>12</v>
      </c>
      <c r="D24" s="54"/>
      <c r="E24" s="107" t="s">
        <v>578</v>
      </c>
      <c r="F24" s="51"/>
      <c r="G24" s="51" t="s">
        <v>691</v>
      </c>
    </row>
    <row r="25" spans="1:7">
      <c r="A25" s="415"/>
      <c r="C25" s="54">
        <f>MAX($C$9:C24)+1</f>
        <v>13</v>
      </c>
      <c r="D25" s="54"/>
      <c r="E25" s="107" t="s">
        <v>294</v>
      </c>
      <c r="F25" s="51"/>
      <c r="G25" s="51" t="s">
        <v>692</v>
      </c>
    </row>
    <row r="26" spans="1:7">
      <c r="A26" s="415"/>
      <c r="C26" s="54">
        <f>MAX($C$9:C25)+1</f>
        <v>14</v>
      </c>
      <c r="D26" s="54"/>
      <c r="E26" s="107" t="s">
        <v>295</v>
      </c>
      <c r="F26" s="51"/>
      <c r="G26" s="51" t="s">
        <v>693</v>
      </c>
    </row>
    <row r="27" spans="1:7">
      <c r="A27" s="415"/>
      <c r="C27" s="54">
        <f>MAX($C$9:C26)+1</f>
        <v>15</v>
      </c>
      <c r="D27" s="54"/>
      <c r="E27" s="107" t="s">
        <v>296</v>
      </c>
      <c r="F27" s="51"/>
      <c r="G27" s="51" t="s">
        <v>355</v>
      </c>
    </row>
    <row r="28" spans="1:7">
      <c r="A28" s="415"/>
      <c r="C28" s="54">
        <f>MAX($C$9:C27)+1</f>
        <v>16</v>
      </c>
      <c r="D28" s="54"/>
      <c r="E28" s="107" t="s">
        <v>589</v>
      </c>
      <c r="F28" s="51"/>
      <c r="G28" s="51" t="s">
        <v>694</v>
      </c>
    </row>
    <row r="29" spans="1:7">
      <c r="A29" s="415"/>
      <c r="C29" s="54"/>
      <c r="D29" s="54"/>
      <c r="E29" s="107"/>
      <c r="F29" s="107"/>
      <c r="G29" s="51"/>
    </row>
    <row r="30" spans="1:7">
      <c r="A30" s="415"/>
      <c r="C30" s="54"/>
      <c r="D30" s="54"/>
      <c r="E30" s="58" t="s">
        <v>885</v>
      </c>
      <c r="F30" s="107"/>
      <c r="G30" s="51"/>
    </row>
    <row r="31" spans="1:7">
      <c r="A31" s="415"/>
      <c r="C31" s="54">
        <f>MAX($C$9:C30)+1</f>
        <v>17</v>
      </c>
      <c r="D31" s="54"/>
      <c r="E31" s="107" t="s">
        <v>299</v>
      </c>
      <c r="F31" s="51"/>
      <c r="G31" s="51" t="s">
        <v>298</v>
      </c>
    </row>
    <row r="32" spans="1:7">
      <c r="A32" s="415"/>
      <c r="C32" s="54">
        <f>MAX($C$9:C31)+1</f>
        <v>18</v>
      </c>
      <c r="D32" s="54"/>
      <c r="E32" s="107" t="s">
        <v>300</v>
      </c>
      <c r="F32" s="51"/>
      <c r="G32" s="51" t="s">
        <v>297</v>
      </c>
    </row>
    <row r="33" spans="1:7">
      <c r="A33" s="415"/>
      <c r="C33" s="54">
        <f>MAX($C$9:C32)+1</f>
        <v>19</v>
      </c>
      <c r="D33" s="54"/>
      <c r="E33" s="107" t="s">
        <v>565</v>
      </c>
      <c r="F33" s="51"/>
      <c r="G33" s="51" t="s">
        <v>566</v>
      </c>
    </row>
    <row r="34" spans="1:7">
      <c r="A34" s="415"/>
      <c r="C34" s="54">
        <f>MAX($C$9:C33)+1</f>
        <v>20</v>
      </c>
      <c r="D34" s="54"/>
      <c r="E34" s="107" t="s">
        <v>556</v>
      </c>
      <c r="F34" s="51"/>
      <c r="G34" s="51" t="s">
        <v>557</v>
      </c>
    </row>
    <row r="35" spans="1:7">
      <c r="A35" s="415"/>
      <c r="C35" s="54"/>
      <c r="D35" s="54"/>
      <c r="E35" s="51"/>
      <c r="F35" s="51"/>
      <c r="G35" s="51"/>
    </row>
    <row r="36" spans="1:7">
      <c r="A36" s="415"/>
      <c r="C36" s="54"/>
      <c r="D36" s="54"/>
      <c r="E36" s="58" t="s">
        <v>579</v>
      </c>
      <c r="F36" s="58"/>
      <c r="G36" s="51"/>
    </row>
    <row r="37" spans="1:7">
      <c r="A37" s="415"/>
      <c r="C37" s="54">
        <f>MAX($C$9:C36)+1</f>
        <v>21</v>
      </c>
      <c r="D37" s="54"/>
      <c r="E37" s="107" t="s">
        <v>580</v>
      </c>
      <c r="F37" s="51"/>
      <c r="G37" s="51" t="s">
        <v>436</v>
      </c>
    </row>
    <row r="38" spans="1:7">
      <c r="A38" s="415"/>
      <c r="C38" s="54">
        <f>MAX($C$9:C37)+1</f>
        <v>22</v>
      </c>
      <c r="D38" s="54"/>
      <c r="E38" s="107" t="s">
        <v>581</v>
      </c>
      <c r="F38" s="51"/>
      <c r="G38" s="51" t="s">
        <v>695</v>
      </c>
    </row>
    <row r="39" spans="1:7">
      <c r="A39" s="415"/>
      <c r="C39" s="54">
        <f>MAX($C$9:C38)+1</f>
        <v>23</v>
      </c>
      <c r="D39" s="54"/>
      <c r="E39" s="107" t="s">
        <v>437</v>
      </c>
      <c r="F39" s="51"/>
      <c r="G39" s="51" t="s">
        <v>438</v>
      </c>
    </row>
    <row r="40" spans="1:7">
      <c r="A40" s="415"/>
      <c r="C40" s="54">
        <f>MAX($C$9:C39)+1</f>
        <v>24</v>
      </c>
      <c r="D40" s="54"/>
      <c r="E40" s="107" t="s">
        <v>652</v>
      </c>
      <c r="F40" s="51"/>
      <c r="G40" s="51" t="s">
        <v>653</v>
      </c>
    </row>
    <row r="41" spans="1:7">
      <c r="A41" s="415"/>
      <c r="C41" s="54">
        <f>MAX($C$9:C40)+1</f>
        <v>25</v>
      </c>
      <c r="D41" s="54"/>
      <c r="E41" s="107" t="s">
        <v>582</v>
      </c>
      <c r="F41" s="51"/>
      <c r="G41" s="51" t="s">
        <v>696</v>
      </c>
    </row>
    <row r="42" spans="1:7">
      <c r="A42" s="415"/>
      <c r="C42" s="54">
        <f>MAX($C$9:C41)+1</f>
        <v>26</v>
      </c>
      <c r="D42" s="54"/>
      <c r="E42" s="107" t="s">
        <v>439</v>
      </c>
      <c r="F42" s="51"/>
      <c r="G42" s="51" t="s">
        <v>356</v>
      </c>
    </row>
    <row r="43" spans="1:7">
      <c r="A43" s="415"/>
      <c r="C43" s="54">
        <f>MAX($C$9:C42)+1</f>
        <v>27</v>
      </c>
      <c r="D43" s="54"/>
      <c r="E43" s="107" t="s">
        <v>440</v>
      </c>
      <c r="F43" s="51"/>
      <c r="G43" s="51" t="s">
        <v>357</v>
      </c>
    </row>
    <row r="44" spans="1:7">
      <c r="A44" s="415"/>
      <c r="C44" s="54">
        <f>MAX($C$9:C43)+1</f>
        <v>28</v>
      </c>
      <c r="D44" s="54"/>
      <c r="E44" s="107" t="s">
        <v>583</v>
      </c>
      <c r="F44" s="51"/>
      <c r="G44" s="51" t="s">
        <v>358</v>
      </c>
    </row>
    <row r="45" spans="1:7">
      <c r="A45" s="415"/>
      <c r="C45" s="54">
        <f>MAX($C$9:C44)+1</f>
        <v>29</v>
      </c>
      <c r="D45" s="54"/>
      <c r="E45" s="107" t="s">
        <v>584</v>
      </c>
      <c r="F45" s="51"/>
      <c r="G45" s="51" t="s">
        <v>466</v>
      </c>
    </row>
    <row r="46" spans="1:7">
      <c r="A46" s="415"/>
      <c r="C46" s="54">
        <f>MAX($C$9:C45)+1</f>
        <v>30</v>
      </c>
      <c r="D46" s="54"/>
      <c r="E46" s="107" t="s">
        <v>586</v>
      </c>
      <c r="F46" s="51"/>
      <c r="G46" s="51" t="s">
        <v>363</v>
      </c>
    </row>
    <row r="47" spans="1:7">
      <c r="A47" s="415"/>
      <c r="C47" s="54">
        <f>MAX($C$9:C46)+1</f>
        <v>31</v>
      </c>
      <c r="D47" s="54"/>
      <c r="E47" s="107" t="s">
        <v>585</v>
      </c>
      <c r="F47" s="51"/>
      <c r="G47" s="51" t="s">
        <v>352</v>
      </c>
    </row>
    <row r="48" spans="1:7">
      <c r="A48" s="415"/>
      <c r="C48" s="54"/>
      <c r="D48" s="54"/>
      <c r="E48" s="107"/>
      <c r="F48" s="51"/>
      <c r="G48" s="51"/>
    </row>
    <row r="49" spans="1:7">
      <c r="A49" s="415"/>
      <c r="C49" s="54"/>
      <c r="D49" s="54"/>
      <c r="E49" s="58" t="s">
        <v>467</v>
      </c>
      <c r="F49" s="51"/>
      <c r="G49" s="51"/>
    </row>
    <row r="50" spans="1:7">
      <c r="A50" s="415"/>
      <c r="C50" s="54">
        <f>MAX($C$9:C49)+1</f>
        <v>32</v>
      </c>
      <c r="D50" s="54"/>
      <c r="E50" s="107" t="s">
        <v>622</v>
      </c>
      <c r="F50" s="51"/>
      <c r="G50" s="51" t="s">
        <v>627</v>
      </c>
    </row>
    <row r="51" spans="1:7">
      <c r="A51" s="415"/>
      <c r="C51" s="54">
        <f>MAX($C$9:C50)+1</f>
        <v>33</v>
      </c>
      <c r="D51" s="54"/>
      <c r="E51" s="107" t="s">
        <v>623</v>
      </c>
      <c r="F51" s="51"/>
      <c r="G51" s="51" t="s">
        <v>628</v>
      </c>
    </row>
    <row r="52" spans="1:7">
      <c r="A52" s="415"/>
      <c r="C52" s="54">
        <f>MAX($C$9:C51)+1</f>
        <v>34</v>
      </c>
      <c r="D52" s="54"/>
      <c r="E52" s="107" t="s">
        <v>531</v>
      </c>
      <c r="F52" s="51"/>
      <c r="G52" s="51" t="s">
        <v>544</v>
      </c>
    </row>
    <row r="53" spans="1:7">
      <c r="A53" s="415"/>
      <c r="C53" s="54">
        <f>MAX($C$9:C52)+1</f>
        <v>35</v>
      </c>
      <c r="D53" s="54"/>
      <c r="E53" s="107" t="s">
        <v>624</v>
      </c>
      <c r="F53" s="51"/>
      <c r="G53" s="51" t="s">
        <v>629</v>
      </c>
    </row>
    <row r="54" spans="1:7">
      <c r="A54" s="415"/>
      <c r="C54" s="54">
        <f>MAX($C$9:C53)+1</f>
        <v>36</v>
      </c>
      <c r="D54" s="54"/>
      <c r="E54" s="107" t="s">
        <v>625</v>
      </c>
      <c r="F54" s="51"/>
      <c r="G54" s="51" t="s">
        <v>630</v>
      </c>
    </row>
    <row r="55" spans="1:7">
      <c r="A55" s="415"/>
      <c r="C55" s="54">
        <f>MAX($C$9:C54)+1</f>
        <v>37</v>
      </c>
      <c r="D55" s="54"/>
      <c r="E55" s="107" t="s">
        <v>530</v>
      </c>
      <c r="F55" s="51"/>
      <c r="G55" s="51" t="s">
        <v>631</v>
      </c>
    </row>
    <row r="56" spans="1:7">
      <c r="A56" s="415"/>
      <c r="C56" s="54">
        <f>MAX($C$9:C55)+1</f>
        <v>38</v>
      </c>
      <c r="D56" s="54"/>
      <c r="E56" s="107" t="s">
        <v>626</v>
      </c>
      <c r="F56" s="51"/>
      <c r="G56" s="51" t="s">
        <v>632</v>
      </c>
    </row>
    <row r="57" spans="1:7">
      <c r="A57" s="415"/>
      <c r="C57" s="54">
        <f>MAX($C$9:C56)+1</f>
        <v>39</v>
      </c>
      <c r="D57" s="54"/>
      <c r="E57" s="107" t="s">
        <v>634</v>
      </c>
      <c r="F57" s="51"/>
      <c r="G57" s="51" t="s">
        <v>633</v>
      </c>
    </row>
    <row r="58" spans="1:7">
      <c r="A58" s="415"/>
      <c r="C58" s="54">
        <f>MAX($C$9:C57)+1</f>
        <v>40</v>
      </c>
      <c r="D58" s="54"/>
      <c r="E58" s="107" t="s">
        <v>532</v>
      </c>
      <c r="F58" s="51"/>
      <c r="G58" s="51" t="s">
        <v>533</v>
      </c>
    </row>
    <row r="59" spans="1:7">
      <c r="A59" s="415"/>
      <c r="C59" s="54">
        <f>MAX($C$9:C58)+1</f>
        <v>41</v>
      </c>
      <c r="D59" s="54"/>
      <c r="E59" s="107" t="s">
        <v>534</v>
      </c>
      <c r="F59" s="51"/>
      <c r="G59" s="51" t="s">
        <v>535</v>
      </c>
    </row>
    <row r="60" spans="1:7">
      <c r="A60" s="415"/>
      <c r="C60" s="54">
        <f>MAX($C$9:C59)+1</f>
        <v>42</v>
      </c>
      <c r="D60" s="54"/>
      <c r="E60" s="107" t="s">
        <v>643</v>
      </c>
      <c r="F60" s="51"/>
      <c r="G60" s="51" t="s">
        <v>545</v>
      </c>
    </row>
    <row r="61" spans="1:7">
      <c r="A61" s="415"/>
      <c r="C61" s="54">
        <f>MAX($C$9:C60)+1</f>
        <v>43</v>
      </c>
      <c r="D61" s="54"/>
      <c r="E61" s="107" t="s">
        <v>644</v>
      </c>
      <c r="F61" s="51"/>
      <c r="G61" s="51" t="s">
        <v>546</v>
      </c>
    </row>
    <row r="62" spans="1:7">
      <c r="A62" s="415"/>
      <c r="C62" s="54">
        <f>MAX($C$9:C61)+1</f>
        <v>44</v>
      </c>
      <c r="D62" s="54"/>
      <c r="E62" s="107" t="s">
        <v>536</v>
      </c>
      <c r="F62" s="51"/>
      <c r="G62" s="51" t="s">
        <v>547</v>
      </c>
    </row>
    <row r="63" spans="1:7">
      <c r="A63" s="415"/>
      <c r="C63" s="54">
        <f>MAX($C$9:C62)+1</f>
        <v>45</v>
      </c>
      <c r="D63" s="54"/>
      <c r="E63" s="107" t="s">
        <v>645</v>
      </c>
      <c r="F63" s="51"/>
      <c r="G63" s="51" t="s">
        <v>548</v>
      </c>
    </row>
    <row r="64" spans="1:7">
      <c r="A64" s="415"/>
      <c r="C64" s="54">
        <f>MAX($C$9:C63)+1</f>
        <v>46</v>
      </c>
      <c r="D64" s="54"/>
      <c r="E64" s="107" t="s">
        <v>646</v>
      </c>
      <c r="F64" s="51"/>
      <c r="G64" s="51" t="s">
        <v>549</v>
      </c>
    </row>
    <row r="65" spans="1:7">
      <c r="A65" s="415"/>
      <c r="C65" s="54">
        <f>MAX($C$9:C64)+1</f>
        <v>47</v>
      </c>
      <c r="D65" s="54"/>
      <c r="E65" s="107" t="s">
        <v>537</v>
      </c>
      <c r="F65" s="51"/>
      <c r="G65" s="51" t="s">
        <v>540</v>
      </c>
    </row>
    <row r="66" spans="1:7">
      <c r="A66" s="415"/>
      <c r="C66" s="54">
        <f>MAX($C$9:C65)+1</f>
        <v>48</v>
      </c>
      <c r="D66" s="54"/>
      <c r="E66" s="107" t="s">
        <v>718</v>
      </c>
      <c r="F66" s="51"/>
      <c r="G66" s="51" t="s">
        <v>541</v>
      </c>
    </row>
    <row r="67" spans="1:7">
      <c r="A67" s="415"/>
      <c r="C67" s="54">
        <f>MAX($C$9:C66)+1</f>
        <v>49</v>
      </c>
      <c r="D67" s="54"/>
      <c r="E67" s="107" t="s">
        <v>538</v>
      </c>
      <c r="F67" s="51"/>
      <c r="G67" s="51" t="s">
        <v>542</v>
      </c>
    </row>
    <row r="68" spans="1:7">
      <c r="A68" s="415"/>
      <c r="C68" s="54">
        <f>MAX($C$9:C67)+1</f>
        <v>50</v>
      </c>
      <c r="D68" s="54"/>
      <c r="E68" s="107" t="s">
        <v>539</v>
      </c>
      <c r="F68" s="51"/>
      <c r="G68" s="51" t="s">
        <v>543</v>
      </c>
    </row>
    <row r="69" spans="1:7">
      <c r="A69" s="415"/>
      <c r="C69" s="54">
        <f>MAX($C$9:C68)+1</f>
        <v>51</v>
      </c>
      <c r="D69" s="54"/>
      <c r="E69" s="107" t="s">
        <v>374</v>
      </c>
      <c r="F69" s="51"/>
      <c r="G69" s="51" t="s">
        <v>588</v>
      </c>
    </row>
    <row r="70" spans="1:7">
      <c r="A70" s="415"/>
      <c r="C70" s="54"/>
      <c r="D70" s="54"/>
      <c r="E70" s="52"/>
      <c r="F70" s="52"/>
      <c r="G70" s="51"/>
    </row>
    <row r="71" spans="1:7">
      <c r="A71" s="415"/>
      <c r="C71" s="54"/>
      <c r="D71" s="54"/>
      <c r="E71" s="58" t="s">
        <v>195</v>
      </c>
      <c r="F71" s="58"/>
      <c r="G71" s="51"/>
    </row>
    <row r="72" spans="1:7">
      <c r="A72" s="415"/>
      <c r="C72" s="54">
        <f>MAX($C$9:C71)+1</f>
        <v>52</v>
      </c>
      <c r="D72" s="54"/>
      <c r="E72" s="107" t="s">
        <v>635</v>
      </c>
      <c r="F72" s="51"/>
      <c r="G72" s="51" t="s">
        <v>647</v>
      </c>
    </row>
    <row r="73" spans="1:7">
      <c r="A73" s="415"/>
      <c r="C73" s="54">
        <f>MAX($C$9:C72)+1</f>
        <v>53</v>
      </c>
      <c r="D73" s="54"/>
      <c r="E73" s="52" t="s">
        <v>212</v>
      </c>
      <c r="F73" s="51"/>
      <c r="G73" s="51" t="s">
        <v>213</v>
      </c>
    </row>
    <row r="74" spans="1:7">
      <c r="A74" s="415"/>
      <c r="C74" s="54">
        <f>MAX($C$9:C73)+1</f>
        <v>54</v>
      </c>
      <c r="D74" s="54"/>
      <c r="E74" s="107" t="s">
        <v>524</v>
      </c>
      <c r="F74" s="51"/>
      <c r="G74" s="51" t="s">
        <v>648</v>
      </c>
    </row>
    <row r="75" spans="1:7">
      <c r="A75" s="415"/>
      <c r="C75" s="54">
        <f>MAX($C$9:C74)+1</f>
        <v>55</v>
      </c>
      <c r="D75" s="54"/>
      <c r="E75" s="52" t="s">
        <v>550</v>
      </c>
      <c r="F75" s="51"/>
      <c r="G75" s="51" t="s">
        <v>654</v>
      </c>
    </row>
    <row r="76" spans="1:7">
      <c r="A76" s="415"/>
      <c r="C76" s="54">
        <f>MAX($C$9:C75)+1</f>
        <v>56</v>
      </c>
      <c r="D76" s="54"/>
      <c r="E76" s="52" t="s">
        <v>274</v>
      </c>
      <c r="F76" s="51"/>
      <c r="G76" s="51" t="s">
        <v>361</v>
      </c>
    </row>
    <row r="77" spans="1:7">
      <c r="A77" s="415"/>
      <c r="C77" s="54">
        <f>MAX($C$9:C76)+1</f>
        <v>57</v>
      </c>
      <c r="D77" s="54"/>
      <c r="E77" s="107" t="s">
        <v>636</v>
      </c>
      <c r="F77" s="51"/>
      <c r="G77" s="51" t="s">
        <v>392</v>
      </c>
    </row>
    <row r="78" spans="1:7">
      <c r="A78" s="415"/>
      <c r="C78" s="54">
        <f>MAX($C$9:C77)+1</f>
        <v>58</v>
      </c>
      <c r="D78" s="54"/>
      <c r="E78" s="107" t="s">
        <v>637</v>
      </c>
      <c r="F78" s="51"/>
      <c r="G78" s="51" t="s">
        <v>649</v>
      </c>
    </row>
    <row r="79" spans="1:7">
      <c r="A79" s="415"/>
      <c r="C79" s="54">
        <f>MAX($C$9:C78)+1</f>
        <v>59</v>
      </c>
      <c r="D79" s="54"/>
      <c r="E79" s="107" t="s">
        <v>638</v>
      </c>
      <c r="F79" s="51"/>
      <c r="G79" s="51" t="s">
        <v>551</v>
      </c>
    </row>
    <row r="80" spans="1:7">
      <c r="A80" s="415"/>
      <c r="C80" s="54">
        <f>MAX($C$9:C79)+1</f>
        <v>60</v>
      </c>
      <c r="D80" s="54"/>
      <c r="E80" s="107" t="s">
        <v>639</v>
      </c>
      <c r="F80" s="51"/>
      <c r="G80" s="51" t="s">
        <v>613</v>
      </c>
    </row>
    <row r="81" spans="1:7">
      <c r="A81" s="415"/>
      <c r="C81" s="54">
        <f>MAX($C$9:C80)+1</f>
        <v>61</v>
      </c>
      <c r="D81" s="54"/>
      <c r="E81" s="107" t="s">
        <v>650</v>
      </c>
      <c r="F81" s="51"/>
      <c r="G81" s="51" t="s">
        <v>526</v>
      </c>
    </row>
    <row r="82" spans="1:7">
      <c r="A82" s="415"/>
      <c r="C82" s="54">
        <f>MAX($C$9:C81)+1</f>
        <v>62</v>
      </c>
      <c r="D82" s="54"/>
      <c r="E82" s="107" t="s">
        <v>640</v>
      </c>
      <c r="F82" s="51"/>
      <c r="G82" s="51" t="s">
        <v>527</v>
      </c>
    </row>
    <row r="83" spans="1:7">
      <c r="A83" s="415"/>
      <c r="C83" s="54">
        <f>MAX($C$9:C82)+1</f>
        <v>63</v>
      </c>
      <c r="D83" s="54"/>
      <c r="E83" s="107" t="s">
        <v>641</v>
      </c>
      <c r="F83" s="51"/>
      <c r="G83" s="51" t="s">
        <v>490</v>
      </c>
    </row>
    <row r="84" spans="1:7">
      <c r="A84" s="415"/>
      <c r="C84" s="54">
        <f>MAX($C$9:C83)+1</f>
        <v>64</v>
      </c>
      <c r="D84" s="54"/>
      <c r="E84" s="107" t="s">
        <v>642</v>
      </c>
      <c r="F84" s="51"/>
      <c r="G84" s="51" t="s">
        <v>886</v>
      </c>
    </row>
    <row r="85" spans="1:7">
      <c r="A85" s="415"/>
      <c r="C85" s="54">
        <f>MAX($C$9:C84)+1</f>
        <v>65</v>
      </c>
      <c r="D85" s="54"/>
      <c r="E85" s="107" t="s">
        <v>651</v>
      </c>
      <c r="F85" s="51"/>
      <c r="G85" s="51" t="s">
        <v>887</v>
      </c>
    </row>
    <row r="86" spans="1:7">
      <c r="A86" s="415"/>
      <c r="C86" s="54"/>
      <c r="D86" s="54"/>
      <c r="E86" s="107"/>
      <c r="F86" s="51"/>
      <c r="G86" s="51"/>
    </row>
    <row r="87" spans="1:7">
      <c r="A87" s="415"/>
      <c r="C87" s="54"/>
      <c r="D87" s="54"/>
      <c r="E87" s="577" t="s">
        <v>475</v>
      </c>
      <c r="F87" s="51"/>
      <c r="G87" s="51"/>
    </row>
    <row r="88" spans="1:7">
      <c r="A88" s="415"/>
      <c r="C88" s="54">
        <f>MAX($C$9:C87)+1</f>
        <v>66</v>
      </c>
      <c r="D88" s="51"/>
      <c r="E88" s="107" t="s">
        <v>476</v>
      </c>
      <c r="F88" s="51"/>
      <c r="G88" s="51" t="s">
        <v>477</v>
      </c>
    </row>
    <row r="89" spans="1:7">
      <c r="A89" s="415"/>
      <c r="C89" s="51"/>
      <c r="D89" s="51"/>
      <c r="E89" s="578"/>
      <c r="F89" s="51"/>
      <c r="G89" s="51"/>
    </row>
    <row r="90" spans="1:7">
      <c r="A90" s="415"/>
      <c r="C90" s="51"/>
      <c r="D90" s="51"/>
      <c r="E90" s="578"/>
      <c r="F90" s="51"/>
      <c r="G90" s="51"/>
    </row>
    <row r="91" spans="1:7">
      <c r="A91" s="415"/>
      <c r="C91" s="51"/>
      <c r="D91" s="51"/>
      <c r="E91" s="578"/>
      <c r="F91" s="51"/>
      <c r="G91" s="51"/>
    </row>
    <row r="92" spans="1:7">
      <c r="A92" s="415"/>
      <c r="C92" s="51"/>
      <c r="D92" s="51"/>
      <c r="E92" s="578"/>
      <c r="F92" s="51"/>
      <c r="G92" s="51"/>
    </row>
    <row r="93" spans="1:7">
      <c r="A93" s="415"/>
      <c r="C93" s="51"/>
      <c r="D93" s="51"/>
      <c r="E93" s="51"/>
      <c r="F93" s="51"/>
      <c r="G93" s="51"/>
    </row>
    <row r="94" spans="1:7">
      <c r="A94" s="415"/>
      <c r="C94" s="51"/>
      <c r="D94" s="51"/>
      <c r="E94" s="51"/>
      <c r="F94" s="51"/>
      <c r="G94" s="51"/>
    </row>
    <row r="95" spans="1:7">
      <c r="A95" s="415"/>
      <c r="C95" s="51"/>
      <c r="D95" s="51"/>
      <c r="E95" s="51"/>
      <c r="F95" s="51"/>
      <c r="G95" s="51"/>
    </row>
    <row r="96" spans="1:7" ht="9.75" customHeight="1">
      <c r="A96" s="415"/>
      <c r="C96" s="1"/>
      <c r="D96" s="1"/>
      <c r="E96" s="1"/>
      <c r="F96" s="1"/>
      <c r="G96" s="1"/>
    </row>
    <row r="97" spans="1:1" hidden="1">
      <c r="A97" s="415"/>
    </row>
    <row r="98" spans="1:1" hidden="1"/>
    <row r="99" spans="1:1" hidden="1"/>
    <row r="100" spans="1:1" hidden="1"/>
    <row r="101" spans="1:1" hidden="1"/>
    <row r="102" spans="1:1" hidden="1"/>
    <row r="103" spans="1:1" hidden="1"/>
    <row r="104" spans="1:1" hidden="1"/>
    <row r="105" spans="1:1" hidden="1"/>
    <row r="106" spans="1:1" hidden="1"/>
    <row r="107" spans="1:1" hidden="1"/>
    <row r="108" spans="1:1" hidden="1"/>
    <row r="109" spans="1:1" hidden="1"/>
    <row r="110" spans="1:1" hidden="1"/>
    <row r="111" spans="1:1" hidden="1"/>
    <row r="112" spans="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spans="28:28" hidden="1"/>
    <row r="306" spans="28:28" hidden="1"/>
    <row r="307" spans="28:28" hidden="1"/>
    <row r="308" spans="28:28" hidden="1"/>
    <row r="309" spans="28:28" hidden="1"/>
    <row r="310" spans="28:28" hidden="1"/>
    <row r="311" spans="28:28" hidden="1"/>
    <row r="312" spans="28:28" hidden="1"/>
    <row r="313" spans="28:28" hidden="1"/>
    <row r="314" spans="28:28" hidden="1"/>
    <row r="315" spans="28:28" hidden="1"/>
    <row r="316" spans="28:28" hidden="1"/>
    <row r="317" spans="28:28" hidden="1">
      <c r="AB317" t="s">
        <v>194</v>
      </c>
    </row>
    <row r="318" spans="28:28" hidden="1"/>
    <row r="319" spans="28:28" hidden="1"/>
    <row r="320" spans="28:28"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sheetData>
  <mergeCells count="4">
    <mergeCell ref="G7:G8"/>
    <mergeCell ref="G1:H1"/>
    <mergeCell ref="G3:H3"/>
    <mergeCell ref="G2:H2"/>
  </mergeCells>
  <phoneticPr fontId="8" type="noConversion"/>
  <hyperlinks>
    <hyperlink ref="E88" location="Contacts!A1" display="Contact"/>
    <hyperlink ref="E11" location="Cust_Detail!A1" display="Cust_Detail"/>
    <hyperlink ref="E14" location="Rates!A1" display="Rates"/>
    <hyperlink ref="E15" location="Rev!A1" display="Rev"/>
    <hyperlink ref="E12" location="Cust_Esca!A1" display="Cust_Esca"/>
    <hyperlink ref="E13" location="TY_Units!A1" display="TY_Units"/>
    <hyperlink ref="E16" location="'Spec Contract Rev'!A1" display="Spec Contract Rev"/>
    <hyperlink ref="E20" location="'O&amp;M_Summ'!A1" display="O&amp;M_Summ"/>
    <hyperlink ref="E19" location="'O&amp;M_Detail'!A1" display="O&amp;M_Detail"/>
    <hyperlink ref="E21" location="Fuel_Summ!A1" display="Fuel_Summ"/>
    <hyperlink ref="E22" location="CIP_E!A1" display="CIP_E"/>
    <hyperlink ref="E24" location="Debt_Sum!A1" display="Debt_Sum"/>
    <hyperlink ref="E26" location="'Other E_Summ.'!A1" display="Other E_Summ"/>
    <hyperlink ref="E28" location="'Rev. Req._Summ.'!A1" display="Rev. Req._Summ."/>
    <hyperlink ref="E23" location="CIP_Summ!A1" display="CIP_Summ"/>
    <hyperlink ref="E25" location="'Other Inc_Summ.'!A1" display="Other Inc_Summ"/>
    <hyperlink ref="E27" location="'Cash Balances'!A1" display="Cash Balance"/>
    <hyperlink ref="E31" location="'POR_Sum Existing'!A1" display="POR_Sum Existing"/>
    <hyperlink ref="E32" location="'POR_Sum Proposed'!A1" display="POR_Sum Proposed"/>
    <hyperlink ref="E33" location="Dashboard!A1" display="Dashboard"/>
    <hyperlink ref="E37" location="Asset_Sum!A1" display="Asset_Sum"/>
    <hyperlink ref="E38" location="COS_RB!A1" display="COS_RB"/>
    <hyperlink ref="E41" location="COS_RR!A1" display="COS_RR"/>
    <hyperlink ref="E42" location="'COS_Units (sales)'!A1" display="COS_Units (sales)"/>
    <hyperlink ref="E44" location="COS_Alloc.!A1" display="COS_Alloc."/>
    <hyperlink ref="E45" location="COS_Unbun.!A1" display="COS_Unbun."/>
    <hyperlink ref="E47" location="COS_Summ!A1" display="COS_Summ."/>
    <hyperlink ref="E46" location="COS_Unit!A1" display="COS_Unit"/>
    <hyperlink ref="E43" location="'COS_Units (cust)'!A1" display="COS_Units (cust)"/>
    <hyperlink ref="E39" location="'COS_Supervised O&amp;M'!A1" display="COS_Supervised O&amp;M"/>
    <hyperlink ref="E40" location="'COS_RR (top sheet)'!A1" display="COS RR (top sheet)"/>
    <hyperlink ref="E50" location="'Rate Design - 100'!A1" display="Rate Design - 100"/>
    <hyperlink ref="E51" location="'Rate Design - 200'!A1" display="Rate Design - 200"/>
    <hyperlink ref="E53" location="'Rate Design - 300'!A1" display="Rate Design - 300"/>
    <hyperlink ref="E54" location="'Rate Design - 400'!A1" display="Rate Design - 400"/>
    <hyperlink ref="E55" location="'Rate Design - USD500'!A1" display="Rate Design - USD500"/>
    <hyperlink ref="E56" location="'Rate Design - 700'!A1" display="Rate Design - 700"/>
    <hyperlink ref="E58" location="'Bill Tab - 100-200'!A1" display="Bill Tab 100-200"/>
    <hyperlink ref="E57" location="'Rate Design Summ'!A1" display="Rate Design Summ"/>
    <hyperlink ref="E59" location="'Bill Tab - 250-400'!A1" display="Bill Tab 250-400"/>
    <hyperlink ref="E52" location="'Rate Design - 250'!A1" display="Rate Design - 250"/>
    <hyperlink ref="E60" location="'Table Rate - 100'!A1" display="Table Rate - 100"/>
    <hyperlink ref="E61" location="'Table Rate - 200'!A1" display="Table Rate - 200"/>
    <hyperlink ref="E62" location="'Table Rate - 250'!A1" display="Table Rate - 250"/>
    <hyperlink ref="E63" location="'Table Rate - 300'!A1" display="Table Rate - 300"/>
    <hyperlink ref="E64" location="'Table Rate - 400'!A1" display="Table Rate - 400"/>
    <hyperlink ref="E65" location="'Rate Compare'!A1" display="Rate Compare"/>
    <hyperlink ref="E66" location="'RES Impact'!A1" display="RES Impact"/>
    <hyperlink ref="E67" location="'2008 LGS RECLASS'!A1" display="2008 LGS RECLASS"/>
    <hyperlink ref="E68" location="'2010 LGS RECLASS'!A1" display="2010 LGS RECLASS"/>
    <hyperlink ref="E74" location="'Table 3-5'!A1" display="Table 3-5"/>
    <hyperlink ref="E77" location="'Table 4-1'!A1" display="Table 4-1"/>
    <hyperlink ref="E78" location="'Table 4-2'!A1" display="Table 4-2"/>
    <hyperlink ref="E79" location="'Table 4-3'!A1" display="Table 4-3"/>
    <hyperlink ref="E80" location="'Table 4-4'!A1" display="Table 4-4"/>
    <hyperlink ref="E82" location="'Table 4-6'!A1" display="Table 4-6"/>
    <hyperlink ref="E83" location="'Table 4-7'!A1" display="Table 4-7"/>
    <hyperlink ref="E84" location="'Table 4-8'!A1" display="Table 4-8"/>
    <hyperlink ref="E85" location="'Table 4-9'!A1" display="Table 4-9"/>
    <hyperlink ref="E81" location="'Table 4-5'!A1" display="Table 4-5"/>
    <hyperlink ref="E72" location="'ES Tables'!A1" display="ES Tables"/>
    <hyperlink ref="E73" location="'Table 3-1'!A1" display="Table 3-1"/>
    <hyperlink ref="E75" location="'Table 3-8'!A1" display="Table 3-8"/>
    <hyperlink ref="E76" location="'Table 3-9'!A1" display="Table 3-9"/>
    <hyperlink ref="E34" location="'Figure 1'!A1" display="Figure 1"/>
    <hyperlink ref="E69" location="'Res Chart'!A1" display="Res Chart"/>
  </hyperlinks>
  <pageMargins left="0.75" right="0.75" top="0.75" bottom="0.75" header="0.5" footer="0.5"/>
  <pageSetup scale="34"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DAD073207A87B4EB5A7B2699AF06DEB" ma:contentTypeVersion="0" ma:contentTypeDescription="Create a new document." ma:contentTypeScope="" ma:versionID="e7b766c450ac2b6349c044378a4a7f2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C1849D-80DC-476A-B33D-A18233B22F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7288057-CE6A-499E-9A05-D9ED844A1887}">
  <ds:schemaRefs>
    <ds:schemaRef ds:uri="http://schemas.microsoft.com/office/2006/metadata/longProperties"/>
  </ds:schemaRefs>
</ds:datastoreItem>
</file>

<file path=customXml/itemProps3.xml><?xml version="1.0" encoding="utf-8"?>
<ds:datastoreItem xmlns:ds="http://schemas.openxmlformats.org/officeDocument/2006/customXml" ds:itemID="{4EF2CA4B-F76A-49B5-8DEB-F24AFAAE0B77}">
  <ds:schemaRefs>
    <ds:schemaRef ds:uri="http://www.w3.org/XML/1998/namespace"/>
    <ds:schemaRef ds:uri="http://purl.org/dc/terms/"/>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4.xml><?xml version="1.0" encoding="utf-8"?>
<ds:datastoreItem xmlns:ds="http://schemas.openxmlformats.org/officeDocument/2006/customXml" ds:itemID="{3D32EE66-5C91-4BA7-85B1-A80FDC56066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58</vt:i4>
      </vt:variant>
    </vt:vector>
  </HeadingPairs>
  <TitlesOfParts>
    <vt:vector size="139" baseType="lpstr">
      <vt:lpstr>Main</vt:lpstr>
      <vt:lpstr>Revenue</vt:lpstr>
      <vt:lpstr>Rev Req</vt:lpstr>
      <vt:lpstr>Fin Frcst</vt:lpstr>
      <vt:lpstr>COS</vt:lpstr>
      <vt:lpstr>Rate Dsn</vt:lpstr>
      <vt:lpstr>Other</vt:lpstr>
      <vt:lpstr>Support</vt:lpstr>
      <vt:lpstr>Index</vt:lpstr>
      <vt:lpstr>Billing Detail</vt:lpstr>
      <vt:lpstr>Street Lights</vt:lpstr>
      <vt:lpstr>Debt from Forecast14</vt:lpstr>
      <vt:lpstr>Debt from Forecast17</vt:lpstr>
      <vt:lpstr>Labor Exp 2016</vt:lpstr>
      <vt:lpstr>CIAC (MC)</vt:lpstr>
      <vt:lpstr>Budget (BV) 2017</vt:lpstr>
      <vt:lpstr>Lead Sheet 2015</vt:lpstr>
      <vt:lpstr>Capital Plan</vt:lpstr>
      <vt:lpstr>Plant Capital - Forecast16p</vt:lpstr>
      <vt:lpstr>Plant Capital - Forecast16</vt:lpstr>
      <vt:lpstr>Forecast (BV) 2017p</vt:lpstr>
      <vt:lpstr>Forecast (BV) 2017</vt:lpstr>
      <vt:lpstr>Net Power</vt:lpstr>
      <vt:lpstr>Cust_Detail</vt:lpstr>
      <vt:lpstr>Cust_Esca</vt:lpstr>
      <vt:lpstr>Rates</vt:lpstr>
      <vt:lpstr>City Taxes</vt:lpstr>
      <vt:lpstr>Rev</vt:lpstr>
      <vt:lpstr>O&amp;M_Detail - PRP</vt:lpstr>
      <vt:lpstr>O&amp;M_Detail - Elec</vt:lpstr>
      <vt:lpstr>Debt-PRP</vt:lpstr>
      <vt:lpstr>Debt_Sum - Elec</vt:lpstr>
      <vt:lpstr>CIP_E</vt:lpstr>
      <vt:lpstr>Other Inc_Summ.</vt:lpstr>
      <vt:lpstr>Other Taxes</vt:lpstr>
      <vt:lpstr>O&amp;M_Summ</vt:lpstr>
      <vt:lpstr>Cash Balances (BV)</vt:lpstr>
      <vt:lpstr>Fin Forecast - PRP</vt:lpstr>
      <vt:lpstr>Fin Forecast - Elec</vt:lpstr>
      <vt:lpstr>Fin Forecast - Consolidated</vt:lpstr>
      <vt:lpstr>Dashboard</vt:lpstr>
      <vt:lpstr>TY_Units</vt:lpstr>
      <vt:lpstr>COS_RR (top sheet)</vt:lpstr>
      <vt:lpstr>Asset_Sum</vt:lpstr>
      <vt:lpstr>COS_RB</vt:lpstr>
      <vt:lpstr>COS_Supervised O&amp;M</vt:lpstr>
      <vt:lpstr>COS_RR</vt:lpstr>
      <vt:lpstr>COS_Units (sales)</vt:lpstr>
      <vt:lpstr>COS_Units (cust)</vt:lpstr>
      <vt:lpstr>COS_Alloc.</vt:lpstr>
      <vt:lpstr>COS_Unbun.</vt:lpstr>
      <vt:lpstr>COS_Unit</vt:lpstr>
      <vt:lpstr>COS_Summ</vt:lpstr>
      <vt:lpstr>COS_Summ (cumulative)</vt:lpstr>
      <vt:lpstr>Rate Pres Tables - 2017</vt:lpstr>
      <vt:lpstr>Rate Present Assumptions</vt:lpstr>
      <vt:lpstr>Tables for ES</vt:lpstr>
      <vt:lpstr>Rate Increases</vt:lpstr>
      <vt:lpstr>Allocation Factors</vt:lpstr>
      <vt:lpstr>RR Classification</vt:lpstr>
      <vt:lpstr>Capacity Allocation</vt:lpstr>
      <vt:lpstr>Sales Allocation Summ</vt:lpstr>
      <vt:lpstr>Table 1</vt:lpstr>
      <vt:lpstr>Table 2</vt:lpstr>
      <vt:lpstr>Table 3</vt:lpstr>
      <vt:lpstr>Table 4</vt:lpstr>
      <vt:lpstr>Table 5</vt:lpstr>
      <vt:lpstr>Table 6</vt:lpstr>
      <vt:lpstr>Table 7</vt:lpstr>
      <vt:lpstr>Table 8</vt:lpstr>
      <vt:lpstr>Table 8b</vt:lpstr>
      <vt:lpstr>Table 9</vt:lpstr>
      <vt:lpstr>Table 10</vt:lpstr>
      <vt:lpstr>Table 11</vt:lpstr>
      <vt:lpstr>Table 12</vt:lpstr>
      <vt:lpstr>Table 13</vt:lpstr>
      <vt:lpstr>Table RR</vt:lpstr>
      <vt:lpstr>Table 3-3</vt:lpstr>
      <vt:lpstr>Table - Allocators</vt:lpstr>
      <vt:lpstr>Function Cost by Rate Class</vt:lpstr>
      <vt:lpstr>Contacts</vt:lpstr>
      <vt:lpstr>Rates!_rnd2</vt:lpstr>
      <vt:lpstr>'Table - Allocators'!Allocation</vt:lpstr>
      <vt:lpstr>Allocation</vt:lpstr>
      <vt:lpstr>Budget_and_Forecast</vt:lpstr>
      <vt:lpstr>'Function Cost by Rate Class'!CapacityAlloc</vt:lpstr>
      <vt:lpstr>CapacityAlloc</vt:lpstr>
      <vt:lpstr>Client</vt:lpstr>
      <vt:lpstr>COS_RB</vt:lpstr>
      <vt:lpstr>COSScenario</vt:lpstr>
      <vt:lpstr>Dashboard</vt:lpstr>
      <vt:lpstr>NetPowerScenario</vt:lpstr>
      <vt:lpstr>OM_Esc</vt:lpstr>
      <vt:lpstr>Asset_Sum!Print_Area</vt:lpstr>
      <vt:lpstr>'Capital Plan'!Print_Area</vt:lpstr>
      <vt:lpstr>COS_Summ!Print_Area</vt:lpstr>
      <vt:lpstr>'COS_Summ (cumulative)'!Print_Area</vt:lpstr>
      <vt:lpstr>COS_Unit!Print_Area</vt:lpstr>
      <vt:lpstr>'Function Cost by Rate Class'!Print_Area</vt:lpstr>
      <vt:lpstr>'Rate Pres Tables - 2017'!Print_Area</vt:lpstr>
      <vt:lpstr>'Rate Present Assumptions'!Print_Area</vt:lpstr>
      <vt:lpstr>'Sales Allocation Summ'!Print_Area</vt:lpstr>
      <vt:lpstr>'Table 1'!Print_Area</vt:lpstr>
      <vt:lpstr>'Table 10'!Print_Area</vt:lpstr>
      <vt:lpstr>'Table 11'!Print_Area</vt:lpstr>
      <vt:lpstr>'Table 2'!Print_Area</vt:lpstr>
      <vt:lpstr>'Table 3'!Print_Area</vt:lpstr>
      <vt:lpstr>'Table 4'!Print_Area</vt:lpstr>
      <vt:lpstr>'Table 5'!Print_Area</vt:lpstr>
      <vt:lpstr>'Table 6'!Print_Area</vt:lpstr>
      <vt:lpstr>'Table 7'!Print_Area</vt:lpstr>
      <vt:lpstr>'Table 8'!Print_Area</vt:lpstr>
      <vt:lpstr>'Table 8b'!Print_Area</vt:lpstr>
      <vt:lpstr>'Table 9'!Print_Area</vt:lpstr>
      <vt:lpstr>'Forecast (BV) 2017'!Print_Budget</vt:lpstr>
      <vt:lpstr>Print_Complete</vt:lpstr>
      <vt:lpstr>'Forecast (BV) 2017'!Print_Forecast</vt:lpstr>
      <vt:lpstr>Asset_Sum!Print_Titles</vt:lpstr>
      <vt:lpstr>'Capital Plan'!Print_Titles</vt:lpstr>
      <vt:lpstr>'Cash Balances (BV)'!Print_Titles</vt:lpstr>
      <vt:lpstr>CIP_E!Print_Titles</vt:lpstr>
      <vt:lpstr>COS_Alloc.!Print_Titles</vt:lpstr>
      <vt:lpstr>COS_RB!Print_Titles</vt:lpstr>
      <vt:lpstr>COS_RR!Print_Titles</vt:lpstr>
      <vt:lpstr>'COS_Supervised O&amp;M'!Print_Titles</vt:lpstr>
      <vt:lpstr>COS_Unbun.!Print_Titles</vt:lpstr>
      <vt:lpstr>COS_Unit!Print_Titles</vt:lpstr>
      <vt:lpstr>'COS_Units (cust)'!Print_Titles</vt:lpstr>
      <vt:lpstr>'COS_Units (sales)'!Print_Titles</vt:lpstr>
      <vt:lpstr>Cust_Detail!Print_Titles</vt:lpstr>
      <vt:lpstr>'Debt-PRP'!Print_Titles</vt:lpstr>
      <vt:lpstr>'Fin Forecast - PRP'!Print_Titles</vt:lpstr>
      <vt:lpstr>'O&amp;M_Detail - Elec'!Print_Titles</vt:lpstr>
      <vt:lpstr>'O&amp;M_Summ'!Print_Titles</vt:lpstr>
      <vt:lpstr>Rates!Print_Titles</vt:lpstr>
      <vt:lpstr>Rev!Print_Titles</vt:lpstr>
      <vt:lpstr>'Table - Allocators'!Print_Titles</vt:lpstr>
      <vt:lpstr>'Table RR'!Print_Titles</vt:lpstr>
      <vt:lpstr>Title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Ziegler, Douglas J.</dc:creator>
  <cp:lastModifiedBy>bgillette</cp:lastModifiedBy>
  <cp:lastPrinted>2017-02-23T17:11:45Z</cp:lastPrinted>
  <dcterms:created xsi:type="dcterms:W3CDTF">2010-10-18T18:58:09Z</dcterms:created>
  <dcterms:modified xsi:type="dcterms:W3CDTF">2017-03-08T19:24:04Z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0x0101009DAD073207A87B4EB5A7B2699AF06DEB</vt:lpwstr>
  </property>
</Properties>
</file>